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8" windowWidth="14808" windowHeight="8016" firstSheet="10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 refMode="R1C1"/>
</workbook>
</file>

<file path=xl/calcChain.xml><?xml version="1.0" encoding="utf-8"?>
<calcChain xmlns="http://schemas.openxmlformats.org/spreadsheetml/2006/main">
  <c r="F1" i="19" l="1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E1" i="19"/>
  <c r="G2" i="19"/>
  <c r="F2" i="19" s="1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E2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E3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E4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E5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E6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E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E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E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E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E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E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E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E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E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E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E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E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E19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E20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E21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E22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E23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E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E25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E26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E27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E28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E29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E30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E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E32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E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E34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E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E36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E37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E38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E39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E40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E41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E42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E43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E44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E45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E46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E47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E48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E49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E50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E51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E52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E53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E54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E55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E56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E57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E58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E59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E60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E61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E62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E63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E64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E65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E66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E67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E68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E69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E70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E71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E72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E73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E74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E75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E76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E77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E78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E79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E80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E81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E82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E83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E84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E85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E86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E87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E88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E89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E90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E91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E92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E93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E94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E95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E96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E97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E98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E99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E100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E101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E102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E103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E104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E105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E106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E107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E108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E109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E110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E111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E112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E113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E114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E115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E116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E117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E118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E119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E120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E121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E122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E123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E124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E125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E126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E127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E128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E129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E130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E131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E132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E133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E134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E135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E136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E137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E138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E139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E140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E141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E142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E143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E144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E145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E146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E147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E148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E149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E150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E151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E152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E153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E154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V256" i="19"/>
  <c r="W256" i="19"/>
  <c r="X256" i="19"/>
  <c r="Y256" i="19"/>
  <c r="Z256" i="19"/>
  <c r="AA256" i="19"/>
  <c r="AB256" i="19"/>
  <c r="AC256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X257" i="19"/>
  <c r="Y257" i="19"/>
  <c r="Z257" i="19"/>
  <c r="AA257" i="19"/>
  <c r="AB257" i="19"/>
  <c r="AC257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X258" i="19"/>
  <c r="Y258" i="19"/>
  <c r="Z258" i="19"/>
  <c r="AA258" i="19"/>
  <c r="AB258" i="19"/>
  <c r="AC258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X259" i="19"/>
  <c r="Y259" i="19"/>
  <c r="Z259" i="19"/>
  <c r="AA259" i="19"/>
  <c r="AB259" i="19"/>
  <c r="AC259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X260" i="19"/>
  <c r="Y260" i="19"/>
  <c r="Z260" i="19"/>
  <c r="AA260" i="19"/>
  <c r="AB260" i="19"/>
  <c r="AC260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X261" i="19"/>
  <c r="Y261" i="19"/>
  <c r="Z261" i="19"/>
  <c r="AA261" i="19"/>
  <c r="AB261" i="19"/>
  <c r="AC261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X262" i="19"/>
  <c r="Y262" i="19"/>
  <c r="Z262" i="19"/>
  <c r="AA262" i="19"/>
  <c r="AB262" i="19"/>
  <c r="AC262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X263" i="19"/>
  <c r="Y263" i="19"/>
  <c r="Z263" i="19"/>
  <c r="AA263" i="19"/>
  <c r="AB263" i="19"/>
  <c r="AC263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X264" i="19"/>
  <c r="Y264" i="19"/>
  <c r="Z264" i="19"/>
  <c r="AA264" i="19"/>
  <c r="AB264" i="19"/>
  <c r="AC264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X265" i="19"/>
  <c r="Y265" i="19"/>
  <c r="Z265" i="19"/>
  <c r="AA265" i="19"/>
  <c r="AB265" i="19"/>
  <c r="AC265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X266" i="19"/>
  <c r="Y266" i="19"/>
  <c r="Z266" i="19"/>
  <c r="AA266" i="19"/>
  <c r="AB266" i="19"/>
  <c r="AC266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X267" i="19"/>
  <c r="Y267" i="19"/>
  <c r="Z267" i="19"/>
  <c r="AA267" i="19"/>
  <c r="AB267" i="19"/>
  <c r="AC267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X268" i="19"/>
  <c r="Y268" i="19"/>
  <c r="Z268" i="19"/>
  <c r="AA268" i="19"/>
  <c r="AB268" i="19"/>
  <c r="AC268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X269" i="19"/>
  <c r="Y269" i="19"/>
  <c r="Z269" i="19"/>
  <c r="AA269" i="19"/>
  <c r="AB269" i="19"/>
  <c r="AC269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X270" i="19"/>
  <c r="Y270" i="19"/>
  <c r="Z270" i="19"/>
  <c r="AA270" i="19"/>
  <c r="AB270" i="19"/>
  <c r="AC270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X271" i="19"/>
  <c r="Y271" i="19"/>
  <c r="Z271" i="19"/>
  <c r="AA271" i="19"/>
  <c r="AB271" i="19"/>
  <c r="AC271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X272" i="19"/>
  <c r="Y272" i="19"/>
  <c r="Z272" i="19"/>
  <c r="AA272" i="19"/>
  <c r="AB272" i="19"/>
  <c r="AC272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X273" i="19"/>
  <c r="Y273" i="19"/>
  <c r="Z273" i="19"/>
  <c r="AA273" i="19"/>
  <c r="AB273" i="19"/>
  <c r="AC273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X274" i="19"/>
  <c r="Y274" i="19"/>
  <c r="Z274" i="19"/>
  <c r="AA274" i="19"/>
  <c r="AB274" i="19"/>
  <c r="AC274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X275" i="19"/>
  <c r="Y275" i="19"/>
  <c r="Z275" i="19"/>
  <c r="AA275" i="19"/>
  <c r="AB275" i="19"/>
  <c r="AC275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X276" i="19"/>
  <c r="Y276" i="19"/>
  <c r="Z276" i="19"/>
  <c r="AA276" i="19"/>
  <c r="AB276" i="19"/>
  <c r="AC276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X277" i="19"/>
  <c r="Y277" i="19"/>
  <c r="Z277" i="19"/>
  <c r="AA277" i="19"/>
  <c r="AB277" i="19"/>
  <c r="AC277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X278" i="19"/>
  <c r="Y278" i="19"/>
  <c r="Z278" i="19"/>
  <c r="AA278" i="19"/>
  <c r="AB278" i="19"/>
  <c r="AC278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T279" i="19"/>
  <c r="U279" i="19"/>
  <c r="V279" i="19"/>
  <c r="W279" i="19"/>
  <c r="X279" i="19"/>
  <c r="Y279" i="19"/>
  <c r="Z279" i="19"/>
  <c r="AA279" i="19"/>
  <c r="AB279" i="19"/>
  <c r="AC279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X280" i="19"/>
  <c r="Y280" i="19"/>
  <c r="Z280" i="19"/>
  <c r="AA280" i="19"/>
  <c r="AB280" i="19"/>
  <c r="AC280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X281" i="19"/>
  <c r="Y281" i="19"/>
  <c r="Z281" i="19"/>
  <c r="AA281" i="19"/>
  <c r="AB281" i="19"/>
  <c r="AC281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X282" i="19"/>
  <c r="Y282" i="19"/>
  <c r="Z282" i="19"/>
  <c r="AA282" i="19"/>
  <c r="AB282" i="19"/>
  <c r="AC282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X284" i="19"/>
  <c r="Y284" i="19"/>
  <c r="Z284" i="19"/>
  <c r="AA284" i="19"/>
  <c r="AB284" i="19"/>
  <c r="AC284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X285" i="19"/>
  <c r="Y285" i="19"/>
  <c r="Z285" i="19"/>
  <c r="AA285" i="19"/>
  <c r="AB285" i="19"/>
  <c r="AC285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X286" i="19"/>
  <c r="Y286" i="19"/>
  <c r="Z286" i="19"/>
  <c r="AA286" i="19"/>
  <c r="AB286" i="19"/>
  <c r="AC286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X287" i="19"/>
  <c r="Y287" i="19"/>
  <c r="Z287" i="19"/>
  <c r="AA287" i="19"/>
  <c r="AB287" i="19"/>
  <c r="AC287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X288" i="19"/>
  <c r="Y288" i="19"/>
  <c r="Z288" i="19"/>
  <c r="AA288" i="19"/>
  <c r="AB288" i="19"/>
  <c r="AC288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X289" i="19"/>
  <c r="Y289" i="19"/>
  <c r="Z289" i="19"/>
  <c r="AA289" i="19"/>
  <c r="AB289" i="19"/>
  <c r="AC289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X290" i="19"/>
  <c r="Y290" i="19"/>
  <c r="Z290" i="19"/>
  <c r="AA290" i="19"/>
  <c r="AB290" i="19"/>
  <c r="AC290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X291" i="19"/>
  <c r="Y291" i="19"/>
  <c r="Z291" i="19"/>
  <c r="AA291" i="19"/>
  <c r="AB291" i="19"/>
  <c r="AC291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X292" i="19"/>
  <c r="Y292" i="19"/>
  <c r="Z292" i="19"/>
  <c r="AA292" i="19"/>
  <c r="AB292" i="19"/>
  <c r="AC292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X293" i="19"/>
  <c r="Y293" i="19"/>
  <c r="Z293" i="19"/>
  <c r="AA293" i="19"/>
  <c r="AB293" i="19"/>
  <c r="AC293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X294" i="19"/>
  <c r="Y294" i="19"/>
  <c r="Z294" i="19"/>
  <c r="AA294" i="19"/>
  <c r="AB294" i="19"/>
  <c r="AC294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X295" i="19"/>
  <c r="Y295" i="19"/>
  <c r="Z295" i="19"/>
  <c r="AA295" i="19"/>
  <c r="AB295" i="19"/>
  <c r="AC295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X296" i="19"/>
  <c r="Y296" i="19"/>
  <c r="Z296" i="19"/>
  <c r="AA296" i="19"/>
  <c r="AB296" i="19"/>
  <c r="AC296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X297" i="19"/>
  <c r="Y297" i="19"/>
  <c r="Z297" i="19"/>
  <c r="AA297" i="19"/>
  <c r="AB297" i="19"/>
  <c r="AC297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X298" i="19"/>
  <c r="Y298" i="19"/>
  <c r="Z298" i="19"/>
  <c r="AA298" i="19"/>
  <c r="AB298" i="19"/>
  <c r="AC298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X299" i="19"/>
  <c r="Y299" i="19"/>
  <c r="Z299" i="19"/>
  <c r="AA299" i="19"/>
  <c r="AB299" i="19"/>
  <c r="AC299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T300" i="19"/>
  <c r="U300" i="19"/>
  <c r="V300" i="19"/>
  <c r="W300" i="19"/>
  <c r="X300" i="19"/>
  <c r="Y300" i="19"/>
  <c r="Z300" i="19"/>
  <c r="AA300" i="19"/>
  <c r="AB300" i="19"/>
  <c r="AC300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T301" i="19"/>
  <c r="U301" i="19"/>
  <c r="V301" i="19"/>
  <c r="W301" i="19"/>
  <c r="X301" i="19"/>
  <c r="Y301" i="19"/>
  <c r="Z301" i="19"/>
  <c r="AA301" i="19"/>
  <c r="AB301" i="19"/>
  <c r="AC301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T302" i="19"/>
  <c r="U302" i="19"/>
  <c r="V302" i="19"/>
  <c r="W302" i="19"/>
  <c r="X302" i="19"/>
  <c r="Y302" i="19"/>
  <c r="Z302" i="19"/>
  <c r="AA302" i="19"/>
  <c r="AB302" i="19"/>
  <c r="AC302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T303" i="19"/>
  <c r="U303" i="19"/>
  <c r="V303" i="19"/>
  <c r="W303" i="19"/>
  <c r="X303" i="19"/>
  <c r="Y303" i="19"/>
  <c r="Z303" i="19"/>
  <c r="AA303" i="19"/>
  <c r="AB303" i="19"/>
  <c r="AC303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T304" i="19"/>
  <c r="U304" i="19"/>
  <c r="V304" i="19"/>
  <c r="W304" i="19"/>
  <c r="X304" i="19"/>
  <c r="Y304" i="19"/>
  <c r="Z304" i="19"/>
  <c r="AA304" i="19"/>
  <c r="AB304" i="19"/>
  <c r="AC304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T305" i="19"/>
  <c r="U305" i="19"/>
  <c r="V305" i="19"/>
  <c r="W305" i="19"/>
  <c r="X305" i="19"/>
  <c r="Y305" i="19"/>
  <c r="Z305" i="19"/>
  <c r="AA305" i="19"/>
  <c r="AB305" i="19"/>
  <c r="AC305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T306" i="19"/>
  <c r="U306" i="19"/>
  <c r="V306" i="19"/>
  <c r="W306" i="19"/>
  <c r="X306" i="19"/>
  <c r="Y306" i="19"/>
  <c r="Z306" i="19"/>
  <c r="AA306" i="19"/>
  <c r="AB306" i="19"/>
  <c r="AC306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X307" i="19"/>
  <c r="Y307" i="19"/>
  <c r="Z307" i="19"/>
  <c r="AA307" i="19"/>
  <c r="AB307" i="19"/>
  <c r="AC307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X308" i="19"/>
  <c r="Y308" i="19"/>
  <c r="Z308" i="19"/>
  <c r="AA308" i="19"/>
  <c r="AB308" i="19"/>
  <c r="AC308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T309" i="19"/>
  <c r="U309" i="19"/>
  <c r="V309" i="19"/>
  <c r="W309" i="19"/>
  <c r="X309" i="19"/>
  <c r="Y309" i="19"/>
  <c r="Z309" i="19"/>
  <c r="AA309" i="19"/>
  <c r="AB309" i="19"/>
  <c r="AC309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T310" i="19"/>
  <c r="U310" i="19"/>
  <c r="V310" i="19"/>
  <c r="W310" i="19"/>
  <c r="X310" i="19"/>
  <c r="Y310" i="19"/>
  <c r="Z310" i="19"/>
  <c r="AA310" i="19"/>
  <c r="AB310" i="19"/>
  <c r="AC310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T311" i="19"/>
  <c r="U311" i="19"/>
  <c r="V311" i="19"/>
  <c r="W311" i="19"/>
  <c r="X311" i="19"/>
  <c r="Y311" i="19"/>
  <c r="Z311" i="19"/>
  <c r="AA311" i="19"/>
  <c r="AB311" i="19"/>
  <c r="AC311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T312" i="19"/>
  <c r="U312" i="19"/>
  <c r="V312" i="19"/>
  <c r="W312" i="19"/>
  <c r="X312" i="19"/>
  <c r="Y312" i="19"/>
  <c r="Z312" i="19"/>
  <c r="AA312" i="19"/>
  <c r="AB312" i="19"/>
  <c r="AC312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T313" i="19"/>
  <c r="U313" i="19"/>
  <c r="V313" i="19"/>
  <c r="W313" i="19"/>
  <c r="X313" i="19"/>
  <c r="Y313" i="19"/>
  <c r="Z313" i="19"/>
  <c r="AA313" i="19"/>
  <c r="AB313" i="19"/>
  <c r="AC313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T314" i="19"/>
  <c r="U314" i="19"/>
  <c r="V314" i="19"/>
  <c r="W314" i="19"/>
  <c r="X314" i="19"/>
  <c r="Y314" i="19"/>
  <c r="Z314" i="19"/>
  <c r="AA314" i="19"/>
  <c r="AB314" i="19"/>
  <c r="AC314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T315" i="19"/>
  <c r="U315" i="19"/>
  <c r="V315" i="19"/>
  <c r="W315" i="19"/>
  <c r="X315" i="19"/>
  <c r="Y315" i="19"/>
  <c r="Z315" i="19"/>
  <c r="AA315" i="19"/>
  <c r="AB315" i="19"/>
  <c r="AC315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T316" i="19"/>
  <c r="U316" i="19"/>
  <c r="V316" i="19"/>
  <c r="W316" i="19"/>
  <c r="X316" i="19"/>
  <c r="Y316" i="19"/>
  <c r="Z316" i="19"/>
  <c r="AA316" i="19"/>
  <c r="AB316" i="19"/>
  <c r="AC316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T317" i="19"/>
  <c r="U317" i="19"/>
  <c r="V317" i="19"/>
  <c r="W317" i="19"/>
  <c r="X317" i="19"/>
  <c r="Y317" i="19"/>
  <c r="Z317" i="19"/>
  <c r="AA317" i="19"/>
  <c r="AB317" i="19"/>
  <c r="AC317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T318" i="19"/>
  <c r="U318" i="19"/>
  <c r="V318" i="19"/>
  <c r="W318" i="19"/>
  <c r="X318" i="19"/>
  <c r="Y318" i="19"/>
  <c r="Z318" i="19"/>
  <c r="AA318" i="19"/>
  <c r="AB318" i="19"/>
  <c r="AC318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T319" i="19"/>
  <c r="U319" i="19"/>
  <c r="V319" i="19"/>
  <c r="W319" i="19"/>
  <c r="X319" i="19"/>
  <c r="Y319" i="19"/>
  <c r="Z319" i="19"/>
  <c r="AA319" i="19"/>
  <c r="AB319" i="19"/>
  <c r="AC319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T320" i="19"/>
  <c r="U320" i="19"/>
  <c r="V320" i="19"/>
  <c r="W320" i="19"/>
  <c r="X320" i="19"/>
  <c r="Y320" i="19"/>
  <c r="Z320" i="19"/>
  <c r="AA320" i="19"/>
  <c r="AB320" i="19"/>
  <c r="AC320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T321" i="19"/>
  <c r="U321" i="19"/>
  <c r="V321" i="19"/>
  <c r="W321" i="19"/>
  <c r="X321" i="19"/>
  <c r="Y321" i="19"/>
  <c r="Z321" i="19"/>
  <c r="AA321" i="19"/>
  <c r="AB321" i="19"/>
  <c r="AC321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T322" i="19"/>
  <c r="U322" i="19"/>
  <c r="V322" i="19"/>
  <c r="W322" i="19"/>
  <c r="X322" i="19"/>
  <c r="Y322" i="19"/>
  <c r="Z322" i="19"/>
  <c r="AA322" i="19"/>
  <c r="AB322" i="19"/>
  <c r="AC322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T323" i="19"/>
  <c r="U323" i="19"/>
  <c r="V323" i="19"/>
  <c r="W323" i="19"/>
  <c r="X323" i="19"/>
  <c r="Y323" i="19"/>
  <c r="Z323" i="19"/>
  <c r="AA323" i="19"/>
  <c r="AB323" i="19"/>
  <c r="AC323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T324" i="19"/>
  <c r="U324" i="19"/>
  <c r="V324" i="19"/>
  <c r="W324" i="19"/>
  <c r="X324" i="19"/>
  <c r="Y324" i="19"/>
  <c r="Z324" i="19"/>
  <c r="AA324" i="19"/>
  <c r="AB324" i="19"/>
  <c r="AC324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T325" i="19"/>
  <c r="U325" i="19"/>
  <c r="V325" i="19"/>
  <c r="W325" i="19"/>
  <c r="X325" i="19"/>
  <c r="Y325" i="19"/>
  <c r="Z325" i="19"/>
  <c r="AA325" i="19"/>
  <c r="AB325" i="19"/>
  <c r="AC325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T326" i="19"/>
  <c r="U326" i="19"/>
  <c r="V326" i="19"/>
  <c r="W326" i="19"/>
  <c r="X326" i="19"/>
  <c r="Y326" i="19"/>
  <c r="Z326" i="19"/>
  <c r="AA326" i="19"/>
  <c r="AB326" i="19"/>
  <c r="AC326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T327" i="19"/>
  <c r="U327" i="19"/>
  <c r="V327" i="19"/>
  <c r="W327" i="19"/>
  <c r="X327" i="19"/>
  <c r="Y327" i="19"/>
  <c r="Z327" i="19"/>
  <c r="AA327" i="19"/>
  <c r="AB327" i="19"/>
  <c r="AC327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T328" i="19"/>
  <c r="U328" i="19"/>
  <c r="V328" i="19"/>
  <c r="W328" i="19"/>
  <c r="X328" i="19"/>
  <c r="Y328" i="19"/>
  <c r="Z328" i="19"/>
  <c r="AA328" i="19"/>
  <c r="AB328" i="19"/>
  <c r="AC328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T329" i="19"/>
  <c r="U329" i="19"/>
  <c r="V329" i="19"/>
  <c r="W329" i="19"/>
  <c r="X329" i="19"/>
  <c r="Y329" i="19"/>
  <c r="Z329" i="19"/>
  <c r="AA329" i="19"/>
  <c r="AB329" i="19"/>
  <c r="AC329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T330" i="19"/>
  <c r="U330" i="19"/>
  <c r="V330" i="19"/>
  <c r="W330" i="19"/>
  <c r="X330" i="19"/>
  <c r="Y330" i="19"/>
  <c r="Z330" i="19"/>
  <c r="AA330" i="19"/>
  <c r="AB330" i="19"/>
  <c r="AC330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T331" i="19"/>
  <c r="U331" i="19"/>
  <c r="V331" i="19"/>
  <c r="W331" i="19"/>
  <c r="X331" i="19"/>
  <c r="Y331" i="19"/>
  <c r="Z331" i="19"/>
  <c r="AA331" i="19"/>
  <c r="AB331" i="19"/>
  <c r="AC331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T332" i="19"/>
  <c r="U332" i="19"/>
  <c r="V332" i="19"/>
  <c r="W332" i="19"/>
  <c r="X332" i="19"/>
  <c r="Y332" i="19"/>
  <c r="Z332" i="19"/>
  <c r="AA332" i="19"/>
  <c r="AB332" i="19"/>
  <c r="AC332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T333" i="19"/>
  <c r="U333" i="19"/>
  <c r="V333" i="19"/>
  <c r="W333" i="19"/>
  <c r="X333" i="19"/>
  <c r="Y333" i="19"/>
  <c r="Z333" i="19"/>
  <c r="AA333" i="19"/>
  <c r="AB333" i="19"/>
  <c r="AC333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T334" i="19"/>
  <c r="U334" i="19"/>
  <c r="V334" i="19"/>
  <c r="W334" i="19"/>
  <c r="X334" i="19"/>
  <c r="Y334" i="19"/>
  <c r="Z334" i="19"/>
  <c r="AA334" i="19"/>
  <c r="AB334" i="19"/>
  <c r="AC334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T335" i="19"/>
  <c r="U335" i="19"/>
  <c r="V335" i="19"/>
  <c r="W335" i="19"/>
  <c r="X335" i="19"/>
  <c r="Y335" i="19"/>
  <c r="Z335" i="19"/>
  <c r="AA335" i="19"/>
  <c r="AB335" i="19"/>
  <c r="AC335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X336" i="19"/>
  <c r="Y336" i="19"/>
  <c r="Z336" i="19"/>
  <c r="AA336" i="19"/>
  <c r="AB336" i="19"/>
  <c r="AC336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X337" i="19"/>
  <c r="Y337" i="19"/>
  <c r="Z337" i="19"/>
  <c r="AA337" i="19"/>
  <c r="AB337" i="19"/>
  <c r="AC337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T338" i="19"/>
  <c r="U338" i="19"/>
  <c r="V338" i="19"/>
  <c r="W338" i="19"/>
  <c r="X338" i="19"/>
  <c r="Y338" i="19"/>
  <c r="Z338" i="19"/>
  <c r="AA338" i="19"/>
  <c r="AB338" i="19"/>
  <c r="AC338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T339" i="19"/>
  <c r="U339" i="19"/>
  <c r="V339" i="19"/>
  <c r="W339" i="19"/>
  <c r="X339" i="19"/>
  <c r="Y339" i="19"/>
  <c r="Z339" i="19"/>
  <c r="AA339" i="19"/>
  <c r="AB339" i="19"/>
  <c r="AC339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X340" i="19"/>
  <c r="Y340" i="19"/>
  <c r="Z340" i="19"/>
  <c r="AA340" i="19"/>
  <c r="AB340" i="19"/>
  <c r="AC340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X341" i="19"/>
  <c r="Y341" i="19"/>
  <c r="Z341" i="19"/>
  <c r="AA341" i="19"/>
  <c r="AB341" i="19"/>
  <c r="AC341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X342" i="19"/>
  <c r="Y342" i="19"/>
  <c r="Z342" i="19"/>
  <c r="AA342" i="19"/>
  <c r="AB342" i="19"/>
  <c r="AC342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X343" i="19"/>
  <c r="Y343" i="19"/>
  <c r="Z343" i="19"/>
  <c r="AA343" i="19"/>
  <c r="AB343" i="19"/>
  <c r="AC343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X344" i="19"/>
  <c r="Y344" i="19"/>
  <c r="Z344" i="19"/>
  <c r="AA344" i="19"/>
  <c r="AB344" i="19"/>
  <c r="AC344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/>
  <c r="Z345" i="19"/>
  <c r="AA345" i="19"/>
  <c r="AB345" i="19"/>
  <c r="AC345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/>
  <c r="Z346" i="19"/>
  <c r="AA346" i="19"/>
  <c r="AB346" i="19"/>
  <c r="AC346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/>
  <c r="Z347" i="19"/>
  <c r="AA347" i="19"/>
  <c r="AB347" i="19"/>
  <c r="AC347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X348" i="19"/>
  <c r="Y348" i="19"/>
  <c r="Z348" i="19"/>
  <c r="AA348" i="19"/>
  <c r="AB348" i="19"/>
  <c r="AC348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X349" i="19"/>
  <c r="Y349" i="19"/>
  <c r="Z349" i="19"/>
  <c r="AA349" i="19"/>
  <c r="AB349" i="19"/>
  <c r="AC349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/>
  <c r="Z350" i="19"/>
  <c r="AA350" i="19"/>
  <c r="AB350" i="19"/>
  <c r="AC350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/>
  <c r="Z351" i="19"/>
  <c r="AA351" i="19"/>
  <c r="AB351" i="19"/>
  <c r="AC351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/>
  <c r="Z352" i="19"/>
  <c r="AA352" i="19"/>
  <c r="AB352" i="19"/>
  <c r="AC352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/>
  <c r="Z353" i="19"/>
  <c r="AA353" i="19"/>
  <c r="AB353" i="19"/>
  <c r="AC353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/>
  <c r="Z354" i="19"/>
  <c r="AA354" i="19"/>
  <c r="AB354" i="19"/>
  <c r="AC354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X355" i="19"/>
  <c r="Y355" i="19"/>
  <c r="Z355" i="19"/>
  <c r="AA355" i="19"/>
  <c r="AB355" i="19"/>
  <c r="AC355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X356" i="19"/>
  <c r="Y356" i="19"/>
  <c r="Z356" i="19"/>
  <c r="AA356" i="19"/>
  <c r="AB356" i="19"/>
  <c r="AC356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T357" i="19"/>
  <c r="U357" i="19"/>
  <c r="V357" i="19"/>
  <c r="W357" i="19"/>
  <c r="X357" i="19"/>
  <c r="Y357" i="19"/>
  <c r="Z357" i="19"/>
  <c r="AA357" i="19"/>
  <c r="AB357" i="19"/>
  <c r="AC357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X358" i="19"/>
  <c r="Y358" i="19"/>
  <c r="Z358" i="19"/>
  <c r="AA358" i="19"/>
  <c r="AB358" i="19"/>
  <c r="AC358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X359" i="19"/>
  <c r="Y359" i="19"/>
  <c r="Z359" i="19"/>
  <c r="AA359" i="19"/>
  <c r="AB359" i="19"/>
  <c r="AC359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X360" i="19"/>
  <c r="Y360" i="19"/>
  <c r="Z360" i="19"/>
  <c r="AA360" i="19"/>
  <c r="AB360" i="19"/>
  <c r="AC360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X361" i="19"/>
  <c r="Y361" i="19"/>
  <c r="Z361" i="19"/>
  <c r="AA361" i="19"/>
  <c r="AB361" i="19"/>
  <c r="AC361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X362" i="19"/>
  <c r="Y362" i="19"/>
  <c r="Z362" i="19"/>
  <c r="AA362" i="19"/>
  <c r="AB362" i="19"/>
  <c r="AC362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X363" i="19"/>
  <c r="Y363" i="19"/>
  <c r="Z363" i="19"/>
  <c r="AA363" i="19"/>
  <c r="AB363" i="19"/>
  <c r="AC363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X364" i="19"/>
  <c r="Y364" i="19"/>
  <c r="Z364" i="19"/>
  <c r="AA364" i="19"/>
  <c r="AB364" i="19"/>
  <c r="AC364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X365" i="19"/>
  <c r="Y365" i="19"/>
  <c r="Z365" i="19"/>
  <c r="AA365" i="19"/>
  <c r="AB365" i="19"/>
  <c r="AC365" i="19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E1" i="18"/>
  <c r="G2" i="18"/>
  <c r="F2" i="18" s="1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E2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E3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E4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E5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E6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E7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E8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E9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E10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E11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E12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E13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E14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E15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E16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E17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E18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E19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E20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E21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E22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E23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E24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E25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E26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E27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E28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E29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E30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E31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E32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E33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E34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E35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E36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E37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E38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E39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E40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E41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E42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E43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E44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E45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E46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E47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E48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E49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E50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E51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E52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E53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E54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E55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E56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E57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E58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E59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E60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E61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E62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E63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E64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E65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E66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E67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E68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E69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E70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E71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E72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E73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E74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E75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E76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E77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E78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E79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E80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E81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E82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E83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E84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E85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E86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E87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E88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E89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E90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E91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E92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E93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E94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E95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E96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E97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E98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E99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E100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E101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E102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E103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E104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E105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E106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E107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E108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E109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E110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E111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E112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E113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E114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E115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E116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E117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E118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E119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E120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E121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E122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E123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E124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E125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E126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E127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E128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E129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E130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E131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E132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E133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E134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E135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E136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E137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E138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E139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E140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E141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E142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E143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E144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E145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E146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E147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E148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E149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E150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E151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E152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E153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E154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F178" i="18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F184" i="18"/>
  <c r="G184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F186" i="18"/>
  <c r="G186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F192" i="18"/>
  <c r="G192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F193" i="18"/>
  <c r="G193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F194" i="18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F200" i="18"/>
  <c r="G200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F201" i="18"/>
  <c r="G201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F208" i="18"/>
  <c r="G208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F209" i="18"/>
  <c r="G209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F210" i="18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F211" i="18"/>
  <c r="G211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F217" i="18"/>
  <c r="G217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F218" i="18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F224" i="18"/>
  <c r="G224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F225" i="18"/>
  <c r="G225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F226" i="18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F232" i="18"/>
  <c r="G232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F233" i="18"/>
  <c r="G233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F234" i="18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F238" i="18"/>
  <c r="G238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F239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F240" i="18"/>
  <c r="G240" i="18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F241" i="18"/>
  <c r="G241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F242" i="18"/>
  <c r="G242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F244" i="18"/>
  <c r="G244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F246" i="18"/>
  <c r="G246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F247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F248" i="18"/>
  <c r="G248" i="18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F249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F250" i="18"/>
  <c r="G250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F251" i="18"/>
  <c r="G251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F252" i="18"/>
  <c r="G252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F253" i="18"/>
  <c r="G253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F256" i="18"/>
  <c r="G256" i="18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T256" i="18"/>
  <c r="U256" i="18"/>
  <c r="V256" i="18"/>
  <c r="W256" i="18"/>
  <c r="X256" i="18"/>
  <c r="Y256" i="18"/>
  <c r="Z256" i="18"/>
  <c r="AA256" i="18"/>
  <c r="AB256" i="18"/>
  <c r="AC256" i="18"/>
  <c r="F257" i="18"/>
  <c r="G257" i="18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T257" i="18"/>
  <c r="U257" i="18"/>
  <c r="V257" i="18"/>
  <c r="W257" i="18"/>
  <c r="X257" i="18"/>
  <c r="Y257" i="18"/>
  <c r="Z257" i="18"/>
  <c r="AA257" i="18"/>
  <c r="AB257" i="18"/>
  <c r="AC257" i="18"/>
  <c r="F258" i="18"/>
  <c r="G258" i="18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T258" i="18"/>
  <c r="U258" i="18"/>
  <c r="V258" i="18"/>
  <c r="W258" i="18"/>
  <c r="X258" i="18"/>
  <c r="Y258" i="18"/>
  <c r="Z258" i="18"/>
  <c r="AA258" i="18"/>
  <c r="AB258" i="18"/>
  <c r="AC258" i="18"/>
  <c r="F259" i="18"/>
  <c r="G259" i="18"/>
  <c r="H259" i="18"/>
  <c r="I259" i="18"/>
  <c r="J259" i="18"/>
  <c r="K259" i="18"/>
  <c r="L259" i="18"/>
  <c r="M259" i="18"/>
  <c r="N259" i="18"/>
  <c r="O259" i="18"/>
  <c r="P259" i="18"/>
  <c r="Q259" i="18"/>
  <c r="R259" i="18"/>
  <c r="S259" i="18"/>
  <c r="T259" i="18"/>
  <c r="U259" i="18"/>
  <c r="V259" i="18"/>
  <c r="W259" i="18"/>
  <c r="X259" i="18"/>
  <c r="Y259" i="18"/>
  <c r="Z259" i="18"/>
  <c r="AA259" i="18"/>
  <c r="AB259" i="18"/>
  <c r="AC259" i="18"/>
  <c r="F260" i="18"/>
  <c r="G260" i="18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T260" i="18"/>
  <c r="U260" i="18"/>
  <c r="V260" i="18"/>
  <c r="W260" i="18"/>
  <c r="X260" i="18"/>
  <c r="Y260" i="18"/>
  <c r="Z260" i="18"/>
  <c r="AA260" i="18"/>
  <c r="AB260" i="18"/>
  <c r="AC260" i="18"/>
  <c r="F261" i="18"/>
  <c r="G261" i="18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T261" i="18"/>
  <c r="U261" i="18"/>
  <c r="V261" i="18"/>
  <c r="W261" i="18"/>
  <c r="X261" i="18"/>
  <c r="Y261" i="18"/>
  <c r="Z261" i="18"/>
  <c r="AA261" i="18"/>
  <c r="AB261" i="18"/>
  <c r="AC261" i="18"/>
  <c r="F262" i="18"/>
  <c r="G262" i="18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T262" i="18"/>
  <c r="U262" i="18"/>
  <c r="V262" i="18"/>
  <c r="W262" i="18"/>
  <c r="X262" i="18"/>
  <c r="Y262" i="18"/>
  <c r="Z262" i="18"/>
  <c r="AA262" i="18"/>
  <c r="AB262" i="18"/>
  <c r="AC262" i="18"/>
  <c r="F263" i="18"/>
  <c r="G263" i="18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T263" i="18"/>
  <c r="U263" i="18"/>
  <c r="V263" i="18"/>
  <c r="W263" i="18"/>
  <c r="X263" i="18"/>
  <c r="Y263" i="18"/>
  <c r="Z263" i="18"/>
  <c r="AA263" i="18"/>
  <c r="AB263" i="18"/>
  <c r="AC263" i="18"/>
  <c r="F264" i="18"/>
  <c r="G264" i="18"/>
  <c r="H264" i="18"/>
  <c r="I264" i="18"/>
  <c r="J264" i="18"/>
  <c r="K264" i="18"/>
  <c r="L264" i="18"/>
  <c r="M264" i="18"/>
  <c r="N264" i="18"/>
  <c r="O264" i="18"/>
  <c r="P264" i="18"/>
  <c r="Q264" i="18"/>
  <c r="R264" i="18"/>
  <c r="S264" i="18"/>
  <c r="T264" i="18"/>
  <c r="U264" i="18"/>
  <c r="V264" i="18"/>
  <c r="W264" i="18"/>
  <c r="X264" i="18"/>
  <c r="Y264" i="18"/>
  <c r="Z264" i="18"/>
  <c r="AA264" i="18"/>
  <c r="AB264" i="18"/>
  <c r="AC264" i="18"/>
  <c r="F265" i="18"/>
  <c r="G265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AB265" i="18"/>
  <c r="AC265" i="18"/>
  <c r="F266" i="18"/>
  <c r="G266" i="18"/>
  <c r="H266" i="18"/>
  <c r="I266" i="18"/>
  <c r="J266" i="18"/>
  <c r="K266" i="18"/>
  <c r="L266" i="18"/>
  <c r="M266" i="18"/>
  <c r="N266" i="18"/>
  <c r="O266" i="18"/>
  <c r="P266" i="18"/>
  <c r="Q266" i="18"/>
  <c r="R266" i="18"/>
  <c r="S266" i="18"/>
  <c r="T266" i="18"/>
  <c r="U266" i="18"/>
  <c r="V266" i="18"/>
  <c r="W266" i="18"/>
  <c r="X266" i="18"/>
  <c r="Y266" i="18"/>
  <c r="Z266" i="18"/>
  <c r="AA266" i="18"/>
  <c r="AB266" i="18"/>
  <c r="AC266" i="18"/>
  <c r="F267" i="18"/>
  <c r="G267" i="18"/>
  <c r="H267" i="18"/>
  <c r="I267" i="18"/>
  <c r="J267" i="18"/>
  <c r="K267" i="18"/>
  <c r="L267" i="18"/>
  <c r="M267" i="18"/>
  <c r="N267" i="18"/>
  <c r="O267" i="18"/>
  <c r="P267" i="18"/>
  <c r="Q267" i="18"/>
  <c r="R267" i="18"/>
  <c r="S267" i="18"/>
  <c r="T267" i="18"/>
  <c r="U267" i="18"/>
  <c r="V267" i="18"/>
  <c r="W267" i="18"/>
  <c r="X267" i="18"/>
  <c r="Y267" i="18"/>
  <c r="Z267" i="18"/>
  <c r="AA267" i="18"/>
  <c r="AB267" i="18"/>
  <c r="AC267" i="18"/>
  <c r="F268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T268" i="18"/>
  <c r="U268" i="18"/>
  <c r="V268" i="18"/>
  <c r="W268" i="18"/>
  <c r="X268" i="18"/>
  <c r="Y268" i="18"/>
  <c r="Z268" i="18"/>
  <c r="AA268" i="18"/>
  <c r="AB268" i="18"/>
  <c r="AC268" i="18"/>
  <c r="F269" i="18"/>
  <c r="G269" i="18"/>
  <c r="H269" i="18"/>
  <c r="I269" i="18"/>
  <c r="J269" i="18"/>
  <c r="K269" i="18"/>
  <c r="L269" i="18"/>
  <c r="M269" i="18"/>
  <c r="N269" i="18"/>
  <c r="O269" i="18"/>
  <c r="P269" i="18"/>
  <c r="Q269" i="18"/>
  <c r="R269" i="18"/>
  <c r="S269" i="18"/>
  <c r="T269" i="18"/>
  <c r="U269" i="18"/>
  <c r="V269" i="18"/>
  <c r="W269" i="18"/>
  <c r="X269" i="18"/>
  <c r="Y269" i="18"/>
  <c r="Z269" i="18"/>
  <c r="AA269" i="18"/>
  <c r="AB269" i="18"/>
  <c r="AC269" i="18"/>
  <c r="F270" i="18"/>
  <c r="G270" i="18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T270" i="18"/>
  <c r="U270" i="18"/>
  <c r="V270" i="18"/>
  <c r="W270" i="18"/>
  <c r="X270" i="18"/>
  <c r="Y270" i="18"/>
  <c r="Z270" i="18"/>
  <c r="AA270" i="18"/>
  <c r="AB270" i="18"/>
  <c r="AC270" i="18"/>
  <c r="F271" i="18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T271" i="18"/>
  <c r="U271" i="18"/>
  <c r="V271" i="18"/>
  <c r="W271" i="18"/>
  <c r="X271" i="18"/>
  <c r="Y271" i="18"/>
  <c r="Z271" i="18"/>
  <c r="AA271" i="18"/>
  <c r="AB271" i="18"/>
  <c r="AC271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T273" i="18"/>
  <c r="U273" i="18"/>
  <c r="V273" i="18"/>
  <c r="W273" i="18"/>
  <c r="X273" i="18"/>
  <c r="Y273" i="18"/>
  <c r="Z273" i="18"/>
  <c r="AA273" i="18"/>
  <c r="AB273" i="18"/>
  <c r="AC273" i="18"/>
  <c r="F274" i="18"/>
  <c r="G274" i="18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T274" i="18"/>
  <c r="U274" i="18"/>
  <c r="V274" i="18"/>
  <c r="W274" i="18"/>
  <c r="X274" i="18"/>
  <c r="Y274" i="18"/>
  <c r="Z274" i="18"/>
  <c r="AA274" i="18"/>
  <c r="AB274" i="18"/>
  <c r="AC274" i="18"/>
  <c r="F275" i="18"/>
  <c r="G275" i="18"/>
  <c r="H275" i="18"/>
  <c r="I275" i="18"/>
  <c r="J275" i="18"/>
  <c r="K275" i="18"/>
  <c r="L275" i="18"/>
  <c r="M275" i="18"/>
  <c r="N275" i="18"/>
  <c r="O275" i="18"/>
  <c r="P275" i="18"/>
  <c r="Q275" i="18"/>
  <c r="R275" i="18"/>
  <c r="S275" i="18"/>
  <c r="T275" i="18"/>
  <c r="U275" i="18"/>
  <c r="V275" i="18"/>
  <c r="W275" i="18"/>
  <c r="X275" i="18"/>
  <c r="Y275" i="18"/>
  <c r="Z275" i="18"/>
  <c r="AA275" i="18"/>
  <c r="AB275" i="18"/>
  <c r="AC275" i="18"/>
  <c r="F276" i="18"/>
  <c r="G276" i="18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T276" i="18"/>
  <c r="U276" i="18"/>
  <c r="V276" i="18"/>
  <c r="W276" i="18"/>
  <c r="X276" i="18"/>
  <c r="Y276" i="18"/>
  <c r="Z276" i="18"/>
  <c r="AA276" i="18"/>
  <c r="AB276" i="18"/>
  <c r="AC276" i="18"/>
  <c r="F277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T277" i="18"/>
  <c r="U277" i="18"/>
  <c r="V277" i="18"/>
  <c r="W277" i="18"/>
  <c r="X277" i="18"/>
  <c r="Y277" i="18"/>
  <c r="Z277" i="18"/>
  <c r="AA277" i="18"/>
  <c r="AB277" i="18"/>
  <c r="AC277" i="18"/>
  <c r="F278" i="18"/>
  <c r="G278" i="18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T278" i="18"/>
  <c r="U278" i="18"/>
  <c r="V278" i="18"/>
  <c r="W278" i="18"/>
  <c r="X278" i="18"/>
  <c r="Y278" i="18"/>
  <c r="Z278" i="18"/>
  <c r="AA278" i="18"/>
  <c r="AB278" i="18"/>
  <c r="AC278" i="18"/>
  <c r="F279" i="18"/>
  <c r="G279" i="18"/>
  <c r="H279" i="18"/>
  <c r="I279" i="18"/>
  <c r="J279" i="18"/>
  <c r="K279" i="18"/>
  <c r="L279" i="18"/>
  <c r="M279" i="18"/>
  <c r="N279" i="18"/>
  <c r="O279" i="18"/>
  <c r="P279" i="18"/>
  <c r="Q279" i="18"/>
  <c r="R279" i="18"/>
  <c r="S279" i="18"/>
  <c r="T279" i="18"/>
  <c r="U279" i="18"/>
  <c r="V279" i="18"/>
  <c r="W279" i="18"/>
  <c r="X279" i="18"/>
  <c r="Y279" i="18"/>
  <c r="Z279" i="18"/>
  <c r="AA279" i="18"/>
  <c r="AB279" i="18"/>
  <c r="AC279" i="18"/>
  <c r="F280" i="18"/>
  <c r="G280" i="18"/>
  <c r="H280" i="18"/>
  <c r="I280" i="18"/>
  <c r="J280" i="18"/>
  <c r="K280" i="18"/>
  <c r="L280" i="18"/>
  <c r="M280" i="18"/>
  <c r="N280" i="18"/>
  <c r="O280" i="18"/>
  <c r="P280" i="18"/>
  <c r="Q280" i="18"/>
  <c r="R280" i="18"/>
  <c r="S280" i="18"/>
  <c r="T280" i="18"/>
  <c r="U280" i="18"/>
  <c r="V280" i="18"/>
  <c r="W280" i="18"/>
  <c r="X280" i="18"/>
  <c r="Y280" i="18"/>
  <c r="Z280" i="18"/>
  <c r="AA280" i="18"/>
  <c r="AB280" i="18"/>
  <c r="AC280" i="18"/>
  <c r="F281" i="18"/>
  <c r="G281" i="18"/>
  <c r="H281" i="18"/>
  <c r="I281" i="18"/>
  <c r="J281" i="18"/>
  <c r="K281" i="18"/>
  <c r="L281" i="18"/>
  <c r="M281" i="18"/>
  <c r="N281" i="18"/>
  <c r="O281" i="18"/>
  <c r="P281" i="18"/>
  <c r="Q281" i="18"/>
  <c r="R281" i="18"/>
  <c r="S281" i="18"/>
  <c r="T281" i="18"/>
  <c r="U281" i="18"/>
  <c r="V281" i="18"/>
  <c r="W281" i="18"/>
  <c r="X281" i="18"/>
  <c r="Y281" i="18"/>
  <c r="Z281" i="18"/>
  <c r="AA281" i="18"/>
  <c r="AB281" i="18"/>
  <c r="AC281" i="18"/>
  <c r="F282" i="18"/>
  <c r="G282" i="18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T282" i="18"/>
  <c r="U282" i="18"/>
  <c r="V282" i="18"/>
  <c r="W282" i="18"/>
  <c r="X282" i="18"/>
  <c r="Y282" i="18"/>
  <c r="Z282" i="18"/>
  <c r="AA282" i="18"/>
  <c r="AB282" i="18"/>
  <c r="AC282" i="18"/>
  <c r="F283" i="18"/>
  <c r="G283" i="18"/>
  <c r="H283" i="18"/>
  <c r="I283" i="18"/>
  <c r="J283" i="18"/>
  <c r="K283" i="18"/>
  <c r="L283" i="18"/>
  <c r="M283" i="18"/>
  <c r="N283" i="18"/>
  <c r="O283" i="18"/>
  <c r="P283" i="18"/>
  <c r="Q283" i="18"/>
  <c r="R283" i="18"/>
  <c r="S283" i="18"/>
  <c r="T283" i="18"/>
  <c r="U283" i="18"/>
  <c r="V283" i="18"/>
  <c r="W283" i="18"/>
  <c r="X283" i="18"/>
  <c r="Y283" i="18"/>
  <c r="Z283" i="18"/>
  <c r="AA283" i="18"/>
  <c r="AB283" i="18"/>
  <c r="AC283" i="18"/>
  <c r="F284" i="18"/>
  <c r="G284" i="18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T284" i="18"/>
  <c r="U284" i="18"/>
  <c r="V284" i="18"/>
  <c r="W284" i="18"/>
  <c r="X284" i="18"/>
  <c r="Y284" i="18"/>
  <c r="Z284" i="18"/>
  <c r="AA284" i="18"/>
  <c r="AB284" i="18"/>
  <c r="AC284" i="18"/>
  <c r="F285" i="18"/>
  <c r="G285" i="18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T285" i="18"/>
  <c r="U285" i="18"/>
  <c r="V285" i="18"/>
  <c r="W285" i="18"/>
  <c r="X285" i="18"/>
  <c r="Y285" i="18"/>
  <c r="Z285" i="18"/>
  <c r="AA285" i="18"/>
  <c r="AB285" i="18"/>
  <c r="AC285" i="18"/>
  <c r="F286" i="18"/>
  <c r="G286" i="18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T286" i="18"/>
  <c r="U286" i="18"/>
  <c r="V286" i="18"/>
  <c r="W286" i="18"/>
  <c r="X286" i="18"/>
  <c r="Y286" i="18"/>
  <c r="Z286" i="18"/>
  <c r="AA286" i="18"/>
  <c r="AB286" i="18"/>
  <c r="AC286" i="18"/>
  <c r="F287" i="18"/>
  <c r="G287" i="18"/>
  <c r="H287" i="18"/>
  <c r="I287" i="18"/>
  <c r="J287" i="18"/>
  <c r="K287" i="18"/>
  <c r="L287" i="18"/>
  <c r="M287" i="18"/>
  <c r="N287" i="18"/>
  <c r="O287" i="18"/>
  <c r="P287" i="18"/>
  <c r="Q287" i="18"/>
  <c r="R287" i="18"/>
  <c r="S287" i="18"/>
  <c r="T287" i="18"/>
  <c r="U287" i="18"/>
  <c r="V287" i="18"/>
  <c r="W287" i="18"/>
  <c r="X287" i="18"/>
  <c r="Y287" i="18"/>
  <c r="Z287" i="18"/>
  <c r="AA287" i="18"/>
  <c r="AB287" i="18"/>
  <c r="AC287" i="18"/>
  <c r="F288" i="18"/>
  <c r="G288" i="18"/>
  <c r="H288" i="18"/>
  <c r="I288" i="18"/>
  <c r="J288" i="18"/>
  <c r="K288" i="18"/>
  <c r="L288" i="18"/>
  <c r="M288" i="18"/>
  <c r="N288" i="18"/>
  <c r="O288" i="18"/>
  <c r="P288" i="18"/>
  <c r="Q288" i="18"/>
  <c r="R288" i="18"/>
  <c r="S288" i="18"/>
  <c r="T288" i="18"/>
  <c r="U288" i="18"/>
  <c r="V288" i="18"/>
  <c r="W288" i="18"/>
  <c r="X288" i="18"/>
  <c r="Y288" i="18"/>
  <c r="Z288" i="18"/>
  <c r="AA288" i="18"/>
  <c r="AB288" i="18"/>
  <c r="AC288" i="18"/>
  <c r="F289" i="18"/>
  <c r="G289" i="18"/>
  <c r="H289" i="18"/>
  <c r="I289" i="18"/>
  <c r="J289" i="18"/>
  <c r="K289" i="18"/>
  <c r="L289" i="18"/>
  <c r="M289" i="18"/>
  <c r="N289" i="18"/>
  <c r="O289" i="18"/>
  <c r="P289" i="18"/>
  <c r="Q289" i="18"/>
  <c r="R289" i="18"/>
  <c r="S289" i="18"/>
  <c r="T289" i="18"/>
  <c r="U289" i="18"/>
  <c r="V289" i="18"/>
  <c r="W289" i="18"/>
  <c r="X289" i="18"/>
  <c r="Y289" i="18"/>
  <c r="Z289" i="18"/>
  <c r="AA289" i="18"/>
  <c r="AB289" i="18"/>
  <c r="AC289" i="18"/>
  <c r="F290" i="18"/>
  <c r="G290" i="18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T290" i="18"/>
  <c r="U290" i="18"/>
  <c r="V290" i="18"/>
  <c r="W290" i="18"/>
  <c r="X290" i="18"/>
  <c r="Y290" i="18"/>
  <c r="Z290" i="18"/>
  <c r="AA290" i="18"/>
  <c r="AB290" i="18"/>
  <c r="AC290" i="18"/>
  <c r="F291" i="18"/>
  <c r="G291" i="18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T291" i="18"/>
  <c r="U291" i="18"/>
  <c r="V291" i="18"/>
  <c r="W291" i="18"/>
  <c r="X291" i="18"/>
  <c r="Y291" i="18"/>
  <c r="Z291" i="18"/>
  <c r="AA291" i="18"/>
  <c r="AB291" i="18"/>
  <c r="AC291" i="18"/>
  <c r="F292" i="18"/>
  <c r="G292" i="18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T292" i="18"/>
  <c r="U292" i="18"/>
  <c r="V292" i="18"/>
  <c r="W292" i="18"/>
  <c r="X292" i="18"/>
  <c r="Y292" i="18"/>
  <c r="Z292" i="18"/>
  <c r="AA292" i="18"/>
  <c r="AB292" i="18"/>
  <c r="AC292" i="18"/>
  <c r="F293" i="18"/>
  <c r="G293" i="18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T293" i="18"/>
  <c r="U293" i="18"/>
  <c r="V293" i="18"/>
  <c r="W293" i="18"/>
  <c r="X293" i="18"/>
  <c r="Y293" i="18"/>
  <c r="Z293" i="18"/>
  <c r="AA293" i="18"/>
  <c r="AB293" i="18"/>
  <c r="AC293" i="18"/>
  <c r="F294" i="18"/>
  <c r="G294" i="18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T294" i="18"/>
  <c r="U294" i="18"/>
  <c r="V294" i="18"/>
  <c r="W294" i="18"/>
  <c r="X294" i="18"/>
  <c r="Y294" i="18"/>
  <c r="Z294" i="18"/>
  <c r="AA294" i="18"/>
  <c r="AB294" i="18"/>
  <c r="AC294" i="18"/>
  <c r="F295" i="18"/>
  <c r="G295" i="18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T295" i="18"/>
  <c r="U295" i="18"/>
  <c r="V295" i="18"/>
  <c r="W295" i="18"/>
  <c r="X295" i="18"/>
  <c r="Y295" i="18"/>
  <c r="Z295" i="18"/>
  <c r="AA295" i="18"/>
  <c r="AB295" i="18"/>
  <c r="AC295" i="18"/>
  <c r="F296" i="18"/>
  <c r="G296" i="18"/>
  <c r="H296" i="18"/>
  <c r="I296" i="18"/>
  <c r="J296" i="18"/>
  <c r="K296" i="18"/>
  <c r="L296" i="18"/>
  <c r="M296" i="18"/>
  <c r="N296" i="18"/>
  <c r="O296" i="18"/>
  <c r="P296" i="18"/>
  <c r="Q296" i="18"/>
  <c r="R296" i="18"/>
  <c r="S296" i="18"/>
  <c r="T296" i="18"/>
  <c r="U296" i="18"/>
  <c r="V296" i="18"/>
  <c r="W296" i="18"/>
  <c r="X296" i="18"/>
  <c r="Y296" i="18"/>
  <c r="Z296" i="18"/>
  <c r="AA296" i="18"/>
  <c r="AB296" i="18"/>
  <c r="AC296" i="18"/>
  <c r="F297" i="18"/>
  <c r="G297" i="18"/>
  <c r="H297" i="18"/>
  <c r="I297" i="18"/>
  <c r="J297" i="18"/>
  <c r="K297" i="18"/>
  <c r="L297" i="18"/>
  <c r="M297" i="18"/>
  <c r="N297" i="18"/>
  <c r="O297" i="18"/>
  <c r="P297" i="18"/>
  <c r="Q297" i="18"/>
  <c r="R297" i="18"/>
  <c r="S297" i="18"/>
  <c r="T297" i="18"/>
  <c r="U297" i="18"/>
  <c r="V297" i="18"/>
  <c r="W297" i="18"/>
  <c r="X297" i="18"/>
  <c r="Y297" i="18"/>
  <c r="Z297" i="18"/>
  <c r="AA297" i="18"/>
  <c r="AB297" i="18"/>
  <c r="AC297" i="18"/>
  <c r="F298" i="18"/>
  <c r="G298" i="18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T298" i="18"/>
  <c r="U298" i="18"/>
  <c r="V298" i="18"/>
  <c r="W298" i="18"/>
  <c r="X298" i="18"/>
  <c r="Y298" i="18"/>
  <c r="Z298" i="18"/>
  <c r="AA298" i="18"/>
  <c r="AB298" i="18"/>
  <c r="AC298" i="18"/>
  <c r="F299" i="18"/>
  <c r="G299" i="18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T299" i="18"/>
  <c r="U299" i="18"/>
  <c r="V299" i="18"/>
  <c r="W299" i="18"/>
  <c r="X299" i="18"/>
  <c r="Y299" i="18"/>
  <c r="Z299" i="18"/>
  <c r="AA299" i="18"/>
  <c r="AB299" i="18"/>
  <c r="AC299" i="18"/>
  <c r="F300" i="18"/>
  <c r="G300" i="18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T300" i="18"/>
  <c r="U300" i="18"/>
  <c r="V300" i="18"/>
  <c r="W300" i="18"/>
  <c r="X300" i="18"/>
  <c r="Y300" i="18"/>
  <c r="Z300" i="18"/>
  <c r="AA300" i="18"/>
  <c r="AB300" i="18"/>
  <c r="AC300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T301" i="18"/>
  <c r="U301" i="18"/>
  <c r="V301" i="18"/>
  <c r="W301" i="18"/>
  <c r="X301" i="18"/>
  <c r="Y301" i="18"/>
  <c r="Z301" i="18"/>
  <c r="AA301" i="18"/>
  <c r="AB301" i="18"/>
  <c r="AC301" i="18"/>
  <c r="F302" i="18"/>
  <c r="G302" i="18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T302" i="18"/>
  <c r="U302" i="18"/>
  <c r="V302" i="18"/>
  <c r="W302" i="18"/>
  <c r="X302" i="18"/>
  <c r="Y302" i="18"/>
  <c r="Z302" i="18"/>
  <c r="AA302" i="18"/>
  <c r="AB302" i="18"/>
  <c r="AC302" i="18"/>
  <c r="F303" i="18"/>
  <c r="G303" i="18"/>
  <c r="H303" i="18"/>
  <c r="I303" i="18"/>
  <c r="J303" i="18"/>
  <c r="K303" i="18"/>
  <c r="L303" i="18"/>
  <c r="M303" i="18"/>
  <c r="N303" i="18"/>
  <c r="O303" i="18"/>
  <c r="P303" i="18"/>
  <c r="Q303" i="18"/>
  <c r="R303" i="18"/>
  <c r="S303" i="18"/>
  <c r="T303" i="18"/>
  <c r="U303" i="18"/>
  <c r="V303" i="18"/>
  <c r="W303" i="18"/>
  <c r="X303" i="18"/>
  <c r="Y303" i="18"/>
  <c r="Z303" i="18"/>
  <c r="AA303" i="18"/>
  <c r="AB303" i="18"/>
  <c r="AC303" i="18"/>
  <c r="F304" i="18"/>
  <c r="G304" i="18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T304" i="18"/>
  <c r="U304" i="18"/>
  <c r="V304" i="18"/>
  <c r="W304" i="18"/>
  <c r="X304" i="18"/>
  <c r="Y304" i="18"/>
  <c r="Z304" i="18"/>
  <c r="AA304" i="18"/>
  <c r="AB304" i="18"/>
  <c r="AC304" i="18"/>
  <c r="F305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AB305" i="18"/>
  <c r="AC305" i="18"/>
  <c r="F306" i="18"/>
  <c r="G306" i="18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T306" i="18"/>
  <c r="U306" i="18"/>
  <c r="V306" i="18"/>
  <c r="W306" i="18"/>
  <c r="X306" i="18"/>
  <c r="Y306" i="18"/>
  <c r="Z306" i="18"/>
  <c r="AA306" i="18"/>
  <c r="AB306" i="18"/>
  <c r="AC306" i="18"/>
  <c r="F307" i="18"/>
  <c r="G307" i="18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T307" i="18"/>
  <c r="U307" i="18"/>
  <c r="V307" i="18"/>
  <c r="W307" i="18"/>
  <c r="X307" i="18"/>
  <c r="Y307" i="18"/>
  <c r="Z307" i="18"/>
  <c r="AA307" i="18"/>
  <c r="AB307" i="18"/>
  <c r="AC307" i="18"/>
  <c r="F308" i="18"/>
  <c r="G308" i="18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T308" i="18"/>
  <c r="U308" i="18"/>
  <c r="V308" i="18"/>
  <c r="W308" i="18"/>
  <c r="X308" i="18"/>
  <c r="Y308" i="18"/>
  <c r="Z308" i="18"/>
  <c r="AA308" i="18"/>
  <c r="AB308" i="18"/>
  <c r="AC308" i="18"/>
  <c r="F309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T309" i="18"/>
  <c r="U309" i="18"/>
  <c r="V309" i="18"/>
  <c r="W309" i="18"/>
  <c r="X309" i="18"/>
  <c r="Y309" i="18"/>
  <c r="Z309" i="18"/>
  <c r="AA309" i="18"/>
  <c r="AB309" i="18"/>
  <c r="AC309" i="18"/>
  <c r="F310" i="18"/>
  <c r="G310" i="18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T310" i="18"/>
  <c r="U310" i="18"/>
  <c r="V310" i="18"/>
  <c r="W310" i="18"/>
  <c r="X310" i="18"/>
  <c r="Y310" i="18"/>
  <c r="Z310" i="18"/>
  <c r="AA310" i="18"/>
  <c r="AB310" i="18"/>
  <c r="AC310" i="18"/>
  <c r="F311" i="18"/>
  <c r="G311" i="18"/>
  <c r="H311" i="18"/>
  <c r="I311" i="18"/>
  <c r="J311" i="18"/>
  <c r="K311" i="18"/>
  <c r="L311" i="18"/>
  <c r="M311" i="18"/>
  <c r="N311" i="18"/>
  <c r="O311" i="18"/>
  <c r="P311" i="18"/>
  <c r="Q311" i="18"/>
  <c r="R311" i="18"/>
  <c r="S311" i="18"/>
  <c r="T311" i="18"/>
  <c r="U311" i="18"/>
  <c r="V311" i="18"/>
  <c r="W311" i="18"/>
  <c r="X311" i="18"/>
  <c r="Y311" i="18"/>
  <c r="Z311" i="18"/>
  <c r="AA311" i="18"/>
  <c r="AB311" i="18"/>
  <c r="AC311" i="18"/>
  <c r="F312" i="18"/>
  <c r="G312" i="18"/>
  <c r="H312" i="18"/>
  <c r="I312" i="18"/>
  <c r="J312" i="18"/>
  <c r="K312" i="18"/>
  <c r="L312" i="18"/>
  <c r="M312" i="18"/>
  <c r="N312" i="18"/>
  <c r="O312" i="18"/>
  <c r="P312" i="18"/>
  <c r="Q312" i="18"/>
  <c r="R312" i="18"/>
  <c r="S312" i="18"/>
  <c r="T312" i="18"/>
  <c r="U312" i="18"/>
  <c r="V312" i="18"/>
  <c r="W312" i="18"/>
  <c r="X312" i="18"/>
  <c r="Y312" i="18"/>
  <c r="Z312" i="18"/>
  <c r="AA312" i="18"/>
  <c r="AB312" i="18"/>
  <c r="AC312" i="18"/>
  <c r="F313" i="18"/>
  <c r="G313" i="18"/>
  <c r="H313" i="18"/>
  <c r="I313" i="18"/>
  <c r="J313" i="18"/>
  <c r="K313" i="18"/>
  <c r="L313" i="18"/>
  <c r="M313" i="18"/>
  <c r="N313" i="18"/>
  <c r="O313" i="18"/>
  <c r="P313" i="18"/>
  <c r="Q313" i="18"/>
  <c r="R313" i="18"/>
  <c r="S313" i="18"/>
  <c r="T313" i="18"/>
  <c r="U313" i="18"/>
  <c r="V313" i="18"/>
  <c r="W313" i="18"/>
  <c r="X313" i="18"/>
  <c r="Y313" i="18"/>
  <c r="Z313" i="18"/>
  <c r="AA313" i="18"/>
  <c r="AB313" i="18"/>
  <c r="AC313" i="18"/>
  <c r="F314" i="18"/>
  <c r="G314" i="18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T314" i="18"/>
  <c r="U314" i="18"/>
  <c r="V314" i="18"/>
  <c r="W314" i="18"/>
  <c r="X314" i="18"/>
  <c r="Y314" i="18"/>
  <c r="Z314" i="18"/>
  <c r="AA314" i="18"/>
  <c r="AB314" i="18"/>
  <c r="AC314" i="18"/>
  <c r="F315" i="18"/>
  <c r="G315" i="18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T315" i="18"/>
  <c r="U315" i="18"/>
  <c r="V315" i="18"/>
  <c r="W315" i="18"/>
  <c r="X315" i="18"/>
  <c r="Y315" i="18"/>
  <c r="Z315" i="18"/>
  <c r="AA315" i="18"/>
  <c r="AB315" i="18"/>
  <c r="AC315" i="18"/>
  <c r="F316" i="18"/>
  <c r="G316" i="18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T316" i="18"/>
  <c r="U316" i="18"/>
  <c r="V316" i="18"/>
  <c r="W316" i="18"/>
  <c r="X316" i="18"/>
  <c r="Y316" i="18"/>
  <c r="Z316" i="18"/>
  <c r="AA316" i="18"/>
  <c r="AB316" i="18"/>
  <c r="AC316" i="18"/>
  <c r="F317" i="18"/>
  <c r="G317" i="18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T317" i="18"/>
  <c r="U317" i="18"/>
  <c r="V317" i="18"/>
  <c r="W317" i="18"/>
  <c r="X317" i="18"/>
  <c r="Y317" i="18"/>
  <c r="Z317" i="18"/>
  <c r="AA317" i="18"/>
  <c r="AB317" i="18"/>
  <c r="AC317" i="18"/>
  <c r="F318" i="18"/>
  <c r="G318" i="18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T318" i="18"/>
  <c r="U318" i="18"/>
  <c r="V318" i="18"/>
  <c r="W318" i="18"/>
  <c r="X318" i="18"/>
  <c r="Y318" i="18"/>
  <c r="Z318" i="18"/>
  <c r="AA318" i="18"/>
  <c r="AB318" i="18"/>
  <c r="AC318" i="18"/>
  <c r="F319" i="18"/>
  <c r="G319" i="18"/>
  <c r="H319" i="18"/>
  <c r="I319" i="18"/>
  <c r="J319" i="18"/>
  <c r="K319" i="18"/>
  <c r="L319" i="18"/>
  <c r="M319" i="18"/>
  <c r="N319" i="18"/>
  <c r="O319" i="18"/>
  <c r="P319" i="18"/>
  <c r="Q319" i="18"/>
  <c r="R319" i="18"/>
  <c r="S319" i="18"/>
  <c r="T319" i="18"/>
  <c r="U319" i="18"/>
  <c r="V319" i="18"/>
  <c r="W319" i="18"/>
  <c r="X319" i="18"/>
  <c r="Y319" i="18"/>
  <c r="Z319" i="18"/>
  <c r="AA319" i="18"/>
  <c r="AB319" i="18"/>
  <c r="AC319" i="18"/>
  <c r="F320" i="18"/>
  <c r="G320" i="18"/>
  <c r="H320" i="18"/>
  <c r="I320" i="18"/>
  <c r="J320" i="18"/>
  <c r="K320" i="18"/>
  <c r="L320" i="18"/>
  <c r="M320" i="18"/>
  <c r="N320" i="18"/>
  <c r="O320" i="18"/>
  <c r="P320" i="18"/>
  <c r="Q320" i="18"/>
  <c r="R320" i="18"/>
  <c r="S320" i="18"/>
  <c r="T320" i="18"/>
  <c r="U320" i="18"/>
  <c r="V320" i="18"/>
  <c r="W320" i="18"/>
  <c r="X320" i="18"/>
  <c r="Y320" i="18"/>
  <c r="Z320" i="18"/>
  <c r="AA320" i="18"/>
  <c r="AB320" i="18"/>
  <c r="AC320" i="18"/>
  <c r="F321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T321" i="18"/>
  <c r="U321" i="18"/>
  <c r="V321" i="18"/>
  <c r="W321" i="18"/>
  <c r="X321" i="18"/>
  <c r="Y321" i="18"/>
  <c r="Z321" i="18"/>
  <c r="AA321" i="18"/>
  <c r="AB321" i="18"/>
  <c r="AC321" i="18"/>
  <c r="F322" i="18"/>
  <c r="G322" i="18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T322" i="18"/>
  <c r="U322" i="18"/>
  <c r="V322" i="18"/>
  <c r="W322" i="18"/>
  <c r="X322" i="18"/>
  <c r="Y322" i="18"/>
  <c r="Z322" i="18"/>
  <c r="AA322" i="18"/>
  <c r="AB322" i="18"/>
  <c r="AC322" i="18"/>
  <c r="F323" i="18"/>
  <c r="G323" i="18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T323" i="18"/>
  <c r="U323" i="18"/>
  <c r="V323" i="18"/>
  <c r="W323" i="18"/>
  <c r="X323" i="18"/>
  <c r="Y323" i="18"/>
  <c r="Z323" i="18"/>
  <c r="AA323" i="18"/>
  <c r="AB323" i="18"/>
  <c r="AC323" i="18"/>
  <c r="F324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AB324" i="18"/>
  <c r="AC324" i="18"/>
  <c r="F325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T325" i="18"/>
  <c r="U325" i="18"/>
  <c r="V325" i="18"/>
  <c r="W325" i="18"/>
  <c r="X325" i="18"/>
  <c r="Y325" i="18"/>
  <c r="Z325" i="18"/>
  <c r="AA325" i="18"/>
  <c r="AB325" i="18"/>
  <c r="AC325" i="18"/>
  <c r="F326" i="18"/>
  <c r="G326" i="18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T326" i="18"/>
  <c r="U326" i="18"/>
  <c r="V326" i="18"/>
  <c r="W326" i="18"/>
  <c r="X326" i="18"/>
  <c r="Y326" i="18"/>
  <c r="Z326" i="18"/>
  <c r="AA326" i="18"/>
  <c r="AB326" i="18"/>
  <c r="AC326" i="18"/>
  <c r="F327" i="18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T327" i="18"/>
  <c r="U327" i="18"/>
  <c r="V327" i="18"/>
  <c r="W327" i="18"/>
  <c r="X327" i="18"/>
  <c r="Y327" i="18"/>
  <c r="Z327" i="18"/>
  <c r="AA327" i="18"/>
  <c r="AB327" i="18"/>
  <c r="AC327" i="18"/>
  <c r="F328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T328" i="18"/>
  <c r="U328" i="18"/>
  <c r="V328" i="18"/>
  <c r="W328" i="18"/>
  <c r="X328" i="18"/>
  <c r="Y328" i="18"/>
  <c r="Z328" i="18"/>
  <c r="AA328" i="18"/>
  <c r="AB328" i="18"/>
  <c r="AC328" i="18"/>
  <c r="F329" i="18"/>
  <c r="G329" i="18"/>
  <c r="H329" i="18"/>
  <c r="I329" i="18"/>
  <c r="J329" i="18"/>
  <c r="K329" i="18"/>
  <c r="L329" i="18"/>
  <c r="M329" i="18"/>
  <c r="N329" i="18"/>
  <c r="O329" i="18"/>
  <c r="P329" i="18"/>
  <c r="Q329" i="18"/>
  <c r="R329" i="18"/>
  <c r="S329" i="18"/>
  <c r="T329" i="18"/>
  <c r="U329" i="18"/>
  <c r="V329" i="18"/>
  <c r="W329" i="18"/>
  <c r="X329" i="18"/>
  <c r="Y329" i="18"/>
  <c r="Z329" i="18"/>
  <c r="AA329" i="18"/>
  <c r="AB329" i="18"/>
  <c r="AC329" i="18"/>
  <c r="F330" i="18"/>
  <c r="G330" i="18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T330" i="18"/>
  <c r="U330" i="18"/>
  <c r="V330" i="18"/>
  <c r="W330" i="18"/>
  <c r="X330" i="18"/>
  <c r="Y330" i="18"/>
  <c r="Z330" i="18"/>
  <c r="AA330" i="18"/>
  <c r="AB330" i="18"/>
  <c r="AC330" i="18"/>
  <c r="F331" i="18"/>
  <c r="G331" i="18"/>
  <c r="H331" i="18"/>
  <c r="I331" i="18"/>
  <c r="J331" i="18"/>
  <c r="K331" i="18"/>
  <c r="L331" i="18"/>
  <c r="M331" i="18"/>
  <c r="N331" i="18"/>
  <c r="O331" i="18"/>
  <c r="P331" i="18"/>
  <c r="Q331" i="18"/>
  <c r="R331" i="18"/>
  <c r="S331" i="18"/>
  <c r="T331" i="18"/>
  <c r="U331" i="18"/>
  <c r="V331" i="18"/>
  <c r="W331" i="18"/>
  <c r="X331" i="18"/>
  <c r="Y331" i="18"/>
  <c r="Z331" i="18"/>
  <c r="AA331" i="18"/>
  <c r="AB331" i="18"/>
  <c r="AC331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T332" i="18"/>
  <c r="U332" i="18"/>
  <c r="V332" i="18"/>
  <c r="W332" i="18"/>
  <c r="X332" i="18"/>
  <c r="Y332" i="18"/>
  <c r="Z332" i="18"/>
  <c r="AA332" i="18"/>
  <c r="AB332" i="18"/>
  <c r="AC332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T333" i="18"/>
  <c r="U333" i="18"/>
  <c r="V333" i="18"/>
  <c r="W333" i="18"/>
  <c r="X333" i="18"/>
  <c r="Y333" i="18"/>
  <c r="Z333" i="18"/>
  <c r="AA333" i="18"/>
  <c r="AB333" i="18"/>
  <c r="AC333" i="18"/>
  <c r="F334" i="18"/>
  <c r="G334" i="18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T334" i="18"/>
  <c r="U334" i="18"/>
  <c r="V334" i="18"/>
  <c r="W334" i="18"/>
  <c r="X334" i="18"/>
  <c r="Y334" i="18"/>
  <c r="Z334" i="18"/>
  <c r="AA334" i="18"/>
  <c r="AB334" i="18"/>
  <c r="AC334" i="18"/>
  <c r="F335" i="18"/>
  <c r="G335" i="18"/>
  <c r="H335" i="18"/>
  <c r="I335" i="18"/>
  <c r="J335" i="18"/>
  <c r="K335" i="18"/>
  <c r="L335" i="18"/>
  <c r="M335" i="18"/>
  <c r="N335" i="18"/>
  <c r="O335" i="18"/>
  <c r="P335" i="18"/>
  <c r="Q335" i="18"/>
  <c r="R335" i="18"/>
  <c r="S335" i="18"/>
  <c r="T335" i="18"/>
  <c r="U335" i="18"/>
  <c r="V335" i="18"/>
  <c r="W335" i="18"/>
  <c r="X335" i="18"/>
  <c r="Y335" i="18"/>
  <c r="Z335" i="18"/>
  <c r="AA335" i="18"/>
  <c r="AB335" i="18"/>
  <c r="AC335" i="18"/>
  <c r="F336" i="18"/>
  <c r="G336" i="18"/>
  <c r="H336" i="18"/>
  <c r="I336" i="18"/>
  <c r="J336" i="18"/>
  <c r="K336" i="18"/>
  <c r="L336" i="18"/>
  <c r="M336" i="18"/>
  <c r="N336" i="18"/>
  <c r="O336" i="18"/>
  <c r="P336" i="18"/>
  <c r="Q336" i="18"/>
  <c r="R336" i="18"/>
  <c r="S336" i="18"/>
  <c r="T336" i="18"/>
  <c r="U336" i="18"/>
  <c r="V336" i="18"/>
  <c r="W336" i="18"/>
  <c r="X336" i="18"/>
  <c r="Y336" i="18"/>
  <c r="Z336" i="18"/>
  <c r="AA336" i="18"/>
  <c r="AB336" i="18"/>
  <c r="AC336" i="18"/>
  <c r="F337" i="18"/>
  <c r="G337" i="18"/>
  <c r="H337" i="18"/>
  <c r="I337" i="18"/>
  <c r="J337" i="18"/>
  <c r="K337" i="18"/>
  <c r="L337" i="18"/>
  <c r="M337" i="18"/>
  <c r="N337" i="18"/>
  <c r="O337" i="18"/>
  <c r="P337" i="18"/>
  <c r="Q337" i="18"/>
  <c r="R337" i="18"/>
  <c r="S337" i="18"/>
  <c r="T337" i="18"/>
  <c r="U337" i="18"/>
  <c r="V337" i="18"/>
  <c r="W337" i="18"/>
  <c r="X337" i="18"/>
  <c r="Y337" i="18"/>
  <c r="Z337" i="18"/>
  <c r="AA337" i="18"/>
  <c r="AB337" i="18"/>
  <c r="AC337" i="18"/>
  <c r="F338" i="18"/>
  <c r="G338" i="18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T338" i="18"/>
  <c r="U338" i="18"/>
  <c r="V338" i="18"/>
  <c r="W338" i="18"/>
  <c r="X338" i="18"/>
  <c r="Y338" i="18"/>
  <c r="Z338" i="18"/>
  <c r="AA338" i="18"/>
  <c r="AB338" i="18"/>
  <c r="AC338" i="18"/>
  <c r="F339" i="18"/>
  <c r="G339" i="18"/>
  <c r="H339" i="18"/>
  <c r="I339" i="18"/>
  <c r="J339" i="18"/>
  <c r="K339" i="18"/>
  <c r="L339" i="18"/>
  <c r="M339" i="18"/>
  <c r="N339" i="18"/>
  <c r="O339" i="18"/>
  <c r="P339" i="18"/>
  <c r="Q339" i="18"/>
  <c r="R339" i="18"/>
  <c r="S339" i="18"/>
  <c r="T339" i="18"/>
  <c r="U339" i="18"/>
  <c r="V339" i="18"/>
  <c r="W339" i="18"/>
  <c r="X339" i="18"/>
  <c r="Y339" i="18"/>
  <c r="Z339" i="18"/>
  <c r="AA339" i="18"/>
  <c r="AB339" i="18"/>
  <c r="AC339" i="18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T340" i="18"/>
  <c r="U340" i="18"/>
  <c r="V340" i="18"/>
  <c r="W340" i="18"/>
  <c r="X340" i="18"/>
  <c r="Y340" i="18"/>
  <c r="Z340" i="18"/>
  <c r="AA340" i="18"/>
  <c r="AB340" i="18"/>
  <c r="AC340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T341" i="18"/>
  <c r="U341" i="18"/>
  <c r="V341" i="18"/>
  <c r="W341" i="18"/>
  <c r="X341" i="18"/>
  <c r="Y341" i="18"/>
  <c r="Z341" i="18"/>
  <c r="AA341" i="18"/>
  <c r="AB341" i="18"/>
  <c r="AC341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T342" i="18"/>
  <c r="U342" i="18"/>
  <c r="V342" i="18"/>
  <c r="W342" i="18"/>
  <c r="X342" i="18"/>
  <c r="Y342" i="18"/>
  <c r="Z342" i="18"/>
  <c r="AA342" i="18"/>
  <c r="AB342" i="18"/>
  <c r="AC342" i="18"/>
  <c r="F343" i="18"/>
  <c r="G343" i="18"/>
  <c r="H343" i="18"/>
  <c r="I343" i="18"/>
  <c r="J343" i="18"/>
  <c r="K343" i="18"/>
  <c r="L343" i="18"/>
  <c r="M343" i="18"/>
  <c r="N343" i="18"/>
  <c r="O343" i="18"/>
  <c r="P343" i="18"/>
  <c r="Q343" i="18"/>
  <c r="R343" i="18"/>
  <c r="S343" i="18"/>
  <c r="T343" i="18"/>
  <c r="U343" i="18"/>
  <c r="V343" i="18"/>
  <c r="W343" i="18"/>
  <c r="X343" i="18"/>
  <c r="Y343" i="18"/>
  <c r="Z343" i="18"/>
  <c r="AA343" i="18"/>
  <c r="AB343" i="18"/>
  <c r="AC343" i="18"/>
  <c r="F344" i="18"/>
  <c r="G344" i="18"/>
  <c r="H344" i="18"/>
  <c r="I344" i="18"/>
  <c r="J344" i="18"/>
  <c r="K344" i="18"/>
  <c r="L344" i="18"/>
  <c r="M344" i="18"/>
  <c r="N344" i="18"/>
  <c r="O344" i="18"/>
  <c r="P344" i="18"/>
  <c r="Q344" i="18"/>
  <c r="R344" i="18"/>
  <c r="S344" i="18"/>
  <c r="T344" i="18"/>
  <c r="U344" i="18"/>
  <c r="V344" i="18"/>
  <c r="W344" i="18"/>
  <c r="X344" i="18"/>
  <c r="Y344" i="18"/>
  <c r="Z344" i="18"/>
  <c r="AA344" i="18"/>
  <c r="AB344" i="18"/>
  <c r="AC344" i="18"/>
  <c r="F345" i="18"/>
  <c r="G345" i="18"/>
  <c r="H345" i="18"/>
  <c r="I345" i="18"/>
  <c r="J345" i="18"/>
  <c r="K345" i="18"/>
  <c r="L345" i="18"/>
  <c r="M345" i="18"/>
  <c r="N345" i="18"/>
  <c r="O345" i="18"/>
  <c r="P345" i="18"/>
  <c r="Q345" i="18"/>
  <c r="R345" i="18"/>
  <c r="S345" i="18"/>
  <c r="T345" i="18"/>
  <c r="U345" i="18"/>
  <c r="V345" i="18"/>
  <c r="W345" i="18"/>
  <c r="X345" i="18"/>
  <c r="Y345" i="18"/>
  <c r="Z345" i="18"/>
  <c r="AA345" i="18"/>
  <c r="AB345" i="18"/>
  <c r="AC345" i="18"/>
  <c r="F346" i="18"/>
  <c r="G346" i="18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T346" i="18"/>
  <c r="U346" i="18"/>
  <c r="V346" i="18"/>
  <c r="W346" i="18"/>
  <c r="X346" i="18"/>
  <c r="Y346" i="18"/>
  <c r="Z346" i="18"/>
  <c r="AA346" i="18"/>
  <c r="AB346" i="18"/>
  <c r="AC346" i="18"/>
  <c r="F347" i="18"/>
  <c r="G347" i="18"/>
  <c r="H347" i="18"/>
  <c r="I347" i="18"/>
  <c r="J347" i="18"/>
  <c r="K347" i="18"/>
  <c r="L347" i="18"/>
  <c r="M347" i="18"/>
  <c r="N347" i="18"/>
  <c r="O347" i="18"/>
  <c r="P347" i="18"/>
  <c r="Q347" i="18"/>
  <c r="R347" i="18"/>
  <c r="S347" i="18"/>
  <c r="T347" i="18"/>
  <c r="U347" i="18"/>
  <c r="V347" i="18"/>
  <c r="W347" i="18"/>
  <c r="X347" i="18"/>
  <c r="Y347" i="18"/>
  <c r="Z347" i="18"/>
  <c r="AA347" i="18"/>
  <c r="AB347" i="18"/>
  <c r="AC347" i="18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T348" i="18"/>
  <c r="U348" i="18"/>
  <c r="V348" i="18"/>
  <c r="W348" i="18"/>
  <c r="X348" i="18"/>
  <c r="Y348" i="18"/>
  <c r="Z348" i="18"/>
  <c r="AA348" i="18"/>
  <c r="AB348" i="18"/>
  <c r="AC348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T349" i="18"/>
  <c r="U349" i="18"/>
  <c r="V349" i="18"/>
  <c r="W349" i="18"/>
  <c r="X349" i="18"/>
  <c r="Y349" i="18"/>
  <c r="Z349" i="18"/>
  <c r="AA349" i="18"/>
  <c r="AB349" i="18"/>
  <c r="AC349" i="18"/>
  <c r="F350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T350" i="18"/>
  <c r="U350" i="18"/>
  <c r="V350" i="18"/>
  <c r="W350" i="18"/>
  <c r="X350" i="18"/>
  <c r="Y350" i="18"/>
  <c r="Z350" i="18"/>
  <c r="AA350" i="18"/>
  <c r="AB350" i="18"/>
  <c r="AC350" i="18"/>
  <c r="F351" i="18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T351" i="18"/>
  <c r="U351" i="18"/>
  <c r="V351" i="18"/>
  <c r="W351" i="18"/>
  <c r="X351" i="18"/>
  <c r="Y351" i="18"/>
  <c r="Z351" i="18"/>
  <c r="AA351" i="18"/>
  <c r="AB351" i="18"/>
  <c r="AC351" i="18"/>
  <c r="F352" i="18"/>
  <c r="G352" i="18"/>
  <c r="H352" i="18"/>
  <c r="I352" i="18"/>
  <c r="J352" i="18"/>
  <c r="K352" i="18"/>
  <c r="L352" i="18"/>
  <c r="M352" i="18"/>
  <c r="N352" i="18"/>
  <c r="O352" i="18"/>
  <c r="P352" i="18"/>
  <c r="Q352" i="18"/>
  <c r="R352" i="18"/>
  <c r="S352" i="18"/>
  <c r="T352" i="18"/>
  <c r="U352" i="18"/>
  <c r="V352" i="18"/>
  <c r="W352" i="18"/>
  <c r="X352" i="18"/>
  <c r="Y352" i="18"/>
  <c r="Z352" i="18"/>
  <c r="AA352" i="18"/>
  <c r="AB352" i="18"/>
  <c r="AC352" i="18"/>
  <c r="F353" i="18"/>
  <c r="G353" i="18"/>
  <c r="H353" i="18"/>
  <c r="I353" i="18"/>
  <c r="J353" i="18"/>
  <c r="K353" i="18"/>
  <c r="L353" i="18"/>
  <c r="M353" i="18"/>
  <c r="N353" i="18"/>
  <c r="O353" i="18"/>
  <c r="P353" i="18"/>
  <c r="Q353" i="18"/>
  <c r="R353" i="18"/>
  <c r="S353" i="18"/>
  <c r="T353" i="18"/>
  <c r="U353" i="18"/>
  <c r="V353" i="18"/>
  <c r="W353" i="18"/>
  <c r="X353" i="18"/>
  <c r="Y353" i="18"/>
  <c r="Z353" i="18"/>
  <c r="AA353" i="18"/>
  <c r="AB353" i="18"/>
  <c r="AC353" i="18"/>
  <c r="F354" i="18"/>
  <c r="G354" i="18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T354" i="18"/>
  <c r="U354" i="18"/>
  <c r="V354" i="18"/>
  <c r="W354" i="18"/>
  <c r="X354" i="18"/>
  <c r="Y354" i="18"/>
  <c r="Z354" i="18"/>
  <c r="AA354" i="18"/>
  <c r="AB354" i="18"/>
  <c r="AC354" i="18"/>
  <c r="F355" i="18"/>
  <c r="G355" i="18"/>
  <c r="H355" i="18"/>
  <c r="I355" i="18"/>
  <c r="J355" i="18"/>
  <c r="K355" i="18"/>
  <c r="L355" i="18"/>
  <c r="M355" i="18"/>
  <c r="N355" i="18"/>
  <c r="O355" i="18"/>
  <c r="P355" i="18"/>
  <c r="Q355" i="18"/>
  <c r="R355" i="18"/>
  <c r="S355" i="18"/>
  <c r="T355" i="18"/>
  <c r="U355" i="18"/>
  <c r="V355" i="18"/>
  <c r="W355" i="18"/>
  <c r="X355" i="18"/>
  <c r="Y355" i="18"/>
  <c r="Z355" i="18"/>
  <c r="AA355" i="18"/>
  <c r="AB355" i="18"/>
  <c r="AC355" i="18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T356" i="18"/>
  <c r="U356" i="18"/>
  <c r="V356" i="18"/>
  <c r="W356" i="18"/>
  <c r="X356" i="18"/>
  <c r="Y356" i="18"/>
  <c r="Z356" i="18"/>
  <c r="AA356" i="18"/>
  <c r="AB356" i="18"/>
  <c r="AC356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T357" i="18"/>
  <c r="U357" i="18"/>
  <c r="V357" i="18"/>
  <c r="W357" i="18"/>
  <c r="X357" i="18"/>
  <c r="Y357" i="18"/>
  <c r="Z357" i="18"/>
  <c r="AA357" i="18"/>
  <c r="AB357" i="18"/>
  <c r="AC357" i="18"/>
  <c r="F358" i="18"/>
  <c r="G358" i="18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T358" i="18"/>
  <c r="U358" i="18"/>
  <c r="V358" i="18"/>
  <c r="W358" i="18"/>
  <c r="X358" i="18"/>
  <c r="Y358" i="18"/>
  <c r="Z358" i="18"/>
  <c r="AA358" i="18"/>
  <c r="AB358" i="18"/>
  <c r="AC358" i="18"/>
  <c r="F359" i="18"/>
  <c r="G359" i="18"/>
  <c r="H359" i="18"/>
  <c r="I359" i="18"/>
  <c r="J359" i="18"/>
  <c r="K359" i="18"/>
  <c r="L359" i="18"/>
  <c r="M359" i="18"/>
  <c r="N359" i="18"/>
  <c r="O359" i="18"/>
  <c r="P359" i="18"/>
  <c r="Q359" i="18"/>
  <c r="R359" i="18"/>
  <c r="S359" i="18"/>
  <c r="T359" i="18"/>
  <c r="U359" i="18"/>
  <c r="V359" i="18"/>
  <c r="W359" i="18"/>
  <c r="X359" i="18"/>
  <c r="Y359" i="18"/>
  <c r="Z359" i="18"/>
  <c r="AA359" i="18"/>
  <c r="AB359" i="18"/>
  <c r="AC359" i="18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T360" i="18"/>
  <c r="U360" i="18"/>
  <c r="V360" i="18"/>
  <c r="W360" i="18"/>
  <c r="X360" i="18"/>
  <c r="Y360" i="18"/>
  <c r="Z360" i="18"/>
  <c r="AA360" i="18"/>
  <c r="AB360" i="18"/>
  <c r="AC360" i="18"/>
  <c r="F361" i="18"/>
  <c r="G361" i="18"/>
  <c r="H361" i="18"/>
  <c r="I361" i="18"/>
  <c r="J361" i="18"/>
  <c r="K361" i="18"/>
  <c r="L361" i="18"/>
  <c r="M361" i="18"/>
  <c r="N361" i="18"/>
  <c r="O361" i="18"/>
  <c r="P361" i="18"/>
  <c r="Q361" i="18"/>
  <c r="R361" i="18"/>
  <c r="S361" i="18"/>
  <c r="T361" i="18"/>
  <c r="U361" i="18"/>
  <c r="V361" i="18"/>
  <c r="W361" i="18"/>
  <c r="X361" i="18"/>
  <c r="Y361" i="18"/>
  <c r="Z361" i="18"/>
  <c r="AA361" i="18"/>
  <c r="AB361" i="18"/>
  <c r="AC361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T362" i="18"/>
  <c r="U362" i="18"/>
  <c r="V362" i="18"/>
  <c r="W362" i="18"/>
  <c r="X362" i="18"/>
  <c r="Y362" i="18"/>
  <c r="Z362" i="18"/>
  <c r="AA362" i="18"/>
  <c r="AB362" i="18"/>
  <c r="AC362" i="18"/>
  <c r="F363" i="18"/>
  <c r="G363" i="18"/>
  <c r="H363" i="18"/>
  <c r="I363" i="18"/>
  <c r="J363" i="18"/>
  <c r="K363" i="18"/>
  <c r="L363" i="18"/>
  <c r="M363" i="18"/>
  <c r="N363" i="18"/>
  <c r="O363" i="18"/>
  <c r="P363" i="18"/>
  <c r="Q363" i="18"/>
  <c r="R363" i="18"/>
  <c r="S363" i="18"/>
  <c r="T363" i="18"/>
  <c r="U363" i="18"/>
  <c r="V363" i="18"/>
  <c r="W363" i="18"/>
  <c r="X363" i="18"/>
  <c r="Y363" i="18"/>
  <c r="Z363" i="18"/>
  <c r="AA363" i="18"/>
  <c r="AB363" i="18"/>
  <c r="AC363" i="18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T364" i="18"/>
  <c r="U364" i="18"/>
  <c r="V364" i="18"/>
  <c r="W364" i="18"/>
  <c r="X364" i="18"/>
  <c r="Y364" i="18"/>
  <c r="Z364" i="18"/>
  <c r="AA364" i="18"/>
  <c r="AB364" i="18"/>
  <c r="AC364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T365" i="18"/>
  <c r="U365" i="18"/>
  <c r="V365" i="18"/>
  <c r="W365" i="18"/>
  <c r="X365" i="18"/>
  <c r="Y365" i="18"/>
  <c r="Z365" i="18"/>
  <c r="AA365" i="18"/>
  <c r="AB365" i="18"/>
  <c r="AC365" i="18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E1" i="17"/>
  <c r="G2" i="17"/>
  <c r="F2" i="17" s="1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E2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E3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E4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E5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E6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E7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E8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E9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E10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E11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E12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E13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E14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E15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E16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E17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E18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E19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E20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E21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E22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E23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E24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E25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E26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E27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E28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E29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E30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E31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E32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E33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E34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E35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E36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E37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E38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E39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E40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E41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E42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E43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E44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E45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E46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E47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E48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E49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E50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E51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E52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E53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E54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E55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E56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E57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E58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E59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E60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E61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E62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E63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E64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E65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E66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E67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E68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E69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E70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E71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E72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E73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E74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E75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E76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E77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E78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E79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E80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E81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E82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E83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E84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E85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E86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E87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E88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E89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E90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E91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E92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E93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E94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E95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E96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E97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E98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E99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E100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E101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E102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E103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E104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E105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E106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E107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E108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E109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E110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E111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E112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E113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E114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E115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E116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E117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E118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E119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E120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E121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E122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E123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E124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E125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E126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E127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E128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E129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E130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E131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E132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E133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E134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E135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E136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E137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E138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E139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E140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E141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E142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E143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E144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E145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E146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E147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E148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E149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E150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E151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E152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E153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E154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B280" i="17"/>
  <c r="AC280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B282" i="17"/>
  <c r="AC282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B283" i="17"/>
  <c r="AC283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B284" i="17"/>
  <c r="AC284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Z285" i="17"/>
  <c r="AA285" i="17"/>
  <c r="AB285" i="17"/>
  <c r="AC285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X286" i="17"/>
  <c r="Y286" i="17"/>
  <c r="Z286" i="17"/>
  <c r="AA286" i="17"/>
  <c r="AB286" i="17"/>
  <c r="AC286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X287" i="17"/>
  <c r="Y287" i="17"/>
  <c r="Z287" i="17"/>
  <c r="AA287" i="17"/>
  <c r="AB287" i="17"/>
  <c r="AC287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X288" i="17"/>
  <c r="Y288" i="17"/>
  <c r="Z288" i="17"/>
  <c r="AA288" i="17"/>
  <c r="AB288" i="17"/>
  <c r="AC288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X289" i="17"/>
  <c r="Y289" i="17"/>
  <c r="Z289" i="17"/>
  <c r="AA289" i="17"/>
  <c r="AB289" i="17"/>
  <c r="AC289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X290" i="17"/>
  <c r="Y290" i="17"/>
  <c r="Z290" i="17"/>
  <c r="AA290" i="17"/>
  <c r="AB290" i="17"/>
  <c r="AC290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X291" i="17"/>
  <c r="Y291" i="17"/>
  <c r="Z291" i="17"/>
  <c r="AA291" i="17"/>
  <c r="AB291" i="17"/>
  <c r="AC291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X292" i="17"/>
  <c r="Y292" i="17"/>
  <c r="Z292" i="17"/>
  <c r="AA292" i="17"/>
  <c r="AB292" i="17"/>
  <c r="AC292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X300" i="17"/>
  <c r="Y300" i="17"/>
  <c r="Z300" i="17"/>
  <c r="AA300" i="17"/>
  <c r="AB300" i="17"/>
  <c r="AC300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U301" i="17"/>
  <c r="V301" i="17"/>
  <c r="W301" i="17"/>
  <c r="X301" i="17"/>
  <c r="Y301" i="17"/>
  <c r="Z301" i="17"/>
  <c r="AA301" i="17"/>
  <c r="AB301" i="17"/>
  <c r="AC301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X302" i="17"/>
  <c r="Y302" i="17"/>
  <c r="Z302" i="17"/>
  <c r="AA302" i="17"/>
  <c r="AB302" i="17"/>
  <c r="AC302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X303" i="17"/>
  <c r="Y303" i="17"/>
  <c r="Z303" i="17"/>
  <c r="AA303" i="17"/>
  <c r="AB303" i="17"/>
  <c r="AC303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X304" i="17"/>
  <c r="Y304" i="17"/>
  <c r="Z304" i="17"/>
  <c r="AA304" i="17"/>
  <c r="AB304" i="17"/>
  <c r="AC304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X305" i="17"/>
  <c r="Y305" i="17"/>
  <c r="Z305" i="17"/>
  <c r="AA305" i="17"/>
  <c r="AB305" i="17"/>
  <c r="AC305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X306" i="17"/>
  <c r="Y306" i="17"/>
  <c r="Z306" i="17"/>
  <c r="AA306" i="17"/>
  <c r="AB306" i="17"/>
  <c r="AC306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X307" i="17"/>
  <c r="Y307" i="17"/>
  <c r="Z307" i="17"/>
  <c r="AA307" i="17"/>
  <c r="AB307" i="17"/>
  <c r="AC307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X308" i="17"/>
  <c r="Y308" i="17"/>
  <c r="Z308" i="17"/>
  <c r="AA308" i="17"/>
  <c r="AB308" i="17"/>
  <c r="AC308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X309" i="17"/>
  <c r="Y309" i="17"/>
  <c r="Z309" i="17"/>
  <c r="AA309" i="17"/>
  <c r="AB309" i="17"/>
  <c r="AC309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X310" i="17"/>
  <c r="Y310" i="17"/>
  <c r="Z310" i="17"/>
  <c r="AA310" i="17"/>
  <c r="AB310" i="17"/>
  <c r="AC310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X311" i="17"/>
  <c r="Y311" i="17"/>
  <c r="Z311" i="17"/>
  <c r="AA311" i="17"/>
  <c r="AB311" i="17"/>
  <c r="AC311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X312" i="17"/>
  <c r="Y312" i="17"/>
  <c r="Z312" i="17"/>
  <c r="AA312" i="17"/>
  <c r="AB312" i="17"/>
  <c r="AC312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X313" i="17"/>
  <c r="Y313" i="17"/>
  <c r="Z313" i="17"/>
  <c r="AA313" i="17"/>
  <c r="AB313" i="17"/>
  <c r="AC313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X314" i="17"/>
  <c r="Y314" i="17"/>
  <c r="Z314" i="17"/>
  <c r="AA314" i="17"/>
  <c r="AB314" i="17"/>
  <c r="AC314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X315" i="17"/>
  <c r="Y315" i="17"/>
  <c r="Z315" i="17"/>
  <c r="AA315" i="17"/>
  <c r="AB315" i="17"/>
  <c r="AC315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X316" i="17"/>
  <c r="Y316" i="17"/>
  <c r="Z316" i="17"/>
  <c r="AA316" i="17"/>
  <c r="AB316" i="17"/>
  <c r="AC316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X317" i="17"/>
  <c r="Y317" i="17"/>
  <c r="Z317" i="17"/>
  <c r="AA317" i="17"/>
  <c r="AB317" i="17"/>
  <c r="AC317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X318" i="17"/>
  <c r="Y318" i="17"/>
  <c r="Z318" i="17"/>
  <c r="AA318" i="17"/>
  <c r="AB318" i="17"/>
  <c r="AC318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X319" i="17"/>
  <c r="Y319" i="17"/>
  <c r="Z319" i="17"/>
  <c r="AA319" i="17"/>
  <c r="AB319" i="17"/>
  <c r="AC319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X320" i="17"/>
  <c r="Y320" i="17"/>
  <c r="Z320" i="17"/>
  <c r="AA320" i="17"/>
  <c r="AB320" i="17"/>
  <c r="AC320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X321" i="17"/>
  <c r="Y321" i="17"/>
  <c r="Z321" i="17"/>
  <c r="AA321" i="17"/>
  <c r="AB321" i="17"/>
  <c r="AC321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X322" i="17"/>
  <c r="Y322" i="17"/>
  <c r="Z322" i="17"/>
  <c r="AA322" i="17"/>
  <c r="AB322" i="17"/>
  <c r="AC322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X323" i="17"/>
  <c r="Y323" i="17"/>
  <c r="Z323" i="17"/>
  <c r="AA323" i="17"/>
  <c r="AB323" i="17"/>
  <c r="AC323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X324" i="17"/>
  <c r="Y324" i="17"/>
  <c r="Z324" i="17"/>
  <c r="AA324" i="17"/>
  <c r="AB324" i="17"/>
  <c r="AC324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X325" i="17"/>
  <c r="Y325" i="17"/>
  <c r="Z325" i="17"/>
  <c r="AA325" i="17"/>
  <c r="AB325" i="17"/>
  <c r="AC325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X326" i="17"/>
  <c r="Y326" i="17"/>
  <c r="Z326" i="17"/>
  <c r="AA326" i="17"/>
  <c r="AB326" i="17"/>
  <c r="AC326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X327" i="17"/>
  <c r="Y327" i="17"/>
  <c r="Z327" i="17"/>
  <c r="AA327" i="17"/>
  <c r="AB327" i="17"/>
  <c r="AC327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X328" i="17"/>
  <c r="Y328" i="17"/>
  <c r="Z328" i="17"/>
  <c r="AA328" i="17"/>
  <c r="AB328" i="17"/>
  <c r="AC328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X329" i="17"/>
  <c r="Y329" i="17"/>
  <c r="Z329" i="17"/>
  <c r="AA329" i="17"/>
  <c r="AB329" i="17"/>
  <c r="AC329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X330" i="17"/>
  <c r="Y330" i="17"/>
  <c r="Z330" i="17"/>
  <c r="AA330" i="17"/>
  <c r="AB330" i="17"/>
  <c r="AC330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X331" i="17"/>
  <c r="Y331" i="17"/>
  <c r="Z331" i="17"/>
  <c r="AA331" i="17"/>
  <c r="AB331" i="17"/>
  <c r="AC331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X332" i="17"/>
  <c r="Y332" i="17"/>
  <c r="Z332" i="17"/>
  <c r="AA332" i="17"/>
  <c r="AB332" i="17"/>
  <c r="AC332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X333" i="17"/>
  <c r="Y333" i="17"/>
  <c r="Z333" i="17"/>
  <c r="AA333" i="17"/>
  <c r="AB333" i="17"/>
  <c r="AC333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X334" i="17"/>
  <c r="Y334" i="17"/>
  <c r="Z334" i="17"/>
  <c r="AA334" i="17"/>
  <c r="AB334" i="17"/>
  <c r="AC334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X335" i="17"/>
  <c r="Y335" i="17"/>
  <c r="Z335" i="17"/>
  <c r="AA335" i="17"/>
  <c r="AB335" i="17"/>
  <c r="AC335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X336" i="17"/>
  <c r="Y336" i="17"/>
  <c r="Z336" i="17"/>
  <c r="AA336" i="17"/>
  <c r="AB336" i="17"/>
  <c r="AC336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X337" i="17"/>
  <c r="Y337" i="17"/>
  <c r="Z337" i="17"/>
  <c r="AA337" i="17"/>
  <c r="AB337" i="17"/>
  <c r="AC337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X338" i="17"/>
  <c r="Y338" i="17"/>
  <c r="Z338" i="17"/>
  <c r="AA338" i="17"/>
  <c r="AB338" i="17"/>
  <c r="AC338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X339" i="17"/>
  <c r="Y339" i="17"/>
  <c r="Z339" i="17"/>
  <c r="AA339" i="17"/>
  <c r="AB339" i="17"/>
  <c r="AC339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X340" i="17"/>
  <c r="Y340" i="17"/>
  <c r="Z340" i="17"/>
  <c r="AA340" i="17"/>
  <c r="AB340" i="17"/>
  <c r="AC340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X341" i="17"/>
  <c r="Y341" i="17"/>
  <c r="Z341" i="17"/>
  <c r="AA341" i="17"/>
  <c r="AB341" i="17"/>
  <c r="AC341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X342" i="17"/>
  <c r="Y342" i="17"/>
  <c r="Z342" i="17"/>
  <c r="AA342" i="17"/>
  <c r="AB342" i="17"/>
  <c r="AC342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X343" i="17"/>
  <c r="Y343" i="17"/>
  <c r="Z343" i="17"/>
  <c r="AA343" i="17"/>
  <c r="AB343" i="17"/>
  <c r="AC343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X344" i="17"/>
  <c r="Y344" i="17"/>
  <c r="Z344" i="17"/>
  <c r="AA344" i="17"/>
  <c r="AB344" i="17"/>
  <c r="AC344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X345" i="17"/>
  <c r="Y345" i="17"/>
  <c r="Z345" i="17"/>
  <c r="AA345" i="17"/>
  <c r="AB345" i="17"/>
  <c r="AC345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X346" i="17"/>
  <c r="Y346" i="17"/>
  <c r="Z346" i="17"/>
  <c r="AA346" i="17"/>
  <c r="AB346" i="17"/>
  <c r="AC346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W347" i="17"/>
  <c r="X347" i="17"/>
  <c r="Y347" i="17"/>
  <c r="Z347" i="17"/>
  <c r="AA347" i="17"/>
  <c r="AB347" i="17"/>
  <c r="AC347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X348" i="17"/>
  <c r="Y348" i="17"/>
  <c r="Z348" i="17"/>
  <c r="AA348" i="17"/>
  <c r="AB348" i="17"/>
  <c r="AC348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X349" i="17"/>
  <c r="Y349" i="17"/>
  <c r="Z349" i="17"/>
  <c r="AA349" i="17"/>
  <c r="AB349" i="17"/>
  <c r="AC349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W350" i="17"/>
  <c r="X350" i="17"/>
  <c r="Y350" i="17"/>
  <c r="Z350" i="17"/>
  <c r="AA350" i="17"/>
  <c r="AB350" i="17"/>
  <c r="AC350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X351" i="17"/>
  <c r="Y351" i="17"/>
  <c r="Z351" i="17"/>
  <c r="AA351" i="17"/>
  <c r="AB351" i="17"/>
  <c r="AC351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X352" i="17"/>
  <c r="Y352" i="17"/>
  <c r="Z352" i="17"/>
  <c r="AA352" i="17"/>
  <c r="AB352" i="17"/>
  <c r="AC352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X353" i="17"/>
  <c r="Y353" i="17"/>
  <c r="Z353" i="17"/>
  <c r="AA353" i="17"/>
  <c r="AB353" i="17"/>
  <c r="AC353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X354" i="17"/>
  <c r="Y354" i="17"/>
  <c r="Z354" i="17"/>
  <c r="AA354" i="17"/>
  <c r="AB354" i="17"/>
  <c r="AC354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X355" i="17"/>
  <c r="Y355" i="17"/>
  <c r="Z355" i="17"/>
  <c r="AA355" i="17"/>
  <c r="AB355" i="17"/>
  <c r="AC355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X356" i="17"/>
  <c r="Y356" i="17"/>
  <c r="Z356" i="17"/>
  <c r="AA356" i="17"/>
  <c r="AB356" i="17"/>
  <c r="AC356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X357" i="17"/>
  <c r="Y357" i="17"/>
  <c r="Z357" i="17"/>
  <c r="AA357" i="17"/>
  <c r="AB357" i="17"/>
  <c r="AC357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X358" i="17"/>
  <c r="Y358" i="17"/>
  <c r="Z358" i="17"/>
  <c r="AA358" i="17"/>
  <c r="AB358" i="17"/>
  <c r="AC358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X359" i="17"/>
  <c r="Y359" i="17"/>
  <c r="Z359" i="17"/>
  <c r="AA359" i="17"/>
  <c r="AB359" i="17"/>
  <c r="AC359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W360" i="17"/>
  <c r="X360" i="17"/>
  <c r="Y360" i="17"/>
  <c r="Z360" i="17"/>
  <c r="AA360" i="17"/>
  <c r="AB360" i="17"/>
  <c r="AC360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X361" i="17"/>
  <c r="Y361" i="17"/>
  <c r="Z361" i="17"/>
  <c r="AA361" i="17"/>
  <c r="AB361" i="17"/>
  <c r="AC361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W362" i="17"/>
  <c r="X362" i="17"/>
  <c r="Y362" i="17"/>
  <c r="Z362" i="17"/>
  <c r="AA362" i="17"/>
  <c r="AB362" i="17"/>
  <c r="AC362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X363" i="17"/>
  <c r="Y363" i="17"/>
  <c r="Z363" i="17"/>
  <c r="AA363" i="17"/>
  <c r="AB363" i="17"/>
  <c r="AC363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W364" i="17"/>
  <c r="X364" i="17"/>
  <c r="Y364" i="17"/>
  <c r="Z364" i="17"/>
  <c r="AA364" i="17"/>
  <c r="AB364" i="17"/>
  <c r="AC364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X365" i="17"/>
  <c r="Y365" i="17"/>
  <c r="Z365" i="17"/>
  <c r="AA365" i="17"/>
  <c r="AB365" i="17"/>
  <c r="AC365" i="17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E1" i="16"/>
  <c r="G2" i="16"/>
  <c r="F2" i="16" s="1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E2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E3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E4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E5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E6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E7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E8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E9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E10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E11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E12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E13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E14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E15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E16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E17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E18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E19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E20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E21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E22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E23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E24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E25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E26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E27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E28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E29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E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E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E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E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E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E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E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E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E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E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E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E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E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E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E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E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E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E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E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E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E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E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E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E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E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E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E56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E57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E58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E59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E60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E61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E62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E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E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E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E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E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E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E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E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E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E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E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E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E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E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E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E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E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E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E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E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E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E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E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E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E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E88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E89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E90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E91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E92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E93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E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E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E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E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E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E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E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E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E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E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E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E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E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E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E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E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E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E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E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E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E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E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E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E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E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E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E120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E121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E122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E123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E124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E125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E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E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E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E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E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E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E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E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E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E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E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E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E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E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E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E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E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E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E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E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E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E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E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E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E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E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E152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E153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E154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F221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F222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F345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F346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F347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F349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E1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E2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E3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E4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E5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E6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E7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E8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E9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E10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E11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E12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E13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E14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E15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E16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E17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E18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E19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E20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E21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E22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E23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E24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E25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E26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E27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E28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E29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E30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E31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E32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E33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E34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E35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E36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E37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E38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E39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E40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E41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E42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E43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E44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E45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E46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E47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E48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E49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E50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E51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E52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E53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E54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E55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E56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E57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E58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E59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E60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E61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E62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E63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E64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E65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E66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E67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E68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E69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E70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E71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E72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E73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E74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E75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E76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E77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E78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E79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E80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E81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E82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E83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E84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E85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E86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E87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E88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E89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E90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E91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E92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E93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E94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E95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E96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E97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E98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E99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E100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E101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E102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E103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E104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E105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E106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E107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E108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E109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E110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E111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E112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E113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E114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E115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E116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E117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E118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E119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E120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E121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E122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E123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E124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E125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E126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E127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E128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E129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E130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E131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E132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E133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E134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E135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E136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E137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E138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E139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E140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E141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E142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E143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E144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E145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E146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E147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E148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E149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E150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E151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E152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B153" i="15"/>
  <c r="AC153" i="15"/>
  <c r="AE153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E154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B155" i="15"/>
  <c r="AC155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B157" i="15"/>
  <c r="AC157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B169" i="15"/>
  <c r="AC169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AB171" i="15"/>
  <c r="AC171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AB172" i="15"/>
  <c r="AC172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AB173" i="15"/>
  <c r="AC173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AB174" i="15"/>
  <c r="AC174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AB175" i="15"/>
  <c r="AC175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AB176" i="15"/>
  <c r="AC176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AB177" i="15"/>
  <c r="AC177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AB178" i="15"/>
  <c r="AC178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AB179" i="15"/>
  <c r="AC179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AB180" i="15"/>
  <c r="AC180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AB181" i="15"/>
  <c r="AC181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AB182" i="15"/>
  <c r="AC182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AB183" i="15"/>
  <c r="AC183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AB184" i="15"/>
  <c r="AC184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AB185" i="15"/>
  <c r="AC185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AB186" i="15"/>
  <c r="AC186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AB187" i="15"/>
  <c r="AC187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AB188" i="15"/>
  <c r="AC188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AB189" i="15"/>
  <c r="AC189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AB190" i="15"/>
  <c r="AC190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AB191" i="15"/>
  <c r="AC191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AB192" i="15"/>
  <c r="AC192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AB193" i="15"/>
  <c r="AC193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AB194" i="15"/>
  <c r="AC194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AB195" i="15"/>
  <c r="AC195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AB196" i="15"/>
  <c r="AC196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AB197" i="15"/>
  <c r="AC197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AB198" i="15"/>
  <c r="AC198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AB199" i="15"/>
  <c r="AC199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AB200" i="15"/>
  <c r="AC200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AB201" i="15"/>
  <c r="AC201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AB202" i="15"/>
  <c r="AC202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AB203" i="15"/>
  <c r="AC203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AB204" i="15"/>
  <c r="AC204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AB205" i="15"/>
  <c r="AC205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AB206" i="15"/>
  <c r="AC206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AB207" i="15"/>
  <c r="AC207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AB208" i="15"/>
  <c r="AC208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AB209" i="15"/>
  <c r="AC209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AB210" i="15"/>
  <c r="AC210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AB211" i="15"/>
  <c r="AC211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AB212" i="15"/>
  <c r="AC212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AB213" i="15"/>
  <c r="AC213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AB214" i="15"/>
  <c r="AC214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AB215" i="15"/>
  <c r="AC215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AB216" i="15"/>
  <c r="AC216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AB217" i="15"/>
  <c r="AC217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AB218" i="15"/>
  <c r="AC218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AB219" i="15"/>
  <c r="AC219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AB220" i="15"/>
  <c r="AC220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AB221" i="15"/>
  <c r="AC221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AB222" i="15"/>
  <c r="AC222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AB223" i="15"/>
  <c r="AC223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AB224" i="15"/>
  <c r="AC224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AB225" i="15"/>
  <c r="AC225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AB226" i="15"/>
  <c r="AC226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AB227" i="15"/>
  <c r="AC227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AB228" i="15"/>
  <c r="AC228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AB229" i="15"/>
  <c r="AC229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AB230" i="15"/>
  <c r="AC230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AB231" i="15"/>
  <c r="AC231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AB232" i="15"/>
  <c r="AC232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AB233" i="15"/>
  <c r="AC233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AB234" i="15"/>
  <c r="AC234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AB235" i="15"/>
  <c r="AC235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AB236" i="15"/>
  <c r="AC236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AB237" i="15"/>
  <c r="AC237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AB238" i="15"/>
  <c r="AC238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AB239" i="15"/>
  <c r="AC239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AB240" i="15"/>
  <c r="AC240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AB241" i="15"/>
  <c r="AC241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AB242" i="15"/>
  <c r="AC242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AB243" i="15"/>
  <c r="AC243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AB244" i="15"/>
  <c r="AC244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AB245" i="15"/>
  <c r="AC245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AB246" i="15"/>
  <c r="AC246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AB247" i="15"/>
  <c r="AC247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AB248" i="15"/>
  <c r="AC248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AB249" i="15"/>
  <c r="AC249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AB250" i="15"/>
  <c r="AC250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AB251" i="15"/>
  <c r="AC251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AB252" i="15"/>
  <c r="AC252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AB253" i="15"/>
  <c r="AC253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AB254" i="15"/>
  <c r="AC254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AB255" i="15"/>
  <c r="AC255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AB256" i="15"/>
  <c r="AC256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AB257" i="15"/>
  <c r="AC257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AB258" i="15"/>
  <c r="AC258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AB259" i="15"/>
  <c r="AC259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AB260" i="15"/>
  <c r="AC260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AB261" i="15"/>
  <c r="AC261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AB262" i="15"/>
  <c r="AC262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AB263" i="15"/>
  <c r="AC263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AB264" i="15"/>
  <c r="AC264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AB265" i="15"/>
  <c r="AC265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AB266" i="15"/>
  <c r="AC266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AB267" i="15"/>
  <c r="AC267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AB268" i="15"/>
  <c r="AC268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AB269" i="15"/>
  <c r="AC269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AB270" i="15"/>
  <c r="AC270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AB271" i="15"/>
  <c r="AC271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AB272" i="15"/>
  <c r="AC272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AB273" i="15"/>
  <c r="AC273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AB274" i="15"/>
  <c r="AC274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AB275" i="15"/>
  <c r="AC275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AB276" i="15"/>
  <c r="AC276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AB277" i="15"/>
  <c r="AC277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AB278" i="15"/>
  <c r="AC278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AB279" i="15"/>
  <c r="AC279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AB280" i="15"/>
  <c r="AC280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AB281" i="15"/>
  <c r="AC281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AB282" i="15"/>
  <c r="AC282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AB283" i="15"/>
  <c r="AC283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AB284" i="15"/>
  <c r="AC284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AB285" i="15"/>
  <c r="AC285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AB286" i="15"/>
  <c r="AC286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AB287" i="15"/>
  <c r="AC287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AB288" i="15"/>
  <c r="AC288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AB289" i="15"/>
  <c r="AC289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AB290" i="15"/>
  <c r="AC290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AB291" i="15"/>
  <c r="AC291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AB292" i="15"/>
  <c r="AC292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AB293" i="15"/>
  <c r="AC293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AB294" i="15"/>
  <c r="AC294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AB295" i="15"/>
  <c r="AC295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AB296" i="15"/>
  <c r="AC296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AB297" i="15"/>
  <c r="AC297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AB298" i="15"/>
  <c r="AC298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AB299" i="15"/>
  <c r="AC299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AB300" i="15"/>
  <c r="AC300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AB301" i="15"/>
  <c r="AC301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AB302" i="15"/>
  <c r="AC302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AB303" i="15"/>
  <c r="AC303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AB304" i="15"/>
  <c r="AC304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AB305" i="15"/>
  <c r="AC305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AB306" i="15"/>
  <c r="AC306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AB307" i="15"/>
  <c r="AC307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AB308" i="15"/>
  <c r="AC308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AB309" i="15"/>
  <c r="AC309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AB310" i="15"/>
  <c r="AC310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AB311" i="15"/>
  <c r="AC311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AB312" i="15"/>
  <c r="AC312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AB313" i="15"/>
  <c r="AC313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AB314" i="15"/>
  <c r="AC314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AB315" i="15"/>
  <c r="AC315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AB316" i="15"/>
  <c r="AC316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AB317" i="15"/>
  <c r="AC317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AB318" i="15"/>
  <c r="AC318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AB319" i="15"/>
  <c r="AC319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AB320" i="15"/>
  <c r="AC320" i="15"/>
  <c r="F321" i="15"/>
  <c r="G321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AB321" i="15"/>
  <c r="AC321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AB322" i="15"/>
  <c r="AC322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AB323" i="15"/>
  <c r="AC323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AB324" i="15"/>
  <c r="AC324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AB325" i="15"/>
  <c r="AC325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AB326" i="15"/>
  <c r="AC326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AB327" i="15"/>
  <c r="AC327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AB328" i="15"/>
  <c r="AC328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AB329" i="15"/>
  <c r="AC329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AB330" i="15"/>
  <c r="AC330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AB331" i="15"/>
  <c r="AC331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AB332" i="15"/>
  <c r="AC332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AB333" i="15"/>
  <c r="AC333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AB334" i="15"/>
  <c r="AC334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AB335" i="15"/>
  <c r="AC335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AB336" i="15"/>
  <c r="AC336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AB337" i="15"/>
  <c r="AC337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AB338" i="15"/>
  <c r="AC338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AB339" i="15"/>
  <c r="AC339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AB340" i="15"/>
  <c r="AC340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AB341" i="15"/>
  <c r="AC341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AB342" i="15"/>
  <c r="AC342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AB343" i="15"/>
  <c r="AC343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AB344" i="15"/>
  <c r="AC344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AB345" i="15"/>
  <c r="AC345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AB346" i="15"/>
  <c r="AC346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AB347" i="15"/>
  <c r="AC347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AB348" i="15"/>
  <c r="AC348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AB349" i="15"/>
  <c r="AC349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AB350" i="15"/>
  <c r="AC350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AB351" i="15"/>
  <c r="AC351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AB352" i="15"/>
  <c r="AC352" i="15"/>
  <c r="F353" i="15"/>
  <c r="G353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AB353" i="15"/>
  <c r="AC353" i="15"/>
  <c r="F354" i="15"/>
  <c r="G354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AB354" i="15"/>
  <c r="AC354" i="15"/>
  <c r="F355" i="15"/>
  <c r="G355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AB355" i="15"/>
  <c r="AC355" i="15"/>
  <c r="F356" i="15"/>
  <c r="G356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AB356" i="15"/>
  <c r="AC356" i="15"/>
  <c r="F357" i="15"/>
  <c r="G357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AB357" i="15"/>
  <c r="AC357" i="15"/>
  <c r="F358" i="15"/>
  <c r="G358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AB358" i="15"/>
  <c r="AC358" i="15"/>
  <c r="F359" i="15"/>
  <c r="G359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AB359" i="15"/>
  <c r="AC359" i="15"/>
  <c r="F360" i="15"/>
  <c r="G360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AB360" i="15"/>
  <c r="AC360" i="15"/>
  <c r="F361" i="15"/>
  <c r="G361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AB361" i="15"/>
  <c r="AC361" i="15"/>
  <c r="F362" i="15"/>
  <c r="G362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AB362" i="15"/>
  <c r="AC362" i="15"/>
  <c r="F363" i="15"/>
  <c r="G363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AB363" i="15"/>
  <c r="AC363" i="15"/>
  <c r="F364" i="15"/>
  <c r="G364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AB364" i="15"/>
  <c r="AC364" i="15"/>
  <c r="F365" i="15"/>
  <c r="G365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AB365" i="15"/>
  <c r="AC365" i="15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E1" i="14"/>
  <c r="G2" i="14"/>
  <c r="F2" i="14" s="1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E2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E3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E4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E5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E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E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E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E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E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E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E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E13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E14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E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E16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E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E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E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E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E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E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E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E24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E25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E26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E27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E28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E29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E30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E31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E32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E33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E34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E35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E36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E37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E38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E39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E40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E41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E42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E43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E44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E45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E46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E47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E48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E49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E50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E51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E52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E53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E54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E55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E56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E57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E58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E59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E60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E61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E62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E63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E64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E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E66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E67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E68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E69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E70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E71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E72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E73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E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E75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E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E77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E78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E79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E80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E81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E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E83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E84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E85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E86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E87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E88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E89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E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E91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E92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E93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E94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E95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E96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E97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E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E99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E100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E101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E102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E103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E104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E105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E106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E107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E108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E109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E110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E111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E112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E113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E114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E115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E116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E117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E118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E119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E120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E121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E122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E123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E124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E125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E126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E127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E128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E129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E130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E131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E132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E133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E134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E135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E136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E137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E138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E139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E140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E141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E142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E143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E144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E145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E146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E147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E148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E149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E150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E151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E152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E153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E154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F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F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F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F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F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F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F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F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F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F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F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F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F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F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F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F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F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F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F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X216" i="14"/>
  <c r="Y216" i="14"/>
  <c r="Z216" i="14"/>
  <c r="AA216" i="14"/>
  <c r="AB216" i="14"/>
  <c r="AC216" i="14"/>
  <c r="F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X217" i="14"/>
  <c r="Y217" i="14"/>
  <c r="Z217" i="14"/>
  <c r="AA217" i="14"/>
  <c r="AB217" i="14"/>
  <c r="AC217" i="14"/>
  <c r="F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F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F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F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F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F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F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F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F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X259" i="14"/>
  <c r="Y259" i="14"/>
  <c r="Z259" i="14"/>
  <c r="AA259" i="14"/>
  <c r="AB259" i="14"/>
  <c r="AC259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X260" i="14"/>
  <c r="Y260" i="14"/>
  <c r="Z260" i="14"/>
  <c r="AA260" i="14"/>
  <c r="AB260" i="14"/>
  <c r="AC260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X261" i="14"/>
  <c r="Y261" i="14"/>
  <c r="Z261" i="14"/>
  <c r="AA261" i="14"/>
  <c r="AB261" i="14"/>
  <c r="AC261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X262" i="14"/>
  <c r="Y262" i="14"/>
  <c r="Z262" i="14"/>
  <c r="AA262" i="14"/>
  <c r="AB262" i="14"/>
  <c r="AC262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X263" i="14"/>
  <c r="Y263" i="14"/>
  <c r="Z263" i="14"/>
  <c r="AA263" i="14"/>
  <c r="AB263" i="14"/>
  <c r="AC263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X264" i="14"/>
  <c r="Y264" i="14"/>
  <c r="Z264" i="14"/>
  <c r="AA264" i="14"/>
  <c r="AB264" i="14"/>
  <c r="AC264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AA265" i="14"/>
  <c r="AB265" i="14"/>
  <c r="AC265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X266" i="14"/>
  <c r="Y266" i="14"/>
  <c r="Z266" i="14"/>
  <c r="AA266" i="14"/>
  <c r="AB266" i="14"/>
  <c r="AC266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X267" i="14"/>
  <c r="Y267" i="14"/>
  <c r="Z267" i="14"/>
  <c r="AA267" i="14"/>
  <c r="AB267" i="14"/>
  <c r="AC267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X268" i="14"/>
  <c r="Y268" i="14"/>
  <c r="Z268" i="14"/>
  <c r="AA268" i="14"/>
  <c r="AB268" i="14"/>
  <c r="AC268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X269" i="14"/>
  <c r="Y269" i="14"/>
  <c r="Z269" i="14"/>
  <c r="AA269" i="14"/>
  <c r="AB269" i="14"/>
  <c r="AC269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X272" i="14"/>
  <c r="Y272" i="14"/>
  <c r="Z272" i="14"/>
  <c r="AA272" i="14"/>
  <c r="AB272" i="14"/>
  <c r="AC272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X273" i="14"/>
  <c r="Y273" i="14"/>
  <c r="Z273" i="14"/>
  <c r="AA273" i="14"/>
  <c r="AB273" i="14"/>
  <c r="AC273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X274" i="14"/>
  <c r="Y274" i="14"/>
  <c r="Z274" i="14"/>
  <c r="AA274" i="14"/>
  <c r="AB274" i="14"/>
  <c r="AC274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X275" i="14"/>
  <c r="Y275" i="14"/>
  <c r="Z275" i="14"/>
  <c r="AA275" i="14"/>
  <c r="AB275" i="14"/>
  <c r="AC275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X276" i="14"/>
  <c r="Y276" i="14"/>
  <c r="Z276" i="14"/>
  <c r="AA276" i="14"/>
  <c r="AB276" i="14"/>
  <c r="AC276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X277" i="14"/>
  <c r="Y277" i="14"/>
  <c r="Z277" i="14"/>
  <c r="AA277" i="14"/>
  <c r="AB277" i="14"/>
  <c r="AC277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X278" i="14"/>
  <c r="Y278" i="14"/>
  <c r="Z278" i="14"/>
  <c r="AA278" i="14"/>
  <c r="AB278" i="14"/>
  <c r="AC278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X279" i="14"/>
  <c r="Y279" i="14"/>
  <c r="Z279" i="14"/>
  <c r="AA279" i="14"/>
  <c r="AB279" i="14"/>
  <c r="AC279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X280" i="14"/>
  <c r="Y280" i="14"/>
  <c r="Z280" i="14"/>
  <c r="AA280" i="14"/>
  <c r="AB280" i="14"/>
  <c r="AC280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X281" i="14"/>
  <c r="Y281" i="14"/>
  <c r="Z281" i="14"/>
  <c r="AA281" i="14"/>
  <c r="AB281" i="14"/>
  <c r="AC281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X282" i="14"/>
  <c r="Y282" i="14"/>
  <c r="Z282" i="14"/>
  <c r="AA282" i="14"/>
  <c r="AB282" i="14"/>
  <c r="AC282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X284" i="14"/>
  <c r="Y284" i="14"/>
  <c r="Z284" i="14"/>
  <c r="AA284" i="14"/>
  <c r="AB284" i="14"/>
  <c r="AC284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X285" i="14"/>
  <c r="Y285" i="14"/>
  <c r="Z285" i="14"/>
  <c r="AA285" i="14"/>
  <c r="AB285" i="14"/>
  <c r="AC285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X286" i="14"/>
  <c r="Y286" i="14"/>
  <c r="Z286" i="14"/>
  <c r="AA286" i="14"/>
  <c r="AB286" i="14"/>
  <c r="AC286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X287" i="14"/>
  <c r="Y287" i="14"/>
  <c r="Z287" i="14"/>
  <c r="AA287" i="14"/>
  <c r="AB287" i="14"/>
  <c r="AC287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X288" i="14"/>
  <c r="Y288" i="14"/>
  <c r="Z288" i="14"/>
  <c r="AA288" i="14"/>
  <c r="AB288" i="14"/>
  <c r="AC288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X289" i="14"/>
  <c r="Y289" i="14"/>
  <c r="Z289" i="14"/>
  <c r="AA289" i="14"/>
  <c r="AB289" i="14"/>
  <c r="AC289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X290" i="14"/>
  <c r="Y290" i="14"/>
  <c r="Z290" i="14"/>
  <c r="AA290" i="14"/>
  <c r="AB290" i="14"/>
  <c r="AC290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X291" i="14"/>
  <c r="Y291" i="14"/>
  <c r="Z291" i="14"/>
  <c r="AA291" i="14"/>
  <c r="AB291" i="14"/>
  <c r="AC291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X292" i="14"/>
  <c r="Y292" i="14"/>
  <c r="Z292" i="14"/>
  <c r="AA292" i="14"/>
  <c r="AB292" i="14"/>
  <c r="AC292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X293" i="14"/>
  <c r="Y293" i="14"/>
  <c r="Z293" i="14"/>
  <c r="AA293" i="14"/>
  <c r="AB293" i="14"/>
  <c r="AC293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X294" i="14"/>
  <c r="Y294" i="14"/>
  <c r="Z294" i="14"/>
  <c r="AA294" i="14"/>
  <c r="AB294" i="14"/>
  <c r="AC294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X295" i="14"/>
  <c r="Y295" i="14"/>
  <c r="Z295" i="14"/>
  <c r="AA295" i="14"/>
  <c r="AB295" i="14"/>
  <c r="AC295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X296" i="14"/>
  <c r="Y296" i="14"/>
  <c r="Z296" i="14"/>
  <c r="AA296" i="14"/>
  <c r="AB296" i="14"/>
  <c r="AC296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X297" i="14"/>
  <c r="Y297" i="14"/>
  <c r="Z297" i="14"/>
  <c r="AA297" i="14"/>
  <c r="AB297" i="14"/>
  <c r="AC297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X298" i="14"/>
  <c r="Y298" i="14"/>
  <c r="Z298" i="14"/>
  <c r="AA298" i="14"/>
  <c r="AB298" i="14"/>
  <c r="AC298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X299" i="14"/>
  <c r="Y299" i="14"/>
  <c r="Z299" i="14"/>
  <c r="AA299" i="14"/>
  <c r="AB299" i="14"/>
  <c r="AC299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X300" i="14"/>
  <c r="Y300" i="14"/>
  <c r="Z300" i="14"/>
  <c r="AA300" i="14"/>
  <c r="AB300" i="14"/>
  <c r="AC300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X301" i="14"/>
  <c r="Y301" i="14"/>
  <c r="Z301" i="14"/>
  <c r="AA301" i="14"/>
  <c r="AB301" i="14"/>
  <c r="AC301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X302" i="14"/>
  <c r="Y302" i="14"/>
  <c r="Z302" i="14"/>
  <c r="AA302" i="14"/>
  <c r="AB302" i="14"/>
  <c r="AC302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X303" i="14"/>
  <c r="Y303" i="14"/>
  <c r="Z303" i="14"/>
  <c r="AA303" i="14"/>
  <c r="AB303" i="14"/>
  <c r="AC303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X304" i="14"/>
  <c r="Y304" i="14"/>
  <c r="Z304" i="14"/>
  <c r="AA304" i="14"/>
  <c r="AB304" i="14"/>
  <c r="AC304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X305" i="14"/>
  <c r="Y305" i="14"/>
  <c r="Z305" i="14"/>
  <c r="AA305" i="14"/>
  <c r="AB305" i="14"/>
  <c r="AC305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X306" i="14"/>
  <c r="Y306" i="14"/>
  <c r="Z306" i="14"/>
  <c r="AA306" i="14"/>
  <c r="AB306" i="14"/>
  <c r="AC306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X307" i="14"/>
  <c r="Y307" i="14"/>
  <c r="Z307" i="14"/>
  <c r="AA307" i="14"/>
  <c r="AB307" i="14"/>
  <c r="AC307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X308" i="14"/>
  <c r="Y308" i="14"/>
  <c r="Z308" i="14"/>
  <c r="AA308" i="14"/>
  <c r="AB308" i="14"/>
  <c r="AC308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X309" i="14"/>
  <c r="Y309" i="14"/>
  <c r="Z309" i="14"/>
  <c r="AA309" i="14"/>
  <c r="AB309" i="14"/>
  <c r="AC309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X310" i="14"/>
  <c r="Y310" i="14"/>
  <c r="Z310" i="14"/>
  <c r="AA310" i="14"/>
  <c r="AB310" i="14"/>
  <c r="AC310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X311" i="14"/>
  <c r="Y311" i="14"/>
  <c r="Z311" i="14"/>
  <c r="AA311" i="14"/>
  <c r="AB311" i="14"/>
  <c r="AC311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X312" i="14"/>
  <c r="Y312" i="14"/>
  <c r="Z312" i="14"/>
  <c r="AA312" i="14"/>
  <c r="AB312" i="14"/>
  <c r="AC312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X313" i="14"/>
  <c r="Y313" i="14"/>
  <c r="Z313" i="14"/>
  <c r="AA313" i="14"/>
  <c r="AB313" i="14"/>
  <c r="AC313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X314" i="14"/>
  <c r="Y314" i="14"/>
  <c r="Z314" i="14"/>
  <c r="AA314" i="14"/>
  <c r="AB314" i="14"/>
  <c r="AC314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X315" i="14"/>
  <c r="Y315" i="14"/>
  <c r="Z315" i="14"/>
  <c r="AA315" i="14"/>
  <c r="AB315" i="14"/>
  <c r="AC315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X316" i="14"/>
  <c r="Y316" i="14"/>
  <c r="Z316" i="14"/>
  <c r="AA316" i="14"/>
  <c r="AB316" i="14"/>
  <c r="AC316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X317" i="14"/>
  <c r="Y317" i="14"/>
  <c r="Z317" i="14"/>
  <c r="AA317" i="14"/>
  <c r="AB317" i="14"/>
  <c r="AC317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X318" i="14"/>
  <c r="Y318" i="14"/>
  <c r="Z318" i="14"/>
  <c r="AA318" i="14"/>
  <c r="AB318" i="14"/>
  <c r="AC318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X319" i="14"/>
  <c r="Y319" i="14"/>
  <c r="Z319" i="14"/>
  <c r="AA319" i="14"/>
  <c r="AB319" i="14"/>
  <c r="AC319" i="14"/>
  <c r="F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X320" i="14"/>
  <c r="Y320" i="14"/>
  <c r="Z320" i="14"/>
  <c r="AA320" i="14"/>
  <c r="AB320" i="14"/>
  <c r="AC320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X321" i="14"/>
  <c r="Y321" i="14"/>
  <c r="Z321" i="14"/>
  <c r="AA321" i="14"/>
  <c r="AB321" i="14"/>
  <c r="AC321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X322" i="14"/>
  <c r="Y322" i="14"/>
  <c r="Z322" i="14"/>
  <c r="AA322" i="14"/>
  <c r="AB322" i="14"/>
  <c r="AC322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F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F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X331" i="14"/>
  <c r="Y331" i="14"/>
  <c r="Z331" i="14"/>
  <c r="AA331" i="14"/>
  <c r="AB331" i="14"/>
  <c r="AC331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X332" i="14"/>
  <c r="Y332" i="14"/>
  <c r="Z332" i="14"/>
  <c r="AA332" i="14"/>
  <c r="AB332" i="14"/>
  <c r="AC332" i="14"/>
  <c r="F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X333" i="14"/>
  <c r="Y333" i="14"/>
  <c r="Z333" i="14"/>
  <c r="AA333" i="14"/>
  <c r="AB333" i="14"/>
  <c r="AC333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X334" i="14"/>
  <c r="Y334" i="14"/>
  <c r="Z334" i="14"/>
  <c r="AA334" i="14"/>
  <c r="AB334" i="14"/>
  <c r="AC334" i="14"/>
  <c r="F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X337" i="14"/>
  <c r="Y337" i="14"/>
  <c r="Z337" i="14"/>
  <c r="AA337" i="14"/>
  <c r="AB337" i="14"/>
  <c r="AC337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X338" i="14"/>
  <c r="Y338" i="14"/>
  <c r="Z338" i="14"/>
  <c r="AA338" i="14"/>
  <c r="AB338" i="14"/>
  <c r="AC338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X339" i="14"/>
  <c r="Y339" i="14"/>
  <c r="Z339" i="14"/>
  <c r="AA339" i="14"/>
  <c r="AB339" i="14"/>
  <c r="AC339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X340" i="14"/>
  <c r="Y340" i="14"/>
  <c r="Z340" i="14"/>
  <c r="AA340" i="14"/>
  <c r="AB340" i="14"/>
  <c r="AC340" i="14"/>
  <c r="F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AA341" i="14"/>
  <c r="AB341" i="14"/>
  <c r="AC341" i="14"/>
  <c r="F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X342" i="14"/>
  <c r="Y342" i="14"/>
  <c r="Z342" i="14"/>
  <c r="AA342" i="14"/>
  <c r="AB342" i="14"/>
  <c r="AC342" i="14"/>
  <c r="F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X343" i="14"/>
  <c r="Y343" i="14"/>
  <c r="Z343" i="14"/>
  <c r="AA343" i="14"/>
  <c r="AB343" i="14"/>
  <c r="AC343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X344" i="14"/>
  <c r="Y344" i="14"/>
  <c r="Z344" i="14"/>
  <c r="AA344" i="14"/>
  <c r="AB344" i="14"/>
  <c r="AC344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X345" i="14"/>
  <c r="Y345" i="14"/>
  <c r="Z345" i="14"/>
  <c r="AA345" i="14"/>
  <c r="AB345" i="14"/>
  <c r="AC345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F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F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X348" i="14"/>
  <c r="Y348" i="14"/>
  <c r="Z348" i="14"/>
  <c r="AA348" i="14"/>
  <c r="AB348" i="14"/>
  <c r="AC348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F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X350" i="14"/>
  <c r="Y350" i="14"/>
  <c r="Z350" i="14"/>
  <c r="AA350" i="14"/>
  <c r="AB350" i="14"/>
  <c r="AC350" i="14"/>
  <c r="F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X351" i="14"/>
  <c r="Y351" i="14"/>
  <c r="Z351" i="14"/>
  <c r="AA351" i="14"/>
  <c r="AB351" i="14"/>
  <c r="AC351" i="14"/>
  <c r="F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X352" i="14"/>
  <c r="Y352" i="14"/>
  <c r="Z352" i="14"/>
  <c r="AA352" i="14"/>
  <c r="AB352" i="14"/>
  <c r="AC352" i="14"/>
  <c r="F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X353" i="14"/>
  <c r="Y353" i="14"/>
  <c r="Z353" i="14"/>
  <c r="AA353" i="14"/>
  <c r="AB353" i="14"/>
  <c r="AC353" i="14"/>
  <c r="F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X354" i="14"/>
  <c r="Y354" i="14"/>
  <c r="Z354" i="14"/>
  <c r="AA354" i="14"/>
  <c r="AB354" i="14"/>
  <c r="AC354" i="14"/>
  <c r="F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X355" i="14"/>
  <c r="Y355" i="14"/>
  <c r="Z355" i="14"/>
  <c r="AA355" i="14"/>
  <c r="AB355" i="14"/>
  <c r="AC355" i="14"/>
  <c r="F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X356" i="14"/>
  <c r="Y356" i="14"/>
  <c r="Z356" i="14"/>
  <c r="AA356" i="14"/>
  <c r="AB356" i="14"/>
  <c r="AC356" i="14"/>
  <c r="F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X357" i="14"/>
  <c r="Y357" i="14"/>
  <c r="Z357" i="14"/>
  <c r="AA357" i="14"/>
  <c r="AB357" i="14"/>
  <c r="AC357" i="14"/>
  <c r="F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X358" i="14"/>
  <c r="Y358" i="14"/>
  <c r="Z358" i="14"/>
  <c r="AA358" i="14"/>
  <c r="AB358" i="14"/>
  <c r="AC358" i="14"/>
  <c r="F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X359" i="14"/>
  <c r="Y359" i="14"/>
  <c r="Z359" i="14"/>
  <c r="AA359" i="14"/>
  <c r="AB359" i="14"/>
  <c r="AC359" i="14"/>
  <c r="F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X360" i="14"/>
  <c r="Y360" i="14"/>
  <c r="Z360" i="14"/>
  <c r="AA360" i="14"/>
  <c r="AB360" i="14"/>
  <c r="AC360" i="14"/>
  <c r="F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X361" i="14"/>
  <c r="Y361" i="14"/>
  <c r="Z361" i="14"/>
  <c r="AA361" i="14"/>
  <c r="AB361" i="14"/>
  <c r="AC361" i="14"/>
  <c r="F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X362" i="14"/>
  <c r="Y362" i="14"/>
  <c r="Z362" i="14"/>
  <c r="AA362" i="14"/>
  <c r="AB362" i="14"/>
  <c r="AC362" i="14"/>
  <c r="F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X363" i="14"/>
  <c r="Y363" i="14"/>
  <c r="Z363" i="14"/>
  <c r="AA363" i="14"/>
  <c r="AB363" i="14"/>
  <c r="AC363" i="14"/>
  <c r="F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X364" i="14"/>
  <c r="Y364" i="14"/>
  <c r="Z364" i="14"/>
  <c r="AA364" i="14"/>
  <c r="AB364" i="14"/>
  <c r="AC364" i="14"/>
  <c r="F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X365" i="14"/>
  <c r="Y365" i="14"/>
  <c r="Z365" i="14"/>
  <c r="AA365" i="14"/>
  <c r="AB365" i="14"/>
  <c r="AC365" i="14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E1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E2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E3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E4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E5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E6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E7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E8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E9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E10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E11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E12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E13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E14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E15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E16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E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E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E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E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E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E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E23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E24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E25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E26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E27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E28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E29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E30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E31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E32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E33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E34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E35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E36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E37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E38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E39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E40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E41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E42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E43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E44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E45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E46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E47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E48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E49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E50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E51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E52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E53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E54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E55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E56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E57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E58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E59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E60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E61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E62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E63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E64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E65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E66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E67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E68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E69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E70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E71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E72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E73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E74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E75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E76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E77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E78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E79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E80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E81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E82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E83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E84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E85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E86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E87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E88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E89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E90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E91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E92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E93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E94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E95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E96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E97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E98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E99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E100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E101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E102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E103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E104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E105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E106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E107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E108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E109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E110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E111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E112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E113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E114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E115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E116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E117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E118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E119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E120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E121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E122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E123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E124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E125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E126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E127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E128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E129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E130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E131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E132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E133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E134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E135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E136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E137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E138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E139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E140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E141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E142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E143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E144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E145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E146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E147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E148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E149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E150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E151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E152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E153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E154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F347" i="13"/>
  <c r="G347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F349" i="13"/>
  <c r="G349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F350" i="13"/>
  <c r="G350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F351" i="13"/>
  <c r="G351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F352" i="13"/>
  <c r="G352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F353" i="13"/>
  <c r="G353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F354" i="13"/>
  <c r="G354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F355" i="13"/>
  <c r="G355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F356" i="13"/>
  <c r="G356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F357" i="13"/>
  <c r="G357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F358" i="13"/>
  <c r="G358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F359" i="13"/>
  <c r="G359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F360" i="13"/>
  <c r="G360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F361" i="13"/>
  <c r="G361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F362" i="13"/>
  <c r="G362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F363" i="13"/>
  <c r="G363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F364" i="13"/>
  <c r="G364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F365" i="13"/>
  <c r="G365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AB1" i="12"/>
  <c r="AC1" i="12"/>
  <c r="AE1" i="12"/>
  <c r="G2" i="12"/>
  <c r="F2" i="12" s="1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E2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E3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E4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E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E6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E7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E8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E9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E10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E11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E12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E13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E14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E15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E16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E17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E18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E19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E20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E21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E22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E23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E24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E25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E26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E27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E28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E29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E30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E31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E32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E33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E34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E35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E36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E37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E38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E39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E40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E41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E42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E43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E44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E45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E46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E47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E48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E49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E50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E51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E52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E53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E54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E55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E56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E57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E58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E59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E60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E61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E62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E63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E64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E65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E66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E67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E68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E69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E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E71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E72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E73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E74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E75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E76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E77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E78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E79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E80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E81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E82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E83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E84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E85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E86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E87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E88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E89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E90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E91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E92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E93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E94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E95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E96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E97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E98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E99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E100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E101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E102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E103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E104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E105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E106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E107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E108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E109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E110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E111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E112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E113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E114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E115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E116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E117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E118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E119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E120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E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E122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E123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E124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E125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E126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E127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E128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E129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E130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E131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E132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E133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E134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E135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E136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E137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E138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E139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E140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E141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E142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E143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E144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E145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E146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E147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E148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E149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E150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E151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E152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E153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E154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E1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E2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E3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E4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E5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E6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E7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E8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E9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E10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E11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E12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E13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E14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E15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E16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E17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E18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E19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E20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E21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E22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E23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E24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E25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E26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E27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E28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E29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E30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E31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E32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E33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E34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E35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E36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E37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E38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E39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E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E41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E42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E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E44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E45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E46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E47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E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E49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E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E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E52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E53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E54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E55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E56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E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E58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E59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E60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E61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E62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E63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E64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E65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E66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E67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E68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E69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E70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E71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E72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E73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E74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E75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E76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E77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E78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E79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E80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E81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E82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E83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E84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E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E86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E87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E88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E89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E90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E91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E92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E93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E94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E95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E96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E97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E98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E99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E100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E101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E102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E103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E104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E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E106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E107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E108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E109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E110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E1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E112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E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E114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E115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E116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E117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E118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E119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E120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E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E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E123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E124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E125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E126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E127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E128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E129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E130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E131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E132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E133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E134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E135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E136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E137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E138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E139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E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E141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E142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E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E144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E145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E146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E147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E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E149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E150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E151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E152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E153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E154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E1" i="10"/>
  <c r="G2" i="10"/>
  <c r="F2" i="10" s="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E2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E3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E4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E5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E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E7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E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E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E10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E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E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E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E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E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E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E17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E18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E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E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E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E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E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E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E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E26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E27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E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E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E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E31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E32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E33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E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E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E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E37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E38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E39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E40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E41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E42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E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E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E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E46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E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E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E49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E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E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E52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E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E54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E55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E56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E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E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E59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E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E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E62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E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E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E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E66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E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E68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E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E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E71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E72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E73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E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E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E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E77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E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E79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E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E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E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E83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E84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E85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E86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E87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E88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E89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E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E91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E92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E93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E94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E95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E96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E97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E98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E99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E100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E101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E102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E103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E104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E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E106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E107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E108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E109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E110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E111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E112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E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E114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E115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E116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E117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E118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E119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E120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E121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E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E123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E124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E125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E126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E127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E128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E129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E130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E131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E132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E133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E134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E135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E136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E137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E138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E139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E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E141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E142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E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E144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E145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E146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E147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E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E149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E150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E151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E152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E153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E154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E1" i="8"/>
  <c r="G2" i="8"/>
  <c r="F2" i="8" s="1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E2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E3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E4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E5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E6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E7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E8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E9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E10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E11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E12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E13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E14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E15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E16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E17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E18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E19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E20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E21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E22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E23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E24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E25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E26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E27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E28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E29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E30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E31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E32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E33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E34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E35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E36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E37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E38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E39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E40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E41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E42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E43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E44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E45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E46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E47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E48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E49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E50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E51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E52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E53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E54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E55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E56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E57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E58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E59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E60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E61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E62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E63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E64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E65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E66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E67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E68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E69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E70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E71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E72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E73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E74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E75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E76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E77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E78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E79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E80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E81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E82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E83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E84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E85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E86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E87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E88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E89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E90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E91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E92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E93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E94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E95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E96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E97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E98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E99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E100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E101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E102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E103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E104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E105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E106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E107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E108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E109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E110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E111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E112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E113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E114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E115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E116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E117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E118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E119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E120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E121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E122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E123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E124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E125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E126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E127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E128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E129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E130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E131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E132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E133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E134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E135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E136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E137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E138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E139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E140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E141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E142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E143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E144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E145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E146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E147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E148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E149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E150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E151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E152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E153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E154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E1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E2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E3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E4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E5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E6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E7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E8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E9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E10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E11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E12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E13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E14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E15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E16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E17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E18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E19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E20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E21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E22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E24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E25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E26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E27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E28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E29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E30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E31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E32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E33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E34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E36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E37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E38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E39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E40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E41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E42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E43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E44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E45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E46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E47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E48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E49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E50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E51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E52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E53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E54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E56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E57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E58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E59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E61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E62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E63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E64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E65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E66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E67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E68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E69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E70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E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E72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E73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E74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E75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E76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E77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E78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E79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E80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E81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E82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E83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E84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E85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E86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E87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E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E89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E90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E91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E92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E93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E94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E95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E96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E97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E98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E99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E100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E101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E102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E103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E104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E105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E106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E107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E108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E109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E110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E111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E112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E113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E114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E115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E116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E117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E118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E119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E120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E121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E122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E123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E124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E125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E126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E127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E128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E129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E130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E131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E132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E133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E134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E135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E136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E137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E138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E139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E140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E141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E142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E143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E144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E145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E146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E147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E148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E149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E150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E151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E152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E153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E154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E1" i="6"/>
  <c r="G2" i="6"/>
  <c r="F2" i="6" s="1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E2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E3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E4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E5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E6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E7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E8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E9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E10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E11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E12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E13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E14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E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E16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E17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E18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E19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E20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E21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E22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E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E24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E25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E26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E27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E28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E29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E30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E31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E32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E33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E34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E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E36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E37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E38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E39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E40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E41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E42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E43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E44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E45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E46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E47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E48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E49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E50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E51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E52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E53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E54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E55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E56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E57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E58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E59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E61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E62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E63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E64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E66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E67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E68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E69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E70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E72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E73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E74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E75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E76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E77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E78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E79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E80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E81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E82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E83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E84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E85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E86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E87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E88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E89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E90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E91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E92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E93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E94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E95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E96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E97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E98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E99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E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E101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E102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E103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E104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E105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E106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E107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E108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E109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E110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E111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E112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E113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E114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E115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E116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E117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E118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E119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E120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E121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E122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E123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E124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E125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E126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E127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E128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E129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E130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E131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E132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E133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E134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E135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E136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E137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E138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E139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E140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E141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E142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E143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E144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E145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E146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E147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E148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E149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E150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E151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E152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E153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E154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E1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E2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E3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E4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E5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E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E7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E8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E9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E10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E11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E12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E13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E14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E15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E16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E17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E18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E19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E20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E21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E22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E23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E24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E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E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E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E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E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E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E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E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E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E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E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E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E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E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E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E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E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E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E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E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E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E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E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E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E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E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E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E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E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E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E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E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E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E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E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E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E61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E62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E63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E64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E65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E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E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E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E69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E70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E71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E72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E73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E74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E75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E76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E77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E78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E79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E80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E81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E82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E83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E84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E85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E86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E87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E88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E89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E90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E91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E92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E93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E94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E95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E96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E97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E98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E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E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E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E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E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E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E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E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E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E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E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E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E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E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E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E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E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E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E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E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E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E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E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E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E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E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E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E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E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E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E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E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E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E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E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E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E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E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E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E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E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E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E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E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E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E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E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E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E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E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E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E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E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E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E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E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E1" i="4"/>
  <c r="G2" i="4"/>
  <c r="F2" i="4" s="1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E2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E3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E4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E5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E6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E7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E8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E9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E10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E11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E12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E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E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E15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E16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E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E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E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E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E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E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E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E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E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E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E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E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E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E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E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E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E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E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E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E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E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E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E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E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E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E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E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E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E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E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E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E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E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E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E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E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E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E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E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E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E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E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E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E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E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E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E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E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E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E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E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E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E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E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E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E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E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E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E75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E76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E77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E78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E79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E80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E81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E82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E83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E84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E85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E86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E87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E88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E89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E90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E91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E92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E93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E94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E95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E96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E97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E98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E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E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E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E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E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E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E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E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E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E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E109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E110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E111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E112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E113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E114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E115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E116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E117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E118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E119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E120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E121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E122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E123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E124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E125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E126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E127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E128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E129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E130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E131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E132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E133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E134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E135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E136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E137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E138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E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E140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E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E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E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E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E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E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E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E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E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E150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E151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E152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E153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E154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F2" i="5" l="1"/>
  <c r="F2" i="11"/>
  <c r="F2" i="13"/>
  <c r="F2" i="15"/>
  <c r="F2" i="7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4565.2+(277.5-869.5)+(-4.656504+(-0.28305--0.88689))+0-0-0</f>
        <v>3969.147336</v>
      </c>
      <c r="G1" s="3">
        <f>4469.4+(391.7-1256.6)+(-9.117576+(-0.799068--2.563464))+0-0-0</f>
        <v>3597.1468199999999</v>
      </c>
      <c r="H1" s="3">
        <f>4248.5+(119.8-1059.1)+(-10.833675+(-0.30549--2.700705))+0-0-0</f>
        <v>3300.76154</v>
      </c>
      <c r="I1" s="3">
        <f>3947.5+(108.4-934.1)+(-6.039675+(-0.165852--1.429173))+0-0-0</f>
        <v>3117.0236460000001</v>
      </c>
      <c r="J1" s="3">
        <f>3813.3+(88.8-875.5)+(-1.944783+(-0.045288--0.446505))+0-0-0</f>
        <v>3025.0564340000005</v>
      </c>
      <c r="K1" s="3">
        <f>3813.5+(81.7-883.2)+(0+(0-0))+0-0-0</f>
        <v>3012</v>
      </c>
      <c r="L1" s="3">
        <f>3811.8+(101.9-948.5)+(-1.944018+(-0.051969--0.483735))+0-0-0</f>
        <v>2963.6877480000003</v>
      </c>
      <c r="M1" s="3">
        <f>4151.8+(132.7-1056.7)+(0+(0-0))+0-0-0</f>
        <v>3227.8</v>
      </c>
      <c r="N1" s="3">
        <f>4427.5+(217.6-1083.1)+(-4.51605+(-0.221952--1.104762))+0-0-0</f>
        <v>3558.3667599999999</v>
      </c>
      <c r="O1" s="3">
        <f>4420.7+(315.8-1192.2)+(-6.763671+(-0.483174--1.824066))+0-0-0</f>
        <v>3538.8772209999997</v>
      </c>
      <c r="P1" s="3">
        <f>4301.2+(359.6-1173.2)+(-6.580836+(-0.550188--1.794996))+0-0-0</f>
        <v>3482.2639719999997</v>
      </c>
      <c r="Q1" s="3">
        <f>4181.5+(186.5-970.6)+(-2.132565+(-0.095115--0.495006))+0-0-0</f>
        <v>3395.6673260000002</v>
      </c>
      <c r="R1" s="3">
        <f>3902.4+(127.5-706.2)+(0+(0-0))+0-0-0</f>
        <v>3323.7</v>
      </c>
      <c r="S1" s="3">
        <f>3814.2+(140-691.6)+(1.945242+(0.0714-0.352716))+0-0-0</f>
        <v>3264.2639260000001</v>
      </c>
      <c r="T1" s="3">
        <f>3828+(226.5-841.3)+(-9.7614+(-0.577575--2.145315))+0-0-0</f>
        <v>3205.0063399999999</v>
      </c>
      <c r="U1" s="3">
        <f>3821.9+(268.5-916.9)+(-5.847507+(-0.410805--1.402857))+0-0-0</f>
        <v>3168.6445450000001</v>
      </c>
      <c r="V1" s="3">
        <f>3787.2+(163.6-770.5)+(-5.794416+(-0.250308--1.178865))+0-0-0</f>
        <v>3175.4341409999997</v>
      </c>
      <c r="W1" s="3">
        <f>3807.6+(80-628.2)+(-3.883752+(-0.0816--0.640764))+0-0-0</f>
        <v>3256.0754119999997</v>
      </c>
      <c r="X1" s="3">
        <f>4145.4+(119.9-616.4)+(-4.228308+(-0.122298--0.628728))+0-0-0</f>
        <v>3645.1781219999998</v>
      </c>
      <c r="Y1" s="3">
        <f>4661.4+(146.8-859.1)+(-4.754628+(-0.149736--0.876282))+0-0-0</f>
        <v>3945.0719179999996</v>
      </c>
      <c r="Z1" s="3">
        <f>4562.3+(199.1-825.9)+(-6.980319+(-0.304623--1.263627))+0-0-0</f>
        <v>3929.478685</v>
      </c>
      <c r="AA1" s="3">
        <f>4349.9+(341.6-812.6)+(-6.655347+(-0.522648--1.243278))+0-0-0</f>
        <v>3872.9652829999995</v>
      </c>
      <c r="AB1" s="3">
        <f>4181+(539.5-915.9)+(-6.39693+(-0.825435--1.401327))+0-0-0</f>
        <v>3798.7789619999999</v>
      </c>
      <c r="AC1" s="3">
        <f>4106.1+(350.7-809.4)+(-14.658777+(-1.251999--2.889558))+0-0-0</f>
        <v>3634.3787820000007</v>
      </c>
      <c r="AD1" s="2">
        <v>3984.1</v>
      </c>
      <c r="AE1" s="3">
        <f>4655+(193.7-864.6)+(0+(0-0))+0-0-0</f>
        <v>3984.1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3393.6893910000003</v>
      </c>
      <c r="G2" s="3">
        <f>3903+(91-841)+(0+(0-0))+0-0-0</f>
        <v>3153</v>
      </c>
      <c r="H2" s="3">
        <f>3902.5+(63.5-842.4)+(-5.970825+(-0.097155--1.288872))+0-0-0</f>
        <v>3118.8208919999997</v>
      </c>
      <c r="I2" s="3">
        <f>3660.7+(81-821.3)+(-5.600871+(-0.12393--1.256589))+0-0-0</f>
        <v>2915.9317879999994</v>
      </c>
      <c r="J2" s="3">
        <f>3625+(102.7-870.5)+(-5.54625+(-0.157131--1.331865))+0-0-0</f>
        <v>2852.8284839999997</v>
      </c>
      <c r="K2" s="3">
        <f>3626.2+(101.7-891.4)+(5.548086+(0.155601-1.363842))+0-0-0</f>
        <v>2840.839845</v>
      </c>
      <c r="L2" s="3">
        <f>3615.6+(134-909.7)+(-5.531868+(-0.20502--1.391841))+0-0-0</f>
        <v>2835.5549529999998</v>
      </c>
      <c r="M2" s="3">
        <f>3606.1+(190.4-1103.5)+(1.839111+(0.097104-0.562785))+0-0-0</f>
        <v>2694.3734300000001</v>
      </c>
      <c r="N2" s="3">
        <f>3474.4+(184.8-918.4)+(1.771944+(0.094248-0.468384))+0-0-0</f>
        <v>2742.1978080000004</v>
      </c>
      <c r="O2" s="3">
        <f>3860+(172.8-1103.6)+(1.9686+(0.088128-0.562836))+0-0-0</f>
        <v>2930.6938919999998</v>
      </c>
      <c r="P2" s="3">
        <f>4080.6+(286.8-1207)+(0+(0-0))+0-0-0</f>
        <v>3160.3999999999996</v>
      </c>
      <c r="Q2" s="3">
        <f>4045.9+(348.7-1106.9)+(-4.126818+(-0.355674--1.129038))+0-0-0</f>
        <v>3284.3465459999998</v>
      </c>
      <c r="R2" s="3">
        <f>4010.6+(292.9-990.7)+(0+(0-0))+0-0-0</f>
        <v>3312.7999999999997</v>
      </c>
      <c r="S2" s="3">
        <f>3808.7+(167.3-654.5)+(0+(0-0))+0-0-0</f>
        <v>3321.5</v>
      </c>
      <c r="T2" s="3">
        <f>3789+(134.2-663.8)+(-3.86478+(-0.136884--0.677076))+0-0-0</f>
        <v>3256.0754120000001</v>
      </c>
      <c r="U2" s="3">
        <f>3762.3+(98.1-663.9)+(-7.675092+(-0.200124--1.354356))+0-0-0</f>
        <v>3189.9791399999999</v>
      </c>
      <c r="V2" s="3">
        <f>3777.1+(93.2-726.5)+(3.852642+(0.095064-0.74103))+0-0-0</f>
        <v>3147.006676</v>
      </c>
      <c r="W2" s="3">
        <f>3740.9+(224.6-787.7)+(-3.815718+(-0.229092--0.803454))+0-0-0</f>
        <v>3174.5586440000002</v>
      </c>
      <c r="X2" s="3">
        <f>3836.1+(291-861.9)+(-3.912822+(-0.29682--0.879138))+0-0-0</f>
        <v>3261.8694959999998</v>
      </c>
      <c r="Y2" s="3">
        <f>4101.5+(138.2-593.2)+(0+(0-0))+0-0-0</f>
        <v>3646.5</v>
      </c>
      <c r="Z2" s="3">
        <f>4275.1+(192.7-574.6)+(-6.540903+(-0.294831--0.879138))+0-0-0</f>
        <v>3887.2434040000003</v>
      </c>
      <c r="AA2" s="3">
        <f>4172.4+(312.4-624.4)+(-4.255848+(-0.318648--0.636888))+0-0-0</f>
        <v>3856.4623919999995</v>
      </c>
      <c r="AB2" s="3">
        <f>4035.3+(572.9-819.6)+(4.116006+(0.584358-0.835992))+0-0-0</f>
        <v>3792.4643720000004</v>
      </c>
      <c r="AC2" s="3">
        <f>4004+(476.1-785.7)+(-2.04204+(-0.242811--0.400707))+0-0-0</f>
        <v>3692.515856</v>
      </c>
      <c r="AD2" s="2">
        <v>3861.4</v>
      </c>
      <c r="AE2" s="3">
        <f>4294+(147-579.6)+(0+(0-0))+0-0-0</f>
        <v>3861.4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3966.9+(295.7-782.9)+(-6.069357+(-0.452421--1.197837))+0-0-0</f>
        <v>3474.3760590000002</v>
      </c>
      <c r="G3" s="3">
        <f>3832.7+(93.2-711.1)+(-1.954677+(-0.047532--0.362661))+0-0-0</f>
        <v>3213.1604519999996</v>
      </c>
      <c r="H3" s="3">
        <f>3733+(92.9-848.1)+(-1.90383+(-0.047379--0.432531))+0-0-0</f>
        <v>2976.2813220000003</v>
      </c>
      <c r="I3" s="3">
        <f>3783.7+(175.2-1086.9)+(7.718748+(0.357408-2.217276))+0-0-0</f>
        <v>2877.8588799999998</v>
      </c>
      <c r="J3" s="3">
        <f>3754.4+(153.4-1086.2)+(0+(0-0))+0-0-0</f>
        <v>2821.6</v>
      </c>
      <c r="K3" s="3">
        <f>3770+(120.9-1087.1)+(1.9227+(0.061659-0.554421))+0-0-0</f>
        <v>2805.2299380000004</v>
      </c>
      <c r="L3" s="3">
        <f>3805.9+(158.1-1113.6)+(1.941009+(0.080631-0.567936))+0-0-0</f>
        <v>2851.8537040000001</v>
      </c>
      <c r="M3" s="3">
        <f>3781.4+(195.3-1242.2)+(-7.714056+(-0.398412--2.534088))+0-0-0</f>
        <v>2728.9216200000001</v>
      </c>
      <c r="N3" s="3">
        <f>3855.4+(160.4-1190.3)+(-1.966254+(-0.081804--0.607053))+0-0-0</f>
        <v>2824.0589949999999</v>
      </c>
      <c r="O3" s="3">
        <f>3893.9+(179.2-1073.8)+(1.985889+(0.091392-0.547638))+0-0-0</f>
        <v>3000.829643</v>
      </c>
      <c r="P3" s="3">
        <f>3905+(198.8-896)+(-1.99155+(-0.101388--0.45696))+0-0-0</f>
        <v>3206.1640220000004</v>
      </c>
      <c r="Q3" s="3">
        <f>3916.7+(398.5-967.7)+(0+(0-0))+0-0-0</f>
        <v>3347.5</v>
      </c>
      <c r="R3" s="3">
        <f>3913.6+(441.1-1017.5)+(-9.97968+(-1.124805--2.594625))+0-0-0</f>
        <v>3328.6901399999997</v>
      </c>
      <c r="S3" s="3">
        <f>3888+(323.2-880.3)+(3.96576+(0.329664-0.897906))+0-0-0</f>
        <v>3334.2975180000003</v>
      </c>
      <c r="T3" s="3">
        <f>3817.9+(224.1-814.3)+(-3.894258+(-0.228582--0.830586))+0-0-0</f>
        <v>3224.4077460000003</v>
      </c>
      <c r="U3" s="3">
        <f>3791.8+(236.6-822.1)+(-7.735272+(-0.482664--1.677084))+0-0-0</f>
        <v>3199.7591480000001</v>
      </c>
      <c r="V3" s="3">
        <f>3791+(109.8-739.1)+(0+(0-0))+0-0-0</f>
        <v>3161.7</v>
      </c>
      <c r="W3" s="3">
        <f>3853.6+(131.7-792.5)+(1.965336+(0.067167-0.404175))+0-0-0</f>
        <v>3194.428328</v>
      </c>
      <c r="X3" s="3">
        <f>3939.5+(125.4-823.6)+(-6.027435+(-0.191862--1.260108))+0-0-0</f>
        <v>3236.340811</v>
      </c>
      <c r="Y3" s="3">
        <f>4122.2+(74.8-578.2)+(0+(0-0))+0-0-0</f>
        <v>3618.7999999999997</v>
      </c>
      <c r="Z3" s="3">
        <f>4187.1+(162.8-524.4)+(-12.812526+(-0.498168--1.604664))+0-0-0</f>
        <v>3813.7939700000006</v>
      </c>
      <c r="AA3" s="3">
        <f>4081.8+(314.3-614.6)+(-2.081718+(-0.160293--0.313446))+0-0-0</f>
        <v>3779.5714349999998</v>
      </c>
      <c r="AB3" s="3">
        <f>4028.8+(374.7-693.4)+(-4.109376+(-0.382194--0.707268))+0-0-0</f>
        <v>3706.3156980000003</v>
      </c>
      <c r="AC3" s="3">
        <f>4045.6+(383.4-788.7)+(-6.189768+(-0.586602--1.206711))+0-0-0</f>
        <v>3634.730341</v>
      </c>
      <c r="AD3" s="2">
        <v>3801</v>
      </c>
      <c r="AE3" s="3">
        <f>4218+(122.2-539.2)+(0+(0-0))+0-0-0</f>
        <v>3801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3991.8+(148.1-716.4)+(-4.071636+(-0.151062--0.730728))+0-0-0</f>
        <v>3420.00803</v>
      </c>
      <c r="G4" s="3">
        <f>3861.3+(47.5-761.1)+(-5.907789+(-0.072675--1.164483))+0-0-0</f>
        <v>3142.8840190000001</v>
      </c>
      <c r="H4" s="3">
        <f>3627.6+(40-700.7)+(-1.850076+(-0.0204--0.357357))+0-0-0</f>
        <v>2965.3868809999994</v>
      </c>
      <c r="I4" s="3">
        <f>3562+(67.2-810.8)+(0+(0-0))+0-0-0</f>
        <v>2818.4</v>
      </c>
      <c r="J4" s="3">
        <f>3479.8+(57.2-790.9)+(-5.324094+(-0.087516--1.210077))+8.8-0-0</f>
        <v>2750.6984670000006</v>
      </c>
      <c r="K4" s="3">
        <f>3446.3+(48.4-746.9)+(-1.757613+(-0.024684--0.380919))+0-0-0</f>
        <v>2746.3986220000002</v>
      </c>
      <c r="L4" s="3">
        <f>3517.5+(136.1-878.5)+(-7.1757+(-0.277644--1.79214))+0-0-0</f>
        <v>2769.4387959999999</v>
      </c>
      <c r="M4" s="3">
        <f>3501.8+(144.9-1020.8)+(-10.715508+(-0.443394--3.123648))+0-0-0</f>
        <v>2617.8647460000002</v>
      </c>
      <c r="N4" s="3">
        <f>3617.9+(111.6-1033.6)+(3.690258+(0.113832-1.054272))+0-0-0</f>
        <v>2698.6498179999999</v>
      </c>
      <c r="O4" s="3">
        <f>3716.8+(175.3-1014.8)+(1.895568+(0.089403-0.517548))+0-0-0</f>
        <v>2878.7674230000002</v>
      </c>
      <c r="P4" s="3">
        <f>3811.9+(169.8-900.5)+(3.888138+(0.173196-0.91851))+0-0-0</f>
        <v>3084.3428239999998</v>
      </c>
      <c r="Q4" s="3">
        <f>3799.2+(265.3-817.3)+(0+(0-0))+0-0-0</f>
        <v>3247.2</v>
      </c>
      <c r="R4" s="3">
        <f>3834.2+(364.3-928.6)+(-9.77721+(-0.928965--2.36793))+0-0-0</f>
        <v>3261.5617549999997</v>
      </c>
      <c r="S4" s="3">
        <f>3828.9+(373-956.2)+(-7.810956+(-0.76092--1.950648))+0-0-0</f>
        <v>3239.0787719999998</v>
      </c>
      <c r="T4" s="3">
        <f>3814.4+(419.7-1014.6)+(-3.890688+(-0.428094--1.034892))+0-0-0</f>
        <v>3216.2161099999998</v>
      </c>
      <c r="U4" s="3">
        <f>3752.9+(418.4-981.3)+(-5.741937+(-0.640152--1.501389))+0-0-0</f>
        <v>3185.1192999999998</v>
      </c>
      <c r="V4" s="3">
        <f>3754.3+(422-1005.2)+(1.914693+(0.21522-0.512652))+0-0-0</f>
        <v>3172.7172610000002</v>
      </c>
      <c r="W4" s="3">
        <f>3724.8+(363-896.9)+(7.598592+(0.74052-1.829676))+0-0-0</f>
        <v>3197.4094359999999</v>
      </c>
      <c r="X4" s="3">
        <f>3862.9+(286.6-846.9)+(-1.970079+(-0.146166--0.431919))+0-0-0</f>
        <v>3300.9156740000003</v>
      </c>
      <c r="Y4" s="3">
        <f>4107.1+(148.5-631)+(0+(0-0))+0-0-0</f>
        <v>3624.6000000000004</v>
      </c>
      <c r="Z4" s="3">
        <f>4096.4+(282.4-516.8)+(-10.44582+(-0.72012--1.31784))+0-0-0</f>
        <v>3852.1518999999994</v>
      </c>
      <c r="AA4" s="3">
        <f>4002.2+(540.2-698.4)+(-8.164488+(-1.102008--1.424736))+0-0-0</f>
        <v>3836.1582400000002</v>
      </c>
      <c r="AB4" s="3">
        <f>3869.8+(545.2-663.4)+(0+(0-0))+0-0-0</f>
        <v>3751.6000000000004</v>
      </c>
      <c r="AC4" s="3">
        <f>3838.9+(333.3-537.4)+(1.957839+(0.169983-0.274074))+0-0-0</f>
        <v>3636.6537480000002</v>
      </c>
      <c r="AD4" s="2">
        <v>3861.5</v>
      </c>
      <c r="AE4" s="3">
        <f>4082+(379-599.5)+(0+(0-0))+0-0-0</f>
        <v>3861.5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3708.6+(149.8-489.8)+(-9.45693+(-0.38199--1.24899))+0-0-0</f>
        <v>3360.0100699999998</v>
      </c>
      <c r="G5" s="3">
        <f>3699.1+(135.2-624.8)+(-7.546164+(-0.275808--1.274592))+0-0-0</f>
        <v>3202.95262</v>
      </c>
      <c r="H5" s="3">
        <f>3695.9+(258.6-828.5)+(1.884909+(0.131886-0.422535))+0-0-0</f>
        <v>3127.5942599999998</v>
      </c>
      <c r="I5" s="3">
        <f>3599+(326.7-772.2)+(-11.01294+(-0.999702--2.362932))+0-0-0</f>
        <v>3143.8502899999999</v>
      </c>
      <c r="J5" s="3">
        <f>3553+(225-855.5)+(-3.62406+(-0.2295--0.87261))+0-0-0</f>
        <v>2919.5190499999999</v>
      </c>
      <c r="K5" s="3">
        <f>3607.6+(208.4-877.6)+(3.679752+(0.212568-0.895152))+0-0-0</f>
        <v>2941.3971679999995</v>
      </c>
      <c r="L5" s="3">
        <f>3700.8+(284.9-985.6)+(-5.662224+(-0.435897--1.507968))+0-0-0</f>
        <v>2995.5098470000003</v>
      </c>
      <c r="M5" s="3">
        <f>3779.3+(349.8-1191.5)+(-1.927443+(-0.178398--0.607665))+0-0-0</f>
        <v>2936.1018240000003</v>
      </c>
      <c r="N5" s="3">
        <f>3946.3+(498.1-1267.3)+(2.012613+(0.254031-0.646323))+0-0-0</f>
        <v>3178.7203210000002</v>
      </c>
      <c r="O5" s="3">
        <f>4002.5+(536.3-1143.8)+(2.041275+(0.273513-0.583338))+0-0-0</f>
        <v>3396.7314500000002</v>
      </c>
      <c r="P5" s="3">
        <f>4002.2+(405.4-819.2)+(0+(0-0))+0-0-0</f>
        <v>3588.3999999999996</v>
      </c>
      <c r="Q5" s="3">
        <f>4067.8+(470.4-798.6)+(2.074578+(0.239904-0.407286))+0-0-0</f>
        <v>3741.5071960000005</v>
      </c>
      <c r="R5" s="3">
        <f>4074.8+(567.4-806.2)+(-8.312592+(-1.157496--1.644648))+0-0-0</f>
        <v>3828.1745599999999</v>
      </c>
      <c r="S5" s="3">
        <f>4010.3+(502.5-830.2)+(-6.135759+(-0.768825--1.270206))+0-0-0</f>
        <v>3676.9656220000002</v>
      </c>
      <c r="T5" s="3">
        <f>4011.8+(492.2-873.3)+(-2.046018+(-0.251022--0.445383))+0-0-0</f>
        <v>3628.8483430000001</v>
      </c>
      <c r="U5" s="3">
        <f>3992.7+(384-824.6)+(-10.181385+(-0.9792--2.10273))+0-0-0</f>
        <v>3543.0421449999999</v>
      </c>
      <c r="V5" s="3">
        <f>3980.7+(352.2-727.9)+(0+(0-0))+0-0-0</f>
        <v>3605</v>
      </c>
      <c r="W5" s="3">
        <f>4058.4+(322-782.6)+(2.069784+(0.16422-0.399126))+0-0-0</f>
        <v>3599.6348780000003</v>
      </c>
      <c r="X5" s="3">
        <f>4149.9+(216.9-834.6)+(0+(0-0))+0-0-0</f>
        <v>3532.2</v>
      </c>
      <c r="Y5" s="3">
        <f>4312+(167.4-618.9)+(4.39824+(0.170748-0.631278))+0-0-0</f>
        <v>3864.4377100000002</v>
      </c>
      <c r="Z5" s="3">
        <f>4475+(240.3-653.6)+(-4.5645+(-0.245106--0.666672))+0-0-0</f>
        <v>4057.5570659999998</v>
      </c>
      <c r="AA5" s="3">
        <f>4419.2+(265.2-696.2)+(-6.761376+(-0.405756--1.065186))+0-0-0</f>
        <v>3982.0980539999996</v>
      </c>
      <c r="AB5" s="3">
        <f>4345.6+(245-665.7)+(2.216256+(0.12495-0.339507))+0-0-0</f>
        <v>3926.9016990000005</v>
      </c>
      <c r="AC5" s="3">
        <f>4233.8+(179.8-609.6)+(-8.636952+(-0.366792--1.243584))+0-0-0</f>
        <v>3796.2398400000002</v>
      </c>
      <c r="AD5" s="2">
        <v>4026.0000000000005</v>
      </c>
      <c r="AE5" s="3">
        <f>4462+(246.6-682.6)+(0+(0-0))+0-0-0</f>
        <v>4026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3904.1+(226.7-573.4)+(-5.973273+(-0.346851--0.877302))+0-0-0</f>
        <v>3551.9571780000001</v>
      </c>
      <c r="G6" s="3">
        <f>3862+(99.7-701.3)+(-9.8481+(-0.254235--1.788315))+0-0-0</f>
        <v>3252.0859800000003</v>
      </c>
      <c r="H6" s="3">
        <f>3849.3+(96-903.1)+(-5.889429+(-0.14688--1.381743))+0-0-0</f>
        <v>3037.5454340000001</v>
      </c>
      <c r="I6" s="3">
        <f>3844.8+(175.7-1086.8)+(0+(0-0))+0-0-0</f>
        <v>2933.7000000000003</v>
      </c>
      <c r="J6" s="3">
        <f>3844.5+(184.4-1134.8)+(0+(0-0))+0-0-0</f>
        <v>2894.1</v>
      </c>
      <c r="K6" s="3">
        <f>3880.4+(172.5-1153.7)+(1.979004+(0.087975-0.588387))+0-0-0</f>
        <v>2900.6785919999998</v>
      </c>
      <c r="L6" s="3">
        <f>3871.3+(253.7-1180.1)+(-1.974363+(-0.129387--0.601851))+0-0-0</f>
        <v>2943.3981010000007</v>
      </c>
      <c r="M6" s="3">
        <f>3890.6+(505-1448.3)+(0+(0-0))+0-0-0</f>
        <v>2947.3</v>
      </c>
      <c r="N6" s="3">
        <f>4193.4+(433.1-1465.6)+(0+(0-0))+0-0-0</f>
        <v>3160.8999999999996</v>
      </c>
      <c r="O6" s="3">
        <f>4306+(430.1-1346.1)+(8.78424+(0.877404-2.746044))+0-0-0</f>
        <v>3396.9155999999998</v>
      </c>
      <c r="P6" s="3">
        <f>4248.4+(413.4-1033)+(4.333368+(0.421668-1.05366))+0-0-0</f>
        <v>3632.5013759999997</v>
      </c>
      <c r="Q6" s="3">
        <f>4154+(335-704)+(-8.47416+(-0.6834--1.43616))+0-0-0</f>
        <v>3777.2786000000001</v>
      </c>
      <c r="R6" s="3">
        <f>4208.2+(379.5-772.7)+(-4.292364+(-0.38709--0.788154))+0-0-0</f>
        <v>3811.1087000000002</v>
      </c>
      <c r="S6" s="3">
        <f>4203.2+(402.1-856.7)+(-8.574528+(-0.820284--1.747668))+0-0-0</f>
        <v>3740.9528559999999</v>
      </c>
      <c r="T6" s="3">
        <f>4157.2+(427.8-919.7)+(2.120172+(0.218178-0.469047))+0-0-0</f>
        <v>3667.1693029999997</v>
      </c>
      <c r="U6" s="3">
        <f>4115.4+(480.9-1009.9)+(-6.296562+(-0.735777--1.545147))+0-0-0</f>
        <v>3580.9128079999996</v>
      </c>
      <c r="V6" s="3">
        <f>4079.2+(485.3-1053.6)+(-4.160784+(-0.495006--1.074672))+0-0-0</f>
        <v>3507.3188819999996</v>
      </c>
      <c r="W6" s="3">
        <f>4029.3+(434.1-972.6)+(-14.384601+(-1.549737--3.472182))+0-0-0</f>
        <v>3478.3378440000001</v>
      </c>
      <c r="X6" s="3">
        <f>4069.8+(381.8-939.3)+(-2.075598+(-0.194718--0.479043))+0-0-0</f>
        <v>3510.5087270000004</v>
      </c>
      <c r="Y6" s="3">
        <f>4256.6+(307.9-720.6)+(4.341732+(0.314058-0.735012))+0-0-0</f>
        <v>3847.8207780000007</v>
      </c>
      <c r="Z6" s="3">
        <f>4352.1+(388.2-665.5)+(-6.658713+(-0.593946--1.018215))+0-0-0</f>
        <v>4068.565556</v>
      </c>
      <c r="AA6" s="3">
        <f>4346.5+(395.6-742.1)+(-4.43343+(-0.403512--0.756942))+0-0-0</f>
        <v>3995.92</v>
      </c>
      <c r="AB6" s="3">
        <f>4321.7+(364.9-769.6)+(-2.204067+(-0.186099--0.392496))+0-0-0</f>
        <v>3915.0023299999998</v>
      </c>
      <c r="AC6" s="3">
        <f>4257+(321.8-779.3)+(0+(0-0))+0-0-0</f>
        <v>3799.5</v>
      </c>
      <c r="AD6" s="2">
        <v>4061</v>
      </c>
      <c r="AE6" s="3">
        <f>4336+(380.7-655.7)+(0+(0-0))+0-0-0</f>
        <v>4061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4035.5+(185.2-668.6)+(-4.11621+(-0.188904--0.681972))+0-0-0</f>
        <v>3548.476858</v>
      </c>
      <c r="G7" s="3">
        <f>3784.8+(171.1-694.1)+(-3.860496+(-0.174522--0.707982))+0-0-0</f>
        <v>3258.472964</v>
      </c>
      <c r="H7" s="3">
        <f>3754.8+(62-765.5)+(-3.829896+(-0.06324--0.78081))+0-0-0</f>
        <v>3048.1876740000002</v>
      </c>
      <c r="I7" s="3">
        <f>3779.6+(72.7-914.6)+(1.927596+(0.037077-0.466446))+0-0-0</f>
        <v>2939.1982269999999</v>
      </c>
      <c r="J7" s="3">
        <f>3755.8+(78.9-947.1)+(-3.830916+(-0.080478--0.966042))+0-0-0</f>
        <v>2884.6546480000002</v>
      </c>
      <c r="K7" s="3">
        <f>3824.2+(64.8-982)+(9.75171+(0.16524-2.5041))+0-0-0</f>
        <v>2914.4128500000002</v>
      </c>
      <c r="L7" s="3">
        <f>3804.8+(86-946)+(1.940448+(0.04386-0.48246))+0-0-0</f>
        <v>2946.3018480000001</v>
      </c>
      <c r="M7" s="3">
        <f>3845.7+(201.3-1086)+(0+(0-0))+0-0-0</f>
        <v>2961</v>
      </c>
      <c r="N7" s="3">
        <f>3954.3+(333.8-1105.4)+(-6.050079+(-0.510714--1.691262))+0-0-0</f>
        <v>3177.830469</v>
      </c>
      <c r="O7" s="3">
        <f>4066.3+(366.7-1027.6)+(-4.147626+(-0.374034--1.048152))+0-0-0</f>
        <v>3401.9264920000005</v>
      </c>
      <c r="P7" s="3">
        <f>4134.4+(255.9-761.4)+(4.217088+(0.261018-0.776628))+0-0-0</f>
        <v>3632.6014779999996</v>
      </c>
      <c r="Q7" s="3">
        <f>4175.6+(212.3-615.3)+(-8.518224+(-0.433092--1.255212))+0-0-0</f>
        <v>3764.9038960000003</v>
      </c>
      <c r="R7" s="3">
        <f>4104.8+(257.8-538.5)+(-6.280344+(-0.394434--0.823905))+0-0-0</f>
        <v>3818.2491270000005</v>
      </c>
      <c r="S7" s="3">
        <f>4004.4+(241.4-459.5)+(-8.168976+(-0.492456--0.93738))+0-0-0</f>
        <v>3778.5759480000002</v>
      </c>
      <c r="T7" s="3">
        <f>4003.3+(213.8-497)+(-8.166732+(-0.436152--1.01388))+0-0-0</f>
        <v>3712.5109960000004</v>
      </c>
      <c r="U7" s="3">
        <f>4027.3+(153.4-547)+(0+(0-0))+0-0-0</f>
        <v>3633.7000000000003</v>
      </c>
      <c r="V7" s="3">
        <f>4014.3+(125-564.7)+(-6.141879+(-0.19125--0.863991))+0-0-0</f>
        <v>3569.1308620000004</v>
      </c>
      <c r="W7" s="3">
        <f>4045.2+(103.9-601.8)+(4.126104+(0.105978-0.613836))+0-0-0</f>
        <v>3550.9182459999997</v>
      </c>
      <c r="X7" s="3">
        <f>4025.4+(137.5-595.1)+(-10.26477+(-0.350625--1.517505))+0-0-0</f>
        <v>3558.7021100000002</v>
      </c>
      <c r="Y7" s="3">
        <f>4178.5+(306.7-602.2)+(2.131035+(0.156417-0.307122))+0-0-0</f>
        <v>3884.9803299999999</v>
      </c>
      <c r="Z7" s="3">
        <f>4282.6+(592.9-774)+(-4.368252+(-0.604758--0.78948))+0-0-0</f>
        <v>4097.3164699999998</v>
      </c>
      <c r="AA7" s="3">
        <f>4237.5+(633-828.2)+(-10.805625+(-1.61415--2.11191))+0-0-0</f>
        <v>4031.992135</v>
      </c>
      <c r="AB7" s="3">
        <f>4133.5+(520.1-745.7)+(-10.540425+(-1.326255--1.901535))+0-0-0</f>
        <v>3897.934855</v>
      </c>
      <c r="AC7" s="3">
        <f>4015.6+(441.1-683.7)+(4.095912+(0.449922-0.697374))+0-0-0</f>
        <v>3776.8484600000002</v>
      </c>
      <c r="AD7" s="2">
        <v>4095.3</v>
      </c>
      <c r="AE7" s="3">
        <f>4277+(588-769.7)+(0+(0-0))+0-0-0</f>
        <v>4095.3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3893.3+(310.1-646.8)+(-7.942332+(-0.632604--1.319472))+0-0-0</f>
        <v>3549.3445360000005</v>
      </c>
      <c r="G8" s="3">
        <f>3707.6+(198.9-627.7)+(-7.563504+(-0.405756--1.280508))+0-0-0</f>
        <v>3272.1112479999997</v>
      </c>
      <c r="H8" s="3">
        <f>3623.4+(166.1-720.9)+(7.391736+(0.338844-1.470636))+0-0-0</f>
        <v>3074.8599440000003</v>
      </c>
      <c r="I8" s="3">
        <f>3612.2+(196.6-848.9)+(3.684444+(0.200532-0.865878))+0-0-0</f>
        <v>2962.9190979999998</v>
      </c>
      <c r="J8" s="3">
        <f>3561.5+(123.8-771.5)+(-9.081825+(-0.31569--1.967325))+0-0-0</f>
        <v>2906.3698100000001</v>
      </c>
      <c r="K8" s="3">
        <f>3608.9+(113.5-791.2)+(-3.681078+(-0.11577--0.807024))+0-0-0</f>
        <v>2928.2101759999996</v>
      </c>
      <c r="L8" s="3">
        <f>3647.6+(177.3-860.8)+(9.30138+(0.452115-2.19504))+0-0-0</f>
        <v>2971.6584549999998</v>
      </c>
      <c r="M8" s="3">
        <f>3647.3+(292.8-918)+(-5.580369+(-0.447984--1.40454))+0-0-0</f>
        <v>3017.4761870000002</v>
      </c>
      <c r="N8" s="3">
        <f>3706.7+(534.7-1027.9)+(3.780834+(0.545394-1.048458))+0-0-0</f>
        <v>3216.7777700000001</v>
      </c>
      <c r="O8" s="3">
        <f>3864.2+(620.3-1035.6)+(3.941484+(0.632706-1.056312))+0-0-0</f>
        <v>3452.4178779999997</v>
      </c>
      <c r="P8" s="3">
        <f>3934.9+(578.5-792.7)+(4.013598+(0.59007-0.808554))+0-0-0</f>
        <v>3724.4951139999998</v>
      </c>
      <c r="Q8" s="3">
        <f>3913.4+(530-606.6)+(1.995834+(0.2703-0.309366))+0-0-0</f>
        <v>3838.7567680000002</v>
      </c>
      <c r="R8" s="3">
        <f>3896.7+(542.4-530.1)+(0+(0-0))+0-0-0</f>
        <v>3909</v>
      </c>
      <c r="S8" s="3">
        <f>3848.4+(594.7-585.3)+(-7.850736+(-1.213188--1.194012))+0-0-0</f>
        <v>3849.9300880000001</v>
      </c>
      <c r="T8" s="3">
        <f>3877+(678.3-760.9)+(-5.93181+(-1.037799--1.164177))+0-0-0</f>
        <v>3788.594568</v>
      </c>
      <c r="U8" s="3">
        <f>3940.2+(694.1-921.8)+(-4.019004+(-0.707982--0.940236))+0-0-0</f>
        <v>3708.7132499999998</v>
      </c>
      <c r="V8" s="3">
        <f>3949.9+(659.2-983.5)+(-6.043347+(-1.008576--1.504755))+0-0-0</f>
        <v>3620.0528320000003</v>
      </c>
      <c r="W8" s="3">
        <f>3967.7+(535.1-902.3)+(-4.047054+(-0.545802--0.920346))+0-0-0</f>
        <v>3596.8274900000001</v>
      </c>
      <c r="X8" s="3">
        <f>3992.3+(421.3-761)+(2.036073+(0.214863-0.38811))+0-0-0</f>
        <v>3654.4628260000004</v>
      </c>
      <c r="Y8" s="3">
        <f>4171.4+(321-573)+(4.254828+(0.32742-0.58446))+0-0-0</f>
        <v>3923.3977879999998</v>
      </c>
      <c r="Z8" s="3">
        <f>4223.6+(421.2-559.7)+(-6.462108+(-0.644436--0.856341))+0-0-0</f>
        <v>4078.8497970000003</v>
      </c>
      <c r="AA8" s="3">
        <f>4185.4+(449.6-625.1)+(-2.134554+(-0.229296--0.318801))+0-0-0</f>
        <v>4007.8549509999998</v>
      </c>
      <c r="AB8" s="3">
        <f>4117.4+(416.1-639.6)+(0+(0-0))+0-0-0</f>
        <v>3893.8999999999996</v>
      </c>
      <c r="AC8" s="3">
        <f>4098.7+(406-734.4)+(-2.090337+(-0.20706--0.374544))+0-0-0</f>
        <v>3768.3771469999997</v>
      </c>
      <c r="AD8" s="2">
        <v>4090.8</v>
      </c>
      <c r="AE8" s="3">
        <f>4208+(450.8-568)+(0+(0-0))+0-0-0</f>
        <v>4090.8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3867.7+(424.5-797.3)+(-3.945054+(-0.43299--0.813246))+0-0-0</f>
        <v>3491.3352019999998</v>
      </c>
      <c r="G9" s="3">
        <f>3771.9+(227.5-732.2)+(-5.771007+(-0.348075--1.120266))+0-0-0</f>
        <v>3262.201184</v>
      </c>
      <c r="H9" s="3">
        <f>3727+(157-810.2)+(-1.90077+(-0.08007--0.413202))+0-0-0</f>
        <v>3072.2323620000002</v>
      </c>
      <c r="I9" s="3">
        <f>3740+(99.4-876)+(-3.8148+(-0.101388--0.89352))+0-0-0</f>
        <v>2960.377332</v>
      </c>
      <c r="J9" s="3">
        <f>3768.1+(95.5-937)+(-3.843462+(-0.09741--0.95574))+0-0-0</f>
        <v>2923.6148680000001</v>
      </c>
      <c r="K9" s="3">
        <f>3766.2+(68.3-897.7)+(1.920762+(0.034833-0.457827))+0-0-0</f>
        <v>2938.2977679999999</v>
      </c>
      <c r="L9" s="3">
        <f>3712.1+(64.8-810.4)+(3.786342+(0.066096-0.826608))+0-0-0</f>
        <v>2969.52583</v>
      </c>
      <c r="M9" s="3">
        <f>3748+(84-826.5)+(-1.91148+(-0.04284--0.421515))+0-0-0</f>
        <v>3003.9671950000002</v>
      </c>
      <c r="N9" s="3">
        <f>3822.6+(297.8-964.7)+(-1.949526+(-0.151878--0.491997))+0-0-0</f>
        <v>3154.0905929999999</v>
      </c>
      <c r="O9" s="3">
        <f>3875+(173.5-673.1)+(-1.97625+(-0.088485--0.343281))+0-0-0</f>
        <v>3373.6785460000001</v>
      </c>
      <c r="P9" s="3">
        <f>3873.4+(275.5-500.2)+(0+(0-0))+0-0-0</f>
        <v>3648.7000000000003</v>
      </c>
      <c r="Q9" s="3">
        <f>3928.4+(339.8-403)+(4.006968+(0.346596-0.41106))+0-0-0</f>
        <v>3869.1425040000004</v>
      </c>
      <c r="R9" s="3">
        <f>3889.9+(379.8-349.3)+(0+(0-0))+0-0-0</f>
        <v>3920.4</v>
      </c>
      <c r="S9" s="3">
        <f>3861.8+(359.8-362.1)+(-9.84759+(-0.91749--0.923355))+0-0-0</f>
        <v>3849.6582749999998</v>
      </c>
      <c r="T9" s="3">
        <f>3781.1+(355.7-354.1)+(-3.856722+(-0.362814--0.361182))+0-0-0</f>
        <v>3778.8416459999999</v>
      </c>
      <c r="U9" s="3">
        <f>3763.5+(300.7-372.2)+(-5.758155+(-0.460071--0.569466))+0-0-0</f>
        <v>3686.35124</v>
      </c>
      <c r="V9" s="3">
        <f>3768.5+(339.2-495.7)+(0+(0-0))+0-0-0</f>
        <v>3612</v>
      </c>
      <c r="W9" s="3">
        <f>3777.9+(266.8-479.8)+(9.633645+(0.68034-1.22349))+0-0-0</f>
        <v>3573.990495</v>
      </c>
      <c r="X9" s="3">
        <f>3896.9+(179.9-462)+(7.949676+(0.366996-0.94248))+0-0-0</f>
        <v>3622.1741920000004</v>
      </c>
      <c r="Y9" s="3">
        <f>4055.9+(308.1-495.6)+(4.137018+(0.314262-0.505512))+0-0-0</f>
        <v>3872.3457680000001</v>
      </c>
      <c r="Z9" s="3">
        <f>4015.6+(629.2-551.2)+(2.047956+(0.320892-0.281112))+0-0-0</f>
        <v>4095.6877359999999</v>
      </c>
      <c r="AA9" s="3">
        <f>3977.3+(548.8-502.7)+(0+(0-0))+0-0-0</f>
        <v>4023.4</v>
      </c>
      <c r="AB9" s="3">
        <f>3955.4+(459.4-498)+(-6.051762+(-0.702882--0.76194))+0-0-0</f>
        <v>3910.8072960000004</v>
      </c>
      <c r="AC9" s="3">
        <f>3965.7+(376-550)+(-2.022507+(-0.19176--0.2805))+0-0-0</f>
        <v>3789.7662329999998</v>
      </c>
      <c r="AD9" s="2">
        <v>4115.2</v>
      </c>
      <c r="AE9" s="3">
        <f>3980+(688-552.8)+(0+(0-0))+0-0-0</f>
        <v>4115.2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3843.6+(457.1-728.7)+(-5.880708+(-0.699363--1.114911))+0-0-0</f>
        <v>3566.5348399999998</v>
      </c>
      <c r="G10" s="3">
        <f>3611.5+(225.4-557.8)+(0+(0-0))+0-0-0</f>
        <v>3279.1</v>
      </c>
      <c r="H10" s="3">
        <f>3550.3+(205.2-689.1)+(-5.431959+(-0.313956--1.054323))+0-0-0</f>
        <v>3061.708408</v>
      </c>
      <c r="I10" s="3">
        <f>3451.8+(289.8-799.4)+(-5.281254+(-0.443394--1.223082))+0-0-0</f>
        <v>2937.6984340000004</v>
      </c>
      <c r="J10" s="3">
        <f>3428+(212.9-737.4)+(-5.24484+(-0.325737--1.128222))+0-0-0</f>
        <v>2899.0576449999999</v>
      </c>
      <c r="K10" s="3">
        <f>3439.5+(134-661.6)+(0+(0-0))+0-0-0</f>
        <v>2911.9</v>
      </c>
      <c r="L10" s="3">
        <f>3459.2+(167.4-698.8)+(0+(0-0))+0-0-0</f>
        <v>2927.7999999999997</v>
      </c>
      <c r="M10" s="3">
        <f>3421.3+(184.3-679.8)+(-1.744863+(-0.093993--0.346698))+0-0-0</f>
        <v>2924.3078420000002</v>
      </c>
      <c r="N10" s="3">
        <f>3610.2+(462.2-964.2)+(0+(0-0))+0-0-0</f>
        <v>3108.2</v>
      </c>
      <c r="O10" s="3">
        <f>3720.7+(407-816.3)+(-3.795114+(-0.41514--0.832626))+0-0-0</f>
        <v>3308.0223719999995</v>
      </c>
      <c r="P10" s="3">
        <f>3745.1+(277.4-486.7)+(-1.910001+(-0.141474--0.248217))+0-0-0</f>
        <v>3533.9967419999998</v>
      </c>
      <c r="Q10" s="3">
        <f>3721+(347.5-374.3)+(-3.79542+(-0.35445--0.381786))+0-0-0</f>
        <v>3690.431916</v>
      </c>
      <c r="R10" s="3">
        <f>3721.5+(373.9-366.4)+(-1.897965+(-0.190689--0.186864))+0-0-0</f>
        <v>3727.0982100000001</v>
      </c>
      <c r="S10" s="3">
        <f>3689.5+(333.1-362.3)+(-7.52658+(-0.679524--0.739092))+0-0-0</f>
        <v>3652.8329880000001</v>
      </c>
      <c r="T10" s="3">
        <f>3677.1+(346.2-433.4)+(1.875321+(0.176562-0.221034))+0-0-0</f>
        <v>3591.730849</v>
      </c>
      <c r="U10" s="3">
        <f>3655.6+(328.3-438.5)+(-3.728712+(-0.334866--0.44727))+0-0-0</f>
        <v>3541.783692</v>
      </c>
      <c r="V10" s="3">
        <f>3642.7+(435-579.4)+(-1.857777+(-0.22185--0.295494))+0-0-0</f>
        <v>3496.5158669999996</v>
      </c>
      <c r="W10" s="3">
        <f>3751.6+(578.4-877.6)+(-5.739948+(-0.884952--1.342728))+0-0-0</f>
        <v>3447.1178279999995</v>
      </c>
      <c r="X10" s="3">
        <f>3819.5+(596.2-892)+(-3.89589+(-0.608124--0.90984))+0-0-0</f>
        <v>3520.105826</v>
      </c>
      <c r="Y10" s="3">
        <f>3975.3+(411-493.6)+(4.054806+(0.41922-0.503472))+0-0-0</f>
        <v>3896.6705540000003</v>
      </c>
      <c r="Z10" s="3">
        <f>4137.3+(615.6-751.6)+(-12.660138+(-1.883736--2.299896))+0-0-0</f>
        <v>3989.0560220000002</v>
      </c>
      <c r="AA10" s="3">
        <f>4169.4+(532.6-782.7)+(0+(0-0))+0-0-0</f>
        <v>3919.2999999999997</v>
      </c>
      <c r="AB10" s="3">
        <f>4126.1+(608.7-903.7)+(-2.104311+(-0.310437--0.460887))+0-0-0</f>
        <v>3829.1461390000004</v>
      </c>
      <c r="AC10" s="3">
        <f>4096.1+(676.1-1090.9)+(-8.356044+(-1.379244--2.225436))+0-0-0</f>
        <v>3673.790148</v>
      </c>
      <c r="AD10" s="2">
        <v>4006.8</v>
      </c>
      <c r="AE10" s="3">
        <f>4084+(677-754.2)+(0+(0-0))+0-0-0</f>
        <v>4006.8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3914.7+(634.8-993.8)+(-3.992994+(-0.647496--1.013676))+0-0-0</f>
        <v>3552.0731859999996</v>
      </c>
      <c r="G11" s="3">
        <f>3339.3+(495.5-548.3)+(-5.109129+(-0.758115--0.838899))+0-0-0</f>
        <v>3281.4716549999998</v>
      </c>
      <c r="H11" s="3">
        <f>3242.3+(264.4-464.4)+(-4.960719+(-0.404532--0.710532))+0-0-0</f>
        <v>3037.6452810000001</v>
      </c>
      <c r="I11" s="3">
        <f>3246.5+(167.7-502.2)+(-1.655715+(-0.085527--0.256122))+0-0-0</f>
        <v>2910.5148800000002</v>
      </c>
      <c r="J11" s="3">
        <f>3257.8+(132.5-547.5)+(3.322956+(0.13515-0.55845))+0-0-0</f>
        <v>2845.6996560000002</v>
      </c>
      <c r="K11" s="3">
        <f>3257.1+(122.4-514.5)+(0+(0-0))+0-0-0</f>
        <v>2865</v>
      </c>
      <c r="L11" s="3">
        <f>3255.6+(158-604.9)+(-6.641424+(-0.32232--1.233996))+0-0-0</f>
        <v>2802.9702519999996</v>
      </c>
      <c r="M11" s="3">
        <f>3215.1+(189.5-686.6)+(-1.639701+(-0.096645--0.350166))+0-0-0</f>
        <v>2716.61382</v>
      </c>
      <c r="N11" s="3">
        <f>3266.1+(222.9-720.5)+(-3.331422+(-0.227358--0.73491))+0-0-0</f>
        <v>2765.6761299999998</v>
      </c>
      <c r="O11" s="3">
        <f>3471.9+(434.4-880.5)+(-1.770669+(-0.221544--0.449055))+0-0-0</f>
        <v>3024.2568420000002</v>
      </c>
      <c r="P11" s="3">
        <f>3517.9+(497.6-712.7)+(-3.588258+(-0.507552--0.726954))+0-0-0</f>
        <v>3299.4311440000001</v>
      </c>
      <c r="Q11" s="3">
        <f>3482.4+(445.2-485.2)+(-5.328072+(-0.681156--0.742356))+0-0-0</f>
        <v>3437.1331279999999</v>
      </c>
      <c r="R11" s="3">
        <f>3450.7+(489.6-464.1)+(-3.519714+(-0.499392--0.473382))+0-0-0</f>
        <v>3472.6542759999998</v>
      </c>
      <c r="S11" s="3">
        <f>3425.5+(440.4-431.7)+(-5.241015+(-0.673812--0.660501))+0-0-0</f>
        <v>3428.9456739999996</v>
      </c>
      <c r="T11" s="3">
        <f>3409.2+(373.1-372.2)+(-5.216076+(-0.570843--0.569466))+0-0-0</f>
        <v>3404.8825469999997</v>
      </c>
      <c r="U11" s="3">
        <f>3425.5+(435.2-466.3)+(-5.241015+(-0.665856--0.713439))+0-0-0</f>
        <v>3389.2065680000001</v>
      </c>
      <c r="V11" s="3">
        <f>3412.4+(529.1-543.5)+(-10.441944+(-1.619046--1.66311))+0-0-0</f>
        <v>3387.60212</v>
      </c>
      <c r="W11" s="3">
        <f>3331.8+(599.6-424.3)+(-3.398436+(-0.611592--0.432786))+0-0-0</f>
        <v>3503.5227580000005</v>
      </c>
      <c r="X11" s="3">
        <f>3305.6+(516.3-258.3)+(1.685856+(0.263313-0.131733))+0-0-0</f>
        <v>3565.4174359999997</v>
      </c>
      <c r="Y11" s="3">
        <f>3478.4+(705.3-253.5)+(0+(0-0))+0-0-0</f>
        <v>3930.2</v>
      </c>
      <c r="Z11" s="3">
        <f>3537.8+(810.9-408.5)+(-7.217112+(-1.654236--0.83334))+0-0-0</f>
        <v>3932.1619920000003</v>
      </c>
      <c r="AA11" s="3">
        <f>3527.8+(798.3-427.7)+(-3.598356+(-0.814266--0.436254))+0-0-0</f>
        <v>3894.423632</v>
      </c>
      <c r="AB11" s="3">
        <f>3454+(679-369.7)+(-1.76154+(-0.34629--0.188547))+0-0-0</f>
        <v>3761.380717</v>
      </c>
      <c r="AC11" s="3">
        <f>3463.6+(546.8-441.7)+(-5.299308+(-0.836604--0.675801))+0-0-0</f>
        <v>3563.2398889999999</v>
      </c>
      <c r="AD11" s="2">
        <v>3982.3999999999996</v>
      </c>
      <c r="AE11" s="3">
        <f>3536+(852.4-406)+(0+(0-0))+0-0-0</f>
        <v>3982.4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3430.7+(417.8-458.1)+(-5.248971+(-0.639234--0.700893))+0-0-0</f>
        <v>3385.2126879999996</v>
      </c>
      <c r="G12" s="3">
        <f>3402.3+(269.4-538.8)+(-3.470346+(-0.274788--0.549576))+0-0-0</f>
        <v>3129.7044420000002</v>
      </c>
      <c r="H12" s="3">
        <f>3285.1+(348.5-641.1)+(3.350802+(0.35547-0.653922))+0-0-0</f>
        <v>2995.5523499999999</v>
      </c>
      <c r="I12" s="3">
        <f>3267.4+(310.5-721.1)+(4.999122+(0.475065-1.103283))+0-0-0</f>
        <v>2861.1709040000001</v>
      </c>
      <c r="J12" s="3">
        <f>3254.4+(276.4-693.6)+(1.659744+(0.140964-0.353736))+0-0-0</f>
        <v>2838.646972</v>
      </c>
      <c r="K12" s="3">
        <f>3261.6+(278.5-727.8)+(4.990248+(0.426105-1.113534))+0-0-0</f>
        <v>2816.6028190000002</v>
      </c>
      <c r="L12" s="3">
        <f>3254.4+(271.2-711.4)+(-4.979232+(-0.414936--1.088442))+0-0-0</f>
        <v>2809.8942740000002</v>
      </c>
      <c r="M12" s="3">
        <f>3142.2+(190-623.2)+(-3.205044+(-0.1938--0.635664))+0-0-0</f>
        <v>2706.2368200000001</v>
      </c>
      <c r="N12" s="3">
        <f>3200.8+(310.8-719.2)+(-1.632408+(-0.158508--0.366792))+0-0-0</f>
        <v>2790.975876</v>
      </c>
      <c r="O12" s="3">
        <f>3429.4+(309.4-717.9)+(3.497988+(0.315588-0.732258))+0-0-0</f>
        <v>3023.9813180000001</v>
      </c>
      <c r="P12" s="3">
        <f>3526.2+(243.7-506.7)+(5.395086+(0.372861-0.775251))+0-0-0</f>
        <v>3268.1926959999996</v>
      </c>
      <c r="Q12" s="3">
        <f>3464.8+(366.7-407.6)+(-1.767048+(-0.187017--0.207876))+0-0-0</f>
        <v>3422.1538110000001</v>
      </c>
      <c r="R12" s="3">
        <f>3451.1+(419-366.4)+(-3.520122+(-0.42738--0.373728))+0-0-0</f>
        <v>3500.1262259999999</v>
      </c>
      <c r="S12" s="3">
        <f>3482.4+(353.2-360.6)+(0+(0-0))+0-0-0</f>
        <v>3475</v>
      </c>
      <c r="T12" s="3">
        <f>3485.3+(306.6-366.9)+(1.777503+(0.156366-0.187119))+0-0-0</f>
        <v>3426.7467499999998</v>
      </c>
      <c r="U12" s="3">
        <f>3470.7+(297.1-414.3)+(-1.770057+(-0.151521--0.211293))+0-0-0</f>
        <v>3351.7897149999999</v>
      </c>
      <c r="V12" s="3">
        <f>3485.9+(434-550.8)+(5.333427+(0.66402-0.842724))+0-0-0</f>
        <v>3374.2547230000005</v>
      </c>
      <c r="W12" s="3">
        <f>3469.2+(269.3-372.7)+(-3.538584+(-0.274686--0.380154))+0-0-0</f>
        <v>3362.3668839999996</v>
      </c>
      <c r="X12" s="3">
        <f>3511.2+(290-400.5)+(-1.790712+(-0.1479--0.204255))+0-0-0</f>
        <v>3398.965643</v>
      </c>
      <c r="Y12" s="3">
        <f>3637.9+(406.3-413.4)+(3.710658+(0.414426-0.421668))+0-0-0</f>
        <v>3634.503416</v>
      </c>
      <c r="Z12" s="3">
        <f>3668+(683.7-551)+(1.87068+(0.348687-0.28101))+0-0-0</f>
        <v>3802.6383569999998</v>
      </c>
      <c r="AA12" s="3">
        <f>3620.8+(695-523.6)+(1.846608+(0.35445-0.267036))+0-0-0</f>
        <v>3794.1340220000002</v>
      </c>
      <c r="AB12" s="3">
        <f>3567.1+(679.9-448.8)+(-3.638442+(-0.693498--0.457776))+0-0-0</f>
        <v>3794.325836</v>
      </c>
      <c r="AC12" s="3">
        <f>3571.2+(587.3-425.1)+(-1.821312+(-0.299523--0.216801))+0-0-0</f>
        <v>3731.4959659999995</v>
      </c>
      <c r="AD12" s="2">
        <v>4026</v>
      </c>
      <c r="AE12" s="3">
        <f>3659+(823.7-456.7)+(0+(0-0))+0-0-0</f>
        <v>4026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3561.1+(441.3-445.4)+(-1.816161+(-0.225063--0.227154))+0-0-0</f>
        <v>3555.1859300000001</v>
      </c>
      <c r="G13" s="3">
        <f>3387.4+(298.1-448.5)+(-3.455148+(-0.304062--0.45747))+0-0-0</f>
        <v>3233.6982600000001</v>
      </c>
      <c r="H13" s="3">
        <f>3144.9+(366.1-510.6)+(-3.207798+(-0.373422--0.520812))+0-0-0</f>
        <v>2997.3395920000003</v>
      </c>
      <c r="I13" s="3">
        <f>3105.8+(224.7-489.8)+(0+(0-0))+0-0-0</f>
        <v>2840.7000000000003</v>
      </c>
      <c r="J13" s="3">
        <f>3118+(164.1-472.1)+(1.59018+(0.083691-0.240771))+0-0-0</f>
        <v>2811.4331000000002</v>
      </c>
      <c r="K13" s="3">
        <f>3129.2+(147.6-455.3)+(3.191784+(0.150552-0.464406))+0-0-0</f>
        <v>2824.3779300000001</v>
      </c>
      <c r="L13" s="3">
        <f>3132.5+(120.6-517)+(0+(0-0))+0-0-0</f>
        <v>2736.1</v>
      </c>
      <c r="M13" s="3">
        <f>3120.8+(89.3-562.7)+(-1.591608+(-0.045543--0.286977))+0-0-0</f>
        <v>2646.0498259999999</v>
      </c>
      <c r="N13" s="3">
        <f>3118.3+(88.2-523.9)+(3.180666+(0.089964-0.534378))+0-0-0</f>
        <v>2685.3362520000005</v>
      </c>
      <c r="O13" s="3">
        <f>3104.4+(176.7-496.5)+(-1.583244+(-0.090117--0.253215))+0-0-0</f>
        <v>2783.179854</v>
      </c>
      <c r="P13" s="3">
        <f>3068.9+(254.9-445.4)+(-7.825695+(-0.649995--1.13577))+0-0-0</f>
        <v>2871.0600800000002</v>
      </c>
      <c r="Q13" s="3">
        <f>3045+(255.1-410.3)+(-1.55295+(-0.130101--0.209253))+0-0-0</f>
        <v>2888.3262020000002</v>
      </c>
      <c r="R13" s="3">
        <f>2894.8+(289.3-326.6)+(0+(0-0))+0-0-0</f>
        <v>2857.5</v>
      </c>
      <c r="S13" s="3">
        <f>2885.5+(244.2-319.1)+(0+(0-0))+0-0-0</f>
        <v>2810.6</v>
      </c>
      <c r="T13" s="3">
        <f>2879.2+(206.7-331.9)+(-2.936784+(-0.210834--0.338538))+0-0-0</f>
        <v>2751.19092</v>
      </c>
      <c r="U13" s="3">
        <f>2877.6+(179.6-337)+(-1.467576+(-0.091596--0.17187))+0-0-0</f>
        <v>2718.8126979999997</v>
      </c>
      <c r="V13" s="3">
        <f>2932+(173.6-377.7)+(1.49532+(0.088536-0.192627))+0-0-0</f>
        <v>2729.2912289999999</v>
      </c>
      <c r="W13" s="3">
        <f>3081.3+(145.3-413.6)+(-1.571463+(-0.074103--0.210936))+0-0-0</f>
        <v>2811.5653699999998</v>
      </c>
      <c r="X13" s="3">
        <f>3245.1+(155.8-457.5)+(-3.310002+(-0.158916--0.46665))+0-0-0</f>
        <v>2940.3977319999999</v>
      </c>
      <c r="Y13" s="3">
        <f>3400.3+(303.2-331.3)+(1.734153+(0.154632-0.168963))+0-0-0</f>
        <v>3373.9198220000003</v>
      </c>
      <c r="Z13" s="3">
        <f>3437.6+(978.6-560.7)+(-3.506352+(-0.998172--0.571914))+0-0-0</f>
        <v>3851.5673900000002</v>
      </c>
      <c r="AA13" s="3">
        <f>3438.1+(998-525.8)+(-1.753431+(-0.50898--0.268158))+0-0-0</f>
        <v>3908.3057470000003</v>
      </c>
      <c r="AB13" s="3">
        <f>3368.4+(896-442.9)+(-3.435768+(-0.91392--0.451758))+0-0-0</f>
        <v>3817.6020699999999</v>
      </c>
      <c r="AC13" s="3">
        <f>3360.1+(600-360.1)+(-1.713651+(-0.306--0.183651))+0-0-0</f>
        <v>3598.1640000000002</v>
      </c>
      <c r="AD13" s="2">
        <v>3931.5</v>
      </c>
      <c r="AE13" s="3">
        <f>3471+(1050.8-590.3)+(0+(0-0))+0-0-0</f>
        <v>3931.5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3369+(402-502.3)+(-3.43638+(-0.41004--0.512346))+0-0-0</f>
        <v>3265.3659259999999</v>
      </c>
      <c r="G14" s="3">
        <f>3236.2+(231.8-494.5)+(-3.300924+(-0.236436--0.50439))+0-0-0</f>
        <v>2970.4670299999998</v>
      </c>
      <c r="H14" s="3">
        <f>3096.5+(164.2-450.4)+(-3.15843+(-0.167484--0.459408))+0-0-0</f>
        <v>2807.4334940000003</v>
      </c>
      <c r="I14" s="3">
        <f>3174.2+(109.1-534.5)+(-3.237684+(-0.111282--0.54519))+0-0-0</f>
        <v>2745.9962239999995</v>
      </c>
      <c r="J14" s="3">
        <f>3293.5+(61.9-605.2)+(-3.35937+(-0.063138--0.617304))+0-0-0</f>
        <v>2747.394796</v>
      </c>
      <c r="K14" s="3">
        <f>3435.9+(37.2-657.9)+(1.752309+(0.018972-0.335529))+0-0-0</f>
        <v>2816.6357520000001</v>
      </c>
      <c r="L14" s="3">
        <f>3716.9+(27-739.1)+(0+(0-0))+0-0-0</f>
        <v>3004.8</v>
      </c>
      <c r="M14" s="3">
        <f>4114.7+(39.6-902)+(2.098497+(0.020196-0.46002))+0-0-0</f>
        <v>3253.9586729999996</v>
      </c>
      <c r="N14" s="3">
        <f>4551.4+(193.9-1102)+(-2.321214+(-0.098889--0.56202))+0-0-0</f>
        <v>3641.4419169999996</v>
      </c>
      <c r="O14" s="3">
        <f>4669.4+(145.1-805.4)+(0+(0-0))+0-0-0</f>
        <v>4009.0999999999995</v>
      </c>
      <c r="P14" s="3">
        <f>4795.8+(166-621.7)+(0+(0-0))+0-0-0</f>
        <v>4340.1000000000004</v>
      </c>
      <c r="Q14" s="3">
        <f>5076.1+(183-703.5)+(-2.588811+(-0.09333--0.358785))+0-0-0</f>
        <v>4553.2766440000005</v>
      </c>
      <c r="R14" s="3">
        <f>5116.8+(151-665.2)+(-5.219136+(-0.15402--0.678504))+0-0-0</f>
        <v>4597.9053480000002</v>
      </c>
      <c r="S14" s="3">
        <f>5057.6+(159.1-667.3)+(-10.317504+(-0.324564--1.361292))+0-0-0</f>
        <v>4540.1192240000009</v>
      </c>
      <c r="T14" s="3">
        <f>5080.3+(172.5-734.2)+(-7.772859+(-0.263925--1.123326))+0-0-0</f>
        <v>4511.6865420000004</v>
      </c>
      <c r="U14" s="3">
        <f>5008.4+(198-794.7)+(-5.108568+(-0.20196--0.810594))+0-0-0</f>
        <v>4407.2000659999994</v>
      </c>
      <c r="V14" s="3">
        <f>5028+(227.4-958.9)+(0+(0-0))+0-0-0</f>
        <v>4296.5</v>
      </c>
      <c r="W14" s="3">
        <f>4979.3+(124.7-879.8)+(-2.539443+(-0.063597--0.448698))+0-0-0</f>
        <v>4222.0456580000009</v>
      </c>
      <c r="X14" s="3">
        <f>5085+(104.9-936.8)+(-2.59335+(-0.053499--0.477768))+0-0-0</f>
        <v>4250.9309190000004</v>
      </c>
      <c r="Y14" s="3">
        <f>5287.1+(121.8-844.9)+(2.696421+(0.062118-0.430899))+0-0-0</f>
        <v>4566.3276400000004</v>
      </c>
      <c r="Z14" s="3">
        <f>5461.6+(293.3-901.1)+(-16.712496+(-0.897498--2.757366))+0-0-0</f>
        <v>4838.9473720000005</v>
      </c>
      <c r="AA14" s="3">
        <f>5438.3+(183.5-878.6)+(-8.320599+(-0.280755--1.344258))+0-0-0</f>
        <v>4735.9429039999995</v>
      </c>
      <c r="AB14" s="3">
        <f>5298+(256.9-1019.5)+(-2.70198+(-0.131019--0.519945))+0-0-0</f>
        <v>4533.0869459999994</v>
      </c>
      <c r="AC14" s="3">
        <f>4920.2+(215.2-918.3)+(-7.527906+(-0.329256--1.404999))+0-0-0</f>
        <v>4210.6478370000004</v>
      </c>
      <c r="AD14" s="2">
        <v>4859.3</v>
      </c>
      <c r="AE14" s="3">
        <f>5428+(325.7-894.4)+(0+(0-0))+0-0-0</f>
        <v>4859.3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4803.5+(124.8-1160.6)+(-9.79914+(-0.254592--2.367624))+0-0-0</f>
        <v>3760.0138919999999</v>
      </c>
      <c r="G15" s="3">
        <f>4719+(109.5-1389.3)+(-12.03345+(-0.279225--3.542715))+0-0-0</f>
        <v>3430.4300399999997</v>
      </c>
      <c r="H15" s="3">
        <f>4545.6+(75.1-1384.6)+(-11.59128+(-0.191505--3.53073))+0-0-0</f>
        <v>3227.8479450000004</v>
      </c>
      <c r="I15" s="3">
        <f>4303+(110.4-1266.5)+(-4.38906+(-0.112608--1.29183))+0-0-0</f>
        <v>3143.6901619999999</v>
      </c>
      <c r="J15" s="3">
        <f>4193.8+(157.5-1214.8)+(2.138838+(0.080325-0.619548))+0-0-0</f>
        <v>3138.0996150000001</v>
      </c>
      <c r="K15" s="3">
        <f>4189.9+(139.2-1150.3)+(-2.136849+(-0.070992--0.586653))+0-0-0</f>
        <v>3177.1788119999997</v>
      </c>
      <c r="L15" s="3">
        <f>4221.6+(185.6-1050.6)+(2.153016+(0.094656-0.535806))+0-0-0</f>
        <v>3358.3118660000005</v>
      </c>
      <c r="M15" s="3">
        <f>4296.9+(242.2-879.6)+(-2.191419+(-0.123522--0.448596))+0-0-0</f>
        <v>3657.6336549999996</v>
      </c>
      <c r="N15" s="3">
        <f>4601.6+(436-935.5)+(0+(0-0))+0-0-0</f>
        <v>4102.1000000000004</v>
      </c>
      <c r="O15" s="3">
        <f>4750+(582.2-900)+(-4.845+(-0.593844--0.918))+0-0-0</f>
        <v>4427.6791560000001</v>
      </c>
      <c r="P15" s="3">
        <f>4781.8+(565.2-591.8)+(-2.438718+(-0.288252--0.301818))+0-0-0</f>
        <v>4752.7748480000009</v>
      </c>
      <c r="Q15" s="3">
        <f>4797.7+(676.4-514.9)+(-12.234135+(-1.72482--1.312995))+0-0-0</f>
        <v>4946.55404</v>
      </c>
      <c r="R15" s="3">
        <f>4704.2+(662-462)+(-4.798284+(-0.67524--0.47124))+0-0-0</f>
        <v>4899.1977159999997</v>
      </c>
      <c r="S15" s="3">
        <f>4674.2+(684-474)+(-11.91921+(-1.7442--1.2087))+0-0-0</f>
        <v>4871.7452899999998</v>
      </c>
      <c r="T15" s="3">
        <f>4660+(681-544)+(-11.883+(-1.73655--1.3872))+0-0-0</f>
        <v>4784.7676499999998</v>
      </c>
      <c r="U15" s="3">
        <f>4724+(590-461)+(-4.81848+(-0.6018--0.47022))+0-0-0</f>
        <v>4848.0499399999999</v>
      </c>
      <c r="V15" s="3">
        <f>4654+(513-634)+(-9.49416+(-1.04652--1.29336))+0-0-0</f>
        <v>4523.7526799999996</v>
      </c>
      <c r="W15" s="3">
        <f>4676+(527-608.2)+(-2.38476+(-0.26877--0.310182))+0-0-0</f>
        <v>4592.4566519999998</v>
      </c>
      <c r="X15" s="3">
        <f>4666+(505-712)+(0+(0-0))+0-0-0</f>
        <v>4459</v>
      </c>
      <c r="Y15" s="3">
        <f>5024+(328-627)+(2.56224+(0.16728-0.31977))+0-0-0</f>
        <v>4727.4097499999998</v>
      </c>
      <c r="Z15" s="3">
        <f>5255+(384-700)+(5.3601+(0.39168-0.714))+0-0-0</f>
        <v>4944.0377799999997</v>
      </c>
      <c r="AA15" s="3">
        <f>5199+(478-808)+(-7.95447+(-0.73134--1.23624))+0-0-0</f>
        <v>4861.5504300000002</v>
      </c>
      <c r="AB15" s="3">
        <f>5105+(634-1268)+(0+(0-0))+0-0-0</f>
        <v>4471</v>
      </c>
      <c r="AC15" s="3">
        <f>5015+(454-1377)+(-5.1153+(-0.46308--1.40454))+0-0-0</f>
        <v>4087.8261600000001</v>
      </c>
      <c r="AD15" s="2">
        <v>4945.5</v>
      </c>
      <c r="AE15" s="3">
        <f>5257+(352.8-664.3)+(0+(0-0))+0-0-0</f>
        <v>4945.5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4880+(317.9-1397.2)+(0+(0-0))+0-0-0</f>
        <v>3800.7</v>
      </c>
      <c r="G16" s="3">
        <f>4534+(310-1375.5)+(0+(0-0))+0-0-0</f>
        <v>3468.5</v>
      </c>
      <c r="H16" s="3">
        <f>4319+(288.9-1299.5)+(0+(0-0))+0-0-0</f>
        <v>3308.4</v>
      </c>
      <c r="I16" s="3">
        <f>4323+(284.1-1380.4)+(0+(0-0))+0-0-0</f>
        <v>3226.7</v>
      </c>
      <c r="J16" s="3">
        <f>4139+(228.4-1163.3)+(0+(0-0))+0-0-0</f>
        <v>3204.1</v>
      </c>
      <c r="K16" s="3">
        <f>4029+(203.7-1029)+(0+(0-0))+0-0-0</f>
        <v>3203.7</v>
      </c>
      <c r="L16" s="3">
        <f>4050.5+(264.5-903.9)+(2.065755+(0.134895-0.460989))+0-0-0</f>
        <v>3412.839661</v>
      </c>
      <c r="M16" s="3">
        <f>4271.6+(291.4-818.2)+(6.535548+(0.445842-1.251846))+0-0-0</f>
        <v>3750.529544</v>
      </c>
      <c r="N16" s="3">
        <f>4398.6+(717.5-940.1)+(-4.486572+(-0.73185--0.958902))+0-0-0</f>
        <v>4171.7404800000004</v>
      </c>
      <c r="O16" s="3">
        <f>4885+(725.8-1087.7)+(-4.9827+(-0.740316--1.109454))+0-0-0</f>
        <v>4518.4864380000008</v>
      </c>
      <c r="P16" s="3">
        <f>5027.1+(584.6-854.3)+(-7.691463+(-0.894438--1.307079))+0-0-0</f>
        <v>4750.1211780000003</v>
      </c>
      <c r="Q16" s="3">
        <f>4994.3+(561.5-649.7)+(0+(0-0))+0-0-0</f>
        <v>4906.1000000000004</v>
      </c>
      <c r="R16" s="3">
        <f>4944.3+(556-596.5)+(-15.129558+(-1.70136--1.82529))+0-0-0</f>
        <v>4888.7943720000003</v>
      </c>
      <c r="S16" s="3">
        <f>4914.2+(509.2-667.3)+(2.506242+(0.259692-0.340323))+0-0-0</f>
        <v>4758.5256109999991</v>
      </c>
      <c r="T16" s="3">
        <f>4895.8+(582.5-698.7)+(-4.993716+(-0.59415--0.712674))+0-0-0</f>
        <v>4774.7248079999999</v>
      </c>
      <c r="U16" s="3">
        <f>4909.7+(603.5-826.4)+(-2.503947+(-0.307785--0.421464))+0-0-0</f>
        <v>4684.4097320000001</v>
      </c>
      <c r="V16" s="3">
        <f>4904.5+(604-920.9)+(-5.00259+(-0.61608--0.939318))+0-0-0</f>
        <v>4582.9206480000003</v>
      </c>
      <c r="W16" s="3">
        <f>4918+(613.6-1044.2)+(0+(0-0))+0-0-0</f>
        <v>4487.3999999999996</v>
      </c>
      <c r="X16" s="3">
        <f>4928.6+(561-1056.5)+(-2.513586+(-0.28611--0.538815))+0-0-0</f>
        <v>4430.8391190000002</v>
      </c>
      <c r="Y16" s="3">
        <f>5097.2+(366.9-782.9)+(2.599572+(0.187119-0.399279))+0-0-0</f>
        <v>4683.5874119999999</v>
      </c>
      <c r="Z16" s="3">
        <f>5323.1+(348.2-671.4)+(-8.144343+(-0.532746--1.027242))+0-0-0</f>
        <v>4992.2501530000009</v>
      </c>
      <c r="AA16" s="3">
        <f>5287.8+(428-840.6)+(-16.180668+(-1.30968--2.572236))+0-0-0</f>
        <v>4860.2818879999995</v>
      </c>
      <c r="AB16" s="3">
        <f>5265+(476.1-1088.3)+(-13.42575+(-1.214055--2.775165))+0-0-0</f>
        <v>4640.9353600000004</v>
      </c>
      <c r="AC16" s="3">
        <f>5013.2+(357.1-1035)+(-10.226928+(-0.728484--2.1114))+0-0-0</f>
        <v>4326.4559880000006</v>
      </c>
      <c r="AD16" s="2">
        <v>4963.1000000000004</v>
      </c>
      <c r="AE16" s="3">
        <f>5314+(325.1-676)+(0+(0-0))+0-0-0</f>
        <v>4963.1000000000004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4966.4+(234.3-1320.8)+(-2.532864+(-0.119493--0.673608))+0-0-0</f>
        <v>3877.9212509999998</v>
      </c>
      <c r="G17" s="3">
        <f>4596.2+(209.6-1278.2)+(-7.032186+(-0.320688--1.955646))+0-0-0</f>
        <v>3522.2027719999996</v>
      </c>
      <c r="H17" s="3">
        <f>4252.5+(295.9-1246.8)+(4.33755+(0.301818-1.271736))+0-0-0</f>
        <v>3304.9676319999999</v>
      </c>
      <c r="I17" s="3">
        <f>4072.2+(324-1196.7)+(4.153644+(0.33048-1.220634))+0-0-0</f>
        <v>3202.7634899999998</v>
      </c>
      <c r="J17" s="3">
        <f>4016.8+(293.5-1137.2)+(-4.097136+(-0.29937--1.159944))+0-0-0</f>
        <v>3169.8634380000003</v>
      </c>
      <c r="K17" s="3">
        <f>4056.8+(241.8-1089.2)+(2.068968+(0.123318-0.555492))+0-0-0</f>
        <v>3211.0367940000001</v>
      </c>
      <c r="L17" s="3">
        <f>4017.3+(240.7-966.8)+(-4.097646+(-0.245514--0.986136))+0-0-0</f>
        <v>3287.8429760000004</v>
      </c>
      <c r="M17" s="3">
        <f>4088.3+(300.5-897.3)+(4.170066+(0.30651-0.915246))+0-0-0</f>
        <v>3495.06133</v>
      </c>
      <c r="N17" s="3">
        <f>4517.9+(289.2-899.1)+(4.608258+(0.294984-0.917082))+0-0-0</f>
        <v>3911.9861599999995</v>
      </c>
      <c r="O17" s="3">
        <f>4688.1+(321.8-727.1)+(7.172793+(0.492354-1.112463))+0-0-0</f>
        <v>4289.3526840000004</v>
      </c>
      <c r="P17" s="3">
        <f>4726.7+(379.4-511.6)+(7.231851+(0.580482-0.782748))+0-0-0</f>
        <v>4601.5295850000002</v>
      </c>
      <c r="Q17" s="3">
        <f>4681.5+(526.5-419.4)+(0+(0-0))+0-0-0</f>
        <v>4788.6000000000004</v>
      </c>
      <c r="R17" s="3">
        <f>4730.5+(489-427.3)+(0+(0-0))+0-0-0</f>
        <v>4792.2</v>
      </c>
      <c r="S17" s="3">
        <f>4742.7+(461.1-589)+(-14.512662+(-1.410966--1.80234))+0-0-0</f>
        <v>4600.6787119999999</v>
      </c>
      <c r="T17" s="3">
        <f>4821.7+(386.1-669.3)+(0+(0-0))+0-0-0</f>
        <v>4538.5</v>
      </c>
      <c r="U17" s="3">
        <f>4788.1+(439.5-808.7)+(0+(0-0))+0-0-0</f>
        <v>4418.9000000000005</v>
      </c>
      <c r="V17" s="3">
        <f>4955.5+(528.5-1134.4)+(-5.05461+(-0.53907--1.157088))+0-0-0</f>
        <v>4345.1634080000003</v>
      </c>
      <c r="W17" s="3">
        <f>5006.2+(603.6-1325.3)+(-7.659486+(-0.923508--2.027709))+0-0-0</f>
        <v>4277.9447149999996</v>
      </c>
      <c r="X17" s="3">
        <f>4873+(490.8-1103.3)+(-2.48523+(-0.250308--0.562683))+0-0-0</f>
        <v>4258.3271450000002</v>
      </c>
      <c r="Y17" s="3">
        <f>4962.8+(334.3-814.3)+(7.593084+(0.511479-1.245879))+0-0-0</f>
        <v>4489.658684</v>
      </c>
      <c r="Z17" s="3">
        <f>5081.5+(319.1-638.8)+(0+(0-0))+0-0-0</f>
        <v>4761.8</v>
      </c>
      <c r="AA17" s="3">
        <f>5035.8+(448.7-826.4)+(-7.704774+(-0.686511--1.264392))+0-0-0</f>
        <v>4650.9731070000007</v>
      </c>
      <c r="AB17" s="3">
        <f>4993.8+(626.3-1174.6)+(-10.187352+(-1.277652--2.396184))+0-0-0</f>
        <v>4436.4311799999996</v>
      </c>
      <c r="AC17" s="3">
        <f>4979.5+(696.2-1446.8)+(-12.697725+(-1.77531--3.68934))+0-0-0</f>
        <v>4218.1163049999996</v>
      </c>
      <c r="AD17" s="2">
        <v>4773.8</v>
      </c>
      <c r="AE17" s="3">
        <f>5078+(345-649.2)+(0+(0-0))+0-0-0</f>
        <v>4773.8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4882.1+(300.3-1301.8)+(7.469613+(0.459459-1.991754))+0-0-0</f>
        <v>3886.5373180000001</v>
      </c>
      <c r="G18" s="3">
        <f>4707+(323.9-1493.6)+(-7.20171+(-0.495567--2.285208))+0-0-0</f>
        <v>3531.8879310000002</v>
      </c>
      <c r="H18" s="3">
        <f>4599.2+(236.7-1565.6)+(-2.345592+(-0.120717--0.798456))+0-0-0</f>
        <v>3268.6321470000003</v>
      </c>
      <c r="I18" s="3">
        <f>4526.1+(197.9-1583.1)+(-11.541555+(-0.504645--4.036905))+0-0-0</f>
        <v>3132.8907050000007</v>
      </c>
      <c r="J18" s="3">
        <f>4588.8+(231.7-1753.1)+(9.361152+(0.472668-3.576324))+0-0-0</f>
        <v>3073.6574960000007</v>
      </c>
      <c r="K18" s="3">
        <f>4544.6+(114.4-1591.6)+(-2.317746+(-0.058344--0.811716))+0-0-0</f>
        <v>3065.8356260000005</v>
      </c>
      <c r="L18" s="3">
        <f>4388.4+(63.3-1484.2)+(-8.952336+(-0.129132--3.027768))+0-0-0</f>
        <v>2961.4462999999996</v>
      </c>
      <c r="M18" s="3">
        <f>4204.6+(53.6-1337)+(-6.433038+(-0.082008--2.04561))+0-0-0</f>
        <v>2916.7305640000004</v>
      </c>
      <c r="N18" s="3">
        <f>4373.4+(93.2-1343.9)+(-2.230434+(-0.047532--0.685389))+0-0-0</f>
        <v>3121.1074229999999</v>
      </c>
      <c r="O18" s="3">
        <f>4499.8+(123.2-1306.8)+(0+(0-0))+0-0-0</f>
        <v>3316.2000000000003</v>
      </c>
      <c r="P18" s="3">
        <f>4657.1+(105.9-1133)+(0+(0-0))+0-0-0</f>
        <v>3630.0000000000005</v>
      </c>
      <c r="Q18" s="3">
        <f>4729.5+(92.6-934.1)+(2.412045+(0.047226-0.476391))+0-0-0</f>
        <v>3889.98288</v>
      </c>
      <c r="R18" s="3">
        <f>4673.6+(100.8-841.4)+(-2.383536+(-0.051408--0.429114))+0-0-0</f>
        <v>3930.9941700000004</v>
      </c>
      <c r="S18" s="3">
        <f>4686.4+(112.7-907.6)+(-4.780128+(-0.114954--0.925752))+0-0-0</f>
        <v>3887.5306699999996</v>
      </c>
      <c r="T18" s="3">
        <f>4741.4+(127.9-1058.2)+(-2.418114+(-0.065229--0.539682))+0-0-0</f>
        <v>3809.1563389999997</v>
      </c>
      <c r="U18" s="3">
        <f>4729+(142.2-1144.9)+(-12.05895+(-0.36261--2.919495))+0-0-0</f>
        <v>3716.7979350000001</v>
      </c>
      <c r="V18" s="3">
        <f>4740.6+(188-1272.3)+(0+(0-0))+0-0-0</f>
        <v>3656.3</v>
      </c>
      <c r="W18" s="3">
        <f>4770.8+(262.9-1317.9)+(-12.16554+(-0.670395--3.360645))+0-0-0</f>
        <v>3706.3247100000003</v>
      </c>
      <c r="X18" s="3">
        <f>4525.7+(328.5-1065.2)+(-2.308107+(-0.167535--0.543252))+0-0-0</f>
        <v>3787.0676100000001</v>
      </c>
      <c r="Y18" s="3">
        <f>4651.7+(198.3-734.8)+(-2.372367+(-0.101133--0.374748))+0-0-0</f>
        <v>4113.1012479999999</v>
      </c>
      <c r="Z18" s="3">
        <f>5072.1+(231.8-787.1)+(-7.760313+(-0.354654--1.204263))+0-0-0</f>
        <v>4509.8892960000003</v>
      </c>
      <c r="AA18" s="3">
        <f>5025.8+(228.4-777.9)+(-10.252632+(-0.465936--1.586916))+0-0-0</f>
        <v>4467.1683480000002</v>
      </c>
      <c r="AB18" s="3">
        <f>4916+(203.7-796.4)+(-2.50716+(-0.103887--0.406164))+0-0-0</f>
        <v>4321.0951169999998</v>
      </c>
      <c r="AC18" s="3">
        <f>4704.8+(189.8-854.5)+(2.399448+(0.096798-0.435795))+0-0-0</f>
        <v>4042.1604510000002</v>
      </c>
      <c r="AD18" s="2">
        <v>4527.3</v>
      </c>
      <c r="AE18" s="3">
        <f>5078+(235.1-785.8)+(0+(0-0))+0-0-0</f>
        <v>4527.3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4594.6+(320.6-1321.8)+(-11.71623+(-0.81753--3.37059))+0-0-0</f>
        <v>3584.2368300000007</v>
      </c>
      <c r="G19" s="3">
        <f>4521.2+(358.4-1603.2)+(-11.52906+(-0.91392--4.08816))+0-0-0</f>
        <v>3268.0451799999996</v>
      </c>
      <c r="H19" s="3">
        <f>4215.2+(331.1-1471)+(6.449256+(0.506583-2.25063))+0-0-0</f>
        <v>3080.0052089999999</v>
      </c>
      <c r="I19" s="3">
        <f>4240.4+(309.6-1567.9)+(10.81302+(0.78948-3.998145))+0-0-0</f>
        <v>2989.7043549999994</v>
      </c>
      <c r="J19" s="3">
        <f>4313.1+(265.7-1594.7)+(-10.998405+(-0.677535--4.066485))+0-0-0</f>
        <v>2976.4905450000006</v>
      </c>
      <c r="K19" s="3">
        <f>4293.3+(249.7-1486.8)+(0+(0-0))+0-0-0</f>
        <v>3056.2000000000003</v>
      </c>
      <c r="L19" s="3">
        <f>4382.8+(167.2-1250.1)+(-8.940912+(-0.341088--2.550204))+0-0-0</f>
        <v>3293.1682040000005</v>
      </c>
      <c r="M19" s="3">
        <f>4603.5+(247.1-1219.2)+(2.347785+(0.126021-0.621792))+0-0-0</f>
        <v>3633.2520140000001</v>
      </c>
      <c r="N19" s="3">
        <f>5234.9+(249.8-1358.2)+(5.339598+(0.254796-1.385364))+0-0-0</f>
        <v>4130.70903</v>
      </c>
      <c r="O19" s="3">
        <f>5618.2+(307.6-1383.7)+(0+(0-0))+0-0-0</f>
        <v>4542.1000000000004</v>
      </c>
      <c r="P19" s="3">
        <f>5591.8+(599.4-1346.5)+(-2.851818+(-0.305694--0.686715))+0-0-0</f>
        <v>4842.2292029999999</v>
      </c>
      <c r="Q19" s="3">
        <f>5568.7+(634.4-1220.7)+(-11.360148+(-1.294176--2.490228))+0-0-0</f>
        <v>4972.2359039999992</v>
      </c>
      <c r="R19" s="3">
        <f>5591.6+(675.7-1226.8)+(5.703432+(0.689214-1.251336))+0-0-0</f>
        <v>5045.64131</v>
      </c>
      <c r="S19" s="3">
        <f>5558.6+(617.8-1292.1)+(-8.504658+(-0.945234--1.976913))+0-0-0</f>
        <v>4876.8270210000001</v>
      </c>
      <c r="T19" s="3">
        <f>5570.1+(549.5-1210.2)+(-2.840751+(-0.280245--0.617202))+0-0-0</f>
        <v>4906.8962060000003</v>
      </c>
      <c r="U19" s="3">
        <f>5481+(529.2-1187.5)+(-8.38593+(-0.809676--1.816875))+0-0-0</f>
        <v>4815.321269</v>
      </c>
      <c r="V19" s="3">
        <f>5471.5+(685.7-1408.5)+(2.790465+(0.349707-0.718335))+0-0-0</f>
        <v>4751.1218369999997</v>
      </c>
      <c r="W19" s="3">
        <f>5460.8+(707.1-1545.3)+(-5.570016+(-0.721242--1.576206))+0-0-0</f>
        <v>4617.8849480000008</v>
      </c>
      <c r="X19" s="3">
        <f>5416.7+(610.1-1415)+(-11.050068+(-1.244604--2.8866))+0-0-0</f>
        <v>4602.391928</v>
      </c>
      <c r="Y19" s="3">
        <f>5626.9+(458-1286.6)+(2.869719+(0.23358-0.656166))+0-0-0</f>
        <v>4800.7471329999989</v>
      </c>
      <c r="Z19" s="3">
        <f>5851.5+(445.9-1203.7)+(-8.952795+(-0.682227--1.841661))+0-0-0</f>
        <v>5085.9066389999998</v>
      </c>
      <c r="AA19" s="3">
        <f>5622.7+(352.1-1005.7)+(-14.337885+(-0.897855--2.564535))+0-0-0</f>
        <v>4956.4287949999998</v>
      </c>
      <c r="AB19" s="3">
        <f>5399.7+(339.1-1035.3)+(-11.015388+(-0.691764--2.112012))+0-0-0</f>
        <v>4693.9048599999996</v>
      </c>
      <c r="AC19" s="3">
        <f>5196.2+(164.3-1018)+(-10.600248+(-0.335172--2.07672))+0-0-0</f>
        <v>4333.6413000000002</v>
      </c>
      <c r="AD19" s="2">
        <v>5083.8</v>
      </c>
      <c r="AE19" s="3">
        <f>5847+(513-1276.2)+(0+(0-0))+0-0-0</f>
        <v>5083.8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5010.3+(243-1439.3)+(0+(0-0))+0-0-0</f>
        <v>3814</v>
      </c>
      <c r="G20" s="3">
        <f>4956.8+(352.3-1807.4)+(-10.111872+(-0.718692--3.687096))+0-0-0</f>
        <v>3494.5565319999996</v>
      </c>
      <c r="H20" s="3">
        <f>4716.1+(274.3-1673.5)+(-9.620844+(-0.559572--3.41394))+0-0-0</f>
        <v>3310.1335240000008</v>
      </c>
      <c r="I20" s="3">
        <f>4460+(348.6-1573.2)+(-4.5492+(-0.355572--1.604664))+0-0-0</f>
        <v>3232.0998920000002</v>
      </c>
      <c r="J20" s="3">
        <f>4301.9+(224-1314.6)+(-6.581907+(-0.34272--2.011338))+0-0-0</f>
        <v>3206.3867109999997</v>
      </c>
      <c r="K20" s="3">
        <f>4324.2+(163.8-1230.5)+(2.205342+(0.083538-0.627555))+0-0-0</f>
        <v>3259.161325</v>
      </c>
      <c r="L20" s="3">
        <f>4319.4+(169.1-1065.6)+(0+(0-0))+0-0-0</f>
        <v>3422.8999999999996</v>
      </c>
      <c r="M20" s="3">
        <f>4460.2+(254.3-960.5)+(-2.274702+(-0.129693--0.489855))+0-0-0</f>
        <v>3752.0854599999998</v>
      </c>
      <c r="N20" s="3">
        <f>4839.6+(524.2-1116.2)+(-7.404588+(-0.802026--1.707786))+0-0-0</f>
        <v>4241.1011720000006</v>
      </c>
      <c r="O20" s="3">
        <f>5049.4+(615.6-1078.2)+(2.575194+(0.313956-0.549882))+0-0-0</f>
        <v>4589.139267999999</v>
      </c>
      <c r="P20" s="3">
        <f>5152.8+(552.8-848.1)+(0+(0-0))+0-0-0</f>
        <v>4857.5</v>
      </c>
      <c r="Q20" s="3">
        <f>5142.4+(579.1-723.6)+(5.245248+(0.590682-0.738072))+0-0-0</f>
        <v>5002.9978579999997</v>
      </c>
      <c r="R20" s="3">
        <f>5116.9+(697.2-836.4)+(2.609619+(0.355572-0.426564))+0-0-0</f>
        <v>4980.2386269999997</v>
      </c>
      <c r="S20" s="3">
        <f>5072.5+(730.1-976.8)+(-15.52185+(-2.234106--2.989008))+0-0-0</f>
        <v>4811.0330519999998</v>
      </c>
      <c r="T20" s="3">
        <f>5069.1+(824.5-1020.5)+(-5.170482+(-0.84099--1.04091))+0-0-0</f>
        <v>4868.1294379999999</v>
      </c>
      <c r="U20" s="3">
        <f>5060.7+(847.6-1104.1)+(-7.742871+(-1.296828--1.689273))+0-0-0</f>
        <v>4796.8495739999998</v>
      </c>
      <c r="V20" s="3">
        <f>5056.4+(671.5-1017.9)+(-2.578764+(-0.342465--0.519129))+0-0-0</f>
        <v>4707.5978999999998</v>
      </c>
      <c r="W20" s="3">
        <f>5010.5+(507.7-904.3)+(2.555355+(0.258927-0.461193))+0-0-0</f>
        <v>4616.2530889999998</v>
      </c>
      <c r="X20" s="3">
        <f>4997.7+(393.6-850.8)+(-7.646481+(-0.602208--1.301724))+0-0-0</f>
        <v>4533.5530349999999</v>
      </c>
      <c r="Y20" s="3">
        <f>5095.3+(311.3-624.6)+(-5.197206+(-0.317526--0.637092))+0-0-0</f>
        <v>4777.1223600000003</v>
      </c>
      <c r="Z20" s="3">
        <f>5149.3+(637.5-701.1)+(-13.130715+(-1.625625--1.787805))+0-0-0</f>
        <v>5072.7314649999998</v>
      </c>
      <c r="AA20" s="3">
        <f>5075.3+(553.2-693.2)+(-10.353612+(-1.128528--1.414128))+0-0-0</f>
        <v>4925.2319880000005</v>
      </c>
      <c r="AB20" s="3">
        <f>4980.1+(470.3-748.6)+(-5.079702+(-0.479706--0.763572))+0-0-0</f>
        <v>4697.0041639999999</v>
      </c>
      <c r="AC20" s="3">
        <f>4876+(351.4-902.6)+(-7.46028+(-0.537642--1.380978))+0-0-0</f>
        <v>4318.1830559999999</v>
      </c>
      <c r="AD20" s="2">
        <v>5100.2</v>
      </c>
      <c r="AE20" s="3">
        <f>5141+(683.2-724)+(0+(0-0))+0-0-0</f>
        <v>5100.2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4825.6+(414.8-1377.6)+(-7.383168+(-0.634644--2.107728))+0-0-0</f>
        <v>3856.8899160000001</v>
      </c>
      <c r="G21" s="3">
        <f>4790.2+(510.8-1788.4)+(-9.772008+(-1.042032--3.648336))+0-0-0</f>
        <v>3505.4342959999994</v>
      </c>
      <c r="H21" s="3">
        <f>4581.4+(343.9-1604)+(-4.673028+(-0.350778--1.63608))+0-0-0</f>
        <v>3317.9122739999998</v>
      </c>
      <c r="I21" s="3">
        <f>4367.8+(297.4-1463.7)+(-6.682734+(-0.455022--2.239461))+0-0-0</f>
        <v>3196.601705</v>
      </c>
      <c r="J21" s="3">
        <f>4240.4+(263.6-1315.1)+(-2.162604+(-0.134436--0.670701))+0-0-0</f>
        <v>3187.2736609999997</v>
      </c>
      <c r="K21" s="3">
        <f>4246.3+(255.7-1261.7)+(2.165613+(0.130407-0.643467))+0-0-0</f>
        <v>3241.9525530000001</v>
      </c>
      <c r="L21" s="3">
        <f>4326.9+(148.7-1075.7)+(-15.447033+(-0.530859--3.840249))+0-0-0</f>
        <v>3387.7623569999996</v>
      </c>
      <c r="M21" s="3">
        <f>4471+(211.4-904.5)+(0+(0-0))+0-0-0</f>
        <v>3777.9</v>
      </c>
      <c r="N21" s="3">
        <f>4739.5+(401-852.8)+(2.417145+(0.20451-0.434928))+0-0-0</f>
        <v>4289.8867270000001</v>
      </c>
      <c r="O21" s="3">
        <f>4890+(587.7-857)+(-4.9878+(-0.599454--0.87414))+0-0-0</f>
        <v>4615.9868859999997</v>
      </c>
      <c r="P21" s="3">
        <f>4852.4+(634.8-605)+(2.474724+(0.323748-0.30855))+0-0-0</f>
        <v>4884.6899219999996</v>
      </c>
      <c r="Q21" s="3">
        <f>4768.5+(778.4-440.7)+(0+(0-0))+0-0-0</f>
        <v>5106.2</v>
      </c>
      <c r="R21" s="3">
        <f>4673.3+(787.6-424.1)+(0+(0-0))+0-0-0</f>
        <v>5036.8</v>
      </c>
      <c r="S21" s="3">
        <f>4743.9+(675-528.3)+(-12.096945+(-1.72125--1.347165))+0-0-0</f>
        <v>4878.1289699999998</v>
      </c>
      <c r="T21" s="3">
        <f>4782.5+(834.8-687.9)+(0+(0-0))+0-0-0</f>
        <v>4929.3999999999996</v>
      </c>
      <c r="U21" s="3">
        <f>4756.7+(853.7-746.6)+(-4.851834+(-0.870774--0.761532))+0-0-0</f>
        <v>4858.8389240000006</v>
      </c>
      <c r="V21" s="3">
        <f>4765.8+(818.3-807.7)+(-7.291674+(-1.251999--1.235781))+0-0-0</f>
        <v>4769.0921079999998</v>
      </c>
      <c r="W21" s="3">
        <f>4867.8+(688.5-911.1)+(-2.482578+(-0.351135--0.464661))+0-0-0</f>
        <v>4642.8309479999998</v>
      </c>
      <c r="X21" s="3">
        <f>4892.4+(611.9-931.4)+(-7.485372+(-0.936207--1.425042))+0-0-0</f>
        <v>4565.9034629999996</v>
      </c>
      <c r="Y21" s="3">
        <f>5242.8+(505.6-962)+(-2.673828+(-0.257856--0.49062))+0-0-0</f>
        <v>4783.9589360000009</v>
      </c>
      <c r="Z21" s="3">
        <f>5413.3+(421.4-710.7)+(-5.521566+(-0.429828--0.724914))+0-0-0</f>
        <v>5118.7735199999997</v>
      </c>
      <c r="AA21" s="3">
        <f>5419.1+(523.4-953.7)+(-2.763741+(-0.266934--0.486387))+0-0-0</f>
        <v>4986.2557120000001</v>
      </c>
      <c r="AB21" s="3">
        <f>5356.2+(677.1-1297.6)+(-10.926648+(-1.381284--2.647104))+0-0-0</f>
        <v>4726.0391719999998</v>
      </c>
      <c r="AC21" s="3">
        <f>5362.9+(588.7-1564.2)+(2.735079+(0.300237-0.797742))+0-0-0</f>
        <v>4389.6375739999994</v>
      </c>
      <c r="AD21" s="2">
        <v>5123.3999999999996</v>
      </c>
      <c r="AE21" s="3">
        <f>5409+(450.4-736)+(0+(0-0))+0-0-0</f>
        <v>5123.3999999999996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5005.5+(697.2-1785.5)+(2.552805+(0.355572-0.910605))+0-0-0</f>
        <v>3919.197772</v>
      </c>
      <c r="G22" s="3">
        <f>4944.9+(543.8-1920.2)+(-2.521899+(-0.277338--0.979302))+0-0-0</f>
        <v>3566.6800649999996</v>
      </c>
      <c r="H22" s="3">
        <f>4705.2+(360.9-1708)+(-2.399652+(-0.184059--0.87108))+0-0-0</f>
        <v>3356.387369</v>
      </c>
      <c r="I22" s="3">
        <f>4501.6+(419.7-1675.3)+(0+(0-0))+0-0-0</f>
        <v>3246.0000000000005</v>
      </c>
      <c r="J22" s="3">
        <f>4481.5+(374.3-1638.4)+(0+(0-0))+0-0-0</f>
        <v>3217.3999999999996</v>
      </c>
      <c r="K22" s="3">
        <f>4517.4+(261.4-1511.9)+(-6.911622+(-0.399942--2.313207))+0-0-0</f>
        <v>3261.9016429999997</v>
      </c>
      <c r="L22" s="3">
        <f>4439.3+(275.3-1283.4)+(-4.528086+(-0.280806--1.309068))+0-0-0</f>
        <v>3427.7001759999998</v>
      </c>
      <c r="M22" s="3">
        <f>4522.8+(313.2-1062)+(4.613256+(0.319464-1.08324))+0-0-0</f>
        <v>3777.8494799999999</v>
      </c>
      <c r="N22" s="3">
        <f>4777.4+(359.9-875.5)+(9.745896+(0.734196-1.78602))+0-0-0</f>
        <v>4270.4940719999995</v>
      </c>
      <c r="O22" s="3">
        <f>4892.9+(430.9-652.7)+(-4.990758+(-0.439518--0.665754))+0-0-0</f>
        <v>4666.3354779999991</v>
      </c>
      <c r="P22" s="3">
        <f>4916.4+(694.3-669.3)+(-2.507364+(-0.354093--0.341343))+0-0-0</f>
        <v>4938.8798859999997</v>
      </c>
      <c r="Q22" s="3">
        <f>4921.1+(793-669.6)+(5.019522+(0.80886-0.682992))+0-0-0</f>
        <v>5049.6453899999997</v>
      </c>
      <c r="R22" s="3">
        <f>4940.6+(749.9-564)+(0+(0-0))+0-0-0</f>
        <v>5126.5</v>
      </c>
      <c r="S22" s="3">
        <f>4908.2+(631-562)+(-10.012728+(-1.28724--1.14648))+0-0-0</f>
        <v>4967.0465119999999</v>
      </c>
      <c r="T22" s="3">
        <f>4945+(624.6-560.9)+(5.0439+(0.637092-0.572118))+0-0-0</f>
        <v>5013.8088739999994</v>
      </c>
      <c r="U22" s="3">
        <f>4919.8+(614.1-578)+(5.018196+(0.626382-0.58956))+0-0-0</f>
        <v>4960.9550180000006</v>
      </c>
      <c r="V22" s="3">
        <f>4922.7+(533-604.9)+(-7.531731+(-0.81549--0.925497))+0-0-0</f>
        <v>4843.3782760000004</v>
      </c>
      <c r="W22" s="3">
        <f>4899.7+(477-662.3)+(-2.498847+(-0.24327--0.337773))+0-0-0</f>
        <v>4711.9956560000001</v>
      </c>
      <c r="X22" s="3">
        <f>4887.3+(411.2-671.4)+(-12.462615+(-1.04856--1.71207))+0-0-0</f>
        <v>4615.3008950000003</v>
      </c>
      <c r="Y22" s="3">
        <f>5051.3+(275.1-546.9)+(5.152326+(0.280602-0.557838))+0-0-0</f>
        <v>4784.3750899999995</v>
      </c>
      <c r="Z22" s="3">
        <f>5153.1+(532.1-534.2)+(-2.628081+(-0.271371--0.272442))+0-0-0</f>
        <v>5148.3729899999998</v>
      </c>
      <c r="AA22" s="3">
        <f>5108.4+(475.6-547.1)+(-10.421136+(-0.970224--1.116084))+0-0-0</f>
        <v>5026.6247239999993</v>
      </c>
      <c r="AB22" s="3">
        <f>5080.8+(509.4-827.4)+(-5.182416+(-0.519588--0.843948))+0-0-0</f>
        <v>4757.9419440000001</v>
      </c>
      <c r="AC22" s="3">
        <f>4952.2+(346.1-899.1)+(-10.102488+(-0.706044--1.834164))+0-0-0</f>
        <v>4390.2256319999997</v>
      </c>
      <c r="AD22" s="2">
        <v>5115.6000000000004</v>
      </c>
      <c r="AE22" s="3">
        <f>5137+(546.8-568.2)+(0+(0-0))+0-0-0</f>
        <v>5115.6000000000004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4815.8+(489.2-1407.1)+(-2.456058+(-0.249492--0.717621))+0-0-0</f>
        <v>3895.9120710000007</v>
      </c>
      <c r="G23" s="3">
        <f>4786.1+(599-1864)+(-7.322733+(-0.91647--2.85192))+0-0-0</f>
        <v>3515.7127170000003</v>
      </c>
      <c r="H23" s="3">
        <f>4780.6+(447.7-1894.2)+(0+(0-0))+0-0-0</f>
        <v>3334.1000000000004</v>
      </c>
      <c r="I23" s="3">
        <f>4687.5+(485.2-1928.8)+(-11.953125+(-1.23726--4.91844))+0-0-0</f>
        <v>3235.6280550000001</v>
      </c>
      <c r="J23" s="3">
        <f>4577.2+(560-1922.5)+(4.668744+(0.5712-1.96095))+0-0-0</f>
        <v>3217.9789939999996</v>
      </c>
      <c r="K23" s="3">
        <f>4481.1+(469-1689.2)+(-2.285361+(-0.23919--0.861492))+0-0-0</f>
        <v>3259.2369410000006</v>
      </c>
      <c r="L23" s="3">
        <f>4453.9+(439.1-1470.6)+(-11.357445+(-1.119705--3.75003))+0-0-0</f>
        <v>3413.6728799999996</v>
      </c>
      <c r="M23" s="3">
        <f>4516.1+(361.3-1117.5)+(-2.303211+(-0.184263--0.569925))+0-0-0</f>
        <v>3757.9824510000008</v>
      </c>
      <c r="N23" s="3">
        <f>4782.8+(684.8-1273.3)+(-2.439228+(-0.349248--0.649383))+0-0-0</f>
        <v>4192.1609070000004</v>
      </c>
      <c r="O23" s="3">
        <f>4851.8+(575.9-649.2)+(2.474418+(0.293709-0.331092))+0-0-0</f>
        <v>4780.9370349999999</v>
      </c>
      <c r="P23" s="3">
        <f>4847.1+(632.7-574.2)+(4.944042+(0.645354-0.585684))+0-0-0</f>
        <v>4910.6037120000001</v>
      </c>
      <c r="Q23" s="3">
        <f>5029.2+(719-585.4)+(0+(0-0))+0-0-0</f>
        <v>5162.8</v>
      </c>
      <c r="R23" s="3">
        <f>5011.9+(737.3-583.9)+(-5.112138+(-0.752046--0.595578))+0-0-0</f>
        <v>5160.0313939999996</v>
      </c>
      <c r="S23" s="3">
        <f>4970.9+(649.4-614)+(-2.535159+(-0.331194--0.31314))+0-0-0</f>
        <v>5003.7467869999991</v>
      </c>
      <c r="T23" s="3">
        <f>4876.1+(740.1-525.7)+(-9.947244+(-1.509804--1.072428))+0-0-0</f>
        <v>5080.1153800000002</v>
      </c>
      <c r="U23" s="3">
        <f>4878.5+(872.8-725.2)+(0+(0-0))+0-0-0</f>
        <v>5026.1000000000004</v>
      </c>
      <c r="V23" s="3">
        <f>4971.5+(905.4-914.1)+(-7.606395+(-1.385262--1.398573))+0-0-0</f>
        <v>4955.2069160000001</v>
      </c>
      <c r="W23" s="3">
        <f>5001.2+(909.6-1081.4)+(-2.550612+(-0.463896--0.551514))+0-0-0</f>
        <v>4826.9370059999992</v>
      </c>
      <c r="X23" s="3">
        <f>5123.5+(907.3-1299.5)+(-10.45194+(-1.850892--2.65098))+0-0-0</f>
        <v>4721.6481480000002</v>
      </c>
      <c r="Y23" s="3">
        <f>5385.6+(581.9-1106.2)+(2.746656+(0.296769-0.564162))+0-0-0</f>
        <v>4863.7792630000004</v>
      </c>
      <c r="Z23" s="3">
        <f>5508.1+(277.5-596.2)+(-2.809131+(-0.141525--0.304062))+0-0-0</f>
        <v>5186.7534060000007</v>
      </c>
      <c r="AA23" s="3">
        <f>5480+(391-863.1)+(-5.5896+(-0.39882--0.880362))+0-0-0</f>
        <v>5002.7919419999998</v>
      </c>
      <c r="AB23" s="3">
        <f>5433.1+(753.6-1468.1)+(0+(0-0))+0-0-0</f>
        <v>4718.6000000000004</v>
      </c>
      <c r="AC23" s="3">
        <f>5459+(933.3-1975.7)+(-11.13636+(-1.903932--4.030428))+0-0-0</f>
        <v>4407.5901360000007</v>
      </c>
      <c r="AD23" s="2">
        <v>5183.0999999999995</v>
      </c>
      <c r="AE23" s="3">
        <f>5494+(293.4-604.3)+(0+(0-0))+0-0-0</f>
        <v>5183.1000000000004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5239.3+(907.2-2118.4)+(-5.344086+(-0.925344--2.160768))+0-0-0</f>
        <v>4023.9913380000003</v>
      </c>
      <c r="G24" s="3">
        <f>4914.2+(817.6-2039.4)+(-5.012484+(-0.833952--2.080188))+0-0-0</f>
        <v>3688.6337519999997</v>
      </c>
      <c r="H24" s="3">
        <f>4833.6+(617.3-1974.6)+(-12.32568+(-1.574115--5.03523))+0-0-0</f>
        <v>3467.4354350000003</v>
      </c>
      <c r="I24" s="3">
        <f>4736.8+(686.3-2043)+(-4.831536+(-0.700026--2.08386))+0-0-0</f>
        <v>3376.6522980000004</v>
      </c>
      <c r="J24" s="3">
        <f>4546.4+(654.4-1901.4)+(2.318664+(0.333744-0.969714))+0-0-0</f>
        <v>3301.0826939999997</v>
      </c>
      <c r="K24" s="3">
        <f>4532.4+(615.8-1836.9)+(2.311524+(0.314058-0.936819))+0-0-0</f>
        <v>3312.9887629999994</v>
      </c>
      <c r="L24" s="3">
        <f>4439.2+(618.3-1699)+(-4.527984+(-0.630666--1.73298))+0-0-0</f>
        <v>3355.0743299999999</v>
      </c>
      <c r="M24" s="3">
        <f>4398.1+(488-1217.1)+(4.486062+(0.49776-1.241442))+0-0-0</f>
        <v>3672.7423800000006</v>
      </c>
      <c r="N24" s="3">
        <f>4701.6+(359.8-935.6)+(9.591264+(0.733992-1.908624))+0-0-0</f>
        <v>4134.2166320000006</v>
      </c>
      <c r="O24" s="3">
        <f>4889.4+(396.4-699.3)+(2.493594+(0.202164-0.356643))+0-0-0</f>
        <v>4588.8391149999998</v>
      </c>
      <c r="P24" s="3">
        <f>4808.6+(636-427.1)+(0+(0-0))+0-0-0</f>
        <v>5017.5</v>
      </c>
      <c r="Q24" s="3">
        <f>4813+(719.4-414.3)+(-2.45463+(-0.366894--0.211293))+0-0-0</f>
        <v>5115.4897690000007</v>
      </c>
      <c r="R24" s="3">
        <f>4881.2+(600.1-417.7)+(-4.978824+(-0.612102--0.426054))+0-0-0</f>
        <v>5058.4351279999992</v>
      </c>
      <c r="S24" s="3">
        <f>4822.8+(536.4-467.1)+(-4.919256+(-0.547128--0.476442))+0-0-0</f>
        <v>4887.1100580000002</v>
      </c>
      <c r="T24" s="3">
        <f>4628.7+(571.8-416.9)+(-4.721274+(-0.583236--0.425238))+0-0-0</f>
        <v>4778.7207279999993</v>
      </c>
      <c r="U24" s="3">
        <f>4608.9+(600.8-544.1)+(-2.350539+(-0.306408--0.277491))+0-0-0</f>
        <v>4663.2205439999998</v>
      </c>
      <c r="V24" s="3">
        <f>4603.7+(634.2-635)+(0+(0-0))+0-0-0</f>
        <v>4602.8999999999996</v>
      </c>
      <c r="W24" s="3">
        <f>4646.3+(620.6-721.7)+(-4.739226+(-0.633012--0.736134))+0-0-0</f>
        <v>4540.5638959999997</v>
      </c>
      <c r="X24" s="3">
        <f>4691.7+(621.9-770.2)+(4.785534+(0.634338-0.785604))+0-0-0</f>
        <v>4548.0342679999994</v>
      </c>
      <c r="Y24" s="3">
        <f>4839+(423.5-418.1)+(0+(0-0))+0-0-0</f>
        <v>4844.3999999999996</v>
      </c>
      <c r="Z24" s="3">
        <f>4948+(562.9-512.7)+(-10.09392+(-1.148316--1.045908))+0-0-0</f>
        <v>4988.0036719999998</v>
      </c>
      <c r="AA24" s="3">
        <f>4846.2+(511.6-500.4)+(-4.943124+(-0.521832--0.510408))+0-0-0</f>
        <v>4852.4454519999999</v>
      </c>
      <c r="AB24" s="3">
        <f>4622.3+(510.4-522.9)+(-9.429492+(-1.041216--1.066716))+0-0-0</f>
        <v>4600.3960080000006</v>
      </c>
      <c r="AC24" s="3">
        <f>4426.9+(509.7-665.5)+(-6.773157+(-0.779841--1.018215))+0-0-0</f>
        <v>4264.5652169999994</v>
      </c>
      <c r="AD24" s="2">
        <v>5039</v>
      </c>
      <c r="AE24" s="3">
        <f>4945+(621.6-527.6)+(0+(0-0))+0-0-0</f>
        <v>5039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4125.7+(558.8-776.6)+(-4.208214+(-0.569976--0.792132))+0-0-0</f>
        <v>3903.9139419999997</v>
      </c>
      <c r="G25" s="3">
        <f>3944.1+(495.5-796.9)+(-6.034473+(-0.758115--1.219257))+0-0-0</f>
        <v>3637.1266689999998</v>
      </c>
      <c r="H25" s="3">
        <f>3729.5+(247.5-606.7)+(-3.80409+(-0.25245--0.618834))+0-0-0</f>
        <v>3366.862294</v>
      </c>
      <c r="I25" s="3">
        <f>3541.9+(238.2-592.6)+(-3.612738+(-0.242964--0.604452))+0-0-0</f>
        <v>3184.2487500000002</v>
      </c>
      <c r="J25" s="3">
        <f>3547.9+(293.7-690.8)+(3.618858+(0.299574-0.704616))+0-0-0</f>
        <v>3154.0138160000001</v>
      </c>
      <c r="K25" s="3">
        <f>3578.2+(246.1-744.2)+(-1.824882+(-0.125511--0.379542))+0-0-0</f>
        <v>3078.529149</v>
      </c>
      <c r="L25" s="3">
        <f>3713.2+(290.6-937.6)+(-11.362392+(-0.889236--2.869056))+0-0-0</f>
        <v>3056.8174279999998</v>
      </c>
      <c r="M25" s="3">
        <f>3573.6+(326.5-906.4)+(-1.822536+(-0.166515--0.462264))+0-0-0</f>
        <v>2992.173213</v>
      </c>
      <c r="N25" s="3">
        <f>3596.9+(426.3-908.1)+(1.834419+(0.217413-0.463131))+0-0-0</f>
        <v>3116.688701</v>
      </c>
      <c r="O25" s="3">
        <f>3662.3+(639.7-834.1)+(-1.867773+(-0.326247--0.425391))+0-0-0</f>
        <v>3466.1313709999999</v>
      </c>
      <c r="P25" s="3">
        <f>3634.7+(697.8-524.7)+(1.853697+(0.355878-0.267597))+0-0-0</f>
        <v>3809.7419779999996</v>
      </c>
      <c r="Q25" s="3">
        <f>3692.3+(686.4-355.7)+(-3.766146+(-0.700128--0.362814))+0-0-0</f>
        <v>4018.8965400000002</v>
      </c>
      <c r="R25" s="3">
        <f>3735.2+(657.9-327.9)+(1.904952+(0.335529-0.167229))+0-0-0</f>
        <v>4067.273252</v>
      </c>
      <c r="S25" s="3">
        <f>3736.9+(665.9-369.4)+(1.905819+(0.339609-0.188394))+0-0-0</f>
        <v>4035.457034</v>
      </c>
      <c r="T25" s="3">
        <f>3671.8+(686.3-420.9)+(1.872618+(0.350013-0.214659))+0-0-0</f>
        <v>3939.2079720000002</v>
      </c>
      <c r="U25" s="3">
        <f>3609+(645.5-422.4)+(-3.68118+(-0.65841--0.430848))+0-0-0</f>
        <v>3828.1912579999998</v>
      </c>
      <c r="V25" s="3">
        <f>3604.6+(584.5-416.5)+(3.676692+(0.59619-0.42483))+0-0-0</f>
        <v>3776.4480519999997</v>
      </c>
      <c r="W25" s="3">
        <f>3565+(673.3-430)+(5.45445+(1.030149-0.6579))+0-0-0</f>
        <v>3814.1266990000004</v>
      </c>
      <c r="X25" s="3">
        <f>3551.6+(829.6-416.2)+(-5.433948+(-1.269288--0.636786))+0-0-0</f>
        <v>3958.9335500000002</v>
      </c>
      <c r="Y25" s="3">
        <f>3915.9+(739.3-404.5)+(1.997109+(0.377043-0.206295))+0-0-0</f>
        <v>4252.8678570000002</v>
      </c>
      <c r="Z25" s="3">
        <f>4183.5+(779.5-510.8)+(-6.400755+(-1.192635--0.781524))+0-0-0</f>
        <v>4445.3881339999998</v>
      </c>
      <c r="AA25" s="3">
        <f>4061.3+(861.5-524.4)+(-10.356315+(-2.196825--1.33722))+0-0-0</f>
        <v>4387.1840800000009</v>
      </c>
      <c r="AB25" s="3">
        <f>3983.7+(795.8-516)+(-4.063374+(-0.811716--0.52632))+0-0-0</f>
        <v>4259.1512300000004</v>
      </c>
      <c r="AC25" s="3">
        <f>3912.8+(575.1-518.1)+(-1.995528+(-0.293301--0.264231))+0-0-0</f>
        <v>3967.7754020000002</v>
      </c>
      <c r="AD25" s="2">
        <v>4548.2</v>
      </c>
      <c r="AE25" s="3">
        <f>4210+(766.5-428.3)+(0+(0-0))+0-0-0</f>
        <v>4548.2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3891.2+(426.8-793.7)+(-1.984512+(-0.217668--0.404787))+0-0-0</f>
        <v>3522.5026069999999</v>
      </c>
      <c r="G26" s="3">
        <f>3943.6+(592.2-1310.1)+(2.011236+(0.302022-0.668151))+0-0-0</f>
        <v>3227.3451069999996</v>
      </c>
      <c r="H26" s="3">
        <f>3802.4+(594.1-1292.5)+(-1.939224+(-0.302991--0.659175))+0-0-0</f>
        <v>3102.41696</v>
      </c>
      <c r="I26" s="3">
        <f>3722.4+(565.4-1237.9)+(-3.796848+(-0.576708--1.262658))+0-0-0</f>
        <v>3046.7891020000002</v>
      </c>
      <c r="J26" s="3">
        <f>3611.2+(594.7-1191.2)+(7.366848+(1.213188-2.430048))+0-0-0</f>
        <v>3020.8499879999999</v>
      </c>
      <c r="K26" s="3">
        <f>3620.4+(496-1025.8)+(-3.692808+(-0.50592--1.046316))+0-0-0</f>
        <v>3087.4475880000005</v>
      </c>
      <c r="L26" s="3">
        <f>3712.5+(487.6-864.1)+(5.680125+(0.746028-1.322073))+0-0-0</f>
        <v>3341.1040800000001</v>
      </c>
      <c r="M26" s="3">
        <f>3733.6+(615.3-618.2)+(-1.904136+(-0.313803--0.315282))+0-0-0</f>
        <v>3728.7973429999997</v>
      </c>
      <c r="N26" s="3">
        <f>4167.1+(544.8-496.3)+(-2.125221+(-0.277848--0.253113))+0-0-0</f>
        <v>4213.4500440000002</v>
      </c>
      <c r="O26" s="3">
        <f>4343.5+(791.8-491.4)+(-4.43037+(-0.807636--0.501228))+0-0-0</f>
        <v>4639.1632219999992</v>
      </c>
      <c r="P26" s="3">
        <f>4332.7+(1039.9-393.6)+(-6.629031+(-1.591047--0.602208))+0-0-0</f>
        <v>4971.38213</v>
      </c>
      <c r="Q26" s="3">
        <f>4329.8+(1174.2-365.7)+(-8.832792+(-2.395368--0.746028))+0-0-0</f>
        <v>5127.8178680000001</v>
      </c>
      <c r="R26" s="3">
        <f>4182.1+(1372.5-367.1)+(-6.398613+(-2.099925--0.561663))+0-0-0</f>
        <v>5179.5631249999997</v>
      </c>
      <c r="S26" s="3">
        <f>4071.5+(1371.8-400.8)+(-8.30586+(-2.798472--0.817632))+0-0-0</f>
        <v>5032.2133000000003</v>
      </c>
      <c r="T26" s="3">
        <f>4088.6+(1363.3-387.2)+(-6.255558+(-2.085849--0.592416))+0-0-0</f>
        <v>5056.9510089999994</v>
      </c>
      <c r="U26" s="3">
        <f>4060.1+(1303.6-390.2)+(-12.423906+(-3.989016--1.194012))+0-0-0</f>
        <v>4958.2810900000004</v>
      </c>
      <c r="V26" s="3">
        <f>4041.6+(1170.2-363.8)+(-2.061216+(-0.596802--0.185538))+0-0-0</f>
        <v>4845.5275199999996</v>
      </c>
      <c r="W26" s="3">
        <f>4021.6+(1078.5-372.7)+(-10.25508+(-2.750175--0.950385))+0-0-0</f>
        <v>4715.3451299999997</v>
      </c>
      <c r="X26" s="3">
        <f>4028.2+(945.5-323.7)+(-2.054382+(-0.482205--0.165087))+0-0-0</f>
        <v>4647.6284999999998</v>
      </c>
      <c r="Y26" s="3">
        <f>4164.7+(926.6-307.5)+(2.123997+(0.472566-0.156825))+0-0-0</f>
        <v>4786.2397380000002</v>
      </c>
      <c r="Z26" s="3">
        <f>4294.7+(1142.7-353.2)+(-10.951485+(-2.913885--0.90066))+0-0-0</f>
        <v>5071.2352899999996</v>
      </c>
      <c r="AA26" s="3">
        <f>4248.9+(1118.4-401.9)+(-10.834695+(-2.85192--1.024845))+0-0-0</f>
        <v>4952.7382299999999</v>
      </c>
      <c r="AB26" s="3">
        <f>4174.2+(1016.8-524.3)+(-2.128842+(-0.518568--0.267393))+0-0-0</f>
        <v>4664.3199829999994</v>
      </c>
      <c r="AC26" s="3">
        <f>4088.1+(654.8-448.2)+(-8.339724+(-1.335792--0.914328))+0-0-0</f>
        <v>4285.9388119999994</v>
      </c>
      <c r="AD26" s="2">
        <v>5069.7</v>
      </c>
      <c r="AE26" s="3">
        <f>4295+(1117.4-342.7)+(0+(0-0))+0-0-0</f>
        <v>5069.7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3881.6+(392.6-475.3)+(-7.918464+(-0.800904--0.969612))+0-0-0</f>
        <v>3791.1502439999999</v>
      </c>
      <c r="G27" s="3">
        <f>3741.8+(294.4-590.7)+(-5.724954+(-0.450432--0.903771))+0-0-0</f>
        <v>3440.2283849999999</v>
      </c>
      <c r="H27" s="3">
        <f>3548.7+(287.4-570.7)+(0+(0-0))+0-0-0</f>
        <v>3265.3999999999996</v>
      </c>
      <c r="I27" s="3">
        <f>3508.7+(364.3-704.4)+(-3.578874+(-0.371586--0.718488))+0-0-0</f>
        <v>3165.3680279999999</v>
      </c>
      <c r="J27" s="3">
        <f>3458.9+(346.6-665.6)+(0+(0-0))+0-0-0</f>
        <v>3139.9</v>
      </c>
      <c r="K27" s="3">
        <f>3470.9+(344.6-608.2)+(0+(0-0))+0-0-0</f>
        <v>3207.3</v>
      </c>
      <c r="L27" s="3">
        <f>3601.5+(423.8-667.4)+(5.510295+(0.648414-1.021122))+0-0-0</f>
        <v>3363.0375870000003</v>
      </c>
      <c r="M27" s="3">
        <f>3717.2+(619.7-618.2)+(-3.791544+(-0.632094--0.630564))+0-0-0</f>
        <v>3714.9069259999997</v>
      </c>
      <c r="N27" s="3">
        <f>3974+(792.9-516.3)+(-2.02674+(-0.404379--0.263313))+0-0-0</f>
        <v>4248.432194</v>
      </c>
      <c r="O27" s="3">
        <f>4159.5+(830.2-390.6)+(0+(0-0))+0-0-0</f>
        <v>4599.1000000000004</v>
      </c>
      <c r="P27" s="3">
        <f>4026.9+(1246.5-359)+(-4.107438+(-1.27143--0.36618))+0-0-0</f>
        <v>4909.3873119999998</v>
      </c>
      <c r="Q27" s="3">
        <f>4202.3+(1211.6-328.4)+(-6.429519+(-1.853748--0.502452))+0-0-0</f>
        <v>5077.7191849999999</v>
      </c>
      <c r="R27" s="3">
        <f>4343.4+(1115.8-349.4)+(-4.430268+(-1.138116--0.356388))+0-0-0</f>
        <v>5104.5880039999993</v>
      </c>
      <c r="S27" s="3">
        <f>4369.1+(892.1-281.8)+(-8.912964+(-1.819884--0.574872))+0-0-0</f>
        <v>4969.2420240000001</v>
      </c>
      <c r="T27" s="3">
        <f>4296.5+(972.1-268.6)+(-2.191215+(-0.495771--0.136986))+0-0-0</f>
        <v>4997.45</v>
      </c>
      <c r="U27" s="3">
        <f>4101.3+(1052.4-280.6)+(-10.458315+(-2.68362--0.71553))+0-0-0</f>
        <v>4860.6735950000002</v>
      </c>
      <c r="V27" s="3">
        <f>3909.3+(1106.1-288.7)+(-11.962458+(-3.384666--0.883422))+0-0-0</f>
        <v>4712.2362979999998</v>
      </c>
      <c r="W27" s="3">
        <f>3899.1+(999-295.2)+(-5.965623+(-1.52847--0.451656))+0-0-0</f>
        <v>4595.8575629999996</v>
      </c>
      <c r="X27" s="3">
        <f>3990.4+(908.9-355)+(-4.070208+(-0.927078--0.3621))+0-0-0</f>
        <v>4539.6648139999998</v>
      </c>
      <c r="Y27" s="3">
        <f>4138.3+(954.9-332.2)+(2.110533+(0.486999-0.169422))+0-0-0</f>
        <v>4763.4281099999998</v>
      </c>
      <c r="Z27" s="3">
        <f>4386.4+(1125.9-431.5)+(-6.711192+(-1.722627--0.660195))+0-0-0</f>
        <v>5073.0263759999989</v>
      </c>
      <c r="AA27" s="3">
        <f>4272.2+(1040.2-372.7)+(-6.536466+(-1.591506--0.570231))+0-0-0</f>
        <v>4932.1422590000002</v>
      </c>
      <c r="AB27" s="3">
        <f>4165.3+(883.6-387.7)+(-4.248606+(-0.901272--0.395454))+0-0-0</f>
        <v>4656.4455760000001</v>
      </c>
      <c r="AC27" s="3">
        <f>4056+(664-391.3)+(0+(0-0))+0-0-0</f>
        <v>4328.7</v>
      </c>
      <c r="AD27" s="2">
        <v>5092</v>
      </c>
      <c r="AE27" s="3">
        <f>4372+(1172.8-452.8)+(0+(0-0))+0-0-0</f>
        <v>5092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3878.2+(428.5-480.3)+(-5.933646+(-0.655605--0.734859))+0-0-0</f>
        <v>3820.5456079999994</v>
      </c>
      <c r="G28" s="3">
        <f>3681.9+(313-536.4)+(-5.633307+(-0.47889--0.820692))+0-0-0</f>
        <v>3453.2084949999999</v>
      </c>
      <c r="H28" s="3">
        <f>3678.8+(400.2-795.1)+(-5.628564+(-0.612306--1.216503))+0-0-0</f>
        <v>3278.8756330000001</v>
      </c>
      <c r="I28" s="3">
        <f>3684.7+(445.5-937.5)+(0+(0-0))+0-0-0</f>
        <v>3192.7</v>
      </c>
      <c r="J28" s="3">
        <f>3688.3+(474.8-998.6)+(3.762066+(0.484296-1.018572))+0-0-0</f>
        <v>3167.7277899999999</v>
      </c>
      <c r="K28" s="3">
        <f>3683.5+(350.5-802.1)+(0+(0-0))+0-0-0</f>
        <v>3231.9</v>
      </c>
      <c r="L28" s="3">
        <f>3728.7+(474.1-840.8)+(-5.704911+(-0.725373--1.286424))+0-0-0</f>
        <v>3356.8561399999999</v>
      </c>
      <c r="M28" s="3">
        <f>3905.2+(662.3-845.4)+(0+(0-0))+0-0-0</f>
        <v>3722.1</v>
      </c>
      <c r="N28" s="3">
        <f>4134+(880.1-784.2)+(-2.10834+(-0.448851--0.399942))+0-0-0</f>
        <v>4227.7427509999998</v>
      </c>
      <c r="O28" s="3">
        <f>4183.5+(842.3-449.2)+(-4.26717+(-0.859146--0.458184))+0-0-0</f>
        <v>4571.9318680000006</v>
      </c>
      <c r="P28" s="3">
        <f>4176.8+(1023.3-396.9)+(2.130168+(0.521883-0.202419))+0-0-0</f>
        <v>4805.6496319999997</v>
      </c>
      <c r="Q28" s="3">
        <f>4147.6+(1241.1-412.5)+(2.115276+(0.632961-0.210375))+0-0-0</f>
        <v>4978.7378620000009</v>
      </c>
      <c r="R28" s="3">
        <f>4031.8+(1375.4-441.5)+(2.056218+(0.701454-0.225165))+0-0-0</f>
        <v>4968.2325070000006</v>
      </c>
      <c r="S28" s="3">
        <f>4011.7+(1222.6-440.9)+(2.045967+(0.623526-0.224859))+0-0-0</f>
        <v>4795.844634</v>
      </c>
      <c r="T28" s="3">
        <f>4017.6+(1385.3-521.8)+(6.146928+(2.119509-0.798354))+0-0-0</f>
        <v>4888.5680830000001</v>
      </c>
      <c r="U28" s="3">
        <f>4013.3+(1256.9-461.2)+(-4.093566+(-1.282038--0.470424))+0-0-0</f>
        <v>4804.0948200000003</v>
      </c>
      <c r="V28" s="3">
        <f>4031.9+(1138-404.5)+(-2.056269+(-0.58038--0.206295))+0-0-0</f>
        <v>4762.9696459999996</v>
      </c>
      <c r="W28" s="3">
        <f>4026.2+(1067.8-390.6)+(-2.053362+(-0.544578--0.199206))+0-0-0</f>
        <v>4701.0012659999993</v>
      </c>
      <c r="X28" s="3">
        <f>4018.1+(922.7-333.7)+(-8.196924+(-1.882308--0.680748))+17.6-0-0</f>
        <v>4615.3015160000004</v>
      </c>
      <c r="Y28" s="3">
        <f>4188.4+(878.6-301.5)+(6.408252+(1.344258-0.461295))+0-0-0</f>
        <v>4772.7912150000002</v>
      </c>
      <c r="Z28" s="3">
        <f>4252.2+(1184.4-373.2)+(-2.168622+(-0.604044--0.190332))+0-0-0</f>
        <v>5060.8176659999999</v>
      </c>
      <c r="AA28" s="3">
        <f>4132+(1152.5-347.1)+(-6.32196+(-1.763325--0.531063))+0-0-0</f>
        <v>4929.8457779999999</v>
      </c>
      <c r="AB28" s="3">
        <f>4016.2+(959-310.9)+(-10.24131+(-2.44545--0.792795))+0-0-0</f>
        <v>4652.406035</v>
      </c>
      <c r="AC28" s="3">
        <f>3973.3+(790.4-476.5)+(2.026383+(0.403104-0.243015))+0-0-0</f>
        <v>4289.3864720000001</v>
      </c>
      <c r="AD28" s="2">
        <v>5050.3</v>
      </c>
      <c r="AE28" s="3">
        <f>4242+(1185.7-377.4)+(0+(0-0))+0-0-0</f>
        <v>5050.3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3977.2+(846.5-981.9)+(-4.056744+(-0.86343--1.001538))+0-0-0</f>
        <v>3837.8813639999998</v>
      </c>
      <c r="G29" s="3">
        <f>3976.6+(725.7-1214)+(-8.112264+(-1.480428--2.47656))+0-0-0</f>
        <v>3481.1838680000001</v>
      </c>
      <c r="H29" s="3">
        <f>3987.9+(678.3-1358.4)+(-2.033829+(-0.345933--0.692784))+0-0-0</f>
        <v>3306.113022</v>
      </c>
      <c r="I29" s="3">
        <f>3875.4+(569.9-1227.4)+(1.976454+(0.290649-0.625974))+0-0-0</f>
        <v>3219.5411290000002</v>
      </c>
      <c r="J29" s="3">
        <f>3617.4+(521-926.5)+(-1.844874+(-0.26571--0.472515))+0-0-0</f>
        <v>3210.261931</v>
      </c>
      <c r="K29" s="3">
        <f>3620.7+(462.5-824.5)+(1.846557+(0.235875-0.420495))+0-0-0</f>
        <v>3260.3619369999997</v>
      </c>
      <c r="L29" s="3">
        <f>3611.9+(404.8-628.8)+(-3.684138+(-0.412896--0.641376))+0-0-0</f>
        <v>3384.4443420000002</v>
      </c>
      <c r="M29" s="3">
        <f>3848.8+(591.5-691.9)+(3.925776+(0.60333-0.705738))+0-0-0</f>
        <v>3752.2233679999999</v>
      </c>
      <c r="N29" s="3">
        <f>3992.5+(932.9-644.1)+(4.07235+(0.951558-0.656982))+0-0-0</f>
        <v>4285.6669259999999</v>
      </c>
      <c r="O29" s="3">
        <f>3946.7+(1078.8-383.7)+(4.025634+(1.100376-0.391374))+0-0-0</f>
        <v>4646.5346359999994</v>
      </c>
      <c r="P29" s="3">
        <f>3995.7+(1236.5-368.9)+(4.075614+(1.26123-0.376278))+0-0-0</f>
        <v>4868.2605659999999</v>
      </c>
      <c r="Q29" s="3">
        <f>3982.4+(1366.7-373.1)+(-12.186144+(-4.182102--1.141686))+0-0-0</f>
        <v>4960.7734399999999</v>
      </c>
      <c r="R29" s="3">
        <f>3970.5+(1451.6-350.3)+(4.04991+(1.480632-0.357306))+0-0-0</f>
        <v>5076.9732359999998</v>
      </c>
      <c r="S29" s="3">
        <f>3761.2+(1388.1-358)+(-3.836424+(-1.415862--0.36516))+0-0-0</f>
        <v>4786.4128739999996</v>
      </c>
      <c r="T29" s="3">
        <f>3897+(1299.4-319.8)+(-11.92482+(-3.976164--0.978588))+0-0-0</f>
        <v>4861.6776040000004</v>
      </c>
      <c r="U29" s="3">
        <f>3976.8+(1020.1-320.4)+(-8.112672+(-2.081004--0.653616))+0-0-0</f>
        <v>4666.9599399999997</v>
      </c>
      <c r="V29" s="3">
        <f>4047.6+(758.5-478.1)+(-2.064276+(-0.386835--0.243831))+0-0-0</f>
        <v>4325.7927200000004</v>
      </c>
      <c r="W29" s="3">
        <f>3910.5+(882.2-419.1)+(7.97742+(1.799688-0.854964))+0-0-0</f>
        <v>4382.5221440000005</v>
      </c>
      <c r="X29" s="3">
        <f>4008.1+(1005.2-389.3)+(-4.088262+(-1.025304--0.397086))+0-0-0</f>
        <v>4619.28352</v>
      </c>
      <c r="Y29" s="3">
        <f>4170.1+(912.1-337)+(-4.253502+(-0.930342--0.34374))+0-0-0</f>
        <v>4740.3598960000008</v>
      </c>
      <c r="Z29" s="3">
        <f>4377.4+(972.4-338)+(-6.697422+(-1.487772--0.51714))+0-0-0</f>
        <v>5004.1319459999995</v>
      </c>
      <c r="AA29" s="3">
        <f>4416.7+(877.4-352.2)+(-4.505034+(-0.894948--0.359244))+0-0-0</f>
        <v>4936.8592619999999</v>
      </c>
      <c r="AB29" s="3">
        <f>4376.9+(675.3-370.7)+(-4.464438+(-0.688806--0.378114))+0-0-0</f>
        <v>4676.72487</v>
      </c>
      <c r="AC29" s="3">
        <f>4161.3+(574-426.1)+(-4.244526+(-0.58548--0.434622))+0-0-0</f>
        <v>4304.8046159999994</v>
      </c>
      <c r="AD29" s="2">
        <v>5056.3</v>
      </c>
      <c r="AE29" s="3">
        <f>4473+(944-360.7)+(0+(0-0))+0-0-0</f>
        <v>5056.3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4066.3+(579.8-773.7)+(-6.221439+(-0.887094--1.183761))+0-0-0</f>
        <v>3866.4752280000002</v>
      </c>
      <c r="G30" s="3">
        <f>4065.3+(588.2-1153.7)+(-2.073303+(-0.299982--0.588387))+0-0-0</f>
        <v>3498.0151020000003</v>
      </c>
      <c r="H30" s="3">
        <f>3877.3+(594.1-1169.4)+(5.932269+(0.908973-1.789182))+0-0-0</f>
        <v>3307.05206</v>
      </c>
      <c r="I30" s="3">
        <f>3713.7+(570.2-1047)+(-3.787974+(-0.581604--1.06794))+0-0-0</f>
        <v>3233.5983619999997</v>
      </c>
      <c r="J30" s="3">
        <f>3695.2+(578.4-1070.1)+(-3.769104+(-0.589968--1.091502))+0-0-0</f>
        <v>3200.23243</v>
      </c>
      <c r="K30" s="3">
        <f>3688.5+(531.8-955.6)+(-7.52454+(-1.084872--1.949424))+0-0-0</f>
        <v>3258.0400119999999</v>
      </c>
      <c r="L30" s="3">
        <f>3680.3+(487.3-760.8)+(-7.507812+(-0.994092--1.552032))+0-0-0</f>
        <v>3399.850128</v>
      </c>
      <c r="M30" s="3">
        <f>3862.5+(469.2-547.6)+(1.969875+(0.239292-0.279276))+15-0-0</f>
        <v>3801.0298910000001</v>
      </c>
      <c r="N30" s="3">
        <f>3985.1+(623.3-259.9)+(2.032401+(0.317883-0.132549))+0-0-0</f>
        <v>4350.7177350000002</v>
      </c>
      <c r="O30" s="3">
        <f>3943.2+(946.1-216)+(2.011032+(0.482511-0.11016))+0-0-0</f>
        <v>4675.6833830000005</v>
      </c>
      <c r="P30" s="3">
        <f>3907.3+(1231.5-244.3)+(1.992723+(0.628065-0.124593))+0-0-0</f>
        <v>4896.9961949999997</v>
      </c>
      <c r="Q30" s="3">
        <f>4031.1+(1225.6-266.9)+(-2.055861+(-0.625056--0.136119))+0-0-0</f>
        <v>4987.2552020000003</v>
      </c>
      <c r="R30" s="3">
        <f>4052+(1256.8-249.9)+(2.06652+(0.640968-0.127449))+0-0-0</f>
        <v>5061.480039</v>
      </c>
      <c r="S30" s="3">
        <f>4057+(1049-247.6)+(-10.34535+(-2.67495--0.63138))+36-0-0</f>
        <v>4882.0110799999993</v>
      </c>
      <c r="T30" s="3">
        <f>4045.6+(1131.2-243.1)+(-2.063256+(-0.576912--0.123981))+0-0-0</f>
        <v>4931.1838129999996</v>
      </c>
      <c r="U30" s="3">
        <f>3907.9+(1179.4-214.7)+(-7.972116+(-2.405976--0.437988))+0-0-0</f>
        <v>4862.6598960000001</v>
      </c>
      <c r="V30" s="3">
        <f>3906.4+(1083.7-181.4)+(-1.992264+(-0.552687--0.092514))+0-0-0</f>
        <v>4806.2475629999999</v>
      </c>
      <c r="W30" s="3">
        <f>3923.3+(1039.7-172.3)+(-8.003532+(-2.120988--0.351492))+0-0-0</f>
        <v>4780.9269720000011</v>
      </c>
      <c r="X30" s="3">
        <f>3946.3+(933.1-189.2)+(-6.037839+(-1.427643--0.289476))+0-0-0</f>
        <v>4683.023994000001</v>
      </c>
      <c r="Y30" s="3">
        <f>4012.6+(863.6-157.2)+(-10.23213+(-2.20218--0.40086))+0-0-0</f>
        <v>4706.9665500000001</v>
      </c>
      <c r="Z30" s="3">
        <f>4174.3+(1177.1-262.7)+(-6.386679+(-1.800963--0.401931))+0-0-0</f>
        <v>5080.9142889999994</v>
      </c>
      <c r="AA30" s="3">
        <f>4090.4+(1232.4-331.9)+(-10.43052+(-3.14262--0.846345))+0-0-0</f>
        <v>4978.173205000001</v>
      </c>
      <c r="AB30" s="3">
        <f>4008.8+(1095-371.7)+(-6.133464+(-1.67535--0.568701))+0-0-0</f>
        <v>4724.8598870000005</v>
      </c>
      <c r="AC30" s="3">
        <f>4000.9+(750.3-388.3)+(-8.161836+(-1.530612--0.792132))+0-0-0</f>
        <v>4353.9996839999994</v>
      </c>
      <c r="AD30" s="2">
        <v>5069.5</v>
      </c>
      <c r="AE30" s="3">
        <f>4186+(1190.9-307.4)+(0+(0-0))+0-0-0</f>
        <v>5069.5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3890.7+(443.9-418.9)+(-7.937028+(-0.905556--0.854556))+0-0-0</f>
        <v>3907.7119719999996</v>
      </c>
      <c r="G31" s="3">
        <f>3871.8+(509.4-834.4)+(-5.923854+(-0.779382--1.276632))+0-0-0</f>
        <v>3541.373396</v>
      </c>
      <c r="H31" s="3">
        <f>3841.8+(556.9-1071.6)+(-9.79659+(-1.420095--2.73258))+0-0-0</f>
        <v>3318.6158950000004</v>
      </c>
      <c r="I31" s="3">
        <f>3666.8+(506.1-942.8)+(0+(0-0))+0-0-0</f>
        <v>3230.1000000000004</v>
      </c>
      <c r="J31" s="3">
        <f>3639.4+(474-896.5)+(-1.856094+(-0.24174--0.457215))+0-0-0</f>
        <v>3215.2593810000003</v>
      </c>
      <c r="K31" s="3">
        <f>3647.1+(482.3-889.4)+(1.860021+(0.245973-0.453594))+0-0-0</f>
        <v>3241.6523999999999</v>
      </c>
      <c r="L31" s="3">
        <f>3645.4+(492.3-855.9)+(-1.859154+(-0.251073--0.436509))+0-0-0</f>
        <v>3280.1262820000002</v>
      </c>
      <c r="M31" s="3">
        <f>3684.8+(516.2-648.4)+(1.879248+(0.263262-0.330684))+0-0-0</f>
        <v>3554.4118260000005</v>
      </c>
      <c r="N31" s="3">
        <f>3830.9+(698.4-480)+(-1.953759+(-0.356184--0.2448))+0-0-0</f>
        <v>4047.2348570000004</v>
      </c>
      <c r="O31" s="3">
        <f>3865.2+(965-377.4)+(-3.942504+(-0.9843--0.384948))+0-0-0</f>
        <v>4448.2581440000004</v>
      </c>
      <c r="P31" s="3">
        <f>3857.3+(1290.3-433.9)+(1.967223+(0.658053-0.221289))+0-0-0</f>
        <v>4716.1039869999995</v>
      </c>
      <c r="Q31" s="3">
        <f>3853.5+(1403.7-393.8)+(-11.79171+(-4.295322--1.205028))+0-0-0</f>
        <v>4848.5179959999996</v>
      </c>
      <c r="R31" s="3">
        <f>3800.7+(1394-361.5)+(-7.753428+(-2.84376--0.73746))+0-0-0</f>
        <v>4823.3402719999995</v>
      </c>
      <c r="S31" s="3">
        <f>3669.4+(1299.6-335)+(-9.35697+(-3.31398--0.85425))+0-0-0</f>
        <v>4622.1832999999997</v>
      </c>
      <c r="T31" s="3">
        <f>3666.9+(1233.9-335)+(0+(0-0))+0-0-0</f>
        <v>4565.8</v>
      </c>
      <c r="U31" s="3">
        <f>3597.9+(1197.9-367.3)+(-3.669858+(-1.221858--0.374646))+0-0-0</f>
        <v>4423.9829300000001</v>
      </c>
      <c r="V31" s="3">
        <f>3518.7+(1233.9-434.7)+(-1.794537+(-0.629289--0.221697))+0-0-0</f>
        <v>4315.6978709999994</v>
      </c>
      <c r="W31" s="3">
        <f>3514.6+(1145.6-403.2)+(-3.584892+(-1.168512--0.411264))+0-0-0</f>
        <v>4252.6578600000003</v>
      </c>
      <c r="X31" s="3">
        <f>3591.9+(963.3-353.4)+(3.663738+(0.982566-0.360468))+0-0-0</f>
        <v>4206.0858360000002</v>
      </c>
      <c r="Y31" s="3">
        <f>4001.9+(744.7-405.5)+(2.040969+(0.379797-0.206805))+0-0-0</f>
        <v>4343.3139610000007</v>
      </c>
      <c r="Z31" s="3">
        <f>4081.9+(1059.5-391.1)+(-6.245307+(-1.621035--0.598383))+0-0-0</f>
        <v>4743.0320410000004</v>
      </c>
      <c r="AA31" s="3">
        <f>4085.3+(971.7-376.7)+(-6.250509+(-1.486701--0.576351))+0-0-0</f>
        <v>4673.1391410000006</v>
      </c>
      <c r="AB31" s="3">
        <f>4063.4+(849.2-429.6)+(-6.217002+(-1.299276--0.657288))+0-0-0</f>
        <v>4476.1410100000003</v>
      </c>
      <c r="AC31" s="3">
        <f>4003+(902.7-681)+(-4.08306+(-0.920754--0.69462))+0-0-0</f>
        <v>4220.3908059999994</v>
      </c>
      <c r="AD31" s="2">
        <v>4735.5999999999995</v>
      </c>
      <c r="AE31" s="3">
        <f>4067+(1064.9-396.3)+(0+(0-0))+0-0-0</f>
        <v>4735.6000000000004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3970.4+(898.3-1005)+(-2.024904+(-0.458133--0.51255))+0-0-0</f>
        <v>3861.7295129999998</v>
      </c>
      <c r="G32" s="3">
        <f>3935.9+(707.2-1109.4)+(-4.014618+(-0.721344--1.131588))+0-0-0</f>
        <v>3530.0956259999998</v>
      </c>
      <c r="H32" s="3">
        <f>3610.4+(490.7-822.3)+(-3.682608+(-0.500514--0.838746))+0-0-0</f>
        <v>3275.4556240000002</v>
      </c>
      <c r="I32" s="3">
        <f>3604.3+(507.8-982.9)+(0+(0-0))+0-0-0</f>
        <v>3129.2000000000003</v>
      </c>
      <c r="J32" s="3">
        <f>3524.6+(480.9-934.5)+(0+(0-0))+0-0-0</f>
        <v>3071</v>
      </c>
      <c r="K32" s="3">
        <f>3436.8+(446.5-830.2)+(-3.505536+(-0.45543--0.846804))+0-0-0</f>
        <v>3049.9858380000005</v>
      </c>
      <c r="L32" s="3">
        <f>3450+(572.2-1094.3)+(0+(0-0))+0-0-0</f>
        <v>2927.9</v>
      </c>
      <c r="M32" s="3">
        <f>3451.1+(548.9-1113.2)+(0+(0-0))+0-0-0</f>
        <v>2886.7999999999997</v>
      </c>
      <c r="N32" s="3">
        <f>3521.2+(716.3-1190.7)+(3.591624+(0.730626-1.214514))+0-0-0</f>
        <v>3049.9077359999997</v>
      </c>
      <c r="O32" s="3">
        <f>3690.7+(738.6-1068.5)+(3.764514+(0.753372-1.08987))+0-0-0</f>
        <v>3364.2280159999996</v>
      </c>
      <c r="P32" s="3">
        <f>3666.9+(810.8-797.3)+(0+(0-0))+0-0-0</f>
        <v>3680.4</v>
      </c>
      <c r="Q32" s="3">
        <f>3651+(712.4-501.7)+(-5.58603+(-1.089972--0.767601))+0-0-0</f>
        <v>3855.7915989999997</v>
      </c>
      <c r="R32" s="3">
        <f>3652.4+(675.6-441.8)+(0+(0-0))+0-0-0</f>
        <v>3886.2000000000003</v>
      </c>
      <c r="S32" s="3">
        <f>3637.8+(654.3-471.9)+(-7.421112+(-1.334772--0.962676))+0-0-0</f>
        <v>3812.4067920000002</v>
      </c>
      <c r="T32" s="3">
        <f>3644.5+(794.3-699.1)+(0+(0-0))+0-0-0</f>
        <v>3739.7</v>
      </c>
      <c r="U32" s="3">
        <f>3597.4+(686.3-605.1)+(-11.008044+(-2.100078--1.851606))+0-0-0</f>
        <v>3667.343484</v>
      </c>
      <c r="V32" s="3">
        <f>3575.8+(529.9-466.2)+(1.823658+(0.270249-0.237762))+0-0-0</f>
        <v>3641.3561450000002</v>
      </c>
      <c r="W32" s="3">
        <f>3589.1+(468-429.5)+(-1.830441+(-0.23868--0.219045))+0-0-0</f>
        <v>3625.7499239999997</v>
      </c>
      <c r="X32" s="3">
        <f>3559.4+(534.4-321.6)+(0+(0-0))+0-0-0</f>
        <v>3772.2</v>
      </c>
      <c r="Y32" s="3">
        <f>3640.5+(661.8-289.2)+(0+(0-0))+0-0-0</f>
        <v>4013.1</v>
      </c>
      <c r="Z32" s="3">
        <f>3966.1+(747.8-327)+(-4.045422+(-0.762756--0.33354))+0-0-0</f>
        <v>4382.425362</v>
      </c>
      <c r="AA32" s="3">
        <f>3989.8+(770-375.6)+(-6.104394+(-1.1781--0.574668))+0-0-0</f>
        <v>4377.492174</v>
      </c>
      <c r="AB32" s="3">
        <f>3914.5+(747.1-438.9)+(-7.98558+(-1.524084--0.895356))+0-0-0</f>
        <v>4214.0856919999997</v>
      </c>
      <c r="AC32" s="3">
        <f>3761.2+(622.5-502.7)+(-1.918212+(-0.317475--0.256377))+0-0-0</f>
        <v>3879.0206899999998</v>
      </c>
      <c r="AD32" s="2">
        <v>4386.6000000000004</v>
      </c>
      <c r="AE32" s="3">
        <f>3977+(789.8-380.2)+(0+(0-0))+0-0-0</f>
        <v>4386.6000000000004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3712.2+(583.5-795.9)+(-3.786444+(-0.59517--0.811818))+0-0-0</f>
        <v>3496.2302039999995</v>
      </c>
      <c r="G33" s="3">
        <f>3576.2+(648-1025.7)+(-3.647724+(-0.66096--1.046214))+0-0-0</f>
        <v>3195.2375299999999</v>
      </c>
      <c r="H33" s="3">
        <f>3513+(714.8-1245.1)+(-8.95815+(-1.82274--3.175005))+0-0-0</f>
        <v>2975.0941149999999</v>
      </c>
      <c r="I33" s="3">
        <f>3565.8+(675.2-1264.5)+(3.637116+(0.688704-1.28979))+0-0-0</f>
        <v>2979.5360300000002</v>
      </c>
      <c r="J33" s="3">
        <f>3573.2+(621.1-1233.2)+(3.644664+(0.633522-1.257864))+0-0-0</f>
        <v>2964.1203219999998</v>
      </c>
      <c r="K33" s="3">
        <f>3578.7+(636.3-1149.8)+(1.825137+(0.324513-0.586398))+0-0-0</f>
        <v>3066.7632519999997</v>
      </c>
      <c r="L33" s="3">
        <f>3578.3+(689.6-1047.4)+(-1.824933+(-0.351696--0.534174))+0-0-0</f>
        <v>3218.8575449999998</v>
      </c>
      <c r="M33" s="3">
        <f>3706.7+(981.2-1008.9)+(1.890417+(0.500412-0.514539))+0-0-0</f>
        <v>3680.8762900000002</v>
      </c>
      <c r="N33" s="3">
        <f>4032.6+(983.6-757.9)+(0+(0-0))+0-0-0</f>
        <v>4258.3</v>
      </c>
      <c r="O33" s="3">
        <f>4106.5+(1052.5-525)+(2.094315+(0.536775-0.26775))+0-0-0</f>
        <v>4636.3633399999999</v>
      </c>
      <c r="P33" s="3">
        <f>4171.7+(1151.9-440.2)+(4.255134+(1.174938-0.449004))+0-0-0</f>
        <v>4888.3810679999997</v>
      </c>
      <c r="Q33" s="3">
        <f>4254.3+(1255.6-407.8)+(-2.169693+(-0.640356--0.207978))+0-0-0</f>
        <v>5099.4979290000001</v>
      </c>
      <c r="R33" s="3">
        <f>4384.9+(1118.9-405.2)+(-8.945196+(-2.282556--0.826608))+0-0-0</f>
        <v>5088.1988559999991</v>
      </c>
      <c r="S33" s="3">
        <f>4467.7+(951.4-499.3)+(-11.392635+(-2.42607--1.273215))+0-0-0</f>
        <v>4907.2545099999998</v>
      </c>
      <c r="T33" s="3">
        <f>4466.6+(1013.6-500.1)+(-4.555932+(-1.033872--0.510102))+0-0-0</f>
        <v>4975.0202980000004</v>
      </c>
      <c r="U33" s="3">
        <f>4324.9+(1135.8-549.8)+(4.411398+(1.158516-0.560796))+0-0-0</f>
        <v>4915.9091179999996</v>
      </c>
      <c r="V33" s="3">
        <f>4229.8+(1123.3-537.7)+(-6.471594+(-1.718649--0.822681))+0-0-0</f>
        <v>4808.0324379999993</v>
      </c>
      <c r="W33" s="3">
        <f>4129.7+(1022.4-429.6)+(-2.106147+(-0.521424--0.219096))+0-0-0</f>
        <v>4720.0915249999998</v>
      </c>
      <c r="X33" s="3">
        <f>4197.9+(875.7-479.9)+(-10.704645+(-2.233035--1.223745))+0-0-0</f>
        <v>4581.9860650000001</v>
      </c>
      <c r="Y33" s="3">
        <f>4351.9+(794.7-422.4)+(2.219469+(0.405297-0.215424))+0-0-0</f>
        <v>4726.6093419999997</v>
      </c>
      <c r="Z33" s="3">
        <f>4736.1+(803.3-449.4)+(-9.661644+(-1.638732--0.916776))+0-0-0</f>
        <v>5079.6163999999999</v>
      </c>
      <c r="AA33" s="3">
        <f>4706.4+(740.8-546.3)+(-12.00132+(-1.88904--1.393065))+0-0-0</f>
        <v>4888.4027049999995</v>
      </c>
      <c r="AB33" s="3">
        <f>4687+(683.8-688.3)+(-11.95185+(-1.74369--1.755165))+0-0-0</f>
        <v>4670.5596249999999</v>
      </c>
      <c r="AC33" s="3">
        <f>4504+(458-704.6)+(-6.89112+(-0.70074--1.078038))+0-0-0</f>
        <v>4250.8861779999997</v>
      </c>
      <c r="AD33" s="2">
        <v>5095.5</v>
      </c>
      <c r="AE33" s="3">
        <f>4761+(803.8-469.3)+(0+(0-0))+0-0-0</f>
        <v>5095.5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4322.7+(589.5-1002.1)+(-4.409154+(-0.60129--1.022142))+0-0-0</f>
        <v>3906.1116979999997</v>
      </c>
      <c r="G34" s="3">
        <f>4278.2+(490.7-1194.8)+(-4.363764+(-0.500514--1.218696))+0-0-0</f>
        <v>3570.4544179999998</v>
      </c>
      <c r="H34" s="3">
        <f>4248.2+(535.8-1394.3)+(-4.333164+(-0.546516--1.422186))+0-0-0</f>
        <v>3386.2425059999996</v>
      </c>
      <c r="I34" s="3">
        <f>4241.3+(517.5-1483.8)+(-2.163063+(-0.263925--0.756738))+0-0-0</f>
        <v>3273.3297499999999</v>
      </c>
      <c r="J34" s="3">
        <f>4274.5+(449.5-1401.4)+(-8.71998+(-0.91698--2.858856))+0-0-0</f>
        <v>3315.8218959999999</v>
      </c>
      <c r="K34" s="3">
        <f>4055.3+(396.3-1107.4)+(4.136406+(0.404226-1.129548))+0-0-0</f>
        <v>3347.6110839999997</v>
      </c>
      <c r="L34" s="3">
        <f>4003.8+(392.3-1000)+(-2.041938+(-0.200073--0.51))+0-0-0</f>
        <v>3394.3679890000003</v>
      </c>
      <c r="M34" s="3">
        <f>3977.3+(645.5-830.1)+(6.085269+(0.987615-1.270053))+0-0-0</f>
        <v>3798.5028310000002</v>
      </c>
      <c r="N34" s="3">
        <f>4650.4+(1072.4-1295.7)+(4.743408+(1.093848-1.321614))+0-0-0</f>
        <v>4431.6156419999998</v>
      </c>
      <c r="O34" s="3">
        <f>4863.8+(1005-1148.6)+(-2.480538+(-0.51255--0.585786))+0-0-0</f>
        <v>4717.7926980000011</v>
      </c>
      <c r="P34" s="3">
        <f>4872.7+(893.1-831.4)+(-2.485077+(-0.455481--0.424014))+0-0-0</f>
        <v>4931.8834559999996</v>
      </c>
      <c r="Q34" s="3">
        <f>4782.9+(827.2-526.3)+(-7.317837+(-1.265616--0.805239))+0-0-0</f>
        <v>5076.0217859999993</v>
      </c>
      <c r="R34" s="3">
        <f>4755.7+(882.8-565.3)+(0+(0-0))+0-0-0</f>
        <v>5073.2</v>
      </c>
      <c r="S34" s="3">
        <f>4668.5+(836.2-617.1)+(-11.904675+(-2.13231--1.573605))+0-0-0</f>
        <v>4875.1366200000002</v>
      </c>
      <c r="T34" s="3">
        <f>4644.2+(843.4-507.7)+(4.737084+(0.860268-0.517854))+0-0-0</f>
        <v>4984.9794979999997</v>
      </c>
      <c r="U34" s="3">
        <f>4614.2+(820.9-512.3)+(-7.059726+(-1.255977--0.783819))+0-0-0</f>
        <v>4915.2681160000002</v>
      </c>
      <c r="V34" s="3">
        <f>4601.7+(778.1-526)+(-2.346867+(-0.396831--0.26826))+0-0-0</f>
        <v>4851.3245619999998</v>
      </c>
      <c r="W34" s="3">
        <f>4710.1+(616.6-560.9)+(-7.206453+(-0.943398--0.858177))+0-0-0</f>
        <v>4758.5083260000001</v>
      </c>
      <c r="X34" s="3">
        <f>4688.8+(478.1-492.2)+(-2.391288+(-0.243831--0.251022))+0-0-0</f>
        <v>4672.3159029999997</v>
      </c>
      <c r="Y34" s="3">
        <f>4722.1+(436.4-475.4)+(0+(0-0))+0-0-0</f>
        <v>4683.1000000000004</v>
      </c>
      <c r="Z34" s="3">
        <f>5262.5+(478.1-633.9)+(0+(0-0))+0-0-0</f>
        <v>5106.7</v>
      </c>
      <c r="AA34" s="3">
        <f>5241+(489.5-710.4)+(-10.69164+(-0.99858--1.449216))+0-0-0</f>
        <v>5009.8589959999999</v>
      </c>
      <c r="AB34" s="3">
        <f>5020.2+(417.7-713.6)+(-5.120604+(-0.426054--0.727872))+0-0-0</f>
        <v>4719.4812140000004</v>
      </c>
      <c r="AC34" s="3">
        <f>4870.1+(281.1-796.8)+(-2.483751+(-0.143361--0.406368))+0-0-0</f>
        <v>4352.1792560000004</v>
      </c>
      <c r="AD34" s="2">
        <v>5110.1000000000004</v>
      </c>
      <c r="AE34" s="3">
        <f>5333+(449.3-672.2)+(0+(0-0))+0-0-0</f>
        <v>5110.1000000000004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4556+(433.7-1105.3)+(-9.29424+(-0.884748--2.254812))+0-0-0</f>
        <v>3876.4758240000001</v>
      </c>
      <c r="G35" s="3">
        <f>4304.7+(588.6-1369)+(-2.195397+(-0.300186--0.69819))+0-0-0</f>
        <v>3522.5026069999999</v>
      </c>
      <c r="H35" s="3">
        <f>4210.8+(577.1-1443.2)+(-2.147508+(-0.294321--0.736032))+0-0-0</f>
        <v>3342.9942030000002</v>
      </c>
      <c r="I35" s="3">
        <f>4203.8+(542.3-1486)+(6.431814+(0.829719-2.27358))+0-0-0</f>
        <v>3265.0879530000002</v>
      </c>
      <c r="J35" s="3">
        <f>4171.2+(493.5-1417.7)+(-6.381936+(-0.755055--2.169081))+0-0-0</f>
        <v>3242.0320900000002</v>
      </c>
      <c r="K35" s="3">
        <f>4198.5+(496.6-1390.3)+(-2.141235+(-0.253266--0.709053))+0-0-0</f>
        <v>3303.114552</v>
      </c>
      <c r="L35" s="3">
        <f>4165+(386.7-1125)+(-8.4966+(-0.788868--2.295))+0-0-0</f>
        <v>3419.7095319999999</v>
      </c>
      <c r="M35" s="3">
        <f>4484.1+(394.5-1009.9)+(9.147564+(0.80478-2.060196))+0-0-0</f>
        <v>3876.5921480000002</v>
      </c>
      <c r="N35" s="3">
        <f>4912.6+(656.1-1172.4)+(2.505426+(0.334611-0.597924))+0-0-0</f>
        <v>4398.5421130000004</v>
      </c>
      <c r="O35" s="3">
        <f>4994.5+(618-833.1)+(2.547195+(0.31518-0.424881))+0-0-0</f>
        <v>4781.8374939999994</v>
      </c>
      <c r="P35" s="3">
        <f>5073.8+(559.1-626.6)+(-2.587638+(-0.285141--0.319566))+0-0-0</f>
        <v>5003.746787</v>
      </c>
      <c r="Q35" s="3">
        <f>5062.3+(597.5-516.1)+(5.163546+(0.60945-0.526422))+0-0-0</f>
        <v>5148.9465739999996</v>
      </c>
      <c r="R35" s="3">
        <f>5153.7+(521.6-523.1)+(-5.256774+(-0.532032--0.533562))+0-0-0</f>
        <v>5146.9447559999999</v>
      </c>
      <c r="S35" s="3">
        <f>5152.1+(653-821)+(5.255142+(0.66606-0.83742))+0-0-0</f>
        <v>4989.1837820000001</v>
      </c>
      <c r="T35" s="3">
        <f>5096.2+(726.6-717.8)+(5.198124+(0.741132-0.732156))+0-0-0</f>
        <v>5110.2070999999996</v>
      </c>
      <c r="U35" s="3">
        <f>5024.3+(824.1-777.8)+(-2.562393+(-0.420291--0.396678))+0-0-0</f>
        <v>5068.0139939999999</v>
      </c>
      <c r="V35" s="3">
        <f>5031.3+(891.4-959.3)+(-10.263852+(-1.818456--1.956972))+0-0-0</f>
        <v>4953.2746640000005</v>
      </c>
      <c r="W35" s="3">
        <f>5167.6+(999.4-1286.9)+(-13.17738+(-2.54847--3.281595))+0-0-0</f>
        <v>4867.655745</v>
      </c>
      <c r="X35" s="3">
        <f>5196.2+(710.3-1154)+(-18.550434+(-2.535771--4.11978))+0-0-0</f>
        <v>4735.5335750000004</v>
      </c>
      <c r="Y35" s="3">
        <f>5242.4+(492.6-897.9)+(2.673624+(0.251226-0.457929))+0-0-0</f>
        <v>4839.5669209999996</v>
      </c>
      <c r="Z35" s="3">
        <f>5398.6+(456.4-663.4)+(-2.753286+(-0.232764--0.338334))+0-0-0</f>
        <v>5188.952284</v>
      </c>
      <c r="AA35" s="3">
        <f>5326.7+(528.1-783)+(-21.732936+(-2.154648--3.19464))+0-0-0</f>
        <v>5051.1070559999998</v>
      </c>
      <c r="AB35" s="3">
        <f>5186.1+(800-1187.7)+(-13.224555+(-2.04--3.028635))+0-0-0</f>
        <v>4786.1640800000005</v>
      </c>
      <c r="AC35" s="3">
        <f>5114.3+(734.9-1414.5)+(-7.824879+(-1.124397--2.164185))+0-0-0</f>
        <v>4427.9149090000001</v>
      </c>
      <c r="AD35" s="2">
        <v>5175.0999999999995</v>
      </c>
      <c r="AE35" s="3">
        <f>5417+(443.9-672.8)+(0+(0-0))+0-0-0</f>
        <v>5188.1000000000004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4999+(848.7-1912.5)+(-10.19796+(-1.731348--3.9015))+0-0-0</f>
        <v>3927.172192</v>
      </c>
      <c r="G36" s="3">
        <f>4936.8+(733.1-2082.9)+(-10.071072+(-1.495524--4.249116))+0-0-0</f>
        <v>3579.6825199999998</v>
      </c>
      <c r="H36" s="3">
        <f>4891.8+(682.8-2184.8)+(-12.47409+(-1.74114--5.57124))+0-0-0</f>
        <v>3381.1560100000002</v>
      </c>
      <c r="I36" s="3">
        <f>4881.6+(473-2066)+(4.979232+(0.48246-2.10732))+0-0-0</f>
        <v>3291.9543720000001</v>
      </c>
      <c r="J36" s="3">
        <f>4832.3+(418.6-1978.4)+(-2.464473+(-0.213486--1.008984))+0-0-0</f>
        <v>3270.831025</v>
      </c>
      <c r="K36" s="3">
        <f>4777.7+(494.1-1956.5)+(0+(0-0))+0-0-0</f>
        <v>3315.2999999999997</v>
      </c>
      <c r="L36" s="3">
        <f>4772.1+(544-1865.1)+(-2.433771+(-0.27744--0.951201))+0-0-0</f>
        <v>3449.2399900000005</v>
      </c>
      <c r="M36" s="3">
        <f>5111.7+(569.8-1815.8)+(5.213934+(0.581196-1.852116))+0-0-0</f>
        <v>3869.6430139999998</v>
      </c>
      <c r="N36" s="3">
        <f>5425.4+(800.8-1799.1)+(2.766954+(0.408408-0.917541))+0-0-0</f>
        <v>4429.3578209999996</v>
      </c>
      <c r="O36" s="3">
        <f>5531.7+(835.2-1610)+(2.821167+(0.425952-0.8211))+0-0-0</f>
        <v>4759.3260190000001</v>
      </c>
      <c r="P36" s="3">
        <f>5672.3+(825.5-1435.3)+(-8.678619+(-1.263015--2.196009))+0-0-0</f>
        <v>5054.7543750000004</v>
      </c>
      <c r="Q36" s="3">
        <f>5695+(800.8-1286.8)+(-2.90445+(-0.408408--0.656268))+0-0-0</f>
        <v>5206.3434100000004</v>
      </c>
      <c r="R36" s="3">
        <f>5685.8+(788.4-1259.9)+(-11.599032+(-1.608336--2.570196))+0-0-0</f>
        <v>5203.6628280000004</v>
      </c>
      <c r="S36" s="3">
        <f>5478.3+(852.6-1302.2)+(-5.587866+(-0.869652--1.328244))+0-0-0</f>
        <v>5023.5707259999999</v>
      </c>
      <c r="T36" s="3">
        <f>5407+(909-1202)+(5.51514+(0.92718-1.22604))+0-0-0</f>
        <v>5119.2162799999996</v>
      </c>
      <c r="U36" s="3">
        <f>5361.6+(862.5-1151.8)+(-8.203248+(-1.319625--1.762254))+0-0-0</f>
        <v>5064.5393810000005</v>
      </c>
      <c r="V36" s="3">
        <f>5359.2+(801-1200.8)+(-8.199576+(-1.22553--1.837224))+0-0-0</f>
        <v>4951.8121179999998</v>
      </c>
      <c r="W36" s="3">
        <f>5299.3+(710.4-1140.4)+(-16.215858+(-2.173824--3.489624))+0-0-0</f>
        <v>4854.399942</v>
      </c>
      <c r="X36" s="3">
        <f>5309.7+(569.7-1102.8)+(-10.831788+(-1.162188--2.249712))+0-0-0</f>
        <v>4766.8557360000004</v>
      </c>
      <c r="Y36" s="3">
        <f>5495.3+(333-996.3)+(0+(0-0))+0-0-0</f>
        <v>4832</v>
      </c>
      <c r="Z36" s="3">
        <f>5640.3+(265.6-832)+(-8.629659+(-0.406368--1.27296))+0-0-0</f>
        <v>5066.1369330000007</v>
      </c>
      <c r="AA36" s="3">
        <f>5567.7+(339.7-1044.4)+(-11.358108+(-0.692988--2.130576))+0-0-0</f>
        <v>4853.0794800000003</v>
      </c>
      <c r="AB36" s="3">
        <f>5448.8+(410.6-1223.9)+(0+(0-0))+0-0-0</f>
        <v>4635.5</v>
      </c>
      <c r="AC36" s="3">
        <f>5240.2+(451.8-1323.3)+(-5.345004+(-0.460836--1.349766))+0-0-0</f>
        <v>4364.2439260000001</v>
      </c>
      <c r="AD36" s="2">
        <v>5018.6000000000004</v>
      </c>
      <c r="AE36" s="3">
        <f>5518+(335.8-830.2)+(0+(0-0))+0-0-0</f>
        <v>5023.6000000000004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5083.3+(592.5-1680.1)+(-5.184966+(-0.60435--1.713702))+0-0-0</f>
        <v>3991.6243860000004</v>
      </c>
      <c r="G37" s="3">
        <f>5066.9+(587.5-2016.1)+(-5.168238+(-0.59925--2.056422))+0-0-0</f>
        <v>3634.5889339999999</v>
      </c>
      <c r="H37" s="3">
        <f>4933+(501.1-2029.8)+(-5.03166+(-0.511122--2.070396))+0-0-0</f>
        <v>3400.8276140000003</v>
      </c>
      <c r="I37" s="3">
        <f>4973.3+(480.4-2168.1)+(0+(0-0))+0-0-0</f>
        <v>3285.6000000000004</v>
      </c>
      <c r="J37" s="3">
        <f>4944.7+(316.6-2017.1)+(-5.043594+(-0.322932--2.057442))+0-0-0</f>
        <v>3240.8909159999998</v>
      </c>
      <c r="K37" s="3">
        <f>4862.4+(193.1-1836.5)+(-7.439472+(-0.295443--2.809845))+0-0-0</f>
        <v>3214.0749299999998</v>
      </c>
      <c r="L37" s="3">
        <f>4652.5+(247.7-1800.1)+(-11.863875+(-0.631635--4.590255))+0-0-0</f>
        <v>3092.1947450000002</v>
      </c>
      <c r="M37" s="3">
        <f>4417.1+(292.5-1612.8)+(0+(0-0))+0-0-0</f>
        <v>3096.8</v>
      </c>
      <c r="N37" s="3">
        <f>4415.6+(448.1-1547.8)+(0+(0-0))+0-0-0</f>
        <v>3315.9000000000005</v>
      </c>
      <c r="O37" s="3">
        <f>4614.5+(502.8-1516.6)+(0+(0-0))+0-0-0</f>
        <v>3600.7</v>
      </c>
      <c r="P37" s="3">
        <f>4915.7+(510-1541.7)+(-10.028028+(-1.0404--3.145068))+0-0-0</f>
        <v>3876.0766400000002</v>
      </c>
      <c r="Q37" s="3">
        <f>4995.5+(529.6-1473.5)+(2.547705+(0.270096-0.751485))+0-0-0</f>
        <v>4053.6663159999998</v>
      </c>
      <c r="R37" s="3">
        <f>5000.8+(458.2-1362.6)+(-10.201632+(-0.934728--2.779704))+0-0-0</f>
        <v>4088.0433440000006</v>
      </c>
      <c r="S37" s="3">
        <f>4898.8+(535.9-1422)+(0+(0-0))+0-0-0</f>
        <v>4012.7000000000003</v>
      </c>
      <c r="T37" s="3">
        <f>4865.3+(619.8-1462.9)+(-2.481303+(-0.316098--0.746079))+0-0-0</f>
        <v>4020.148678</v>
      </c>
      <c r="U37" s="3">
        <f>4844.3+(604.9-1482.9)+(-9.882372+(-1.233996--3.025116))+0-0-0</f>
        <v>3958.208748</v>
      </c>
      <c r="V37" s="3">
        <f>4879.9+(655.9-1618.3)+(-2.488749+(-0.334509--0.825333))+0-0-0</f>
        <v>3915.5020749999994</v>
      </c>
      <c r="W37" s="3">
        <f>4896.8+(464.4-1471.4)+(-9.989472+(-0.947376--3.001656))+0-0-0</f>
        <v>3881.8648080000003</v>
      </c>
      <c r="X37" s="3">
        <f>5076.8+(321.2-1387)+(-10.356672+(-0.655248--2.82948))+0-0-0</f>
        <v>4002.81756</v>
      </c>
      <c r="Y37" s="3">
        <f>5166.9+(300.3-1244.4)+(-2.635119+(-0.153153--0.634644))+0-0-0</f>
        <v>4220.6463719999992</v>
      </c>
      <c r="Z37" s="3">
        <f>5435.1+(361.7-1319.3)+(-8.315703+(-0.553401--2.018529))+0-0-0</f>
        <v>4470.6494249999996</v>
      </c>
      <c r="AA37" s="3">
        <f>5405+(198.1-1168.1)+(-8.26965+(-0.303093--1.787193))+0-0-0</f>
        <v>4428.2144500000004</v>
      </c>
      <c r="AB37" s="3">
        <f>5338.5+(284.3-1340.6)+(-2.722635+(-0.144993--0.683706))+0-0-0</f>
        <v>4280.0160779999997</v>
      </c>
      <c r="AC37" s="3">
        <f>5292.9+(469.7-1711)+(-2.699379+(-0.239547--0.87261))+0-0-0</f>
        <v>4049.5336839999995</v>
      </c>
      <c r="AD37" s="2">
        <v>4452</v>
      </c>
      <c r="AE37" s="3">
        <f>5543+(358.2-1440.2)+(0+(0-0))+0-0-0</f>
        <v>4461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5131.3+(311.6-1755.8)+(-2.616963+(-0.158916--0.895458))+0-0-0</f>
        <v>3685.2195790000005</v>
      </c>
      <c r="G38" s="3">
        <f>5035.2+(362.7-1990.1)+(-10.271808+(-0.739908--4.059804))+0-0-0</f>
        <v>3400.8480880000002</v>
      </c>
      <c r="H38" s="3">
        <f>4747.5+(308.1-1877.1)+(-2.421225+(-0.157131--0.957321))+0-0-0</f>
        <v>3176.8789649999999</v>
      </c>
      <c r="I38" s="3">
        <f>4688.2+(249.2-1862.4)+(-2.390982+(-0.127092--0.949824))+0-0-0</f>
        <v>3073.4317500000002</v>
      </c>
      <c r="J38" s="3">
        <f>4616.9+(136.8-1699.3)+(-4.709238+(-0.139536--1.733286))+0-0-0</f>
        <v>3051.2845119999997</v>
      </c>
      <c r="K38" s="3">
        <f>4597.3+(147.7-1662.1)+(-4.689246+(-0.150654--1.695342))+0-0-0</f>
        <v>3079.7554420000006</v>
      </c>
      <c r="L38" s="3">
        <f>4490.6+(155.6-1542.1)+(-9.160824+(-0.317424--3.145884))+0-0-0</f>
        <v>3097.7676360000005</v>
      </c>
      <c r="M38" s="3">
        <f>4610+(137.7-1359.7)+(2.3511+(0.070227-0.693447))+0-0-0</f>
        <v>3389.7278799999999</v>
      </c>
      <c r="N38" s="3">
        <f>4877.1+(246.3-1249.8)+(2.487321+(0.125613-0.637398))+0-0-0</f>
        <v>3875.5755360000003</v>
      </c>
      <c r="O38" s="3">
        <f>4972+(315.8-1017.3)+(-2.53572+(-0.161058--0.518823))+0-0-0</f>
        <v>4268.3220449999999</v>
      </c>
      <c r="P38" s="3">
        <f>5074.7+(458.3-966.5)+(5.176194+(0.467466-0.98583))+0-0-0</f>
        <v>4571.1578300000001</v>
      </c>
      <c r="Q38" s="3">
        <f>5041.5+(497.5-821)+(0+(0-0))+0-0-0</f>
        <v>4718</v>
      </c>
      <c r="R38" s="3">
        <f>5045.5+(551-865.9)+(-5.14641+(-0.56202--0.883218))+0-0-0</f>
        <v>4725.7747880000006</v>
      </c>
      <c r="S38" s="3">
        <f>5056.3+(620.1-1147.5)+(-2.578713+(-0.316251--0.585225))+0-0-0</f>
        <v>4526.5902610000003</v>
      </c>
      <c r="T38" s="3">
        <f>5040.8+(599.7-1159.7)+(-5.141616+(-0.611694--1.182894))+0-0-0</f>
        <v>4476.2295840000006</v>
      </c>
      <c r="U38" s="3">
        <f>5040+(692.5-1354)+(-7.7112+(-1.059525--2.07162))+0-0-0</f>
        <v>4371.8008950000003</v>
      </c>
      <c r="V38" s="3">
        <f>5067.6+(697.1-1439.2)+(0+(0-0))+0-0-0</f>
        <v>4325.5</v>
      </c>
      <c r="W38" s="3">
        <f>5093.6+(686.1-1449.6)+(-2.597736+(-0.349911--0.739296))+0-0-0</f>
        <v>4327.8916490000001</v>
      </c>
      <c r="X38" s="3">
        <f>5200.8+(541.1-1486.7)+(-7.957224+(-0.827883--2.274651))+0-0-0</f>
        <v>4248.6895439999998</v>
      </c>
      <c r="Y38" s="3">
        <f>5236.7+(230.4-1188.4)+(-2.670717+(-0.117504--0.606084))+0-0-0</f>
        <v>4276.517863</v>
      </c>
      <c r="Z38" s="3">
        <f>5187.8+(256.3-837.4)+(-5.291556+(-0.261426--0.854148))+0-0-0</f>
        <v>4602.0011660000009</v>
      </c>
      <c r="AA38" s="3">
        <f>5173.4+(463.5-1110.9)+(-7.915302+(-0.709155--1.699677))+0-0-0</f>
        <v>4519.0752199999997</v>
      </c>
      <c r="AB38" s="3">
        <f>5042.8+(489-1199.3)+(-5.143656+(-0.49878--1.223286))+0-0-0</f>
        <v>4328.0808500000003</v>
      </c>
      <c r="AC38" s="3">
        <f>4805+(587.9-1285.8)+(7.35165+(0.899487-1.967274))+0-0-0</f>
        <v>4113.383863</v>
      </c>
      <c r="AD38" s="2">
        <v>4611.7</v>
      </c>
      <c r="AE38" s="3">
        <f>5193+(276.4-846.7)+(0+(0-0))+0-0-0</f>
        <v>4622.7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4723.3+(546.8-1474.3)+(0+(0-0))+0-0-0</f>
        <v>3795.8</v>
      </c>
      <c r="G39" s="3">
        <f>4558.4+(546.2-1640.3)+(-2.324784+(-0.278562--0.836553))+0-0-0</f>
        <v>3462.5332069999999</v>
      </c>
      <c r="H39" s="3">
        <f>4380.7+(426.7-1587.3)+(6.702471+(0.652851-2.428569))+0-0-0</f>
        <v>3225.0267530000001</v>
      </c>
      <c r="I39" s="3">
        <f>4228.4+(306.9-1437.9)+(-8.625936+(-0.626076--2.933316))+0-0-0</f>
        <v>3091.0813039999998</v>
      </c>
      <c r="J39" s="3">
        <f>4228.9+(291.8-1463.5)+(-6.470217+(-0.446454--2.239155))+0-0-0</f>
        <v>3052.5224839999996</v>
      </c>
      <c r="K39" s="3">
        <f>4245.2+(238.7-1433.5)+(-4.330104+(-0.243474--1.46217))+0-0-0</f>
        <v>3047.2885919999994</v>
      </c>
      <c r="L39" s="3">
        <f>4104.5+(263.3-1449.3)+(-14.653065+(-0.939981--5.174001))+0-0-0</f>
        <v>2908.0809549999999</v>
      </c>
      <c r="M39" s="3">
        <f>4168.2+(268.8-1511.5)+(2.125782+(0.137088-0.770865))+0-0-0</f>
        <v>2926.9920050000001</v>
      </c>
      <c r="N39" s="3">
        <f>4260.5+(292.5-1425.4)+(2.172855+(0.149175-0.726954))+0-0-0</f>
        <v>3129.195076</v>
      </c>
      <c r="O39" s="3">
        <f>4443.1+(210.4-1256)+(-4.531962+(-0.214608--1.28112))+0-0-0</f>
        <v>3394.0345500000003</v>
      </c>
      <c r="P39" s="3">
        <f>4864.2+(289-1442.9)+(-7.442226+(-0.44217--2.207637))+0-0-0</f>
        <v>3704.6232409999998</v>
      </c>
      <c r="Q39" s="3">
        <f>4904.8+(403.3-1405.3)+(-10.005792+(-0.822732--2.866812))+0-0-0</f>
        <v>3894.8382880000004</v>
      </c>
      <c r="R39" s="3">
        <f>4994.3+(465.9-1525.7)+(0+(0-0))+0-0-0</f>
        <v>3934.5</v>
      </c>
      <c r="S39" s="3">
        <f>4965.2+(592.3-1676.3)+(-7.596756+(-0.906219--2.564739))+0-0-0</f>
        <v>3875.2617639999999</v>
      </c>
      <c r="T39" s="3">
        <f>4920.3+(677.8-1789.1)+(-2.509353+(-0.345678--0.912441))+0-0-0</f>
        <v>3807.0574099999999</v>
      </c>
      <c r="U39" s="3">
        <f>4687.1+(596.3-1562.4)+(-4.780842+(-0.608226--1.593648))+0-0-0</f>
        <v>3717.2045800000001</v>
      </c>
      <c r="V39" s="3">
        <f>4664.5+(553.7-1546.9)+(-4.75779+(-0.564774--1.577838))+0-0-0</f>
        <v>3667.5552740000003</v>
      </c>
      <c r="W39" s="3">
        <f>4655.6+(378-1334.2)+(-7.123068+(-0.57834--2.041326))+0-0-0</f>
        <v>3693.7399180000007</v>
      </c>
      <c r="X39" s="3">
        <f>4490+(276.1-1046.5)+(-6.8697+(-0.422433--1.601145))+0-0-0</f>
        <v>3713.9090120000001</v>
      </c>
      <c r="Y39" s="3">
        <f>4622.1+(278.9-974.8)+(-4.714542+(-0.284478--0.994296))+0-0-0</f>
        <v>3922.1952760000004</v>
      </c>
      <c r="Z39" s="3">
        <f>4908.7+(278.7-729.5)+(-2.503437+(-0.142137--0.372045))+0-0-0</f>
        <v>4455.6264709999996</v>
      </c>
      <c r="AA39" s="3">
        <f>4985.6+(290.4-775.6)+(-5.085312+(-0.296208--0.791112))+0-0-0</f>
        <v>4495.8095920000005</v>
      </c>
      <c r="AB39" s="3">
        <f>4944.5+(471.1-1069.5)+(2.521695+(0.240261-0.545445))+0-0-0</f>
        <v>4348.316511</v>
      </c>
      <c r="AC39" s="3">
        <f>4913.3+(691.7-1537.8)+(-7.517349+(-1.058301--2.352834))+0-0-0</f>
        <v>4060.9771840000003</v>
      </c>
      <c r="AD39" s="2">
        <v>4531.7000000000007</v>
      </c>
      <c r="AE39" s="3">
        <f>5024+(288.1-780.4)+(0+(0-0))+0-0-0</f>
        <v>4531.7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4861.4+(888.6-2088.9)+(-2.479314+(-0.453186--1.065339))+0-0-0</f>
        <v>3659.2328389999993</v>
      </c>
      <c r="G40" s="3">
        <f>4736.8+(684.2-2094.4)+(-7.247304+(-1.046826--3.204432))+0-0-0</f>
        <v>3321.5103020000001</v>
      </c>
      <c r="H40" s="3">
        <f>4388.7+(601.3-1837.9)+(4.476474+(0.613326-1.874658))+0-0-0</f>
        <v>3155.3151419999995</v>
      </c>
      <c r="I40" s="3">
        <f>4259.1+(579.8-1765.8)+(2.172141+(0.295698-0.900558))+0-0-0</f>
        <v>3074.6672810000005</v>
      </c>
      <c r="J40" s="3">
        <f>4276.3+(550.8-1757.5)+(0+(0-0))+0-0-0</f>
        <v>3069.6000000000004</v>
      </c>
      <c r="K40" s="3">
        <f>4366.8+(406.4-1644.4)+(-6.681204+(-0.621792--2.515932))+0-0-0</f>
        <v>3124.0129360000001</v>
      </c>
      <c r="L40" s="3">
        <f>4405.3+(376.8-1497.3)+(-2.246703+(-0.192168--0.763623))+0-0-0</f>
        <v>3283.1247520000002</v>
      </c>
      <c r="M40" s="3">
        <f>4692.6+(422.7-1358.9)+(2.393226+(0.215577-0.693039))+0-0-0</f>
        <v>3758.3157640000004</v>
      </c>
      <c r="N40" s="3">
        <f>5004.2+(679.3-1311.1)+(2.552142+(0.346443-0.668661))+0-0-0</f>
        <v>4374.6299239999998</v>
      </c>
      <c r="O40" s="3">
        <f>5051.9+(720.7-993.5)+(0+(0-0))+0-0-0</f>
        <v>4779.0999999999995</v>
      </c>
      <c r="P40" s="3">
        <f>5167.4+(603.3-733.7)+(0+(0-0))+0-0-0</f>
        <v>5037</v>
      </c>
      <c r="Q40" s="3">
        <f>5262.7+(546.9-597.8)+(-8.051931+(-0.836757--0.914634))+0-0-0</f>
        <v>5203.8259459999999</v>
      </c>
      <c r="R40" s="3">
        <f>5225.9+(592.2-614.4)+(-10.660836+(-1.208088--1.253376))+0-0-0</f>
        <v>5193.0844520000001</v>
      </c>
      <c r="S40" s="3">
        <f>5283.3+(724-996.1)+(-5.388966+(-0.73848--1.016022))+0-0-0</f>
        <v>5006.0885760000001</v>
      </c>
      <c r="T40" s="3">
        <f>5283.3+(766-864)+(0+(0-0))+0-0-0</f>
        <v>5185.3</v>
      </c>
      <c r="U40" s="3">
        <f>5153.5+(749.6-834.2)+(-5.25657+(-0.764592--0.850884))+0-0-0</f>
        <v>5063.729722</v>
      </c>
      <c r="V40" s="3">
        <f>5152.7+(772.7-964.5)+(-5.255754+(-0.788154--0.98379))+0-0-0</f>
        <v>4955.8398819999993</v>
      </c>
      <c r="W40" s="3">
        <f>5146.1+(774.9-1076.8)+(-5.249022+(-0.790398--1.098336))+0-0-0</f>
        <v>4839.2589160000007</v>
      </c>
      <c r="X40" s="3">
        <f>5101.8+(559.4-945.1)+(-7.805754+(-0.855882--1.446003))+0-0-0</f>
        <v>4708.8843670000006</v>
      </c>
      <c r="Y40" s="3">
        <f>5158.2+(369.3-806.4)+(-7.892046+(-0.565029--1.233792))+0-0-0</f>
        <v>4713.8767169999992</v>
      </c>
      <c r="Z40" s="3">
        <f>5339.5+(401.7-562.2)+(-10.89258+(-0.819468--1.146888))+0-0-0</f>
        <v>5168.4348399999999</v>
      </c>
      <c r="AA40" s="3">
        <f>5361.5+(552.2-796)+(-5.46873+(-0.563244--0.81192))+0-0-0</f>
        <v>5112.4799459999995</v>
      </c>
      <c r="AB40" s="3">
        <f>5344.9+(753.2-1259.2)+(-8.177697+(-1.152396--1.926576))+0-0-0</f>
        <v>4831.4964829999999</v>
      </c>
      <c r="AC40" s="3">
        <f>5320+(978-1870)+(-10.8528+(-1.99512--3.8148))+0-0-0</f>
        <v>4418.9668799999999</v>
      </c>
      <c r="AD40" s="2">
        <v>5165.8</v>
      </c>
      <c r="AE40" s="3">
        <f>5335+(422.1-591.3)+(0+(0-0))+0-0-0</f>
        <v>5165.8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5252.1+(845-2140.5)+(-8.035713+(-1.29285--3.274965))+0-0-0</f>
        <v>3950.5464020000004</v>
      </c>
      <c r="G41" s="3">
        <f>5132.6+(360.8-1901)+(-7.852878+(-0.552024--2.90853))+0-0-0</f>
        <v>3586.9036280000005</v>
      </c>
      <c r="H41" s="3">
        <f>4810.1+(362.3-1768.7)+(2.453151+(0.184773-0.902037))+0-0-0</f>
        <v>3405.4358870000001</v>
      </c>
      <c r="I41" s="3">
        <f>4659.9+(413.1-1763.3)+(4.753098+(0.421362-1.798566))+0-0-0</f>
        <v>3313.0758939999996</v>
      </c>
      <c r="J41" s="3">
        <f>4556.5+(363.6-1636.7)+(-2.323815+(-0.185436--0.834717))+0-0-0</f>
        <v>3281.7254659999999</v>
      </c>
      <c r="K41" s="3">
        <f>4554.2+(359.4-1590.5)+(-9.290568+(-0.733176--3.24462))+0-0-0</f>
        <v>3316.3208759999998</v>
      </c>
      <c r="L41" s="3">
        <f>4507.2+(388.9-1457.5)+(-6.896016+(-0.595017--2.229975))+0-0-0</f>
        <v>3433.3389419999999</v>
      </c>
      <c r="M41" s="3">
        <f>4528.5+(512.6-1162.1)+(0+(0-0))+0-0-0</f>
        <v>3879</v>
      </c>
      <c r="N41" s="3">
        <f>4833.1+(626.5-1042)+(2.464881+(0.319515-0.53142))+0-0-0</f>
        <v>4419.8529760000001</v>
      </c>
      <c r="O41" s="3">
        <f>5103.8+(890.7-1153.7)+(2.602938+(0.454257-0.588387))+0-0-0</f>
        <v>4843.2688079999998</v>
      </c>
      <c r="P41" s="3">
        <f>5097.5+(1051.6-1077.2)+(-2.599725+(-0.536316--0.549372))+0-0-0</f>
        <v>5069.3133309999994</v>
      </c>
      <c r="Q41" s="3">
        <f>5180.3+(1149.1-1095.3)+(-7.925859+(-1.758123--1.675809))+0-0-0</f>
        <v>5226.0918270000002</v>
      </c>
      <c r="R41" s="3">
        <f>5320.2+(1259.4-1334.7)+(-5.426604+(-1.284588--1.361394))+0-0-0</f>
        <v>5239.5502019999994</v>
      </c>
      <c r="S41" s="3">
        <f>5358+(1412.8-1700.4)+(-10.93032+(-2.882112--3.468816))+0-0-0</f>
        <v>5060.0563839999995</v>
      </c>
      <c r="T41" s="3">
        <f>5400.9+(1456.9-1677.5)+(-2.754459+(-0.743019--0.855525))+0-0-0</f>
        <v>5177.658046999999</v>
      </c>
      <c r="U41" s="3">
        <f>5431.7+(1462.7-1739.7)+(-11.080668+(-2.983908--3.548988))+0-0-0</f>
        <v>5144.1844119999996</v>
      </c>
      <c r="V41" s="3">
        <f>5100.4+(1491.9-1523.9)+(-5.202408+(-1.521738--1.554378))+0-0-0</f>
        <v>5063.2302319999999</v>
      </c>
      <c r="W41" s="3">
        <f>5361.7+(1375.4-1779.6)+(-13.672335+(-3.50727--4.53798))+0-0-0</f>
        <v>4944.8583749999998</v>
      </c>
      <c r="X41" s="3">
        <f>5397.2+(1003.1-1591.7)+(-24.773148+(-4.604229--7.305903))+0-0-0</f>
        <v>4786.5285259999991</v>
      </c>
      <c r="Y41" s="3">
        <f>5275.8+(802.6-1298.2)+(0+(0-0))+0-0-0</f>
        <v>4780.2</v>
      </c>
      <c r="Z41" s="3">
        <f>5536.7+(871.5-1288.5)+(-2.823717+(-0.444465--0.657135))+0-0-0</f>
        <v>5117.0889529999995</v>
      </c>
      <c r="AA41" s="3">
        <f>5710+(839.5-1500.4)+(-17.4726+(-2.56887--4.591224))+0-0-0</f>
        <v>5033.649754</v>
      </c>
      <c r="AB41" s="3">
        <f>5462.5+(1036.9-1678.8)+(0+(0-0))+0-0-0</f>
        <v>4820.6000000000004</v>
      </c>
      <c r="AC41" s="3">
        <f>5311.4+(1096.7-1945.8)+(0+(0-0))+0-0-0</f>
        <v>4462.2999999999993</v>
      </c>
      <c r="AD41" s="2">
        <v>5146.2000000000007</v>
      </c>
      <c r="AE41" s="3">
        <f>5593+(781.1-1227.9)+(0+(0-0))+0-0-0</f>
        <v>5146.2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5080.9+(887.4-1998.2)+(-5.182518+(-0.905148--2.038164))+0-0-0</f>
        <v>3966.0504979999996</v>
      </c>
      <c r="G42" s="3">
        <f>4776.1+(871-2029.7)+(-4.871622+(-0.88842--2.070294))+0-0-0</f>
        <v>3613.7102520000008</v>
      </c>
      <c r="H42" s="3">
        <f>4738.8+(745.6-2061.5)+(0+(0-0))+0-0-0</f>
        <v>3422.9</v>
      </c>
      <c r="I42" s="3">
        <f>4745.8+(721.8-2144.2)+(4.840716+(0.736236-2.187084))+0-0-0</f>
        <v>3326.7898680000008</v>
      </c>
      <c r="J42" s="3">
        <f>4694.4+(597.2-1995.2)+(-4.788288+(-0.609144--2.035104))+0-0-0</f>
        <v>3293.0376719999995</v>
      </c>
      <c r="K42" s="3">
        <f>4728.4+(554.5-1937.4)+(-2.411484+(-0.282795--0.988074))+0-0-0</f>
        <v>3343.7937949999996</v>
      </c>
      <c r="L42" s="3">
        <f>4634.8+(501.3-1687.9)+(-11.81874+(-1.278315--4.304145))+0-0-0</f>
        <v>3439.4070899999997</v>
      </c>
      <c r="M42" s="3">
        <f>4825.8+(421.9-1416.9)+(7.383474+(0.645507-2.167857))+0-0-0</f>
        <v>3836.6611240000002</v>
      </c>
      <c r="N42" s="3">
        <f>5022.6+(587.7-1242)+(0+(0-0))+0-0-0</f>
        <v>4368.3</v>
      </c>
      <c r="O42" s="3">
        <f>5263.5+(902.8-1408.4)+(2.684385+(0.460428-0.718284))+0-0-0</f>
        <v>4760.3265289999999</v>
      </c>
      <c r="P42" s="3">
        <f>5138.1+(1162.6-1291.2)+(-2.620431+(-0.592926--0.658512))+0-0-0</f>
        <v>5006.9451550000003</v>
      </c>
      <c r="Q42" s="3">
        <f>5030.4+(1138.6-1015.4)+(-12.82752+(-2.90343--2.58927))+0-0-0</f>
        <v>5140.4583199999997</v>
      </c>
      <c r="R42" s="3">
        <f>5074.9+(1282.7-1157.5)+(-10.352796+(-2.616708--2.3613))+0-0-0</f>
        <v>5189.4917959999993</v>
      </c>
      <c r="S42" s="3">
        <f>5042.4+(1315.3-1351.2)+(-7.714872+(-2.012409--2.067336))+0-0-0</f>
        <v>4998.8400549999997</v>
      </c>
      <c r="T42" s="3">
        <f>5140.1+(1470.3-1501.9)+(7.864353+(2.249559-2.297907))+0-0-0</f>
        <v>5116.3160049999997</v>
      </c>
      <c r="U42" s="3">
        <f>5122.1+(1400.8-1463)+(-13.061355+(-3.57204--3.73065))+0-0-0</f>
        <v>5046.9972550000002</v>
      </c>
      <c r="V42" s="3">
        <f>5176.5+(1439.8-1622.1)+(-5.28003+(-1.468596--1.654542))+0-0-0</f>
        <v>4989.1059159999995</v>
      </c>
      <c r="W42" s="3">
        <f>5165.9+(1352.1-1597.8)+(-13.173045+(-3.447855--4.07439))+0-0-0</f>
        <v>4907.6534899999997</v>
      </c>
      <c r="X42" s="3">
        <f>5155.9+(1352.1-1597.8)+(-13.147545+(-3.447855--4.07439))+0-0-0</f>
        <v>4897.6789899999994</v>
      </c>
      <c r="Y42" s="3">
        <f>5157.1+(922.7-1184.9)+(-13.150605+(-2.352885--3.021495))+0-0-0</f>
        <v>4882.4180050000004</v>
      </c>
      <c r="Z42" s="3">
        <f>5537.4+(849.5-1229.4)+(-8.472222+(-1.299735--1.880982))+0-0-0</f>
        <v>5149.6090249999997</v>
      </c>
      <c r="AA42" s="3">
        <f>5529+(801-1332.3)+(-8.45937+(-1.22553--2.038419))+0-0-0</f>
        <v>4990.0535190000001</v>
      </c>
      <c r="AB42" s="3">
        <f>5320.1+(640.9-1198.6)+(8.139753+(0.980577-1.833858))+0-0-0</f>
        <v>4769.6864720000003</v>
      </c>
      <c r="AC42" s="3">
        <f>5070+(686-1367.3)+(-12.9285+(-1.7493--3.486615))+0-0-0</f>
        <v>4377.5088150000001</v>
      </c>
      <c r="AD42" s="2">
        <v>5061.3</v>
      </c>
      <c r="AE42" s="3">
        <f>5572+(896.5-1407.2)+(0+(0-0))+0-0-0</f>
        <v>5061.3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4752+(680-1527.3)+(-7.27056+(-1.0404--2.336769))+0-0-0</f>
        <v>3898.725809</v>
      </c>
      <c r="G43" s="3">
        <f>4780.9+(668.4-1898)+(-9.753036+(-1.363536--3.87192))+0-0-0</f>
        <v>3544.0553479999999</v>
      </c>
      <c r="H43" s="3">
        <f>4773+(627.3-2038.1)+(-7.30269+(-0.959769--3.118293))+0-0-0</f>
        <v>3357.0558339999998</v>
      </c>
      <c r="I43" s="3">
        <f>4582+(564.3-1877.9)+(-11.6841+(-1.438965--4.788645))+0-0-0</f>
        <v>3260.0655799999995</v>
      </c>
      <c r="J43" s="3">
        <f>4379.9+(586.2-1707.7)+(2.233749+(0.298962-0.870927))+0-0-0</f>
        <v>3260.0617839999995</v>
      </c>
      <c r="K43" s="3">
        <f>4367.6+(488.8-1589.4)+(-8.909904+(-0.997152--3.242376))+0-0-0</f>
        <v>3260.3353200000001</v>
      </c>
      <c r="L43" s="3">
        <f>4305.9+(452.1-1182.6)+(4.392018+(0.461142-1.206252))+0-0-0</f>
        <v>3579.0469079999998</v>
      </c>
      <c r="M43" s="3">
        <f>4539.4+(388.5-973)+(0+(0-0))+0-0-0</f>
        <v>3954.8999999999996</v>
      </c>
      <c r="N43" s="3">
        <f>5095+(596.6-1070)+(5.1969+(0.608532-1.0914))+0-0-0</f>
        <v>4626.3140320000002</v>
      </c>
      <c r="O43" s="3">
        <f>5253.1+(982.1-1307.6)+(0+(0-0))+0-0-0</f>
        <v>4927.6000000000004</v>
      </c>
      <c r="P43" s="3">
        <f>5409.6+(1170.9-1386.7)+(-2.758896+(-0.597159--0.707217))+0-0-0</f>
        <v>5191.1511620000001</v>
      </c>
      <c r="Q43" s="3">
        <f>5677.3+(1204.2-1499.3)+(2.895423+(0.614142-0.764643))+0-0-0</f>
        <v>5384.9449220000006</v>
      </c>
      <c r="R43" s="3">
        <f>5841.1+(1366.1-1884.9)+(-11.915844+(-2.786844--3.845196))+0-0-0</f>
        <v>5311.4425080000001</v>
      </c>
      <c r="S43" s="3">
        <f>5834.6+(1395.2-2087.2)+(-5.951292+(-1.423104--2.128944))+1.8-0-0</f>
        <v>5139.1545480000004</v>
      </c>
      <c r="T43" s="3">
        <f>5828+(1329.3-1943.8)+(-5.94456+(-1.355886--1.982676))+0-0-0</f>
        <v>5208.1822300000003</v>
      </c>
      <c r="U43" s="3">
        <f>5836.7+(1301-1972.5)+(-17.860302+(-3.98106--6.03585))+0-0-0</f>
        <v>5149.3944879999999</v>
      </c>
      <c r="V43" s="3">
        <f>5772.1+(1188-1908.5)+(-11.775084+(-2.42352--3.89334))+0-0-0</f>
        <v>5041.2947360000007</v>
      </c>
      <c r="W43" s="3">
        <f>5768.6+(1042.5-1831.1)+(-8.825958+(-1.595025--2.801583))+0-0-0</f>
        <v>4972.3806000000004</v>
      </c>
      <c r="X43" s="3">
        <f>5672.8+(941.6-1760.1)+(-11.572512+(-1.920864--3.590604))+0-0-0</f>
        <v>4844.3972279999998</v>
      </c>
      <c r="Y43" s="3">
        <f>5712.9+(753.5-1646)+(-2.913579+(-0.384285--0.83946))+0-0-0</f>
        <v>4817.9415959999997</v>
      </c>
      <c r="Z43" s="3">
        <f>6093.1+(864.2-1784.8)+(-6.214962+(-0.881484--1.820496))+0-0-0</f>
        <v>5167.2240499999998</v>
      </c>
      <c r="AA43" s="3">
        <f>6314.1+(852.1-2067.1)+(-12.880764+(-1.738284--4.216884))+0-0-0</f>
        <v>5088.6978360000003</v>
      </c>
      <c r="AB43" s="3">
        <f>6237.1+(972.5-2360.7)+(-9.542763+(-1.487925--3.611871))+0-0-0</f>
        <v>4841.4811830000008</v>
      </c>
      <c r="AC43" s="3">
        <f>5826.6+(878.3-2267.3)+(-14.85783+(-2.239665--5.781615))+0-0-0</f>
        <v>4426.2841200000003</v>
      </c>
      <c r="AD43" s="2">
        <v>5125.7999999999993</v>
      </c>
      <c r="AE43" s="3">
        <f>6319+(857.2-2050.4)+(0+(0-0))+0-0-0</f>
        <v>5125.8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5483.4+(665.7-2217.9)+(-5.593068+(-0.679014--2.262258))+0-0-0</f>
        <v>3927.1901759999996</v>
      </c>
      <c r="G44" s="3">
        <f>5063.1+(580.1-2090.3)+(0+(0-0))+0-0-0</f>
        <v>3552.9</v>
      </c>
      <c r="H44" s="3">
        <f>4819.2+(531.8-1968.1)+(-12.28896+(-1.35609--5.018655))+0-0-0</f>
        <v>3374.2736049999999</v>
      </c>
      <c r="I44" s="3">
        <f>4754.9+(550.5-2018.9)+(0+(0-0))+0-0-0</f>
        <v>3286.4999999999995</v>
      </c>
      <c r="J44" s="3">
        <f>4681.6+(499.5-1905.7)+(-9.550464+(-1.01898--3.887628))+0-0-0</f>
        <v>3268.7181840000007</v>
      </c>
      <c r="K44" s="3">
        <f>4632+(535.2-1843.7)+(-11.8116+(-1.36476--4.701435))+0-0-0</f>
        <v>3315.025075</v>
      </c>
      <c r="L44" s="3">
        <f>4643.1+(535.2-1843.7)+(-11.839905+(-1.36476--4.701435))+0-0-0</f>
        <v>3326.0967700000006</v>
      </c>
      <c r="M44" s="3">
        <f>4768.8+(500.8-1713)+(-17.024616+(-1.787856--6.11541))+0-0-0</f>
        <v>3543.9029380000002</v>
      </c>
      <c r="N44" s="3">
        <f>5114.2+(742.3-1758.6)+(2.608242+(0.378573-0.896886))+0-0-0</f>
        <v>4099.9899289999994</v>
      </c>
      <c r="O44" s="3">
        <f>5557.8+(801.8-1499.2)+(2.834478+(0.408918-0.764592))+0-0-0</f>
        <v>4862.8788039999999</v>
      </c>
      <c r="P44" s="3">
        <f>5607.2+(696.6-1247.7)+(0+(0-0))+0-0-0</f>
        <v>5056.0999999999995</v>
      </c>
      <c r="Q44" s="3">
        <f>5668.7+(841.4-1220.4)+(2.891037+(0.429114-0.622404))+0-0-0</f>
        <v>5292.397747</v>
      </c>
      <c r="R44" s="3">
        <f>5862.8+(943.1-1507.7)+(-8.970084+(-1.442943--2.306781))+0-0-0</f>
        <v>5290.0937539999995</v>
      </c>
      <c r="S44" s="3">
        <f>5896.8+(1009-1814.3)+(0+(0-0))+0-0-0</f>
        <v>5091.5</v>
      </c>
      <c r="T44" s="3">
        <f>5831.3+(1032.2-1680.9)+(-11.895852+(-2.105688--3.429036))+0-0-0</f>
        <v>5172.0274960000006</v>
      </c>
      <c r="U44" s="3">
        <f>5827.2+(1092.9-1768.2)+(-11.887488+(-2.229516--3.607128))+0-0-0</f>
        <v>5141.3901239999996</v>
      </c>
      <c r="V44" s="3">
        <f>5835.7+(941.8-1692.3)+(-11.904828+(-1.921272--3.452292))+0-0-0</f>
        <v>5074.8261919999995</v>
      </c>
      <c r="W44" s="3">
        <f>5729.7+(882-1613.5)+(-23.377176+(-3.59856--6.58308))+0-0-0</f>
        <v>4977.8073439999998</v>
      </c>
      <c r="X44" s="3">
        <f>5554.8+(983.7-1598.8)+(-25.496532+(-4.515183--7.338492))+0-0-0</f>
        <v>4917.0267770000009</v>
      </c>
      <c r="Y44" s="3">
        <f>5577.5+(733.8-1326.3)+(0+(0-0))+0-0-0</f>
        <v>4985</v>
      </c>
      <c r="Z44" s="3">
        <f>5696+(606-1038.9)+(5.80992+(0.61812-1.059678))+0-0-0</f>
        <v>5268.4683620000005</v>
      </c>
      <c r="AA44" s="3">
        <f>5753.1+(582.1-1186.2)+(-20.538567+(-2.078097--4.234734))+0-0-0</f>
        <v>5130.6180700000004</v>
      </c>
      <c r="AB44" s="3">
        <f>5443.5+(684.2-1270)+(-5.55237+(-0.697884--1.2954))+0-0-0</f>
        <v>4852.7451460000002</v>
      </c>
      <c r="AC44" s="3">
        <f>5221.6+(804.9-1570.4)+(-10.652064+(-1.641996--3.203616))+0-0-0</f>
        <v>4447.009556</v>
      </c>
      <c r="AD44" s="2">
        <v>5286.5</v>
      </c>
      <c r="AE44" s="3">
        <f>5766+(552.7-1032.2)+(0+(0-0))+0-0-0</f>
        <v>5286.5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5039.6+(814.8-1877.7)+(-2.570196+(-0.415548--0.957627))+0-0-0</f>
        <v>3974.6718830000004</v>
      </c>
      <c r="G45" s="3">
        <f>4891.9+(624.6-1892)+(-4.989738+(-0.637092--1.92984))+0-0-0</f>
        <v>3620.8030099999996</v>
      </c>
      <c r="H45" s="3">
        <f>4840.6+(578.1-1997)+(-12.34353+(-1.474155--5.09235))+0-0-0</f>
        <v>3412.9746650000002</v>
      </c>
      <c r="I45" s="3">
        <f>4720.9+(653.5-2056.8)+(-2.407659+(-0.333285--1.048968))+0-0-0</f>
        <v>3315.9080239999994</v>
      </c>
      <c r="J45" s="3">
        <f>4714.4+(624.5-2049.9)+(-4.808688+(-0.63699--2.090898))+0-0-0</f>
        <v>3285.6452199999994</v>
      </c>
      <c r="K45" s="3">
        <f>4700.5+(616.9-1999.5)+(-9.58902+(-1.258476--4.07898))+0-0-0</f>
        <v>3311.131484</v>
      </c>
      <c r="L45" s="3">
        <f>4455.6+(538.2-1672.3)+(-4.544712+(-0.548964--1.705746))+0-0-0</f>
        <v>3318.1120700000006</v>
      </c>
      <c r="M45" s="3">
        <f>4573.8+(601.5-1486.5)+(-2.332638+(-0.306765--0.758115))+0-0-0</f>
        <v>3686.9187120000001</v>
      </c>
      <c r="N45" s="3">
        <f>5186.2+(782.4-1664.6)+(0+(0-0))+0-0-0</f>
        <v>4304</v>
      </c>
      <c r="O45" s="3">
        <f>5524.9+(784-1588.7)+(2.817699+(0.39984-0.810237))+0-0-0</f>
        <v>4722.6073019999994</v>
      </c>
      <c r="P45" s="3">
        <f>5624.5+(819.8-1418.7)+(8.605485+(1.254294-2.170611))+0-0-0</f>
        <v>5033.2891680000002</v>
      </c>
      <c r="Q45" s="3">
        <f>5797.2+(736.7-1326.9)+(-2.956572+(-0.375717--0.676719))+0-0-0</f>
        <v>5204.3444300000001</v>
      </c>
      <c r="R45" s="3">
        <f>5763.5+(848.9-1427)+(-5.87877+(-0.865878--1.45554))+0-0-0</f>
        <v>5180.1108919999997</v>
      </c>
      <c r="S45" s="3">
        <f>5734.2+(1033.7-1785.8)+(-8.773326+(-1.581561--2.732274))+0-0-0</f>
        <v>4974.4773870000008</v>
      </c>
      <c r="T45" s="3">
        <f>5685.7+(1111.9-1847.2)+(-8.699121+(-1.701207--2.826216))+0-0-0</f>
        <v>4942.8258879999994</v>
      </c>
      <c r="U45" s="3">
        <f>5656.5+(1205.6-2038.2)+(-5.76963+(-1.229712--2.078964))+0-0-0</f>
        <v>4818.9796219999998</v>
      </c>
      <c r="V45" s="3">
        <f>5624+(1150.5-2049.2)+(-17.20944+(-3.52053--6.270552))+0-0-0</f>
        <v>4710.8405819999998</v>
      </c>
      <c r="W45" s="3">
        <f>5518.3+(832.6-1689.9)+(-8.442999+(-1.273878--2.585547))+5.4-0-0</f>
        <v>4659.2686699999995</v>
      </c>
      <c r="X45" s="3">
        <f>5390.3+(775.2-1452.9)+(-2.749053+(-0.395352--0.740979))+0-0-0</f>
        <v>4710.1965740000005</v>
      </c>
      <c r="Y45" s="3">
        <f>5555.9+(566.4-1284)+(2.833509+(0.288864-0.65484))+0-0-0</f>
        <v>4840.7675329999993</v>
      </c>
      <c r="Z45" s="3">
        <f>5961.3+(533.4-1509.7)+(-6.080526+(-0.544068--1.539894))+0-0-0</f>
        <v>4979.9152999999997</v>
      </c>
      <c r="AA45" s="3">
        <f>6027.8+(767.9-1939.2)+(-9.222534+(-1.174887--2.966976))+0-0-0</f>
        <v>4849.069555</v>
      </c>
      <c r="AB45" s="3">
        <f>5818.1+(874.9-2070.3)+(-17.803386+(-2.677194--6.335118))+0-0-0</f>
        <v>4608.5545380000003</v>
      </c>
      <c r="AC45" s="3">
        <f>5419.6+(1088.3-2167.1)+(-5.527992+(-1.110066--2.210442))+0-0-0</f>
        <v>4336.3723840000002</v>
      </c>
      <c r="AD45" s="2">
        <v>4823.5999999999995</v>
      </c>
      <c r="AE45" s="3">
        <f>6005+(815.4-1996.8)+(0+(0-0))+0-0-0</f>
        <v>4823.6000000000004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5245.1+(1082.3-2348.2)+(-10.700004+(-2.207892--4.790328))+0-0-0</f>
        <v>3971.0824320000006</v>
      </c>
      <c r="G46" s="3">
        <f>5079.4+(819.1-2312)+(-5.180988+(-0.835482--2.35824))+0-0-0</f>
        <v>3582.8417699999995</v>
      </c>
      <c r="H46" s="3">
        <f>4890.3+(478.3-2012.8)+(-2.494053+(-0.243933--1.026528))+0-0-0</f>
        <v>3354.088542</v>
      </c>
      <c r="I46" s="3">
        <f>4761.8+(332.6-1872.4)+(9.714072+(0.678504-3.819696))+0-0-0</f>
        <v>3228.5728800000002</v>
      </c>
      <c r="J46" s="3">
        <f>4753.6+(302.6-1878.8)+(0+(0-0))+0-0-0</f>
        <v>3177.4000000000005</v>
      </c>
      <c r="K46" s="3">
        <f>4702.3+(307.6-1859.7)+(-7.194519+(-0.470628--2.845341))+2.5-0-0</f>
        <v>3147.8801940000003</v>
      </c>
      <c r="L46" s="3">
        <f>4423.5+(412.8-1845.3)+(-4.51197+(-0.421056--1.882206))+13.3-0-0</f>
        <v>3001.2491800000003</v>
      </c>
      <c r="M46" s="3">
        <f>4264.7+(485.3-1757.6)+(-4.349994+(-0.495006--1.792752))+0-0-0</f>
        <v>2989.3477519999997</v>
      </c>
      <c r="N46" s="3">
        <f>4493+(515.8-1857.9)+(-2.29143+(-0.263058--0.947529))+0-0-0</f>
        <v>3149.2930409999994</v>
      </c>
      <c r="O46" s="3">
        <f>4745.7+(378.7-1612)+(0+(0-0))+0-0-0</f>
        <v>3512.3999999999996</v>
      </c>
      <c r="P46" s="3">
        <f>4915.4+(322.2-1368.3)+(0+(0-0))+0-0-0</f>
        <v>3869.2999999999997</v>
      </c>
      <c r="Q46" s="3">
        <f>4975.1+(552.4-1487.5)+(-7.611903+(-0.845172--2.275875))+0-0-0</f>
        <v>4033.8188000000005</v>
      </c>
      <c r="R46" s="3">
        <f>5146+(721.6-1768.8)+(-2.62446+(-0.368016--0.902088))+0-0-0</f>
        <v>4096.7096120000006</v>
      </c>
      <c r="S46" s="3">
        <f>5171.6+(759.1-1880.4)+(0+(0-0))+0-0-0</f>
        <v>4050.3</v>
      </c>
      <c r="T46" s="3">
        <f>5182.8+(853.9-2043.6)+(-13.21614+(-2.177445--5.21118))+0-0-0</f>
        <v>3982.9175950000003</v>
      </c>
      <c r="U46" s="3">
        <f>5200.6+(862.8-2099.6)+(-7.956918+(-1.320084--3.212388))+0-0-0</f>
        <v>3957.7353860000003</v>
      </c>
      <c r="V46" s="3">
        <f>5222.7+(808.2-2046.7)+(-13.317885+(-2.06091--5.219085))+0-0-0</f>
        <v>3974.0402899999999</v>
      </c>
      <c r="W46" s="3">
        <f>5104.9+(649.4-1785.7)+(-5.206998+(-0.662388--1.821414))+0-0-0</f>
        <v>3964.5520279999996</v>
      </c>
      <c r="X46" s="3">
        <f>5016+(623-1669.6)+(-7.67448+(-0.95319--2.554488))+0-0-0</f>
        <v>3963.326818</v>
      </c>
      <c r="Y46" s="3">
        <f>5158.2+(547.2-1635.8)+(-2.630682+(-0.279072--0.834258))+0-0-0</f>
        <v>4067.524504</v>
      </c>
      <c r="Z46" s="3">
        <f>5538.9+(587.4-1614.2)+(0+(0-0))+0-0-0</f>
        <v>4512.0999999999995</v>
      </c>
      <c r="AA46" s="3">
        <f>5635.6+(647.8-1703.6)+(-11.496624+(-1.321512--3.475344))+0-0-0</f>
        <v>4570.4572079999998</v>
      </c>
      <c r="AB46" s="3">
        <f>5565.3+(790.8-1920.5)+(-11.353212+(-1.613232--3.91782))+0-0-0</f>
        <v>4426.5513760000003</v>
      </c>
      <c r="AC46" s="3">
        <f>5488.4+(759.4-2091.9)+(-8.397252+(-1.161882--3.200607))+0-0-0</f>
        <v>4149.5414729999993</v>
      </c>
      <c r="AD46" s="2">
        <v>4583.5999999999995</v>
      </c>
      <c r="AE46" s="3">
        <f>5632+(631.4-1679.8)+(0+(0-0))+0-0-0</f>
        <v>4583.6000000000004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5271.3+(645.7-2217.1)+(-2.688363+(-0.329307--1.130721))+0-0-0</f>
        <v>3698.0130510000004</v>
      </c>
      <c r="G47" s="3">
        <f>5002.4+(486.9-2170.5)+(-7.653672+(-0.744957--3.320865))+0-0-0</f>
        <v>3313.7222359999996</v>
      </c>
      <c r="H47" s="3">
        <f>4854.8+(449.4-2185.1)+(-4.951896+(-0.458388--2.228802))+0-0-0</f>
        <v>3115.9185180000004</v>
      </c>
      <c r="I47" s="3">
        <f>4664.9+(496.8-2111.6)+(-11.895495+(-1.26684--5.38458))+0-0-0</f>
        <v>3042.3222449999994</v>
      </c>
      <c r="J47" s="3">
        <f>4591.8+(473.2-2024.6)+(-11.70909+(-1.20666--5.16273))+0-0-0</f>
        <v>3032.6469800000004</v>
      </c>
      <c r="K47" s="3">
        <f>4597.2+(506.3-2007.2)+(-7.033716+(-0.774639--3.071016))+0-0-0</f>
        <v>3091.5626609999999</v>
      </c>
      <c r="L47" s="3">
        <f>4582.7+(440.2-1780.7)+(-14.023062+(-1.347012--5.448942))+0-0-0</f>
        <v>3232.2788679999999</v>
      </c>
      <c r="M47" s="3">
        <f>4863.5+(500.6-1601.3)+(-2.480385+(-0.255306--0.816663))+0-0-0</f>
        <v>3760.8809720000004</v>
      </c>
      <c r="N47" s="3">
        <f>5351.1+(898.7-1831.4)+(13.645305+(2.291685-4.67007))+0-0-0</f>
        <v>4429.6669200000006</v>
      </c>
      <c r="O47" s="3">
        <f>5471.5+(903-1533.4)+(-5.58093+(-0.92106--1.564068))+0-0-0</f>
        <v>4836.1620780000003</v>
      </c>
      <c r="P47" s="3">
        <f>5429.1+(1018.7-1304.8)+(-5.537682+(-1.039074--1.330896))+0-0-0</f>
        <v>5137.75414</v>
      </c>
      <c r="Q47" s="3">
        <f>5517.1+(1056.9-1238.2)+(-11.254884+(-2.156076--2.525928))+0-0-0</f>
        <v>5324.914968</v>
      </c>
      <c r="R47" s="3">
        <f>5556.9+(1074-1294.6)+(2.834019+(0.54774-0.660246))+0-0-0</f>
        <v>5339.0215129999997</v>
      </c>
      <c r="S47" s="3">
        <f>5521.6+(1111.5-1494.1)+(-8.448048+(-1.700595--2.285973))+0-0-0</f>
        <v>5131.1373299999996</v>
      </c>
      <c r="T47" s="3">
        <f>5504.9+(1217.8-1501.3)+(2.807499+(0.621078-0.765663))+0-0-0</f>
        <v>5224.0629139999992</v>
      </c>
      <c r="U47" s="3">
        <f>5525.8+(1081.7-1422.7)+(2.818158+(0.551667-0.725577))+0-0-0</f>
        <v>5187.4442479999998</v>
      </c>
      <c r="V47" s="3">
        <f>5487.9+(1105-1497.7)+(-11.195316+(-2.2542--3.055308))+0-0-0</f>
        <v>5084.8057920000001</v>
      </c>
      <c r="W47" s="3">
        <f>5427.1+(1236.5-1685.4)+(-16.606926+(-3.78369--5.157324))+0-0-0</f>
        <v>4962.9667080000008</v>
      </c>
      <c r="X47" s="3">
        <f>5410.5+(956.6-1530.5)+(-19.315485+(-3.415062--5.463885))+0-0-0</f>
        <v>4819.3333380000004</v>
      </c>
      <c r="Y47" s="3">
        <f>5586.7+(811.2-1587.3)+(-11.396868+(-1.654848--3.238092))+0-0-0</f>
        <v>4800.786376</v>
      </c>
      <c r="Z47" s="3">
        <f>5826.6+(999-1558.8)+(-5.943132+(-1.01898--1.589976))+0-0-0</f>
        <v>5261.4278640000002</v>
      </c>
      <c r="AA47" s="3">
        <f>5839+(1119.7-1746.8)+(-17.86734+(-3.426282--5.345208))+0-0-0</f>
        <v>5195.9515859999992</v>
      </c>
      <c r="AB47" s="3">
        <f>5747.4+(1233.9-2053)+(-11.724696+(-2.517156--4.18812))+0-0-0</f>
        <v>4918.246267999999</v>
      </c>
      <c r="AC47" s="3">
        <f>5637.5+(1166.9-2316.6)+(-5.75025+(-1.190238--2.362932))+0-0-0</f>
        <v>4483.222444</v>
      </c>
      <c r="AD47" s="2">
        <v>5265.9</v>
      </c>
      <c r="AE47" s="3">
        <f>5817+(1061.4-1612.5)+(0+(0-0))+0-0-0</f>
        <v>5265.9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5376.8+(925.2-2293)+(-8.226504+(-1.415556--3.50829))+0-0-0</f>
        <v>4002.8662300000001</v>
      </c>
      <c r="G48" s="3">
        <f>5008.2+(837.7-2210)+(-7.662546+(-1.281681--3.3813))+0-0-0</f>
        <v>3630.3370729999997</v>
      </c>
      <c r="H48" s="3">
        <f>4905.6+(719.7-2209.6)+(0+(0-0))+0-0-0</f>
        <v>3415.7000000000007</v>
      </c>
      <c r="I48" s="3">
        <f>4899.1+(682.6-2256.1)+(-4.997082+(-0.696252--2.301222))+0-0-0</f>
        <v>3322.2078880000004</v>
      </c>
      <c r="J48" s="3">
        <f>4906.7+(622.2-2215.7)+(-7.507251+(-0.951966--3.390021))+0-0-0</f>
        <v>3308.1308039999999</v>
      </c>
      <c r="K48" s="3">
        <f>4897.2+(625.2-2176)+(-12.48786+(-1.59426--5.5488))+0-0-0</f>
        <v>3337.8666799999996</v>
      </c>
      <c r="L48" s="3">
        <f>4771.4+(647.5-1981.4)+(0+(0-0))+0-0-0</f>
        <v>3437.4999999999995</v>
      </c>
      <c r="M48" s="3">
        <f>5008.3+(724.6-1833)+(-2.554233+(-0.369546--0.93483))+0-0-0</f>
        <v>3897.911051</v>
      </c>
      <c r="N48" s="3">
        <f>5499.7+(944.1-1937.1)+(0+(0-0))+0-0-0</f>
        <v>4506.7</v>
      </c>
      <c r="O48" s="3">
        <f>5701+(922.9-1701.3)+(-2.90751+(-0.470679--0.867663))+0-0-0</f>
        <v>4920.0894740000003</v>
      </c>
      <c r="P48" s="3">
        <f>5697+(928.9-1436.3)+(-2.90547+(-0.473739--0.732513))+0-0-0</f>
        <v>5186.9533040000006</v>
      </c>
      <c r="Q48" s="3">
        <f>5677.2+(979.8-1296.9)+(-2.895372+(-0.499698--0.661419))+0-0-0</f>
        <v>5357.3663489999999</v>
      </c>
      <c r="R48" s="3">
        <f>5665.6+(1087-1379.2)+(0+(0-0))+0-0-0</f>
        <v>5373.4000000000005</v>
      </c>
      <c r="S48" s="3">
        <f>5608+(1130.5-1556.8)+(-11.44032+(-2.30622--3.175872))+0-0-0</f>
        <v>5171.1293319999995</v>
      </c>
      <c r="T48" s="3">
        <f>5601.7+(1216.2-1529.7)+(-2.856867+(-0.620262--0.780147))+0-0-0</f>
        <v>5285.5030179999994</v>
      </c>
      <c r="U48" s="3">
        <f>5590+(1252.3-1580.6)+(-5.7018+(-1.277346--1.612212))+0-0-0</f>
        <v>5256.3330660000001</v>
      </c>
      <c r="V48" s="3">
        <f>5559.5+(1231.8-1591.6)+(-14.176725+(-3.14109--4.05858))+0-0-0</f>
        <v>5186.4407649999994</v>
      </c>
      <c r="W48" s="3">
        <f>5521.9+(1274.2-1696.7)+(-5.632338+(-1.299684--1.730634))+0-0-0</f>
        <v>5094.1986119999992</v>
      </c>
      <c r="X48" s="3">
        <f>5338.3+(1152.8-1518)+(-16.335198+(-3.527568--4.64508))+0-0-0</f>
        <v>4957.8823140000004</v>
      </c>
      <c r="Y48" s="3">
        <f>5318.9+(1083.9-1496.5)+(0+(0-0))+0-0-0</f>
        <v>4906.2999999999993</v>
      </c>
      <c r="Z48" s="3">
        <f>5667.8+(1013.4-1408.4)+(-5.781156+(-1.033668--1.436568))+0-0-0</f>
        <v>5267.4217440000002</v>
      </c>
      <c r="AA48" s="3">
        <f>5661.7+(894.4-1325.4)+(-14.437335+(-2.28072--3.37977))+0-0-0</f>
        <v>5217.361715</v>
      </c>
      <c r="AB48" s="3">
        <f>5520.2+(849.5-1409.2)+(-8.445906+(-1.299735--2.156076))+0-0-0</f>
        <v>4952.9104349999998</v>
      </c>
      <c r="AC48" s="3">
        <f>5189.4+(787.5-1432.1)+(-10.586376+(-1.6065--2.921484))+0-0-0</f>
        <v>4535.5286079999996</v>
      </c>
      <c r="AD48" s="2">
        <v>5286.2</v>
      </c>
      <c r="AE48" s="3">
        <f>5700+(949.5-1363.3)+(0+(0-0))+0-0-0</f>
        <v>5286.2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5042.1+(840.5-1872.8)+(-18.000297+(-3.000585--6.685896))+0-0-0</f>
        <v>3995.4850140000003</v>
      </c>
      <c r="G49" s="3">
        <f>4932.3+(789.8-2085.2)+(-17.608311+(-2.819586--7.444164))+0-0-0</f>
        <v>3623.9162670000005</v>
      </c>
      <c r="H49" s="3">
        <f>4764.9+(712.6-2032.9)+(-4.860198+(-0.726852--2.073558))+0-0-0</f>
        <v>3441.0865079999994</v>
      </c>
      <c r="I49" s="3">
        <f>4776.4+(587-2005.8)+(-2.435964+(-0.29937--1.022958))+0-0-0</f>
        <v>3355.8876239999995</v>
      </c>
      <c r="J49" s="3">
        <f>4678.4+(546.2-1890.4)+(-2.385984+(-0.278562--0.964104))+0-0-0</f>
        <v>3332.499558</v>
      </c>
      <c r="K49" s="3">
        <f>4584.7+(521.8-1743.5)+(-9.352788+(-1.064472--3.55674))+0-0-0</f>
        <v>3356.1394799999998</v>
      </c>
      <c r="L49" s="3">
        <f>4430+(635.1-1594.2)+(-9.0372+(-1.295604--3.252168))+0-0-0</f>
        <v>3463.819364</v>
      </c>
      <c r="M49" s="3">
        <f>4529+(629.3-1209.6)+(11.54895+(1.604715-3.08448))+0-0-0</f>
        <v>3958.7691849999997</v>
      </c>
      <c r="N49" s="3">
        <f>5034.7+(905.8-1340.7)+(2.567697+(0.461958-0.683757))+0-0-0</f>
        <v>4602.1458979999989</v>
      </c>
      <c r="O49" s="3">
        <f>5240.1+(1106-1340.9)+(-2.672451+(-0.56406--0.683859))+0-0-0</f>
        <v>5002.6473480000004</v>
      </c>
      <c r="P49" s="3">
        <f>5352.5+(1120.5-1217.9)+(-2.729775+(-0.571455--0.621129))+0-0-0</f>
        <v>5252.4198990000004</v>
      </c>
      <c r="Q49" s="3">
        <f>5504.6+(1150.7-1196.1)+(-2.807346+(-0.586857--0.610011))+0-0-0</f>
        <v>5456.4158080000007</v>
      </c>
      <c r="R49" s="3">
        <f>5432.7+(1107.7-1044.2)+(-16.624062+(-3.389562--3.195252))+0-0-0</f>
        <v>5479.3816280000001</v>
      </c>
      <c r="S49" s="3">
        <f>5460.5+(1101.3-1246.8)+(-8.354565+(-1.684989--1.907604))+0-0-0</f>
        <v>5306.86805</v>
      </c>
      <c r="T49" s="3">
        <f>5432.1+(1166.7-1213.9)+(2.770371+(0.595017-0.619089))+0-0-0</f>
        <v>5387.6462990000009</v>
      </c>
      <c r="U49" s="3">
        <f>5362.2+(1153.7-1166.7)+(-13.67361+(-2.941935--2.975085))+0-0-0</f>
        <v>5335.5595400000002</v>
      </c>
      <c r="V49" s="3">
        <f>5378.2+(1103.6-1232.9)+(-13.71441+(-2.81418--3.143895))+0-0-0</f>
        <v>5235.5153049999999</v>
      </c>
      <c r="W49" s="3">
        <f>5319.3+(1034.1-1222.1)+(-13.564215+(-2.636955--3.116355))+0-0-0</f>
        <v>5118.215185</v>
      </c>
      <c r="X49" s="3">
        <f>5146+(795.9-973.5)+(-5.24892+(-0.811818--0.99297))+0-0-0</f>
        <v>4963.3322319999997</v>
      </c>
      <c r="Y49" s="3">
        <f>5301.1+(551.9-955.6)+(-2.703561+(-0.281469--0.487356))+0-0-0</f>
        <v>4894.9023260000004</v>
      </c>
      <c r="Z49" s="3">
        <f>5824.8+(634.2-1176.4)+(-8.911944+(-0.970326--1.799892))+0-0-0</f>
        <v>5274.5176220000003</v>
      </c>
      <c r="AA49" s="3">
        <f>5934.8+(769.9-1470.3)+(-15.13374+(-1.963245--3.749265))+0-0-0</f>
        <v>5221.0522800000008</v>
      </c>
      <c r="AB49" s="3">
        <f>5604.7+(853.1-1485.6)+(-8.575191+(-1.305243--2.272968))+0-0-0</f>
        <v>4964.5925339999994</v>
      </c>
      <c r="AC49" s="3">
        <f>5461.5+(844.6-1758.2)+(-8.356095+(-1.292238--2.690046))+0-0-0</f>
        <v>4540.9417129999993</v>
      </c>
      <c r="AD49" s="2">
        <v>5271.6</v>
      </c>
      <c r="AE49" s="3">
        <f>5935+(754.8-1418.2)+(0+(0-0))+0-0-0</f>
        <v>5271.6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5230.1+(689.1-1900.5)+(-13.336755+(-1.757205--4.846275))+0-0-0</f>
        <v>4008.4523150000005</v>
      </c>
      <c r="G50" s="3">
        <f>5085.5+(632.8-2071.2)+(-7.780815+(-0.968184--3.168936))+0-0-0</f>
        <v>3641.5199370000005</v>
      </c>
      <c r="H50" s="3">
        <f>4868.9+(513.6-1943.9)+(-12.415695+(-1.30968--4.956945))+0-0-0</f>
        <v>3429.8315699999994</v>
      </c>
      <c r="I50" s="3">
        <f>4805.9+(527.5-1992.5)+(-9.804036+(-1.0761--4.0647))+0-0-0</f>
        <v>3334.0845639999998</v>
      </c>
      <c r="J50" s="3">
        <f>4764.2+(526.4-1964.7)+(-7.289226+(-0.805392--3.005991))+0-0-0</f>
        <v>3320.8113729999995</v>
      </c>
      <c r="K50" s="3">
        <f>4711.5+(564.7-1919.7)+(-4.80573+(-0.575994--1.958094))+0-0-0</f>
        <v>3353.0763700000002</v>
      </c>
      <c r="L50" s="3">
        <f>4449+(569.2-1552.2)+(-9.07596+(-1.161168--3.166488))+0-0-0</f>
        <v>3458.9293600000001</v>
      </c>
      <c r="M50" s="3">
        <f>4474.9+(740-1259.9)+(4.564398+(0.7548-1.285098))+0-0-0</f>
        <v>3959.0340999999994</v>
      </c>
      <c r="N50" s="3">
        <f>5235.5+(686.2-1326.3)+(-5.34021+(-0.699924--1.352826))+0-0-0</f>
        <v>4590.7126920000001</v>
      </c>
      <c r="O50" s="3">
        <f>5457.7+(633.5-978.2)+(0+(0-0))+0-0-0</f>
        <v>5113</v>
      </c>
      <c r="P50" s="3">
        <f>5440.1+(811.2-982.2)+(0+(0-0))+0-0-0</f>
        <v>5269.1</v>
      </c>
      <c r="Q50" s="3">
        <f>5487.4+(1119.7-1125.2)+(0+(0-0))+0-0-0</f>
        <v>5481.9</v>
      </c>
      <c r="R50" s="3">
        <f>5312.9+(1086-1149)+(0+(0-0))+0-0-0</f>
        <v>5249.9</v>
      </c>
      <c r="S50" s="3">
        <f>5475.5+(1065.2-1229.1)+(-13.962525+(-2.71626--3.134205))+0-0-0</f>
        <v>5298.0554200000006</v>
      </c>
      <c r="T50" s="3">
        <f>5352.9+(1085-1172)+(-13.649895+(-2.76675--2.9886))+0-0-0</f>
        <v>5252.471955</v>
      </c>
      <c r="U50" s="3">
        <f>5337.9+(1215.6-1155.3)+(-8.166987+(-1.859868--1.767609))+0-0-0</f>
        <v>5389.9407540000002</v>
      </c>
      <c r="V50" s="3">
        <f>5288.2+(1233.4-1213.2)+(-10.787928+(-2.516136--2.474928))+0-0-0</f>
        <v>5297.5708639999993</v>
      </c>
      <c r="W50" s="3">
        <f>5100.8+(1072.7-976.6)+(-13.00704+(-2.735385--2.49033))+0-0-0</f>
        <v>5183.6479050000007</v>
      </c>
      <c r="X50" s="3">
        <f>4987.2+(986.3-969.6)+(-12.71736+(-2.515065--2.47248))+0-0-0</f>
        <v>4991.1400549999998</v>
      </c>
      <c r="Y50" s="3">
        <f>4975.4+(885.3-933.7)+(-5.074908+(-0.903006--0.952374))+0-0-0</f>
        <v>4921.9744600000004</v>
      </c>
      <c r="Z50" s="3">
        <f>5217.1+(854.6-751.8)+(-7.982163+(-1.307538--1.150254))+0-0-0</f>
        <v>5311.760553000001</v>
      </c>
      <c r="AA50" s="3">
        <f>5454.8+(870-1029.5)+(-16.691688+(-2.6622--3.15027))+0-0-0</f>
        <v>5279.0963820000006</v>
      </c>
      <c r="AB50" s="3">
        <f>5427.4+(722.9-1128.1)+(-2.767974+(-0.368679--0.575331))+0-0-0</f>
        <v>5019.6386780000003</v>
      </c>
      <c r="AC50" s="3">
        <f>5275.8+(634.9-1330.4)+(-8.071974+(-0.971397--2.035512))+0-0-0</f>
        <v>4573.2921409999999</v>
      </c>
      <c r="AD50" s="2">
        <v>5344.2999999999993</v>
      </c>
      <c r="AE50" s="3">
        <f>5467+(908.4-1031.1)+(0+(0-0))+0-0-0</f>
        <v>5344.3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5135+(637.4-1701.8)+(-13.09425+(-1.62537--4.33959))+0-0-0</f>
        <v>4060.2199700000001</v>
      </c>
      <c r="G51" s="3">
        <f>4974.7+(489.4-1773.9)+(-12.685485+(-1.24797--4.523445))+0-0-0</f>
        <v>3680.7899899999998</v>
      </c>
      <c r="H51" s="3">
        <f>4956.8+(561-2035.9)+(-10.111872+(-1.14444--4.153236))+0-0-0</f>
        <v>3474.7969240000002</v>
      </c>
      <c r="I51" s="3">
        <f>4897.3+(503.7-2008.5)+(-2.497623+(-0.256887--1.024335))+0-0-0</f>
        <v>3390.7698249999999</v>
      </c>
      <c r="J51" s="3">
        <f>4689.2+(473.1-1793.7)+(7.174476+(0.723843-2.744361))+0-0-0</f>
        <v>3373.7539579999998</v>
      </c>
      <c r="K51" s="3">
        <f>4585+(510.6-1684.4)+(-7.01505+(-0.781218--2.577132))+0-0-0</f>
        <v>3405.9808639999997</v>
      </c>
      <c r="L51" s="3">
        <f>4492.7+(504.2-1481)+(-2.291277+(-0.257142--0.75531))+0-0-0</f>
        <v>3514.1068909999995</v>
      </c>
      <c r="M51" s="3">
        <f>4501.4+(598.9-1094.8)+(-9.182856+(-1.221756--2.233392))+0-0-0</f>
        <v>3997.3287799999994</v>
      </c>
      <c r="N51" s="3">
        <f>5152.4+(697.6-1202.1)+(-7.883172+(-1.067328--1.839213))+0-0-0</f>
        <v>4640.7887129999999</v>
      </c>
      <c r="O51" s="3">
        <f>5515.3+(652.8-1077.2)+(-5.625606+(-0.665856--1.098744))+0-0-0</f>
        <v>5085.7072819999994</v>
      </c>
      <c r="P51" s="3">
        <f>5500.1+(751.9-896.9)+(-5.610102+(-0.766938--0.914838))+0-0-0</f>
        <v>5349.6377980000007</v>
      </c>
      <c r="Q51" s="3">
        <f>5389.6+(798.6-632.7)+(-5.497392+(-0.814572--0.645354))+0-0-0</f>
        <v>5549.8333899999998</v>
      </c>
      <c r="R51" s="3">
        <f>5270.4+(871-739.4)+(-2.687904+(-0.44421--0.377094))+0-0-0</f>
        <v>5399.2449800000004</v>
      </c>
      <c r="S51" s="3">
        <f>5280+(952.6-775.2)+(-10.7712+(-1.943304--1.581408))+0-0-0</f>
        <v>5446.2669040000001</v>
      </c>
      <c r="T51" s="3">
        <f>5320+(952.6-775.2)+(-10.8528+(-1.943304--1.581408))+0-0-0</f>
        <v>5486.1853039999996</v>
      </c>
      <c r="U51" s="3">
        <f>5374.3+(1030.9-960.9)+(0+(0-0))+0-0-0</f>
        <v>5444.3</v>
      </c>
      <c r="V51" s="3">
        <f>5402.4+(1025.6-1049.9)+(-11.020896+(-2.092224--2.141796))+0-0-0</f>
        <v>5367.1286759999994</v>
      </c>
      <c r="W51" s="3">
        <f>5367.7+(989.7-1110.6)+(-16.425162+(-3.028482--3.398436))+0-0-0</f>
        <v>5230.7447920000004</v>
      </c>
      <c r="X51" s="3">
        <f>5352.7+(989.7-1110.6)+(-16.379262+(-3.028482--3.398436))+0-0-0</f>
        <v>5215.7906920000005</v>
      </c>
      <c r="Y51" s="3">
        <f>5297.9+(855.4-1046.9)+(-18.913503+(-3.053778--3.737433))+0-0-0</f>
        <v>5088.1701519999997</v>
      </c>
      <c r="Z51" s="3">
        <f>5491.8+(941.5-1114.3)+(-2.800818+(-0.480165--0.568293))+0-0-0</f>
        <v>5316.2873099999997</v>
      </c>
      <c r="AA51" s="3">
        <f>5699.9+(974.2-1334.7)+(-17.441694+(-2.981052--4.084182))+0-0-0</f>
        <v>5323.061436</v>
      </c>
      <c r="AB51" s="3">
        <f>5502.2+(945.6-1368.1)+(-8.418366+(-1.446768--2.093193))+0-0-0</f>
        <v>5071.9280589999998</v>
      </c>
      <c r="AC51" s="3">
        <f>5339.4+(825.5-1503.3)+(-10.892376+(-1.68402--3.066732))+0-0-0</f>
        <v>4652.0903359999993</v>
      </c>
      <c r="AD51" s="2">
        <v>5405.5</v>
      </c>
      <c r="AE51" s="3">
        <f>5723+(936.9-1254.4)+(0+(0-0))+0-0-0</f>
        <v>5405.5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5150.3+(698.5-1681.6)+(-13.133265+(-1.781175--4.28808))+0-0-0</f>
        <v>4156.5736400000005</v>
      </c>
      <c r="G52" s="3">
        <f>4987.3+(618.6-1855.5)+(-10.174092+(-1.261944--3.78522))+0-0-0</f>
        <v>3742.7491840000002</v>
      </c>
      <c r="H52" s="3">
        <f>4836.8+(527-1838.9)+(-7.400304+(-0.80631--2.813517))+0-0-0</f>
        <v>3519.506903</v>
      </c>
      <c r="I52" s="3">
        <f>4685.4+(639.9-1943.2)+(11.94777+(1.631745-4.95516))+0-0-0</f>
        <v>3390.7243549999994</v>
      </c>
      <c r="J52" s="3">
        <f>4640.9+(596.2-1862.8)+(-7.100577+(-0.912186--2.850084))+0-0-0</f>
        <v>3369.1373209999997</v>
      </c>
      <c r="K52" s="3">
        <f>4556.2+(597.4-1779.7)+(-2.323662+(-0.304674--0.907647))+0-0-0</f>
        <v>3372.1793109999994</v>
      </c>
      <c r="L52" s="3">
        <f>4469.7+(598.4-1688.6)+(-4.559094+(-0.610368--1.722372))+0-0-0</f>
        <v>3376.0529099999999</v>
      </c>
      <c r="M52" s="3">
        <f>4620.1+(533.4-1390.3)+(2.356251+(0.272034-0.709053))+0-0-0</f>
        <v>3765.1192320000005</v>
      </c>
      <c r="N52" s="3">
        <f>5096.6+(595.2-1349.1)+(0+(0-0))+0-0-0</f>
        <v>4342.7000000000007</v>
      </c>
      <c r="O52" s="3">
        <f>5382.8+(794.8-1343.5)+(-5.490456+(-0.810696--1.37037))+0-0-0</f>
        <v>4829.169218</v>
      </c>
      <c r="P52" s="3">
        <f>5346.1+(893.2-1066.5)+(2.726511+(0.455532-0.543915))+0-0-0</f>
        <v>5175.4381279999998</v>
      </c>
      <c r="Q52" s="3">
        <f>5298.9+(858.8-818)+(-2.702439+(-0.437988--0.41718))+0-0-0</f>
        <v>5336.9767529999999</v>
      </c>
      <c r="R52" s="3">
        <f>5261.2+(893.4-817.6)+(5.366424+(0.911268-0.833952))+0-0-0</f>
        <v>5342.4437399999997</v>
      </c>
      <c r="S52" s="3">
        <f>5131.7+(925.3-929.6)+(-10.468668+(-1.887612--1.896384))+0-0-0</f>
        <v>5116.9401039999993</v>
      </c>
      <c r="T52" s="3">
        <f>5118.8+(1048.7-1108.4)+(2.610588+(0.534837-0.565284))+0-0-0</f>
        <v>5061.6801410000007</v>
      </c>
      <c r="U52" s="3">
        <f>5109.4+(1074.5-1228.2)+(-5.211588+(-1.09599--1.252764))+0-0-0</f>
        <v>4950.6451859999997</v>
      </c>
      <c r="V52" s="3">
        <f>5180.9+(1135.3-1403.8)+(-10.569036+(-2.316012--2.863752))+0-0-0</f>
        <v>4902.3787039999997</v>
      </c>
      <c r="W52" s="3">
        <f>5184.2+(1189.9-1578.7)+(2.643942+(0.606849-0.805137))+0-0-0</f>
        <v>4797.8456539999997</v>
      </c>
      <c r="X52" s="3">
        <f>5067.2+(1035.1-1422.9)+(-18.089904+(-3.695307--5.079753))+0-0-0</f>
        <v>4662.6945419999993</v>
      </c>
      <c r="Y52" s="3">
        <f>5248.9+(906.2-1458.6)+(-8.030817+(-1.386486--2.231658))+0-0-0</f>
        <v>4689.3143550000004</v>
      </c>
      <c r="Z52" s="3">
        <f>5629.5+(859.7-1413.1)+(-5.74209+(-0.876894--1.441362))+0-0-0</f>
        <v>5070.9223780000002</v>
      </c>
      <c r="AA52" s="3">
        <f>5687.5+(868.4-1510.8)+(-17.40375+(-2.657304--4.623048))+0-0-0</f>
        <v>5029.661994</v>
      </c>
      <c r="AB52" s="3">
        <f>5721+(1020.2-1892.6)+(0+(0-0))+0-0-0</f>
        <v>4848.6000000000004</v>
      </c>
      <c r="AC52" s="3">
        <f>5672.1+(1146.7-2269.4)+(-2.892771+(-0.584817--1.157394))+0-0-0</f>
        <v>4547.0798060000006</v>
      </c>
      <c r="AD52" s="2">
        <v>5142</v>
      </c>
      <c r="AE52" s="3">
        <f>5704+(801-1363)+(0+(0-0))+0-0-0</f>
        <v>5142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5540.5+(1040.8-2428.9)+(-14.128275+(-2.65404--6.193695))+0-0-0</f>
        <v>4141.8113799999992</v>
      </c>
      <c r="G53" s="3">
        <f>5388.4+(744.9-2361.6)+(-2.748084+(-0.379899--1.204416))+0-0-0</f>
        <v>3769.776433</v>
      </c>
      <c r="H53" s="3">
        <f>5354.1+(562.2-2386.6)+(-8.191773+(-0.860166--3.651498))+0-0-0</f>
        <v>3524.299559000001</v>
      </c>
      <c r="I53" s="3">
        <f>5363.4+(395.3-2363.8)+(-10.941336+(-0.806412--4.822152))+0-0-0</f>
        <v>3387.9744039999996</v>
      </c>
      <c r="J53" s="3">
        <f>5109.3+(442.5-2241.9)+(0+(0-0))+0-0-0</f>
        <v>3309.9</v>
      </c>
      <c r="K53" s="3">
        <f>4939.5+(482.5-2155.7)+(-10.07658+(-0.9843--4.397628))+0-0-0</f>
        <v>3259.6367480000004</v>
      </c>
      <c r="L53" s="3">
        <f>4645.7+(527.5-2062.1)+(-9.477228+(-1.0761--4.206684))+0-0-0</f>
        <v>3104.7533559999997</v>
      </c>
      <c r="M53" s="3">
        <f>4388.5+(521.8-1780.8)+(0+(0-0))+0-0-0</f>
        <v>3129.5</v>
      </c>
      <c r="N53" s="3">
        <f>4464+(484.8-1585.5)+(-4.55328+(-0.494496--1.61721))+0-0-0</f>
        <v>3359.8694340000002</v>
      </c>
      <c r="O53" s="3">
        <f>4684.7+(409.9-1388.8)+(0+(0-0))+0-0-0</f>
        <v>3705.7999999999997</v>
      </c>
      <c r="P53" s="3">
        <f>4909.7+(350.2-1206.5)+(0+(0-0))+0-0-0</f>
        <v>4053.3999999999996</v>
      </c>
      <c r="Q53" s="3">
        <f>5238.7+(487.1-1420.8)+(-2.671737+(-0.248421--0.724608))+0-0-0</f>
        <v>4302.8044499999996</v>
      </c>
      <c r="R53" s="3">
        <f>5246.3+(542.6-1430.3)+(-2.675613+(-0.276726--0.729453))+0-0-0</f>
        <v>4356.3771140000008</v>
      </c>
      <c r="S53" s="3">
        <f>5264.4+(589.7-1550.9)+(-5.369688+(-0.601494--1.581918))+0-0-0</f>
        <v>4298.8107359999995</v>
      </c>
      <c r="T53" s="3">
        <f>5395.2+(643.3-1793.7)+(-8.254656+(-0.984249--2.744361))+0-0-0</f>
        <v>4238.3054559999991</v>
      </c>
      <c r="U53" s="3">
        <f>5387.6+(691.7-1892.3)+(-5.495352+(-0.705534--1.930146))+0-0-0</f>
        <v>4182.7292600000001</v>
      </c>
      <c r="V53" s="3">
        <f>5186.4+(775-1784.5)+(2.645064+(0.39525-0.910095))+0-0-0</f>
        <v>4179.0302189999993</v>
      </c>
      <c r="W53" s="3">
        <f>5064.6+(806.1-1657.4)+(-2.582946+(-0.411111--0.845274))+0-0-0</f>
        <v>4211.1512170000005</v>
      </c>
      <c r="X53" s="3">
        <f>5011.6+(788.9-1547.9)+(-12.77958+(-2.011695--3.947145))+0-0-0</f>
        <v>4241.75587</v>
      </c>
      <c r="Y53" s="3">
        <f>5133.2+(725.1-1431.1)+(-7.853796+(-1.109403--2.189583))+0-0-0</f>
        <v>4420.4263839999994</v>
      </c>
      <c r="Z53" s="3">
        <f>5334.3+(1021.2-1511.8)+(-8.161479+(-1.562436--2.313054))+0-0-0</f>
        <v>4836.2891390000004</v>
      </c>
      <c r="AA53" s="3">
        <f>5576.6+(1043.6-1718.3)+(-8.532198+(-1.596708--2.628999))+0-0-0</f>
        <v>4894.4000930000002</v>
      </c>
      <c r="AB53" s="3">
        <f>5411.3+(1178.5-1863.8)+(5.519526+(1.20207-1.901076))+0-0-0</f>
        <v>4730.8205200000002</v>
      </c>
      <c r="AC53" s="3">
        <f>5014.7+(1232.6-1811.1)+(-5.114994+(-1.257252--1.847322))+0-0-0</f>
        <v>4431.6750759999995</v>
      </c>
      <c r="AD53" s="2">
        <v>4868.3999999999996</v>
      </c>
      <c r="AE53" s="3">
        <f>5534+(1039.3-1704.9)+(0+(0-0))+0-0-0</f>
        <v>4868.3999999999996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4736.4+(1204.5-1985.2)+(-2.415564+(-0.614295--1.012452))+0-0-0</f>
        <v>3953.682593</v>
      </c>
      <c r="G54" s="3">
        <f>4533.3+(954.1-1916.1)+(-11.559915+(-2.432955--4.886055))+0-0-0</f>
        <v>3562.1931850000001</v>
      </c>
      <c r="H54" s="3">
        <f>4229.1+(792.2-1685.7)+(0+(0-0))+0-0-0</f>
        <v>3335.6000000000004</v>
      </c>
      <c r="I54" s="3">
        <f>4215.3+(727.9-1704.5)+(-6.449409+(-1.113687--2.607885))+0-0-0</f>
        <v>3233.7447890000003</v>
      </c>
      <c r="J54" s="3">
        <f>4213.5+(774.7-1761.9)+(6.446655+(1.185291-2.695707))+0-0-0</f>
        <v>3231.2362390000003</v>
      </c>
      <c r="K54" s="3">
        <f>4197.9+(777.6-1691)+(-4.281858+(-0.793152--1.72482))+0-0-0</f>
        <v>3281.1498099999994</v>
      </c>
      <c r="L54" s="3">
        <f>4154.5+(725.6-1444.7)+(-6.356385+(-1.110168--2.210391))+0-0-0</f>
        <v>3430.143838</v>
      </c>
      <c r="M54" s="3">
        <f>4656.5+(780.1-1449.3)+(2.374815+(0.397851-0.739143))+0-0-0</f>
        <v>3989.3335230000002</v>
      </c>
      <c r="N54" s="3">
        <f>5315.7+(925.7-1546.1)+(10.844028+(1.888428-3.154044))+0-0-0</f>
        <v>4704.878412</v>
      </c>
      <c r="O54" s="3">
        <f>5366.7+(1060.7-1218.5)+(-2.737017+(-0.540957--0.621435))+0-0-0</f>
        <v>5206.243461</v>
      </c>
      <c r="P54" s="3">
        <f>5370.3+(1109-946.3)+(0+(0-0))+0-0-0</f>
        <v>5533</v>
      </c>
      <c r="Q54" s="3">
        <f>5314.4+(1156.7-680.4)+(-5.420688+(-1.179834--0.694008))+0-0-0</f>
        <v>5784.7934859999996</v>
      </c>
      <c r="R54" s="3">
        <f>5155.5+(1264.1-590.8)+(-2.629305+(-0.644691--0.301308))+0-0-0</f>
        <v>5825.8273120000003</v>
      </c>
      <c r="S54" s="3">
        <f>5156.8+(1282.8-775.6)+(-5.259936+(-1.308456--0.791112))+0-0-0</f>
        <v>5658.2227199999998</v>
      </c>
      <c r="T54" s="3">
        <f>5311.7+(1398.2-922.1)+(-2.708967+(-0.713082--0.470271))+0-0-0</f>
        <v>5784.8482220000005</v>
      </c>
      <c r="U54" s="3">
        <f>5305.2+(1399.6-940.7)+(-8.116956+(-2.141388--1.439271))+0-0-0</f>
        <v>5755.2809269999998</v>
      </c>
      <c r="V54" s="3">
        <f>5278.6+(1420-1039.9)+(0+(0-0))+0-0-0</f>
        <v>5658.7000000000007</v>
      </c>
      <c r="W54" s="3">
        <f>5259.3+(1364.2-1106.8)+(-8.046729+(-2.087226--1.693404))+0-0-0</f>
        <v>5508.259449000001</v>
      </c>
      <c r="X54" s="3">
        <f>5249.7+(1301-1246.9)+(-13.386735+(-3.31755--3.179595))+0-0-0</f>
        <v>5290.2753099999991</v>
      </c>
      <c r="Y54" s="3">
        <f>5254+(1025.9-1112)+(-8.03862+(-1.569627--1.70136))+0-0-0</f>
        <v>5159.9931129999995</v>
      </c>
      <c r="Z54" s="3">
        <f>5434.1+(986.5-906.8)+(-2.771391+(-0.503115--0.462468))+0-0-0</f>
        <v>5510.9879620000002</v>
      </c>
      <c r="AA54" s="3">
        <f>5474.5+(990.9-979)+(-11.16798+(-2.021436--1.99716))+0-0-0</f>
        <v>5475.2077439999994</v>
      </c>
      <c r="AB54" s="3">
        <f>5481.9+(1231.1-1487.1)+(-2.795769+(-0.627861--0.758421))+0-0-0</f>
        <v>5223.2347909999999</v>
      </c>
      <c r="AC54" s="3">
        <f>5353.4+(1381.4-1854.2)+(2.730234+(0.704514-0.945642))+0-0-0</f>
        <v>4883.0891059999994</v>
      </c>
      <c r="AD54" s="2">
        <v>5484.2</v>
      </c>
      <c r="AE54" s="3">
        <f>5456+(966.9-938.7)+(0+(0-0))+0-0-0</f>
        <v>5484.2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5064.2+(1267.7-1955.7)+(-5.165484+(-1.293054--1.994814))+0-0-0</f>
        <v>4371.7362759999996</v>
      </c>
      <c r="G55" s="3">
        <f>4843.1+(953.4-1852)+(-12.349905+(-2.43117--4.7226))+0-0-0</f>
        <v>3934.4415250000006</v>
      </c>
      <c r="H55" s="3">
        <f>4665.4+(673.9-1634)+(-7.138062+(-1.031067--2.50002))+0-0-0</f>
        <v>3699.6308909999998</v>
      </c>
      <c r="I55" s="3">
        <f>4643+(635.3-1683.9)+(-4.73586+(-0.648006--1.717578))+0-0-0</f>
        <v>3590.7337119999997</v>
      </c>
      <c r="J55" s="3">
        <f>4667.2+(635.7-1736.5)+(-4.760544+(-0.648414--1.77123))+0-0-0</f>
        <v>3562.7622719999995</v>
      </c>
      <c r="K55" s="3">
        <f>4609.4+(634.4-1664.5)+(-11.75397+(-1.61772--4.244475))+0-0-0</f>
        <v>3570.1727849999997</v>
      </c>
      <c r="L55" s="3">
        <f>4553.4+(623.1-1527.6)+(-9.288936+(-1.271124--3.116304))+0-0-0</f>
        <v>3641.4562439999995</v>
      </c>
      <c r="M55" s="3">
        <f>4683.1+(835.8-1341.6)+(7.165143+(1.278774-2.052648))+0-0-0</f>
        <v>4183.6912689999999</v>
      </c>
      <c r="N55" s="3">
        <f>5021.9+(1042.9-1207.1)+(5.122338+(1.063758-1.231242))+0-0-0</f>
        <v>4862.6548539999994</v>
      </c>
      <c r="O55" s="3">
        <f>5335.7+(1179.1-1212.8)+(0+(0-0))+0-0-0</f>
        <v>5302</v>
      </c>
      <c r="P55" s="3">
        <f>5389.4+(1175.4-974.5)+(0+(0-0))+0-0-0</f>
        <v>5590.2999999999993</v>
      </c>
      <c r="Q55" s="3">
        <f>5361.1+(1114.5-643.7)+(0+(0-0))+0-0-0</f>
        <v>5831.9000000000005</v>
      </c>
      <c r="R55" s="3">
        <f>5368.6+(1120.9-544.9)+(-2.737986+(-0.571659--0.277899))+0-0-0</f>
        <v>5941.5682540000007</v>
      </c>
      <c r="S55" s="3">
        <f>5383.1+(1217.8-816.2)+(-5.490762+(-1.242156--0.832524))+0-0-0</f>
        <v>5778.7996060000005</v>
      </c>
      <c r="T55" s="3">
        <f>5409.9+(1292.5-850.2)+(0+(0-0))+0-0-0</f>
        <v>5852.2</v>
      </c>
      <c r="U55" s="3">
        <f>5368.1+(1288-856.2)+(-10.950924+(-2.62752--1.746648))+0-0-0</f>
        <v>5788.0682040000002</v>
      </c>
      <c r="V55" s="3">
        <f>5318.4+(1371.4-989.8)+(-13.56192+(-3.49707--2.52399))+0-0-0</f>
        <v>5685.4650000000001</v>
      </c>
      <c r="W55" s="3">
        <f>5251+(1376.3-1007.9)+(-18.74607+(-4.913391--3.598203))+0-0-0</f>
        <v>5599.3387419999999</v>
      </c>
      <c r="X55" s="3">
        <f>5156.3+(1211.9-951.6)+(-18.407991+(-4.326483--3.397212))+0-0-0</f>
        <v>5397.2627380000004</v>
      </c>
      <c r="Y55" s="3">
        <f>5261.9+(1114.6-1055.7)+(-2.683569+(-0.568446--0.538407))+0-0-0</f>
        <v>5318.0863919999993</v>
      </c>
      <c r="Z55" s="3">
        <f>5535.7+(946.3-934.2)+(2.823207+(0.482613-0.476442))+0-0-0</f>
        <v>5550.6293779999996</v>
      </c>
      <c r="AA55" s="3">
        <f>5552.3+(908.8-967.1)+(-16.990038+(-2.780928--2.959326))+0-0-0</f>
        <v>5477.1883600000001</v>
      </c>
      <c r="AB55" s="3">
        <f>5486.2+(900.8-1200.9)+(-13.98981+(-2.29704--3.062295))+0-0-0</f>
        <v>5172.8754449999997</v>
      </c>
      <c r="AC55" s="3">
        <f>5238.9+(935.1-1359.9)+(-13.359195+(-2.384505--3.467745))+0-0-0</f>
        <v>4801.8240449999994</v>
      </c>
      <c r="AD55" s="2">
        <v>5565.7999999999993</v>
      </c>
      <c r="AE55" s="3">
        <f>5562+(922.4-918.6)+(0+(0-0))+0-0-0</f>
        <v>5565.8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5131.7+(692.4-1567.7)+(-5.234334+(-0.706248--1.599054))+0-0-0</f>
        <v>4252.0584719999997</v>
      </c>
      <c r="G56" s="3">
        <f>5079.9+(536.1-1757.4)+(-2.590749+(-0.273411--0.896274))+0-0-0</f>
        <v>3856.6321139999995</v>
      </c>
      <c r="H56" s="3">
        <f>5029+(476.3-1841.9)+(-10.25916+(-0.971652--3.757476))+0-0-0</f>
        <v>3655.9266639999996</v>
      </c>
      <c r="I56" s="3">
        <f>5075.3+(405.5-1917.6)+(-7.765209+(-0.620415--2.933928))+0-0-0</f>
        <v>3557.7483040000002</v>
      </c>
      <c r="J56" s="3">
        <f>5081.2+(527-2075.4)+(0+(0-0))+0-0-0</f>
        <v>3532.7999999999997</v>
      </c>
      <c r="K56" s="3">
        <f>5034.9+(526.8-2007.6)+(-10.271196+(-1.074672--4.095504))+0-0-0</f>
        <v>3546.8496359999995</v>
      </c>
      <c r="L56" s="3">
        <f>4820.1+(576.1-1749.4)+(-2.458251+(-0.293811--0.892194))+0-0-0</f>
        <v>3644.9401320000002</v>
      </c>
      <c r="M56" s="3">
        <f>5000.6+(773.9-1610.4)+(-2.550306+(-0.394689--0.821304))+0-0-0</f>
        <v>4161.9763090000006</v>
      </c>
      <c r="N56" s="3">
        <f>5443.2+(830.3-1411.6)+(2.776032+(0.423453-0.719916))+0-0-0</f>
        <v>4864.3795689999997</v>
      </c>
      <c r="O56" s="3">
        <f>5507.1+(945.8-1134.6)+(2.808621+(0.482358-0.578646))+0-0-0</f>
        <v>5321.0123330000006</v>
      </c>
      <c r="P56" s="3">
        <f>5541.5+(1020.7-945.7)+(-5.65233+(-1.041114--0.964614))+0-0-0</f>
        <v>5610.77117</v>
      </c>
      <c r="Q56" s="3">
        <f>5662.9+(994.3-823.3)+(0+(0-0))+0-0-0</f>
        <v>5833.9</v>
      </c>
      <c r="R56" s="3">
        <f>5658.2+(1002.8-764.9)+(0+(0-0))+0-0-0</f>
        <v>5896.0999999999995</v>
      </c>
      <c r="S56" s="3">
        <f>5668.6+(1010.7-919.6)+(-8.672958+(-1.546371--1.406988))+0-0-0</f>
        <v>5750.8876590000009</v>
      </c>
      <c r="T56" s="3">
        <f>5672.4+(1142.5-935.4)+(-14.46462+(-2.913375--2.38527))+0-0-0</f>
        <v>5864.5072749999999</v>
      </c>
      <c r="U56" s="3">
        <f>5670.5+(1180.1-1013.2)+(-14.459775+(-3.009255--2.58366))+0-0-0</f>
        <v>5822.5146299999997</v>
      </c>
      <c r="V56" s="3">
        <f>5671.1+(1204.3-1072.6)+(-11.569044+(-2.456772--2.188104))+0-0-0</f>
        <v>5790.9622880000006</v>
      </c>
      <c r="W56" s="3">
        <f>5451.5+(1251.2-1029.7)+(-5.56053+(-1.276224--1.050294))+45.9-0-0</f>
        <v>5713.1135399999994</v>
      </c>
      <c r="X56" s="3">
        <f>5287.1+(1207.8-1131.6)+(-13.482105+(-3.07989--2.88558))+10.6-0-0</f>
        <v>5360.2235850000006</v>
      </c>
      <c r="Y56" s="3">
        <f>5117.1+(1100.7-939.9)+(2.609721+(0.561357-0.479349))+0-0-0</f>
        <v>5280.5917290000007</v>
      </c>
      <c r="Z56" s="3">
        <f>5434.5+(1107-914.8)+(0+(0-0))+0-0-0</f>
        <v>5626.7</v>
      </c>
      <c r="AA56" s="3">
        <f>5930.9+(947.1-1257.1)+(-18.148554+(-2.898126--3.846726))+0-0-0</f>
        <v>5603.7000459999999</v>
      </c>
      <c r="AB56" s="3">
        <f>5995.3+(1073.1-1742.1)+(-9.172809+(-1.641843--2.665413))+0-0-0</f>
        <v>5318.1507609999999</v>
      </c>
      <c r="AC56" s="3">
        <f>5965.4+(880.6-1917.3)+(-9.127062+(-1.347318--2.933469))+0-0-0</f>
        <v>4921.1590889999998</v>
      </c>
      <c r="AD56" s="2">
        <v>5637</v>
      </c>
      <c r="AE56" s="3">
        <f>5963+(916.9-1242.9)+(0+(0-0))+0-0-0</f>
        <v>5637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5709.6+(893.8-2198.1)+(-5.823792+(-0.911676--2.242062))+0-0-0</f>
        <v>4400.8065940000006</v>
      </c>
      <c r="G57" s="3">
        <f>5436.8+(615.8-2050.1)+(-8.318304+(-0.942174--3.136653))+0-0-0</f>
        <v>3996.3761749999999</v>
      </c>
      <c r="H57" s="3">
        <f>5121.7+(552.3-1888.2)+(-2.612067+(-0.281673--0.962982))+0-0-0</f>
        <v>3783.8692419999998</v>
      </c>
      <c r="I57" s="3">
        <f>5150.6+(598.9-2090.9)+(2.626806+(0.305439-1.066359))+0-0-0</f>
        <v>3660.4658860000004</v>
      </c>
      <c r="J57" s="3">
        <f>5111.4+(583.2-2057.9)+(0+(0-0))+0-0-0</f>
        <v>3636.7</v>
      </c>
      <c r="K57" s="3">
        <f>5023.4+(622.7-1987.7)+(-7.685802+(-0.952731--3.041181))+0-0-0</f>
        <v>3652.8026479999999</v>
      </c>
      <c r="L57" s="3">
        <f>4790+(692.8-1720.6)+(0+(0-0))+0-0-0</f>
        <v>3762.2</v>
      </c>
      <c r="M57" s="3">
        <f>4864.6+(805.2-1417)+(0+(0-0))+0-0-0</f>
        <v>4252.8</v>
      </c>
      <c r="N57" s="3">
        <f>5465.9+(839.5-1384.8)+(-5.575218+(-0.85629--1.412496))+0-0-0</f>
        <v>4915.5809879999997</v>
      </c>
      <c r="O57" s="3">
        <f>5630+(1028.4-1270.5)+(-2.8713+(-0.524484--0.647955))+0-0-0</f>
        <v>5385.1521709999997</v>
      </c>
      <c r="P57" s="3">
        <f>5787.1+(1036.4-1149.2)+(14.757105+(2.64282-2.93046))+0-0-0</f>
        <v>5688.7694650000003</v>
      </c>
      <c r="Q57" s="3">
        <f>5790.5+(1016.7-915.4)+(2.953155+(0.518517-0.466854))+0-0-0</f>
        <v>5894.8048180000005</v>
      </c>
      <c r="R57" s="3">
        <f>5807.6+(1004.6-893.6)+(5.923752+(1.024692-0.911472))+0-0-0</f>
        <v>5924.6369720000002</v>
      </c>
      <c r="S57" s="3">
        <f>5779.1+(1079.3-1117.6)+(0+(0-0))+0-0-0</f>
        <v>5740.8</v>
      </c>
      <c r="T57" s="3">
        <f>5779.9+(1236.5-1168.7)+(5.895498+(1.26123-1.192074))+0-0-0</f>
        <v>5853.6646540000002</v>
      </c>
      <c r="U57" s="3">
        <f>5761.3+(1235.5-1177.6)+(0+(0-0))+0-0-0</f>
        <v>5819.2000000000007</v>
      </c>
      <c r="V57" s="3">
        <f>5693.8+(1256.1-1218.3)+(-14.51919+(-3.203055--3.106665))+0-0-0</f>
        <v>5716.9844200000007</v>
      </c>
      <c r="W57" s="3">
        <f>5741.9+(1178.2-1342.9)+(-8.785107+(-1.802646--2.054637))+0-0-0</f>
        <v>5568.6668840000002</v>
      </c>
      <c r="X57" s="3">
        <f>5502.1+(1045.9-1182.5)+(-19.642497+(-3.733863--4.221525))+0-0-0</f>
        <v>5346.3451649999997</v>
      </c>
      <c r="Y57" s="3">
        <f>5576.1+(896.8-1269.2)+(-2.843811+(-0.457368--0.647292))+0-0-0</f>
        <v>5201.0461130000003</v>
      </c>
      <c r="Z57" s="3">
        <f>5914.5+(917.9-1262.3)+(-6.03279+(-0.936258--1.287546))+0-0-0</f>
        <v>5564.418498</v>
      </c>
      <c r="AA57" s="3">
        <f>6023.1+(880.1-1337.8)+(-12.287124+(-1.795404--2.729112))+0-0-0</f>
        <v>5554.0465840000006</v>
      </c>
      <c r="AB57" s="3">
        <f>5977.7+(1028.1-1759.3)+(-18.291762+(-3.145986--5.383458))+0-0-0</f>
        <v>5230.44571</v>
      </c>
      <c r="AC57" s="3">
        <f>5962.4+(998-2114.5)+(-12.163296+(-2.03592--4.31358))+0-0-0</f>
        <v>4836.0143639999997</v>
      </c>
      <c r="AD57" s="2">
        <v>5540.1</v>
      </c>
      <c r="AE57" s="3">
        <f>5989+(896.8-1345.7)+(0+(0-0))+0-0-0</f>
        <v>5540.1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5598.8+(655.4-2023.8)+(-2.855388+(-0.334254--1.032138))+0-0-0</f>
        <v>4228.2424959999998</v>
      </c>
      <c r="G58" s="3">
        <f>5303.6+(550.3-1953.1)+(-13.52418+(-1.403265--4.980405))+0-0-0</f>
        <v>3890.8529600000002</v>
      </c>
      <c r="H58" s="3">
        <f>5110.2+(635.2-2060.6)+(-10.424808+(-1.295808--4.203624))+0-0-0</f>
        <v>3677.2830080000003</v>
      </c>
      <c r="I58" s="3">
        <f>5118.5+(588.5-2119.7)+(-7.831305+(-0.900405--3.243141))+0-0-0</f>
        <v>3581.8114310000001</v>
      </c>
      <c r="J58" s="3">
        <f>5008.2+(599.9-2055.4)+(-12.77091+(-1.529745--5.24127))+0-0-0</f>
        <v>3543.6406149999998</v>
      </c>
      <c r="K58" s="3">
        <f>4839.4+(617-1880.5)+(-12.34047+(-1.57335--4.795275))+0-0-0</f>
        <v>3566.7814549999998</v>
      </c>
      <c r="L58" s="3">
        <f>4480.3+(656.6-1475)+(2.284953+(0.334866-0.75225))+0-0-0</f>
        <v>3663.7675690000001</v>
      </c>
      <c r="M58" s="3">
        <f>4803.9+(641.6-1239.4)+(7.349967+(0.981648-1.896282))+0-0-0</f>
        <v>4212.5353329999998</v>
      </c>
      <c r="N58" s="3">
        <f>5627.5+(664.5-1446)+(5.74005+(0.67779-1.47492))+0-0-0</f>
        <v>4850.9429200000004</v>
      </c>
      <c r="O58" s="3">
        <f>5902.9+(871.9-1471.5)+(-9.031437+(-1.334007--2.251395))+0-0-0</f>
        <v>5295.1859509999995</v>
      </c>
      <c r="P58" s="3">
        <f>5925.9+(861.3-1173.1)+(-9.066627+(-1.317789--1.794843))+0-0-0</f>
        <v>5605.5104269999993</v>
      </c>
      <c r="Q58" s="3">
        <f>5910.7+(899.5-992.9)+(-9.043371+(-1.376235--1.519137))+0-0-0</f>
        <v>5808.399531</v>
      </c>
      <c r="R58" s="3">
        <f>5861.4+(874.7-910.7)+(0+(0-0))+0-0-0</f>
        <v>5825.4</v>
      </c>
      <c r="S58" s="3">
        <f>5884.5+(958.9-1132.1)+(6.00219+(0.978078-1.154742))+0-0-0</f>
        <v>5717.1255259999998</v>
      </c>
      <c r="T58" s="3">
        <f>5803.7+(1077.8-1079)+(-8.879661+(-1.649034--1.65087))+0-0-0</f>
        <v>5793.6221750000004</v>
      </c>
      <c r="U58" s="3">
        <f>5422.7+(1269.6-898.9)+(5.531154+(1.294992-0.916878))+0-0-0</f>
        <v>5799.309268</v>
      </c>
      <c r="V58" s="3">
        <f>5488+(1335.4-1188.8)+(-2.79888+(-0.681054--0.606288))+0-0-0</f>
        <v>5631.7263540000004</v>
      </c>
      <c r="W58" s="3">
        <f>5719.5+(1177.6-1325.5)+(-14.584725+(-3.00288--3.380025))+0-0-0</f>
        <v>5557.3924200000001</v>
      </c>
      <c r="X58" s="3">
        <f>5654.9+(1067.7-1393)+(-14.419995+(-2.722635--3.55215))+0-0-0</f>
        <v>5316.0095199999996</v>
      </c>
      <c r="Y58" s="3">
        <f>5541.7+(969.7-1340.8)+(-5.652534+(-0.989094--1.367616))+0-0-0</f>
        <v>5165.3259880000005</v>
      </c>
      <c r="Z58" s="3">
        <f>5782.7+(989.4-1277.2)+(0+(0-0))+0-0-0</f>
        <v>5494.9</v>
      </c>
      <c r="AA58" s="3">
        <f>5836.9+(1035.5-1434.4)+(-14.884095+(-2.640525--3.65772))+0-0-0</f>
        <v>5424.1331</v>
      </c>
      <c r="AB58" s="3">
        <f>5531.2+(1061.7-1418.7)+(-14.10456+(-2.707335--3.617685))+0-0-0</f>
        <v>5161.0057900000002</v>
      </c>
      <c r="AC58" s="3">
        <f>5269.8+(1042.6-1504.9)+(-2.687598+(-0.531726--0.767499))+0-0-0</f>
        <v>4805.0481749999999</v>
      </c>
      <c r="AD58" s="2">
        <v>5574.2</v>
      </c>
      <c r="AE58" s="3">
        <f>5829+(1063.4-1419.2)+(0+(0-0))+0-0-0</f>
        <v>5473.2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5198.8+(949.1-1801.6)+(-18.559716+(-3.388287--6.431712))+0-0-0</f>
        <v>4330.7837090000003</v>
      </c>
      <c r="G59" s="3">
        <f>4958.1+(582-1595.7)+(-2.528631+(-0.29682--0.813807))+0-0-0</f>
        <v>3942.3883560000004</v>
      </c>
      <c r="H59" s="3">
        <f>4719.7+(488.1-1494.6)+(0+(0-0))+0-0-0</f>
        <v>3713.2</v>
      </c>
      <c r="I59" s="3">
        <f>4666.5+(502.5-1574)+(-7.139745+(-0.768825--2.40822))+0-0-0</f>
        <v>3589.4996500000002</v>
      </c>
      <c r="J59" s="3">
        <f>4649+(501.9-1602.1)+(-11.85495+(-1.279845--4.085355))+0-0-0</f>
        <v>3539.7505600000004</v>
      </c>
      <c r="K59" s="3">
        <f>4710.9+(540.8-1705.1)+(-9.610236+(-1.103232--3.478404))+0-0-0</f>
        <v>3539.3649359999995</v>
      </c>
      <c r="L59" s="3">
        <f>4618.3+(565.1-1627.9)+(-7.065999+(-0.864603--2.490687))+0-0-0</f>
        <v>3550.0600850000001</v>
      </c>
      <c r="M59" s="3">
        <f>4555.1+(759.4-1334.8)+(0+(0-0))+0-0-0</f>
        <v>3979.7000000000003</v>
      </c>
      <c r="N59" s="3">
        <f>5146.6+(855.5-1432.4)+(2.624766+(0.436305-0.730524))+0-0-0</f>
        <v>4572.0305470000003</v>
      </c>
      <c r="O59" s="3">
        <f>5570.7+(913.5-1394.6)+(-2.841057+(-0.465885--0.711246))+0-0-0</f>
        <v>5087.004304</v>
      </c>
      <c r="P59" s="3">
        <f>5605.1+(971.5-1184.4)+(0+(0-0))+0-0-0</f>
        <v>5392.2000000000007</v>
      </c>
      <c r="Q59" s="3">
        <f>5688.2+(995.8-1069.1)+(-2.900982+(-0.507858--0.545241))+0-0-0</f>
        <v>5612.0364009999994</v>
      </c>
      <c r="R59" s="3">
        <f>5678.5+(977.1-1000.2)+(5.79207+(0.996642-1.020204))+0-0-0</f>
        <v>5661.1685079999997</v>
      </c>
      <c r="S59" s="3">
        <f>5634.3+(985.8-1199.9)+(-8.620479+(-1.508274--1.835847))+0-0-0</f>
        <v>5411.9070940000001</v>
      </c>
      <c r="T59" s="3">
        <f>5693.7+(1131-1466.1)+(2.903787+(0.57681-0.747711))+0-0-0</f>
        <v>5361.3328860000001</v>
      </c>
      <c r="U59" s="3">
        <f>5658.9+(1108.3-1498)+(-17.316234+(-3.391398--4.58388))+0-0-0</f>
        <v>5253.0762479999994</v>
      </c>
      <c r="V59" s="3">
        <f>5646.5+(1110.3-1590)+(-11.51886+(-2.265012--3.2436))+0-0-0</f>
        <v>5156.259728</v>
      </c>
      <c r="W59" s="3">
        <f>5696+(1053.3-1670.6)+(-14.5248+(-2.685915--4.26003))+0-0-0</f>
        <v>5065.749315</v>
      </c>
      <c r="X59" s="3">
        <f>5543.3+(879.3-1463.2)+(-16.962498+(-2.690658--4.477392))+0-0-0</f>
        <v>4944.224236</v>
      </c>
      <c r="Y59" s="3">
        <f>5406.9+(852.1-1398.8)+(5.515038+(0.869142-1.426776))+0-0-0</f>
        <v>4865.1574039999996</v>
      </c>
      <c r="Z59" s="3">
        <f>5759.7+(820.6-1335.1)+(-2.937447+(-0.418506--0.680901))+0-0-0</f>
        <v>5242.5249480000002</v>
      </c>
      <c r="AA59" s="3">
        <f>5920.2+(822.7-1473.9)+(-15.09651+(-2.097885--3.758445))+0-0-0</f>
        <v>5255.56405</v>
      </c>
      <c r="AB59" s="3">
        <f>5752.5+(772.3-1521.5)+(-8.801325+(-1.181619--2.327895))+0-0-0</f>
        <v>4995.6449510000002</v>
      </c>
      <c r="AC59" s="3">
        <f>5494.8+(725-1508.2)+(-5.604696+(-0.7395--1.538364))+0-0-0</f>
        <v>4706.7941680000004</v>
      </c>
      <c r="AD59" s="2">
        <v>5329.4</v>
      </c>
      <c r="AE59" s="3">
        <f>5883+(761.7-1315.3)+(0+(0-0))+0-0-0</f>
        <v>5329.4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5326.9+(687.5-1669.3)+(-5.433438+(-0.70125--1.702686))+0-0-0</f>
        <v>4340.6679979999999</v>
      </c>
      <c r="G60" s="3">
        <f>4975.7+(492.3-1493.9)+(5.075214+(0.502146-1.523778))+0-0-0</f>
        <v>3978.1535819999995</v>
      </c>
      <c r="H60" s="3">
        <f>4803.2+(532.5-1623.6)+(-2.449632+(-0.271575--0.828036))+0-0-0</f>
        <v>3710.2068289999997</v>
      </c>
      <c r="I60" s="3">
        <f>4805.8+(589.9-1845.1)+(0+(0-0))+0-0-0</f>
        <v>3550.6000000000004</v>
      </c>
      <c r="J60" s="3">
        <f>4826.9+(607.7-1956.1)+(0+(0-0))+0-0-0</f>
        <v>3478.5</v>
      </c>
      <c r="K60" s="3">
        <f>4785.8+(581.2-1950.1)+(-7.322274+(-0.889236--2.983653))+0-0-0</f>
        <v>3411.6721430000007</v>
      </c>
      <c r="L60" s="3">
        <f>4634.3+(552-1944.3)+(-7.090479+(-0.84456--2.974779))+0-0-0</f>
        <v>3237.0397400000002</v>
      </c>
      <c r="M60" s="3">
        <f>4561.4+(498.5-1781)+(-6.978942+(-0.762705--2.72493))+0-0-0</f>
        <v>3273.8832829999997</v>
      </c>
      <c r="N60" s="3">
        <f>4680+(638.6-1805.6)+(0+(0-0))+0-0-0</f>
        <v>3513</v>
      </c>
      <c r="O60" s="3">
        <f>4665.5+(852.6-1674.6)+(-2.379405+(-0.434826--0.854046))+0-0-0</f>
        <v>3841.5398150000001</v>
      </c>
      <c r="P60" s="3">
        <f>4776.3+(955.9-1519.8)+(4.871826+(0.975018-1.550196))+0-0-0</f>
        <v>4216.6966480000001</v>
      </c>
      <c r="Q60" s="3">
        <f>5088.7+(1029.2-1624.5)+(7.785711+(1.574676-2.485485))+0-0-0</f>
        <v>4500.2749019999992</v>
      </c>
      <c r="R60" s="3">
        <f>5214.8+(1070.1-1711.5)+(0+(0-0))+0-0-0</f>
        <v>4573.3999999999996</v>
      </c>
      <c r="S60" s="3">
        <f>5285.4+(1076.8-1827.6)+(-2.695554+(-0.549168--0.932076))+0-0-0</f>
        <v>4532.2873539999991</v>
      </c>
      <c r="T60" s="3">
        <f>5257.2+(1035.2-1811.2)+(-5.362344+(-1.055904--1.847424))+0-0-0</f>
        <v>4476.6291759999995</v>
      </c>
      <c r="U60" s="3">
        <f>5248.5+(1062.4-1919.7)+(-5.35347+(-1.083648--1.958094))+0-0-0</f>
        <v>4386.7209759999996</v>
      </c>
      <c r="V60" s="3">
        <f>5223.4+(1073.2-1921.8)+(-10.655736+(-2.189328--3.920472))+0-0-0</f>
        <v>4365.875407999999</v>
      </c>
      <c r="W60" s="3">
        <f>5245.6+(1021-1859.4)+(-10.701024+(-2.08284--3.793176))+0-0-0</f>
        <v>4398.2093120000009</v>
      </c>
      <c r="X60" s="3">
        <f>5154.6+(947.6-1680.2)+(-7.886538+(-1.449828--2.570706))+0-0-0</f>
        <v>4415.23434</v>
      </c>
      <c r="Y60" s="3">
        <f>5174.5+(823.8-1583.4)+(-2.638995+(-0.420138--0.807534))+0-0-0</f>
        <v>4412.6484009999995</v>
      </c>
      <c r="Z60" s="3">
        <f>5515.6+(785.1-1455.2)+(0+(0-0))+0-0-0</f>
        <v>4845.5</v>
      </c>
      <c r="AA60" s="3">
        <f>5553.2+(738.5-1273.3)+(-8.496396+(-1.129905--1.948149))+0-0-0</f>
        <v>5010.7218479999992</v>
      </c>
      <c r="AB60" s="3">
        <f>5507.6+(842.7-1464.7)+(-11.235504+(-1.719108--2.987988))+0-0-0</f>
        <v>4875.6333760000007</v>
      </c>
      <c r="AC60" s="3">
        <f>5458.2+(923.7-1735.9)+(-11.134728+(-1.884348--3.541236))+0-0-0</f>
        <v>4636.5221600000004</v>
      </c>
      <c r="AD60" s="2">
        <v>5012.3</v>
      </c>
      <c r="AE60" s="3">
        <f>5531+(683-1201.7)+(0+(0-0))+0-0-0</f>
        <v>5012.3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5464.6+(834-2103.8)+(-2.786946+(-0.42534--1.072938))+0-0-0</f>
        <v>4192.6606520000005</v>
      </c>
      <c r="G61" s="3">
        <f>5340+(688.6-2226.3)+(-13.617+(-1.75593--5.677065))+0-0-0</f>
        <v>3792.6041349999996</v>
      </c>
      <c r="H61" s="3">
        <f>5231.9+(634.7-2292.1)+(-10.673076+(-1.294788--4.675884))+0-0-0</f>
        <v>3567.20802</v>
      </c>
      <c r="I61" s="3">
        <f>5221.6+(664.4-2404.9)+(-10.652064+(-1.355376--4.905996))+0-0-0</f>
        <v>3473.9985560000005</v>
      </c>
      <c r="J61" s="3">
        <f>5138.2+(500.7-2190.8)+(2.620482+(0.255357-1.117308))+0-0-0</f>
        <v>3449.8585309999994</v>
      </c>
      <c r="K61" s="3">
        <f>5106.3+(492.1-2124.9)+(-10.416852+(-1.003884--4.334796))+0-0-0</f>
        <v>3466.4140600000001</v>
      </c>
      <c r="L61" s="3">
        <f>5046.8+(575.8-2041.1)+(-2.573868+(-0.293658--1.040961))+0-0-0</f>
        <v>3579.6734350000002</v>
      </c>
      <c r="M61" s="3">
        <f>5130.9+(722.6-1672.6)+(5.233518+(0.737052-1.706052))+0-0-0</f>
        <v>4185.1645179999996</v>
      </c>
      <c r="N61" s="3">
        <f>5587.9+(1191.9-1808.2)+(0+(0-0))+0-0-0</f>
        <v>4971.5999999999995</v>
      </c>
      <c r="O61" s="3">
        <f>5722.4+(1440.7-1700.9)+(5.836848+(1.469514-1.734918))+0-0-0</f>
        <v>5467.771444</v>
      </c>
      <c r="P61" s="3">
        <f>5818.1+(1388.1-1377.3)+(0+(0-0))+0-0-0</f>
        <v>5828.9000000000005</v>
      </c>
      <c r="Q61" s="3">
        <f>5900.5+(1344.1-1169.1)+(0+(0-0))+0-0-0</f>
        <v>6075.5</v>
      </c>
      <c r="R61" s="3">
        <f>5870.4+(1361.2-1070.4)+(-2.993904+(-0.694212--0.545904))+0-0-0</f>
        <v>6158.0577880000001</v>
      </c>
      <c r="S61" s="3">
        <f>5937.8+(1374.4-1295.1)+(-12.113112+(-2.803776--2.642004))+0-0-0</f>
        <v>6004.825116</v>
      </c>
      <c r="T61" s="3">
        <f>6038.7+(1404.3-1325.7)+(0+(0-0))+0-0-0</f>
        <v>6117.2999999999993</v>
      </c>
      <c r="U61" s="3">
        <f>6024.9+(1485.3-1419.6)+(-12.290796+(-3.030012--2.895984))+0-0-0</f>
        <v>6078.1751759999997</v>
      </c>
      <c r="V61" s="3">
        <f>6065.7+(1468.1-1497)+(-15.467535+(-3.743655--3.81735))+0-0-0</f>
        <v>6021.4061599999995</v>
      </c>
      <c r="W61" s="3">
        <f>6082.7+(1363.6-1581.1)+(-9.306531+(-2.086308--2.419083))+0-0-0</f>
        <v>5856.2262439999995</v>
      </c>
      <c r="X61" s="3">
        <f>6007.9+(1268.6-1659.3)+(-21.448203+(-4.528902--5.923701))+0-0-0</f>
        <v>5597.1465959999996</v>
      </c>
      <c r="Y61" s="3">
        <f>5824.7+(1034.5-1416.8)+(-14.852985+(-2.637975--3.61284))+0-0-0</f>
        <v>5428.5218799999993</v>
      </c>
      <c r="Z61" s="3">
        <f>6212.7+(1044-1481)+(-3.168477+(-0.53244--0.75531))+0-0-0</f>
        <v>5772.7543930000002</v>
      </c>
      <c r="AA61" s="3">
        <f>6355.7+(1021.8-1540.4)+(-16.207035+(-2.60559--3.92802))+0-0-0</f>
        <v>5822.2153949999993</v>
      </c>
      <c r="AB61" s="3">
        <f>6296.6+(1017.7-1729.5)+(-12.845064+(-2.076108--3.52818))+0-0-0</f>
        <v>5573.4070080000001</v>
      </c>
      <c r="AC61" s="3">
        <f>6061.1+(965.9-1890.8)+(-12.364644+(-1.970436--3.857232))+0-0-0</f>
        <v>5125.7221520000003</v>
      </c>
      <c r="AD61" s="2">
        <v>5819.5</v>
      </c>
      <c r="AE61" s="3">
        <f>6332+(1024.6-1537.1)+(0+(0-0))+0-0-0</f>
        <v>5819.5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5909+(897.5-2212)+(-15.06795+(-2.288625--5.6406))+0-0-0</f>
        <v>4582.7840249999999</v>
      </c>
      <c r="G62" s="3">
        <f>5882.1+(659.7-2319.7)+(-14.999355+(-1.682235--5.915235))+0-0-0</f>
        <v>4211.3336450000006</v>
      </c>
      <c r="H62" s="3">
        <f>5788.4+(671-2509.1)+(-8.856252+(-1.02663--3.838923))+0-0-0</f>
        <v>3944.2560409999996</v>
      </c>
      <c r="I62" s="3">
        <f>5576.5+(667.1-2461)+(-2.844015+(-0.340221--1.25511))+0-0-0</f>
        <v>3780.6708739999999</v>
      </c>
      <c r="J62" s="3">
        <f>5586.8+(692.1-2527.6)+(-8.547804+(-1.058913--3.867228))+0-0-0</f>
        <v>3745.5605110000001</v>
      </c>
      <c r="K62" s="3">
        <f>5363.3+(793.5-2397.9)+(-13.676415+(-2.023425--6.114645))+0-0-0</f>
        <v>3749.314805</v>
      </c>
      <c r="L62" s="3">
        <f>4906.6+(977.8-2111.3)+(-2.502366+(-0.498678--1.076763))+0-0-0</f>
        <v>3771.1757190000003</v>
      </c>
      <c r="M62" s="3">
        <f>5285.4+(1107.8-2064.9)+(-5.391108+(-1.129956--2.106198))+0-0-0</f>
        <v>4323.8851339999992</v>
      </c>
      <c r="N62" s="3">
        <f>5752.8+(1234.6-1907.7)+(2.933928+(0.629646-0.972927))+0-0-0</f>
        <v>5082.2906469999998</v>
      </c>
      <c r="O62" s="3">
        <f>6000.8+(1389-1779.3)+(-6.120816+(-1.41678--1.814886))+0-0-0</f>
        <v>5604.77729</v>
      </c>
      <c r="P62" s="3">
        <f>6138.6+(1460.4-1600)+(9.392058+(2.234412-2.448))+0-0-0</f>
        <v>6008.1784699999998</v>
      </c>
      <c r="Q62" s="3">
        <f>6177.2+(1485.9-1407.3)+(9.451116+(2.273427-2.153169))+0-0-0</f>
        <v>6265.3713740000003</v>
      </c>
      <c r="R62" s="3">
        <f>6141+(1449-1299.3)+(0+(0-0))+0-0-0</f>
        <v>6290.7</v>
      </c>
      <c r="S62" s="3">
        <f>6228.6+(1405-1524)+(0+(0-0))+0-0-0</f>
        <v>6109.6</v>
      </c>
      <c r="T62" s="3">
        <f>6284.8+(1399.7-1523.8)+(-9.615744+(-2.141541--2.331414))+0-0-0</f>
        <v>6151.2741290000004</v>
      </c>
      <c r="U62" s="3">
        <f>6274.1+(1396.4-1508.6)+(-12.799164+(-2.848656--3.077544))+0-0-0</f>
        <v>6149.3297240000002</v>
      </c>
      <c r="V62" s="3">
        <f>6265.7+(1369.5-1562)+(-15.977535+(-3.492225--3.9831))+0-0-0</f>
        <v>6057.7133400000002</v>
      </c>
      <c r="W62" s="3">
        <f>6266.7+(1390.2-1714.7)+(-3.196017+(-0.709002--0.874497))+0-0-0</f>
        <v>5939.1694779999998</v>
      </c>
      <c r="X62" s="3">
        <f>6052.9+(1190.1-1521.7)+(-12.347916+(-2.427804--3.104268))+0-0-0</f>
        <v>5709.6285479999997</v>
      </c>
      <c r="Y62" s="3">
        <f>5721.5+(1066.9-1239.4)+(-2.917965+(-0.544119--0.632094))+0-0-0</f>
        <v>5546.1700099999998</v>
      </c>
      <c r="Z62" s="3">
        <f>5976.1+(1112-1200)+(3.047811+(0.56712-0.612))+0-0-0</f>
        <v>5891.1029310000004</v>
      </c>
      <c r="AA62" s="3">
        <f>6272.8+(1059.6-1407.7)+(-12.796512+(-2.161584--2.871708))+0-0-0</f>
        <v>5912.6136120000001</v>
      </c>
      <c r="AB62" s="3">
        <f>6248.6+(1130.5-1738.7)+(-9.560358+(-1.729665--2.660211))+0-0-0</f>
        <v>5631.7701880000004</v>
      </c>
      <c r="AC62" s="3">
        <f>6045.2+(1051.6-1903.9)+(-12.332208+(-2.145264--3.883956))+0-0-0</f>
        <v>5182.3064839999997</v>
      </c>
      <c r="AD62" s="2">
        <v>5980.5</v>
      </c>
      <c r="AE62" s="3">
        <f>6249+(1088.2-1356.7)+(0+(0-0))+0-0-0</f>
        <v>5980.5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5882.3+(894.6-2177.5)+(-5.999946+(-0.912492--2.22105))+0-0-0</f>
        <v>4594.7086119999994</v>
      </c>
      <c r="G63" s="3">
        <f>5642.1+(667.9-2125.9)+(-14.387355+(-1.703145--5.421045))+0-0-0</f>
        <v>4173.4305450000002</v>
      </c>
      <c r="H63" s="3">
        <f>5578.5+(719.8-2337.5)+(-5.69007+(-0.734196--2.38425))+0-0-0</f>
        <v>3956.7599840000003</v>
      </c>
      <c r="I63" s="3">
        <f>5494.7+(601-2243.2)+(-8.406891+(-0.91953--3.432096))+0-0-0</f>
        <v>3846.6056749999998</v>
      </c>
      <c r="J63" s="3">
        <f>5503.3+(399.5-2088.1)+(0+(0-0))+0-0-0</f>
        <v>3814.7000000000003</v>
      </c>
      <c r="K63" s="3">
        <f>5485+(393.3-2057.9)+(-8.39205+(-0.601749--3.148587))+0-0-0</f>
        <v>3814.5547879999995</v>
      </c>
      <c r="L63" s="3">
        <f>5091.9+(532.5-1760.1)+(-5.193738+(-0.54315--1.795302))+0-0-0</f>
        <v>3860.3584139999998</v>
      </c>
      <c r="M63" s="3">
        <f>5004.4+(704.2-1295)+(-7.656732+(-1.077426--1.98135))+0-0-0</f>
        <v>4406.8471919999993</v>
      </c>
      <c r="N63" s="3">
        <f>5217+(1078.4-1109.3)+(-2.66067+(-0.549984--0.565743))+0-0-0</f>
        <v>5183.455089</v>
      </c>
      <c r="O63" s="3">
        <f>5915.1+(1385.2-1569)+(0+(0-0))+0-0-0</f>
        <v>5731.3</v>
      </c>
      <c r="P63" s="3">
        <f>6270.5+(1402.3-1535.9)+(0+(0-0))+0-0-0</f>
        <v>6136.9</v>
      </c>
      <c r="Q63" s="3">
        <f>6297.4+(1403.4-1314)+(3.211674+(0.715734-0.67014))+0-0-0</f>
        <v>6390.0572679999996</v>
      </c>
      <c r="R63" s="3">
        <f>6339.5+(1330.7-1201.6)+(-3.233145+(-0.678657--0.612816))+0-0-0</f>
        <v>6465.3010140000006</v>
      </c>
      <c r="S63" s="3">
        <f>6298.5+(1293.8-1326.3)+(-6.42447+(-1.319676--1.352826))+0-0-0</f>
        <v>6259.6086800000003</v>
      </c>
      <c r="T63" s="3">
        <f>6295.6+(1294.3-1246.1)+(-3.210756+(-0.660093--0.635511))+0-0-0</f>
        <v>6340.5646619999998</v>
      </c>
      <c r="U63" s="3">
        <f>6299.8+(1175.5-1159.8)+(-6.425796+(-1.19901--1.182996))+0-0-0</f>
        <v>6309.0581899999997</v>
      </c>
      <c r="V63" s="3">
        <f>6243.2+(1192.2-1188.8)+(-19.104192+(-3.648132--3.637728))+0-0-0</f>
        <v>6227.485404</v>
      </c>
      <c r="W63" s="3">
        <f>6278.5+(1280.2-1430.7)+(-9.606105+(-1.958706--2.188971))+0-0-0</f>
        <v>6118.6241600000003</v>
      </c>
      <c r="X63" s="3">
        <f>6208.2+(1175-1461.8)+(-22.163274+(-4.19475--5.218626))+0-0-0</f>
        <v>5900.2606019999994</v>
      </c>
      <c r="Y63" s="3">
        <f>6170.1+(959.2-1413.6)+(-15.733755+(-2.44596--3.60468))+0-0-0</f>
        <v>5701.1249650000009</v>
      </c>
      <c r="Z63" s="3">
        <f>6324.7+(930.7-1232.7)+(3.225597+(0.474657-0.628677))+0-0-0</f>
        <v>6025.7715769999995</v>
      </c>
      <c r="AA63" s="3">
        <f>6514.6+(964.5-1391.1)+(-9.967338+(-1.475685--2.128383))+0-0-0</f>
        <v>6078.6853600000004</v>
      </c>
      <c r="AB63" s="3">
        <f>6474.5+(1050.2-1712.9)+(-13.20798+(-2.142408--3.494316))+0-0-0</f>
        <v>5799.9439280000006</v>
      </c>
      <c r="AC63" s="3">
        <f>6354.1+(1015-2015.3)+(-6.481182+(-1.0353--2.055606))+0-0-0</f>
        <v>5348.3391240000001</v>
      </c>
      <c r="AD63" s="2">
        <v>6027.5999999999995</v>
      </c>
      <c r="AE63" s="3">
        <f>6553+(1053.4-1533.8)+(0+(0-0))+0-0-0</f>
        <v>6072.6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6125.8+(798.6-2170.9)+(-9.372474+(-1.221858--3.321477))+0-0-0</f>
        <v>4746.2271449999998</v>
      </c>
      <c r="G64" s="3">
        <f>5809.5+(531.8-2030.1)+(-11.85138+(-1.084872--4.141404))+0-0-0</f>
        <v>4302.4051519999994</v>
      </c>
      <c r="H64" s="3">
        <f>5733.3+(575-2232.6)+(-14.619915+(-1.46625--5.69313))+0-0-0</f>
        <v>4065.3069650000002</v>
      </c>
      <c r="I64" s="3">
        <f>5681.9+(604.2-2324.6)+(-8.693307+(-0.924426--3.556638))+0-0-0</f>
        <v>3955.438905</v>
      </c>
      <c r="J64" s="3">
        <f>5524+(652.3-2258.1)+(-8.45172+(-0.998019--3.454893))+0-0-0</f>
        <v>3912.2051539999998</v>
      </c>
      <c r="K64" s="3">
        <f>5475.2+(647.1-2223.2)+(-16.754112+(-1.980126--6.802992))+0-0-0</f>
        <v>3887.1687539999998</v>
      </c>
      <c r="L64" s="3">
        <f>5175.3+(654.2-1904.3)+(2.639403+(0.333642-0.971193))+0-0-0</f>
        <v>3927.2018520000001</v>
      </c>
      <c r="M64" s="3">
        <f>5365.8+(845.2-1713.7)+(-2.736558+(-0.431052--0.873987))+0-0-0</f>
        <v>4495.0063770000006</v>
      </c>
      <c r="N64" s="3">
        <f>5910.4+(1028.6-1672.9)+(3.014304+(0.524586-0.853179))+0-0-0</f>
        <v>5268.7857109999995</v>
      </c>
      <c r="O64" s="3">
        <f>6228+(996.6-1471.5)+(0+(0-0))+0-0-0</f>
        <v>5753.1</v>
      </c>
      <c r="P64" s="3">
        <f>6403.5+(1109.5-1450.7)+(0+(0-0))+0-0-0</f>
        <v>6062.3</v>
      </c>
      <c r="Q64" s="3">
        <f>6387.6+(1183.2-1257.7)+(0+(0-0))+0-0-0</f>
        <v>6313.1</v>
      </c>
      <c r="R64" s="3">
        <f>6390.1+(1180.4-1106.4)+(0+(0-0))+0-0-0</f>
        <v>6464.1</v>
      </c>
      <c r="S64" s="3">
        <f>6355.7+(1225.5-1320)+(-12.965628+(-2.50002--2.6928))+0-0-0</f>
        <v>6248.4271520000002</v>
      </c>
      <c r="T64" s="3">
        <f>6380.2+(1282.4-1348.5)+(-3.253902+(-0.654024--0.687735))+0-0-0</f>
        <v>6310.879809</v>
      </c>
      <c r="U64" s="3">
        <f>6329.4+(1172.1-1383.8)+(-12.911976+(-2.391084--2.822952))+0-0-0</f>
        <v>6105.2198920000001</v>
      </c>
      <c r="V64" s="3">
        <f>6312.7+(1061.4-1343.7)+(-22.536339+(-3.789198--4.797009))+0-0-0</f>
        <v>6008.8714719999998</v>
      </c>
      <c r="W64" s="3">
        <f>6258.5+(935.8-1255.2)+(-19.15101+(-2.863548--3.840912))+0-0-0</f>
        <v>5920.9263540000002</v>
      </c>
      <c r="X64" s="3">
        <f>6209.3+(910.6-1362.9)+(-6.333486+(-0.928812--1.390158))+0-0-0</f>
        <v>5751.1278599999996</v>
      </c>
      <c r="Y64" s="3">
        <f>6260.9+(760.2-1388.6)+(0+(0-0))+0-0-0</f>
        <v>5632.5</v>
      </c>
      <c r="Z64" s="3">
        <f>6509.3+(755.1-1386.6)+(-6.639486+(-0.770202--1.414332))+0-0-0</f>
        <v>5871.8046439999998</v>
      </c>
      <c r="AA64" s="3">
        <f>6731.3+(824.8-1838.1)+(-17.164815+(-2.10324--4.687155))+0-0-0</f>
        <v>5703.4191000000001</v>
      </c>
      <c r="AB64" s="3">
        <f>6458.6+(693.1-1788.2)+(-13.175544+(-1.413924--3.647928))+28.5-0-0</f>
        <v>5381.0584600000002</v>
      </c>
      <c r="AC64" s="3">
        <f>6373.3+(522.3-2005.7)+(-22.752681+(-1.864611--7.160349))+7.5-0-0</f>
        <v>4879.9430569999995</v>
      </c>
      <c r="AD64" s="2">
        <v>5711.5999999999995</v>
      </c>
      <c r="AE64" s="3">
        <f>6687+(758.9-1726.3)+(0+(0-0))+0-0-0</f>
        <v>5719.6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5992+(465-2052)+(-21.39144+(-1.66005--7.32564))+0-0-0</f>
        <v>4389.2741500000002</v>
      </c>
      <c r="G65" s="3">
        <f>5677+(366.4-2005)+(-17.37162+(-1.121184--6.1353))+0-0-0</f>
        <v>4026.042496</v>
      </c>
      <c r="H65" s="3">
        <f>5473.1+(400.4-2029.6)+(-11.165124+(-0.816816--4.140384))+0-0-0</f>
        <v>3836.0584440000007</v>
      </c>
      <c r="I65" s="3">
        <f>5516.6+(440.4-2211.1)+(-11.253864+(-0.898416--4.510644))+0-0-0</f>
        <v>3738.2583640000007</v>
      </c>
      <c r="J65" s="3">
        <f>5290.7+(455.6-2033.9)+(-10.793028+(-0.929424--4.149156))+0-0-0</f>
        <v>3704.8267039999996</v>
      </c>
      <c r="K65" s="3">
        <f>5095.1+(513.1-1918.7)+(-7.795503+(-0.785043--2.935611))+0-0-0</f>
        <v>3683.8550650000006</v>
      </c>
      <c r="L65" s="3">
        <f>5022.3+(510.6-1758.2)+(-10.245492+(-1.041624--3.586728))+0-0-0</f>
        <v>3766.9996120000001</v>
      </c>
      <c r="M65" s="3">
        <f>5301+(457.9-1471.3)+(2.70351+(0.233529-0.750363))+0-0-0</f>
        <v>4289.7866760000006</v>
      </c>
      <c r="N65" s="3">
        <f>5930.9+(802.6-1784.5)+(-6.049518+(-0.818652--1.82019))+0-0-0</f>
        <v>4943.9520199999997</v>
      </c>
      <c r="O65" s="3">
        <f>6265.1+(763.7-1637.6)+(-19.171206+(-2.336922--5.011056))+0-0-0</f>
        <v>5374.7029280000006</v>
      </c>
      <c r="P65" s="3">
        <f>6117.8+(811.8-1201.7)+(3.120078+(0.414018-0.612867))+0-0-0</f>
        <v>5730.8212289999992</v>
      </c>
      <c r="Q65" s="3">
        <f>6202.1+(872.1-1190.8)+(0+(0-0))+0-0-0</f>
        <v>5883.4000000000005</v>
      </c>
      <c r="R65" s="3">
        <f>6314.8+(979-1377.5)+(0+(0-0))+0-0-0</f>
        <v>5916.3</v>
      </c>
      <c r="S65" s="3">
        <f>6386.5+(955.5-1653.6)+(-16.285575+(-2.436525--4.21668))+0-0-0</f>
        <v>5673.8945799999992</v>
      </c>
      <c r="T65" s="3">
        <f>6448+(997.2-1669.6)+(-3.28848+(-0.508572--0.851496))+0-0-0</f>
        <v>5772.6544440000007</v>
      </c>
      <c r="U65" s="3">
        <f>6339.8+(1038.7-1646.6)+(-12.933192+(-2.118948--3.359064))+0-0-0</f>
        <v>5720.206924000001</v>
      </c>
      <c r="V65" s="3">
        <f>6266.2+(880.4-1507.7)+(-6.391524+(-0.898008--1.537854))+0-0-0</f>
        <v>5633.148322</v>
      </c>
      <c r="W65" s="3">
        <f>6120.4+(750.8-1350.8)+(-6.242808+(-0.765816--1.377816))+0-0-0</f>
        <v>5514.7691919999997</v>
      </c>
      <c r="X65" s="3">
        <f>5563.9+(615.3-926.2)+(-2.837589+(-0.313803--0.472362))+0-0-0</f>
        <v>5250.3209699999998</v>
      </c>
      <c r="Y65" s="3">
        <f>5550.6+(440.7-908.1)+(-8.492418+(-0.674271--1.389393))+0-0-0</f>
        <v>5075.4227040000005</v>
      </c>
      <c r="Z65" s="3">
        <f>6008.1+(435.2-996.9)+(-6.128262+(-0.443904--1.016838))+0-0-0</f>
        <v>5440.8446720000002</v>
      </c>
      <c r="AA65" s="3">
        <f>6168.9+(478.3-1174)+(-6.292278+(-0.487866--1.19748))+0-0-0</f>
        <v>5467.6173360000003</v>
      </c>
      <c r="AB65" s="3">
        <f>6103.4+(454.1-1340.5)+(-15.56367+(-1.157955--3.418275))+0-0-0</f>
        <v>5203.6966499999999</v>
      </c>
      <c r="AC65" s="3">
        <f>6061.6+(562-1740)+(0+(0-0))+0-0-0</f>
        <v>4883.6000000000004</v>
      </c>
      <c r="AD65" s="2">
        <v>5449.2000000000007</v>
      </c>
      <c r="AE65" s="3">
        <f>6178+(481.1-1209.9)+(0+(0-0))+0-0-0</f>
        <v>5449.2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5771.7+(493.1-1861.6)+(-5.887134+(-0.502962--1.898832))+0-0-0</f>
        <v>4398.7087359999996</v>
      </c>
      <c r="G66" s="3">
        <f>5656.9+(492.5-2202.9)+(-2.885019+(-0.251175--1.123479))+0-0-0</f>
        <v>3944.4872849999997</v>
      </c>
      <c r="H66" s="3">
        <f>5482.1+(402.4-2181.1)+(8.387613+(0.615672-3.337083))+0-0-0</f>
        <v>3709.0662020000004</v>
      </c>
      <c r="I66" s="3">
        <f>5244.5+(378.4-2040.5)+(2.674695+(0.192984-1.040655))+0-0-0</f>
        <v>3584.2270240000003</v>
      </c>
      <c r="J66" s="3">
        <f>5044.1+(392.8-1889.9)+(-7.717473+(-0.600984--2.891547))+0-0-0</f>
        <v>3541.5730899999999</v>
      </c>
      <c r="K66" s="3">
        <f>4986+(436.5-1896.2)+(-12.7143+(-1.113075--4.83531))+0-0-0</f>
        <v>3517.3079350000003</v>
      </c>
      <c r="L66" s="3">
        <f>4925.5+(399.4-1807)+(-5.02401+(-0.407388--1.84314))+0-0-0</f>
        <v>3514.3117419999999</v>
      </c>
      <c r="M66" s="3">
        <f>5062.8+(379.6-1551.5)+(5.164056+(0.387192-1.58253))+0-0-0</f>
        <v>3894.8687180000002</v>
      </c>
      <c r="N66" s="3">
        <f>5505.4+(452-1502.9)+(-5.615508+(-0.46104--1.532958))+0-0-0</f>
        <v>4449.9564099999998</v>
      </c>
      <c r="O66" s="3">
        <f>5722+(398-1192.5)+(5.83644+(0.40596-1.21635))+0-0-0</f>
        <v>4932.5260500000004</v>
      </c>
      <c r="P66" s="3">
        <f>5676.7+(389.8-816.5)+(0+(0-0))+0-0-0</f>
        <v>5250</v>
      </c>
      <c r="Q66" s="3">
        <f>5749.7+(479.4-813.5)+(2.932347+(0.244494-0.414885))+0-0-0</f>
        <v>5418.3619559999997</v>
      </c>
      <c r="R66" s="3">
        <f>5692.7+(550.4-861.7)+(-11.613108+(-1.122816--1.757868))+0-0-0</f>
        <v>5370.4219439999997</v>
      </c>
      <c r="S66" s="3">
        <f>5771.9+(647.6-1305.3)+(-5.887338+(-0.660552--1.331406))+0-0-0</f>
        <v>5108.9835160000002</v>
      </c>
      <c r="T66" s="3">
        <f>5770+(682.8-1386.9)+(-2.9427+(-0.348228--0.707319))+0-0-0</f>
        <v>5063.3163909999994</v>
      </c>
      <c r="U66" s="3">
        <f>5729.3+(666.7-1438.5)+(-11.687772+(-1.360068--2.93454))+0-0-0</f>
        <v>4947.3867</v>
      </c>
      <c r="V66" s="3">
        <f>5721.5+(638.3-1473.9)+(-14.589825+(-1.627665--3.758445))+0-0-0</f>
        <v>4873.440955</v>
      </c>
      <c r="W66" s="3">
        <f>5735.6+(648.9-1530.8)+(-11.700624+(-1.323756--3.122832))+0-0-0</f>
        <v>4843.7984520000009</v>
      </c>
      <c r="X66" s="3">
        <f>5372.7+(568-1166)+(-13.700385+(-1.4484--2.9733))+0-0-0</f>
        <v>4762.5245150000001</v>
      </c>
      <c r="Y66" s="3">
        <f>5398.2+(374.4-994.6)+(-2.753082+(-0.190944--0.507246))+0-0-0</f>
        <v>4775.56322</v>
      </c>
      <c r="Z66" s="3">
        <f>5672.1+(360.1-863.1)+(-2.892771+(-0.183651--0.440181))+0-0-0</f>
        <v>5166.4637590000002</v>
      </c>
      <c r="AA66" s="3">
        <f>5958.7+(351.1-1081.5)+(-15.194685+(-0.895305--2.757825))+0-0-0</f>
        <v>5214.9678350000004</v>
      </c>
      <c r="AB66" s="3">
        <f>5910.6+(459.7-1345.1)+(-15.07203+(-1.172235--3.430005))+0-0-0</f>
        <v>5012.3857400000006</v>
      </c>
      <c r="AC66" s="3">
        <f>5801.1+(374-1492.9)+(-2.958561+(-0.19074--0.761379))+0-0-0</f>
        <v>4679.8120780000008</v>
      </c>
      <c r="AD66" s="2">
        <v>5239.2999999999993</v>
      </c>
      <c r="AE66" s="3">
        <f>5944+(357.4-1062.1)+(0+(0-0))+0-0-0</f>
        <v>5239.3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5579.3+(434.8-1726.5)+(-2.845443+(-0.221748--0.880515))+0-0-0</f>
        <v>4285.4133240000001</v>
      </c>
      <c r="G67" s="3">
        <f>5585.5+(373.8-2054.9)+(-5.69721+(-0.381276--2.095998))+0-0-0</f>
        <v>3900.4175119999995</v>
      </c>
      <c r="H67" s="3">
        <f>5306.6+(374.5-2037.9)+(-8.119098+(-0.572985--3.117987))+0-0-0</f>
        <v>3637.6259040000004</v>
      </c>
      <c r="I67" s="3">
        <f>4985.3+(380.3-1860.7)+(-5.085006+(-0.387906--1.897914))+0-0-0</f>
        <v>3501.325002</v>
      </c>
      <c r="J67" s="3">
        <f>4801.9+(264.6-1633.1)+(7.346907+(0.404838-2.498643))+0-0-0</f>
        <v>3438.6531019999998</v>
      </c>
      <c r="K67" s="3">
        <f>4688.5+(293-1639.4)+(-2.391135+(-0.14943--0.836094))+0-0-0</f>
        <v>3340.3955289999999</v>
      </c>
      <c r="L67" s="3">
        <f>4584.6+(399.9-1806.5)+(2.338146+(0.203949-0.921315))+0-0-0</f>
        <v>3179.6207800000007</v>
      </c>
      <c r="M67" s="3">
        <f>4615.3+(441.1-1823.7)+(-2.353803+(-0.224961--0.930087))+0-0-0</f>
        <v>3231.0513230000001</v>
      </c>
      <c r="N67" s="3">
        <f>4833.3+(445.3-1816.8)+(-7.394949+(-0.681309--2.779704))+0-0-0</f>
        <v>3456.5034460000002</v>
      </c>
      <c r="O67" s="3">
        <f>4823.7+(564.9-1614.7)+(-4.920174+(-0.576198--1.646994))+0-0-0</f>
        <v>3770.0506219999997</v>
      </c>
      <c r="P67" s="3">
        <f>4963.2+(536-1371.7)+(-2.531232+(-0.27336--0.699567))+0-0-0</f>
        <v>4125.3949750000002</v>
      </c>
      <c r="Q67" s="3">
        <f>5341.1+(581.5-1505.7)+(-5.447922+(-0.59313--1.535814))+0-0-0</f>
        <v>4412.3947620000008</v>
      </c>
      <c r="R67" s="3">
        <f>5340.1+(640.1-1464.4)+(2.723451+(0.326451-0.746844))+0-0-0</f>
        <v>4518.1030580000006</v>
      </c>
      <c r="S67" s="3">
        <f>5309.9+(626.3-1456.9)+(-2.708049+(-0.319413--0.743019))+0-0-0</f>
        <v>4477.0155569999997</v>
      </c>
      <c r="T67" s="3">
        <f>5280+(630.1-1484.7)+(-2.6928+(-0.321351--0.757197))+0-0-0</f>
        <v>4423.1430459999992</v>
      </c>
      <c r="U67" s="3">
        <f>5254.8+(699.7-1629.2)+(13.39974+(1.784235-4.15446))+0-0-0</f>
        <v>4336.3295150000004</v>
      </c>
      <c r="V67" s="3">
        <f>5249.3+(780-1730.7)+(-2.677143+(-0.3978--0.882657))+0-0-0</f>
        <v>4296.4077139999999</v>
      </c>
      <c r="W67" s="3">
        <f>5307.9+(737.8-1723.9)+(-5.414058+(-0.752556--1.758378))+0-0-0</f>
        <v>4317.3917639999991</v>
      </c>
      <c r="X67" s="3">
        <f>5434+(803.3-1840.2)+(-16.62804+(-2.458098--5.631012))+0-0-0</f>
        <v>4383.6448740000005</v>
      </c>
      <c r="Y67" s="3">
        <f>5474.1+(662.3-1624)+(-8.375373+(-1.013319--2.48472))+0-0-0</f>
        <v>4505.4960280000005</v>
      </c>
      <c r="Z67" s="3">
        <f>5767+(556.4-1369.7)+(-5.88234+(-0.567528--1.397094))+0-0-0</f>
        <v>4948.647226</v>
      </c>
      <c r="AA67" s="3">
        <f>6022.2+(427.5-1319.2)+(-9.213966+(-0.654075--2.018376))+0-0-0</f>
        <v>5122.6503350000003</v>
      </c>
      <c r="AB67" s="3">
        <f>6008.5+(605.5-1646.4)+(-9.193005+(-0.926415--2.518992))+0-0-0</f>
        <v>4959.9995720000006</v>
      </c>
      <c r="AC67" s="3">
        <f>6024.7+(634.4-2002.7)+(-3.072597+(-0.323544--1.021377))+0-0-0</f>
        <v>4654.0252359999995</v>
      </c>
      <c r="AD67" s="2">
        <v>5125.8999999999996</v>
      </c>
      <c r="AE67" s="3">
        <f>6060+(461.7-1395.8)+(0+(0-0))+0-0-0</f>
        <v>5125.8999999999996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5878+(557.8-2223.7)+(-11.99112+(-1.137912--4.536348))+0-0-0</f>
        <v>4203.5073160000002</v>
      </c>
      <c r="G68" s="3">
        <f>5666.7+(266.8-2122.6)+(-14.450085+(-0.68034--5.41263))+0-0-0</f>
        <v>3801.1822049999996</v>
      </c>
      <c r="H68" s="3">
        <f>5537.3+(231.4-2183.8)+(-11.296092+(-0.472056--4.454952))+0-0-0</f>
        <v>3577.586804</v>
      </c>
      <c r="I68" s="3">
        <f>5339.2+(239.5-2097.7)+(-5.445984+(-0.24429--2.139654))+0-0-0</f>
        <v>3477.44938</v>
      </c>
      <c r="J68" s="3">
        <f>5190.1+(259.1-1994.4)+(-5.293902+(-0.264282--2.034288))+0-0-0</f>
        <v>3451.276104</v>
      </c>
      <c r="K68" s="3">
        <f>5163+(285.8-1973.9)+(-13.16565+(-0.72879--5.033445))+0-0-0</f>
        <v>3466.0390049999996</v>
      </c>
      <c r="L68" s="3">
        <f>5072.3+(329-1837.2)+(-2.586873+(-0.16779--0.936972))+0-0-0</f>
        <v>3562.2823090000002</v>
      </c>
      <c r="M68" s="3">
        <f>5435.8+(524.9-1793)+(5.544516+(0.535398-1.82886))+0-0-0</f>
        <v>4171.951054000001</v>
      </c>
      <c r="N68" s="3">
        <f>5791.6+(588.4-1457.4)+(2.953716+(0.300084-0.743274))+0-0-0</f>
        <v>4925.1105260000004</v>
      </c>
      <c r="O68" s="3">
        <f>6111.1+(493.7-1143)+(3.116661+(0.251787-0.58293))+0-0-0</f>
        <v>5464.5855179999999</v>
      </c>
      <c r="P68" s="3">
        <f>6164.4+(537.8-879.2)+(-9.431532+(-0.822834--1.345176))+0-0-0</f>
        <v>5814.0908099999997</v>
      </c>
      <c r="Q68" s="3">
        <f>6166.6+(576.1-708.3)+(-3.144966+(-0.293811--0.361233))+0-0-0</f>
        <v>6031.3224560000008</v>
      </c>
      <c r="R68" s="3">
        <f>6244.8+(515.9-668.3)+(6.369696+(0.526218-0.681666))+0-0-0</f>
        <v>6098.6142480000008</v>
      </c>
      <c r="S68" s="3">
        <f>6236+(512.1-881.9)+(-6.36072+(-0.522342--0.899538))+0-0-0</f>
        <v>5860.2164759999996</v>
      </c>
      <c r="T68" s="3">
        <f>6254.3+(580.6-840.9)+(-3.189693+(-0.296106--0.428859))+0-0-0</f>
        <v>5990.9430599999996</v>
      </c>
      <c r="U68" s="3">
        <f>6241.2+(686.1-946.6)+(-15.91506+(-1.749555--2.41383))+0-0-0</f>
        <v>5965.4492149999996</v>
      </c>
      <c r="V68" s="3">
        <f>6247.1+(735.2-1082.3)+(-3.186021+(-0.374952--0.551973))+0-0-0</f>
        <v>5896.991</v>
      </c>
      <c r="W68" s="3">
        <f>6229.2+(751.7-1167.2)+(-12.707568+(-1.533468--2.381088))+0-0-0</f>
        <v>5801.8400519999996</v>
      </c>
      <c r="X68" s="3">
        <f>6267.4+(711.6-1349)+(-15.98187+(-1.81458--3.43995))+0-0-0</f>
        <v>5615.6435000000001</v>
      </c>
      <c r="Y68" s="3">
        <f>6215.7+(379-1094.8)+(3.170007+(0.19329-0.558348))+0-0-0</f>
        <v>5502.7049489999999</v>
      </c>
      <c r="Z68" s="3">
        <f>6524+(493.6-1258.3)+(-3.32724+(-0.251736--0.641733))+0-0-0</f>
        <v>5756.3627569999999</v>
      </c>
      <c r="AA68" s="3">
        <f>6686.8+(625.7-1462.9)+(-10.230804+(-0.957321--2.238237))+0-0-0</f>
        <v>5840.6501120000003</v>
      </c>
      <c r="AB68" s="3">
        <f>6580.5+(709.1-1712.4)+(-20.13633+(-2.169846--5.239944))+0-0-0</f>
        <v>5560.1337679999997</v>
      </c>
      <c r="AC68" s="3">
        <f>6642+(766.2-2275.8)+(-16.9371+(-1.95381--5.80329))+0-0-0</f>
        <v>5119.3123799999994</v>
      </c>
      <c r="AD68" s="2">
        <v>5843.4</v>
      </c>
      <c r="AE68" s="3">
        <f>6680+(624.3-1460.9)+(0+(0-0))+0-0-0</f>
        <v>5843.4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6260.7+(678.7-2346.9)+(0+(0-0))+0-0-0</f>
        <v>4592.5</v>
      </c>
      <c r="G69" s="3">
        <f>5948.1+(356.8-2120.3)+(-9.100593+(-0.545904--3.244059))+0-0-0</f>
        <v>4178.1975620000003</v>
      </c>
      <c r="H69" s="3">
        <f>5823.8+(271.3-2147.9)+(-11.880552+(-0.553452--4.381716))+0-0-0</f>
        <v>3939.147712</v>
      </c>
      <c r="I69" s="3">
        <f>5679.5+(269-2122.4)+(-11.58618+(-0.54876--4.329696))+0-0-0</f>
        <v>3818.2947559999998</v>
      </c>
      <c r="J69" s="3">
        <f>5664.1+(267.1-2142.8)+(-2.888691+(-0.136221--1.092828))+0-0-0</f>
        <v>3786.4679160000001</v>
      </c>
      <c r="K69" s="3">
        <f>5634.9+(305.3-2167.7)+(-11.495196+(-0.622812--4.422108))+0-0-0</f>
        <v>3764.8040999999998</v>
      </c>
      <c r="L69" s="3">
        <f>5436.1+(348-1962.5)+(-13.862055+(-0.8874--5.004375))+0-0-0</f>
        <v>3811.8549200000002</v>
      </c>
      <c r="M69" s="3">
        <f>5722.9+(425.7-1793.9)+(2.918679+(0.217107-0.914889))+0-0-0</f>
        <v>4356.920897</v>
      </c>
      <c r="N69" s="3">
        <f>5935+(483.8-1394.5)+(0+(0-0))+0-0-0</f>
        <v>5024.3</v>
      </c>
      <c r="O69" s="3">
        <f>6221.5+(812.3-1504.7)+(-3.172965+(-0.414273--0.767397))+0-0-0</f>
        <v>5526.2801589999999</v>
      </c>
      <c r="P69" s="3">
        <f>6316.6+(973.2-1405.2)+(3.221466+(0.496332-0.716652))+0-0-0</f>
        <v>5887.601146</v>
      </c>
      <c r="Q69" s="3">
        <f>6408.3+(944.2-1230.5)+(-6.536466+(-0.963084--1.25511))+0-0-0</f>
        <v>6115.7555599999996</v>
      </c>
      <c r="R69" s="3">
        <f>6545.9+(972.4-1369.5)+(3.338409+(0.495924-0.698445))+0-0-0</f>
        <v>6151.9358879999991</v>
      </c>
      <c r="S69" s="3">
        <f>6562.6+(1150.6-1771.5)+(-3.346926+(-0.586806--0.903465))+0-0-0</f>
        <v>5938.6697330000006</v>
      </c>
      <c r="T69" s="3">
        <f>6549.8+(1281.8-1782.4)+(0+(0-0))+0-0-0</f>
        <v>6049.2</v>
      </c>
      <c r="U69" s="3">
        <f>6510.6+(1346.1-1836.8)+(-3.320406+(-0.686511--0.936768))+0-0-0</f>
        <v>6016.8298510000004</v>
      </c>
      <c r="V69" s="3">
        <f>6486.6+(1269.6-1803.9)+(-13.232664+(-2.589984--3.679956))+0-0-0</f>
        <v>5940.1573079999998</v>
      </c>
      <c r="W69" s="3">
        <f>6457.5+(1022.3-1628.4)+(-19.75995+(-3.128238--4.982904))+0-0-0</f>
        <v>5833.4947159999992</v>
      </c>
      <c r="X69" s="3">
        <f>6282.3+(736.1-1366.4)+(-12.815892+(-1.501644--2.787456))+0-0-0</f>
        <v>5640.4699199999995</v>
      </c>
      <c r="Y69" s="3">
        <f>6042.5+(716-1302)+(9.245025+(1.09548-1.99206))+0-0-0</f>
        <v>5464.8484449999996</v>
      </c>
      <c r="Z69" s="3">
        <f>6494+(549.9-1270.3)+(0+(0-0))+0-0-0</f>
        <v>5773.6</v>
      </c>
      <c r="AA69" s="3">
        <f>6756.9+(457.9-1339.3)+(-13.784076+(-0.934116--2.732172))+0-0-0</f>
        <v>5863.5139799999997</v>
      </c>
      <c r="AB69" s="3">
        <f>6709+(552.3-1662.2)+(-10.26477+(-0.845019--2.543166))+0-0-0</f>
        <v>5590.5333770000007</v>
      </c>
      <c r="AC69" s="3">
        <f>6613.2+(457.8-1914.8)+(-3.372732+(-0.233478--0.976548))+0-0-0</f>
        <v>5153.5703379999995</v>
      </c>
      <c r="AD69" s="2">
        <v>5731.7</v>
      </c>
      <c r="AE69" s="3">
        <f>6763+(547.2-1578.5)+(0+(0-0))+0-0-0</f>
        <v>5731.7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6404.5+(343-2164.6)+(-9.798885+(-0.52479--3.311838))+0-0-0</f>
        <v>4575.8881629999996</v>
      </c>
      <c r="G70" s="3">
        <f>6120.7+(375.5-2325.1)+(0+(0-0))+0-0-0</f>
        <v>4171.1000000000004</v>
      </c>
      <c r="H70" s="3">
        <f>5796.7+(448.9-2302.4)+(0+(0-0))+0-0-0</f>
        <v>3943.2</v>
      </c>
      <c r="I70" s="3">
        <f>5630.7+(441.2-2255.9)+(5.743314+(0.450024-2.301018))+0-0-0</f>
        <v>3819.8923199999999</v>
      </c>
      <c r="J70" s="3">
        <f>5565.1+(405.1-2195.2)+(-2.838201+(-0.206601--1.119552))+0-0-0</f>
        <v>3773.0747500000007</v>
      </c>
      <c r="K70" s="3">
        <f>5508.5+(390-2136.1)+(-14.046675+(-0.9945--5.447055))+0-0-0</f>
        <v>3752.8058799999999</v>
      </c>
      <c r="L70" s="3">
        <f>5468.3+(329.4-1986.3)+(-5.577666+(-0.335988--2.026026))+0-0-0</f>
        <v>3807.5123720000001</v>
      </c>
      <c r="M70" s="3">
        <f>5705.5+(367.5-1734.4)+(5.81961+(0.37485-1.769088))+0-0-0</f>
        <v>4343.0253720000001</v>
      </c>
      <c r="N70" s="3">
        <f>6211+(530.4-1711.9)+(9.50283+(0.811512-2.619207))+0-0-0</f>
        <v>5037.1951349999999</v>
      </c>
      <c r="O70" s="3">
        <f>6657.2+(616.1-1722.2)+(6.790344+(0.628422-1.756644))+0-0-0</f>
        <v>5556.7621220000001</v>
      </c>
      <c r="P70" s="3">
        <f>6575.3+(675.9-1363.1)+(10.060209+(1.034127-2.085543))+0-0-0</f>
        <v>5897.1087930000003</v>
      </c>
      <c r="Q70" s="3">
        <f>6563.7+(767.9-1188.5)+(0+(0-0))+0-0-0</f>
        <v>6143.0999999999995</v>
      </c>
      <c r="R70" s="3">
        <f>6583.6+(880.4-1242.2)+(-3.357636+(-0.449004--0.633522))+0-0-0</f>
        <v>6218.6268820000005</v>
      </c>
      <c r="S70" s="3">
        <f>6576.3+(940.4-1525.7)+(-10.061739+(-1.438812--2.334321))+0-0-0</f>
        <v>5981.8337700000002</v>
      </c>
      <c r="T70" s="3">
        <f>6657+(997.1-1555.6)+(10.18521+(1.525563-2.380068))+0-0-0</f>
        <v>6107.8307050000003</v>
      </c>
      <c r="U70" s="3">
        <f>6571.7+(916.8-1431.1)+(-6.703134+(-0.935136--1.459722))+0-0-0</f>
        <v>6051.2214519999998</v>
      </c>
      <c r="V70" s="3">
        <f>6455.4+(817.9-1288.9)+(-16.46127+(-2.085645--3.286695))+0-0-0</f>
        <v>5969.1397799999995</v>
      </c>
      <c r="W70" s="3">
        <f>6154.1+(579-920.2)+(-9.415773+(-0.88587--1.407906))+0-0-0</f>
        <v>5804.0062630000002</v>
      </c>
      <c r="X70" s="3">
        <f>6170.5+(485.5-1044.8)+(-15.734775+(-1.238025--2.66424))+0-0-0</f>
        <v>5596.8914399999994</v>
      </c>
      <c r="Y70" s="3">
        <f>6215.9+(435.8-1208.2)+(-6.340218+(-0.444516--1.232364))+0-0-0</f>
        <v>5437.9476299999997</v>
      </c>
      <c r="Z70" s="3">
        <f>6644.4+(430.5-1308.8)+(-6.777288+(-0.43911--1.334976))+0-0-0</f>
        <v>5760.2185779999991</v>
      </c>
      <c r="AA70" s="3">
        <f>6773.4+(537.2-1451.6)+(-10.363302+(-0.821916--2.220948))+0-0-0</f>
        <v>5850.0357299999996</v>
      </c>
      <c r="AB70" s="3">
        <f>6622+(607.5-1652.8)+(-16.8861+(-1.549125--4.21464))+0-0-0</f>
        <v>5562.4794149999998</v>
      </c>
      <c r="AC70" s="3">
        <f>6421.2+(541.4-1824.1)+(-9.824436+(-0.828342--2.790873))+0-0-0</f>
        <v>5130.6380950000002</v>
      </c>
      <c r="AD70" s="2">
        <v>5839</v>
      </c>
      <c r="AE70" s="3">
        <f>6770+(554.3-1485.3)+(0+(0-0))+0-0-0</f>
        <v>5839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6339+(582.5-2331.2)+(-9.69867+(-0.891225--3.566736))+0-0-0</f>
        <v>4583.2768409999999</v>
      </c>
      <c r="G71" s="3">
        <f>6075.7+(426.7-2299.7)+(-3.098607+(-0.217617--1.172847))+0-0-0</f>
        <v>4200.5566229999995</v>
      </c>
      <c r="H71" s="3">
        <f>5754.5+(363.4-2155.9)+(-5.86959+(-0.370668--2.199018))+0-0-0</f>
        <v>3957.95876</v>
      </c>
      <c r="I71" s="3">
        <f>5664.9+(328.4-2140.7)+(-8.667297+(-0.502452--3.275271))+0-0-0</f>
        <v>3846.7055219999997</v>
      </c>
      <c r="J71" s="3">
        <f>5562.2+(333.6-2095.1)+(-11.346888+(-0.680544--4.274004))+0-0-0</f>
        <v>3792.9465719999998</v>
      </c>
      <c r="K71" s="3">
        <f>5445+(402.1-2061.8)+(-8.33085+(-0.615213--3.154554))+0-0-0</f>
        <v>3779.5084909999996</v>
      </c>
      <c r="L71" s="3">
        <f>5366.5+(424-1962.5)+(-10.94766+(-0.86496--4.0035))+0-0-0</f>
        <v>3820.1908800000001</v>
      </c>
      <c r="M71" s="3">
        <f>5683.2+(393.1-1715.4)+(0+(0-0))+0-0-0</f>
        <v>4360.8999999999996</v>
      </c>
      <c r="N71" s="3">
        <f>6344.6+(425.8-1682.8)+(6.471492+(0.434316-1.716456))+0-0-0</f>
        <v>5092.7893520000007</v>
      </c>
      <c r="O71" s="3">
        <f>6429+(671.7-1479.5)+(13.11516+(1.370268-3.01818))+0-0-0</f>
        <v>5632.6672479999997</v>
      </c>
      <c r="P71" s="3">
        <f>6385.1+(959.7-1335.3)+(-6.512802+(-0.978894--1.362006))+0-0-0</f>
        <v>6003.3703100000002</v>
      </c>
      <c r="Q71" s="3">
        <f>5798.3+(1004.7-613.4)+(0+(0-0))+0-0-0</f>
        <v>6189.6</v>
      </c>
      <c r="R71" s="3">
        <f>6118.5+(806.3-639.8)+(-9.361305+(-1.233639--0.978894))+0-0-0</f>
        <v>6275.3839500000004</v>
      </c>
      <c r="S71" s="3">
        <f>6288.9+(949.7-1179.4)+(6.414678+(0.968694-1.202988))+0-0-0</f>
        <v>6065.380384</v>
      </c>
      <c r="T71" s="3">
        <f>6402.1+(1015.6-1242.7)+(6.530142+(1.035912-1.267554))+0-0-0</f>
        <v>6181.2984999999999</v>
      </c>
      <c r="U71" s="3">
        <f>6461.3+(1004.7-1314.1)+(0+(0-0))+0-0-0</f>
        <v>6151.9000000000005</v>
      </c>
      <c r="V71" s="3">
        <f>6477+(959.7-1335.4)+(-6.60654+(-0.978894--1.362108))+0-0-0</f>
        <v>6095.0766739999999</v>
      </c>
      <c r="W71" s="3">
        <f>6469+(912.5-1379.7)+(-13.19676+(-1.8615--2.814588))+0-0-0</f>
        <v>5989.5563280000006</v>
      </c>
      <c r="X71" s="3">
        <f>6392.1+(899.3-1519)+(-19.559826+(-2.751858--4.64814))+0-0-0</f>
        <v>5754.7364560000005</v>
      </c>
      <c r="Y71" s="3">
        <f>6297.2+(790.3-1541.8)+(6.423144+(0.806106-1.572636))+0-0-0</f>
        <v>5551.3566140000003</v>
      </c>
      <c r="Z71" s="3">
        <f>6588.7+(607.4-1350.9)+(-3.360237+(-0.309774--0.688959))+0-0-0</f>
        <v>5842.2189479999997</v>
      </c>
      <c r="AA71" s="3">
        <f>6672.7+(610.3-1313.6)+(-6.806154+(-0.622506--1.339872))+0-0-0</f>
        <v>5963.3112119999996</v>
      </c>
      <c r="AB71" s="3">
        <f>6574+(770-1642.3)+(-13.41096+(-1.5708--3.350292))+0-0-0</f>
        <v>5690.0685320000002</v>
      </c>
      <c r="AC71" s="3">
        <f>6506.8+(759.7-1985.1)+(-9.955404+(-1.162341--3.037203))+0-0-0</f>
        <v>5273.3194580000009</v>
      </c>
      <c r="AD71" s="2">
        <v>5900.2</v>
      </c>
      <c r="AE71" s="3">
        <f>6652+(598.4-1350.2)+(0+(0-0))+0-0-0</f>
        <v>5900.2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6131.8+(583.3-1990.1)+(-12.508872+(-1.189932--4.059804))+0-0-0</f>
        <v>4715.3609999999999</v>
      </c>
      <c r="G72" s="3">
        <f>5872.1+(379.3-1940.5)+(-11.979084+(-0.773772--3.95862))+0-0-0</f>
        <v>4302.1057640000008</v>
      </c>
      <c r="H72" s="3">
        <f>5722.9+(331-1981.5)+(-8.756037+(-0.50643--3.031695))+0-0-0</f>
        <v>4066.1692279999997</v>
      </c>
      <c r="I72" s="3">
        <f>5655.8+(303.7-2025)+(-17.306748+(-0.929322--6.1965))+0-0-0</f>
        <v>3922.4604300000001</v>
      </c>
      <c r="J72" s="3">
        <f>5686.6+(305.8-2113.5)+(-11.600664+(-0.623832--4.31154))+0-0-0</f>
        <v>3870.9870440000004</v>
      </c>
      <c r="K72" s="3">
        <f>5560.3+(373.3-2073.8)+(-14.178765+(-0.951915--5.28819))+0-0-0</f>
        <v>3849.9575100000002</v>
      </c>
      <c r="L72" s="3">
        <f>5485.5+(277.6-1854.7)+(-11.19042+(-0.566304--3.783588))+0-0-0</f>
        <v>3900.426864</v>
      </c>
      <c r="M72" s="3">
        <f>5742.1+(440.4-1714.4)+(17.570826+(1.347624-5.246064))+0-0-0</f>
        <v>4481.7723860000006</v>
      </c>
      <c r="N72" s="3">
        <f>6186.4+(730.3-1706.7)+(0+(0-0))+0-0-0</f>
        <v>5210</v>
      </c>
      <c r="O72" s="3">
        <f>6545.5+(849-1624)+(6.67641+(0.86598-1.65648))+0-0-0</f>
        <v>5776.38591</v>
      </c>
      <c r="P72" s="3">
        <f>6541.3+(862.4-1233.7)+(-6.672126+(-0.879648--1.258374))+0-0-0</f>
        <v>6163.7066000000004</v>
      </c>
      <c r="Q72" s="3">
        <f>6552.6+(772.2-851.5)+(0+(0-0))+0-0-0</f>
        <v>6473.3</v>
      </c>
      <c r="R72" s="3">
        <f>6628.5+(658.6-742.1)+(-3.380535+(-0.335886--0.378471))+0-0-0</f>
        <v>6541.6620499999999</v>
      </c>
      <c r="S72" s="3">
        <f>6618.1+(677.4-1000.4)+(-6.750462+(-0.690948--1.020408))+0-0-0</f>
        <v>6288.6789980000003</v>
      </c>
      <c r="T72" s="3">
        <f>6583+(717-910.4)+(0+(0-0))+0-0-0</f>
        <v>6389.6</v>
      </c>
      <c r="U72" s="3">
        <f>6556.4+(711.3-904)+(-6.687528+(-0.725526--0.92208))+0-0-0</f>
        <v>6357.2090259999995</v>
      </c>
      <c r="V72" s="3">
        <f>6515.4+(730-933.5)+(-9.968562+(-1.1169--1.428255))+0-0-0</f>
        <v>6302.2427929999994</v>
      </c>
      <c r="W72" s="3">
        <f>6467.8+(680.1-976.8)+(-19.791468+(-2.081106--2.989008))+0-0-0</f>
        <v>6152.2164339999999</v>
      </c>
      <c r="X72" s="3">
        <f>6385.8+(883.4-1355)+(-3.256758+(-0.450534--0.69105))+0-0-0</f>
        <v>5911.1837580000001</v>
      </c>
      <c r="Y72" s="3">
        <f>6386.1+(713.7-1411.7)+(-6.513822+(-0.727974--1.439934))+0-0-0</f>
        <v>5682.2981380000001</v>
      </c>
      <c r="Z72" s="3">
        <f>6599.5+(510.9-1166.8)+(3.365745+(0.260559-0.595068))+0-0-0</f>
        <v>5946.6312360000002</v>
      </c>
      <c r="AA72" s="3">
        <f>6718.9+(460.3-1094.7)+(-6.853278+(-0.469506--1.116594))+0-0-0</f>
        <v>6078.2938100000001</v>
      </c>
      <c r="AB72" s="3">
        <f>6707.2+(610.1-1489.2)+(-6.841344+(-0.622302--1.518984))+0-0-0</f>
        <v>5822.1553379999996</v>
      </c>
      <c r="AC72" s="3">
        <f>6647.5+(847.7-2063.2)+(3.390225+(0.432327-1.052232))+0-0-0</f>
        <v>5434.7703199999996</v>
      </c>
      <c r="AD72" s="2">
        <v>6080.4</v>
      </c>
      <c r="AE72" s="3">
        <f>6698+(451.2-1068.8)+(0+(0-0))+0-0-0</f>
        <v>6080.4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6453.9+(836.2-2379.7)+(-13.165956+(-1.705848--4.854588))+0-0-0</f>
        <v>4900.3827839999994</v>
      </c>
      <c r="G73" s="3">
        <f>6147.2+(519.7-2212.6)+(0+(0-0))+0-0-0</f>
        <v>4454.3</v>
      </c>
      <c r="H73" s="3">
        <f>6057.9+(359.2-2226.3)+(-3.089529+(-0.183192--1.135413))+0-0-0</f>
        <v>4188.662691999999</v>
      </c>
      <c r="I73" s="3">
        <f>5869.2+(318.4-2142.6)+(8.979876+(0.487152-3.278178))+0-0-0</f>
        <v>4051.18885</v>
      </c>
      <c r="J73" s="3">
        <f>5827.2+(289-2131.1)+(-8.915616+(-0.44217--3.260583))+0-0-0</f>
        <v>3979.0027970000001</v>
      </c>
      <c r="K73" s="3">
        <f>5773+(298.4-2148.5)+(-14.72115+(-0.76092--5.478675))+0-0-0</f>
        <v>3912.8966049999999</v>
      </c>
      <c r="L73" s="3">
        <f>5654.7+(344-2126.7)+(-5.767794+(-0.35088--2.169234))+0-0-0</f>
        <v>3868.0505600000001</v>
      </c>
      <c r="M73" s="3">
        <f>5990.7+(369.5-2005.5)+(-3.055257+(-0.188445--1.022805))+0-0-0</f>
        <v>4352.4791029999997</v>
      </c>
      <c r="N73" s="3">
        <f>6192.8+(655.9-1854.2)+(15.79164+(1.672545-4.72821))+0-0-0</f>
        <v>5007.2359749999996</v>
      </c>
      <c r="O73" s="3">
        <f>6370+(777-1590.3)+(16.2435+(1.98135-4.055265))+0-0-0</f>
        <v>5570.8695849999995</v>
      </c>
      <c r="P73" s="3">
        <f>6379+(745-1121.9)+(13.01316+(1.5198-2.288676))+0-0-0</f>
        <v>6014.3442840000007</v>
      </c>
      <c r="Q73" s="3">
        <f>6417.6+(576-734)+(6.545952+(0.58752-0.74868))+0-0-0</f>
        <v>6265.9847920000002</v>
      </c>
      <c r="R73" s="3">
        <f>6473.6+(617.3-758.2)+(3.301536+(0.314823-0.386682))+0-0-0</f>
        <v>6335.929677000001</v>
      </c>
      <c r="S73" s="3">
        <f>6501.8+(607.9-1005.4)+(-6.631836+(-0.620058--1.025508))+0-0-0</f>
        <v>6098.0736139999999</v>
      </c>
      <c r="T73" s="3">
        <f>6440.7+(647.1-1049.9)+(-3.284757+(-0.330021--0.535449))+0-0-0</f>
        <v>6034.8206709999995</v>
      </c>
      <c r="U73" s="3">
        <f>6399.7+(657.8-1154.7)+(-6.527694+(-0.670956--1.177794))+0-0-0</f>
        <v>5896.7791439999992</v>
      </c>
      <c r="V73" s="3">
        <f>6393.5+(701.3-1299.5)+(3.260685+(0.357663-0.662745))+0-0-0</f>
        <v>5798.2556030000005</v>
      </c>
      <c r="W73" s="3">
        <f>6387.2+(755-1438.5)+(-6.514944+(-0.7701--1.46727))+0-0-0</f>
        <v>5697.8822259999997</v>
      </c>
      <c r="X73" s="3">
        <f>6388+(891.4-1717.4)+(-6.51576+(-0.909228--1.751748))+0-0-0</f>
        <v>5556.3267599999999</v>
      </c>
      <c r="Y73" s="3">
        <f>6205.8+(785.5-1553.8)+(-6.329916+(-0.80121--1.584876))+0-0-0</f>
        <v>5431.9537499999997</v>
      </c>
      <c r="Z73" s="3">
        <f>6854+(623.1-1757.4)+(-10.48662+(-0.953343--2.688822))+0-0-0</f>
        <v>5710.9488590000001</v>
      </c>
      <c r="AA73" s="3">
        <f>6931+(598.6-1677.5)+(-14.13924+(-1.221144--3.4221))+0-0-0</f>
        <v>5840.1617160000005</v>
      </c>
      <c r="AB73" s="3">
        <f>6847.2+(753.7-1997.2)+(-10.476216+(-1.153161--3.055716))+0-0-0</f>
        <v>5595.1263389999995</v>
      </c>
      <c r="AC73" s="3">
        <f>6683.7+(845.9-2233.8)+(-13.634748+(-1.725636--4.556952))+0-0-0</f>
        <v>5284.9965679999996</v>
      </c>
      <c r="AD73" s="2">
        <v>5809.0999999999995</v>
      </c>
      <c r="AE73" s="3">
        <f>6915+(616.9-1722.8)+(0+(0-0))+0-0-0</f>
        <v>5809.1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6527+(466.4-2099.7)+(-9.98631+(-0.713592--3.212541))+0-0-0</f>
        <v>4886.2126390000003</v>
      </c>
      <c r="G74" s="3">
        <f>6359.1+(305.7-2202.5)+(-3.243141+(-0.155907--1.123275))+0-0-0</f>
        <v>4460.0242269999999</v>
      </c>
      <c r="H74" s="3">
        <f>6012.5+(376.3-2197.4)+(-6.13275+(-0.383826--2.241348))+0-0-0</f>
        <v>4187.1247719999992</v>
      </c>
      <c r="I74" s="3">
        <f>5870.2+(252.2-2095.4)+(-2.993802+(-0.128622--1.068654))+0-0-0</f>
        <v>4024.94623</v>
      </c>
      <c r="J74" s="3">
        <f>5778.5+(226.6-2075.1)+(-20.629245+(-0.808962--7.408107))+0-0-0</f>
        <v>3915.9699000000001</v>
      </c>
      <c r="K74" s="3">
        <f>5545.1+(322.6-2085.2)+(-28.28001+(-1.64526--10.63452))+0-0-0</f>
        <v>3763.2092500000003</v>
      </c>
      <c r="L74" s="3">
        <f>5228.5+(345.4-1999.4)+(-5.33307+(-0.352308--2.039388))+0-0-0</f>
        <v>3570.85401</v>
      </c>
      <c r="M74" s="3">
        <f>5207.2+(282.2-1834.8)+(7.967016+(0.431766-2.807244))+0-0-0</f>
        <v>3660.191538</v>
      </c>
      <c r="N74" s="3">
        <f>5523.2+(249-1864.2)+(11.267328+(0.50796-3.802968))+0-0-0</f>
        <v>3915.9723199999999</v>
      </c>
      <c r="O74" s="3">
        <f>5952.1+(355.9-2004.3)+(-3.035571+(-0.181509--1.022193))+0-0-0</f>
        <v>4301.5051130000011</v>
      </c>
      <c r="P74" s="3">
        <f>6187.6+(378.7-1856.2)+(0+(0-0))+0-0-0</f>
        <v>4710.1000000000004</v>
      </c>
      <c r="Q74" s="3">
        <f>6303.6+(532.6-1803.1)+(0+(0-0))+0-0-0</f>
        <v>5033.1000000000004</v>
      </c>
      <c r="R74" s="3">
        <f>6465.6+(530.8-1858.8)+(9.892368+(0.812124-2.843964))+0-0-0</f>
        <v>5145.4605280000005</v>
      </c>
      <c r="S74" s="3">
        <f>6392.8+(443.7-1732.4)+(-6.520656+(-0.452574--1.767048))+0-0-0</f>
        <v>5098.8938180000005</v>
      </c>
      <c r="T74" s="3">
        <f>6260.3+(455.9-1660.8)+(-6.385506+(-0.465018--1.694016))+0-0-0</f>
        <v>5050.2434919999996</v>
      </c>
      <c r="U74" s="3">
        <f>6241.7+(547.6-1793.3)+(0+(0-0))+0-0-0</f>
        <v>4996</v>
      </c>
      <c r="V74" s="3">
        <f>6023+(604.1-1658.4)+(-3.07173+(-0.308091--0.845784))+0-0-0</f>
        <v>4966.1659629999995</v>
      </c>
      <c r="W74" s="3">
        <f>5921.2+(705-1618.9)+(-6.039624+(-0.7191--1.651278))+0-0-0</f>
        <v>5002.1925539999993</v>
      </c>
      <c r="X74" s="3">
        <f>5718.9+(805.3-1549.2)+(-14.583195+(-2.053515--3.95046))+0-0-0</f>
        <v>4962.3137500000003</v>
      </c>
      <c r="Y74" s="3">
        <f>5796.3+(550.5-1410.8)+(-5.912226+(-0.56151--1.439016))+0-0-0</f>
        <v>4930.9652800000003</v>
      </c>
      <c r="Z74" s="3">
        <f>6028.7+(442.2-1215.2)+(-3.074637+(-0.225522--0.619752))+0-0-0</f>
        <v>5253.019593</v>
      </c>
      <c r="AA74" s="3">
        <f>6170.9+(438.2-1118.5)+(-12.588636+(-0.893928--2.28174))+0-0-0</f>
        <v>5479.3991759999999</v>
      </c>
      <c r="AB74" s="3">
        <f>6067.9+(542.9-1255.4)+(-3.094629+(-0.276879--0.640254))+0-0-0</f>
        <v>5352.6687459999994</v>
      </c>
      <c r="AC74" s="3">
        <f>6008.4+(689.1-1584.9)+(-15.32142+(-1.757205--4.041495))+0-0-0</f>
        <v>5099.5628699999997</v>
      </c>
      <c r="AD74" s="2">
        <v>5502.2999999999993</v>
      </c>
      <c r="AE74" s="3">
        <f>6224+(458.9-1180.6)+(0+(0-0))+0-0-0</f>
        <v>5502.3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5667.8+(695.5-1625)+(2.890578+(0.354705-0.82875))+0-0-0</f>
        <v>4740.7165329999998</v>
      </c>
      <c r="G75" s="3">
        <f>5496.8+(701.4-1823)+(0+(0-0))+0-0-0</f>
        <v>4375.2000000000007</v>
      </c>
      <c r="H75" s="3">
        <f>5413.8+(644.6-1935.1)+(11.044152+(1.314984-3.947604))+0-0-0</f>
        <v>4131.7115320000003</v>
      </c>
      <c r="I75" s="3">
        <f>5385.1+(465.4-1865.4)+(-16.478406+(-1.424124--5.708124))+0-0-0</f>
        <v>3972.9055940000003</v>
      </c>
      <c r="J75" s="3">
        <f>5369.9+(261.3-1718)+(-2.738649+(-0.133263--0.87618))+0-0-0</f>
        <v>3911.204268</v>
      </c>
      <c r="K75" s="3">
        <f>5221.8+(278.5-1675.7)+(-15.978708+(-0.85221--5.127642))+0-0-0</f>
        <v>3812.8967240000002</v>
      </c>
      <c r="L75" s="3">
        <f>5251.8+(322.6-1807.6)+(-13.39209+(-0.82263--4.60938))+0-0-0</f>
        <v>3757.1946600000001</v>
      </c>
      <c r="M75" s="3">
        <f>5415.6+(509.6-1741.4)+(0+(0-0))+0-0-0</f>
        <v>4183.8</v>
      </c>
      <c r="N75" s="3">
        <f>5632.9+(857.3-1689)+(0+(0-0))+0-0-0</f>
        <v>4801.2</v>
      </c>
      <c r="O75" s="3">
        <f>5950+(786.3-1402.8)+(0+(0-0))+0-0-0</f>
        <v>5333.5</v>
      </c>
      <c r="P75" s="3">
        <f>6221.3+(784.1-1240.7)+(-3.172863+(-0.399891--0.632757))+0-0-0</f>
        <v>5761.7600029999994</v>
      </c>
      <c r="Q75" s="3">
        <f>6199.1+(748.3-886.1)+(-3.161541+(-0.381633--0.451911))+0-0-0</f>
        <v>6058.2087369999999</v>
      </c>
      <c r="R75" s="3">
        <f>6160.9+(776.7-761.8)+(-3.142059+(-0.396117--0.388518))+0-0-0</f>
        <v>6172.650341999999</v>
      </c>
      <c r="S75" s="3">
        <f>6132.5+(788.7-877.8)+(-3.127575+(-0.402237--0.447678))+0-0-0</f>
        <v>6040.3178659999994</v>
      </c>
      <c r="T75" s="3">
        <f>6088.4+(818.9-804.2)+(-6.210168+(-0.835278--0.820284))+0-0-0</f>
        <v>6096.8748379999997</v>
      </c>
      <c r="U75" s="3">
        <f>6069.1+(832.3-859.9)+(-6.190482+(-0.848946--0.877098))+0-0-0</f>
        <v>6035.3376699999999</v>
      </c>
      <c r="V75" s="3">
        <f>6042.6+(847.2-962.6)+(-9.245178+(-1.296216--1.472778))+0-0-0</f>
        <v>5918.1313840000012</v>
      </c>
      <c r="W75" s="3">
        <f>6001.2+(1008.1-1206.3)+(-9.181836+(-1.542393--1.845639))+0-0-0</f>
        <v>5794.1214099999997</v>
      </c>
      <c r="X75" s="3">
        <f>5997.1+(1111.3-1518.4)+(-15.292605+(-2.833815--3.87192))+0-0-0</f>
        <v>5575.7455</v>
      </c>
      <c r="Y75" s="3">
        <f>5909.6+(956.4-1502.6)+(-12.055584+(-1.951056--3.065304))+0-0-0</f>
        <v>5352.4586640000007</v>
      </c>
      <c r="Z75" s="3">
        <f>6210.9+(947.1-1623.1)+(-6.335118+(-0.966042--1.655562))+0-0-0</f>
        <v>5529.2544019999996</v>
      </c>
      <c r="AA75" s="3">
        <f>6437.1+(932.3-1662.6)+(-16.414605+(-2.377365--4.23963))+0-0-0</f>
        <v>5692.24766</v>
      </c>
      <c r="AB75" s="3">
        <f>6259.3+(955.8-1755.1)+(-12.768972+(-1.949832--3.580404))+0-0-0</f>
        <v>5448.8616000000002</v>
      </c>
      <c r="AC75" s="3">
        <f>6048.7+(892.1-1859.7)+(-3.084837+(-0.454971--0.948447))+0-0-0</f>
        <v>5078.5086389999997</v>
      </c>
      <c r="AD75" s="2">
        <v>5771.5999999999995</v>
      </c>
      <c r="AE75" s="3">
        <f>6502+(956.9-1687.3)+(0+(0-0))+0-0-0</f>
        <v>5771.6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6027.5+(750.3-2029.8)+(0+(0-0))+0-0-0</f>
        <v>4748</v>
      </c>
      <c r="G76" s="3">
        <f>5913+(659.5-2206.1)+(-6.03126+(-0.67269--2.250222))+0-0-0</f>
        <v>4361.9462719999992</v>
      </c>
      <c r="H76" s="3">
        <f>5637.8+(733-2262.9)+(2.875278+(0.37383-1.154079))+0-0-0</f>
        <v>4109.9950289999997</v>
      </c>
      <c r="I76" s="3">
        <f>5325.1+(706.7-2075.8)+(5.431602+(0.720834-2.117316))+0-0-0</f>
        <v>3960.03512</v>
      </c>
      <c r="J76" s="3">
        <f>5273.6+(678.1-2080.6)+(-5.379072+(-0.691662--2.122212))+0-0-0</f>
        <v>3867.1514780000002</v>
      </c>
      <c r="K76" s="3">
        <f>5286.5+(512.5-2055)+(-5.39223+(-0.52275--2.0961))+0-0-0</f>
        <v>3740.1811200000002</v>
      </c>
      <c r="L76" s="3">
        <f>5213.8+(428.9-2064.6)+(-15.954228+(-1.312434--6.317676))+0-0-0</f>
        <v>3567.1510140000005</v>
      </c>
      <c r="M76" s="3">
        <f>5273.6+(372.1-2002.9)+(10.758144+(0.759084-4.085916))+0-0-0</f>
        <v>3650.2313120000003</v>
      </c>
      <c r="N76" s="3">
        <f>5166.2+(474-1756.8)+(0+(0-0))+0-0-0</f>
        <v>3883.3999999999996</v>
      </c>
      <c r="O76" s="3">
        <f>5306.7+(568.9-1647.3)+(-2.706417+(-0.290139--0.840123))+0-0-0</f>
        <v>4226.1435669999992</v>
      </c>
      <c r="P76" s="3">
        <f>5525.7+(616.2-1552.6)+(0+(0-0))+0-0-0</f>
        <v>4589.3</v>
      </c>
      <c r="Q76" s="3">
        <f>5496+(690.7-1306.6)+(0+(0-0))+0-0-0</f>
        <v>4880.1000000000004</v>
      </c>
      <c r="R76" s="3">
        <f>5476.8+(776.2-1232.6)+(0+(0-0))+0-0-0</f>
        <v>5020.4000000000005</v>
      </c>
      <c r="S76" s="3">
        <f>5464.9+(769.9-1226.3)+(-11.148396+(-1.570596--2.501652))+0-0-0</f>
        <v>4998.2826599999999</v>
      </c>
      <c r="T76" s="3">
        <f>5458.1+(827.5-1268.3)+(2.783631+(0.422025-0.646833))+0-0-0</f>
        <v>5019.8588230000005</v>
      </c>
      <c r="U76" s="3">
        <f>5442.5+(838.9-1267.5)+(-2.775675+(-0.427839--0.646425))+0-0-0</f>
        <v>5011.3429109999997</v>
      </c>
      <c r="V76" s="3">
        <f>5447.9+(923.8-1379.6)+(5.556858+(0.942276-1.407192))+0-0-0</f>
        <v>4997.1919419999995</v>
      </c>
      <c r="W76" s="3">
        <f>5427.1+(927.1-1333.9)+(-8.303463+(-1.418463--2.040867))+0-0-0</f>
        <v>5012.6189410000006</v>
      </c>
      <c r="X76" s="3">
        <f>5450.6+(941.5-1432.4)+(-5.559612+(-0.96033--1.461048))+0-0-0</f>
        <v>4954.6411060000009</v>
      </c>
      <c r="Y76" s="3">
        <f>5577.7+(745.3-1420.5)+(-5.689254+(-0.760206--1.44891))+0-0-0</f>
        <v>4897.4994500000003</v>
      </c>
      <c r="Z76" s="3">
        <f>5834.9+(817.4-1517.7)+(0+(0-0))+0-0-0</f>
        <v>5134.5999999999995</v>
      </c>
      <c r="AA76" s="3">
        <f>5875+(712.6-1348.1)+(-8.98875+(-1.090278--2.062593))+0-0-0</f>
        <v>5231.4835650000005</v>
      </c>
      <c r="AB76" s="3">
        <f>5707.4+(830.2-1397.6)+(-5.821548+(-0.846804--1.425552))+0-0-0</f>
        <v>5134.7572</v>
      </c>
      <c r="AC76" s="3">
        <f>5550.7+(772.9-1431.6)+(5.661714+(0.788358-1.460232))+0-0-0</f>
        <v>4896.9898400000002</v>
      </c>
      <c r="AD76" s="2">
        <v>5325.5999999999995</v>
      </c>
      <c r="AE76" s="3">
        <f>5951+(757.9-1383.3)+(0+(0-0))+0-0-0</f>
        <v>5325.6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5501.8+(820.2-1771.2)+(-5.611836+(-0.836604--1.806624))+0-0-0</f>
        <v>4546.1581839999999</v>
      </c>
      <c r="G77" s="3">
        <f>5574.2+(687.1-2081.6)+(5.685684+(0.700842-2.123232))+0-0-0</f>
        <v>4183.9632940000001</v>
      </c>
      <c r="H77" s="3">
        <f>5319.6+(628.7-2036.1)+(-2.712996+(-0.320637--1.038411))+0-0-0</f>
        <v>3910.2047780000007</v>
      </c>
      <c r="I77" s="3">
        <f>5012.2+(691-1932.5)+(0+(0-0))+0-0-0</f>
        <v>3770.7</v>
      </c>
      <c r="J77" s="3">
        <f>4981.8+(653.8-1943.3)+(-7.622154+(-1.000314--2.973249))+0-0-0</f>
        <v>3686.6507810000003</v>
      </c>
      <c r="K77" s="3">
        <f>4996.2+(578.5-1998.4)+(-5.096124+(-0.59007--2.038368))+0-0-0</f>
        <v>3572.6521739999998</v>
      </c>
      <c r="L77" s="3">
        <f>4981.2+(450.7-1992)+(-12.70206+(-1.149285--5.0796))+0-0-0</f>
        <v>3431.1282549999996</v>
      </c>
      <c r="M77" s="3">
        <f>5079.4+(377.4-1901.8)+(7.771482+(0.577422-2.909754))+0-0-0</f>
        <v>3560.4391499999997</v>
      </c>
      <c r="N77" s="3">
        <f>5317.4+(438.2-1917.8)+(2.711874+(0.223482-0.978078))+0-0-0</f>
        <v>3839.7572779999996</v>
      </c>
      <c r="O77" s="3">
        <f>5456.6+(690.7-1962)+(5.565732+(0.704514-2.00124))+0-0-0</f>
        <v>4189.5690060000006</v>
      </c>
      <c r="P77" s="3">
        <f>5605.1+(906.9-1944.1)+(0+(0-0))+0-0-0</f>
        <v>4567.9000000000005</v>
      </c>
      <c r="Q77" s="3">
        <f>5721.3+(928.8-1755.9)+(-8.753589+(-1.421064--2.686527))+0-0-0</f>
        <v>4886.7118739999996</v>
      </c>
      <c r="R77" s="3">
        <f>5851.6+(929.6-1749.3)+(2.984316+(0.474096-0.892143))+0-0-0</f>
        <v>5034.4662690000005</v>
      </c>
      <c r="S77" s="3">
        <f>5918+(898.1-1800.7)+(-15.0909+(-2.290155--4.591785))+0-0-0</f>
        <v>5002.6107299999994</v>
      </c>
      <c r="T77" s="3">
        <f>5916.4+(875.5-1771.3)+(-15.08682+(-2.232525--4.516815))+0-0-0</f>
        <v>5007.7974699999995</v>
      </c>
      <c r="U77" s="3">
        <f>5957.8+(925-1873.3)+(0+(0-0))+0-0-0</f>
        <v>5009.5</v>
      </c>
      <c r="V77" s="3">
        <f>5909.7+(873.5-1788.1)+(-9.041841+(-1.336455--2.735793))+0-0-0</f>
        <v>4987.4574970000003</v>
      </c>
      <c r="W77" s="3">
        <f>5793.9+(731.2-1505.9)+(-14.774445+(-1.86456--3.840045))+0-0-0</f>
        <v>5006.4010399999997</v>
      </c>
      <c r="X77" s="3">
        <f>5319.7+(725.3-1056.1)+(-13.565235+(-1.849515--2.693055))+0-0-0</f>
        <v>4976.1783049999995</v>
      </c>
      <c r="Y77" s="3">
        <f>5368.3+(732.9-1165.4)+(-8.213499+(-1.121337--1.783062))+0-0-0</f>
        <v>4928.2482260000006</v>
      </c>
      <c r="Z77" s="3">
        <f>5804+(800.8-1336.8)+(5.92008+(0.816816-1.363536))+0-0-0</f>
        <v>5273.3733599999996</v>
      </c>
      <c r="AA77" s="3">
        <f>6145+(715-1323.7)+(-3.13395+(-0.36465--0.675087))+0-0-0</f>
        <v>5533.4764869999999</v>
      </c>
      <c r="AB77" s="3">
        <f>6083.9+(818.8-1516.8)+(-9.308367+(-1.252764--2.320704))+0-0-0</f>
        <v>5377.6595729999999</v>
      </c>
      <c r="AC77" s="3">
        <f>6034+(921.3-1859.8)+(-6.15468+(-0.939726--1.896996))+0-0-0</f>
        <v>5090.3025900000002</v>
      </c>
      <c r="AD77" s="2">
        <v>5466</v>
      </c>
      <c r="AE77" s="3">
        <f>6126+(768.3-1428.3)+(0+(0-0))+0-0-0</f>
        <v>5466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5854.1+(916.8-2110.9)+(0+(0-0))+0-0-0</f>
        <v>4660</v>
      </c>
      <c r="G78" s="3">
        <f>5688+(719.4-2157.6)+(-11.60352+(-1.467576--4.401504))+0-0-0</f>
        <v>4241.130408</v>
      </c>
      <c r="H78" s="3">
        <f>5372.6+(638.3-2018)+(-13.70013+(-1.627665--5.1459))+0-0-0</f>
        <v>3982.7181050000004</v>
      </c>
      <c r="I78" s="3">
        <f>5371.1+(494.7-2006.9)+(-5.478522+(-0.504594--2.047038))+0-0-0</f>
        <v>3854.9639220000004</v>
      </c>
      <c r="J78" s="3">
        <f>5471.5+(471.3-2147.9)+(-2.790465+(-0.240363--1.095429))+0-0-0</f>
        <v>3792.9646009999997</v>
      </c>
      <c r="K78" s="3">
        <f>5239.2+(588.3-2075.9)+(-2.671992+(-0.300033--1.058709))+0-0-0</f>
        <v>3749.6866839999993</v>
      </c>
      <c r="L78" s="3">
        <f>5178.5+(554.7-1918.4)+(0+(0-0))+0-0-0</f>
        <v>3814.8</v>
      </c>
      <c r="M78" s="3">
        <f>5513.7+(822.5-1908.9)+(8.435961+(1.258425-2.920617))+0-0-0</f>
        <v>4434.0737689999996</v>
      </c>
      <c r="N78" s="3">
        <f>6030.9+(984.8-1833.6)+(-9.227277+(-1.506744--2.805408))+0-0-0</f>
        <v>5174.1713869999994</v>
      </c>
      <c r="O78" s="3">
        <f>6405.1+(1070.6-1693.6)+(0+(0-0))+0-0-0</f>
        <v>5782.1</v>
      </c>
      <c r="P78" s="3">
        <f>6457.9+(997.5-1308.6)+(0+(0-0))+0-0-0</f>
        <v>6146.7999999999993</v>
      </c>
      <c r="Q78" s="3">
        <f>6459+(996-979.7)+(0+(0-0))+0-0-0</f>
        <v>6475.3</v>
      </c>
      <c r="R78" s="3">
        <f>6393.5+(994-833.1)+(6.52137+(1.01388-0.849762))+0-0-0</f>
        <v>6561.0854879999997</v>
      </c>
      <c r="S78" s="3">
        <f>6449.5+(967.8-1007.3)+(-3.289245+(-0.493578--0.513723))+0-0-0</f>
        <v>6406.7308999999996</v>
      </c>
      <c r="T78" s="3">
        <f>6467+(993-902.3)+(-3.29817+(-0.50643--0.460173))+0-0-0</f>
        <v>6554.3555729999998</v>
      </c>
      <c r="U78" s="3">
        <f>6494.8+(1012.7-976.5)+(0+(0-0))+0-0-0</f>
        <v>6531</v>
      </c>
      <c r="V78" s="3">
        <f>6548.8+(1000.6-1081.7)+(-13.359552+(-2.041224--2.206668))+0-0-0</f>
        <v>6454.5058920000001</v>
      </c>
      <c r="W78" s="3">
        <f>6618.7+(1001-1284)+(-20.253222+(-3.06306--3.92904))+0-0-0</f>
        <v>6316.312758</v>
      </c>
      <c r="X78" s="3">
        <f>6613.2+(1090.8-1610)+(-30.354588+(-5.006772--7.3899))+0-0-0</f>
        <v>6066.0285400000002</v>
      </c>
      <c r="Y78" s="3">
        <f>6279.6+(825.7-1269.4)+(-16.01298+(-2.105535--3.23697))+0-0-0</f>
        <v>5821.0184550000004</v>
      </c>
      <c r="Z78" s="3">
        <f>6678.1+(712.5-1351.4)+(-10.217493+(-1.090125--2.067642))+0-0-0</f>
        <v>6029.9600240000009</v>
      </c>
      <c r="AA78" s="3">
        <f>7003.3+(664.1-1442.9)+(-3.571683+(-0.338691--0.735879))+0-0-0</f>
        <v>6221.3255049999998</v>
      </c>
      <c r="AB78" s="3">
        <f>6831.8+(763.1-1604.7)+(-17.42109+(-1.945905--4.091985))+0-0-0</f>
        <v>5974.9249899999995</v>
      </c>
      <c r="AC78" s="3">
        <f>6671.6+(805.8-1883.6)+(-13.610064+(-1.643832--3.842544))+0-0-0</f>
        <v>5582.3886480000001</v>
      </c>
      <c r="AD78" s="2">
        <v>6210.7999999999993</v>
      </c>
      <c r="AE78" s="3">
        <f>6984+(667.9-1441.1)+(0+(0-0))+0-0-0</f>
        <v>6210.8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6513.2+(339.6-1836.4)+(-3.321732+(-0.173196--0.936564))+0-0-0</f>
        <v>5013.8416359999992</v>
      </c>
      <c r="G79" s="3">
        <f>6516+(374.7-2347.6)+(0+(0-0))+0-0-0</f>
        <v>4543.1000000000004</v>
      </c>
      <c r="H79" s="3">
        <f>6416.7+(350.5-2475)+(-3.272517+(-0.178755--1.26225))+0-0-0</f>
        <v>4290.0109780000003</v>
      </c>
      <c r="I79" s="3">
        <f>6246.4+(341.1-2419.2)+(-9.556992+(-0.521883--3.701376))+0-0-0</f>
        <v>4161.9225009999991</v>
      </c>
      <c r="J79" s="3">
        <f>6195.8+(331.7-2436.4)+(-9.479574+(-0.507501--3.727692))+0-0-0</f>
        <v>4084.8406169999998</v>
      </c>
      <c r="K79" s="3">
        <f>5852.4+(421.4-2250.3)+(-14.92362+(-1.07457--5.738265))+0-0-0</f>
        <v>4013.2400749999997</v>
      </c>
      <c r="L79" s="3">
        <f>5639+(437.5-2040.8)+(-8.62767+(-0.669375--3.122424))+0-0-0</f>
        <v>4029.5253789999997</v>
      </c>
      <c r="M79" s="3">
        <f>5937.1+(509.7-1844.7)+(9.083763+(0.779841-2.822391))+0-0-0</f>
        <v>4609.1412130000008</v>
      </c>
      <c r="N79" s="3">
        <f>6425.3+(948.5-1981.5)+(16.384515+(2.418675-5.052825))+0-0-0</f>
        <v>5406.0503650000001</v>
      </c>
      <c r="O79" s="3">
        <f>6625.6+(1081-1748.8)+(6.758112+(1.10262-1.783776))+0-0-0</f>
        <v>5963.8769560000001</v>
      </c>
      <c r="P79" s="3">
        <f>6910.7+(990.6-1546.4)+(-10.573371+(-1.515618--2.365992))+0-0-0</f>
        <v>6345.1770029999998</v>
      </c>
      <c r="Q79" s="3">
        <f>6974.1+(973.4-1282.8)+(10.670373+(1.489302-1.962684))+0-0-0</f>
        <v>6674.8969910000005</v>
      </c>
      <c r="R79" s="3">
        <f>6939+(851.6-1021.4)+(0+(0-0))+0-0-0</f>
        <v>6769.2</v>
      </c>
      <c r="S79" s="3">
        <f>6910.1+(828.1-1144.8)+(-3.524151+(-0.422331--0.583848))+0-0-0</f>
        <v>6590.0373660000005</v>
      </c>
      <c r="T79" s="3">
        <f>6930.8+(819.9-1032.6)+(-3.534708+(-0.418149--0.526626))+0-0-0</f>
        <v>6714.673769</v>
      </c>
      <c r="U79" s="3">
        <f>6939.8+(769.2-1019.8)+(3.539298+(0.392292-0.520098))+0-0-0</f>
        <v>6692.6114920000009</v>
      </c>
      <c r="V79" s="3">
        <f>6900.5+(783.5-1074.9)+(-7.03851+(-0.79917--1.096398))+0-0-0</f>
        <v>6602.3587180000004</v>
      </c>
      <c r="W79" s="3">
        <f>6858.4+(829.1-1213.1)+(-13.991136+(-1.691364--2.474724))+0-0-0</f>
        <v>6461.1922239999994</v>
      </c>
      <c r="X79" s="3">
        <f>6861.6+(983-1626.1)+(-6.998832+(-1.00266--1.658622))+0-0-0</f>
        <v>6212.1571299999996</v>
      </c>
      <c r="Y79" s="3">
        <f>6807.6+(845.8-1701.3)+(-13.887504+(-1.725432--3.470652))+0-0-0</f>
        <v>5939.9577160000008</v>
      </c>
      <c r="Z79" s="3">
        <f>7013.4+(647.1-1475.4)+(-3.576834+(-0.330021--0.752454))+0-0-0</f>
        <v>6181.9455989999997</v>
      </c>
      <c r="AA79" s="3">
        <f>7166.3+(586.5-1379)+(-10.964439+(-0.897345--2.10987))+0-0-0</f>
        <v>6364.0480859999998</v>
      </c>
      <c r="AB79" s="3">
        <f>7107.2+(750.2-1743.4)+(0+(0-0))+0-0-0</f>
        <v>6114</v>
      </c>
      <c r="AC79" s="3">
        <f>7011.9+(924.7-2195.1)+(-10.728207+(-1.414791--3.358503))+0-0-0</f>
        <v>5732.7155050000001</v>
      </c>
      <c r="AD79" s="2">
        <v>6221.8</v>
      </c>
      <c r="AE79" s="3">
        <f>7076+(676.1-1597.3)+(0+(0-0))+0-0-0</f>
        <v>6154.8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6986.9+(658.7-2450.7)+(-7.126638+(-0.671874--2.499714))+0-0-0</f>
        <v>5189.6012019999998</v>
      </c>
      <c r="G80" s="3">
        <f>6380.3+(515.3-2175)+(-6.507906+(-0.525606--2.2185))+0-0-0</f>
        <v>4715.7849880000003</v>
      </c>
      <c r="H80" s="3">
        <f>6124.4+(443.3-2141.5)+(0+(0-0))+0-0-0</f>
        <v>4426.2</v>
      </c>
      <c r="I80" s="3">
        <f>5869.2+(413-2021.8)+(-2.993292+(-0.21063--1.031118))+0-0-0</f>
        <v>4258.2271959999998</v>
      </c>
      <c r="J80" s="3">
        <f>5688.9+(320.3-1827.4)+(-8.704017+(-0.490059--2.795922))+0-0-0</f>
        <v>4175.4018459999988</v>
      </c>
      <c r="K80" s="3">
        <f>5666.6+(331-1926.9)+(-5.779932+(-0.33762--1.965438))+0-0-0</f>
        <v>4066.5478860000003</v>
      </c>
      <c r="L80" s="3">
        <f>5603+(316.2-1891.9)+(-11.43012+(-0.645048--3.859476))+0-0-0</f>
        <v>4019.084308</v>
      </c>
      <c r="M80" s="3">
        <f>5963.1+(405-1870.3)+(9.123543+(0.61965-2.861559))+0-0-0</f>
        <v>4504.6816340000005</v>
      </c>
      <c r="N80" s="3">
        <f>6355.6+(598.4-1783.4)+(9.724068+(0.915552-2.728602))+0-0-0</f>
        <v>5178.5110180000001</v>
      </c>
      <c r="O80" s="3">
        <f>6572.4+(747.5-1511.6)+(0+(0-0))+0-0-0</f>
        <v>5808.2999999999993</v>
      </c>
      <c r="P80" s="3">
        <f>6806+(667.2-1217.3)+(3.47106+(0.340272-0.620823))+0-0-0</f>
        <v>6259.0905089999997</v>
      </c>
      <c r="Q80" s="3">
        <f>6892+(516.3-839.9)+(0+(0-0))+0-0-0</f>
        <v>6568.4</v>
      </c>
      <c r="R80" s="3">
        <f>6871.8+(510.2-747.9)+(0+(0-0))+0-0-0</f>
        <v>6634.1</v>
      </c>
      <c r="S80" s="3">
        <f>6836.7+(498.1-873.3)+(-10.460151+(-0.762093--1.336149))+0-0-0</f>
        <v>6451.6139050000002</v>
      </c>
      <c r="T80" s="3">
        <f>6853.1+(485.4-926.6)+(-6.990162+(-0.495108--0.945132))+0-0-0</f>
        <v>6405.3598620000002</v>
      </c>
      <c r="U80" s="3">
        <f>6864.7+(474.4-1062.5)+(-14.003988+(-0.967776--2.1675))+0-0-0</f>
        <v>6263.7957359999991</v>
      </c>
      <c r="V80" s="3">
        <f>6937.1+(537.1-1309.4)+(3.537921+(0.273921-0.667794))+0-0-0</f>
        <v>6167.9440480000003</v>
      </c>
      <c r="W80" s="3">
        <f>6929.2+(655.9-1480.1)+(0+(0-0))+0-0-0</f>
        <v>6105</v>
      </c>
      <c r="X80" s="3">
        <f>6870.8+(819.1-1745)+(-7.008216+(-0.835482--1.7799))+0-0-0</f>
        <v>5938.8362020000004</v>
      </c>
      <c r="Y80" s="3">
        <f>6732+(289.6-1263.6)+(-3.43332+(-0.147696--0.644436))+0-0-0</f>
        <v>5755.0634200000004</v>
      </c>
      <c r="Z80" s="3">
        <f>7100.2+(400.1-1508.8)+(7.242204+(0.408102-1.538976))+0-0-0</f>
        <v>5997.6113299999997</v>
      </c>
      <c r="AA80" s="3">
        <f>7306.3+(642.4-1756.3)+(-11.178639+(-0.982872--2.687139))+0-0-0</f>
        <v>6182.925628</v>
      </c>
      <c r="AB80" s="3">
        <f>7323.5+(711-2073.3)+(-7.46997+(-0.72522--2.114766))+0-0-0</f>
        <v>5955.1195760000001</v>
      </c>
      <c r="AC80" s="3">
        <f>7264.2+(743.2-2337.8)+(3.704742+(0.379032-1.192278))+0-0-0</f>
        <v>5672.4914959999996</v>
      </c>
      <c r="AD80" s="2">
        <v>6028.5</v>
      </c>
      <c r="AE80" s="3">
        <f>7327+(746.3-2044.8)+(0+(0-0))+0-0-0</f>
        <v>6028.5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7084.1+(654.2-2488.7)+(-3.612891+(-0.333642--1.269237))+0-0-0</f>
        <v>5246.9227040000005</v>
      </c>
      <c r="G81" s="3">
        <f>6786.4+(512.1-2464.6)+(-3.461064+(-0.261171--1.256946))+0-0-0</f>
        <v>4831.4347109999999</v>
      </c>
      <c r="H81" s="3">
        <f>6429.4+(413.7-2341.6)+(0+(0-0))+0-0-0</f>
        <v>4501.5</v>
      </c>
      <c r="I81" s="3">
        <f>6146.1+(371-2207.7)+(0+(0-0))+0-0-0</f>
        <v>4309.4000000000005</v>
      </c>
      <c r="J81" s="3">
        <f>5932.8+(260.5-2026.1)+(-12.102912+(-0.53142--4.133244))+0-0-0</f>
        <v>4158.6989120000007</v>
      </c>
      <c r="K81" s="3">
        <f>5828.9+(272.8-2104.8)+(-14.863695+(-0.69564--5.36724))+0-0-0</f>
        <v>3986.7079049999998</v>
      </c>
      <c r="L81" s="3">
        <f>5600+(294.5-2109.2)+(-14.28+(-0.750975--5.37846))+0-0-0</f>
        <v>3775.647485</v>
      </c>
      <c r="M81" s="3">
        <f>5576+(263.8-1997.7)+(5.68752+(0.269076-2.037654))+0-0-0</f>
        <v>3846.0189419999997</v>
      </c>
      <c r="N81" s="3">
        <f>5699+(265-1843.7)+(-2.90649+(-0.13515--0.940287))+0-0-0</f>
        <v>4118.1986470000002</v>
      </c>
      <c r="O81" s="3">
        <f>6123.8+(394.9-1977.2)+(-6.246276+(-0.402798--2.016744))+0-0-0</f>
        <v>4536.8676699999996</v>
      </c>
      <c r="P81" s="3">
        <f>6464.3+(361.2-1814)+(0+(0-0))+0-0-0</f>
        <v>5011.5</v>
      </c>
      <c r="Q81" s="3">
        <f>6443.1+(552.1-1609.1)+(3.285981+(0.281571-0.820641))+0-0-0</f>
        <v>5388.8469110000005</v>
      </c>
      <c r="R81" s="3">
        <f>6516.4+(487.2-1444.4)+(6.646728+(0.496944-1.473288))+0-0-0</f>
        <v>5564.8703839999998</v>
      </c>
      <c r="S81" s="3">
        <f>6448+(408.6-1281.7)+(-3.28848+(-0.208386--0.653667))+0-0-0</f>
        <v>5572.0568009999997</v>
      </c>
      <c r="T81" s="3">
        <f>6440.4+(386.7-1282.1)+(0+(0-0))+0-0-0</f>
        <v>5545</v>
      </c>
      <c r="U81" s="3">
        <f>6472.3+(424.9-1417.6)+(-6.601746+(-0.433398--1.445952))+0-0-0</f>
        <v>5474.010808</v>
      </c>
      <c r="V81" s="3">
        <f>6511.1+(442.2-1495.3)+(0+(0-0))+0-0-0</f>
        <v>5458</v>
      </c>
      <c r="W81" s="3">
        <f>6498.6+(550.9-1587.2)+(-6.628572+(-0.561918--1.618944))+0-0-0</f>
        <v>5456.7284540000001</v>
      </c>
      <c r="X81" s="3">
        <f>6469.5+(659.4-1678.8)+(-6.59889+(-0.672588--1.712376))+0-0-0</f>
        <v>5444.5408980000002</v>
      </c>
      <c r="Y81" s="3">
        <f>6228.9+(567-1386.8)+(-6.353478+(-0.57834--1.414536))+0-0-0</f>
        <v>5403.5827179999997</v>
      </c>
      <c r="Z81" s="3">
        <f>6639.7+(415.8-1376.3)+(6.772494+(0.424116-1.403826))+0-0-0</f>
        <v>5684.992784</v>
      </c>
      <c r="AA81" s="3">
        <f>6846.6+(381.6-1231)+(-3.491766+(-0.194616--0.62781))+0-0-0</f>
        <v>5994.1414280000008</v>
      </c>
      <c r="AB81" s="3">
        <f>6791.1+(482.6-1390.3)+(6.926922+(0.492252-1.418106))+0-0-0</f>
        <v>5889.4010680000001</v>
      </c>
      <c r="AC81" s="3">
        <f>6762.2+(581-1733.6)+(-6.897444+(-0.59262--1.768272))+0-0-0</f>
        <v>5603.8782080000001</v>
      </c>
      <c r="AD81" s="2">
        <v>5942.9</v>
      </c>
      <c r="AE81" s="3">
        <f>6840+(382.2-1279.3)+(0+(0-0))+0-0-0</f>
        <v>5942.9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6559.3+(604.3-1968.1)+(-3.345243+(-0.308193--1.003731))+0-0-0</f>
        <v>5192.8502950000002</v>
      </c>
      <c r="G82" s="3">
        <f>6527.9+(402.6-2216.9)+(-16.646145+(-1.02663--5.653095))+0-0-0</f>
        <v>4701.5803199999991</v>
      </c>
      <c r="H82" s="3">
        <f>6535.1+(268.4-2390.8)+(-6.665802+(-0.273768--2.438616))+0-0-0</f>
        <v>4408.1990460000006</v>
      </c>
      <c r="I82" s="3">
        <f>6399.2+(289.8-2403.1)+(-6.527184+(-0.295596--2.451162))+0-0-0</f>
        <v>4281.5283819999995</v>
      </c>
      <c r="J82" s="3">
        <f>6385.1+(146.7-2331.1)+(-3.256401+(-0.074817--1.188861))+0-0-0</f>
        <v>4198.557643000001</v>
      </c>
      <c r="K82" s="3">
        <f>6176+(236.4-2261.4)+(-15.7488+(-0.60282--5.76657))+0-0-0</f>
        <v>4140.4149500000003</v>
      </c>
      <c r="L82" s="3">
        <f>5957.4+(235.7-1991.8)+(-6.076548+(-0.240414--2.031636))+0-0-0</f>
        <v>4197.0146739999991</v>
      </c>
      <c r="M82" s="3">
        <f>6089.2+(309.2-1543.7)+(-15.52746+(-0.78846--3.936435))+0-0-0</f>
        <v>4842.3205149999994</v>
      </c>
      <c r="N82" s="3">
        <f>6271.2+(657.2-1244.5)+(-3.198312+(-0.335172--0.634695))+0-0-0</f>
        <v>5681.0012109999998</v>
      </c>
      <c r="O82" s="3">
        <f>6661.3+(897.9-1252.9)+(-3.397263+(-0.457929--0.638979))+0-0-0</f>
        <v>6303.0837870000005</v>
      </c>
      <c r="P82" s="3">
        <f>7119.4+(1009.8-1368.2)+(-7.261788+(-1.029996--1.395564))+0-0-0</f>
        <v>6754.1037800000004</v>
      </c>
      <c r="Q82" s="3">
        <f>7191.2+(1080.8-1115.4)+(0+(0-0))+0-0-0</f>
        <v>7156.5999999999995</v>
      </c>
      <c r="R82" s="3">
        <f>7201.2+(1043.8-954.5)+(-11.017836+(-1.597014--1.460385))+0-0-0</f>
        <v>7279.3455350000004</v>
      </c>
      <c r="S82" s="3">
        <f>7049.2+(1243.7-1147.3)+(-14.380368+(-2.537148--2.340492))+0-0-0</f>
        <v>7131.0229760000002</v>
      </c>
      <c r="T82" s="3">
        <f>7065.3+(1333.4-1131.9)+(7.206606+(1.360068-1.154538))+0-0-0</f>
        <v>7274.2121360000001</v>
      </c>
      <c r="U82" s="3">
        <f>7059.8+(1358.5-1188.1)+(-3.600498+(-0.692835--0.605931))+0-0-0</f>
        <v>7226.5125980000012</v>
      </c>
      <c r="V82" s="3">
        <f>7084.1+(1335.9-1290.9)+(-10.838673+(-2.043927--1.975077))+0-0-0</f>
        <v>7118.1924770000005</v>
      </c>
      <c r="W82" s="3">
        <f>7118.3+(1146.2-1287.9)+(0+(0-0))+0-0-0</f>
        <v>6976.6</v>
      </c>
      <c r="X82" s="3">
        <f>7094.3+(1073.1-1488)+(-7.236186+(-1.094562--1.51776))+0-0-0</f>
        <v>6672.587012</v>
      </c>
      <c r="Y82" s="3">
        <f>7067.8+(905.7-1624.8)+(0+(0-0))+0-0-0</f>
        <v>6348.7000000000007</v>
      </c>
      <c r="Z82" s="3">
        <f>7317.6+(679.7-1445.3)+(3.731976+(0.346647-0.737103))+0-0-0</f>
        <v>6555.3415199999999</v>
      </c>
      <c r="AA82" s="3">
        <f>7622.7+(479.2-1404.7)+(-15.550308+(-0.977568--2.865588))+0-0-0</f>
        <v>6683.5377119999994</v>
      </c>
      <c r="AB82" s="3">
        <f>7517.4+(446-1524.2)+(-19.16937+(-1.1373--3.88671))+0-0-0</f>
        <v>6422.7800399999996</v>
      </c>
      <c r="AC82" s="3">
        <f>7273.6+(447.8-1716.6)+(-11.128608+(-0.685134--2.626398))+0-0-0</f>
        <v>5995.6126560000002</v>
      </c>
      <c r="AD82" s="2">
        <v>6641.4</v>
      </c>
      <c r="AE82" s="3">
        <f>7570+(508.5-1437.1)+(0+(0-0))+0-0-0</f>
        <v>6641.4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6900.9+(404.8-1899.9)+(-17.597295+(-1.03224--4.844745))+0-0-0</f>
        <v>5392.0152099999996</v>
      </c>
      <c r="G83" s="3">
        <f>6691.6+(341-2133.1)+(-6.825432+(-0.34782--2.175762))+0-0-0</f>
        <v>4894.5025100000003</v>
      </c>
      <c r="H83" s="3">
        <f>6144+(358.5-1904.4)+(3.13344+(0.182835-0.971244))+0-0-0</f>
        <v>4600.4450310000002</v>
      </c>
      <c r="I83" s="3">
        <f>5984+(368.9-1918.5)+(12.20736+(0.752556-3.91374))+0-0-0</f>
        <v>4443.4461759999995</v>
      </c>
      <c r="J83" s="3">
        <f>5899.2+(303.1-1847.2)+(-9.025776+(-0.463743--2.826216))+0-0-0</f>
        <v>4348.4366970000001</v>
      </c>
      <c r="K83" s="3">
        <f>5671.2+(342.2-1753.4)+(-14.46156+(-0.87261--4.47117))+0-0-0</f>
        <v>4249.1369999999997</v>
      </c>
      <c r="L83" s="3">
        <f>5638.3+(352.5-1774)+(-5.751066+(-0.35955--1.80948))+0-0-0</f>
        <v>4212.4988640000001</v>
      </c>
      <c r="M83" s="3">
        <f>6088.4+(432-1743.2)+(0+(0-0))+0-0-0</f>
        <v>4777.2</v>
      </c>
      <c r="N83" s="3">
        <f>7013.3+(475.9-1946)+(10.730349+(0.728127-2.97738))+0-0-0</f>
        <v>5551.6810960000012</v>
      </c>
      <c r="O83" s="3">
        <f>7351.9+(641.8-1835.9)+(0+(0-0))+0-0-0</f>
        <v>6157.7999999999993</v>
      </c>
      <c r="P83" s="3">
        <f>7411.5+(722.4-1597.2)+(3.779865+(0.368424-0.814572))+0-0-0</f>
        <v>6540.0337170000003</v>
      </c>
      <c r="Q83" s="3">
        <f>7525.6+(738.1-1335)+(-7.676112+(-0.752862--1.3617))+0-0-0</f>
        <v>6921.6327260000007</v>
      </c>
      <c r="R83" s="3">
        <f>7635.7+(836.4-1413)+(-3.894207+(-0.426564--0.72063))+0-0-0</f>
        <v>7055.4998589999996</v>
      </c>
      <c r="S83" s="3">
        <f>7563+(856-1490.5)+(-11.57139+(-1.30968--2.280465))+0-0-0</f>
        <v>6917.8993950000004</v>
      </c>
      <c r="T83" s="3">
        <f>7544.2+(917.3-1394.2)+(-11.542626+(-1.403469--2.133126))+0-0-0</f>
        <v>7056.4870309999997</v>
      </c>
      <c r="U83" s="3">
        <f>7506.6+(913.2-1368)+(-19.14183+(-2.32866--3.4884))+0-0-0</f>
        <v>7033.8179099999998</v>
      </c>
      <c r="V83" s="3">
        <f>7354.5+(880.3-1248.6)+(-3.750795+(-0.448953--0.636786))+0-0-0</f>
        <v>6982.6370379999998</v>
      </c>
      <c r="W83" s="3">
        <f>7123.3+(861.8-1158.1)+(-14.531532+(-1.758072--2.362524))+0-0-0</f>
        <v>6813.0729199999996</v>
      </c>
      <c r="X83" s="3">
        <f>6812.1+(882.3-1176.5)+(-17.370855+(-2.249865--3.000075))+0-0-0</f>
        <v>6501.2793550000006</v>
      </c>
      <c r="Y83" s="3">
        <f>6638.1+(724-1188)+(-10.156293+(-1.10772--1.81764))+0-0-0</f>
        <v>6164.6536270000006</v>
      </c>
      <c r="Z83" s="3">
        <f>6867+(618-1134.4)+(0+(0-0))+0-0-0</f>
        <v>6350.6</v>
      </c>
      <c r="AA83" s="3">
        <f>7235.6+(594.4-1313.9)+(-11.070468+(-0.909432--2.010267))+0-0-0</f>
        <v>6506.1303670000007</v>
      </c>
      <c r="AB83" s="3">
        <f>7139.8+(578.8-1462.9)+(-21.847788+(-1.771128--4.476474))+0-0-0</f>
        <v>6236.5575579999995</v>
      </c>
      <c r="AC83" s="3">
        <f>6914.7+(428.7-1555.5)+(0+(0-0))+0-0-0</f>
        <v>5787.9</v>
      </c>
      <c r="AD83" s="2">
        <v>6456.5</v>
      </c>
      <c r="AE83" s="3">
        <f>7213+(607.3-1363.8)+(0+(0-0))+0-0-0</f>
        <v>6456.5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6733.2+(279.8-1792.3)+(-6.867864+(-0.285396--1.828146))+0-0-0</f>
        <v>5215.3748859999996</v>
      </c>
      <c r="G84" s="3">
        <f>6522.2+(309.6-2073.6)+(0+(0-0))+0-0-0</f>
        <v>4758.2</v>
      </c>
      <c r="H84" s="3">
        <f>6274+(294.8-2095.6)+(-3.19974+(-0.150348--1.068756))+0-0-0</f>
        <v>4470.9186680000003</v>
      </c>
      <c r="I84" s="3">
        <f>6062.3+(287.5-2008.3)+(-9.275319+(-0.439875--3.072699))+0-0-0</f>
        <v>4334.8575049999999</v>
      </c>
      <c r="J84" s="3">
        <f>5946.1+(275.5-1946.5)+(-15.162555+(-0.702525--4.963575))+0-0-0</f>
        <v>4264.1984950000005</v>
      </c>
      <c r="K84" s="3">
        <f>5870.5+(343-2008.4)+(-14.969775+(-0.87465--5.12142))+0-0-0</f>
        <v>4194.3769950000005</v>
      </c>
      <c r="L84" s="3">
        <f>5800.9+(421.3-2013)+(-5.916918+(-0.429726--2.05326))+0-0-0</f>
        <v>4204.9066160000002</v>
      </c>
      <c r="M84" s="3">
        <f>5923.6+(530-1694.1)+(9.063108+(0.8109-2.591973))+0-0-0</f>
        <v>4766.7820350000002</v>
      </c>
      <c r="N84" s="3">
        <f>6283.6+(783.5-1549.1)+(-3.204636+(-0.399585--0.790041))+0-0-0</f>
        <v>5515.1858199999997</v>
      </c>
      <c r="O84" s="3">
        <f>6734.3+(860.3-1499.5)+(-6.868986+(-0.877506--1.52949))+0-0-0</f>
        <v>6088.882998</v>
      </c>
      <c r="P84" s="3">
        <f>7213.3+(877.8-1555.4)+(-7.357566+(-0.895356--1.586508))+0-0-0</f>
        <v>6529.0335859999996</v>
      </c>
      <c r="Q84" s="3">
        <f>7218.7+(835.2-1215.9)+(7.363074+(0.851904-1.240218))+0-0-0</f>
        <v>6844.9747600000001</v>
      </c>
      <c r="R84" s="3">
        <f>7171.6+(745.8-936.2)+(0+(0-0))+0-0-0</f>
        <v>6981.2000000000007</v>
      </c>
      <c r="S84" s="3">
        <f>7130.8+(717.7-1003.9)+(-3.636708+(-0.366027--0.511989))+0-0-0</f>
        <v>6841.109254</v>
      </c>
      <c r="T84" s="3">
        <f>7101.4+(732-852.7)+(3.621714+(0.37332-0.434877))+0-0-0</f>
        <v>6984.2601569999997</v>
      </c>
      <c r="U84" s="3">
        <f>7077.7+(791.8-909)+(7.219254+(0.807636-0.92718))+0-0-0</f>
        <v>6967.5997100000004</v>
      </c>
      <c r="V84" s="3">
        <f>7148.6+(764.5-1033.6)+(-10.937358+(-1.169685--1.581408))+0-0-0</f>
        <v>6868.974365</v>
      </c>
      <c r="W84" s="3">
        <f>7142.6+(773.3-1221.7)+(-21.856356+(-2.366298--3.738402))+0-0-0</f>
        <v>6673.7157480000005</v>
      </c>
      <c r="X84" s="3">
        <f>6969.1+(759.4-1354.9)+(-7.108482+(-0.774588--1.381998))+0-0-0</f>
        <v>6367.0989280000003</v>
      </c>
      <c r="Y84" s="3">
        <f>6712+(659.1-1313.1)+(-20.53872+(-2.016846--4.018086))+0-0-0</f>
        <v>6039.46252</v>
      </c>
      <c r="Z84" s="3">
        <f>7014.8+(651.9-1378.4)+(7.155096+(0.664938-1.405968))+0-0-0</f>
        <v>6294.7140660000005</v>
      </c>
      <c r="AA84" s="3">
        <f>7245.6+(662.6-1382)+(-11.085768+(-1.013778--2.11446))+0-0-0</f>
        <v>6516.214914000001</v>
      </c>
      <c r="AB84" s="3">
        <f>7202.6+(772.4-1677.9)+(-3.673326+(-0.393924--0.855729))+0-0-0</f>
        <v>6293.8884790000002</v>
      </c>
      <c r="AC84" s="3">
        <f>6995.5+(801.5-1898.6)+(-10.703115+(-1.226295--2.904858))+0-0-0</f>
        <v>5889.3754479999998</v>
      </c>
      <c r="AD84" s="2">
        <v>6511.7000000000007</v>
      </c>
      <c r="AE84" s="3">
        <f>7221+(663.6-1372.9)+(0+(0-0))+0-0-0</f>
        <v>6511.7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6786.3+(537.1-1959.2)+(-13.844052+(-1.095684--3.996768))+0-0-0</f>
        <v>5353.2570320000004</v>
      </c>
      <c r="G85" s="3">
        <f>6409.2+(442.2-1977.2)+(-6.537384+(-0.451044--2.016744))+0-0-0</f>
        <v>4869.2283159999997</v>
      </c>
      <c r="H85" s="3">
        <f>6228.6+(312.7-2010.2)+(-3.176586+(-0.159477--1.025202))+0-0-0</f>
        <v>4528.7891390000004</v>
      </c>
      <c r="I85" s="3">
        <f>6170.1+(299.2-2094.6)+(-9.440253+(-0.457776--3.204738))+0-0-0</f>
        <v>4368.0067090000011</v>
      </c>
      <c r="J85" s="3">
        <f>6171.6+(339.3-2197.2)+(-9.442548+(-0.519129--3.361716))+0-0-0</f>
        <v>4307.1000390000008</v>
      </c>
      <c r="K85" s="3">
        <f>5969.1+(393.5-2146.1)+(-12.176964+(-0.80274--4.378044))+0-0-0</f>
        <v>4207.8983399999997</v>
      </c>
      <c r="L85" s="3">
        <f>5786.3+(299.7-1873.6)+(0+(0-0))+0-0-0</f>
        <v>4212.4000000000005</v>
      </c>
      <c r="M85" s="3">
        <f>6180.5+(328.1-1767.2)+(-9.456165+(-0.501993--2.703816))+0-0-0</f>
        <v>4734.1456579999995</v>
      </c>
      <c r="N85" s="3">
        <f>6585.8+(751.6-1623.8)+(0+(0-0))+0-0-0</f>
        <v>5713.6</v>
      </c>
      <c r="O85" s="3">
        <f>6838.4+(809.3-1531.9)+(6.975168+(0.825486-1.562538))+0-0-0</f>
        <v>6122.0381159999997</v>
      </c>
      <c r="P85" s="3">
        <f>6939.4+(799.8-1174.3)+(10.617282+(1.223694-1.796679))+0-0-0</f>
        <v>6574.944297</v>
      </c>
      <c r="Q85" s="3">
        <f>6926.5+(660.9-754.5)+(7.06503+(0.674118-0.76959))+0-0-0</f>
        <v>6839.8695579999994</v>
      </c>
      <c r="R85" s="3">
        <f>6962.5+(570.7-613.8)+(14.2035+(1.164228-1.252152))+0-0-0</f>
        <v>6933.5155759999998</v>
      </c>
      <c r="S85" s="3">
        <f>6995.2+(496.1-705.4)+(3.567552+(0.253011-0.359754))+0-0-0</f>
        <v>6789.3608089999998</v>
      </c>
      <c r="T85" s="3">
        <f>6986.5+(561.4-624)+(-3.563115+(-0.286314--0.31824))+0-0-0</f>
        <v>6920.3688109999994</v>
      </c>
      <c r="U85" s="3">
        <f>7101.7+(632.7-801.7)+(0+(0-0))+0-0-0</f>
        <v>6932.7</v>
      </c>
      <c r="V85" s="3">
        <f>7104+(656-947.5)+(0+(0-0))+0-0-0</f>
        <v>6812.5</v>
      </c>
      <c r="W85" s="3">
        <f>7112.3+(751.1-1202.6)+(-3.627273+(-0.383061--0.613326))+0-0-0</f>
        <v>6657.4029920000003</v>
      </c>
      <c r="X85" s="3">
        <f>7099.3+(852.1-1588.4)+(-3.620643+(-0.434571--0.810084))+0-0-0</f>
        <v>6359.7548699999998</v>
      </c>
      <c r="Y85" s="3">
        <f>7093.6+(545.3-1567)+(-18.08868+(-1.390515--3.99585))+0-0-0</f>
        <v>6056.4166550000009</v>
      </c>
      <c r="Z85" s="3">
        <f>7421.4+(600.1-1739.8)+(7.569828+(0.612102-1.774596))+0-0-0</f>
        <v>6288.1073340000003</v>
      </c>
      <c r="AA85" s="3">
        <f>7561.4+(531.9-1591)+(-15.425256+(-1.085076--3.24564))+0-0-0</f>
        <v>6489.0353079999995</v>
      </c>
      <c r="AB85" s="3">
        <f>7499.1+(698.3-1946.5)+(-11.473623+(-1.068399--2.978145))+0-0-0</f>
        <v>6241.336123000001</v>
      </c>
      <c r="AC85" s="3">
        <f>7392.6+(803.8-2350.3)+(-3.770226+(-0.409938--1.198653))+0-0-0</f>
        <v>5843.1184890000004</v>
      </c>
      <c r="AD85" s="2">
        <v>6503.0999999999995</v>
      </c>
      <c r="AE85" s="3">
        <f>7572+(533.9-1602.8)+(0+(0-0))+0-0-0</f>
        <v>6503.1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7245+(439.2-2348.1)+(0+(0-0))+0-0-0</f>
        <v>5336.1</v>
      </c>
      <c r="G86" s="3">
        <f>6330.5+(398.4-1896.6)+(-12.91422+(-0.812736--3.869064))+0-0-0</f>
        <v>4822.4421080000002</v>
      </c>
      <c r="H86" s="3">
        <f>5705+(390.1-1549.4)+(-5.8191+(-0.397902--1.580388))+0-0-0</f>
        <v>4541.0633859999998</v>
      </c>
      <c r="I86" s="3">
        <f>5718.7+(447.7-1776)+(8.749611+(0.684981-2.71728))+0-0-0</f>
        <v>4397.1173119999994</v>
      </c>
      <c r="J86" s="3">
        <f>5687+(440.2-1810.3)+(-2.90037+(-0.224502--0.923253))+0-0-0</f>
        <v>4314.6983809999992</v>
      </c>
      <c r="K86" s="3">
        <f>5579.8+(440.4-1803.3)+(-14.22849+(-1.12302--4.598415))+0-0-0</f>
        <v>4206.1469049999996</v>
      </c>
      <c r="L86" s="3">
        <f>5585.1+(415-1788.4)+(-5.696802+(-0.4233--1.824168))+0-0-0</f>
        <v>4207.404066000001</v>
      </c>
      <c r="M86" s="3">
        <f>5890.2+(498.1-1606.4)+(9.012006+(0.762093-2.457792))+0-0-0</f>
        <v>4789.2163069999997</v>
      </c>
      <c r="N86" s="3">
        <f>6456+(789.2-1645.9)+(-3.29256+(-0.402492--0.839409))+0-0-0</f>
        <v>5596.4443570000003</v>
      </c>
      <c r="O86" s="3">
        <f>6800.8+(988-1611.6)+(10.405224+(1.51164-2.465748))+0-0-0</f>
        <v>6186.6511160000009</v>
      </c>
      <c r="P86" s="3">
        <f>6918.7+(940.6-1159.6)+(3.528537+(0.479706-0.591396))+0-0-0</f>
        <v>6703.1168470000002</v>
      </c>
      <c r="Q86" s="3">
        <f>7020.2+(782.9-834.7)+(0+(0-0))+0-0-0</f>
        <v>6968.4</v>
      </c>
      <c r="R86" s="3">
        <f>7081+(673.9-639.9)+(0+(0-0))+0-0-0</f>
        <v>7115</v>
      </c>
      <c r="S86" s="3">
        <f>7086.2+(598.3-748.3)+(-7.227924+(-0.610266--0.763266))+0-0-0</f>
        <v>6929.1250760000003</v>
      </c>
      <c r="T86" s="3">
        <f>7068.2+(604-621.6)+(-3.604782+(-0.30804--0.317016))+0-0-0</f>
        <v>7047.0041939999992</v>
      </c>
      <c r="U86" s="3">
        <f>7079+(614.2-682.9)+(-3.61029+(-0.313242--0.348279))+0-0-0</f>
        <v>7006.7247470000002</v>
      </c>
      <c r="V86" s="3">
        <f>7043.7+(627.8-824.4)+(-14.369148+(-1.280712--1.681776))+0-0-0</f>
        <v>6833.1319159999994</v>
      </c>
      <c r="W86" s="3">
        <f>7031.2+(756.3-1188.1)+(-7.171824+(-0.771426--1.211862))+0-0-0</f>
        <v>6592.6686119999995</v>
      </c>
      <c r="X86" s="3">
        <f>7065.3+(874.2-1623.4)+(-10.809909+(-1.337526--2.483802))+0-0-0</f>
        <v>6306.4363670000002</v>
      </c>
      <c r="Y86" s="3">
        <f>7089+(703.2-1765.4)+(-7.23078+(-0.717264--1.800708))+0-0-0</f>
        <v>6020.6526640000002</v>
      </c>
      <c r="Z86" s="3">
        <f>7277+(713.4-1706.8)+(3.71127+(0.363834-0.870468))+0-0-0</f>
        <v>6286.8046360000008</v>
      </c>
      <c r="AA86" s="3">
        <f>7376.4+(502-1367.3)+(-15.047856+(-1.02408--2.789292))+0-0-0</f>
        <v>6497.8173559999996</v>
      </c>
      <c r="AB86" s="3">
        <f>7374.3+(544.5-1630.6)+(0+(0-0))+0-0-0</f>
        <v>6288.2000000000007</v>
      </c>
      <c r="AC86" s="3">
        <f>7311.9+(477.2-1911.6)+(-3.729069+(-0.243372--0.974916))+0-0-0</f>
        <v>5874.5024750000002</v>
      </c>
      <c r="AD86" s="2">
        <v>6542</v>
      </c>
      <c r="AE86" s="3">
        <f>7378+(530.4-1366.4)+(0+(0-0))+0-0-0</f>
        <v>6542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7255.4+(410.9-2261.7)+(-14.801016+(-0.838236--4.613868))+0-0-0</f>
        <v>5393.5746160000008</v>
      </c>
      <c r="G87" s="3">
        <f>6553.8+(275.7-1904.4)+(0+(0-0))+0-0-0</f>
        <v>4925.1000000000004</v>
      </c>
      <c r="H87" s="3">
        <f>6280.4+(251.8-1939.5)+(6.406008+(0.256836-1.97829))+0-0-0</f>
        <v>4597.3845540000002</v>
      </c>
      <c r="I87" s="3">
        <f>6158+(239.2-1956.5)+(0+(0-0))+0-0-0</f>
        <v>4440.7</v>
      </c>
      <c r="J87" s="3">
        <f>5907.4+(249.6-1809.7)+(6.025548+(0.254592-1.845894))+0-0-0</f>
        <v>4351.7342459999991</v>
      </c>
      <c r="K87" s="3">
        <f>5757.3+(266-1791.3)+(-14.681115+(-0.6783--4.567815))+0-0-0</f>
        <v>4221.2084000000004</v>
      </c>
      <c r="L87" s="3">
        <f>5753.8+(257.4-1838)+(-8.803314+(-0.393822--2.81214))+0-0-0</f>
        <v>4166.815004000001</v>
      </c>
      <c r="M87" s="3">
        <f>5898.4+(243.6-1568.4)+(9.024552+(0.372708-2.399652))+0-0-0</f>
        <v>4580.5976079999991</v>
      </c>
      <c r="N87" s="3">
        <f>6599.4+(296.8-1641.1)+(3.365694+(0.151368-0.836961))+0-0-0</f>
        <v>5257.7801009999994</v>
      </c>
      <c r="O87" s="3">
        <f>7113+(301.3-1508.8)+(7.25526+(0.307326-1.538976))+0-0-0</f>
        <v>5911.5236100000002</v>
      </c>
      <c r="P87" s="3">
        <f>7203.3+(416.8-1245.4)+(7.347366+(0.425136-1.270308))+0-0-0</f>
        <v>6381.2021939999995</v>
      </c>
      <c r="Q87" s="3">
        <f>7166.8+(418.9-920.2)+(-10.965204+(-0.640917--1.407906))+0-0-0</f>
        <v>6655.3017849999997</v>
      </c>
      <c r="R87" s="3">
        <f>7289.3+(349.8-914.1)+(0+(0-0))+0-0-0</f>
        <v>6725</v>
      </c>
      <c r="S87" s="3">
        <f>7371.2+(277.8-1140)+(-22.555872+(-0.850068--3.4884))+0-0-0</f>
        <v>6489.0824599999996</v>
      </c>
      <c r="T87" s="3">
        <f>7362.4+(310.4-1232.4)+(-7.509648+(-0.316608--1.257048))+0-0-0</f>
        <v>6433.8307919999997</v>
      </c>
      <c r="U87" s="3">
        <f>7249.8+(374.6-1305.8)+(-7.394796+(-0.382092--1.331916))+0-0-0</f>
        <v>6312.1550280000001</v>
      </c>
      <c r="V87" s="3">
        <f>7301.5+(404.6-1525)+(-11.171295+(-0.619038--2.33325))+0-0-0</f>
        <v>6171.6429170000001</v>
      </c>
      <c r="W87" s="3">
        <f>7337.9+(440-1746.4)+(-3.742329+(-0.2244--0.890664))+0-0-0</f>
        <v>6028.4239349999998</v>
      </c>
      <c r="X87" s="3">
        <f>7264.2+(285-1700.8)+(-14.818968+(-0.5814--3.469632))+0-0-0</f>
        <v>5836.4692639999994</v>
      </c>
      <c r="Y87" s="3">
        <f>7003.6+(287.8-1629.2)+(0+(0-0))+0-0-0</f>
        <v>5662.2000000000007</v>
      </c>
      <c r="Z87" s="3">
        <f>7273.4+(295.9-1652.8)+(0+(0-0))+0-0-0</f>
        <v>5916.5</v>
      </c>
      <c r="AA87" s="3">
        <f>7468.6+(208.7-1534.5)+(-11.426958+(-0.319311--2.347785))+0-0-0</f>
        <v>6133.4015159999999</v>
      </c>
      <c r="AB87" s="3">
        <f>7369.2+(190.7-1620.8)+(-15.033168+(-0.389028--3.306432))+0-0-0</f>
        <v>5926.9842360000002</v>
      </c>
      <c r="AC87" s="3">
        <f>7242.3+(177.1-1765.3)+(-3.693573+(-0.090321--0.900303))+0-0-0</f>
        <v>5651.2164090000006</v>
      </c>
      <c r="AD87" s="2">
        <v>6069.2</v>
      </c>
      <c r="AE87" s="3">
        <f>7453+(208.2-1592)+(0+(0-0))+0-0-0</f>
        <v>6069.2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6885+(196.3-1824.9)+(-7.0227+(-0.200226--1.861398))+0-0-0</f>
        <v>5251.0384719999993</v>
      </c>
      <c r="G88" s="3">
        <f>6469.7+(239.7-1874.2)+(-19.797282+(-0.733482--5.735052))+0-0-0</f>
        <v>4820.4042879999997</v>
      </c>
      <c r="H88" s="3">
        <f>6145.3+(335.8-1980)+(-12.536412+(-0.685032--4.0392))+0-0-0</f>
        <v>4491.9177560000007</v>
      </c>
      <c r="I88" s="3">
        <f>5942+(346.8-1973.7)+(-15.1521+(-0.88434--5.032935))+0-0-0</f>
        <v>4304.0964950000007</v>
      </c>
      <c r="J88" s="3">
        <f>5653.5+(354.9-1814.6)+(0+(0-0))+0-0-0</f>
        <v>4193.8</v>
      </c>
      <c r="K88" s="3">
        <f>5377.2+(508.2-1857.8)+(-8.227116+(-0.777546--2.842434))+0-0-0</f>
        <v>4021.4377719999998</v>
      </c>
      <c r="L88" s="3">
        <f>5305.3+(586.3-2086.2)+(2.705703+(0.299013-1.063962))+0-0-0</f>
        <v>3807.3407540000007</v>
      </c>
      <c r="M88" s="3">
        <f>5288.9+(492.9-1943.8)+(2.697339+(0.251379-0.991338))+0-0-0</f>
        <v>3839.9573799999994</v>
      </c>
      <c r="N88" s="3">
        <f>5435.1+(434.4-1769.6)+(0+(0-0))+0-0-0</f>
        <v>4099.9000000000005</v>
      </c>
      <c r="O88" s="3">
        <f>5799.4+(416.6-1744.8)+(2.957694+(0.212466-0.889848))+0-0-0</f>
        <v>4473.4803119999997</v>
      </c>
      <c r="P88" s="3">
        <f>6331.5+(458-1871.1)+(3.229065+(0.23358-0.954261))+0-0-0</f>
        <v>4920.9083839999994</v>
      </c>
      <c r="Q88" s="3">
        <f>6591.9+(309.3-1648.3)+(10.085607+(0.473229-2.521899))+0-0-0</f>
        <v>5260.9369369999995</v>
      </c>
      <c r="R88" s="3">
        <f>6691.7+(231.3-1527.1)+(20.476602+(0.707778-4.672926))+0-0-0</f>
        <v>5412.411454</v>
      </c>
      <c r="S88" s="3">
        <f>6701.2+(175-1452.6)+(6.835224+(0.1785-1.481652))+0-0-0</f>
        <v>5429.1320720000003</v>
      </c>
      <c r="T88" s="3">
        <f>6694.7+(107.6-1401.1)+(10.242891+(0.164628-2.143683))+0-0-0</f>
        <v>5409.4638359999999</v>
      </c>
      <c r="U88" s="3">
        <f>6653.4+(82.2-1401.1)+(3.393234+(0.041922-0.714561))+0-0-0</f>
        <v>5337.2205949999998</v>
      </c>
      <c r="V88" s="3">
        <f>6620.1+(75.6-1397.4)+(3.376251+(0.038556-0.712674))+0-0-0</f>
        <v>5301.002133</v>
      </c>
      <c r="W88" s="3">
        <f>6607.5+(119.2-1405.2)+(0+(0-0))+0-0-0</f>
        <v>5321.5</v>
      </c>
      <c r="X88" s="3">
        <f>6666.2+(153.7-1520.6)+(-6.799524+(-0.156774--1.551012))+0-0-0</f>
        <v>5293.894714</v>
      </c>
      <c r="Y88" s="3">
        <f>6779.3+(170.7-1674.5)+(0+(0-0))+0-0-0</f>
        <v>5275.5</v>
      </c>
      <c r="Z88" s="3">
        <f>6992.2+(328.2-1740.6)+(10.698066+(0.502146-2.663118))+0-0-0</f>
        <v>5588.3370940000004</v>
      </c>
      <c r="AA88" s="3">
        <f>7106.3+(225.2-1419.9)+(14.496852+(0.459408-2.896596))+0-0-0</f>
        <v>5923.6596640000007</v>
      </c>
      <c r="AB88" s="3">
        <f>6998.8+(258.1-1403.8)+(-3.569388+(-0.131631--0.715938))+0-0-0</f>
        <v>5850.1149190000006</v>
      </c>
      <c r="AC88" s="3">
        <f>6949.4+(376-1725)+(3.544194+(0.19176-0.87975))+0-0-0</f>
        <v>5603.2562039999993</v>
      </c>
      <c r="AD88" s="2">
        <v>5909.7</v>
      </c>
      <c r="AE88" s="3">
        <f>7106+(196.9-1393.2)+(0+(0-0))+0-0-0</f>
        <v>5909.7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6788.3+(303.4-1907.5)+(-6.924066+(-0.309468--1.94565))+0-0-0</f>
        <v>5178.9121160000004</v>
      </c>
      <c r="G89" s="3">
        <f>6309.5+(221.4-1813.2)+(-19.30707+(-0.677484--5.548392))+0-0-0</f>
        <v>4703.2638379999999</v>
      </c>
      <c r="H89" s="3">
        <f>6356.4+(238.9-2187.4)+(-6.483528+(-0.243678--2.231148))+0-0-0</f>
        <v>4403.4039419999999</v>
      </c>
      <c r="I89" s="3">
        <f>6116.7+(223.7-2078.5)+(6.239034+(0.228174-2.12007))+0-0-0</f>
        <v>4266.2471379999997</v>
      </c>
      <c r="J89" s="3">
        <f>5993.8+(327.2-2138.9)+(12.227352+(0.667488-4.363356))+0-0-0</f>
        <v>4190.6314840000005</v>
      </c>
      <c r="K89" s="3">
        <f>5846+(376.9-2111.8)+(-5.96292+(-0.384438--2.154036))+0-0-0</f>
        <v>4106.9066780000003</v>
      </c>
      <c r="L89" s="3">
        <f>5834.4+(256.2-1959)+(14.87772+(0.65331-4.99545))+0-0-0</f>
        <v>4142.1355799999992</v>
      </c>
      <c r="M89" s="3">
        <f>6106.6+(395.8-1744.4)+(9.343098+(0.605574-2.668932))+0-0-0</f>
        <v>4765.2797399999999</v>
      </c>
      <c r="N89" s="3">
        <f>6511.8+(706.7-1585.1)+(16.60509+(1.802085-4.042005))+0-0-0</f>
        <v>5647.7651700000006</v>
      </c>
      <c r="O89" s="3">
        <f>6919.1+(882.6-1591.6)+(17.643705+(2.25063-4.05858))+0-0-0</f>
        <v>6225.9357550000004</v>
      </c>
      <c r="P89" s="3">
        <f>7212.7+(892.7-1460.4)+(7.356954+(0.910554-1.489608))+0-0-0</f>
        <v>6651.7779</v>
      </c>
      <c r="Q89" s="3">
        <f>7435.3+(895.1-1393)+(18.960015+(2.282505-3.55215))+0-0-0</f>
        <v>6955.0903700000008</v>
      </c>
      <c r="R89" s="3">
        <f>7526.2+(775.3-1233.9)+(7.676724+(0.790806-1.258578))+0-0-0</f>
        <v>7074.8089519999994</v>
      </c>
      <c r="S89" s="3">
        <f>7534.2+(619.5-1238.7)+(-3.842442+(-0.315945--0.631737))+0-0-0</f>
        <v>6911.4733500000002</v>
      </c>
      <c r="T89" s="3">
        <f>7508.9+(601.6-1074.6)+(3.829539+(0.306816-0.548046))+0-0-0</f>
        <v>7039.4883089999994</v>
      </c>
      <c r="U89" s="3">
        <f>7495.1+(608.2-1081.3)+(0+(0-0))+0-0-0</f>
        <v>7022</v>
      </c>
      <c r="V89" s="3">
        <f>7394.6+(753.6-1214.5)+(-3.771246+(-0.384336--0.619395))+0-0-0</f>
        <v>6930.163813000001</v>
      </c>
      <c r="W89" s="3">
        <f>7120.5+(907.5-1207.6)+(-21.78873+(-2.77695--3.695256))+0-0-0</f>
        <v>6799.5295759999999</v>
      </c>
      <c r="X89" s="3">
        <f>6893.7+(1032-1404.7)+(-14.063148+(-2.10528--2.865588))+0-0-0</f>
        <v>6507.6971599999997</v>
      </c>
      <c r="Y89" s="3">
        <f>6562+(935.2-1283)+(-16.7331+(-2.38476--3.27165))+0-0-0</f>
        <v>6198.3537900000001</v>
      </c>
      <c r="Z89" s="3">
        <f>6954.2+(718.5-1306.1)+(0+(0-0))+0-0-0</f>
        <v>6366.6</v>
      </c>
      <c r="AA89" s="3">
        <f>7224+(674.7-1277.4)+(-11.05272+(-1.032291--1.954422))+0-0-0</f>
        <v>6611.1694109999999</v>
      </c>
      <c r="AB89" s="3">
        <f>7158.9+(782-1509.5)+(0+(0-0))+0-0-0</f>
        <v>6431.4</v>
      </c>
      <c r="AC89" s="3">
        <f>7072.3+(879.3-1891)+(-14.427492+(-1.793772--3.85764))+0-0-0</f>
        <v>6048.2363760000007</v>
      </c>
      <c r="AD89" s="2">
        <v>6567.9000000000005</v>
      </c>
      <c r="AE89" s="3">
        <f>7186+(664.6-1282.7)+(0+(0-0))+0-0-0</f>
        <v>6567.9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6909+(626.4-2042.4)+(-14.09436+(-1.277856--4.166496))+0-0-0</f>
        <v>5481.7942800000001</v>
      </c>
      <c r="G90" s="3">
        <f>6578.3+(356.7-1942.2)+(-3.354933+(-0.181917--0.990522))+0-0-0</f>
        <v>4990.2536719999998</v>
      </c>
      <c r="H90" s="3">
        <f>6381.8+(303.1-2012.5)+(-9.764154+(-0.463743--3.079125))+0-0-0</f>
        <v>4665.2512280000001</v>
      </c>
      <c r="I90" s="3">
        <f>6334+(298.5-2108.9)+(-16.1517+(-0.761175--5.377695))+0-0-0</f>
        <v>4512.0648200000005</v>
      </c>
      <c r="J90" s="3">
        <f>6310+(262.2-2144.5)+(-3.2181+(-0.133722--1.093695))+0-0-0</f>
        <v>4425.4418729999998</v>
      </c>
      <c r="K90" s="3">
        <f>6213.6+(361.8-2246)+(-15.84468+(-0.92259--5.7273))+0-0-0</f>
        <v>4318.3600300000007</v>
      </c>
      <c r="L90" s="3">
        <f>5858.4+(478.4-2026.5)+(2.987784+(0.243984-1.033515))+0-0-0</f>
        <v>4312.4982529999988</v>
      </c>
      <c r="M90" s="3">
        <f>5749.1+(677.5-1558.2)+(8.796123+(1.036575-2.384046))+0-0-0</f>
        <v>4875.8486520000006</v>
      </c>
      <c r="N90" s="3">
        <f>6643.9+(723.2-1664.1)+(10.165167+(1.106496-2.546073))+0-0-0</f>
        <v>5711.72559</v>
      </c>
      <c r="O90" s="3">
        <f>6980.8+(829.1-1502.3)+(-3.560208+(-0.422841--0.766173))+0-0-0</f>
        <v>6304.383124</v>
      </c>
      <c r="P90" s="3">
        <f>7198+(962.1-1408.1)+(0+(0-0))+0-0-0</f>
        <v>6752</v>
      </c>
      <c r="Q90" s="3">
        <f>7201.9+(1065.7-1204.2)+(0+(0-0))+0-0-0</f>
        <v>7063.4</v>
      </c>
      <c r="R90" s="3">
        <f>7205.9+(862.8-1072.9)+(7.350018+(0.880056-1.094358))+0-0-0</f>
        <v>7002.935715999999</v>
      </c>
      <c r="S90" s="3">
        <f>7450.5+(817.1-1247.4)+(-11.399265+(-1.250163--1.908522))+0-0-0</f>
        <v>7009.4590939999998</v>
      </c>
      <c r="T90" s="3">
        <f>7390.8+(818.7-1064.2)+(-11.307924+(-1.252611--1.628226))+0-0-0</f>
        <v>7134.3676910000004</v>
      </c>
      <c r="U90" s="3">
        <f>7198.7+(829.5-916.1)+(-7.342674+(-0.84609--0.934422))+0-0-0</f>
        <v>7104.8456579999993</v>
      </c>
      <c r="V90" s="3">
        <f>7226+(896.3-1128.4)+(3.68526+(0.457113-0.575484))+0-0-0</f>
        <v>6997.4668889999994</v>
      </c>
      <c r="W90" s="3">
        <f>7229.1+(1006.5-1410.8)+(-11.060523+(-1.539945--2.158524))+0-0-0</f>
        <v>6814.358056</v>
      </c>
      <c r="X90" s="3">
        <f>7092.2+(1216.3-1773.4)+(-3.617022+(-0.620313--0.904434))+0-0-0</f>
        <v>6531.7670989999997</v>
      </c>
      <c r="Y90" s="3">
        <f>6728.9+(980-1513.7)+(-3.431739+(-0.4998--0.771987))+0-0-0</f>
        <v>6192.0404479999997</v>
      </c>
      <c r="Z90" s="3">
        <f>7111.7+(837.1-1581.4)+(-3.626967+(-0.426921--0.806514))+0-0-0</f>
        <v>6364.1526260000001</v>
      </c>
      <c r="AA90" s="3">
        <f>7314.3+(684.4-1426.7)+(-26.112051+(-2.443308--5.093319))+0-0-0</f>
        <v>6548.5379599999997</v>
      </c>
      <c r="AB90" s="3">
        <f>7063.1+(606.9-1343.3)+(-3.602181+(-0.309519--0.685083))+0-0-0</f>
        <v>6323.4733830000005</v>
      </c>
      <c r="AC90" s="3">
        <f>6982.6+(565.3-1525.8)+(-3.561126+(-0.288303--0.778158))+0-0-0</f>
        <v>6019.0287290000006</v>
      </c>
      <c r="AD90" s="2">
        <v>6455.6</v>
      </c>
      <c r="AE90" s="3">
        <f>7203+(732.6-1480)+(0+(0-0))+0-0-0</f>
        <v>6455.6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6722.4+(600.3-1751.2)+(0+(0-0))+0-0-0</f>
        <v>5571.5</v>
      </c>
      <c r="G91" s="3">
        <f>6247.9+(548.4-1709.1)+(-15.932145+(-1.39842--4.358205))+0-0-0</f>
        <v>5074.2276400000001</v>
      </c>
      <c r="H91" s="3">
        <f>6000.4+(354.3-1612.6)+(-3.060204+(-0.180693--0.822426))+0-0-0</f>
        <v>4739.6815289999995</v>
      </c>
      <c r="I91" s="3">
        <f>5868.8+(287.4-1599.6)+(0+(0-0))+0-0-0</f>
        <v>4556.6000000000004</v>
      </c>
      <c r="J91" s="3">
        <f>5862.4+(285.4-1707.8)+(-5.979648+(-0.291108--1.741956))+0-0-0</f>
        <v>4435.4712</v>
      </c>
      <c r="K91" s="3">
        <f>5780+(423.4-1890.7)+(-14.739+(-1.07967--4.821285))+0-0-0</f>
        <v>4301.7026150000002</v>
      </c>
      <c r="L91" s="3">
        <f>5546.5+(520.1-1925.4)+(-5.65743+(-0.530502--1.963908))+0-0-0</f>
        <v>4136.9759759999997</v>
      </c>
      <c r="M91" s="3">
        <f>5589.5+(612.4-1976.6)+(0+(0-0))+0-0-0</f>
        <v>4225.3</v>
      </c>
      <c r="N91" s="3">
        <f>5821.9+(632-1888.3)+(-5.938338+(-0.64464--1.926066))+0-0-0</f>
        <v>4560.9430879999991</v>
      </c>
      <c r="O91" s="3">
        <f>6180.7+(537.9-1698.7)+(6.304314+(0.548658-1.732674))+0-0-0</f>
        <v>5025.0202979999995</v>
      </c>
      <c r="P91" s="3">
        <f>6280.7+(502.9-1237.7)+(3.203157+(0.256479-0.631227))+0-0-0</f>
        <v>5548.7284089999994</v>
      </c>
      <c r="Q91" s="3">
        <f>6410.9+(605.9-1124.3)+(6.539118+(0.618018-1.146786))+0-0-0</f>
        <v>5898.5103499999996</v>
      </c>
      <c r="R91" s="3">
        <f>6406.1+(867.2-1246.8)+(3.267111+(0.442272-0.635868))+0-0-0</f>
        <v>6029.573515</v>
      </c>
      <c r="S91" s="3">
        <f>6323.4+(1023.1-1400.1)+(-6.449868+(-1.043562--1.428102))+0-0-0</f>
        <v>5940.334672</v>
      </c>
      <c r="T91" s="3">
        <f>6305.4+(1061-1416.3)+(-9.647262+(-1.62333--2.166939))+0-0-0</f>
        <v>5940.9963469999993</v>
      </c>
      <c r="U91" s="3">
        <f>6315.4+(1221.2-1634.8)+(-3.220854+(-0.622812--0.833748))+0-0-0</f>
        <v>5898.7900819999995</v>
      </c>
      <c r="V91" s="3">
        <f>6339.5+(1305.5-1823.4)+(6.46629+(1.33161-1.859868))+0-0-0</f>
        <v>5827.5380320000004</v>
      </c>
      <c r="W91" s="3">
        <f>6301.3+(1281.3-1827.3)+(-6.427326+(-1.306926--1.863846))+0-0-0</f>
        <v>5749.4295940000002</v>
      </c>
      <c r="X91" s="3">
        <f>6206.6+(1393.8-1939)+(-12.661464+(-2.843352--3.95556))+0-0-0</f>
        <v>5649.8507440000003</v>
      </c>
      <c r="Y91" s="3">
        <f>6068.5+(1229.9-1757.9)+(-6.18987+(-1.254498--1.793058))+0-0-0</f>
        <v>5534.8486899999998</v>
      </c>
      <c r="Z91" s="3">
        <f>6493.7+(1027.2-1835.5)+(0+(0-0))+6.8-0-0</f>
        <v>5692.2</v>
      </c>
      <c r="AA91" s="3">
        <f>6861.9+(969.3-1922.5)+(-13.998276+(-1.977372--3.9219))+0-0-0</f>
        <v>5896.6462519999995</v>
      </c>
      <c r="AB91" s="3">
        <f>6624.1+(953.5-1887.7)+(-13.513164+(-1.94514--3.850908))+0-0-0</f>
        <v>5678.2926040000002</v>
      </c>
      <c r="AC91" s="3">
        <f>6359+(978.4-1967.3)+(-3.24309+(-0.498984--1.003323))+0-0-0</f>
        <v>5367.3612490000005</v>
      </c>
      <c r="AD91" s="2">
        <v>5928.2000000000007</v>
      </c>
      <c r="AE91" s="3">
        <f>6807+(961.1-1839.9)+(0+(0-0))+0-0-0</f>
        <v>5928.2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6070.5+(865.9-1970.8)+(-6.19191+(-0.883218--2.010216))+0-0-0</f>
        <v>4960.5350880000005</v>
      </c>
      <c r="G92" s="3">
        <f>5684.1+(871.7-2087.7)+(-11.595564+(-1.778268--4.258908))+0-0-0</f>
        <v>4458.9850759999999</v>
      </c>
      <c r="H92" s="3">
        <f>5711.9+(792-2344.8)+(-8.739207+(-1.21176--3.587544))+0-0-0</f>
        <v>4152.7365769999997</v>
      </c>
      <c r="I92" s="3">
        <f>5585.5+(705.1-2250.6)+(-11.39442+(-1.438404--4.591224))+0-0-0</f>
        <v>4031.7584000000002</v>
      </c>
      <c r="J92" s="3">
        <f>5563.2+(616.7-2204)+(2.837232+(0.314517-1.12404))+0-0-0</f>
        <v>3977.9277089999996</v>
      </c>
      <c r="K92" s="3">
        <f>5423.6+(599.4-2076.9)+(-11.064144+(-1.222776--4.236876))+0-0-0</f>
        <v>3938.0499560000003</v>
      </c>
      <c r="L92" s="3">
        <f>5488.7+(643.2-2146.5)+(11.196948+(1.312128-4.37886))+0-0-0</f>
        <v>3993.5302159999997</v>
      </c>
      <c r="M92" s="3">
        <f>5905.7+(692.5-2023.6)+(0+(0-0))+0-0-0</f>
        <v>4574.6000000000004</v>
      </c>
      <c r="N92" s="3">
        <f>6608.4+(796.6-2065.6)+(6.740568+(0.812532-2.106912))+0-0-0</f>
        <v>5344.8461879999995</v>
      </c>
      <c r="O92" s="3">
        <f>6775+(1051.5-1941.9)+(0+(0-0))+0-0-0</f>
        <v>5884.6</v>
      </c>
      <c r="P92" s="3">
        <f>6790.3+(1436.3-1901.6)+(6.926106+(1.465026-1.939632))+0-0-0</f>
        <v>6331.4515000000001</v>
      </c>
      <c r="Q92" s="3">
        <f>6775.4+(1537.9-1616)+(3.455454+(0.784329-0.82416))+0-0-0</f>
        <v>6700.7156229999991</v>
      </c>
      <c r="R92" s="3">
        <f>6770.5+(1421.3-1420)+(3.452955+(0.724863-0.7242))+0-0-0</f>
        <v>6775.2536179999997</v>
      </c>
      <c r="S92" s="3">
        <f>6648.5+(1386.5-1416.6)+(-16.953675+(-3.535575--3.61233))+0-0-0</f>
        <v>6601.5230799999999</v>
      </c>
      <c r="T92" s="3">
        <f>6617.1+(1481.4-1325)+(-6.749442+(-1.511028--1.3515))+0-0-0</f>
        <v>6766.5910299999996</v>
      </c>
      <c r="U92" s="3">
        <f>6575.4+(1536.4-1328.6)+(-16.76727+(-3.91782--3.38793))+0-0-0</f>
        <v>6765.9028399999997</v>
      </c>
      <c r="V92" s="3">
        <f>6496.7+(1683.6-1519.4)+(-6.626634+(-1.717272--1.549788))+0-0-0</f>
        <v>6654.1058819999998</v>
      </c>
      <c r="W92" s="3">
        <f>6320.8+(1627.9-1521.1)+(-16.11804+(-4.151145--3.878805))+0-0-0</f>
        <v>6411.2096200000005</v>
      </c>
      <c r="X92" s="3">
        <f>6312.7+(1427.2-1627.5)+(-16.097385+(-3.63936--4.150125))+23.5-0-0</f>
        <v>6120.3133799999996</v>
      </c>
      <c r="Y92" s="3">
        <f>6341.7+(1249.7-1801.9)+(-12.937068+(-2.549388--3.675876))+1.1-0-0</f>
        <v>5778.7894200000001</v>
      </c>
      <c r="Z92" s="3">
        <f>6590.9+(1181.1-1816.9)+(0+(0-0))+0-0-0</f>
        <v>5955.0999999999995</v>
      </c>
      <c r="AA92" s="3">
        <f>6793.8+(1120.9-1799.6)+(-20.789028+(-3.429954--5.506776))+0-0-0</f>
        <v>6096.3877940000002</v>
      </c>
      <c r="AB92" s="3">
        <f>6711.1+(1205.6-2058)+(-13.690644+(-2.459424--4.19832))+0-0-0</f>
        <v>5846.7482520000003</v>
      </c>
      <c r="AC92" s="3">
        <f>6448.2+(1157.6-2155)+(-6.577164+(-1.180752--2.1981))+0-0-0</f>
        <v>5445.2401839999993</v>
      </c>
      <c r="AD92" s="2">
        <v>5932.2999999999993</v>
      </c>
      <c r="AE92" s="3">
        <f>6760+(1213.4-2041.1)+(0+(0-0))+0-0-0</f>
        <v>5932.3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5992.9+(1010.1-2087)+(-9.169137+(-1.545453--3.19311))+0-0-0</f>
        <v>4908.4785199999997</v>
      </c>
      <c r="G93" s="3">
        <f>5850.3+(816.5-2229.6)+(-11.934612+(-1.66566--4.548384))+0-0-0</f>
        <v>4428.1481120000008</v>
      </c>
      <c r="H93" s="3">
        <f>5742.3+(718.7-2322.6)+(-8.785719+(-1.099611--3.553578))+0-0-0</f>
        <v>4132.0682480000005</v>
      </c>
      <c r="I93" s="3">
        <f>5530.8+(693.9-2258.5)+(-2.820708+(-0.353889--1.151835))+0-0-0</f>
        <v>3964.1772380000002</v>
      </c>
      <c r="J93" s="3">
        <f>5482.4+(640.1-2198.3)+(-5.592048+(-0.652902--2.242266))+0-0-0</f>
        <v>3920.1973159999993</v>
      </c>
      <c r="K93" s="3">
        <f>5245+(717.9-2085.8)+(-5.3499+(-0.732258--2.127516))+0-0-0</f>
        <v>3873.1453579999998</v>
      </c>
      <c r="L93" s="3">
        <f>5258.1+(724.3-2082.1)+(0+(0-0))+0-0-0</f>
        <v>3900.3</v>
      </c>
      <c r="M93" s="3">
        <f>5415.8+(872.4-1897.4)+(2.762058+(0.444924-0.967674))+0-0-0</f>
        <v>4393.0393080000003</v>
      </c>
      <c r="N93" s="3">
        <f>5894+(1217.2-2024.3)+(6.01188+(1.241544-2.064786))+0-0-0</f>
        <v>5092.0886379999993</v>
      </c>
      <c r="O93" s="3">
        <f>6214.7+(1362.3-1994.9)+(6.338994+(1.389546-2.034798))+0-0-0</f>
        <v>5587.7937419999998</v>
      </c>
      <c r="P93" s="3">
        <f>6481.1+(1311.5-1834.7)+(0+(0-0))+0-0-0</f>
        <v>5957.9000000000005</v>
      </c>
      <c r="Q93" s="3">
        <f>6698.9+(1391.1-1834.6)+(0+(0-0))+0-0-0</f>
        <v>6255.4</v>
      </c>
      <c r="R93" s="3">
        <f>6629.7+(1336.6-1637.2)+(-16.905735+(-3.40833--4.17486))+0-0-0</f>
        <v>6312.9607949999991</v>
      </c>
      <c r="S93" s="3">
        <f>6592.9+(1345.2-1775.8)+(-16.811895+(-3.43026--4.52829))+0-0-0</f>
        <v>6146.5861349999996</v>
      </c>
      <c r="T93" s="3">
        <f>6545.6+(1393.9-1495.4)+(-3.338256+(-0.710889--0.762654))+0-0-0</f>
        <v>6440.8135090000005</v>
      </c>
      <c r="U93" s="3">
        <f>6476.9+(1332.3-1516.7)+(-13.212876+(-2.717892--3.094068))+0-0-0</f>
        <v>6279.6633000000002</v>
      </c>
      <c r="V93" s="3">
        <f>6436.8+(1348.1-1573.1)+(-13.131072+(-2.750124--3.209124))+0-0-0</f>
        <v>6199.1279279999999</v>
      </c>
      <c r="W93" s="3">
        <f>6236.4+(1269.7-1403.8)+(-15.90282+(-3.237735--3.57969))+0-0-0</f>
        <v>6086.7391349999989</v>
      </c>
      <c r="X93" s="3">
        <f>6101.2+(1043.7-1269.3)+(-15.55806+(-2.661435--3.236715))+0-0-0</f>
        <v>5860.6172200000001</v>
      </c>
      <c r="Y93" s="3">
        <f>5869.4+(882.1-1100.8)+(-2.993394+(-0.449871--0.561408))+0-0-0</f>
        <v>5647.8181429999995</v>
      </c>
      <c r="Z93" s="3">
        <f>6204.3+(890.4-1283.5)+(0+(0-0))+0-0-0</f>
        <v>5811.2</v>
      </c>
      <c r="AA93" s="3">
        <f>6623+(1067.6-1740.5)+(-13.51092+(-2.177904--3.55062))+0-0-0</f>
        <v>5937.9617960000005</v>
      </c>
      <c r="AB93" s="3">
        <f>6444.6+(1024.9-1754.6)+(-9.860238+(-1.568097--2.684538))+0-0-0</f>
        <v>5706.1562030000005</v>
      </c>
      <c r="AC93" s="3">
        <f>6315.9+(1017.8-2005.8)+(-6.442218+(-1.038156--2.045916))+0-0-0</f>
        <v>5322.4655419999999</v>
      </c>
      <c r="AD93" s="2">
        <v>5846</v>
      </c>
      <c r="AE93" s="3">
        <f>6675+(1141-1970)+(0+(0-0))+0-0-0</f>
        <v>5846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6052.4+(911.3-2160.2)+(-6.173448+(-0.929526--2.203404))+0-0-0</f>
        <v>4798.6004300000004</v>
      </c>
      <c r="G94" s="3">
        <f>5922+(694.4-2232.2)+(-6.04044+(-0.708288--2.276844))+0-0-0</f>
        <v>4379.7281160000011</v>
      </c>
      <c r="H94" s="3">
        <f>5867.9+(599.8-2342.7)+(5.985258+(0.611796-2.389554))+0-0-0</f>
        <v>4129.2075000000004</v>
      </c>
      <c r="I94" s="3">
        <f>5794.3+(636-2429.6)+(-5.910186+(-0.64872--2.478192))+0-0-0</f>
        <v>3996.6192860000001</v>
      </c>
      <c r="J94" s="3">
        <f>5731.8+(764.1-2564.5)+(8.769654+(1.169073-3.923685))+0-0-0</f>
        <v>3937.4150420000001</v>
      </c>
      <c r="K94" s="3">
        <f>5553.8+(737.7-2432.6)+(-14.16219+(-1.881135--6.20313))+0-0-0</f>
        <v>3849.0598050000003</v>
      </c>
      <c r="L94" s="3">
        <f>5431.9+(670.6-2279.1)+(-2.770269+(-0.342006--1.162341))+0-0-0</f>
        <v>3821.4500659999994</v>
      </c>
      <c r="M94" s="3">
        <f>5690.2+(683-2144.5)+(5.804004+(0.69666-2.18739))+0-0-0</f>
        <v>4233.0132739999999</v>
      </c>
      <c r="N94" s="3">
        <f>6031.4+(966.8-2169.1)+(6.152028+(0.986136-2.212482))+0-0-0</f>
        <v>4834.0256819999995</v>
      </c>
      <c r="O94" s="3">
        <f>6213+(1174.9-2061.4)+(3.16863+(0.599199-1.051314))+0-0-0</f>
        <v>5329.2165150000001</v>
      </c>
      <c r="P94" s="3">
        <f>6354.2+(1245.1-1855)+(0+(0-0))+0-0-0</f>
        <v>5744.2999999999993</v>
      </c>
      <c r="Q94" s="3">
        <f>6439.7+(1273.6-1728.3)+(9.852741+(1.948608-2.644299))+0-0-0</f>
        <v>5994.1570499999998</v>
      </c>
      <c r="R94" s="3">
        <f>6430.5+(1199-1574.9)+(6.55911+(1.22298-1.606398))+0-0-0</f>
        <v>6060.7756920000002</v>
      </c>
      <c r="S94" s="3">
        <f>6457.7+(1148.1-1771.9)+(-13.173708+(-2.342124--3.614676))+0-0-0</f>
        <v>5821.9988439999997</v>
      </c>
      <c r="T94" s="3">
        <f>6520.2+(1173.5-1907.7)+(-13.301208+(-2.39394--3.891708))+0-0-0</f>
        <v>5774.1965600000003</v>
      </c>
      <c r="U94" s="3">
        <f>6542.8+(1159.7-2019.3)+(-3.336828+(-0.591447--1.029843))+0-0-0</f>
        <v>5680.3015680000008</v>
      </c>
      <c r="V94" s="3">
        <f>6542.1+(1072.4-2015.1)+(-10.009413+(-1.640772--3.083103))+0-0-0</f>
        <v>5590.832918000001</v>
      </c>
      <c r="W94" s="3">
        <f>6570.7+(1133.2-2159.8)+(-16.755285+(-2.88966--5.50749))+0-0-0</f>
        <v>5529.9625449999994</v>
      </c>
      <c r="X94" s="3">
        <f>6520.6+(1105.2-2207.5)+(-16.62753+(-2.81826--5.629125))+0-0-0</f>
        <v>5404.4833349999999</v>
      </c>
      <c r="Y94" s="3">
        <f>5975.4+(1019.1-1722.4)+(-3.047454+(-0.519741--0.878424))+0-0-0</f>
        <v>5269.4112289999994</v>
      </c>
      <c r="Z94" s="3">
        <f>6185.6+(1047.4-1742.8)+(9.463968+(1.602522-2.666484))+0-0-0</f>
        <v>5498.6000060000006</v>
      </c>
      <c r="AA94" s="3">
        <f>6447.7+(1044.4-1781.8)+(-9.864981+(-1.597932--2.726154))+0-0-0</f>
        <v>5701.5632409999998</v>
      </c>
      <c r="AB94" s="3">
        <f>6148+(1159.4-1790.8)+(-15.6774+(-2.95647--4.56654))+0-0-0</f>
        <v>5502.5326700000005</v>
      </c>
      <c r="AC94" s="3">
        <f>6088+(1170.5-2025.2)+(-9.31464+(-1.790865--3.098556))+0-0-0</f>
        <v>5225.2930510000006</v>
      </c>
      <c r="AD94" s="2">
        <v>5686.3</v>
      </c>
      <c r="AE94" s="3">
        <f>6447+(1049.8-1810.5)+(0+(0-0))+0-0-0</f>
        <v>5686.3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6014.7+(1023.9-2173.9)+(-6.134994+(-1.044378--2.217378))+0-0-0</f>
        <v>4859.7380059999996</v>
      </c>
      <c r="G95" s="3">
        <f>5696+(670.5-1880.1)+(-11.61984+(-1.36782--3.835404))+0-0-0</f>
        <v>4477.2477439999993</v>
      </c>
      <c r="H95" s="3">
        <f>5463.8+(531.1-1831.3)+(-5.573076+(-0.541722--1.867926))+0-0-0</f>
        <v>4159.3531280000007</v>
      </c>
      <c r="I95" s="3">
        <f>5501.9+(584.3-2106.6)+(0+(0-0))+0-0-0</f>
        <v>3979.5999999999995</v>
      </c>
      <c r="J95" s="3">
        <f>5490.2+(575.6-2157.1)+(-11.200008+(-1.174224--4.400484))+0-0-0</f>
        <v>3900.7262519999999</v>
      </c>
      <c r="K95" s="3">
        <f>5413.6+(655.1-2294.1)+(-13.80468+(-1.670505--5.849955))+0-0-0</f>
        <v>3764.9747700000003</v>
      </c>
      <c r="L95" s="3">
        <f>5255+(677.9-2353.6)+(-13.40025+(-1.728645--6.00168))+0-0-0</f>
        <v>3570.1727850000002</v>
      </c>
      <c r="M95" s="3">
        <f>5046.5+(637.5-2111.4)+(-7.721145+(-0.975375--3.230442))+0-0-0</f>
        <v>3567.133922</v>
      </c>
      <c r="N95" s="3">
        <f>5323.9+(619-2162)+(-2.715189+(-0.31569--1.10262))+0-0-0</f>
        <v>3778.9717409999998</v>
      </c>
      <c r="O95" s="3">
        <f>5816.6+(534.4-2219.3)+(-5.932932+(-0.545088--2.263686))+0-0-0</f>
        <v>4127.4856660000005</v>
      </c>
      <c r="P95" s="3">
        <f>5860.9+(683-2013)+(2.989059+(0.34833-1.02663))+0-0-0</f>
        <v>4533.2107589999996</v>
      </c>
      <c r="Q95" s="3">
        <f>6365.8+(848.6-2346.2)+(-3.246558+(-0.432786--1.196562))+0-0-0</f>
        <v>4865.7172180000007</v>
      </c>
      <c r="R95" s="3">
        <f>6508.9+(782.1-2213.5)+(-9.958617+(-1.196613--3.386655))+0-0-0</f>
        <v>5069.7314249999999</v>
      </c>
      <c r="S95" s="3">
        <f>6402.1+(750.7-2062.7)+(-9.795213+(-1.148571--3.155931))+0-0-0</f>
        <v>5082.3121470000006</v>
      </c>
      <c r="T95" s="3">
        <f>6341.2+(718.2-1993.9)+(-3.234012+(-0.366282--1.016889))+0-0-0</f>
        <v>5062.9165949999997</v>
      </c>
      <c r="U95" s="3">
        <f>6322.5+(726.7-2054.1)+(-6.44895+(-0.741234--2.095182))+0-0-0</f>
        <v>4990.0049980000003</v>
      </c>
      <c r="V95" s="3">
        <f>6306.8+(728.6-2041.1)+(-9.649404+(-1.114758--3.122883))+0-0-0</f>
        <v>4986.6587209999998</v>
      </c>
      <c r="W95" s="3">
        <f>6285.1+(756.8-2018.6)+(-12.821604+(-1.543872--4.117944))+0-0-0</f>
        <v>5013.0524679999999</v>
      </c>
      <c r="X95" s="3">
        <f>6321.8+(846.6-2187.9)+(-9.672354+(-1.295298--3.347487))+0-0-0</f>
        <v>4972.8798349999997</v>
      </c>
      <c r="Y95" s="3">
        <f>6255.8+(840.9-2094.1)+(-12.761832+(-1.715436--4.271964))+0-0-0</f>
        <v>4992.3946960000003</v>
      </c>
      <c r="Z95" s="3">
        <f>6480.7+(878.7-2140.1)+(0+(0-0))+0-0-0</f>
        <v>5219.3</v>
      </c>
      <c r="AA95" s="3">
        <f>6641+(925.1-2055.7)+(3.38691+(0.471801-1.048407))+0-0-0</f>
        <v>5513.2103039999993</v>
      </c>
      <c r="AB95" s="3">
        <f>6550.1+(913-2015.7)+(-13.362204+(-1.86252--4.112028))+0-0-0</f>
        <v>5436.2873040000004</v>
      </c>
      <c r="AC95" s="3">
        <f>6543.6+(834.5-2126.2)+(-10.011708+(-1.276785--3.253086))+0-0-0</f>
        <v>5243.8645930000002</v>
      </c>
      <c r="AD95" s="2">
        <v>5548.1</v>
      </c>
      <c r="AE95" s="3">
        <f>6574+(967.1-2038)+(0+(0-0))+0-0-0</f>
        <v>5503.1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6460.9+(746.3-2322)+(-6.590118+(-0.761226--2.36844))+0-0-0</f>
        <v>4880.2170959999994</v>
      </c>
      <c r="G96" s="3">
        <f>6093.6+(470.8-2120.9)+(-3.107736+(-0.240108--1.081659))+0-0-0</f>
        <v>4441.2338149999996</v>
      </c>
      <c r="H96" s="3">
        <f>5900.2+(475.3-2239)+(-6.018204+(-0.484806--2.28378))+0-0-0</f>
        <v>4132.2807700000003</v>
      </c>
      <c r="I96" s="3">
        <f>5739.1+(367.3-2105.2)+(-5.853882+(-0.374646--2.147304))+0-0-0</f>
        <v>3997.1187760000007</v>
      </c>
      <c r="J96" s="3">
        <f>5675.8+(410.2-2133.3)+(-8.683974+(-0.627606--3.263949))+0-0-0</f>
        <v>3946.6523689999999</v>
      </c>
      <c r="K96" s="3">
        <f>5624.5+(482.1-2200)+(-14.342475+(-1.229355--5.61))+0-0-0</f>
        <v>3896.6381699999997</v>
      </c>
      <c r="L96" s="3">
        <f>5487.5+(506.5-2044.6)+(5.59725+(0.51663-2.085492))+0-0-0</f>
        <v>3953.4283880000003</v>
      </c>
      <c r="M96" s="3">
        <f>5805.3+(666.6-1885.7)+(0+(0-0))+0-0-0</f>
        <v>4586.2000000000007</v>
      </c>
      <c r="N96" s="3">
        <f>6194.9+(879.9-1654.7)+(6.318798+(0.897498-1.687794))+0-0-0</f>
        <v>5425.6285019999996</v>
      </c>
      <c r="O96" s="3">
        <f>6554.7+(1033.8-1540.9)+(0+(0-0))+0-0-0</f>
        <v>6047.5999999999995</v>
      </c>
      <c r="P96" s="3">
        <f>6574.8+(1018.8-1069.2)+(3.353148+(0.519588-0.545292))+0-0-0</f>
        <v>6527.7274439999992</v>
      </c>
      <c r="Q96" s="3">
        <f>6574.9+(991.8-652.3)+(6.706398+(1.011636-0.665346))+0-0-0</f>
        <v>6921.4526879999994</v>
      </c>
      <c r="R96" s="3">
        <f>6659+(1078.4-679.9)+(0+(0-0))+0-0-0</f>
        <v>7057.5</v>
      </c>
      <c r="S96" s="3">
        <f>6680.4+(1105.2-896.2)+(-3.407004+(-0.563652--0.457062))+0-0-0</f>
        <v>6885.8864059999996</v>
      </c>
      <c r="T96" s="3">
        <f>6682.8+(1047.5-727.7)+(-6.816456+(-1.06845--0.742254))+0-0-0</f>
        <v>6995.4573479999999</v>
      </c>
      <c r="U96" s="3">
        <f>6669.5+(1024.9-707.7)+(6.80289+(1.045398-0.721854))+0-0-0</f>
        <v>6993.8264339999996</v>
      </c>
      <c r="V96" s="3">
        <f>6606.3+(1058.6-771.8)+(-10.107639+(-1.619658--1.180854))+0-0-0</f>
        <v>6882.5535570000002</v>
      </c>
      <c r="W96" s="3">
        <f>6591.5+(1084.7-947.3)+(-16.808325+(-2.765985--2.415615))+0-0-0</f>
        <v>6711.7413049999996</v>
      </c>
      <c r="X96" s="3">
        <f>6627.8+(1171.4-1339.2)+(-13.520712+(-2.389656--2.731968))+0-0-0</f>
        <v>6446.8216000000002</v>
      </c>
      <c r="Y96" s="3">
        <f>6659.2+(1058.4-1515.9)+(-13.584768+(-2.159136--3.092436))+0-0-0</f>
        <v>6189.0485319999998</v>
      </c>
      <c r="Z96" s="3">
        <f>6811.9+(930.9-1326)+(6.948138+(0.949518-1.35252))+0-0-0</f>
        <v>6423.345135999999</v>
      </c>
      <c r="AA96" s="3">
        <f>6910.6+(800.4-1093.9)+(-10.573218+(-1.224612--1.673667))+0-0-0</f>
        <v>6606.975837</v>
      </c>
      <c r="AB96" s="3">
        <f>6871.3+(900.3-1374.1)+(3.504363+(0.459153-0.700791))+0-0-0</f>
        <v>6400.7627249999996</v>
      </c>
      <c r="AC96" s="3">
        <f>6829.5+(970.6-1807.8)+(3.483045+(0.495006-0.921978))+0-0-0</f>
        <v>5995.3560729999999</v>
      </c>
      <c r="AD96" s="2">
        <v>6622.4</v>
      </c>
      <c r="AE96" s="3">
        <f>6897+(825.3-1099.9)+(0+(0-0))+0-0-0</f>
        <v>6622.4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6796.8+(891.2-2152.3)+(-13.865472+(-1.818048--4.390692))+0-0-0</f>
        <v>5524.4071720000002</v>
      </c>
      <c r="G97" s="3">
        <f>6461.8+(748.3-2194.7)+(-9.886554+(-1.144899--3.357891))+0-0-0</f>
        <v>5007.7264380000006</v>
      </c>
      <c r="H97" s="3">
        <f>6039.6+(782.7-2126.7)+(3.080196+(0.399177-1.084617))+0-0-0</f>
        <v>4697.9947560000001</v>
      </c>
      <c r="I97" s="3">
        <f>6053.1+(660.3-2170.8)+(12.348324+(1.347012-4.428432))+0-0-0</f>
        <v>4551.8669040000004</v>
      </c>
      <c r="J97" s="3">
        <f>5989.4+(654.6-2170.7)+(-15.27297+(-1.66923--5.535285))+0-0-0</f>
        <v>4461.8930849999997</v>
      </c>
      <c r="K97" s="3">
        <f>5692.9+(796-2111)+(-14.516895+(-2.0298--5.38305))+0-0-0</f>
        <v>4366.736355</v>
      </c>
      <c r="L97" s="3">
        <f>5521.5+(629-1796.4)+(-8.447895+(-0.96237--2.748492))+0-0-0</f>
        <v>4347.4382270000006</v>
      </c>
      <c r="M97" s="3">
        <f>5983+(718.5-1856.6)+(9.15399+(1.099305-2.840598))+0-0-0</f>
        <v>4852.3126969999994</v>
      </c>
      <c r="N97" s="3">
        <f>6689.3+(1059.3-2130.1)+(3.411543+(0.540243-1.086351))+0-0-0</f>
        <v>5621.3654349999997</v>
      </c>
      <c r="O97" s="3">
        <f>6760.4+(1145.2-1710)+(3.447804+(0.584052-0.8721))+0-0-0</f>
        <v>6198.7597559999995</v>
      </c>
      <c r="P97" s="3">
        <f>6768.3+(1082.2-1216.1)+(10.355499+(1.655766-1.860633))+0-0-0</f>
        <v>6644.5506320000004</v>
      </c>
      <c r="Q97" s="3">
        <f>6869.1+(956.8-916.5)+(0+(0-0))+0-0-0</f>
        <v>6909.4000000000005</v>
      </c>
      <c r="R97" s="3">
        <f>7225.8+(950.8-1046.8)+(-14.740632+(-1.939632--2.135472))+0-0-0</f>
        <v>7115.2552080000005</v>
      </c>
      <c r="S97" s="3">
        <f>7304.3+(1145.8-1458.7)+(-14.900772+(-2.337432--2.975748))+0-0-0</f>
        <v>6977.1375439999993</v>
      </c>
      <c r="T97" s="3">
        <f>7308.9+(1174.5-1392.1)+(0+(0-0))+0-0-0</f>
        <v>7091.2999999999993</v>
      </c>
      <c r="U97" s="3">
        <f>7328.7+(1183.3-1482.2)+(-3.737637+(-0.603483--0.755922))+0-0-0</f>
        <v>7026.2148019999995</v>
      </c>
      <c r="V97" s="3">
        <f>7285.2+(1195.1-1548)+(-11.146356+(-1.828503--2.36844))+0-0-0</f>
        <v>6921.6935809999995</v>
      </c>
      <c r="W97" s="3">
        <f>7251.3+(1026.5-1480.4)+(-18.490815+(-2.617575--3.77502))+0-0-0</f>
        <v>6780.0666299999993</v>
      </c>
      <c r="X97" s="3">
        <f>7155.9+(1085.7-1751.4)+(-14.598036+(-2.214828--3.572856))+0-0-0</f>
        <v>6476.9599920000001</v>
      </c>
      <c r="Y97" s="3">
        <f>6897.4+(998.2-1709.9)+(-14.070696+(-2.036328--3.488196))+0-0-0</f>
        <v>6173.0811720000002</v>
      </c>
      <c r="Z97" s="3">
        <f>7113.7+(892.8-1678.1)+(3.627987+(0.455328-0.855831))+0-0-0</f>
        <v>6331.6274839999996</v>
      </c>
      <c r="AA97" s="3">
        <f>7628.8+(835.2-1884.7)+(-3.890688+(-0.425952--0.961197))+0-0-0</f>
        <v>6575.9445569999998</v>
      </c>
      <c r="AB97" s="3">
        <f>7497.6+(894-2050.5)+(-19.11888+(-2.2797--5.228775))+0-0-0</f>
        <v>6324.9301949999999</v>
      </c>
      <c r="AC97" s="3">
        <f>7325.6+(836.4-2187.1)+(-7.472112+(-0.853128--2.230842))+0-0-0</f>
        <v>5968.8056020000004</v>
      </c>
      <c r="AD97" s="2">
        <v>6553</v>
      </c>
      <c r="AE97" s="3">
        <f>7657+(865.9-1969.9)+(0+(0-0))+0-0-0</f>
        <v>6553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7015.5+(520.8-2096)+(-14.31162+(-1.062432--4.27584))+0-0-0</f>
        <v>5429.2017880000003</v>
      </c>
      <c r="G98" s="3">
        <f>6741.4+(543.9-2305)+(-10.314342+(-0.832167--3.52665))+0-0-0</f>
        <v>4972.6801409999989</v>
      </c>
      <c r="H98" s="3">
        <f>6675.4+(499.7-2527.6)+(-13.617816+(-1.019388--5.156304))+0-0-0</f>
        <v>4638.0191000000004</v>
      </c>
      <c r="I98" s="3">
        <f>6501+(465-2502.4)+(-3.31551+(-0.23715--1.276224))+0-0-0</f>
        <v>4461.3235640000003</v>
      </c>
      <c r="J98" s="3">
        <f>6373.7+(351.6-2344.1)+(-13.002348+(-0.717264--4.781964))+0-0-0</f>
        <v>4372.2623519999997</v>
      </c>
      <c r="K98" s="3">
        <f>6279.8+(404.1-2393.6)+(-16.01349+(-1.030455--6.10368))+0-0-0</f>
        <v>4279.359735</v>
      </c>
      <c r="L98" s="3">
        <f>6187+(432.2-2347.9)+(-9.46611+(-0.661266--3.592287))+0-0-0</f>
        <v>4264.7649110000002</v>
      </c>
      <c r="M98" s="3">
        <f>6540.8+(608.4-2337.3)+(6.671616+(0.620568-2.384046))+0-0-0</f>
        <v>4816.8081379999994</v>
      </c>
      <c r="N98" s="3">
        <f>6952.1+(754.2-2186.1)+(7.091142+(0.769284-2.229822))+0-0-0</f>
        <v>5525.8306040000007</v>
      </c>
      <c r="O98" s="3">
        <f>7157.7+(892.9-1969)+(0+(0-0))+0-0-0</f>
        <v>6081.6</v>
      </c>
      <c r="P98" s="3">
        <f>7314+(928.6-1750.2)+(0+(0-0))+0-0-0</f>
        <v>6492.4</v>
      </c>
      <c r="Q98" s="3">
        <f>7421.1+(972.4-1597.3)+(7.569522+(0.991848-1.629246))+0-0-0</f>
        <v>6803.1321240000007</v>
      </c>
      <c r="R98" s="3">
        <f>7394.7+(1068.1-1555)+(11.313891+(1.634193-2.37915))+0-0-0</f>
        <v>6918.3689339999992</v>
      </c>
      <c r="S98" s="3">
        <f>7298.4+(992.6-1501.4)+(-14.888736+(-2.024904--3.062856))+0-0-0</f>
        <v>6775.7492159999993</v>
      </c>
      <c r="T98" s="3">
        <f>7500.8+(993.7-1602.1)+(3.825408+(0.506787-0.817071))+0-0-0</f>
        <v>6895.9151240000001</v>
      </c>
      <c r="U98" s="3">
        <f>7506.8+(950.9-1562.5)+(-19.14234+(-2.424795--3.984375))+0-0-0</f>
        <v>6877.6172399999996</v>
      </c>
      <c r="V98" s="3">
        <f>7364.5+(962.4-1485)+(-15.02358+(-1.963296--3.0294))+0-0-0</f>
        <v>6827.942524</v>
      </c>
      <c r="W98" s="3">
        <f>7088.4+(971-1340.2)+(-21.690504+(-2.97126--4.101012))+0-0-0</f>
        <v>6698.6392479999995</v>
      </c>
      <c r="X98" s="3">
        <f>6942.5+(1036.9-1554.4)+(-21.24405+(-3.172914--4.756464))+0-0-0</f>
        <v>6405.3395</v>
      </c>
      <c r="Y98" s="3">
        <f>6555.4+(977-1396.2)+(-16.71627+(-2.49135--3.56031))+0-0-0</f>
        <v>6120.5526899999995</v>
      </c>
      <c r="Z98" s="3">
        <f>7035.1+(800.5-1488)+(-3.587901+(-0.408255--0.75888))+0-0-0</f>
        <v>6344.3627240000005</v>
      </c>
      <c r="AA98" s="3">
        <f>7432.3+(655.1-1501.6)+(-7.580946+(-0.668202--1.531632))+0-0-0</f>
        <v>6579.0824840000005</v>
      </c>
      <c r="AB98" s="3">
        <f>7049.3+(715.6-1400.8)+(-3.595143+(-0.364956--0.714408))+0-0-0</f>
        <v>6360.8543090000003</v>
      </c>
      <c r="AC98" s="3">
        <f>6701+(647.1-1357.7)+(-6.83502+(-0.660042--1.384854))+0-0-0</f>
        <v>5984.2897919999996</v>
      </c>
      <c r="AD98" s="2">
        <v>6532.2000000000007</v>
      </c>
      <c r="AE98" s="3">
        <f>7343+(768.1-1578.9)+(0+(0-0))+0-0-0</f>
        <v>6532.2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6661.4+(621.5-1827.4)+(-13.589256+(-1.26786--3.727896))+0-0-0</f>
        <v>5444.3707800000002</v>
      </c>
      <c r="G99" s="3">
        <f>6702.8+(384-2116.9)+(-6.836856+(-0.39168--2.159238))+0-0-0</f>
        <v>4964.8307019999993</v>
      </c>
      <c r="H99" s="3">
        <f>6604.5+(333.2-2271)+(-13.47318+(-0.679728--4.63284))+0-0-0</f>
        <v>4657.179932</v>
      </c>
      <c r="I99" s="3">
        <f>6401.6+(356-2249.6)+(-16.32408+(-0.9078--5.73648))+0-0-0</f>
        <v>4496.5046000000002</v>
      </c>
      <c r="J99" s="3">
        <f>6126.4+(431-2144.2)+(6.248928+(0.43962-2.187084))+0-0-0</f>
        <v>4417.7014639999998</v>
      </c>
      <c r="K99" s="3">
        <f>6086.3+(442.2-2193.7)+(-15.520065+(-1.12761--5.593935))+0-0-0</f>
        <v>4323.7462599999999</v>
      </c>
      <c r="L99" s="3">
        <f>5640.2+(499.3-1858.4)+(-14.38251+(-1.273215--4.73892))+0-0-0</f>
        <v>4270.1831949999996</v>
      </c>
      <c r="M99" s="3">
        <f>5943.6+(610.9-1764.4)+(6.062472+(0.623118-1.799688))+0-0-0</f>
        <v>4794.9859020000004</v>
      </c>
      <c r="N99" s="3">
        <f>6455.9+(646.3-1549.6)+(3.292509+(0.329613-0.790296))+0-0-0</f>
        <v>5555.4318259999991</v>
      </c>
      <c r="O99" s="3">
        <f>6796.6+(828.5-1489.4)+(-3.466266+(-0.422535--0.759594))+0-0-0</f>
        <v>6132.5707930000008</v>
      </c>
      <c r="P99" s="3">
        <f>6849.9+(1079.8-1390.2)+(3.493449+(0.550698-0.709002))+0-0-0</f>
        <v>6542.835145</v>
      </c>
      <c r="Q99" s="3">
        <f>6831.6+(1012.6-960.9)+(-10.452348+(-1.549278--1.470177))+0-0-0</f>
        <v>6872.7685510000001</v>
      </c>
      <c r="R99" s="3">
        <f>7013.7+(884.6-901)+(-7.153974+(-0.902292--0.91902))+0-0-0</f>
        <v>6990.1627539999999</v>
      </c>
      <c r="S99" s="3">
        <f>7093+(797-1030.7)+(-25.32201+(-2.84529--3.679599))+0-0-0</f>
        <v>6834.8122990000002</v>
      </c>
      <c r="T99" s="3">
        <f>6975+(870.1-854.7)+(-3.55725+(-0.443751--0.435897))+0-0-0</f>
        <v>6986.8348959999994</v>
      </c>
      <c r="U99" s="3">
        <f>6943.5+(926-896.8)+(0+(0-0))+0-0-0</f>
        <v>6972.7</v>
      </c>
      <c r="V99" s="3">
        <f>6882.6+(962.5-915.7)+(-10.530378+(-1.472625--1.401021))+0-0-0</f>
        <v>6918.7980180000004</v>
      </c>
      <c r="W99" s="3">
        <f>6855.7+(945.7-1040.5)+(-13.985628+(-1.929228--2.12262))+0-0-0</f>
        <v>6747.1077639999994</v>
      </c>
      <c r="X99" s="3">
        <f>6849.5+(1123.4-1503.8)+(-10.479735+(-1.718802--2.300814))+0-0-0</f>
        <v>6459.2022770000003</v>
      </c>
      <c r="Y99" s="3">
        <f>6597.3+(1012.4-1456.9)+(-6.729246+(-1.032648--1.486038))+0-0-0</f>
        <v>6146.524144</v>
      </c>
      <c r="Z99" s="3">
        <f>6783+(837.2-1314.6)+(-3.45933+(-0.426972--0.670446))+0-0-0</f>
        <v>6302.3841440000006</v>
      </c>
      <c r="AA99" s="3">
        <f>7192.8+(719.6-1368.9)+(-11.004984+(-1.100988--2.094417))+0-0-0</f>
        <v>6533.488445</v>
      </c>
      <c r="AB99" s="3">
        <f>7092.1+(835.9-1577.5)+(-14.467884+(-1.705236--3.2181))+0-0-0</f>
        <v>6337.5449799999997</v>
      </c>
      <c r="AC99" s="3">
        <f>7041.1+(978.6-2056.5)+(-7.181922+(-0.998172--2.09763))+0-0-0</f>
        <v>5957.1175360000007</v>
      </c>
      <c r="AD99" s="2">
        <v>6554.9</v>
      </c>
      <c r="AE99" s="3">
        <f>7193+(717.7-1355.8)+(0+(0-0))+0-0-0</f>
        <v>6554.9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6801+(991.3-2360.7)+(-3.46851+(-0.505563--1.203957))+0-0-0</f>
        <v>5428.8298840000007</v>
      </c>
      <c r="G100" s="3">
        <f>6342.3+(791.8-2149.7)+(-9.703719+(-1.211454--3.289041))+0-0-0</f>
        <v>4976.7738680000002</v>
      </c>
      <c r="H100" s="3">
        <f>5945.3+(546.3-1776.2)+(-9.096309+(-0.835839--2.717586))+0-0-0</f>
        <v>4708.1854379999995</v>
      </c>
      <c r="I100" s="3">
        <f>5727.5+(522.4-1700.2)+(0+(0-0))+0-0-0</f>
        <v>4549.7</v>
      </c>
      <c r="J100" s="3">
        <f>5567+(559.1-1689.6)+(-14.19585+(-1.425705--4.30848))+0-0-0</f>
        <v>4425.186925</v>
      </c>
      <c r="K100" s="3">
        <f>5537.6+(532.8-1723.7)+(-11.296704+(-1.086912--3.516348))+0-0-0</f>
        <v>4337.8327320000008</v>
      </c>
      <c r="L100" s="3">
        <f>5564+(428.2-1663.8)+(-8.51292+(-0.655146--2.545614))+0-0-0</f>
        <v>4321.777548</v>
      </c>
      <c r="M100" s="3">
        <f>5811.4+(568.8-1522.6)+(5.927628+(0.580176-1.553052))+0-0-0</f>
        <v>4862.5547519999991</v>
      </c>
      <c r="N100" s="3">
        <f>6245.3+(701.1-1345.1)+(6.370206+(0.715122-1.372002))+0-0-0</f>
        <v>5607.0133260000002</v>
      </c>
      <c r="O100" s="3">
        <f>6634.5+(755.1-1180.6)+(-6.76719+(-0.770202--1.204212))+0-0-0</f>
        <v>6202.6668200000004</v>
      </c>
      <c r="P100" s="3">
        <f>6668+(916.3-908)+(0+(0-0))+0-0-0</f>
        <v>6676.3</v>
      </c>
      <c r="Q100" s="3">
        <f>6649.2+(911.3-573.9)+(10.173276+(1.394289-0.878067))+0-0-0</f>
        <v>6997.2894979999992</v>
      </c>
      <c r="R100" s="3">
        <f>6632+(846-371.5)+(-3.38232+(-0.43146--0.189465))+0-0-0</f>
        <v>7102.875685</v>
      </c>
      <c r="S100" s="3">
        <f>6626.5+(954.4-649)+(-6.75903+(-0.973488--0.66198))+0-0-0</f>
        <v>6924.8294619999997</v>
      </c>
      <c r="T100" s="3">
        <f>6636.3+(986.7-582.6)+(-3.384513+(-0.503217--0.297126))+0-0-0</f>
        <v>7036.8093960000006</v>
      </c>
      <c r="U100" s="3">
        <f>6619.1+(956.9-577.9)+(10.127223+(1.464057-0.884187))+0-0-0</f>
        <v>7008.8070930000004</v>
      </c>
      <c r="V100" s="3">
        <f>6602.4+(925.4-594.5)+(-6.734448+(-0.943908--0.60639))+0-0-0</f>
        <v>6926.2280339999988</v>
      </c>
      <c r="W100" s="3">
        <f>6593.1+(974.9-763.5)+(-10.087443+(-1.491597--1.168155))+0-0-0</f>
        <v>6794.0891149999998</v>
      </c>
      <c r="X100" s="3">
        <f>6475.1+(1159-1133.4)+(-19.813806+(-3.54654--3.468204))+0-0-0</f>
        <v>6480.807858000001</v>
      </c>
      <c r="Y100" s="3">
        <f>6240.1+(1229-1288.7)+(-12.729804+(-2.50716--2.628948))+0-0-0</f>
        <v>6167.7919840000004</v>
      </c>
      <c r="Z100" s="3">
        <f>6528.2+(1210.1-1405.9)+(6.658764+(1.234302-1.434018))+0-0-0</f>
        <v>6338.8590479999993</v>
      </c>
      <c r="AA100" s="3">
        <f>6892.3+(975.8-1267.5)+(-7.030146+(-0.995316--1.29285))+0-0-0</f>
        <v>6593.8673880000006</v>
      </c>
      <c r="AB100" s="3">
        <f>6759.9+(1083.7-1429.6)+(3.447549+(0.552687-0.729096))+0-0-0</f>
        <v>6417.2711399999998</v>
      </c>
      <c r="AC100" s="3">
        <f>6613.4+(1133.8-1672.8)+(0+(0-0))+0-0-0</f>
        <v>6074.4</v>
      </c>
      <c r="AD100" s="2">
        <v>6530.0999999999995</v>
      </c>
      <c r="AE100" s="3">
        <f>6879+(1114.9-1463.8)+(0+(0-0))+0-0-0</f>
        <v>6530.1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6517.3+(907.2-1810)+(3.323823+(0.462672-0.9231))+0-0-0</f>
        <v>5617.3633950000003</v>
      </c>
      <c r="G101" s="3">
        <f>6051.1+(648.4-1513.2)+(6.172122+(0.661368-1.543464))+0-0-0</f>
        <v>5191.5900259999999</v>
      </c>
      <c r="H101" s="3">
        <f>5816+(559.1-1591.2)+(0+(0-0))+0-0-0</f>
        <v>4783.8999999999996</v>
      </c>
      <c r="I101" s="3">
        <f>5778.3+(635.1-1826.5)+(2.946933+(0.323901-0.931515))+0-0-0</f>
        <v>4589.2393189999993</v>
      </c>
      <c r="J101" s="3">
        <f>5777.8+(657.7-1952)+(2.946678+(0.335427-0.99552))+0-0-0</f>
        <v>4485.7865849999998</v>
      </c>
      <c r="K101" s="3">
        <f>5720.9+(704.2-2023.4)+(-5.835318+(-0.718284--2.063868))+0-0-0</f>
        <v>4397.210266</v>
      </c>
      <c r="L101" s="3">
        <f>5218+(666.6-1565.4)+(-5.32236+(-0.679932--1.596708))+0-0-0</f>
        <v>4314.7944159999997</v>
      </c>
      <c r="M101" s="3">
        <f>5399.4+(684-1380.8)+(8.261082+(1.04652-2.112624))+0-0-0</f>
        <v>4709.7949779999999</v>
      </c>
      <c r="N101" s="3">
        <f>6096.8+(870.2-1581)+(15.54684+(2.21901-4.03155))+0-0-0</f>
        <v>5399.7343000000001</v>
      </c>
      <c r="O101" s="3">
        <f>6320+(945.6-1254.5)+(12.8928+(1.929024-2.55918))+0-0-0</f>
        <v>6023.3626440000007</v>
      </c>
      <c r="P101" s="3">
        <f>6488.2+(991.9-1051.5)+(13.235928+(2.023476-2.14506))+0-0-0</f>
        <v>6441.7143439999991</v>
      </c>
      <c r="Q101" s="3">
        <f>6513.2+(960.3-741.4)+(9.965196+(1.469259-1.134342))+0-0-0</f>
        <v>6742.4001129999997</v>
      </c>
      <c r="R101" s="3">
        <f>6504.1+(1036.4-756)+(13.268364+(2.114256-1.54224))+0-0-0</f>
        <v>6798.3403799999996</v>
      </c>
      <c r="S101" s="3">
        <f>6450.3+(1166.4-1058.4)+(-16.448265+(-2.97432--2.69892))+0-0-0</f>
        <v>6541.5763349999997</v>
      </c>
      <c r="T101" s="3">
        <f>6536.5+(1150.5-1188.7)+(0+(0-0))+0-0-0</f>
        <v>6498.3</v>
      </c>
      <c r="U101" s="3">
        <f>6468.5+(1204.1-1281.4)+(0+(0-0))+0-0-0</f>
        <v>6391.2</v>
      </c>
      <c r="V101" s="3">
        <f>6467.3+(1222.2-1414.9)+(0+(0-0))+0-0-0</f>
        <v>6274.6</v>
      </c>
      <c r="W101" s="3">
        <f>6482.9+(1311.3-1592.7)+(-13.225116+(-2.675052--3.249108))+0-0-0</f>
        <v>6188.8489399999999</v>
      </c>
      <c r="X101" s="3">
        <f>6529.1+(1306.2-1800.2)+(-19.979046+(-3.996972--5.508612))+0-0-0</f>
        <v>6016.6325940000006</v>
      </c>
      <c r="Y101" s="3">
        <f>6297.5+(1027.2-1437.2)+(-12.8469+(-2.095488--2.931888))+0-0-0</f>
        <v>5875.4894999999997</v>
      </c>
      <c r="Z101" s="3">
        <f>6650+(1028.6-1635.8)+(6.783+(1.049172-1.668516))+0-0-0</f>
        <v>6048.9636559999999</v>
      </c>
      <c r="AA101" s="3">
        <f>6961.8+(824.9-1566)+(-24.853626+(-2.944893--5.59062))+0-0-0</f>
        <v>6198.4921009999998</v>
      </c>
      <c r="AB101" s="3">
        <f>6874.2+(875.1-1692.4)+(-10.517526+(-1.338903--2.589372))+0-0-0</f>
        <v>6047.6329429999996</v>
      </c>
      <c r="AC101" s="3">
        <f>6808.7+(978.8-1992.2)+(-13.889748+(-1.996752--4.064088))+0-0-0</f>
        <v>5783.4775879999988</v>
      </c>
      <c r="AD101" s="2">
        <v>6099.7000000000007</v>
      </c>
      <c r="AE101" s="3">
        <f>6864+(852.6-1616.9)+(0+(0-0))+0-0-0</f>
        <v>6099.7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6542.7+(873.1-1988.5)+(6.673554+(0.890562-2.02827))+0-0-0</f>
        <v>5432.835845999999</v>
      </c>
      <c r="G102" s="3">
        <f>6368.8+(782.9-2112.1)+(-12.992352+(-1.597116--4.308684))+0-0-0</f>
        <v>5029.3192160000008</v>
      </c>
      <c r="H102" s="3">
        <f>6109+(824.2-2259)+(-9.34677+(-1.261026--3.45627))+0-0-0</f>
        <v>4667.0484740000002</v>
      </c>
      <c r="I102" s="3">
        <f>5868.6+(772.6-2175.3)+(-5.985972+(-0.788052--2.218806))+0-0-0</f>
        <v>4461.3447819999992</v>
      </c>
      <c r="J102" s="3">
        <f>5889.2+(794.5-2328)+(-6.006984+(-0.81039--2.37456))+0-0-0</f>
        <v>4351.2571859999998</v>
      </c>
      <c r="K102" s="3">
        <f>5644.3+(888.8-2326.3)+(-8.635779+(-1.359864--3.559239))+0-0-0</f>
        <v>4200.3635960000001</v>
      </c>
      <c r="L102" s="3">
        <f>5371.2+(711.8-2101.5)+(-13.69656+(-1.81509--5.358825))+0-0-0</f>
        <v>3971.3471749999999</v>
      </c>
      <c r="M102" s="3">
        <f>5343.9+(655.2-2011.1)+(-2.725389+(-0.334152--1.025661))+0-0-0</f>
        <v>3985.96612</v>
      </c>
      <c r="N102" s="3">
        <f>5585.1+(944.8-2294.5)+(-5.696802+(-0.963696--2.34039))+0-0-0</f>
        <v>4231.0798920000007</v>
      </c>
      <c r="O102" s="3">
        <f>5998.2+(886.5-2217.2)+(-9.177246+(-1.356345--3.392316))+0-0-0</f>
        <v>4660.358725</v>
      </c>
      <c r="P102" s="3">
        <f>6176.9+(988.9-2008.9)+(0+(0-0))+0-0-0</f>
        <v>5156.8999999999996</v>
      </c>
      <c r="Q102" s="3">
        <f>6281.6+(1012.1-1781.1)+(6.407232+(1.032342-1.816722))+0-0-0</f>
        <v>5518.2228520000008</v>
      </c>
      <c r="R102" s="3">
        <f>6290+(929.8-1554.3)+(3.2079+(0.474198-0.792693))+0-0-0</f>
        <v>5668.3894049999999</v>
      </c>
      <c r="S102" s="3">
        <f>6439.7+(822.1-1624.4)+(3.284247+(0.419271-0.828444))+0-0-0</f>
        <v>5640.2750739999992</v>
      </c>
      <c r="T102" s="3">
        <f>6423.3+(790.5-1607.5)+(-3.275883+(-0.403155--0.819825))+0-0-0</f>
        <v>5603.4407870000005</v>
      </c>
      <c r="U102" s="3">
        <f>6381.6+(827.6-1658.8)+(-3.254616+(-0.422076--0.845988))+0-0-0</f>
        <v>5547.5692960000006</v>
      </c>
      <c r="V102" s="3">
        <f>6371.2+(945.6-1804.7)+(3.249312+(0.482256-0.920397))+0-0-0</f>
        <v>5514.9111709999997</v>
      </c>
      <c r="W102" s="3">
        <f>6337+(991.3-1799.8)+(-16.15935+(-2.527815--4.58949))+0-0-0</f>
        <v>5514.402325</v>
      </c>
      <c r="X102" s="3">
        <f>6372.2+(1083.9-1980.6)+(-16.24911+(-2.763945--5.05053))+0-0-0</f>
        <v>5461.5374750000001</v>
      </c>
      <c r="Y102" s="3">
        <f>6090.5+(998.5-1630)+(-3.106155+(-0.509235--0.8313))+0-0-0</f>
        <v>5456.2159099999999</v>
      </c>
      <c r="Z102" s="3">
        <f>6370+(883.4-1514.3)+(-6.4974+(-0.901068--1.544586))+0-0-0</f>
        <v>5733.246118</v>
      </c>
      <c r="AA102" s="3">
        <f>6807.1+(683.9-1469)+(-17.358105+(-1.743945--3.74595))+0-0-0</f>
        <v>6006.6439</v>
      </c>
      <c r="AB102" s="3">
        <f>6768.2+(785-1620.3)+(-3.451782+(-0.40035--0.826353))+0-0-0</f>
        <v>5929.874221</v>
      </c>
      <c r="AC102" s="3">
        <f>6759.3+(899.1-1962.7)+(-10.341729+(-1.375623--3.002931))+0-0-0</f>
        <v>5686.9855790000011</v>
      </c>
      <c r="AD102" s="2">
        <v>5926.8</v>
      </c>
      <c r="AE102" s="3">
        <f>6761+(743.5-1577.7)+(0+(0-0))+0-0-0</f>
        <v>5926.8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6636.3+(905.2-2250.8)+(0+(0-0))+0-0-0</f>
        <v>5290.7</v>
      </c>
      <c r="G103" s="3">
        <f>6238.5+(745.6-2132.1)+(-3.181635+(-0.380256--1.087371))+0-0-0</f>
        <v>4849.5254800000002</v>
      </c>
      <c r="H103" s="3">
        <f>5898.4+(803.8-2136)+(3.008184+(0.409938-1.08936))+0-0-0</f>
        <v>4568.5287619999999</v>
      </c>
      <c r="I103" s="3">
        <f>5599+(861.6-2044.5)+(0+(0-0))+0-0-0</f>
        <v>4416.1000000000004</v>
      </c>
      <c r="J103" s="3">
        <f>5637.4+(856.5-2138.6)+(-5.750148+(-0.87363--2.181372))+0-0-0</f>
        <v>4350.8575939999992</v>
      </c>
      <c r="K103" s="3">
        <f>5642.3+(776.4-2105.6)+(-14.387865+(-1.97982--5.36928))+0-0-0</f>
        <v>4302.1015950000001</v>
      </c>
      <c r="L103" s="3">
        <f>5761.6+(691.8-2132.2)+(0+(0-0))+0-0-0</f>
        <v>4321.2000000000007</v>
      </c>
      <c r="M103" s="3">
        <f>6246.1+(828.7-2145.4)+(6.371022+(0.845274-2.188308))+0-0-0</f>
        <v>4934.4279880000004</v>
      </c>
      <c r="N103" s="3">
        <f>6702.9+(1077.6-2003.8)+(6.836958+(1.099152-2.043876))+0-0-0</f>
        <v>5782.5922339999997</v>
      </c>
      <c r="O103" s="3">
        <f>7101+(1316.1-2018.1)+(0+(0-0))+0-0-0</f>
        <v>6399</v>
      </c>
      <c r="P103" s="3">
        <f>7374.5+(1510.6-1980.5)+(11.282985+(2.311218-3.030165))+0-0-0</f>
        <v>6915.1640380000008</v>
      </c>
      <c r="Q103" s="3">
        <f>7388.8+(1569.9-1692.9)+(0+(0-0))+0-0-0</f>
        <v>7265.8</v>
      </c>
      <c r="R103" s="3">
        <f>7391.8+(1555.8-1514.4)+(-3.769818+(-0.793458--0.772344))+0-0-0</f>
        <v>7429.4090679999999</v>
      </c>
      <c r="S103" s="3">
        <f>7430.6+(1658.8-1779.5)+(3.789606+(0.845988-0.907545))+0-0-0</f>
        <v>7313.6280490000008</v>
      </c>
      <c r="T103" s="3">
        <f>7374.1+(1699.1-1626)+(-7.521582+(-1.733082--1.65852))+0-0-0</f>
        <v>7439.6038560000006</v>
      </c>
      <c r="U103" s="3">
        <f>7319.7+(1688.9-1605.5)+(-7.466094+(-1.722678--1.63761))+0-0-0</f>
        <v>7395.5488380000006</v>
      </c>
      <c r="V103" s="3">
        <f>7273.3+(1723-1677.8)+(-3.709383+(-0.87873--0.855678))+0-0-0</f>
        <v>7314.7675650000001</v>
      </c>
      <c r="W103" s="3">
        <f>7214.1+(1699.8-1742.3)+(-14.716764+(-3.467592--3.554292))+0-0-0</f>
        <v>7156.9699360000004</v>
      </c>
      <c r="X103" s="3">
        <f>7156.8+(1659.1-1929.7)+(-10.949904+(-2.538423--2.952441))+0-0-0</f>
        <v>6875.6641140000002</v>
      </c>
      <c r="Y103" s="3">
        <f>6963.2+(1433.3-1876)+(-7.102464+(-1.461966--1.91352))+0-0-0</f>
        <v>6513.8490899999997</v>
      </c>
      <c r="Z103" s="3">
        <f>7287+(1378.8-2102.7)+(7.43274+(1.406376-2.144754))+0-0-0</f>
        <v>6569.7943620000005</v>
      </c>
      <c r="AA103" s="3">
        <f>7471.6+(1335.3-2155)+(-15.242064+(-2.724012--4.3962))+0-0-0</f>
        <v>6638.330124000001</v>
      </c>
      <c r="AB103" s="3">
        <f>7160.3+(1423.2-2271.7)+(-18.258765+(-3.62916--5.792835))+0-0-0</f>
        <v>6295.7049100000004</v>
      </c>
      <c r="AC103" s="3">
        <f>6907+(1381.4-2294)+(-14.09028+(-2.818056--4.67976))+0-0-0</f>
        <v>5982.1714239999992</v>
      </c>
      <c r="AD103" s="2">
        <v>6483.2999999999993</v>
      </c>
      <c r="AE103" s="3">
        <f>7439+(1321.9-2277.6)+(0+(0-0))+0-0-0</f>
        <v>6483.3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6584.1+(1045.3-2177.5)+(0+(0-0))+0-0-0</f>
        <v>5451.9000000000005</v>
      </c>
      <c r="G104" s="3">
        <f>6213.1+(894.2-2075.9)+(-19.012086+(-2.736252--6.352254))+0-0-0</f>
        <v>5016.0039160000006</v>
      </c>
      <c r="H104" s="3">
        <f>6197.1+(559.5-2028.6)+(-12.642084+(-1.14138--4.138344))+0-0-0</f>
        <v>4718.3548799999999</v>
      </c>
      <c r="I104" s="3">
        <f>6116.9+(528.3-2057)+(-15.598095+(-1.347165--5.24535))+0-0-0</f>
        <v>4576.5000899999995</v>
      </c>
      <c r="J104" s="3">
        <f>6099.4+(519.8-2100.4)+(-18.664164+(-1.590588--6.427224))+0-0-0</f>
        <v>4504.9724719999995</v>
      </c>
      <c r="K104" s="3">
        <f>5988.6+(536.7-2077.4)+(-12.216744+(-1.094868--4.237896))+0-0-0</f>
        <v>4438.8262840000007</v>
      </c>
      <c r="L104" s="3">
        <f>5915.2+(560.9-2044.5)+(-15.08376+(-1.430295--5.213475))+0-0-0</f>
        <v>4420.2994200000003</v>
      </c>
      <c r="M104" s="3">
        <f>6086.3+(826.5-1939.3)+(9.312039+(1.264545-2.967129))+0-0-0</f>
        <v>4981.1094549999998</v>
      </c>
      <c r="N104" s="3">
        <f>6321+(1146-1677.7)+(9.67113+(1.75338-2.566881))+0-0-0</f>
        <v>5798.1576290000003</v>
      </c>
      <c r="O104" s="3">
        <f>6792.6+(1346.8-1722.4)+(6.928452+(1.373736-1.756848))+0-0-0</f>
        <v>6423.5453399999997</v>
      </c>
      <c r="P104" s="3">
        <f>7090.2+(1608.2-1874.6)+(0+(0-0))+0-0-0</f>
        <v>6823.8</v>
      </c>
      <c r="Q104" s="3">
        <f>7284.8+(1671.5-1696.6)+(18.57624+(4.262325-4.32633))+0-0-0</f>
        <v>7278.2122350000009</v>
      </c>
      <c r="R104" s="3">
        <f>7294.5+(1600.9-1517.1)+(3.720195+(0.816459-0.773721))+0-0-0</f>
        <v>7382.0629330000002</v>
      </c>
      <c r="S104" s="3">
        <f>7224.1+(1704.5-1672.1)+(-7.368582+(-1.73859--1.705542))+0-0-0</f>
        <v>7249.0983699999997</v>
      </c>
      <c r="T104" s="3">
        <f>7322.6+(1744.7-1646.4)+(-7.469052+(-1.779594--1.679328))+0-0-0</f>
        <v>7413.3306820000007</v>
      </c>
      <c r="U104" s="3">
        <f>7215.7+(1741.1-1552.2)+(-18.400035+(-4.439805--3.95811))+0-0-0</f>
        <v>7385.7182699999994</v>
      </c>
      <c r="V104" s="3">
        <f>7228.7+(1830.3-1759.9)+(-3.686637+(-0.933453--0.897549))+0-0-0</f>
        <v>7295.3774589999994</v>
      </c>
      <c r="W104" s="3">
        <f>7217.9+(1821.2-1888.5)+(-14.724516+(-3.715248--3.85254))+0-0-0</f>
        <v>7136.0127759999996</v>
      </c>
      <c r="X104" s="3">
        <f>7126.2+(1580.4-1855.9)+(-10.903086+(-2.418012--2.839527))+0-0-0</f>
        <v>6840.2184289999996</v>
      </c>
      <c r="Y104" s="3">
        <f>6961.6+(1422.1-1889.9)+(-17.75208+(-3.626355--4.819245))+0-0-0</f>
        <v>6477.2408100000002</v>
      </c>
      <c r="Z104" s="3">
        <f>7270+(1345.4-1965)+(0+(0-0))+0-0-0</f>
        <v>6650.4</v>
      </c>
      <c r="AA104" s="3">
        <f>7391.1+(1393.9-1898.8)+(-18.847305+(-3.554445--4.84194))+0-0-0</f>
        <v>6868.640190000001</v>
      </c>
      <c r="AB104" s="3">
        <f>7298.1+(1231.6-1849.3)+(-7.444062+(-1.256232--1.886286))+0-0-0</f>
        <v>6673.5859920000003</v>
      </c>
      <c r="AC104" s="3">
        <f>7192.8+(1249.7-2108.4)+(-7.336656+(-1.274694--2.150568))+0-0-0</f>
        <v>6327.6392180000003</v>
      </c>
      <c r="AD104" s="2">
        <v>6877.3</v>
      </c>
      <c r="AE104" s="3">
        <f>7432+(1355-1909.7)+(0+(0-0))+0-0-0</f>
        <v>6877.3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7007.3+(1043.2-2215.2)+(-17.868615+(-2.66016--5.64876))+0-0-0</f>
        <v>5820.4199850000005</v>
      </c>
      <c r="G105" s="3">
        <f>6675.4+(657-2027.9)+(-13.617816+(-1.34028--4.136916))+0-0-0</f>
        <v>5293.6788200000001</v>
      </c>
      <c r="H105" s="3">
        <f>6305.8+(633.5-2070.9)+(-9.647874+(-0.969255--3.168477))+0-0-0</f>
        <v>4860.9513479999996</v>
      </c>
      <c r="I105" s="3">
        <f>6081.9+(680.2-2066.4)+(-12.407076+(-1.387608--4.215456))+0-0-0</f>
        <v>4686.1207720000002</v>
      </c>
      <c r="J105" s="3">
        <f>5907.7+(693.3-1980.7)+(-15.064635+(-1.767915--5.050785))+0-0-0</f>
        <v>4608.5182349999995</v>
      </c>
      <c r="K105" s="3">
        <f>5804.3+(737.7-2031.6)+(-14.800965+(-1.881135--5.18058))+0-0-0</f>
        <v>4498.8984800000007</v>
      </c>
      <c r="L105" s="3">
        <f>5847.7+(768.2-2158)+(-2.982327+(-0.391782--1.10058))+0-0-0</f>
        <v>4455.6264709999996</v>
      </c>
      <c r="M105" s="3">
        <f>6117.7+(698.9-1837.3)+(6.240054+(0.712878-1.874046))+0-0-0</f>
        <v>4984.3788859999995</v>
      </c>
      <c r="N105" s="3">
        <f>6851.7+(697.3-1798.8)+(0+(0-0))+0-0-0</f>
        <v>5750.2</v>
      </c>
      <c r="O105" s="3">
        <f>7185.3+(963.7-1782.4)+(-18.322515+(-2.457435--4.54512))+0-0-0</f>
        <v>6350.36517</v>
      </c>
      <c r="P105" s="3">
        <f>7332.3+(1467.7-1970.3)+(0+(0-0))+0-0-0</f>
        <v>6829.7000000000007</v>
      </c>
      <c r="Q105" s="3">
        <f>7300.3+(2015.5-2124.6)+(-7.446306+(-2.05581--2.167092))+0-0-0</f>
        <v>7183.8649760000008</v>
      </c>
      <c r="R105" s="3">
        <f>7269.7+(2083.8-2011.3)+(0+(0-0))+0-0-0</f>
        <v>7342.2</v>
      </c>
      <c r="S105" s="3">
        <f>7183.8+(2152.8-2091.7)+(-7.327476+(-2.195856--2.133534))+0-0-0</f>
        <v>7237.5102020000004</v>
      </c>
      <c r="T105" s="3">
        <f>7102.2+(2225.4-1922.5)+(-10.866366+(-3.404862--2.941425))+0-0-0</f>
        <v>7393.7701970000007</v>
      </c>
      <c r="U105" s="3">
        <f>7037.9+(2270.1-1922.5)+(7.178658+(2.315502-1.96095))+0-0-0</f>
        <v>7393.0332099999996</v>
      </c>
      <c r="V105" s="3">
        <f>6685+(2215.8-1617.4)+(-3.40935+(-1.130058--0.824874))+0-0-0</f>
        <v>7279.6854659999999</v>
      </c>
      <c r="W105" s="3">
        <f>6711.8+(2109-1894.8)+(-23.961126+(-7.52913--6.764436))+24.3-0-0</f>
        <v>6925.5741800000005</v>
      </c>
      <c r="X105" s="3">
        <f>6756+(1774.4-1892.7)+(-24.11892+(-6.334608--6.756939))+3.2-0-0</f>
        <v>6617.2034109999995</v>
      </c>
      <c r="Y105" s="3">
        <f>6602.8+(1081.1-1247.7)+(-6.734856+(-1.102722--1.272654))+0-0-0</f>
        <v>6429.6350759999996</v>
      </c>
      <c r="Z105" s="3">
        <f>6880.9+(1097-1203.4)+(0+(0-0))+0-0-0</f>
        <v>6774.5</v>
      </c>
      <c r="AA105" s="3">
        <f>7278.2+(1407-1889.2)+(-7.423764+(-1.43514--1.926984))+0-0-0</f>
        <v>6789.06808</v>
      </c>
      <c r="AB105" s="3">
        <f>7000.7+(1251.2-1672.8)+(-7.140714+(-1.276224--1.706256))+0-0-0</f>
        <v>6572.3893180000005</v>
      </c>
      <c r="AC105" s="3">
        <f>6556.7+(1204.8-1578.9)+(0+(0-0))+0-0-0</f>
        <v>6182.5999999999995</v>
      </c>
      <c r="AD105" s="2">
        <v>6733.4999999999991</v>
      </c>
      <c r="AE105" s="3">
        <f>7006+(1314.8-1587.3)+(0+(0-0))+0-0-0</f>
        <v>6733.5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6121.3+(1213.1-1699.4)+(3.121863+(0.618681-0.866694))+0-0-0</f>
        <v>5637.8738499999999</v>
      </c>
      <c r="G106" s="3">
        <f>6144.7+(1115.3-2146.2)+(0+(0-0))+0-0-0</f>
        <v>5113.8</v>
      </c>
      <c r="H106" s="3">
        <f>6162.7+(1073.9-2394.1)+(0+(0-0))+0-0-0</f>
        <v>4842.5</v>
      </c>
      <c r="I106" s="3">
        <f>6193.9+(929.5-2433.9)+(0+(0-0))+0-0-0</f>
        <v>4689.5</v>
      </c>
      <c r="J106" s="3">
        <f>6107.9+(766.8-2275.5)+(-9.345087+(-1.173204--3.481515))+0-0-0</f>
        <v>4592.1632239999999</v>
      </c>
      <c r="K106" s="3">
        <f>5911.9+(718-2120.4)+(-6.030138+(-0.73236--2.162808))+0-0-0</f>
        <v>4504.90031</v>
      </c>
      <c r="L106" s="3">
        <f>5677.1+(719.3-1926)+(-11.581284+(-1.467372--3.92904))+0-0-0</f>
        <v>4461.2803840000006</v>
      </c>
      <c r="M106" s="3">
        <f>6333.7+(672.7-1971.7)+(0+(0-0))+0-0-0</f>
        <v>5034.7</v>
      </c>
      <c r="N106" s="3">
        <f>7100.3+(786.3-1992.5)+(7.242306+(0.802026-2.03235))+0-0-0</f>
        <v>5900.1119820000004</v>
      </c>
      <c r="O106" s="3">
        <f>7055.9+(1188.9-1742.1)+(-14.394036+(-2.425356--3.553884))+0-0-0</f>
        <v>6489.4344919999994</v>
      </c>
      <c r="P106" s="3">
        <f>6976.7+(1449.8-1460.2)+(-3.558117+(-0.739398--0.744702))+0-0-0</f>
        <v>6962.747186999999</v>
      </c>
      <c r="Q106" s="3">
        <f>7048.8+(1490.7-1239.7)+(-3.594888+(-0.760257--0.632247))+0-0-0</f>
        <v>7296.0771020000002</v>
      </c>
      <c r="R106" s="3">
        <f>7096.5+(1705-1319.3)+(0+(0-0))+0-0-0</f>
        <v>7482.2</v>
      </c>
      <c r="S106" s="3">
        <f>7030.6+(1857.9-1542.8)+(-14.342424+(-3.790116--3.147312))+0-0-0</f>
        <v>7330.7147720000012</v>
      </c>
      <c r="T106" s="3">
        <f>7002.2+(1911.9-1444.6)+(-7.142244+(-1.950138--1.473492))+0-0-0</f>
        <v>7461.8811100000003</v>
      </c>
      <c r="U106" s="3">
        <f>6992.6+(1951.4-1475.5)+(-3.566226+(-0.995214--0.752505))+0-0-0</f>
        <v>7464.691065</v>
      </c>
      <c r="V106" s="3">
        <f>6959.2+(1979.2-1568.1)+(-3.549192+(-1.009392--0.799731))+0-0-0</f>
        <v>7366.5411469999999</v>
      </c>
      <c r="W106" s="3">
        <f>6983.9+(1971-1743.1)+(10.685367+(3.01563-2.666943))+0-0-0</f>
        <v>7222.834053999999</v>
      </c>
      <c r="X106" s="3">
        <f>7176.8+(1804.5-2068.3)+(-10.980504+(-2.760885--3.164499))+0-0-0</f>
        <v>6902.4231099999997</v>
      </c>
      <c r="Y106" s="3">
        <f>7161+(1320.8-1897.7)+(7.30422+(1.347216-1.935654))+0-0-0</f>
        <v>6590.8157820000006</v>
      </c>
      <c r="Z106" s="3">
        <f>7382+(1409.7-2087.2)+(-3.76482+(-0.718947--1.064472))+0-0-0</f>
        <v>6701.0807050000003</v>
      </c>
      <c r="AA106" s="3">
        <f>7570.7+(1634.1-2222.8)+(-15.444228+(-3.333564--4.534512))+0-0-0</f>
        <v>6967.7567200000003</v>
      </c>
      <c r="AB106" s="3">
        <f>7393.8+(1658.6-2250)+(-3.770838+(-0.845886--1.1475))+0-0-0</f>
        <v>6798.9307759999992</v>
      </c>
      <c r="AC106" s="3">
        <f>7296.9+(1622.6-2444.4)+(-7.442838+(-1.655052--2.493288))+0-0-0</f>
        <v>6468.4953979999991</v>
      </c>
      <c r="AD106" s="2">
        <v>6926.4</v>
      </c>
      <c r="AE106" s="3">
        <f>7555+(1672.4-2301)+(0+(0-0))+0-0-0</f>
        <v>6926.4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6985.5+(1371.6-2522.3)+(-17.813025+(-3.49758--6.431865))+55.3-0-0</f>
        <v>5875.2212599999993</v>
      </c>
      <c r="G107" s="3">
        <f>6323.3+(1174.4-2090.5)+(6.449766+(1.197888-2.13231))+3.3-0-0</f>
        <v>5416.0153440000013</v>
      </c>
      <c r="H107" s="3">
        <f>6163.8+(990.7-2058.8)+(-6.287076+(-1.010514--2.099976))+0-0-0</f>
        <v>5090.5023860000001</v>
      </c>
      <c r="I107" s="3">
        <f>6165.3+(950.3-2246.2)+(3.144303+(0.484653-1.145562))+0-0-0</f>
        <v>4871.8833940000004</v>
      </c>
      <c r="J107" s="3">
        <f>6151.4+(829.1-2198)+(-9.411642+(-1.268523--3.36294))+0-0-0</f>
        <v>4775.1827750000002</v>
      </c>
      <c r="K107" s="3">
        <f>6159.2+(721.5-2215.8)+(-9.423576+(-1.103895--3.390174))+0-0-0</f>
        <v>4657.7627029999994</v>
      </c>
      <c r="L107" s="3">
        <f>5851.5+(660.7-1917.4)+(-8.952795+(-1.010871--2.933622))+0-0-0</f>
        <v>4587.7699560000001</v>
      </c>
      <c r="M107" s="3">
        <f>6183.2+(720-1776.4)+(6.306864+(0.7344-1.811928))+0-0-0</f>
        <v>5132.0293359999996</v>
      </c>
      <c r="N107" s="3">
        <f>6726.6+(1094.5-1860.4)+(0+(0-0))+0-0-0</f>
        <v>5960.7000000000007</v>
      </c>
      <c r="O107" s="3">
        <f>7190.7+(1197.1-1810.9)+(-11.001771+(-1.831563--2.770677))+0-0-0</f>
        <v>6566.8373429999992</v>
      </c>
      <c r="P107" s="3">
        <f>7291.7+(1283.1-1508.6)+(-11.156301+(-1.963143--2.308158))+0-0-0</f>
        <v>7055.3887139999997</v>
      </c>
      <c r="Q107" s="3">
        <f>7179.3+(1527.2-1343.7)+(0+(0-0))+0-0-0</f>
        <v>7362.8</v>
      </c>
      <c r="R107" s="3">
        <f>7105+(1659.2-1264.6)+(7.2471+(1.692384-1.289892))+0-0-0</f>
        <v>7507.2495920000001</v>
      </c>
      <c r="S107" s="3">
        <f>7065+(1878.2-1600.4)+(-21.6189+(-5.747292--4.897224))+0-0-0</f>
        <v>7320.3310320000001</v>
      </c>
      <c r="T107" s="3">
        <f>7028+(1918.4-1518.2)+(-3.58428+(-0.978384--0.774282))+0-0-0</f>
        <v>7424.4116180000001</v>
      </c>
      <c r="U107" s="3">
        <f>6920+(1895-1436.5)+(-7.0584+(-1.9329--1.46523))+0-0-0</f>
        <v>7370.9739300000001</v>
      </c>
      <c r="V107" s="3">
        <f>6854.8+(1871.2-1490.4)+(-10.487844+(-2.862936--2.280312))+0.3-0-0</f>
        <v>7224.8295320000007</v>
      </c>
      <c r="W107" s="3">
        <f>6711.8+(1975.4-1622.5)+(-13.692072+(-4.029816--3.3099))+0-0-0</f>
        <v>7050.2880120000009</v>
      </c>
      <c r="X107" s="3">
        <f>6512.5+(1896.9-1675)+(-26.571+(-7.739352--6.834))+0-0-0</f>
        <v>6706.923648</v>
      </c>
      <c r="Y107" s="3">
        <f>6430.8+(1583.5-1611.1)+(-9.839124+(-2.422755--2.464983))+0-0-0</f>
        <v>6393.4031040000009</v>
      </c>
      <c r="Z107" s="3">
        <f>6899.4+(1599.3-2011.3)+(-3.518694+(-0.815643--1.025763))+0-0-0</f>
        <v>6484.091426</v>
      </c>
      <c r="AA107" s="3">
        <f>7288.1+(1684.2-2286.7)+(-22.301586+(-5.153652--6.997302))+0-0-0</f>
        <v>6665.1420640000006</v>
      </c>
      <c r="AB107" s="3">
        <f>7069.5+(1484-2077.8)+(-14.42178+(-3.02736--4.238712))+0-0-0</f>
        <v>6462.4895719999995</v>
      </c>
      <c r="AC107" s="3">
        <f>6950.6+(1315.6-2040.6)+(-10.634418+(-2.012868--3.122118))+0-0-0</f>
        <v>6216.0748320000002</v>
      </c>
      <c r="AD107" s="2">
        <v>6681.0000000000009</v>
      </c>
      <c r="AE107" s="3">
        <f>7262+(1698.2-2279.2)+(0+(0-0))+0-0-0</f>
        <v>6681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6725.8+(1245.5-2122.1)+(-3.430158+(-0.635205--1.082271))+0-0-0</f>
        <v>5846.2169080000003</v>
      </c>
      <c r="G108" s="3">
        <f>6507.7+(884.9-1933.4)+(3.318927+(0.451299-0.986034))+0-0-0</f>
        <v>5461.9841919999999</v>
      </c>
      <c r="H108" s="3">
        <f>6273.2+(619.1-1774)+(-9.597996+(-0.947223--2.71422))+0-0-0</f>
        <v>5110.4690009999995</v>
      </c>
      <c r="I108" s="3">
        <f>5951.3+(547.1-1616.6)+(0+(0-0))+0-0-0</f>
        <v>4881.8</v>
      </c>
      <c r="J108" s="3">
        <f>5892.2+(593.7-1750.1)+(0+(0-0))+0-0-0</f>
        <v>4735.8</v>
      </c>
      <c r="K108" s="3">
        <f>5730.3+(614.6-1792.1)+(-14.612265+(-1.56723--4.569855))+0-0-0</f>
        <v>4541.1903600000005</v>
      </c>
      <c r="L108" s="3">
        <f>5624.3+(451.7-1753.7)+(-20.078751+(-1.612569--6.260709))+0-0-0</f>
        <v>4306.8693890000004</v>
      </c>
      <c r="M108" s="3">
        <f>5723.7+(523.1-1870.3)+(0+(0-0))+0-0-0</f>
        <v>4376.5</v>
      </c>
      <c r="N108" s="3">
        <f>6050.3+(617.4-1957.9)+(0+(0-0))+0-0-0</f>
        <v>4709.8</v>
      </c>
      <c r="O108" s="3">
        <f>6354.5+(744.2-1957.1)+(3.240795+(0.379542-0.998121))+0-0-0</f>
        <v>5144.2222160000001</v>
      </c>
      <c r="P108" s="3">
        <f>6608.3+(1077.8-2092)+(0+(0-0))+0-0-0</f>
        <v>5594.1</v>
      </c>
      <c r="Q108" s="3">
        <f>6524.4+(1198-1808.8)+(6.654888+(1.22196-1.844976))+0-0-0</f>
        <v>5919.631871999999</v>
      </c>
      <c r="R108" s="3">
        <f>6456.2+(1226.6-1633.9)+(-3.292662+(-0.625566--0.833289))+0-0-0</f>
        <v>6045.8150609999993</v>
      </c>
      <c r="S108" s="3">
        <f>6423.6+(1252.1-1656.7)+(-3.276036+(-0.638571--0.844917))+0-0-0</f>
        <v>6015.9303099999997</v>
      </c>
      <c r="T108" s="3">
        <f>6424.6+(1210.1-1606.4)+(-6.553092+(-1.234302--1.638528))+0-0-0</f>
        <v>6022.1511339999997</v>
      </c>
      <c r="U108" s="3">
        <f>6371.2+(1203.7-1611.9)+(0+(0-0))+0-0-0</f>
        <v>5963</v>
      </c>
      <c r="V108" s="3">
        <f>6288.2+(1293.5-1669.4)+(3.206982+(0.659685-0.851394))+0-0-0</f>
        <v>5915.3152729999993</v>
      </c>
      <c r="W108" s="3">
        <f>6181+(1263.6-1554.1)+(-18.91386+(-3.866616--4.755546))+0-0-0</f>
        <v>5872.4750700000004</v>
      </c>
      <c r="X108" s="3">
        <f>6016+(1252-1469.6)+(-15.3408+(-3.1926--3.74748))+0-0-0</f>
        <v>5783.6140799999994</v>
      </c>
      <c r="Y108" s="3">
        <f>6079.7+(1143.8-1554.3)+(-3.100647+(-0.583338--0.792693))+0-0-0</f>
        <v>5666.3087079999996</v>
      </c>
      <c r="Z108" s="3">
        <f>6488.6+(929.8-1544.9)+(3.309186+(0.474198-0.787899))+0-0-0</f>
        <v>5876.4954850000004</v>
      </c>
      <c r="AA108" s="3">
        <f>6662.1+(861.9-1411.9)+(-10.193013+(-1.318707--2.160207))+0-0-0</f>
        <v>6102.7484870000008</v>
      </c>
      <c r="AB108" s="3">
        <f>6371+(880.8-1286.7)+(-3.24921+(-0.449208--0.656217))+0-0-0</f>
        <v>5962.0577990000002</v>
      </c>
      <c r="AC108" s="3">
        <f>6200.6+(1058.4-1500.5)+(3.162306+(0.539784-0.765255))+0-0-0</f>
        <v>5761.4368350000004</v>
      </c>
      <c r="AD108" s="2">
        <v>6083.5</v>
      </c>
      <c r="AE108" s="3">
        <f>6690+(852.9-1459.4)+(0+(0-0))+0-0-0</f>
        <v>6083.5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5856.2+(988.1-1351.9)+(5.973324+(1.007862-1.378938))+0-0-0</f>
        <v>5498.0022479999998</v>
      </c>
      <c r="G109" s="3">
        <f>5492.8+(999.7-1344.7)+(2.801328+(0.509847-0.685797))+0-0-0</f>
        <v>5150.4253779999999</v>
      </c>
      <c r="H109" s="3">
        <f>5468.4+(773.3-1396.2)+(8.366652+(1.183149-2.136186))+0-0-0</f>
        <v>4852.9136150000004</v>
      </c>
      <c r="I109" s="3">
        <f>5472.5+(784-1602)+(0+(0-0))+0-0-0</f>
        <v>4654.5</v>
      </c>
      <c r="J109" s="3">
        <f>5464.1+(760.2-1704.3)+(-5.573382+(-0.775404--1.738386))+0-0-0</f>
        <v>4515.3896000000004</v>
      </c>
      <c r="K109" s="3">
        <f>5431.4+(809.6-1868.9)+(-19.390098+(-2.890272--6.671973))+0-0-0</f>
        <v>4356.4916029999995</v>
      </c>
      <c r="L109" s="3">
        <f>5330.6+(893.2-2090.4)+(-8.155818+(-1.366596--3.198312))+0-0-0</f>
        <v>4127.075898000001</v>
      </c>
      <c r="M109" s="3">
        <f>5332.9+(861.7-2042.5)+(2.719779+(0.439467-1.041675))+0-0-0</f>
        <v>4154.2175709999992</v>
      </c>
      <c r="N109" s="3">
        <f>5503.8+(956.6-2046.7)+(-2.806938+(-0.487866--1.043817))+0-0-0</f>
        <v>4411.4490130000004</v>
      </c>
      <c r="O109" s="3">
        <f>5795.5+(861.9-1914.7)+(8.867115+(1.318707-2.929491))+0-0-0</f>
        <v>4749.9563309999994</v>
      </c>
      <c r="P109" s="3">
        <f>6106.7+(976.4-1899.5)+(3.114417+(0.497964-0.968745))+0-0-0</f>
        <v>5186.2436359999992</v>
      </c>
      <c r="Q109" s="3">
        <f>6193.9+(1187.6-1816.5)+(3.158889+(0.605676-0.926415))+0-0-0</f>
        <v>5567.8381499999996</v>
      </c>
      <c r="R109" s="3">
        <f>6165.4+(1209.9-1649.3)+(6.288708+(1.234098-1.682286))+0-0-0</f>
        <v>5731.8405199999997</v>
      </c>
      <c r="S109" s="3">
        <f>6136.4+(1205-1575.3)+(12.518256+(2.4582-3.213612))+0-0-0</f>
        <v>5777.8628439999993</v>
      </c>
      <c r="T109" s="3">
        <f>6082.5+(1097.4-1435.2)+(9.306225+(1.679022-2.195856))+0-0-0</f>
        <v>5753.4893910000001</v>
      </c>
      <c r="U109" s="3">
        <f>6013.8+(1007.6-1353.5)+(6.134076+(1.027752-1.38057))+0-0-0</f>
        <v>5673.6812580000005</v>
      </c>
      <c r="V109" s="3">
        <f>6021.4+(1024.7-1407.9)+(3.070914+(0.522597-0.718029))+0-0-0</f>
        <v>5641.0754820000002</v>
      </c>
      <c r="W109" s="3">
        <f>6038.1+(1068-1434.3)+(-3.079431+(-0.54468--0.731493))+0-0-0</f>
        <v>5668.9073820000003</v>
      </c>
      <c r="X109" s="3">
        <f>6023.9+(1158.5-1500.1)+(-12.288756+(-2.36334--3.060204))+0-0-0</f>
        <v>5670.7081079999989</v>
      </c>
      <c r="Y109" s="3">
        <f>5804.9+(1116.3-1305.5)+(2.960499+(0.569313-0.665805))+0-0-0</f>
        <v>5618.5640069999999</v>
      </c>
      <c r="Z109" s="3">
        <f>6265.8+(776.7-1206.3)+(-3.195558+(-0.396117--0.615213))+0-0-0</f>
        <v>5833.2235380000011</v>
      </c>
      <c r="AA109" s="3">
        <f>6641.2+(596.8-1067.9)+(-6.774024+(-0.608736--1.089258))+0-0-0</f>
        <v>6163.806497999999</v>
      </c>
      <c r="AB109" s="3">
        <f>6632.5+(767.7-1297.7)+(-6.76515+(-0.783054--1.323654))+0-0-0</f>
        <v>6096.2754500000001</v>
      </c>
      <c r="AC109" s="3">
        <f>6603.8+(848.1-1562)+(-3.367938+(-0.432531--0.79662))+0-0-0</f>
        <v>5886.8961510000008</v>
      </c>
      <c r="AD109" s="2">
        <v>6137.2000000000007</v>
      </c>
      <c r="AE109" s="3">
        <f>6582+(738.1-1229.9)+(0+(0-0))+0-0-0</f>
        <v>6090.2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6603.7+(828-1910)+(-3.367887+(-0.42228--0.9741))+0-0-0</f>
        <v>5518.8839330000001</v>
      </c>
      <c r="G110" s="3">
        <f>6690.5+(495.9-2057.4)+(0+(0-0))+0-0-0</f>
        <v>5129</v>
      </c>
      <c r="H110" s="3">
        <f>6710.9+(365.1-2235.1)+(-3.422559+(-0.186201--1.139901))+0-0-0</f>
        <v>4838.431141</v>
      </c>
      <c r="I110" s="3">
        <f>6740.1+(321.9-2396.2)+(-3.437451+(-0.164169--1.222062))+0-0-0</f>
        <v>4663.4204420000015</v>
      </c>
      <c r="J110" s="3">
        <f>6661.2+(281.1-2371.6)+(-6.794424+(-0.286722--2.419032))+0-0-0</f>
        <v>4566.0378860000001</v>
      </c>
      <c r="K110" s="3">
        <f>6335.6+(354.4-2194.1)+(-16.15578+(-0.90372--5.594955))+0-0-0</f>
        <v>4484.4354550000007</v>
      </c>
      <c r="L110" s="3">
        <f>6152.4+(371.3-2063.4)+(-6.275448+(-0.378726--2.104668))+0-0-0</f>
        <v>4455.750493999999</v>
      </c>
      <c r="M110" s="3">
        <f>6356.8+(662.9-1977.4)+(9.725904+(1.014237-3.025422))+0-0-0</f>
        <v>5050.0147189999998</v>
      </c>
      <c r="N110" s="3">
        <f>6814.4+(892.7-1949.7)+(0+(0-0))+0-0-0</f>
        <v>5757.4</v>
      </c>
      <c r="O110" s="3">
        <f>7425.7+(1074.5-1931.1)+(7.574214+(1.09599-1.969722))+0-0-0</f>
        <v>6575.8004820000006</v>
      </c>
      <c r="P110" s="3">
        <f>7538.1+(1314.7-1777.9)+(11.533293+(2.011491-2.720187))+0-0-0</f>
        <v>7085.7245970000004</v>
      </c>
      <c r="Q110" s="3">
        <f>7517.6+(1265.1-1412.4)+(11.501928+(1.935603-2.160972))+0-0-0</f>
        <v>7381.5765590000001</v>
      </c>
      <c r="R110" s="3">
        <f>7427.5+(1235.1-1146.7)+(15.1521+(2.519604-2.339268))+0-0-0</f>
        <v>7531.2324359999993</v>
      </c>
      <c r="S110" s="3">
        <f>7422.1+(1211.2-1195.7)+(3.785271+(0.617712-0.609807))+0-0-0</f>
        <v>7441.3931760000005</v>
      </c>
      <c r="T110" s="3">
        <f>7423.6+(1275-1120.7)+(-3.786036+(-0.65025--0.571557))+0-0-0</f>
        <v>7574.0352710000006</v>
      </c>
      <c r="U110" s="3">
        <f>7356.1+(1285.6-1084)+(0+(0-0))+0-0-0</f>
        <v>7557.7000000000007</v>
      </c>
      <c r="V110" s="3">
        <f>7292.2+(1330.2-1141.2)+(-7.438044+(-1.356804--1.164024))+0-0-0</f>
        <v>7473.569176</v>
      </c>
      <c r="W110" s="3">
        <f>7258.5+(1391.5-1322.7)+(-11.105505+(-2.128995--2.023731))+0-0-0</f>
        <v>7316.0892309999999</v>
      </c>
      <c r="X110" s="3">
        <f>7232.7+(1494.5-1701.7)+(-18.443385+(-3.810975--4.339335))+0-0-0</f>
        <v>7007.5849749999998</v>
      </c>
      <c r="Y110" s="3">
        <f>7029+(1319.4-1668.1)+(-10.75437+(-2.018682--2.552193))+0-0-0</f>
        <v>6670.0791410000002</v>
      </c>
      <c r="Z110" s="3">
        <f>7399.7+(1271.1-1811.3)+(7.547694+(1.296522-1.847526))+0-0-0</f>
        <v>6866.4966899999999</v>
      </c>
      <c r="AA110" s="3">
        <f>7650.6+(1142.8-1700.9)+(-11.705418+(-1.748484--2.602377))+0-0-0</f>
        <v>7081.648475</v>
      </c>
      <c r="AB110" s="3">
        <f>7596+(1232.1-1939.4)+(-11.62188+(-1.885113--2.967282))+0-0-0</f>
        <v>6878.1602889999995</v>
      </c>
      <c r="AC110" s="3">
        <f>7539+(1194.2-2273.1)+(-7.68978+(-1.218084--2.318562))+0-0-0</f>
        <v>6453.510698</v>
      </c>
      <c r="AD110" s="2">
        <v>7081.1</v>
      </c>
      <c r="AE110" s="3">
        <f>7628+(1121-1667.9)+(0+(0-0))+0-0-0</f>
        <v>7081.1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7339.4+(1002.2-2400.6)+(-7.486188+(-1.022244--2.448612))+0-0-0</f>
        <v>5934.9401799999996</v>
      </c>
      <c r="G111" s="3">
        <f>6916.1+(743.4-2220.6)+(-7.054422+(-0.758268--2.265012))+0-0-0</f>
        <v>5433.3523220000006</v>
      </c>
      <c r="H111" s="3">
        <f>6797.8+(472.4-2161.4)+(-10.400634+(-0.722772--3.306942))+0-0-0</f>
        <v>5100.9835359999997</v>
      </c>
      <c r="I111" s="3">
        <f>6527.6+(360.1-1948.8)+(-19.974456+(-1.101906--5.963328))+0-0-0</f>
        <v>4923.7869660000006</v>
      </c>
      <c r="J111" s="3">
        <f>6427.2+(340.6-1925.3)+(-16.38936+(-0.86853--4.909515))+0-0-0</f>
        <v>4830.1516250000004</v>
      </c>
      <c r="K111" s="3">
        <f>6341.9+(411.1-2001.2)+(-29.109321+(-1.886949--9.185508))+0-0-0</f>
        <v>4729.9892379999992</v>
      </c>
      <c r="L111" s="3">
        <f>6110.4+(581-2003.8)+(0+(0-0))+0-0-0</f>
        <v>4687.5999999999995</v>
      </c>
      <c r="M111" s="3">
        <f>6400.2+(721.9-1922.6)+(3.264102+(0.368169-0.980526))+0-0-0</f>
        <v>5202.1517450000001</v>
      </c>
      <c r="N111" s="3">
        <f>6990.1+(894.9-1876.3)+(7.129902+(0.912798-1.913826))+0-0-0</f>
        <v>6014.8288740000007</v>
      </c>
      <c r="O111" s="3">
        <f>7178.1+(1098.4-1636.5)+(3.660831+(0.560184-0.834615))+0-0-0</f>
        <v>6643.3864000000003</v>
      </c>
      <c r="P111" s="3">
        <f>7532.8+(1119.1-1515.2)+(3.841728+(0.570741-0.772752))+0-0-0</f>
        <v>7140.3397169999998</v>
      </c>
      <c r="Q111" s="3">
        <f>7457.5+(1303.9-1311.6)+(3.803325+(0.664989-0.668916))+0-0-0</f>
        <v>7453.5993980000003</v>
      </c>
      <c r="R111" s="3">
        <f>7486.7+(1153.3-1029.1)+(0+(0-0))+0-0-0</f>
        <v>7610.9</v>
      </c>
      <c r="S111" s="3">
        <f>7441.7+(1128.4-1093.5)+(-3.795267+(-0.575484--0.557685))+0-0-0</f>
        <v>7472.7869340000007</v>
      </c>
      <c r="T111" s="3">
        <f>7328.6+(1214.6-939.2)+(7.475172+(1.238892-0.957984))+0-0-0</f>
        <v>7611.7560800000001</v>
      </c>
      <c r="U111" s="3">
        <f>7273.9+(1241.6-919.9)+(0+(0-0))+0-0-0</f>
        <v>7595.5999999999995</v>
      </c>
      <c r="V111" s="3">
        <f>7292.6+(1326.6-1112.7)+(0+(0-0))+0-0-0</f>
        <v>7506.5</v>
      </c>
      <c r="W111" s="3">
        <f>7243.4+(1333.2-1231.9)+(-22.164804+(-4.079592--3.769614))+0-0-0</f>
        <v>7322.2252179999996</v>
      </c>
      <c r="X111" s="3">
        <f>7202.7+(1400.5-1567.8)+(-33.060393+(-6.428295--7.196202))+0-0-0</f>
        <v>7003.1075139999994</v>
      </c>
      <c r="Y111" s="3">
        <f>6885.9+(1233-1469.2)+(-7.023618+(-1.25766--1.498584))+0-0-0</f>
        <v>6642.9173059999994</v>
      </c>
      <c r="Z111" s="3">
        <f>7256.9+(841.1-1274.9)+(0+(0-0))+0-0-0</f>
        <v>6823.0999999999995</v>
      </c>
      <c r="AA111" s="3">
        <f>7645.7+(811.8-1428.3)+(-7.798614+(-0.828036--1.456866))+0-0-0</f>
        <v>7022.0302160000001</v>
      </c>
      <c r="AB111" s="3">
        <f>7582.9+(929.9-1688.4)+(-15.469116+(-1.896996--3.444336))+0-0-0</f>
        <v>6810.4782239999995</v>
      </c>
      <c r="AC111" s="3">
        <f>7546.4+(997.2-2058)+(-7.697328+(-1.017144--2.09916))+0-0-0</f>
        <v>6478.9846879999996</v>
      </c>
      <c r="AD111" s="2">
        <v>6996.3000000000011</v>
      </c>
      <c r="AE111" s="3">
        <f>7637+(859.2-1499.9)+(0+(0-0))+0-0-0</f>
        <v>6996.3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7287.5+(801.9-2165.5)+(-7.43325+(-0.817938--2.20881))+0-0-0</f>
        <v>5917.8576219999995</v>
      </c>
      <c r="G112" s="3">
        <f>6953.9+(825.6-2335.1)+(-10.639467+(-1.263168--3.572703))+0-0-0</f>
        <v>5436.070068</v>
      </c>
      <c r="H112" s="3">
        <f>6840.1+(606.1-2312.6)+(-17.442255+(-1.545555--5.89713))+0-0-0</f>
        <v>5120.5093200000001</v>
      </c>
      <c r="I112" s="3">
        <f>6651.8+(527.3-2233.1)+(3.392418+(0.268923-1.138881))+0-0-0</f>
        <v>4948.5224600000001</v>
      </c>
      <c r="J112" s="3">
        <f>6334.2+(467.5-1958.6)+(-3.230442+(-0.238425--0.998886))+0-0-0</f>
        <v>4840.6300190000002</v>
      </c>
      <c r="K112" s="3">
        <f>6105.2+(635.6-2005.8)+(-9.340956+(-0.972468--3.068874))+0-0-0</f>
        <v>4727.7554499999997</v>
      </c>
      <c r="L112" s="3">
        <f>5909.4+(689.7-1928.5)+(0+(0-0))+0-0-0</f>
        <v>4670.5999999999995</v>
      </c>
      <c r="M112" s="3">
        <f>6116.5+(789.9-1702.5)+(-3.119415+(-0.402849--0.868275))+0-0-0</f>
        <v>5201.2460109999993</v>
      </c>
      <c r="N112" s="3">
        <f>6645.3+(927.8-1623.5)+(13.556412+(1.892712-3.31194))+0-0-0</f>
        <v>5961.7371840000005</v>
      </c>
      <c r="O112" s="3">
        <f>7197.3+(978.4-1645.8)+(-7.341246+(-0.997968--1.678716))+0-0-0</f>
        <v>6523.2395020000004</v>
      </c>
      <c r="P112" s="3">
        <f>7437.8+(1068.8-1446.7)+(-3.793278+(-0.545088--0.737817))+0-0-0</f>
        <v>7056.2994509999999</v>
      </c>
      <c r="Q112" s="3">
        <f>7469.8+(1148.9-1216.7)+(15.238392+(2.343756-2.482068))+0-0-0</f>
        <v>7417.1000800000002</v>
      </c>
      <c r="R112" s="3">
        <f>7317.6+(1194.4-967.5)+(7.463952+(1.218288-0.98685))+0-0-0</f>
        <v>7552.1953899999999</v>
      </c>
      <c r="S112" s="3">
        <f>7298.4+(1259.4-1098.8)+(3.722184+(0.642294-0.560388))+0-0-0</f>
        <v>7462.8040899999996</v>
      </c>
      <c r="T112" s="3">
        <f>7248.7+(1314-926.6)+(-3.696837+(-0.67014--0.472566))+0-0-0</f>
        <v>7632.2055889999992</v>
      </c>
      <c r="U112" s="3">
        <f>7276.6+(1379.6-1011.8)+(0+(0-0))+0-0-0</f>
        <v>7644.4000000000005</v>
      </c>
      <c r="V112" s="3">
        <f>7175.6+(1478.8-1093.8)+(3.659556+(0.754188-0.557838))+0-0-0</f>
        <v>7564.4559060000001</v>
      </c>
      <c r="W112" s="3">
        <f>7111.1+(1595.5-1304.7)+(0+(0-0))+0-0-0</f>
        <v>7401.9000000000005</v>
      </c>
      <c r="X112" s="3">
        <f>7064.5+(1711.8-1702.9)+(-7.20579+(-1.746036--1.736958))+0-0-0</f>
        <v>7066.1851319999996</v>
      </c>
      <c r="Y112" s="3">
        <f>6868.7+(1372.5-1479.7)+(14.012148+(2.7999-3.018588))+0-0-0</f>
        <v>6775.2934599999999</v>
      </c>
      <c r="Z112" s="3">
        <f>7147+(1416.1-1689.4)+(10.93491+(2.166633-2.584782))+0-0-0</f>
        <v>6884.2167609999997</v>
      </c>
      <c r="AA112" s="3">
        <f>7462+(1256.9-1630.1)+(-15.22248+(-2.564076--3.325404))+0-0-0</f>
        <v>7074.3388480000003</v>
      </c>
      <c r="AB112" s="3">
        <f>7448.4+(1202.3-1783.3)+(-11.396052+(-1.839519--2.728449))+0-0-0</f>
        <v>6856.8928779999997</v>
      </c>
      <c r="AC112" s="3">
        <f>7308.9+(1058.6-1945.5)+(-3.727539+(-0.539886--0.992205))+0-0-0</f>
        <v>6418.7247799999996</v>
      </c>
      <c r="AD112" s="2">
        <v>7072.3</v>
      </c>
      <c r="AE112" s="3">
        <f>7459+(1223.6-1610.3)+(0+(0-0))+0-0-0</f>
        <v>7072.3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6956.6+(1021.7-2131.4)+(-10.643598+(-1.563201--3.261042))+0-0-0</f>
        <v>5837.9542430000001</v>
      </c>
      <c r="G113" s="3">
        <f>6630.8+(968.6-2229.7)+(-16.90854+(-2.46993--5.685735))+0-0-0</f>
        <v>5356.0072650000011</v>
      </c>
      <c r="H113" s="3">
        <f>6270.2+(864.6-2052.9)+(-12.791208+(-1.763784--4.187916))+0-0-0</f>
        <v>5071.5329239999992</v>
      </c>
      <c r="I113" s="3">
        <f>6151.2+(856-2107.3)+(-15.68556+(-2.1828--5.373615))+0-0-0</f>
        <v>4887.4052549999997</v>
      </c>
      <c r="J113" s="3">
        <f>6118+(777.4-2102.5)+(-3.12018+(-0.396474--1.072275))+0-0-0</f>
        <v>4790.4556210000001</v>
      </c>
      <c r="K113" s="3">
        <f>6011.1+(838.5-2167.5)+(0+(0-0))+0-0-0</f>
        <v>4682.1000000000004</v>
      </c>
      <c r="L113" s="3">
        <f>5741.7+(816.3-1920.6)+(-8.784801+(-1.248939--2.938518))+0-0-0</f>
        <v>4630.3047779999997</v>
      </c>
      <c r="M113" s="3">
        <f>6047.6+(852.9-1758)+(9.252828+(1.304937-2.68974))+0-0-0</f>
        <v>5150.3680249999998</v>
      </c>
      <c r="N113" s="3">
        <f>6934.2+(1177.4-2169.1)+(0+(0-0))+0-0-0</f>
        <v>5942.5</v>
      </c>
      <c r="O113" s="3">
        <f>6967.4+(1338.8-1718)+(0+(0-0))+0-0-0</f>
        <v>6588.2</v>
      </c>
      <c r="P113" s="3">
        <f>7116.6+(1289.6-1339.9)+(0+(0-0))+0-0-0</f>
        <v>7066.3</v>
      </c>
      <c r="Q113" s="3">
        <f>7212.9+(1275.8-1076.5)+(7.357158+(1.301316-1.09803))+0-0-0</f>
        <v>7419.7604439999996</v>
      </c>
      <c r="R113" s="3">
        <f>7166.8+(1340.5-949.9)+(7.310136+(1.36731-0.968898))+0-0-0</f>
        <v>7565.1085480000002</v>
      </c>
      <c r="S113" s="3">
        <f>7090.5+(1355.8-976)+(-10.848465+(-2.074374--1.49328))+0-0-0</f>
        <v>7458.870441</v>
      </c>
      <c r="T113" s="3">
        <f>7100+(1391.5-877.9)+(-7.242+(-1.41933--0.895458))+0-0-0</f>
        <v>7605.8341280000004</v>
      </c>
      <c r="U113" s="3">
        <f>7150.9+(1350.4-893.8)+(-14.587836+(-2.754816--1.823352))+0-0-0</f>
        <v>7591.9807000000001</v>
      </c>
      <c r="V113" s="3">
        <f>7231.3+(1356.8-1054.9)+(-3.687963+(-0.691968--0.537999))+0-0-0</f>
        <v>7529.3580679999995</v>
      </c>
      <c r="W113" s="3">
        <f>7247.6+(1427.3-1309)+(-11.088828+(-2.183769--2.00277))+0-0-0</f>
        <v>7354.6301730000005</v>
      </c>
      <c r="X113" s="3">
        <f>7218.4+(1555.1-1743.7)+(-18.40692+(-3.965505--4.446435))+0-0-0</f>
        <v>7011.8740099999995</v>
      </c>
      <c r="Y113" s="3">
        <f>7209+(1097.8-1653.5)+(0+(0-0))+0-0-0</f>
        <v>6653.3</v>
      </c>
      <c r="Z113" s="3">
        <f>7405.2+(1212.3-1808.2)+(0+(0-0))+0-0-0</f>
        <v>6809.2999999999993</v>
      </c>
      <c r="AA113" s="3">
        <f>7556.4+(1265.3-1770.3)+(-11.561292+(-1.935909--2.708559))+0-0-0</f>
        <v>7040.6113579999992</v>
      </c>
      <c r="AB113" s="3">
        <f>7470.4+(1190.9-1845.2)+(-11.429712+(-1.822077--2.823156))+0-0-0</f>
        <v>6805.671366999999</v>
      </c>
      <c r="AC113" s="3">
        <f>7313.1+(1147.7-2005)+(-7.459362+(-1.170654--2.0451))+0-0-0</f>
        <v>6449.2150840000004</v>
      </c>
      <c r="AD113" s="2">
        <v>7079.0999999999995</v>
      </c>
      <c r="AE113" s="3">
        <f>7565+(1280.8-1766.7)+(0+(0-0))+0-0-0</f>
        <v>7079.1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6915+(1073.5-2072.2)+(-3.52665+(-0.547485--1.056822))+0-0-0</f>
        <v>5913.2826869999999</v>
      </c>
      <c r="G114" s="3">
        <f>6585.8+(1055.5-2229.9)+(-13.435032+(-2.15322--4.548996))+0-0-0</f>
        <v>5400.3607439999996</v>
      </c>
      <c r="H114" s="3">
        <f>6315.3+(895.4-2100.8)+(-3.220803+(-0.456654--1.071408))+0-0-0</f>
        <v>5107.2939509999997</v>
      </c>
      <c r="I114" s="3">
        <f>6205.1+(830-2105.9)+(-9.493803+(-1.2699--3.222027))+0-0-0</f>
        <v>4921.6583240000009</v>
      </c>
      <c r="J114" s="3">
        <f>5951+(719.3-1833.8)+(-6.07002+(-0.733686--1.870476))+0-0-0</f>
        <v>4831.5667700000004</v>
      </c>
      <c r="K114" s="3">
        <f>5791.2+(793.2-1836.9)+(-17.721072+(-2.427192--5.620914))+0-0-0</f>
        <v>4732.9726499999997</v>
      </c>
      <c r="L114" s="3">
        <f>5832.4+(736.3-1888.5)+(0+(0-0))+0-0-0</f>
        <v>4680.2</v>
      </c>
      <c r="M114" s="3">
        <f>6162.2+(859.8-1814.4)+(3.142722+(0.438498-0.925344))+0-0-0</f>
        <v>5210.2558759999993</v>
      </c>
      <c r="N114" s="3">
        <f>6561.1+(938.2-1493.6)+(6.692322+(0.956964-1.523472))+0-0-0</f>
        <v>6011.8258140000007</v>
      </c>
      <c r="O114" s="3">
        <f>7187.4+(1184.2-1765.7)+(0+(0-0))+0-0-0</f>
        <v>6605.9</v>
      </c>
      <c r="P114" s="3">
        <f>7373.9+(1484.2-1783.3)+(11.282067+(2.270826-2.728449))+0-0-0</f>
        <v>7085.6244439999991</v>
      </c>
      <c r="Q114" s="3">
        <f>7381.2+(1372.6-1318.9)+(-7.528824+(-1.400052--1.345278))+0-0-0</f>
        <v>7427.3164019999995</v>
      </c>
      <c r="R114" s="3">
        <f>7400.3+(1307.6-1090.7)+(3.774153+(0.666876-0.556257))+0-0-0</f>
        <v>7621.0847720000002</v>
      </c>
      <c r="S114" s="3">
        <f>7433.6+(1208.5-1087.1)+(-18.95568+(-3.081675--2.772105))+0-0-0</f>
        <v>7535.7347499999996</v>
      </c>
      <c r="T114" s="3">
        <f>7403+(1268-963.1)+(-7.55106+(-1.29336--0.982362))+0-0-0</f>
        <v>7700.0379419999999</v>
      </c>
      <c r="U114" s="3">
        <f>7360.1+(1311.2-973.5)+(-3.753651+(-0.668712--0.496485))+0-0-0</f>
        <v>7693.8741220000002</v>
      </c>
      <c r="V114" s="3">
        <f>7248.7+(1394.7-1033.7)+(3.696837+(0.711297-0.527187))+0-0-0</f>
        <v>7613.5809469999995</v>
      </c>
      <c r="W114" s="3">
        <f>7215.6+(1486.4-1251.7)+(-3.679956+(-0.758064--0.638367))+0-0-0</f>
        <v>7446.5003470000001</v>
      </c>
      <c r="X114" s="3">
        <f>7235.5+(1605.3-1715.7)+(-7.38021+(-1.637406--1.750014))+0-0-0</f>
        <v>7117.8323980000005</v>
      </c>
      <c r="Y114" s="3">
        <f>7137.1+(1320.7-1703.9)+(-14.559684+(-2.694228--3.475956))+0-0-0</f>
        <v>6740.1220440000006</v>
      </c>
      <c r="Z114" s="3">
        <f>7438.6+(1363-1932)+(15.174744+(2.78052-3.94128))+0-0-0</f>
        <v>6883.6139840000005</v>
      </c>
      <c r="AA114" s="3">
        <f>7645.6+(1309.9-1888.7)+(-7.798512+(-1.336098--1.926474))+0-0-0</f>
        <v>7059.591864</v>
      </c>
      <c r="AB114" s="3">
        <f>7621.6+(1263.3-2066)+(-15.548064+(-2.577132--4.21464))+0-0-0</f>
        <v>6804.9894440000007</v>
      </c>
      <c r="AC114" s="3">
        <f>7534.6+(1249.8-2316.2)+(3.842646+(0.637398-1.181262))+0-0-0</f>
        <v>6471.4987820000006</v>
      </c>
      <c r="AD114" s="2">
        <v>7013.1999999999989</v>
      </c>
      <c r="AE114" s="3">
        <f>7646+(1269.8-1902.6)+(0+(0-0))+0-0-0</f>
        <v>7013.2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7346.3+(971.5-2430.6)+(-3.746613+(-0.495465--1.239606))+0-0-0</f>
        <v>5884.1975280000006</v>
      </c>
      <c r="G115" s="3">
        <f>6819.2+(953.2-2356.2)+(-3.477792+(-0.486132--1.201662))+0-0-0</f>
        <v>5413.4377379999996</v>
      </c>
      <c r="H115" s="3">
        <f>6753.8+(743-2355.7)+(-6.888876+(-0.75786--2.402814))+0-0-0</f>
        <v>5135.8560780000007</v>
      </c>
      <c r="I115" s="3">
        <f>6769.5+(622.7-2423.1)+(-10.357335+(-0.952731--3.707343))+0-0-0</f>
        <v>4961.4972770000004</v>
      </c>
      <c r="J115" s="3">
        <f>6476.4+(552.7-2190.5)+(-6.605928+(-0.563754--2.23431))+0-0-0</f>
        <v>4833.6646279999995</v>
      </c>
      <c r="K115" s="3">
        <f>6467+(605.6-2340.3)+(-6.59634+(-0.617712--2.387106))+0-0-0</f>
        <v>4727.4730539999991</v>
      </c>
      <c r="L115" s="3">
        <f>6281.6+(448.8-2109.1)+(3.203616+(0.228888-1.075641))+0-0-0</f>
        <v>4623.6568630000002</v>
      </c>
      <c r="M115" s="3">
        <f>6570.2+(451.2-2026.9)+(10.052406+(0.690336-3.101157))+0-0-0</f>
        <v>5002.1415850000003</v>
      </c>
      <c r="N115" s="3">
        <f>7273+(600.3-2178.4)+(-3.70923+(-0.306153--1.110984))+0-0-0</f>
        <v>5691.9956009999996</v>
      </c>
      <c r="O115" s="3">
        <f>7409.1+(1037-2111.5)+(15.114564+(2.11548-4.30746))+0-0-0</f>
        <v>6347.5225840000003</v>
      </c>
      <c r="P115" s="3">
        <f>7463.9+(991.4-1618.2)+(0+(0-0))+0-0-0</f>
        <v>6837.0999999999995</v>
      </c>
      <c r="Q115" s="3">
        <f>7548.6+(948.8-1319.6)+(15.399144+(1.935552-2.691984))+0-0-0</f>
        <v>7192.442712</v>
      </c>
      <c r="R115" s="3">
        <f>7552.7+(912.7-1157)+(-3.851877+(-0.465477--0.59007))+0-0-0</f>
        <v>7304.672716</v>
      </c>
      <c r="S115" s="3">
        <f>7487.2+(1302.5-1441.5)+(-7.636944+(-1.32855--1.47033))+0-0-0</f>
        <v>7340.7048359999999</v>
      </c>
      <c r="T115" s="3">
        <f>7471.2+(1411.9-1731.3)+(7.620624+(1.440138-1.765926))+0-0-0</f>
        <v>7159.0948360000002</v>
      </c>
      <c r="U115" s="3">
        <f>7400.7+(1464.5-1870.3)+(-3.774357+(-0.746895--0.953853))+0-0-0</f>
        <v>6991.3326010000001</v>
      </c>
      <c r="V115" s="3">
        <f>7345.9+(1525.1-1990.7)+(-7.492818+(-1.555602--2.030514))+0-0-0</f>
        <v>6873.2820939999992</v>
      </c>
      <c r="W115" s="3">
        <f>7272.9+(1610.9-2067)+(3.709179+(0.821559-1.05417))+0-0-0</f>
        <v>6820.2765679999993</v>
      </c>
      <c r="X115" s="3">
        <f>7166.4+(1707.4-2234.8)+(-10.964592+(-2.612322--3.419244))+0-0-0</f>
        <v>6628.8423300000004</v>
      </c>
      <c r="Y115" s="3">
        <f>7113.6+(1542.2-2211.9)+(-14.511744+(-3.146088--4.512276))+0-0-0</f>
        <v>6430.7544440000001</v>
      </c>
      <c r="Z115" s="3">
        <f>7419.8+(1355.4-2177)+(3.784098+(0.691254-1.11027))+0-0-0</f>
        <v>6601.565082000001</v>
      </c>
      <c r="AA115" s="3">
        <f>7593.4+(1366.4-2212)+(-11.617902+(-2.090592--3.38436))+0-0-0</f>
        <v>6737.4758659999989</v>
      </c>
      <c r="AB115" s="3">
        <f>7455.4+(1490.5-2407.3)+(-7.604508+(-1.52031--2.455446))+0-0-0</f>
        <v>6531.9306279999992</v>
      </c>
      <c r="AC115" s="3">
        <f>7236.3+(1501.2-2550)+(-11.071539+(-2.296836--3.9015))+0-0-0</f>
        <v>6178.0331249999999</v>
      </c>
      <c r="AD115" s="2">
        <v>6717.7</v>
      </c>
      <c r="AE115" s="3">
        <f>7591+(1375-2248.3)+(0+(0-0))+0-0-0</f>
        <v>6717.7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7042.5+(1364-2608.8)+(10.775025+(2.08692-3.991464))+0-0-0</f>
        <v>5806.5704809999997</v>
      </c>
      <c r="G116" s="3">
        <f>6902.2+(1063-2555.7)+(0+(0-0))+0-0-0</f>
        <v>5409.5</v>
      </c>
      <c r="H116" s="3">
        <f>6652.1+(930-2469.6)+(6.785142+(0.9486-2.518992))+0-0-0</f>
        <v>5117.7147500000001</v>
      </c>
      <c r="I116" s="3">
        <f>6447.9+(846.2-2397.8)+(-6.576858+(-0.863124--2.445756))+0-0-0</f>
        <v>4891.3057739999995</v>
      </c>
      <c r="J116" s="3">
        <f>6456.9+(723-2418.3)+(-3.293019+(-0.36873--1.233333))+0-0-0</f>
        <v>4759.1715839999997</v>
      </c>
      <c r="K116" s="3">
        <f>6261.1+(733.8-2369.6)+(-15.965805+(-1.87119--6.04248))+0-0-0</f>
        <v>4613.5054850000006</v>
      </c>
      <c r="L116" s="3">
        <f>6166.2+(624.9-2411.8)+(-12.579048+(-1.274796--4.920072))+0-0-0</f>
        <v>4370.366227999999</v>
      </c>
      <c r="M116" s="3">
        <f>6160.6+(530.9-2333.9)+(-3.141906+(-0.270759--1.190289))+0-0-0</f>
        <v>4355.3776240000007</v>
      </c>
      <c r="N116" s="3">
        <f>6282.2+(662.6-2359.3)+(-6.407844+(-0.675852--2.406486))+0-0-0</f>
        <v>4580.8227900000002</v>
      </c>
      <c r="O116" s="3">
        <f>6323.4+(1131.8-2512.6)+(-6.449868+(-1.154436--2.562852))+0-0-0</f>
        <v>4937.5585479999991</v>
      </c>
      <c r="P116" s="3">
        <f>6699.4+(1194.2-2490.8)+(-3.416694+(-0.609042--1.270308))+0-0-0</f>
        <v>5400.0445719999989</v>
      </c>
      <c r="Q116" s="3">
        <f>7055.8+(1204.5-2447.3)+(-3.598458+(-0.614295--1.248123))+0-0-0</f>
        <v>5810.0353699999996</v>
      </c>
      <c r="R116" s="3">
        <f>7108.7+(1233.6-2332.1)+(0+(0-0))+0-0-0</f>
        <v>6010.2</v>
      </c>
      <c r="S116" s="3">
        <f>7051.4+(1319.1-2300.7)+(-7.192428+(-1.345482--2.346714))+0-0-0</f>
        <v>6063.6088039999995</v>
      </c>
      <c r="T116" s="3">
        <f>7014.5+(1357.9-2312.3)+(7.15479+(1.385058-2.358546))+0-0-0</f>
        <v>6066.2813020000003</v>
      </c>
      <c r="U116" s="3">
        <f>6914.3+(1355.5-2254.9)+(-7.052586+(-1.38261--2.299998))+0-0-0</f>
        <v>6008.7648019999997</v>
      </c>
      <c r="V116" s="3">
        <f>6771.5+(1355.9-2144)+(-13.81386+(-2.766036--4.37376))+0-0-0</f>
        <v>5971.1938639999998</v>
      </c>
      <c r="W116" s="3">
        <f>6819.3+(1334-2170.7)+(-6.955686+(-1.36068--2.214114))+0-0-0</f>
        <v>5976.4977480000007</v>
      </c>
      <c r="X116" s="3">
        <f>6820.9+(1448.9-2305.6)+(-10.435977+(-2.216817--3.527568))+0-0-0</f>
        <v>5955.0747739999997</v>
      </c>
      <c r="Y116" s="3">
        <f>6723.1+(1123.3-1947.7)+(-3.428781+(-0.572883--0.993327))+0-0-0</f>
        <v>5895.6916630000005</v>
      </c>
      <c r="Z116" s="3">
        <f>7005.2+(1221.6-2108)+(0+(0-0))+0-0-0</f>
        <v>6118.7999999999993</v>
      </c>
      <c r="AA116" s="3">
        <f>7418.4+(1218.5-2268.7)+(11.350152+(1.864305-3.471111))+0-0-0</f>
        <v>6377.943346</v>
      </c>
      <c r="AB116" s="3">
        <f>7335.3+(1240.1-2316.5)+(-11.223009+(-1.897353--3.544245))+0-0-0</f>
        <v>6249.323883</v>
      </c>
      <c r="AC116" s="3">
        <f>7204+(1309-2485.9)+(-11.02212+(-2.00277--3.803427))+0-0-0</f>
        <v>6017.8785370000005</v>
      </c>
      <c r="AD116" s="2">
        <v>6259.7</v>
      </c>
      <c r="AE116" s="3">
        <f>7362+(1242.9-2345.2)+(0+(0-0))+0-0-0</f>
        <v>6259.7000000000007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7055.3+(1085-2511.9)+(-3.598203+(-0.55335--1.281069))+0-0-0</f>
        <v>5625.5295159999996</v>
      </c>
      <c r="G117" s="3">
        <f>6743.4+(847.6-2377.7)+(-10.317402+(-1.296828--3.637881))+0-0-0</f>
        <v>5205.3236509999997</v>
      </c>
      <c r="H117" s="3">
        <f>6513+(837.1-2420.2)+(-6.64326+(-0.853842--2.468604))+0-0-0</f>
        <v>4924.871502</v>
      </c>
      <c r="I117" s="3">
        <f>6448.7+(758.6-2426.5)+(-6.577674+(-0.773772--2.47503))+0-0-0</f>
        <v>4775.9235839999992</v>
      </c>
      <c r="J117" s="3">
        <f>6406.6+(750.2-2453.9)+(-6.534732+(-0.765204--2.502978))+0-0-0</f>
        <v>4698.1030420000006</v>
      </c>
      <c r="K117" s="3">
        <f>6270.7+(768.2-2377.9)+(-12.792228+(-1.567128--4.850916))+0-0-0</f>
        <v>4651.4915600000004</v>
      </c>
      <c r="L117" s="3">
        <f>6107+(646.6-2094.7)+(0+(0-0))+0-0-0</f>
        <v>4658.8999999999996</v>
      </c>
      <c r="M117" s="3">
        <f>6464.7+(718.8-1927.3)+(-3.296997+(-0.366588--0.982923))+0-0-0</f>
        <v>5253.5193380000001</v>
      </c>
      <c r="N117" s="3">
        <f>7193.7+(1017-2122.7)+(7.337574+(1.03734-2.165154))+0-0-0</f>
        <v>6094.2097599999997</v>
      </c>
      <c r="O117" s="3">
        <f>7463.6+(1397-2104.8)+(-3.806436+(-0.71247--1.073448))+0-0-0</f>
        <v>6752.354542</v>
      </c>
      <c r="P117" s="3">
        <f>7570.8+(1630.4-1938.4)+(7.722216+(1.663008-1.977168))+0-0-0</f>
        <v>7270.2080560000004</v>
      </c>
      <c r="Q117" s="3">
        <f>7578.5+(1639.4-1572.6)+(3.865035+(0.836094-0.802026))+0-0-0</f>
        <v>7649.1991029999999</v>
      </c>
      <c r="R117" s="3">
        <f>7501.8+(1608-1290.6)+(3.825918+(0.82008-0.658206))+0-0-0</f>
        <v>7823.1877920000006</v>
      </c>
      <c r="S117" s="3">
        <f>7452.8+(1550-1262.4)+(-3.800928+(-0.7905--0.643824))+0-0-0</f>
        <v>7736.4523959999997</v>
      </c>
      <c r="T117" s="3">
        <f>7416.7+(1495.1-1027.5)+(-11.347551+(-2.287503--1.572075))+0-0-0</f>
        <v>7872.237020999999</v>
      </c>
      <c r="U117" s="3">
        <f>7368.8+(1485.3-1004.6)+(-15.032352+(-3.030012--2.049384))+0-0-0</f>
        <v>7833.4870199999996</v>
      </c>
      <c r="V117" s="3">
        <f>7331.4+(1490.4-1072.8)+(-14.956056+(-3.040416--2.188512))+0-0-0</f>
        <v>7733.1920399999999</v>
      </c>
      <c r="W117" s="3">
        <f>7150.5+(1527.3-1081.5)+(-10.940265+(-2.336769--1.654695))+0-0-0</f>
        <v>7584.6776610000006</v>
      </c>
      <c r="X117" s="3">
        <f>6992.7+(1700.1-1402.6)+(-24.963939+(-6.069357--5.007282))+0-0-0</f>
        <v>7264.1739859999998</v>
      </c>
      <c r="Y117" s="3">
        <f>7105.3+(1594.1-1739.5)+(-18.118515+(-4.064955--4.435725))+0-0-0</f>
        <v>6942.152255</v>
      </c>
      <c r="Z117" s="3">
        <f>7445.4+(1504.5-1845.7)+(15.188616+(3.06918-3.765228))+0-0-0</f>
        <v>7118.6925679999995</v>
      </c>
      <c r="AA117" s="3">
        <f>7658.2+(1372-1772.3)+(-3.905682+(-0.69972--0.903873))+0-0-0</f>
        <v>7254.1984709999997</v>
      </c>
      <c r="AB117" s="3">
        <f>7566.5+(1320.6-1908.9)+(-23.15349+(-4.041036--5.841234))+0-0-0</f>
        <v>6956.846708</v>
      </c>
      <c r="AC117" s="3">
        <f>7482.3+(1392.9-2297.9)+(3.815973+(0.710379-1.171929))+0-0-0</f>
        <v>6580.654423</v>
      </c>
      <c r="AD117" s="2">
        <v>7126.9999999999991</v>
      </c>
      <c r="AE117" s="3">
        <f>7625+(1327.8-1825.8)+(0+(0-0))+0-0-0</f>
        <v>7127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7303.3+(1162.5-2465.7)+(-11.174049+(-1.778625--3.772521))+0-0-0</f>
        <v>5990.9198470000001</v>
      </c>
      <c r="G118" s="3">
        <f>6948.2+(1115.9-2518.1)+(3.543582+(0.569109-1.284231))+0-0-0</f>
        <v>5548.8284599999997</v>
      </c>
      <c r="H118" s="3">
        <f>6785+(939.7-2464.1)+(-3.46035+(-0.479247--1.256691))+0-0-0</f>
        <v>5257.9170940000004</v>
      </c>
      <c r="I118" s="3">
        <f>6663.3+(846-2413.4)+(-6.796566+(-0.86292--2.461668))+0-0-0</f>
        <v>5090.702182</v>
      </c>
      <c r="J118" s="3">
        <f>6566.3+(671.4-2226.8)+(-13.395252+(-1.369656--4.542672))+0-0-0</f>
        <v>5000.677764</v>
      </c>
      <c r="K118" s="3">
        <f>6401.3+(611-2079.2)+(-9.793989+(-0.93483--3.181176))+0-0-0</f>
        <v>4925.5523570000005</v>
      </c>
      <c r="L118" s="3">
        <f>6396.5+(673.9-2160.3)+(-16.311075+(-1.718445--5.508765))+0-0-0</f>
        <v>4897.5792450000008</v>
      </c>
      <c r="M118" s="3">
        <f>6502.9+(800.1-1912.6)+(13.265916+(1.632204-3.901704))+0-0-0</f>
        <v>5401.3964159999996</v>
      </c>
      <c r="N118" s="3">
        <f>6820.1+(1275.6-1961.4)+(0+(0-0))+0-0-0</f>
        <v>6134.3</v>
      </c>
      <c r="O118" s="3">
        <f>7071.6+(1447.2-1787)+(7.213032+(1.476144-1.82274))+0-0-0</f>
        <v>6738.6664360000004</v>
      </c>
      <c r="P118" s="3">
        <f>7174.6+(1611.9-1563.3)+(7.318092+(1.644138-1.594566))+0-0-0</f>
        <v>7230.5676640000011</v>
      </c>
      <c r="Q118" s="3">
        <f>7257.2+(1606-1263.3)+(0+(0-0))+0-0-0</f>
        <v>7599.9</v>
      </c>
      <c r="R118" s="3">
        <f>7348.6+(1584-1224.5)+(3.747786+(0.80784-0.624495))+0-0-0</f>
        <v>7712.0311310000006</v>
      </c>
      <c r="S118" s="3">
        <f>7365.3+(1554.7-1313.3)+(-7.512606+(-1.585794--1.339566))+0-0-0</f>
        <v>7598.9411660000005</v>
      </c>
      <c r="T118" s="3">
        <f>7314.1+(1608.2-1165)+(-14.920764+(-3.280728--2.3766))+0-0-0</f>
        <v>7741.4751080000005</v>
      </c>
      <c r="U118" s="3">
        <f>7249.9+(1704.5-1215.5)+(3.697449+(0.869295-0.619905))+0-0-0</f>
        <v>7742.8468389999998</v>
      </c>
      <c r="V118" s="3">
        <f>7230+(1730.8-1299.8)+(-14.7492+(-3.530832--2.651592))+0-0-0</f>
        <v>7645.3715599999996</v>
      </c>
      <c r="W118" s="3">
        <f>7244.8+(1804.1-1537.2)+(-7.389696+(-1.840182--1.567944))+0-0-0</f>
        <v>7504.0380660000001</v>
      </c>
      <c r="X118" s="3">
        <f>7262.1+(1867.2-1932.8)+(-7.407342+(-1.904544--1.971456))+0-0-0</f>
        <v>7189.1595699999998</v>
      </c>
      <c r="Y118" s="3">
        <f>7087.2+(1587.3-1826.4)+(0+(0-0))+0-0-0</f>
        <v>6848.0999999999995</v>
      </c>
      <c r="Z118" s="3">
        <f>7258.4+(1593.4-1849.2)+(0+(0-0))+0-0-0</f>
        <v>7002.5999999999995</v>
      </c>
      <c r="AA118" s="3">
        <f>7487.8+(1523.5-1913.3)+(-15.275112+(-3.10794--3.903132))+0-0-0</f>
        <v>7083.5200800000002</v>
      </c>
      <c r="AB118" s="3">
        <f>7369.5+(1476.2-2061.8)+(-15.03378+(-3.011448--4.206072))+0-0-0</f>
        <v>6770.0608439999996</v>
      </c>
      <c r="AC118" s="3">
        <f>7396+(1225.5-2420)+(-18.8598+(-3.125025--6.171))+0-0-0</f>
        <v>6185.6861749999998</v>
      </c>
      <c r="AD118" s="2">
        <v>7068.4999999999991</v>
      </c>
      <c r="AE118" s="3">
        <f>7488+(1549.8-1969.3)+(0+(0-0))+0-0-0</f>
        <v>7068.5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7074.8+(983.8-2493.2)+(-18.04074+(-2.50869--6.35766))+0-0-0</f>
        <v>5551.2082300000002</v>
      </c>
      <c r="G119" s="3">
        <f>6717.6+(912-2600.6)+(-10.277928+(-1.39536--3.978918))+0-0-0</f>
        <v>5021.3056299999998</v>
      </c>
      <c r="H119" s="3">
        <f>6687+(716.5-2678.9)+(-3.41037+(-0.365415--1.366239))+0-0-0</f>
        <v>4722.1904540000005</v>
      </c>
      <c r="I119" s="3">
        <f>6656.9+(559.2-2694)+(-16.975095+(-1.42596--6.8697))+0-0-0</f>
        <v>4510.5686449999994</v>
      </c>
      <c r="J119" s="3">
        <f>6658.1+(422.6-2603)+(-13.582524+(-0.862104--5.31012))+0-0-0</f>
        <v>4468.5654920000006</v>
      </c>
      <c r="K119" s="3">
        <f>6480+(407.8-2471.8)+(-6.6096+(-0.415956--2.521236))+0-0-0</f>
        <v>4411.49568</v>
      </c>
      <c r="L119" s="3">
        <f>5870.1+(577.3-2052.5)+(-14.968755+(-1.472115--5.233875))+0-0-0</f>
        <v>4383.693005000001</v>
      </c>
      <c r="M119" s="3">
        <f>6223+(664-2083.8)+(12.69492+(1.35456-4.250952))+0-0-0</f>
        <v>4812.9985280000001</v>
      </c>
      <c r="N119" s="3">
        <f>6889.6+(1038.5-2478.9)+(17.56848+(2.648175-6.321195))+0-0-0</f>
        <v>5463.0954600000005</v>
      </c>
      <c r="O119" s="3">
        <f>7295.9+(1009.6-2316.6)+(7.441818+(1.029792-2.362932))+0-0-0</f>
        <v>5995.0086779999992</v>
      </c>
      <c r="P119" s="3">
        <f>7748.5+(999.8-2367)+(11.855205+(1.529694-3.62151))+0-0-0</f>
        <v>6391.0633889999999</v>
      </c>
      <c r="Q119" s="3">
        <f>7743.8+(981.4-2131.8)+(15.797352+(2.002056-4.348872))+0-0-0</f>
        <v>6606.8505359999999</v>
      </c>
      <c r="R119" s="3">
        <f>7647.1+(1081-2080.9)+(11.700063+(1.65393-3.183777))+1.7-0-0</f>
        <v>6659.070216000001</v>
      </c>
      <c r="S119" s="3">
        <f>7519.7+(1122.3-2134.5)+(-3.835047+(-0.572373--1.088595))+8.3-0-0</f>
        <v>6512.4811749999999</v>
      </c>
      <c r="T119" s="3">
        <f>7431.8+(1197.7-1968.6)+(0+(0-0))+0-0-0</f>
        <v>6660.9000000000005</v>
      </c>
      <c r="U119" s="3">
        <f>7391.2+(1221.4-1990.7)+(-18.84756+(-3.11457--5.076285))+0-0-0</f>
        <v>6605.0141549999998</v>
      </c>
      <c r="V119" s="3">
        <f>7448.6+(1146.6-2042.1)+(3.798786+(0.584766-1.041471))+0-0-0</f>
        <v>6556.4420810000001</v>
      </c>
      <c r="W119" s="3">
        <f>7495.4+(1079.1-2141.2)+(-11.467962+(-1.651023--3.276036))+0-0-0</f>
        <v>6423.4570509999994</v>
      </c>
      <c r="X119" s="3">
        <f>7416.2+(1103.6-2316.1)+(-22.693572+(-3.377016--7.087266))+11.5-0-0</f>
        <v>6196.2166779999998</v>
      </c>
      <c r="Y119" s="3">
        <f>7206.7+(874.8-2080.9)+(0+(0-0))+0-0-0</f>
        <v>6000.5999999999995</v>
      </c>
      <c r="Z119" s="3">
        <f>7482.2+(892.2-2098.5)+(-11.447766+(-1.365066--3.210705))+0-0-0</f>
        <v>6266.2978729999995</v>
      </c>
      <c r="AA119" s="3">
        <f>7742.2+(733.1-2036.2)+(-11.845566+(-1.121643--3.115386))+0-0-0</f>
        <v>6429.2481770000004</v>
      </c>
      <c r="AB119" s="3">
        <f>7561+(794.6-2150.3)+(-23.13666+(-2.431476--6.579918))+0-0-0</f>
        <v>6186.3117819999989</v>
      </c>
      <c r="AC119" s="3">
        <f>7389.5+(887.5-2407.7)+(-11.305935+(-1.357875--3.683781))+0-0-0</f>
        <v>5860.3199709999999</v>
      </c>
      <c r="AD119" s="2">
        <v>6333.4</v>
      </c>
      <c r="AE119" s="3">
        <f>7728+(750.8-2145.4)+(0+(0-0))+0-0-0</f>
        <v>6333.4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7115.2+(812.8-2559.6)+(-25.401264+(-2.901696--9.137772))+0-0-0</f>
        <v>5349.2348119999997</v>
      </c>
      <c r="G120" s="3">
        <f>6839+(600.1-2493.4)+(-17.43945+(-1.530255--6.35817))+0-0-0</f>
        <v>4933.0884649999998</v>
      </c>
      <c r="H120" s="3">
        <f>6484.5+(537-2350.4)+(-13.22838+(-1.09548--4.794816))+0-0-0</f>
        <v>4661.5709560000005</v>
      </c>
      <c r="I120" s="3">
        <f>6446.8+(471-2379.5)+(-13.151472+(-0.96084--4.85418))+0-0-0</f>
        <v>4529.0418680000002</v>
      </c>
      <c r="J120" s="3">
        <f>6438.1+(357.9-2340.8)+(0+(0-0))+0-0-0</f>
        <v>4455.2000000000007</v>
      </c>
      <c r="K120" s="3">
        <f>6419.4+(404.8-2419.1)+(-13.095576+(-0.825792--4.934964))+0-0-0</f>
        <v>4396.1135959999992</v>
      </c>
      <c r="L120" s="3">
        <f>6431.5+(366.1-2424.2)+(0+(0-0))+0-0-0</f>
        <v>4373.3999999999996</v>
      </c>
      <c r="M120" s="3">
        <f>6606.8+(635.7-2395.5)+(10.108404+(0.972621-3.665115))+0-0-0</f>
        <v>4854.4159099999997</v>
      </c>
      <c r="N120" s="3">
        <f>6941.9+(982.2-2320.5)+(3.540369+(0.500922-1.183455))+0-0-0</f>
        <v>5606.4578359999996</v>
      </c>
      <c r="O120" s="3">
        <f>7368.8+(1020.7-2205.2)+(3.758088+(0.520557-1.124652))+0-0-0</f>
        <v>6187.4539930000001</v>
      </c>
      <c r="P120" s="3">
        <f>7507.6+(1090.6-1926.8)+(15.315504+(2.224824-3.930672))+0-0-0</f>
        <v>6685.0096560000002</v>
      </c>
      <c r="Q120" s="3">
        <f>7526.1+(1162-1691)+(11.514933+(1.77786-2.58723))+0-0-0</f>
        <v>7007.8055630000008</v>
      </c>
      <c r="R120" s="3">
        <f>7581.6+(1260.4-1678.9)+(-3.866616+(-0.642804--0.856239))+0-0-0</f>
        <v>7159.4468190000007</v>
      </c>
      <c r="S120" s="3">
        <f>7545.4+(1298.2-1783.2)+(-11.544462+(-1.986246--2.728296))+0-0-0</f>
        <v>7049.5975879999996</v>
      </c>
      <c r="T120" s="3">
        <f>7504+(1268.9-1547.7)+(-3.82704+(-0.647139--0.789327))+0-0-0</f>
        <v>7221.5151479999995</v>
      </c>
      <c r="U120" s="3">
        <f>7474.8+(1257.9-1505.9)+(15.248592+(2.566116-3.072036))+0-0-0</f>
        <v>7241.5426720000005</v>
      </c>
      <c r="V120" s="3">
        <f>7443.2+(1250.9-1554.4)+(0+(0-0))+0-0-0</f>
        <v>7139.7</v>
      </c>
      <c r="W120" s="3">
        <f>7397.4+(1249-1657.7)+(-18.86337+(-3.18495--4.227135))+0-0-0</f>
        <v>6970.878815</v>
      </c>
      <c r="X120" s="3">
        <f>7396.4+(1380.1-2060.4)+(-11.316492+(-2.111553--3.152412))+0-0-0</f>
        <v>6705.8243669999993</v>
      </c>
      <c r="Y120" s="3">
        <f>7277.6+(1250.5-2109.7)+(-3.711576+(-0.637755--1.075947))+0-0-0</f>
        <v>6415.1266160000005</v>
      </c>
      <c r="Z120" s="3">
        <f>7474.1+(1175.7-2047)+(7.623582+(1.199214-2.08794))+0-0-0</f>
        <v>6609.5348560000002</v>
      </c>
      <c r="AA120" s="3">
        <f>7684.2+(1098.3-2006)+(-7.837884+(-1.120266--2.04612))+0-0-0</f>
        <v>6769.5879699999996</v>
      </c>
      <c r="AB120" s="3">
        <f>7588.6+(1124.7-2150)+(-7.740372+(-1.147194--2.193))+0-0-0</f>
        <v>6556.6054340000001</v>
      </c>
      <c r="AC120" s="3">
        <f>7347.9+(1125.5-2317.3)+(-7.494858+(-1.14801--2.363646))+0-0-0</f>
        <v>6149.8207779999993</v>
      </c>
      <c r="AD120" s="2">
        <v>6788.9999999999991</v>
      </c>
      <c r="AE120" s="3">
        <f>7660+(1117.3-1988.3)+(0+(0-0))+0-0-0</f>
        <v>6789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6919.1+(1029.4-2277.7)+(-10.586223+(-1.574982--3.484881))+0-0-0</f>
        <v>5662.1236760000011</v>
      </c>
      <c r="G121" s="3">
        <f>6581+(817.8-2179.5)+(-3.35631+(-0.417078--1.111545))+0-0-0</f>
        <v>5216.6381570000003</v>
      </c>
      <c r="H121" s="3">
        <f>6547.2+(847.1-2456.5)+(-10.017216+(-1.296063--3.758445))+0-0-0</f>
        <v>4930.2451659999997</v>
      </c>
      <c r="I121" s="3">
        <f>6414.3+(653.4-2304.5)+(-6.542586+(-0.666468--2.35059))+0-0-0</f>
        <v>4758.3415360000008</v>
      </c>
      <c r="J121" s="3">
        <f>6387.8+(575.6-2273)+(-16.28889+(-1.46778--5.79615))+0-0-0</f>
        <v>4678.43948</v>
      </c>
      <c r="K121" s="3">
        <f>6345.6+(527.2-2232.6)+(-16.18128+(-1.34436--5.69313))+0-0-0</f>
        <v>4628.3674900000005</v>
      </c>
      <c r="L121" s="3">
        <f>6298.7+(703.8-2393.3)+(6.424674+(0.717876-2.441166))+0-0-0</f>
        <v>4613.9013839999998</v>
      </c>
      <c r="M121" s="3">
        <f>6725.8+(719.1-2372.3)+(-3.430158+(-0.366741--1.209873))+0-0-0</f>
        <v>5070.0129740000002</v>
      </c>
      <c r="N121" s="3">
        <f>7153.5+(962.2-2325.5)+(10.944855+(1.472166-3.558015))+0-0-0</f>
        <v>5799.0590059999995</v>
      </c>
      <c r="O121" s="3">
        <f>7318.8+(1329.4-2206.4)+(0+(0-0))+0-0-0</f>
        <v>6441.8</v>
      </c>
      <c r="P121" s="3">
        <f>7465.5+(1343.4-1917)+(7.61481+(1.370268-1.95534))+0-0-0</f>
        <v>6898.9297379999998</v>
      </c>
      <c r="Q121" s="3">
        <f>7501.4+(1343.1-1590.6)+(11.477142+(2.054943-2.433618))+0-0-0</f>
        <v>7264.9984669999994</v>
      </c>
      <c r="R121" s="3">
        <f>7483.5+(1269.9-1340)+(11.449755+(1.942947-2.0502))+0-0-0</f>
        <v>7424.7425020000001</v>
      </c>
      <c r="S121" s="3">
        <f>7420.2+(1173-1296.1)+(-15.137208+(-2.39292--2.644044))+0-0-0</f>
        <v>7282.2139160000006</v>
      </c>
      <c r="T121" s="3">
        <f>7432.7+(1177.8-1197.4)+(0+(0-0))+0-0-0</f>
        <v>7413.0999999999995</v>
      </c>
      <c r="U121" s="3">
        <f>7410.7+(1170.7-1188.4)+(-11.338371+(-1.791171--1.818252))+0-0-0</f>
        <v>7381.6887100000004</v>
      </c>
      <c r="V121" s="3">
        <f>7388.9+(1223.3-1338)+(3.768339+(0.623883-0.68238))+0-0-0</f>
        <v>7277.909842</v>
      </c>
      <c r="W121" s="3">
        <f>7303.2+(1289-1487.1)+(-11.173896+(-1.97217--2.275263))+0-0-0</f>
        <v>7094.2291970000006</v>
      </c>
      <c r="X121" s="3">
        <f>7327.9+(1497.9-2023)+(-14.948916+(-3.055716--4.12692))+0-0-0</f>
        <v>6788.9222879999988</v>
      </c>
      <c r="Y121" s="3">
        <f>7379+(1197.9-2069.2)+(-3.76329+(-0.610929--1.055292))+0-0-0</f>
        <v>6504.3810730000005</v>
      </c>
      <c r="Z121" s="3">
        <f>7615.5+(1260.7-2165.3)+(19.419525+(3.214785-5.521515))+0-0-0</f>
        <v>6728.0127949999996</v>
      </c>
      <c r="AA121" s="3">
        <f>7717+(1192-2031.5)+(3.93567+(0.60792-1.036065))+0-0-0</f>
        <v>6881.007525</v>
      </c>
      <c r="AB121" s="3">
        <f>7668.9+(1106.1-2119.5)+(7.822278+(1.128222-2.16189))+0-0-0</f>
        <v>6662.2886099999996</v>
      </c>
      <c r="AC121" s="3">
        <f>7551.1+(1006.8-2263.2)+(3.851061+(0.513468-1.154232))+0-0-0</f>
        <v>6297.9102970000004</v>
      </c>
      <c r="AD121" s="2">
        <v>6865.4000000000005</v>
      </c>
      <c r="AE121" s="3">
        <f>7685+(1173.2-1992.8)+(0+(0-0))+0-0-0</f>
        <v>6865.4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7221.1+(929.1-2341.6)+(-11.048283+(-1.421523--3.582648))+0-0-0</f>
        <v>5799.7128420000008</v>
      </c>
      <c r="G122" s="3">
        <f>7113.1+(545.5-2301.7)+(-7.255362+(-0.55641--2.347734))+0-0-0</f>
        <v>5351.4359620000005</v>
      </c>
      <c r="H122" s="3">
        <f>7133.7+(413-2482)+(-7.276374+(-0.42126--2.53164))+0-0-0</f>
        <v>5059.5340059999999</v>
      </c>
      <c r="I122" s="3">
        <f>6977.6+(415.8-2469.8)+(0+(0-0))+0-0-0</f>
        <v>4923.6000000000004</v>
      </c>
      <c r="J122" s="3">
        <f>6706.1+(502.8-2383.8)+(-3.420111+(-0.256428--1.215738))+0-0-0</f>
        <v>4822.6391990000002</v>
      </c>
      <c r="K122" s="3">
        <f>6658.8+(583.4-2496.6)+(-6.791976+(-0.595068--2.546532))+0-0-0</f>
        <v>4740.7594880000006</v>
      </c>
      <c r="L122" s="3">
        <f>6585.6+(487.4-2409.4)+(0+(0-0))+0-0-0</f>
        <v>4663.6000000000004</v>
      </c>
      <c r="M122" s="3">
        <f>6719+(643.1-2358.8)+(6.85338+(0.655962-2.405976))+0-0-0</f>
        <v>5008.4033659999996</v>
      </c>
      <c r="N122" s="3">
        <f>7109.1+(1083.6-2550.1)+(18.128205+(2.76318-6.502755))+0-0-0</f>
        <v>5656.9886300000007</v>
      </c>
      <c r="O122" s="3">
        <f>7289.3+(1159.1-2169.1)+(11.152629+(1.773423-3.318723))+0-0-0</f>
        <v>6288.9073290000006</v>
      </c>
      <c r="P122" s="3">
        <f>7289+(1206.3-1724.9)+(7.43478+(1.230426-1.759398))+0-0-0</f>
        <v>6777.3058080000001</v>
      </c>
      <c r="Q122" s="3">
        <f>7307.6+(1142.4-1360.8)+(11.180628+(1.747872-2.082024))+0-0-0</f>
        <v>7100.0464760000004</v>
      </c>
      <c r="R122" s="3">
        <f>7326.8+(1040.4-1164)+(-3.736668+(-0.530604--0.59364))+0-0-0</f>
        <v>7199.5263680000007</v>
      </c>
      <c r="S122" s="3">
        <f>7285.5+(951.5-1219.5)+(-18.578025+(-2.426325--3.109725))+0-0-0</f>
        <v>6999.6053750000001</v>
      </c>
      <c r="T122" s="3">
        <f>7286.5+(899.2-1234.3)+(0+(0-0))+0-0-0</f>
        <v>6951.4</v>
      </c>
      <c r="U122" s="3">
        <f>7241.6+(939-1327.3)+(-11.079648+(-1.43667--2.030769))+0-0-0</f>
        <v>6842.8144510000002</v>
      </c>
      <c r="V122" s="3">
        <f>7206.9+(1026.7-1501.2)+(-11.026557+(-1.570851--2.296836))+0-0-0</f>
        <v>6722.0994279999995</v>
      </c>
      <c r="W122" s="3">
        <f>7195.7+(1182.3-1721.1)+(-7.339614+(-1.205946--1.755522))+0-0-0</f>
        <v>6650.1099619999995</v>
      </c>
      <c r="X122" s="3">
        <f>7155.5+(1393.7-2089.3)+(-7.29861+(-1.421574--2.131086))+0-0-0</f>
        <v>6453.3109019999993</v>
      </c>
      <c r="Y122" s="3">
        <f>7063.5+(1352.6-2138.2)+(10.807155+(2.069478-3.271446))+0-0-0</f>
        <v>6287.5051869999998</v>
      </c>
      <c r="Z122" s="3">
        <f>7322.7+(1308.1-2119.1)+(7.469154+(1.334262-2.161482))+0-0-0</f>
        <v>6518.341934</v>
      </c>
      <c r="AA122" s="3">
        <f>7440.4+(1189.4-1959)+(-15.178416+(-2.426376--3.99636))+0-0-0</f>
        <v>6657.1915679999993</v>
      </c>
      <c r="AB122" s="3">
        <f>7386+(1202.4-2164.8)+(-7.53372+(-1.226448--2.208096))+0-0-0</f>
        <v>6417.047928</v>
      </c>
      <c r="AC122" s="3">
        <f>7337+(1005.2-2259.7)+(-3.74187+(-0.512652--1.152447))+0-0-0</f>
        <v>6079.3979250000002</v>
      </c>
      <c r="AD122" s="2">
        <v>6668.4</v>
      </c>
      <c r="AE122" s="3">
        <f>7413+(1206.8-1951.4)+(0+(0-0))+0-0-0</f>
        <v>6668.4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6935.6+(727.8-1972.8)+(0+(0-0))+0-0-0</f>
        <v>5690.6</v>
      </c>
      <c r="G123" s="3">
        <f>6791.8+(713.1-2230.8)+(-6.927636+(-0.727362--2.275416))+0-0-0</f>
        <v>5268.7204180000008</v>
      </c>
      <c r="H123" s="3">
        <f>6754.7+(787.2-2555.4)+(0+(0-0))+0-0-0</f>
        <v>4986.5</v>
      </c>
      <c r="I123" s="3">
        <f>6671.4+(600.8-2438.1)+(-6.804828+(-0.612816--2.486862))+0-0-0</f>
        <v>4829.1692179999991</v>
      </c>
      <c r="J123" s="3">
        <f>6691.3+(571.8-2535.9)+(-10.237689+(-0.874854--3.879927))+0-0-0</f>
        <v>4719.9673839999996</v>
      </c>
      <c r="K123" s="3">
        <f>6581.9+(461.7-2501.1)+(-13.427076+(-0.941868--5.102244))+0-0-0</f>
        <v>4533.2332999999999</v>
      </c>
      <c r="L123" s="3">
        <f>5949.2+(524.8-2176.2)+(-9.102276+(-0.802944--3.329586))+0-0-0</f>
        <v>4291.2243660000004</v>
      </c>
      <c r="M123" s="3">
        <f>5972.1+(580.8-2335)+(9.137313+(0.888624-3.57255))+0-0-0</f>
        <v>4224.3533870000001</v>
      </c>
      <c r="N123" s="3">
        <f>5963.8+(724.4-2309.3)+(6.083076+(0.738888-2.355486))+0-0-0</f>
        <v>4383.3664779999999</v>
      </c>
      <c r="O123" s="3">
        <f>6405.7+(892.2-2624.1)+(3.266907+(0.455022-1.338291))+0-0-0</f>
        <v>4676.1836380000004</v>
      </c>
      <c r="P123" s="3">
        <f>6669+(999-2550.6)+(10.20357+(1.52847-3.902418))+0-0-0</f>
        <v>5125.2296219999998</v>
      </c>
      <c r="Q123" s="3">
        <f>6758.1+(1300.8-2513.4)+(6.893262+(1.326816-2.563668))+0-0-0</f>
        <v>5551.1564099999996</v>
      </c>
      <c r="R123" s="3">
        <f>6885.8+(1293.1-2403.3)+(7.023516+(1.318962-2.451366))+0-0-0</f>
        <v>5781.4911120000006</v>
      </c>
      <c r="S123" s="3">
        <f>6974.3+(1255.4-2390.5)+(7.113786+(1.280508-2.43831))+0-0-0</f>
        <v>5845.1559840000009</v>
      </c>
      <c r="T123" s="3">
        <f>6997.7+(1249.7-2421.2)+(0+(0-0))+0-0-0</f>
        <v>5826.2</v>
      </c>
      <c r="U123" s="3">
        <f>6973.2+(1293.8-2502.1)+(0+(0-0))+0-0-0</f>
        <v>5764.9</v>
      </c>
      <c r="V123" s="3">
        <f>6917.8+(1367.8-2557.5)+(0+(0-0))+0-0-0</f>
        <v>5728.1</v>
      </c>
      <c r="W123" s="3">
        <f>6844+(1409.4-2483.9)+(0+(0-0))+0-0-0</f>
        <v>5769.5</v>
      </c>
      <c r="X123" s="3">
        <f>6813.7+(1433.2-2483)+(-10.424961+(-2.192796--3.79899))+0-0-0</f>
        <v>5755.0812329999999</v>
      </c>
      <c r="Y123" s="3">
        <f>6913.8+(1402.9-2564.2)+(-14.104152+(-2.861916--5.230968))+0-0-0</f>
        <v>5740.7649000000001</v>
      </c>
      <c r="Z123" s="3">
        <f>7229.8+(1190.6-2284.5)+(0+(0-0))+0-0-0</f>
        <v>6135.9</v>
      </c>
      <c r="AA123" s="3">
        <f>7380+(1240.1-2197)+(-18.819+(-3.162255--5.60235))+0-0-0</f>
        <v>6406.7210950000008</v>
      </c>
      <c r="AB123" s="3">
        <f>7292.5+(1272.4-2233.8)+(3.719175+(0.648924-1.139238))+0-0-0</f>
        <v>6334.328861</v>
      </c>
      <c r="AC123" s="3">
        <f>7232.5+(1293.7-2424.1)+(-3.688575+(-0.659787--1.236291))+0-0-0</f>
        <v>6098.9879290000008</v>
      </c>
      <c r="AD123" s="2">
        <v>6292.7999999999993</v>
      </c>
      <c r="AE123" s="3">
        <f>7323+(1301.8-2332)+(0+(0-0))+0-0-0</f>
        <v>6292.8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6933.7+(1126.7-2424.5)+(-7.072374+(-1.149234--2.47299))+0-0-0</f>
        <v>5630.151382</v>
      </c>
      <c r="G124" s="3">
        <f>6815.3+(759.1-2426.4)+(-3.475803+(-0.387141--1.237464))+0-0-0</f>
        <v>5145.3745200000003</v>
      </c>
      <c r="H124" s="3">
        <f>6685.5+(752.3-2595.1)+(3.409605+(0.383673-1.323501))+0-0-0</f>
        <v>4845.1697770000001</v>
      </c>
      <c r="I124" s="3">
        <f>6648.2+(602.9-2422.9)+(3.390582+(0.307479-1.235679))+0-0-0</f>
        <v>4830.6623819999995</v>
      </c>
      <c r="J124" s="3">
        <f>6666.7+(632.6-2430)+(-10.200051+(-0.967878--3.7179))+0-0-0</f>
        <v>4861.8499709999996</v>
      </c>
      <c r="K124" s="3">
        <f>6588+(614.7-2628.3)+(-6.71976+(-0.626994--2.680866))+0-0-0</f>
        <v>4569.7341119999992</v>
      </c>
      <c r="L124" s="3">
        <f>6395.1+(728.3-2581.6)+(-6.523002+(-0.742866--2.633232))+0-0-0</f>
        <v>4537.1673639999999</v>
      </c>
      <c r="M124" s="3">
        <f>6628.9+(933.2-2569.7)+(3.380739+(0.475932-1.310547))+0-0-0</f>
        <v>4994.9461240000001</v>
      </c>
      <c r="N124" s="3">
        <f>7195.5+(1116.5-2619.7)+(14.67882+(2.27766-5.344188))+0-0-0</f>
        <v>5703.912292</v>
      </c>
      <c r="O124" s="3">
        <f>7387.1+(1469.1-2568.8)+(7.534842+(1.498482-2.620176))+0-0-0</f>
        <v>6293.8131479999993</v>
      </c>
      <c r="P124" s="3">
        <f>7496.5+(1581.6-2356.4)+(3.823215+(0.806616-1.201764))+0-0-0</f>
        <v>6725.1280669999996</v>
      </c>
      <c r="Q124" s="3">
        <f>7530.8+(1638.9-2066.1)+(3.840708+(0.835839-1.053711))+0-0-0</f>
        <v>7107.2228359999999</v>
      </c>
      <c r="R124" s="3">
        <f>7524.8+(1615.1-1842.4)+(7.675296+(1.647402-1.879248))+0-0-0</f>
        <v>7304.9434499999998</v>
      </c>
      <c r="S124" s="3">
        <f>7499.2+(1536.7-1738.7)+(-11.473776+(-2.351151--2.660211))+0-0-0</f>
        <v>7286.0352839999996</v>
      </c>
      <c r="T124" s="3">
        <f>7475.6+(1523.5-1566.7)+(-3.812556+(-0.776985--0.799017))+0-0-0</f>
        <v>7428.6094760000005</v>
      </c>
      <c r="U124" s="3">
        <f>7453.7+(1531.6-1685.2)+(3.801387+(0.781116-0.859452))+0-0-0</f>
        <v>7303.8230509999994</v>
      </c>
      <c r="V124" s="3">
        <f>7421.3+(1574.7-1874)+(11.354589+(2.409291-2.86722))+0-0-0</f>
        <v>7132.8966600000003</v>
      </c>
      <c r="W124" s="3">
        <f>7422.1+(1618.6-2083.9)+(3.785271+(0.825486-1.062789))+0-0-0</f>
        <v>6960.347968</v>
      </c>
      <c r="X124" s="3">
        <f>7390.9+(1631.3-2298.9)+(-11.308077+(-2.495889--3.517317))+0-0-0</f>
        <v>6713.0133509999996</v>
      </c>
      <c r="Y124" s="3">
        <f>7190.5+(1572-2178.1)+(0+(0-0))+0-0-0</f>
        <v>6584.4</v>
      </c>
      <c r="Z124" s="3">
        <f>7590.2+(1464.5-2056)+(7.742004+(1.49379-2.09712))+0-0-0</f>
        <v>7005.8386739999996</v>
      </c>
      <c r="AA124" s="3">
        <f>7701.8+(1293.7-1934.4)+(-19.63959+(-3.298935--4.93272))+0-0-0</f>
        <v>7043.0941950000006</v>
      </c>
      <c r="AB124" s="3">
        <f>7674.1+(1476-2270.2)+(3.913791+(0.75276-1.157802))+0-0-0</f>
        <v>6883.4087490000002</v>
      </c>
      <c r="AC124" s="3">
        <f>7603.9+(1259.3-2366.3)+(-7.755978+(-1.284486--2.413626))+0-0-0</f>
        <v>6490.2731619999995</v>
      </c>
      <c r="AD124" s="2">
        <v>7085.0999999999995</v>
      </c>
      <c r="AE124" s="3">
        <f>7692+(1314.9-1921.8)+(0+(0-0))+0-0-0</f>
        <v>7085.1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7548.3+(982.8-2575.9)+(-3.849633+(-0.501228--1.313709))+0-0-0</f>
        <v>5952.1628479999999</v>
      </c>
      <c r="G125" s="3">
        <f>7450.8+(617.3-2603.1)+(0+(0-0))+0-0-0</f>
        <v>5465</v>
      </c>
      <c r="H125" s="3">
        <f>7181.5+(533.9-2541.9)+(7.32513+(0.544578-2.592738))+0-0-0</f>
        <v>5178.7769699999999</v>
      </c>
      <c r="I125" s="3">
        <f>6899.4+(530.8-2321.2)+(10.556082+(0.812124-3.551436))+0-0-0</f>
        <v>5116.8167700000004</v>
      </c>
      <c r="J125" s="3">
        <f>6750.7+(779-2412.2)+(-6.885714+(-0.79458--2.460444))+0-0-0</f>
        <v>5112.2801499999996</v>
      </c>
      <c r="K125" s="3">
        <f>6694.9+(807.2-2673.4)+(-13.657596+(-1.646688--5.453736))+0-0-0</f>
        <v>4818.8494519999995</v>
      </c>
      <c r="L125" s="3">
        <f>6416.6+(734.6-2386.9)+(-16.36233+(-1.87323--6.086595))+0-0-0</f>
        <v>4752.1510349999999</v>
      </c>
      <c r="M125" s="3">
        <f>6741.9+(758.1-2389.6)+(10.315107+(1.159893-3.656088))+0-0-0</f>
        <v>5118.2189119999994</v>
      </c>
      <c r="N125" s="3">
        <f>7261.3+(1062.5-2530.7)+(11.109789+(1.625625-3.871971))+0-0-0</f>
        <v>5801.9634430000006</v>
      </c>
      <c r="O125" s="3">
        <f>7501.5+(1367.3-2539.2)+(15.30306+(2.789292-5.179968))+0-0-0</f>
        <v>6342.5123840000006</v>
      </c>
      <c r="P125" s="3">
        <f>7573.9+(1419.7-2201.5)+(3.862689+(0.724047-1.122765))+0-0-0</f>
        <v>6795.5639709999996</v>
      </c>
      <c r="Q125" s="3">
        <f>7568.7+(1441.8-1900.4)+(7.720074+(1.470636-1.938408))+0-0-0</f>
        <v>7117.3523019999993</v>
      </c>
      <c r="R125" s="3">
        <f>7528.8+(1402-1666.1)+(11.519064+(2.14506-2.549133))+0-0-0</f>
        <v>7275.8149910000011</v>
      </c>
      <c r="S125" s="3">
        <f>7482.9+(1309.6-1584.3)+(-3.816279+(-0.667896--0.807993))+0-0-0</f>
        <v>7204.5238179999997</v>
      </c>
      <c r="T125" s="3">
        <f>7544+(1192-1427.5)+(7.69488+(1.21584-1.45605))+0-0-0</f>
        <v>7315.9546700000001</v>
      </c>
      <c r="U125" s="3">
        <f>7538.1+(1190.4-1505.9)+(-3.844431+(-0.607104--0.768009))+0-0-0</f>
        <v>7218.9164740000006</v>
      </c>
      <c r="V125" s="3">
        <f>7535.2+(1277-1752.9)+(7.685904+(1.30254-1.787958))+0-0-0</f>
        <v>7066.500485999999</v>
      </c>
      <c r="W125" s="3">
        <f>7492.1+(1273.1-1848.2)+(-15.283884+(-2.597124--3.770328))+0-0-0</f>
        <v>6902.8893200000002</v>
      </c>
      <c r="X125" s="3">
        <f>7474.4+(1412.6-2159.5)+(-11.435832+(-2.161278--3.304035))+0-0-0</f>
        <v>6717.2069250000004</v>
      </c>
      <c r="Y125" s="3">
        <f>7199.8+(1236.7-1845)+(7.343796+(1.261434-1.8819))+0-0-0</f>
        <v>6598.2233299999998</v>
      </c>
      <c r="Z125" s="3">
        <f>7615.7+(1032.5-1637.5)+(19.420035+(2.632875-4.175625))+0-0-0</f>
        <v>7028.5772849999994</v>
      </c>
      <c r="AA125" s="3">
        <f>7736+(958.6-1621.2)+(-3.94536+(-0.488886--0.826812))+0-0-0</f>
        <v>7069.7925660000001</v>
      </c>
      <c r="AB125" s="3">
        <f>7630.4+(1074.4-1786.2)+(-11.674512+(-1.643832--2.732886))+0-0-0</f>
        <v>6908.0145419999999</v>
      </c>
      <c r="AC125" s="3">
        <f>7562.4+(1150.2-2118)+(-11.570472+(-1.759806--3.24054))+0-0-0</f>
        <v>6584.5102619999998</v>
      </c>
      <c r="AD125" s="2">
        <v>7048</v>
      </c>
      <c r="AE125" s="3">
        <f>7685+(937.4-1574.4)+(0+(0-0))+0-0-0</f>
        <v>7048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7471.8+(829.7-2217.5)+(7.621236+(0.846294-2.26185))+0-0-0</f>
        <v>6090.20568</v>
      </c>
      <c r="G126" s="3">
        <f>7268.1+(484.8-2226.3)+(0+(0-0))+0-0-0</f>
        <v>5526.6</v>
      </c>
      <c r="H126" s="3">
        <f>7246.4+(474.1-2524.4)+(7.391328+(0.483582-2.574888))+0-0-0</f>
        <v>5201.4000219999998</v>
      </c>
      <c r="I126" s="3">
        <f>7254.6+(339.3-2441.5)+(3.699846+(0.173043-1.245165))+0-0-0</f>
        <v>5155.0277240000005</v>
      </c>
      <c r="J126" s="3">
        <f>7222.4+(430.8-2455)+(-3.683424+(-0.219708--1.25205))+0-0-0</f>
        <v>5195.5489179999995</v>
      </c>
      <c r="K126" s="3">
        <f>6813.9+(645.5-2556.2)+(-13.900356+(-1.31682--5.214648))+0-0-0</f>
        <v>4893.1974719999998</v>
      </c>
      <c r="L126" s="3">
        <f>6424.5+(647.2-2271.4)+(0+(0-0))+0-0-0</f>
        <v>4800.3</v>
      </c>
      <c r="M126" s="3">
        <f>6665+(878.8-2357.4)+(3.39915+(0.448188-1.202274))+0-0-0</f>
        <v>5189.0450639999999</v>
      </c>
      <c r="N126" s="3">
        <f>7266+(1125.6-2481.4)+(3.70566+(0.574056-1.265514))+0-0-0</f>
        <v>5913.2142020000001</v>
      </c>
      <c r="O126" s="3">
        <f>7495.7+(1389.3-2412.1)+(3.822807+(0.708543-1.230171))+0-0-0</f>
        <v>6476.2011789999997</v>
      </c>
      <c r="P126" s="3">
        <f>7528.3+(1399.2-2046)+(-3.839433+(-0.713592--1.04346))+0-0-0</f>
        <v>6877.9904349999997</v>
      </c>
      <c r="Q126" s="3">
        <f>7614.3+(1353.3-1787.6)+(11.649879+(2.070549-2.735028))+0-0-0</f>
        <v>7190.9853999999996</v>
      </c>
      <c r="R126" s="3">
        <f>7678.7+(1172.2-1488.7)+(-11.748411+(-1.793466--2.277711))+0-0-0</f>
        <v>7350.9358339999999</v>
      </c>
      <c r="S126" s="3">
        <f>7629.8+(1127.6-1460.3)+(-3.891198+(-0.575076--0.744753))+0-0-0</f>
        <v>7293.378479</v>
      </c>
      <c r="T126" s="3">
        <f>7595.6+(1121.8-1330)+(-11.621268+(-1.716354--2.0349))+0-0-0</f>
        <v>7376.0972780000002</v>
      </c>
      <c r="U126" s="3">
        <f>7565.1+(1183.6-1452.1)+(-7.716402+(-1.207272--1.481142))+0-0-0</f>
        <v>7289.1574680000003</v>
      </c>
      <c r="V126" s="3">
        <f>7542.8+(1252.6-1638.6)+(3.846828+(0.638826-0.835686))+0-0-0</f>
        <v>7160.4499679999999</v>
      </c>
      <c r="W126" s="3">
        <f>7518.2+(1294.3-1831.5)+(-3.834282+(-0.660093--0.934065))+0-0-0</f>
        <v>6977.4396900000002</v>
      </c>
      <c r="X126" s="3">
        <f>7508.1+(1419.1-2191.9)+(-11.487393+(-2.171223--3.353607))+0-0-0</f>
        <v>6724.9949910000005</v>
      </c>
      <c r="Y126" s="3">
        <f>7485.2+(1169.1-2134.9)+(-3.817452+(-0.596241--1.088799))+0-0-0</f>
        <v>6516.0751059999993</v>
      </c>
      <c r="Z126" s="3">
        <f>7710.5+(1124-1905.8)+(7.86471+(1.14648-1.943916))+0-0-0</f>
        <v>6935.7672739999998</v>
      </c>
      <c r="AA126" s="3">
        <f>7787.2+(972.9-1765.3)+(3.971472+(0.496179-0.900303))+0-0-0</f>
        <v>6998.3673479999998</v>
      </c>
      <c r="AB126" s="3">
        <f>7618.6+(1003.9-1829.5)+(-15.541944+(-2.047956--3.73218))+0-0-0</f>
        <v>6779.14228</v>
      </c>
      <c r="AC126" s="3">
        <f>7581.1+(944-1999.7)+(3.866361+(0.48144-1.019847))+0-0-0</f>
        <v>6528.7279540000009</v>
      </c>
      <c r="AD126" s="2">
        <v>6980.2999999999993</v>
      </c>
      <c r="AE126" s="3">
        <f>7739+(915.4-1674.1)+(0+(0-0))+0-0-0</f>
        <v>6980.3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7453.1+(860.3-2230.2)+(3.801081+(0.438753-1.137402))+0-0-0</f>
        <v>6086.3024320000004</v>
      </c>
      <c r="G127" s="3">
        <f>7429.6+(456.3-2346.1)+(3.789096+(0.232713-1.196511))+0-0-0</f>
        <v>5542.6252979999999</v>
      </c>
      <c r="H127" s="3">
        <f>7288.3+(470.8-2538.7)+(3.717033+(0.240108-1.294737))+0-0-0</f>
        <v>5223.0624040000002</v>
      </c>
      <c r="I127" s="3">
        <f>7025+(465.5-2345.3)+(7.1655+(0.47481-2.392206))+0-0-0</f>
        <v>5150.4481040000001</v>
      </c>
      <c r="J127" s="3">
        <f>6998.5+(591.7-2414.9)+(3.569235+(0.301767-1.231599))+0-0-0</f>
        <v>5177.9394030000003</v>
      </c>
      <c r="K127" s="3">
        <f>6573.8+(768.6-2473.2)+(-13.410552+(-1.567944--5.045328))+0-0-0</f>
        <v>4859.2668320000012</v>
      </c>
      <c r="L127" s="3">
        <f>6346.9+(790.2-2381)+(-3.236919+(-0.403002--1.21431))+0-0-0</f>
        <v>4753.6743889999998</v>
      </c>
      <c r="M127" s="3">
        <f>6467.1+(913.8-2255.6)+(6.596442+(0.932076-2.300712))+0-0-0</f>
        <v>5130.5278060000001</v>
      </c>
      <c r="N127" s="3">
        <f>6958.6+(1140.7-2278.1)+(3.548886+(0.581757-1.161831))+0-0-0</f>
        <v>5824.1688120000008</v>
      </c>
      <c r="O127" s="3">
        <f>7380.6+(1264.9-2221.1)+(-7.528212+(-1.290198--2.265522))+0-0-0</f>
        <v>6417.8471120000004</v>
      </c>
      <c r="P127" s="3">
        <f>7453.6+(1379.5-1991.7)+(15.205344+(2.81418-4.063068))+0-0-0</f>
        <v>6855.3564560000004</v>
      </c>
      <c r="Q127" s="3">
        <f>7499.3+(1280.3-1671.3)+(3.824643+(0.652953-0.852363))+0-0-0</f>
        <v>7111.9252329999999</v>
      </c>
      <c r="R127" s="3">
        <f>7629.5+(1147.1-1522.7)+(7.78209+(1.170042-1.553154))+0-0-0</f>
        <v>7261.2989779999998</v>
      </c>
      <c r="S127" s="3">
        <f>7572.8+(856.3-1227.1)+(-11.586384+(-1.310139--1.877463))+0-0-0</f>
        <v>7190.9809400000004</v>
      </c>
      <c r="T127" s="3">
        <f>7541.2+(784.7-1016.7)+(-15.384048+(-1.600788--2.074068))+0-0-0</f>
        <v>7294.2892320000001</v>
      </c>
      <c r="U127" s="3">
        <f>7497.1+(818.8-1113.9)+(-15.294084+(-1.670352--2.272356))+0-0-0</f>
        <v>7187.3079200000002</v>
      </c>
      <c r="V127" s="3">
        <f>7481.7+(968.8-1406.9)+(-7.631334+(-0.988176--1.435038))+0-0-0</f>
        <v>7036.4155279999995</v>
      </c>
      <c r="W127" s="3">
        <f>7440.2+(976.2-1570.3)+(-3.794502+(-0.497862--0.800853))+0-0-0</f>
        <v>6842.6084890000002</v>
      </c>
      <c r="X127" s="3">
        <f>7376.2+(1058.1-1813.7)+(-18.80931+(-2.698155--4.624935))+0-0-0</f>
        <v>6603.7174699999996</v>
      </c>
      <c r="Y127" s="3">
        <f>7305.6+(1074.8-1868.8)+(-22.355136+(-3.288888--5.718528))+0-0-0</f>
        <v>6491.6745040000005</v>
      </c>
      <c r="Z127" s="3">
        <f>7592.8+(926-1616.4)+(7.744656+(0.94452-1.648728))+0-0-0</f>
        <v>6909.4404479999994</v>
      </c>
      <c r="AA127" s="3">
        <f>7745.6+(929.2-1711.6)+(-11.850768+(-1.421676--2.618748))+0-0-0</f>
        <v>6952.5463040000004</v>
      </c>
      <c r="AB127" s="3">
        <f>7682.3+(1041.5-1885.2)+(-19.589865+(-2.655825--4.80726))+0-0-0</f>
        <v>6821.1615700000002</v>
      </c>
      <c r="AC127" s="3">
        <f>7536.1+(1042.8-2015.8)+(-15.373644+(-2.127312--4.112232))+0-0-0</f>
        <v>6549.711276</v>
      </c>
      <c r="AD127" s="2">
        <v>6964.5999999999995</v>
      </c>
      <c r="AE127" s="3">
        <f>7704+(825.4-1564.8)+(0+(0-0))+0-0-0</f>
        <v>6964.6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7314.5+(705.1-1981)+(-3.730395+(-0.359601--1.01031))+0-0-0</f>
        <v>6035.5203140000003</v>
      </c>
      <c r="G128" s="3">
        <f>6735.4+(370.2-1619.8)+(-6.870108+(-0.377604--1.652196))+0-0-0</f>
        <v>5480.204483999999</v>
      </c>
      <c r="H128" s="3">
        <f>6354.8+(375.9-1582)+(3.240948+(0.191709-0.80682))+0-0-0</f>
        <v>5151.3258370000003</v>
      </c>
      <c r="I128" s="3">
        <f>6301.7+(392.4-1645)+(0+(0-0))+0-0-0</f>
        <v>5049.1000000000004</v>
      </c>
      <c r="J128" s="3">
        <f>6249.2+(489.8-1668.3)+(-12.748368+(-0.999192--3.403332))+0-0-0</f>
        <v>5060.3557719999999</v>
      </c>
      <c r="K128" s="3">
        <f>6198.3+(621.8-2033.1)+(-15.805665+(-1.58559--5.184405))+0-0-0</f>
        <v>4774.7931500000004</v>
      </c>
      <c r="L128" s="3">
        <f>6196.6+(632.7-2166.3)+(-15.80133+(-1.613385--5.524065))+0-0-0</f>
        <v>4651.1093499999997</v>
      </c>
      <c r="M128" s="3">
        <f>6487.3+(717-2165.2)+(3.308523+(0.36567-1.104252))+0-0-0</f>
        <v>5041.6699410000001</v>
      </c>
      <c r="N128" s="3">
        <f>6872.8+(877-2033.6)+(7.010256+(0.89454-2.074272))+0-0-0</f>
        <v>5722.0305240000007</v>
      </c>
      <c r="O128" s="3">
        <f>7245.5+(1060-1959.6)+(11.085615+(1.6218-2.998188))+0-0-0</f>
        <v>6355.6092269999999</v>
      </c>
      <c r="P128" s="3">
        <f>7487.9+(1318.6-2065.8)+(7.637658+(1.344972-2.107116))+0-0-0</f>
        <v>6747.5755139999992</v>
      </c>
      <c r="Q128" s="3">
        <f>7522.6+(1295.8-1782.5)+(11.509578+(1.982574-2.727225))+0-0-0</f>
        <v>7046.6649270000007</v>
      </c>
      <c r="R128" s="3">
        <f>7467.6+(1150.2-1420.7)+(-11.425428+(-1.759806--2.173671))+0-0-0</f>
        <v>7186.0884370000003</v>
      </c>
      <c r="S128" s="3">
        <f>7418.4+(915.8-1228.3)+(-7.566768+(-0.934116--1.252866))+0-0-0</f>
        <v>7098.6519819999994</v>
      </c>
      <c r="T128" s="3">
        <f>7411.4+(721.9-940.8)+(-7.559628+(-0.736338--0.959616))+0-0-0</f>
        <v>7185.1636500000004</v>
      </c>
      <c r="U128" s="3">
        <f>7364.3+(745.6-1030)+(-11.267379+(-1.140768--1.5759))+0-0-0</f>
        <v>7069.0677530000003</v>
      </c>
      <c r="V128" s="3">
        <f>7346.7+(798.7-1277)+(-11.240451+(-1.222011--1.95381))+0-0-0</f>
        <v>6857.8913479999992</v>
      </c>
      <c r="W128" s="3">
        <f>7318.1+(865.1-1490.4)+(-18.661155+(-2.206005--3.80052))+0-0-0</f>
        <v>6675.7333600000002</v>
      </c>
      <c r="X128" s="3">
        <f>7278.3+(669.8-1498.4)+(-7.423866+(-0.683196--1.528368))+0-0-0</f>
        <v>6443.121306</v>
      </c>
      <c r="Y128" s="3">
        <f>7118.6+(702.2-1511.8)+(-3.630486+(-0.358122--0.771018))+0-0-0</f>
        <v>6305.7824099999998</v>
      </c>
      <c r="Z128" s="3">
        <f>7540.8+(850.7-1692)+(7.691616+(0.867714-1.72584))+0-0-0</f>
        <v>6706.33349</v>
      </c>
      <c r="AA128" s="3">
        <f>7683.3+(879-1818.2)+(-15.673932+(-1.79316--3.709128))+0-0-0</f>
        <v>6730.342036</v>
      </c>
      <c r="AB128" s="3">
        <f>7688+(904.1-1978.8)+(-3.92088+(-0.461091--1.009188))+0-0-0</f>
        <v>6609.9272170000004</v>
      </c>
      <c r="AC128" s="3">
        <f>7621.3+(647.9-1929.8)+(-11.660589+(-0.991287--2.952594))+0-0-0</f>
        <v>6329.7007180000001</v>
      </c>
      <c r="AD128" s="2">
        <v>6699.2</v>
      </c>
      <c r="AE128" s="3">
        <f>7676+(923-1899.8)+(0+(0-0))+0-0-0</f>
        <v>6699.2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7592.9+(433.3-2175.3)+(0+(0-0))+0-0-0</f>
        <v>5850.9</v>
      </c>
      <c r="G129" s="3">
        <f>7391.6+(337.6-2384.6)+(3.769716+(0.172176-1.216146))+0-0-0</f>
        <v>5347.3257460000004</v>
      </c>
      <c r="H129" s="3">
        <f>7248.5+(306.8-2575.1)+(-7.39347+(-0.312936--2.626602))+0-0-0</f>
        <v>4975.1201960000008</v>
      </c>
      <c r="I129" s="3">
        <f>7128.3+(313.5-2571.8)+(-3.635433+(-0.159885--1.311618))+0-0-0</f>
        <v>4867.5163000000002</v>
      </c>
      <c r="J129" s="3">
        <f>7097.9+(410.1-2616.9)+(-10.859787+(-0.627453--4.003857))+0-0-0</f>
        <v>4883.6166169999997</v>
      </c>
      <c r="K129" s="3">
        <f>6673.8+(384.5-2481.9)+(-10.210914+(-0.588285--3.797307))+0-0-0</f>
        <v>4569.3981079999994</v>
      </c>
      <c r="L129" s="3">
        <f>6398+(501-2447.4)+(0+(0-0))+0-0-0</f>
        <v>4451.6000000000004</v>
      </c>
      <c r="M129" s="3">
        <f>6435.7+(484.8-2206.8)+(19.693242+(1.483488-6.752808))+0-0-0</f>
        <v>4728.1239219999998</v>
      </c>
      <c r="N129" s="3">
        <f>6769.5+(583.2-2091.7)+(17.262225+(1.48716-5.333835))+0-0-0</f>
        <v>5274.4155499999997</v>
      </c>
      <c r="O129" s="3">
        <f>7135.4+(619.2-1943.1)+(21.834324+(1.894752-5.945886))+0-0-0</f>
        <v>5829.2831900000001</v>
      </c>
      <c r="P129" s="3">
        <f>7240.1+(822.7-1812)+(0+(0-0))+0-0-0</f>
        <v>6250.8</v>
      </c>
      <c r="Q129" s="3">
        <f>7471.3+(925-1860.9)+(11.431089+(1.41525-2.847177))+0-0-0</f>
        <v>6545.3991619999997</v>
      </c>
      <c r="R129" s="3">
        <f>7549.1+(852.1-1728.3)+(0+(0-0))+0-0-0</f>
        <v>6672.9000000000005</v>
      </c>
      <c r="S129" s="3">
        <f>7542.5+(791.4-1782.6)+(-23.08005+(-2.421684--5.454756))+0-0-0</f>
        <v>6531.2530219999999</v>
      </c>
      <c r="T129" s="3">
        <f>7578.1+(678.8-1734.3)+(-3.864831+(-0.346188--0.884493))+0-0-0</f>
        <v>6519.2734740000005</v>
      </c>
      <c r="U129" s="3">
        <f>7580.6+(636.5-1826.7)+(-3.866106+(-0.324615--0.931617))+0-0-0</f>
        <v>6387.1408960000008</v>
      </c>
      <c r="V129" s="3">
        <f>7514.6+(792.7-2043.9)+(-3.832446+(-0.404277--1.042389))+0-0-0</f>
        <v>6260.2056660000007</v>
      </c>
      <c r="W129" s="3">
        <f>7471.7+(996.1-2258.3)+(7.621134+(1.016022-2.303466))+0-0-0</f>
        <v>6215.8336900000004</v>
      </c>
      <c r="X129" s="3">
        <f>7378.8+(1064.1-2330.5)+(3.763188+(0.542691-1.188555))+0-0-0</f>
        <v>6115.5173239999995</v>
      </c>
      <c r="Y129" s="3">
        <f>7386.3+(1065.8-2405.5)+(0+(0-0))+0-0-0</f>
        <v>6046.6</v>
      </c>
      <c r="Z129" s="3">
        <f>7664.8+(934.6-2221.7)+(-11.727144+(-1.429938--3.399201))+0-0-0</f>
        <v>6367.9421190000003</v>
      </c>
      <c r="AA129" s="3">
        <f>7766.8+(1010.5-2351.8)+(-3.961068+(-0.515355--1.199418))+0-0-0</f>
        <v>6422.2229950000001</v>
      </c>
      <c r="AB129" s="3">
        <f>7623.7+(915.6-2290.9)+(-7.776174+(-0.933912--2.336718))+0-0-0</f>
        <v>6242.0266320000001</v>
      </c>
      <c r="AC129" s="3">
        <f>7544.5+(976.2-2559.9)+(-15.39078+(-1.991448--5.222196))+0-0-0</f>
        <v>5948.6399680000004</v>
      </c>
      <c r="AD129" s="2">
        <v>6421.9</v>
      </c>
      <c r="AE129" s="3">
        <f>7739+(991.4-2308.5)+(0+(0-0))+0-0-0</f>
        <v>6421.9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7482.8+(871.4-2720.2)+(-3.816228+(-0.444414--1.387302))+0-0-0</f>
        <v>5631.1266599999999</v>
      </c>
      <c r="G130" s="3">
        <f>7222.5+(706.3-2656.9)+(-3.683475+(-0.360213--1.355019))+0-0-0</f>
        <v>5269.2113309999995</v>
      </c>
      <c r="H130" s="3">
        <f>7164.4+(561.2-2750.4)+(0+(0-0))+0-0-0</f>
        <v>4975.2</v>
      </c>
      <c r="I130" s="3">
        <f>7037.8+(393.5-2584.3)+(-17.94639+(-1.003425--6.589965))+0-0-0</f>
        <v>4834.6401500000002</v>
      </c>
      <c r="J130" s="3">
        <f>6768.9+(602.2-2581.4)+(-6.904278+(-0.614244--2.633028))+0-0-0</f>
        <v>4784.8145059999997</v>
      </c>
      <c r="K130" s="3">
        <f>6267.2+(728.4-2579.8)+(-22.373904+(-2.600388--9.209886))+0-0-0</f>
        <v>4400.035593999999</v>
      </c>
      <c r="L130" s="3">
        <f>6010.1+(561.1-2465.9)+(-21.456057+(-2.003127--8.803263))+0-0-0</f>
        <v>4090.6440790000001</v>
      </c>
      <c r="M130" s="3">
        <f>6077.1+(473.8-2506.1)+(3.099321+(0.241638-1.278111))+0-0-0</f>
        <v>4046.8628480000002</v>
      </c>
      <c r="N130" s="3">
        <f>6213.5+(517.4-2492.9)+(-3.168885+(-0.263874--1.271379))+0-0-0</f>
        <v>4235.8386200000004</v>
      </c>
      <c r="O130" s="3">
        <f>6407.1+(643.1-2600.3)+(9.802863+(0.983943-3.978459))+0-0-0</f>
        <v>4456.7083469999998</v>
      </c>
      <c r="P130" s="3">
        <f>6591.3+(781-2594.2)+(0+(0-0))+0-0-0</f>
        <v>4778.1000000000004</v>
      </c>
      <c r="Q130" s="3">
        <f>6980.5+(760.2-2591)+(10.680165+(1.163106-3.96423))+0-0-0</f>
        <v>5157.579041</v>
      </c>
      <c r="R130" s="3">
        <f>7145.7+(655.4-2445)+(7.288614+(0.668508-2.4939))+0-0-0</f>
        <v>5361.5632220000007</v>
      </c>
      <c r="S130" s="3">
        <f>7229.6+(510.8-2254)+(14.748384+(1.042032-4.59816))+0-0-0</f>
        <v>5497.5922560000008</v>
      </c>
      <c r="T130" s="3">
        <f>7257.6+(339.5-2055.2)+(14.805504+(0.69258-4.192608))+0-0-0</f>
        <v>5553.205476000001</v>
      </c>
      <c r="U130" s="3">
        <f>7228.2+(306.3-2001.9)+(7.372764+(0.312426-2.041938))+0-0-0</f>
        <v>5538.2432519999993</v>
      </c>
      <c r="V130" s="3">
        <f>7210.1+(444.4-2123.4)+(-3.677151+(-0.226644--1.082934))+0-0-0</f>
        <v>5528.2791390000002</v>
      </c>
      <c r="W130" s="3">
        <f>7219.4+(561.3-2208.8)+(7.363788+(0.572526-2.252976))+0-0-0</f>
        <v>5577.5833379999995</v>
      </c>
      <c r="X130" s="3">
        <f>7217.2+(667.7-2333.1)+(-3.680772+(-0.340527--1.189881))+0-0-0</f>
        <v>5548.9685820000004</v>
      </c>
      <c r="Y130" s="3">
        <f>7182.1+(732.1-2330.6)+(-14.651484+(-1.493484--4.754424))+0-0-0</f>
        <v>5572.2094560000005</v>
      </c>
      <c r="Z130" s="3">
        <f>7433+(623.7-2054.6)+(0+(0-0))+0-0-0</f>
        <v>6002.1</v>
      </c>
      <c r="AA130" s="3">
        <f>7591.1+(624.6-2035.3)+(-19.357305+(-1.59273--5.190015))+0-0-0</f>
        <v>6164.6399800000008</v>
      </c>
      <c r="AB130" s="3">
        <f>7545.3+(809.4-2302.4)+(0+(0-0))+0-0-0</f>
        <v>6052.3</v>
      </c>
      <c r="AC130" s="3">
        <f>7507.6+(761.2-2442.3)+(11.486628+(1.164636-3.736719))+0-0-0</f>
        <v>5835.4145449999996</v>
      </c>
      <c r="AD130" s="2">
        <v>6111.3</v>
      </c>
      <c r="AE130" s="3">
        <f>7606+(717-2211.7)+(0+(0-0))+0-0-0</f>
        <v>6111.3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7328.3+(677.7-2418.4)+(-14.949732+(-1.382508--4.933536))+0-0-0</f>
        <v>5576.2012960000002</v>
      </c>
      <c r="G131" s="3">
        <f>7144+(728.9-2706.4)+(-18.2172+(-1.858695--6.90132))+0-0-0</f>
        <v>5153.325425</v>
      </c>
      <c r="H131" s="3">
        <f>6651.3+(636.8-2406.5)+(-23.745141+(-2.273376--8.591205))+0-0-0</f>
        <v>4864.1726880000006</v>
      </c>
      <c r="I131" s="3">
        <f>6425.2+(451.6-2101.3)+(0+(0-0))+0-0-0</f>
        <v>4775.5</v>
      </c>
      <c r="J131" s="3">
        <f>6362+(481-2060.5)+(-16.2231+(-1.22655--5.254275))+0-0-0</f>
        <v>4770.3046249999998</v>
      </c>
      <c r="K131" s="3">
        <f>6203.3+(501.8-2199.2)+(-18.982098+(-1.535508--6.729552))+0-0-0</f>
        <v>4492.1119460000009</v>
      </c>
      <c r="L131" s="3">
        <f>6310.8+(511.2-2390.8)+(0+(0-0))+0-0-0</f>
        <v>4431.2</v>
      </c>
      <c r="M131" s="3">
        <f>6366.8+(728.9-2227.5)+(0+(0-0))+0-0-0</f>
        <v>4868.2000000000007</v>
      </c>
      <c r="N131" s="3">
        <f>6672.4+(836.4-1900.1)+(-3.402924+(-0.426564--0.969051))+0-0-0</f>
        <v>5605.8395629999995</v>
      </c>
      <c r="O131" s="3">
        <f>7066.3+(828.6-1655.9)+(-10.811439+(-1.267758--2.533527))+0-0-0</f>
        <v>6229.4543299999996</v>
      </c>
      <c r="P131" s="3">
        <f>7377.1+(941.3-1613.3)+(0+(0-0))+0-0-0</f>
        <v>6705.1</v>
      </c>
      <c r="Q131" s="3">
        <f>7433.3+(885.6-1330.1)+(11.372949+(1.354968-2.035053))+0-0-0</f>
        <v>6999.4928639999998</v>
      </c>
      <c r="R131" s="3">
        <f>7452.4+(887.6-1189.9)+(7.601448+(0.905352-1.213698))+0-0-0</f>
        <v>7157.3931019999991</v>
      </c>
      <c r="S131" s="3">
        <f>7444.1+(757.4-1055.7)+(0+(0-0))+0-0-0</f>
        <v>7145.8</v>
      </c>
      <c r="T131" s="3">
        <f>7434.2+(607-819.9)+(3.791442+(0.30957-0.418149))+0-0-0</f>
        <v>7224.9828630000002</v>
      </c>
      <c r="U131" s="3">
        <f>7392.1+(643.9-906)+(0+(0-0))+0-0-0</f>
        <v>7130</v>
      </c>
      <c r="V131" s="3">
        <f>7371.7+(886.4-1272.2)+(3.759567+(0.452064-0.648822))+0-0-0</f>
        <v>6989.4628089999997</v>
      </c>
      <c r="W131" s="3">
        <f>7351.8+(1047.3-1565)+(3.749418+(0.534123-0.79815))+0-0-0</f>
        <v>6837.5853910000005</v>
      </c>
      <c r="X131" s="3">
        <f>7353.3+(1194.8-1905.7)+(3.750183+(0.609348-0.971907))+0-0-0</f>
        <v>6645.7876239999996</v>
      </c>
      <c r="Y131" s="3">
        <f>7228.4+(1049.2-1725.3)+(7.372968+(1.070184-1.759806))+0-0-0</f>
        <v>6558.9833459999991</v>
      </c>
      <c r="Z131" s="3">
        <f>7609.4+(985.7-1655.5)+(0+(0-0))+0-0-0</f>
        <v>6939.5999999999995</v>
      </c>
      <c r="AA131" s="3">
        <f>7677+(902.6-1637.6)+(-15.66108+(-1.841304--3.340704))+0-0-0</f>
        <v>6927.8383199999998</v>
      </c>
      <c r="AB131" s="3">
        <f>7585+(1011.7-1814.1)+(0+(0-0))+0-0-0</f>
        <v>6782.6</v>
      </c>
      <c r="AC131" s="3">
        <f>7467.7+(777.5-1767.5)+(3.808527+(0.396525-0.901425))+0-0-0</f>
        <v>6481.0036270000001</v>
      </c>
      <c r="AD131" s="2">
        <v>6991.7999999999993</v>
      </c>
      <c r="AE131" s="3">
        <f>7643+(835.3-1486.5)+(0+(0-0))+0-0-0</f>
        <v>6991.8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7361+(682.5-2025.7)+(7.50822+(0.69615-2.066214))+0-0-0</f>
        <v>6023.9381560000002</v>
      </c>
      <c r="G132" s="3">
        <f>7050.3+(564-2102)+(-10.786959+(-0.86292--3.21606))+0-0-0</f>
        <v>5503.8661810000003</v>
      </c>
      <c r="H132" s="3">
        <f>6985.7+(456.9-2239.6)+(0+(0-0))+0-0-0</f>
        <v>5203</v>
      </c>
      <c r="I132" s="3">
        <f>6852.7+(473.9-2228.6)+(-6.989754+(-0.483378--2.273172))+0-0-0</f>
        <v>5092.8000400000001</v>
      </c>
      <c r="J132" s="3">
        <f>6779.3+(655.6-2308.5)+(-13.829772+(-1.337424--4.70934))+0-0-0</f>
        <v>5115.9421439999996</v>
      </c>
      <c r="K132" s="3">
        <f>6467.6+(513.7-2154.5)+(-16.49238+(-1.309935--5.493975))+0-0-0</f>
        <v>4814.4916600000006</v>
      </c>
      <c r="L132" s="3">
        <f>6206.1+(514.9-2017)+(-6.330222+(-0.525198--2.05734))+0-0-0</f>
        <v>4699.2019200000004</v>
      </c>
      <c r="M132" s="3">
        <f>6324.9+(533.5-1788.1)+(3.225699+(0.272085-0.911931))+0-0-0</f>
        <v>5072.8858529999989</v>
      </c>
      <c r="N132" s="3">
        <f>6865.5+(726.3-1803.6)+(7.00281+(0.740826-1.839672))+0-0-0</f>
        <v>5794.1039639999999</v>
      </c>
      <c r="O132" s="3">
        <f>7039.2+(1003.9-1672.5)+(10.769976+(1.535967-2.558925))+0-0-0</f>
        <v>6380.3470179999995</v>
      </c>
      <c r="P132" s="3">
        <f>7327.9+(1079-1618.7)+(7.474458+(1.10058-1.651074))+0-0-0</f>
        <v>6795.1239639999994</v>
      </c>
      <c r="Q132" s="3">
        <f>7329.9+(1070.1-1315.4)+(14.952996+(2.183004-2.683416))+0-0-0</f>
        <v>7099.0525839999991</v>
      </c>
      <c r="R132" s="3">
        <f>7318.4+(939.9-1011.7)+(11.197152+(1.438047-1.547901))+0-0-0</f>
        <v>7257.6872979999998</v>
      </c>
      <c r="S132" s="3">
        <f>7289.4+(719.8-842.4)+(11.152782+(1.101294-1.288872))+0-0-0</f>
        <v>7177.7652039999994</v>
      </c>
      <c r="T132" s="3">
        <f>7253.4+(696.5-601)+(-7.398468+(-0.71043--0.61302))+0-0-0</f>
        <v>7341.4041219999999</v>
      </c>
      <c r="U132" s="3">
        <f>7249.3+(838-813.9)+(7.394286+(0.85476-0.830178))+0-0-0</f>
        <v>7280.8188680000003</v>
      </c>
      <c r="V132" s="3">
        <f>7260.6+(871.5-1023.5)+(0+(0-0))+0-0-0</f>
        <v>7108.6</v>
      </c>
      <c r="W132" s="3">
        <f>7269.6+(1003.7-1314.5)+(0+(0-0))+0-0-0</f>
        <v>6958.8</v>
      </c>
      <c r="X132" s="3">
        <f>7238.2+(1206.7-1698.7)+(3.691482+(0.615417-0.866337))+0-0-0</f>
        <v>6749.6405619999996</v>
      </c>
      <c r="Y132" s="3">
        <f>7340.4+(1096.9-1812)+(11.230812+(1.678257-2.77236))+0-0-0</f>
        <v>6635.4367089999996</v>
      </c>
      <c r="Z132" s="3">
        <f>7619.7+(941.5-1549.6)+(0+(0-0))+0-0-0</f>
        <v>7011.6</v>
      </c>
      <c r="AA132" s="3">
        <f>7648.4+(833.5-1474.3)+(-27.304788+(-2.975595--5.263251))+0-0-0</f>
        <v>6982.5828679999995</v>
      </c>
      <c r="AB132" s="3">
        <f>7546+(860.6-1601.5)+(-11.54538+(-1.316718--2.450295))+0-0-0</f>
        <v>6794.6881970000004</v>
      </c>
      <c r="AC132" s="3">
        <f>7448.5+(685.4-1609.5)+(3.798735+(0.349554-0.820845))+0-0-0</f>
        <v>6527.7274439999992</v>
      </c>
      <c r="AD132" s="2">
        <v>7052.2</v>
      </c>
      <c r="AE132" s="3">
        <f>7656+(806.5-1410.3)+(0+(0-0))+0-0-0</f>
        <v>7052.2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7288.4+(440.2-1644.6)+(-7.434168+(-0.449004--1.677492))+0-0-0</f>
        <v>6077.79432</v>
      </c>
      <c r="G133" s="3">
        <f>7093.4+(478.8-1986.8)+(-14.470536+(-0.976752--4.053072))+0-0-0</f>
        <v>5574.0057839999999</v>
      </c>
      <c r="H133" s="3">
        <f>6985.4+(478.3-2210.4)+(-10.687662+(-0.731799--3.381912))+0-0-0</f>
        <v>5245.2624509999996</v>
      </c>
      <c r="I133" s="3">
        <f>7015.7+(426-2298.1)+(-3.578007+(-0.21726--1.172031))+0-0-0</f>
        <v>5140.976764</v>
      </c>
      <c r="J133" s="3">
        <f>6971.8+(472.6-2265.4)+(-14.222472+(-0.964104--4.621416))+0-0-0</f>
        <v>5168.4348399999999</v>
      </c>
      <c r="K133" s="3">
        <f>6589.7+(438.3-2126.3)+(-10.082241+(-0.670599--3.253239))+0-0-0</f>
        <v>4894.2003989999994</v>
      </c>
      <c r="L133" s="3">
        <f>6152.4+(454.2-1829.9)+(0+(0-0))+0-0-0</f>
        <v>4776.7</v>
      </c>
      <c r="M133" s="3">
        <f>6405.7+(616.3-1887.5)+(9.800721+(0.942939-2.887875))+0-0-0</f>
        <v>5142.3557849999997</v>
      </c>
      <c r="N133" s="3">
        <f>6753.3+(948-1838.5)+(3.444183+(0.48348-0.937635))+0-0-0</f>
        <v>5865.7900280000003</v>
      </c>
      <c r="O133" s="3">
        <f>6971.7+(1309.4-1797.8)+(3.555567+(0.667794-0.916878))+0-0-0</f>
        <v>6486.6064830000005</v>
      </c>
      <c r="P133" s="3">
        <f>7283+(1382.2-1746.8)+(14.85732+(2.819688-3.563472))+0-0-0</f>
        <v>6932.5135359999995</v>
      </c>
      <c r="Q133" s="3">
        <f>7289.1+(1232.9-1309.2)+(11.152323+(1.886337-2.003076))+0-0-0</f>
        <v>7223.8355840000004</v>
      </c>
      <c r="R133" s="3">
        <f>7302.2+(1017.8-908.9)+(-14.896488+(-2.076312--1.854156))+0-0-0</f>
        <v>7395.9813559999993</v>
      </c>
      <c r="S133" s="3">
        <f>7323.4+(958.2-987.4)+(-11.204802+(-1.466046--1.510722))+0-0-0</f>
        <v>7283.0398740000001</v>
      </c>
      <c r="T133" s="3">
        <f>7368.3+(902.2-870.9)+(11.273499+(1.380366-1.332477))+0-0-0</f>
        <v>7410.9213880000007</v>
      </c>
      <c r="U133" s="3">
        <f>7331.9+(903.8-946.4)+(7.478538+(0.921876-0.965328))+0-0-0</f>
        <v>7296.7350859999997</v>
      </c>
      <c r="V133" s="3">
        <f>7309.3+(941.2-1109.7)+(3.727743+(0.480012-0.565947))+0-0-0</f>
        <v>7144.4418080000005</v>
      </c>
      <c r="W133" s="3">
        <f>7303.7+(1100.4-1424.3)+(-3.724887+(-0.561204--0.726393))+0-0-0</f>
        <v>6976.2403020000002</v>
      </c>
      <c r="X133" s="3">
        <f>7290.5+(1233.5-1745.5)+(7.43631+(1.25817-1.78041))+0-0-0</f>
        <v>6785.4140699999998</v>
      </c>
      <c r="Y133" s="3">
        <f>7383.4+(1202-1914.8)+(15.062136+(2.45208-3.906192))+0-0-0</f>
        <v>6684.2080239999996</v>
      </c>
      <c r="Z133" s="3">
        <f>7664.1+(979.1-1624.5)+(3.908691+(0.499341-0.828495))+0-0-0</f>
        <v>7022.2795370000003</v>
      </c>
      <c r="AA133" s="3">
        <f>7714.6+(851.5-1577)+(-15.737784+(-1.73706--3.21708))+0-0-0</f>
        <v>6974.8422360000004</v>
      </c>
      <c r="AB133" s="3">
        <f>7640.3+(752.8-1570.8)+(7.793106+(0.767856-1.602216))+0-0-0</f>
        <v>6829.2587460000004</v>
      </c>
      <c r="AC133" s="3">
        <f>7537.1+(647.8-1647.2)+(0+(0-0))+0-0-0</f>
        <v>6537.7000000000007</v>
      </c>
      <c r="AD133" s="2">
        <v>6868.5000000000009</v>
      </c>
      <c r="AE133" s="3">
        <f>7667+(843.7-1597.2)+(0+(0-0))+0-0-0</f>
        <v>6913.5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7381.1+(563.2-1851)+(-11.293083+(-0.861696--2.83203))+0-0-0</f>
        <v>6083.9772510000003</v>
      </c>
      <c r="G134" s="3">
        <f>6987.8+(348.9-1757.7)+(-7.127556+(-0.355878--1.792854))+0-0-0</f>
        <v>5573.3094199999996</v>
      </c>
      <c r="H134" s="3">
        <f>6828.6+(333.9-1885.6)+(-3.482586+(-0.170289--0.961656))+0-0-0</f>
        <v>5274.2087810000003</v>
      </c>
      <c r="I134" s="3">
        <f>6825.3+(280.5-1918.5)+(-6.961806+(-0.28611--1.95687))+0-0-0</f>
        <v>5182.0089539999999</v>
      </c>
      <c r="J134" s="3">
        <f>6868.8+(403.1-2047.3)+(7.006176+(0.411162-2.088246))+0-0-0</f>
        <v>5229.9290920000003</v>
      </c>
      <c r="K134" s="3">
        <f>6638+(527.5-2225.8)+(3.38538+(0.269025-1.135158))+0-0-0</f>
        <v>4942.219247</v>
      </c>
      <c r="L134" s="3">
        <f>6475.4+(506.2-2156)+(-9.907362+(-0.774486--3.29868))+0-0-0</f>
        <v>4818.2168319999992</v>
      </c>
      <c r="M134" s="3">
        <f>6534.5+(545.9-1894.2)+(3.332595+(0.278409-0.966042))+0-0-0</f>
        <v>5188.8449620000001</v>
      </c>
      <c r="N134" s="3">
        <f>6881.4+(918.5-1918.2)+(7.019028+(0.93687-1.956564))+0-0-0</f>
        <v>5887.6993339999999</v>
      </c>
      <c r="O134" s="3">
        <f>7363.6+(1143.4-1988.7)+(7.510872+(1.166268-2.028474))+0-0-0</f>
        <v>6524.9486660000002</v>
      </c>
      <c r="P134" s="3">
        <f>7454.9+(1431.9-1899.9)+(3.801999+(0.730269-0.968949))+0-0-0</f>
        <v>6990.4633189999995</v>
      </c>
      <c r="Q134" s="3">
        <f>7397.7+(1353-1447.4)+(7.545654+(1.38006-1.476348))+0-0-0</f>
        <v>7310.7493659999991</v>
      </c>
      <c r="R134" s="3">
        <f>7425.8+(1276.3-1232.1)+(3.787158+(0.650913-0.628371))+0-0-0</f>
        <v>7473.8096999999998</v>
      </c>
      <c r="S134" s="3">
        <f>7362.2+(1301.3-1286.5)+(3.754722+(0.663663-0.656115))+0-0-0</f>
        <v>7380.7622700000002</v>
      </c>
      <c r="T134" s="3">
        <f>7207.1+(1241.6-947)+(3.675621+(0.633216-0.48297))+0-0-0</f>
        <v>7505.5258670000003</v>
      </c>
      <c r="U134" s="3">
        <f>7100.2+(1267.1-935.5)+(-10.863306+(-1.938663--1.431315))+0-0-0</f>
        <v>7420.429345999999</v>
      </c>
      <c r="V134" s="3">
        <f>6969+(1377.2-1071.7)+(3.55419+(0.702372-0.546567))+0-0-0</f>
        <v>7278.2099950000002</v>
      </c>
      <c r="W134" s="3">
        <f>7030.8+(1409.5-1343.6)+(-7.171416+(-1.43769--1.370472))+0-0-0</f>
        <v>7089.4613660000005</v>
      </c>
      <c r="X134" s="3">
        <f>7076.5+(1333.6-1525.2)+(-10.827045+(-2.040408--2.333556))+0-0-0</f>
        <v>6874.3661029999994</v>
      </c>
      <c r="Y134" s="3">
        <f>7186.5+(1107.4-1553.2)+(7.33023+(1.129548-1.584264))+0-0-0</f>
        <v>6747.5755140000001</v>
      </c>
      <c r="Z134" s="3">
        <f>7398.1+(1026.4-1358.3)+(7.546062+(1.046928-1.385466))+0-0-0</f>
        <v>7073.4075240000011</v>
      </c>
      <c r="AA134" s="3">
        <f>7366.8+(981.1-1318.1)+(-7.514136+(-1.000722--1.344462))+0-0-0</f>
        <v>7022.6296039999997</v>
      </c>
      <c r="AB134" s="3">
        <f>7327.6+(1070.2-1474.7)+(3.737076+(0.545802-0.752097))+0-0-0</f>
        <v>6926.6307810000008</v>
      </c>
      <c r="AC134" s="3">
        <f>7267.8+(1073-1651.3)+(18.53289+(2.73615-4.210815))+0-0-0</f>
        <v>6706.5582249999998</v>
      </c>
      <c r="AD134" s="2">
        <v>7090.7000000000007</v>
      </c>
      <c r="AE134" s="3">
        <f>7395+(927.2-1231.5)+(0+(0-0))+0-0-0</f>
        <v>7090.7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7180.7+(735.2-1720.6)+(10.986471+(1.124856-2.632518))+0-0-0</f>
        <v>6204.7788090000004</v>
      </c>
      <c r="G135" s="3">
        <f>7153.3+(735.5-2164)+(-3.648183+(-0.375105--1.10364))+0-0-0</f>
        <v>5721.8803520000001</v>
      </c>
      <c r="H135" s="3">
        <f>7165.2+(750.5-2476.6)+(7.308504+(0.76551-2.526132))+0-0-0</f>
        <v>5444.6478820000002</v>
      </c>
      <c r="I135" s="3">
        <f>7083.8+(766.6-2524.8)+(7.225476+(0.781932-2.575296))+0-0-0</f>
        <v>5331.0321120000008</v>
      </c>
      <c r="J135" s="3">
        <f>7040.7+(907.9-2583.7)+(14.363028+(1.852116-5.270748))+0-0-0</f>
        <v>5375.8443959999995</v>
      </c>
      <c r="K135" s="3">
        <f>6665.5+(900.8-2490)+(-20.39643+(-2.756448--7.6194))+0-0-0</f>
        <v>5060.7665219999999</v>
      </c>
      <c r="L135" s="3">
        <f>6453.2+(866.2-2355.2)+(-16.45566+(-2.20881--6.00576))+0-0-0</f>
        <v>4951.5412900000001</v>
      </c>
      <c r="M135" s="3">
        <f>6585.4+(876.2-2135.7)+(0+(0-0))+0-0-0</f>
        <v>5325.9</v>
      </c>
      <c r="N135" s="3">
        <f>6885.1+(998.6-1827)+(-3.511401+(-0.509286--0.93177))+0-0-0</f>
        <v>6053.6110830000007</v>
      </c>
      <c r="O135" s="3">
        <f>7303.6+(1265.3-1868.3)+(0+(0-0))+0-0-0</f>
        <v>6700.6</v>
      </c>
      <c r="P135" s="3">
        <f>7296.6+(1410.8-1595.9)+(11.163798+(2.158524-2.441727))+0-0-0</f>
        <v>7122.3805949999996</v>
      </c>
      <c r="Q135" s="3">
        <f>7230.5+(1438.7-1241.2)+(11.062665+(2.201211-1.899036))+0-0-0</f>
        <v>7439.3648400000002</v>
      </c>
      <c r="R135" s="3">
        <f>7303.5+(1385.3-1088.5)+(-7.44957+(-1.413006--1.11027))+0-0-0</f>
        <v>7592.5476939999999</v>
      </c>
      <c r="S135" s="3">
        <f>7279.4+(1400-1113.9)+(-3.712494+(-0.714--0.568089))+0-0-0</f>
        <v>7561.6415950000001</v>
      </c>
      <c r="T135" s="3">
        <f>7212.2+(1305.7-855.2)+(-14.712888+(-2.663628--1.744608))+0-0-0</f>
        <v>7647.0680919999995</v>
      </c>
      <c r="U135" s="3">
        <f>7097.1+(1361-921.2)+(-10.858563+(-2.08233--1.409436))+0-0-0</f>
        <v>7525.3685430000005</v>
      </c>
      <c r="V135" s="3">
        <f>7068.9+(1461.3-1171.8)+(0+(0-0))+0-0-0</f>
        <v>7358.4</v>
      </c>
      <c r="W135" s="3">
        <f>7062.8+(1488.7-1359.1)+(10.806084+(2.277711-2.079423))+0-0-0</f>
        <v>7203.4043720000009</v>
      </c>
      <c r="X135" s="3">
        <f>7067.3+(1625.6-1722.1)+(10.812969+(2.487168-2.634813))+0-0-0</f>
        <v>6981.4653239999998</v>
      </c>
      <c r="Y135" s="3">
        <f>7057.2+(1583.5-1795.4)+(14.396688+(3.23034-3.662616))+0-0-0</f>
        <v>6859.2644119999995</v>
      </c>
      <c r="Z135" s="3">
        <f>7278.5+(1281.7-1379.1)+(7.42407+(1.307334-1.406682))+0-0-0</f>
        <v>7188.4247220000007</v>
      </c>
      <c r="AA135" s="3">
        <f>7358.5+(1198.5-1397.4)+(-15.01134+(-2.44494--2.850696))+0-0-0</f>
        <v>7144.9944160000005</v>
      </c>
      <c r="AB135" s="3">
        <f>7353.9+(1324.4-1673)+(-3.750489+(-0.675444--0.85323))+0-0-0</f>
        <v>7001.7272969999995</v>
      </c>
      <c r="AC135" s="3">
        <f>7331.6+(1279.3-1884.4)+(-3.739116+(-0.652443--0.961044))+0-0-0</f>
        <v>6723.069485</v>
      </c>
      <c r="AD135" s="2">
        <v>7178.2000000000007</v>
      </c>
      <c r="AE135" s="3">
        <f>7274+(1171.2-1267)+(0+(0-0))+0-0-0</f>
        <v>7178.2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7310+(1295-2336.5)+(3.7281+(0.66045-1.191615))+0-0-0</f>
        <v>6271.6969349999999</v>
      </c>
      <c r="G136" s="3">
        <f>7287.9+(988.5-2440.9)+(11.150487+(1.512405-3.734577))+0-0-0</f>
        <v>5844.4283150000001</v>
      </c>
      <c r="H136" s="3">
        <f>6999.1+(780.4-2307.2)+(3.569541+(0.398004-1.176672))+0-0-0</f>
        <v>5475.090873000001</v>
      </c>
      <c r="I136" s="3">
        <f>6915.2+(696.9-2287.5)+(7.053504+(0.710838-2.33325))+0-0-0</f>
        <v>5330.0310920000002</v>
      </c>
      <c r="J136" s="3">
        <f>6909+(786.7-2342.9)+(-7.04718+(-0.802434--2.389758))+0-0-0</f>
        <v>5347.3401439999998</v>
      </c>
      <c r="K136" s="3">
        <f>6582.1+(759.4-2277.5)+(-13.427484+(-1.549176--4.6461))+0-0-0</f>
        <v>5053.6694399999997</v>
      </c>
      <c r="L136" s="3">
        <f>6270.5+(848.6-2235.5)+(-19.18773+(-2.596716--6.84063))+0-0-0</f>
        <v>4868.6561840000004</v>
      </c>
      <c r="M136" s="3">
        <f>6425.7+(967.1-2267.2)+(13.108428+(1.972884-4.625088))+0-0-0</f>
        <v>5136.0562239999999</v>
      </c>
      <c r="N136" s="3">
        <f>6756.4+(1014.8-2061.4)+(20.674584+(3.105288-6.307884))+0-0-0</f>
        <v>5727.2719879999995</v>
      </c>
      <c r="O136" s="3">
        <f>7017.3+(1113.9-1804.6)+(10.736469+(1.704267-2.761038))+0-0-0</f>
        <v>6336.2796980000003</v>
      </c>
      <c r="P136" s="3">
        <f>7103.8+(1186.8-1501.1)+(7.245876+(1.210536-1.531122))+0-0-0</f>
        <v>6796.4252900000001</v>
      </c>
      <c r="Q136" s="3">
        <f>7077.4+(1248.1-1194.3)+(3.609474+(0.636531-0.609093))+0-0-0</f>
        <v>7134.8369119999998</v>
      </c>
      <c r="R136" s="3">
        <f>7172+(1162.9-1035.3)+(3.65772+(0.593079-0.528003))+0-0-0</f>
        <v>7303.3227960000004</v>
      </c>
      <c r="S136" s="3">
        <f>7163.3+(1079.3-1045.1)+(-21.919698+(-3.302658--3.198006))+0-0-0</f>
        <v>7175.4756500000003</v>
      </c>
      <c r="T136" s="3">
        <f>7140.9+(1065.8-1046.6)+(-18.209295+(-2.71779--2.66883))+0-0-0</f>
        <v>7141.8417449999997</v>
      </c>
      <c r="U136" s="3">
        <f>7064.6+(1221-1277.2)+(-3.602946+(-0.62271--0.651372))+0-0-0</f>
        <v>7004.8257160000003</v>
      </c>
      <c r="V136" s="3">
        <f>7038.4+(1316.7-1462.1)+(-10.768752+(-2.014551--2.237013))+0-0-0</f>
        <v>6882.4537099999998</v>
      </c>
      <c r="W136" s="3">
        <f>7029.8+(1464.3-1700.9)+(-17.92599+(-3.733965--4.337295))+0-0-0</f>
        <v>6775.87734</v>
      </c>
      <c r="X136" s="3">
        <f>7027.3+(1605.2-2010.3)+(-10.751769+(-2.455956--3.075759))+0-0-0</f>
        <v>6612.0680340000008</v>
      </c>
      <c r="Y136" s="3">
        <f>7084.9+(1543.9-2125.3)+(0+(0-0))+0-0-0</f>
        <v>6503.5</v>
      </c>
      <c r="Z136" s="3">
        <f>7198.2+(1339.5-1745.1)+(7.342164+(1.36629-1.780002))+0-0-0</f>
        <v>6799.5284520000005</v>
      </c>
      <c r="AA136" s="3">
        <f>7221.1+(1253.7-1722.2)+(-7.365522+(-1.278774--1.756644))+0-0-0</f>
        <v>6745.712348</v>
      </c>
      <c r="AB136" s="3">
        <f>7246.3+(1302.8-2006.5)+(-11.086839+(-1.993284--3.069945))+0-0-0</f>
        <v>6532.5898219999999</v>
      </c>
      <c r="AC136" s="3">
        <f>7217.3+(1411.4-2326.7)+(-11.042469+(-2.159442--3.559851))+0-0-0</f>
        <v>6292.3579399999999</v>
      </c>
      <c r="AD136" s="2">
        <v>6715.3000000000011</v>
      </c>
      <c r="AE136" s="3">
        <f>7186+(1279.7-1750.4)+(0+(0-0))+0-0-0</f>
        <v>6715.3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7066.7+(1276.8-2340.4)+(-10.812051+(-1.953504--3.580812))+0-0-0</f>
        <v>5993.9152569999997</v>
      </c>
      <c r="G137" s="3">
        <f>6645.6+(1065.9-2092.9)+(3.389256+(0.543609-1.067379))+0-0-0</f>
        <v>5621.4654860000001</v>
      </c>
      <c r="H137" s="3">
        <f>6611.3+(839.1-2132)+(0+(0-0))+0-0-0</f>
        <v>5318.4</v>
      </c>
      <c r="I137" s="3">
        <f>6609.6+(841.2-2285.8)+(-6.741792+(-0.858024--2.331516))+0-0-0</f>
        <v>5159.7317000000003</v>
      </c>
      <c r="J137" s="3">
        <f>6625.1+(939.8-2406.5)+(-10.136403+(-1.437894--3.681945))+0-0-0</f>
        <v>5150.5076480000007</v>
      </c>
      <c r="K137" s="3">
        <f>6323.5+(803.7-2323.3)+(-12.89994+(-1.639548--4.739532))+0-0-0</f>
        <v>4794.1000439999998</v>
      </c>
      <c r="L137" s="3">
        <f>5956.9+(586.5-2054.7)+(-15.190095+(-1.495575--5.239485))+0-0-0</f>
        <v>4477.253815</v>
      </c>
      <c r="M137" s="3">
        <f>5890+(602.9-2085.3)+(-6.0078+(-0.614958--2.127006))+0-0-0</f>
        <v>4403.1042480000006</v>
      </c>
      <c r="N137" s="3">
        <f>6150.5+(797.3-2393.1)+(-9.410265+(-1.219869--3.661443))+0-0-0</f>
        <v>4547.7313089999998</v>
      </c>
      <c r="O137" s="3">
        <f>6418.2+(819.3-2385.7)+(0+(0-0))+0-0-0</f>
        <v>4851.8</v>
      </c>
      <c r="P137" s="3">
        <f>6636.1+(1053.4-2464.8)+(10.153233+(1.611702-3.771144))+0-0-0</f>
        <v>5232.6937910000006</v>
      </c>
      <c r="Q137" s="3">
        <f>6678.8+(1174.8-2242.3)+(-6.812376+(-1.198296--2.287146))+0-0-0</f>
        <v>5605.5764740000004</v>
      </c>
      <c r="R137" s="3">
        <f>6790.3+(1232.2-2141.3)+(3.463053+(0.628422-1.092063))+0-0-0</f>
        <v>5884.1994119999999</v>
      </c>
      <c r="S137" s="3">
        <f>6802.1+(1153.5-1912.8)+(-3.469071+(-0.588285--0.975528))+0-0-0</f>
        <v>6039.7181719999999</v>
      </c>
      <c r="T137" s="3">
        <f>6757.1+(1005.1-1666.5)+(3.446121+(0.512601-0.849915))+0-0-0</f>
        <v>6098.8088070000003</v>
      </c>
      <c r="U137" s="3">
        <f>6682.2+(944.6-1557.1)+(3.407922+(0.481746-0.794121))+0-0-0</f>
        <v>6072.7955469999997</v>
      </c>
      <c r="V137" s="3">
        <f>6663.8+(950.3-1567.6)+(3.398538+(0.484653-0.799476))+0-0-0</f>
        <v>6049.5837149999998</v>
      </c>
      <c r="W137" s="3">
        <f>6662.6+(1012.4-1604.3)+(-3.397926+(-0.516324--0.818193))+0-0-0</f>
        <v>6067.603943000001</v>
      </c>
      <c r="X137" s="3">
        <f>6773.9+(1094.8-1825.3)+(0+(0-0))+0-0-0</f>
        <v>6043.4</v>
      </c>
      <c r="Y137" s="3">
        <f>6842.7+(1065.8-1853.7)+(-3.489777+(-0.543558--0.945387))+0-0-0</f>
        <v>6051.7120519999989</v>
      </c>
      <c r="Z137" s="3">
        <f>7266.2+(972.8-1764.7)+(3.705762+(0.496128-0.899997))+0-0-0</f>
        <v>6477.6018929999991</v>
      </c>
      <c r="AA137" s="3">
        <f>7354.1+(908.1-1733)+(-7.501182+(-0.926262--1.76766))+0-0-0</f>
        <v>6522.5402160000003</v>
      </c>
      <c r="AB137" s="3">
        <f>7362+(863.5-1789.3)+(3.75462+(0.440385-0.912543))+0-0-0</f>
        <v>6439.4824619999999</v>
      </c>
      <c r="AC137" s="3">
        <f>7325.3+(896.6-1921)+(-3.735903+(-0.457266--0.97971))+0-0-0</f>
        <v>6297.686541</v>
      </c>
      <c r="AD137" s="2">
        <v>6568.8</v>
      </c>
      <c r="AE137" s="3">
        <f>7364+(915.6-1710.8)+(0+(0-0))+0-0-0</f>
        <v>6568.8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7094.8+(773.2-1842)+(-3.618348+(-0.394332--0.93942))+0-0-0</f>
        <v>6022.9267399999999</v>
      </c>
      <c r="G138" s="3">
        <f>6678+(648.4-1775.2)+(-10.21734+(-0.992052--2.716056))+0-0-0</f>
        <v>5542.7066639999994</v>
      </c>
      <c r="H138" s="3">
        <f>6413.9+(676.2-1843.9)+(0+(0-0))+0-0-0</f>
        <v>5246.2</v>
      </c>
      <c r="I138" s="3">
        <f>6152.7+(511.1-1570.2)+(3.137877+(0.260661-0.800802))+0-0-0</f>
        <v>5096.1977360000001</v>
      </c>
      <c r="J138" s="3">
        <f>6179.8+(553.5-1586)+(-12.606792+(-1.12914--3.23544))+0-0-0</f>
        <v>5136.7995080000001</v>
      </c>
      <c r="K138" s="3">
        <f>6212.8+(645.1-1990.3)+(-15.84264+(-1.645005--5.075265))+0-0-0</f>
        <v>4855.1876200000006</v>
      </c>
      <c r="L138" s="3">
        <f>6092+(650.1-1946.8)+(-6.21384+(-0.663102--1.985736))+0-0-0</f>
        <v>4790.4087939999999</v>
      </c>
      <c r="M138" s="3">
        <f>6402.6+(703.6-1908.1)+(0+(0-0))+0-0-0</f>
        <v>5198.1000000000004</v>
      </c>
      <c r="N138" s="3">
        <f>7061.8+(830.7-1974.1)+(3.601518+(0.423657-1.006791))+0-0-0</f>
        <v>5921.4183840000005</v>
      </c>
      <c r="O138" s="3">
        <f>7149.3+(1052.5-1683.7)+(0+(0-0))+0-0-0</f>
        <v>6518.1</v>
      </c>
      <c r="P138" s="3">
        <f>7359.6+(1029.5-1454.3)+(11.260188+(1.575135-2.225079))+0-0-0</f>
        <v>6945.4102440000006</v>
      </c>
      <c r="Q138" s="3">
        <f>7348.8+(956.9-1045.7)+(-3.747888+(-0.488019--0.533307))+0-0-0</f>
        <v>7256.2974000000004</v>
      </c>
      <c r="R138" s="3">
        <f>7452.4+(940.9-964.9)+(0+(0-0))+0-0-0</f>
        <v>7428.4</v>
      </c>
      <c r="S138" s="3">
        <f>7469.3+(802.3-887.4)+(-3.809343+(-0.409173--0.452574))+0-0-0</f>
        <v>7380.4340579999998</v>
      </c>
      <c r="T138" s="3">
        <f>7441.1+(744.5-663.7)+(3.794961+(0.379695-0.338487))+0-0-0</f>
        <v>7525.7361690000007</v>
      </c>
      <c r="U138" s="3">
        <f>7318.6+(748.2-641.6)+(3.732486+(0.381582-0.327216))+0-0-0</f>
        <v>7428.9868520000009</v>
      </c>
      <c r="V138" s="3">
        <f>7246.8+(796.7-755.6)+(-14.783472+(-1.625268--1.541424))+0-0-0</f>
        <v>7273.0326840000007</v>
      </c>
      <c r="W138" s="3">
        <f>7203.8+(918.7-1015.9)+(-14.695752+(-1.874148--2.072436))+0-0-0</f>
        <v>7092.1025360000003</v>
      </c>
      <c r="X138" s="3">
        <f>7191.3+(1108.9-1422.1)+(-18.337815+(-2.827695--3.626355))+0-0-0</f>
        <v>6860.560845</v>
      </c>
      <c r="Y138" s="3">
        <f>7230.4+(1126.5-1617.4)+(0+(0-0))+0-0-0</f>
        <v>6739.5</v>
      </c>
      <c r="Z138" s="3">
        <f>7384.8+(864.7-1168.6)+(11.298744+(1.322991-1.787958))+0-0-0</f>
        <v>7091.7337770000004</v>
      </c>
      <c r="AA138" s="3">
        <f>7400.5+(773.5-1098.6)+(-22.64553+(-2.36691--3.361716))+0-0-0</f>
        <v>7053.7492759999996</v>
      </c>
      <c r="AB138" s="3">
        <f>7384.8+(894.1-1378.9)+(-7.532496+(-0.911982--1.406478))+0-0-0</f>
        <v>6892.9620000000004</v>
      </c>
      <c r="AC138" s="3">
        <f>7341.4+(905.2-1588.6)+(3.744114+(0.461652-0.810186))+0-0-0</f>
        <v>6661.3955800000003</v>
      </c>
      <c r="AD138" s="2">
        <v>7112.2</v>
      </c>
      <c r="AE138" s="3">
        <f>7397+(742.4-1027.2)+(0+(0-0))+0-0-0</f>
        <v>7112.2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7352.7+(630.9-1765.5)+(0+(0-0))+0-0-0</f>
        <v>6218.1</v>
      </c>
      <c r="G139" s="3">
        <f>7292.9+(455.1-2013)+(-3.719379+(-0.232101--1.02663))+0-0-0</f>
        <v>5732.0751499999997</v>
      </c>
      <c r="H139" s="3">
        <f>7168.7+(477.8-2256.5)+(-7.312074+(-0.487356--2.30163))+0-0-0</f>
        <v>5384.5021999999999</v>
      </c>
      <c r="I139" s="3">
        <f>7108.4+(441.5-2320.6)+(-3.625284+(-0.225165--1.183506))+0-0-0</f>
        <v>5226.6330569999991</v>
      </c>
      <c r="J139" s="3">
        <f>7038+(488.4-2299)+(-14.35752+(-0.996336--4.68996))+0-0-0</f>
        <v>5216.7361039999996</v>
      </c>
      <c r="K139" s="3">
        <f>6756.5+(553.7-2365.7)+(-6.89163+(-0.564774--2.413014))+0-0-0</f>
        <v>4939.4566100000002</v>
      </c>
      <c r="L139" s="3">
        <f>6220.4+(614-2004.9)+(-6.344808+(-0.62628--2.044998))+0-0-0</f>
        <v>4824.5739100000001</v>
      </c>
      <c r="M139" s="3">
        <f>6385.3+(666-1886.3)+(3.256503+(0.33966-0.962013))+0-0-0</f>
        <v>5167.6341499999999</v>
      </c>
      <c r="N139" s="3">
        <f>7154.2+(775.2-2106.4)+(3.648642+(0.395352-1.074264))+0-0-0</f>
        <v>5825.9697299999998</v>
      </c>
      <c r="O139" s="3">
        <f>7415.9+(1166.4-2114.2)+(-3.782109+(-0.594864--1.078242))+0-0-0</f>
        <v>6464.8012690000005</v>
      </c>
      <c r="P139" s="3">
        <f>7394.5+(1162.2-1699.9)+(-7.54239+(-1.185444--1.733898))+0-0-0</f>
        <v>6849.8060640000003</v>
      </c>
      <c r="Q139" s="3">
        <f>7397.6+(1037.7-1350.1)+(11.318328+(1.587681-2.065653))+0-0-0</f>
        <v>7096.0403560000004</v>
      </c>
      <c r="R139" s="3">
        <f>7493.8+(838-1061.5)+(-7.643676+(-0.85476--1.08273))+0-0-0</f>
        <v>7262.8842940000004</v>
      </c>
      <c r="S139" s="3">
        <f>7492.8+(663.1-934.9)+(-11.463984+(-1.014543--1.430397))+0-0-0</f>
        <v>7209.9518699999999</v>
      </c>
      <c r="T139" s="3">
        <f>7486.1+(593.6-714.9)+(-11.453733+(-0.908208--1.093797))+0-0-0</f>
        <v>7353.5318560000005</v>
      </c>
      <c r="U139" s="3">
        <f>7432.1+(597.7-735.8)+(-7.580742+(-0.609654--0.750516))+0-0-0</f>
        <v>7286.5601200000001</v>
      </c>
      <c r="V139" s="3">
        <f>7393.3+(599.4-852.8)+(-3.770583+(-0.305694--0.434928))+0-0-0</f>
        <v>7136.2586510000001</v>
      </c>
      <c r="W139" s="3">
        <f>7353.5+(715.7-1079.5)+(-15.00114+(-1.460028--2.20218))+0-0-0</f>
        <v>6975.4410120000002</v>
      </c>
      <c r="X139" s="3">
        <f>7307.2+(898.6-1414.1)+(-22.360032+(-2.749716--4.327146))+0-0-0</f>
        <v>6770.9173979999996</v>
      </c>
      <c r="Y139" s="3">
        <f>7253.3+(501.2-1111.5)+(14.796732+(1.022448-2.26746))+0-0-0</f>
        <v>6656.5517200000004</v>
      </c>
      <c r="Z139" s="3">
        <f>7483.8+(669.4-1158.3)+(15.266952+(1.365576-2.362932))+0-0-0</f>
        <v>7009.1695960000006</v>
      </c>
      <c r="AA139" s="3">
        <f>7520.3+(696.5-1236.7)+(-15.341412+(-1.42086--2.522868))+0-0-0</f>
        <v>6965.8605960000004</v>
      </c>
      <c r="AB139" s="3">
        <f>7440.6+(781.8-1419)+(0+(0-0))+0-0-0</f>
        <v>6803.4000000000005</v>
      </c>
      <c r="AC139" s="3">
        <f>7355.9+(769.5-1588.7)+(-7.503018+(-0.78489--1.620474))+0-0-0</f>
        <v>6530.0325659999999</v>
      </c>
      <c r="AD139" s="2">
        <v>6990.2000000000007</v>
      </c>
      <c r="AE139" s="3">
        <f>7526+(661.6-1197.4)+(0+(0-0))+0-0-0</f>
        <v>6990.2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7336.8+(807.5-2021.6)+(0+(0-0))+0-0-0</f>
        <v>6122.7000000000007</v>
      </c>
      <c r="G140" s="3">
        <f>7251.3+(675.6-2301.2)+(0+(0-0))+0-0-0</f>
        <v>5625.7000000000007</v>
      </c>
      <c r="H140" s="3">
        <f>7206.1+(515.2-2417.9)+(7.350222+(0.525504-2.466258))+0-0-0</f>
        <v>5308.8094680000004</v>
      </c>
      <c r="I140" s="3">
        <f>7165.6+(403.2-2463.1)+(-7.308912+(-0.411264--2.512362))+0-0-0</f>
        <v>5100.4921860000004</v>
      </c>
      <c r="J140" s="3">
        <f>7143.7+(406.5-2403.7)+(-18.216435+(-1.036575--6.129435))+0-0-0</f>
        <v>5133.3764250000004</v>
      </c>
      <c r="K140" s="3">
        <f>6850.7+(557.9-2512.4)+(-17.469285+(-1.422645--6.40662))+0-0-0</f>
        <v>4883.7146899999998</v>
      </c>
      <c r="L140" s="3">
        <f>6159.2+(530.8-1940.8)+(-3.141192+(-0.270708--0.989808))+0-0-0</f>
        <v>4746.777908</v>
      </c>
      <c r="M140" s="3">
        <f>6519.3+(460.1-1905.2)+(9.974529+(0.703953-2.914956))+0-0-0</f>
        <v>5081.9635260000005</v>
      </c>
      <c r="N140" s="3">
        <f>6944.6+(770.5-1931.7)+(14.166984+(1.57182-3.940668))+0-0-0</f>
        <v>5795.1981360000009</v>
      </c>
      <c r="O140" s="3">
        <f>7086.7+(1149.1-1826.7)+(0+(0-0))+0-0-0</f>
        <v>6409.0999999999995</v>
      </c>
      <c r="P140" s="3">
        <f>7359.8+(1099.4-1654)+(11.260494+(1.682082-2.53062))+0-0-0</f>
        <v>6815.6119560000006</v>
      </c>
      <c r="Q140" s="3">
        <f>7324.4+(939.8-1143)+(0+(0-0))+0-0-0</f>
        <v>7121.2</v>
      </c>
      <c r="R140" s="3">
        <f>7351.4+(740.1-803.3)+(-3.749214+(-0.377451--0.409683))+0-0-0</f>
        <v>7284.4830179999999</v>
      </c>
      <c r="S140" s="3">
        <f>7317.9+(639.9-734.5)+(-11.196387+(-0.979047--1.123785))+0-0-0</f>
        <v>7212.2483509999993</v>
      </c>
      <c r="T140" s="3">
        <f>7306.9+(592.9-553.7)+(0+(0-0))+0-0-0</f>
        <v>7346.0999999999995</v>
      </c>
      <c r="U140" s="3">
        <f>7222.5+(580.2-542)+(-7.36695+(-0.591804--0.55284))+0-0-0</f>
        <v>7253.2940859999999</v>
      </c>
      <c r="V140" s="3">
        <f>7209.6+(654-729.9)+(-18.38448+(-1.6677--1.861245))+0-0-0</f>
        <v>7115.5090650000011</v>
      </c>
      <c r="W140" s="3">
        <f>7226.2+(807.2-1060.5)+(0+(0-0))+0-0-0</f>
        <v>6972.9</v>
      </c>
      <c r="X140" s="3">
        <f>7211.9+(948.3-1405.5)+(-14.712276+(-1.934532--2.86722))+0-0-0</f>
        <v>6740.9204119999995</v>
      </c>
      <c r="Y140" s="3">
        <f>7212+(1035.6-1654.7)+(0+(0-0))+0-0-0</f>
        <v>6592.9</v>
      </c>
      <c r="Z140" s="3">
        <f>7447.9+(891.4-1367.9)+(-3.798429+(-0.454614--0.697629))+0-0-0</f>
        <v>6967.8445859999993</v>
      </c>
      <c r="AA140" s="3">
        <f>7492.2+(833.9-1421)+(-22.926132+(-2.551734--4.34826))+0-0-0</f>
        <v>6883.970393999999</v>
      </c>
      <c r="AB140" s="3">
        <f>7503.7+(816.2-1557.2)+(7.653774+(0.832524-1.588344))+0-0-0</f>
        <v>6769.5979539999998</v>
      </c>
      <c r="AC140" s="3">
        <f>7445.1+(950.9-1859.4)+(0+(0-0))+0-0-0</f>
        <v>6536.6</v>
      </c>
      <c r="AD140" s="2">
        <v>6960.1</v>
      </c>
      <c r="AE140" s="3">
        <f>7446+(798-1283.9)+(0+(0-0))+0-0-0</f>
        <v>6960.1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7270.2+(853.2-1986.8)+(11.123406+(1.305396-3.039804))+0-0-0</f>
        <v>6145.9889980000007</v>
      </c>
      <c r="G141" s="3">
        <f>7189.1+(713.9-2299.2)+(-10.999323+(-1.092267--3.517776))+0-0-0</f>
        <v>5595.2261860000008</v>
      </c>
      <c r="H141" s="3">
        <f>7161.7+(490.9-2393.6)+(0+(0-0))+0-0-0</f>
        <v>5259</v>
      </c>
      <c r="I141" s="3">
        <f>7107.9+(481.9-2518.9)+(-3.625029+(-0.245769--1.284639))+0-0-0</f>
        <v>5068.3138409999992</v>
      </c>
      <c r="J141" s="3">
        <f>7171+(599.1-2654.5)+(10.97163+(0.916623-4.061385))+0-0-0</f>
        <v>5123.4268680000005</v>
      </c>
      <c r="K141" s="3">
        <f>6750.2+(676.3-2558.3)+(-17.21301+(-1.724565--6.523665))+0-0-0</f>
        <v>4855.7860899999996</v>
      </c>
      <c r="L141" s="3">
        <f>6624.3+(437.5-2343.3)+(-16.891965+(-1.115625--5.975415))+0-0-0</f>
        <v>4706.4678249999997</v>
      </c>
      <c r="M141" s="3">
        <f>6590.4+(356.5-1905.6)+(0+(0-0))+0-0-0</f>
        <v>5041.2999999999993</v>
      </c>
      <c r="N141" s="3">
        <f>7069.6+(755.9-2110)+(10.816488+(1.156527-3.2283))+0-0-0</f>
        <v>5724.2447149999998</v>
      </c>
      <c r="O141" s="3">
        <f>7309.6+(1088.4-2010.1)+(18.63948+(2.77542-5.125755))+0-0-0</f>
        <v>6404.1891450000003</v>
      </c>
      <c r="P141" s="3">
        <f>7416.2+(1109-1692.7)+(11.346786+(1.69677-2.589831))+0-0-0</f>
        <v>6842.9537250000003</v>
      </c>
      <c r="Q141" s="3">
        <f>7360.5+(1101.4-1333.8)+(3.753855+(0.561714-0.680238))+0-0-0</f>
        <v>7131.7353310000008</v>
      </c>
      <c r="R141" s="3">
        <f>7429.9+(892.1-1053.7)+(-3.789249+(-0.454971--0.537387))+0-0-0</f>
        <v>7264.5931669999991</v>
      </c>
      <c r="S141" s="3">
        <f>7449.6+(757.9-1013.4)+(0+(0-0))+0-0-0</f>
        <v>7194.1</v>
      </c>
      <c r="T141" s="3">
        <f>7454.9+(571.1-680.6)+(-11.405997+(-0.873783--1.041318))+0-0-0</f>
        <v>7334.1615379999994</v>
      </c>
      <c r="U141" s="3">
        <f>7391.6+(526.8-664.7)+(7.539432+(0.537336-0.677994))+0-0-0</f>
        <v>7261.098774000001</v>
      </c>
      <c r="V141" s="3">
        <f>7384.3+(592.9-891.2)+(3.765993+(0.302379-0.454512))+0-0-0</f>
        <v>7089.6138600000004</v>
      </c>
      <c r="W141" s="3">
        <f>7364.2+(665.6-1099.7)+(3.755742+(0.339456-0.560847))+0-0-0</f>
        <v>6933.6343509999997</v>
      </c>
      <c r="X141" s="3">
        <f>7366.3+(981.7-1625)+(7.513626+(1.001334-1.6575))+0-0-0</f>
        <v>6729.8574600000002</v>
      </c>
      <c r="Y141" s="3">
        <f>7422.6+(1024.4-1857)+(11.356578+(1.567332-2.84121))+0-0-0</f>
        <v>6600.0826999999999</v>
      </c>
      <c r="Z141" s="3">
        <f>7558.9+(809.1-1428.4)+(0+(0-0))+0-0-0</f>
        <v>6939.5999999999995</v>
      </c>
      <c r="AA141" s="3">
        <f>7587.5+(788.6-1482.2)+(-7.73925+(-0.804372--1.511844))+0-0-0</f>
        <v>6886.8682220000001</v>
      </c>
      <c r="AB141" s="3">
        <f>7549.6+(908.6-1757)+(3.850296+(0.463386-0.89607))+0-0-0</f>
        <v>6704.6176120000009</v>
      </c>
      <c r="AC141" s="3">
        <f>7519.1+(893.1-1977.8)+(-3.834741+(-0.455481--1.008678))+0-0-0</f>
        <v>6431.1184560000002</v>
      </c>
      <c r="AD141" s="2">
        <v>6856.2</v>
      </c>
      <c r="AE141" s="3">
        <f>7534+(808.4-1486.2)+(0+(0-0))+0-0-0</f>
        <v>6856.2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7443.2+(768-2144.1)+(0+(0-0))+0-0-0</f>
        <v>6067.1</v>
      </c>
      <c r="G142" s="3">
        <f>7359.6+(484.1-2195.8)+(-11.260188+(-0.740673--3.359574))+0-0-0</f>
        <v>5639.2587129999993</v>
      </c>
      <c r="H142" s="3">
        <f>7157.8+(326.5-2141.7)+(-7.300956+(-0.33303--2.184534))+0-0-0</f>
        <v>5337.1505480000005</v>
      </c>
      <c r="I142" s="3">
        <f>7204+(343.8-2360.1)+(-11.02212+(-0.526014--3.610953))+0-0-0</f>
        <v>5179.7628189999996</v>
      </c>
      <c r="J142" s="3">
        <f>7272.2+(418.9-2526.3)+(11.126466+(0.640917-3.865239))+0-0-0</f>
        <v>5172.702143999999</v>
      </c>
      <c r="K142" s="3">
        <f>7055.3+(213.7-2467.3)+(-7.196406+(-0.217974--2.516646))+0-0-0</f>
        <v>4796.8022659999997</v>
      </c>
      <c r="L142" s="3">
        <f>6628.2+(290.2-2306.3)+(0+(0-0))+0-0-0</f>
        <v>4612.0999999999995</v>
      </c>
      <c r="M142" s="3">
        <f>6768.1+(350.7-2275.1)+(6.903462+(0.357714-2.320602))+0-0-0</f>
        <v>4848.6405740000009</v>
      </c>
      <c r="N142" s="3">
        <f>6991.6+(602.4-2208.6)+(7.131432+(0.614448-2.252772))+0-0-0</f>
        <v>5390.8931080000002</v>
      </c>
      <c r="O142" s="3">
        <f>7233.8+(923-2022.1)+(7.378476+(0.94146-2.062542))+0-0-0</f>
        <v>6140.9573940000009</v>
      </c>
      <c r="P142" s="3">
        <f>7306.4+(1105.8-1702.2)+(18.63132+(2.81979-4.34061))+0-0-0</f>
        <v>6727.1104999999998</v>
      </c>
      <c r="Q142" s="3">
        <f>7367.3+(1015.6-1300)+(11.271969+(1.553868-1.989))+0-0-0</f>
        <v>7093.7368370000004</v>
      </c>
      <c r="R142" s="3">
        <f>7419.6+(777.7-929.9)+(0+(0-0))+0-0-0</f>
        <v>7267.4000000000005</v>
      </c>
      <c r="S142" s="3">
        <f>7409.2+(598-807.2)+(3.778692+(0.30498-0.411672))+0-0-0</f>
        <v>7203.6719999999996</v>
      </c>
      <c r="T142" s="3">
        <f>7457.7+(477.5-586.3)+(-15.213708+(-0.9741--1.196052))+0-0-0</f>
        <v>7333.9082439999993</v>
      </c>
      <c r="U142" s="3">
        <f>7393.5+(542.7-657.2)+(-11.312055+(-0.830331--1.005516))+0-0-0</f>
        <v>7267.8631299999997</v>
      </c>
      <c r="V142" s="3">
        <f>7383.4+(626.8-881.3)+(0+(0-0))+0-0-0</f>
        <v>7128.9</v>
      </c>
      <c r="W142" s="3">
        <f>7367.1+(743.3-1177.5)+(0+(0-0))+0-0-0</f>
        <v>6932.9000000000005</v>
      </c>
      <c r="X142" s="3">
        <f>7364.6+(966.9-1627.6)+(-7.511892+(-0.986238--1.660152))+0-0-0</f>
        <v>6697.062022000001</v>
      </c>
      <c r="Y142" s="3">
        <f>7426.9+(837.8-1651)+(11.363157+(1.281834-2.52603))+0-0-0</f>
        <v>6623.8189609999999</v>
      </c>
      <c r="Z142" s="3">
        <f>7528.9+(762-1312.2)+(0+(0-0))+0-0-0</f>
        <v>6978.7</v>
      </c>
      <c r="AA142" s="3">
        <f>7562.2+(715.8-1346.8)+(-11.570166+(-1.095174--2.060604))+0-0-0</f>
        <v>6920.5952639999996</v>
      </c>
      <c r="AB142" s="3">
        <f>7517.5+(866.3-1617.8)+(-7.66785+(-0.883626--1.650156))+0-0-0</f>
        <v>6759.0986800000001</v>
      </c>
      <c r="AC142" s="3">
        <f>7432.5+(887.3-1842.7)+(3.790575+(0.452523-0.939777))+0-0-0</f>
        <v>6480.4033210000007</v>
      </c>
      <c r="AD142" s="2">
        <v>6892.1</v>
      </c>
      <c r="AE142" s="3">
        <f>7522+(708.1-1338)+(0+(0-0))+0-0-0</f>
        <v>6892.1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7337.8+(801.4-2052.1)+(3.742278+(0.408714-1.046571))+0-0-0</f>
        <v>6090.2044210000004</v>
      </c>
      <c r="G143" s="3">
        <f>7285.4+(596.3-2215.8)+(-3.715554+(-0.304113--1.130058))+0-0-0</f>
        <v>5663.0103909999998</v>
      </c>
      <c r="H143" s="3">
        <f>7258.3+(385.1-2284)+(14.806932+(0.785604-4.65936))+0-0-0</f>
        <v>5370.3331759999992</v>
      </c>
      <c r="I143" s="3">
        <f>7191.5+(262.8-2263.4)+(-18.338325+(-0.67014--5.77167))+0-0-0</f>
        <v>5177.6632049999998</v>
      </c>
      <c r="J143" s="3">
        <f>7193.3+(340.5-2323.5)+(-11.005749+(-0.520965--3.554955))+0-0-0</f>
        <v>5202.3282410000002</v>
      </c>
      <c r="K143" s="3">
        <f>6863.3+(373-2302.4)+(-10.500849+(-0.57069--3.522672))+0-0-0</f>
        <v>4926.3511329999992</v>
      </c>
      <c r="L143" s="3">
        <f>6593.5+(426.2-2273.9)+(-13.45074+(-0.869448--4.638756))+0-0-0</f>
        <v>4736.1185679999999</v>
      </c>
      <c r="M143" s="3">
        <f>6589.2+(428.2-2078.9)+(0+(0-0))+0-0-0</f>
        <v>4938.5</v>
      </c>
      <c r="N143" s="3">
        <f>7027+(519.7-2042.7)+(7.16754+(0.530094-2.083554))+0-0-0</f>
        <v>5509.6140800000003</v>
      </c>
      <c r="O143" s="3">
        <f>7375.6+(916.1-2181.6)+(3.761556+(0.467211-1.112616))+0-0-0</f>
        <v>6113.2161510000005</v>
      </c>
      <c r="P143" s="3">
        <f>7193.9+(1015.9-1669.2)+(7.337778+(1.036218-1.702584))+0-0-0</f>
        <v>6547.2714119999991</v>
      </c>
      <c r="Q143" s="3">
        <f>7083.6+(963.4-1224.1)+(7.225272+(0.982668-1.248582))+0-0-0</f>
        <v>6829.8593580000006</v>
      </c>
      <c r="R143" s="3">
        <f>7135.7+(797.3-941.1)+(3.639207+(0.406623-0.479961))+0-0-0</f>
        <v>6995.4658689999997</v>
      </c>
      <c r="S143" s="3">
        <f>7106.8+(643.1-871.4)+(-3.624468+(-0.327981--0.444414))+0-0-0</f>
        <v>6874.9919650000002</v>
      </c>
      <c r="T143" s="3">
        <f>7049.1+(537.1-741.2)+(3.595041+(0.273921-0.378012))+0-0-0</f>
        <v>6848.4909500000003</v>
      </c>
      <c r="U143" s="3">
        <f>6930.9+(471.2-695.1)+(-3.534759+(-0.240312--0.354501))+0-0-0</f>
        <v>6703.5794299999998</v>
      </c>
      <c r="V143" s="3">
        <f>6906.9+(536-884.1)+(3.522519+(0.27336-0.450891))+0-0-0</f>
        <v>6562.1449879999991</v>
      </c>
      <c r="W143" s="3">
        <f>6877.2+(647.9-1056.5)+(-3.507372+(-0.330429--0.538815))+0-0-0</f>
        <v>6465.3010139999997</v>
      </c>
      <c r="X143" s="3">
        <f>6848+(840.1-1384.4)+(-10.47744+(-1.285353--2.118132))+0-0-0</f>
        <v>6294.0553389999995</v>
      </c>
      <c r="Y143" s="3">
        <f>6850.4+(928.6-1472.3)+(-17.46852+(-2.36793--3.754365))+0-0-0</f>
        <v>6290.6179149999998</v>
      </c>
      <c r="Z143" s="3">
        <f>7132.7+(934.1-1579.4)+(0+(0-0))+0-0-0</f>
        <v>6487.4</v>
      </c>
      <c r="AA143" s="3">
        <f>7363.2+(785.2-1645.5)+(-26.286624+(-2.803164--5.874435))+0-0-0</f>
        <v>6479.684647</v>
      </c>
      <c r="AB143" s="3">
        <f>7165.5+(853.5-1736.3)+(0+(0-0))+0-0-0</f>
        <v>6282.7</v>
      </c>
      <c r="AC143" s="3">
        <f>7071.2+(833.1-1918.4)+(3.606312+(0.424881-0.978384))+0-0-0</f>
        <v>5988.9528089999994</v>
      </c>
      <c r="AD143" s="2">
        <v>6655.5999999999995</v>
      </c>
      <c r="AE143" s="3">
        <f>7354+(830.9-1529.3)+(0+(0-0))+0-0-0</f>
        <v>6655.6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7092.3+(770.2-2185.3)+(14.468292+(1.571208-4.458012))+0-0-0</f>
        <v>5688.7814879999996</v>
      </c>
      <c r="G144" s="3">
        <f>7123.9+(586-2273.1)+(7.266378+(0.59772-2.318562))+0-0-0</f>
        <v>5442.3455359999989</v>
      </c>
      <c r="H144" s="3">
        <f>7104.9+(403.7-2287.6)+(-7.246998+(-0.411774--2.333352))+0-0-0</f>
        <v>5215.6745799999999</v>
      </c>
      <c r="I144" s="3">
        <f>6998.2+(362.7-2256.3)+(-3.569082+(-0.184977--1.150713))+0-0-0</f>
        <v>5101.9966539999996</v>
      </c>
      <c r="J144" s="3">
        <f>6870+(347-2128.1)+(-14.0148+(-0.70788--4.341324))+0-0-0</f>
        <v>5078.5186439999998</v>
      </c>
      <c r="K144" s="3">
        <f>6525.1+(374.6-2262.1)+(-6.655602+(-0.382092--2.307342))+0-0-0</f>
        <v>4632.8696480000008</v>
      </c>
      <c r="L144" s="3">
        <f>6010.9+(292.7-2006.2)+(-6.131118+(-0.298554--2.046324))+0-0-0</f>
        <v>4293.0166519999993</v>
      </c>
      <c r="M144" s="3">
        <f>5913.5+(347.2-2089.9)+(0+(0-0))+0-0-0</f>
        <v>4170.8</v>
      </c>
      <c r="N144" s="3">
        <f>6006.7+(423.3-2192)+(0+(0-0))+0-0-0</f>
        <v>4238</v>
      </c>
      <c r="O144" s="3">
        <f>6200.9+(382.7-2159)+(-3.162459+(-0.195177--1.10109))+0-0-0</f>
        <v>4422.3434539999998</v>
      </c>
      <c r="P144" s="3">
        <f>6609.4+(407.3-2331.2)+(3.370794+(0.207723-1.188912))+0-0-0</f>
        <v>4687.8896050000003</v>
      </c>
      <c r="Q144" s="3">
        <f>7033.7+(402.4-2459.9)+(7.174374+(0.410448-2.509098))+0-0-0</f>
        <v>4981.2757240000001</v>
      </c>
      <c r="R144" s="3">
        <f>7230.9+(466.9-2469.1)+(3.687759+(0.238119-1.259241))+0-0-0</f>
        <v>5231.3666370000001</v>
      </c>
      <c r="S144" s="3">
        <f>7275+(350.2-2190.3)+(11.13075+(0.535806-3.351159))+0-0-0</f>
        <v>5443.2153969999999</v>
      </c>
      <c r="T144" s="3">
        <f>7266.8+(224-1928)+(-7.412136+(-0.22848--1.96656))+0-0-0</f>
        <v>5557.1259440000003</v>
      </c>
      <c r="U144" s="3">
        <f>7181.1+(246.2-1840.3)+(7.324722+(0.251124-1.877106))+0-0-0</f>
        <v>5592.6987399999998</v>
      </c>
      <c r="V144" s="3">
        <f>7172.5+(305.7-1899)+(3.657975+(0.155907-0.96849))+0-0-0</f>
        <v>5582.045392</v>
      </c>
      <c r="W144" s="3">
        <f>7148.4+(367.5-1910.6)+(-7.291368+(-0.37485--1.948812))+0-0-0</f>
        <v>5599.5825939999995</v>
      </c>
      <c r="X144" s="3">
        <f>7116.5+(592.8-2102.6)+(-14.51766+(-1.209312--4.289304))+0-0-0</f>
        <v>5595.2623320000002</v>
      </c>
      <c r="Y144" s="3">
        <f>7002+(651.3-1963.8)+(-3.57102+(-0.332163--1.001538))+0-0-0</f>
        <v>5686.5983550000001</v>
      </c>
      <c r="Z144" s="3">
        <f>7354.7+(360.3-1614)+(0+(0-0))+0-0-0</f>
        <v>6101</v>
      </c>
      <c r="AA144" s="3">
        <f>7424.3+(355.5-1602.4)+(-15.145572+(-0.72522--3.268896))+0-0-0</f>
        <v>6164.7981039999995</v>
      </c>
      <c r="AB144" s="3">
        <f>7413.2+(420.8-1724.1)+(-3.780732+(-0.214608--0.879291))+0-0-0</f>
        <v>6106.7839509999994</v>
      </c>
      <c r="AC144" s="3">
        <f>7408.1+(409.6-1810.5)+(-3.778131+(-0.208896--0.923355))+0-0-0</f>
        <v>6004.1363280000005</v>
      </c>
      <c r="AD144" s="2">
        <v>6117.7</v>
      </c>
      <c r="AE144" s="3">
        <f>7403+(340-1625.3)+(0+(0-0))+0-0-0</f>
        <v>6117.7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7411.3+(474.2-2131.1)+(-11.339289+(-0.725526--3.260583))+0-0-0</f>
        <v>5745.5957680000001</v>
      </c>
      <c r="G145" s="3">
        <f>7421.5+(530.6-2587.1)+(-15.13986+(-1.082424--5.277684))+0-0-0</f>
        <v>5354.0554000000002</v>
      </c>
      <c r="H145" s="3">
        <f>7406.9+(325.7-2700.3)+(-18.887595+(-0.830535--6.885765))+0-0-0</f>
        <v>5019.4676349999991</v>
      </c>
      <c r="I145" s="3">
        <f>7301.3+(257.4-2685.3)+(-11.170989+(-0.393822--4.108509))+0-0-0</f>
        <v>4865.943698</v>
      </c>
      <c r="J145" s="3">
        <f>7194.2+(259.1-2508.9)+(-11.007126+(-0.396423--3.838617))+0-0-0</f>
        <v>4936.8350679999994</v>
      </c>
      <c r="K145" s="3">
        <f>6881.2+(303.4-2499.5)+(-17.54706+(-0.77367--6.373725))+0-0-0</f>
        <v>4673.1529950000004</v>
      </c>
      <c r="L145" s="3">
        <f>6514+(326.7-2253.6)+(-3.32214+(-0.166617--1.149336))+0-0-0</f>
        <v>4584.7605790000007</v>
      </c>
      <c r="M145" s="3">
        <f>6483.1+(696-2189.1)+(3.306381+(0.35496-1.116441))+0-0-0</f>
        <v>4992.5448999999999</v>
      </c>
      <c r="N145" s="3">
        <f>7199.3+(887.1-2364.6)+(7.343286+(0.904842-2.411892))+0-0-0</f>
        <v>5727.6362360000003</v>
      </c>
      <c r="O145" s="3">
        <f>7383.3+(1185.8-2145.2)+(7.530966+(1.209516-2.188104))+0-0-0</f>
        <v>6430.4523780000009</v>
      </c>
      <c r="P145" s="3">
        <f>7407.3+(1199.4-1762.4)+(3.777723+(0.611694-0.898824))+0-0-0</f>
        <v>6847.7905930000006</v>
      </c>
      <c r="Q145" s="3">
        <f>7474+(1186.3-1448.3)+(0+(0-0))+0-0-0</f>
        <v>7212</v>
      </c>
      <c r="R145" s="3">
        <f>7590.6+(1016.5-1181.8)+(0+(0-0))+0-0-0</f>
        <v>7425.3</v>
      </c>
      <c r="S145" s="3">
        <f>7517.5+(820-956.2)+(-11.501775+(-1.2546--1.462986))+0-0-0</f>
        <v>7370.0066109999998</v>
      </c>
      <c r="T145" s="3">
        <f>7461.9+(710.6-632.5)+(-15.222276+(-1.449624--1.2903))+0-0-0</f>
        <v>7524.6184000000003</v>
      </c>
      <c r="U145" s="3">
        <f>7389.3+(753.6-699.3)+(-3.768543+(-0.384336--0.356643))+0-0-0</f>
        <v>7439.8037640000002</v>
      </c>
      <c r="V145" s="3">
        <f>7367.8+(791.1-894.2)+(-11.272734+(-1.210383--1.368126))+0-0-0</f>
        <v>7253.5850089999994</v>
      </c>
      <c r="W145" s="3">
        <f>7356.1+(825.2-1098.3)+(-3.751611+(-0.420852--0.560133))+0-0-0</f>
        <v>7079.3876700000001</v>
      </c>
      <c r="X145" s="3">
        <f>7341.5+(1063.9-1537.5)+(-3.744165+(-0.542589--0.784125))+0-0-0</f>
        <v>6864.397371</v>
      </c>
      <c r="Y145" s="3">
        <f>7408.4+(1097.6-1737.5)+(3.778284+(0.559776-0.886125))+0-0-0</f>
        <v>6771.951935</v>
      </c>
      <c r="Z145" s="3">
        <f>7551.2+(876.4-1336.3)+(-7.702224+(-0.893928--1.363026))+0-0-0</f>
        <v>7084.0668740000001</v>
      </c>
      <c r="AA145" s="3">
        <f>7619.7+(791.2-1372.3)+(-11.658141+(-1.210536--2.099619))+0-0-0</f>
        <v>7027.8309420000005</v>
      </c>
      <c r="AB145" s="3">
        <f>7602.1+(906.9-1678.1)+(-3.877071+(-0.462519--0.855831))+0-0-0</f>
        <v>6827.4162410000008</v>
      </c>
      <c r="AC145" s="3">
        <f>7581.7+(665.9-1746.3)+(0+(0-0))+0-0-0</f>
        <v>6501.2999999999993</v>
      </c>
      <c r="AD145" s="2">
        <v>7003.9</v>
      </c>
      <c r="AE145" s="3">
        <f>7582+(775.9-1354)+(0+(0-0))+0-0-0</f>
        <v>7003.9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7581.8+(385.5-1905.2)+(-7.733436+(-0.39321--1.943304))+0-0-0</f>
        <v>6055.9166580000001</v>
      </c>
      <c r="G146" s="3">
        <f>7485.8+(440.7-2243)+(-22.906548+(-1.348542--6.86358))+0-0-0</f>
        <v>5666.1084899999996</v>
      </c>
      <c r="H146" s="3">
        <f>7130.5+(395.8-2109.1)+(-7.27311+(-0.403716--2.151282))+0-0-0</f>
        <v>5411.6744559999997</v>
      </c>
      <c r="I146" s="3">
        <f>7019.4+(318.7-2043.7)+(7.159788+(0.325074-2.084574))+0-0-0</f>
        <v>5299.8002879999995</v>
      </c>
      <c r="J146" s="3">
        <f>7001.5+(361.6-2080.1)+(-14.28306+(-0.737664--4.243404))+0-0-0</f>
        <v>5272.2226799999999</v>
      </c>
      <c r="K146" s="3">
        <f>6712.5+(453.1-2225)+(-3.423375+(-0.231081--1.13475))+0-0-0</f>
        <v>4938.0802940000003</v>
      </c>
      <c r="L146" s="3">
        <f>6322.1+(628.1-2194.2)+(0+(0-0))+0-0-0</f>
        <v>4756</v>
      </c>
      <c r="M146" s="3">
        <f>6474.2+(633.2-2148.8)+(6.603684+(0.645864-2.191776))+0-0-0</f>
        <v>4963.6577719999996</v>
      </c>
      <c r="N146" s="3">
        <f>6641.5+(656.5-1799.2)+(13.54866+(1.33926-3.670368))+0-0-0</f>
        <v>5510.0175520000003</v>
      </c>
      <c r="O146" s="3">
        <f>7253.2+(857.3-1912.9)+(11.097396+(1.311669-2.926737))+0-0-0</f>
        <v>6207.0823279999995</v>
      </c>
      <c r="P146" s="3">
        <f>7412.4+(1264.5-1901.7)+(7.560648+(1.28979-1.939734))+0-0-0</f>
        <v>6782.1107039999997</v>
      </c>
      <c r="Q146" s="3">
        <f>7439.5+(1174.6-1440.7)+(3.794145+(0.599046-0.734757))+0-0-0</f>
        <v>7177.0584339999996</v>
      </c>
      <c r="R146" s="3">
        <f>7543.2+(985.8-1166.9)+(-3.847032+(-0.502758--0.595119))+0-0-0</f>
        <v>7358.3453289999998</v>
      </c>
      <c r="S146" s="3">
        <f>7601.5+(803.6-1102.7)+(0+(0-0))+0-0-0</f>
        <v>7302.4</v>
      </c>
      <c r="T146" s="3">
        <f>7553.4+(727.8-826.6)+(0+(0-0))+0-0-0</f>
        <v>7454.5999999999995</v>
      </c>
      <c r="U146" s="3">
        <f>7459+(720.3-789.3)+(-3.80409+(-0.367353--0.402543))+0-0-0</f>
        <v>7386.2311</v>
      </c>
      <c r="V146" s="3">
        <f>7419.7+(674.6-856.4)+(0+(0-0))+0-0-0</f>
        <v>7237.9</v>
      </c>
      <c r="W146" s="3">
        <f>7390.9+(827.3-1177.9)+(-7.538718+(-0.843846--1.201458))+0-0-0</f>
        <v>7033.1188939999993</v>
      </c>
      <c r="X146" s="3">
        <f>7378.7+(1026.6-1578.7)+(-11.289411+(-1.570698--2.415411))+0-0-0</f>
        <v>6816.1553019999992</v>
      </c>
      <c r="Y146" s="3">
        <f>7441.8+(1064.1-1800.4)+(-3.795318+(-0.542691--0.918204))+0-0-0</f>
        <v>6702.0801949999995</v>
      </c>
      <c r="Z146" s="3">
        <f>7565.9+(774.7-1243.6)+(-3.858609+(-0.395097--0.634236))+0-0-0</f>
        <v>7093.3805300000004</v>
      </c>
      <c r="AA146" s="3">
        <f>7586.8+(739.9-1318.7)+(-15.477072+(-1.509396--2.690148))+0-0-0</f>
        <v>6993.7036799999996</v>
      </c>
      <c r="AB146" s="3">
        <f>7577.8+(766.4-1535.9)+(-7.729356+(-0.781728--1.566618))+0-0-0</f>
        <v>6801.3555340000003</v>
      </c>
      <c r="AC146" s="3">
        <f>7548.2+(578.2-1629.9)+(7.699164+(0.589764-1.662498))+0-0-0</f>
        <v>6503.1264300000003</v>
      </c>
      <c r="AD146" s="2">
        <v>6973.3000000000011</v>
      </c>
      <c r="AE146" s="3">
        <f>7540+(706.2-1272.9)+(0+(0-0))+0-0-0</f>
        <v>6973.3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7548.4+(242.2-1675.3)+(7.699368+(0.247044-1.708806))+0-0-0</f>
        <v>6121.537605999999</v>
      </c>
      <c r="G147" s="3">
        <f>7533.3+(130.6-1998.1)+(3.841983+(0.066606-1.019031))+0-0-0</f>
        <v>5668.689558</v>
      </c>
      <c r="H147" s="3">
        <f>7519.9+(192-2400.2)+(0+(0-0))+0-0-0</f>
        <v>5311.7</v>
      </c>
      <c r="I147" s="3">
        <f>7493+(247.2-2613.4)+(15.28572+(0.504288-5.331336))+0-0-0</f>
        <v>5137.258671999999</v>
      </c>
      <c r="J147" s="3">
        <f>7465.7+(247.3-2536.4)+(-3.807507+(-0.126123--1.293564))+0-0-0</f>
        <v>5173.9599340000004</v>
      </c>
      <c r="K147" s="3">
        <f>7207.5+(351.4-2612.3)+(-18.379125+(-0.89607--6.661365))+0-0-0</f>
        <v>4933.9861700000001</v>
      </c>
      <c r="L147" s="3">
        <f>6564.4+(431.8-2214.8)+(-16.73922+(-1.10109--5.64774))+0-0-0</f>
        <v>4769.2074299999995</v>
      </c>
      <c r="M147" s="3">
        <f>6515.8+(622.4-2054.8)+(9.969174+(0.952272-3.143844))+0-0-0</f>
        <v>5091.1776019999998</v>
      </c>
      <c r="N147" s="3">
        <f>7156.1+(933.3-2318.5)+(3.649611+(0.475983-1.182435))+0-0-0</f>
        <v>5773.8431590000009</v>
      </c>
      <c r="O147" s="3">
        <f>7318.3+(1112.2-1974.6)+(3.732333+(0.567222-1.007046))+0-0-0</f>
        <v>6459.1925090000004</v>
      </c>
      <c r="P147" s="3">
        <f>7372+(1248.8-1747.4)+(11.27916+(1.910664-2.673522))+0-0-0</f>
        <v>6883.9163019999996</v>
      </c>
      <c r="Q147" s="3">
        <f>7379.8+(1114.4-1324.6)+(11.291094+(1.705032-2.026638))+0-0-0</f>
        <v>7180.5694880000001</v>
      </c>
      <c r="R147" s="3">
        <f>7391.8+(897.5-928.4)+(0+(0-0))+0-0-0</f>
        <v>7360.9000000000005</v>
      </c>
      <c r="S147" s="3">
        <f>7434.7+(699.9-867.5)+(-11.375091+(-1.070847--1.327275))+0-0-0</f>
        <v>7255.9813369999993</v>
      </c>
      <c r="T147" s="3">
        <f>7433.8+(660.1-702.9)+(3.791238+(0.336651-0.358479))+0-0-0</f>
        <v>7394.7694099999999</v>
      </c>
      <c r="U147" s="3">
        <f>7348.9+(676.5-680)+(-3.747939+(-0.345015--0.3468))+0-0-0</f>
        <v>7341.6538459999992</v>
      </c>
      <c r="V147" s="3">
        <f>7330.8+(693.8-797.3)+(-14.954832+(-1.415352--1.626492))+0-0-0</f>
        <v>7212.5563080000002</v>
      </c>
      <c r="W147" s="3">
        <f>7282.2+(804.5-1028.9)+(-25.997454+(-2.872065--3.673173))+0-0-0</f>
        <v>7032.6036539999996</v>
      </c>
      <c r="X147" s="3">
        <f>7298.2+(971.5-1452.4)+(-7.444164+(-0.99093--1.481448))+0-0-0</f>
        <v>6810.3463539999993</v>
      </c>
      <c r="Y147" s="3">
        <f>7191.6+(1028-1477.1)+(3.667716+(0.52428-0.753321))+0-0-0</f>
        <v>6745.9386750000003</v>
      </c>
      <c r="Z147" s="3">
        <f>7487.8+(733-1131)+(7.637556+(0.74766-1.15362))+0-0-0</f>
        <v>7097.0315959999998</v>
      </c>
      <c r="AA147" s="3">
        <f>7539.8+(772.5-1298.4)+(-15.381192+(-1.5759--2.648736))+0-0-0</f>
        <v>6999.5916440000001</v>
      </c>
      <c r="AB147" s="3">
        <f>7509.4+(897.9-1621.6)+(-15.319176+(-1.831716--3.308064))+0-0-0</f>
        <v>6771.857172</v>
      </c>
      <c r="AC147" s="3">
        <f>7487.8+(956.1-1900.3)+(3.818778+(0.487611-0.969153))+0-0-0</f>
        <v>6546.9372360000007</v>
      </c>
      <c r="AD147" s="2">
        <v>7088.4</v>
      </c>
      <c r="AE147" s="3">
        <f>7499+(674.4-1085)+(0+(0-0))+0-0-0</f>
        <v>7088.4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7450.9+(687.2-2002.2)+(3.799959+(0.350472-1.021122))+0-0-0</f>
        <v>6139.0293089999996</v>
      </c>
      <c r="G148" s="3">
        <f>7487+(444.5-2259.8)+(0+(0-0))+0-0-0</f>
        <v>5671.7</v>
      </c>
      <c r="H148" s="3">
        <f>7409+(420.5-2498.8)+(-7.55718+(-0.42891--2.548776))+0-0-0</f>
        <v>5325.262686</v>
      </c>
      <c r="I148" s="3">
        <f>7311.4+(472.6-2635.6)+(0+(0-0))+0-0-0</f>
        <v>5148.3999999999996</v>
      </c>
      <c r="J148" s="3">
        <f>7269.8+(456.1-2519.6)+(-11.122794+(-0.697833--3.854988))+0-0-0</f>
        <v>5198.3343610000002</v>
      </c>
      <c r="K148" s="3">
        <f>6803.8+(543.6-2388)+(-20.819628+(-1.663416--7.30728))+0-0-0</f>
        <v>4944.224236</v>
      </c>
      <c r="L148" s="3">
        <f>6632.5+(524.5-2355.3)+(-6.76515+(-0.53499--2.402406))+0-0-0</f>
        <v>4796.8022659999997</v>
      </c>
      <c r="M148" s="3">
        <f>6827.6+(590.2-2329.9)+(0+(0-0))+0-0-0</f>
        <v>5087.9000000000005</v>
      </c>
      <c r="N148" s="3">
        <f>7327.1+(789.3-2302.6)+(0+(0-0))+0-0-0</f>
        <v>5813.8</v>
      </c>
      <c r="O148" s="3">
        <f>7440.8+(1045.6-2028.8)+(7.589616+(1.066512-2.069376))+0-0-0</f>
        <v>6464.1867520000005</v>
      </c>
      <c r="P148" s="3">
        <f>7419.4+(1175.9-1653.4)+(7.567788+(1.199418-1.686468))+0-0-0</f>
        <v>6948.9807379999993</v>
      </c>
      <c r="Q148" s="3">
        <f>7475+(1048.3-1292.2)+(0+(0-0))+0-0-0</f>
        <v>7231.1</v>
      </c>
      <c r="R148" s="3">
        <f>7515.4+(826.9-941.2)+(3.832854+(0.421719-0.480012))+0-0-0</f>
        <v>7404.8745609999996</v>
      </c>
      <c r="S148" s="3">
        <f>7453.7+(683.2-814.3)+(-11.404161+(-1.045296--1.245879))+0-0-0</f>
        <v>7311.3964220000007</v>
      </c>
      <c r="T148" s="3">
        <f>7398.6+(693.9-615.2)+(-3.773286+(-0.353889--0.313752))+0-0-0</f>
        <v>7473.4865770000006</v>
      </c>
      <c r="U148" s="3">
        <f>7331.5+(666.9-603.1)+(-11.217195+(-1.020357--0.922743))+0-0-0</f>
        <v>7383.9851909999998</v>
      </c>
      <c r="V148" s="3">
        <f>7309.2+(664-712.6)+(-11.183076+(-1.01592--1.090278))+0-0-0</f>
        <v>7249.491281999999</v>
      </c>
      <c r="W148" s="3">
        <f>7290.3+(737.9-958.2)+(-18.590265+(-1.881645--2.44341))+0-0-0</f>
        <v>7051.9714999999997</v>
      </c>
      <c r="X148" s="3">
        <f>7293.5+(1014.5-1472.4)+(-26.037795+(-3.621765--5.256468))+0-0-0</f>
        <v>6811.1969080000008</v>
      </c>
      <c r="Y148" s="3">
        <f>7405.3+(959.9-1616.2)+(0+(0-0))+0-0-0</f>
        <v>6749</v>
      </c>
      <c r="Z148" s="3">
        <f>7535.6+(731.1-1191.8)+(3.843156+(0.372861-0.607818))+0-0-0</f>
        <v>7078.5081990000008</v>
      </c>
      <c r="AA148" s="3">
        <f>7555.6+(717.4-1311.2)+(-23.120136+(-2.195244--4.012272))+0-0-0</f>
        <v>6940.4968920000001</v>
      </c>
      <c r="AB148" s="3">
        <f>7532.7+(852.3-1601.2)+(-23.050062+(-2.608038--4.899672))+0-0-0</f>
        <v>6763.0415719999992</v>
      </c>
      <c r="AC148" s="3">
        <f>7519.7+(909-1887)+(7.670094+(0.92718-1.92474))+0-0-0</f>
        <v>6548.3725340000001</v>
      </c>
      <c r="AD148" s="2">
        <v>7095.5999999999995</v>
      </c>
      <c r="AE148" s="3">
        <f>7513+(593.7-1011.1)+(0+(0-0))+0-0-0</f>
        <v>7095.6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7528+(642.4-2033.5)+(0+(0-0))+0-0-0</f>
        <v>6136.9</v>
      </c>
      <c r="G149" s="3">
        <f>7511+(545.9-2402.1)+(3.83061+(0.278409-1.225071))+0-0-0</f>
        <v>5657.6839479999999</v>
      </c>
      <c r="H149" s="3">
        <f>7282.2+(449.7-2409.4)+(0+(0-0))+0-0-0</f>
        <v>5322.5</v>
      </c>
      <c r="I149" s="3">
        <f>6901.4+(443-2215.4)+(-7.039428+(-0.45186--2.259708))+0-0-0</f>
        <v>5123.7684200000003</v>
      </c>
      <c r="J149" s="3">
        <f>6787.9+(483.5-2131.8)+(17.309145+(1.232925-5.43609))+0-0-0</f>
        <v>5152.7059799999997</v>
      </c>
      <c r="K149" s="3">
        <f>6534.8+(488.5-2099.8)+(-16.66374+(-1.245675--5.35449))+0-0-0</f>
        <v>4910.9450749999996</v>
      </c>
      <c r="L149" s="3">
        <f>6487.8+(444.6-2162.4)+(-19.852668+(-1.360476--6.616944))+0-0-0</f>
        <v>4755.4038</v>
      </c>
      <c r="M149" s="3">
        <f>6591.6+(459.6-2008.7)+(10.085148+(0.703188-3.073311))+0-0-0</f>
        <v>5050.2150250000004</v>
      </c>
      <c r="N149" s="3">
        <f>6924.3+(799.6-1978.6)+(3.531393+(0.407796-1.009086))+0-0-0</f>
        <v>5748.2301029999999</v>
      </c>
      <c r="O149" s="3">
        <f>7229.9+(1016.2-1842.1)+(3.687249+(0.518262-0.939471))+0-0-0</f>
        <v>6407.2660400000004</v>
      </c>
      <c r="P149" s="3">
        <f>7442.9+(1171.6-1749.3)+(11.387637+(1.792548-2.676429))+0-0-0</f>
        <v>6875.7037559999999</v>
      </c>
      <c r="Q149" s="3">
        <f>7454.2+(1010.3-1309.8)+(0+(0-0))+0-0-0</f>
        <v>7154.7</v>
      </c>
      <c r="R149" s="3">
        <f>7593.3+(770.4-1063.9)+(-7.745166+(-0.785808--1.085178))+0-0-0</f>
        <v>7292.3542040000002</v>
      </c>
      <c r="S149" s="3">
        <f>7568+(606.8-938.4)+(0+(0-0))+0-0-0</f>
        <v>7236.4</v>
      </c>
      <c r="T149" s="3">
        <f>7507.4+(607-755.8)+(-3.828774+(-0.30957--0.385458))+0-0-0</f>
        <v>7354.8471139999992</v>
      </c>
      <c r="U149" s="3">
        <f>7423.8+(630.9-761.5)+(-7.572276+(-0.643518--0.77673))+0-0-0</f>
        <v>7285.7609359999997</v>
      </c>
      <c r="V149" s="3">
        <f>7417.6+(581.3-866.1)+(-7.565952+(-0.592926--0.883422))+0-0-0</f>
        <v>7125.5245439999999</v>
      </c>
      <c r="W149" s="3">
        <f>7313.2+(680.1-1077.4)+(-3.729732+(-0.346851--0.549474))+0-0-0</f>
        <v>6912.372891</v>
      </c>
      <c r="X149" s="3">
        <f>7280.7+(799-1405.2)+(-14.852628+(-1.62996--2.866608))+0-0-0</f>
        <v>6660.8840200000004</v>
      </c>
      <c r="Y149" s="3">
        <f>7288+(825-1543.3)+(-7.43376+(-0.8415--1.574166))+0-0-0</f>
        <v>6562.9989059999998</v>
      </c>
      <c r="Z149" s="3">
        <f>7466+(697.1-1251.2)+(-3.80766+(-0.355521--0.638112))+0-0-0</f>
        <v>6908.3749309999994</v>
      </c>
      <c r="AA149" s="3">
        <f>7498.8+(644.7-1305)+(-3.824388+(-0.328797--0.66555))+0-0-0</f>
        <v>6835.0123649999996</v>
      </c>
      <c r="AB149" s="3">
        <f>7467.8+(692.1-1496.7)+(-19.04289+(-1.764855--3.816585))+0-0-0</f>
        <v>6646.2088400000002</v>
      </c>
      <c r="AC149" s="3">
        <f>7445.1+(666.5-1739.8)+(-3.797001+(-0.339915--0.887298))+0-0-0</f>
        <v>6368.5503820000004</v>
      </c>
      <c r="AD149" s="2">
        <v>6813.2000000000007</v>
      </c>
      <c r="AE149" s="3">
        <f>7480+(634.3-1301.1)+(0+(0-0))+0-0-0</f>
        <v>6813.2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7336.1+(445.2-1819.9)+(0+(0-0))+0-0-0</f>
        <v>5961.4000000000005</v>
      </c>
      <c r="G150" s="3">
        <f>7183.7+(111.3-1773.8)+(-14.654748+(-0.227052--3.618552))+0-0-0</f>
        <v>5509.9367519999996</v>
      </c>
      <c r="H150" s="3">
        <f>6868.2+(123.2-1798.9)+(-10.508346+(-0.188496--2.752317))+0-0-0</f>
        <v>5184.5554750000001</v>
      </c>
      <c r="I150" s="3">
        <f>6717.8+(148.4-1857.6)+(-17.13039+(-0.37842--4.73688))+0-0-0</f>
        <v>4995.8280700000005</v>
      </c>
      <c r="J150" s="3">
        <f>6754.7+(195.6-1917.9)+(6.889794+(0.199512-1.956258))+0-0-0</f>
        <v>5037.5330479999993</v>
      </c>
      <c r="K150" s="3">
        <f>6685.8+(204.4-2091.6)+(-17.04879+(-0.52122--5.33358))+0-0-0</f>
        <v>4786.3635700000004</v>
      </c>
      <c r="L150" s="3">
        <f>6412.5+(202.4-2031.3)+(-16.351875+(-0.51612--5.179815))+0-0-0</f>
        <v>4571.9118200000003</v>
      </c>
      <c r="M150" s="3">
        <f>6523.5+(321.6-2061.9)+(3.326985+(0.164016-1.051569))+0-0-0</f>
        <v>4785.6394319999999</v>
      </c>
      <c r="N150" s="3">
        <f>6847.1+(542.2-2038.6)+(6.984042+(0.553044-2.079372))+0-0-0</f>
        <v>5356.1577140000009</v>
      </c>
      <c r="O150" s="3">
        <f>7068.9+(747.6-1836.5)+(10.815417+(1.143828-2.809845))+0-0-0</f>
        <v>5989.1494000000002</v>
      </c>
      <c r="P150" s="3">
        <f>7163.3+(802.5-1528.2)+(-3.653283+(-0.409275--0.779382))+0-0-0</f>
        <v>6434.3168240000005</v>
      </c>
      <c r="Q150" s="3">
        <f>7311.8+(721.2-1278.6)+(7.458036+(0.735624-1.304172))+0-0-0</f>
        <v>6761.2894880000003</v>
      </c>
      <c r="R150" s="3">
        <f>7324.4+(478.6-958.5)+(-7.470888+(-0.488172--0.97767))+0-0-0</f>
        <v>6837.5186100000001</v>
      </c>
      <c r="S150" s="3">
        <f>7260.5+(361.4-901.8)+(3.702855+(0.184314-0.459918))+0-0-0</f>
        <v>6723.5272510000004</v>
      </c>
      <c r="T150" s="3">
        <f>7197.4+(270.5-769.9)+(0+(0-0))+0-0-0</f>
        <v>6698</v>
      </c>
      <c r="U150" s="3">
        <f>7156.7+(263.5-842)+(-10.949751+(-0.403155--1.28826))+0-0-0</f>
        <v>6568.135354</v>
      </c>
      <c r="V150" s="3">
        <f>7187.2+(334.7-1078.9)+(-10.996416+(-0.512091--1.650717))+0-0-0</f>
        <v>6433.14221</v>
      </c>
      <c r="W150" s="3">
        <f>7221.6+(511-1435.5)+(-18.41508+(-1.30305--3.660525))+0-0-0</f>
        <v>6281.0423950000004</v>
      </c>
      <c r="X150" s="3">
        <f>7287.6+(599.8-1742)+(-11.150028+(-0.917694--2.66526))+0-0-0</f>
        <v>6135.9975380000005</v>
      </c>
      <c r="Y150" s="3">
        <f>7336.4+(640.8-1870.3)+(7.483128+(0.653616-1.907706))+0-0-0</f>
        <v>6113.129038</v>
      </c>
      <c r="Z150" s="3">
        <f>7468.6+(576.3-1571.7)+(0+(0-0))+0-0-0</f>
        <v>6473.2000000000007</v>
      </c>
      <c r="AA150" s="3">
        <f>7544.6+(582.3-1733.7)+(-3.847746+(-0.296973--0.884187))+0-0-0</f>
        <v>6389.9394680000005</v>
      </c>
      <c r="AB150" s="3">
        <f>7512.3+(664.2-1976.1)+(-7.662546+(-0.677484--2.015622))+0-0-0</f>
        <v>6194.0755920000001</v>
      </c>
      <c r="AC150" s="3">
        <f>7460.3+(609.2-2108.3)+(-15.219012+(-1.242768--4.300932))+0-0-0</f>
        <v>5949.0391519999994</v>
      </c>
      <c r="AD150" s="2">
        <v>6366.9</v>
      </c>
      <c r="AE150" s="3">
        <f>7490+(547.2-1670.3)+(0+(0-0))+0-0-0</f>
        <v>6366.9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7295.8+(678-2337.5)+(-11.162574+(-1.03734--3.576375))+0-0-0</f>
        <v>5627.676461</v>
      </c>
      <c r="G151" s="3">
        <f>7323.2+(517.8-2566.6)+(0+(0-0))+0-0-0</f>
        <v>5274.4</v>
      </c>
      <c r="H151" s="3">
        <f>7310.6+(409.7-2737.6)+(-18.64203+(-1.044735--6.98088))+0-0-0</f>
        <v>4969.9941150000004</v>
      </c>
      <c r="I151" s="3">
        <f>7060.3+(426.2-2695.3)+(-14.403012+(-0.869448--5.498412))+0-0-0</f>
        <v>4781.4259519999996</v>
      </c>
      <c r="J151" s="3">
        <f>6999.7+(435-2667)+(-7.139694+(-0.4437--2.72034))+0-0-0</f>
        <v>4762.8369459999994</v>
      </c>
      <c r="K151" s="3">
        <f>6771.1+(159.7-2419.1)+(-17.266305+(-0.407235--6.168705))+0-0-0</f>
        <v>4500.195165000001</v>
      </c>
      <c r="L151" s="3">
        <f>6586.1+(42.2-2458.4)+(-10.076733+(-0.064566--3.761352))+0-0-0</f>
        <v>4163.5200529999993</v>
      </c>
      <c r="M151" s="3">
        <f>6388.4+(12.5-2296.9)+(-6.516168+(-0.01275--2.342838))+0-0-0</f>
        <v>4099.8139199999996</v>
      </c>
      <c r="N151" s="3">
        <f>6321.5+(7.9-2063.2)+(0+(0-0))+0-0-0</f>
        <v>4266.2000000000007</v>
      </c>
      <c r="O151" s="3">
        <f>6523+(56.5-2040.8)+(-6.65346+(-0.05763--2.081616))+0-0-0</f>
        <v>4534.0705259999995</v>
      </c>
      <c r="P151" s="3">
        <f>6796.5+(193.7-2090.8)+(3.466215+(0.098787-1.066308))+0-0-0</f>
        <v>4901.8986939999995</v>
      </c>
      <c r="Q151" s="3">
        <f>7073.2+(202.2-2033.8)+(3.607332+(0.103122-1.037238))+0-0-0</f>
        <v>5244.2732160000005</v>
      </c>
      <c r="R151" s="3">
        <f>7234.5+(180.5-1911.3)+(-3.689595+(-0.092055--0.974763))+0-0-0</f>
        <v>5500.8931130000001</v>
      </c>
      <c r="S151" s="3">
        <f>7360.2+(126.5-1877.2)+(-7.507404+(-0.12903--1.914744))+0-0-0</f>
        <v>5603.7783099999997</v>
      </c>
      <c r="T151" s="3">
        <f>7337.7+(111.5-1772.6)+(-14.968908+(-0.22746--3.616104))+0-0-0</f>
        <v>5665.0197360000002</v>
      </c>
      <c r="U151" s="3">
        <f>7257+(80.9-1670.5)+(-7.40214+(-0.082518--1.70391))+0-0-0</f>
        <v>5661.6192519999995</v>
      </c>
      <c r="V151" s="3">
        <f>7250+(174-1797.5)+(-3.6975+(-0.08874--0.916725))+0-0-0</f>
        <v>5623.6304849999997</v>
      </c>
      <c r="W151" s="3">
        <f>7239+(365-1995.3)+(-14.76756+(-0.7446--4.070412))+0-0-0</f>
        <v>5597.2582519999996</v>
      </c>
      <c r="X151" s="3">
        <f>7214.5+(529.7-2142.6)+(-14.71758+(-1.080588--4.370904))+0-0-0</f>
        <v>5590.1727360000004</v>
      </c>
      <c r="Y151" s="3">
        <f>7313.7+(432-2143.1)+(-7.459974+(-0.44064--2.185962))+0-0-0</f>
        <v>5596.8853480000007</v>
      </c>
      <c r="Z151" s="3">
        <f>7463.3+(362.6-1826.1)+(0+(0-0))+0-0-0</f>
        <v>5999.8</v>
      </c>
      <c r="AA151" s="3">
        <f>7494.2+(353.9-1761.8)+(-11.466126+(-0.541467--2.695554))+0-0-0</f>
        <v>6076.9879609999989</v>
      </c>
      <c r="AB151" s="3">
        <f>7491.4+(332.2-1847.1)+(0+(0-0))+0-0-0</f>
        <v>5976.5</v>
      </c>
      <c r="AC151" s="3">
        <f>7471.4+(151.7-1836.2)+(3.810414+(0.077367-0.936462))+0-0-0</f>
        <v>5789.8513189999994</v>
      </c>
      <c r="AD151" s="2">
        <v>6144.3</v>
      </c>
      <c r="AE151" s="3">
        <f>7491+(362-1708.7)+(0+(0-0))+0-0-0</f>
        <v>6144.3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7317.9+(145.6-1970.3)+(-3.732129+(-0.074256--1.004853))+0-0-0</f>
        <v>5490.3984679999994</v>
      </c>
      <c r="G152" s="3">
        <f>7131.2+(152.2-2170.5)+(-10.910736+(-0.232866--3.320865))+0-0-0</f>
        <v>5105.0772629999992</v>
      </c>
      <c r="H152" s="3">
        <f>7006.2+(227.5-2416.3)+(-3.573162+(-0.116025--1.232313))+0-0-0</f>
        <v>4814.9431259999992</v>
      </c>
      <c r="I152" s="3">
        <f>6750.6+(289-2372.4)+(-13.771224+(-0.58956--4.839696))+0-0-0</f>
        <v>4657.6789120000003</v>
      </c>
      <c r="J152" s="3">
        <f>6828.7+(247.1-2358.9)+(3.482637+(0.126021-1.203039))+0-0-0</f>
        <v>4719.3056189999998</v>
      </c>
      <c r="K152" s="3">
        <f>6769.1+(184.8-2414)+(-3.452241+(-0.094248--1.23114))+0-0-0</f>
        <v>4537.5846510000001</v>
      </c>
      <c r="L152" s="3">
        <f>6449.6+(119.6-2192.7)+(-3.289296+(-0.060996--1.118277))+0-0-0</f>
        <v>4374.2679850000004</v>
      </c>
      <c r="M152" s="3">
        <f>6311.1+(138.7-1887.3)+(0+(0-0))+0-0-0</f>
        <v>4562.5</v>
      </c>
      <c r="N152" s="3">
        <f>6595.5+(207-1691.1)+(3.363705+(0.10557-0.862461))+0-0-0</f>
        <v>5114.0068139999994</v>
      </c>
      <c r="O152" s="3">
        <f>7144.1+(471-1919)+(3.643491+(0.24021-0.97869))+0-0-0</f>
        <v>5699.0050110000002</v>
      </c>
      <c r="P152" s="3">
        <f>7246.6+(871.8-1967.8)+(3.695766+(0.444618-1.003578))+0-0-0</f>
        <v>6153.7368060000008</v>
      </c>
      <c r="Q152" s="3">
        <f>7386.1+(998.1-1930.6)+(11.300733+(1.527093-2.953818))+0-0-0</f>
        <v>6463.4740080000001</v>
      </c>
      <c r="R152" s="3">
        <f>7396.4+(799.8-1567.6)+(3.772164+(0.407898-0.799476))+0-0-0</f>
        <v>6631.9805859999997</v>
      </c>
      <c r="S152" s="3">
        <f>7327+(670.7-1349.9)+(-7.47354+(-0.684114--1.376898))+0-0-0</f>
        <v>6641.0192440000001</v>
      </c>
      <c r="T152" s="3">
        <f>7379.7+(552.1-1225.3)+(-3.763647+(-0.281571--0.624903))+0-0-0</f>
        <v>6703.0796849999997</v>
      </c>
      <c r="U152" s="3">
        <f>7378.8+(568.9-1350.5)+(3.763188+(0.290139-0.688755))+0-0-0</f>
        <v>6600.5645720000002</v>
      </c>
      <c r="V152" s="3">
        <f>7357.2+(621.6-1515.1)+(-3.752172+(-0.317016--0.772701))+0-0-0</f>
        <v>6460.4035130000002</v>
      </c>
      <c r="W152" s="3">
        <f>7285.4+(798.4-1770.1)+(-3.715554+(-0.407184--0.902751))+0-0-0</f>
        <v>6310.4800129999994</v>
      </c>
      <c r="X152" s="3">
        <f>7202.8+(928-1985.7)+(-11.020284+(-1.41984--3.038121))+0-0-0</f>
        <v>6135.6979970000002</v>
      </c>
      <c r="Y152" s="3">
        <f>7328.9+(746.8-1919.3)+(7.475478+(0.761736-1.957686))+0-0-0</f>
        <v>6162.6795279999997</v>
      </c>
      <c r="Z152" s="3">
        <f>7528.8+(620.7-1573.8)+(3.839688+(0.316557-0.802638))+0-0-0</f>
        <v>6579.0536070000007</v>
      </c>
      <c r="AA152" s="3">
        <f>7544.8+(588.1-1696.2)+(-15.391392+(-1.199724--3.460248))+0-0-0</f>
        <v>6423.5691320000005</v>
      </c>
      <c r="AB152" s="3">
        <f>7474.9+(733.1-1956.6)+(-7.624398+(-0.747762--1.995732))+0-0-0</f>
        <v>6245.0235720000001</v>
      </c>
      <c r="AC152" s="3">
        <f>7378.4+(581.2-1969)+(0+(0-0))+0-0-0</f>
        <v>5990.5999999999995</v>
      </c>
      <c r="AD152" s="2">
        <v>6518.7</v>
      </c>
      <c r="AE152" s="3">
        <f>7517+(569.9-1565.2)+(0+(0-0))+0-0-0</f>
        <v>6521.7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7287.2+(329.1-1975.1)+(-7.432944+(-0.335682--2.014602))+0-0-0</f>
        <v>5635.445976</v>
      </c>
      <c r="G153" s="3">
        <f>6960.2+(428.4-2193.5)+(-14.198808+(-0.873936--4.47474))+0-0-0</f>
        <v>5184.501996</v>
      </c>
      <c r="H153" s="3">
        <f>6430.4+(416.3-2019.6)+(-3.279504+(-0.212313--1.029996))+0-0-0</f>
        <v>4824.6381789999996</v>
      </c>
      <c r="I153" s="3">
        <f>6243.4+(273.5-1940.3)+(0+(0-0))+0-0-0</f>
        <v>4576.5999999999995</v>
      </c>
      <c r="J153" s="3">
        <f>6155.6+(262.2-1987.8)+(-9.418068+(-0.401166--3.041334))+0-0-0</f>
        <v>4423.2221</v>
      </c>
      <c r="K153" s="3">
        <f>6053.7+(234.9-1937)+(-12.349548+(-0.479196--3.95148))+0-0-0</f>
        <v>4342.7227360000006</v>
      </c>
      <c r="L153" s="3">
        <f>5650.3+(267.4-1812)+(-23.053224+(-1.090992--7.39296))+0-0-0</f>
        <v>4088.9487440000007</v>
      </c>
      <c r="M153" s="3">
        <f>5214.1+(218.5-1482.7)+(0+(0-0))+0-0-0</f>
        <v>3949.9000000000005</v>
      </c>
      <c r="N153" s="3">
        <f>5295+(246.6-1426.8)+(5.4009+(0.251532-1.455336))+0-0-0</f>
        <v>4118.9970960000001</v>
      </c>
      <c r="O153" s="3">
        <f>5844.8+(234.3-1582.7)+(-2.980848+(-0.119493--0.807177))+0-0-0</f>
        <v>4494.1068359999999</v>
      </c>
      <c r="P153" s="3">
        <f>6226.9+(405.7-1832.4)+(-3.175719+(-0.206907--0.934524))+0-0-0</f>
        <v>4797.7518979999995</v>
      </c>
      <c r="Q153" s="3">
        <f>6366+(463.2-1784.2)+(0+(0-0))+0-0-0</f>
        <v>5045</v>
      </c>
      <c r="R153" s="3">
        <f>6435.5+(424.1-1682)+(-3.282105+(-0.216291--0.85782))+0-0-0</f>
        <v>5174.9594240000006</v>
      </c>
      <c r="S153" s="3">
        <f>6401.2+(391.5-1591)+(-6.529224+(-0.39933--1.62282))+0-0-0</f>
        <v>5196.3942660000002</v>
      </c>
      <c r="T153" s="3">
        <f>6390.1+(398.6-1606.8)+(-13.035804+(-0.813144--3.277872))+0-0-0</f>
        <v>5171.3289240000004</v>
      </c>
      <c r="U153" s="3">
        <f>6386.2+(455.9-1700.4)+(6.513924+(0.465018-1.734408))+0-0-0</f>
        <v>5146.9445340000002</v>
      </c>
      <c r="V153" s="3">
        <f>6373.3+(456.4-1703.6)+(9.751149+(0.698292-2.606508))+0-0-0</f>
        <v>5133.9429330000003</v>
      </c>
      <c r="W153" s="3">
        <f>6357.2+(603.6-1681.8)+(-6.484344+(-0.615672--1.715436))+0-0-0</f>
        <v>5273.6154200000001</v>
      </c>
      <c r="X153" s="3">
        <f>6297.1+(573.5-1623.5)+(-9.634563+(-0.877455--2.483955))+0-0-0</f>
        <v>5239.0719370000006</v>
      </c>
      <c r="Y153" s="3">
        <f>6115.8+(477.1-1306.2)+(-3.119058+(-0.243321--0.666162))+0-0-0</f>
        <v>5284.0037830000001</v>
      </c>
      <c r="Z153" s="3">
        <f>6582+(473.4-1366.4)+(-10.07046+(-0.724302--2.090592))+0-0-0</f>
        <v>5680.29583</v>
      </c>
      <c r="AA153" s="3">
        <f>6596+(403.5-1337.8)+(-10.09188+(-0.617355--2.046834))+0-0-0</f>
        <v>5653.0375990000002</v>
      </c>
      <c r="AB153" s="3">
        <f>6486.2+(301.2-1297.3)+(-3.307962+(-0.153612--0.661623))+0-0-0</f>
        <v>5487.3000490000004</v>
      </c>
      <c r="AC153" s="3">
        <f>6342.7+(233.9-1274.4)+(-3.234777+(-0.119289--0.649944))+0-0-0</f>
        <v>5299.4958779999997</v>
      </c>
      <c r="AD153" s="2">
        <v>5634.5</v>
      </c>
      <c r="AE153" s="3">
        <f>6742+(450.2-1557.7)+(0+(0-0))+0-0-0</f>
        <v>5634.5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6218.1+(254.6-1470.7)+(3.171231+(0.129846-0.750057))+0-0-0</f>
        <v>5004.5510199999999</v>
      </c>
      <c r="G154" s="3">
        <f>6214.5+(236.7-1770.8)+(3.169395+(0.120717-0.903108))+0-0-0</f>
        <v>4682.7870039999998</v>
      </c>
      <c r="H154" s="3">
        <f>6163.8+(114.4-1847.8)+(-3.143538+(-0.058344--0.942378))+0-0-0</f>
        <v>4428.1404960000009</v>
      </c>
      <c r="I154" s="3">
        <f>6033.8+(100.6-1882.6)+(-3.077238+(-0.051306--0.960126))+0-0-0</f>
        <v>4249.631582</v>
      </c>
      <c r="J154" s="3">
        <f>5845.9+(87.8-1796.4)+(-8.944227+(-0.134334--2.748492))+0-0-0</f>
        <v>4130.9699309999996</v>
      </c>
      <c r="K154" s="3">
        <f>5430.4+(146.5-1527.7)+(0+(0-0))+0-0-0</f>
        <v>4049.2</v>
      </c>
      <c r="L154" s="3">
        <f>5403.3+(220.2-1633)+(-13.778415+(-0.56151--4.16415))+0-0-0</f>
        <v>3980.3242249999998</v>
      </c>
      <c r="M154" s="3">
        <f>5258.8+(230-1508.1)+(-5.363976+(-0.2346--1.538262))+0-0-0</f>
        <v>3976.6396860000004</v>
      </c>
      <c r="N154" s="3">
        <f>5422.3+(266.1-1481.6)+(5.530746+(0.271422-1.511232))+0-0-0</f>
        <v>4211.0909360000005</v>
      </c>
      <c r="O154" s="3">
        <f>6001.5+(292.4-1643.7)+(-3.060765+(-0.149124--0.838287))+0-0-0</f>
        <v>4647.8283979999997</v>
      </c>
      <c r="P154" s="3">
        <f>6334+(320.4-1641)+(6.46068+(0.326808-1.67382))+0-0-0</f>
        <v>5018.5136679999996</v>
      </c>
      <c r="Q154" s="3">
        <f>6651.5+(444.7-1799.8)+(-6.78453+(-0.453594--1.835796))+0-0-0</f>
        <v>5290.9976719999995</v>
      </c>
      <c r="R154" s="3">
        <f>6691.9+(423.7-1642.7)+(-3.412869+(-0.216087--0.837777))+0-0-0</f>
        <v>5470.1088209999998</v>
      </c>
      <c r="S154" s="3">
        <f>6689.9+(322.3-1479.1)+(-3.411849+(-0.164373--0.754341))+0-0-0</f>
        <v>5530.2781189999996</v>
      </c>
      <c r="T154" s="3">
        <f>6647.9+(247.8-1332.1)+(-13.561716+(-0.505512--2.717484))+0-0-0</f>
        <v>5552.2502559999994</v>
      </c>
      <c r="U154" s="3">
        <f>6597.6+(301.9-1371.6)+(0+(0-0))+0-0-0</f>
        <v>5527.9000000000005</v>
      </c>
      <c r="V154" s="3">
        <f>6579.1+(324-1368)+(-3.355341+(-0.16524--0.69768))+0-0-0</f>
        <v>5532.2770990000008</v>
      </c>
      <c r="W154" s="3">
        <f>6546.1+(388.2-1422.8)+(-13.354044+(-0.791928--2.902512))+0-0-0</f>
        <v>5500.2565400000003</v>
      </c>
      <c r="X154" s="3">
        <f>6446.7+(423-1436.4)+(-9.863451+(-0.64719--2.197692))+0-0-0</f>
        <v>5424.9870509999992</v>
      </c>
      <c r="Y154" s="3">
        <f>6525.5+(337.6-1318.4)+(-9.984015+(-0.516528--2.017152))+0-0-0</f>
        <v>5536.2166090000001</v>
      </c>
      <c r="Z154" s="3">
        <f>6798+(391-1290.3)+(-13.86792+(-0.79764--2.632212))+0-0-0</f>
        <v>5886.6666519999999</v>
      </c>
      <c r="AA154" s="3">
        <f>6894.7+(382.6-1425.1)+(-7.032594+(-0.390252--1.453602))+0-0-0</f>
        <v>5846.2307559999999</v>
      </c>
      <c r="AB154" s="3">
        <f>6836.8+(387-1475)+(-13.947072+(-0.78948--3.009))+0-0-0</f>
        <v>5737.0724479999999</v>
      </c>
      <c r="AC154" s="3">
        <f>6778.4+(457.7-1690)+(0+(0-0))+0-0-0</f>
        <v>5546.0999999999995</v>
      </c>
      <c r="AD154" s="2">
        <v>5738.4</v>
      </c>
      <c r="AE154" s="3">
        <f>6834+(365.3-1460.9)+(0+(0-0))+0-0-0</f>
        <v>5738.4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6733.3+(486.3-2057.3)+(3.433983+(0.248013-1.049223))+0-0-0</f>
        <v>5164.9327730000005</v>
      </c>
      <c r="G155" s="3">
        <f>6538.4+(342.1-2089)+(3.334584+(0.174471-1.06539))+0-0-0</f>
        <v>4793.9436649999998</v>
      </c>
      <c r="H155" s="3">
        <f>6445.1+(203.8-2121.4)+(0+(0-0))+0-0-0</f>
        <v>4527.5</v>
      </c>
      <c r="I155" s="3">
        <f>6342.2+(163.6-2128.3)+(0+(0-0))+0-0-0</f>
        <v>4377.5</v>
      </c>
      <c r="J155" s="3">
        <f>6154.8+(107.7-1978.9)+(-12.555792+(-0.219708--4.036956))+0-0-0</f>
        <v>4274.8614560000005</v>
      </c>
      <c r="K155" s="3">
        <f>5983.6+(130.3-1877.7)+(-12.206544+(-0.265812--3.830508))+0-0-0</f>
        <v>4227.5581520000005</v>
      </c>
      <c r="L155" s="3">
        <f>5861.1+(195.1-1730.1)+(-23.913288+(-0.796008--7.058808))+0-0-0</f>
        <v>4308.4495120000001</v>
      </c>
      <c r="M155" s="3">
        <f>5911.4+(233.3-1447.3)+(6.029628+(0.237966-1.476246))+0-0-0</f>
        <v>4702.1913479999994</v>
      </c>
      <c r="N155" s="3">
        <f>6542.5+(315-1505.2)+(6.67335+(0.3213-1.535304))+0-0-0</f>
        <v>5357.7593459999998</v>
      </c>
      <c r="O155" s="3">
        <f>6949.7+(421.8-1387.7)+(3.544347+(0.215118-0.707727))+0-0-0</f>
        <v>5986.8517379999994</v>
      </c>
      <c r="P155" s="3">
        <f>7272.8+(536.6-1435.1)+(3.709128+(0.273666-0.731901))+0-0-0</f>
        <v>6377.5508930000005</v>
      </c>
      <c r="Q155" s="3">
        <f>7237.7+(861.8-1372)+(11.073681+(1.318554-2.09916))+0-0-0</f>
        <v>6737.7930749999996</v>
      </c>
      <c r="R155" s="3">
        <f>7241.2+(713.6-1073.1)+(-3.693012+(-0.363936--0.547281))+0-0-0</f>
        <v>6878.1903329999996</v>
      </c>
      <c r="S155" s="3">
        <f>7256.9+(645.9-980)+(-7.402038+(-0.658818--0.9996))+0-0-0</f>
        <v>6915.7387439999993</v>
      </c>
      <c r="T155" s="3">
        <f>7223.9+(623.5-867.7)+(-11.052567+(-0.953955--1.327581))+0-0-0</f>
        <v>6969.0210589999997</v>
      </c>
      <c r="U155" s="3">
        <f>7180.3+(714.2-924.6)+(3.661953+(0.364242-0.471546))+0-0-0</f>
        <v>6973.4546490000002</v>
      </c>
      <c r="V155" s="3">
        <f>7161.7+(774.7-1055.9)+(-3.652467+(-0.395097--0.538509))+0-0-0</f>
        <v>6876.9909449999996</v>
      </c>
      <c r="W155" s="3">
        <f>7158.5+(896-1329.7)+(-3.650835+(-0.45696--0.678147))+0-0-0</f>
        <v>6721.3703519999999</v>
      </c>
      <c r="X155" s="3">
        <f>7143.9+(1028.9-1717.9)+(-10.930167+(-1.574217--2.628387))+0-0-0</f>
        <v>6445.0240029999995</v>
      </c>
      <c r="Y155" s="3">
        <f>7177.6+(759.2-1646.1)+(-7.321152+(-0.774384--1.679022))+0-0-0</f>
        <v>6284.2834860000012</v>
      </c>
      <c r="Z155" s="3">
        <f>7436.1+(961.3-1696.4)+(3.792411+(0.490263-0.865164))+0-0-0</f>
        <v>6704.4175100000002</v>
      </c>
      <c r="AA155" s="3">
        <f>7484.7+(813.2-1706.9)+(-15.268788+(-1.658928--3.482076))+0-0-0</f>
        <v>6577.5543600000001</v>
      </c>
      <c r="AB155" s="3">
        <f>7487.8+(763.2-1933.1)+(3.818778+(0.389232-0.985881))+0-0-0</f>
        <v>6321.1221290000003</v>
      </c>
      <c r="AC155" s="3">
        <f>7499.3+(605.4-2115.2)+(7.649286+(0.617508-2.157504))+0-0-0</f>
        <v>5995.6092900000003</v>
      </c>
      <c r="AD155" s="2">
        <v>6652.2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7427.6+(513.2-2438.2)+(-7.576152+(-0.523464--2.486964))+0-0-0</f>
        <v>5496.9873480000006</v>
      </c>
      <c r="G156" s="3">
        <f>7104.6+(386.6-2418.6)+(-3.623346+(-0.197166--1.233486))+0-0-0</f>
        <v>5070.0129740000002</v>
      </c>
      <c r="H156" s="3">
        <f>6711.2+(218.7-2126.6)+(-13.690848+(-0.446148--4.338264))+0-0-0</f>
        <v>4793.501268</v>
      </c>
      <c r="I156" s="3">
        <f>6493.4+(227.4-2100.2)+(3.311634+(0.115974-1.071102))+0-0-0</f>
        <v>4622.9565060000004</v>
      </c>
      <c r="J156" s="3">
        <f>6311.3+(298.9-2070.1)+(19.312578+(0.914634-6.334506))+0-0-0</f>
        <v>4553.992706</v>
      </c>
      <c r="K156" s="3">
        <f>6142.7+(357.1-1999.6)+(3.132777+(0.182121-1.019796))+0-0-0</f>
        <v>4502.4951019999999</v>
      </c>
      <c r="L156" s="3">
        <f>6001.6+(489.3-2047)+(-12.243264+(-0.998172--4.17588))+0-0-0</f>
        <v>4434.834444000001</v>
      </c>
      <c r="M156" s="3">
        <f>6175.7+(490.2-1898.8)+(-3.149607+(-0.250002--0.968388))+0-0-0</f>
        <v>4764.6687790000005</v>
      </c>
      <c r="N156" s="3">
        <f>6702.3+(807.8-2062.9)+(6.836346+(0.823956-2.104158))+0-0-0</f>
        <v>5452.7561439999999</v>
      </c>
      <c r="O156" s="3">
        <f>7115.7+(1003.5-2081.2)+(0+(0-0))+0-0-0</f>
        <v>6038</v>
      </c>
      <c r="P156" s="3">
        <f>7240+(1041.5-1867.5)+(0+(0-0))+0-0-0</f>
        <v>6414</v>
      </c>
      <c r="Q156" s="3">
        <f>7545.3+(1074.3-1710.8)+(-7.696206+(-1.095786--1.745016))+0-0-0</f>
        <v>6901.7530240000006</v>
      </c>
      <c r="R156" s="3">
        <f>7593.6+(864.6-1398.5)+(-7.745472+(-0.881892--1.42647))+0-0-0</f>
        <v>7052.4991060000011</v>
      </c>
      <c r="S156" s="3">
        <f>7548.5+(698.8-1253.2)+(-7.69947+(-0.712776--1.278264))+0-0-0</f>
        <v>6986.9660180000001</v>
      </c>
      <c r="T156" s="3">
        <f>7492.6+(678-1114.3)+(0+(0-0))+0-0-0</f>
        <v>7056.3</v>
      </c>
      <c r="U156" s="3">
        <f>7400.6+(724.3-1107.1)+(3.774306+(0.369393-0.564621))+0-0-0</f>
        <v>7021.3790779999999</v>
      </c>
      <c r="V156" s="3">
        <f>7372.3+(836.9-1276.4)+(-18.799365+(-2.134095--3.25482))+0-0-0</f>
        <v>6915.1213600000001</v>
      </c>
      <c r="W156" s="3">
        <f>7359.3+(1041.8-1609.6)+(-15.012972+(-2.125272--3.283584))+0-0-0</f>
        <v>6777.64534</v>
      </c>
      <c r="X156" s="3">
        <f>7318.7+(1170.2-1963.7)+(-14.930148+(-2.387208--4.005948))+0-0-0</f>
        <v>6511.8885920000002</v>
      </c>
      <c r="Y156" s="3">
        <f>7302+(908.8-1874.8)+(-3.72402+(-0.463488--0.956148))+0-0-0</f>
        <v>6332.7686400000002</v>
      </c>
      <c r="Z156" s="3">
        <f>7587+(844.5-1735.2)+(0+(0-0))+0-0-0</f>
        <v>6696.3</v>
      </c>
      <c r="AA156" s="3">
        <f>7636.8+(755.6-1773.7)+(-19.47384+(-1.92678--4.522935))+0-0-0</f>
        <v>6601.8223149999994</v>
      </c>
      <c r="AB156" s="3">
        <f>7623.7+(629-1905.3)+(-15.552348+(-1.28316--3.886812))+0-0-0</f>
        <v>6334.4513039999993</v>
      </c>
      <c r="AC156" s="3">
        <f>7486.5+(601.1-2095.8)+(-7.63623+(-0.613122--2.137716))+0-0-0</f>
        <v>5985.6883639999996</v>
      </c>
      <c r="AD156" s="2">
        <v>6662.2999999999993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7276.1+(572.3-2341.2)+(0+(0-0))+0-0-0</f>
        <v>5507.2000000000007</v>
      </c>
      <c r="G157" s="3">
        <f>7138.2+(354.4-2396)+(3.640482+(0.180744-1.22196))+0-0-0</f>
        <v>5099.1992660000005</v>
      </c>
      <c r="H157" s="3">
        <f>6654.9+(348.4-2212.4)+(13.575996+(0.710736-4.513296))+0-0-0</f>
        <v>4800.673436</v>
      </c>
      <c r="I157" s="3">
        <f>6577.7+(405.5-2359)+(-3.354627+(-0.206805--1.20309))+0-0-0</f>
        <v>4621.8416579999994</v>
      </c>
      <c r="J157" s="3">
        <f>6630.3+(351.9-2440.7)+(-6.762906+(-0.358938--2.489514))+0-0-0</f>
        <v>4536.8676699999996</v>
      </c>
      <c r="K157" s="3">
        <f>6573.9+(306.1-2372.8)+(-10.058067+(-0.468333--3.630384))+0-0-0</f>
        <v>4500.3039839999992</v>
      </c>
      <c r="L157" s="3">
        <f>6346.3+(431.1-2349)+(-22.656291+(-1.539027--8.38593))+0-0-0</f>
        <v>4412.590612</v>
      </c>
      <c r="M157" s="3">
        <f>6470.6+(365.4-2199)+(-3.300006+(-0.186354--1.12149))+0-0-0</f>
        <v>4634.6351299999997</v>
      </c>
      <c r="N157" s="3">
        <f>7135.8+(388.2-2282.5)+(10.917774+(0.593946-3.492225))+0-0-0</f>
        <v>5249.5194949999996</v>
      </c>
      <c r="O157" s="3">
        <f>7403.5+(544.1-2096.5)+(-7.55157+(-0.554982--2.13843))+0-0-0</f>
        <v>5845.1318780000001</v>
      </c>
      <c r="P157" s="3">
        <f>7399.4+(725.9-1755.7)+(-3.773694+(-0.370209--0.895407))+0-0-0</f>
        <v>6366.3515039999993</v>
      </c>
      <c r="Q157" s="3">
        <f>7451.2+(1160.6-1936.7)+(3.800112+(0.591906-0.987717))+0-0-0</f>
        <v>6678.504300999999</v>
      </c>
      <c r="R157" s="3">
        <f>7462.4+(1309-1971.6)+(3.805824+(0.66759-1.005516))+0-0-0</f>
        <v>6803.2678979999991</v>
      </c>
      <c r="S157" s="3">
        <f>7356.7+(1387.9-2050.1)+(7.503834+(1.415658-2.091102))+0-0-0</f>
        <v>6701.3283899999997</v>
      </c>
      <c r="T157" s="3">
        <f>7297.5+(1431-2086.7)+(-14.8869+(-2.91924--4.256868))+0-0-0</f>
        <v>6628.250728</v>
      </c>
      <c r="U157" s="3">
        <f>7269.2+(1529.3-2274.8)+(-7.414584+(-1.559886--2.320296))+0-0-0</f>
        <v>6517.0458259999996</v>
      </c>
      <c r="V157" s="3">
        <f>7260.1+(1559.4-2377.1)+(-3.702651+(-0.795294--1.212321))+0-0-0</f>
        <v>6439.1143760000004</v>
      </c>
      <c r="W157" s="3">
        <f>7199.7+(1598.4-2462.2)+(-11.015541+(-2.445552--3.767166))+0-0-0</f>
        <v>6326.2060729999994</v>
      </c>
      <c r="X157" s="3">
        <f>6997.5+(1538-2401)+(-21.41235+(-4.70628--7.34706))+0-0-0</f>
        <v>6115.7284300000001</v>
      </c>
      <c r="Y157" s="3">
        <f>6936+(1279.7-2172.1)+(0+(0-0))+0-0-0</f>
        <v>6043.6</v>
      </c>
      <c r="Z157" s="3">
        <f>7516.8+(1357.4-2481.1)+(3.833568+(0.692274-1.265361))+0-0-0</f>
        <v>6396.3604810000006</v>
      </c>
      <c r="AA157" s="3">
        <f>7600+(1401.6-2691.7)+(-11.628+(-2.144448--4.118301))+0-0-0</f>
        <v>6300.2458529999994</v>
      </c>
      <c r="AB157" s="3">
        <f>7460.6+(1307.9-2719.7)+(-7.609812+(-1.334058--2.774094))+0-0-0</f>
        <v>6042.6302240000014</v>
      </c>
      <c r="AC157" s="3">
        <f>7224.7+(1193.8-2674.3)+(-7.369194+(-1.217676--2.727786))+0-0-0</f>
        <v>5738.3409160000001</v>
      </c>
      <c r="AD157" s="2">
        <v>6271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6923.3+(975.9-2508)+(0+(0-0))+0-0-0</f>
        <v>5391.2000000000007</v>
      </c>
      <c r="G158" s="3">
        <f>6788.9+(819.6-2575)+(-10.387017+(-1.253988--3.93975))+0-0-0</f>
        <v>5025.7987450000001</v>
      </c>
      <c r="H158" s="3">
        <f>6500.4+(777.9-2526.7)+(-9.945612+(-1.190187--3.865851))+0-0-0</f>
        <v>4744.3300520000003</v>
      </c>
      <c r="I158" s="3">
        <f>6262.6+(765.1-2479.9)+(-12.775704+(-1.560804--5.058996))+0-0-0</f>
        <v>4538.5224880000005</v>
      </c>
      <c r="J158" s="3">
        <f>5884.5+(721.7-2176.1)+(-15.005475+(-1.840335--5.549055))+0-0-0</f>
        <v>4418.8032450000001</v>
      </c>
      <c r="K158" s="3">
        <f>5888.5+(614.5-2141.1)+(-3.003135+(-0.313395--1.091961))+0-0-0</f>
        <v>4359.6754309999997</v>
      </c>
      <c r="L158" s="3">
        <f>5905+(650.1-2383.5)+(0+(0-0))+0-0-0</f>
        <v>4171.6000000000004</v>
      </c>
      <c r="M158" s="3">
        <f>5938.2+(631.8-2485.6)+(-9.085446+(-0.966654--3.802968))+0-0-0</f>
        <v>4078.1508679999997</v>
      </c>
      <c r="N158" s="3">
        <f>6141.1+(716.2-2590.3)+(0+(0-0))+0-0-0</f>
        <v>4267</v>
      </c>
      <c r="O158" s="3">
        <f>6255.3+(687.4-2362.8)+(3.190203+(0.350574-1.205028))+0-0-0</f>
        <v>4582.2357489999995</v>
      </c>
      <c r="P158" s="3">
        <f>6472.6+(815-2286.3)+(-6.602052+(-0.8313--2.332026))+0-0-0</f>
        <v>4996.1986740000002</v>
      </c>
      <c r="Q158" s="3">
        <f>6835.4+(1140.3-2554.3)+(-3.486054+(-0.581553--1.302693))+0-0-0</f>
        <v>5418.6350859999993</v>
      </c>
      <c r="R158" s="3">
        <f>7025.2+(1289.4-2657.7)+(-3.582852+(-0.657594--1.355427))+0-0-0</f>
        <v>5654.0149809999994</v>
      </c>
      <c r="S158" s="3">
        <f>6999.7+(1188.9-2467.6)+(-7.139694+(-1.212678--2.516952))+0-0-0</f>
        <v>5715.1645799999997</v>
      </c>
      <c r="T158" s="3">
        <f>6883.9+(1150.6-2342.7)+(-7.021578+(-1.173612--2.389554))+0-0-0</f>
        <v>5685.9943639999992</v>
      </c>
      <c r="U158" s="3">
        <f>6827.9+(1214.3-2418.9)+(17.411145+(3.096465-6.168195))+0-0-0</f>
        <v>5637.6394149999996</v>
      </c>
      <c r="V158" s="3">
        <f>6841+(1199-2440.4)+(3.48891+(0.61149-1.244604))+0-0-0</f>
        <v>5602.4557960000002</v>
      </c>
      <c r="W158" s="3">
        <f>6864.9+(1229.1-2487)+(-7.002198+(-1.253682--2.53674))+0-0-0</f>
        <v>5601.2808599999998</v>
      </c>
      <c r="X158" s="3">
        <f>6697.1+(1221.5-2300.8)+(3.415521+(0.622965-1.173408))+0-0-0</f>
        <v>5620.665078</v>
      </c>
      <c r="Y158" s="3">
        <f>6648.2+(1070.1-1999.9)+(3.390582+(0.545751-1.019949))+0-0-0</f>
        <v>5721.3163839999997</v>
      </c>
      <c r="Z158" s="3">
        <f>7126.7+(1263.3-2280.2)+(0+(0-0))+0-0-0</f>
        <v>6109.8</v>
      </c>
      <c r="AA158" s="3">
        <f>7168.9+(1265.6-2350.7)+(-21.936834+(-3.872736--7.193142))+0-0-0</f>
        <v>6065.183571999999</v>
      </c>
      <c r="AB158" s="3">
        <f>7038.4+(1387.1-2475.2)+(-14.358336+(-2.829684--5.049408))+0-0-0</f>
        <v>5938.1613879999995</v>
      </c>
      <c r="AC158" s="3">
        <f>6856.6+(1425.9-2566.6)+(-3.496866+(-0.727209--1.308966))+0-0-0</f>
        <v>5712.984891000001</v>
      </c>
      <c r="AD158" s="2">
        <v>6070.3000000000011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6562.5+(1318.7-2567.6)+(6.69375+(1.345074-2.618952))+0-0-0</f>
        <v>5319.0198720000008</v>
      </c>
      <c r="G159" s="3">
        <f>6333.2+(1024.9-2402.2)+(-9.689796+(-1.568097--3.675366))+0-0-0</f>
        <v>4948.3174730000001</v>
      </c>
      <c r="H159" s="3">
        <f>5974.8+(863.9-2146.2)+(0+(0-0))+0-0-0</f>
        <v>4692.5</v>
      </c>
      <c r="I159" s="3">
        <f>5849.7+(812.2-2130.7)+(-11.933388+(-1.656888--4.346628))+0-0-0</f>
        <v>4521.9563520000002</v>
      </c>
      <c r="J159" s="3">
        <f>5823.9+(713.8-2090)+(-11.880756+(-1.456152--4.2636))+0-0-0</f>
        <v>4438.6266919999998</v>
      </c>
      <c r="K159" s="3">
        <f>5876+(784.1-2226.2)+(2.99676+(0.399891-1.135362))+0-0-0</f>
        <v>4436.1612889999997</v>
      </c>
      <c r="L159" s="3">
        <f>5841.4+(741.6-2153.1)+(-5.958228+(-0.756432--2.196162))+0-0-0</f>
        <v>4425.3815019999993</v>
      </c>
      <c r="M159" s="3">
        <f>6006+(789.2-1995.3)+(12.25224+(1.609968-4.070412))+0-0-0</f>
        <v>4809.6917960000001</v>
      </c>
      <c r="N159" s="3">
        <f>6854.6+(893.5-2233.2)+(3.495846+(0.455685-1.138932))+0-0-0</f>
        <v>5517.7125990000004</v>
      </c>
      <c r="O159" s="3">
        <f>7208.3+(1068.6-2165.6)+(7.352466+(1.089972-2.208912))+0-0-0</f>
        <v>6117.5335260000002</v>
      </c>
      <c r="P159" s="3">
        <f>7586.3+(1195.3-2179.4)+(3.869013+(0.609603-1.111494))+0-0-0</f>
        <v>6605.5671219999995</v>
      </c>
      <c r="Q159" s="3">
        <f>7519.9+(1459.7-2006.4)+(11.505447+(2.233341-3.069792))+0-0-0</f>
        <v>6983.8689960000002</v>
      </c>
      <c r="R159" s="3">
        <f>7566.7+(1412.6-1825.4)+(-11.577051+(-2.161278--2.792862))+0-0-0</f>
        <v>7142.9545330000001</v>
      </c>
      <c r="S159" s="3">
        <f>7558.6+(1412.2-1910.1)+(-7.709772+(-1.440444--1.948302))+0-0-0</f>
        <v>7053.4980860000005</v>
      </c>
      <c r="T159" s="3">
        <f>7506+(1364.8-1689.4)+(3.82806+(0.696048-0.861594))+0-0-0</f>
        <v>7185.0625139999993</v>
      </c>
      <c r="U159" s="3">
        <f>7410.8+(1438-1670.4)+(3.779508+(0.73338-0.851904))+0-0-0</f>
        <v>7182.0609839999997</v>
      </c>
      <c r="V159" s="3">
        <f>7374+(1483.6-1776.1)+(-15.04296+(-3.026544--3.623244))+0-0-0</f>
        <v>7067.0537400000003</v>
      </c>
      <c r="W159" s="3">
        <f>7369.5+(1424.5-1912.9)+(-11.275335+(-2.179485--2.926737))+0-0-0</f>
        <v>6870.5719170000002</v>
      </c>
      <c r="X159" s="3">
        <f>7303.3+(1282.4-1962.4)+(-11.174049+(-1.962072--3.002472))+0-0-0</f>
        <v>6613.1663509999998</v>
      </c>
      <c r="Y159" s="3">
        <f>7356.9+(963.7-1810.2)+(-3.752019+(-0.491487--0.923202))+0-0-0</f>
        <v>6507.0796959999998</v>
      </c>
      <c r="Z159" s="3">
        <f>7525.3+(1090.1-1779.7)+(0+(0-0))+0-0-0</f>
        <v>6835.7</v>
      </c>
      <c r="AA159" s="3">
        <f>7535.2+(1084.1-1894.1)+(-19.21476+(-2.764455--4.829955))+0-0-0</f>
        <v>6708.0507399999997</v>
      </c>
      <c r="AB159" s="3">
        <f>7466.5+(1105-2203.6)+(-19.039575+(-2.81775--5.61918))+0-0-0</f>
        <v>6351.6618549999994</v>
      </c>
      <c r="AC159" s="3">
        <f>7230.1+(1128.1-2411.9)+(-18.436755+(-2.876655--6.150345))+0-0-0</f>
        <v>5931.1369350000004</v>
      </c>
      <c r="AD159" s="2">
        <v>6750.7000000000007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7098.6+(966.5-2577.8)+(-3.620286+(-0.492915--1.314678))+0-0-0</f>
        <v>5484.5014769999998</v>
      </c>
      <c r="G160" s="3">
        <f>6816.9+(789.5-2521.8)+(13.906476+(1.61058-5.144472))+0-0-0</f>
        <v>5094.9725839999992</v>
      </c>
      <c r="H160" s="3">
        <f>6405.9+(752.1-2365.8)+(-9.801027+(-1.150713--3.619674))+0-0-0</f>
        <v>4784.867933999999</v>
      </c>
      <c r="I160" s="3">
        <f>6340.8+(742.3-2455.3)+(6.467616+(0.757146-2.504406))+0-0-0</f>
        <v>4632.520356</v>
      </c>
      <c r="J160" s="3">
        <f>6209.6+(586.5-2242.9)+(-12.667584+(-1.19646--4.575516))+0-0-0</f>
        <v>4543.9114720000007</v>
      </c>
      <c r="K160" s="3">
        <f>6217.6+(503.4-2181.4)+(-3.170976+(-0.256734--1.112514))+0-0-0</f>
        <v>4537.2848040000008</v>
      </c>
      <c r="L160" s="3">
        <f>6139.9+(613.6-2230.7)+(-15.656745+(-1.56468--5.688285))+0-0-0</f>
        <v>4511.2668599999997</v>
      </c>
      <c r="M160" s="3">
        <f>6268.1+(772.9-2181.7)+(0+(0-0))+0-0-0</f>
        <v>4859.3000000000011</v>
      </c>
      <c r="N160" s="3">
        <f>6738.4+(867.4-2023.8)+(3.436584+(0.442374-1.032138))+0-0-0</f>
        <v>5584.8468199999998</v>
      </c>
      <c r="O160" s="3">
        <f>6805.3+(1054.8-1678.1)+(3.470703+(0.537948-0.855831))+0-0-0</f>
        <v>6185.1528200000002</v>
      </c>
      <c r="P160" s="3">
        <f>7226.4+(1271.9-1857.3)+(-3.685464+(-0.648669--0.947223))+0-0-0</f>
        <v>6637.6130899999998</v>
      </c>
      <c r="Q160" s="3">
        <f>7389.7+(1389.4-1782.3)+(7.537494+(1.417188-1.817946))+0-0-0</f>
        <v>7003.9367360000006</v>
      </c>
      <c r="R160" s="3">
        <f>7452.6+(1238.1-1518.7)+(-3.800826+(-0.631431--0.774537))+0-0-0</f>
        <v>7168.3422799999998</v>
      </c>
      <c r="S160" s="3">
        <f>7451.7+(1247.6-1622.9)+(-7.600734+(-1.272552--1.655358))+0-0-0</f>
        <v>7069.1820719999996</v>
      </c>
      <c r="T160" s="3">
        <f>7452.3+(1269.3-1525.2)+(0+(0-0))+0-0-0</f>
        <v>7196.4</v>
      </c>
      <c r="U160" s="3">
        <f>7414.6+(1316.9-1587.7)+(3.781446+(0.671619-0.809727))+8.3-0-0</f>
        <v>7155.7433380000002</v>
      </c>
      <c r="V160" s="3">
        <f>7440+(1353.8-1763.4)+(-3.7944+(-0.690438--0.899334))+0-0-0</f>
        <v>7026.814496</v>
      </c>
      <c r="W160" s="3">
        <f>7446.5+(1358-2007.3)+(-7.59543+(-1.38516--2.047446))+0-0-0</f>
        <v>6790.2668560000002</v>
      </c>
      <c r="X160" s="3">
        <f>7331.8+(1012.6-1871.3)+(7.478436+(1.032852-1.908726))+0-0-0</f>
        <v>6479.7025620000004</v>
      </c>
      <c r="Y160" s="3">
        <f>7272.8+(885.1-1788.7)+(3.709128+(0.451401-0.912237))+0-0-0</f>
        <v>6372.448292</v>
      </c>
      <c r="Z160" s="3">
        <f>7696.9+(1062.4-2055.3)+(-7.850838+(-1.083648--2.096406))+0-0-0</f>
        <v>6697.1619199999996</v>
      </c>
      <c r="AA160" s="3">
        <f>7709.7+(959.3-2057.2)+(-11.795841+(-1.467729--3.147516))+0-0-0</f>
        <v>6601.6839460000001</v>
      </c>
      <c r="AB160" s="3">
        <f>7467.8+(918.4-2030)+(-11.425734+(-1.405152--3.1059))+0-0-0</f>
        <v>6346.4750140000006</v>
      </c>
      <c r="AC160" s="3">
        <f>7231.7+(770.4-2077.5)+(-18.440835+(-1.96452--5.297625))+0-0-0</f>
        <v>5909.4922700000006</v>
      </c>
      <c r="AD160" s="2">
        <v>6669.8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6989.5+(851-2363.6)+(0+(0-0))+0-0-0</f>
        <v>5476.9</v>
      </c>
      <c r="G161" s="3">
        <f>6677.9+(575.8-2226.9)+(-3.405729+(-0.293658--1.135719))+0-0-0</f>
        <v>5024.2363319999995</v>
      </c>
      <c r="H161" s="3">
        <f>6621.2+(492.1-2361.6)+(0+(0-0))+0-0-0</f>
        <v>4751.7</v>
      </c>
      <c r="I161" s="3">
        <f>6474.3+(478.8-2357.5)+(-13.207572+(-0.976752--4.8093))+0-0-0</f>
        <v>4586.2249760000004</v>
      </c>
      <c r="J161" s="3">
        <f>6272.7+(445.2-2224.3)+(0+(0-0))+0-0-0</f>
        <v>4493.5999999999995</v>
      </c>
      <c r="K161" s="3">
        <f>6172.1+(457.9-2150.6)+(-15.738855+(-1.167645--5.48403))+0-0-0</f>
        <v>4467.9775300000001</v>
      </c>
      <c r="L161" s="3">
        <f>6016.6+(511.9-2086.7)+(-15.34233+(-1.305345--5.321085))+0-0-0</f>
        <v>4430.4734100000014</v>
      </c>
      <c r="M161" s="3">
        <f>5837+(723.3-1816.1)+(2.97687+(0.368883-0.926211))+0-0-0</f>
        <v>4746.6195419999995</v>
      </c>
      <c r="N161" s="3">
        <f>6609+(793.4-1959.6)+(0+(0-0))+0-0-0</f>
        <v>5442.8</v>
      </c>
      <c r="O161" s="3">
        <f>7018.2+(858.9-1810.7)+(7.158564+(0.876078-1.846914))+0-0-0</f>
        <v>6072.5877279999995</v>
      </c>
      <c r="P161" s="3">
        <f>7353.4+(992.1-1812.5)+(0+(0-0))+0-0-0</f>
        <v>6533</v>
      </c>
      <c r="Q161" s="3">
        <f>7662+(1039.4-1833.8)+(3.90762+(0.530094-0.935238))+0-0-0</f>
        <v>6871.102476</v>
      </c>
      <c r="R161" s="3">
        <f>7559+(924.6-1437.1)+(-7.71018+(-0.943092--1.465842))+0-0-0</f>
        <v>7039.3125700000001</v>
      </c>
      <c r="S161" s="3">
        <f>7469.1+(881.4-1459.4)+(-3.809241+(-0.449514--0.744294))+0-0-0</f>
        <v>6887.5855390000006</v>
      </c>
      <c r="T161" s="3">
        <f>7437.4+(724.7-1177.6)+(-7.586148+(-0.739194--1.201152))+0-0-0</f>
        <v>6977.3758099999995</v>
      </c>
      <c r="U161" s="3">
        <f>7381.8+(722.1-1149.1)+(11.294154+(1.104813-1.758123))+0-0-0</f>
        <v>6965.4408439999997</v>
      </c>
      <c r="V161" s="3">
        <f>7320.6+(695.2-1147.2)+(0+(0-0))+0-0-0</f>
        <v>6868.6</v>
      </c>
      <c r="W161" s="3">
        <f>7298.8+(787.3-1406.2)+(-11.167164+(-1.204569--2.151486))+0-0-0</f>
        <v>6669.6797529999994</v>
      </c>
      <c r="X161" s="3">
        <f>7175.2+(909.8-1678.2)+(-25.615464+(-3.247986--5.991174))+0-0-0</f>
        <v>6383.9277239999992</v>
      </c>
      <c r="Y161" s="3">
        <f>7151.3+(713.8-1595.9)+(0+(0-0))+0-0-0</f>
        <v>6269.2</v>
      </c>
      <c r="Z161" s="3">
        <f>7666.2+(632.2-1675.3)+(3.909762+(0.322422-0.854403))+0-0-0</f>
        <v>6626.4777810000005</v>
      </c>
      <c r="AA161" s="3">
        <f>7712.1+(589.2-1761.8)+(-15.732684+(-1.201968--3.594072))+0-0-0</f>
        <v>6526.15942</v>
      </c>
      <c r="AB161" s="3">
        <f>7656.6+(728.9-2122.3)+(0+(0-0))+0-0-0</f>
        <v>6263.2000000000007</v>
      </c>
      <c r="AC161" s="3">
        <f>7467.5+(639.5-2171.6)+(-3.808425+(-0.326145--1.107516))+0-0-0</f>
        <v>5932.3729459999995</v>
      </c>
      <c r="AD161" s="2">
        <v>6581.4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7083.2+(649.1-2286)+(-7.224864+(-0.662082--2.33172))+0-0-0</f>
        <v>5440.7447739999989</v>
      </c>
      <c r="G162" s="3">
        <f>6839.3+(531.2-2318.1)+(-3.488043+(-0.270912--1.182231))+0-0-0</f>
        <v>5049.823276000001</v>
      </c>
      <c r="H162" s="3">
        <f>6425.7+(460.8-2119.9)+(-9.831321+(-0.705024--3.243447))+0-0-0</f>
        <v>4759.3071019999998</v>
      </c>
      <c r="I162" s="3">
        <f>6262+(456-2125.2)+(-3.19362+(-0.23256--1.083852))+0-0-0</f>
        <v>4590.4576720000005</v>
      </c>
      <c r="J162" s="3">
        <f>6279.4+(550.8-2345.6)+(9.607482+(0.842724-3.588768))+0-0-0</f>
        <v>4491.4614379999994</v>
      </c>
      <c r="K162" s="3">
        <f>6125.7+(491-2183.6)+(9.372321+(0.75123-3.340908))+0-0-0</f>
        <v>4439.8826429999999</v>
      </c>
      <c r="L162" s="3">
        <f>5948.3+(555.2-2184.1)+(6.067266+(0.566304-2.227782))+0-0-0</f>
        <v>4323.8057880000006</v>
      </c>
      <c r="M162" s="3">
        <f>6039.5+(441.5-1956.7)+(0+(0-0))+0-0-0</f>
        <v>4524.3</v>
      </c>
      <c r="N162" s="3">
        <f>6539.1+(544.5-1979.4)+(-10.004823+(-0.833085--3.028482))+0-0-0</f>
        <v>5096.3905740000009</v>
      </c>
      <c r="O162" s="3">
        <f>7204.6+(599.4-2159.2)+(3.674346+(0.305694-1.101192))+0-0-0</f>
        <v>5647.6788480000014</v>
      </c>
      <c r="P162" s="3">
        <f>7363.3+(723.7-1984.3)+(18.776415+(1.845435-5.059965))+0-0-0</f>
        <v>6118.2618850000008</v>
      </c>
      <c r="Q162" s="3">
        <f>7407.8+(688.8-1675.2)+(3.777978+(0.351288-0.854352))+0-0-0</f>
        <v>6424.6749139999993</v>
      </c>
      <c r="R162" s="3">
        <f>7409.7+(618.2-1473.5)+(-3.778947+(-0.315282--0.751485))+0-0-0</f>
        <v>6551.0572560000001</v>
      </c>
      <c r="S162" s="3">
        <f>7394.4+(520.7-1475.7)+(0+(0-0))+0-0-0</f>
        <v>6439.4</v>
      </c>
      <c r="T162" s="3">
        <f>7357.5+(404.6-1222.9)+(-3.752325+(-0.206346--0.623679))+0-0-0</f>
        <v>6535.8650079999998</v>
      </c>
      <c r="U162" s="3">
        <f>7343.2+(426.9-1272.4)+(-3.745032+(-0.217719--0.648924))+0-0-0</f>
        <v>6494.3861729999999</v>
      </c>
      <c r="V162" s="3">
        <f>7358.6+(425.2-1335)+(-7.505772+(-0.433704--1.3617))+0-0-0</f>
        <v>6442.2222240000001</v>
      </c>
      <c r="W162" s="3">
        <f>7366+(481.8-1514.1)+(-3.75666+(-0.245718--0.772191))+0-0-0</f>
        <v>6330.4698129999997</v>
      </c>
      <c r="X162" s="3">
        <f>7374.6+(593.1-1824.2)+(-11.283138+(-0.907443--2.791026))+0-0-0</f>
        <v>6134.100445</v>
      </c>
      <c r="Y162" s="3">
        <f>7474.1+(547.6-1952.1)+(0+(0-0))+0-0-0</f>
        <v>6069.6</v>
      </c>
      <c r="Z162" s="3">
        <f>7636.7+(604.2-1847)+(-7.789434+(-0.616284--1.88394))+0-0-0</f>
        <v>6387.3782219999994</v>
      </c>
      <c r="AA162" s="3">
        <f>7673.9+(597.1-1989.6)+(-3.913689+(-0.304521--1.014696))+0-0-0</f>
        <v>6278.1964859999998</v>
      </c>
      <c r="AB162" s="3">
        <f>7625.4+(704.5-2290.5)+(-3.888954+(-0.359295--1.168155))+0-0-0</f>
        <v>6036.3199059999997</v>
      </c>
      <c r="AC162" s="3">
        <f>7515.5+(755.3-2527.2)+(-11.498715+(-1.155609--3.866616))+0-0-0</f>
        <v>5734.8122920000005</v>
      </c>
      <c r="AD162" s="2">
        <v>6312.8000000000011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7267.5+(743.2-2696)+(-7.41285+(-0.758064--2.74992))+0-0-0</f>
        <v>5309.2790059999998</v>
      </c>
      <c r="G163" s="3">
        <f>6756.5+(707.4-2573.1)+(-13.78326+(-1.443096--5.249124))+0-0-0</f>
        <v>4880.822768</v>
      </c>
      <c r="H163" s="3">
        <f>6548.5+(568.7-2506.9)+(-10.019205+(-0.870111--3.835557))+0-0-0</f>
        <v>4603.2462409999998</v>
      </c>
      <c r="I163" s="3">
        <f>6425+(552.2-2512.3)+(-16.38375+(-1.40811--6.406365))+0-0-0</f>
        <v>4453.5145049999992</v>
      </c>
      <c r="J163" s="3">
        <f>6299.1+(502.6-2446.3)+(12.850164+(1.025304-4.990452))+0-0-0</f>
        <v>4364.2850159999998</v>
      </c>
      <c r="K163" s="3">
        <f>6292.9+(511.7-2485)+(6.418758+(0.521934-2.5347))+0-0-0</f>
        <v>4324.0059919999994</v>
      </c>
      <c r="L163" s="3">
        <f>5985.6+(507.6-2245)+(-9.157968+(-0.776628--3.43485))+0-0-0</f>
        <v>4241.7002540000003</v>
      </c>
      <c r="M163" s="3">
        <f>6066.2+(563-2185.1)+(3.093762+(0.28713-1.114401))+0-0-0</f>
        <v>4446.3664910000007</v>
      </c>
      <c r="N163" s="3">
        <f>6574.1+(829-2438.8)+(0+(0-0))+0-0-0</f>
        <v>4964.3</v>
      </c>
      <c r="O163" s="3">
        <f>6994.5+(837.1-2299.2)+(3.567195+(0.426921-1.172592))+0-0-0</f>
        <v>5535.2215239999996</v>
      </c>
      <c r="P163" s="3">
        <f>7197.9+(1024.5-2225.3)+(3.670929+(0.522495-1.134903))+0-0-0</f>
        <v>6000.1585209999994</v>
      </c>
      <c r="Q163" s="3">
        <f>7432.6+(1085.7-2167.1)+(11.371878+(1.661121-3.315663))+0-0-0</f>
        <v>6360.9173360000004</v>
      </c>
      <c r="R163" s="3">
        <f>7412.2+(919.1-1881.2)+(7.560444+(0.937482-1.918824))+11.4-0-0</f>
        <v>6468.0791019999988</v>
      </c>
      <c r="S163" s="3">
        <f>7368.3+(767.4-1808.5)+(3.757833+(0.391374-0.922335))+0-0-0</f>
        <v>6330.4268720000009</v>
      </c>
      <c r="T163" s="3">
        <f>7334.3+(667.7-1573.1)+(0+(0-0))+0-0-0</f>
        <v>6428.9000000000005</v>
      </c>
      <c r="U163" s="3">
        <f>7278.7+(656.9-1530.1)+(-3.712137+(-0.335019--0.780351))+0-0-0</f>
        <v>6402.2331949999998</v>
      </c>
      <c r="V163" s="3">
        <f>7248.8+(671.3-1573)+(-18.48444+(-1.711815--4.01115))+0-0-0</f>
        <v>6330.9148950000008</v>
      </c>
      <c r="W163" s="3">
        <f>7257+(792.1-1812.8)+(-22.20642+(-2.423826--5.547168))+0-0-0</f>
        <v>6217.2169220000005</v>
      </c>
      <c r="X163" s="3">
        <f>7247.6+(962.3-2151.8)+(-11.088828+(-1.472319--3.292254))+0-0-0</f>
        <v>6048.831107</v>
      </c>
      <c r="Y163" s="3">
        <f>7302.2+(752.4-2006)+(3.724122+(0.383724-1.02306))+0-0-0</f>
        <v>6051.6847860000007</v>
      </c>
      <c r="Z163" s="3">
        <f>7478.6+(790.1-1896.9)+(-7.628172+(-0.805902--1.934838))+0-0-0</f>
        <v>6365.3007640000005</v>
      </c>
      <c r="AA163" s="3">
        <f>7532.4+(815.7-2076.1)+(-15.366096+(-1.664028--4.235244))+0-0-0</f>
        <v>6259.2051199999996</v>
      </c>
      <c r="AB163" s="3">
        <f>7411.7+(855.9-2255.2)+(-11.339901+(-1.309527--3.450456))+0-0-0</f>
        <v>6003.2010279999995</v>
      </c>
      <c r="AC163" s="3">
        <f>7232+(756-2317.1)+(11.06496+(1.15668-3.545163))+0-0-0</f>
        <v>5679.5764769999996</v>
      </c>
      <c r="AD163" s="2">
        <v>6356.7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7107.5+(633-2460.2)+(-7.24965+(-0.64566--2.509404))+0-0-0</f>
        <v>5274.9140939999997</v>
      </c>
      <c r="G164" s="3">
        <f>6898.8+(224.5-2175.4)+(3.518388+(0.114495-1.109454))+0-0-0</f>
        <v>4950.4234289999995</v>
      </c>
      <c r="H164" s="3">
        <f>6631.7+(148.8-2077.6)+(6.764334+(0.151776-2.119152))+0-0-0</f>
        <v>4707.6969579999995</v>
      </c>
      <c r="I164" s="3">
        <f>6373.9+(118.9-1991.1)+(-6.501378+(-0.121278--2.030922))+0-0-0</f>
        <v>4497.1082660000002</v>
      </c>
      <c r="J164" s="3">
        <f>6360.5+(177.7-2163.8)+(19.46313+(0.543762-6.621228))+0-0-0</f>
        <v>4387.785664</v>
      </c>
      <c r="K164" s="3">
        <f>6354.7+(134-2137.7)+(12.963588+(0.27336-4.360908))+0-0-0</f>
        <v>4359.8760400000001</v>
      </c>
      <c r="L164" s="3">
        <f>6267.2+(132.6-2147.1)+(6.392544+(0.135252-2.190042))+0-0-0</f>
        <v>4257.0377539999999</v>
      </c>
      <c r="M164" s="3">
        <f>6381.9+(188.7-2197)+(19.528614+(0.577422-6.72282))+0-0-0</f>
        <v>4386.9832159999996</v>
      </c>
      <c r="N164" s="3">
        <f>6907.6+(183.4-2240.3)+(10.568628+(0.280602-3.427659))+0-0-0</f>
        <v>4858.1215710000006</v>
      </c>
      <c r="O164" s="3">
        <f>7312.3+(416.3-2348.1)+(0+(0-0))+0-0-0</f>
        <v>5380.5</v>
      </c>
      <c r="P164" s="3">
        <f>7409.9+(756.2-2298.4)+(3.779049+(0.385662-1.172184))+0-0-0</f>
        <v>5870.6925270000002</v>
      </c>
      <c r="Q164" s="3">
        <f>7429.6+(705.9-1948.8)+(3.789096+(0.360009-0.993888))+0-0-0</f>
        <v>6189.8552170000012</v>
      </c>
      <c r="R164" s="3">
        <f>7458.8+(553.4-1705)+(-11.411964+(-0.846702--2.60865))+0-0-0</f>
        <v>6297.5499840000011</v>
      </c>
      <c r="S164" s="3">
        <f>7416.3+(526.1-1796.1)+(-11.346939+(-0.804933--2.748033))+0-0-0</f>
        <v>6136.8961610000006</v>
      </c>
      <c r="T164" s="3">
        <f>7385.2+(549.5-1791.5)+(-3.766452+(-0.280245--0.913665))+0-0-0</f>
        <v>6140.0669680000001</v>
      </c>
      <c r="U164" s="3">
        <f>7315.5+(607.9-1858.4)+(0+(0-0))+0-0-0</f>
        <v>6065</v>
      </c>
      <c r="V164" s="3">
        <f>7266+(752.7-2039.2)+(-3.70566+(-0.383877--1.039992))+0-0-0</f>
        <v>5976.4504550000001</v>
      </c>
      <c r="W164" s="3">
        <f>7257.5+(911.6-2260.8)+(0+(0-0))+0-0-0</f>
        <v>5908.2999999999993</v>
      </c>
      <c r="X164" s="3">
        <f>7110.9+(907.9-2242.1)+(-10.879677+(-1.389087--3.430413))+0-0-0</f>
        <v>5767.8616489999995</v>
      </c>
      <c r="Y164" s="3">
        <f>7121.8+(749.1-2043.9)+(0+(0-0))+0-0-0</f>
        <v>5827</v>
      </c>
      <c r="Z164" s="3">
        <f>7356.5+(752.7-2000.1)+(0+(0-0))+0-0-0</f>
        <v>6109.1</v>
      </c>
      <c r="AA164" s="3">
        <f>7392.6+(713.4-2087.5)+(-11.310678+(-1.091502--3.193875))+0-0-0</f>
        <v>6009.2916949999999</v>
      </c>
      <c r="AB164" s="3">
        <f>7307.8+(622.1-2110.4)+(-18.63489+(-1.586355--5.38152))+0-0-0</f>
        <v>5804.6602750000002</v>
      </c>
      <c r="AC164" s="3">
        <f>7262.6+(471.3-2195.1)+(-7.407852+(-0.480726--2.239002))+0-0-0</f>
        <v>5533.1504240000004</v>
      </c>
      <c r="AD164" s="2">
        <v>6041.7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7009.2+(412.7-2187.2)+(-10.724076+(-0.631431--3.346416))+0-0-0</f>
        <v>5226.6909089999999</v>
      </c>
      <c r="G165" s="3">
        <f>6725.9+(298.2-2118.2)+(-10.290627+(-0.456246--3.240846))+0-0-0</f>
        <v>4898.3939729999993</v>
      </c>
      <c r="H165" s="3">
        <f>6377.6+(377.6-2118)+(-6.505152+(-0.385152--2.16036))+0-0-0</f>
        <v>4632.470056000001</v>
      </c>
      <c r="I165" s="3">
        <f>6210.8+(382.9-2139.1)+(3.167508+(0.195279-1.090941))+0-0-0</f>
        <v>4456.871846</v>
      </c>
      <c r="J165" s="3">
        <f>6190+(328.8-2186.9)+(-12.6276+(-0.670752--4.461276))+0-0-0</f>
        <v>4323.0629239999998</v>
      </c>
      <c r="K165" s="3">
        <f>6198+(313.2-2257.5)+(-9.48294+(-0.479196--3.453975))+0-0-0</f>
        <v>4247.1918390000001</v>
      </c>
      <c r="L165" s="3">
        <f>5963.1+(265.4-2151.8)+(-15.205905+(-0.67677--5.48709))+0-0-0</f>
        <v>4066.3044150000001</v>
      </c>
      <c r="M165" s="3">
        <f>5618+(279.6-1945.4)+(2.86518+(0.142596-0.992154))+0-0-0</f>
        <v>3954.2156219999997</v>
      </c>
      <c r="N165" s="3">
        <f>5721.7+(350.7-1943)+(2.918067+(0.178857-0.99093))+0-0-0</f>
        <v>4131.5059939999992</v>
      </c>
      <c r="O165" s="3">
        <f>6114.8+(512.3-2169.5)+(-6.237096+(-0.522546--2.21289))+0-0-0</f>
        <v>4453.0532480000002</v>
      </c>
      <c r="P165" s="3">
        <f>6353.9+(534.4-2035.1)+(0+(0-0))+0-0-0</f>
        <v>4853.2</v>
      </c>
      <c r="Q165" s="3">
        <f>6554.3+(635.8-1999.9)+(0+(0-0))+0-0-0</f>
        <v>5190.2</v>
      </c>
      <c r="R165" s="3">
        <f>6694.9+(713.5-2017)+(-3.414399+(-0.363885--1.02867))+0-0-0</f>
        <v>5388.6503859999993</v>
      </c>
      <c r="S165" s="3">
        <f>6911+(720.6-2197.1)+(-10.57383+(-1.102518--3.361563))+0-0-0</f>
        <v>5426.1852150000004</v>
      </c>
      <c r="T165" s="3">
        <f>6886.2+(694.4-2153.6)+(-14.047848+(-1.416576--4.393344))+0-0-0</f>
        <v>5415.9289200000003</v>
      </c>
      <c r="U165" s="3">
        <f>6832.5+(667.9-2143.2)+(3.484575+(0.340629-1.093032))+0-0-0</f>
        <v>5359.9321720000007</v>
      </c>
      <c r="V165" s="3">
        <f>6765.4+(663.7-2079.7)+(-17.25177+(-1.692435--5.303235))+0-0-0</f>
        <v>5335.7590299999993</v>
      </c>
      <c r="W165" s="3">
        <f>6612.5+(670.2-1925.2)+(-16.861875+(-1.70901--4.90926))+0-0-0</f>
        <v>5343.8383750000003</v>
      </c>
      <c r="X165" s="3">
        <f>6587.9+(714.3-2008.4)+(-6.719658+(-0.728586--2.048568))+0-0-0</f>
        <v>5288.4003239999993</v>
      </c>
      <c r="Y165" s="3">
        <f>6571.8+(796.9-1928.8)+(3.351618+(0.406419-0.983688))+0-0-0</f>
        <v>5442.6743489999999</v>
      </c>
      <c r="Z165" s="3">
        <f>6855.7+(780-1970)+(0+(0-0))+0-0-0</f>
        <v>5665.7</v>
      </c>
      <c r="AA165" s="3">
        <f>7020+(594.1-1818.6)+(-14.3208+(-1.211964--3.709944))+0-0-0</f>
        <v>5783.6771799999997</v>
      </c>
      <c r="AB165" s="3">
        <f>7014.2+(470.4-1849.2)+(0+(0-0))+0-0-0</f>
        <v>5635.4</v>
      </c>
      <c r="AC165" s="3">
        <f>6990.8+(571.2-2144.8)+(-3.565308+(-0.291312--1.093848))+0-0-0</f>
        <v>5414.4372279999998</v>
      </c>
      <c r="AD165" s="2">
        <v>5785.9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6946.7+(494.2-2318.3)+(-7.085634+(-0.504084--2.364666))+0-0-0</f>
        <v>5117.3749479999997</v>
      </c>
      <c r="G166" s="3">
        <f>6683.5+(446.1-2350)+(-3.408585+(-0.227511--1.1985))+0-0-0</f>
        <v>4777.1624040000006</v>
      </c>
      <c r="H166" s="3">
        <f>6360.6+(316.6-2156.5)+(-6.487812+(-0.322932--2.19963))+0-0-0</f>
        <v>4516.0888860000005</v>
      </c>
      <c r="I166" s="3">
        <f>6156.2+(229.4-2021.3)+(9.418986+(0.350982-3.092589))+0-0-0</f>
        <v>4370.9773789999999</v>
      </c>
      <c r="J166" s="3">
        <f>6158.7+(194.7-2091.3)+(-3.140937+(-0.099297--1.066563))+0-0-0</f>
        <v>4259.9263289999999</v>
      </c>
      <c r="K166" s="3">
        <f>6155.6+(203.4-2124)+(-15.69678+(-0.51867--5.4162))+0-0-0</f>
        <v>4224.20075</v>
      </c>
      <c r="L166" s="3">
        <f>6038.6+(263.5-2086.7)+(-12.318744+(-0.53754--4.256868))+0-0-0</f>
        <v>4206.8005840000005</v>
      </c>
      <c r="M166" s="3">
        <f>6143+(240.8-1928.9)+(3.13293+(0.122808-0.983739))+0-0-0</f>
        <v>4457.1719989999992</v>
      </c>
      <c r="N166" s="3">
        <f>6950.5+(318.8-2143.3)+(0+(0-0))+0-0-0</f>
        <v>5126</v>
      </c>
      <c r="O166" s="3">
        <f>7241.9+(496.6-2100.1)+(0+(0-0))+0-0-0</f>
        <v>5638.4</v>
      </c>
      <c r="P166" s="3">
        <f>7431.6+(735.8-2050.9)+(7.580232+(0.750516-2.091918))+0-0-0</f>
        <v>6122.7388300000002</v>
      </c>
      <c r="Q166" s="3">
        <f>7489+(1068.5-2099.8)+(0+(0-0))+0-0-0</f>
        <v>6457.7</v>
      </c>
      <c r="R166" s="3">
        <f>7546.6+(1250.9-2164.6)+(0+(0-0))+0-0-0</f>
        <v>6632.9000000000005</v>
      </c>
      <c r="S166" s="3">
        <f>7502.5+(1213.2-2150.9)+(-15.3051+(-2.474928--4.387836))+0-0-0</f>
        <v>6551.4078079999999</v>
      </c>
      <c r="T166" s="3">
        <f>7473.3+(1207.8-2012)+(-11.434149+(-1.847934--3.07836))+0-0-0</f>
        <v>6658.8962770000007</v>
      </c>
      <c r="U166" s="3">
        <f>7425.9+(1292.6-2074.7)+(3.787209+(0.659226-1.058097))+0-0-0</f>
        <v>6647.188337999999</v>
      </c>
      <c r="V166" s="3">
        <f>7379.1+(1388.2-2182.3)+(3.763341+(0.707982-1.112973))+0-0-0</f>
        <v>6588.3583500000004</v>
      </c>
      <c r="W166" s="3">
        <f>7284.8+(1383.5-2171.9)+(0+(0-0))+0-0-0</f>
        <v>6496.4</v>
      </c>
      <c r="X166" s="3">
        <f>7006.2+(1179.4-1870.4)+(7.146324+(1.202988-1.907808))+0-0-0</f>
        <v>6321.6415040000002</v>
      </c>
      <c r="Y166" s="3">
        <f>7153.4+(1007.5-1848.1)+(0+(0-0))+0-0-0</f>
        <v>6312.7999999999993</v>
      </c>
      <c r="Z166" s="3">
        <f>7565.8+(1184.6-2129.2)+(-3.858558+(-0.604146--1.085892))+0-0-0</f>
        <v>6617.8231880000003</v>
      </c>
      <c r="AA166" s="3">
        <f>7565.4+(1035.3-2094.6)+(-3.858354+(-0.528003--1.068246))+0-0-0</f>
        <v>6502.7818889999999</v>
      </c>
      <c r="AB166" s="3">
        <f>7460.2+(882.1-2133.5)+(-7.609404+(-0.899742--2.17617))+0-0-0</f>
        <v>6202.4670239999996</v>
      </c>
      <c r="AC166" s="3">
        <f>7177.8+(663.4-2052.4)+(-7.321356+(-0.676668--2.093448))+0-0-0</f>
        <v>5782.8954240000003</v>
      </c>
      <c r="AD166" s="2">
        <v>6634.4000000000005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6641.9+(409.9-1725)+(-10.162107+(-0.627147--2.63925))+0-0-0</f>
        <v>5318.6499959999992</v>
      </c>
      <c r="G167" s="3">
        <f>6347.4+(425.6-1835.7)+(-16.18587+(-1.08528--4.681035))+0-0-0</f>
        <v>4924.7098849999993</v>
      </c>
      <c r="H167" s="3">
        <f>6024.1+(299.6-1652.3)+(-6.144582+(-0.305592--1.685346))+0-0-0</f>
        <v>4666.6351720000002</v>
      </c>
      <c r="I167" s="3">
        <f>5926.9+(312.1-1741.8)+(-12.090876+(-0.636684--3.553272))+0-0-0</f>
        <v>4488.0257119999997</v>
      </c>
      <c r="J167" s="3">
        <f>5914.5+(355.6-1853.5)+(-3.016395+(-0.181356--0.945285))+0-0-0</f>
        <v>4414.3475340000005</v>
      </c>
      <c r="K167" s="3">
        <f>5919.1+(310.7-1823.2)+(-3.018741+(-0.158457--0.929832))+0-0-0</f>
        <v>4404.3526340000008</v>
      </c>
      <c r="L167" s="3">
        <f>5843.7+(332-1744)+(-20.862009+(-1.18524--6.22608))+0-0-0</f>
        <v>4415.878831</v>
      </c>
      <c r="M167" s="3">
        <f>5794.7+(485.2-1476.5)+(2.955297+(0.247452-0.753015))+0-0-0</f>
        <v>4805.8497339999994</v>
      </c>
      <c r="N167" s="3">
        <f>6430.8+(637.5-1519.1)+(-3.279708+(-0.325125--0.774741))+0-0-0</f>
        <v>5546.3699080000006</v>
      </c>
      <c r="O167" s="3">
        <f>6600+(1038.3-1505.5)+(0+(0-0))+0-0-0</f>
        <v>6132.8</v>
      </c>
      <c r="P167" s="3">
        <f>6861+(1164.1-1422.6)+(-3.49911+(-0.593691--0.725526))+0-0-0</f>
        <v>6599.1327250000004</v>
      </c>
      <c r="Q167" s="3">
        <f>7263.8+(1174.7-1458.2)+(-3.704538+(-0.599097--0.743682))+0-0-0</f>
        <v>6976.7400470000002</v>
      </c>
      <c r="R167" s="3">
        <f>7478.6+(1252.3-1568)+(-7.628172+(-1.277346--1.59936))+0-0-0</f>
        <v>7155.5938420000002</v>
      </c>
      <c r="S167" s="3">
        <f>7433.3+(1329.4-1745.5)+(-3.790983+(-0.677994--0.890205))+0-0-0</f>
        <v>7013.6212280000009</v>
      </c>
      <c r="T167" s="3">
        <f>7374.2+(1353.5-1573.6)+(-18.80421+(-3.451425--4.01268))+0-0-0</f>
        <v>7135.8570450000007</v>
      </c>
      <c r="U167" s="3">
        <f>7311.6+(1438.5-1617.2)+(-7.457832+(-1.46727--1.649544))+0-0-0</f>
        <v>7125.6244420000003</v>
      </c>
      <c r="V167" s="3">
        <f>7279.7+(1356.2-1572)+(-3.712647+(-0.691662--0.80172))+0-0-0</f>
        <v>7060.2974109999996</v>
      </c>
      <c r="W167" s="3">
        <f>7093.1+(1276.5-1477.4)+(-18.087405+(-3.255075--3.76737))+0-0-0</f>
        <v>6874.624890000001</v>
      </c>
      <c r="X167" s="3">
        <f>6959.4+(1257.2-1638.4)+(-14.197176+(-2.564688--3.342336))+0-0-0</f>
        <v>6564.7804719999995</v>
      </c>
      <c r="Y167" s="3">
        <f>7045.9+(1082.4-1610.2)+(3.593409+(0.552024-0.821202))+0-0-0</f>
        <v>6521.4242309999991</v>
      </c>
      <c r="Z167" s="3">
        <f>7391.3+(1281.1-1887.1)+(0+(0-0))+0-0-0</f>
        <v>6785.3</v>
      </c>
      <c r="AA167" s="3">
        <f>7440.8+(1225.2-2054)+(-26.563656+(-4.373964--7.33278))+0-0-0</f>
        <v>6588.39516</v>
      </c>
      <c r="AB167" s="3">
        <f>7037.4+(1170.3-1954.7)+(-10.767222+(-1.790559--2.990691))+0-0-0</f>
        <v>6243.4329100000004</v>
      </c>
      <c r="AC167" s="3">
        <f>6957.2+(1211.3-2315.6)+(-10.644516+(-1.853289--3.542868))+0-0-0</f>
        <v>5843.9450629999992</v>
      </c>
      <c r="AD167" s="2">
        <v>6718.4000000000005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6590.3+(1125.9-2387.2)+(-16.805265+(-2.871045--6.08736))+0-0-0</f>
        <v>5315.4110499999997</v>
      </c>
      <c r="G168" s="3">
        <f>6445.7+(763.3-2343.9)+(-19.723842+(-2.335698--7.172334))+0-0-0</f>
        <v>4850.2127939999991</v>
      </c>
      <c r="H168" s="3">
        <f>6099.5+(609-2114.1)+(-9.332235+(-0.93177--3.234573))+0-0-0</f>
        <v>4587.3705679999994</v>
      </c>
      <c r="I168" s="3">
        <f>5813.8+(596.5-1981.6)+(-5.930076+(-0.60843--2.021232))+0-0-0</f>
        <v>4424.1827260000009</v>
      </c>
      <c r="J168" s="3">
        <f>5754.7+(590.6-2011.3)+(-2.934897+(-0.301206--1.025763))+0-0-0</f>
        <v>4331.7896600000004</v>
      </c>
      <c r="K168" s="3">
        <f>5741.4+(597.9-2005.1)+(-8.784342+(-0.914787--3.067803))+0-0-0</f>
        <v>4327.5686740000001</v>
      </c>
      <c r="L168" s="3">
        <f>5761.1+(668.3-2103.9)+(-2.938161+(-0.340833--1.072989))+0-0-0</f>
        <v>4323.293995</v>
      </c>
      <c r="M168" s="3">
        <f>5856.7+(633.7-1793.8)+(2.986917+(0.323187-0.914838))+0-0-0</f>
        <v>4698.9952660000008</v>
      </c>
      <c r="N168" s="3">
        <f>6273.2+(615.4-1503.2)+(3.199332+(0.313854-0.766632))+0-0-0</f>
        <v>5388.1465539999999</v>
      </c>
      <c r="O168" s="3">
        <f>6645.6+(938.7-1598.4)+(-3.389256+(-0.478737--0.815184))+0-0-0</f>
        <v>5982.8471910000007</v>
      </c>
      <c r="P168" s="3">
        <f>6748+(1177.1-1507.2)+(3.44148+(0.600321-0.768672))+0-0-0</f>
        <v>6421.1731289999998</v>
      </c>
      <c r="Q168" s="3">
        <f>7179.1+(1370.9-1754.8)+(3.661341+(0.699159-0.894948))+0-0-0</f>
        <v>6798.6655520000004</v>
      </c>
      <c r="R168" s="3">
        <f>7389.2+(1380.5-1821.2)+(0+(0-0))+0-0-0</f>
        <v>6948.5</v>
      </c>
      <c r="S168" s="3">
        <f>7418.1+(1467.7-2094.2)+(-3.783231+(-0.748527--1.068042))+0-0-0</f>
        <v>6788.1362840000002</v>
      </c>
      <c r="T168" s="3">
        <f>7568.7+(1504.8-2146.3)+(-3.860037+(-0.767448--1.094613))+0-0-0</f>
        <v>6923.667128</v>
      </c>
      <c r="U168" s="3">
        <f>7462.1+(1528.4-2099.1)+(-19.028355+(-3.89742--5.352705))+0-0-0</f>
        <v>6873.8269300000002</v>
      </c>
      <c r="V168" s="3">
        <f>7263.3+(1395.3-1906.5)+(-11.112849+(-2.134809--2.916945))+0-0-0</f>
        <v>6741.7692870000001</v>
      </c>
      <c r="W168" s="3">
        <f>7079.9+(1265.2-1768.3)+(-21.664494+(-3.871512--5.410998))+0-0-0</f>
        <v>6556.6749919999993</v>
      </c>
      <c r="X168" s="3">
        <f>6604.8+(1202-1511.5)+(-23.579136+(-4.29114--5.396055))+0-0-0</f>
        <v>6272.8257789999998</v>
      </c>
      <c r="Y168" s="3">
        <f>6642+(921.7-1283.4)+(3.38742+(0.470067-0.654534))+0-0-0</f>
        <v>6283.5029530000002</v>
      </c>
      <c r="Z168" s="3">
        <f>7034.1+(1137.8-1604.5)+(-3.587391+(-0.580278--0.818295))+0-0-0</f>
        <v>6564.0506260000002</v>
      </c>
      <c r="AA168" s="3">
        <f>7184.8+(1022-1771.8)+(-14.656992+(-2.08488--3.614472))+0-0-0</f>
        <v>6421.8725999999997</v>
      </c>
      <c r="AB168" s="3">
        <f>7126.7+(1001.2-1994.4)+(-10.903851+(-1.531836--3.051432))+0-0-0</f>
        <v>6124.1157450000001</v>
      </c>
      <c r="AC168" s="3">
        <f>6801.8+(892-1953.4)+(-6.937836+(-0.90984--1.992468))+0-0-0</f>
        <v>5734.5447919999997</v>
      </c>
      <c r="AD168" s="2">
        <v>6526.9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6619.6+(768.6-2146)+(-10.127988+(-1.175958--3.28338))+0-0-0</f>
        <v>5234.1794340000006</v>
      </c>
      <c r="G169" s="3">
        <f>6302.4+(810.9-2276.4)+(-3.214224+(-0.413559--1.160964))+0-0-0</f>
        <v>4834.4331809999994</v>
      </c>
      <c r="H169" s="3">
        <f>6055.6+(731.1-2230.9)+(-6.176712+(-0.745722--2.275518))+0-0-0</f>
        <v>4551.1530840000005</v>
      </c>
      <c r="I169" s="3">
        <f>6013.4+(659.9-2283.8)+(-9.200502+(-1.009647--3.494214))+0-0-0</f>
        <v>4382.7840649999998</v>
      </c>
      <c r="J169" s="3">
        <f>5813.5+(611.7-2112.6)+(11.85954+(1.247868-4.309704))+0-0-0</f>
        <v>4321.397704</v>
      </c>
      <c r="K169" s="3">
        <f>5771.1+(608.1-2077)+(-8.829783+(-0.930393--3.17781))+0-0-0</f>
        <v>4295.6176340000011</v>
      </c>
      <c r="L169" s="3">
        <f>5752.1+(652.5-2061.3)+(-14.667855+(-1.663875--5.256315))+0-0-0</f>
        <v>4332.2245849999999</v>
      </c>
      <c r="M169" s="3">
        <f>5931+(635.1-1756.2)+(-3.02481+(-0.323901--0.895662))+0-0-0</f>
        <v>4807.4469509999999</v>
      </c>
      <c r="N169" s="3">
        <f>6076.9+(806.5-1565.8)+(-3.099219+(-0.411315--0.798558))+0-0-0</f>
        <v>5314.8880239999999</v>
      </c>
      <c r="O169" s="3">
        <f>6331.5+(1105.4-1490.1)+(0+(0-0))+0-0-0</f>
        <v>5946.8</v>
      </c>
      <c r="P169" s="3">
        <f>6900.7+(1045-1572.4)+(0+(0-0))+0-0-0</f>
        <v>6373.2999999999993</v>
      </c>
      <c r="Q169" s="3">
        <f>7054.3+(1191.4-1493.5)+(0+(0-0))+0-0-0</f>
        <v>6752.2000000000007</v>
      </c>
      <c r="R169" s="3">
        <f>7150.2+(1268.4-1615.9)+(-10.939806+(-1.940652--2.472327))+0-0-0</f>
        <v>6792.2918689999997</v>
      </c>
      <c r="S169" s="3">
        <f>7111+(1399.6-1884.3)+(-7.25322+(-1.427592--1.921986))+25.3-0-0</f>
        <v>6644.8411740000001</v>
      </c>
      <c r="T169" s="3">
        <f>7108.4+(1492.4-1803.5)+(0+(0-0))+0-0-0</f>
        <v>6797.2999999999993</v>
      </c>
      <c r="U169" s="3">
        <f>7123.7+(1533.1-1886.2)+(10.899261+(2.345643-2.885886))+0-0-0</f>
        <v>6780.9590179999996</v>
      </c>
      <c r="V169" s="3">
        <f>7110+(1438-1864.5)+(-18.1305+(-3.6669--4.754475))+0-0-0</f>
        <v>6666.4570750000003</v>
      </c>
      <c r="W169" s="3">
        <f>7074.2+(1424.5-1996.3)+(-18.03921+(-3.632475--5.090565))+0-0-0</f>
        <v>6485.8188799999998</v>
      </c>
      <c r="X169" s="3">
        <f>6928.6+(1209.6-1806.9)+(-10.600758+(-1.850688--2.764557))+0-0-0</f>
        <v>6321.6131110000006</v>
      </c>
      <c r="Y169" s="3">
        <f>7012.6+(1010.5-1705.4)+(3.576426+(0.515355-0.869754))+0-0-0</f>
        <v>6320.9220270000005</v>
      </c>
      <c r="Z169" s="3">
        <f>7290.6+(1290-2037.7)+(-11.154618+(-1.9737--3.117681))+0-0-0</f>
        <v>6532.8893630000002</v>
      </c>
      <c r="AA169" s="3">
        <f>7133.7+(1298.5-2047.4)+(-21.829122+(-3.97341--6.265044))+0-0-0</f>
        <v>6365.2625119999993</v>
      </c>
      <c r="AB169" s="3">
        <f>7034.4+(1308.8-2286.1)+(-17.93772+(-3.33744--5.829555))+0-0-0</f>
        <v>6041.6543949999996</v>
      </c>
      <c r="AC169" s="3">
        <f>6730.4+(1216.9-2276.7)+(-20.595024+(-3.723714--6.966702))+0-0-0</f>
        <v>5653.2479640000001</v>
      </c>
      <c r="AD169" s="2">
        <v>6472.0000000000009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5907.6+(947.8-1723.8)+(-12.051504+(-1.933512--3.516552))+0-0-0</f>
        <v>5121.1315360000008</v>
      </c>
      <c r="G170" s="3">
        <f>5306.4+(745.1-1347.4)+(2.706264+(0.380001-0.687174))+0-0-0</f>
        <v>4706.4990909999997</v>
      </c>
      <c r="H170" s="3">
        <f>5337.2+(502.4-1405.4)+(2.721972+(0.256224-0.716754))+0-0-0</f>
        <v>4436.4614419999998</v>
      </c>
      <c r="I170" s="3">
        <f>5289+(487.3-1501)+(-8.09217+(-0.745569--2.29653))+0-0-0</f>
        <v>4268.7587910000002</v>
      </c>
      <c r="J170" s="3">
        <f>5459.8+(479.5-1728.9)+(-5.568996+(-0.48909--1.763478))+0-0-0</f>
        <v>4206.1053919999995</v>
      </c>
      <c r="K170" s="3">
        <f>5326.1+(508.1-1618.4)+(-8.148933+(-0.777393--2.476152))+0-0-0</f>
        <v>4209.3498260000006</v>
      </c>
      <c r="L170" s="3">
        <f>5119.8+(576.5-1443.9)+(-15.666588+(-1.76409--4.418334))+0-0-0</f>
        <v>4239.3876559999999</v>
      </c>
      <c r="M170" s="3">
        <f>5132.5+(783.6-1314.7)+(2.617575+(0.399636-0.670497))+0-0-0</f>
        <v>4603.7467139999999</v>
      </c>
      <c r="N170" s="3">
        <f>5441.8+(1197.6-1328.5)+(-2.775318+(-0.610776--0.677535))+0-0-0</f>
        <v>5308.1914409999999</v>
      </c>
      <c r="O170" s="3">
        <f>6226.3+(1181.3-1559.5)+(-3.175413+(-0.602463--0.795345))+0-0-0</f>
        <v>5845.1174690000007</v>
      </c>
      <c r="P170" s="3">
        <f>6550.1+(1293.4-1597.5)+(-10.021653+(-1.978902--2.444175))+0-0-0</f>
        <v>6236.44362</v>
      </c>
      <c r="Q170" s="3">
        <f>6588.4+(1472.3-1487.1)+(-3.360084+(-0.750873--0.758421))+0-0-0</f>
        <v>6570.2474639999991</v>
      </c>
      <c r="R170" s="3">
        <f>6560.9+(1529.1-1388.3)+(-10.038177+(-2.339523--2.124099))+0-0-0</f>
        <v>6691.4463989999995</v>
      </c>
      <c r="S170" s="3">
        <f>6504.2+(1605.8-1577.2)+(-9.951426+(-2.456874--2.413116))+0-0-0</f>
        <v>6522.8048159999989</v>
      </c>
      <c r="T170" s="3">
        <f>6556.4+(1693.9-1593.2)+(-3.343764+(-0.863889--0.812532))+0-0-0</f>
        <v>6653.7048789999999</v>
      </c>
      <c r="U170" s="3">
        <f>6558.6+(1687.6-1618)+(3.344886+(0.860676-0.82518))+0-0-0</f>
        <v>6631.580382000001</v>
      </c>
      <c r="V170" s="3">
        <f>6593.1+(1656.4-1706.8)+(-6.724962+(-1.689528--1.740936))+0-0-0</f>
        <v>6536.0264460000008</v>
      </c>
      <c r="W170" s="3">
        <f>6587+(1497.4-1699.1)+(-13.43748+(-3.054696--3.466164))+0-0-0</f>
        <v>6372.2739879999999</v>
      </c>
      <c r="X170" s="3">
        <f>6502+(1308.1-1691.2)+(-6.63204+(-1.334262--1.725024))+0-0-0</f>
        <v>6112.6587219999992</v>
      </c>
      <c r="Y170" s="3">
        <f>6526.7+(1106-1490.3)+(-6.657234+(-1.12812--1.520106))+0-0-0</f>
        <v>6136.1347519999999</v>
      </c>
      <c r="Z170" s="3">
        <f>6799.6+(1357.5-1773.4)+(-3.467796+(-0.692325--0.904434))+0-0-0</f>
        <v>6380.4443130000009</v>
      </c>
      <c r="AA170" s="3">
        <f>6754.6+(1399.8-1943.8)+(-24.113922+(-4.997286--6.939366))+0-0-0</f>
        <v>6188.4281580000006</v>
      </c>
      <c r="AB170" s="3">
        <f>6607.4+(1291-1995.1)+(-13.479096+(-2.63364--4.070004))+0-0-0</f>
        <v>5891.2572679999994</v>
      </c>
      <c r="AC170" s="3">
        <f>6574.1+(1059.8-2109.5)+(0+(0-0))+0-0-0</f>
        <v>5524.4000000000005</v>
      </c>
      <c r="AD170" s="2">
        <v>6344.5999999999995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6180.7+(656.8-1784.1)+(-6.304314+(-0.669936--1.819782))+0-0-0</f>
        <v>5048.2455319999999</v>
      </c>
      <c r="G171" s="3">
        <f>6123.3+(550.5-2057.6)+(-9.368649+(-0.842265--3.148128))+0-0-0</f>
        <v>4609.1372140000003</v>
      </c>
      <c r="H171" s="3">
        <f>6015.3+(563-2188.7)+(-12.271212+(-1.14852--4.464948))+0-0-0</f>
        <v>4380.6452160000008</v>
      </c>
      <c r="I171" s="3">
        <f>5831+(643.7-2232.8)+(-5.94762+(-0.656574--2.277456))+0-0-0</f>
        <v>4237.5732619999999</v>
      </c>
      <c r="J171" s="3">
        <f>5536.4+(699.1-2067.5)+(8.470692+(1.069623-3.163275))+0-0-0</f>
        <v>4174.3770400000003</v>
      </c>
      <c r="K171" s="3">
        <f>5213.1+(761.9-1831)+(10.634724+(1.554276-3.73524))+0-0-0</f>
        <v>4152.4537600000003</v>
      </c>
      <c r="L171" s="3">
        <f>5143.7+(771.9-1779.9)+(-2.623287+(-0.393669--0.907749))+0-0-0</f>
        <v>4133.5907929999994</v>
      </c>
      <c r="M171" s="3">
        <f>5191.3+(763.6-1569)+(0+(0-0))+0-0-0</f>
        <v>4385.9000000000005</v>
      </c>
      <c r="N171" s="3">
        <f>5758.4+(981.2-1763.4)+(5.873568+(1.000824-1.798668))+0-0-0</f>
        <v>4981.2757240000001</v>
      </c>
      <c r="O171" s="3">
        <f>6204.7+(1152.8-1790)+(3.164397+(0.587928-0.9129))+0-0-0</f>
        <v>5570.3394250000001</v>
      </c>
      <c r="P171" s="3">
        <f>6353.7+(1357.5-1696.7)+(3.240387+(0.692325-0.865317))+0-0-0</f>
        <v>6017.567395</v>
      </c>
      <c r="Q171" s="3">
        <f>6432.8+(1413.3-1532.3)+(3.280728+(0.720783-0.781473))+0-0-0</f>
        <v>6317.0200380000006</v>
      </c>
      <c r="R171" s="3">
        <f>6639.1+(1396.5-1632.1)+(-3.385941+(-0.712215--0.832371))+0-0-0</f>
        <v>6400.2342150000004</v>
      </c>
      <c r="S171" s="3">
        <f>6656.8+(1509.4-1937.5)+(-6.789936+(-1.539588--1.97625))+0-0-0</f>
        <v>6222.3467260000007</v>
      </c>
      <c r="T171" s="3">
        <f>6678.5+(1490.6-1968.2)+(-3.406035+(-0.760206--1.003782))+0-0-0</f>
        <v>6197.7375409999995</v>
      </c>
      <c r="U171" s="3">
        <f>6696.7+(1446.9-2054.8)+(6.830634+(1.475838-2.095896))+0-0-0</f>
        <v>6095.0105759999997</v>
      </c>
      <c r="V171" s="3">
        <f>6647+(1350.1-2019.1)+(-13.55988+(-2.754204--4.118964))+0-0-0</f>
        <v>5965.8048799999997</v>
      </c>
      <c r="W171" s="3">
        <f>6491.9+(1266.6-1888.1)+(-3.310869+(-0.645966--0.962931))+0-0-0</f>
        <v>5867.4060959999997</v>
      </c>
      <c r="X171" s="3">
        <f>6327.3+(945.9-1568)+(-9.680769+(-1.447227--2.39904))+0-0-0</f>
        <v>5696.4710439999999</v>
      </c>
      <c r="Y171" s="3">
        <f>6607.6+(896.4-1700.5)+(6.739752+(0.914328-1.73451))+0-0-0</f>
        <v>5809.41957</v>
      </c>
      <c r="Z171" s="3">
        <f>7108.3+(1160.7-2191.2)+(-7.250466+(-1.183914--2.235024))+0-0-0</f>
        <v>6071.6006440000001</v>
      </c>
      <c r="AA171" s="3">
        <f>7044.9+(1204.3-2336.3)+(-3.592899+(-0.614193--1.191513))+0-0-0</f>
        <v>5909.8844209999997</v>
      </c>
      <c r="AB171" s="3">
        <f>6895.7+(961.9-2207.2)+(0+(0-0))+0-0-0</f>
        <v>5650.4</v>
      </c>
      <c r="AC171" s="3">
        <f>6623.9+(867.2-2206.7)+(-10.134567+(-1.326816--3.376251))+0-0-0</f>
        <v>5276.3148679999995</v>
      </c>
      <c r="AD171" s="2">
        <v>6038.9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6394+(676.9-2166.1)+(-6.52188+(-0.690438--2.209422))+0-0-0</f>
        <v>4899.7971040000002</v>
      </c>
      <c r="G172" s="3">
        <f>6010.3+(702.1-2193.6)+(-3.065253+(-0.358071--1.118736))+0-0-0</f>
        <v>4516.4954120000002</v>
      </c>
      <c r="H172" s="3">
        <f>5872.3+(693.2-2327.3)+(-8.984619+(-1.060596--3.560769))+0-0-0</f>
        <v>4231.7155539999994</v>
      </c>
      <c r="I172" s="3">
        <f>5730.3+(581.3-2257.3)+(-2.922453+(-0.296463--1.151223))+0-0-0</f>
        <v>4052.2323070000002</v>
      </c>
      <c r="J172" s="3">
        <f>5704.1+(569.3-2323)+(-14.545455+(-1.451715--5.92365))+0-0-0</f>
        <v>3940.3264800000006</v>
      </c>
      <c r="K172" s="3">
        <f>5579+(647.3-2363.3)+(8.53587+(0.990369-3.615849))+0-0-0</f>
        <v>3868.91039</v>
      </c>
      <c r="L172" s="3">
        <f>5417.2+(620-2283.4)+(-16.576632+(-1.8972--6.987204))+0-0-0</f>
        <v>3742.3133719999996</v>
      </c>
      <c r="M172" s="3">
        <f>5259.3+(619.5-2223.1)+(-8.046729+(-0.947835--3.401343))+0-0-0</f>
        <v>3650.1067790000002</v>
      </c>
      <c r="N172" s="3">
        <f>5342.5+(564.3-2081.3)+(-5.44935+(-0.575586--2.122926))+0-0-0</f>
        <v>3821.5979900000002</v>
      </c>
      <c r="O172" s="3">
        <f>5729.8+(735.5-2305)+(-11.688792+(-1.50042--4.7022))+0-0-0</f>
        <v>4151.8129880000006</v>
      </c>
      <c r="P172" s="3">
        <f>5844.4+(797.4-2082)+(-5.961288+(-0.813348--2.12364))+0-0-0</f>
        <v>4555.149003999999</v>
      </c>
      <c r="Q172" s="3">
        <f>6035.1+(1055.3-2166.2)+(-3.077901+(-0.538203--1.104762))+0-0-0</f>
        <v>4921.6886580000009</v>
      </c>
      <c r="R172" s="3">
        <f>6172+(1174.4-2257.7)+(3.14772+(0.598944-1.151427))+0-0-0</f>
        <v>5091.2952370000012</v>
      </c>
      <c r="S172" s="3">
        <f>6476.3+(1199.5-2529.5)+(-6.605826+(-1.22349--2.58009))+0-0-0</f>
        <v>5141.0507740000003</v>
      </c>
      <c r="T172" s="3">
        <f>6576.7+(1095.2-2538.6)+(-13.416468+(-2.234208--5.178744))+0-0-0</f>
        <v>5122.8280679999998</v>
      </c>
      <c r="U172" s="3">
        <f>6535.9+(1069.5-2511.8)+(6.666618+(1.09089-2.562036))+0-0-0</f>
        <v>5098.7954719999998</v>
      </c>
      <c r="V172" s="3">
        <f>6476.1+(931.5-2344.2)+(3.302811+(0.475065-1.195542))+0-0-0</f>
        <v>5065.9823340000003</v>
      </c>
      <c r="W172" s="3">
        <f>6423.1+(820.3-2162.7)+(-3.275781+(-0.418353--1.102977))+0-0-0</f>
        <v>5078.1088430000009</v>
      </c>
      <c r="X172" s="3">
        <f>6109+(589.2-1617.1)+(9.34677+(0.901476-2.474163))+0-0-0</f>
        <v>5088.8740830000006</v>
      </c>
      <c r="Y172" s="3">
        <f>6350.1+(635.2-1644.6)+(6.477102+(0.647904-1.677492))+0-0-0</f>
        <v>5346.1475140000011</v>
      </c>
      <c r="Z172" s="3">
        <f>6765.2+(819.1-1899.5)+(-6.900504+(-0.835482--1.93749))+0-0-0</f>
        <v>5679.0015039999989</v>
      </c>
      <c r="AA172" s="3">
        <f>6753.9+(809-1936.9)+(-3.444489+(-0.41259--0.987819))+0-0-0</f>
        <v>5623.1307399999996</v>
      </c>
      <c r="AB172" s="3">
        <f>6684.9+(507.7-1721.3)+(3.409299+(0.258927-0.877863))+0-0-0</f>
        <v>5474.0903629999993</v>
      </c>
      <c r="AC172" s="3">
        <f>6555.2+(464.6-1787.7)+(-10.029456+(-0.710838--2.735181))+0-0-0</f>
        <v>5224.0948870000002</v>
      </c>
      <c r="AD172" s="2">
        <v>5587.3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6324.9+(526.5-2007.3)+(-6.451398+(-0.53703--2.047446))+0-0-0</f>
        <v>4839.1590179999994</v>
      </c>
      <c r="G173" s="3">
        <f>5849.2+(593.8-1979.3)+(-8.949276+(-0.908514--3.028329))+0-0-0</f>
        <v>4456.8705389999996</v>
      </c>
      <c r="H173" s="3">
        <f>5461.2+(487.1-1766.6)+(-8.355636+(-0.745263--2.702898))+0-0-0</f>
        <v>4175.3019990000003</v>
      </c>
      <c r="I173" s="3">
        <f>5467.2+(536.9-1973.9)+(-8.364816+(-0.821457--3.020067))+0-0-0</f>
        <v>4024.0337939999999</v>
      </c>
      <c r="J173" s="3">
        <f>5354.2+(448-1840)+(-10.922568+(-0.91392--3.7536))+0-0-0</f>
        <v>3954.1171119999999</v>
      </c>
      <c r="K173" s="3">
        <f>5272.6+(429-1713)+(2.689026+(0.21879-0.87363))+0-0-0</f>
        <v>3990.6341860000002</v>
      </c>
      <c r="L173" s="3">
        <f>5228.3+(419.7-1586.8)+(-7.999299+(-0.642141--2.427804))+0-0-0</f>
        <v>4054.9863640000003</v>
      </c>
      <c r="M173" s="3">
        <f>5612.5+(520.9-1621.6)+(-2.862375+(-0.265659--0.827016))+0-0-0</f>
        <v>4509.4989820000001</v>
      </c>
      <c r="N173" s="3">
        <f>6381.6+(705.3-1802.5)+(6.509232+(0.719406-1.83855))+0-0-0</f>
        <v>5289.7900880000007</v>
      </c>
      <c r="O173" s="3">
        <f>6947.2+(819.5-1838.5)+(-3.543072+(-0.417945--0.937635))+0-0-0</f>
        <v>5925.1766179999995</v>
      </c>
      <c r="P173" s="3">
        <f>7249.6+(999.9-1820)+(-3.697296+(-0.509949--0.9282))+0-0-0</f>
        <v>6426.2209549999998</v>
      </c>
      <c r="Q173" s="3">
        <f>7284.4+(1230.7-1730.6)+(11.145132+(1.882971-2.647818))+0-0-0</f>
        <v>6794.8802850000002</v>
      </c>
      <c r="R173" s="3">
        <f>7236.3+(1335-1654.2)+(11.071539+(2.04255-2.530926))+0-0-0</f>
        <v>6927.6831630000006</v>
      </c>
      <c r="S173" s="3">
        <f>7161.9+(1314.6-1682.7)+(-10.957707+(-2.011338--2.574531))+0-0-0</f>
        <v>6783.4054859999997</v>
      </c>
      <c r="T173" s="3">
        <f>7120+(1409.3-1598)+(0+(0-0))+0-0-0</f>
        <v>6931.3</v>
      </c>
      <c r="U173" s="3">
        <f>7110.3+(1463.9-1690.9)+(-18.131265+(-3.732945--4.311795))+0-0-0</f>
        <v>6865.7475850000001</v>
      </c>
      <c r="V173" s="3">
        <f>7128.2+(1522.6-1865.7)+(10.906146+(2.329578-2.854521))+0-0-0</f>
        <v>6795.4812029999994</v>
      </c>
      <c r="W173" s="3">
        <f>7085.9+(1512.1-1967.5)+(-14.455236+(-3.084684--4.0137))+0-0-0</f>
        <v>6616.9737800000003</v>
      </c>
      <c r="X173" s="3">
        <f>6984.6+(1154.4-1777)+(-21.372876+(-3.532464--5.43762))+0-0-0</f>
        <v>6342.5322800000004</v>
      </c>
      <c r="Y173" s="3">
        <f>7045.1+(829-1486.5)+(0+(0-0))+0-0-0</f>
        <v>6387.6</v>
      </c>
      <c r="Z173" s="3">
        <f>7381.4+(687.6-1475.5)+(3.764514+(0.350676-0.752505))+0-0-0</f>
        <v>6596.8626850000001</v>
      </c>
      <c r="AA173" s="3">
        <f>7346.3+(786.6-1714.5)+(-7.493226+(-0.802332--1.74879))+0-0-0</f>
        <v>6411.8532320000004</v>
      </c>
      <c r="AB173" s="3">
        <f>7254.6+(976.6-2139)+(0+(0-0))+0-0-0</f>
        <v>6092.2000000000007</v>
      </c>
      <c r="AC173" s="3">
        <f>6940.2+(948.3-2114.9)+(-14.158008+(-1.934532--4.314396))+0-0-0</f>
        <v>5761.8218559999996</v>
      </c>
      <c r="AD173" s="2">
        <v>6570.5999999999995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6507.8+(959.2-2193.8)+(6.637956+(0.978384-2.237676))+0-0-0</f>
        <v>5278.5786639999997</v>
      </c>
      <c r="G174" s="3">
        <f>6269.5+(882.7-2354.2)+(6.39489+(0.900354-2.401284))+0-0-0</f>
        <v>4802.8939600000003</v>
      </c>
      <c r="H174" s="3">
        <f>6153.4+(705.4-2318.9)+(0+(0-0))+0-0-0</f>
        <v>4539.8999999999996</v>
      </c>
      <c r="I174" s="3">
        <f>6165+(639.1-2428.7)+(3.14415+(0.325941-1.238637))+0-0-0</f>
        <v>4377.6314539999994</v>
      </c>
      <c r="J174" s="3">
        <f>6133.7+(639-2471.5)+(-12.512748+(-1.30356--5.04186))+0-0-0</f>
        <v>4292.4255519999997</v>
      </c>
      <c r="K174" s="3">
        <f>6063+(623.1-2381.3)+(-15.46065+(-1.588905--6.072315))+0-0-0</f>
        <v>4293.8227599999991</v>
      </c>
      <c r="L174" s="3">
        <f>5939.6+(707.4-2306.9)+(-24.233568+(-2.886192--9.412152))+0-0-0</f>
        <v>4322.3923920000007</v>
      </c>
      <c r="M174" s="3">
        <f>6039.8+(772.6-2115.2)+(6.160596+(0.788052-2.157504))+0-0-0</f>
        <v>4701.9911440000005</v>
      </c>
      <c r="N174" s="3">
        <f>6355.9+(962.4-1884.5)+(6.483018+(0.981648-1.92219))+0-0-0</f>
        <v>5439.3424759999989</v>
      </c>
      <c r="O174" s="3">
        <f>6526.2+(1117.5-1637.1)+(-3.328362+(-0.569925--0.834921))+0-0-0</f>
        <v>6003.536634</v>
      </c>
      <c r="P174" s="3">
        <f>6674.1+(1444-1612.4)+(10.211373+(2.20932-2.466972))+0-0-0</f>
        <v>6515.6537210000006</v>
      </c>
      <c r="Q174" s="3">
        <f>6749.5+(1485.7-1397.2)+(10.326735+(2.273121-2.137716))+0-0-0</f>
        <v>6848.4621399999996</v>
      </c>
      <c r="R174" s="3">
        <f>6764.6+(1482.9-1285.2)+(-3.449946+(-0.756279--0.655452))+0-0-0</f>
        <v>6958.7492270000002</v>
      </c>
      <c r="S174" s="3">
        <f>6779.8+(1453.2-1433.4)+(-13.830792+(-2.964528--2.924136))+0-0-0</f>
        <v>6785.7288160000007</v>
      </c>
      <c r="T174" s="3">
        <f>6792.5+(1537.7-1422.4)+(3.464175+(0.784227-0.725424))+0-0-0</f>
        <v>6911.3229780000001</v>
      </c>
      <c r="U174" s="3">
        <f>6780+(1531.7-1415.7)+(-3.4578+(-0.781167--0.722007))+0-0-0</f>
        <v>6892.4830400000001</v>
      </c>
      <c r="V174" s="3">
        <f>6753.4+(1553-1511.3)+(-6.888468+(-1.58406--1.541526))+0-0-0</f>
        <v>6788.1689979999992</v>
      </c>
      <c r="W174" s="3">
        <f>6759.7+(1632.2-1767.9)+(3.447447+(0.832422-0.901629))+0-0-0</f>
        <v>6627.37824</v>
      </c>
      <c r="X174" s="3">
        <f>6575.7+(1257.5-1469.7)+(-23.475249+(-4.489275--5.246829))+0-0-0</f>
        <v>6340.7823049999997</v>
      </c>
      <c r="Y174" s="3">
        <f>6750.8+(1104.4-1462.4)+(6.885816+(1.126488-1.491648))+0-0-0</f>
        <v>6399.3206559999999</v>
      </c>
      <c r="Z174" s="3">
        <f>7080.5+(1244.3-1731.1)+(0+(0-0))+0-0-0</f>
        <v>6593.7</v>
      </c>
      <c r="AA174" s="3">
        <f>7040.7+(1370.9-1996.7)+(-10.772271+(-2.097477--3.054951))+0-0-0</f>
        <v>6405.0852029999996</v>
      </c>
      <c r="AB174" s="3">
        <f>6918.3+(1552.9-2361.6)+(-3.528333+(-0.791979--1.204416))+0-0-0</f>
        <v>6106.4841040000001</v>
      </c>
      <c r="AC174" s="3">
        <f>6693.2+(1349.4-2316.7)+(-10.240596+(-2.064582--3.544551))+0-0-0</f>
        <v>5717.139373</v>
      </c>
      <c r="AD174" s="2">
        <v>6579.7999999999993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6269.7+(1027-2042.1)+(-3.197547+(-0.52377--1.041471))+0-0-0</f>
        <v>5251.9201540000004</v>
      </c>
      <c r="G175" s="3">
        <f>6190.8+(739.6-2119)+(-9.471924+(-1.131588--3.24207))+0-0-0</f>
        <v>4804.0385579999993</v>
      </c>
      <c r="H175" s="3">
        <f>5876.3+(527.6-1880.9)+(-11.987652+(-1.076304--3.837036))+0-0-0</f>
        <v>4513.7730799999999</v>
      </c>
      <c r="I175" s="3">
        <f>5844.2+(498.4-1971.1)+(-8.941626+(-0.762552--3.015783))+0-0-0</f>
        <v>4364.8116049999999</v>
      </c>
      <c r="J175" s="3">
        <f>5836.3+(423.2-1969.4)+(-8.929539+(-0.647496--3.013182))+0-0-0</f>
        <v>4283.5361470000007</v>
      </c>
      <c r="K175" s="3">
        <f>5772.4+(404.6-1898.5)+(5.887848+(0.412692-1.93647))+0-0-0</f>
        <v>4282.8640699999996</v>
      </c>
      <c r="L175" s="3">
        <f>5708.2+(354.5-1727.5)+(-17.467092+(-1.08477--5.28615))+0-0-0</f>
        <v>4321.9342879999995</v>
      </c>
      <c r="M175" s="3">
        <f>5747.3+(390.1-1428.9)+(-2.931123+(-0.198951--0.728739))+0-0-0</f>
        <v>4706.0986650000004</v>
      </c>
      <c r="N175" s="3">
        <f>6020.6+(663.5-1225.2)+(0+(0-0))+0-0-0</f>
        <v>5458.9000000000005</v>
      </c>
      <c r="O175" s="3">
        <f>6384.5+(887.3-1235.5)+(0+(0-0))+0-0-0</f>
        <v>6036.3</v>
      </c>
      <c r="P175" s="3">
        <f>6575+(1152.9-1212.7)+(0+(0-0))+0-0-0</f>
        <v>6515.2</v>
      </c>
      <c r="Q175" s="3">
        <f>6663.9+(1391.6-1237.8)+(13.594356+(2.838864-2.525112))+0-0-0</f>
        <v>6831.6081079999994</v>
      </c>
      <c r="R175" s="3">
        <f>6678.3+(1416.2-1133.4)+(3.405933+(0.722262-0.578034))+0-0-0</f>
        <v>6964.6501610000005</v>
      </c>
      <c r="S175" s="3">
        <f>6762.9+(1401.9-1379.8)+(-6.898158+(-1.429938--1.407396))+0-0-0</f>
        <v>6778.0793000000003</v>
      </c>
      <c r="T175" s="3">
        <f>6751.6+(1462.6-1317.5)+(-3.443316+(-0.745926--0.671925))+0-0-0</f>
        <v>6893.1826830000009</v>
      </c>
      <c r="U175" s="3">
        <f>6702.5+(1499.5-1336.7)+(-3.418275+(-0.764745--0.681717))+0-0-0</f>
        <v>6861.7986970000002</v>
      </c>
      <c r="V175" s="3">
        <f>6698.1+(1489.5-1424.2)+(-13.664124+(-3.03858--2.905368))+0-0-0</f>
        <v>6749.6026640000009</v>
      </c>
      <c r="W175" s="3">
        <f>6718.3+(1561-1649)+(3.426333+(0.79611-0.84099))+0-0-0</f>
        <v>6633.6814530000001</v>
      </c>
      <c r="X175" s="3">
        <f>6737.8+(1328.7-1615.6)+(-6.872556+(-1.355274--1.647912))+0-0-0</f>
        <v>6444.3200820000002</v>
      </c>
      <c r="Y175" s="3">
        <f>6878+(1214.9-1529.9)+(10.52334+(1.858797-2.340747))+0-0-0</f>
        <v>6573.0413900000003</v>
      </c>
      <c r="Z175" s="3">
        <f>7123.5+(1123.1-1562.5)+(-14.53194+(-2.291124--3.1875))+0-0-0</f>
        <v>6670.4644360000002</v>
      </c>
      <c r="AA175" s="3">
        <f>7067.2+(1232.6-1784.6)+(-25.229904+(-4.400382--6.371022))+0-0-0</f>
        <v>6491.9407359999996</v>
      </c>
      <c r="AB175" s="3">
        <f>7025.6+(1453.9-2224.6)+(-10.749168+(-2.224467--3.403638))+0-0-0</f>
        <v>6245.3300030000009</v>
      </c>
      <c r="AC175" s="3">
        <f>6804.6+(1399.3-2366.4)+(-3.470346+(-0.713643--1.206864))+0-0-0</f>
        <v>5834.5228749999997</v>
      </c>
      <c r="AD175" s="2">
        <v>6493.1999999999989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6447+(1142.1-2410.1)+(6.57594+(1.164942-2.458302))+0-0-0</f>
        <v>5184.2825800000001</v>
      </c>
      <c r="G176" s="3">
        <f>5980.3+(1072.8-2324.6)+(6.099906+(1.094256-2.371092))+0-0-0</f>
        <v>4733.3230700000004</v>
      </c>
      <c r="H176" s="3">
        <f>5856+(961.2-2353.7)+(-8.95968+(-1.470636--3.601161))+0-0-0</f>
        <v>4456.6708449999996</v>
      </c>
      <c r="I176" s="3">
        <f>5773.6+(793-2265.3)+(-8.833608+(-1.21329--3.465909))+0-0-0</f>
        <v>4294.7190110000001</v>
      </c>
      <c r="J176" s="3">
        <f>5704.9+(762.5-2233.9)+(-2.909499+(-0.388875--1.139289))+0-0-0</f>
        <v>4231.3409149999998</v>
      </c>
      <c r="K176" s="3">
        <f>5678.4+(749-2187.3)+(-11.583936+(-1.52796--4.462092))+0-0-0</f>
        <v>4231.4501959999998</v>
      </c>
      <c r="L176" s="3">
        <f>5637+(844.4-2193.1)+(-2.87487+(-0.430644--1.118481))+0-0-0</f>
        <v>4286.112967</v>
      </c>
      <c r="M176" s="3">
        <f>5585.8+(946.6-1905.9)+(0+(0-0))+0-0-0</f>
        <v>4626.5</v>
      </c>
      <c r="N176" s="3">
        <f>5769+(1162-1620.8)+(2.94219+(0.59262-0.826608))+0-0-0</f>
        <v>5312.9082019999996</v>
      </c>
      <c r="O176" s="3">
        <f>5790.3+(1484.3-1446.4)+(5.906106+(1.513986-1.475328))+0-0-0</f>
        <v>5834.1447639999997</v>
      </c>
      <c r="P176" s="3">
        <f>6039.7+(1625.4-1377.6)+(12.320988+(3.315816-2.810304))+0-0-0</f>
        <v>6300.3265000000001</v>
      </c>
      <c r="Q176" s="3">
        <f>6235.6+(1663.8-1305.3)+(-3.180156+(-0.848538--0.665703))+0-0-0</f>
        <v>6590.7370090000004</v>
      </c>
      <c r="R176" s="3">
        <f>6301.4+(1728-1289.8)+(0+(0-0))+0-0-0</f>
        <v>6739.5999999999995</v>
      </c>
      <c r="S176" s="3">
        <f>6278+(1716.6-1402.6)+(-6.40356+(-1.750932--1.430652))+0-0-0</f>
        <v>6585.2761600000003</v>
      </c>
      <c r="T176" s="3">
        <f>6243.4+(1629.8-1192.4)+(-9.552402+(-2.493594--1.824372))+0-0-0</f>
        <v>6670.5783759999995</v>
      </c>
      <c r="U176" s="3">
        <f>6233.6+(1679.9-1292.2)+(-3.179136+(-0.856749--0.659022))+0-0-0</f>
        <v>6617.9231369999998</v>
      </c>
      <c r="V176" s="3">
        <f>6223+(1681.2-1405.4)+(-12.69492+(-3.429648--2.867016))+0-0-0</f>
        <v>6485.5424480000001</v>
      </c>
      <c r="W176" s="3">
        <f>6170.8+(1613.7-1465.4)+(-18.882648+(-4.937922--4.484124))+0-0-0</f>
        <v>6299.7635540000001</v>
      </c>
      <c r="X176" s="3">
        <f>6064.2+(1431.3-1410.5)+(-18.556452+(-4.379778--4.31613))+0-0-0</f>
        <v>6066.3798999999999</v>
      </c>
      <c r="Y176" s="3">
        <f>6277.5+(1357.9-1428.3)+(-6.40305+(-1.385058--1.456866))+0-0-0</f>
        <v>6200.7687580000002</v>
      </c>
      <c r="Z176" s="3">
        <f>6336.4+(1545.4-1576.5)+(-9.694692+(-2.364462--2.412045))+0-0-0</f>
        <v>6295.6528909999997</v>
      </c>
      <c r="AA176" s="3">
        <f>6184.6+(1545.7-1635.7)+(-12.616584+(-3.153228--3.336828))+0-0-0</f>
        <v>6082.1670160000003</v>
      </c>
      <c r="AB176" s="3">
        <f>6109.6+(1622.5-1965.8)+(-12.463584+(-3.3099--4.010232))+0-0-0</f>
        <v>5754.5367480000004</v>
      </c>
      <c r="AC176" s="3">
        <f>5974.7+(1323.4-1957.3)+(12.188388+(2.699736-3.992892))+0-0-0</f>
        <v>5351.695232</v>
      </c>
      <c r="AD176" s="2">
        <v>6274.3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5648+(1201.9-1919.6)+(-14.4024+(-3.064845--4.89498))+0-0-0</f>
        <v>4917.7277350000004</v>
      </c>
      <c r="G177" s="3">
        <f>5395+(1051.5-1913.2)+(2.75145+(0.536265-0.975732))+0-0-0</f>
        <v>4535.6119829999998</v>
      </c>
      <c r="H177" s="3">
        <f>5259.6+(970.6-1965.7)+(-13.41198+(-2.47503--5.012535))+0-0-0</f>
        <v>4253.6255250000004</v>
      </c>
      <c r="I177" s="3">
        <f>4945.8+(982.2-1841.2)+(0+(0-0))+0-0-0</f>
        <v>4086.8</v>
      </c>
      <c r="J177" s="3">
        <f>4828.2+(1008.1-1839.6)+(2.462382+(0.514131-0.938196))+0-0-0</f>
        <v>3998.7383169999998</v>
      </c>
      <c r="K177" s="3">
        <f>4785.7+(913.8-1743.6)+(7.322121+(1.398114-2.667708))+0-0-0</f>
        <v>3961.9525269999995</v>
      </c>
      <c r="L177" s="3">
        <f>4778.7+(746.9-1646.8)+(-4.874274+(-0.761838--1.679736))+0-0-0</f>
        <v>3874.8436239999996</v>
      </c>
      <c r="M177" s="3">
        <f>4655.3+(776.7-1632.9)+(7.122609+(1.188351-2.498337))+0-0-0</f>
        <v>3804.9126230000002</v>
      </c>
      <c r="N177" s="3">
        <f>4786+(990-1723.7)+(-2.44086+(-0.5049--0.879087))+0-0-0</f>
        <v>4050.2333270000004</v>
      </c>
      <c r="O177" s="3">
        <f>5167+(903.2-1664)+(2.63517+(0.460632-0.84864))+0-0-0</f>
        <v>4408.4471619999995</v>
      </c>
      <c r="P177" s="3">
        <f>5452.3+(943.5-1575.7)+(8.342019+(1.443555-2.410821))+0-0-0</f>
        <v>4827.4747530000004</v>
      </c>
      <c r="Q177" s="3">
        <f>5932.6+(894.4-1668.6)+(0+(0-0))+0-0-0</f>
        <v>5158.4000000000005</v>
      </c>
      <c r="R177" s="3">
        <f>6044.1+(874-1616.3)+(-3.082491+(-0.44574--0.824313))+0-0-0</f>
        <v>5299.096082</v>
      </c>
      <c r="S177" s="3">
        <f>5980.6+(944.4-1665.2)+(-9.150318+(-1.444932--2.547756))+0-0-0</f>
        <v>5251.7525059999998</v>
      </c>
      <c r="T177" s="3">
        <f>6002.2+(1006.8-1722.6)+(0+(0-0))+0-0-0</f>
        <v>5286.4</v>
      </c>
      <c r="U177" s="3">
        <f>5977.1+(951.3-1686.5)+(0+(0-0))+0-0-0</f>
        <v>5241.9000000000005</v>
      </c>
      <c r="V177" s="3">
        <f>5902.4+(940-1646.5)+(-15.05112+(-2.397--4.198575))+0-0-0</f>
        <v>5182.650455</v>
      </c>
      <c r="W177" s="3">
        <f>5725.8+(930.6-1503)+(-14.60079+(-2.37303--3.83265))+0-0-0</f>
        <v>5140.2588300000007</v>
      </c>
      <c r="X177" s="3">
        <f>5634.7+(700.3-1225.4)+(-17.242182+(-2.142918--3.749724))+0-0-0</f>
        <v>5093.9646239999993</v>
      </c>
      <c r="Y177" s="3">
        <f>5853.7+(544.9-983.2)+(8.956161+(0.833697-1.504296))+0-0-0</f>
        <v>5423.6855619999997</v>
      </c>
      <c r="Z177" s="3">
        <f>6181.5+(568.9-1094.2)+(-9.457695+(-0.870417--1.674126))+0-0-0</f>
        <v>5647.5460139999996</v>
      </c>
      <c r="AA177" s="3">
        <f>6207.6+(865.1-1496.3)+(-9.497628+(-1.323603--2.289339))+0-0-0</f>
        <v>5567.8681080000006</v>
      </c>
      <c r="AB177" s="3">
        <f>6114.5+(810.1-1536.2)+(-18.71037+(-2.478906--4.700772))+0-0-0</f>
        <v>5371.9114959999997</v>
      </c>
      <c r="AC177" s="3">
        <f>6050.6+(813.3-1793.5)+(-12.343224+(-1.659132--3.65874))+0-0-0</f>
        <v>5060.0563840000004</v>
      </c>
      <c r="AD177" s="2">
        <v>5598.2000000000007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5770+(785.6-1902)+(-5.8854+(-0.801312--1.94004))+0-0-0</f>
        <v>4648.8533280000001</v>
      </c>
      <c r="G178" s="3">
        <f>5126+(898.4-1761.6)+(-10.45704+(-1.832736--3.593664))+0-0-0</f>
        <v>4254.1038880000006</v>
      </c>
      <c r="H178" s="3">
        <f>4772.5+(905.5-1674.3)+(-12.169875+(-2.309025--4.269465))+0-0-0</f>
        <v>3993.4905649999996</v>
      </c>
      <c r="I178" s="3">
        <f>4763+(893.7-1787.7)+(-7.28739+(-1.367361--2.735181))+0-0-0</f>
        <v>3863.08043</v>
      </c>
      <c r="J178" s="3">
        <f>4789.4+(744.3-1745.4)+(4.885188+(0.759186-1.780308))+0-0-0</f>
        <v>3792.1640659999994</v>
      </c>
      <c r="K178" s="3">
        <f>4837.4+(638.7-1677.5)+(-7.401222+(-0.977211--2.566575))+0-0-0</f>
        <v>3792.7881419999994</v>
      </c>
      <c r="L178" s="3">
        <f>4827.5+(544.9-1548.6)+(-4.92405+(-0.555798--1.579572))+0-0-0</f>
        <v>3819.8997240000003</v>
      </c>
      <c r="M178" s="3">
        <f>4864.2+(400.3-1238)+(0+(0-0))+0-0-0</f>
        <v>4026.5</v>
      </c>
      <c r="N178" s="3">
        <f>5129.4+(412.6-1003.9)+(-2.615994+(-0.210426--0.511989))+0-0-0</f>
        <v>4535.7855689999997</v>
      </c>
      <c r="O178" s="3">
        <f>5540.3+(444.5-942.5)+(2.825553+(0.226695-0.480675))+0-0-0</f>
        <v>5044.8715730000004</v>
      </c>
      <c r="P178" s="3">
        <f>5683.8+(580.3-799.5)+(-2.898738+(-0.295953--0.407745))+0-0-0</f>
        <v>5461.8130540000002</v>
      </c>
      <c r="Q178" s="3">
        <f>6028.2+(638.6-942.6)+(-3.074382+(-0.325686--0.480726))+0-0-0</f>
        <v>5721.2806579999997</v>
      </c>
      <c r="R178" s="3">
        <f>6031.3+(692.5-863.8)+(3.075963+(0.353175-0.440538))+0-0-0</f>
        <v>5862.9885999999997</v>
      </c>
      <c r="S178" s="3">
        <f>5974+(775.9-1028.8)+(-9.14022+(-1.187127--1.574064))+0-0-0</f>
        <v>5712.3467170000004</v>
      </c>
      <c r="T178" s="3">
        <f>5972+(880.4-1155.8)+(-3.04572+(-0.449004--0.589458))+0-0-0</f>
        <v>5693.6947340000006</v>
      </c>
      <c r="U178" s="3">
        <f>5989.3+(889.3-1278)+(-9.163629+(-1.360629--1.95534))+0-0-0</f>
        <v>5592.0310820000004</v>
      </c>
      <c r="V178" s="3">
        <f>6010.7+(913.5-1400.9)+(-6.130914+(-0.93177--1.428918))+0-0-0</f>
        <v>5517.6662339999993</v>
      </c>
      <c r="W178" s="3">
        <f>5951.2+(797.2-1278.6)+(-6.070224+(-0.813144--1.304172))+0-0-0</f>
        <v>5464.2208040000005</v>
      </c>
      <c r="X178" s="3">
        <f>5662.3+(580.9-898.1)+(-11.551092+(-1.185036--1.832124))+0-0-0</f>
        <v>5334.1959960000004</v>
      </c>
      <c r="Y178" s="3">
        <f>5929.3+(498.5-850.5)+(0+(0-0))+0-0-0</f>
        <v>5577.3</v>
      </c>
      <c r="Z178" s="3">
        <f>6286.8+(522.4-1037.5)+(-9.618804+(-0.799272--1.587375))+0-0-0</f>
        <v>5762.869299</v>
      </c>
      <c r="AA178" s="3">
        <f>5935.6+(539.1-838.3)+(-12.108624+(-1.099764--1.710132))+0-0-0</f>
        <v>5624.9017440000007</v>
      </c>
      <c r="AB178" s="3">
        <f>5537.3+(534.8-676.1)+(0+(0-0))+0-0-0</f>
        <v>5396</v>
      </c>
      <c r="AC178" s="3">
        <f>5489.2+(521.4-929)+(-11.197968+(-1.063656--1.89516))+0-0-0</f>
        <v>5071.2335359999997</v>
      </c>
      <c r="AD178" s="2">
        <v>5719.4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5326.9+(531.5-1279.8)+(-2.716719+(-0.271065--0.652698))+0-0-0</f>
        <v>4576.2649139999994</v>
      </c>
      <c r="G179" s="3">
        <f>5296+(631.9-1665.6)+(5.40192+(0.644538-1.698912))+0-0-0</f>
        <v>4266.6475460000001</v>
      </c>
      <c r="H179" s="3">
        <f>5166.4+(408.5-1539.9)+(-7.904592+(-0.625005--2.356047))+0-0-0</f>
        <v>4028.8264499999996</v>
      </c>
      <c r="I179" s="3">
        <f>5132.4+(244.8-1527.3)+(-2.617524+(-0.124848--0.778923))+0-0-0</f>
        <v>3847.9365509999998</v>
      </c>
      <c r="J179" s="3">
        <f>5052.4+(233.7-1538.7)+(-2.576724+(-0.119187--0.784737))+0-0-0</f>
        <v>3745.4888259999998</v>
      </c>
      <c r="K179" s="3">
        <f>5034.9+(217.2-1564.1)+(5.135598+(0.221544-1.595382))+0-0-0</f>
        <v>3691.7617599999999</v>
      </c>
      <c r="L179" s="3">
        <f>4986.2+(185.7-1541)+(5.085924+(0.189414-1.57182))+0-0-0</f>
        <v>3634.6035179999994</v>
      </c>
      <c r="M179" s="3">
        <f>4752.6+(174.5-1418.2)+(4.847652+(0.17799-1.446564))+0-0-0</f>
        <v>3512.4790780000008</v>
      </c>
      <c r="N179" s="3">
        <f>4882.4+(195.3-1387.3)+(4.980048+(0.199206-1.415046))+0-0-0</f>
        <v>3694.1642079999997</v>
      </c>
      <c r="O179" s="3">
        <f>5098.3+(217.4-1254.4)+(2.600133+(0.110874-0.639744))+0-0-0</f>
        <v>4063.371263</v>
      </c>
      <c r="P179" s="3">
        <f>5319+(352.5-1240.5)+(0+(0-0))+0-0-0</f>
        <v>4431</v>
      </c>
      <c r="Q179" s="3">
        <f>5374.1+(422.6-1067.4)+(0+(0-0))+0-0-0</f>
        <v>4729.3</v>
      </c>
      <c r="R179" s="3">
        <f>5528.7+(612.1-1217.8)+(-2.819637+(-0.312171--0.621078))+0-0-0</f>
        <v>4920.48927</v>
      </c>
      <c r="S179" s="3">
        <f>5519.4+(644.8-1213.5)+(-8.444682+(-0.986544--1.856655))+0-0-0</f>
        <v>4943.1254289999997</v>
      </c>
      <c r="T179" s="3">
        <f>5474.2+(692.6-1247.2)+(-5.583684+(-0.706452--1.272144))+0-0-0</f>
        <v>4914.5820079999994</v>
      </c>
      <c r="U179" s="3">
        <f>5442.6+(726.1-1305.3)+(-5.551452+(-0.740622--1.331406))+0-0-0</f>
        <v>4858.4393320000008</v>
      </c>
      <c r="V179" s="3">
        <f>5385.4+(626.4-1179.6)+(-5.493108+(-0.638928--1.203192))+0-0-0</f>
        <v>4827.2711559999998</v>
      </c>
      <c r="W179" s="3">
        <f>5259.7+(539.5-948.9)+(-5.364894+(-0.55029--0.967878))+0-0-0</f>
        <v>4845.3526940000002</v>
      </c>
      <c r="X179" s="3">
        <f>5272.1+(454.7-780)+(-2.688771+(-0.231897--0.3978))+0-0-0</f>
        <v>4944.2771320000002</v>
      </c>
      <c r="Y179" s="3">
        <f>5739.9+(425.4-865.2)+(-2.927349+(-0.216954--0.441252))+0-0-0</f>
        <v>5297.396948999999</v>
      </c>
      <c r="Z179" s="3">
        <f>6044.9+(371.1-941)+(-6.165798+(-0.378522--0.95982))+0-0-0</f>
        <v>5469.4155000000001</v>
      </c>
      <c r="AA179" s="3">
        <f>6114.2+(262.3-924.5)+(-9.354726+(-0.401319--1.414485))+0-0-0</f>
        <v>5443.6584400000002</v>
      </c>
      <c r="AB179" s="3">
        <f>5926.8+(353.7-1070.8)+(6.045336+(0.360774-1.092216))+0-0-0</f>
        <v>5215.0138940000006</v>
      </c>
      <c r="AC179" s="3">
        <f>5769.2+(394.8-1253.4)+(-2.942292+(-0.201348--0.639234))+0-0-0</f>
        <v>4908.0955939999994</v>
      </c>
      <c r="AD179" s="2">
        <v>5459.4000000000005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5661.6+(442.6-1653.2)+(0+(0-0))+0-0-0</f>
        <v>4451</v>
      </c>
      <c r="G180" s="3">
        <f>5540.1+(539.9-1925.8)+(0+(0-0))+0-0-0</f>
        <v>4154.2000000000007</v>
      </c>
      <c r="H180" s="3">
        <f>5234.7+(399.9-1768.3)+(0+(0-0))+0-0-0</f>
        <v>3866.2999999999997</v>
      </c>
      <c r="I180" s="3">
        <f>5200.1+(397.1-1717.3)+(0+(0-0))+0-0-0</f>
        <v>3879.9000000000005</v>
      </c>
      <c r="J180" s="3">
        <f>5224.1+(247.2-1647.2)+(13.321455+(0.63036-4.20036))+0-0-0</f>
        <v>3833.8514550000004</v>
      </c>
      <c r="K180" s="3">
        <f>5200.3+(211.2-1556.3)+(5.304306+(0.215424-1.587426))+0-0-0</f>
        <v>3859.1323040000002</v>
      </c>
      <c r="L180" s="3">
        <f>4937.3+(171.3-1145.7)+(2.518023+(0.087363-0.584307))+0-0-0</f>
        <v>3964.9210790000002</v>
      </c>
      <c r="M180" s="3">
        <f>4968.8+(340.5-935.7)+(-5.068176+(-0.34731--0.954414))+0-0-0</f>
        <v>4369.1389280000003</v>
      </c>
      <c r="N180" s="3">
        <f>5166.9+(840.9-886.3)+(13.175595+(2.144295-2.260065))+0-0-0</f>
        <v>5134.5598250000003</v>
      </c>
      <c r="O180" s="3">
        <f>5446.8+(1287.4-1055.5)+(0+(0-0))+0-0-0</f>
        <v>5678.7000000000007</v>
      </c>
      <c r="P180" s="3">
        <f>5849.3+(1382.4-1075.5)+(2.983143+(0.705024-0.548505))+0-0-0</f>
        <v>6159.3396620000003</v>
      </c>
      <c r="Q180" s="3">
        <f>6036.3+(1457.7-1022.4)+(3.078513+(0.743427-0.521424))+0-0-0</f>
        <v>6474.9005160000006</v>
      </c>
      <c r="R180" s="3">
        <f>6105.5+(1535.2-1040.3)+(-6.22761+(-1.565904--1.061106))+0-0-0</f>
        <v>6593.6675919999998</v>
      </c>
      <c r="S180" s="3">
        <f>6124.2+(1703.1-1380.8)+(3.123342+(0.868581-0.704208))+0-0-0</f>
        <v>6449.7877150000004</v>
      </c>
      <c r="T180" s="3">
        <f>6085.2+(1841.1-1356.6)+(0+(0-0))+0-0-0</f>
        <v>6569.7</v>
      </c>
      <c r="U180" s="3">
        <f>5946.5+(1891.9-1334.8)+(15.163575+(4.824345-3.40374))+0-0-0</f>
        <v>6520.1841800000002</v>
      </c>
      <c r="V180" s="3">
        <f>5952.9+(1846-1368.1)+(-12.143916+(-3.76584--2.790924))+0-0-0</f>
        <v>6417.6811679999992</v>
      </c>
      <c r="W180" s="3">
        <f>5928.5+(1770.7-1408.8)+(-24.18828+(-7.224456--5.747904))+0-0-0</f>
        <v>6264.7351679999992</v>
      </c>
      <c r="X180" s="3">
        <f>5305.1+(1641.5-896.1)+(-13.528005+(-4.185825--2.285055))+0-0-0</f>
        <v>6035.0712249999997</v>
      </c>
      <c r="Y180" s="3">
        <f>5509.3+(1551.7-882.7)+(5.619486+(1.582734-0.900354))+0-0-0</f>
        <v>6184.601866</v>
      </c>
      <c r="Z180" s="3">
        <f>6118.9+(1436.9-1221.8)+(-6.241278+(-1.465638--1.246236))+0-0-0</f>
        <v>6327.5393199999999</v>
      </c>
      <c r="AA180" s="3">
        <f>6116.1+(1370.1-1357.6)+(-6.238422+(-1.397502--1.384752))+0-0-0</f>
        <v>6122.3488280000001</v>
      </c>
      <c r="AB180" s="3">
        <f>5991.7+(1086.1-1293.3)+(-6.111534+(-1.107822--1.319166))+0-0-0</f>
        <v>5778.5998099999997</v>
      </c>
      <c r="AC180" s="3">
        <f>5880.7+(1125.5-1637.4)+(2.999157+(0.574005-0.835074))+0-0-0</f>
        <v>5371.5380879999993</v>
      </c>
      <c r="AD180" s="2">
        <v>6295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5825.9+(1085.8-1997.5)+(-8.913627+(-1.661274--3.056175))+0-0-0</f>
        <v>4906.6812739999996</v>
      </c>
      <c r="G181" s="3">
        <f>5721.1+(1002.3-2206.2)+(-11.671044+(-2.044692--4.500648))+0-0-0</f>
        <v>4507.9849120000008</v>
      </c>
      <c r="H181" s="3">
        <f>5442.9+(916.9-2091.1)+(-8.327637+(-1.402857--3.199383))+0-0-0</f>
        <v>4262.1688889999996</v>
      </c>
      <c r="I181" s="3">
        <f>5396.5+(736.8-2010.9)+(-2.752215+(-0.375768--1.025559))+0-0-0</f>
        <v>4120.2975759999999</v>
      </c>
      <c r="J181" s="3">
        <f>5413.3+(551.1-1907.7)+(11.043132+(1.124244-3.891708))+0-0-0</f>
        <v>4064.9756680000005</v>
      </c>
      <c r="K181" s="3">
        <f>5284.4+(402.4-1621.4)+(2.695044+(0.205224-0.826914))+0-0-0</f>
        <v>4067.4733539999997</v>
      </c>
      <c r="L181" s="3">
        <f>5206.5+(285.9-1350.4)+(-10.62126+(-0.583236--2.754816))+0-0-0</f>
        <v>4133.5503200000003</v>
      </c>
      <c r="M181" s="3">
        <f>5095.6+(332.3-956.9)+(-2.598756+(-0.169473--0.488019))+0-0-0</f>
        <v>4468.7197900000001</v>
      </c>
      <c r="N181" s="3">
        <f>5518.3+(641.8-1039.1)+(0+(0-0))+0-0-0</f>
        <v>5121</v>
      </c>
      <c r="O181" s="3">
        <f>5994.2+(900-1238.8)+(-21.399294+(-3.213--4.422516))+0-0-0</f>
        <v>5635.2102219999997</v>
      </c>
      <c r="P181" s="3">
        <f>6251.6+(1099.6-1324)+(0+(0-0))+0-0-0</f>
        <v>6027.2000000000007</v>
      </c>
      <c r="Q181" s="3">
        <f>6427+(1224.8-1254.8)+(6.55554+(1.249296-1.279896))+0-0-0</f>
        <v>6403.5249400000002</v>
      </c>
      <c r="R181" s="3">
        <f>6375.1+(1370-1236.1)+(0+(0-0))+0-0-0</f>
        <v>6509</v>
      </c>
      <c r="S181" s="3">
        <f>6361.8+(1610.1-1619.6)+(-3.244518+(-0.821151--0.825996))+0-0-0</f>
        <v>6349.0603270000001</v>
      </c>
      <c r="T181" s="3">
        <f>6456.5+(1658.7-1648.7)+(-3.292815+(-0.845937--0.840837))+0-0-0</f>
        <v>6463.2020849999999</v>
      </c>
      <c r="U181" s="3">
        <f>6473.4+(1711.6-1738)+(0+(0-0))+0-0-0</f>
        <v>6447</v>
      </c>
      <c r="V181" s="3">
        <f>6393.9+(1710.1-1742.5)+(-9.782667+(-2.616453--2.666025))+0-0-0</f>
        <v>6351.7669050000004</v>
      </c>
      <c r="W181" s="3">
        <f>6343+(1430-1587.8)+(-3.23493+(-0.7293--0.809778))+0-0-0</f>
        <v>6182.0455480000001</v>
      </c>
      <c r="X181" s="3">
        <f>6057.5+(810.6-872)+(3.089325+(0.413406-0.44472))+0-0-0</f>
        <v>5999.1580110000004</v>
      </c>
      <c r="Y181" s="3">
        <f>6324.4+(906-1071)+(-3.225444+(-0.46206--0.54621))+0-0-0</f>
        <v>6156.2587059999996</v>
      </c>
      <c r="Z181" s="3">
        <f>6617.5+(955.1-1287.5)+(-6.74985+(-0.974202--1.31325))+0-0-0</f>
        <v>6278.689198</v>
      </c>
      <c r="AA181" s="3">
        <f>6513.7+(1046.3-1491.2)+(-6.643974+(-1.067226--1.521024))+0-0-0</f>
        <v>6062.6098239999992</v>
      </c>
      <c r="AB181" s="3">
        <f>6200.9+(759.9-1210.9)+(0+(0-0))+0-0-0</f>
        <v>5749.9</v>
      </c>
      <c r="AC181" s="3">
        <f>6124+(609.5-1368.9)+(-12.49296+(-1.24338--2.792556))+0-0-0</f>
        <v>5353.6562160000003</v>
      </c>
      <c r="AD181" s="2">
        <v>6291.4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6070.2+(578.1-1792.8)+(-18.574812+(-1.768986--5.485968))+0-0-0</f>
        <v>4840.6421700000001</v>
      </c>
      <c r="G182" s="3">
        <f>5963+(610.8-2136.5)+(-15.20565+(-1.55754--5.448075))+0-0-0</f>
        <v>4425.9848849999998</v>
      </c>
      <c r="H182" s="3">
        <f>5968.2+(513.5-2291)+(-9.131346+(-0.785655--3.50523))+0-0-0</f>
        <v>4184.2882289999998</v>
      </c>
      <c r="I182" s="3">
        <f>5532.6+(521.3-2012.8)+(-19.751382+(-1.861041--7.185696))+0-0-0</f>
        <v>4026.6732730000003</v>
      </c>
      <c r="J182" s="3">
        <f>5461.3+(564.6-2063.2)+(5.570526+(0.575892-2.104464))+0-0-0</f>
        <v>3966.7419540000001</v>
      </c>
      <c r="K182" s="3">
        <f>5359.8+(477.3-1847.4)+(-8.200494+(-0.730269--2.826522))+0-0-0</f>
        <v>3983.5957589999998</v>
      </c>
      <c r="L182" s="3">
        <f>5259.1+(468.1-1657.7)+(-16.092846+(-1.432386--5.072562))+0-0-0</f>
        <v>4057.0473300000003</v>
      </c>
      <c r="M182" s="3">
        <f>5227.2+(501.1-1327)+(5.331744+(0.511122-1.35354))+0-0-0</f>
        <v>4405.7893260000001</v>
      </c>
      <c r="N182" s="3">
        <f>5685.7+(808.5-1411.8)+(5.799414+(0.82467-1.440036))+0-0-0</f>
        <v>5087.5840479999997</v>
      </c>
      <c r="O182" s="3">
        <f>6101.3+(960.6-1434.7)+(3.111663+(0.489906-0.731697))+0-0-0</f>
        <v>5630.069872</v>
      </c>
      <c r="P182" s="3">
        <f>6335.5+(1051.7-1356.5)+(9.693315+(1.609101-2.075445))+0-0-0</f>
        <v>6039.9269709999999</v>
      </c>
      <c r="Q182" s="3">
        <f>6569.5+(1006-1247)+(6.70089+(1.02612-1.27194))+0-0-0</f>
        <v>6334.95507</v>
      </c>
      <c r="R182" s="3">
        <f>6566.5+(985.5-1145.4)+(-3.348915+(-0.502605--0.584154))+0-0-0</f>
        <v>6403.3326340000003</v>
      </c>
      <c r="S182" s="3">
        <f>6521.8+(1028.6-1304.2)+(-9.978354+(-1.573758--1.995426))+0-0-0</f>
        <v>6236.6433139999999</v>
      </c>
      <c r="T182" s="3">
        <f>6492.7+(1097.8-1203.2)+(-3.311277+(-0.559878--0.613632))+0-0-0</f>
        <v>6384.0424769999991</v>
      </c>
      <c r="U182" s="3">
        <f>6473.3+(1151-1265.2)+(3.301383+(0.58701-0.645252))+0-0-0</f>
        <v>6362.3431410000003</v>
      </c>
      <c r="V182" s="3">
        <f>6470.6+(1138.1-1328.5)+(-3.300006+(-0.580431--0.677535))+0-0-0</f>
        <v>6276.9970980000007</v>
      </c>
      <c r="W182" s="3">
        <f>6597.6+(1061.4-1561.2)+(-3.364776+(-0.541314--0.796212))+0-0-0</f>
        <v>6094.690122</v>
      </c>
      <c r="X182" s="3">
        <f>6397.8+(936.5-1453.1)+(-13.051512+(-1.91046--2.964324))+0-0-0</f>
        <v>5869.2023520000012</v>
      </c>
      <c r="Y182" s="3">
        <f>6611.4+(742.8-1258.4)+(3.371814+(0.378828-0.641784))+0-0-0</f>
        <v>6098.9088579999989</v>
      </c>
      <c r="Z182" s="3">
        <f>6822.8+(613.5-1255.5)+(-13.918512+(-1.25154--2.56122))+0-0-0</f>
        <v>6168.1911680000003</v>
      </c>
      <c r="AA182" s="3">
        <f>6631.9+(730.2-1361.8)+(-20.293614+(-2.234412--4.167108))+0-0-0</f>
        <v>5981.939081999999</v>
      </c>
      <c r="AB182" s="3">
        <f>6413.5+(870.1-1575.2)+(-9.812655+(-1.331253--2.410056))+0-0-0</f>
        <v>5699.6661479999993</v>
      </c>
      <c r="AC182" s="3">
        <f>6188.2+(850.6-1728.6)+(-3.155982+(-0.433806--0.881586))+0-0-0</f>
        <v>5307.491798</v>
      </c>
      <c r="AD182" s="2">
        <v>6193.2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5791.1+(942.7-1921.1)+(-11.813844+(-1.923108--3.919044))+0-0-0</f>
        <v>4802.8820920000007</v>
      </c>
      <c r="G183" s="3">
        <f>5551.1+(735.4-1873.1)+(-22.648488+(-3.000432--7.642248))+0-0-0</f>
        <v>4395.3933280000001</v>
      </c>
      <c r="H183" s="3">
        <f>5386.1+(680.5-1927.8)+(-8.240733+(-1.041165--2.949534))+0-0-0</f>
        <v>4132.4676360000003</v>
      </c>
      <c r="I183" s="3">
        <f>5196+(729.5-1960.4)+(-2.64996+(-0.372045--0.999804))+0-0-0</f>
        <v>3963.0777989999997</v>
      </c>
      <c r="J183" s="3">
        <f>5147.7+(603.1-1850.3)+(-2.625327+(-0.307581--0.943653))+0-0-0</f>
        <v>3898.510745</v>
      </c>
      <c r="K183" s="3">
        <f>5157.6+(566.8-1777.2)+(-2.630376+(-0.289068--0.906372))+0-0-0</f>
        <v>3945.1869280000001</v>
      </c>
      <c r="L183" s="3">
        <f>5133.5+(581.3-1663.6)+(-2.618085+(-0.296463--0.848436))+0-0-0</f>
        <v>4049.1338879999998</v>
      </c>
      <c r="M183" s="3">
        <f>5089.6+(737-1439.6)+(5.191392+(0.75174-1.468392))+0-0-0</f>
        <v>4391.4747399999997</v>
      </c>
      <c r="N183" s="3">
        <f>5397.9+(863.6-1164.2)+(8.258787+(1.321308-1.781226))+0-0-0</f>
        <v>5105.0988689999995</v>
      </c>
      <c r="O183" s="3">
        <f>5988.1+(823.1-1192)+(-6.107862+(-0.839562--1.21584))+0-0-0</f>
        <v>5613.4684160000006</v>
      </c>
      <c r="P183" s="3">
        <f>6214.7+(947.2-1088.1)+(0+(0-0))+0-0-0</f>
        <v>6073.8</v>
      </c>
      <c r="Q183" s="3">
        <f>6406.5+(1013.2-1058.8)+(3.267315+(0.516732-0.539988))+0-0-0</f>
        <v>6364.1440589999993</v>
      </c>
      <c r="R183" s="3">
        <f>6414.8+(1042.8-1017.7)+(3.271548+(0.531828-0.519027))+0-0-0</f>
        <v>6443.1843489999992</v>
      </c>
      <c r="S183" s="3">
        <f>6455.2+(977.7-1159.6)+(-3.292152+(-0.498627--0.591396))+0-0-0</f>
        <v>6270.1006170000001</v>
      </c>
      <c r="T183" s="3">
        <f>6607+(931.9-1121.1)+(-3.36957+(-0.475269--0.571761))+0-0-0</f>
        <v>6414.526922</v>
      </c>
      <c r="U183" s="3">
        <f>6593.3+(970.4-1153.6)+(-3.362583+(-0.494904--0.588336))+0-0-0</f>
        <v>6406.8308489999999</v>
      </c>
      <c r="V183" s="3">
        <f>6581+(986.9-1233.2)+(-16.78155+(-2.516595--3.14466))+0-0-0</f>
        <v>6318.546515</v>
      </c>
      <c r="W183" s="3">
        <f>6584.3+(999.8-1398.2)+(-13.431972+(-2.039592--2.852328))+0-0-0</f>
        <v>6173.2807639999992</v>
      </c>
      <c r="X183" s="3">
        <f>6297.4+(766.7-1102.6)+(-6.423348+(-0.782034--1.124652))+0-0-0</f>
        <v>5955.4192700000003</v>
      </c>
      <c r="Y183" s="3">
        <f>6677.5+(665.5-1180.2)+(3.405525+(0.339405-0.601902))+0-0-0</f>
        <v>6165.9430280000006</v>
      </c>
      <c r="Z183" s="3">
        <f>6818.9+(579.9-1161.9)+(-6.955278+(-0.591498--1.185138))+0-0-0</f>
        <v>6230.5383619999993</v>
      </c>
      <c r="AA183" s="3">
        <f>6737.6+(707.3-1405.8)+(-17.18088+(-1.803615--3.58479))+0-0-0</f>
        <v>6023.7002950000006</v>
      </c>
      <c r="AB183" s="3">
        <f>6655+(778.7-1690.8)+(-13.5762+(-1.588548--3.449232))+0-0-0</f>
        <v>5731.1844839999994</v>
      </c>
      <c r="AC183" s="3">
        <f>6491.1+(791.7-1947.7)+(-13.241844+(-1.615068--3.973308))+0-0-0</f>
        <v>5324.2163960000007</v>
      </c>
      <c r="AD183" s="2">
        <v>6147.9000000000005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6053.8+(1013.2-2202.3)+(-3.087438+(-0.516732--1.123173))+0-0-0</f>
        <v>4862.2190030000002</v>
      </c>
      <c r="G184" s="3">
        <f>5688+(937.7-2181.4)+(-14.5044+(-2.391135--5.56257))+0-0-0</f>
        <v>4432.9670350000006</v>
      </c>
      <c r="H184" s="3">
        <f>5262.1+(802-1905.7)+(-16.102026+(-2.45412--5.831442))+0-0-0</f>
        <v>4145.6752960000003</v>
      </c>
      <c r="I184" s="3">
        <f>5147+(661.7-1806.6)+(-18.37479+(-2.362269--6.449562))+0-0-0</f>
        <v>3987.8125030000006</v>
      </c>
      <c r="J184" s="3">
        <f>5037.7+(602-1705.5)+(-10.276908+(-1.22808--3.47922))+0-0-0</f>
        <v>3926.1742319999998</v>
      </c>
      <c r="K184" s="3">
        <f>5142.1+(581.1-1775)+(7.867413+(0.889083-2.71575))+0-0-0</f>
        <v>3954.2407460000004</v>
      </c>
      <c r="L184" s="3">
        <f>5118+(543.4-1613.4)+(-10.44072+(-1.108536--3.291336))+0-0-0</f>
        <v>4039.74208</v>
      </c>
      <c r="M184" s="3">
        <f>5014.5+(719.4-1335.2)+(0+(0-0))+0-0-0</f>
        <v>4398.7</v>
      </c>
      <c r="N184" s="3">
        <f>5232.4+(997-1159)+(0+(0-0))+0-0-0</f>
        <v>5070.3999999999996</v>
      </c>
      <c r="O184" s="3">
        <f>5802.3+(1229.4-1417.7)+(5.918346+(1.253988-1.446054))+0-0-0</f>
        <v>5619.7262799999999</v>
      </c>
      <c r="P184" s="3">
        <f>6341.9+(1420.8-1661.5)+(6.468738+(1.449216-1.69473))+0-0-0</f>
        <v>6107.4232240000001</v>
      </c>
      <c r="Q184" s="3">
        <f>6474.1+(1435.9-1527)+(9.905373+(2.196927-2.33631))+0-0-0</f>
        <v>6392.7659899999999</v>
      </c>
      <c r="R184" s="3">
        <f>6518+(1367.4-1425.4)+(9.97254+(2.092122-2.180862))+0-0-0</f>
        <v>6469.8837999999996</v>
      </c>
      <c r="S184" s="3">
        <f>6444.8+(1372.5-1511.2)+(-6.573696+(-1.39995--1.541424))+0-0-0</f>
        <v>6299.667778</v>
      </c>
      <c r="T184" s="3">
        <f>6457.1+(1512.6-1580.2)+(0+(0-0))+0-0-0</f>
        <v>6389.5</v>
      </c>
      <c r="U184" s="3">
        <f>6443.8+(1535.9-1619.3)+(-6.572676+(-1.566618--1.651686))+0-0-0</f>
        <v>6353.9123920000002</v>
      </c>
      <c r="V184" s="3">
        <f>6452.3+(1565.6-1751.5)+(-13.162692+(-3.193824--3.57306))+0-0-0</f>
        <v>6253.6165439999995</v>
      </c>
      <c r="W184" s="3">
        <f>6332.5+(1531.3-1715)+(-16.147875+(-3.904815--4.37325))+0-0-0</f>
        <v>6133.1205600000003</v>
      </c>
      <c r="X184" s="3">
        <f>6152.2+(1340.6-1545.6)+(-6.275244+(-1.367412--1.576512))+0-0-0</f>
        <v>5941.1338559999995</v>
      </c>
      <c r="Y184" s="3">
        <f>6362.2+(1255.8-1474.9)+(3.244722+(0.640458-0.752199))+0-0-0</f>
        <v>6146.2329809999992</v>
      </c>
      <c r="Z184" s="3">
        <f>6504.5+(1323.5-1620.4)+(-16.586475+(-3.374925--4.13202))+0-0-0</f>
        <v>6191.7706200000002</v>
      </c>
      <c r="AA184" s="3">
        <f>6398.7+(1229.2-1640.8)+(-6.526674+(-1.253784--1.673616))+0-0-0</f>
        <v>5980.9931580000002</v>
      </c>
      <c r="AB184" s="3">
        <f>6221+(1120.5-1662)+(-9.51813+(-1.714365--2.54286))+0-0-0</f>
        <v>5670.8103650000003</v>
      </c>
      <c r="AC184" s="3">
        <f>6100.8+(877.3-1706.5)+(-3.111408+(-0.447423--0.870315))+0-0-0</f>
        <v>5268.9114840000002</v>
      </c>
      <c r="AD184" s="2">
        <v>6198.7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5645+(819.5-1664.1)+(-2.87895+(-0.417945--0.848691))+0-0-0</f>
        <v>4797.9517959999994</v>
      </c>
      <c r="G185" s="3">
        <f>5591.4+(854.4-2080.7)+(0+(0-0))+0-0-0</f>
        <v>4365.1000000000004</v>
      </c>
      <c r="H185" s="3">
        <f>5397.4+(701-1993.9)+(-11.010696+(-1.43004--4.067556))+0-0-0</f>
        <v>4096.1268200000004</v>
      </c>
      <c r="I185" s="3">
        <f>5341.6+(722.2-2103.6)+(-2.724216+(-0.368322--1.072836))+0-0-0</f>
        <v>3958.1802980000007</v>
      </c>
      <c r="J185" s="3">
        <f>5349.7+(649.5-2114.7)+(0+(0-0))+0-0-0</f>
        <v>3884.5</v>
      </c>
      <c r="K185" s="3">
        <f>5551.2+(580-2241.1)+(-11.324448+(-1.1832--4.571844))+0-0-0</f>
        <v>3882.1641959999997</v>
      </c>
      <c r="L185" s="3">
        <f>5622.9+(592.3-2272.2)+(-14.338395+(-1.510365--5.79411))+0-0-0</f>
        <v>3932.94535</v>
      </c>
      <c r="M185" s="3">
        <f>5665.9+(526.7-2017.3)+(-2.889609+(-0.268617--1.028823))+0-0-0</f>
        <v>4173.1705969999994</v>
      </c>
      <c r="N185" s="3">
        <f>5884.9+(794-1940.8)+(6.002598+(0.80988-1.979616))+0-0-0</f>
        <v>4742.9328619999997</v>
      </c>
      <c r="O185" s="3">
        <f>6319.5+(926.8-1961.5)+(0+(0-0))+0-0-0</f>
        <v>5284.8</v>
      </c>
      <c r="P185" s="3">
        <f>6428+(1042.5-1729.3)+(0+(0-0))+0-0-0</f>
        <v>5741.2</v>
      </c>
      <c r="Q185" s="3">
        <f>6594.5+(1098.1-1697.7)+(-6.72639+(-1.120062--1.731654))+0-0-0</f>
        <v>5988.785202</v>
      </c>
      <c r="R185" s="3">
        <f>6655.3+(1173.1-1770.6)+(0+(0-0))+0-0-0</f>
        <v>6057.8</v>
      </c>
      <c r="S185" s="3">
        <f>6624.4+(1147.3-1882.8)+(0+(0-0))+0-0-0</f>
        <v>5888.9</v>
      </c>
      <c r="T185" s="3">
        <f>6568.2+(1171.3-1891.8)+(0+(0-0))+0-0-0</f>
        <v>5847.7</v>
      </c>
      <c r="U185" s="3">
        <f>6442.2+(1203.3-1918.1)+(0+(0-0))+0-0-0</f>
        <v>5727.4</v>
      </c>
      <c r="V185" s="3">
        <f>6426.7+(1233.7-2050.6)+(0+(0-0))+0-0-0</f>
        <v>5609.8</v>
      </c>
      <c r="W185" s="3">
        <f>6164.2+(1269.7-1942.1)+(0+(0-0))+0-0-0</f>
        <v>5491.8</v>
      </c>
      <c r="X185" s="3">
        <f>6164.3+(1006.7-1744.9)+(0+(0-0))+0-0-0</f>
        <v>5426.1</v>
      </c>
      <c r="Y185" s="3">
        <f>6477.9+(841.9-1592.3)+(0+(0-0))+0-0-0</f>
        <v>5727.5</v>
      </c>
      <c r="Z185" s="3">
        <f>6692.2+(917.6-1807.2)+(0+(0-0))+0-0-0</f>
        <v>5802.5999999999995</v>
      </c>
      <c r="AA185" s="3">
        <f>6356.5+(929.6-1706.5)+(0+(0-0))+0-0-0</f>
        <v>5579.6</v>
      </c>
      <c r="AB185" s="3">
        <f>6176.4+(707.1-1540.2)+(0+(0-0))+0-0-0</f>
        <v>5343.2999999999993</v>
      </c>
      <c r="AC185" s="3">
        <f>6017+(588.8-1562.1)+(0+(0-0))+0-0-0</f>
        <v>5043.7</v>
      </c>
      <c r="AD185" s="2">
        <v>5802.3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5741.5+(678.5-1739.1)+(-5.85633+(-0.69207--1.773882))+0-0-0</f>
        <v>4676.1254819999995</v>
      </c>
      <c r="G186" s="3">
        <f>5155.8+(719.2-1865.1)+(-13.14729+(-1.83396--4.756005))+0-0-0</f>
        <v>3999.6747550000005</v>
      </c>
      <c r="H186" s="3">
        <f>5185.9+(616.3-1980.7)+(-2.644809+(-0.314313--1.010157))+0-0-0</f>
        <v>3819.5510349999995</v>
      </c>
      <c r="I186" s="3">
        <f>5200.2+(569.5-2047.4)+(-5.304204+(-0.58089--2.088348))+0-0-0</f>
        <v>3718.5032539999997</v>
      </c>
      <c r="J186" s="3">
        <f>5121.8+(565-2022.1)+(2.612118+(0.28815-1.031271))+0-0-0</f>
        <v>3666.5689970000003</v>
      </c>
      <c r="K186" s="3">
        <f>4944.5+(509.2-1866.7)+(-15.13017+(-1.558152--5.712102))+0-0-0</f>
        <v>3576.02378</v>
      </c>
      <c r="L186" s="3">
        <f>4693+(468.2-1736.5)+(-2.39343+(-0.238782--0.885615))+0-0-0</f>
        <v>3422.953403</v>
      </c>
      <c r="M186" s="3">
        <f>4936.5+(645.4-1998.4)+(2.517615+(0.329154-1.019184))+0-0-0</f>
        <v>3585.327585</v>
      </c>
      <c r="N186" s="3">
        <f>5343.9+(479.8-1886.5)+(-8.176167+(-0.734094--2.886345))+0-0-0</f>
        <v>3931.1760839999997</v>
      </c>
      <c r="O186" s="3">
        <f>5681.2+(652.6-1974.3)+(-17.384472+(-1.996956--6.041358))+0-0-0</f>
        <v>4346.1599299999998</v>
      </c>
      <c r="P186" s="3">
        <f>5948.8+(713.2-1971.3)+(-12.135552+(-1.454928--4.021452))+0-0-0</f>
        <v>4681.1309720000008</v>
      </c>
      <c r="Q186" s="3">
        <f>6125.4+(800.5-1994)+(12.495816+(1.63302-4.06776))+0-0-0</f>
        <v>4941.9610759999996</v>
      </c>
      <c r="R186" s="3">
        <f>6156.7+(829.3-1975.3)+(3.139917+(0.422943-1.007403))+0-0-0</f>
        <v>5013.2554570000002</v>
      </c>
      <c r="S186" s="3">
        <f>6144.3+(929-2115.3)+(3.133593+(0.47379-1.078803))+0-0-0</f>
        <v>4960.5285800000001</v>
      </c>
      <c r="T186" s="3">
        <f>6094.8+(845.8-2035.3)+(-12.433392+(-1.725432--4.152012))+0-0-0</f>
        <v>4895.2931880000006</v>
      </c>
      <c r="U186" s="3">
        <f>6112.4+(841.3-2126.8)+(-12.469296+(-1.716252--4.338672))+0-0-0</f>
        <v>4817.053124</v>
      </c>
      <c r="V186" s="3">
        <f>6107.8+(732.8-2002.5)+(-21.804846+(-2.616096--7.148925))+0-0-0</f>
        <v>4820.8279830000001</v>
      </c>
      <c r="W186" s="3">
        <f>6170.2+(439.8-1672.5)+(-3.146802+(-0.224298--0.852975))+0-0-0</f>
        <v>4934.9818750000004</v>
      </c>
      <c r="X186" s="3">
        <f>6367.4+(481.5-1447.6)+(-6.494748+(-0.49113--1.476552))+0-0-0</f>
        <v>5395.7906739999989</v>
      </c>
      <c r="Y186" s="3">
        <f>6504.8+(666.6-1576.4)+(-9.952344+(-1.019898--2.411892))+0-0-0</f>
        <v>5586.4396500000003</v>
      </c>
      <c r="Z186" s="3">
        <f>6418+(691.5-1583.3)+(-13.09272+(-1.41066--3.229932))+0-0-0</f>
        <v>5514.9265519999999</v>
      </c>
      <c r="AA186" s="3">
        <f>6316.6+(589.6-1574.3)+(-12.885864+(-1.202784--3.211572))+0-0-0</f>
        <v>5321.0229240000008</v>
      </c>
      <c r="AB186" s="3">
        <f>6156+(636.3-1736.9)+(-6.27912+(-0.649026--1.771638))+0-0-0</f>
        <v>5050.2434919999996</v>
      </c>
      <c r="AC186" s="3">
        <f>5944.2+(668.3-1972.8)+(-18.189252+(-2.044998--6.036768))+0-0-0</f>
        <v>4625.5025180000002</v>
      </c>
      <c r="AD186" s="2">
        <v>5550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5485.1+(648.7-1951.9)+(0+(0-0))+0-0-0</f>
        <v>4181.9000000000005</v>
      </c>
      <c r="G187" s="3">
        <f>5389.5+(784.4-2292.7)+(-8.245935+(-1.200132--3.507831))+0-0-0</f>
        <v>3875.2617640000003</v>
      </c>
      <c r="H187" s="3">
        <f>5302+(609.8-2181.4)+(-5.40804+(-0.621996--2.225028))+0-0-0</f>
        <v>3726.5949919999998</v>
      </c>
      <c r="I187" s="3">
        <f>5182.7+(409.4-1929.5)+(-7.929531+(-0.626382--2.952135))+0-0-0</f>
        <v>3656.9962219999998</v>
      </c>
      <c r="J187" s="3">
        <f>5190.2+(354.8-1898.1)+(0+(0-0))+0-0-0</f>
        <v>3646.8999999999996</v>
      </c>
      <c r="K187" s="3">
        <f>5024.6+(386.1-1749.8)+(-5.125092+(-0.393822--1.784796))+0-0-0</f>
        <v>3657.1658820000007</v>
      </c>
      <c r="L187" s="3">
        <f>4826.1+(463.3-1415.1)+(0+(0-0))+0-0-0</f>
        <v>3874.3</v>
      </c>
      <c r="M187" s="3">
        <f>5210.4+(508.5-1236.8)+(-2.657304+(-0.259335--0.630768))+0-0-0</f>
        <v>4479.8141289999994</v>
      </c>
      <c r="N187" s="3">
        <f>5868.5+(716.2-1301.3)+(-5.98587+(-0.730524--1.327326))+0-0-0</f>
        <v>5278.0109319999992</v>
      </c>
      <c r="O187" s="3">
        <f>6161.5+(965.4-1199)+(6.28473+(0.984708-1.22298))+0-0-0</f>
        <v>5933.9464579999994</v>
      </c>
      <c r="P187" s="3">
        <f>6297.6+(1053.3-1033.9)+(-3.211776+(-0.537183--0.527289))+0-0-0</f>
        <v>6313.7783300000001</v>
      </c>
      <c r="Q187" s="3">
        <f>6287.4+(1041.2-818.7)+(-3.206574+(-0.531012--0.417537))+0-0-0</f>
        <v>6506.5799509999997</v>
      </c>
      <c r="R187" s="3">
        <f>6332.6+(1093.4-966.8)+(-6.459252+(-1.115268--0.986136))+0-0-0</f>
        <v>6452.611616000001</v>
      </c>
      <c r="S187" s="3">
        <f>6331.8+(1119.9-1021.9)+(-9.687654+(-1.713447--1.563507))+0-0-0</f>
        <v>6419.9624060000006</v>
      </c>
      <c r="T187" s="3">
        <f>6327.9+(1182.1-972.2)+(-9.681687+(-1.808613--1.487466))+0-0-0</f>
        <v>6527.7971659999994</v>
      </c>
      <c r="U187" s="3">
        <f>6315.2+(1230.4-1072.8)+(-9.662256+(-1.882512--1.641384))+0-0-0</f>
        <v>6462.896616</v>
      </c>
      <c r="V187" s="3">
        <f>6306.1+(1282.1-1200.3)+(-16.080555+(-3.269355--3.060765))+0-0-0</f>
        <v>6371.6108550000008</v>
      </c>
      <c r="W187" s="3">
        <f>6315.9+(1074.6-1115)+(-9.663327+(-1.644138--1.70595))+0-0-0</f>
        <v>6265.8984849999997</v>
      </c>
      <c r="X187" s="3">
        <f>6470.7+(901.9-862.6)+(0+(0-0))+0-0-0</f>
        <v>6510</v>
      </c>
      <c r="Y187" s="3">
        <f>6559.7+(904.2-993.4)+(-16.727235+(-2.30571--2.53317))+0-0-0</f>
        <v>6454.0002249999998</v>
      </c>
      <c r="Z187" s="3">
        <f>6542.9+(1096.8-1381.2)+(-13.347516+(-2.237472--2.817648))+0-0-0</f>
        <v>6245.7326599999997</v>
      </c>
      <c r="AA187" s="3">
        <f>6552.3+(1204.1-1785.1)+(-13.366692+(-2.456364--3.641604))+0-0-0</f>
        <v>5959.1185480000004</v>
      </c>
      <c r="AB187" s="3">
        <f>6525.6+(1141.1-2084.5)+(-13.312224+(-2.327844--4.25238))+0-0-0</f>
        <v>5570.8123120000009</v>
      </c>
      <c r="AC187" s="3">
        <f>6289.2+(1205.5-2436.7)+(-9.622476+(-1.844415--3.728151))+0-0-0</f>
        <v>5050.2612600000002</v>
      </c>
      <c r="AD187" s="2">
        <v>6483.7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6109.2+(1006.1-2591.7)+(-3.115692+(-0.513111--1.321767))+0-0-0</f>
        <v>4521.2929640000002</v>
      </c>
      <c r="G188" s="3">
        <f>6031.6+(858.5-2683.8)+(-12.304464+(-1.75134--5.474952))+0-0-0</f>
        <v>4197.7191480000001</v>
      </c>
      <c r="H188" s="3">
        <f>5733+(727.3-2437.9)+(-8.77149+(-1.112769--3.729987))+0-0-0</f>
        <v>4016.2457279999994</v>
      </c>
      <c r="I188" s="3">
        <f>5518.8+(683.5-2279.9)+(-8.443764+(-1.045755--3.488247))+0-0-0</f>
        <v>3916.3987280000001</v>
      </c>
      <c r="J188" s="3">
        <f>5469.2+(643.3-2230.5)+(5.578584+(0.656166-2.27511))+0-0-0</f>
        <v>3885.95964</v>
      </c>
      <c r="K188" s="3">
        <f>5476.9+(645.5-2222.9)+(-8.379657+(-0.987615--3.401037))+0-0-0</f>
        <v>3893.5337649999997</v>
      </c>
      <c r="L188" s="3">
        <f>5326.9+(640.7-1942.2)+(5.433438+(0.653514-1.981044))+0-0-0</f>
        <v>4029.5059079999996</v>
      </c>
      <c r="M188" s="3">
        <f>5478.1+(1073.3-1944.5)+(5.587662+(1.094766-1.98339))+0-0-0</f>
        <v>4611.5990380000003</v>
      </c>
      <c r="N188" s="3">
        <f>6084.1+(1223.7-1909.6)+(3.102891+(0.624087-0.973896))+0-0-0</f>
        <v>5400.9530820000009</v>
      </c>
      <c r="O188" s="3">
        <f>6299.5+(1192.3-1530.3)+(-3.212745+(-0.608073--0.780453))+0-0-0</f>
        <v>5958.4596350000002</v>
      </c>
      <c r="P188" s="3">
        <f>6442.8+(1101-1235.5)+(-9.857484+(-1.68453--1.890315))+0-0-0</f>
        <v>6298.6483010000002</v>
      </c>
      <c r="Q188" s="3">
        <f>6491+(1142.8-1082.6)+(-3.31041+(-0.582828--0.552126))+0-0-0</f>
        <v>6547.8588879999998</v>
      </c>
      <c r="R188" s="3">
        <f>6477.8+(1230-1248.7)+(9.911034+(1.8819-1.910511))+0-0-0</f>
        <v>6468.9824230000004</v>
      </c>
      <c r="S188" s="3">
        <f>6417.8+(1160.7-1194.7)+(6.546156+(1.183914-1.218594))+0-0-0</f>
        <v>6390.3114759999999</v>
      </c>
      <c r="T188" s="3">
        <f>6381.2+(1252.5-1184.8)+(-6.508824+(-1.27755--1.208496))+0-0-0</f>
        <v>6442.3221219999996</v>
      </c>
      <c r="U188" s="3">
        <f>6341.7+(1296.1-1294.9)+(-16.171335+(-3.305055--3.301995))+0-0-0</f>
        <v>6326.7256049999996</v>
      </c>
      <c r="V188" s="3">
        <f>6262.9+(1268.9-1252.7)+(-15.970395+(-3.235695--3.194385))+0-0-0</f>
        <v>6263.0882949999996</v>
      </c>
      <c r="W188" s="3">
        <f>6266+(1114.8-1209.4)+(-6.39132+(-1.137096--1.233588))+0-0-0</f>
        <v>6165.1051719999996</v>
      </c>
      <c r="X188" s="3">
        <f>6458.2+(894.7-915.5)+(-3.293682+(-0.456297--0.466905))+0-0-0</f>
        <v>6434.1169259999997</v>
      </c>
      <c r="Y188" s="3">
        <f>6756.6+(869.2-1214.3)+(-13.783464+(-1.773168--2.477172))+0-0-0</f>
        <v>6398.4205400000001</v>
      </c>
      <c r="Z188" s="3">
        <f>6675+(1023.5-1469.7)+(-10.21275+(-1.565955--2.248641))+0-0-0</f>
        <v>6219.2699360000006</v>
      </c>
      <c r="AA188" s="3">
        <f>6667.4+(1117-1843.9)+(-20.402244+(-3.41802--5.642334))+0-0-0</f>
        <v>5922.3220700000002</v>
      </c>
      <c r="AB188" s="3">
        <f>6455+(966.6-1825.3)+(-9.87615+(-1.478898--2.792709))+0-0-0</f>
        <v>5587.7376610000001</v>
      </c>
      <c r="AC188" s="3">
        <f>6081.3+(969.8-1966.6)+(0+(0-0))+0-0-0</f>
        <v>5084.5</v>
      </c>
      <c r="AD188" s="2">
        <v>6345.1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5745.2+(896.6-2063.1)+(-2.930052+(-0.457266--1.052181))+0-0-0</f>
        <v>4576.3648629999998</v>
      </c>
      <c r="G189" s="3">
        <f>5334.8+(905.6-2018)+(-10.882992+(-1.847424--4.11672))+0-0-0</f>
        <v>4213.7863039999993</v>
      </c>
      <c r="H189" s="3">
        <f>5264+(767.7-1979.4)+(-2.68464+(-0.391527--1.009494))+0-0-0</f>
        <v>4050.2333270000004</v>
      </c>
      <c r="I189" s="3">
        <f>5233.7+(547.8-1826.6)+(-5.338374+(-0.558756--1.863132))+0-0-0</f>
        <v>3950.8660019999998</v>
      </c>
      <c r="J189" s="3">
        <f>5187.3+(393.7-1672.8)+(7.936569+(0.602361-2.559384))+0-0-0</f>
        <v>3914.1795460000003</v>
      </c>
      <c r="K189" s="3">
        <f>5132.5+(361.3-1584.7)+(-7.852725+(-0.552789--2.424591))+0-0-0</f>
        <v>3903.1190769999998</v>
      </c>
      <c r="L189" s="3">
        <f>4924.9+(360.1-1249.4)+(-2.511699+(-0.183651--0.637194))+0-0-0</f>
        <v>4033.5418439999994</v>
      </c>
      <c r="M189" s="3">
        <f>5170+(549.9-1108.2)+(10.5468+(1.121796-2.260728))+0-0-0</f>
        <v>4621.1078680000001</v>
      </c>
      <c r="N189" s="3">
        <f>6184.2+(592.2-1395.5)+(-3.153942+(-0.302022--0.711705))+0-0-0</f>
        <v>5378.1557409999996</v>
      </c>
      <c r="O189" s="3">
        <f>6456.4+(716.3-1282.8)+(3.292764+(0.365313-0.654228))+0-0-0</f>
        <v>5892.9038489999994</v>
      </c>
      <c r="P189" s="3">
        <f>6597.5+(909.3-1342.9)+(0+(0-0))+0-0-0</f>
        <v>6163.9</v>
      </c>
      <c r="Q189" s="3">
        <f>6680.9+(935.6-1227.8)+(6.814518+(0.954312-1.252356))+0-0-0</f>
        <v>6395.2164739999998</v>
      </c>
      <c r="R189" s="3">
        <f>6709.1+(914.9-1286.8)+(-10.264923+(-1.399797--1.968804))+20.7-0-0</f>
        <v>6348.2040840000009</v>
      </c>
      <c r="S189" s="3">
        <f>6821.2+(1196.2-1722.9)+(-10.436436+(-1.830186--2.636037))+0-0-0</f>
        <v>6284.8694150000001</v>
      </c>
      <c r="T189" s="3">
        <f>6873.1+(1287.7-1756.9)+(-17.526405+(-3.283635--4.480095))+0-0-0</f>
        <v>6387.5700550000001</v>
      </c>
      <c r="U189" s="3">
        <f>6866.7+(1256.5-1749.6)+(-21.012102+(-3.84489--5.353776))+0-0-0</f>
        <v>6354.0967840000003</v>
      </c>
      <c r="V189" s="3">
        <f>6770.8+(1096.6-1580.3)+(-24.171756+(-3.914862--5.641671))+0-0-0</f>
        <v>6264.6550530000004</v>
      </c>
      <c r="W189" s="3">
        <f>6578.3+(805.1-1194.2)+(-6.709866+(-0.821202--1.218084))+0-0-0</f>
        <v>6182.8870159999997</v>
      </c>
      <c r="X189" s="3">
        <f>6875.5+(902-1457)+(-10.519515+(-1.38006--2.22921))+0-0-0</f>
        <v>6310.8296350000001</v>
      </c>
      <c r="Y189" s="3">
        <f>7142.3+(977-1647.1)+(-14.570292+(-1.99308--3.360084))+0-0-0</f>
        <v>6458.996712000001</v>
      </c>
      <c r="Z189" s="3">
        <f>7118.6+(931.3-1850.3)+(-18.15243+(-2.374815--4.718265))+0-0-0</f>
        <v>6183.7910200000006</v>
      </c>
      <c r="AA189" s="3">
        <f>6920.2+(938.1-1957)+(-21.175812+(-2.870586--5.98842))+0-0-0</f>
        <v>5883.2420220000004</v>
      </c>
      <c r="AB189" s="3">
        <f>6667.7+(830.7-2002.3)+(-13.602108+(-1.694628--4.084692))+0-0-0</f>
        <v>5484.8879560000005</v>
      </c>
      <c r="AC189" s="3">
        <f>6503.3+(706.9-2184.5)+(-16.583415+(-1.802595--5.570475))+0-0-0</f>
        <v>5012.884465000001</v>
      </c>
      <c r="AD189" s="2">
        <v>6499.2999999999993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6147.8+(654.2-2290.7)+(-3.135378+(-0.333642--1.168257))+0-0-0</f>
        <v>4508.999237</v>
      </c>
      <c r="G190" s="3">
        <f>5815.3+(564.1-2221.4)+(-5.931606+(-0.575382--2.265828))+0-0-0</f>
        <v>4153.7588400000004</v>
      </c>
      <c r="H190" s="3">
        <f>5722.2+(529.3-2296.3)+(-2.918322+(-0.269943--1.171113))+0-0-0</f>
        <v>3953.1828479999999</v>
      </c>
      <c r="I190" s="3">
        <f>5695.5+(418.1-2248.8)+(-14.523525+(-1.066155--5.73444))+0-0-0</f>
        <v>3854.9447599999999</v>
      </c>
      <c r="J190" s="3">
        <f>5631+(334.8-2131.7)+(2.87181+(0.170748-1.087167))+0-0-0</f>
        <v>3836.0553910000003</v>
      </c>
      <c r="K190" s="3">
        <f>5422.7+(423-1994.9)+(-13.827885+(-1.07865--5.086995))+0-0-0</f>
        <v>3840.9804599999998</v>
      </c>
      <c r="L190" s="3">
        <f>4924.8+(502.4-1447.1)+(-2.511648+(-0.256224--0.738021))+0-0-0</f>
        <v>3978.0701490000006</v>
      </c>
      <c r="M190" s="3">
        <f>5146.5+(717.3-1274.7)+(-2.624715+(-0.365823--0.650097))+0-0-0</f>
        <v>4586.7595590000001</v>
      </c>
      <c r="N190" s="3">
        <f>5724.9+(1014.7-1403.2)+(0+(0-0))+0-0-0</f>
        <v>5336.4</v>
      </c>
      <c r="O190" s="3">
        <f>6125.7+(1160.4-1494.4)+(0+(0-0))+0-0-0</f>
        <v>5791.7</v>
      </c>
      <c r="P190" s="3">
        <f>6294.4+(1239.7-1530.1)+(-6.420288+(-1.264494--1.560702))+0-0-0</f>
        <v>5997.8759200000004</v>
      </c>
      <c r="Q190" s="3">
        <f>6706.1+(1408-1827.5)+(-3.420111+(-0.71808--0.932025))+0-0-0</f>
        <v>6283.3938340000004</v>
      </c>
      <c r="R190" s="3">
        <f>6736.5+(1373.6-1877.4)+(-6.87123+(-1.401072--1.914948))+0-0-0</f>
        <v>6226.3426460000001</v>
      </c>
      <c r="S190" s="3">
        <f>6697.4+(1384.7-1900.4)+(-10.247022+(-2.118591--2.907612))+0-0-0</f>
        <v>6172.2419989999999</v>
      </c>
      <c r="T190" s="3">
        <f>6666.5+(1283.4-1711)+(-3.399915+(-0.654534--0.87261))+0-0-0</f>
        <v>6235.7181609999998</v>
      </c>
      <c r="U190" s="3">
        <f>6628.6+(1116-1538.9)+(-16.90293+(-2.8458--3.924195))+0-0-0</f>
        <v>6189.875465000001</v>
      </c>
      <c r="V190" s="3">
        <f>6468.8+(883.6-1206.6)+(-6.598176+(-0.901272--1.230732))+0-0-0</f>
        <v>6139.5312840000006</v>
      </c>
      <c r="W190" s="3">
        <f>6162.1+(624.6-713.6)+(-9.428013+(-0.955638--1.091808))+0-0-0</f>
        <v>6063.8081570000004</v>
      </c>
      <c r="X190" s="3">
        <f>6733.8+(518.8-932.2)+(-3.434238+(-0.264588--0.475422))+0-0-0</f>
        <v>6317.1765959999993</v>
      </c>
      <c r="Y190" s="3">
        <f>7080.7+(564-1338.4)+(-21.666942+(-1.72584--4.095504))+0-0-0</f>
        <v>6287.0027219999993</v>
      </c>
      <c r="Z190" s="3">
        <f>6816.7+(648.2-1383.9)+(-3.476517+(-0.330582--0.705789))+0-0-0</f>
        <v>6077.89869</v>
      </c>
      <c r="AA190" s="3">
        <f>6313.9+(676.3-1228)+(-3.220089+(-0.344913--0.62628))+0-0-0</f>
        <v>5759.2612779999999</v>
      </c>
      <c r="AB190" s="3">
        <f>6290.9+(465.8-1384.6)+(-16.041795+(-1.18779--3.53073))+0-0-0</f>
        <v>5358.4011449999998</v>
      </c>
      <c r="AC190" s="3">
        <f>6208.3+(267.1-1521.3)+(-9.498699+(-0.408663--2.327589))+0-0-0</f>
        <v>4946.520227</v>
      </c>
      <c r="AD190" s="2">
        <v>6318.2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5979.5+(223.8-1786.7)+(-12.19818+(-0.456552--3.644868))+0-0-0</f>
        <v>4407.5901360000007</v>
      </c>
      <c r="G191" s="3">
        <f>5848.8+(169.7-1956.9)+(-14.91444+(-0.432735--4.990095))+0-0-0</f>
        <v>4051.2429200000001</v>
      </c>
      <c r="H191" s="3">
        <f>5823.6+(177.3-2108.1)+(-14.85018+(-0.452115--5.375655))+0-0-0</f>
        <v>3882.87336</v>
      </c>
      <c r="I191" s="3">
        <f>5679.3+(200.5-2072.4)+(-2.896443+(-0.102255--1.056924))+0-0-0</f>
        <v>3805.4582260000002</v>
      </c>
      <c r="J191" s="3">
        <f>5705.4+(204-2129.1)+(-5.819508+(-0.20808--2.171682))+0-0-0</f>
        <v>3776.444094</v>
      </c>
      <c r="K191" s="3">
        <f>5491.6+(189.4-1898.3)+(-14.00358+(-0.48297--4.840665))+0-0-0</f>
        <v>3773.0541150000008</v>
      </c>
      <c r="L191" s="3">
        <f>4932.2+(209.2-1231.9)+(0+(0-0))+0-0-0</f>
        <v>3909.5</v>
      </c>
      <c r="M191" s="3">
        <f>5521.3+(187.3-1219.4)+(-2.815863+(-0.095523--0.621894))+0-0-0</f>
        <v>4486.9105079999999</v>
      </c>
      <c r="N191" s="3">
        <f>6193.4+(378.2-1365.3)+(-6.317268+(-0.385764--1.392606))+0-0-0</f>
        <v>5200.9895739999993</v>
      </c>
      <c r="O191" s="3">
        <f>6507.6+(433.7-1196.4)+(-3.318876+(-0.221187--0.610164))+0-0-0</f>
        <v>5741.9701010000008</v>
      </c>
      <c r="P191" s="3">
        <f>6563.4+(594.4-1124.7)+(6.694668+(0.606288-1.147194))+0-0-0</f>
        <v>6039.2537619999994</v>
      </c>
      <c r="Q191" s="3">
        <f>6615.6+(604.6-1020.4)+(0+(0-0))+28.3-0-0</f>
        <v>6228.1</v>
      </c>
      <c r="R191" s="3">
        <f>6571+(672.1-1032.9)+(3.35121+(0.342771-0.526779))+0-0-0</f>
        <v>6213.3672019999995</v>
      </c>
      <c r="S191" s="3">
        <f>6522.9+(772.4-1149.3)+(6.653358+(0.787848-1.172286))+0-0-0</f>
        <v>6152.2689200000004</v>
      </c>
      <c r="T191" s="3">
        <f>6485+(807.2-1062.5)+(-6.6147+(-0.823344--1.08375))+0-0-0</f>
        <v>6223.3457060000001</v>
      </c>
      <c r="U191" s="3">
        <f>6446.2+(783.1-1084.8)+(-23.012934+(-2.795667--3.872736))+0-0-0</f>
        <v>6122.5641349999996</v>
      </c>
      <c r="V191" s="3">
        <f>6178+(546.7-706.4)+(-6.30156+(-0.557634--0.720528))+0-0-0</f>
        <v>6012.1613340000004</v>
      </c>
      <c r="W191" s="3">
        <f>6039.3+(490.4-533.7)+(0+(0-0))+0-0-0</f>
        <v>5996</v>
      </c>
      <c r="X191" s="3">
        <f>6357+(524.7-623.7)+(-3.24207+(-0.267597--0.318087))+0-0-0</f>
        <v>6254.8084200000003</v>
      </c>
      <c r="Y191" s="3">
        <f>6536.1+(371.4-692.9)+(-13.333644+(-0.757656--1.413516))+0-0-0</f>
        <v>6201.9222159999999</v>
      </c>
      <c r="Z191" s="3">
        <f>6457.5+(246.8-727.4)+(-6.58665+(-0.251736--0.741948))+0-0-0</f>
        <v>5970.8035620000001</v>
      </c>
      <c r="AA191" s="3">
        <f>6453.4+(150.2-955.7)+(-3.291234+(-0.076602--0.487407))+0-0-0</f>
        <v>5645.0195709999998</v>
      </c>
      <c r="AB191" s="3">
        <f>6369.4+(141.9-1183)+(-22.738758+(-0.506583--4.22331))+0-0-0</f>
        <v>5309.2779689999988</v>
      </c>
      <c r="AC191" s="3">
        <f>6180.1+(153.4-1473.7)+(3.151851+(0.078234-0.751587))+0-0-0</f>
        <v>4862.2784980000006</v>
      </c>
      <c r="AD191" s="2">
        <v>6311.7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5908.4+(215.3-1704.4)+(-9.039852+(-0.329409--2.607732))+0-0-0</f>
        <v>4412.5384709999989</v>
      </c>
      <c r="G192" s="3">
        <f>5795.2+(253.4-1986.3)+(-8.866656+(-0.387702--3.039039))+0-0-0</f>
        <v>4056.0846810000003</v>
      </c>
      <c r="H192" s="3">
        <f>5895.3+(265.4-2275.3)+(-15.033015+(-0.67677--5.802015))+0-0-0</f>
        <v>3875.4922300000003</v>
      </c>
      <c r="I192" s="3">
        <f>5753.4+(287.2-2279.7)+(-5.868468+(-0.292944--2.325294))+0-0-0</f>
        <v>3757.0638819999995</v>
      </c>
      <c r="J192" s="3">
        <f>5662.5+(256.1-2183.3)+(0+(0-0))+0-0-0</f>
        <v>3735.2999999999997</v>
      </c>
      <c r="K192" s="3">
        <f>5160.3+(267.5-1707.5)+(-7.895259+(-0.409275--2.612475))+0-0-0</f>
        <v>3714.6079410000002</v>
      </c>
      <c r="L192" s="3">
        <f>4993.1+(204-1464.1)+(2.546481+(0.10404-0.746691))+0-0-0</f>
        <v>3734.9038300000007</v>
      </c>
      <c r="M192" s="3">
        <f>5259.6+(289.5-1366)+(-2.682396+(-0.147645--0.69666))+0-0-0</f>
        <v>4180.9666190000007</v>
      </c>
      <c r="N192" s="3">
        <f>5895.8+(428.9-1484.4)+(-6.013716+(-0.437478--1.514088))+0-0-0</f>
        <v>4835.3628939999999</v>
      </c>
      <c r="O192" s="3">
        <f>5953.1+(604.1-1160)+(-3.036081+(-0.308091--0.5916))+0-0-0</f>
        <v>5394.4474280000004</v>
      </c>
      <c r="P192" s="3">
        <f>6159.9+(666.3-1044.1)+(6.283098+(0.679626-1.064982))+0-0-0</f>
        <v>5787.9977419999996</v>
      </c>
      <c r="Q192" s="3">
        <f>6141+(635-787.9)+(9.39573+(0.97155-1.205487))+0-0-0</f>
        <v>5997.2617930000006</v>
      </c>
      <c r="R192" s="3">
        <f>6091.6+(654.8-802.2)+(-9.320148+(-1.001844--1.227366))+0-0-0</f>
        <v>5935.1053740000007</v>
      </c>
      <c r="S192" s="3">
        <f>6062.7+(758.9-1079.8)+(0+(0-0))+0-0-0</f>
        <v>5741.8</v>
      </c>
      <c r="T192" s="3">
        <f>6039.1+(832-1193.2)+(-9.239823+(-1.27296--1.825596))+0-0-0</f>
        <v>5669.2128130000001</v>
      </c>
      <c r="U192" s="3">
        <f>6033.9+(836.5-1329.9)+(-18.463734+(-2.55969--4.069494))+0-0-0</f>
        <v>5523.5460700000003</v>
      </c>
      <c r="V192" s="3">
        <f>5978.8+(746.9-1303)+(-18.295128+(-2.285514--3.98718))+0-0-0</f>
        <v>5406.106538</v>
      </c>
      <c r="W192" s="3">
        <f>5921.5+(694.2-1166.1)+(-12.07986+(-1.416168--2.378844))+0-0-0</f>
        <v>5438.4828160000006</v>
      </c>
      <c r="X192" s="3">
        <f>6112.9+(427.8-717)+(0+(0-0))+0-0-0</f>
        <v>5823.7</v>
      </c>
      <c r="Y192" s="3">
        <f>6408.7+(408.2-980)+(-29.415933+(-1.873638--4.4982))+0-0-0</f>
        <v>5810.1086289999994</v>
      </c>
      <c r="Z192" s="3">
        <f>6370.8+(552.8-1276.1)+(-16.24554+(-1.40964--3.254055))+0-0-0</f>
        <v>5633.0988749999997</v>
      </c>
      <c r="AA192" s="3">
        <f>6373.1+(510.6-1519.4)+(-9.750843+(-0.781218--2.324682))+0-0-0</f>
        <v>5356.0926209999998</v>
      </c>
      <c r="AB192" s="3">
        <f>6313.7+(441.3-1675.2)+(-9.659961+(-0.675189--2.563056))+0-0-0</f>
        <v>5072.0279059999993</v>
      </c>
      <c r="AC192" s="3">
        <f>6134.3+(438.5-1820.3)+(-9.385479+(-0.670905--2.785059))+0-0-0</f>
        <v>4745.2286750000003</v>
      </c>
      <c r="AD192" s="2">
        <v>5857.4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5983.3+(378.4-2016.4)+(-12.205932+(-0.771936--4.113456))+0-0-0</f>
        <v>4336.4355880000003</v>
      </c>
      <c r="G193" s="3">
        <f>5839.4+(207.4-2063.1)+(2.978094+(0.105774-1.052181))+0-0-0</f>
        <v>3985.731687</v>
      </c>
      <c r="H193" s="3">
        <f>5780+(139.2-2172.6)+(-2.9478+(-0.070992--1.108026))+0-0-0</f>
        <v>3744.6892340000004</v>
      </c>
      <c r="I193" s="3">
        <f>5630.3+(141.3-2145.4)+(-8.614359+(-0.216189--3.282462))+0-0-0</f>
        <v>3620.651914</v>
      </c>
      <c r="J193" s="3">
        <f>5468+(140.9-2056.1)+(-2.78868+(-0.071859--1.048611))+0-0-0</f>
        <v>3550.9880720000001</v>
      </c>
      <c r="K193" s="3">
        <f>5397.8+(118.6-2032.3)+(-13.76439+(-0.30243--5.182365))+0-0-0</f>
        <v>3475.2155450000005</v>
      </c>
      <c r="L193" s="3">
        <f>5155.9+(178.4-2019.9)+(0+(0-0))+0-0-0</f>
        <v>3314.3999999999996</v>
      </c>
      <c r="M193" s="3">
        <f>5255.2+(267.7-2102.7)+(-16.080912+(-0.819162--6.434262))+0-0-0</f>
        <v>3409.7341879999999</v>
      </c>
      <c r="N193" s="3">
        <f>5410.2+(322.7-2028.6)+(-2.759202+(-0.164577--1.034586))+0-0-0</f>
        <v>3702.4108070000002</v>
      </c>
      <c r="O193" s="3">
        <f>5628.4+(421.1-1924.9)+(-8.611452+(-0.644283--2.945097))+0-0-0</f>
        <v>4118.2893619999995</v>
      </c>
      <c r="P193" s="3">
        <f>5917.2+(455.9-1887.4)+(-9.053316+(-0.697527--2.887722))+0-0-0</f>
        <v>4478.8368789999995</v>
      </c>
      <c r="Q193" s="3">
        <f>6138+(581.7-1994)+(-6.26076+(-0.593334--2.03388))+0-0-0</f>
        <v>4720.8797859999995</v>
      </c>
      <c r="R193" s="3">
        <f>6033.6+(881-2119.2)+(6.154272+(0.89862-2.161584))+0-0-0</f>
        <v>4800.2913080000008</v>
      </c>
      <c r="S193" s="3">
        <f>5972.6+(842.3-2062.8)+(-9.138078+(-1.288719--3.156084))+0-0-0</f>
        <v>4744.8292870000005</v>
      </c>
      <c r="T193" s="3">
        <f>5948.9+(886.2-2128.6)+(-9.101817+(-1.355886--3.256758))+0-0-0</f>
        <v>4699.2990550000004</v>
      </c>
      <c r="U193" s="3">
        <f>5818.6+(881-2062.8)+(-14.83743+(-2.24655--5.26014))+0-0-0</f>
        <v>4624.9761600000002</v>
      </c>
      <c r="V193" s="3">
        <f>5803.9+(665.3-1854.7)+(-14.799945+(-1.696515--4.729485))+0-0-0</f>
        <v>4602.7330250000005</v>
      </c>
      <c r="W193" s="3">
        <f>5834.4+(497.5-1568.6)+(-5.951088+(-0.50745--1.599972))+0-0-0</f>
        <v>4758.4414339999994</v>
      </c>
      <c r="X193" s="3">
        <f>6156.2+(230-1145.1)+(-3.139662+(-0.1173--0.584001))+0-0-0</f>
        <v>5238.4270390000001</v>
      </c>
      <c r="Y193" s="3">
        <f>6504.6+(211.1-1425.7)+(-6.634692+(-0.215322--1.454214))+0-0-0</f>
        <v>5284.6041999999998</v>
      </c>
      <c r="Z193" s="3">
        <f>6432.4+(255.8-1494.4)+(-16.40262+(-0.65229--3.81072))+0-0-0</f>
        <v>5180.5558099999989</v>
      </c>
      <c r="AA193" s="3">
        <f>6429.7+(274.8-1676.5)+(-3.279147+(-0.140148--0.855015))+0-0-0</f>
        <v>5025.4357200000004</v>
      </c>
      <c r="AB193" s="3">
        <f>6409.8+(270.6-1907.5)+(-16.34499+(-0.69003--4.864125))+0-0-0</f>
        <v>4760.7291049999994</v>
      </c>
      <c r="AC193" s="3">
        <f>6244.9+(270.5-2120.4)+(-6.369798+(-0.27591--2.162808))+0-0-0</f>
        <v>4390.5171</v>
      </c>
      <c r="AD193" s="2">
        <v>5243.7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5829.8+(360.6-2251.2)+(-14.86599+(-0.91953--5.74056))+0-0-0</f>
        <v>3929.1550400000001</v>
      </c>
      <c r="G194" s="3">
        <f>5538.8+(367.1-2294.8)+(-8.474364+(-0.561663--3.511044))+0-0-0</f>
        <v>3605.5750170000001</v>
      </c>
      <c r="H194" s="3">
        <f>5336.6+(347.3-2259.4)+(-13.60833+(-0.885615--5.76147))+0-0-0</f>
        <v>3415.7675250000002</v>
      </c>
      <c r="I194" s="3">
        <f>5233.1+(298.2-2190.9)+(-10.675524+(-0.608328--4.469436))+0-0-0</f>
        <v>3333.5855840000004</v>
      </c>
      <c r="J194" s="3">
        <f>5258.6+(288.1-2182.4)+(-8.045658+(-0.440793--3.339072))+0-0-0</f>
        <v>3359.1526210000002</v>
      </c>
      <c r="K194" s="3">
        <f>5075.9+(323.7-1963.2)+(-2.588709+(-0.165087--1.001232))+0-0-0</f>
        <v>3434.6474359999997</v>
      </c>
      <c r="L194" s="3">
        <f>5177.4+(295.5-1839.8)+(7.921422+(0.452115-2.814894))+0-0-0</f>
        <v>3638.6586429999993</v>
      </c>
      <c r="M194" s="3">
        <f>5675.5+(373.9-1858.6)+(8.683515+(0.572067-2.843658))+0-0-0</f>
        <v>4197.2119240000002</v>
      </c>
      <c r="N194" s="3">
        <f>6147.9+(711.9-1938)+(0+(0-0))+0-0-0</f>
        <v>4921.7999999999993</v>
      </c>
      <c r="O194" s="3">
        <f>6284+(946.9-1774.5)+(0+(0-0))+0-0-0</f>
        <v>5456.4</v>
      </c>
      <c r="P194" s="3">
        <f>6296.7+(1192-1719.2)+(0+(0-0))+0-0-0</f>
        <v>5769.5</v>
      </c>
      <c r="Q194" s="3">
        <f>6397.1+(1331.7-1736)+(-9.787563+(-2.037501--2.65608))+0-0-0</f>
        <v>5983.6310160000003</v>
      </c>
      <c r="R194" s="3">
        <f>6365.7+(1363.5-1779.1)+(-19.479042+(-4.17231--5.444046))+0-0-0</f>
        <v>5931.8926940000001</v>
      </c>
      <c r="S194" s="3">
        <f>6371.1+(1471.7-1990)+(-6.498522+(-1.501134--2.0298))+0-0-0</f>
        <v>5846.8301440000005</v>
      </c>
      <c r="T194" s="3">
        <f>6289.2+(1448-1787.2)+(-3.207492+(-0.73848--0.911472))+0-0-0</f>
        <v>5946.9655000000002</v>
      </c>
      <c r="U194" s="3">
        <f>6270.5+(1429.6-1800.5)+(-6.39591+(-1.458192--1.83651))+0-0-0</f>
        <v>5893.5824080000002</v>
      </c>
      <c r="V194" s="3">
        <f>6210.5+(1087.3-1480.4)+(-9.502065+(-1.663569--2.265012))+0-0-0</f>
        <v>5808.4993779999995</v>
      </c>
      <c r="W194" s="3">
        <f>6289+(476.7-963.5)+(12.82956+(0.972468-1.96554))+0-0-0</f>
        <v>5814.0364879999997</v>
      </c>
      <c r="X194" s="3">
        <f>6499.4+(346.2-738)+(6.629388+(0.353124-0.75276))+0-0-0</f>
        <v>6113.8297519999996</v>
      </c>
      <c r="Y194" s="3">
        <f>6597.1+(259.7-860.7)+(6.729042+(0.264894-0.877914))+0-0-0</f>
        <v>6002.2160220000005</v>
      </c>
      <c r="Z194" s="3">
        <f>6493.1+(206.9-922.9)+(0+(0-0))+0-0-0</f>
        <v>5777.1</v>
      </c>
      <c r="AA194" s="3">
        <f>6279.8+(141.3-893)+(3.202698+(0.072063-0.45543))+0-0-0</f>
        <v>5530.9193310000001</v>
      </c>
      <c r="AB194" s="3">
        <f>6094.1+(101.8-1033.5)+(-15.539955+(-0.25959--2.635425))+0-0-0</f>
        <v>5149.2358800000002</v>
      </c>
      <c r="AC194" s="3">
        <f>6053.4+(137-1503.5)+(-12.348936+(-0.27948--3.06714))+0-0-0</f>
        <v>4677.3387239999993</v>
      </c>
      <c r="AD194" s="2">
        <v>5992.7999999999993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5847.6+(209.5-1858.6)+(-11.929104+(-0.42738--3.791544))+0-0-0</f>
        <v>4189.9350599999998</v>
      </c>
      <c r="G195" s="3">
        <f>5675.5+(177.4-1978.9)+(-20.261535+(-0.633318--7.064673))+0-0-0</f>
        <v>3860.1698200000001</v>
      </c>
      <c r="H195" s="3">
        <f>5585.2+(146.1-2038.7)+(5.696904+(0.149022-2.079474))+0-0-0</f>
        <v>3696.3664519999993</v>
      </c>
      <c r="I195" s="3">
        <f>5508.4+(149.5-2052.7)+(-11.237136+(-0.30498--4.187508))+0-0-0</f>
        <v>3597.8453919999997</v>
      </c>
      <c r="J195" s="3">
        <f>5330.8+(153.3-1894.5)+(5.437416+(0.156366-1.93239))+0-0-0</f>
        <v>3593.2613920000003</v>
      </c>
      <c r="K195" s="3">
        <f>5247.5+(158.6-1772.3)+(-8.028675+(-0.242658--2.711619))+0-0-0</f>
        <v>3628.2402860000002</v>
      </c>
      <c r="L195" s="3">
        <f>5142.4+(175.9-1552.9)+(0+(0-0))+0-0-0</f>
        <v>3765.3999999999996</v>
      </c>
      <c r="M195" s="3">
        <f>5276.5+(393.5-1348.9)+(-8.073045+(-0.602055--2.063817))+0-0-0</f>
        <v>4314.4887170000002</v>
      </c>
      <c r="N195" s="3">
        <f>5341.5+(939-1278.5)+(2.724165+(0.47889-0.652035))+0-0-0</f>
        <v>5004.5510199999999</v>
      </c>
      <c r="O195" s="3">
        <f>5806.8+(1253-1560.1)+(-5.922936+(-1.27806--1.591302))+0-0-0</f>
        <v>5494.090306000001</v>
      </c>
      <c r="P195" s="3">
        <f>6122.2+(1378.6-1697.2)+(-3.122322+(-0.703086--0.865572))+0-0-0</f>
        <v>5800.6401639999995</v>
      </c>
      <c r="Q195" s="3">
        <f>6223.5+(1426.7-1654.9)+(9.521955+(2.182851-2.531997))+0-0-0</f>
        <v>6004.4728089999999</v>
      </c>
      <c r="R195" s="3">
        <f>6182.1+(1395-1648.5)+(-12.611484+(-2.8458--3.36294))+0-0-0</f>
        <v>5916.5056560000003</v>
      </c>
      <c r="S195" s="3">
        <f>6195.7+(1542.8-1906.2)+(12.639228+(3.147312-3.888648))+0-0-0</f>
        <v>5844.1978919999992</v>
      </c>
      <c r="T195" s="3">
        <f>6139.3+(1534.3-1769.9)+(-3.131043+(-0.782493--0.902649))+0-0-0</f>
        <v>5900.6891129999995</v>
      </c>
      <c r="U195" s="3">
        <f>6094.5+(1413-1645.9)+(-15.540975+(-3.60315--4.197045))+0-0-0</f>
        <v>5846.6529200000004</v>
      </c>
      <c r="V195" s="3">
        <f>5948.1+(977-1147.2)+(-21.234717+(-3.48789--4.095504))+0-0-0</f>
        <v>5757.2728970000007</v>
      </c>
      <c r="W195" s="3">
        <f>5959.7+(601.1-814.5)+(-9.118341+(-0.919683--1.246185))+0-0-0</f>
        <v>5737.5081609999997</v>
      </c>
      <c r="X195" s="3">
        <f>6209.8+(531.2-693.6)+(-12.667992+(-1.083648--1.414944))+0-0-0</f>
        <v>6035.0633040000002</v>
      </c>
      <c r="Y195" s="3">
        <f>6321.5+(527.3-903.4)+(-16.119825+(-1.344615--2.30367))+0-0-0</f>
        <v>5930.2392299999992</v>
      </c>
      <c r="Z195" s="3">
        <f>6289.8+(458.2-995.8)+(-12.831192+(-0.934728--2.031432))+0-0-0</f>
        <v>5740.4655120000007</v>
      </c>
      <c r="AA195" s="3">
        <f>6276.7+(448.5-1236.6)+(-16.005585+(-1.143675--3.15333))+0-0-0</f>
        <v>5474.6040700000003</v>
      </c>
      <c r="AB195" s="3">
        <f>6320.7+(370.2-1550.5)+(3.223557+(0.188802-0.790755))+0-0-0</f>
        <v>5143.0216039999996</v>
      </c>
      <c r="AC195" s="3">
        <f>6252.4+(186.4-1754)+(-15.94362+(-0.47532--4.4727))+0-0-0</f>
        <v>4672.8537599999991</v>
      </c>
      <c r="AD195" s="2">
        <v>5901.8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6100.6+(199.9-2134.6)+(-3.111306+(-0.101949--1.088646))+0-0-0</f>
        <v>4163.7753910000001</v>
      </c>
      <c r="G196" s="3">
        <f>5978.8+(269.8-2418.6)+(-3.049188+(-0.137598--1.233486))+0-0-0</f>
        <v>3828.0467000000003</v>
      </c>
      <c r="H196" s="3">
        <f>5690.3+(266.8-2293)+(8.706159+(0.408204-3.50829))+0-0-0</f>
        <v>3669.7060730000003</v>
      </c>
      <c r="I196" s="3">
        <f>5467.2+(286.9-2172.2)+(8.364816+(0.438957-3.323466))+0-0-0</f>
        <v>3587.3803069999999</v>
      </c>
      <c r="J196" s="3">
        <f>5386+(244.5-2053.6)+(-10.98744+(-0.49878--4.189344))+0-0-0</f>
        <v>3569.6031240000002</v>
      </c>
      <c r="K196" s="3">
        <f>5398.8+(288.3-2057.6)+(-8.260164+(-0.441099--3.148128))+0-0-0</f>
        <v>3623.9468649999999</v>
      </c>
      <c r="L196" s="3">
        <f>5311.6+(279.4-1809.7)+(-8.126748+(-0.427482--2.768841))+0-0-0</f>
        <v>3775.5146110000001</v>
      </c>
      <c r="M196" s="3">
        <f>5543.1+(313.9-1553.6)+(14.134905+(0.800445-3.96168))+0-0-0</f>
        <v>4314.3736700000009</v>
      </c>
      <c r="N196" s="3">
        <f>5891.1+(725.8-1630.8)+(0+(0-0))+0-0-0</f>
        <v>4986.1000000000004</v>
      </c>
      <c r="O196" s="3">
        <f>6076.1+(1102.6-1712.3)+(9.296433+(1.686978-2.619819))+0-0-0</f>
        <v>5474.7635920000002</v>
      </c>
      <c r="P196" s="3">
        <f>6091.4+(1520.1-1848.5)+(0+(0-0))+0-0-0</f>
        <v>5763</v>
      </c>
      <c r="Q196" s="3">
        <f>6159.5+(1470.1-1661.7)+(6.28269+(1.499502-1.694934))+0-0-0</f>
        <v>5973.9872579999992</v>
      </c>
      <c r="R196" s="3">
        <f>6123.4+(1451.4-1678.7)+(-3.122934+(-0.740214--0.856137))+0-0-0</f>
        <v>5893.0929889999998</v>
      </c>
      <c r="S196" s="3">
        <f>6109.1+(1515.8-1839.3)+(6.231282+(1.546116-1.876086))+0-0-0</f>
        <v>5791.5013120000003</v>
      </c>
      <c r="T196" s="3">
        <f>6037.7+(1436.1-1588.5)+(9.237681+(2.197233-2.430405))+0-0-0</f>
        <v>5894.3045089999996</v>
      </c>
      <c r="U196" s="3">
        <f>6003+(1442.8-1625)+(0+(0-0))+0-0-0</f>
        <v>5820.8</v>
      </c>
      <c r="V196" s="3">
        <f>6013.7+(1258.8-1543.5)+(-3.066987+(-0.641988--0.787185))+0-0-0</f>
        <v>5726.0782099999997</v>
      </c>
      <c r="W196" s="3">
        <f>6075+(906.5-1215.5)+(9.29475+(1.386945-1.859715))+0-0-0</f>
        <v>5774.8219799999997</v>
      </c>
      <c r="X196" s="3">
        <f>6445.2+(875.8-1243.4)+(-6.574104+(-0.893316--1.268268))+0-0-0</f>
        <v>6071.4008479999993</v>
      </c>
      <c r="Y196" s="3">
        <f>6513.5+(944.6-1490.6)+(-16.609425+(-2.40873--3.80103))+0-0-0</f>
        <v>5952.2828749999999</v>
      </c>
      <c r="Z196" s="3">
        <f>6414.3+(1002.7-1630.1)+(-13.085172+(-2.045508--3.325404))+0-0-0</f>
        <v>5775.0947240000005</v>
      </c>
      <c r="AA196" s="3">
        <f>6357.6+(854-1721)+(-9.727128+(-1.30662--2.63313))+0-0-0</f>
        <v>5482.1993820000007</v>
      </c>
      <c r="AB196" s="3">
        <f>6243.6+(775.3-1860.6)+(-15.92118+(-1.977015--4.74453))+0-0-0</f>
        <v>5145.1463350000004</v>
      </c>
      <c r="AC196" s="3">
        <f>5926.8+(816-2041.6)+(-15.11334+(-2.0808--5.20608))+0-0-0</f>
        <v>4689.2119400000011</v>
      </c>
      <c r="AD196" s="2">
        <v>5986.4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5679.7+(876.8-2408.3)+(-2.896647+(-0.447168--1.228233))+0-0-0</f>
        <v>4146.0844179999995</v>
      </c>
      <c r="G197" s="3">
        <f>5428.8+(710.5-2336.8)+(2.768688+(0.362355-1.191768))+0-0-0</f>
        <v>3804.4392750000002</v>
      </c>
      <c r="H197" s="3">
        <f>5105+(632.7-2110.3)+(5.2071+(0.645354-2.152506))+0-0-0</f>
        <v>3631.0999479999996</v>
      </c>
      <c r="I197" s="3">
        <f>5023.8+(644.7-2125.2)+(-2.562138+(-0.328797--1.083852))+0-0-0</f>
        <v>3541.492917</v>
      </c>
      <c r="J197" s="3">
        <f>4972+(576.7-2005.6)+(2.53572+(0.294117-1.022856))+0-0-0</f>
        <v>3544.9069810000005</v>
      </c>
      <c r="K197" s="3">
        <f>4935.1+(583.7-1927.5)+(-7.550703+(-0.893061--2.949075))+0-0-0</f>
        <v>3585.8053110000001</v>
      </c>
      <c r="L197" s="3">
        <f>4980.9+(523.9-1782.6)+(5.080518+(0.534378-1.818252))+0-0-0</f>
        <v>3725.9966439999998</v>
      </c>
      <c r="M197" s="3">
        <f>5292.2+(687.7-1729.3)+(5.398044+(0.701454-1.763886))+0-0-0</f>
        <v>4254.9356120000002</v>
      </c>
      <c r="N197" s="3">
        <f>5636+(1073.3-1774.3)+(-2.87436+(-0.547383--0.904893))+0-0-0</f>
        <v>4932.48315</v>
      </c>
      <c r="O197" s="3">
        <f>5821.8+(1062.9-1522.2)+(-2.969118+(-0.542079--0.776322))+0-0-0</f>
        <v>5359.7651249999999</v>
      </c>
      <c r="P197" s="3">
        <f>6026.8+(998.8-1392.5)+(0+(0-0))+0-0-0</f>
        <v>5633.1</v>
      </c>
      <c r="Q197" s="3">
        <f>6070.5+(939.6-1193.8)+(-6.19191+(-0.958392--1.217676))+0-0-0</f>
        <v>5810.3673740000004</v>
      </c>
      <c r="R197" s="3">
        <f>6063.3+(1111.3-1439.5)+(3.092283+(0.566763-0.734145))+0-0-0</f>
        <v>5738.0249010000007</v>
      </c>
      <c r="S197" s="3">
        <f>5998.7+(1541.1-1860.5)+(0+(0-0))+0-0-0</f>
        <v>5679.2999999999993</v>
      </c>
      <c r="T197" s="3">
        <f>6006.1+(1632.5-1902.6)+(6.126222+(1.66515-1.940652))+0-0-0</f>
        <v>5741.8507200000004</v>
      </c>
      <c r="U197" s="3">
        <f>6023+(1597.6-1925.2)+(-15.35865+(-4.07388--4.90926))+0-0-0</f>
        <v>5680.87673</v>
      </c>
      <c r="V197" s="3">
        <f>6044.2+(1431.8-1853.7)+(-9.247626+(-2.190654--2.836161))+0-0-0</f>
        <v>5613.6978809999991</v>
      </c>
      <c r="W197" s="3">
        <f>6019.6+(1036.5-1403.6)+(6.139992+(1.05723-1.431672))+0-0-0</f>
        <v>5658.2655500000001</v>
      </c>
      <c r="X197" s="3">
        <f>6203+(1184.2-1423.4)+(0+(0-0))+0-0-0</f>
        <v>5963.8</v>
      </c>
      <c r="Y197" s="3">
        <f>6303.6+(1040.5-1497.3)+(-12.859344+(-2.12262--3.054492))+0-0-0</f>
        <v>5834.8725279999999</v>
      </c>
      <c r="Z197" s="3">
        <f>6173.2+(1067.3-1601)+(-6.296664+(-1.088646--1.63302))+0-0-0</f>
        <v>5633.7477099999996</v>
      </c>
      <c r="AA197" s="3">
        <f>6092.5+(959.5-1726.7)+(-3.107175+(-0.489345--0.880617))+0-0-0</f>
        <v>5322.5840969999999</v>
      </c>
      <c r="AB197" s="3">
        <f>5955.6+(931.8-1881.1)+(-15.18678+(-2.37609--4.796805))+0-0-0</f>
        <v>4993.5339350000004</v>
      </c>
      <c r="AC197" s="3">
        <f>5767.2+(839.7-2049.9)+(-14.70636+(-2.141235--5.227245))+0-0-0</f>
        <v>4545.3796499999999</v>
      </c>
      <c r="AD197" s="2">
        <v>5921.5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5745.3+(647.2-2346.3)+(-8.790309+(-0.990216--3.589839))+0-0-0</f>
        <v>4040.0093139999999</v>
      </c>
      <c r="G198" s="3">
        <f>5493.2+(334.2-2104)+(-14.00766+(-0.85221--5.3652))+0-0-0</f>
        <v>3713.9053299999996</v>
      </c>
      <c r="H198" s="3">
        <f>5064.5+(247-1746.5)+(-7.748685+(-0.37791--2.672145))+0-0-0</f>
        <v>3559.5455499999998</v>
      </c>
      <c r="I198" s="3">
        <f>4787.8+(312-1607.4)+(0+(0-0))+0-0-0</f>
        <v>3492.4</v>
      </c>
      <c r="J198" s="3">
        <f>4668.7+(234.9-1431.3)+(-2.381037+(-0.119799--0.729963))+0-0-0</f>
        <v>3470.5291270000002</v>
      </c>
      <c r="K198" s="3">
        <f>4603.1+(259.1-1331.9)+(-7.042743+(-0.396423--2.037807))+0-0-0</f>
        <v>3524.8986410000002</v>
      </c>
      <c r="L198" s="3">
        <f>4685.6+(305.7-1324.8)+(2.389656+(0.155907-0.675648))+0-0-0</f>
        <v>3668.3699150000007</v>
      </c>
      <c r="M198" s="3">
        <f>5115.1+(346.2-1285.2)+(2.608701+(0.176562-0.655452))+0-0-0</f>
        <v>4178.2298110000002</v>
      </c>
      <c r="N198" s="3">
        <f>5466.9+(678.3-1322.6)+(2.788119+(0.345933-0.674526))+0-0-0</f>
        <v>4825.0595259999991</v>
      </c>
      <c r="O198" s="3">
        <f>5571.4+(774.9-1197.9)+(2.841414+(0.395199-0.610929))+0-0-0</f>
        <v>5151.0256839999993</v>
      </c>
      <c r="P198" s="3">
        <f>5905.1+(724.3-1102.2)+(0+(0-0))+0-0-0</f>
        <v>5527.2000000000007</v>
      </c>
      <c r="Q198" s="3">
        <f>6216.1+(887.7-1400.6)+(0+(0-0))+0-0-0</f>
        <v>5703.2000000000007</v>
      </c>
      <c r="R198" s="3">
        <f>6254.6+(962.3-1632.8)+(0+(0-0))+27.7-0-0</f>
        <v>5611.8</v>
      </c>
      <c r="S198" s="3">
        <f>6127.7+(1119.5-1801.7)+(-6.250254+(-1.14189--1.837734))+22.5-0-0</f>
        <v>5462.4455900000003</v>
      </c>
      <c r="T198" s="3">
        <f>6099.6+(1353.5-1859.7)+(-3.110796+(-0.690285--0.948447))+0-0-0</f>
        <v>5590.5473660000007</v>
      </c>
      <c r="U198" s="3">
        <f>6019.6+(1341.9-1811.6)+(-21.489972+(-4.790583--6.467412))+0-0-0</f>
        <v>5530.0868570000002</v>
      </c>
      <c r="V198" s="3">
        <f>5819.3+(1153.3-1513.2)+(2.967843+(0.588183-0.771732))+0-0-0</f>
        <v>5462.1842939999997</v>
      </c>
      <c r="W198" s="3">
        <f>5839.9+(980.2-1323.7)+(-5.956698+(-0.999804--1.350174))+0-0-0</f>
        <v>5490.7936719999998</v>
      </c>
      <c r="X198" s="3">
        <f>6113.3+(921.5-1251.4)+(-12.471132+(-1.87986--2.552856))+0-0-0</f>
        <v>5771.6018639999993</v>
      </c>
      <c r="Y198" s="3">
        <f>6320.6+(863.2-1511.3)+(-12.894024+(-1.760928--3.083052))+0-0-0</f>
        <v>5660.9281000000001</v>
      </c>
      <c r="Z198" s="3">
        <f>5968+(711.6-1223.4)+(-6.08736+(-0.725832--1.247868))+0-0-0</f>
        <v>5450.6346759999997</v>
      </c>
      <c r="AA198" s="3">
        <f>5731.3+(715.4-1224.9)+(-14.614815+(-1.82427--3.123495))+0-0-0</f>
        <v>5208.48441</v>
      </c>
      <c r="AB198" s="3">
        <f>5581+(751.1-1333.9)+(-11.38524+(-1.532244--2.721156))+0-0-0</f>
        <v>4988.0036719999998</v>
      </c>
      <c r="AC198" s="3">
        <f>5479.5+(838.5-1753.3)+(-2.794545+(-0.427635--0.894183))+0-0-0</f>
        <v>4562.3720029999995</v>
      </c>
      <c r="AD198" s="2">
        <v>5746.9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5407+(928.1-2309.2)+(-2.75757+(-0.473331--1.177692))+0-0-0</f>
        <v>4023.8467909999999</v>
      </c>
      <c r="G199" s="3">
        <f>5375.9+(827.5-2522.1)+(-13.708545+(-2.110125--6.431355))+0-0-0</f>
        <v>3671.9126849999998</v>
      </c>
      <c r="H199" s="3">
        <f>5162.8+(570.9-2215.2)+(0+(0-0))+0-0-0</f>
        <v>3518.5000000000005</v>
      </c>
      <c r="I199" s="3">
        <f>5141.5+(584.9-2276.2)+(-2.622165+(-0.298299--1.160862))+0-0-0</f>
        <v>3448.4403980000002</v>
      </c>
      <c r="J199" s="3">
        <f>5023.8+(536.5-2128.4)+(5.124276+(0.54723-2.170968))+0-0-0</f>
        <v>3435.4005379999999</v>
      </c>
      <c r="K199" s="3">
        <f>4953.2+(550.6-2054.8)+(-5.052264+(-0.561612--2.095896))+0-0-0</f>
        <v>3445.4820199999995</v>
      </c>
      <c r="L199" s="3">
        <f>4932.1+(517.2-1983.8)+(2.515371+(0.263772-1.011738))+0-0-0</f>
        <v>3467.2674050000005</v>
      </c>
      <c r="M199" s="3">
        <f>5101.5+(630.1-1838.3)+(0+(0-0))+0-0-0</f>
        <v>3893.3</v>
      </c>
      <c r="N199" s="3">
        <f>5378.9+(732.5-1634)+(2.743239+(0.373575-0.83334))+0-0-0</f>
        <v>4479.6834739999995</v>
      </c>
      <c r="O199" s="3">
        <f>5537.2+(840.5-1427.4)+(2.823972+(0.428655-0.727974))+0-0-0</f>
        <v>4952.8246529999997</v>
      </c>
      <c r="P199" s="3">
        <f>5751.7+(888.5-1336.7)+(-8.800101+(-1.359405--2.045151))+0-0-0</f>
        <v>5295.3856450000003</v>
      </c>
      <c r="Q199" s="3">
        <f>5750.4+(966.4-1294.6)+(0+(0-0))+0-0-0</f>
        <v>5422.2</v>
      </c>
      <c r="R199" s="3">
        <f>5737.1+(1106.9-1506)+(-8.777763+(-1.693557--2.30418))+0-0-0</f>
        <v>5329.8328600000004</v>
      </c>
      <c r="S199" s="3">
        <f>5775.5+(1251.2-1888.5)+(-5.89101+(-1.276224--1.92627))+0-0-0</f>
        <v>5132.9590360000002</v>
      </c>
      <c r="T199" s="3">
        <f>5782.4+(1323.2-2033.6)+(0+(0-0))+0-0-0</f>
        <v>5072</v>
      </c>
      <c r="U199" s="3">
        <f>5714.6+(1367-2130.4)+(-5.828892+(-1.39434--2.173008))+0-0-0</f>
        <v>4946.1497760000011</v>
      </c>
      <c r="V199" s="3">
        <f>5679.9+(994.4-1767.7)+(-8.690247+(-1.521432--2.704581))+0-0-0</f>
        <v>4899.0929019999994</v>
      </c>
      <c r="W199" s="3">
        <f>5740.7+(839.8-1572.3)+(5.855514+(0.856596-1.603746))+0-0-0</f>
        <v>5013.3083639999995</v>
      </c>
      <c r="X199" s="3">
        <f>6193.1+(868.2-1658.8)+(-15.792405+(-2.21391--4.22994))+0-0-0</f>
        <v>5388.7236249999996</v>
      </c>
      <c r="Y199" s="3">
        <f>6108.1+(778.8-1560.1)+(-9.345393+(-1.191564--2.386953))+0-0-0</f>
        <v>5318.6499960000001</v>
      </c>
      <c r="Z199" s="3">
        <f>5810.3+(783.8-1419.3)+(-14.816265+(-1.99869--3.619215))+0-0-0</f>
        <v>5161.6042600000001</v>
      </c>
      <c r="AA199" s="3">
        <f>5826.7+(722.7-1608.1)+(-8.914851+(-1.105731--2.460393))+0-0-0</f>
        <v>4933.7398110000004</v>
      </c>
      <c r="AB199" s="3">
        <f>5809+(697.8-1840)+(-5.92518+(-0.711756--1.8768))+0-0-0</f>
        <v>4662.0398640000003</v>
      </c>
      <c r="AC199" s="3">
        <f>5754+(753.1-2164.2)+(-2.93454+(-0.384081--1.103742))+0-0-0</f>
        <v>4340.6851209999995</v>
      </c>
      <c r="AD199" s="2">
        <v>5346.9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5519+(709.3-2273.4)+(-8.44407+(-1.085229--3.478302))+0-0-0</f>
        <v>3948.8490029999998</v>
      </c>
      <c r="G200" s="3">
        <f>5331.5+(754.5-2464.6)+(-8.157195+(-1.154385--3.770838))+0-0-0</f>
        <v>3615.859258</v>
      </c>
      <c r="H200" s="3">
        <f>5236+(679.1-2499)+(-5.34072+(-0.692682--2.54898))+0-0-0</f>
        <v>3412.6155779999999</v>
      </c>
      <c r="I200" s="3">
        <f>5149.4+(629.4-2474.2)+(-7.878582+(-0.962982--3.785526))+0-0-0</f>
        <v>3299.5439619999997</v>
      </c>
      <c r="J200" s="3">
        <f>5183.4+(470.6-2398.3)+(7.930602+(0.720018-3.669399))+0-0-0</f>
        <v>3260.6812209999994</v>
      </c>
      <c r="K200" s="3">
        <f>5093.2+(522.5-2380.9)+(-12.98766+(-1.332375--6.071295))+0-0-0</f>
        <v>3226.5512599999997</v>
      </c>
      <c r="L200" s="3">
        <f>4980.3+(426.1-2337.2)+(0+(0-0))+0-0-0</f>
        <v>3069.2000000000003</v>
      </c>
      <c r="M200" s="3">
        <f>4980.1+(529.1-2348.9)+(0+(0-0))+0-0-0</f>
        <v>3160.3</v>
      </c>
      <c r="N200" s="3">
        <f>5307.8+(498.4-2320.8)+(-10.827912+(-1.016736--4.734432))+0-0-0</f>
        <v>3478.2897840000001</v>
      </c>
      <c r="O200" s="3">
        <f>5385+(715.9-2304.2)+(-5.4927+(-0.730218--2.350284))+0-0-0</f>
        <v>3792.8273660000004</v>
      </c>
      <c r="P200" s="3">
        <f>5314.2+(879-2062.6)+(-8.130726+(-1.34487--3.155778))+0-0-0</f>
        <v>4124.2801820000004</v>
      </c>
      <c r="Q200" s="3">
        <f>5283.5+(1026.2-1988)+(-10.77834+(-2.093448--4.05552))+0-0-0</f>
        <v>4312.8837320000002</v>
      </c>
      <c r="R200" s="3">
        <f>5433.7+(1075.2-2072.3)+(0+(0-0))+0-0-0</f>
        <v>4436.5999999999995</v>
      </c>
      <c r="S200" s="3">
        <f>5570.6+(1084.2-2341.9)+(-14.20503+(-2.76471--5.971845))+0-0-0</f>
        <v>4301.9021050000001</v>
      </c>
      <c r="T200" s="3">
        <f>5476.6+(1049.7-2314.8)+(-8.379198+(-1.606041--3.541644))+0-0-0</f>
        <v>4205.0564050000003</v>
      </c>
      <c r="U200" s="3">
        <f>5543.8+(757.1-2122.4)+(-8.482014+(-1.158363--3.247272))+0-0-0</f>
        <v>4172.1068949999999</v>
      </c>
      <c r="V200" s="3">
        <f>5559.3+(451.6-1832.1)+(-5.670486+(-0.460632--1.868742))+0-0-0</f>
        <v>4174.5376240000005</v>
      </c>
      <c r="W200" s="3">
        <f>5563.3+(465.2-1608.4)+(2.837283+(0.237252-0.820284))+0-0-0</f>
        <v>4422.3542510000007</v>
      </c>
      <c r="X200" s="3">
        <f>5978.2+(381.9-1429.7)+(0+(0-0))+0-0-0</f>
        <v>4930.3999999999996</v>
      </c>
      <c r="Y200" s="3">
        <f>5954.4+(415.8-1423.3)+(-9.110232+(-0.636174--2.177649))+0-0-0</f>
        <v>4939.3312429999996</v>
      </c>
      <c r="Z200" s="3">
        <f>5910.1+(425.3-1449.3)+(-3.014151+(-0.216903--0.739143))+0-0-0</f>
        <v>4883.6080890000003</v>
      </c>
      <c r="AA200" s="3">
        <f>5862.6+(440.5-1541.7)+(-8.969778+(-0.673965--2.358801))+0-0-0</f>
        <v>4754.1150580000003</v>
      </c>
      <c r="AB200" s="3">
        <f>5775.7+(498.5-1750.7)+(-20.619249+(-1.779645--6.249999))+0-0-0</f>
        <v>4507.3511049999997</v>
      </c>
      <c r="AC200" s="3">
        <f>5684.1+(514.9-2063.7)+(-2.898891+(-0.262599--1.052487))+0-0-0</f>
        <v>4133.1909970000015</v>
      </c>
      <c r="AD200" s="2">
        <v>4907.0999999999995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5504.2+(537.5-2333.3)+(-11.228568+(-1.0965--4.759932))+0-0-0</f>
        <v>3700.8348639999995</v>
      </c>
      <c r="G201" s="3">
        <f>5346.5+(551.4-2471.1)+(-2.726715+(-0.281214--1.260261))+0-0-0</f>
        <v>3425.0523320000002</v>
      </c>
      <c r="H201" s="3">
        <f>5145+(439.2-2304.6)+(-13.11975+(-1.11996--5.87673))+0-0-0</f>
        <v>3271.2370200000005</v>
      </c>
      <c r="I201" s="3">
        <f>5059.7+(338.8-2180.6)+(-12.902235+(-0.86394--5.56053))+0-0-0</f>
        <v>3209.6943549999996</v>
      </c>
      <c r="J201" s="3">
        <f>4920.5+(340-2043.9)+(5.01891+(0.3468-2.084778))+0-0-0</f>
        <v>3219.880932</v>
      </c>
      <c r="K201" s="3">
        <f>4913.5+(355.5-1974.1)+(2.505885+(0.181305-1.006791))+0-0-0</f>
        <v>3296.5803989999999</v>
      </c>
      <c r="L201" s="3">
        <f>4925.5+(321-1757.1)+(5.02401+(0.32742-1.792242))+0-0-0</f>
        <v>3492.9591880000003</v>
      </c>
      <c r="M201" s="3">
        <f>5160.8+(399.2-1534.7)+(2.632008+(0.203592-0.782697))+0-0-0</f>
        <v>4027.352903</v>
      </c>
      <c r="N201" s="3">
        <f>5627.9+(758.8-1651.8)+(0+(0-0))+0-0-0</f>
        <v>4734.8999999999996</v>
      </c>
      <c r="O201" s="3">
        <f>5830.3+(1135.7-1754.3)+(0+(0-0))+0-0-0</f>
        <v>5211.7000000000007</v>
      </c>
      <c r="P201" s="3">
        <f>5984.6+(1067.7-1545.2)+(-3.052146+(-0.544527--0.788052))+0-0-0</f>
        <v>5504.2913790000002</v>
      </c>
      <c r="Q201" s="3">
        <f>6139.1+(1073.5-1494)+(9.392823+(1.642455-2.28582))+0-0-0</f>
        <v>5727.3494580000006</v>
      </c>
      <c r="R201" s="3">
        <f>6208.5+(1053.7-1605.7)+(0+(0-0))+0-0-0</f>
        <v>5656.5</v>
      </c>
      <c r="S201" s="3">
        <f>6227.3+(1148.4-1803.4)+(3.175923+(0.585684-0.919734))+0-0-0</f>
        <v>5575.1418730000005</v>
      </c>
      <c r="T201" s="3">
        <f>6297+(1257.8-1883.1)+(0+(0-0))+0-0-0</f>
        <v>5671.7</v>
      </c>
      <c r="U201" s="3">
        <f>6282+(1274.2-1924.3)+(-22.42674+(-4.548894--6.869751))+0-0-0</f>
        <v>5611.7941169999995</v>
      </c>
      <c r="V201" s="3">
        <f>6245.7+(1219.1-1908.1)+(-12.741228+(-2.486964--3.892524))+0-0-0</f>
        <v>5545.3643320000001</v>
      </c>
      <c r="W201" s="3">
        <f>6257.8+(983.5-1551.4)+(3.191478+(0.501585-0.791214))+0-0-0</f>
        <v>5692.8018489999995</v>
      </c>
      <c r="X201" s="3">
        <f>6433.7+(942.2-1419.4)+(0+(0-0))+0-0-0</f>
        <v>5956.5</v>
      </c>
      <c r="Y201" s="3">
        <f>6497.7+(776.5-1496.8)+(0+(0-0))+0-0-0</f>
        <v>5777.4</v>
      </c>
      <c r="Z201" s="3">
        <f>6470.9+(781.4-1658.6)+(-13.200636+(-1.594056--3.383544))+0-0-0</f>
        <v>5582.2888519999997</v>
      </c>
      <c r="AA201" s="3">
        <f>6433.4+(702.3-1792.8)+(-6.562068+(-0.716346--1.828656))+0-0-0</f>
        <v>5337.4502419999999</v>
      </c>
      <c r="AB201" s="3">
        <f>6396+(375.6-1775.5)+(-9.78588+(-0.574668--2.716515))+0-0-0</f>
        <v>4988.4559670000008</v>
      </c>
      <c r="AC201" s="3">
        <f>6100.5+(419.4-1983.6)+(-12.44502+(-0.855576--4.046544))+0-0-0</f>
        <v>4527.045948</v>
      </c>
      <c r="AD201" s="2">
        <v>5908.1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5856.7+(361.4-2201.5)+(-11.947668+(-0.737256--4.49106))+0-0-0</f>
        <v>4008.4061360000001</v>
      </c>
      <c r="G202" s="3">
        <f>5743.9+(275.8-2307.2)+(-14.646945+(-0.70329--5.88336))+0-0-0</f>
        <v>3703.0331249999999</v>
      </c>
      <c r="H202" s="3">
        <f>5504.2+(300.8-2237)+(-8.421426+(-0.460224--3.42261))+0-0-0</f>
        <v>3562.5409599999998</v>
      </c>
      <c r="I202" s="3">
        <f>5412.3+(304.4-2222.5)+(-2.760273+(-0.155244--1.133475))+0-0-0</f>
        <v>3492.4179580000005</v>
      </c>
      <c r="J202" s="3">
        <f>5193.3+(292-2010.3)+(7.945749+(0.44676-3.075759))+0-0-0</f>
        <v>3480.31675</v>
      </c>
      <c r="K202" s="3">
        <f>5132.3+(284.5-1874.7)+(-7.852419+(-0.435285--2.868291))+0-0-0</f>
        <v>3536.6805870000003</v>
      </c>
      <c r="L202" s="3">
        <f>5156.7+(301.8-1765.5)+(0+(0-0))+0-0-0</f>
        <v>3693</v>
      </c>
      <c r="M202" s="3">
        <f>5393.3+(678.2-1862)+(-5.501166+(-0.691764--1.89924))+0-0-0</f>
        <v>4205.2063099999996</v>
      </c>
      <c r="N202" s="3">
        <f>5636.6+(920.9-1689.1)+(8.623998+(1.408977-2.584323))+0-0-0</f>
        <v>4875.8486520000006</v>
      </c>
      <c r="O202" s="3">
        <f>5743.5+(1161.9-1600.3)+(2.929185+(0.592569-0.816153))+0-0-0</f>
        <v>5307.805601</v>
      </c>
      <c r="P202" s="3">
        <f>6043.1+(1218.8-1632.9)+(0+(0-0))+0-0-0</f>
        <v>5629</v>
      </c>
      <c r="Q202" s="3">
        <f>6028.5+(1271.4-1486.2)+(-6.14907+(-1.296828--1.515924))+0-0-0</f>
        <v>5807.7700260000001</v>
      </c>
      <c r="R202" s="3">
        <f>6082.8+(1483.1-1813.9)+(0+(0-0))+0-0-0</f>
        <v>5752</v>
      </c>
      <c r="S202" s="3">
        <f>6135.8+(1482.7-1962.4)+(3.129258+(0.756177-1.000824))+0-0-0</f>
        <v>5658.9846110000008</v>
      </c>
      <c r="T202" s="3">
        <f>6113.4+(1423.9-1775.7)+(-6.235668+(-1.452378--1.811214))+0-0-0</f>
        <v>5755.7231679999995</v>
      </c>
      <c r="U202" s="3">
        <f>6044.5+(1336.9-1641.9)+(-15.413475+(-3.409095--4.186845))+0-0-0</f>
        <v>5724.8642749999999</v>
      </c>
      <c r="V202" s="3">
        <f>5928.3+(1328.6-1535.4)+(-6.046866+(-1.355172--1.566108))+0-0-0</f>
        <v>5715.6640699999998</v>
      </c>
      <c r="W202" s="3">
        <f>6239.7+(936.2-1334.3)+(3.182247+(0.477462-0.680493))+0-0-0</f>
        <v>5844.5792160000001</v>
      </c>
      <c r="X202" s="3">
        <f>6472.6+(818-1203.7)+(-6.602052+(-0.83436--1.227774))+0-0-0</f>
        <v>6080.6913620000005</v>
      </c>
      <c r="Y202" s="3">
        <f>6393.2+(887.5-1429.6)+(0+(0-0))+0-0-0</f>
        <v>5851.1</v>
      </c>
      <c r="Z202" s="3">
        <f>6298.8+(902.7-1563.2)+(-3.212388+(-0.460377--0.797232))+0-0-0</f>
        <v>5635.4244669999998</v>
      </c>
      <c r="AA202" s="3">
        <f>6231+(1020.8-1757.1)+(-3.17781+(-0.520608--0.896121))+0-0-0</f>
        <v>5491.8977029999996</v>
      </c>
      <c r="AB202" s="3">
        <f>5978.3+(1031.5-1978.6)+(-12.195732+(-2.10426--4.036344))+0-0-0</f>
        <v>5020.9363520000006</v>
      </c>
      <c r="AC202" s="3">
        <f>5452+(959.5-1827.5)+(0+(0-0))+0-0-0</f>
        <v>4584</v>
      </c>
      <c r="AD202" s="2">
        <v>5912.5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4940.9+(913.9-1780.2)+(0+(0-0))+0-0-0</f>
        <v>4074.5999999999995</v>
      </c>
      <c r="G203" s="3">
        <f>4832.2+(810.4-1886.6)+(2.464422+(0.413304-0.962166))+0-0-0</f>
        <v>3757.9155599999999</v>
      </c>
      <c r="H203" s="3">
        <f>4603.3+(761.3-1768.7)+(2.347683+(0.388263-0.902037))+0-0-0</f>
        <v>3597.733909</v>
      </c>
      <c r="I203" s="3">
        <f>4423.9+(666.9-1577.5)+(4.512378+(0.680238-1.60905))+0-0-0</f>
        <v>3516.8835659999995</v>
      </c>
      <c r="J203" s="3">
        <f>4353.6+(701.3-1548.1)+(-4.440672+(-0.715326--1.579062))+0-0-0</f>
        <v>3503.2230640000002</v>
      </c>
      <c r="K203" s="3">
        <f>4273.3+(767-1481.4)+(-4.358766+(-0.78234--1.511028))+0-0-0</f>
        <v>3555.269922</v>
      </c>
      <c r="L203" s="3">
        <f>4338.9+(753.5-1394.2)+(11.064195+(1.921425-3.55521))+0-0-0</f>
        <v>3707.6304099999998</v>
      </c>
      <c r="M203" s="3">
        <f>4648.9+(1016.6-1460.5)+(2.370939+(0.518466-0.744855))+0-0-0</f>
        <v>4207.14455</v>
      </c>
      <c r="N203" s="3">
        <f>5144.1+(1433.2-1684.5)+(5.246982+(1.461864-1.71819))+0-0-0</f>
        <v>4897.7906560000001</v>
      </c>
      <c r="O203" s="3">
        <f>5594.9+(1292.4-1568.7)+(8.560197+(1.977372-2.400111))+0-0-0</f>
        <v>5326.7374579999996</v>
      </c>
      <c r="P203" s="3">
        <f>5680.9+(1126.2-1205.7)+(2.897259+(0.574362-0.614907))+0-0-0</f>
        <v>5604.2567139999992</v>
      </c>
      <c r="Q203" s="3">
        <f>5876.4+(1072.7-1131.5)+(0+(0-0))+0-0-0</f>
        <v>5817.5999999999995</v>
      </c>
      <c r="R203" s="3">
        <f>5942.1+(1091.5-1259.8)+(-3.030471+(-0.556665--0.642498))+0-0-0</f>
        <v>5770.8553620000002</v>
      </c>
      <c r="S203" s="3">
        <f>6066.8+(1148.5-1531.9)+(9.282204+(1.757205-2.343807))+0-0-0</f>
        <v>5692.0956019999994</v>
      </c>
      <c r="T203" s="3">
        <f>6054.6+(1203.1-1503.8)+(3.087846+(0.613581-0.766938))+0-0-0</f>
        <v>5756.8344890000008</v>
      </c>
      <c r="U203" s="3">
        <f>6043.1+(1188.8-1509.6)+(-18.491886+(-3.637728--4.619376))+0-0-0</f>
        <v>5704.7897620000003</v>
      </c>
      <c r="V203" s="3">
        <f>5980.3+(1094.7-1422.8)+(-12.199812+(-2.233188--2.902512))+0-0-0</f>
        <v>5640.6695120000004</v>
      </c>
      <c r="W203" s="3">
        <f>6046.9+(907.4-1182.7)+(0+(0-0))+0-0-0</f>
        <v>5771.5999999999995</v>
      </c>
      <c r="X203" s="3">
        <f>6300.3+(819.2-1078.2)+(-3.213153+(-0.417792--0.549882))+0-0-0</f>
        <v>6038.2189370000006</v>
      </c>
      <c r="Y203" s="3">
        <f>6340.1+(873.2-1321)+(-3.233451+(-0.445332--0.67371))+0-0-0</f>
        <v>5889.2949269999999</v>
      </c>
      <c r="Z203" s="3">
        <f>6290.5+(890.7-1493.9)+(-6.41631+(-0.908514--1.523778))+0-0-0</f>
        <v>5681.4989540000006</v>
      </c>
      <c r="AA203" s="3">
        <f>6241.8+(876.5-1703.3)+(-12.733272+(-1.78806--3.474732))+0-0-0</f>
        <v>5403.9534000000003</v>
      </c>
      <c r="AB203" s="3">
        <f>6121.9+(767.4-1834)+(6.244338+(0.782748-1.87068))+0-0-0</f>
        <v>5060.4564059999993</v>
      </c>
      <c r="AC203" s="3">
        <f>5918+(737.4-2052.1)+(-3.01818+(-0.376074--1.046571))+0-0-0</f>
        <v>4600.9523170000002</v>
      </c>
      <c r="AD203" s="2">
        <v>6017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5100.5+(652.6-1642.2)+(-7.803765+(-0.998478--2.512566))+0-0-0</f>
        <v>4104.6103229999999</v>
      </c>
      <c r="G204" s="3">
        <f>4949.7+(404.9-1584.8)+(-12.621735+(-1.032495--4.04124))+0-0-0</f>
        <v>3760.1870099999996</v>
      </c>
      <c r="H204" s="3">
        <f>4742.1+(416.3-1561.2)+(-12.092355+(-1.061565--3.98106))+0-0-0</f>
        <v>3588.0271400000001</v>
      </c>
      <c r="I204" s="3">
        <f>4742.2+(461.9-1687.7)+(-7.255566+(-0.706707--2.582181))+0-0-0</f>
        <v>3511.0199079999998</v>
      </c>
      <c r="J204" s="3">
        <f>4656.7+(421.2-1577.4)+(-4.749834+(-0.429624--1.608948))+0-0-0</f>
        <v>3496.92949</v>
      </c>
      <c r="K204" s="3">
        <f>4693.2+(424-1548.9)+(-7.180596+(-0.64872--2.369817))+0-0-0</f>
        <v>3562.8405009999997</v>
      </c>
      <c r="L204" s="3">
        <f>4679.7+(370.5-1327.4)+(-4.773294+(-0.37791--1.353948))+0-0-0</f>
        <v>3719.0027439999999</v>
      </c>
      <c r="M204" s="3">
        <f>4834.5+(765.3-1363.9)+(-2.465595+(-0.390303--0.695589))+0-0-0</f>
        <v>4233.7396909999998</v>
      </c>
      <c r="N204" s="3">
        <f>4957.6+(1221.7-1264)+(-2.528376+(-0.623067--0.64464))+0-0-0</f>
        <v>4912.793197</v>
      </c>
      <c r="O204" s="3">
        <f>5526.9+(1217-1362)+(0+(0-0))+0-0-0</f>
        <v>5381.9</v>
      </c>
      <c r="P204" s="3">
        <f>5835.8+(1131.4-1291.9)+(5.952516+(1.154028-1.317738))+0-0-0</f>
        <v>5681.0888059999997</v>
      </c>
      <c r="Q204" s="3">
        <f>6034.5+(1165.3-1325.6)+(-3.077595+(-0.594303--0.676056))+0-0-0</f>
        <v>5871.2041579999996</v>
      </c>
      <c r="R204" s="3">
        <f>6030.3+(1278.9-1519.1)+(3.075453+(0.652239-0.774741))+0-0-0</f>
        <v>5793.0529510000006</v>
      </c>
      <c r="S204" s="3">
        <f>6027+(1334.7-1706.9)+(-9.22131+(-2.042091--2.611557))+0-0-0</f>
        <v>5646.1481560000002</v>
      </c>
      <c r="T204" s="3">
        <f>5981.4+(1420.3-1736.9)+(-3.050514+(-0.724353--0.885819))+0-0-0</f>
        <v>5661.9109519999993</v>
      </c>
      <c r="U204" s="3">
        <f>6050.7+(1316.8-1790.3)+(-15.429285+(-3.35784--4.565265))+0-0-0</f>
        <v>5562.9781400000002</v>
      </c>
      <c r="V204" s="3">
        <f>6159.2+(1199.9-1849.4)+(-9.423576+(-1.835847--2.829582))+0-0-0</f>
        <v>5501.2701589999997</v>
      </c>
      <c r="W204" s="3">
        <f>6338.1+(882.9-1639.9)+(-3.232431+(-0.450279--0.836349))+0-0-0</f>
        <v>5578.2536390000005</v>
      </c>
      <c r="X204" s="3">
        <f>6581.8+(605.2-1328.7)+(-16.78359+(-1.54326--3.388185))+0-0-0</f>
        <v>5843.3613350000005</v>
      </c>
      <c r="Y204" s="3">
        <f>6571.4+(532.1-1393.7)+(-13.405656+(-1.085484--2.843148))+0-0-0</f>
        <v>5698.1520079999991</v>
      </c>
      <c r="Z204" s="3">
        <f>6476.4+(434.1-1428.7)+(-6.605928+(-0.442782--1.457274))+0-0-0</f>
        <v>5476.2085639999996</v>
      </c>
      <c r="AA204" s="3">
        <f>6451.7+(503.5-1674.4)+(-9.871101+(-0.770355--2.561832))+0-0-0</f>
        <v>5272.7203759999993</v>
      </c>
      <c r="AB204" s="3">
        <f>6235.9+(582.7-1863.6)+(-12.721236+(-1.188708--3.801744))+0-0-0</f>
        <v>4944.8918000000003</v>
      </c>
      <c r="AC204" s="3">
        <f>5769.6+(656.4-1899.4)+(-14.71248+(-1.67382--4.84347))+0-0-0</f>
        <v>4515.05717</v>
      </c>
      <c r="AD204" s="2">
        <v>5834.6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5356.6+(519.4-1862.3)+(-10.927464+(-1.059576--3.799092))+0-0-0</f>
        <v>4005.5120520000005</v>
      </c>
      <c r="G205" s="3">
        <f>5293.4+(520-2116.3)+(-8.098902+(-0.7956--3.237939))+0-0-0</f>
        <v>3691.4434369999994</v>
      </c>
      <c r="H205" s="3">
        <f>5097.4+(434.1-2009.2)+(-5.199348+(-0.442782--2.049384))+0-0-0</f>
        <v>3518.7072539999999</v>
      </c>
      <c r="I205" s="3">
        <f>5091.6+(445.6-2084.9)+(2.596716+(0.227256-1.063299))+0-0-0</f>
        <v>3454.0606730000004</v>
      </c>
      <c r="J205" s="3">
        <f>5096+(362.9-2004.5)+(0+(0-0))+0-0-0</f>
        <v>3454.4</v>
      </c>
      <c r="K205" s="3">
        <f>5155.8+(335.6-1969.8)+(-2.629458+(-0.171156--1.004598))+0-0-0</f>
        <v>3519.8039840000006</v>
      </c>
      <c r="L205" s="3">
        <f>5094.6+(352.3-1766.1)+(-2.598246+(-0.179673--0.900711))+0-0-0</f>
        <v>3678.9227920000003</v>
      </c>
      <c r="M205" s="3">
        <f>5325.9+(496-1645.6)+(2.716209+(0.25296-0.839256))+0-0-0</f>
        <v>4178.429912999999</v>
      </c>
      <c r="N205" s="3">
        <f>5647.6+(997.7-1785.6)+(-2.880276+(-0.508827--0.910656))+0-0-0</f>
        <v>4857.2215530000003</v>
      </c>
      <c r="O205" s="3">
        <f>6006.5+(1046.4-1751.8)+(0+(0-0))+0-0-0</f>
        <v>5301.1</v>
      </c>
      <c r="P205" s="3">
        <f>6165.7+(985.3-1604.3)+(3.144507+(0.502503-0.818193))+0-0-0</f>
        <v>5549.5288169999994</v>
      </c>
      <c r="Q205" s="3">
        <f>6172.2+(1063.5-1461.1)+(6.295644+(1.08477-1.490322))+0-0-0</f>
        <v>5780.490092</v>
      </c>
      <c r="R205" s="3">
        <f>6193.7+(1160.3-1614.3)+(-3.158787+(-0.591753--0.823293))+0-0-0</f>
        <v>5736.7727530000002</v>
      </c>
      <c r="S205" s="3">
        <f>6196+(1273.8-1859.9)+(-18.95976+(-3.897828--5.691294))+0-0-0</f>
        <v>5592.733706</v>
      </c>
      <c r="T205" s="3">
        <f>6225.3+(1411.8-1991.1)+(-9.524709+(-2.160054--3.046383))+0-0-0</f>
        <v>5637.3616199999997</v>
      </c>
      <c r="U205" s="3">
        <f>6128.1+(1485.4-2123)+(-9.375993+(-2.272662--3.24819))+0-0-0</f>
        <v>5482.0995350000003</v>
      </c>
      <c r="V205" s="3">
        <f>6130.4+(1271.4-1895.7)+(-9.379512+(-1.945242--2.900421))+0-0-0</f>
        <v>5497.6756669999995</v>
      </c>
      <c r="W205" s="3">
        <f>6305.1+(850-1513.9)+(0+(0-0))+0-0-0</f>
        <v>5641.2000000000007</v>
      </c>
      <c r="X205" s="3">
        <f>6582.3+(652-1345.9)+(-13.427892+(-1.33008--2.745636))+0-0-0</f>
        <v>5876.3876639999999</v>
      </c>
      <c r="Y205" s="3">
        <f>6552.8+(711.4-1543)+(-16.70964+(-1.81407--3.93465))+0-0-0</f>
        <v>5706.6109399999996</v>
      </c>
      <c r="Z205" s="3">
        <f>6508+(715.4-1700.3)+(-16.5954+(-1.82427--4.335765))+0-0-0</f>
        <v>5509.016095</v>
      </c>
      <c r="AA205" s="3">
        <f>6306.1+(604.5-1617.7)+(-6.432222+(-0.61659--1.650054))+0-0-0</f>
        <v>5287.5012420000003</v>
      </c>
      <c r="AB205" s="3">
        <f>6092.9+(474.3-1607.2)+(-6.214758+(-0.483786--1.639344))+0-0-0</f>
        <v>4954.9408000000003</v>
      </c>
      <c r="AC205" s="3">
        <f>5799.8+(203.9-1472.9)+(-8.873694+(-0.311967--2.253537))+0-0-0</f>
        <v>4523.8678760000003</v>
      </c>
      <c r="AD205" s="2">
        <v>5851.6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5446.8+(304-1700.3)+(0+(0-0))+0-0-0</f>
        <v>4050.5</v>
      </c>
      <c r="G206" s="3">
        <f>5279.4+(347.2-1913.4)+(-8.077482+(-0.531216--2.927502))+0-0-0</f>
        <v>3707.5188039999998</v>
      </c>
      <c r="H206" s="3">
        <f>5168.4+(365.2-1996.2)+(-7.907652+(-0.558756--3.054186))+0-0-0</f>
        <v>3531.9877779999997</v>
      </c>
      <c r="I206" s="3">
        <f>5128.3+(311-2003.3)+(0+(0-0))+0-0-0</f>
        <v>3436</v>
      </c>
      <c r="J206" s="3">
        <f>5147.5+(281.1-2004.4)+(5.25045+(0.286722-2.044488))+0-0-0</f>
        <v>3427.6926839999996</v>
      </c>
      <c r="K206" s="3">
        <f>5137.5+(255.3-1936)+(5.24025+(0.260406-1.97472))+0-0-0</f>
        <v>3460.3259360000002</v>
      </c>
      <c r="L206" s="3">
        <f>5020.4+(320.8-1859.3)+(5.120808+(0.327216-1.896486))+0-0-0</f>
        <v>3485.4515379999998</v>
      </c>
      <c r="M206" s="3">
        <f>5042.9+(394.4-1539)+(0+(0-0))+0-0-0</f>
        <v>3898.2999999999997</v>
      </c>
      <c r="N206" s="3">
        <f>5455.9+(604.9-1534.3)+(0+(0-0))+0-0-0</f>
        <v>4526.5</v>
      </c>
      <c r="O206" s="3">
        <f>5690.1+(741.4-1425)+(0+(0-0))+0-0-0</f>
        <v>5006.5</v>
      </c>
      <c r="P206" s="3">
        <f>5821.3+(947.7-1387.7)+(0+(0-0))+0-0-0</f>
        <v>5381.3</v>
      </c>
      <c r="Q206" s="3">
        <f>5924.8+(1074.1-1476.5)+(0+(0-0))+0-0-0</f>
        <v>5522.4</v>
      </c>
      <c r="R206" s="3">
        <f>5916+(1229.7-1713.9)+(0+(0-0))+0-0-0</f>
        <v>5431.8</v>
      </c>
      <c r="S206" s="3">
        <f>5928.7+(1128.2-1842.2)+(0+(0-0))+0-0-0</f>
        <v>5214.7</v>
      </c>
      <c r="T206" s="3">
        <f>5960+(1116.3-1922.2)+(6.0792+(1.138626-1.960644))+0-0-0</f>
        <v>5159.3571820000006</v>
      </c>
      <c r="U206" s="3">
        <f>5912.2+(965.1-1852.8)+(-12.060888+(-1.968804--3.779712))+0-0-0</f>
        <v>5014.2500200000004</v>
      </c>
      <c r="V206" s="3">
        <f>5796+(449.4-1297.7)+(0+(0-0))+0-0-0</f>
        <v>4947.7</v>
      </c>
      <c r="W206" s="3">
        <f>5913.6+(306.4-1046.1)+(3.015936+(0.156264-0.533511))+0-0-0</f>
        <v>5176.5386890000009</v>
      </c>
      <c r="X206" s="3">
        <f>6129.8+(554.8-1195.5)+(-15.63099+(-1.41474--3.048525))+0-0-0</f>
        <v>5475.1027950000007</v>
      </c>
      <c r="Y206" s="3">
        <f>6119.3+(726.7-1453.1)+(-15.604215+(-1.853085--3.705405))+0-0-0</f>
        <v>5379.1481050000002</v>
      </c>
      <c r="Z206" s="3">
        <f>6058.6+(711.8-1544.8)+(-3.089886+(-0.363018--0.787848))+0-0-0</f>
        <v>5222.9349440000005</v>
      </c>
      <c r="AA206" s="3">
        <f>6047.2+(595-1645.5)+(-3.084072+(-0.30345--0.839205))+0-0-0</f>
        <v>4994.151683</v>
      </c>
      <c r="AB206" s="3">
        <f>5992.4+(437.6-1653.5)+(0+(0-0))+0-0-0</f>
        <v>4776.5</v>
      </c>
      <c r="AC206" s="3">
        <f>5527.3+(540-1642.5)+(-8.456769+(-0.8262--2.513025))+0-0-0</f>
        <v>4418.0300560000005</v>
      </c>
      <c r="AD206" s="2">
        <v>5441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5149.4+(620.2-1740.6)+(-10.504776+(-1.265208--3.550824))+0-0-0</f>
        <v>4020.7808399999999</v>
      </c>
      <c r="G207" s="3">
        <f>5027.4+(482.9-1815.1)+(-10.255896+(-0.985116--3.702804))+0-0-0</f>
        <v>3687.6617919999999</v>
      </c>
      <c r="H207" s="3">
        <f>4883.6+(470.6-1870.4)+(-7.471908+(-0.720018--2.861712))+0-0-0</f>
        <v>3478.4697860000001</v>
      </c>
      <c r="I207" s="3">
        <f>4716.7+(444.5-1799.2)+(-2.405517+(-0.226695--0.917592))+0-0-0</f>
        <v>3360.2853799999998</v>
      </c>
      <c r="J207" s="3">
        <f>4553.6+(463-1709.6)+(4.644672+(0.47226-1.743792))+0-0-0</f>
        <v>3310.3731400000006</v>
      </c>
      <c r="K207" s="3">
        <f>4507.6+(447.2-1680.2)+(-9.195504+(-0.912288--3.427608))+0-0-0</f>
        <v>3267.9198160000005</v>
      </c>
      <c r="L207" s="3">
        <f>4453.4+(507.8-1831.7)+(2.271234+(0.258978-0.934167))+0-0-0</f>
        <v>3131.0960449999993</v>
      </c>
      <c r="M207" s="3">
        <f>4360.4+(461.2-1638.8)+(0+(0-0))+0-0-0</f>
        <v>3182.7999999999997</v>
      </c>
      <c r="N207" s="3">
        <f>4390.9+(622.2-1582.8)+(-2.239359+(-0.317322--0.807228))+0-0-0</f>
        <v>3428.5505469999998</v>
      </c>
      <c r="O207" s="3">
        <f>4495.9+(769-1498.2)+(2.292909+(0.39219-0.764082))+0-0-0</f>
        <v>3768.6210169999999</v>
      </c>
      <c r="P207" s="3">
        <f>4615.3+(831.6-1301.4)+(0+(0-0))+0-0-0</f>
        <v>4145.5</v>
      </c>
      <c r="Q207" s="3">
        <f>4908.1+(852.8-1373.5)+(2.503131+(0.434928-0.700485))+0-0-0</f>
        <v>4389.6375740000003</v>
      </c>
      <c r="R207" s="3">
        <f>5054.1+(1033.4-1652.2)+(0+(0-0))+0-0-0</f>
        <v>4435.3</v>
      </c>
      <c r="S207" s="3">
        <f>5065.6+(1108.7-1783.2)+(-10.333824+(-2.261748--3.637728))+0-0-0</f>
        <v>4382.1421560000008</v>
      </c>
      <c r="T207" s="3">
        <f>5050.9+(1122.8-1840.6)+(-10.303836+(-2.290512--3.754824))+0-0-0</f>
        <v>4324.2604759999995</v>
      </c>
      <c r="U207" s="3">
        <f>5023.1+(959.9-1709.9)+(-10.247124+(-1.958196--3.488196))+0-0-0</f>
        <v>4264.3828760000006</v>
      </c>
      <c r="V207" s="3">
        <f>5064.2+(699.9-1451.2)+(-7.748226+(-1.070847--2.220336))+0-0-0</f>
        <v>4306.3012629999994</v>
      </c>
      <c r="W207" s="3">
        <f>5388.9+(417.4-1132.9)+(2.748339+(0.212874-0.577779))+0-0-0</f>
        <v>4675.7834339999999</v>
      </c>
      <c r="X207" s="3">
        <f>5664.8+(396.7-1068.5)+(-8.667144+(-0.606951--1.634805))+0-0-0</f>
        <v>4985.3607099999999</v>
      </c>
      <c r="Y207" s="3">
        <f>5576.8+(447.5-1022.8)+(-14.22084+(-1.141125--2.60814))+0-0-0</f>
        <v>4988.7461750000002</v>
      </c>
      <c r="Z207" s="3">
        <f>5464.8+(513.5-1048.8)+(-8.361144+(-0.785655--1.604664))+0-0-0</f>
        <v>4921.9578650000003</v>
      </c>
      <c r="AA207" s="3">
        <f>5448.5+(426.7-1094.9)+(-11.11494+(-0.870468--2.233596))+0-0-0</f>
        <v>4770.5481879999998</v>
      </c>
      <c r="AB207" s="3">
        <f>5447.2+(388.2-1288.2)+(-11.112288+(-0.791928--2.627928))+0-0-0</f>
        <v>4537.9237119999998</v>
      </c>
      <c r="AC207" s="3">
        <f>5222.4+(401.1-1472.6)+(-13.31712+(-1.022805--3.75513))+0-0-0</f>
        <v>4140.3152049999999</v>
      </c>
      <c r="AD207" s="2">
        <v>4963.5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5110.6+(353.2-1726.6)+(-7.819218+(-0.540396--2.641698))+0-0-0</f>
        <v>3731.4820840000007</v>
      </c>
      <c r="G208" s="3">
        <f>5015.5+(457-2035.5)+(-7.673715+(-0.69921--3.114315))+0-0-0</f>
        <v>3431.7413900000001</v>
      </c>
      <c r="H208" s="3">
        <f>4890+(503.1-2109.4)+(-12.4695+(-1.282905--5.37897))+0-0-0</f>
        <v>3275.3265649999998</v>
      </c>
      <c r="I208" s="3">
        <f>4786.5+(475.6-2050.3)+(-2.441115+(-0.242556--1.045653))+0-0-0</f>
        <v>3210.1619819999996</v>
      </c>
      <c r="J208" s="3">
        <f>4747.1+(377-1913.1)+(-2.421021+(-0.19227--0.975681))+0-0-0</f>
        <v>3209.3623900000002</v>
      </c>
      <c r="K208" s="3">
        <f>4717.4+(306.2-1731.8)+(-4.811748+(-0.312324--1.766436))+0-0-0</f>
        <v>3288.4423639999995</v>
      </c>
      <c r="L208" s="3">
        <f>4729.5+(345.9-1587.7)+(-2.412045+(-0.176409--0.809727))+0-0-0</f>
        <v>3485.9212729999999</v>
      </c>
      <c r="M208" s="3">
        <f>5127.2+(557.1-1535.1)+(5.229744+(0.568242-1.565802))+0-0-0</f>
        <v>4153.4321840000002</v>
      </c>
      <c r="N208" s="3">
        <f>5263.7+(730-1291.7)+(-8.053461+(-1.1169--1.976301))+0-0-0</f>
        <v>4694.8059400000002</v>
      </c>
      <c r="O208" s="3">
        <f>5621.6+(847.3-1332)+(0+(0-0))+0-0-0</f>
        <v>5136.9000000000005</v>
      </c>
      <c r="P208" s="3">
        <f>5712.5+(993.2-1314.4)+(0+(0-0))+0-0-0</f>
        <v>5391.3</v>
      </c>
      <c r="Q208" s="3">
        <f>5691.6+(1013.6-1083.4)+(0+(0-0))+0-0-0</f>
        <v>5621.8</v>
      </c>
      <c r="R208" s="3">
        <f>5644.9+(1082.3-1150.3)+(0+(0-0))+0-0-0</f>
        <v>5576.9</v>
      </c>
      <c r="S208" s="3">
        <f>5703.3+(1170.8-1407.9)+(0+(0-0))+0-0-0</f>
        <v>5466.2</v>
      </c>
      <c r="T208" s="3">
        <f>5473+(1243.3-1364.9)+(0+(0-0))+0-0-0</f>
        <v>5351.4</v>
      </c>
      <c r="U208" s="3">
        <f>5462+(1147.6-1260.4)+(0+(0-0))+0-0-0</f>
        <v>5349.2</v>
      </c>
      <c r="V208" s="3">
        <f>5565.5+(1098.2-1173.9)+(0+(0-0))+0-0-0</f>
        <v>5489.8</v>
      </c>
      <c r="W208" s="3">
        <f>5769.2+(810.9-920.9)+(0+(0-0))+0-0-0</f>
        <v>5659.2</v>
      </c>
      <c r="X208" s="3">
        <f>6123.6+(739.4-1021.7)+(0+(0-0))+0-0-0</f>
        <v>5841.3</v>
      </c>
      <c r="Y208" s="3">
        <f>5951.6+(651.5-943.5)+(0+(0-0))+0-0-0</f>
        <v>5659.6</v>
      </c>
      <c r="Z208" s="3">
        <f>5872.1+(614.9-1022.2)+(0+(0-0))+0-0-0</f>
        <v>5464.8</v>
      </c>
      <c r="AA208" s="3">
        <f>5710.9+(471.3-1033.5)+(0+(0-0))+0-0-0</f>
        <v>5148.7</v>
      </c>
      <c r="AB208" s="3">
        <f>5418.8+(541.9-1306.9)+(0+(0-0))+0-0-0</f>
        <v>4653.8</v>
      </c>
      <c r="AC208" s="3">
        <f>5406.2+(539.2-1479.3)+(0+(0-0))+0-0-0</f>
        <v>4466.1000000000004</v>
      </c>
      <c r="AD208" s="2">
        <v>5792.5999999999995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5229+(658.6-1933.6)+(-8.00037+(-1.007658--2.958408))+0-0-0</f>
        <v>3947.9503800000002</v>
      </c>
      <c r="G209" s="3">
        <f>4940.7+(701.5-2030.7)+(2.519757+(0.357765-1.035657))+0-0-0</f>
        <v>3613.3418649999999</v>
      </c>
      <c r="H209" s="3">
        <f>4918.4+(614.4-2072.6)+(-5.016768+(-0.626688--2.114052))+0-0-0</f>
        <v>3456.6705959999999</v>
      </c>
      <c r="I209" s="3">
        <f>4986.1+(482.9-2044.8)+(-2.542911+(-0.246279--1.042848))+0-0-0</f>
        <v>3422.4536580000004</v>
      </c>
      <c r="J209" s="3">
        <f>5015.9+(429.7-2022.8)+(-7.674327+(-0.657441--3.094884))+0-0-0</f>
        <v>3417.5631159999998</v>
      </c>
      <c r="K209" s="3">
        <f>5039.5+(385.4-1930.1)+(-2.570145+(-0.196554--0.984351))+0-0-0</f>
        <v>3493.017652</v>
      </c>
      <c r="L209" s="3">
        <f>4961.2+(400.5-1821.8)+(0+(0-0))+0-0-0</f>
        <v>3539.8999999999996</v>
      </c>
      <c r="M209" s="3">
        <f>5199.7+(680.6-1723.5)+(5.303694+(0.694212-1.75797))+0-0-0</f>
        <v>4161.0399359999992</v>
      </c>
      <c r="N209" s="3">
        <f>5647.4+(998-1819.8)+(5.760348+(1.01796-1.856196))+0-0-0</f>
        <v>4830.5221119999997</v>
      </c>
      <c r="O209" s="3">
        <f>5764.7+(1037.3-1540.2)+(-2.939997+(-0.529023--0.785502))+0-0-0</f>
        <v>5259.1164819999995</v>
      </c>
      <c r="P209" s="3">
        <f>5901.9+(1005-1360.3)+(0+(0-0))+0-0-0</f>
        <v>5546.5999999999995</v>
      </c>
      <c r="Q209" s="3">
        <f>5988+(918.8-1327.9)+(-9.16164+(-1.405764--2.031687))+0-0-0</f>
        <v>5570.3642829999999</v>
      </c>
      <c r="R209" s="3">
        <f>5912.3+(1050.4-1555.2)+(0+(0-0))+0-0-0</f>
        <v>5407.5</v>
      </c>
      <c r="S209" s="3">
        <f>5994.3+(1080.6-1773.3)+(0+(0-0))+0-0-0</f>
        <v>5301.6</v>
      </c>
      <c r="T209" s="3">
        <f>6025.8+(1146.3-1787)+(0+(0-0))+0-0-0</f>
        <v>5385.1</v>
      </c>
      <c r="U209" s="3">
        <f>5953.8+(1155.2-1754.3)+(0+(0-0))+0-0-0</f>
        <v>5354.7000000000007</v>
      </c>
      <c r="V209" s="3">
        <f>5674.5+(1129.2-1494.4)+(0+(0-0))+0-0-0</f>
        <v>5309.3</v>
      </c>
      <c r="W209" s="3">
        <f>5817.6+(818.1-1129.3)+(0+(0-0))+0-0-0</f>
        <v>5506.4000000000005</v>
      </c>
      <c r="X209" s="3">
        <f>6135.3+(721.9-1121.4)+(0+(0-0))+0-0-0</f>
        <v>5735.8</v>
      </c>
      <c r="Y209" s="3">
        <f>6112.7+(759.3-1274.1)+(0+(0-0))+0-0-0</f>
        <v>5597.9</v>
      </c>
      <c r="Z209" s="3">
        <f>6071.4+(803.9-1481.5)+(0+(0-0))+0-0-0</f>
        <v>5393.7999999999993</v>
      </c>
      <c r="AA209" s="3">
        <f>5903.6+(761.2-1526.7)+(0+(0-0))+0-0-0</f>
        <v>5138.1000000000004</v>
      </c>
      <c r="AB209" s="3">
        <f>5886.3+(697.5-1755.3)+(0+(0-0))+0-0-0</f>
        <v>4828.5</v>
      </c>
      <c r="AC209" s="3">
        <f>5655.8+(400.9-1607.9)+(0+(0-0))+0-0-0</f>
        <v>4448.8</v>
      </c>
      <c r="AD209" s="2">
        <v>5716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5322.2+(464.8-1841.7)+(-13.57161+(-1.18524--4.696335))+0-0-0</f>
        <v>3935.2394849999996</v>
      </c>
      <c r="G210" s="3">
        <f>5062.2+(538-1995.4)+(-12.90861+(-1.3719--5.08827))+0-0-0</f>
        <v>3595.6077599999999</v>
      </c>
      <c r="H210" s="3">
        <f>4861.6+(565.9-1986.5)+(-2.479416+(-0.288609--1.013115))+0-0-0</f>
        <v>3439.2450900000003</v>
      </c>
      <c r="I210" s="3">
        <f>4772.7+(587.3-1986.9)+(-7.302231+(-0.898569--3.039957))+0-0-0</f>
        <v>3367.9391569999993</v>
      </c>
      <c r="J210" s="3">
        <f>4686.1+(513-1834.4)+(-7.169733+(-0.78489--2.806632))+0-0-0</f>
        <v>3359.5520090000005</v>
      </c>
      <c r="K210" s="3">
        <f>4640.5+(468.8-1663.6)+(-4.73331+(-0.478176--1.696872))+0-0-0</f>
        <v>3442.1853859999997</v>
      </c>
      <c r="L210" s="3">
        <f>4661.1+(469.8-1534)+(0+(0-0))+0-0-0</f>
        <v>3596.9000000000005</v>
      </c>
      <c r="M210" s="3">
        <f>4989.5+(631.5-1508.4)+(0+(0-0))+0-0-0</f>
        <v>4112.6000000000004</v>
      </c>
      <c r="N210" s="3">
        <f>5462.4+(873.5-1649.6)+(0+(0-0))+0-0-0</f>
        <v>4686.2999999999993</v>
      </c>
      <c r="O210" s="3">
        <f>5568.9+(913.7-1385.4)+(0+(0-0))+0-0-0</f>
        <v>5097.2</v>
      </c>
      <c r="P210" s="3">
        <f>5583.1+(1089.4-1346.4)+(0+(0-0))+0-0-0</f>
        <v>5326.1</v>
      </c>
      <c r="Q210" s="3">
        <f>5823.8+(1079.9-1408.2)+(0+(0-0))+0-0-0</f>
        <v>5495.5</v>
      </c>
      <c r="R210" s="3">
        <f>5855.9+(1047.4-1490.8)+(0+(0-0))+0-0-0</f>
        <v>5412.5</v>
      </c>
      <c r="S210" s="3">
        <f>5850.4+(1011.9-1572.9)+(-5.967408+(-1.032138--1.604358))+0-0-0</f>
        <v>5284.0048119999992</v>
      </c>
      <c r="T210" s="3">
        <f>5887.6+(1189.7-1698.5)+(-3.002676+(-0.606747--0.866235))+0-0-0</f>
        <v>5376.0568119999998</v>
      </c>
      <c r="U210" s="3">
        <f>5910+(1217.6-1713.5)+(-12.0564+(-2.483904--3.49554))+0-0-0</f>
        <v>5403.0552360000001</v>
      </c>
      <c r="V210" s="3">
        <f>5794+(1006.4-1476.6)+(-5.90988+(-1.026528--1.506132))+0-0-0</f>
        <v>5318.3697240000001</v>
      </c>
      <c r="W210" s="3">
        <f>5954.6+(817.7-1290.9)+(-6.073692+(-0.834054--1.316718))+0-0-0</f>
        <v>5475.8089720000007</v>
      </c>
      <c r="X210" s="3">
        <f>6356.5+(837.4-1449.9)+(-9.725445+(-1.281222--2.218347))+0-0-0</f>
        <v>5735.2116800000003</v>
      </c>
      <c r="Y210" s="3">
        <f>6365.6+(814.4-1581.3)+(-9.739368+(-1.246032--2.419389))+0-0-0</f>
        <v>5590.1339890000008</v>
      </c>
      <c r="Z210" s="3">
        <f>6104.4+(732.9-1395.4)+(-9.339732+(-1.121337--2.134962))+0-0-0</f>
        <v>5433.5738929999998</v>
      </c>
      <c r="AA210" s="3">
        <f>5953.6+(737-1432.7)+(-12.145344+(-1.50348--2.922708))+0-0-0</f>
        <v>5247.1738840000007</v>
      </c>
      <c r="AB210" s="3">
        <f>5732.1+(777.4-1668)+(-2.923371+(-0.396474--0.85068))+0-0-0</f>
        <v>4839.0308349999996</v>
      </c>
      <c r="AC210" s="3">
        <f>5549.4+(616.7-1742.8)+(-8.490582+(-0.943551--2.666484))+0-0-0</f>
        <v>4416.5323509999989</v>
      </c>
      <c r="AD210" s="2">
        <v>5659.5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5316+(581.4-1986.3)+(-2.71116+(-0.296514--1.013013))+0-0-0</f>
        <v>3909.1053389999997</v>
      </c>
      <c r="G211" s="3">
        <f>4961.9+(601.2-1977)+(0+(0-0))+0-0-0</f>
        <v>3586.0999999999995</v>
      </c>
      <c r="H211" s="3">
        <f>4894.1+(644.5-2114.3)+(2.495991+(0.328695-1.078293))+0-0-0</f>
        <v>3426.0463930000001</v>
      </c>
      <c r="I211" s="3">
        <f>4907.3+(654.3-2186)+(5.005446+(0.667386-2.22972))+0-0-0</f>
        <v>3379.0431120000003</v>
      </c>
      <c r="J211" s="3">
        <f>4899.6+(602.9-2134.1)+(4.997592+(0.614958-2.176782))+0-0-0</f>
        <v>3371.8357680000004</v>
      </c>
      <c r="K211" s="3">
        <f>4889.9+(581.7-2034.3)+(0+(0-0))+0-0-0</f>
        <v>3437.2999999999997</v>
      </c>
      <c r="L211" s="3">
        <f>4848.1+(538.5-1812.8)+(9.890124+(1.09854-3.698112))+0-0-0</f>
        <v>3581.0905520000001</v>
      </c>
      <c r="M211" s="3">
        <f>5054.7+(612.8-1620.9)+(-5.155794+(-0.625056--1.653318))+0-0-0</f>
        <v>4042.4724679999995</v>
      </c>
      <c r="N211" s="3">
        <f>5530.2+(719.9-1605.6)+(-11.281608+(-1.468596--3.275424))+0-0-0</f>
        <v>4635.0252200000004</v>
      </c>
      <c r="O211" s="3">
        <f>5613.6+(967.4-1589.9)+(-8.588808+(-1.480122--2.432547))+0-0-0</f>
        <v>4983.4636170000003</v>
      </c>
      <c r="P211" s="3">
        <f>5754.8+(1173.2-1635.3)+(-14.67474+(-2.99166--4.170015))+0-0-0</f>
        <v>5279.2036150000004</v>
      </c>
      <c r="Q211" s="3">
        <f>5886.5+(1128.6-1563.3)+(-9.006345+(-1.726758--2.391849))+0-0-0</f>
        <v>5443.4587460000002</v>
      </c>
      <c r="R211" s="3">
        <f>5885.3+(1144-1673.6)+(-12.006012+(-2.33376--3.414144))+0-0-0</f>
        <v>5344.7743720000008</v>
      </c>
      <c r="S211" s="3">
        <f>5980.3+(1126.7-1922.5)+(3.049953+(0.574617-0.980475))+62.9-0-0</f>
        <v>5250.0440949999993</v>
      </c>
      <c r="T211" s="3">
        <f>6051.2+(1125.2-1897.1)+(-6.172224+(-1.147704--1.935042))+25.6-0-0</f>
        <v>5299.5151140000007</v>
      </c>
      <c r="U211" s="3">
        <f>6009.7+(1082.2-1770.1)+(-15.324735+(-2.75961--4.513755))+0-0-0</f>
        <v>5308.2294099999999</v>
      </c>
      <c r="V211" s="3">
        <f>5876.2+(836.3-1428.2)+(-8.990586+(-1.279539--2.185146))+0-0-0</f>
        <v>5276.2150209999991</v>
      </c>
      <c r="W211" s="3">
        <f>5945.9+(702.7-1141.8)+(3.032409+(0.358377-0.582318))+0-0-0</f>
        <v>5509.6084679999994</v>
      </c>
      <c r="X211" s="3">
        <f>6320.2+(748.3-1346.5)+(-9.669906+(-1.144899--2.060145))+0-0-0</f>
        <v>5713.2453400000004</v>
      </c>
      <c r="Y211" s="3">
        <f>6210.5+(815.3-1446.3)+(-12.66942+(-1.663212--2.950452))+0-0-0</f>
        <v>5568.1178200000004</v>
      </c>
      <c r="Z211" s="3">
        <f>6029.9+(890.1-1537)+(-12.300996+(-1.815804--3.13548))+0-0-0</f>
        <v>5372.0186800000001</v>
      </c>
      <c r="AA211" s="3">
        <f>6029+(792.2-1662)+(-15.37395+(-2.02011--4.2381))+0-0-0</f>
        <v>5146.0440399999998</v>
      </c>
      <c r="AB211" s="3">
        <f>5976.4+(684.2-1787.8)+(-15.23982+(-1.74471--4.55889))+0-0-0</f>
        <v>4860.3743599999989</v>
      </c>
      <c r="AC211" s="3">
        <f>5546.9+(544.4-1677.9)+(-8.486757+(-0.832932--2.567187))+0-0-0</f>
        <v>4406.6474979999994</v>
      </c>
      <c r="AD211" s="2">
        <v>5704.2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5490.6+(552.7-2122.3)+(-8.400618+(-0.845631--3.247119))+0-0-0</f>
        <v>3915.0008699999998</v>
      </c>
      <c r="G212" s="3">
        <f>5404+(535.3-2341.6)+(-8.26812+(-0.819009--3.582648))+0-0-0</f>
        <v>3592.1955189999999</v>
      </c>
      <c r="H212" s="3">
        <f>5198.4+(483.7-2237.9)+(-5.302368+(-0.493374--2.282658))+0-0-0</f>
        <v>3440.6869159999997</v>
      </c>
      <c r="I212" s="3">
        <f>5100.2+(528.4-2253.6)+(-2.601102+(-0.269484--1.149336))+0-0-0</f>
        <v>3373.2787499999999</v>
      </c>
      <c r="J212" s="3">
        <f>5041.9+(417.6-2082.7)+(2.571369+(0.212976-1.062177))+0-0-0</f>
        <v>3378.5221679999995</v>
      </c>
      <c r="K212" s="3">
        <f>5040.6+(395.6-1993.4)+(2.570706+(0.201756-1.016634))+0-0-0</f>
        <v>3444.555828</v>
      </c>
      <c r="L212" s="3">
        <f>4675.2+(409.2-1465.6)+(-2.384352+(-0.208692--0.747456))+0-0-0</f>
        <v>3616.954412</v>
      </c>
      <c r="M212" s="3">
        <f>4884.7+(444.9-1416.5)+(0+(0-0))+0-0-0</f>
        <v>3913.1</v>
      </c>
      <c r="N212" s="3">
        <f>5585.5+(414.4-1549.5)+(-8.545815+(-0.634032--2.370735))+0-0-0</f>
        <v>4443.5908879999997</v>
      </c>
      <c r="O212" s="3">
        <f>5942.4+(520.3-1521.8)+(-3.030624+(-0.265353--0.776118))+0-0-0</f>
        <v>4938.3801409999996</v>
      </c>
      <c r="P212" s="3">
        <f>6007.9+(582.2-1410.5)+(-6.128058+(-0.593844--1.43871))+0-0-0</f>
        <v>5174.3168079999996</v>
      </c>
      <c r="Q212" s="3">
        <f>6047.4+(688.6-1420.3)+(-6.168348+(-0.702372--1.448706))+0-0-0</f>
        <v>5310.2779860000001</v>
      </c>
      <c r="R212" s="3">
        <f>6050+(699.7-1521.7)+(-3.0855+(-0.356847--0.776067))+0-0-0</f>
        <v>5225.3337199999996</v>
      </c>
      <c r="S212" s="3">
        <f>6014.8+(815.9-1569.7)+(-9.202644+(-1.248327--2.401641))+0-0-0</f>
        <v>5252.9506700000002</v>
      </c>
      <c r="T212" s="3">
        <f>6031.1+(1031.5-1766.3)+(-9.227583+(-1.578195--2.702439))+0-0-0</f>
        <v>5288.1966609999999</v>
      </c>
      <c r="U212" s="3">
        <f>6026.6+(976.7-1770.8)+(-9.220698+(-1.494351--2.709324))+0-0-0</f>
        <v>5224.494275</v>
      </c>
      <c r="V212" s="3">
        <f>5919+(443.1-1122.3)+(6.03738+(0.451962-1.144746))+0-0-0</f>
        <v>5245.1445960000001</v>
      </c>
      <c r="W212" s="3">
        <f>6029.2+(316.4-909.1)+(3.074892+(0.161364-0.463641))+0-0-0</f>
        <v>5439.2726149999999</v>
      </c>
      <c r="X212" s="3">
        <f>6243.9+(380.2-1029)+(-9.553167+(-0.581706--1.57437))+0-0-0</f>
        <v>5586.5394969999998</v>
      </c>
      <c r="Y212" s="3">
        <f>6233.3+(453.6-1255.5)+(-6.357966+(-0.462672--1.28061))+0-0-0</f>
        <v>5425.8599720000002</v>
      </c>
      <c r="Z212" s="3">
        <f>6210.7+(540.4-1502.8)+(-6.334914+(-0.551208--1.532856))+0-0-0</f>
        <v>5242.9467340000001</v>
      </c>
      <c r="AA212" s="3">
        <f>6082+(463.8-1390.8)+(-6.20364+(-0.473076--1.418616))+0-0-0</f>
        <v>5149.7419</v>
      </c>
      <c r="AB212" s="3">
        <f>5987.9+(402.8-1518)+(-15.269145+(-1.02714--3.8709))+0-0-0</f>
        <v>4860.2746150000003</v>
      </c>
      <c r="AC212" s="3">
        <f>5759.7+(391.2-1659.1)+(-17.624682+(-1.197072--5.076846))+0-0-0</f>
        <v>4478.0550920000005</v>
      </c>
      <c r="AD212" s="2">
        <v>5693.2000000000007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5496.7+(361.7-1981.9)+(5.606634+(0.368934-2.021538))+0-0-0</f>
        <v>3880.4540299999999</v>
      </c>
      <c r="G213" s="3">
        <f>5452.9+(122.5-2017.3)+(2.780979+(0.062475-1.028823))+0-0-0</f>
        <v>3559.9146309999996</v>
      </c>
      <c r="H213" s="3">
        <f>5296.1+(58.3-1968.9)+(5.402022+(0.059466-2.008278))+0-0-0</f>
        <v>3388.9532100000001</v>
      </c>
      <c r="I213" s="3">
        <f>4959.8+(76.4-1736)+(-2.529498+(-0.038964--0.88536))+0-0-0</f>
        <v>3298.5168980000003</v>
      </c>
      <c r="J213" s="3">
        <f>4897.3+(80.2-1674.6)+(0+(0-0))+0-0-0</f>
        <v>3302.9000000000005</v>
      </c>
      <c r="K213" s="3">
        <f>4849.4+(71.2-1563.7)+(-9.892776+(-0.145248--3.189948))+0-0-0</f>
        <v>3350.0519239999994</v>
      </c>
      <c r="L213" s="3">
        <f>4924.4+(106.1-1655.4)+(5.022888+(0.108222-1.688508))+0-0-0</f>
        <v>3378.5426019999995</v>
      </c>
      <c r="M213" s="3">
        <f>5159+(144.2-1540.1)+(0+(0-0))+0-0-0</f>
        <v>3763.1000000000004</v>
      </c>
      <c r="N213" s="3">
        <f>5444.8+(382.6-1597.5)+(0+(0-0))+0-0-0</f>
        <v>4229.8999999999996</v>
      </c>
      <c r="O213" s="3">
        <f>5546.5+(503.3-1359.8)+(0+(0-0))+0-0-0</f>
        <v>4690</v>
      </c>
      <c r="P213" s="3">
        <f>5575.8+(461.2-1068.5)+(-8.530974+(-0.705636--1.634805))+0-0-0</f>
        <v>4960.8981949999998</v>
      </c>
      <c r="Q213" s="3">
        <f>5618.4+(641-1187.3)+(0+(0-0))+0-0-0</f>
        <v>5072.0999999999995</v>
      </c>
      <c r="R213" s="3">
        <f>5566+(673.8-1249.2)+(-8.51598+(-1.030914--1.911276))+0-0-0</f>
        <v>4982.9643820000001</v>
      </c>
      <c r="S213" s="3">
        <f>5705+(712.1-1555.9)+(0+(0-0))+0-0-0</f>
        <v>4861.2</v>
      </c>
      <c r="T213" s="3">
        <f>5784.8+(716-1758.1)+(0+(0-0))+0-0-0</f>
        <v>4742.7000000000007</v>
      </c>
      <c r="U213" s="3">
        <f>5850.4+(635.3-1835.7)+(-11.934816+(-1.296012--3.744828))+0-0-0</f>
        <v>4640.5140000000001</v>
      </c>
      <c r="V213" s="3">
        <f>5910.1+(495.2-1789.1)+(-9.042453+(-0.757656--2.737323))+0-0-0</f>
        <v>4609.1372140000003</v>
      </c>
      <c r="W213" s="3">
        <f>6001.2+(324.6-1397.2)+(-3.060612+(-0.165546--0.712572))+0-0-0</f>
        <v>4926.0864140000003</v>
      </c>
      <c r="X213" s="3">
        <f>6134.7+(359.3-1314.3)+(-9.386091+(-0.549729--2.010879))+0-0-0</f>
        <v>5171.7750589999996</v>
      </c>
      <c r="Y213" s="3">
        <f>6119+(113.2-1158.9)+(-3.12069+(-0.057732--0.591039))+0-0-0</f>
        <v>5070.7126170000001</v>
      </c>
      <c r="Z213" s="3">
        <f>6093.7+(6.6-1164)+(6.215574+(0.006732-1.18728))+0-0-0</f>
        <v>4941.3350259999988</v>
      </c>
      <c r="AA213" s="3">
        <f>6059.3+(24-1340.2)+(3.090243+(0.01224-0.683502))+0-0-0</f>
        <v>4745.5189810000002</v>
      </c>
      <c r="AB213" s="3">
        <f>5954.7+(36.3-1498.5)+(-6.073794+(-0.037026--1.52847))+0-0-0</f>
        <v>4487.9176500000003</v>
      </c>
      <c r="AC213" s="3">
        <f>5850.7+(25.6-1666.9)+(-8.951571+(-0.039168--2.550357))+0-0-0</f>
        <v>4202.9596179999999</v>
      </c>
      <c r="AD213" s="2">
        <v>5166.3999999999996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5279.1+(35-1558.2)+(-2.692341+(-0.01785--0.794682))+0-0-0</f>
        <v>3753.9844910000006</v>
      </c>
      <c r="G214" s="3">
        <f>5045.9+(37.6-1645.6)+(-5.146818+(-0.038352--1.678512))+0-0-0</f>
        <v>3434.3933419999998</v>
      </c>
      <c r="H214" s="3">
        <f>4798.7+(27-1566.2)+(-7.342011+(-0.04131--2.396286))+0-0-0</f>
        <v>3254.5129649999999</v>
      </c>
      <c r="I214" s="3">
        <f>4709.7+(16.9-1564.9)+(-9.607788+(-0.034476--3.192396))+0-0-0</f>
        <v>3155.2501319999997</v>
      </c>
      <c r="J214" s="3">
        <f>4722.4+(15.4-1619.1)+(0+(0-0))+0-0-0</f>
        <v>3118.7</v>
      </c>
      <c r="K214" s="3">
        <f>4618.9+(10.7-1514.3)+(-7.066917+(-0.016371--2.316879))+0-0-0</f>
        <v>3110.5335909999999</v>
      </c>
      <c r="L214" s="3">
        <f>4492.5+(33.6-1500.2)+(-6.873525+(-0.051408--2.295306))+0-0-0</f>
        <v>3021.2703729999998</v>
      </c>
      <c r="M214" s="3">
        <f>4493.6+(16.7-1439.5)+(2.291736+(0.008517-0.734145))+0-0-0</f>
        <v>3072.3661080000002</v>
      </c>
      <c r="N214" s="3">
        <f>4482.4+(129.5-1341.3)+(2.286024+(0.066045-0.684063))+0-0-0</f>
        <v>3272.2680059999993</v>
      </c>
      <c r="O214" s="3">
        <f>4643+(248.5-1318)+(-9.47172+(-0.50694--2.68872))+0-0-0</f>
        <v>3566.2100599999999</v>
      </c>
      <c r="P214" s="3">
        <f>4752.7+(327.8-1192.6)+(2.423877+(0.167178-0.608226))+0-0-0</f>
        <v>3889.8828289999997</v>
      </c>
      <c r="Q214" s="3">
        <f>5018.1+(348.6-1291.6)+(-7.677693+(-0.533358--1.976148))+0-0-0</f>
        <v>4068.8650970000003</v>
      </c>
      <c r="R214" s="3">
        <f>5088.3+(412.9-1432.1)+(2.595033+(0.210579-0.730371))+0-0-0</f>
        <v>4071.1752410000004</v>
      </c>
      <c r="S214" s="3">
        <f>5062.4+(439.6-1494.9)+(-5.163648+(-0.448392--1.524798))+0-0-0</f>
        <v>4003.0127579999994</v>
      </c>
      <c r="T214" s="3">
        <f>5045.2+(422.5-1529.2)+(-10.292208+(-0.8619--3.119568))+0-0-0</f>
        <v>3930.4654599999999</v>
      </c>
      <c r="U214" s="3">
        <f>5204.9+(342.5-1681.2)+(-10.617996+(-0.6987--3.429648))+0-0-0</f>
        <v>3858.3129519999998</v>
      </c>
      <c r="V214" s="3">
        <f>5256+(153.8-1499.3)+(5.36112+(0.156876-1.529286))+0-0-0</f>
        <v>3914.4887100000001</v>
      </c>
      <c r="W214" s="3">
        <f>5290.6+(59.2-991.1)+(-2.698206+(-0.030192--0.505461))+0-0-0</f>
        <v>4356.4770630000012</v>
      </c>
      <c r="X214" s="3">
        <f>5421.9+(154.7-864.2)+(5.530338+(0.157794-0.881484))+0-0-0</f>
        <v>4717.2066479999994</v>
      </c>
      <c r="Y214" s="3">
        <f>5399.7+(185.2-846.4)+(-8.261541+(-0.283356--1.294992))+0-0-0</f>
        <v>4731.2500950000003</v>
      </c>
      <c r="Z214" s="3">
        <f>5405+(125.5-842.3)+(-11.0262+(-0.25602--1.718292))+0-0-0</f>
        <v>4678.6360720000002</v>
      </c>
      <c r="AA214" s="3">
        <f>5364.9+(78.2-886.5)+(-5.472198+(-0.079764--0.90423))+0-0-0</f>
        <v>4551.9522679999991</v>
      </c>
      <c r="AB214" s="3">
        <f>5197+(76-954.2)+(-5.30094+(-0.07752--0.973284))+0-0-0</f>
        <v>4314.394824</v>
      </c>
      <c r="AC214" s="3">
        <f>5079.8+(100.5-1222.9)+(-5.181396+(-0.10251--1.247358))+0-0-0</f>
        <v>3953.3634520000001</v>
      </c>
      <c r="AD214" s="2">
        <v>4673.6000000000004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4848.1+(131.3-1418.2)+(-9.890124+(-0.267852--2.893128))+0-0-0</f>
        <v>3553.9351520000005</v>
      </c>
      <c r="G215" s="3">
        <f>4706.4+(155.4-1587.7)+(-2.400264+(-0.079254--0.809727))+0-0-0</f>
        <v>3272.4302089999996</v>
      </c>
      <c r="H215" s="3">
        <f>4534.8+(120.6-1511.7)+(-6.938244+(-0.184518--2.312901))+0-0-0</f>
        <v>3138.8901389999996</v>
      </c>
      <c r="I215" s="3">
        <f>4350.7+(125.1-1391.8)+(-6.656571+(-0.191403--2.129454))+0-0-0</f>
        <v>3079.2814800000001</v>
      </c>
      <c r="J215" s="3">
        <f>4302.1+(127.3-1323)+(-4.388142+(-0.129846--1.34946))+0-0-0</f>
        <v>3103.2314720000004</v>
      </c>
      <c r="K215" s="3">
        <f>4320.8+(123-1234.5)+(0+(0-0))+0-0-0</f>
        <v>3209.3</v>
      </c>
      <c r="L215" s="3">
        <f>4314.8+(110.7-988.4)+(-2.200548+(-0.056457--0.504084))+0-0-0</f>
        <v>3435.3470790000006</v>
      </c>
      <c r="M215" s="3">
        <f>4582.4+(195.3-768.5)+(-2.337024+(-0.099603--0.391935))+0-0-0</f>
        <v>4007.1553079999999</v>
      </c>
      <c r="N215" s="3">
        <f>5161.2+(386.5-935.4)+(0+(0-0))+0-0-0</f>
        <v>4612.3</v>
      </c>
      <c r="O215" s="3">
        <f>5165.7+(422.5-741.3)+(-10.538028+(-0.8619--1.512252))+0-0-0</f>
        <v>4837.0123239999994</v>
      </c>
      <c r="P215" s="3">
        <f>5152.6+(492.6-547.2)+(-2.627826+(-0.251226--0.279072))+0-0-0</f>
        <v>5095.40002</v>
      </c>
      <c r="Q215" s="3">
        <f>5291.9+(494.9-515)+(-5.397738+(-0.504798--0.5253))+0-0-0</f>
        <v>5266.422763999999</v>
      </c>
      <c r="R215" s="3">
        <f>5351.7+(304.3-484.9)+(-8.188101+(-0.465579--0.741897))+0-0-0</f>
        <v>5163.1882169999999</v>
      </c>
      <c r="S215" s="3">
        <f>5422+(290.2-643.3)+(-8.29566+(-0.444006--0.984249))+0-0-0</f>
        <v>5061.1445829999993</v>
      </c>
      <c r="T215" s="3">
        <f>5334.1+(327.3-496.4)+(2.720391+(0.166923-0.253164))+0-0-0</f>
        <v>5167.6341499999999</v>
      </c>
      <c r="U215" s="3">
        <f>5325.8+(277.6-490.8)+(-16.296948+(-0.849456--1.501848))+0-0-0</f>
        <v>5096.9554440000002</v>
      </c>
      <c r="V215" s="3">
        <f>5378.8+(246.4-530.4)+(-5.486376+(-0.251328--0.541008))+0-0-0</f>
        <v>5089.6033040000002</v>
      </c>
      <c r="W215" s="3">
        <f>5608+(288.8-467.1)+(0+(0-0))+0-0-0</f>
        <v>5429.7</v>
      </c>
      <c r="X215" s="3">
        <f>5770.6+(339.6-465.1)+(-11.772024+(-0.692784--0.948804))+0-0-0</f>
        <v>5633.5839960000003</v>
      </c>
      <c r="Y215" s="3">
        <f>5719.4+(296.3-540.8)+(-23.335152+(-1.208904--2.206464))+0-0-0</f>
        <v>5452.5624079999998</v>
      </c>
      <c r="Z215" s="3">
        <f>5665+(222.5-583.7)+(-14.44575+(-0.567375--1.488435))+0-0-0</f>
        <v>5290.27531</v>
      </c>
      <c r="AA215" s="3">
        <f>5638.4+(132-693.8)+(-14.37792+(-0.3366--1.76919))+0-0-0</f>
        <v>5063.6546699999999</v>
      </c>
      <c r="AB215" s="3">
        <f>5477.2+(90.8-821)+(-8.380116+(-0.138924--1.25613))+0-0-0</f>
        <v>4739.7370899999996</v>
      </c>
      <c r="AC215" s="3">
        <f>4953.6+(100.7-736.2)+(-2.526336+(-0.051357--0.375462))+0-0-0</f>
        <v>4315.8977690000002</v>
      </c>
      <c r="AD215" s="2">
        <v>5629.2000000000007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4797.5+(53.6-1014.4)+(2.446725+(0.027336-0.517344))+0-0-0</f>
        <v>3838.6567169999998</v>
      </c>
      <c r="G216" s="3">
        <f>4720.9+(54.3-1258.3)+(-9.630636+(-0.110772--2.566932))+0-0-0</f>
        <v>3509.7255239999995</v>
      </c>
      <c r="H216" s="3">
        <f>4648.6+(81.6-1347.6)+(-9.483144+(-0.166464--2.749104))+0-0-0</f>
        <v>3375.6994960000002</v>
      </c>
      <c r="I216" s="3">
        <f>4606+(121.4-1396.7)+(9.39624+(0.247656-2.849268))+0-0-0</f>
        <v>3337.4946279999999</v>
      </c>
      <c r="J216" s="3">
        <f>4504.8+(121.7-1290.2)+(11.48724+(0.310335-3.29001))+0-0-0</f>
        <v>3344.8075650000001</v>
      </c>
      <c r="K216" s="3">
        <f>4439.9+(117.8-1136.6)+(6.793047+(0.180234-1.738998))+0-0-0</f>
        <v>3426.3342829999992</v>
      </c>
      <c r="L216" s="3">
        <f>4466.2+(126.3-1042)+(9.111048+(0.257652-2.12568))+0-0-0</f>
        <v>3557.7430199999999</v>
      </c>
      <c r="M216" s="3">
        <f>4778.4+(125.9-929.1)+(0+(0-0))+0-0-0</f>
        <v>3975.2</v>
      </c>
      <c r="N216" s="3">
        <f>5280.2+(323-1069.6)+(5.385804+(0.32946-1.090992))+0-0-0</f>
        <v>4538.2242720000004</v>
      </c>
      <c r="O216" s="3">
        <f>5521.7+(464.3-1101.5)+(-8.448201+(-0.710379--1.685295))+0-0-0</f>
        <v>4877.026715</v>
      </c>
      <c r="P216" s="3">
        <f>5678.7+(525-1084.8)+(0+(0-0))+0-0-0</f>
        <v>5118.8999999999996</v>
      </c>
      <c r="Q216" s="3">
        <f>5683.9+(645-1057.4)+(-5.797578+(-0.6579--1.078548))+0-0-0</f>
        <v>5266.1230699999996</v>
      </c>
      <c r="R216" s="3">
        <f>5637.7+(675.8-1144.4)+(-11.500908+(-1.378632--2.334576))+0-0-0</f>
        <v>5158.5550359999997</v>
      </c>
      <c r="S216" s="3">
        <f>5660.9+(638.8-1250.7)+(-5.774118+(-0.651576--1.275714))+0-0-0</f>
        <v>5043.8500199999999</v>
      </c>
      <c r="T216" s="3">
        <f>5542.6+(671.8-1073.2)+(-14.13363+(-1.71309--2.73666))+0-0-0</f>
        <v>5128.0899400000008</v>
      </c>
      <c r="U216" s="3">
        <f>5497.1+(604.2-1001.4)+(-2.803521+(-0.308142--0.510714))+0-0-0</f>
        <v>5097.2990510000009</v>
      </c>
      <c r="V216" s="3">
        <f>5505.8+(391.3-787.8)+(0+(0-0))+0-0-0</f>
        <v>5109.3</v>
      </c>
      <c r="W216" s="3">
        <f>5893.7+(227.2-651.4)+(0+(0-0))+0-0-0</f>
        <v>5469.5</v>
      </c>
      <c r="X216" s="3">
        <f>6109.6+(225.3-693.4)+(-6.231792+(-0.229806--0.707268))+0-0-0</f>
        <v>5635.7456700000002</v>
      </c>
      <c r="Y216" s="3">
        <f>6060+(197.2-735.2)+(-6.1812+(-0.201144--0.749904))+0-0-0</f>
        <v>5516.3675599999997</v>
      </c>
      <c r="Z216" s="3">
        <f>5823.9+(184.1-693.7)+(5.940378+(0.187782-0.707574))+0-0-0</f>
        <v>5319.7205859999995</v>
      </c>
      <c r="AA216" s="3">
        <f>5554.2+(206.9-677.6)+(5.665284+(0.211038-0.691152))+0-0-0</f>
        <v>5088.6851699999997</v>
      </c>
      <c r="AB216" s="3">
        <f>5463.7+(144.8-817.9)+(-8.359461+(-0.221544--1.251387))+0-0-0</f>
        <v>4783.2703820000006</v>
      </c>
      <c r="AC216" s="3">
        <f>5142.7+(170.1-916.3)+(-10.491108+(-0.347004--1.869252))+0-0-0</f>
        <v>4387.5311400000001</v>
      </c>
      <c r="AD216" s="2">
        <v>5596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5067.6+(179.7-1360.6)+(-2.584476+(-0.091647--0.693906))+0-0-0</f>
        <v>3884.7177830000005</v>
      </c>
      <c r="G217" s="3">
        <f>5031.5+(182.7-1662.7)+(-7.698195+(-0.279531--2.543931))+0-0-0</f>
        <v>3546.0662050000001</v>
      </c>
      <c r="H217" s="3">
        <f>4843.1+(174.2-1601)+(-9.879924+(-0.355368--3.26604))+0-0-0</f>
        <v>3409.3307480000003</v>
      </c>
      <c r="I217" s="3">
        <f>4740.4+(145-1536.3)+(-4.835208+(-0.1479--1.567026))+0-0-0</f>
        <v>3345.6839179999993</v>
      </c>
      <c r="J217" s="3">
        <f>4724.8+(127.4-1490.4)+(7.228944+(0.194922-2.280312))+0-0-0</f>
        <v>3366.9435540000004</v>
      </c>
      <c r="K217" s="3">
        <f>4659.7+(111.6-1342.2)+(-9.505788+(-0.227664--2.738088))+0-0-0</f>
        <v>3422.1046359999996</v>
      </c>
      <c r="L217" s="3">
        <f>4483.1+(214.8-1119.6)+(0+(0-0))+0-0-0</f>
        <v>3578.3</v>
      </c>
      <c r="M217" s="3">
        <f>4664.8+(297-974.6)+(0+(0-0))+0-0-0</f>
        <v>3987.2000000000003</v>
      </c>
      <c r="N217" s="3">
        <f>4905.3+(850.9-1075.7)+(5.003406+(0.867918-1.097214))+0-0-0</f>
        <v>4685.2741100000003</v>
      </c>
      <c r="O217" s="3">
        <f>5048.9+(797.5-929.6)+(2.574939+(0.406725-0.474096))+0-0-0</f>
        <v>4919.3075679999993</v>
      </c>
      <c r="P217" s="3">
        <f>5244+(738.7-859.9)+(-5.34888+(-0.753474--0.877098))+0-0-0</f>
        <v>5117.5747440000005</v>
      </c>
      <c r="Q217" s="3">
        <f>5298.2+(745.8-697.8)+(-8.106246+(-1.141074--1.067634))+0-0-0</f>
        <v>5338.0203139999994</v>
      </c>
      <c r="R217" s="3">
        <f>5418.4+(790.2-857.5)+(-16.580304+(-2.418012--2.62395))+0-0-0</f>
        <v>5334.7256339999994</v>
      </c>
      <c r="S217" s="3">
        <f>5423+(739.5-948.2)+(0+(0-0))+0-0-0</f>
        <v>5214.3</v>
      </c>
      <c r="T217" s="3">
        <f>5411.6+(783.4-904.2)+(-2.759916+(-0.399534--0.461142))+0-0-0</f>
        <v>5288.1016920000002</v>
      </c>
      <c r="U217" s="3">
        <f>5460.8+(806.9-1012.5)+(0+(0-0))+0-0-0</f>
        <v>5255.2</v>
      </c>
      <c r="V217" s="3">
        <f>5517.4+(708.8-922.8)+(-11.255496+(-1.445952--1.882512))+0-0-0</f>
        <v>5292.581064</v>
      </c>
      <c r="W217" s="3">
        <f>5680+(646.7-807.6)+(-5.7936+(-0.659634--0.823752))+0-0-0</f>
        <v>5513.4705180000001</v>
      </c>
      <c r="X217" s="3">
        <f>5845.7+(672.5-878.1)+(-2.981307+(-0.342975--0.447831))+0-0-0</f>
        <v>5637.2235489999994</v>
      </c>
      <c r="Y217" s="3">
        <f>5715+(639.2-814.5)+(-5.8293+(-0.651984--0.83079))+0-0-0</f>
        <v>5534.0495059999994</v>
      </c>
      <c r="Z217" s="3">
        <f>5713+(673.5-1010.9)+(-14.56815+(-1.717425--2.577795))+0-0-0</f>
        <v>5361.8922200000006</v>
      </c>
      <c r="AA217" s="3">
        <f>5722.7+(706.9-1221.8)+(-11.674308+(-1.442076--2.492472))+0-0-0</f>
        <v>5197.1760880000002</v>
      </c>
      <c r="AB217" s="3">
        <f>5712.3+(709.4-1562.5)+(-8.739819+(-1.085382--2.390625))+0-0-0</f>
        <v>4851.7654240000002</v>
      </c>
      <c r="AC217" s="3">
        <f>5489.5+(525.4-1649.1)+(-5.59929+(-0.535908--1.682082))+0-0-0</f>
        <v>4361.3468840000005</v>
      </c>
      <c r="AD217" s="2">
        <v>5672.9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5085.7+(351.3-1556.5)+(-2.593707+(-0.179163--0.793815))+0-0-0</f>
        <v>3878.5209450000002</v>
      </c>
      <c r="G218" s="3">
        <f>4751.1+(427.6-1612.8)+(2.423061+(0.218076-0.822528))+0-0-0</f>
        <v>3567.7186090000005</v>
      </c>
      <c r="H218" s="3">
        <f>4762.4+(374.2-1718.8)+(0+(0-0))+0-0-0</f>
        <v>3417.7999999999997</v>
      </c>
      <c r="I218" s="3">
        <f>4788+(316.4-1761.1)+(9.76752+(0.645456-3.592644))+0-0-0</f>
        <v>3350.120332</v>
      </c>
      <c r="J218" s="3">
        <f>4766.3+(271.8-1683)+(2.430813+(0.138618-0.85833))+0-0-0</f>
        <v>3356.8111010000002</v>
      </c>
      <c r="K218" s="3">
        <f>4784.6+(254.8-1600.7)+(4.880292+(0.259896-1.632714))+0-0-0</f>
        <v>3442.2074740000003</v>
      </c>
      <c r="L218" s="3">
        <f>4645.6+(280.9-1322.1)+(-4.738512+(-0.286518--1.348542))+0-0-0</f>
        <v>3600.7235120000005</v>
      </c>
      <c r="M218" s="3">
        <f>4757.1+(281.9-1035.9)+(12.130605+(0.718845-2.641545))+0-0-0</f>
        <v>4013.3079050000006</v>
      </c>
      <c r="N218" s="3">
        <f>5150.7+(359.9-972.4)+(-5.253714+(-0.367098--0.991848))+0-0-0</f>
        <v>4533.5710359999994</v>
      </c>
      <c r="O218" s="3">
        <f>5363.1+(526.7-991.3)+(-2.735181+(-0.268617--0.505563))+0-0-0</f>
        <v>4896.001765</v>
      </c>
      <c r="P218" s="3">
        <f>5417+(493.2-787.3)+(0+(0-0))+0-0-0</f>
        <v>5122.8999999999996</v>
      </c>
      <c r="Q218" s="3">
        <f>5635.8+(545.4-932.1)+(2.874258+(0.278154-0.475371))+0-0-0</f>
        <v>5251.7770410000003</v>
      </c>
      <c r="R218" s="3">
        <f>5657.9+(449.6-917.2)+(-5.771058+(-0.458592--0.935544))+0-0-0</f>
        <v>5185.005893999999</v>
      </c>
      <c r="S218" s="3">
        <f>5670.6+(474.6-1090.3)+(-5.784012+(-0.484092--1.112106))+0-0-0</f>
        <v>5049.7440020000004</v>
      </c>
      <c r="T218" s="3">
        <f>5649.5+(521.2-1058)+(5.76249+(0.531624-1.07916))+0-0-0</f>
        <v>5117.9149539999999</v>
      </c>
      <c r="U218" s="3">
        <f>5658.7+(516.1-1068.3)+(-8.657811+(-0.789633--1.634499))+0-0-0</f>
        <v>5098.6870550000003</v>
      </c>
      <c r="V218" s="3">
        <f>5630.3+(445-890.9)+(-5.742906+(-0.4539--0.908718))+0-0-0</f>
        <v>5179.1119120000003</v>
      </c>
      <c r="W218" s="3">
        <f>5743.4+(491.5-745.9)+(0+(0-0))+0-0-0</f>
        <v>5489</v>
      </c>
      <c r="X218" s="3">
        <f>5920.7+(606.5-1069.1)+(-12.078228+(-1.23726--2.180964))+0-0-0</f>
        <v>5446.9654760000003</v>
      </c>
      <c r="Y218" s="3">
        <f>5944.1+(551.8-1131.8)+(-15.157455+(-1.40709--2.88609))+0-0-0</f>
        <v>5350.4215450000002</v>
      </c>
      <c r="Z218" s="3">
        <f>5898+(563.6-1269.4)+(-3.00798+(-0.287436--0.647394))+0-0-0</f>
        <v>5189.5519779999995</v>
      </c>
      <c r="AA218" s="3">
        <f>5798.8+(532.1-1290.5)+(-11.829552+(-1.085484--2.63262))+0-0-0</f>
        <v>5030.1175840000005</v>
      </c>
      <c r="AB218" s="3">
        <f>5609.5+(440.9-1357)+(-2.860845+(-0.224859--0.69207))+0-0-0</f>
        <v>4691.0063659999996</v>
      </c>
      <c r="AC218" s="3">
        <f>5336.2+(379.8-1418.7)+(-16.328772+(-1.162188--4.341222))+0-0-0</f>
        <v>4284.1502619999992</v>
      </c>
      <c r="AD218" s="2">
        <v>5427.7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4868.8+(419.8-1459.2)+(-4.966176+(-0.428196--1.488384))+0-0-0</f>
        <v>3825.4940120000001</v>
      </c>
      <c r="G219" s="3">
        <f>4736.8+(443.2-1652.2)+(-2.415768+(-0.226032--0.842622))+0-0-0</f>
        <v>3526.000822</v>
      </c>
      <c r="H219" s="3">
        <f>4697.8+(413-1718.4)+(0+(0-0))+0-0-0</f>
        <v>3392.4</v>
      </c>
      <c r="I219" s="3">
        <f>4705.3+(386.2-1754.2)+(7.199109+(0.590886-2.683926))+0-0-0</f>
        <v>3342.4060690000001</v>
      </c>
      <c r="J219" s="3">
        <f>4711.3+(350.4-1735.2)+(-4.805526+(-0.357408--1.769904))+0-0-0</f>
        <v>3323.1069699999998</v>
      </c>
      <c r="K219" s="3">
        <f>4723.7+(357.7-1685.9)+(-2.409087+(-0.182427--0.859809))+0-0-0</f>
        <v>3393.7682949999999</v>
      </c>
      <c r="L219" s="3">
        <f>4703.8+(369.9-1507.2)+(-7.196814+(-0.565947--2.306016))+0-0-0</f>
        <v>3561.043255</v>
      </c>
      <c r="M219" s="3">
        <f>4971.1+(408.1-1446.1)+(5.070522+(0.416262-1.475022))+0-0-0</f>
        <v>3937.1117620000005</v>
      </c>
      <c r="N219" s="3">
        <f>5194+(512.5-1158.2)+(0+(0-0))+0-0-0</f>
        <v>4548.3</v>
      </c>
      <c r="O219" s="3">
        <f>5197.1+(630.4-935.4)+(-5.301042+(-0.643008--0.954108))+0-0-0</f>
        <v>4887.1100580000002</v>
      </c>
      <c r="P219" s="3">
        <f>5320.8+(607.7-777.3)+(0+(0-0))+0-0-0</f>
        <v>5151.2000000000007</v>
      </c>
      <c r="Q219" s="3">
        <f>5414.7+(744-925.7)+(-8.284491+(-1.13832--1.416321))+0-0-0</f>
        <v>5224.9935100000002</v>
      </c>
      <c r="R219" s="3">
        <f>5461.7+(705.4-1031.4)+(-11.141868+(-1.439016--2.104056))+0-0-0</f>
        <v>5125.223172</v>
      </c>
      <c r="S219" s="3">
        <f>5519.7+(695.4-1200.2)+(5.630094+(0.709308-1.224204))+0-0-0</f>
        <v>5020.0151980000001</v>
      </c>
      <c r="T219" s="3">
        <f>5520.9+(727.3-1127.5)+(-2.815659+(-0.370923--0.575025))+0-0-0</f>
        <v>5118.0884429999996</v>
      </c>
      <c r="U219" s="3">
        <f>5510.4+(671.8-1116.4)+(-5.620608+(-0.685236--1.138728))+0-0-0</f>
        <v>5060.6328839999996</v>
      </c>
      <c r="V219" s="3">
        <f>5522.5+(558-1014.8)+(0+(0-0))+0-0-0</f>
        <v>5065.7</v>
      </c>
      <c r="W219" s="3">
        <f>5758.1+(573.6-909)+(-5.873262+(-0.585072--0.92718))+0-0-0</f>
        <v>5417.1688460000005</v>
      </c>
      <c r="X219" s="3">
        <f>5953.3+(730.7-1104.7)+(-12.144732+(-1.490628--2.253588))+0-0-0</f>
        <v>5567.9182280000005</v>
      </c>
      <c r="Y219" s="3">
        <f>5865.2+(633.9-1057.2)+(0+(0-0))+0-0-0</f>
        <v>5441.9</v>
      </c>
      <c r="Z219" s="3">
        <f>5864.1+(552.2-1154.6)+(-5.981382+(-0.563244--1.177692))+0-0-0</f>
        <v>5256.3330660000011</v>
      </c>
      <c r="AA219" s="3">
        <f>5885+(593.7-1401.7)+(-9.00405+(-0.908361--2.144601))+0-0-0</f>
        <v>5069.2321899999997</v>
      </c>
      <c r="AB219" s="3">
        <f>5691.4+(417.7-1322)+(-14.51307+(-1.065135--3.3711))+0-0-0</f>
        <v>4774.892894999999</v>
      </c>
      <c r="AC219" s="3">
        <f>5573.1+(306.7-1470.3)+(-5.684562+(-0.312834--1.499706))+0-0-0</f>
        <v>4405.0023099999999</v>
      </c>
      <c r="AD219" s="2">
        <v>5594.5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5387+(418.7-1835.7)+(-10.98948+(-0.854148--3.744828))+0-0-0</f>
        <v>3961.9011999999998</v>
      </c>
      <c r="G220" s="3">
        <f>4934.4+(527.9-1836.8)+(-5.033088+(-0.538458--1.873536))+0-0-0</f>
        <v>3621.8019899999995</v>
      </c>
      <c r="H220" s="3">
        <f>4851.9+(600.5-2018.5)+(4.948938+(0.61251-2.05887))+0-0-0</f>
        <v>3437.4025779999997</v>
      </c>
      <c r="I220" s="3">
        <f>4797.2+(483.7-1893.3)+(-12.23286+(-1.233435--4.827915))+0-0-0</f>
        <v>3378.96162</v>
      </c>
      <c r="J220" s="3">
        <f>4763.9+(360.3-1743.5)+(-12.147945+(-0.918765--4.445925))+0-0-0</f>
        <v>3372.0792149999997</v>
      </c>
      <c r="K220" s="3">
        <f>4714.7+(325.5-1622.4)+(-7.213491+(-0.498015--2.482272))+0-0-0</f>
        <v>3412.5707659999998</v>
      </c>
      <c r="L220" s="3">
        <f>4394+(284.8-1249.4)+(-6.72282+(-0.435744--1.911582))+0-0-0</f>
        <v>3424.1530179999995</v>
      </c>
      <c r="M220" s="3">
        <f>4476.6+(510.6-1183.1)+(6.849198+(0.781218-1.810143))+0-0-0</f>
        <v>3809.9202730000002</v>
      </c>
      <c r="N220" s="3">
        <f>5185.3+(594.3-1435.4)+(-2.644503+(-0.303093--0.732054))+0-0-0</f>
        <v>4341.9844579999999</v>
      </c>
      <c r="O220" s="3">
        <f>5446.2+(502.4-1263.8)+(-5.555124+(-0.512448--1.289076))+0-0-0</f>
        <v>4680.0215040000003</v>
      </c>
      <c r="P220" s="3">
        <f>5562.3+(461.7-1110.1)+(-2.836773+(-0.235467--0.566151))+0-0-0</f>
        <v>4911.3939110000001</v>
      </c>
      <c r="Q220" s="3">
        <f>5583.6+(462.4-984.5)+(-8.542908+(-0.707472--1.506285))+0-0-0</f>
        <v>5053.755905</v>
      </c>
      <c r="R220" s="3">
        <f>5510.9+(454.9-1008.9)+(-11.242236+(-0.927996--2.058156))+0-0-0</f>
        <v>4946.7879239999993</v>
      </c>
      <c r="S220" s="3">
        <f>5333.4+(480.5-1073.6)+(-2.720034+(-0.245055--0.547536))+0-0-0</f>
        <v>4737.882446999999</v>
      </c>
      <c r="T220" s="3">
        <f>5257+(564.1-1131.8)+(-8.04321+(-0.863073--1.731654))+0-0-0</f>
        <v>4682.1253710000001</v>
      </c>
      <c r="U220" s="3">
        <f>5286+(450.8-1125.8)+(-5.39172+(-0.459816--1.148316))+0-0-0</f>
        <v>4606.2967799999997</v>
      </c>
      <c r="V220" s="3">
        <f>5363.3+(309.9-1065)+(0+(0-0))+0-0-0</f>
        <v>4608.2</v>
      </c>
      <c r="W220" s="3">
        <f>5555.3+(391.8-935)+(-5.666406+(-0.399636--0.9537))+0-0-0</f>
        <v>5006.987658</v>
      </c>
      <c r="X220" s="3">
        <f>5762.6+(629.4-1228.3)+(-2.938926+(-0.320994--0.626433))+0-0-0</f>
        <v>5161.0665130000007</v>
      </c>
      <c r="Y220" s="3">
        <f>5659.8+(612-1249.4)+(-11.545992+(-1.24848--2.548776))+0-0-0</f>
        <v>5012.1543039999997</v>
      </c>
      <c r="Z220" s="3">
        <f>5649.9+(615.8-1388.7)+(-5.762898+(-0.628116--1.416474))+0-0-0</f>
        <v>4872.0254599999998</v>
      </c>
      <c r="AA220" s="3">
        <f>5544+(668.1-1498.4)+(-8.48232+(-1.022193--2.292552))+0-0-0</f>
        <v>4706.4880389999998</v>
      </c>
      <c r="AB220" s="3">
        <f>5381.1+(772.3-1590.3)+(-8.233083+(-1.181619--2.433159))+0-0-0</f>
        <v>4556.1184570000005</v>
      </c>
      <c r="AC220" s="3">
        <f>4993.7+(882.5-1617.4)+(-10.187148+(-1.8003--3.299496))+0-0-0</f>
        <v>4250.112047999999</v>
      </c>
      <c r="AD220" s="2">
        <v>5088.8999999999996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4882.7+(822.5-1886.8)+(-7.470531+(-1.258425--2.886804))+0-0-0</f>
        <v>3812.5578479999995</v>
      </c>
      <c r="G221" s="3">
        <f>4840.6+(719.9-2031.3)+(-12.34353+(-1.835745--5.179815))+0-0-0</f>
        <v>3520.2005400000003</v>
      </c>
      <c r="H221" s="3">
        <f>4781.8+(599.5-2052.8)+(0+(0-0))+0-0-0</f>
        <v>3328.5</v>
      </c>
      <c r="I221" s="3">
        <f>4708.5+(389-1886.2)+(-12.006675+(-0.99195--4.80981))+0-0-0</f>
        <v>3203.1111850000002</v>
      </c>
      <c r="J221" s="3">
        <f>4684.9+(307.9-1841.8)+(2.389299+(0.157029-0.939318))+0-0-0</f>
        <v>3152.6070099999997</v>
      </c>
      <c r="K221" s="3">
        <f>4417.8+(293.9-1638.7)+(0+(0-0))+0-0-0</f>
        <v>3073</v>
      </c>
      <c r="L221" s="3">
        <f>4217.5+(361.4-1495.1)+(-4.30185+(-0.368628--1.525002))+0-0-0</f>
        <v>3080.654524</v>
      </c>
      <c r="M221" s="3">
        <f>4155.3+(352-1469.1)+(-4.238406+(-0.35904--1.498482))+0-0-0</f>
        <v>3035.1010360000005</v>
      </c>
      <c r="N221" s="3">
        <f>4197.5+(405.4-1384.6)+(4.28145+(0.413508-1.412292))+0-0-0</f>
        <v>3221.5826660000002</v>
      </c>
      <c r="O221" s="3">
        <f>4314.7+(619.6-1435.1)+(2.200497+(0.315996-0.731901))+0-0-0</f>
        <v>3500.9845919999998</v>
      </c>
      <c r="P221" s="3">
        <f>4623.4+(815.5-1596.2)+(-9.431736+(-1.66362--3.256248))+0-0-0</f>
        <v>3834.8608919999997</v>
      </c>
      <c r="Q221" s="3">
        <f>4776.2+(969.5-1672.9)+(-2.435862+(-0.494445--0.853179))+0-0-0</f>
        <v>4070.7228719999998</v>
      </c>
      <c r="R221" s="3">
        <f>4712.8+(762.3-1424.3)+(-7.210584+(-1.166319--2.179179))+0-0-0</f>
        <v>4044.6022760000001</v>
      </c>
      <c r="S221" s="3">
        <f>4703.5+(677.6-1398.8)+(-9.59514+(-1.382304--2.853552))+0-0-0</f>
        <v>3974.1761080000001</v>
      </c>
      <c r="T221" s="3">
        <f>4747.1+(537.1-1364.9)+(-9.684084+(-1.095684--2.784396))+0-0-0</f>
        <v>3911.3046280000003</v>
      </c>
      <c r="U221" s="3">
        <f>4710.9+(423-1247.1)+(-4.805118+(-0.43146--1.272042))+0-0-0</f>
        <v>3882.8354639999998</v>
      </c>
      <c r="V221" s="3">
        <f>4556.8+(283.6-911.3)+(-2.323968+(-0.144636--0.464763))+0-0-0</f>
        <v>3927.0961590000002</v>
      </c>
      <c r="W221" s="3">
        <f>5017.9+(244.6-914.4)+(-7.677387+(-0.374238--1.399032))+0-0-0</f>
        <v>4341.4474069999997</v>
      </c>
      <c r="X221" s="3">
        <f>5355.4+(350.4-1083.7)+(-2.731254+(-0.178704--0.552687))+0-0-0</f>
        <v>4619.7427289999996</v>
      </c>
      <c r="Y221" s="3">
        <f>5264.9+(357.4-998.5)+(-10.740396+(-0.729096--2.03694))+0-0-0</f>
        <v>4614.3674479999991</v>
      </c>
      <c r="Z221" s="3">
        <f>5352.9+(409.8-1175.1)+(0+(0-0))+0-0-0</f>
        <v>4587.5999999999995</v>
      </c>
      <c r="AA221" s="3">
        <f>5380.8+(475.5-1375.1)+(0+(0-0))+0-0-0</f>
        <v>4481.2000000000007</v>
      </c>
      <c r="AB221" s="3">
        <f>5363.4+(563.9-1619.6)+(-2.735334+(-0.287589--0.825996))+0-0-0</f>
        <v>4305.5030729999999</v>
      </c>
      <c r="AC221" s="3">
        <f>5308.3+(459.9-1795.9)+(-8.121699+(-0.703647--2.747727))+0-0-0</f>
        <v>3966.222381</v>
      </c>
      <c r="AD221" s="2">
        <v>4612.6000000000004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5157.4+(282.3-1876.7)+(-5.260548+(-0.287946--1.914234))+0-0-0</f>
        <v>3559.3657399999997</v>
      </c>
      <c r="G222" s="3">
        <f>4840.4+(235-1816.6)+(-4.937208+(-0.2397--1.852932))+0-0-0</f>
        <v>3255.4760239999996</v>
      </c>
      <c r="H222" s="3">
        <f>4699.8+(156.6-1757)+(2.396898+(0.079866-0.89607))+0-0-0</f>
        <v>3100.9806940000003</v>
      </c>
      <c r="I222" s="3">
        <f>4661.6+(148.6-1724.4)+(-7.132248+(-0.227358--2.638332))+0-0-0</f>
        <v>3081.0787260000002</v>
      </c>
      <c r="J222" s="3">
        <f>4634.1+(158.7-1693.2)+(-2.363391+(-0.080937--0.863532))+0-0-0</f>
        <v>3098.0192040000002</v>
      </c>
      <c r="K222" s="3">
        <f>4558.2+(130.5-1486.7)+(-9.298728+(-0.26622--3.032868))+0-0-0</f>
        <v>3195.46792</v>
      </c>
      <c r="L222" s="3">
        <f>4456.3+(147.1-1224.6)+(-2.272713+(-0.075021--0.624546))+0-0-0</f>
        <v>3377.0768120000002</v>
      </c>
      <c r="M222" s="3">
        <f>4700.3+(234.9-1156.2)+(0+(0-0))+0-0-0</f>
        <v>3779</v>
      </c>
      <c r="N222" s="3">
        <f>5563.8+(265.4-1469)+(0+(0-0))+0-0-0</f>
        <v>4360.2000000000007</v>
      </c>
      <c r="O222" s="3">
        <f>5804.1+(550.1-1533.3)+(-11.840364+(-1.122204--3.127932))+0-0-0</f>
        <v>4811.065364000001</v>
      </c>
      <c r="P222" s="3">
        <f>5853+(608.1-1359)+(11.94012+(1.240524-2.77236))+0-0-0</f>
        <v>5112.5082840000005</v>
      </c>
      <c r="Q222" s="3">
        <f>5845.6+(647.4-1206.2)+(2.981256+(0.330174-0.615162))+0-0-0</f>
        <v>5289.4962679999999</v>
      </c>
      <c r="R222" s="3">
        <f>5779.9+(680.2-1273.7)+(-14.738745+(-1.73451--3.247935))+0-0-0</f>
        <v>5173.1746800000001</v>
      </c>
      <c r="S222" s="3">
        <f>5838.4+(736.2-1462.3)+(5.955168+(0.750924-1.491546))+0-0-0</f>
        <v>5117.5145459999994</v>
      </c>
      <c r="T222" s="3">
        <f>5869.8+(797.2-1497.5)+(0+(0-0))+0-0-0</f>
        <v>5169.5</v>
      </c>
      <c r="U222" s="3">
        <f>5866.2+(822.8-1436.4)+(-5.983524+(-0.839256--1.465128))+0-0-0</f>
        <v>5247.2423479999998</v>
      </c>
      <c r="V222" s="3">
        <f>5732.8+(448.7-990.4)+(5.847456+(0.457674-1.010208))+0-0-0</f>
        <v>5196.3949220000004</v>
      </c>
      <c r="W222" s="3">
        <f>5810+(356.5-798.7)+(-8.8893+(-0.545445--1.222011))+0-0-0</f>
        <v>5359.5872660000005</v>
      </c>
      <c r="X222" s="3">
        <f>5854+(436.1-853.6)+(-14.9277+(-1.112055--2.17668))+0-0-0</f>
        <v>5422.6369249999998</v>
      </c>
      <c r="Y222" s="3">
        <f>5859.3+(344-885.5)+(-14.941215+(-0.8772--2.258025))+0-0-0</f>
        <v>5304.2396100000005</v>
      </c>
      <c r="Z222" s="3">
        <f>5878.2+(245.8-949.4)+(-8.993646+(-0.376074--1.452582))+0-0-0</f>
        <v>5166.6828620000006</v>
      </c>
      <c r="AA222" s="3">
        <f>5796.6+(232.5-1006.9)+(-8.868798+(-0.355725--1.540557))+0-0-0</f>
        <v>5014.5160340000011</v>
      </c>
      <c r="AB222" s="3">
        <f>5664.1+(179.6-1081.3)+(-5.777382+(-0.183192--1.102926))+0-0-0</f>
        <v>4757.5423520000004</v>
      </c>
      <c r="AC222" s="3">
        <f>5397.3+(120.6-1201.6)+(-5.505246+(-0.123012--1.225632))+0-0-0</f>
        <v>4311.8973740000001</v>
      </c>
      <c r="AD222" s="2">
        <v>5462.2000000000007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5094.6+(134.4-1374.2)+(0+(0-0))+0-0-0</f>
        <v>3854.8</v>
      </c>
      <c r="G223" s="3">
        <f>4989.4+(142.2-1577)+(-7.633782+(-0.217566--2.41281))+0-0-0</f>
        <v>3549.1614619999996</v>
      </c>
      <c r="H223" s="3">
        <f>4774.7+(135.2-1498.2)+(-12.175485+(-0.34476--3.82041))+0-0-0</f>
        <v>3403.0001649999999</v>
      </c>
      <c r="I223" s="3">
        <f>4619.3+(147.3-1428.5)+(2.355843+(0.075123-0.728535))+0-0-0</f>
        <v>3339.8024310000005</v>
      </c>
      <c r="J223" s="3">
        <f>4613.1+(130.9-1399.7)+(0+(0-0))+0-0-0</f>
        <v>3344.3</v>
      </c>
      <c r="K223" s="3">
        <f>4415.1+(129.8-1124.8)+(0+(0-0))+0-0-0</f>
        <v>3420.1000000000004</v>
      </c>
      <c r="L223" s="3">
        <f>4287.7+(200.8-914.6)+(0+(0-0))+0-0-0</f>
        <v>3573.8999999999996</v>
      </c>
      <c r="M223" s="3">
        <f>4693.5+(276.9-1005.8)+(-4.78737+(-0.282438--1.025916))+0-0-0</f>
        <v>3960.5561079999998</v>
      </c>
      <c r="N223" s="3">
        <f>5326.7+(339.7-1178.7)+(2.716617+(0.173247-0.601137))+0-0-0</f>
        <v>4489.9887269999999</v>
      </c>
      <c r="O223" s="3">
        <f>5721.4+(445.5-1304.6)+(-11.671656+(-0.90882--2.661384))+0-0-0</f>
        <v>4852.3809079999992</v>
      </c>
      <c r="P223" s="3">
        <f>5785.8+(442.6-1157.7)+(0+(0-0))+0-0-0</f>
        <v>5070.7</v>
      </c>
      <c r="Q223" s="3">
        <f>5729+(420.8-977.3)+(-14.60895+(-1.07304--2.492115))+0-0-0</f>
        <v>5159.310125</v>
      </c>
      <c r="R223" s="3">
        <f>5691.6+(368-924.2)+(-8.708148+(-0.56304--1.414026))+0-0-0</f>
        <v>5127.5428380000003</v>
      </c>
      <c r="S223" s="3">
        <f>5613.7+(309.3-920.4)+(2.862987+(0.157743-0.469404))+0-0-0</f>
        <v>5005.1513260000002</v>
      </c>
      <c r="T223" s="3">
        <f>5601+(347.5-876.1)+(-5.71302+(-0.35445--0.893622))+0-0-0</f>
        <v>5067.2261519999993</v>
      </c>
      <c r="U223" s="3">
        <f>5642.8+(361.3-978.9)+(-2.877828+(-0.184263--0.499239))+0-0-0</f>
        <v>5022.6371480000007</v>
      </c>
      <c r="V223" s="3">
        <f>5721.7+(335.7-1030.8)+(5.836134+(0.342414-1.051416))+0-0-0</f>
        <v>5031.727132</v>
      </c>
      <c r="W223" s="3">
        <f>6001.6+(156-811.4)+(0+(0-0))+0-0-0</f>
        <v>5346.2000000000007</v>
      </c>
      <c r="X223" s="3">
        <f>6048.9+(136.4-742)+(-6.169878+(-0.139128--0.75684))+0-0-0</f>
        <v>5437.7478339999989</v>
      </c>
      <c r="Y223" s="3">
        <f>5997.1+(147.5-833.8)+(-9.175563+(-0.225675--1.275714))+0-0-0</f>
        <v>5302.6744760000001</v>
      </c>
      <c r="Z223" s="3">
        <f>6028.4+(149.9-1006.1)+(-9.223452+(-0.229347--1.539333))+0-0-0</f>
        <v>5164.2865339999998</v>
      </c>
      <c r="AA223" s="3">
        <f>5941.8+(181.7-1062.1)+(-6.060636+(-0.185334--1.083342))+0-0-0</f>
        <v>5056.2373720000005</v>
      </c>
      <c r="AB223" s="3">
        <f>5764.1+(127.5-1118.9)+(-8.819073+(-0.195075--1.711917))+0-0-0</f>
        <v>4765.3977690000011</v>
      </c>
      <c r="AC223" s="3">
        <f>5450.9+(146.7-1250.2)+(-13.899795+(-0.374085--3.18801))+0-0-0</f>
        <v>4336.3141299999997</v>
      </c>
      <c r="AD223" s="2">
        <v>5613.3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5276.6+(82.7-1447.2)+(-2.691066+(-0.042177--0.738072))+0-0-0</f>
        <v>3910.1048290000003</v>
      </c>
      <c r="G224" s="3">
        <f>4962.7+(102.4-1465.2)+(0+(0-0))+0-0-0</f>
        <v>3599.8999999999996</v>
      </c>
      <c r="H224" s="3">
        <f>4952.2+(103.8-1614.9)+(7.576866+(0.158814-2.470797))+0-0-0</f>
        <v>3446.3648829999993</v>
      </c>
      <c r="I224" s="3">
        <f>4919.9+(102.1-1648.8)+(5.018298+(0.104142-1.681776))+0-0-0</f>
        <v>3376.640664</v>
      </c>
      <c r="J224" s="3">
        <f>4879.3+(60.4-1565)+(4.976886+(0.061608-1.5963))+0-0-0</f>
        <v>3378.1421940000005</v>
      </c>
      <c r="K224" s="3">
        <f>4811.1+(68.7-1425.7)+(-2.453661+(-0.035037--0.727107))+0-0-0</f>
        <v>3452.3384090000004</v>
      </c>
      <c r="L224" s="3">
        <f>4947.7+(50.9-1382.2)+(-2.523327+(-0.025959--0.704922))+0-0-0</f>
        <v>3614.5556359999996</v>
      </c>
      <c r="M224" s="3">
        <f>5329.7+(138.5-1364.1)+(-10.872588+(-0.28254--2.782764))+0-0-0</f>
        <v>4095.7276360000005</v>
      </c>
      <c r="N224" s="3">
        <f>5759.7+(148.6-1386.6)+(8.812341+(0.227358-2.121498))+0-0-0</f>
        <v>4528.6182010000002</v>
      </c>
      <c r="O224" s="3">
        <f>5818.2+(263.9-1161.1)+(-11.869128+(-0.538356--2.368644))+0-0-0</f>
        <v>4910.9611599999998</v>
      </c>
      <c r="P224" s="3">
        <f>5695.4+(277.4-763.9)+(0+(0-0))+0-0-0</f>
        <v>5208.8999999999996</v>
      </c>
      <c r="Q224" s="3">
        <f>5693.5+(278.9-745.8)+(-2.903685+(-0.142239--0.380358))+0-0-0</f>
        <v>5223.9344340000007</v>
      </c>
      <c r="R224" s="3">
        <f>5733.2+(386-948)+(-11.695728+(-0.78744--1.93392))+0-0-0</f>
        <v>5160.6507519999996</v>
      </c>
      <c r="S224" s="3">
        <f>5710.6+(380.5-1034.8)+(-5.824812+(-0.38811--1.055496))+0-0-0</f>
        <v>5051.1425740000004</v>
      </c>
      <c r="T224" s="3">
        <f>5674.5+(438.9-967.7)+(-2.893995+(-0.223839--0.493527))+0-0-0</f>
        <v>5143.0756929999998</v>
      </c>
      <c r="U224" s="3">
        <f>5670.7+(426.5-1007.5)+(-8.676171+(-0.652545--1.541475))+0-0-0</f>
        <v>5081.9127589999998</v>
      </c>
      <c r="V224" s="3">
        <f>5654.1+(269.5-841.8)+(-20.185137+(-0.962115--3.005226))+0-0-0</f>
        <v>5063.6579739999997</v>
      </c>
      <c r="W224" s="3">
        <f>5988.9+(158.1-656.9)+(-6.108678+(-0.161262--0.670038))+0-0-0</f>
        <v>5484.5000979999995</v>
      </c>
      <c r="X224" s="3">
        <f>6218.1+(122.7-707.4)+(-15.856155+(-0.312885--1.80387))+0-0-0</f>
        <v>5619.0348300000005</v>
      </c>
      <c r="Y224" s="3">
        <f>6029.8+(165.6-726.4)+(-3.075198+(-0.084456--0.370464))+0-0-0</f>
        <v>5466.2108099999996</v>
      </c>
      <c r="Z224" s="3">
        <f>5902.9+(167.1-753.5)+(-21.073353+(-0.596547--2.689995))+0-0-0</f>
        <v>5297.5200949999999</v>
      </c>
      <c r="AA224" s="3">
        <f>5604.7+(170.3-673)+(-11.433588+(-0.347412--1.37292))+0-0-0</f>
        <v>5091.5919199999998</v>
      </c>
      <c r="AB224" s="3">
        <f>5460.8+(115.6-752.6)+(-13.92504+(-0.29478--1.91913))+0-0-0</f>
        <v>4811.4993100000002</v>
      </c>
      <c r="AC224" s="3">
        <f>5125.2+(157.8-870.8)+(-13.06926+(-0.40239--2.22054))+0-0-0</f>
        <v>4400.9488899999997</v>
      </c>
      <c r="AD224" s="2">
        <v>5625.4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5026.9+(200.7-1281.1)+(-10.254876+(-0.409428--2.613444))+0-0-0</f>
        <v>3938.4491400000002</v>
      </c>
      <c r="G225" s="3">
        <f>4746.9+(174.4-1290.1)+(-9.683676+(-0.355776--2.631804))+0-0-0</f>
        <v>3623.7923519999999</v>
      </c>
      <c r="H225" s="3">
        <f>4548.8+(137.3-1221.1)+(-4.639776+(-0.140046--1.245522))+0-0-0</f>
        <v>3461.4657000000002</v>
      </c>
      <c r="I225" s="3">
        <f>4422.6+(155.4-1191.4)+(-4.511052+(-0.158508--1.215228))+0-0-0</f>
        <v>3383.1456680000006</v>
      </c>
      <c r="J225" s="3">
        <f>4289+(218.5-1135.9)+(4.37478+(0.22287-1.158618))+0-0-0</f>
        <v>3375.0390320000001</v>
      </c>
      <c r="K225" s="3">
        <f>4314.4+(188.2-1050.7)+(4.400688+(0.191964-1.071714))+0-0-0</f>
        <v>3455.4209379999998</v>
      </c>
      <c r="L225" s="3">
        <f>4313.2+(266.2-954.1)+(0+(0-0))+0-0-0</f>
        <v>3625.2999999999997</v>
      </c>
      <c r="M225" s="3">
        <f>4509.7+(413.8-908.7)+(4.599894+(0.422076-0.926874))+0-0-0</f>
        <v>4018.8950959999997</v>
      </c>
      <c r="N225" s="3">
        <f>5039.9+(288.6-746.5)+(-7.711047+(-0.441558--1.142145))+0-0-0</f>
        <v>4574.9895399999996</v>
      </c>
      <c r="O225" s="3">
        <f>5228.4+(430.2-771.6)+(7.999452+(0.658206-1.180548))+0-0-0</f>
        <v>4894.4771099999998</v>
      </c>
      <c r="P225" s="3">
        <f>5481.2+(320.2-675.4)+(-2.795412+(-0.163302--0.344454))+0-0-0</f>
        <v>5123.3857399999997</v>
      </c>
      <c r="Q225" s="3">
        <f>5556.7+(287.3-615.4)+(0+(0-0))+0-0-0</f>
        <v>5228.5999999999995</v>
      </c>
      <c r="R225" s="3">
        <f>5509.4+(263.3-613.2)+(-8.429382+(-0.402849--0.938196))+0-0-0</f>
        <v>5151.6059649999997</v>
      </c>
      <c r="S225" s="3">
        <f>5405.4+(240-599.4)+(0+(0-0))+0-0-0</f>
        <v>5046</v>
      </c>
      <c r="T225" s="3">
        <f>5379.2+(263.1-554.9)+(-5.486784+(-0.268362--0.565998))+0-0-0</f>
        <v>5082.2108519999992</v>
      </c>
      <c r="U225" s="3">
        <f>5411.8+(235-567.8)+(-8.280054+(-0.35955--0.868734))+0-0-0</f>
        <v>5071.2291299999997</v>
      </c>
      <c r="V225" s="3">
        <f>5484.7+(168-607.9)+(-5.594394+(-0.17136--0.620058))+0-0-0</f>
        <v>5039.6543040000006</v>
      </c>
      <c r="W225" s="3">
        <f>6025.9+(129.7-619)+(6.146418+(0.132294-0.63138))+0-0-0</f>
        <v>5542.247331999999</v>
      </c>
      <c r="X225" s="3">
        <f>6142.8+(185.6-672.4)+(-6.265656+(-0.189312--0.685848))+0-0-0</f>
        <v>5650.2308800000001</v>
      </c>
      <c r="Y225" s="3">
        <f>5845.2+(194.1-648.2)+(-14.90526+(-0.494955--1.65291))+0-0-0</f>
        <v>5377.3526949999996</v>
      </c>
      <c r="Z225" s="3">
        <f>5727.8+(272.7-670.3)+(5.842356+(0.278154-0.683706))+0-0-0</f>
        <v>5335.6368039999998</v>
      </c>
      <c r="AA225" s="3">
        <f>5618.7+(181.1-698.2)+(-14.327685+(-0.461805--1.78041))+0-0-0</f>
        <v>5088.5909199999996</v>
      </c>
      <c r="AB225" s="3">
        <f>5640.3+(71.6-907.9)+(-2.876553+(-0.036516--0.463029))+0-0-0</f>
        <v>4801.5499600000003</v>
      </c>
      <c r="AC225" s="3">
        <f>5461.3+(34.9-1078.4)+(-2.785263+(-0.017799--0.549984))+0-0-0</f>
        <v>4415.5469220000004</v>
      </c>
      <c r="AD225" s="2">
        <v>5583.5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5339.4+(68.5-1408.1)+(-13.61547+(-0.174675--3.590655))+0-0-0</f>
        <v>3989.6005099999998</v>
      </c>
      <c r="G226" s="3">
        <f>5009.4+(103.5-1375.4)+(-2.554794+(-0.052785--0.701454))+0-0-0</f>
        <v>3735.5938749999996</v>
      </c>
      <c r="H226" s="3">
        <f>4925.8+(102-1430.1)+(-10.048632+(-0.20808--2.917404))+0-0-0</f>
        <v>3590.3606920000002</v>
      </c>
      <c r="I226" s="3">
        <f>4789.2+(110.9-1376.1)+(-4.884984+(-0.113118--1.403622))+0-0-0</f>
        <v>3520.4055199999998</v>
      </c>
      <c r="J226" s="3">
        <f>4605.2+(106.5-1306.5)+(11.74326+(0.271575-3.331575))+0-0-0</f>
        <v>3413.8832599999996</v>
      </c>
      <c r="K226" s="3">
        <f>4527.2+(136.7-1165.9)+(4.617744+(0.139434-1.189218))+0-0-0</f>
        <v>3501.5679599999999</v>
      </c>
      <c r="L226" s="3">
        <f>4551.7+(155.7-1047)+(-2.321367+(-0.079407--0.53397))+0-0-0</f>
        <v>3658.5331959999999</v>
      </c>
      <c r="M226" s="3">
        <f>4841.4+(158-963.3)+(-7.407342+(-0.24174--1.473849))+0-0-0</f>
        <v>4029.9247669999995</v>
      </c>
      <c r="N226" s="3">
        <f>5314.5+(257.8-971.4)+(-13.551975+(-0.65739--2.47707))+0-0-0</f>
        <v>4589.1677049999998</v>
      </c>
      <c r="O226" s="3">
        <f>5419.3+(293.1-762.6)+(8.291529+(0.448443-1.166778))+0-0-0</f>
        <v>4957.3731939999998</v>
      </c>
      <c r="P226" s="3">
        <f>5853.6+(264.6-978.5)+(5.970672+(0.269892-0.99807))+0-0-0</f>
        <v>5144.9424940000008</v>
      </c>
      <c r="Q226" s="3">
        <f>5922.4+(234.9-881.9)+(0+(0-0))+0-0-0</f>
        <v>5275.4</v>
      </c>
      <c r="R226" s="3">
        <f>5801.5+(234.1-753.1)+(-8.876295+(-0.358173--1.152243))+0-0-0</f>
        <v>5274.4177749999999</v>
      </c>
      <c r="S226" s="3">
        <f>5737.2+(261.1-827.8)+(-11.703888+(-0.532644--1.688712))+0-0-0</f>
        <v>5159.9521800000002</v>
      </c>
      <c r="T226" s="3">
        <f>5605+(295.4-636.1)+(-2.85855+(-0.150654--0.324411))+0-0-0</f>
        <v>5261.6152069999998</v>
      </c>
      <c r="U226" s="3">
        <f>5554.7+(219.9-546.4)+(-14.164485+(-0.560745--1.39332))+0-0-0</f>
        <v>5214.8680899999999</v>
      </c>
      <c r="V226" s="3">
        <f>5408.5+(237.1-441.3)+(-11.03334+(-0.483684--0.900252))+0-0-0</f>
        <v>5193.6832279999999</v>
      </c>
      <c r="W226" s="3">
        <f>5856+(155.9-541.3)+(-2.98656+(-0.079509--0.276063))+0-0-0</f>
        <v>5467.8099940000002</v>
      </c>
      <c r="X226" s="3">
        <f>6026.7+(108.8-760.1)+(-6.147234+(-0.110976--0.775302))+0-0-0</f>
        <v>5369.9170919999997</v>
      </c>
      <c r="Y226" s="3">
        <f>5950.4+(107.6-820.8)+(-18.208224+(-0.329256--2.511648))+0-0-0</f>
        <v>5221.1741679999996</v>
      </c>
      <c r="Z226" s="3">
        <f>5916.7+(115.4-829.9)+(-18.105102+(-0.353124--2.539494))+0-0-0</f>
        <v>5186.2812679999997</v>
      </c>
      <c r="AA226" s="3">
        <f>5839.4+(67-851.7)+(-2.978094+(-0.03417--0.434367))+0-0-0</f>
        <v>5052.1221029999997</v>
      </c>
      <c r="AB226" s="3">
        <f>5691.5+(28.8-961.7)+(-11.61066+(-0.058752--1.961868))+0-0-0</f>
        <v>4748.8924560000005</v>
      </c>
      <c r="AC226" s="3">
        <f>5360.2+(75.7-1005.9)+(-10.934808+(-0.154428--2.052036))+0-0-0</f>
        <v>4420.9628000000002</v>
      </c>
      <c r="AD226" s="2">
        <v>5550.4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5029.6+(105.8-1163.1)+(-2.565096+(-0.053958--0.593181))+0-0-0</f>
        <v>3970.2741270000001</v>
      </c>
      <c r="G227" s="3">
        <f>4680.6+(175.2-1243.9)+(0+(0-0))+0-0-0</f>
        <v>3611.9000000000005</v>
      </c>
      <c r="H227" s="3">
        <f>4475.8+(190-1214.9)+(4.565316+(0.1938-1.239198))+0-0-0</f>
        <v>3454.4199180000001</v>
      </c>
      <c r="I227" s="3">
        <f>4524.6+(163.5-1318.3)+(9.230184+(0.33354-2.689332))+0-0-0</f>
        <v>3376.6743920000004</v>
      </c>
      <c r="J227" s="3">
        <f>4499.6+(153.9-1292.7)+(0+(0-0))+0-0-0</f>
        <v>3360.8</v>
      </c>
      <c r="K227" s="3">
        <f>4452.2+(177.1-1208.9)+(6.811866+(0.270963-1.849617))+0-0-0</f>
        <v>3425.6332119999997</v>
      </c>
      <c r="L227" s="3">
        <f>4374+(249.2-1174.8)+(-11.1537+(-0.63546--2.99574))+0-0-0</f>
        <v>3439.6065800000001</v>
      </c>
      <c r="M227" s="3">
        <f>4895.7+(316.4-1328.5)+(4.993614+(0.322728-1.35507))+0-0-0</f>
        <v>3887.5612719999999</v>
      </c>
      <c r="N227" s="3">
        <f>5141.6+(460.1-1391)+(0+(0-0))+0-0-0</f>
        <v>4210.7000000000007</v>
      </c>
      <c r="O227" s="3">
        <f>5256.9+(448.6-1104.1)+(0+(0-0))+0-0-0</f>
        <v>4601.3999999999996</v>
      </c>
      <c r="P227" s="3">
        <f>5426.6+(422.3-1016.7)+(2.767566+(0.215373-0.518517))+0-0-0</f>
        <v>4834.6644220000007</v>
      </c>
      <c r="Q227" s="3">
        <f>5503.4+(405.1-962.7)+(-8.420202+(-0.619803--1.472931))+0-0-0</f>
        <v>4938.2329259999997</v>
      </c>
      <c r="R227" s="3">
        <f>5408+(412.3-978.6)+(-13.7904+(-1.051365--2.49543))+0-0-0</f>
        <v>4829.3536649999996</v>
      </c>
      <c r="S227" s="3">
        <f>5220.6+(361.3-951)+(-7.987518+(-0.552789--1.45503))+0-0-0</f>
        <v>4623.8147230000004</v>
      </c>
      <c r="T227" s="3">
        <f>5143.3+(406.2-963.8)+(10.492332+(0.828648-1.966152))+0-0-0</f>
        <v>4595.0548280000012</v>
      </c>
      <c r="U227" s="3">
        <f>5142.7+(310.5-948.3)+(-7.868331+(-0.475065--1.450899))+0-0-0</f>
        <v>4498.0075029999998</v>
      </c>
      <c r="V227" s="3">
        <f>5041.2+(225.1-750.3)+(7.713036+(0.344403-1.147959))+0-0-0</f>
        <v>4522.9094800000003</v>
      </c>
      <c r="W227" s="3">
        <f>5706.3+(99.2-802.8)+(-2.910213+(-0.050592--0.409428))+0-0-0</f>
        <v>5000.148623000001</v>
      </c>
      <c r="X227" s="3">
        <f>5911.4+(118.2-904.2)+(-12.059256+(-0.241128--1.844568))+0-0-0</f>
        <v>5114.944184</v>
      </c>
      <c r="Y227" s="3">
        <f>5811.2+(137-931.8)+(2.963712+(0.06987-0.475218))+0-0-0</f>
        <v>5018.9583640000001</v>
      </c>
      <c r="Z227" s="3">
        <f>5715.2+(79.8-902.3)+(-8.744256+(-0.122094--1.380519))+0-0-0</f>
        <v>4885.2141689999999</v>
      </c>
      <c r="AA227" s="3">
        <f>5604.3+(66-971.9)+(-11.432772+(-0.13464--1.982676))+0-0-0</f>
        <v>4688.8152640000008</v>
      </c>
      <c r="AB227" s="3">
        <f>5546+(38.8-1094.5)+(-5.65692+(-0.039576--1.11639))+0-0-0</f>
        <v>4485.7198939999998</v>
      </c>
      <c r="AC227" s="3">
        <f>5230.8+(64.4-1085.1)+(-8.003124+(-0.098532--1.660203))+0-0-0</f>
        <v>4203.658547</v>
      </c>
      <c r="AD227" s="2">
        <v>5128.5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5179.5+(116.6-1451.7)+(-13.207725+(-0.29733--3.701835))+0-0-0</f>
        <v>3834.5967799999999</v>
      </c>
      <c r="G228" s="3">
        <f>4895.9+(83.1-1429.1)+(0+(0-0))+0-0-0</f>
        <v>3549.8999999999996</v>
      </c>
      <c r="H228" s="3">
        <f>4755.9+(72.8-1465.3)+(-12.127545+(-0.18564--3.736515))+0-0-0</f>
        <v>3354.8233299999997</v>
      </c>
      <c r="I228" s="3">
        <f>4551.3+(77.3-1372.2)+(-6.963489+(-0.118269--2.099466))+0-0-0</f>
        <v>3251.4177079999999</v>
      </c>
      <c r="J228" s="3">
        <f>4480.8+(96.9-1354.1)+(0+(0-0))+0-0-0</f>
        <v>3223.6000000000004</v>
      </c>
      <c r="K228" s="3">
        <f>4492.8+(105.1-1368.2)+(4.582656+(0.107202-1.395564))+0-0-0</f>
        <v>3232.9942939999996</v>
      </c>
      <c r="L228" s="3">
        <f>4330.2+(104.1-1288)+(-15.458814+(-0.371637--4.59816))+0-0-0</f>
        <v>3135.0677089999999</v>
      </c>
      <c r="M228" s="3">
        <f>4165+(117.3-1212.4)+(-6.37245+(-0.179469--1.854972))+0-0-0</f>
        <v>3065.2030529999997</v>
      </c>
      <c r="N228" s="3">
        <f>4697.6+(112.9-1554)+(0+(0-0))+0-0-0</f>
        <v>3256.5000000000005</v>
      </c>
      <c r="O228" s="3">
        <f>4942.5+(173.2-1493.4)+(5.04135+(0.176664-1.523268))+0-0-0</f>
        <v>3625.9947460000003</v>
      </c>
      <c r="P228" s="3">
        <f>5025.8+(354.9-1488.9)+(-7.689474+(-0.542997--2.278017))+0-0-0</f>
        <v>3885.845546</v>
      </c>
      <c r="Q228" s="3">
        <f>5013.7+(408.3-1389.2)+(2.556987+(0.208233-0.708492))+0-0-0</f>
        <v>4034.8567279999997</v>
      </c>
      <c r="R228" s="3">
        <f>4706.5+(427.9-1125.5)+(-7.200945+(-0.654687--1.722015))+0-0-0</f>
        <v>4002.7663830000001</v>
      </c>
      <c r="S228" s="3">
        <f>4664.8+(435.7-1168.6)+(-2.379048+(-0.222207--0.595986))+0-0-0</f>
        <v>3929.8947310000003</v>
      </c>
      <c r="T228" s="3">
        <f>4555.7+(421.2-1073.5)+(-9.293628+(-0.859248--2.18994))+0-0-0</f>
        <v>3895.4370639999997</v>
      </c>
      <c r="U228" s="3">
        <f>4545.8+(370.6-1070.2)+(-4.636716+(-0.378012--1.091604))+0-0-0</f>
        <v>3842.2768760000004</v>
      </c>
      <c r="V228" s="3">
        <f>4659+(199.9-938.8)+(0+(0-0))+0-0-0</f>
        <v>3920.1</v>
      </c>
      <c r="W228" s="3">
        <f>5258.3+(122.2-961.9)+(-2.681733+(-0.062322--0.490569))+0-0-0</f>
        <v>4416.3465140000008</v>
      </c>
      <c r="X228" s="3">
        <f>5539+(105.8-1017.2)+(-14.12445+(-0.26979--2.59386))+0-0-0</f>
        <v>4615.7996200000007</v>
      </c>
      <c r="Y228" s="3">
        <f>5513.6+(108-1027.2)+(-11.247744+(-0.22032--2.095488))+0-0-0</f>
        <v>4585.0274240000008</v>
      </c>
      <c r="Z228" s="3">
        <f>5522.6+(120.5-1125.2)+(-5.633052+(-0.12291--1.147704))+0-0-0</f>
        <v>4513.2917420000003</v>
      </c>
      <c r="AA228" s="3">
        <f>5339+(121-1039.8)+(-5.44578+(-0.12342--1.060596))+0-0-0</f>
        <v>4415.6913960000002</v>
      </c>
      <c r="AB228" s="3">
        <f>5283.5+(94.5-1104.8)+(-13.472925+(-0.240975--2.81724))+0-0-0</f>
        <v>4262.3033399999995</v>
      </c>
      <c r="AC228" s="3">
        <f>5224.5+(90.1-1292.7)+(-15.98697+(-0.275706--3.955662))+0-0-0</f>
        <v>4009.5929859999997</v>
      </c>
      <c r="AD228" s="2">
        <v>4579.3999999999996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4420.3+(173.8-905)+(6.763059+(0.265914-1.38465))+0-0-0</f>
        <v>3694.7443230000003</v>
      </c>
      <c r="G229" s="3">
        <f>4208.2+(185.9-1016)+(-8.584728+(-0.379236--2.07264))+0-0-0</f>
        <v>3371.2086759999997</v>
      </c>
      <c r="H229" s="3">
        <f>4160.7+(146.4-1124)+(2.121957+(0.074664-0.57324))+0-0-0</f>
        <v>3184.7233809999998</v>
      </c>
      <c r="I229" s="3">
        <f>4170.9+(117.2-1194.1)+(10.635795+(0.29886-3.044955))+0-0-0</f>
        <v>3101.8897000000002</v>
      </c>
      <c r="J229" s="3">
        <f>4132.8+(110.6-1172.3)+(-2.107728+(-0.056406--0.597873))+0-0-0</f>
        <v>3069.5337390000004</v>
      </c>
      <c r="K229" s="3">
        <f>4127.9+(84.5-1116.4)+(-2.105229+(-0.043095--0.569364))+0-0-0</f>
        <v>3094.4210399999997</v>
      </c>
      <c r="L229" s="3">
        <f>4057.1+(64.1-1077.4)+(-8.276484+(-0.130764--2.197896))+0-0-0</f>
        <v>3037.5906479999999</v>
      </c>
      <c r="M229" s="3">
        <f>4081.8+(38.8-1049.5)+(2.081718+(0.019788-0.535245))+0-0-0</f>
        <v>3072.6662610000003</v>
      </c>
      <c r="N229" s="3">
        <f>4216.3+(162.2-1077.7)+(0+(0-0))+0-0-0</f>
        <v>3300.8</v>
      </c>
      <c r="O229" s="3">
        <f>4525.2+(174.6-1113)+(-2.307852+(-0.089046--0.56763))+0-0-0</f>
        <v>3584.9707319999998</v>
      </c>
      <c r="P229" s="3">
        <f>4634.2+(179.8-955.3)+(-9.453768+(-0.366792--1.948812))+0-0-0</f>
        <v>3850.8282519999998</v>
      </c>
      <c r="Q229" s="3">
        <f>4537.3+(246.4-776.6)+(4.628046+(0.251328-0.792132))+0-0-0</f>
        <v>4011.1872420000004</v>
      </c>
      <c r="R229" s="3">
        <f>4412.3+(293.1-695.5)+(-4.500546+(-0.298962--0.70941))+0-0-0</f>
        <v>4005.809902</v>
      </c>
      <c r="S229" s="3">
        <f>4330.9+(338-818.6)+(-6.626277+(-0.51714--1.252458))+0-0-0</f>
        <v>3844.4090409999999</v>
      </c>
      <c r="T229" s="3">
        <f>4368.9+(315.6-862.3)+(2.228139+(0.160956-0.439773))+0-0-0</f>
        <v>3824.1493219999998</v>
      </c>
      <c r="U229" s="3">
        <f>4420.9+(224.7-842.3)+(2.254659+(0.114597-0.429573))+0-0-0</f>
        <v>3805.2396829999998</v>
      </c>
      <c r="V229" s="3">
        <f>4458.4+(177.3-724.8)+(-4.547568+(-0.180846--0.739296))+0-0-0</f>
        <v>3906.9108819999997</v>
      </c>
      <c r="W229" s="3">
        <f>5118.6+(141.1-762.1)+(-2.610486+(-0.071961--0.388671))+0-0-0</f>
        <v>4495.3062239999999</v>
      </c>
      <c r="X229" s="3">
        <f>5334.3+(113.4-797)+(-8.161479+(-0.173502--1.21941))+0-0-0</f>
        <v>4643.5844289999995</v>
      </c>
      <c r="Y229" s="3">
        <f>5238.1+(145.9-682.4)+(-5.342862+(-0.148818--0.696048))+0-0-0</f>
        <v>4696.8043680000001</v>
      </c>
      <c r="Z229" s="3">
        <f>5235.3+(128.6-747)+(-8.010009+(-0.196758--1.14291))+0-0-0</f>
        <v>4609.8361430000004</v>
      </c>
      <c r="AA229" s="3">
        <f>5209.1+(155.5-837)+(-2.656641+(-0.079305--0.42687))+0-0-0</f>
        <v>4525.2909240000008</v>
      </c>
      <c r="AB229" s="3">
        <f>5199.5+(107.6-926.6)+(-7.955235+(-0.164628--1.417698))+0-0-0</f>
        <v>4373.7978350000003</v>
      </c>
      <c r="AC229" s="3">
        <f>5092+(51.6-1159.2)+(-5.19384+(-0.052632--1.182384))+0-0-0</f>
        <v>3980.3359119999996</v>
      </c>
      <c r="AD229" s="2">
        <v>4709.2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4904.7+(74.8-1395.1)+(0+(0-0))+0-0-0</f>
        <v>3584.3999999999996</v>
      </c>
      <c r="G230" s="3">
        <f>4589.4+(85.5-1296.2)+(-4.681188+(-0.08721--1.322124))+0-0-0</f>
        <v>3375.2537259999999</v>
      </c>
      <c r="H230" s="3">
        <f>4182.9+(102-1091.1)+(-4.266558+(-0.10404--1.112922))+0-0-0</f>
        <v>3190.5423239999996</v>
      </c>
      <c r="I230" s="3">
        <f>4018.7+(105.6-990.1)+(-6.148611+(-0.161568--1.514853))+0-0-0</f>
        <v>3129.4046739999999</v>
      </c>
      <c r="J230" s="3">
        <f>3920.3+(133.4-851.4)+(3.998706+(0.136068-0.868428))+0-0-0</f>
        <v>3205.5663460000001</v>
      </c>
      <c r="K230" s="3">
        <f>3916.2+(169.6-825.2)+(1.997262+(0.086496-0.420852))+0-0-0</f>
        <v>3262.2629059999999</v>
      </c>
      <c r="L230" s="3">
        <f>4224.8+(305-997.2)+(-6.463944+(-0.46665--1.525716))+0-0-0</f>
        <v>3527.1951220000005</v>
      </c>
      <c r="M230" s="3">
        <f>4590.4+(306.1-920.3)+(4.682208+(0.312222-0.938706))+0-0-0</f>
        <v>3980.2557239999996</v>
      </c>
      <c r="N230" s="3">
        <f>4924.2+(505.6-848.8)+(-2.511342+(-0.257856--0.432888))+0-0-0</f>
        <v>4578.6636900000003</v>
      </c>
      <c r="O230" s="3">
        <f>5094+(644.5-880.9)+(15.58764+(1.97217-2.695554))+0-0-0</f>
        <v>4872.4642560000002</v>
      </c>
      <c r="P230" s="3">
        <f>5120.8+(767.7-756.8)+(-2.611608+(-0.391527--0.385968))+0-0-0</f>
        <v>5129.0828330000004</v>
      </c>
      <c r="Q230" s="3">
        <f>5167+(751.7-677.9)+(5.27034+(0.766734-0.691458))+0-0-0</f>
        <v>5246.1456159999998</v>
      </c>
      <c r="R230" s="3">
        <f>5151.7+(723.4-736)+(-5.254734+(-0.737868--0.75072))+0-0-0</f>
        <v>5133.8581179999992</v>
      </c>
      <c r="S230" s="3">
        <f>5112.8+(728.2-813.8)+(-5.215056+(-0.742764--0.830076))+0-0-0</f>
        <v>5022.0722560000004</v>
      </c>
      <c r="T230" s="3">
        <f>5103.5+(781.5-782.4)+(2.602785+(0.398565-0.399024))+0-0-0</f>
        <v>5105.2023260000005</v>
      </c>
      <c r="U230" s="3">
        <f>5101.6+(753.3-772.7)+(-10.407264+(-1.536732--1.576308))+0-0-0</f>
        <v>5071.8323120000005</v>
      </c>
      <c r="V230" s="3">
        <f>5198+(529.1-598.1)+(2.65098+(0.269841-0.305031))+0-0-0</f>
        <v>5131.6157899999998</v>
      </c>
      <c r="W230" s="3">
        <f>5706.3+(491-699.9)+(0+(0-0))+0-0-0</f>
        <v>5497.4000000000005</v>
      </c>
      <c r="X230" s="3">
        <f>5769.5+(482.9-697.1)+(-14.712225+(-1.231395--1.777605))+0-0-0</f>
        <v>5541.1339850000004</v>
      </c>
      <c r="Y230" s="3">
        <f>5535.9+(500.3-615.5)+(-2.823309+(-0.255153--0.313905))+0-0-0</f>
        <v>5417.9354429999994</v>
      </c>
      <c r="Z230" s="3">
        <f>5451.2+(432.4-605.7)+(-11.120448+(-0.882096--1.235628))+0-0-0</f>
        <v>5267.1330840000001</v>
      </c>
      <c r="AA230" s="3">
        <f>5286.9+(397.7-665.6)+(-16.177914+(-1.216962--2.036736))+0-0-0</f>
        <v>5003.6418599999997</v>
      </c>
      <c r="AB230" s="3">
        <f>5097.2+(396.7-742.6)+(-12.99786+(-1.011585--1.89363))+0-0-0</f>
        <v>4739.1841850000001</v>
      </c>
      <c r="AC230" s="3">
        <f>4660+(378.7-678.3)+(-9.5064+(-0.772548--1.383732))+0-0-0</f>
        <v>4351.5047839999997</v>
      </c>
      <c r="AD230" s="2">
        <v>5624.1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4695.8+(515.6-1297.8)+(0+(0-0))+0-0-0</f>
        <v>3913.6000000000004</v>
      </c>
      <c r="G231" s="3">
        <f>4632.4+(397.8-1443.9)+(-9.450096+(-0.811512--2.945556))+0-0-0</f>
        <v>3578.9839479999991</v>
      </c>
      <c r="H231" s="3">
        <f>4419.4+(270-1274.8)+(-2.253894+(-0.1377--0.650148))+0-0-0</f>
        <v>3412.8585539999995</v>
      </c>
      <c r="I231" s="3">
        <f>4077.1+(253.8-954.6)+(0+(0-0))+0-0-0</f>
        <v>3376.3</v>
      </c>
      <c r="J231" s="3">
        <f>4124.2+(202.2-934.2)+(2.103342+(0.103122-0.476442))+0-0-0</f>
        <v>3393.930022</v>
      </c>
      <c r="K231" s="3">
        <f>4321.9+(170.9-1019.4)+(-2.204169+(-0.087159--0.519894))+0-0-0</f>
        <v>3471.6285659999994</v>
      </c>
      <c r="L231" s="3">
        <f>4516.8+(308.9-1174.4)+(-2.303568+(-0.157539--0.598944))+0-0-0</f>
        <v>3649.4378370000004</v>
      </c>
      <c r="M231" s="3">
        <f>4945.2+(396.4-1293.3)+(0+(0-0))+0-0-0</f>
        <v>4048.2999999999997</v>
      </c>
      <c r="N231" s="3">
        <f>5448.2+(385.4-1321.4)+(-2.778582+(-0.196554--0.673914))+0-0-0</f>
        <v>4509.8987779999998</v>
      </c>
      <c r="O231" s="3">
        <f>5635.2+(516.1-1210.4)+(2.873952+(0.263211-0.617304))+0-0-0</f>
        <v>4943.4198589999996</v>
      </c>
      <c r="P231" s="3">
        <f>5719.9+(554.8-1129.9)+(0+(0-0))+0-0-0</f>
        <v>5144.7999999999993</v>
      </c>
      <c r="Q231" s="3">
        <f>5735.6+(522.5-971.7)+(-2.925156+(-0.266475--0.495567))+0-0-0</f>
        <v>5283.7039360000008</v>
      </c>
      <c r="R231" s="3">
        <f>5738.9+(511.2-1090.8)+(-11.707356+(-1.042848--2.225232))+0-0-0</f>
        <v>5148.7750279999991</v>
      </c>
      <c r="S231" s="3">
        <f>5690.2+(593.2-1218.3)+(-8.706006+(-0.907596--1.863999))+0-0-0</f>
        <v>5057.3503970000002</v>
      </c>
      <c r="T231" s="3">
        <f>5663.3+(621.3-1120.4)+(-5.776566+(-0.633726--1.142808))+0-0-0</f>
        <v>5158.9325159999999</v>
      </c>
      <c r="U231" s="3">
        <f>5361.8+(545.6-802.7)+(-8.203554+(-0.834768--1.228131))+0-0-0</f>
        <v>5096.8898090000002</v>
      </c>
      <c r="V231" s="3">
        <f>5323.1+(473-614.4)+(5.429562+(0.48246-0.626688))+0-0-0</f>
        <v>5186.9853340000009</v>
      </c>
      <c r="W231" s="3">
        <f>5734.2+(528-631.8)+(-5.848884+(-0.53856--0.644436))+0-0-0</f>
        <v>5624.6569919999993</v>
      </c>
      <c r="X231" s="3">
        <f>5896.1+(497.9-731.4)+(-15.035055+(-1.269645--1.86507))+0-0-0</f>
        <v>5648.1603700000005</v>
      </c>
      <c r="Y231" s="3">
        <f>5649.4+(531.3-662.4)+(-5.762388+(-0.541926--0.675648))+0-0-0</f>
        <v>5512.6713339999997</v>
      </c>
      <c r="Z231" s="3">
        <f>5642.1+(448.1-737.8)+(2.877471+(0.228531-0.376278))+0-0-0</f>
        <v>5355.1297240000004</v>
      </c>
      <c r="AA231" s="3">
        <f>5576.9+(313.1-774)+(-5.688438+(-0.319362--0.78948))+0-0-0</f>
        <v>5110.7816800000001</v>
      </c>
      <c r="AB231" s="3">
        <f>5563.8+(300.2-1029.4)+(-2.837538+(-0.153102--0.524994))+0-0-0</f>
        <v>4832.1343540000007</v>
      </c>
      <c r="AC231" s="3">
        <f>5339.1+(376.7-1262.3)+(-8.168823+(-0.576351--1.931319))+0-0-0</f>
        <v>4446.6861449999997</v>
      </c>
      <c r="AD231" s="2">
        <v>5674.5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4910.7+(379.1-1300.1)+(-10.017828+(-0.773364--2.652204))+0-0-0</f>
        <v>3981.5610119999997</v>
      </c>
      <c r="G232" s="3">
        <f>4789.2+(354.9-1475.1)+(-9.769968+(-0.723996--3.009204))+0-0-0</f>
        <v>3661.5152400000002</v>
      </c>
      <c r="H232" s="3">
        <f>4666.8+(433.3-1603.9)+(0+(0-0))+0-0-0</f>
        <v>3496.2</v>
      </c>
      <c r="I232" s="3">
        <f>4684.4+(417.8-1666.2)+(-2.389044+(-0.213078--0.849762))+0-0-0</f>
        <v>3434.2476399999996</v>
      </c>
      <c r="J232" s="3">
        <f>4632.1+(327.8-1520.3)+(0+(0-0))+0-0-0</f>
        <v>3439.6000000000004</v>
      </c>
      <c r="K232" s="3">
        <f>4826.2+(280.6-1600.2)+(2.461362+(0.143106-0.816102))+0-0-0</f>
        <v>3508.3883660000001</v>
      </c>
      <c r="L232" s="3">
        <f>4882.1+(425.6-1621.9)+(-9.959484+(-0.868224--3.308676))+0-0-0</f>
        <v>3678.280968</v>
      </c>
      <c r="M232" s="3">
        <f>5165.4+(565.5-1638.5)+(-7.903062+(-0.865215--2.506905))+0-0-0</f>
        <v>4086.1386279999997</v>
      </c>
      <c r="N232" s="3">
        <f>5393.2+(628.2-1392.4)+(-8.251596+(-0.961146--2.130372))+0-0-0</f>
        <v>4621.9176299999999</v>
      </c>
      <c r="O232" s="3">
        <f>5531.5+(622.6-1178.6)+(-2.821065+(-0.317526--0.601086))+0-0-0</f>
        <v>4972.9624949999998</v>
      </c>
      <c r="P232" s="3">
        <f>5590.8+(606.9-1013)+(0+(0-0))+0-0-0</f>
        <v>5184.7</v>
      </c>
      <c r="Q232" s="3">
        <f>5620.6+(671.8-977.8)+(-5.733012+(-0.685236--0.997356))+0-0-0</f>
        <v>5309.1791080000003</v>
      </c>
      <c r="R232" s="3">
        <f>5593.8+(708.5-1089.4)+(-2.852838+(-0.361335--0.555594))+0-0-0</f>
        <v>5210.2414209999997</v>
      </c>
      <c r="S232" s="3">
        <f>5604.2+(763.4-1275.6)+(11.432568+(1.557336-2.602224))+0-0-0</f>
        <v>5102.3876799999998</v>
      </c>
      <c r="T232" s="3">
        <f>5601.1+(795.4-1215.4)+(5.713122+(0.811308-1.239708))+0-0-0</f>
        <v>5186.3847220000007</v>
      </c>
      <c r="U232" s="3">
        <f>5596.7+(757.1-1185.8)+(-14.271585+(-1.930605--3.02379))+0-0-0</f>
        <v>5154.8216000000002</v>
      </c>
      <c r="V232" s="3">
        <f>5666.6+(578.6-1098.5)+(8.669898+(0.885258-1.680705))+0-0-0</f>
        <v>5154.5744510000004</v>
      </c>
      <c r="W232" s="3">
        <f>6214.9+(505.9-1120.7)+(-6.339198+(-0.516018--1.143114))+0-0-0</f>
        <v>5594.387897999999</v>
      </c>
      <c r="X232" s="3">
        <f>6321.6+(537.7-1194.7)+(-12.896064+(-1.096908--2.437188))+0-0-0</f>
        <v>5653.0442160000002</v>
      </c>
      <c r="Y232" s="3">
        <f>6135.2+(476.9-1118.9)+(-18.773712+(-1.459314--3.423834))+0-0-0</f>
        <v>5476.3908080000001</v>
      </c>
      <c r="Z232" s="3">
        <f>6118.8+(447.4-1198.8)+(-18.723528+(-1.369044--3.668328))+0-0-0</f>
        <v>5350.9757560000007</v>
      </c>
      <c r="AA232" s="3">
        <f>6043.4+(357.4-1283)+(-9.246402+(-0.546822--1.96299))+0-0-0</f>
        <v>5109.9697659999993</v>
      </c>
      <c r="AB232" s="3">
        <f>5729.9+(343.6-1291.4)+(0+(0-0))+0-0-0</f>
        <v>4782.0999999999995</v>
      </c>
      <c r="AC232" s="3">
        <f>5337.4+(360.5-1298.7)+(-10.888296+(-0.73542--2.649348))+0-0-0</f>
        <v>4390.2256319999997</v>
      </c>
      <c r="AD232" s="2">
        <v>5683.3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5259+(333.4-1647.5)+(-18.77463+(-1.190238--5.881575))+0-0-0</f>
        <v>3930.816707</v>
      </c>
      <c r="G233" s="3">
        <f>4907.2+(286-1570.5)+(-15.016032+(-0.87516--4.80573))+0-0-0</f>
        <v>3611.6145379999998</v>
      </c>
      <c r="H233" s="3">
        <f>4835.6+(180.4-1559.6)+(-4.932312+(-0.184008--1.590792))+0-0-0</f>
        <v>3452.8744720000004</v>
      </c>
      <c r="I233" s="3">
        <f>4642+(230.5-1479.3)+(0+(0-0))+0-0-0</f>
        <v>3393.2</v>
      </c>
      <c r="J233" s="3">
        <f>4650.3+(211.5-1480.2)+(4.743306+(0.21573-1.509804))+0-0-0</f>
        <v>3385.0492320000003</v>
      </c>
      <c r="K233" s="3">
        <f>4714.3+(213.3-1466.1)+(-2.404293+(-0.108783--0.747711))+0-0-0</f>
        <v>3459.7346349999998</v>
      </c>
      <c r="L233" s="3">
        <f>4823.2+(286.3-1420.2)+(-4.919664+(-0.292026--1.448604))+0-0-0</f>
        <v>3685.5369139999998</v>
      </c>
      <c r="M233" s="3">
        <f>4975.7+(379.8-1290.1)+(-5.075214+(-0.387396--1.315902))+0-0-0</f>
        <v>4061.2532919999994</v>
      </c>
      <c r="N233" s="3">
        <f>5439.7+(495.8-1292.7)+(-5.548494+(-0.505716--1.318554))+0-0-0</f>
        <v>4638.0643439999994</v>
      </c>
      <c r="O233" s="3">
        <f>5726.5+(477.1-1276.5)+(8.761545+(0.729963-1.953045))+0-0-0</f>
        <v>4934.6384630000002</v>
      </c>
      <c r="P233" s="3">
        <f>5812.5+(490.5-1132.5)+(-11.8575+(-1.00062--2.3103))+0-0-0</f>
        <v>5159.9521800000002</v>
      </c>
      <c r="Q233" s="3">
        <f>5857.9+(559.2-1093.2)+(-11.950116+(-1.140768--2.230128))+0-0-0</f>
        <v>5313.0392439999996</v>
      </c>
      <c r="R233" s="3">
        <f>5872.9+(554.8-1215.5)+(-5.990358+(-0.565896--1.23981))+0-0-0</f>
        <v>5206.8835559999998</v>
      </c>
      <c r="S233" s="3">
        <f>5871.2+(519.2-1312.3)+(-11.977248+(-1.059168--2.677092))+0-0-0</f>
        <v>5067.7406760000003</v>
      </c>
      <c r="T233" s="3">
        <f>5965.5+(514.9-1307.2)+(-6.08481+(-0.525198--1.333344))+0-0-0</f>
        <v>5167.9233359999998</v>
      </c>
      <c r="U233" s="3">
        <f>5895.9+(451.8-1222.9)+(-6.013818+(-0.460836--1.247358))+0-0-0</f>
        <v>5119.5727039999992</v>
      </c>
      <c r="V233" s="3">
        <f>5821+(381.4-1064.2)+(2.96871+(0.194514-0.542742))+0-0-0</f>
        <v>5140.8204820000001</v>
      </c>
      <c r="W233" s="3">
        <f>5906.4+(377.1-690)+(6.024528+(0.384642-0.7038))+0-0-0</f>
        <v>5599.2053699999997</v>
      </c>
      <c r="X233" s="3">
        <f>6161.2+(296.1-787.2)+(-9.426636+(-0.453033--1.204416))+0-0-0</f>
        <v>5661.4247469999991</v>
      </c>
      <c r="Y233" s="3">
        <f>6128.3+(243.6-886.5)+(-15.627165+(-0.62118--2.260575))+0-0-0</f>
        <v>5471.4122300000008</v>
      </c>
      <c r="Z233" s="3">
        <f>6202.7+(139-1020.4)+(3.163377+(0.07089-0.520404))+0-0-0</f>
        <v>5324.0138630000001</v>
      </c>
      <c r="AA233" s="3">
        <f>6195.2+(143.2-1226.5)+(-3.159552+(-0.073032--0.625515))+0-0-0</f>
        <v>5109.292931</v>
      </c>
      <c r="AB233" s="3">
        <f>6161.7+(120.8-1470.3)+(-12.569868+(-0.246432--2.999412))+0-0-0</f>
        <v>4802.3831119999995</v>
      </c>
      <c r="AC233" s="3">
        <f>5911.1+(110.2-1580.7)+(-9.043983+(-0.168606--2.418471))+0-0-0</f>
        <v>4433.8058820000006</v>
      </c>
      <c r="AD233" s="2">
        <v>5674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5453.9+(171.2-1619)+(-2.781489+(-0.087312--0.82569))+0-0-0</f>
        <v>4004.0568889999995</v>
      </c>
      <c r="G234" s="3">
        <f>4867.9+(189.1-1497.6)+(-2.482629+(-0.096441--0.763776))+0-0-0</f>
        <v>3557.5847059999996</v>
      </c>
      <c r="H234" s="3">
        <f>4816.1+(138.7-1475.5)+(-4.912422+(-0.141474--1.50501))+0-0-0</f>
        <v>3475.7511140000001</v>
      </c>
      <c r="I234" s="3">
        <f>4707.4+(138.4-1446.6)+(-2.400774+(-0.070584--0.737766))+0-0-0</f>
        <v>3397.4664079999998</v>
      </c>
      <c r="J234" s="3">
        <f>4673.2+(127.7-1406.5)+(-11.91666+(-0.325635--3.586575))+0-0-0</f>
        <v>3385.7442799999994</v>
      </c>
      <c r="K234" s="3">
        <f>4671.2+(138.8-1314.4)+(4.764624+(0.141576-1.340688))+0-0-0</f>
        <v>3499.1655119999996</v>
      </c>
      <c r="L234" s="3">
        <f>4594.5+(136.3-1200.2)+(-14.05917+(-0.417078--3.672612))+0-0-0</f>
        <v>3519.7963639999998</v>
      </c>
      <c r="M234" s="3">
        <f>4970.5+(193.4-1284.9)+(0+(0-0))+0-0-0</f>
        <v>3879</v>
      </c>
      <c r="N234" s="3">
        <f>5324.9+(215.6-1239)+(-5.431398+(-0.219912--1.26378))+0-0-0</f>
        <v>4297.11247</v>
      </c>
      <c r="O234" s="3">
        <f>5564.8+(229.2-1102.9)+(2.838048+(0.116892-0.562479))+0-0-0</f>
        <v>4693.4924610000007</v>
      </c>
      <c r="P234" s="3">
        <f>5747+(189.5-967.8)+(-5.86194+(-0.19329--0.987156))+0-0-0</f>
        <v>4963.631926</v>
      </c>
      <c r="Q234" s="3">
        <f>5721.5+(175.2-822.2)+(-5.83593+(-0.178704--0.838644))+0-0-0</f>
        <v>5069.3240100000003</v>
      </c>
      <c r="R234" s="3">
        <f>5714.6+(188.7-965.4)+(-14.57223+(-0.481185--2.46177))+0-0-0</f>
        <v>4925.3083550000001</v>
      </c>
      <c r="S234" s="3">
        <f>5484.7+(160.3-878.7)+(-5.594394+(-0.163506--0.896274))+0-0-0</f>
        <v>4761.4383739999994</v>
      </c>
      <c r="T234" s="3">
        <f>5466.9+(185.2-945.9)+(0+(0-0))+0-0-0</f>
        <v>4706.2</v>
      </c>
      <c r="U234" s="3">
        <f>5545.6+(175.6-1080.5)+(-5.656512+(-0.179112--1.10211))+0-0-0</f>
        <v>4635.9664860000012</v>
      </c>
      <c r="V234" s="3">
        <f>5702.3+(124.4-1075.8)+(0+(0-0))+0-0-0</f>
        <v>4750.9000000000005</v>
      </c>
      <c r="W234" s="3">
        <f>6170.2+(120-1083.8)+(3.146802+(0.0612-0.552738))+0-0-0</f>
        <v>5209.0552639999996</v>
      </c>
      <c r="X234" s="3">
        <f>6313.4+(103.4-1156.1)+(-19.319004+(-0.316404--3.537666))+0-0-0</f>
        <v>5244.6022579999999</v>
      </c>
      <c r="Y234" s="3">
        <f>6144.4+(102-1121.7)+(-18.801864+(-0.31212--3.432402))+0-0-0</f>
        <v>5109.0184179999997</v>
      </c>
      <c r="Z234" s="3">
        <f>5806.3+(119.6-908.6)+(-8.883639+(-0.182988--1.390158))+0-0-0</f>
        <v>5009.6235310000002</v>
      </c>
      <c r="AA234" s="3">
        <f>5552.9+(79.5-822.3)+(-8.495937+(-0.121635--1.258119))+0-0-0</f>
        <v>4802.7405469999994</v>
      </c>
      <c r="AB234" s="3">
        <f>5406.7+(62.5-832.8)+(-11.029668+(-0.1275--1.698912))+0-0-0</f>
        <v>4626.9417439999997</v>
      </c>
      <c r="AC234" s="3">
        <f>5313.1+(19.6-1091.7)+(-2.709681+(-0.009996--0.556767))+0-0-0</f>
        <v>4238.83709</v>
      </c>
      <c r="AD234" s="2">
        <v>5274.0999999999995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5247.3+(0-1281.3)+(-13.380615+(0--3.267315))+0-0-0</f>
        <v>3955.8867</v>
      </c>
      <c r="G235" s="3">
        <f>5017.9+(13-1519.9)+(-5.118258+(-0.01326--1.550298))+0-0-0</f>
        <v>3507.4187799999995</v>
      </c>
      <c r="H235" s="3">
        <f>5052.8+(20.3-1675)+(-7.730784+(-0.031059--2.56275))+0-0-0</f>
        <v>3392.9009070000002</v>
      </c>
      <c r="I235" s="3">
        <f>5149.8+(32.7-1853)+(-2.626398+(-0.016677--0.94503))+0-0-0</f>
        <v>3327.8019549999999</v>
      </c>
      <c r="J235" s="3">
        <f>4842.6+(42-1632.5)+(-2.469726+(-0.02142--0.832575))+0-0-0</f>
        <v>3250.4414290000004</v>
      </c>
      <c r="K235" s="3">
        <f>4695.3+(86.3-1500.9)+(2.394603+(0.044013-0.765459))+0-0-0</f>
        <v>3282.373157</v>
      </c>
      <c r="L235" s="3">
        <f>4490.9+(117.4-1457.7)+(-4.580718+(-0.119748--1.486854))+0-0-0</f>
        <v>3147.3863879999994</v>
      </c>
      <c r="M235" s="3">
        <f>4488.5+(119.4-1448.4)+(0+(0-0))+0-0-0</f>
        <v>3159.5</v>
      </c>
      <c r="N235" s="3">
        <f>4656.9+(117.9-1389.3)+(-2.375019+(-0.060129--0.708543))+0-0-0</f>
        <v>3383.7733950000002</v>
      </c>
      <c r="O235" s="3">
        <f>4881.5+(112.2-1330.2)+(7.468695+(0.171666-2.035206))+0-0-0</f>
        <v>3669.1051550000002</v>
      </c>
      <c r="P235" s="3">
        <f>5143.3+(89-1293.9)+(7.869249+(0.13617-1.979667))+0-0-0</f>
        <v>3944.4257520000001</v>
      </c>
      <c r="Q235" s="3">
        <f>5133.3+(86.3-1097.5)+(-7.853949+(-0.132039--1.679175))+0-0-0</f>
        <v>4115.7931870000002</v>
      </c>
      <c r="R235" s="3">
        <f>5094.9+(78.1-1057.4)+(-12.991995+(-0.199155--2.69637))+0-0-0</f>
        <v>4105.1052199999995</v>
      </c>
      <c r="S235" s="3">
        <f>5099.1+(88.8-1169.9)+(-13.002705+(-0.22644--2.983245))+0-0-0</f>
        <v>4007.7541000000001</v>
      </c>
      <c r="T235" s="3">
        <f>5131.5+(106.8-1285.1)+(-13.085325+(-0.27234--3.277005))+0-0-0</f>
        <v>3943.1193399999997</v>
      </c>
      <c r="U235" s="3">
        <f>5116.7+(107-1306.7)+(-10.438068+(-0.21828--2.665668))+0-0-0</f>
        <v>3909.0093200000001</v>
      </c>
      <c r="V235" s="3">
        <f>5115.7+(74.5-1233.7)+(-7.827021+(-0.113985--1.887561))+0-0-0</f>
        <v>3950.446555</v>
      </c>
      <c r="W235" s="3">
        <f>5509.3+(122.1-1037.5)+(-5.619486+(-0.124542--1.05825))+0-0-0</f>
        <v>4589.2142220000005</v>
      </c>
      <c r="X235" s="3">
        <f>5737.7+(170.3-1110.5)+(-11.704908+(-0.347412--2.26542))+0-0-0</f>
        <v>4787.7130999999999</v>
      </c>
      <c r="Y235" s="3">
        <f>5770.3+(249.6-1236.3)+(0+(0-0))+0-0-0</f>
        <v>4783.6000000000004</v>
      </c>
      <c r="Z235" s="3">
        <f>5880.4+(294.8-1375.3)+(-5.998008+(-0.300696--1.402806))+0-0-0</f>
        <v>4795.0041019999999</v>
      </c>
      <c r="AA235" s="3">
        <f>5839.1+(302.1-1553.1)+(-5.955882+(-0.308142--1.584162))+0-0-0</f>
        <v>4583.4201380000004</v>
      </c>
      <c r="AB235" s="3">
        <f>5815.6+(255.5-1616.1)+(-11.863824+(-0.52122--3.296844))+0-0-0</f>
        <v>4445.9117999999999</v>
      </c>
      <c r="AC235" s="3">
        <f>5524.1+(196.4-1628.3)+(-14.086455+(-0.50082--4.152165))+0-0-0</f>
        <v>4081.7648900000008</v>
      </c>
      <c r="AD235" s="2">
        <v>4774.3999999999996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4613+(209.9-1107.3)+(-4.70526+(-0.214098--1.129446))+0-0-0</f>
        <v>3711.8100879999997</v>
      </c>
      <c r="G236" s="3">
        <f>4238.1+(281.4-1114)+(-8.645724+(-0.574056--2.27256))+0-0-0</f>
        <v>3398.5527800000004</v>
      </c>
      <c r="H236" s="3">
        <f>4101.1+(253.7-1097.6)+(-2.091561+(-0.129387--0.559776))+0-0-0</f>
        <v>3255.5388280000006</v>
      </c>
      <c r="I236" s="3">
        <f>3911+(253.1-971.3)+(-7.97844+(-0.516324--1.981452))+0-0-0</f>
        <v>3186.2866880000001</v>
      </c>
      <c r="J236" s="3">
        <f>3990.2+(191.1-972.4)+(-10.17501+(-0.487305--2.47962))+0-0-0</f>
        <v>3200.7173049999997</v>
      </c>
      <c r="K236" s="3">
        <f>3976.5+(184.9-841.9)+(8.11206+(0.377196-1.717476))+0-0-0</f>
        <v>3326.27178</v>
      </c>
      <c r="L236" s="3">
        <f>4072.7+(195.4-719.2)+(-6.231231+(-0.298962--1.100376))+0-0-0</f>
        <v>3543.4701829999995</v>
      </c>
      <c r="M236" s="3">
        <f>4423+(519.9-948)+(-4.51146+(-0.530298--0.96696))+0-0-0</f>
        <v>3990.825202</v>
      </c>
      <c r="N236" s="3">
        <f>5054.7+(569.6-1063.5)+(-7.733691+(-0.871488--1.627155))+0-0-0</f>
        <v>4553.8219760000002</v>
      </c>
      <c r="O236" s="3">
        <f>5359.6+(505.4-928.6)+(0+(0-0))+0-0-0</f>
        <v>4936.4000000000005</v>
      </c>
      <c r="P236" s="3">
        <f>5714.3+(453.6-967.6)+(0+(0-0))+0-0-0</f>
        <v>5200.3</v>
      </c>
      <c r="Q236" s="3">
        <f>5822.2+(413.3-921.5)+(-11.877288+(-0.843132--1.87986))+0-0-0</f>
        <v>5303.1594400000004</v>
      </c>
      <c r="R236" s="3">
        <f>5891.8+(443.6-1079.8)+(-18.028908+(-1.357416--3.304188))+0-0-0</f>
        <v>5239.5178640000004</v>
      </c>
      <c r="S236" s="3">
        <f>5885.4+(450.1-1210.7)+(-12.006216+(-0.918204--2.469828))+0-0-0</f>
        <v>5114.3454079999992</v>
      </c>
      <c r="T236" s="3">
        <f>5851.5+(441.7-1089.5)+(-8.952795+(-0.675801--1.666935))+0-0-0</f>
        <v>5195.7383389999995</v>
      </c>
      <c r="U236" s="3">
        <f>5850.8+(375.7-1078.4)+(-11.935632+(-0.766428--2.199936))+0-0-0</f>
        <v>5137.5978760000007</v>
      </c>
      <c r="V236" s="3">
        <f>5882.4+(184.2-809.1)+(-6.000048+(-0.187884--0.825282))+0-0-0</f>
        <v>5252.13735</v>
      </c>
      <c r="W236" s="3">
        <f>6163.2+(162.3-625.3)+(-9.429696+(-0.248319--0.956709))+0-0-0</f>
        <v>5691.4786939999995</v>
      </c>
      <c r="X236" s="3">
        <f>6272.1+(169.4-724.5)+(-15.993855+(-0.43197--1.847475))+0-0-0</f>
        <v>5702.4216500000002</v>
      </c>
      <c r="Y236" s="3">
        <f>6054.2+(190.4-663.2)+(-9.262926+(-0.291312--1.014696))+0-0-0</f>
        <v>5572.8604579999992</v>
      </c>
      <c r="Z236" s="3">
        <f>5889.6+(131.2-630.3)+(-6.007392+(-0.133824--0.642906))+0-0-0</f>
        <v>5385.0016900000001</v>
      </c>
      <c r="AA236" s="3">
        <f>5795.2+(92.1-711)+(-14.77776+(-0.234855--1.81305))+0-0-0</f>
        <v>5163.1004350000003</v>
      </c>
      <c r="AB236" s="3">
        <f>5738.7+(51.9-882.1)+(0+(0-0))+0-0-0</f>
        <v>4908.5</v>
      </c>
      <c r="AC236" s="3">
        <f>5406.3+(69-968.8)+(-13.786065+(-0.17595--2.47044))+1-0-0</f>
        <v>4496.008425</v>
      </c>
      <c r="AD236" s="2">
        <v>5723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5196.1+(162.6-1357.9)+(-7.950033+(-0.248778--2.077587))+0-0-0</f>
        <v>3994.6787760000002</v>
      </c>
      <c r="G237" s="3">
        <f>5010.8+(202.1-1539.8)+(-5.111016+(-0.206142--1.570596))+0-0-0</f>
        <v>3669.3534380000006</v>
      </c>
      <c r="H237" s="3">
        <f>4705.2+(195.2-1377.8)+(-2.399652+(-0.099552--0.702678))+0-0-0</f>
        <v>3520.8034739999998</v>
      </c>
      <c r="I237" s="3">
        <f>4598.6+(219.9-1375.4)+(2.345286+(0.112149-0.701454))+0-0-0</f>
        <v>3444.8559810000002</v>
      </c>
      <c r="J237" s="3">
        <f>4567.7+(180.5-1301.8)+(-2.329527+(-0.092055--0.663918))+0-0-0</f>
        <v>3444.6423359999994</v>
      </c>
      <c r="K237" s="3">
        <f>4663.5+(129-1273.9)+(7.135155+(0.19737-1.949067))+0-0-0</f>
        <v>3523.9834579999997</v>
      </c>
      <c r="L237" s="3">
        <f>4840.9+(126.1-1256.4)+(-9.875436+(-0.257244--2.563056))+0-0-0</f>
        <v>3703.0303759999993</v>
      </c>
      <c r="M237" s="3">
        <f>4911.1+(287.5-1034.7)+(0+(0-0))+0-0-0</f>
        <v>4163.9000000000005</v>
      </c>
      <c r="N237" s="3">
        <f>5314.9+(372.9-989.4)+(2.710599+(0.190179-0.504594))+0-0-0</f>
        <v>4700.7961839999998</v>
      </c>
      <c r="O237" s="3">
        <f>5607.2+(425.2-952.1)+(11.438688+(0.867408-1.942284))+0-0-0</f>
        <v>5090.6638119999989</v>
      </c>
      <c r="P237" s="3">
        <f>5657.2+(433.5-827.1)+(-2.885172+(-0.221085--0.421821))+0-0-0</f>
        <v>5260.9155639999999</v>
      </c>
      <c r="Q237" s="3">
        <f>5678+(445.7-854.6)+(-5.79156+(-0.454614--0.871692))+0-0-0</f>
        <v>5263.7255180000002</v>
      </c>
      <c r="R237" s="3">
        <f>5782.7+(386.2-899.5)+(-2.949177+(-0.196962--0.458745))+0-0-0</f>
        <v>5266.7126060000001</v>
      </c>
      <c r="S237" s="3">
        <f>5760.1+(359.2-1002.3)+(-5.875302+(-0.366384--1.022346))+0-0-0</f>
        <v>5111.7806600000004</v>
      </c>
      <c r="T237" s="3">
        <f>5777.8+(404.9-949.3)+(5.893356+(0.412998-0.968286))+0-0-0</f>
        <v>5238.7380680000006</v>
      </c>
      <c r="U237" s="3">
        <f>5748.3+(329.8-861.4)+(-8.794899+(-0.504594--1.317942))+0-0-0</f>
        <v>5208.7184490000009</v>
      </c>
      <c r="V237" s="3">
        <f>5735+(191.2-631.3)+(-2.92485+(-0.097512--0.321963))+0-0-0</f>
        <v>5292.1996009999993</v>
      </c>
      <c r="W237" s="3">
        <f>6073.3+(243.8-586.8)+(-3.097383+(-0.124338--0.299268))+0-0-0</f>
        <v>5727.377547</v>
      </c>
      <c r="X237" s="3">
        <f>6267.5+(206.9-709.1)+(-9.589275+(-0.316557--1.084923))+0-0-0</f>
        <v>5756.4790910000002</v>
      </c>
      <c r="Y237" s="3">
        <f>6204.4+(189.8-787.4)+(-15.82122+(-0.48399--2.00787))+0-0-0</f>
        <v>5592.5026599999992</v>
      </c>
      <c r="Z237" s="3">
        <f>6104.3+(167.9-811.8)+(-12.452772+(-0.342516--1.656072))+0-0-0</f>
        <v>5449.260784000001</v>
      </c>
      <c r="AA237" s="3">
        <f>5789.9+(162.7-731.4)+(-5.905698+(-0.165954--0.746028))+0-0-0</f>
        <v>5215.8743759999998</v>
      </c>
      <c r="AB237" s="3">
        <f>5596+(148.1-791.3)+(-14.2698+(-0.377655--2.017815))+0-0-0</f>
        <v>4940.1703600000001</v>
      </c>
      <c r="AC237" s="3">
        <f>5412.1+(134.4-1087.3)+(-13.800855+(-0.34272--2.772615))+0-0-0</f>
        <v>4447.8290400000005</v>
      </c>
      <c r="AD237" s="2">
        <v>5792.7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5142.1+(133.1-1283.3)+(-10.489884+(-0.271524--2.617932))+0-0-0</f>
        <v>3983.7565240000004</v>
      </c>
      <c r="G238" s="3">
        <f>5012.7+(186.7-1515.5)+(-2.556477+(-0.095217--0.772905))+0-0-0</f>
        <v>3682.0212109999998</v>
      </c>
      <c r="H238" s="3">
        <f>4760.6+(221.4-1477.3)+(-4.855812+(-0.225828--1.506846))+0-0-0</f>
        <v>3501.1252060000006</v>
      </c>
      <c r="I238" s="3">
        <f>4623.9+(209.9-1398.9)+(-4.716378+(-0.214098--1.426878))+0-0-0</f>
        <v>3431.3964019999999</v>
      </c>
      <c r="J238" s="3">
        <f>4617.9+(167.9-1350.6)+(-7.065387+(-0.256887--2.066418))+0-0-0</f>
        <v>3429.9441439999996</v>
      </c>
      <c r="K238" s="3">
        <f>4653.3+(150.5-1289.5)+(0+(0-0))+0-0-0</f>
        <v>3514.3</v>
      </c>
      <c r="L238" s="3">
        <f>4780.9+(138.5-1209.2)+(-2.438259+(-0.070635--0.616692))+0-0-0</f>
        <v>3708.3077979999998</v>
      </c>
      <c r="M238" s="3">
        <f>5093.2+(263.1-1139.7)+(-2.597532+(-0.134181--0.581247))+0-0-0</f>
        <v>4214.4495339999994</v>
      </c>
      <c r="N238" s="3">
        <f>5224.5+(357.8-851.8)+(-5.32899+(-0.364956--0.868836))+0-0-0</f>
        <v>4725.6748900000002</v>
      </c>
      <c r="O238" s="3">
        <f>5422.2+(387.5-715.8)+(-2.765322+(-0.197625--0.365058))+0-0-0</f>
        <v>5091.302111</v>
      </c>
      <c r="P238" s="3">
        <f>5478.6+(512-720.3)+(5.588172+(0.52224-0.734706))+0-0-0</f>
        <v>5275.675706</v>
      </c>
      <c r="Q238" s="3">
        <f>5512.8+(539.3-658.1)+(-2.811528+(-0.275043--0.335631))+0-0-0</f>
        <v>5391.2490600000001</v>
      </c>
      <c r="R238" s="3">
        <f>5603.3+(579.3-783.9)+(-11.430732+(-1.181772--1.599156))+0-0-0</f>
        <v>5387.6866519999994</v>
      </c>
      <c r="S238" s="3">
        <f>5638.6+(538.9-806.8)+(-8.627058+(-0.824517--1.234404))+0-0-0</f>
        <v>5362.4828290000005</v>
      </c>
      <c r="T238" s="3">
        <f>5645.4+(585.2-835.1)+(2.879154+(0.298452-0.425901))+0-0-0</f>
        <v>5398.2517049999997</v>
      </c>
      <c r="U238" s="3">
        <f>5645.6+(651.5-953.6)+(-2.879256+(-0.332265--0.486336))+0-0-0</f>
        <v>5340.7748149999998</v>
      </c>
      <c r="V238" s="3">
        <f>5670.4+(490.5-775.8)+(8.675712+(0.750465-1.186974))+0-0-0</f>
        <v>5393.3392029999995</v>
      </c>
      <c r="W238" s="3">
        <f>6274.4+(370.3-883.9)+(-6.399888+(-0.377706--0.901578))+0-0-0</f>
        <v>5754.9239839999991</v>
      </c>
      <c r="X238" s="3">
        <f>6170.1+(425.2-855)+(-12.587004+(-0.867408--1.7442))+0-0-0</f>
        <v>5728.5897880000002</v>
      </c>
      <c r="Y238" s="3">
        <f>5957.1+(299.7-695.9)+(-15.190605+(-0.764235--1.774545))+0-0-0</f>
        <v>5546.7197050000004</v>
      </c>
      <c r="Z238" s="3">
        <f>5985.7+(205-774.2)+(-9.158121+(-0.31365--1.184526))+0-0-0</f>
        <v>5408.2127549999996</v>
      </c>
      <c r="AA238" s="3">
        <f>5967.6+(143.7-942.2)+(-9.130428+(-0.219861--1.441566))+0-0-0</f>
        <v>5161.1912770000008</v>
      </c>
      <c r="AB238" s="3">
        <f>5777.2+(137.6-985.8)+(-2.946372+(-0.070176--0.502758))+0-0-0</f>
        <v>4926.48621</v>
      </c>
      <c r="AC238" s="3">
        <f>5392.2+(138.9-983)+(-8.250066+(-0.212517--1.50399))+0-0-0</f>
        <v>4541.1414069999992</v>
      </c>
      <c r="AD238" s="2">
        <v>5771.7999999999993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5092.6+(284.2-1381.2)+(-2.597226+(-0.144942--0.704412))+0-0-0</f>
        <v>3993.5622440000002</v>
      </c>
      <c r="G239" s="3">
        <f>4923.4+(343.4-1531.7)+(-5.021868+(-0.350268--1.562334))+0-0-0</f>
        <v>3731.2901979999992</v>
      </c>
      <c r="H239" s="3">
        <f>4708.6+(308.8-1444)+(0+(0-0))+0-0-0</f>
        <v>3573.4000000000005</v>
      </c>
      <c r="I239" s="3">
        <f>4507.5+(249.7-1261.1)+(-4.59765+(-0.254694--1.286322))+0-0-0</f>
        <v>3492.5339780000004</v>
      </c>
      <c r="J239" s="3">
        <f>4511.5+(245-1272.3)+(0+(0-0))+0-0-0</f>
        <v>3484.2</v>
      </c>
      <c r="K239" s="3">
        <f>4438.1+(221.7-1084)+(-4.526862+(-0.226134--1.10568))+0-0-0</f>
        <v>3572.1526840000001</v>
      </c>
      <c r="L239" s="3">
        <f>4379.5+(355.9-975)+(-6.700635+(-0.544527--1.49175))+0-0-0</f>
        <v>3754.6465880000001</v>
      </c>
      <c r="M239" s="3">
        <f>4845.3+(329.6-973.4)+(-4.942206+(-0.336192--0.992868))+0-0-0</f>
        <v>4197.2144699999999</v>
      </c>
      <c r="N239" s="3">
        <f>5391.6+(479.7-1118.8)+(-10.998864+(-0.978588--2.282352))+0-0-0</f>
        <v>4742.8049000000001</v>
      </c>
      <c r="O239" s="3">
        <f>5611.2+(485-956.3)+(0+(0-0))+0-0-0</f>
        <v>5139.8999999999996</v>
      </c>
      <c r="P239" s="3">
        <f>5724.8+(542.8-809.9)+(-5.839296+(-0.553656--0.826098))+0-0-0</f>
        <v>5452.1331460000001</v>
      </c>
      <c r="Q239" s="3">
        <f>5619.6+(672.3-640.3)+(-2.865996+(-0.342873--0.326553))+0-0-0</f>
        <v>5648.7176840000002</v>
      </c>
      <c r="R239" s="3">
        <f>5440.2+(584-537.5)+(-13.87251+(-1.4892--1.370625))+0-0-0</f>
        <v>5472.7089150000002</v>
      </c>
      <c r="S239" s="3">
        <f>5313.5+(592.9-467)+(-2.709885+(-0.302379--0.23817))+0-0-0</f>
        <v>5436.6259059999993</v>
      </c>
      <c r="T239" s="3">
        <f>5217.6+(762-472.2)+(-5.321952+(-0.77724--0.481644))+0-0-0</f>
        <v>5501.7824520000004</v>
      </c>
      <c r="U239" s="3">
        <f>5156.4+(740.4-468.7)+(-5.259528+(-0.755208--0.478074))+0-0-0</f>
        <v>5422.563337999999</v>
      </c>
      <c r="V239" s="3">
        <f>5269.6+(819.9-473.9)+(-8.062488+(-1.254447--0.725067))+0-0-0</f>
        <v>5607.0081319999999</v>
      </c>
      <c r="W239" s="3">
        <f>5339.9+(1079.5-670)+(-5.446698+(-1.10109--0.6834))+69-0-0</f>
        <v>5812.5356119999997</v>
      </c>
      <c r="X239" s="3">
        <f>5303.1+(1117.4-673.4)+(-10.818324+(-2.279496--1.373736))+47.9-0-0</f>
        <v>5783.2759159999996</v>
      </c>
      <c r="Y239" s="3">
        <f>5281.5+(974.1-694.6)+(-10.77426+(-1.987164--1.416984))+0-0-0</f>
        <v>5549.6555600000002</v>
      </c>
      <c r="Z239" s="3">
        <f>5192.5+(937.6-736)+(-13.240875+(-2.39088--1.8768))+0-0-0</f>
        <v>5380.345045</v>
      </c>
      <c r="AA239" s="3">
        <f>5124.9+(727.5-740.6)+(-7.841097+(-1.113075--1.133118))+0-0-0</f>
        <v>5103.9789459999993</v>
      </c>
      <c r="AB239" s="3">
        <f>4946.6+(688.9-710.3)+(-12.61383+(-1.756695--1.811265))+0-0-0</f>
        <v>4912.6407400000007</v>
      </c>
      <c r="AC239" s="3">
        <f>4768.7+(547.3-677.9)+(-9.728148+(-1.116492--1.382916))+0-0-0</f>
        <v>4628.6382759999997</v>
      </c>
      <c r="AD239" s="2">
        <v>5875.5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4334.2+(328.3-612.4)+(-6.631326+(-0.502299--0.936972))+0-0-0</f>
        <v>4043.9033469999999</v>
      </c>
      <c r="G240" s="3">
        <f>4126+(265.5-698)+(-6.31278+(-0.406215--1.06794))+0-0-0</f>
        <v>3687.8489450000002</v>
      </c>
      <c r="H240" s="3">
        <f>3979.9+(269.7-714.2)+(-2.029749+(-0.137547--0.364242))+0-0-0</f>
        <v>3533.5969460000001</v>
      </c>
      <c r="I240" s="3">
        <f>3888.3+(283.3-708.7)+(-1.983033+(-0.144483--0.361437))+0-0-0</f>
        <v>3461.1339210000001</v>
      </c>
      <c r="J240" s="3">
        <f>3779.7+(283.3-609.1)+(-3.855294+(-0.288966--0.621282))+0-0-0</f>
        <v>3450.3770219999997</v>
      </c>
      <c r="K240" s="3">
        <f>3812.6+(309-588)+(5.833278+(0.47277-0.89964))+0-0-0</f>
        <v>3539.0064079999997</v>
      </c>
      <c r="L240" s="3">
        <f>3961.5+(351-572.4)+(-2.020365+(-0.17901--0.291924))+0-0-0</f>
        <v>3738.1925489999999</v>
      </c>
      <c r="M240" s="3">
        <f>4420.2+(596.2-869.2)+(4.508604+(0.608124-0.886584))+0-0-0</f>
        <v>4151.4301439999999</v>
      </c>
      <c r="N240" s="3">
        <f>4693.3+(731.3-742.6)+(4.787166+(0.745926-0.757452))+0-0-0</f>
        <v>4686.7756399999998</v>
      </c>
      <c r="O240" s="3">
        <f>4621.9+(974.7-513.3)+(-4.714338+(-0.994194--0.523566))+0-0-0</f>
        <v>5078.1150339999995</v>
      </c>
      <c r="P240" s="3">
        <f>4643.4+(1158.5-432.9)+(-4.736268+(-1.18167--0.441558))+0-0-0</f>
        <v>5363.5236199999999</v>
      </c>
      <c r="Q240" s="3">
        <f>4670.5+(1227-348.3)+(4.76391+(1.25154-0.355266))+0-0-0</f>
        <v>5554.8601840000001</v>
      </c>
      <c r="R240" s="3">
        <f>4434.5+(1294.1-282.6)+(-9.04638+(-2.639964--0.576504))+0-0-0</f>
        <v>5434.8901599999999</v>
      </c>
      <c r="S240" s="3">
        <f>4351.4+(1240.9-273.7)+(0+(0-0))+0-0-0</f>
        <v>5318.5999999999995</v>
      </c>
      <c r="T240" s="3">
        <f>4303.2+(1218.7-260.8)+(-2.194632+(-0.621537--0.133008))+0-0-0</f>
        <v>5258.4168390000004</v>
      </c>
      <c r="U240" s="3">
        <f>4407+(1132.4-274.8)+(0+(0-0))+0-0-0</f>
        <v>5264.6</v>
      </c>
      <c r="V240" s="3">
        <f>4442+(1162.4-282.7)+(2.26542+(0.592824-0.144177))+0-0-0</f>
        <v>5324.4140669999997</v>
      </c>
      <c r="W240" s="3">
        <f>4728.2+(1165.3-306)+(2.411382+(0.594303-0.15606))+0-0-0</f>
        <v>5590.3496249999998</v>
      </c>
      <c r="X240" s="3">
        <f>4718.5+(1072.3-285.5)+(-14.43861+(-3.281238--0.87363))+0-0-0</f>
        <v>5488.4537820000005</v>
      </c>
      <c r="Y240" s="3">
        <f>4619+(1082.7-312.5)+(-2.35569+(-0.552177--0.159375))+0-0-0</f>
        <v>5386.4515080000001</v>
      </c>
      <c r="Z240" s="3">
        <f>4578.8+(990.1-307.8)+(-9.340752+(-2.019804--0.627912))+0-0-0</f>
        <v>5250.3673560000007</v>
      </c>
      <c r="AA240" s="3">
        <f>4473+(813.9-282.3)+(-6.84369+(-1.245267--0.431919))+0-0-0</f>
        <v>4996.9429620000001</v>
      </c>
      <c r="AB240" s="3">
        <f>4328.5+(744.3-270.6)+(-8.83014+(-1.518372--0.552024))+0-0-0</f>
        <v>4792.4035119999999</v>
      </c>
      <c r="AC240" s="3">
        <f>3805.1+(880.6-210.3)+(-5.821803+(-1.347318--0.321759))+0-0-0</f>
        <v>4468.5526379999992</v>
      </c>
      <c r="AD240" s="2">
        <v>5520.7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3696+(570.1-211.2)+(-9.4248+(-1.453755--0.53856))+0-0-0</f>
        <v>4044.5600050000003</v>
      </c>
      <c r="G241" s="3">
        <f>3639.5+(394.3-319.4)+(-9.280725+(-1.005465--0.81447))+0-0-0</f>
        <v>3704.9282800000001</v>
      </c>
      <c r="H241" s="3">
        <f>3563.9+(417.8-445.5)+(-5.452767+(-0.639234--0.681615))+0-0-0</f>
        <v>3530.7896140000003</v>
      </c>
      <c r="I241" s="3">
        <f>3508.8+(532.4-574.1)+(1.789488+(0.271524-0.292791))+0-0-0</f>
        <v>3468.8682210000002</v>
      </c>
      <c r="J241" s="3">
        <f>3495.9+(496.9-543.5)+(0+(0-0))+0-0-0</f>
        <v>3449.3</v>
      </c>
      <c r="K241" s="3">
        <f>3496.8+(421.3-413.6)+(0+(0-0))+0-0-0</f>
        <v>3504.5</v>
      </c>
      <c r="L241" s="3">
        <f>3450.2+(449.7-334.6)+(-7.038408+(-0.917388--0.682584))+0-0-0</f>
        <v>3558.0267879999997</v>
      </c>
      <c r="M241" s="3">
        <f>3713.5+(546.7-440.5)+(-3.78777+(-0.557634--0.44931))+0-0-0</f>
        <v>3815.8039059999996</v>
      </c>
      <c r="N241" s="3">
        <f>3965.5+(719.6-379)+(4.04481+(0.733992-0.38658))+0-0-0</f>
        <v>4310.4922220000008</v>
      </c>
      <c r="O241" s="3">
        <f>4182+(942.4-424.3)+(0+(0-0))+0-0-0</f>
        <v>4700.1000000000004</v>
      </c>
      <c r="P241" s="3">
        <f>4391.3+(1028.4-439)+(-6.718689+(-1.573452--0.67167))+0-0-0</f>
        <v>4973.0795290000005</v>
      </c>
      <c r="Q241" s="3">
        <f>4374.2+(1140.9-412)+(-8.923368+(-2.327436--0.84048))+0-0-0</f>
        <v>5092.689676</v>
      </c>
      <c r="R241" s="3">
        <f>4242.7+(1042.1-302.4)+(-6.491331+(-1.594413--0.462672))+0-0-0</f>
        <v>4974.7769279999993</v>
      </c>
      <c r="S241" s="3">
        <f>4188.3+(823.8-238.7)+(-8.544132+(-1.680552--0.486948))+0-0-0</f>
        <v>4763.6622639999996</v>
      </c>
      <c r="T241" s="3">
        <f>4213.7+(715.5-196.1)+(4.297974+(0.72981-0.200022))+0-0-0</f>
        <v>4737.9277619999993</v>
      </c>
      <c r="U241" s="3">
        <f>4125.4+(800.3-251.5)+(-6.311862+(-1.224459--0.384795))+0-0-0</f>
        <v>4667.0484740000002</v>
      </c>
      <c r="V241" s="3">
        <f>4140.7+(786.3-238.2)+(0+(0-0))+0-0-0</f>
        <v>4688.7999999999993</v>
      </c>
      <c r="W241" s="3">
        <f>4366.3+(1090.8-251.9)+(-6.680439+(-1.668924--0.385407))+0-0-0</f>
        <v>5197.2360440000002</v>
      </c>
      <c r="X241" s="3">
        <f>4553.5+(1078.4-347.2)+(-4.64457+(-1.099968--0.354144))+0-0-0</f>
        <v>5279.3096059999998</v>
      </c>
      <c r="Y241" s="3">
        <f>4518.7+(1037.9-337.4)+(0+(0-0))+0-0-0</f>
        <v>5219.2</v>
      </c>
      <c r="Z241" s="3">
        <f>4489.3+(1021.9-411.7)+(0+(0-0))+0-0-0</f>
        <v>5099.5</v>
      </c>
      <c r="AA241" s="3">
        <f>4428.7+(971.4-511.1)+(-6.775911+(-1.486242--0.781983))+0-0-0</f>
        <v>4881.5198300000002</v>
      </c>
      <c r="AB241" s="3">
        <f>4200+(908.9-448.6)+(0+(0-0))+0-0-0</f>
        <v>4660.3</v>
      </c>
      <c r="AC241" s="3">
        <f>3883+(834.3-320.7)+(-7.92132+(-1.701972--0.654228))+0-0-0</f>
        <v>4387.6309360000005</v>
      </c>
      <c r="AD241" s="2">
        <v>5295.4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3784.8+(516.3-275.1)+(-1.930248+(-0.263313--0.140301))+0-0-0</f>
        <v>4023.9467399999999</v>
      </c>
      <c r="G242" s="3">
        <f>3742.2+(325-374.9)+(-3.817044+(-0.3315--0.382398))+0-0-0</f>
        <v>3688.5338539999998</v>
      </c>
      <c r="H242" s="3">
        <f>3718.7+(227.9-443.5)+(-9.482685+(-0.581145--1.130925))+0-0-0</f>
        <v>3494.1670949999998</v>
      </c>
      <c r="I242" s="3">
        <f>3703.2+(146.7-453.2)+(-3.777264+(-0.149634--0.462264))+0-0-0</f>
        <v>3393.2353659999999</v>
      </c>
      <c r="J242" s="3">
        <f>3665.8+(63.5-390.9)+(0+(0-0))+0-0-0</f>
        <v>3338.4</v>
      </c>
      <c r="K242" s="3">
        <f>3659.2+(49.6-367.4)+(0+(0-0))+0-0-0</f>
        <v>3341.3999999999996</v>
      </c>
      <c r="L242" s="3">
        <f>3606.6+(45-398.3)+(-9.19683+(-0.11475--1.015665))+0-0-0</f>
        <v>3245.0040849999996</v>
      </c>
      <c r="M242" s="3">
        <f>3503.9+(112.2-376.5)+(-3.573978+(-0.114444--0.38403))+0-0-0</f>
        <v>3236.2956079999999</v>
      </c>
      <c r="N242" s="3">
        <f>3720.3+(118.6-418.4)+(5.692059+(0.181458-0.640152))+0-0-0</f>
        <v>3425.733365</v>
      </c>
      <c r="O242" s="3">
        <f>3958.6+(188.5-451.2)+(-4.037772+(-0.19227--0.460224))+0-0-0</f>
        <v>3692.1301819999999</v>
      </c>
      <c r="P242" s="3">
        <f>3967.6+(477.3-447.4)+(4.046952+(0.486846-0.456348))+0-0-0</f>
        <v>4001.5774500000002</v>
      </c>
      <c r="Q242" s="3">
        <f>3965.2+(522.7-271.8)+(-10.11126+(-1.332885--0.69309))+0-0-0</f>
        <v>4205.3489449999997</v>
      </c>
      <c r="R242" s="3">
        <f>3972.6+(527.6-264.7)+(-14.182182+(-1.883532--0.944979))+0-0-0</f>
        <v>4220.3792649999996</v>
      </c>
      <c r="S242" s="3">
        <f>3986.9+(384.6-227.8)+(-6.099957+(-0.588438--0.348534))+0-0-0</f>
        <v>4137.3601389999994</v>
      </c>
      <c r="T242" s="3">
        <f>3994.8+(309.8-225.3)+(-6.112044+(-0.473994--0.344709))+0-0-0</f>
        <v>4073.0586710000002</v>
      </c>
      <c r="U242" s="3">
        <f>3951.4+(318.4-245.9)+(0+(0-0))+0-0-0</f>
        <v>4023.9</v>
      </c>
      <c r="V242" s="3">
        <f>4025.8+(487.3-352.7)+(-4.106316+(-0.497046--0.359754))+0-0-0</f>
        <v>4156.1563920000008</v>
      </c>
      <c r="W242" s="3">
        <f>4437.2+(605.6-289.5)+(0+(0-0))+0-0-0</f>
        <v>4753.3</v>
      </c>
      <c r="X242" s="3">
        <f>4724.1+(669.3-428.6)+(-9.637164+(-1.365372--0.874344))+0-0-0</f>
        <v>4954.6718080000001</v>
      </c>
      <c r="Y242" s="3">
        <f>4653+(692.4-392.6)+(0+(0-0))+0-0-0</f>
        <v>4952.8</v>
      </c>
      <c r="Z242" s="3">
        <f>4502.5+(760-348.1)+(-6.888825+(-1.1628--0.532593))+0-0-0</f>
        <v>4906.8809679999995</v>
      </c>
      <c r="AA242" s="3">
        <f>4430.3+(678.9-354.1)+(0+(0-0))+0-0-0</f>
        <v>4755.1000000000004</v>
      </c>
      <c r="AB242" s="3">
        <f>4228.9+(763.4-379.3)+(-6.470217+(-1.168002--0.580329))+0-0-0</f>
        <v>4605.94211</v>
      </c>
      <c r="AC242" s="3">
        <f>3744.9+(834.1-293.6)+(-7.639596+(-1.701564--0.598944))+0-0-0</f>
        <v>4276.657784</v>
      </c>
      <c r="AD242" s="2">
        <v>4918.7999999999993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3747.5+(482.8-344.1)+(-1.911225+(-0.246228--0.175491))+0-0-0</f>
        <v>3884.218038</v>
      </c>
      <c r="G243" s="3">
        <f>3748.5+(164.4-341.2)+(-3.82347+(-0.167688--0.348024))+0-0-0</f>
        <v>3568.0568659999999</v>
      </c>
      <c r="H243" s="3">
        <f>3711.1+(96.8-375.4)+(-11.355966+(-0.296208--1.148724))+0-0-0</f>
        <v>3421.9965499999998</v>
      </c>
      <c r="I243" s="3">
        <f>3464.5+(233.6-331.1)+(3.53379+(0.238272-0.337722))+0-0-0</f>
        <v>3370.4343399999998</v>
      </c>
      <c r="J243" s="3">
        <f>3433.5+(260.8-329.4)+(-3.50217+(-0.266016--0.335988))+0-0-0</f>
        <v>3361.4678020000001</v>
      </c>
      <c r="K243" s="3">
        <f>3471.9+(253.5-265.4)+(-3.541338+(-0.25857--0.270708))+0-0-0</f>
        <v>3456.4708000000001</v>
      </c>
      <c r="L243" s="3">
        <f>3580.1+(331.6-211.8)+(-9.129255+(-0.84558--0.54009))+0-0-0</f>
        <v>3690.4652550000001</v>
      </c>
      <c r="M243" s="3">
        <f>4103.6+(346-261)+(-4.185672+(-0.35292--0.26622))+0-0-0</f>
        <v>4184.327628</v>
      </c>
      <c r="N243" s="3">
        <f>4213.2+(553.8-195.8)+(-6.446196+(-0.847314--0.299574))+0-0-0</f>
        <v>4564.206064</v>
      </c>
      <c r="O243" s="3">
        <f>4350.4+(733.1-215.7)+(-8.874816+(-1.495524--0.440028))+0-0-0</f>
        <v>4857.8696879999989</v>
      </c>
      <c r="P243" s="3">
        <f>4455.2+(948.9-239.3)+(-2.272152+(-0.483939--0.122043))+0-0-0</f>
        <v>5162.1659519999994</v>
      </c>
      <c r="Q243" s="3">
        <f>4594.3+(1027.3-307.7)+(-2.343093+(-0.523923--0.156927))+0-0-0</f>
        <v>5311.1899109999995</v>
      </c>
      <c r="R243" s="3">
        <f>4559.8+(1116.2-322.5)+(-11.62749+(-2.84631--0.822375))+0-0-0</f>
        <v>5339.848575</v>
      </c>
      <c r="S243" s="3">
        <f>4526.1+(960.3-284.1)+(0+(0-0))+0-0-0</f>
        <v>5202.3</v>
      </c>
      <c r="T243" s="3">
        <f>4585.8+(938.8-250.2)+(0+(0-0))+0-0-0</f>
        <v>5274.4</v>
      </c>
      <c r="U243" s="3">
        <f>4587.4+(948.2-283.9)+(-2.339574+(-0.483582--0.144789))+0-0-0</f>
        <v>5249.0216329999994</v>
      </c>
      <c r="V243" s="3">
        <f>4575.1+(1172.2-382.6)+(0+(0-0))+0-0-0</f>
        <v>5364.7000000000007</v>
      </c>
      <c r="W243" s="3">
        <f>4798.9+(1247.5-247.3)+(4.894878+(1.27245-0.252246))+0-0-0</f>
        <v>5805.0150819999999</v>
      </c>
      <c r="X243" s="3">
        <f>4874.8+(1213.4-272.1)+(-12.43074+(-3.09417--0.693855))+0-0-0</f>
        <v>5801.2689450000007</v>
      </c>
      <c r="Y243" s="3">
        <f>4755.5+(1125.4-244.9)+(-4.85061+(-1.147908--0.249798))+0-0-0</f>
        <v>5630.2512800000004</v>
      </c>
      <c r="Z243" s="3">
        <f>4672.8+(1050.8-253.4)+(-7.149384+(-1.607724--0.387702))+0-0-0</f>
        <v>5461.830594</v>
      </c>
      <c r="AA243" s="3">
        <f>4570.8+(952.8-296.7)+(-11.65554+(-2.42964--0.756585))+0-0-0</f>
        <v>5213.5714049999997</v>
      </c>
      <c r="AB243" s="3">
        <f>4305.6+(888.9-252.3)+(2.195856+(0.453339-0.128673))+0-0-0</f>
        <v>4944.7205220000005</v>
      </c>
      <c r="AC243" s="3">
        <f>3974.8+(826.9-215.9)+(-10.13574+(-2.108595--0.550545))+0-0-0</f>
        <v>4574.1062099999999</v>
      </c>
      <c r="AD243" s="2">
        <v>5825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3764.5+(531.2-223)+(-5.759685+(-0.812736--0.34119))+0-0-0</f>
        <v>4066.4687689999996</v>
      </c>
      <c r="G244" s="3">
        <f>3737+(353-365)+(-9.52935+(-0.90015--0.93075))+0-0-0</f>
        <v>3715.5012499999998</v>
      </c>
      <c r="H244" s="3">
        <f>3590.2+(278.8-298.3)+(3.662004+(0.284376-0.304266))+0-0-0</f>
        <v>3574.342114</v>
      </c>
      <c r="I244" s="3">
        <f>3539.1+(351.9-385.6)+(0+(0-0))+0-0-0</f>
        <v>3505.3999999999996</v>
      </c>
      <c r="J244" s="3">
        <f>3549.5+(321.5-353.8)+(1.810245+(0.163965-0.180438))+0-0-0</f>
        <v>3518.9937719999998</v>
      </c>
      <c r="K244" s="3">
        <f>3723.1+(293.9-407.4)+(-5.696343+(-0.449667--0.623322))+0-0-0</f>
        <v>3604.0773119999999</v>
      </c>
      <c r="L244" s="3">
        <f>4242.3+(188.8-577.1)+(-2.163573+(-0.096288--0.294321))+51.3-0-0</f>
        <v>3903.33446</v>
      </c>
      <c r="M244" s="3">
        <f>4328.3+(345.1-486.3)+(-6.622299+(-0.528003--0.744039))+0-0-0</f>
        <v>4180.6937370000005</v>
      </c>
      <c r="N244" s="3">
        <f>4424.2+(539.1-262.1)+(-4.512684+(-0.549882--0.267342))+0-0-0</f>
        <v>4696.4047759999994</v>
      </c>
      <c r="O244" s="3">
        <f>4426.1+(849.1-214)+(-4.514622+(-0.866082--0.21828))+0-0-0</f>
        <v>5056.0375760000006</v>
      </c>
      <c r="P244" s="3">
        <f>4282.4+(1167-209.6)+(-10.92012+(-2.97585--0.53448))+0-0-0</f>
        <v>5226.438509999999</v>
      </c>
      <c r="Q244" s="3">
        <f>4335.4+(1325.6-235.8)+(-11.05527+(-3.38028--0.60129))+0-0-0</f>
        <v>5411.3657400000002</v>
      </c>
      <c r="R244" s="3">
        <f>4269.4+(1330.1-295.1)+(-6.532182+(-2.035053--0.451503))+0-0-0</f>
        <v>5296.2842679999994</v>
      </c>
      <c r="S244" s="3">
        <f>4149.7+(1273.3-254.3)+(-4.232694+(-1.298766--0.259386))+0-0-0</f>
        <v>5163.4279259999994</v>
      </c>
      <c r="T244" s="3">
        <f>4159.8+(1373.6-254.9)+(2.121498+(0.700536-0.129999))+0-0-0</f>
        <v>5281.192035</v>
      </c>
      <c r="U244" s="3">
        <f>4183.9+(1284.8-262.7)+(4.267578+(1.310496-0.267954))+0-0-0</f>
        <v>5211.3101200000001</v>
      </c>
      <c r="V244" s="3">
        <f>4223.6+(1456.5-364.1)+(0+(0-0))+0-0-0</f>
        <v>5316</v>
      </c>
      <c r="W244" s="3">
        <f>4907.9+(1477.1-578.8)+(-2.503029+(-0.753321--0.295188))+0-0-0</f>
        <v>5803.2388380000002</v>
      </c>
      <c r="X244" s="3">
        <f>5000.3+(1361.4-514.8)+(-2.550153+(-0.694314--0.262548))+0-0-0</f>
        <v>5843.9180810000007</v>
      </c>
      <c r="Y244" s="3">
        <f>4888.2+(1221.6-453.3)+(-2.492982+(-0.623016--0.231183))+0-0-0</f>
        <v>5653.6151849999997</v>
      </c>
      <c r="Z244" s="3">
        <f>4774+(1109.3-445.7)+(-4.86948+(-1.131486--0.454614))+0-0-0</f>
        <v>5432.0536480000001</v>
      </c>
      <c r="AA244" s="3">
        <f>4664.7+(1121.7-583.5)+(-2.378997+(-0.572067--0.297585))+0-0-0</f>
        <v>5200.246521</v>
      </c>
      <c r="AB244" s="3">
        <f>4438.4+(1146.4-615.5)+(-11.31792+(-2.92332--1.569525))+0-0-0</f>
        <v>4956.6282849999989</v>
      </c>
      <c r="AC244" s="3">
        <f>4362+(941.6-711.2)+(-6.67386+(-1.440648--1.088136))+0-0-0</f>
        <v>4585.3736279999994</v>
      </c>
      <c r="AD244" s="2">
        <v>5865.2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4087.2+(672.1-635.8)+(-4.168944+(-0.685542--0.648516))+0-0-0</f>
        <v>4119.29403</v>
      </c>
      <c r="G245" s="3">
        <f>4064.3+(296.1-588.4)+(-10.363965+(-0.755055--1.50042))+0-0-0</f>
        <v>3762.3814000000002</v>
      </c>
      <c r="H245" s="3">
        <f>4015.5+(176.8-574.1)+(2.047905+(0.090168-0.292791))+0-0-0</f>
        <v>3620.045282</v>
      </c>
      <c r="I245" s="3">
        <f>3978.3+(126.7-553.9)+(-10.144665+(-0.323085--1.412445))+0-0-0</f>
        <v>3542.0446950000005</v>
      </c>
      <c r="J245" s="3">
        <f>3869.4+(193-503.6)+(-1.973394+(-0.09843--0.256836))+0-0-0</f>
        <v>3556.9850120000001</v>
      </c>
      <c r="K245" s="3">
        <f>3986.7+(195.9-539.1)+(-2.033217+(-0.099909--0.274941))+0-0-0</f>
        <v>3641.641815</v>
      </c>
      <c r="L245" s="3">
        <f>4239.1+(205.4-599.2)+(4.323882+(0.209508-0.611184))+0-0-0</f>
        <v>3849.2222060000004</v>
      </c>
      <c r="M245" s="3">
        <f>4585.9+(197-554.5)+(2.338809+(0.10047-0.282795))+0-0-0</f>
        <v>4230.5564839999997</v>
      </c>
      <c r="N245" s="3">
        <f>4991.7+(360.7-597.6)+(0+(0-0))+0-0-0</f>
        <v>4754.8</v>
      </c>
      <c r="O245" s="3">
        <f>5058.6+(591-506.5)+(-10.319544+(-1.20564--1.03326))+0-0-0</f>
        <v>5132.6080760000004</v>
      </c>
      <c r="P245" s="3">
        <f>5067.8+(797.7-491.6)+(-10.338312+(-1.627308--1.002864))+0-0-0</f>
        <v>5362.9372440000006</v>
      </c>
      <c r="Q245" s="3">
        <f>4936.4+(954.9-393.8)+(-2.517564+(-0.486999--0.200838))+0-0-0</f>
        <v>5494.6962750000002</v>
      </c>
      <c r="R245" s="3">
        <f>4896.7+(942.6-411.6)+(-9.989268+(-1.922904--0.839664))+0-0-0</f>
        <v>5416.6274919999996</v>
      </c>
      <c r="S245" s="3">
        <f>4894+(817.7-341.2)+(-2.49594+(-0.417027--0.174012))+0-0-0</f>
        <v>5367.7610450000002</v>
      </c>
      <c r="T245" s="3">
        <f>4809.8+(789.4-312.6)+(-7.358994+(-1.207782--0.478278))+0-0-0</f>
        <v>5278.5115020000003</v>
      </c>
      <c r="U245" s="3">
        <f>4824.7+(806.1-286.6)+(-2.460597+(-0.411111--0.146166))+0-0-0</f>
        <v>5341.4744579999997</v>
      </c>
      <c r="V245" s="3">
        <f>4877.3+(859.1-277.1)+(7.462269+(1.314423-0.423963))+0-0-0</f>
        <v>5467.6527290000004</v>
      </c>
      <c r="W245" s="3">
        <f>5158.8+(1179.4-472.9)+(-13.15494+(-3.00747--1.205895))+0-0-0</f>
        <v>5850.3434850000003</v>
      </c>
      <c r="X245" s="3">
        <f>5118.3+(1126.7-385.7)+(-10.441332+(-2.298468--0.786828))+0-0-0</f>
        <v>5847.3470280000001</v>
      </c>
      <c r="Y245" s="3">
        <f>4772.1+(1192.5-288)+(-12.168855+(-3.040875--0.7344))+0-0-0</f>
        <v>5662.1246700000002</v>
      </c>
      <c r="Z245" s="3">
        <f>4669.8+(1084.7-286.4)+(-9.526392+(-2.212788--0.584256))+0-0-0</f>
        <v>5456.945076</v>
      </c>
      <c r="AA245" s="3">
        <f>4600.9+(845.7-279.7)+(-2.346459+(-0.431307--0.142647))+0-0-0</f>
        <v>5164.2648810000001</v>
      </c>
      <c r="AB245" s="3">
        <f>4446.1+(843-378.9)+(-6.802533+(-1.28979--0.579717))+0-0-0</f>
        <v>4902.6873940000005</v>
      </c>
      <c r="AC245" s="3">
        <f>4354.6+(692.5-431)+(-8.883384+(-1.4127--0.87924))+0-0-0</f>
        <v>4606.6831560000001</v>
      </c>
      <c r="AD245" s="2">
        <v>5827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4053.6+(454.8-408.8)+(4.134672+(0.463896-0.416976))+0-0-0</f>
        <v>4103.7815920000003</v>
      </c>
      <c r="G246" s="3">
        <f>3961+(316.9-499)+(-4.04022+(-0.323238--0.50898))+0-0-0</f>
        <v>3775.0455219999999</v>
      </c>
      <c r="H246" s="3">
        <f>3958.8+(222.2-576.2)+(-4.037976+(-0.226644--0.587724))+0-0-0</f>
        <v>3601.1231040000002</v>
      </c>
      <c r="I246" s="3">
        <f>3980.2+(223.3-678.6)+(4.059804+(0.227766-0.692172))+0-0-0</f>
        <v>3528.4953979999996</v>
      </c>
      <c r="J246" s="3">
        <f>3950.4+(138.2-580.1)+(-2.014704+(-0.070482--0.295851))+0-0-0</f>
        <v>3506.7106650000001</v>
      </c>
      <c r="K246" s="3">
        <f>3973.8+(275.9-655.7)+(10.13319+(0.703545-1.672035))+0-0-0</f>
        <v>3603.1646999999998</v>
      </c>
      <c r="L246" s="3">
        <f>3971.8+(634.5-771.9)+(0+(0-0))+0-0-0</f>
        <v>3834.4</v>
      </c>
      <c r="M246" s="3">
        <f>4195.5+(774.8-672.1)+(4.27941+(0.790296-0.685542))+0-0-0</f>
        <v>4302.5841639999999</v>
      </c>
      <c r="N246" s="3">
        <f>4323.8+(896.3-471.7)+(6.615414+(1.371339-0.721701))+0-0-0</f>
        <v>4755.6650520000003</v>
      </c>
      <c r="O246" s="3">
        <f>4689.8+(886.5-456.3)+(-2.391798+(-0.452115--0.232713))+0-0-0</f>
        <v>5117.3887999999997</v>
      </c>
      <c r="P246" s="3">
        <f>4704.8+(1010.7-327.1)+(0+(0-0))+0-0-0</f>
        <v>5388.4000000000005</v>
      </c>
      <c r="Q246" s="3">
        <f>4736.4+(1180.5-296.9)+(-2.415564+(-0.602055--0.151419))+0-0-0</f>
        <v>5617.1337999999996</v>
      </c>
      <c r="R246" s="3">
        <f>4623+(1296.5-270)+(-16.50411+(-4.628505--0.9639))+0-0-0</f>
        <v>5629.3312850000002</v>
      </c>
      <c r="S246" s="3">
        <f>4684.1+(1130.9-302.5)+(2.388891+(0.576759-0.154275))+0-0-0</f>
        <v>5515.3113750000002</v>
      </c>
      <c r="T246" s="3">
        <f>4666.8+(1184.1-229.6)+(-7.140204+(-1.811673--0.351288))+0-0-0</f>
        <v>5612.6994110000005</v>
      </c>
      <c r="U246" s="3">
        <f>4837.3+(1152-231.7)+(2.467023+(0.58752-0.118167))+0-0-0</f>
        <v>5760.536376</v>
      </c>
      <c r="V246" s="3">
        <f>4869.4+(1209.7-224.7)+(-7.450182+(-1.850841--0.343791))+0-0-0</f>
        <v>5845.4427679999999</v>
      </c>
      <c r="W246" s="3">
        <f>5035.3+(1149.8-295.2)+(-10.272012+(-2.345592--0.602208))+0-0-0</f>
        <v>5877.8846039999999</v>
      </c>
      <c r="X246" s="3">
        <f>5056.9+(1063.1-291.1)+(-10.316076+(-2.168724--0.593844))+0-0-0</f>
        <v>5817.0090439999994</v>
      </c>
      <c r="Y246" s="3">
        <f>4737.6+(882.9-302.7)+(-12.08088+(-2.251395--0.771885))+0-0-0</f>
        <v>5304.2396100000005</v>
      </c>
      <c r="Z246" s="3">
        <f>4672.1+(914.6-333.2)+(-7.148313+(-1.399338--0.509796))+0-0-0</f>
        <v>5245.4621450000004</v>
      </c>
      <c r="AA246" s="3">
        <f>4640.9+(779-274.1)+(-4.733718+(-0.79458--0.279582))+0-0-0</f>
        <v>5140.5512839999992</v>
      </c>
      <c r="AB246" s="3">
        <f>4557.3+(716.6-377.2)+(-6.972669+(-1.096398--0.577116))+0-0-0</f>
        <v>4889.2080489999998</v>
      </c>
      <c r="AC246" s="3">
        <f>4431+(816.7-649.5)+(0+(0-0))+0-0-0</f>
        <v>4598.2</v>
      </c>
      <c r="AD246" s="2">
        <v>5941.5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4237.3+(627.3-677.4)+(-10.805115+(-1.599615--1.72737))+0-0-0</f>
        <v>4176.5226400000001</v>
      </c>
      <c r="G247" s="3">
        <f>3989.1+(695.8-791.2)+(2.034441+(0.354858-0.403512))+0-0-0</f>
        <v>3895.6857869999999</v>
      </c>
      <c r="H247" s="3">
        <f>3951.1+(739.6-951)+(-4.030122+(-0.754392--0.97002))+0-0-0</f>
        <v>3735.8855059999996</v>
      </c>
      <c r="I247" s="3">
        <f>3918.6+(740.1-988.4)+(1.998486+(0.377451-0.504084))+0-0-0</f>
        <v>3672.1718530000003</v>
      </c>
      <c r="J247" s="3">
        <f>3993.4+(788.5-1108)+(10.18317+(2.010675-2.8254))+0-0-0</f>
        <v>3683.2684450000002</v>
      </c>
      <c r="K247" s="3">
        <f>3998.9+(770.8-1015.1)+(4.078878+(0.786216-1.035402))+0-0-0</f>
        <v>3758.4296919999997</v>
      </c>
      <c r="L247" s="3">
        <f>4078.4+(867.6-994.5)+(6.239952+(1.327428-1.521585))+0-0-0</f>
        <v>3957.545795</v>
      </c>
      <c r="M247" s="3">
        <f>4467.9+(1089.6-1222.2)+(9.114516+(2.222784-2.493288))+0-0-0</f>
        <v>4344.1440119999988</v>
      </c>
      <c r="N247" s="3">
        <f>4795.3+(1060.3-1021.8)+(-2.445603+(-0.540753--0.521118))+0-0-0</f>
        <v>4831.3347620000004</v>
      </c>
      <c r="O247" s="3">
        <f>5160.5+(918.5-911.6)+(-5.26371+(-0.93687--0.929832))+0-0-0</f>
        <v>5162.1292519999997</v>
      </c>
      <c r="P247" s="3">
        <f>5304.2+(910.1-860.1)+(-8.115426+(-1.392453--1.315953))+0-0-0</f>
        <v>5346.0080739999994</v>
      </c>
      <c r="Q247" s="3">
        <f>5310.2+(948.4-709)+(-13.54101+(-2.41842--1.80795))+0-0-0</f>
        <v>5535.448519999999</v>
      </c>
      <c r="R247" s="3">
        <f>5124.9+(899.9-561.3)+(-2.613699+(-0.458949--0.286263))+0-0-0</f>
        <v>5460.7136149999997</v>
      </c>
      <c r="S247" s="3">
        <f>5021.4+(777.2-463.4)+(-12.80457+(-1.98186--1.18167))+0-0-0</f>
        <v>5321.5952399999996</v>
      </c>
      <c r="T247" s="3">
        <f>5105+(781.2-471.5)+(0+(0-0))+0-0-0</f>
        <v>5414.7</v>
      </c>
      <c r="U247" s="3">
        <f>5202.7+(661.7-401.3)+(-13.266885+(-1.687335--1.023315))+0-0-0</f>
        <v>5449.1690949999993</v>
      </c>
      <c r="V247" s="3">
        <f>5186.8+(651-336.2)+(-2.645268+(-0.33201--0.171462))+0-0-0</f>
        <v>5498.7941840000003</v>
      </c>
      <c r="W247" s="3">
        <f>5456.3+(692.2-357.3)+(2.782713+(0.353022-0.182223))+0-0-0</f>
        <v>5794.1535119999999</v>
      </c>
      <c r="X247" s="3">
        <f>5476.9+(722-488.2)+(-2.793219+(-0.36822--0.248982))+0-0-0</f>
        <v>5707.7875429999995</v>
      </c>
      <c r="Y247" s="3">
        <f>5402.9+(771.1-658.2)+(-11.021916+(-1.573044--1.342728))+0-0-0</f>
        <v>5504.5477679999995</v>
      </c>
      <c r="Z247" s="3">
        <f>5411.5+(649.4-753.9)+(-5.51973+(-0.662388--0.768978))+0-0-0</f>
        <v>5301.5868600000003</v>
      </c>
      <c r="AA247" s="3">
        <f>5306.4+(549.4-809.4)+(-5.412528+(-0.560388--0.825588))+0-0-0</f>
        <v>5041.2526719999996</v>
      </c>
      <c r="AB247" s="3">
        <f>5143.1+(495.2-816.6)+(-2.622981+(-0.252552--0.416466))+0-0-0</f>
        <v>4819.240933000001</v>
      </c>
      <c r="AC247" s="3">
        <f>5107.8+(407.6-870.9)+(-10.419912+(-0.831504--1.776636))+0-0-0</f>
        <v>4635.0252200000004</v>
      </c>
      <c r="AD247" s="2">
        <v>5787.3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4714.5+(277.9-767.3)+(0+(0-0))+0-0-0</f>
        <v>4225.1000000000004</v>
      </c>
      <c r="G248" s="3">
        <f>4338+(192.2-672.5)+(-6.63714+(-0.294066--1.028925))+0-0-0</f>
        <v>3851.7977189999997</v>
      </c>
      <c r="H248" s="3">
        <f>4204.6+(226.9-758.3)+(2.144346+(0.115719-0.386733))+0-0-0</f>
        <v>3675.0733320000004</v>
      </c>
      <c r="I248" s="3">
        <f>4170.9+(220.2-809.8)+(-2.127159+(-0.112302--0.412998))+0-0-0</f>
        <v>3579.4735369999999</v>
      </c>
      <c r="J248" s="3">
        <f>4132.1+(313.8-923.9)+(8.429484+(0.640152-1.884756))+0-0-0</f>
        <v>3529.1848800000002</v>
      </c>
      <c r="K248" s="3">
        <f>4123+(327.6-885.7)+(2.10273+(0.167076-0.451707))+0-0-0</f>
        <v>3566.7180990000002</v>
      </c>
      <c r="L248" s="3">
        <f>4203.9+(527.3-1083.4)+(-10.719945+(-1.344615--2.76267))+0-0-0</f>
        <v>3638.4981099999991</v>
      </c>
      <c r="M248" s="3">
        <f>4626+(497.3-1182.9)+(2.35926+(0.253623-0.603279))+0-0-0</f>
        <v>3942.4096039999995</v>
      </c>
      <c r="N248" s="3">
        <f>4854.2+(561.5-1126.5)+(4.951284+(0.57273-1.14903))+0-0-0</f>
        <v>4293.5749839999999</v>
      </c>
      <c r="O248" s="3">
        <f>4968.4+(775.5-1044.5)+(-5.067768+(-0.79101--1.06539))+0-0-0</f>
        <v>4694.6066119999996</v>
      </c>
      <c r="P248" s="3">
        <f>5043.2+(757.6-897.1)+(-5.144064+(-0.772752--0.915042))+0-0-0</f>
        <v>4898.6982259999995</v>
      </c>
      <c r="Q248" s="3">
        <f>5131.3+(727.9-744.6)+(-2.616963+(-0.371229--0.379746))+0-0-0</f>
        <v>5111.9915540000002</v>
      </c>
      <c r="R248" s="3">
        <f>5128.7+(630.2-641.5)+(-18.309459+(-2.249814--2.290155))+0-0-0</f>
        <v>5099.1308819999995</v>
      </c>
      <c r="S248" s="3">
        <f>4866.3+(529.7-564.7)+(-7.445439+(-0.810441--0.863991))+0-0-0</f>
        <v>4823.9081109999997</v>
      </c>
      <c r="T248" s="3">
        <f>4804.6+(576.6-546.1)+(-9.801384+(-1.176264--1.114044))+0-0-0</f>
        <v>4825.2363960000002</v>
      </c>
      <c r="U248" s="3">
        <f>4810.3+(469.4-587.9)+(0+(0-0))+0-0-0</f>
        <v>4691.8</v>
      </c>
      <c r="V248" s="3">
        <f>5088.4+(414-683.7)+(0+(0-0))+0-0-0</f>
        <v>4818.7</v>
      </c>
      <c r="W248" s="3">
        <f>5469.2+(314.8-607.6)+(2.789292+(0.160548-0.309876))+0-0-0</f>
        <v>5179.0399639999996</v>
      </c>
      <c r="X248" s="3">
        <f>5468.6+(371.7-649.4)+(-8.366958+(-0.568701--0.993582))+0-0-0</f>
        <v>5182.9579230000008</v>
      </c>
      <c r="Y248" s="3">
        <f>5387.9+(347.5-674.1)+(-16.486974+(-1.06335--2.062746))+0-0-0</f>
        <v>5045.8124219999991</v>
      </c>
      <c r="Z248" s="3">
        <f>5211.6+(359.1-694.5)+(-7.973748+(-0.549423--1.062585))+0-0-0</f>
        <v>4868.7394140000006</v>
      </c>
      <c r="AA248" s="3">
        <f>4940.7+(456.9-734)+(-5.039514+(-0.466038--0.74868))+0-0-0</f>
        <v>4658.8431279999995</v>
      </c>
      <c r="AB248" s="3">
        <f>4721.3+(364.3-691.7)+(-2.407863+(-0.185793--0.352767))+0-0-0</f>
        <v>4391.6591110000008</v>
      </c>
      <c r="AC248" s="3">
        <f>4351.5+(430.7-566)+(-6.657795+(-0.658971--0.86598))+0-0-0</f>
        <v>4209.7492139999995</v>
      </c>
      <c r="AD248" s="2">
        <v>5181.6000000000004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4182.7+(395.3-551.5)+(-10.665885+(-1.008015--1.406325))+0-0-0</f>
        <v>4016.2324250000001</v>
      </c>
      <c r="G249" s="3">
        <f>4050.6+(264.6-624.9)+(-4.131612+(-0.269892--0.637398))+0-0-0</f>
        <v>3686.5358940000001</v>
      </c>
      <c r="H249" s="3">
        <f>3828.4+(257.3-597.7)+(1.952484+(0.131223-0.304827))+0-0-0</f>
        <v>3489.7788799999998</v>
      </c>
      <c r="I249" s="3">
        <f>3760+(216.5-597.1)+(-5.7528+(-0.331245--0.913563))+0-0-0</f>
        <v>3374.2295180000001</v>
      </c>
      <c r="J249" s="3">
        <f>3768.9+(210.7-648)+(-1.922139+(-0.107457--0.33048))+0-0-0</f>
        <v>3329.9008840000001</v>
      </c>
      <c r="K249" s="3">
        <f>3824.2+(213.9-712.7)+(-1.950342+(-0.109089--0.363477))+0-0-0</f>
        <v>3323.7040459999998</v>
      </c>
      <c r="L249" s="3">
        <f>3705.2+(312.6-704.7)+(-7.558608+(-0.637704--1.437588))+0-0-0</f>
        <v>3306.3412760000001</v>
      </c>
      <c r="M249" s="3">
        <f>3593.7+(349.4-691.7)+(-1.832787+(-0.178194--0.352767))+0-0-0</f>
        <v>3249.7417859999996</v>
      </c>
      <c r="N249" s="3">
        <f>3585.7+(599.6-821.3)+(5.486121+(0.917388-1.256589))+0-0-0</f>
        <v>3369.1469200000001</v>
      </c>
      <c r="O249" s="3">
        <f>3751.9+(658.4-812.7)+(-1.913469+(-0.335784--0.414477))+0-0-0</f>
        <v>3595.7652239999998</v>
      </c>
      <c r="P249" s="3">
        <f>3824.8+(721.5-688.2)+(1.950648+(0.367965-0.350982))+0-0-0</f>
        <v>3860.0676310000003</v>
      </c>
      <c r="Q249" s="3">
        <f>4067.7+(679.9-730.2)+(-12.447162+(-2.080494--2.234412))+0-0-0</f>
        <v>4005.1067559999997</v>
      </c>
      <c r="R249" s="3">
        <f>3923.7+(781.6-651.5)+(-2.001087+(-0.398616--0.332265))+0-0-0</f>
        <v>4051.7325619999997</v>
      </c>
      <c r="S249" s="3">
        <f>4218.6+(769.2-986.5)+(-10.75743+(-1.96146--2.515575))+0-0-0</f>
        <v>3991.096685</v>
      </c>
      <c r="T249" s="3">
        <f>4071.9+(746.1-892.6)+(2.076669+(0.380511-0.455226))+0-0-0</f>
        <v>3927.4019539999999</v>
      </c>
      <c r="U249" s="3">
        <f>4012.4+(670.6-818.7)+(-4.092648+(-0.684012--0.835074))+0-0-0</f>
        <v>3860.3584140000003</v>
      </c>
      <c r="V249" s="3">
        <f>4102.7+(410.9-503.6)+(2.092377+(0.209559-0.256836))+0-0-0</f>
        <v>4012.0450999999998</v>
      </c>
      <c r="W249" s="3">
        <f>4509.2+(562.2-590.5)+(-4.599384+(-0.573444--0.60231))+0-0-0</f>
        <v>4476.3294819999992</v>
      </c>
      <c r="X249" s="3">
        <f>4541.8+(584.8-584)+(-4.632636+(-0.596496--0.59568))+0-0-0</f>
        <v>4537.9665480000003</v>
      </c>
      <c r="Y249" s="3">
        <f>4417.1+(650.1-630.5)+(-6.758163+(-0.994653--0.964665))+0-0-0</f>
        <v>4429.911849000001</v>
      </c>
      <c r="Z249" s="3">
        <f>4411.5+(546.5-636.6)+(-2.249865+(-0.278715--0.324666))+0-0-0</f>
        <v>4319.1960859999999</v>
      </c>
      <c r="AA249" s="3">
        <f>4355+(497.8-692.7)+(0+(0-0))+0-0-0</f>
        <v>4160.1000000000004</v>
      </c>
      <c r="AB249" s="3">
        <f>4292.2+(522.7-781.8)+(-4.378044+(-0.533154--0.797436))+0-0-0</f>
        <v>4028.986238</v>
      </c>
      <c r="AC249" s="3">
        <f>4288.1+(529.4-879.1)+(-6.560793+(-0.809982--1.345023))+0-0-0</f>
        <v>3932.3742480000005</v>
      </c>
      <c r="AD249" s="2">
        <v>4567.6000000000004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4097.2+(591.6-916.3)+(-8.358288+(-1.206864--1.869252))+0-0-0</f>
        <v>3764.8040999999998</v>
      </c>
      <c r="G250" s="3">
        <f>3727.9+(443.7-650.2)+(-11.407374+(-1.357722--1.989612))+0-0-0</f>
        <v>3510.6245160000003</v>
      </c>
      <c r="H250" s="3">
        <f>3507.6+(433.7-627.7)+(-1.788876+(-0.221187--0.320127))+0-0-0</f>
        <v>3311.9100639999997</v>
      </c>
      <c r="I250" s="3">
        <f>3420.3+(363.9-591.6)+(-3.488706+(-0.371178--0.603432))+0-0-0</f>
        <v>3189.3435480000003</v>
      </c>
      <c r="J250" s="3">
        <f>3426.7+(305.9-586.4)+(-3.495234+(-0.312018--0.598128))+0-0-0</f>
        <v>3142.9908759999998</v>
      </c>
      <c r="K250" s="3">
        <f>3492.4+(298.4-658.9)+(1.781124+(0.152184-0.336039))+0-0-0</f>
        <v>3133.497269</v>
      </c>
      <c r="L250" s="3">
        <f>3464.6+(181.7-559)+(-5.300838+(-0.278001--0.85527))+0-0-0</f>
        <v>3082.5764309999995</v>
      </c>
      <c r="M250" s="3">
        <f>3482+(219.7-691.1)+(-1.77582+(-0.112047--0.352461))+0-0-0</f>
        <v>3009.0645939999999</v>
      </c>
      <c r="N250" s="3">
        <f>3522.6+(219.9-682.3)+(-3.593052+(-0.224298--0.695946))+0-0-0</f>
        <v>3057.0785959999998</v>
      </c>
      <c r="O250" s="3">
        <f>3763.5+(312.1-776.6)+(-3.83877+(-0.318342--0.792132))+0-0-0</f>
        <v>3295.6350200000002</v>
      </c>
      <c r="P250" s="3">
        <f>3856.2+(361.3-754.8)+(-5.899986+(-0.552789--1.154844))+0-0-0</f>
        <v>3457.4020689999998</v>
      </c>
      <c r="Q250" s="3">
        <f>3914.4+(314.4-673.9)+(-1.996344+(-0.160344--0.343689))+0-0-0</f>
        <v>3553.0870009999999</v>
      </c>
      <c r="R250" s="3">
        <f>3787.1+(316.9-596.8)+(0+(0-0))+0-0-0</f>
        <v>3507.2</v>
      </c>
      <c r="S250" s="3">
        <f>3628.7+(374.5-558.7)+(1.850637+(0.190995-0.284937))+0-0-0</f>
        <v>3446.256695</v>
      </c>
      <c r="T250" s="3">
        <f>3597.6+(390.6-523.9)+(1.834776+(0.199206-0.267189))+0-0-0</f>
        <v>3466.066793</v>
      </c>
      <c r="U250" s="3">
        <f>3596.3+(374.3-488.2)+(1.834113+(0.190893-0.248982))+0-0-0</f>
        <v>3484.1760239999999</v>
      </c>
      <c r="V250" s="3">
        <f>3636.7+(430.2-479.4)+(1.854717+(0.219402-0.244494))+0-0-0</f>
        <v>3589.3296249999999</v>
      </c>
      <c r="W250" s="3">
        <f>4122.9+(426-513.8)+(0+(0-0))+0-0-0</f>
        <v>4035.0999999999995</v>
      </c>
      <c r="X250" s="3">
        <f>4290.9+(414.4-593.9)+(0+(0-0))+0-0-0</f>
        <v>4111.3999999999996</v>
      </c>
      <c r="Y250" s="3">
        <f>4212+(427.9-568)+(-8.59248+(-0.872916--1.15872))+0-0-0</f>
        <v>4063.5933239999999</v>
      </c>
      <c r="Z250" s="3">
        <f>4012.1+(403.9-428.1)+(-4.092342+(-0.411978--0.436662))+0-0-0</f>
        <v>3983.8323419999997</v>
      </c>
      <c r="AA250" s="3">
        <f>3803.5+(454.7-399.3)+(-5.819355+(-0.695691--0.610929))+0-0-0</f>
        <v>3852.995883</v>
      </c>
      <c r="AB250" s="3">
        <f>3605.2+(597.8-412)+(1.838652+(0.304878-0.21012))+0-0-0</f>
        <v>3792.9334100000001</v>
      </c>
      <c r="AC250" s="3">
        <f>3456.9+(650.3-372.6)+(0+(0-0))+0-0-0</f>
        <v>3734.6</v>
      </c>
      <c r="AD250" s="2">
        <v>4109.2999999999993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3202.7+(589.9-258.8)+(-11.433639+(-2.105943--0.923916))+0-0-0</f>
        <v>3521.1843339999996</v>
      </c>
      <c r="G251" s="3">
        <f>2915+(570.1-200.7)+(-2.9733+(-0.581502--0.204714))+0-0-0</f>
        <v>3281.0499119999999</v>
      </c>
      <c r="H251" s="3">
        <f>2820.2+(469.6-197.6)+(-4.314906+(-0.718488--0.302328))+0-0-0</f>
        <v>3087.468934</v>
      </c>
      <c r="I251" s="3">
        <f>2741.4+(505-255.4)+(2.796228+(0.5151-0.260508))+0-0-0</f>
        <v>2994.0508199999999</v>
      </c>
      <c r="J251" s="3">
        <f>2726.5+(460.2-242)+(-1.390515+(-0.234702--0.12342))+0-0-0</f>
        <v>2943.1982029999999</v>
      </c>
      <c r="K251" s="3">
        <f>2730.7+(410.6-194.1)+(2.785314+(0.418812-0.197982))+0-0-0</f>
        <v>2950.2061439999998</v>
      </c>
      <c r="L251" s="3">
        <f>2651.3+(513.3-287)+(-9.465141+(-1.832481--1.02459))+0-0-0</f>
        <v>2867.3269680000003</v>
      </c>
      <c r="M251" s="3">
        <f>2674.6+(435.3-357.4)+(-1.364046+(-0.222003--0.182274))+0-0-0</f>
        <v>2751.0962249999998</v>
      </c>
      <c r="N251" s="3">
        <f>2684+(448.5-336.9)+(5.47536+(0.91494-0.687276))+0-0-0</f>
        <v>2801.3030239999998</v>
      </c>
      <c r="O251" s="3">
        <f>2766.9+(615.5-432.6)+(-2.822238+(-0.62781--0.441252))+0-0-0</f>
        <v>2946.7912040000001</v>
      </c>
      <c r="P251" s="3">
        <f>2750.5+(710.9-447.5)+(-9.819285+(-2.537913--1.597575))+0-0-0</f>
        <v>3003.1403770000002</v>
      </c>
      <c r="Q251" s="3">
        <f>2817.3+(665.1-546.4)+(4.310469+(1.017603-0.835992))+0-0-0</f>
        <v>2940.49208</v>
      </c>
      <c r="R251" s="3">
        <f>2990.1+(584.8-667.2)+(4.574853+(0.894744-1.020816))+0-0-0</f>
        <v>2912.1487809999999</v>
      </c>
      <c r="S251" s="3">
        <f>3018+(606.1-666.8)+(3.07836+(0.618222-0.680136))+0-0-0</f>
        <v>2960.3164460000003</v>
      </c>
      <c r="T251" s="3">
        <f>2990.9+(597.4-483.8)+(-6.101436+(-1.218696--0.986952))+0-0-0</f>
        <v>3098.1668199999999</v>
      </c>
      <c r="U251" s="3">
        <f>3008.3+(568.5-370.1)+(4.602699+(0.869805-0.566253))+0-0-0</f>
        <v>3211.6062510000002</v>
      </c>
      <c r="V251" s="3">
        <f>3207+(469-230.8)+(0+(0-0))+0-0-0</f>
        <v>3445.2</v>
      </c>
      <c r="W251" s="3">
        <f>3613.2+(641.7-235.9)+(1.842732+(0.327267-0.120309))+0-0-0</f>
        <v>4021.0496899999998</v>
      </c>
      <c r="X251" s="3">
        <f>3673.6+(716.7-211.8)+(-7.494144+(-1.462068--0.432072))+0-0-0</f>
        <v>4169.9758599999996</v>
      </c>
      <c r="Y251" s="3">
        <f>3609.1+(765.4-193)+(-7.362564+(-1.561416--0.39372))+0-0-0</f>
        <v>4172.9697399999995</v>
      </c>
      <c r="Z251" s="3">
        <f>3617+(756.4-210)+(3.68934+(0.771528-0.2142))+0-0-0</f>
        <v>4167.6466679999994</v>
      </c>
      <c r="AA251" s="3">
        <f>3571.3+(729.7-204.7)+(-1.821363+(-0.372147--0.104397))+0-0-0</f>
        <v>4094.2108870000002</v>
      </c>
      <c r="AB251" s="3">
        <f>3532+(734.8-214.8)+(-9.0066+(-1.87374--0.54774))+0-0-0</f>
        <v>4041.6673999999998</v>
      </c>
      <c r="AC251" s="3">
        <f>3396.6+(713.9-242.8)+(-6.929064+(-1.456356--0.495312))+0-0-0</f>
        <v>3859.8098919999998</v>
      </c>
      <c r="AD251" s="2">
        <v>4163.3999999999996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3106.1+(649-240.6)+(-4.752333+(-0.99297--0.368118))+0-0-0</f>
        <v>3509.1228150000002</v>
      </c>
      <c r="G252" s="3">
        <f>2962.3+(521.9-249.2)+(-1.510773+(-0.266169--0.127092))+0-0-0</f>
        <v>3233.3501500000002</v>
      </c>
      <c r="H252" s="3">
        <f>2924.7+(454.7-270)+(-2.983194+(-0.463794--0.2754))+0-0-0</f>
        <v>3106.2284119999995</v>
      </c>
      <c r="I252" s="3">
        <f>2845.6+(471.5-268.4)+(1.451256+(0.240465-0.136884))+0-0-0</f>
        <v>3050.254837</v>
      </c>
      <c r="J252" s="3">
        <f>2839.6+(423.3-269.6)+(1.448196+(0.215883-0.137496))+0-0-0</f>
        <v>2994.8265829999996</v>
      </c>
      <c r="K252" s="3">
        <f>2957.2+(449.9-288.5)+(6.032688+(0.917796-0.58854))+0-0-0</f>
        <v>3124.9619440000001</v>
      </c>
      <c r="L252" s="3">
        <f>3205.6+(509.3-364.1)+(-6.539424+(-1.038972--0.742764))+0-0-0</f>
        <v>3343.9643679999999</v>
      </c>
      <c r="M252" s="3">
        <f>3435.7+(819.8-368.4)+(7.008828+(1.672392-0.751536))+0-0-0</f>
        <v>3895.0296840000001</v>
      </c>
      <c r="N252" s="3">
        <f>3906.5+(948.8-333.2)+(5.976945+(1.451664-0.509796))+0-0-0</f>
        <v>4529.0188130000006</v>
      </c>
      <c r="O252" s="3">
        <f>4239.2+(1176.8-405.7)+(2.161992+(0.600168-0.206907))+0-0-0</f>
        <v>5012.8552529999997</v>
      </c>
      <c r="P252" s="3">
        <f>4833.4+(987.7-534.7)+(0+(0-0))+0-0-0</f>
        <v>5286.4</v>
      </c>
      <c r="Q252" s="3">
        <f>5087.1+(969.5-581)+(-2.594421+(-0.494445--0.29631))+0-0-0</f>
        <v>5472.807444</v>
      </c>
      <c r="R252" s="3">
        <f>5124.7+(979.8-596)+(-18.295179+(-3.497886--2.12772))+0-0-0</f>
        <v>5488.8346549999997</v>
      </c>
      <c r="S252" s="3">
        <f>5015+(937.7-574.2)+(0+(0-0))+0-0-0</f>
        <v>5378.5</v>
      </c>
      <c r="T252" s="3">
        <f>5045.7+(887.8-572.5)+(0+(0-0))+0-0-0</f>
        <v>5361</v>
      </c>
      <c r="U252" s="3">
        <f>5134+(800.9-625.5)+(5.23668+(0.816918-0.63801))+0-0-0</f>
        <v>5314.8155879999995</v>
      </c>
      <c r="V252" s="3">
        <f>5313.3+(683.3-665.8)+(-8.129349+(-1.045449--1.018674))+0-0-0</f>
        <v>5322.6438760000001</v>
      </c>
      <c r="W252" s="3">
        <f>5892.3+(545.5-681.8)+(-9.015219+(-0.834615--1.043154))+0-0-0</f>
        <v>5747.1933200000003</v>
      </c>
      <c r="X252" s="3">
        <f>5949+(497.2-745.6)+(0+(0-0))+0-0-0</f>
        <v>5700.6</v>
      </c>
      <c r="Y252" s="3">
        <f>5692.9+(599.6-791.5)+(11.613516+(1.223184-1.61466))+0-0-0</f>
        <v>5512.2220399999997</v>
      </c>
      <c r="Z252" s="3">
        <f>5460+(684.2-801.1)+(8.3538+(1.046826-1.225683))+0-0-0</f>
        <v>5351.2749430000003</v>
      </c>
      <c r="AA252" s="3">
        <f>5256+(725.5-848.9)+(8.04168+(1.110015-1.298817))+0-0-0</f>
        <v>5140.4528780000001</v>
      </c>
      <c r="AB252" s="3">
        <f>5121+(772.6-1030.6)+(-5.22342+(-0.788052--1.051212))+0-0-0</f>
        <v>4858.0397400000002</v>
      </c>
      <c r="AC252" s="3">
        <f>4495.7+(810.5-811.1)+(-6.878421+(-1.240065--1.240983))+0-0-0</f>
        <v>4488.2224969999997</v>
      </c>
      <c r="AD252" s="2">
        <v>5763.7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4092.7+(527.6-608)+(-4.174554+(-0.538152--0.62016))+0-0-0</f>
        <v>4008.2074539999999</v>
      </c>
      <c r="G253" s="3">
        <f>3871.7+(380.2-529.8)+(-13.821969+(-1.357314--1.891386))+0-0-0</f>
        <v>3708.8121029999998</v>
      </c>
      <c r="H253" s="3">
        <f>3833.4+(161.5-441.5)+(1.955034+(0.082365-0.225165))+0-0-0</f>
        <v>3555.2122340000001</v>
      </c>
      <c r="I253" s="3">
        <f>3787.2+(157.5-430.1)+(3.862944+(0.16065-0.438702))+0-0-0</f>
        <v>3518.1848919999998</v>
      </c>
      <c r="J253" s="3">
        <f>3775.1+(170.8-417.4)+(-1.925301+(-0.087108--0.212874))+0-0-0</f>
        <v>3526.7004649999999</v>
      </c>
      <c r="K253" s="3">
        <f>3886.1+(153.6-433.1)+(0+(0-0))+0-0-0</f>
        <v>3606.6</v>
      </c>
      <c r="L253" s="3">
        <f>4041.8+(206.2-432.5)+(-6.183954+(-0.315486--0.661725))+0-0-0</f>
        <v>3809.6622849999999</v>
      </c>
      <c r="M253" s="3">
        <f>4072.3+(527.8-373.4)+(-4.153746+(-0.538356--0.380868))+0-0-0</f>
        <v>4222.388766</v>
      </c>
      <c r="N253" s="3">
        <f>4336.8+(709.1-278.6)+(0+(0-0))+0-0-0</f>
        <v>4767.3</v>
      </c>
      <c r="O253" s="3">
        <f>4616.6+(829.2-313.6)+(-2.354466+(-0.422892--0.159936))+0-0-0</f>
        <v>5129.5825780000005</v>
      </c>
      <c r="P253" s="3">
        <f>4802.8+(909.6-336)+(-4.898856+(-0.927792--0.34272))+0-0-0</f>
        <v>5370.9160720000009</v>
      </c>
      <c r="Q253" s="3">
        <f>4783.8+(1054.9-332.6)+(-7.319214+(-1.613997--0.508878))+0-0-0</f>
        <v>5497.6756670000004</v>
      </c>
      <c r="R253" s="3">
        <f>4756.9+(978-320.4)+(-2.426019+(-0.49878--0.163404))+0-0-0</f>
        <v>5411.7386049999996</v>
      </c>
      <c r="S253" s="3">
        <f>4750.7+(859.6-310.4)+(-4.845714+(-0.876792--0.316608))+0-0-0</f>
        <v>5294.4941019999997</v>
      </c>
      <c r="T253" s="3">
        <f>4649.5+(1000.5-301.3)+(4.74249+(1.02051-0.307326))+0-0-0</f>
        <v>5354.1556739999996</v>
      </c>
      <c r="U253" s="3">
        <f>4625.2+(963-301.3)+(-7.076556+(-1.47339--0.460989))+0-0-0</f>
        <v>5278.8110429999997</v>
      </c>
      <c r="V253" s="3">
        <f>4705.9+(899.1-254.7)+(-4.800018+(-0.917082--0.259794))+0-0-0</f>
        <v>5344.842693999999</v>
      </c>
      <c r="W253" s="3">
        <f>5130.8+(984.2-322.7)+(-7.850124+(-1.505826--0.493731))+0-0-0</f>
        <v>5783.4377810000005</v>
      </c>
      <c r="X253" s="3">
        <f>5190.3+(936.1-359)+(-13.235265+(-2.387055--0.91545))+1.9-0-0</f>
        <v>5754.5931300000002</v>
      </c>
      <c r="Y253" s="3">
        <f>5078+(886-356.4)+(2.58978+(0.45186-0.181764))+0-0-0</f>
        <v>5610.4598760000008</v>
      </c>
      <c r="Z253" s="3">
        <f>4941.3+(853.5-346.3)+(-7.560189+(-1.305855--0.529839))+0-0-0</f>
        <v>5440.1637950000004</v>
      </c>
      <c r="AA253" s="3">
        <f>4723.4+(794.1-318.1)+(-12.04467+(-2.024955--0.811155))+0-0-0</f>
        <v>5186.1415299999999</v>
      </c>
      <c r="AB253" s="3">
        <f>4661.1+(677.5-378.6)+(-2.377161+(-0.345525--0.193086))+0-0-0</f>
        <v>4957.4704000000002</v>
      </c>
      <c r="AC253" s="3">
        <f>4408.4+(572.8-390.3)+(-6.744852+(-0.876384--0.597159))+0-0-0</f>
        <v>4583.8759229999996</v>
      </c>
      <c r="AD253" s="2">
        <v>5759.3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4154.9+(347.1-416.5)+(-8.475996+(-0.708084--0.84966))+0-0-0</f>
        <v>4077.1655799999994</v>
      </c>
      <c r="G254" s="3">
        <f>3951.2+(303.6-396.7)+(0+(0-0))+0-0-0</f>
        <v>3858.1</v>
      </c>
      <c r="H254" s="3">
        <f>3879.5+(260.3-398.9)+(-7.91418+(-0.531012--0.813756))+0-0-0</f>
        <v>3733.268564</v>
      </c>
      <c r="I254" s="3">
        <f>3888.3+(228-450.7)+(-1.983033+(-0.11628--0.229857))+0-0-0</f>
        <v>3663.7305440000005</v>
      </c>
      <c r="J254" s="3">
        <f>3901.5+(264-508)+(5.969295+(0.40392-0.77724))+0-0-0</f>
        <v>3663.0959750000002</v>
      </c>
      <c r="K254" s="3">
        <f>3946.8+(213-460.9)+(8.051472+(0.43452-0.940236))+0-0-0</f>
        <v>3706.4457560000001</v>
      </c>
      <c r="L254" s="3">
        <f>3972.9+(272.9-421.7)+(2.026179+(0.139179-0.215067))+0-0-0</f>
        <v>3826.050291</v>
      </c>
      <c r="M254" s="3">
        <f>4415.5+(302-452.3)+(-4.50381+(-0.30804--0.461346))+0-0-0</f>
        <v>4260.8494959999998</v>
      </c>
      <c r="N254" s="3">
        <f>4863.6+(356.9-465.8)+(0+(0-0))+0-0-0</f>
        <v>4754.7000000000007</v>
      </c>
      <c r="O254" s="3">
        <f>5149.3+(378.5-465)+(-13.130715+(-0.965175--1.18575))+0-0-0</f>
        <v>5049.8898600000002</v>
      </c>
      <c r="P254" s="3">
        <f>5285.9+(490.8-459.6)+(-13.479045+(-1.25154--1.17198))+0-0-0</f>
        <v>5303.5413949999993</v>
      </c>
      <c r="Q254" s="3">
        <f>5292.1+(661.7-447.9)+(-8.096913+(-1.012401--0.685287))+0-0-0</f>
        <v>5497.4759730000005</v>
      </c>
      <c r="R254" s="3">
        <f>5234.5+(653.6-452.6)+(-5.33919+(-0.666672--0.461652))+0-0-0</f>
        <v>5429.95579</v>
      </c>
      <c r="S254" s="3">
        <f>5154+(629.6-461.7)+(-2.62854+(-0.321096--0.235467))+0-0-0</f>
        <v>5319.1858309999998</v>
      </c>
      <c r="T254" s="3">
        <f>5137.1+(740-417)+(-5.239842+(-0.7548--0.42534))+0-0-0</f>
        <v>5454.5306980000005</v>
      </c>
      <c r="U254" s="3">
        <f>5145.3+(833.2-422)+(-5.248206+(-0.849864--0.43044))+0-0-0</f>
        <v>5550.8323700000001</v>
      </c>
      <c r="V254" s="3">
        <f>5182+(889.8-437.7)+(0+(0-0))+0-0-0</f>
        <v>5634.1</v>
      </c>
      <c r="W254" s="3">
        <f>5388.4+(988.5-544.1)+(8.244252+(1.512405-0.832473))+0-0-0</f>
        <v>5841.7241839999997</v>
      </c>
      <c r="X254" s="3">
        <f>5449.6+(888.9-524.2)+(-2.779296+(-0.453339--0.267342))+0-0-0</f>
        <v>5811.334707</v>
      </c>
      <c r="Y254" s="3">
        <f>5403.1+(703.5-450.2)+(0+(0-0))+0-0-0</f>
        <v>5656.4000000000005</v>
      </c>
      <c r="Z254" s="3">
        <f>5344.9+(597.2-449.2)+(-2.725899+(-0.304572--0.229092))+0-0-0</f>
        <v>5490.0986209999992</v>
      </c>
      <c r="AA254" s="3">
        <f>5236.3+(465.3-447.2)+(-5.341026+(-0.474606--0.456144))+0-0-0</f>
        <v>5249.0405120000005</v>
      </c>
      <c r="AB254" s="3">
        <f>5063+(427.4-502.2)+(-7.74639+(-0.653922--0.768366))+0-0-0</f>
        <v>4980.5680539999994</v>
      </c>
      <c r="AC254" s="3">
        <f>4568.9+(446.7-391.3)+(-11.650695+(-1.139085--0.997815))+0-0-0</f>
        <v>4612.5080349999989</v>
      </c>
      <c r="AD254" s="2">
        <v>5867.0999999999995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4430.9+(185.5-464.6)+(-9.039036+(-0.37842--0.947784))+0-0-0</f>
        <v>4143.3303279999991</v>
      </c>
      <c r="G255" s="3">
        <f>4247.3+(97.5-534.6)+(-2.166123+(-0.049725--0.272646))+0-0-0</f>
        <v>3808.2567980000003</v>
      </c>
      <c r="H255" s="3">
        <f>3930.8+(160.2-442.3)+(-8.018832+(-0.326808--0.902292))+0-0-0</f>
        <v>3641.2566520000005</v>
      </c>
      <c r="I255" s="3">
        <f>3804.9+(178.1-430.4)+(1.940499+(0.090831-0.219504))+0-0-0</f>
        <v>3554.411826</v>
      </c>
      <c r="J255" s="3">
        <f>3821.9+(187.8-440.6)+(-5.847507+(-0.287334--0.674118))+0-0-0</f>
        <v>3563.6392769999998</v>
      </c>
      <c r="K255" s="3">
        <f>3958.6+(170.7-522.4)+(6.056658+(0.261171-0.799272))+0-0-0</f>
        <v>3612.418557</v>
      </c>
      <c r="L255" s="3">
        <f>4257.3+(149.1-673.7)+(-2.171223+(-0.076041--0.343587))+0-0-0</f>
        <v>3730.7963230000005</v>
      </c>
      <c r="M255" s="3">
        <f>4327.3+(239.6-551.5)+(11.034615+(0.61098-1.406325))+0-0-0</f>
        <v>4025.6392700000001</v>
      </c>
      <c r="N255" s="3">
        <f>4482.2+(390.5-399.8)+(11.42961+(0.995775-1.01949))+0-0-0</f>
        <v>4484.3058949999995</v>
      </c>
      <c r="O255" s="3">
        <f>4786.6+(422.1-288.5)+(2.441166+(0.215271-0.147135))+0-0-0</f>
        <v>4922.7093020000011</v>
      </c>
      <c r="P255" s="3">
        <f>4833.1+(588.9-243.4)+(2.464881+(0.300339-0.124134))+0-0-0</f>
        <v>5181.241086</v>
      </c>
      <c r="Q255" s="3">
        <f>4783.9+(741.1-221.4)+(-4.879578+(-0.755922--0.225828))+0-0-0</f>
        <v>5298.1903279999997</v>
      </c>
      <c r="R255" s="3">
        <f>4853.7+(799.4-185)+(-14.852322+(-2.446164--0.5661))+0-0-0</f>
        <v>5451.3676139999998</v>
      </c>
      <c r="S255" s="3">
        <f>4807.6+(775.8-172)+(-12.25938+(-1.97829--0.4386))+0-0-0</f>
        <v>5397.6009300000005</v>
      </c>
      <c r="T255" s="3">
        <f>4824.2+(675.1-237)+(2.460342+(0.344301-0.12087))+0-0-0</f>
        <v>5264.9837729999999</v>
      </c>
      <c r="U255" s="3">
        <f>4863+(655.8-214.3)+(2.48013+(0.334458-0.109293))+0-0-0</f>
        <v>5307.2052949999998</v>
      </c>
      <c r="V255" s="3">
        <f>4844+(579.8-209.8)+(-7.41132+(-0.887094--0.320994))+0-0-0</f>
        <v>5206.0225799999998</v>
      </c>
      <c r="W255" s="3">
        <f>5124.3+(633-283.9)+(2.613393+(0.32283-0.144789))+0-0-0</f>
        <v>5476.1914340000003</v>
      </c>
      <c r="X255" s="3">
        <f>5121.2+(625.2-246)+(-13.05906+(-1.59426--0.6273))+0-0-0</f>
        <v>5486.3739799999994</v>
      </c>
      <c r="Y255" s="3">
        <f>5043+(580.8-250.6)+(-2.57193+(-0.296208--0.127806))+0-0-0</f>
        <v>5370.4596679999995</v>
      </c>
      <c r="Z255" s="3">
        <f>4859.4+(588.4-222.7)+(0+(0-0))+0-0-0</f>
        <v>5225.0999999999995</v>
      </c>
      <c r="AA255" s="3">
        <f>4741.1+(530-247.4)+(-2.417961+(-0.2703--0.126174))+0-0-0</f>
        <v>5021.1379130000005</v>
      </c>
      <c r="AB255" s="3">
        <f>4697.2+(431.9-287.8)+(-11.97786+(-1.101345--0.73389))+0-0-0</f>
        <v>4828.9546850000006</v>
      </c>
      <c r="AC255" s="3">
        <f>4685.3+(314.5-467.9)+(-4.779006+(-0.32079--0.477258))+0-0-0</f>
        <v>4527.2774620000009</v>
      </c>
      <c r="AD255" s="2">
        <v>5466.6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4605.1+(360-845.1)+(7.045803+(0.5508-1.293003))+0-0-0</f>
        <v>4126.3036000000002</v>
      </c>
      <c r="G256" s="3">
        <f>4356.2+(292-835.9)+(0+(0-0))+0-0-0</f>
        <v>3812.2999999999997</v>
      </c>
      <c r="H256" s="3">
        <f>4281.7+(194-899.1)+(2.183667+(0.09894-0.458541))+0-0-0</f>
        <v>3578.424066</v>
      </c>
      <c r="I256" s="3">
        <f>3946.8+(204.5-699.1)+(-2.012868+(-0.104295--0.356541))+0-0-0</f>
        <v>3450.4393780000005</v>
      </c>
      <c r="J256" s="3">
        <f>3913.4+(205.2-699.5)+(0+(0-0))+0-0-0</f>
        <v>3419.1</v>
      </c>
      <c r="K256" s="3">
        <f>3970.1+(209.7-756.4)+(4.049502+(0.213894-0.771528))+0-0-0</f>
        <v>3426.8918679999997</v>
      </c>
      <c r="L256" s="3">
        <f>3976.9+(251.2-1013.5)+(-18.253971+(-1.153008--4.651965))+0-0-0</f>
        <v>3199.8449860000005</v>
      </c>
      <c r="M256" s="3">
        <f>4190+(170.4-1062.8)+(4.2738+(0.173808-1.084056))+0-0-0</f>
        <v>3300.9635519999997</v>
      </c>
      <c r="N256" s="3">
        <f>4222.3+(138.4-902.6)+(-4.306746+(-0.141168--0.920652))+0-0-0</f>
        <v>3454.5727380000003</v>
      </c>
      <c r="O256" s="3">
        <f>4265+(328.1-886.2)+(4.3503+(0.334662-0.903924))+0-0-0</f>
        <v>3710.6810380000002</v>
      </c>
      <c r="P256" s="3">
        <f>4525.4+(340.8-844)+(2.307954+(0.173808-0.43044))+0-0-0</f>
        <v>4024.2513219999996</v>
      </c>
      <c r="Q256" s="3">
        <f>4743.7+(328-821.7)+(-4.838574+(-0.33456--0.838134))+0-0-0</f>
        <v>4245.665</v>
      </c>
      <c r="R256" s="3">
        <f>4683.4+(362.6-800.1)+(-9.554136+(-0.739704--1.632204))+0-0-0</f>
        <v>4237.2383639999998</v>
      </c>
      <c r="S256" s="3">
        <f>4674.9+(386.7-875.7)+(-4.768398+(-0.394434--0.893214))+0-0-0</f>
        <v>4181.6303819999994</v>
      </c>
      <c r="T256" s="3">
        <f>4639.9+(371-865.7)+(-9.465396+(-0.75684--1.766028))+0-0-0</f>
        <v>4136.7437920000002</v>
      </c>
      <c r="U256" s="3">
        <f>4588.4+(277.7-799.1)+(-4.680168+(-0.283254--0.815082))+0-0-0</f>
        <v>4062.8516599999994</v>
      </c>
      <c r="V256" s="3">
        <f>4672.6+(232.6-685.6)+(0+(0-0))+0-0-0</f>
        <v>4219.6000000000004</v>
      </c>
      <c r="W256" s="3">
        <f>5213.6+(373.6-745.1)+(0+(0-0))+0-0-0</f>
        <v>4842.1000000000004</v>
      </c>
      <c r="X256" s="3">
        <f>5357.2+(430-795)+(-10.928688+(-0.8772--1.6218))+0-0-0</f>
        <v>4982.0159119999998</v>
      </c>
      <c r="Y256" s="3">
        <f>5253.3+(513.6-767.7)+(8.037549+(0.785808-1.174581))+0-0-0</f>
        <v>5006.8487759999998</v>
      </c>
      <c r="Z256" s="3">
        <f>5226.8+(472-745.4)+(-7.997004+(-0.72216--1.140462))+0-0-0</f>
        <v>4945.8212980000008</v>
      </c>
      <c r="AA256" s="3">
        <f>4785.6+(655.4-610.9)+(-4.881312+(-0.668508--0.623118))+0-0-0</f>
        <v>4825.1732980000006</v>
      </c>
      <c r="AB256" s="3">
        <f>4526.8+(756.9-620.3)+(-6.926004+(-1.158057--0.949059))+0-0-0</f>
        <v>4656.2649980000006</v>
      </c>
      <c r="AC256" s="3">
        <f>4258.7+(664.5-571.6)+(-8.687748+(-1.35558--1.166064))+0-0-0</f>
        <v>4342.7227359999997</v>
      </c>
      <c r="AD256" s="2">
        <v>4960.0999999999995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3907.7+(475.1-505.8)+(-9.964635+(-1.211505--1.28979))+0-0-0</f>
        <v>3867.1136499999998</v>
      </c>
      <c r="G257" s="3">
        <f>3735.2+(407.7-578.7)+(-7.619808+(-0.831708--1.180548))+0-0-0</f>
        <v>3556.929032</v>
      </c>
      <c r="H257" s="3">
        <f>3618.4+(349-567.7)+(-3.690768+(-0.35598--0.579054))+0-0-0</f>
        <v>3396.2323059999999</v>
      </c>
      <c r="I257" s="3">
        <f>3625.4+(293.8-577.9)+(-5.546862+(-0.449514--0.884187))+0-0-0</f>
        <v>3336.1878110000002</v>
      </c>
      <c r="J257" s="3">
        <f>3590.6+(307.1-540.5)+(0+(0-0))+0-0-0</f>
        <v>3357.2</v>
      </c>
      <c r="K257" s="3">
        <f>3569.9+(320.1-427.6)+(5.461947+(0.489753-0.654228))+0-0-0</f>
        <v>3467.6974720000003</v>
      </c>
      <c r="L257" s="3">
        <f>3865.8+(336.2-480.1)+(-3.943116+(-0.342924--0.489702))+0-0-0</f>
        <v>3718.103662</v>
      </c>
      <c r="M257" s="3">
        <f>4124.6+(493.2-403.1)+(10.51773+(1.25766-1.027905))+0-0-0</f>
        <v>4225.4474850000006</v>
      </c>
      <c r="N257" s="3">
        <f>4278.7+(844-300.1)+(4.364274+(0.86088-0.306102))+0-0-0</f>
        <v>4827.5190519999996</v>
      </c>
      <c r="O257" s="3">
        <f>4577.4+(983.4-318.1)+(4.668948+(1.003068-0.324462))+0-0-0</f>
        <v>5248.0475539999998</v>
      </c>
      <c r="P257" s="3">
        <f>4939.5+(968.3-301.1)+(-2.519145+(-0.493833--0.153561))+5.2-0-0</f>
        <v>5609.040583</v>
      </c>
      <c r="Q257" s="3">
        <f>4917.2+(944-306.2)+(-5.015544+(-0.96288--0.312324))+0-0-0</f>
        <v>5549.3338999999996</v>
      </c>
      <c r="R257" s="3">
        <f>4843.7+(944.5-312.9)+(-12.351435+(-2.408475--0.797895))+0-0-0</f>
        <v>5461.3379850000001</v>
      </c>
      <c r="S257" s="3">
        <f>4609.9+(1022.2-287.8)+(2.351049+(0.521322-0.146778))+0-0-0</f>
        <v>5347.0255929999994</v>
      </c>
      <c r="T257" s="3">
        <f>4556.4+(1136-259.6)+(0+(0-0))+0-0-0</f>
        <v>5432.7999999999993</v>
      </c>
      <c r="U257" s="3">
        <f>4550.4+(1172.3-302.9)+(-6.962112+(-1.793619--0.463437))+0-0-0</f>
        <v>5411.5077059999994</v>
      </c>
      <c r="V257" s="3">
        <f>4779.7+(1200.4-476.2)+(2.437647+(0.612204-0.242862))+0-0-0</f>
        <v>5506.7069889999993</v>
      </c>
      <c r="W257" s="3">
        <f>5195.5+(1298.3-555.3)+(-5.29941+(-1.324266--0.566406))+0-0-0</f>
        <v>5932.4427299999998</v>
      </c>
      <c r="X257" s="3">
        <f>5112.4+(1309.6-518.3)+(2.607324+(0.667896-0.264333))+0-0-0</f>
        <v>5906.7108870000002</v>
      </c>
      <c r="Y257" s="3">
        <f>5055.4+(1180.6-499.9)+(-7.734762+(-1.806318--0.764847))+0-0-0</f>
        <v>5727.3237669999999</v>
      </c>
      <c r="Z257" s="3">
        <f>5010.2+(956.2-386.9)+(-15.331212+(-2.925972--1.183914))+0-0-0</f>
        <v>5562.4267300000001</v>
      </c>
      <c r="AA257" s="3">
        <f>4982.3+(708.1-346.2)+(-17.786811+(-2.527917--1.235934))+0-0-0</f>
        <v>5325.1212059999998</v>
      </c>
      <c r="AB257" s="3">
        <f>4702.5+(825.5-463)+(-11.991375+(-2.105025--1.18065))+0-0-0</f>
        <v>5052.0842499999999</v>
      </c>
      <c r="AC257" s="3">
        <f>4332.8+(760.8-425)+(-11.04864+(-1.94004--1.08375))+0-0-0</f>
        <v>4656.6950700000007</v>
      </c>
      <c r="AD257" s="2">
        <v>5993.8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3641.3+(834.4-313.5)+(-1.857063+(-0.425544--0.159885))+0-0-0</f>
        <v>4160.0772779999998</v>
      </c>
      <c r="G258" s="3">
        <f>3492.7+(667.6-293.7)+(-7.125108+(-1.361904--0.599148))+0-0-0</f>
        <v>3858.7121360000001</v>
      </c>
      <c r="H258" s="3">
        <f>3512+(588.8-385.6)+(0+(0-0))+0-0-0</f>
        <v>3715.2</v>
      </c>
      <c r="I258" s="3">
        <f>3504.4+(490.3-370.2)+(5.361732+(0.750159-0.566406))+0-0-0</f>
        <v>3630.0454850000001</v>
      </c>
      <c r="J258" s="3">
        <f>3509.6+(467.8-360.8)+(7.159584+(0.954312-0.736032))+0-0-0</f>
        <v>3623.977864</v>
      </c>
      <c r="K258" s="3">
        <f>3629.3+(378.5-292.1)+(-3.701886+(-0.38607--0.297942))+0-0-0</f>
        <v>3711.9099860000001</v>
      </c>
      <c r="L258" s="3">
        <f>3849.8+(396.5-337.9)+(0+(0-0))+0-0-0</f>
        <v>3908.4</v>
      </c>
      <c r="M258" s="3">
        <f>3970.7+(671.8-282.1)+(6.075171+(1.027854-0.431613))+0-0-0</f>
        <v>4367.0714119999993</v>
      </c>
      <c r="N258" s="3">
        <f>4297.1+(925.7-337.9)+(0+(0-0))+0-0-0</f>
        <v>4884.9000000000005</v>
      </c>
      <c r="O258" s="3">
        <f>4467.6+(1072.9-319.4)+(0+(0-0))+0-0-0</f>
        <v>5221.1000000000004</v>
      </c>
      <c r="P258" s="3">
        <f>4572+(1184.3-277.9)+(0+(0-0))+0-0-0</f>
        <v>5478.4</v>
      </c>
      <c r="Q258" s="3">
        <f>4699.7+(1199.5-292.8)+(-7.190541+(-1.835235--0.447984))+0-0-0</f>
        <v>5597.8222079999996</v>
      </c>
      <c r="R258" s="3">
        <f>4739.3+(1063.2-286.3)+(-12.085215+(-2.71116--0.730065))+0-0-0</f>
        <v>5502.1336900000006</v>
      </c>
      <c r="S258" s="3">
        <f>4693.6+(956.7-265.4)+(-4.787472+(-0.975834--0.270708))+0-0-0</f>
        <v>5379.4074020000007</v>
      </c>
      <c r="T258" s="3">
        <f>4765.7+(906.5-243.8)+(-2.430507+(-0.462315--0.124338))+0-0-0</f>
        <v>5425.6315159999995</v>
      </c>
      <c r="U258" s="3">
        <f>4723.5+(892.2-271.1)+(7.226955+(1.365066-0.414783))+0-0-0</f>
        <v>5352.7772380000006</v>
      </c>
      <c r="V258" s="3">
        <f>4847.9+(949.1-350.6)+(2.472429+(0.484041-0.178806))+0-0-0</f>
        <v>5449.1776639999998</v>
      </c>
      <c r="W258" s="3">
        <f>5189.8+(1378-659.3)+(5.293596+(1.40556-0.672486))+0-0-0</f>
        <v>5914.5266700000002</v>
      </c>
      <c r="X258" s="3">
        <f>5379.4+(1144.2-607.9)+(0+(0-0))+0-0-0</f>
        <v>5915.7</v>
      </c>
      <c r="Y258" s="3">
        <f>5338.6+(901.3-460.8)+(5.445372+(0.919326-0.470016))+0-0-0</f>
        <v>5784.9946820000005</v>
      </c>
      <c r="Z258" s="3">
        <f>5303.3+(698.6-389.5)+(0+(0-0))+0-0-0</f>
        <v>5612.4000000000005</v>
      </c>
      <c r="AA258" s="3">
        <f>5286+(455.3-380)+(-5.39172+(-0.464406--0.3876))+0-0-0</f>
        <v>5355.8314740000005</v>
      </c>
      <c r="AB258" s="3">
        <f>5035.2+(478.9-454.4)+(-12.83976+(-1.221195--1.15872))+0-0-0</f>
        <v>5046.7977650000003</v>
      </c>
      <c r="AC258" s="3">
        <f>4683.9+(484.5-392.9)+(-11.943945+(-1.235475--1.001895))+0-0-0</f>
        <v>4763.3224749999999</v>
      </c>
      <c r="AD258" s="2">
        <v>5890.9000000000005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4246.4+(374.1-471.4)+(-6.496992+(-0.572373--0.721242))+0-0-0</f>
        <v>4142.7518769999997</v>
      </c>
      <c r="G259" s="3">
        <f>4081.8+(237.9-475.4)+(-4.163436+(-0.242658--0.484908))+0-0-0</f>
        <v>3840.3788140000001</v>
      </c>
      <c r="H259" s="3">
        <f>4086.9+(188.4-552.4)+(-4.168638+(-0.192168--0.563448))+0-0-0</f>
        <v>3719.1026420000003</v>
      </c>
      <c r="I259" s="3">
        <f>4079.5+(188.4-601)+(-6.241635+(-0.288252--0.91953))+0-0-0</f>
        <v>3661.2896430000001</v>
      </c>
      <c r="J259" s="3">
        <f>4101.9+(184.1-635.2)+(2.091969+(0.093891-0.323952))+0-0-0</f>
        <v>3652.6619079999996</v>
      </c>
      <c r="K259" s="3">
        <f>4097.4+(177.8-551.4)+(0+(0-0))+0-0-0</f>
        <v>3723.7999999999997</v>
      </c>
      <c r="L259" s="3">
        <f>4104.8+(270.6-431.9)+(-10.46724+(-0.69003--1.101345))+0-0-0</f>
        <v>3933.4440749999999</v>
      </c>
      <c r="M259" s="3">
        <f>4364.2+(391.2-396.6)+(11.12871+(0.99756-1.01133))+0-0-0</f>
        <v>4369.9149400000006</v>
      </c>
      <c r="N259" s="3">
        <f>4589.9+(597.4-318.2)+(4.681698+(0.609348-0.324564))+0-0-0</f>
        <v>4874.0664819999993</v>
      </c>
      <c r="O259" s="3">
        <f>4819.7+(591.2-347.5)+(7.374141+(0.904536-0.531675))+0-0-0</f>
        <v>5071.1470019999997</v>
      </c>
      <c r="P259" s="3">
        <f>5027.5+(621.6-214.2)+(-12.820125+(-1.58508--0.54621))+0-0-0</f>
        <v>5421.041005</v>
      </c>
      <c r="Q259" s="3">
        <f>5089.5+(723.4-241.5)+(-10.38258+(-1.475736--0.49266))+0-0-0</f>
        <v>5560.0343439999997</v>
      </c>
      <c r="R259" s="3">
        <f>5149.3+(695.9-326)+(-21.009144+(-2.839272--1.33008))+0-0-0</f>
        <v>5496.6816639999997</v>
      </c>
      <c r="S259" s="3">
        <f>5102.9+(596.9-334.2)+(-7.807437+(-0.913257--0.511326))+0-0-0</f>
        <v>5357.3906319999996</v>
      </c>
      <c r="T259" s="3">
        <f>5114.8+(625.1-304.9)+(-2.608548+(-0.318801--0.155499))+0-0-0</f>
        <v>5432.2281499999999</v>
      </c>
      <c r="U259" s="3">
        <f>5074+(625.8-283.3)+(-2.58774+(-0.319158--0.144483))+0-0-0</f>
        <v>5413.7375849999999</v>
      </c>
      <c r="V259" s="3">
        <f>5261.1+(619.2-364.3)+(2.683161+(0.315792-0.185793))+0-0-0</f>
        <v>5518.8131599999997</v>
      </c>
      <c r="W259" s="3">
        <f>5806.3+(621.4-430.2)+(0+(0-0))+0-0-0</f>
        <v>5997.5</v>
      </c>
      <c r="X259" s="3">
        <f>5716.4+(607.9-345.9)+(-14.57682+(-1.550145--0.882045))+0-0-0</f>
        <v>5963.1550799999995</v>
      </c>
      <c r="Y259" s="3">
        <f>5770.1+(391.7-359)+(-11.771004+(-0.799068--0.73236))+0-0-0</f>
        <v>5790.9622880000006</v>
      </c>
      <c r="Z259" s="3">
        <f>5671.3+(389.4-427.2)+(-5.784726+(-0.397188--0.435744))+0-0-0</f>
        <v>5627.7538299999997</v>
      </c>
      <c r="AA259" s="3">
        <f>5429.8+(352.5-418.8)+(-16.615188+(-1.07865--1.281528))+0-0-0</f>
        <v>5347.0876900000003</v>
      </c>
      <c r="AB259" s="3">
        <f>5053+(419-372.7)+(-12.88515+(-1.06845--0.950385))+0-0-0</f>
        <v>5086.2967850000005</v>
      </c>
      <c r="AC259" s="3">
        <f>4396.6+(624.7-311.4)+(-6.726798+(-0.955791--0.476442))+0-0-0</f>
        <v>4702.6938530000007</v>
      </c>
      <c r="AD259" s="2">
        <v>6048.5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4190.7+(515.8-482.6)+(0+(0-0))+0-0-0</f>
        <v>4223.8999999999996</v>
      </c>
      <c r="G260" s="3">
        <f>3982.6+(355-441.8)+(-4.062252+(-0.3621--0.450636))+0-0-0</f>
        <v>3891.8262839999998</v>
      </c>
      <c r="H260" s="3">
        <f>3903.1+(285.3-463.6)+(1.990581+(0.145503-0.236436))+0-0-0</f>
        <v>3726.6996479999998</v>
      </c>
      <c r="I260" s="3">
        <f>3865.1+(260.1-492.4)+(5.913603+(0.397953-0.753372))+0-0-0</f>
        <v>3638.3581840000002</v>
      </c>
      <c r="J260" s="3">
        <f>3817.9+(247.6-441.9)+(0+(0-0))+0-0-0</f>
        <v>3623.6</v>
      </c>
      <c r="K260" s="3">
        <f>3885.2+(274.5-484.2)+(3.962904+(0.27999-0.493884))+0-0-0</f>
        <v>3679.24901</v>
      </c>
      <c r="L260" s="3">
        <f>3905.2+(321.9-418.9)+(-3.983304+(-0.328338--0.427278))+0-0-0</f>
        <v>3804.3156359999998</v>
      </c>
      <c r="M260" s="3">
        <f>4191.3+(347.6-422.5)+(4.275126+(0.354552-0.43095))+0-0-0</f>
        <v>4120.5987280000008</v>
      </c>
      <c r="N260" s="3">
        <f>4533.1+(517.2-411.6)+(4.623762+(0.527544-0.419832))+0-0-0</f>
        <v>4643.4314740000009</v>
      </c>
      <c r="O260" s="3">
        <f>4861.9+(579.5-367.1)+(-14.877414+(-1.77327--1.123326))+0-0-0</f>
        <v>5058.772641999999</v>
      </c>
      <c r="P260" s="3">
        <f>4781.3+(909.8-338.2)+(0+(0-0))+0-0-0</f>
        <v>5352.9</v>
      </c>
      <c r="Q260" s="3">
        <f>4792+(995.1-304.3)+(2.44392+(0.507501-0.155193))+0-0-0</f>
        <v>5485.5962280000003</v>
      </c>
      <c r="R260" s="3">
        <f>4770.4+(957.7-313.5)+(-4.865808+(-0.976854--0.31977))+0-0-0</f>
        <v>5409.0771079999995</v>
      </c>
      <c r="S260" s="3">
        <f>4731.7+(741.4-304.4)+(-7.239501+(-1.134342--0.465732))+0-0-0</f>
        <v>5160.7918890000001</v>
      </c>
      <c r="T260" s="3">
        <f>4812.2+(718.7-255.4)+(4.908444+(0.733074-0.260508))+0-0-0</f>
        <v>5280.8810100000001</v>
      </c>
      <c r="U260" s="3">
        <f>4810.8+(730.7-262.4)+(-4.907016+(-0.745314--0.267648))+0-0-0</f>
        <v>5273.7153180000005</v>
      </c>
      <c r="V260" s="3">
        <f>4966.9+(838.7-355.4)+(-2.533119+(-0.427737--0.181254))+0-0-0</f>
        <v>5447.4203980000002</v>
      </c>
      <c r="W260" s="3">
        <f>5321.9+(1112.4-589)+(2.714169+(0.567324-0.30039))+0-0-0</f>
        <v>5848.2811029999993</v>
      </c>
      <c r="X260" s="3">
        <f>5429.5+(979.7-564.4)+(-13.845225+(-2.498235--1.43922))+0-0-0</f>
        <v>5829.8957600000003</v>
      </c>
      <c r="Y260" s="3">
        <f>5314+(832.9-513.9)+(-10.84056+(-1.699116--1.048356))+0-0-0</f>
        <v>5621.5086799999999</v>
      </c>
      <c r="Z260" s="3">
        <f>5170+(730.6-434.2)+(-10.5468+(-1.490424--0.885768))+0-0-0</f>
        <v>5455.248544</v>
      </c>
      <c r="AA260" s="3">
        <f>5145.1+(521.3-399.1)+(-7.872003+(-0.797589--0.610623))+0-0-0</f>
        <v>5259.2410310000005</v>
      </c>
      <c r="AB260" s="3">
        <f>4804.6+(546.3-371.5)+(-12.25173+(-1.393065--0.947325))+0-0-0</f>
        <v>4966.7025300000005</v>
      </c>
      <c r="AC260" s="3">
        <f>4153.1+(745.1-276.5)+(-8.472324+(-1.520004--0.56406))+0-0-0</f>
        <v>4612.2717320000011</v>
      </c>
      <c r="AD260" s="2">
        <v>5884.4000000000005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3889.4+(588-323.5)+(-11.901564+(-1.79928--0.98991))+0-0-0</f>
        <v>4141.1890659999999</v>
      </c>
      <c r="G261" s="3">
        <f>3647.4+(553.6-351.9)+(1.860174+(0.282336-0.179469))+0-0-0</f>
        <v>3851.0630410000003</v>
      </c>
      <c r="H261" s="3">
        <f>3536.9+(493.7-359.3)+(0+(0-0))+0-0-0</f>
        <v>3671.3</v>
      </c>
      <c r="I261" s="3">
        <f>3497.1+(454.4-374)+(0+(0-0))+0-0-0</f>
        <v>3577.5</v>
      </c>
      <c r="J261" s="3">
        <f>3325.1+(508-290.4)+(6.783204+(1.03632-0.592416))+0-0-0</f>
        <v>3549.9271079999999</v>
      </c>
      <c r="K261" s="3">
        <f>3325.8+(591.7-297.3)+(6.784632+(1.207068-0.606492))+0-0-0</f>
        <v>3627.5852080000004</v>
      </c>
      <c r="L261" s="3">
        <f>3496+(658.3-412.6)+(3.56592+(0.671466-0.420852))+0-0-0</f>
        <v>3745.5165339999999</v>
      </c>
      <c r="M261" s="3">
        <f>3885.5+(704.7-482)+(-3.96321+(-0.718794--0.49164))+0-0-0</f>
        <v>4104.0096359999998</v>
      </c>
      <c r="N261" s="3">
        <f>4241.8+(877.8-520.7)+(6.489954+(1.343034-0.796671))+0-0-0</f>
        <v>4605.9363169999997</v>
      </c>
      <c r="O261" s="3">
        <f>4531.2+(1143.8-624.7)+(2.310912+(0.583338-0.318597))+0-0-0</f>
        <v>5052.8756529999991</v>
      </c>
      <c r="P261" s="3">
        <f>4841.8+(1266.4-612)+(-2.469318+(-0.645864--0.31212))+0-0-0</f>
        <v>5493.3969380000008</v>
      </c>
      <c r="Q261" s="3">
        <f>4871.3+(1257.5-495.6)+(-9.937452+(-2.5653--1.011024))+0-0-0</f>
        <v>5621.7082719999999</v>
      </c>
      <c r="R261" s="3">
        <f>4851.5+(1000.9-410.1)+(-12.371325+(-2.552295--1.045755))+0-0-0</f>
        <v>5428.4221349999998</v>
      </c>
      <c r="S261" s="3">
        <f>4788.9+(854.8-414.6)+(-19.538712+(-3.487584--1.691568))+0-0-0</f>
        <v>5207.7652719999996</v>
      </c>
      <c r="T261" s="3">
        <f>4892.9+(812.9-417.5)+(2.495379+(0.414579-0.212925))+0-0-0</f>
        <v>5290.9970329999996</v>
      </c>
      <c r="U261" s="3">
        <f>4993.3+(703.6-409.9)+(-7.639749+(-1.076508--0.627147))+0-0-0</f>
        <v>5278.9108900000001</v>
      </c>
      <c r="V261" s="3">
        <f>5164.2+(726.5-418)+(-10.534968+(-1.48206--0.85272))+0-0-0</f>
        <v>5461.5356919999995</v>
      </c>
      <c r="W261" s="3">
        <f>5416.7+(1009.4-575.9)+(-5.525034+(-1.029588--0.587418))+0-0-0</f>
        <v>5844.2327960000002</v>
      </c>
      <c r="X261" s="3">
        <f>5378.6+(958.1-520)+(-16.458516+(-2.931786--1.5912))+0-0-0</f>
        <v>5798.9008980000008</v>
      </c>
      <c r="Y261" s="3">
        <f>5286.2+(865.1-500)+(-10.783848+(-1.764804--1.02))+0-0-0</f>
        <v>5639.7713480000002</v>
      </c>
      <c r="Z261" s="3">
        <f>5183.7+(858.9-551.7)+(-13.218435+(-2.190195--1.406835))+0-0-0</f>
        <v>5476.8982049999995</v>
      </c>
      <c r="AA261" s="3">
        <f>5051.4+(750.8-553.7)+(-7.728642+(-1.148724--0.847161))+0-0-0</f>
        <v>5240.469795</v>
      </c>
      <c r="AB261" s="3">
        <f>4821.8+(757.5-620.2)+(-9.836472+(-1.5453--1.265208))+0-0-0</f>
        <v>4948.9834360000004</v>
      </c>
      <c r="AC261" s="3">
        <f>4382+(863.8-640.1)+(-2.23482+(-0.440538--0.326451))+0-0-0</f>
        <v>4603.3510930000002</v>
      </c>
      <c r="AD261" s="2">
        <v>5906.4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4187.5+(588.5-589.7)+(-8.5425+(-1.20054--1.202988))+0-0-0</f>
        <v>4177.7599479999999</v>
      </c>
      <c r="G262" s="3">
        <f>3937.2+(551.5-607.5)+(-4.015944+(-0.56253--0.61965))+0-0-0</f>
        <v>3877.241176</v>
      </c>
      <c r="H262" s="3">
        <f>3827.1+(384.5-524.4)+(-1.951821+(-0.196095--0.267444))+0-0-0</f>
        <v>3685.319528</v>
      </c>
      <c r="I262" s="3">
        <f>3843+(293.8-507.6)+(1.95993+(0.149838-0.258876))+0-0-0</f>
        <v>3631.0508919999997</v>
      </c>
      <c r="J262" s="3">
        <f>3814.8+(304.1-502)+(-7.782192+(-0.620364--1.02408))+0-0-0</f>
        <v>3609.5215240000002</v>
      </c>
      <c r="K262" s="3">
        <f>3911.3+(285.1-537.8)+(3.989526+(0.290802-0.548556))+0-0-0</f>
        <v>3662.3317720000005</v>
      </c>
      <c r="L262" s="3">
        <f>3987.4+(311.3-540.6)+(-2.033574+(-0.158763--0.275706))+0-0-0</f>
        <v>3756.1833689999999</v>
      </c>
      <c r="M262" s="3">
        <f>4194.9+(351.8-517.9)+(-2.139399+(-0.179418--0.264129))+0-0-0</f>
        <v>4026.7453119999996</v>
      </c>
      <c r="N262" s="3">
        <f>4734.7+(359.7-587.4)+(7.244091+(0.550341-0.898722))+0-0-0</f>
        <v>4513.8957099999998</v>
      </c>
      <c r="O262" s="3">
        <f>4904+(666.6-623.6)+(2.50104+(0.339966-0.318036))+0-0-0</f>
        <v>4949.52297</v>
      </c>
      <c r="P262" s="3">
        <f>5013.1+(955.5-617.6)+(10.226724+(1.94922-1.259904))+0-0-0</f>
        <v>5361.9160400000001</v>
      </c>
      <c r="Q262" s="3">
        <f>5007.9+(1106.4-570.3)+(-7.662087+(-1.692792--0.872559))+0-0-0</f>
        <v>5535.5176799999999</v>
      </c>
      <c r="R262" s="3">
        <f>4870.9+(1135.8-503.5)+(-14.904954+(-3.475548--1.54071))+0-0-0</f>
        <v>5486.3602080000001</v>
      </c>
      <c r="S262" s="3">
        <f>4571.3+(1152.1-446.1)+(-4.662726+(-1.175142--0.455022))+0-0-0</f>
        <v>5271.9171539999998</v>
      </c>
      <c r="T262" s="3">
        <f>4508.5+(1088.4-401.2)+(-2.299335+(-0.555084--0.204612))+0-0-0</f>
        <v>5193.050193</v>
      </c>
      <c r="U262" s="3">
        <f>4492.8+(1031.5-477.3)+(4.582656+(1.05213-0.486846))+0-0-0</f>
        <v>5052.1479399999998</v>
      </c>
      <c r="V262" s="3">
        <f>4574.6+(1054.2-598.4)+(-9.332184+(-2.150568--1.220736))+0-0-0</f>
        <v>5020.1379840000009</v>
      </c>
      <c r="W262" s="3">
        <f>4991.4+(1249-806.3)+(2.545614+(0.63699-0.411213))+0-0-0</f>
        <v>5436.8713909999997</v>
      </c>
      <c r="X262" s="3">
        <f>5103.3+(1167.4-839.9)+(-15.616098+(-3.572244--2.570094))+0-0-0</f>
        <v>5414.1817520000004</v>
      </c>
      <c r="Y262" s="3">
        <f>5026.7+(999.8-734.4)+(-10.254468+(-2.039592--1.498176))+0-0-0</f>
        <v>5281.3041159999993</v>
      </c>
      <c r="Z262" s="3">
        <f>4820.6+(984-635.9)+(-9.834024+(-2.00736--1.297236))+0-0-0</f>
        <v>5158.1558520000008</v>
      </c>
      <c r="AA262" s="3">
        <f>4321.9+(1176-511.2)+(-4.408338+(-1.19952--0.521424))+0-0-0</f>
        <v>4981.613566</v>
      </c>
      <c r="AB262" s="3">
        <f>4223+(1016.2-484)+(-2.15373+(-0.518262--0.24684))+0-0-0</f>
        <v>4752.774848</v>
      </c>
      <c r="AC262" s="3">
        <f>4058+(811.7-404.7)+(-10.3479+(-2.069835--1.031985))+0-0-0</f>
        <v>4453.6142499999996</v>
      </c>
      <c r="AD262" s="2">
        <v>5443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3902.7+(667-456.7)+(0+(0-0))+0-0-0</f>
        <v>4113</v>
      </c>
      <c r="G263" s="3">
        <f>3619.3+(580.1-402.2)+(-5.537529+(-0.887553--0.615366))+0-0-0</f>
        <v>3791.3902840000001</v>
      </c>
      <c r="H263" s="3">
        <f>3561.8+(525.7-502.9)+(0+(0-0))+0-0-0</f>
        <v>3584.6000000000004</v>
      </c>
      <c r="I263" s="3">
        <f>3354.7+(598-479.9)+(3.421794+(0.60996-0.489498))+0-0-0</f>
        <v>3476.3422559999999</v>
      </c>
      <c r="J263" s="3">
        <f>3349.6+(592-510.2)+(-5.124888+(-0.90576--0.780606))+0-0-0</f>
        <v>3426.149958</v>
      </c>
      <c r="K263" s="3">
        <f>3431.2+(497.2-487.4)+(5.249736+(0.760716-0.745722))+0-0-0</f>
        <v>3446.2647299999999</v>
      </c>
      <c r="L263" s="3">
        <f>3493.9+(432.4-526.2)+(-3.563778+(-0.441048--0.536724))+0-0-0</f>
        <v>3396.6318980000001</v>
      </c>
      <c r="M263" s="3">
        <f>3441.2+(267.3-454.8)+(-10.530072+(-0.817938--1.391688))+0-0-0</f>
        <v>3243.7436779999998</v>
      </c>
      <c r="N263" s="3">
        <f>3798.5+(143.5-513.1)+(-5.811705+(-0.219555--0.785043))+0-0-0</f>
        <v>3423.6537830000002</v>
      </c>
      <c r="O263" s="3">
        <f>4001.6+(227.2-518.2)+(0+(0-0))+0-0-0</f>
        <v>3710.6</v>
      </c>
      <c r="P263" s="3">
        <f>4084.7+(402.6-459.2)+(0+(0-0))+0-0-0</f>
        <v>4028.1</v>
      </c>
      <c r="Q263" s="3">
        <f>4054.8+(532.8-421.9)+(-4.135896+(-0.543456--0.430338))+0-0-0</f>
        <v>4161.4509859999998</v>
      </c>
      <c r="R263" s="3">
        <f>4096.6+(604-450.9)+(-8.357064+(-1.23216--0.919836))+0-0-0</f>
        <v>4241.0306120000005</v>
      </c>
      <c r="S263" s="3">
        <f>4109.7+(441.6-376.1)+(-2.095947+(-0.225216--0.191811))+0-0-0</f>
        <v>4173.0706479999999</v>
      </c>
      <c r="T263" s="3">
        <f>4038.7+(390.7-314.8)+(-14.418159+(-1.394799--1.123836))+0-0-0</f>
        <v>4099.9108779999997</v>
      </c>
      <c r="U263" s="3">
        <f>3950.1+(385-256.1)+(2.014551+(0.19635-0.130611))+0-0-0</f>
        <v>4081.0802899999999</v>
      </c>
      <c r="V263" s="3">
        <f>4068.8+(501.6-355.1)+(-2.075088+(-0.255816--0.181101))+0-0-0</f>
        <v>4213.1501969999999</v>
      </c>
      <c r="W263" s="3">
        <f>4482.6+(813.1-467.3)+(0+(0-0))+0-0-0</f>
        <v>4828.4000000000005</v>
      </c>
      <c r="X263" s="3">
        <f>4605.2+(823.5-457.1)+(-7.045956+(-1.259955--0.699363))+0-0-0</f>
        <v>4963.9934519999997</v>
      </c>
      <c r="Y263" s="3">
        <f>4482.3+(863.8-389.7)+(-6.857919+(-1.321614--0.596241))+0-0-0</f>
        <v>4948.8167080000003</v>
      </c>
      <c r="Z263" s="3">
        <f>4432.4+(812.4-327.7)+(-11.30262+(-2.07162--0.835635))+0-0-0</f>
        <v>4904.5613949999997</v>
      </c>
      <c r="AA263" s="3">
        <f>4429.1+(713.1-325.4)+(0+(0-0))+0-0-0</f>
        <v>4816.8</v>
      </c>
      <c r="AB263" s="3">
        <f>4269.3+(691.6-328.1)+(-8.709372+(-1.410864--0.669324))+0-0-0</f>
        <v>4623.3490879999999</v>
      </c>
      <c r="AC263" s="3">
        <f>4086+(505.5-291.3)+(-14.58702+(-1.804635--1.039941))+0-0-0</f>
        <v>4284.8482859999995</v>
      </c>
      <c r="AD263" s="2">
        <v>4958.7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3782.7+(314.2-382.9)+(9.645885+(0.80121-0.976395))+0-0-0</f>
        <v>3723.4706999999999</v>
      </c>
      <c r="G264" s="3">
        <f>3701.2+(260.7-419)+(3.775224+(0.265914-0.42738))+0-0-0</f>
        <v>3546.5137579999996</v>
      </c>
      <c r="H264" s="3">
        <f>3659+(199.6-460.4)+(-5.59827+(-0.305388--0.704412))+0-0-0</f>
        <v>3393.0007539999997</v>
      </c>
      <c r="I264" s="3">
        <f>3548.4+(230.8-435.5)+(0+(0-0))+0-0-0</f>
        <v>3343.7000000000003</v>
      </c>
      <c r="J264" s="3">
        <f>3505.2+(281-423.2)+(1.787652+(0.14331-0.215832))+0-0-0</f>
        <v>3364.71513</v>
      </c>
      <c r="K264" s="3">
        <f>3526.2+(318.6-392.5)+(7.193448+(0.649944-0.8007))+0-0-0</f>
        <v>3459.3426919999997</v>
      </c>
      <c r="L264" s="3">
        <f>3764.8+(325.5-344.6)+(5.760144+(0.498015-0.527238))+0-0-0</f>
        <v>3751.4309210000001</v>
      </c>
      <c r="M264" s="3">
        <f>4020.9+(510.1-320.1)+(-6.151977+(-0.780453--0.489753))+0-0-0</f>
        <v>4204.4573229999996</v>
      </c>
      <c r="N264" s="3">
        <f>4579.3+(541.4-313.7)+(2.335443+(0.276114-0.159987))+0-0-0</f>
        <v>4809.4515700000002</v>
      </c>
      <c r="O264" s="3">
        <f>4735.3+(758.6-301.2)+(-9.660012+(-1.547544--0.614448))+0-0-0</f>
        <v>5182.1068919999998</v>
      </c>
      <c r="P264" s="3">
        <f>4787.2+(936.4-268.9)+(4.882944+(0.955128-0.274278))+0-0-0</f>
        <v>5460.2637939999995</v>
      </c>
      <c r="Q264" s="3">
        <f>4801.1+(1062.2-224.3)+(-4.897122+(-1.083444--0.228786))+0-0-0</f>
        <v>5633.2482200000004</v>
      </c>
      <c r="R264" s="3">
        <f>4559.1+(1081.4-288.3)+(-6.975423+(-1.654542--0.441099))+0-0-0</f>
        <v>5344.0111340000003</v>
      </c>
      <c r="S264" s="3">
        <f>4723.6+(979.1-314.9)+(-2.409036+(-0.499341--0.160599))+0-0-0</f>
        <v>5385.0522220000003</v>
      </c>
      <c r="T264" s="3">
        <f>4723.5+(1013.1-260.9)+(2.408985+(0.516681-0.133059))+0-0-0</f>
        <v>5478.4926070000001</v>
      </c>
      <c r="U264" s="3">
        <f>4667+(950.5-245)+(-2.38017+(-0.484755--0.12495))+0-0-0</f>
        <v>5369.7600249999996</v>
      </c>
      <c r="V264" s="3">
        <f>4896.9+(974.2-238)+(2.497419+(0.496842-0.12138))+0-0-0</f>
        <v>5635.9728809999997</v>
      </c>
      <c r="W264" s="3">
        <f>5157.4+(1157.8-355.1)+(-5.260548+(-1.180956--0.362202))+0-0-0</f>
        <v>5954.0206979999994</v>
      </c>
      <c r="X264" s="3">
        <f>5161.1+(1147.1-380.3)+(-5.264322+(-1.170042--0.387906))+0-0-0</f>
        <v>5921.8535420000007</v>
      </c>
      <c r="Y264" s="3">
        <f>4837.1+(1314.4-368.8)+(-9.867684+(-2.681376--0.752352))+0-0-0</f>
        <v>5770.9032920000009</v>
      </c>
      <c r="Z264" s="3">
        <f>4739.2+(1247.8-354)+(0+(0-0))+0-0-0</f>
        <v>5633</v>
      </c>
      <c r="AA264" s="3">
        <f>4584.9+(1097.4-321.7)+(-16.368093+(-3.917718--1.148469))+0-0-0</f>
        <v>5341.4626579999995</v>
      </c>
      <c r="AB264" s="3">
        <f>4241.7+(1147.8-317.6)+(-4.326534+(-1.170756--0.323952))+0-0-0</f>
        <v>5066.726662</v>
      </c>
      <c r="AC264" s="3">
        <f>3969.8+(914.4-259.3)+(-8.098392+(-1.865376--0.528972))+0-0-0</f>
        <v>4615.4652040000001</v>
      </c>
      <c r="AD264" s="2">
        <v>6014.2000000000007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3813.8+(670.3-326)+(-7.780152+(-1.367412--0.66504))+0-0-0</f>
        <v>4149.6174760000004</v>
      </c>
      <c r="G265" s="3">
        <f>3737.2+(492.9-370.1)+(0+(0-0))+0-0-0</f>
        <v>3860</v>
      </c>
      <c r="H265" s="3">
        <f>3723.3+(394.9-392)+(-7.595532+(-0.805596--0.79968))+0-0-0</f>
        <v>3718.5985520000004</v>
      </c>
      <c r="I265" s="3">
        <f>3704.1+(328.2-399.7)+(7.556364+(0.669528-0.815388))+0-0-0</f>
        <v>3640.0105039999999</v>
      </c>
      <c r="J265" s="3">
        <f>3530.8+(438-339.4)+(1.800708+(0.22338-0.173094))+0-0-0</f>
        <v>3631.250994</v>
      </c>
      <c r="K265" s="3">
        <f>3474.5+(499.3-261.9)+(0+(0-0))+0-0-0</f>
        <v>3711.9</v>
      </c>
      <c r="L265" s="3">
        <f>3635.4+(570.6-251)+(0+(0-0))+0-0-0</f>
        <v>3955</v>
      </c>
      <c r="M265" s="3">
        <f>3976.9+(600.7-257)+(4.056438+(0.612714-0.26214))+0-0-0</f>
        <v>4325.007012</v>
      </c>
      <c r="N265" s="3">
        <f>4110.7+(906.5-187.3)+(-4.192914+(-0.92463--0.191046))+0-0-0</f>
        <v>4824.9735019999998</v>
      </c>
      <c r="O265" s="3">
        <f>4361.1+(1126.3-231.7)+(6.672483+(1.723239-0.354501))+0-0-0</f>
        <v>5263.7412210000011</v>
      </c>
      <c r="P265" s="3">
        <f>4376.2+(1304.9-229.1)+(-2.231862+(-0.665499--0.116841))+0-0-0</f>
        <v>5449.2194799999997</v>
      </c>
      <c r="Q265" s="3">
        <f>4382.4+(1463.6-253.9)+(-13.410144+(-4.478616--0.776934))+0-0-0</f>
        <v>5574.9881739999992</v>
      </c>
      <c r="R265" s="3">
        <f>4378.5+(1354.9-243)+(4.46607+(1.381998-0.24786))+0-0-0</f>
        <v>5496.0002079999995</v>
      </c>
      <c r="S265" s="3">
        <f>4394.8+(1255.4-245.4)+(0+(0-0))+0-0-0</f>
        <v>5404.8</v>
      </c>
      <c r="T265" s="3">
        <f>4513.6+(1247.3-296.5)+(0+(0-0))+0-0-0</f>
        <v>5464.4000000000005</v>
      </c>
      <c r="U265" s="3">
        <f>4289.3+(1382.2-290)+(-4.375086+(-1.409844--0.2958))+0-0-0</f>
        <v>5376.0108700000001</v>
      </c>
      <c r="V265" s="3">
        <f>4320.4+(1412.1-266.6)+(0+(0-0))+0-0-0</f>
        <v>5465.9</v>
      </c>
      <c r="W265" s="3">
        <f>4698.6+(1528.6-398.2)+(-2.396286+(-0.779586--0.203082))+0-0-0</f>
        <v>5826.0272100000002</v>
      </c>
      <c r="X265" s="3">
        <f>4757.2+(1518-431.5)+(-12.13086+(-3.8709--1.100325))+0-0-0</f>
        <v>5828.7985650000001</v>
      </c>
      <c r="Y265" s="3">
        <f>4716.3+(1387.4-419.1)+(-9.621252+(-2.830296--0.854964))+0-0-0</f>
        <v>5673.0034160000005</v>
      </c>
      <c r="Z265" s="3">
        <f>4629.5+(1285.7-413.3)+(-4.72209+(-1.311414--0.421566))+0-0-0</f>
        <v>5496.2880619999996</v>
      </c>
      <c r="AA265" s="3">
        <f>4559.5+(1176.7-480.6)+(-4.65069+(-1.200234--0.490212))+0-0-0</f>
        <v>5250.2392880000007</v>
      </c>
      <c r="AB265" s="3">
        <f>4485.1+(1060.8-555.6)+(-6.862203+(-1.623024--0.850068))+0-0-0</f>
        <v>4982.6648409999998</v>
      </c>
      <c r="AC265" s="3">
        <f>4241+(990.5-544.8)+(-10.81455+(-2.525775--1.38924))+0-0-0</f>
        <v>4674.7489150000001</v>
      </c>
      <c r="AD265" s="2">
        <v>6012.2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3924+(779.1-533.6)+(4.00248+(0.794682-0.544272))+0-0-0</f>
        <v>4173.7528899999998</v>
      </c>
      <c r="G266" s="3">
        <f>3692.5+(692.3-518)+(-3.76635+(-0.706146--0.52836))+0-0-0</f>
        <v>3862.8558640000001</v>
      </c>
      <c r="H266" s="3">
        <f>3678.1+(537.5-504.8)+(-3.751662+(-0.54825--0.514896))+0-0-0</f>
        <v>3707.0149839999999</v>
      </c>
      <c r="I266" s="3">
        <f>3711.3+(455.9-512.1)+(5.678289+(0.697527-0.783513))+0-0-0</f>
        <v>3660.6923030000003</v>
      </c>
      <c r="J266" s="3">
        <f>3746.9+(406.5-504.1)+(1.910919+(0.207315-0.257091))+0-0-0</f>
        <v>3651.1611430000003</v>
      </c>
      <c r="K266" s="3">
        <f>3807.8+(347.9-443.6)+(-3.883956+(-0.354858--0.452472))+0-0-0</f>
        <v>3708.3136580000005</v>
      </c>
      <c r="L266" s="3">
        <f>3874+(485.2-421.4)+(-1.97574+(-0.247452--0.214914))+0-0-0</f>
        <v>3935.7917220000004</v>
      </c>
      <c r="M266" s="3">
        <f>4024.2+(759.7-436.3)+(-2.052342+(-0.387447--0.222513))+0-0-0</f>
        <v>4345.3827239999991</v>
      </c>
      <c r="N266" s="3">
        <f>4207.4+(1143.9-470)+(2.145774+(0.583389-0.2397))+0-0-0</f>
        <v>4883.7894629999992</v>
      </c>
      <c r="O266" s="3">
        <f>4477.7+(1245-463.4)+(9.134508+(2.5398-0.945336))+0-0-0</f>
        <v>5270.0289720000001</v>
      </c>
      <c r="P266" s="3">
        <f>4597.4+(1292.5-436.7)+(-2.344674+(-0.659175--0.222717))+0-0-0</f>
        <v>5450.4188679999997</v>
      </c>
      <c r="Q266" s="3">
        <f>4642.9+(1402.2-469.3)+(-4.735758+(-1.430244--0.478686))+0-0-0</f>
        <v>5570.1126839999997</v>
      </c>
      <c r="R266" s="3">
        <f>4624.3+(1303-430.7)+(-4.716786+(-1.32906--0.439314))+0-0-0</f>
        <v>5490.9934680000006</v>
      </c>
      <c r="S266" s="3">
        <f>4580.9+(1234-471)+(2.336259+(0.62934-0.24021))+0-0-0</f>
        <v>5346.6253889999998</v>
      </c>
      <c r="T266" s="3">
        <f>4575.4+(1373.1-523.6)+(7.000362+(2.100843-0.801108))+0-0-0</f>
        <v>5433.2000969999999</v>
      </c>
      <c r="U266" s="3">
        <f>4617.6+(1372-558.5)+(2.354976+(0.69972-0.284835))+0-0-0</f>
        <v>5433.8698610000001</v>
      </c>
      <c r="V266" s="3">
        <f>4727.2+(1307.3-481)+(-2.410872+(-0.666723--0.24531))+0-0-0</f>
        <v>5550.6677149999996</v>
      </c>
      <c r="W266" s="3">
        <f>4929.9+(1485.9-466.2)+(-5.028498+(-1.515618--0.475524))+0-0-0</f>
        <v>5943.5314079999998</v>
      </c>
      <c r="X266" s="3">
        <f>4933.3+(1384.1-429.2)+(2.515983+(0.705891-0.218892))+0-0-0</f>
        <v>5891.2029819999998</v>
      </c>
      <c r="Y266" s="3">
        <f>4812.7+(1315.2-401.6)+(-2.454477+(-0.670752--0.204816))+0-0-0</f>
        <v>5723.3795870000004</v>
      </c>
      <c r="Z266" s="3">
        <f>4714+(1245.4-389.7)+(-16.82898+(-4.446078--1.391229))+0-0-0</f>
        <v>5549.8161709999995</v>
      </c>
      <c r="AA266" s="3">
        <f>4546.6+(1243.4-475.9)+(-11.59383+(-3.17067--1.213545))+0-0-0</f>
        <v>5300.5490450000007</v>
      </c>
      <c r="AB266" s="3">
        <f>4463+(1223.8-637.8)+(0+(0-0))+0-0-0</f>
        <v>5049</v>
      </c>
      <c r="AC266" s="3">
        <f>4352.2+(929.4-580.5)+(-6.658866+(-1.421982--0.888165))+0-0-0</f>
        <v>4693.9073169999992</v>
      </c>
      <c r="AD266" s="2">
        <v>5949.1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4106.1+(766.6-624.7)+(-8.376444+(-1.563864--1.274388))+0-0-0</f>
        <v>4239.3340799999996</v>
      </c>
      <c r="G267" s="3">
        <f>3879.4+(554.5-487.4)+(-3.956988+(-0.56559--0.497148))+0-0-0</f>
        <v>3942.4745699999999</v>
      </c>
      <c r="H267" s="3">
        <f>3867.2+(464.8-519)+(-7.889088+(-0.948192--1.05876))+0-0-0</f>
        <v>3805.2214800000002</v>
      </c>
      <c r="I267" s="3">
        <f>3867.9+(361.6-502.1)+(1.972629+(0.184416-0.256071))+0-0-0</f>
        <v>3729.3009740000002</v>
      </c>
      <c r="J267" s="3">
        <f>3915+(420.5-575.5)+(0+(0-0))+0-0-0</f>
        <v>3760</v>
      </c>
      <c r="K267" s="3">
        <f>3942.1+(472.6-587.6)+(6.031413+(0.723078-0.899028))+0-0-0</f>
        <v>3832.9554629999998</v>
      </c>
      <c r="L267" s="3">
        <f>4098.6+(513.7-589.3)+(0+(0-0))+0-0-0</f>
        <v>4023.0000000000005</v>
      </c>
      <c r="M267" s="3">
        <f>4392.8+(711.9-634)+(4.480656+(0.726138-0.64668))+0-0-0</f>
        <v>4475.2601139999997</v>
      </c>
      <c r="N267" s="3">
        <f>4682.1+(874.5-571.1)+(4.775742+(0.89199-0.582522))+0-0-0</f>
        <v>4990.5852100000002</v>
      </c>
      <c r="O267" s="3">
        <f>4769.6+(1215.9-613.2)+(0+(0-0))+0-0-0</f>
        <v>5372.3</v>
      </c>
      <c r="P267" s="3">
        <f>4771.8+(1375.9-524.7)+(0+(0-0))+0-0-0</f>
        <v>5623</v>
      </c>
      <c r="Q267" s="3">
        <f>4740.8+(1594.4-464.8)+(-7.253424+(-2.439432--0.711144))+0-0-0</f>
        <v>5861.4182880000008</v>
      </c>
      <c r="R267" s="3">
        <f>4748.9+(1481.1-450.7)+(-2.421939+(-0.755361--0.229857))+0-0-0</f>
        <v>5776.3525569999993</v>
      </c>
      <c r="S267" s="3">
        <f>4745+(1304.6-416.3)+(-9.6798+(-2.661384--0.849252))+0-0-0</f>
        <v>5621.8080680000003</v>
      </c>
      <c r="T267" s="3">
        <f>4653.5+(1391.4-379.1)+(-2.373285+(-0.709614--0.193341))+0-0-0</f>
        <v>5662.9104420000003</v>
      </c>
      <c r="U267" s="3">
        <f>4589.1+(1469.9-353.6)+(4.680882+(1.499298-0.360672))+0-0-0</f>
        <v>5711.2195080000001</v>
      </c>
      <c r="V267" s="3">
        <f>4669.7+(1481.1-305.7)+(-4.763094+(-1.510722--0.311814))+0-0-0</f>
        <v>5839.1379979999992</v>
      </c>
      <c r="W267" s="3">
        <f>4890.3+(1602.3-427.9)+(7.482159+(2.451519-0.654687))+0-0-0</f>
        <v>6073.9789910000009</v>
      </c>
      <c r="X267" s="3">
        <f>4876.9+(1494.5-392.6)+(-9.948876+(-3.04878--0.800904))+0-0-0</f>
        <v>5966.6032479999994</v>
      </c>
      <c r="Y267" s="3">
        <f>4767.7+(1395.9-327.2)+(-7.294581+(-2.135727--0.500616))+0-0-0</f>
        <v>5827.4703079999999</v>
      </c>
      <c r="Z267" s="3">
        <f>4463.4+(1549.7-373.7)+(4.552668+(1.580694-0.381174))+0-0-0</f>
        <v>5645.152188</v>
      </c>
      <c r="AA267" s="3">
        <f>4471+(1293.3-360.1)+(-11.40105+(-3.297915--0.918255))+0-0-0</f>
        <v>5390.4192899999998</v>
      </c>
      <c r="AB267" s="3">
        <f>4415.1+(1193.3-501.4)+(-2.251701+(-0.608583--0.255714))+0-0-0</f>
        <v>5104.3954299999996</v>
      </c>
      <c r="AC267" s="3">
        <f>4214.8+(975.3-520.8)+(-10.74774+(-2.487015--1.32804))+0-0-0</f>
        <v>4657.3932850000001</v>
      </c>
      <c r="AD267" s="2">
        <v>6073.5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3971.5+(750.4-524)+(-6.076395+(-1.148112--0.80172))+0-0-0</f>
        <v>4191.4772129999992</v>
      </c>
      <c r="G268" s="3">
        <f>3736.1+(630.7-461.7)+(-5.716233+(-0.964971--0.706401))+0-0-0</f>
        <v>3899.1251969999998</v>
      </c>
      <c r="H268" s="3">
        <f>3642.4+(564.1-468.7)+(1.857624+(0.287691-0.239037))+0-0-0</f>
        <v>3739.7062780000001</v>
      </c>
      <c r="I268" s="3">
        <f>3632.2+(527.7-493.5)+(-9.26211+(-1.345635--1.258425))+0-0-0</f>
        <v>3657.0506799999998</v>
      </c>
      <c r="J268" s="3">
        <f>3656.5+(458.8-482.3)+(7.45926+(0.935952-0.983892))+0-0-0</f>
        <v>3640.4113200000002</v>
      </c>
      <c r="K268" s="3">
        <f>3652.4+(546.1-505.5)+(3.725448+(0.557022-0.51561))+0-0-0</f>
        <v>3696.7668600000002</v>
      </c>
      <c r="L268" s="3">
        <f>3884.3+(603.9-518.4)+(3.961986+(0.615978-0.528768))+0-0-0</f>
        <v>3973.8491960000001</v>
      </c>
      <c r="M268" s="3">
        <f>4107.9+(697.7-429.6)+(4.190058+(0.711654-0.438192))+0-0-0</f>
        <v>4380.4635200000002</v>
      </c>
      <c r="N268" s="3">
        <f>4289.7+(1015.9-375.5)+(4.375494+(1.036218-0.38301))+0-0-0</f>
        <v>4935.1287019999991</v>
      </c>
      <c r="O268" s="3">
        <f>4398.8+(1349.7-457.8)+(2.243388+(0.688347-0.233478))+0-0-0</f>
        <v>5293.3982570000007</v>
      </c>
      <c r="P268" s="3">
        <f>4421.7+(1392.6-316.1)+(-11.275335+(-3.55113--0.806055))+0-0-0</f>
        <v>5484.1795899999997</v>
      </c>
      <c r="Q268" s="3">
        <f>4458.4+(1401.7-275.4)+(-6.821352+(-2.144601--0.421362))+0-0-0</f>
        <v>5576.155409</v>
      </c>
      <c r="R268" s="3">
        <f>4460.2+(1315.1-268.5)+(-11.37351+(-3.353505--0.684675))+0-0-0</f>
        <v>5492.7576599999993</v>
      </c>
      <c r="S268" s="3">
        <f>4491.6+(1207.8-307.3)+(-4.581432+(-1.231956--0.313446))+0-0-0</f>
        <v>5386.600058</v>
      </c>
      <c r="T268" s="3">
        <f>4549.1+(1153-275.6)+(-2.320041+(-0.58803--0.140556))+0-0-0</f>
        <v>5423.7324850000005</v>
      </c>
      <c r="U268" s="3">
        <f>4603.9+(1096.4-345.3)+(-4.695978+(-1.118328--0.352206))+0-0-0</f>
        <v>5349.5379000000003</v>
      </c>
      <c r="V268" s="3">
        <f>4674.3+(1166-389.8)+(-7.151679+(-1.78398--0.596394))+0-0-0</f>
        <v>5442.1607350000004</v>
      </c>
      <c r="W268" s="3">
        <f>4998.2+(1201-273.3)+(10.196328+(2.45004-0.557532))+0-0-0</f>
        <v>5937.9888359999995</v>
      </c>
      <c r="X268" s="3">
        <f>5027.4+(1179.6-271.9)+(-12.81987+(-3.00798--0.693345))+0-0-0</f>
        <v>5919.9654949999995</v>
      </c>
      <c r="Y268" s="3">
        <f>4973.5+(1121.5-334.7)+(-5.07297+(-1.14393--0.341394))+0-0-0</f>
        <v>5754.4244939999999</v>
      </c>
      <c r="Z268" s="3">
        <f>4977.8+(956-344.4)+(-5.077356+(-0.97512--0.351288))+0-0-0</f>
        <v>5583.6988120000005</v>
      </c>
      <c r="AA268" s="3">
        <f>4810.2+(933.7-394)+(-9.812808+(-1.904748--0.80376))+0-0-0</f>
        <v>5338.9862039999998</v>
      </c>
      <c r="AB268" s="3">
        <f>4590.1+(978.4-521.2)+(-9.363804+(-1.995936--1.063248))+0-0-0</f>
        <v>5037.0035079999998</v>
      </c>
      <c r="AC268" s="3">
        <f>4299.9+(1066.4-687.9)+(-2.192949+(-0.543864--0.350829))+0-0-0</f>
        <v>4676.0140160000001</v>
      </c>
      <c r="AD268" s="2">
        <v>5988.5999999999995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4185.1+(767.9-652.9)+(-8.537604+(-1.566516--1.331916))+0-0-0</f>
        <v>4291.3277960000005</v>
      </c>
      <c r="G269" s="3">
        <f>4022.6+(588.2-607.1)+(-4.103052+(-0.599964--0.619242))+0-0-0</f>
        <v>3999.6162259999996</v>
      </c>
      <c r="H269" s="3">
        <f>3959.7+(402.5-594)+(-4.038894+(-0.41055--0.60588))+0-0-0</f>
        <v>3764.356436</v>
      </c>
      <c r="I269" s="3">
        <f>3923.7+(328.6-623.3)+(-6.003261+(-0.502758--0.953649))+0-0-0</f>
        <v>3623.4476300000001</v>
      </c>
      <c r="J269" s="3">
        <f>3970.1+(303.7-666)+(-2.024751+(-0.154887--0.33966))+0-0-0</f>
        <v>3605.9600219999998</v>
      </c>
      <c r="K269" s="3">
        <f>4002.3+(299.6-658.6)+(10.205865+(0.76398-1.67943))+0-0-0</f>
        <v>3652.5904150000001</v>
      </c>
      <c r="L269" s="3">
        <f>4017.3+(397.6-597.2)+(-16.390584+(-1.622208--2.436576))+0-0-0</f>
        <v>3802.1237840000003</v>
      </c>
      <c r="M269" s="3">
        <f>4274.1+(499.9-672.7)+(2.179791+(0.254949-0.343077))+0-0-0</f>
        <v>4103.3916630000003</v>
      </c>
      <c r="N269" s="3">
        <f>4566.9+(762.5-759.7)+(6.987357+(1.166625-1.162341))+0-0-0</f>
        <v>4576.6916409999994</v>
      </c>
      <c r="O269" s="3">
        <f>4640.1+(1010.7-645.5)+(7.099353+(1.546371-0.987615))+0-0-0</f>
        <v>5012.9581090000001</v>
      </c>
      <c r="P269" s="3">
        <f>4652+(1186.9-572)+(0+(0-0))+0-0-0</f>
        <v>5266.9</v>
      </c>
      <c r="Q269" s="3">
        <f>4715.9+(1223.7-541.4)+(2.405109+(0.624087-0.276114))+0-0-0</f>
        <v>5400.953082</v>
      </c>
      <c r="R269" s="3">
        <f>4637.1+(1156-532.4)+(-9.459684+(-2.35824--1.086096))+0-0-0</f>
        <v>5249.9681720000008</v>
      </c>
      <c r="S269" s="3">
        <f>4638+(992.8-549.1)+(0+(0-0))+0-0-0</f>
        <v>5081.7</v>
      </c>
      <c r="T269" s="3">
        <f>4612.9+(905.6-493.8)+(7.057737+(1.385568-0.755514))+0-0-0</f>
        <v>5032.3877910000001</v>
      </c>
      <c r="U269" s="3">
        <f>4568.5+(859.1-494.1)+(2.329935+(0.438141-0.251991))+0-0-0</f>
        <v>4936.0160850000002</v>
      </c>
      <c r="V269" s="3">
        <f>4742.4+(800.8-504.4)+(-2.418624+(-0.408408--0.257244))+0-0-0</f>
        <v>5036.2302119999995</v>
      </c>
      <c r="W269" s="3">
        <f>4875.9+(1173.3-589)+(2.486709+(0.598383-0.30039))+0-0-0</f>
        <v>5462.9847019999997</v>
      </c>
      <c r="X269" s="3">
        <f>4889.9+(1195.9-588.3)+(-4.987698+(-1.219818--0.600066))+0-0-0</f>
        <v>5491.8925499999996</v>
      </c>
      <c r="Y269" s="3">
        <f>4871.7+(1105.9-616.9)+(-12.422835+(-2.820045--1.573095))+0-0-0</f>
        <v>5347.0302149999998</v>
      </c>
      <c r="Z269" s="3">
        <f>4910.6+(939.8-611.4)+(-2.504406+(-0.479298--0.311814))+0-0-0</f>
        <v>5236.3281100000004</v>
      </c>
      <c r="AA269" s="3">
        <f>4788.6+(854.5-637.6)+(-7.326558+(-1.307385--0.975528))+0-0-0</f>
        <v>4997.8415850000001</v>
      </c>
      <c r="AB269" s="3">
        <f>4701.6+(832.4-753.4)+(-4.795632+(-0.849048--0.768468))+0-0-0</f>
        <v>4775.7237880000002</v>
      </c>
      <c r="AC269" s="3">
        <f>4510.7+(676-674.2)+(-6.901371+(-1.03428--1.031526))+0-0-0</f>
        <v>4505.595875</v>
      </c>
      <c r="AD269" s="2">
        <v>5505.5999999999995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4193.4+(562.9-611.8)+(-10.69317+(-1.435395--1.56009))+0-0-0</f>
        <v>4133.931525</v>
      </c>
      <c r="G270" s="3">
        <f>4073.5+(358-661.7)+(-6.232455+(-0.54774--1.012401))+0-0-0</f>
        <v>3764.0322060000003</v>
      </c>
      <c r="H270" s="3">
        <f>3996.8+(297.1-728.7)+(-10.19184+(-0.757605--1.858185))+0-0-0</f>
        <v>3556.1087400000001</v>
      </c>
      <c r="I270" s="3">
        <f>3971.7+(292-762)+(-4.051134+(-0.29784--0.77724))+0-0-0</f>
        <v>3498.1282659999997</v>
      </c>
      <c r="J270" s="3">
        <f>4028.5+(261.5-852.4)+(0+(0-0))+0-0-0</f>
        <v>3437.6</v>
      </c>
      <c r="K270" s="3">
        <f>4047.4+(255.3-870.8)+(-8.256696+(-0.520812--1.776432))+0-0-0</f>
        <v>3424.8989240000001</v>
      </c>
      <c r="L270" s="3">
        <f>4038.5+(271.8-869.4)+(-10.298175+(-0.69309--2.21697))+0-0-0</f>
        <v>3432.1257049999999</v>
      </c>
      <c r="M270" s="3">
        <f>4051.1+(245.5-869.9)+(-4.132122+(-0.25041--0.887298))+0-0-0</f>
        <v>3423.2047659999998</v>
      </c>
      <c r="N270" s="3">
        <f>4135.8+(206-786.6)+(6.327774+(0.31518-1.203498))+0-0-0</f>
        <v>3560.6394560000003</v>
      </c>
      <c r="O270" s="3">
        <f>4103+(251.9-575.3)+(-4.18506+(-0.256938--0.586806))+0-0-0</f>
        <v>3775.7448079999999</v>
      </c>
      <c r="P270" s="3">
        <f>4187.7+(427.3-469.2)+(-6.407181+(-0.653769--0.717876))+0-0-0</f>
        <v>4139.4569259999998</v>
      </c>
      <c r="Q270" s="3">
        <f>4208.6+(620-451.1)+(-4.292772+(-0.6324--0.460122))+0-0-0</f>
        <v>4373.0349500000002</v>
      </c>
      <c r="R270" s="3">
        <f>4168.4+(660.1-409.6)+(-6.377652+(-1.009953--0.626688))+0-0-0</f>
        <v>4412.139083</v>
      </c>
      <c r="S270" s="3">
        <f>4140.5+(564.1-331.4)+(-10.558275+(-1.438455--0.84507))+0-0-0</f>
        <v>4362.0483399999994</v>
      </c>
      <c r="T270" s="3">
        <f>4122.1+(474.5-301.8)+(2.102271+(0.241995-0.153918))+0-0-0</f>
        <v>4296.9903480000003</v>
      </c>
      <c r="U270" s="3">
        <f>4157.4+(436.5-370.4)+(0+(0-0))+0-0-0</f>
        <v>4223.5</v>
      </c>
      <c r="V270" s="3">
        <f>4275+(466.2-362.7)+(-2.18025+(-0.237762--0.184977))+0-0-0</f>
        <v>4376.2669649999998</v>
      </c>
      <c r="W270" s="3">
        <f>4389+(850-311.9)+(-2.23839+(-0.4335--0.159069))+0-0-0</f>
        <v>4924.5871790000001</v>
      </c>
      <c r="X270" s="3">
        <f>4409.4+(929.5-310.4)+(-6.746382+(-1.422135--0.474912))+0-0-0</f>
        <v>5020.8063949999996</v>
      </c>
      <c r="Y270" s="3">
        <f>4388.3+(930.3-295.7)+(-8.952132+(-1.897812--0.603228))+0-0-0</f>
        <v>5012.653284</v>
      </c>
      <c r="Z270" s="3">
        <f>4348.9+(934.8-287.6)+(-2.217939+(-0.476748--0.146676))+0-0-0</f>
        <v>4993.5519889999996</v>
      </c>
      <c r="AA270" s="3">
        <f>4147.8+(1039.8-301.9)+(-6.346134+(-1.590894--0.461907))+0-0-0</f>
        <v>4878.2248789999994</v>
      </c>
      <c r="AB270" s="3">
        <f>4085.3+(927.8-338.8)+(-10.417515+(-2.36589--0.86394))+0-0-0</f>
        <v>4662.3805350000002</v>
      </c>
      <c r="AC270" s="3">
        <f>4016.1+(705.8-380.4)+(-8.192844+(-1.439832--0.776016))+0-0-0</f>
        <v>4332.6433399999996</v>
      </c>
      <c r="AD270" s="2">
        <v>4993.8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3940.1+(452.1-477)+(-6.028353+(-0.691713--0.72981))+0-0-0</f>
        <v>3909.2097439999998</v>
      </c>
      <c r="G271" s="3">
        <f>3791.2+(339.9-512.4)+(-3.867024+(-0.346698--0.522648))+0-0-0</f>
        <v>3615.008926</v>
      </c>
      <c r="H271" s="3">
        <f>3711.2+(250-451)+(0+(0-0))+0-0-0</f>
        <v>3510.2</v>
      </c>
      <c r="I271" s="3">
        <f>3700.6+(210.2-490.7)+(-1.887306+(-0.107202--0.250257))+0-0-0</f>
        <v>3418.3557489999998</v>
      </c>
      <c r="J271" s="3">
        <f>3699.9+(227.1-477.5)+(1.886949+(0.115821-0.243525))+0-0-0</f>
        <v>3451.2592450000002</v>
      </c>
      <c r="K271" s="3">
        <f>3700.3+(271-449.7)+(0+(0-0))+0-0-0</f>
        <v>3521.6000000000004</v>
      </c>
      <c r="L271" s="3">
        <f>4039.4+(300.2-471.2)+(2.060094+(0.153102-0.240312))+0-0-0</f>
        <v>3870.3728839999999</v>
      </c>
      <c r="M271" s="3">
        <f>4414+(477.6-495.5)+(2.25114+(0.243576-0.252705))+0-0-0</f>
        <v>4398.3420110000006</v>
      </c>
      <c r="N271" s="3">
        <f>4576.7+(900.9-537.2)+(7.002351+(1.378377-0.821916))+0-0-0</f>
        <v>4947.9588119999999</v>
      </c>
      <c r="O271" s="3">
        <f>4718.9+(1106.8-394.2)+(2.406639+(0.564468-0.201042))+0-0-0</f>
        <v>5434.2700649999997</v>
      </c>
      <c r="P271" s="3">
        <f>4773.1+(1292.4-346.9)+(9.737124+(2.636496-0.707676))+0-0-0</f>
        <v>5730.2659440000007</v>
      </c>
      <c r="Q271" s="3">
        <f>4796.5+(1394.7-245)+(-7.338645+(-2.133891--0.37485))+0-0-0</f>
        <v>5937.1023139999998</v>
      </c>
      <c r="R271" s="3">
        <f>4714.4+(1400.7-212.8)+(-9.617376+(-2.857428--0.434112))+0-0-0</f>
        <v>5890.2593079999997</v>
      </c>
      <c r="S271" s="3">
        <f>4515.2+(1480.9-224.1)+(0+(0-0))+0-0-0</f>
        <v>5772</v>
      </c>
      <c r="T271" s="3">
        <f>4564.9+(1420.7-203.2)+(0+(0-0))+0-0-0</f>
        <v>5782.4</v>
      </c>
      <c r="U271" s="3">
        <f>4704.7+(1233.2-243.4)+(-2.399397+(-0.628932--0.124134))+0-0-0</f>
        <v>5691.5958049999999</v>
      </c>
      <c r="V271" s="3">
        <f>4868.1+(1153.3-234.2)+(-7.448193+(-1.764549--0.358326))+0-0-0</f>
        <v>5778.3455840000006</v>
      </c>
      <c r="W271" s="3">
        <f>4964.8+(1393.6-271.6)+(-5.064096+(-1.421472--0.277032))+0-0-0</f>
        <v>6080.5914640000001</v>
      </c>
      <c r="X271" s="3">
        <f>5031.3+(1250.8-254.6)+(-10.263852+(-2.551632--0.519384))+0-0-0</f>
        <v>6015.2039000000004</v>
      </c>
      <c r="Y271" s="3">
        <f>5050.2+(1083.7-247)+(-10.302408+(-2.210748--0.50388))+0-0-0</f>
        <v>5874.8907239999999</v>
      </c>
      <c r="Z271" s="3">
        <f>4907.9+(1187.2-278.3)+(0+(0-0))+0-0-0</f>
        <v>5816.7999999999993</v>
      </c>
      <c r="AA271" s="3">
        <f>4745+(1068.9-352.8)+(-4.8399+(-1.090278--0.359856))+0-0-0</f>
        <v>5455.5296780000008</v>
      </c>
      <c r="AB271" s="3">
        <f>4724.8+(961.9-512.8)+(-2.409648+(-0.490569--0.261528))+0-0-0</f>
        <v>5171.2613110000002</v>
      </c>
      <c r="AC271" s="3">
        <f>4644.7+(748.2-617.6)+(-7.106391+(-1.144746--0.944928))+0-0-0</f>
        <v>4767.9937909999999</v>
      </c>
      <c r="AD271" s="2">
        <v>6157.4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4427+(613.5-781.7)+(-4.51554+(-0.62577--0.797334))+0-0-0</f>
        <v>4254.4560240000001</v>
      </c>
      <c r="G272" s="3">
        <f>4006.4+(624.6-667.8)+(-10.21632+(-1.59273--1.70289))+0-0-0</f>
        <v>3953.0938400000005</v>
      </c>
      <c r="H272" s="3">
        <f>3814.5+(634.1-652.7)+(3.89079+(0.646782-0.665754))+0-0-0</f>
        <v>3799.7718180000002</v>
      </c>
      <c r="I272" s="3">
        <f>3780.8+(555.2-623)+(0+(0-0))+0-0-0</f>
        <v>3713</v>
      </c>
      <c r="J272" s="3">
        <f>3816.3+(611.7-708.2)+(3.892626+(0.623934-0.722364))+0-0-0</f>
        <v>3723.594196</v>
      </c>
      <c r="K272" s="3">
        <f>3898.7+(655.6-744.3)+(-7.953348+(-1.337424--1.518372))+0-0-0</f>
        <v>3802.2276000000002</v>
      </c>
      <c r="L272" s="3">
        <f>3981.2+(810.1-715.1)+(0+(0-0))+0-0-0</f>
        <v>4076.2</v>
      </c>
      <c r="M272" s="3">
        <f>4244.9+(953-670.3)+(-4.329798+(-0.97206--0.683706))+0-0-0</f>
        <v>4522.9818479999994</v>
      </c>
      <c r="N272" s="3">
        <f>4381.2+(983.3-304.1)+(4.468824+(1.002966-0.310182))+0-0-0</f>
        <v>5065.561608</v>
      </c>
      <c r="O272" s="3">
        <f>4402.7+(1348.4-279.4)+(2.245377+(0.687684-0.142494))+0-0-0</f>
        <v>5474.4905669999998</v>
      </c>
      <c r="P272" s="3">
        <f>4522.4+(1491.8-249.8)+(0+(0-0))+0-0-0</f>
        <v>5764.4</v>
      </c>
      <c r="Q272" s="3">
        <f>4531.5+(1703.7-249.5)+(-6.933195+(-2.606661--0.381735))+0-0-0</f>
        <v>5976.5418789999994</v>
      </c>
      <c r="R272" s="3">
        <f>4519.1+(1694-238)+(-13.828446+(-5.18364--0.72828))+0-0-0</f>
        <v>5956.816194</v>
      </c>
      <c r="S272" s="3">
        <f>4581.4+(1527.5-240)+(-7.009542+(-2.337075--0.3672))+0-0-0</f>
        <v>5859.9205830000001</v>
      </c>
      <c r="T272" s="3">
        <f>4671.9+(1466-241.3)+(9.530676+(2.99064-0.492252))+0-0-0</f>
        <v>5908.6290639999997</v>
      </c>
      <c r="U272" s="3">
        <f>4738.3+(1384.6-266.8)+(-7.249599+(-2.118438--0.408204))+0-0-0</f>
        <v>5847.1401670000005</v>
      </c>
      <c r="V272" s="3">
        <f>4939.9+(1220-235.1)+(2.519349+(0.6222-0.119901))+0-0-0</f>
        <v>5927.8216479999992</v>
      </c>
      <c r="W272" s="3">
        <f>5168.4+(1259-241.3)+(-10.543536+(-2.56836--0.492252))+0-0-0</f>
        <v>6173.4803559999991</v>
      </c>
      <c r="X272" s="3">
        <f>5212.5+(1133.6-229)+(-5.31675+(-1.156272--0.23358))+0-0-0</f>
        <v>6110.8605580000003</v>
      </c>
      <c r="Y272" s="3">
        <f>5162.4+(1022.9-236.3)+(-10.531296+(-2.086716--0.482052))+0-0-0</f>
        <v>5936.8640400000004</v>
      </c>
      <c r="Z272" s="3">
        <f>5155.2+(795.6-250.8)+(2.629152+(0.405756-0.127908))+0-0-0</f>
        <v>5702.9070000000002</v>
      </c>
      <c r="AA272" s="3">
        <f>5076.7+(701.7-271.7)+(-10.356468+(-1.431468--0.554268))+0-0-0</f>
        <v>5495.466332</v>
      </c>
      <c r="AB272" s="3">
        <f>5015.6+(653.4-429.3)+(-7.673868+(-0.999702--0.656829))+0-0-0</f>
        <v>5231.6832590000004</v>
      </c>
      <c r="AC272" s="3">
        <f>4630.6+(586.4-419.4)+(2.361606+(0.299064-0.213894))+0-0-0</f>
        <v>4800.0467760000001</v>
      </c>
      <c r="AD272" s="2">
        <v>6212.6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4551+(489.2-698.3)+(-11.60505+(-1.24746--1.780665))+0-0-0</f>
        <v>4330.8281549999992</v>
      </c>
      <c r="G273" s="3">
        <f>4399.6+(278-674)+(0+(0-0))+0-0-0</f>
        <v>4003.6000000000004</v>
      </c>
      <c r="H273" s="3">
        <f>4290+(276.9-743.3)+(-2.1879+(-0.141219--0.379083))+0-0-0</f>
        <v>3821.6499639999997</v>
      </c>
      <c r="I273" s="3">
        <f>4149.7+(287.7-680.8)+(4.232694+(0.293454-0.694416))+0-0-0</f>
        <v>3760.431732</v>
      </c>
      <c r="J273" s="3">
        <f>4067.5+(301.5-637.4)+(2.074425+(0.153765-0.325074))+0-0-0</f>
        <v>3733.5031159999999</v>
      </c>
      <c r="K273" s="3">
        <f>4041.4+(340.7-566.7)+(8.244456+(0.695028-1.156068))+0-0-0</f>
        <v>3823.1834160000003</v>
      </c>
      <c r="L273" s="3">
        <f>4366.2+(390.7-656.1)+(-6.680286+(-0.597771--1.003833))+0-0-0</f>
        <v>4094.5257760000004</v>
      </c>
      <c r="M273" s="3">
        <f>4431.2+(507.6-469.4)+(0+(0-0))+0-0-0</f>
        <v>4469.3999999999996</v>
      </c>
      <c r="N273" s="3">
        <f>4645.9+(812.1-435.6)+(7.108227+(1.242513-0.666468))+0-0-0</f>
        <v>5030.0842720000001</v>
      </c>
      <c r="O273" s="3">
        <f>4776.6+(1170.9-494.3)+(7.308198+(1.791477-0.756279))+0-0-0</f>
        <v>5461.5433960000009</v>
      </c>
      <c r="P273" s="3">
        <f>4770.9+(1372.2-433)+(0+(0-0))+0-0-0</f>
        <v>5710.0999999999995</v>
      </c>
      <c r="Q273" s="3">
        <f>4748.4+(1528.7-415.7)+(2.421684+(0.779637-0.212007))+0-0-0</f>
        <v>5864.389314</v>
      </c>
      <c r="R273" s="3">
        <f>4629.2+(1579.9-427.5)+(-11.80446+(-4.028745--1.090125))+0-0-0</f>
        <v>5766.8569200000002</v>
      </c>
      <c r="S273" s="3">
        <f>4640+(1361-407.1)+(-4.7328+(-1.38822--0.415242))+0-0-0</f>
        <v>5588.1942220000001</v>
      </c>
      <c r="T273" s="3">
        <f>4646.7+(1334.4-379.1)+(0+(0-0))+0-0-0</f>
        <v>5602</v>
      </c>
      <c r="U273" s="3">
        <f>4656.7+(1291.2-387.4)+(-9.499668+(-2.634048--0.790296))+0-0-0</f>
        <v>5549.1565799999998</v>
      </c>
      <c r="V273" s="3">
        <f>4690.7+(1234.2-305.3)+(4.784514+(1.258884-0.311406))+0-0-0</f>
        <v>5625.3319920000004</v>
      </c>
      <c r="W273" s="3">
        <f>4785.3+(1587.6-318.2)+(0+(0-0))+0-0-0</f>
        <v>6054.7</v>
      </c>
      <c r="X273" s="3">
        <f>4721.2+(1647.6-278.3)+(-14.446872+(-5.041656--0.851598))+0-0-0</f>
        <v>6071.8630700000003</v>
      </c>
      <c r="Y273" s="3">
        <f>4777.2+(1463.3-269.3)+(-7.309116+(-2.238849--0.412029))+0-0-0</f>
        <v>5962.0640640000001</v>
      </c>
      <c r="Z273" s="3">
        <f>4772.6+(1333.7-227.8)+(-4.868052+(-1.360374--0.232356))+0-0-0</f>
        <v>5872.5039299999999</v>
      </c>
      <c r="AA273" s="3">
        <f>4666+(1296.6-508)+(-4.75932+(-1.322532--0.51816))+0-0-0</f>
        <v>5449.0363080000006</v>
      </c>
      <c r="AB273" s="3">
        <f>4749.1+(1178.3-700.6)+(-9.688164+(-2.403732--1.429224))+0-0-0</f>
        <v>5216.1373279999998</v>
      </c>
      <c r="AC273" s="3">
        <f>4570.7+(963.1-736.2)+(-4.662114+(-0.982362--0.750924))+0-0-0</f>
        <v>4792.706447999999</v>
      </c>
      <c r="AD273" s="2">
        <v>6170.4000000000005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4279.2+(781.7-746.8)+(-6.547176+(-1.196001--1.142604))+0-0-0</f>
        <v>4307.4994270000007</v>
      </c>
      <c r="G274" s="3">
        <f>4220.2+(649.1-860.1)+(-12.913812+(-1.986246--2.631906))+0-0-0</f>
        <v>3996.9318479999997</v>
      </c>
      <c r="H274" s="3">
        <f>4166.4+(530.6-817)+(-8.499456+(-1.082424--1.66668))+0-0-0</f>
        <v>3872.0847999999996</v>
      </c>
      <c r="I274" s="3">
        <f>3999.7+(486-730.5)+(0+(0-0))+0-0-0</f>
        <v>3755.2</v>
      </c>
      <c r="J274" s="3">
        <f>4027.9+(575.6-877.3)+(4.108458+(0.587112-0.894846))+0-0-0</f>
        <v>3730.0007240000004</v>
      </c>
      <c r="K274" s="3">
        <f>4045.3+(505.7-748.6)+(0+(0-0))+0-0-0</f>
        <v>3802.4</v>
      </c>
      <c r="L274" s="3">
        <f>4309.9+(513.6-762.4)+(-4.396098+(-0.523872--0.777648))+0-0-0</f>
        <v>4056.9576779999993</v>
      </c>
      <c r="M274" s="3">
        <f>4551.8+(668.1-749)+(4.642836+(0.681462-0.76398))+0-0-0</f>
        <v>4475.4603180000004</v>
      </c>
      <c r="N274" s="3">
        <f>4681.7+(913.9-528.4)+(4.775334+(0.932178-0.538968))+0-0-0</f>
        <v>5072.3685439999999</v>
      </c>
      <c r="O274" s="3">
        <f>4706.3+(1132.7-456.3)+(7.200639+(1.733031-0.698139))+0-0-0</f>
        <v>5390.935531000001</v>
      </c>
      <c r="P274" s="3">
        <f>4693.8+(1388.2-469.8)+(0+(0-0))+0-0-0</f>
        <v>5612.2000000000007</v>
      </c>
      <c r="Q274" s="3">
        <f>4559.4+(1692.8-471.7)+(2.325294+(0.863328-0.240567))+0-0-0</f>
        <v>5783.4480549999998</v>
      </c>
      <c r="R274" s="3">
        <f>4395.8+(1654.2-388.1)+(-13.451148+(-5.061852--1.187586))+0-0-0</f>
        <v>5644.5745859999997</v>
      </c>
      <c r="S274" s="3">
        <f>4420.2+(1405-335.7)+(0+(0-0))+0-0-0</f>
        <v>5489.5</v>
      </c>
      <c r="T274" s="3">
        <f>4419.9+(1432.6-319.5)+(0+(0-0))+0-0-0</f>
        <v>5533</v>
      </c>
      <c r="U274" s="3">
        <f>4427.8+(1357.2-302.3)+(0+(0-0))+0-0-0</f>
        <v>5482.7000000000007</v>
      </c>
      <c r="V274" s="3">
        <f>4441.4+(1361.7-207.6)+(0+(0-0))+0-0-0</f>
        <v>5595.5</v>
      </c>
      <c r="W274" s="3">
        <f>4611.2+(1617.4-214.5)+(-2.351712+(-0.824874--0.109395))+0-0-0</f>
        <v>6011.0328090000003</v>
      </c>
      <c r="X274" s="3">
        <f>4744.7+(1488.9-224.8)+(-4.839594+(-1.518678--0.229296))+0-0-0</f>
        <v>6002.6710240000002</v>
      </c>
      <c r="Y274" s="3">
        <f>4851.4+(1245.3-239.7)+(0+(0-0))+0-0-0</f>
        <v>5857</v>
      </c>
      <c r="Z274" s="3">
        <f>4898.8+(1083.5-305.1)+(-2.498388+(-0.552585--0.155601))+0-0-0</f>
        <v>5674.3046279999999</v>
      </c>
      <c r="AA274" s="3">
        <f>4856.2+(934.5-376.6)+(-4.953324+(-0.95319--0.384132))+0-0-0</f>
        <v>5408.5776179999993</v>
      </c>
      <c r="AB274" s="3">
        <f>4819.3+(888.6-550.6)+(2.457843+(0.453186-0.280806))+0-0-0</f>
        <v>5159.9302230000003</v>
      </c>
      <c r="AC274" s="3">
        <f>4733+(687.6-661.4)+(-16.89681+(-2.454732--2.361198))+0-0-0</f>
        <v>4742.209656</v>
      </c>
      <c r="AD274" s="2">
        <v>6032.1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4441.7+(647.1-817.4)+(-11.326335+(-1.650105--2.08437))+0-0-0</f>
        <v>4260.5079299999998</v>
      </c>
      <c r="G275" s="3">
        <f>4125.7+(635.1-843.6)+(-10.520535+(-1.619505--2.15118))+0-0-0</f>
        <v>3907.2111399999999</v>
      </c>
      <c r="H275" s="3">
        <f>4097.2+(540.5-873.7)+(2.089572+(0.275655-0.445587))+0-0-0</f>
        <v>3765.9196400000001</v>
      </c>
      <c r="I275" s="3">
        <f>4097.6+(523.1-923.5)+(6.269328+(0.800343-1.412955))+0-0-0</f>
        <v>3702.8567160000002</v>
      </c>
      <c r="J275" s="3">
        <f>4078.8+(450.2-836.2)+(0+(0-0))+0-0-0</f>
        <v>3692.8</v>
      </c>
      <c r="K275" s="3">
        <f>4173.9+(427.9-835.3)+(10.643445+(1.091145-2.130015))+0-0-0</f>
        <v>3776.1045749999994</v>
      </c>
      <c r="L275" s="3">
        <f>4245.2+(449.1-676)+(4.330104+(0.458082-0.68952))+0-0-0</f>
        <v>4022.3986659999996</v>
      </c>
      <c r="M275" s="3">
        <f>4376.2+(649.5-595.7)+(0+(0-0))+0-0-0</f>
        <v>4430</v>
      </c>
      <c r="N275" s="3">
        <f>4470+(999.8-489.6)+(4.5594+(1.019796-0.499392))+0-0-0</f>
        <v>4985.2798039999998</v>
      </c>
      <c r="O275" s="3">
        <f>4520.7+(1206.5-449.1)+(4.611114+(1.23063-0.458082))+0-0-0</f>
        <v>5283.4836619999996</v>
      </c>
      <c r="P275" s="3">
        <f>4605.6+(1422.8-441.7)+(-11.74428+(-3.62814--1.126335))+0-0-0</f>
        <v>5572.453915000001</v>
      </c>
      <c r="Q275" s="3">
        <f>4607.5+(1524.5-403.9)+(-2.349825+(-0.777495--0.205989))+0-0-0</f>
        <v>5725.1786690000008</v>
      </c>
      <c r="R275" s="3">
        <f>4592.7+(1392.2-360)+(-11.711385+(-3.55011--0.918))+0-0-0</f>
        <v>5610.5565049999996</v>
      </c>
      <c r="S275" s="3">
        <f>4610.6+(1197.3-335.3)+(-4.702812+(-1.221246--0.342006))+0-0-0</f>
        <v>5467.0179480000006</v>
      </c>
      <c r="T275" s="3">
        <f>4568.9+(1263.9-293.7)+(-9.320556+(-2.578356--0.599148))+0-0-0</f>
        <v>5527.8002359999991</v>
      </c>
      <c r="U275" s="3">
        <f>4553.7+(1199.3-253.1)+(6.967161+(1.834929-0.387243))+0-0-0</f>
        <v>5508.3148469999996</v>
      </c>
      <c r="V275" s="3">
        <f>4710.9+(1097.2-225.4)+(0+(0-0))+0-0-0</f>
        <v>5582.7</v>
      </c>
      <c r="W275" s="3">
        <f>4964.5+(1297.2-229.4)+(-2.531895+(-0.661572--0.116994))+0-0-0</f>
        <v>6029.2235270000001</v>
      </c>
      <c r="X275" s="3">
        <f>5026.9+(1196.6-206.2)+(-2.563719+(-0.610266--0.105162))+0-0-0</f>
        <v>6014.2311769999997</v>
      </c>
      <c r="Y275" s="3">
        <f>4977.2+(1082.1-212.4)+(-15.230232+(-3.311226--0.649944))+0-0-0</f>
        <v>5829.0084859999997</v>
      </c>
      <c r="Z275" s="3">
        <f>4891.1+(991.5-233.5)+(-4.988922+(-1.01133--0.23817))+0-0-0</f>
        <v>5643.3379180000002</v>
      </c>
      <c r="AA275" s="3">
        <f>4879.7+(812.2-256.3)+(-12.443235+(-2.07111--0.653565))+0-0-0</f>
        <v>5421.7392200000004</v>
      </c>
      <c r="AB275" s="3">
        <f>4873+(728.7-439.2)+(0+(0-0))+0-0-0</f>
        <v>5162.5</v>
      </c>
      <c r="AC275" s="3">
        <f>4745.4+(644.2-630.8)+(-7.260462+(-0.985626--0.965124))+0-0-0</f>
        <v>4751.5190359999997</v>
      </c>
      <c r="AD275" s="2">
        <v>6082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4373.5+(540.5-669)+(-6.691455+(-0.826965--1.02357))+0-0-0</f>
        <v>4238.50515</v>
      </c>
      <c r="G276" s="3">
        <f>4226.8+(505.5-786.1)+(0+(0-0))+0-0-0</f>
        <v>3946.2000000000003</v>
      </c>
      <c r="H276" s="3">
        <f>4227.1+(267.5-696.9)+(-2.155821+(-0.136425--0.355419))+0-0-0</f>
        <v>3795.7631730000003</v>
      </c>
      <c r="I276" s="3">
        <f>4237+(261.2-791.9)+(2.16087+(0.133212-0.403869))+0-0-0</f>
        <v>3708.1902130000003</v>
      </c>
      <c r="J276" s="3">
        <f>4376.3+(277.8-858)+(2.231913+(0.141678-0.43758))+0-0-0</f>
        <v>3798.0360110000001</v>
      </c>
      <c r="K276" s="3">
        <f>4523.4+(308.9-942.1)+(2.306934+(0.157539-0.480471))+0-0-0</f>
        <v>3892.184002</v>
      </c>
      <c r="L276" s="3">
        <f>4612.8+(421.3-1156.7)+(-9.410112+(-0.859452--2.359668))+0-0-0</f>
        <v>3869.490104</v>
      </c>
      <c r="M276" s="3">
        <f>4589.6+(501.9-948.1)+(7.022088+(0.767907-1.450593))+0-0-0</f>
        <v>4149.7394020000002</v>
      </c>
      <c r="N276" s="3">
        <f>4651.7+(633.8-638.8)+(7.117101+(0.969714-0.977364))+0-0-0</f>
        <v>4653.8094510000001</v>
      </c>
      <c r="O276" s="3">
        <f>4762.7+(780.1-491.6)+(4.857954+(0.795702-0.501432))+0-0-0</f>
        <v>5056.3522240000002</v>
      </c>
      <c r="P276" s="3">
        <f>4969.1+(828.9-429.2)+(2.534241+(0.422739-0.218892))+0-0-0</f>
        <v>5371.5380880000002</v>
      </c>
      <c r="Q276" s="3">
        <f>5092.2+(880.3-428.7)+(2.597022+(0.448953-0.218637))+0-0-0</f>
        <v>5546.6273380000002</v>
      </c>
      <c r="R276" s="3">
        <f>5076.2+(767.3-432.8)+(-5.177724+(-0.782646--0.441456))+0-0-0</f>
        <v>5405.1810859999996</v>
      </c>
      <c r="S276" s="3">
        <f>5030.6+(746.7-632.3)+(-12.82803+(-1.904085--1.612365))+0-0-0</f>
        <v>5131.8802500000002</v>
      </c>
      <c r="T276" s="3">
        <f>5133.2+(810.9-855.4)+(13.08966+(2.067795-2.18127))+0-0-0</f>
        <v>5101.6761850000003</v>
      </c>
      <c r="U276" s="3">
        <f>4998.9+(803-792.7)+(0+(0-0))+0-0-0</f>
        <v>5009.2</v>
      </c>
      <c r="V276" s="3">
        <f>4959.3+(703.5-611.4)+(2.529243+(0.358785-0.311814))+0-0-0</f>
        <v>5053.9762140000003</v>
      </c>
      <c r="W276" s="3">
        <f>5127.3+(688.1-336.4)+(-2.614923+(-0.350931--0.171564))+0-0-0</f>
        <v>5476.2057100000002</v>
      </c>
      <c r="X276" s="3">
        <f>5143.7+(618.4-319.5)+(-7.869861+(-0.946152--0.488835))+0-0-0</f>
        <v>5434.2728219999999</v>
      </c>
      <c r="Y276" s="3">
        <f>5066+(486-333.6)+(-15.50196+(-1.48716--1.020816))+0-0-0</f>
        <v>5202.4316959999996</v>
      </c>
      <c r="Z276" s="3">
        <f>5035.3+(401.3-495.7)+(-10.272012+(-0.818652--1.011228))+0-0-0</f>
        <v>4930.8205640000006</v>
      </c>
      <c r="AA276" s="3">
        <f>5039.8+(292.5-609.5)+(7.710894+(0.447525-0.932535))+0-0-0</f>
        <v>4730.0258840000006</v>
      </c>
      <c r="AB276" s="3">
        <f>4983.3+(290.4-703)+(-5.082966+(-0.296208--0.71706))+0-0-0</f>
        <v>4566.0378860000001</v>
      </c>
      <c r="AC276" s="3">
        <f>4852.6+(247.9-700.3)+(-7.424478+(-0.379287--1.071459))+0-0-0</f>
        <v>4393.4676940000008</v>
      </c>
      <c r="AD276" s="2">
        <v>5466.3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4739.3+(208.8-744.2)+(-9.668172+(-0.425952--1.518168))+0-0-0</f>
        <v>4195.324044</v>
      </c>
      <c r="G277" s="3">
        <f>4686.5+(165.8-902.7)+(4.78023+(0.169116-0.920754))+0-0-0</f>
        <v>3953.628592</v>
      </c>
      <c r="H277" s="3">
        <f>4485.9+(147.7-938.7)+(-6.863427+(-0.225981--1.436211))+0-0-0</f>
        <v>3689.2468029999995</v>
      </c>
      <c r="I277" s="3">
        <f>4392.1+(153.2-1011.5)+(-4.479942+(-0.156264--1.03173))+0-0-0</f>
        <v>3530.1955240000002</v>
      </c>
      <c r="J277" s="3">
        <f>4313.3+(161.9-997.2)+(-2.199783+(-0.082569--0.508572))+0-0-0</f>
        <v>3476.22622</v>
      </c>
      <c r="K277" s="3">
        <f>4314.9+(164.2-1011.7)+(-11.002995+(-0.41871--2.579835))+0-0-0</f>
        <v>3458.5581299999994</v>
      </c>
      <c r="L277" s="3">
        <f>4410.5+(152.7-1093.7)+(-8.99742+(-0.311508--2.231148))+0-0-0</f>
        <v>3462.4222199999999</v>
      </c>
      <c r="M277" s="3">
        <f>4294.2+(165.4-1065.7)+(-4.380084+(-0.168708--1.087014))+0-0-0</f>
        <v>3390.4382219999998</v>
      </c>
      <c r="N277" s="3">
        <f>4352.8+(185.9-1056)+(-2.219928+(-0.094809--0.53856))+0-0-0</f>
        <v>3480.9238230000001</v>
      </c>
      <c r="O277" s="3">
        <f>4396.6+(182.5-831.2)+(4.484532+(0.18615-0.847824))+0-0-0</f>
        <v>3751.7228580000005</v>
      </c>
      <c r="P277" s="3">
        <f>4619.8+(227.8-634.6)+(-2.356098+(-0.116178--0.323646))+0-0-0</f>
        <v>4210.8513700000003</v>
      </c>
      <c r="Q277" s="3">
        <f>4690.5+(277-427.8)+(-7.176465+(-0.42381--0.654534))+0-0-0</f>
        <v>4532.7542589999994</v>
      </c>
      <c r="R277" s="3">
        <f>4567.6+(375.1-389.1)+(-6.988428+(-0.573903--0.595323))+0-0-0</f>
        <v>4546.6329920000007</v>
      </c>
      <c r="S277" s="3">
        <f>4519.5+(335.5-353.3)+(-9.21978+(-0.68442--0.720732))+0-0-0</f>
        <v>4492.5165319999996</v>
      </c>
      <c r="T277" s="3">
        <f>4392.6+(388.1-370.9)+(-4.480452+(-0.395862--0.378318))+0-0-0</f>
        <v>4405.3020040000001</v>
      </c>
      <c r="U277" s="3">
        <f>4352.6+(383-396.8)+(-2.219826+(-0.19533--0.202368))+0-0-0</f>
        <v>4336.5872120000004</v>
      </c>
      <c r="V277" s="3">
        <f>4462.1+(451.7-462.2)+(-4.551342+(-0.460734--0.471444))+0-0-0</f>
        <v>4447.0593680000002</v>
      </c>
      <c r="W277" s="3">
        <f>4888.4+(625.6-625.3)+(4.986168+(0.638112-0.637806))+0-0-0</f>
        <v>4893.6864740000001</v>
      </c>
      <c r="X277" s="3">
        <f>4921.7+(602.1-529.7)+(0+(0-0))+0-0-0</f>
        <v>4994.0999999999995</v>
      </c>
      <c r="Y277" s="3">
        <f>4896.7+(620.1-499.1)+(-9.989268+(-1.265004--1.018164))+0-0-0</f>
        <v>5007.4638919999998</v>
      </c>
      <c r="Z277" s="3">
        <f>4905.5+(545.7-495.8)+(-5.00361+(-0.556614--0.505716))+0-0-0</f>
        <v>4950.3454919999995</v>
      </c>
      <c r="AA277" s="3">
        <f>4682+(633-453.1)+(0+(0-0))+0-0-0</f>
        <v>4861.8999999999996</v>
      </c>
      <c r="AB277" s="3">
        <f>4516.4+(639.9-490.1)+(-9.213456+(-1.305396--0.999804))+0-0-0</f>
        <v>4656.6809519999997</v>
      </c>
      <c r="AC277" s="3">
        <f>4216.2+(488.6-377.8)+(-10.75131+(-1.24593--0.96339))+0-0-0</f>
        <v>4315.9661500000002</v>
      </c>
      <c r="AD277" s="2">
        <v>4971.5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4011.3+(270-368.3)+(4.091526+(0.2754-0.375666))+0-0-0</f>
        <v>3916.9912599999998</v>
      </c>
      <c r="G278" s="3">
        <f>3808.3+(179-385.7)+(-9.711165+(-0.45645--0.983535))+0-0-0</f>
        <v>3592.4159200000004</v>
      </c>
      <c r="H278" s="3">
        <f>3842.7+(76.8-477.2)+(1.959777+(0.039168-0.243372))+0-0-0</f>
        <v>3444.0555729999996</v>
      </c>
      <c r="I278" s="3">
        <f>3878.2+(69.5-569.5)+(-1.977882+(-0.035445--0.290445))+0-0-0</f>
        <v>3376.4771179999998</v>
      </c>
      <c r="J278" s="3">
        <f>3877.7+(52.8-536.8)+(-1.977627+(-0.026928--0.273768))+0-0-0</f>
        <v>3391.9692129999999</v>
      </c>
      <c r="K278" s="3">
        <f>3988.9+(121.8-629)+(8.137356+(0.248472-1.28316))+0-0-0</f>
        <v>3488.8026680000003</v>
      </c>
      <c r="L278" s="3">
        <f>4104.4+(228.7-545.9)+(-4.186488+(-0.233274--0.556818))+0-0-0</f>
        <v>3783.3370559999998</v>
      </c>
      <c r="M278" s="3">
        <f>4127.4+(501.8-365)+(2.104974+(0.255918-0.18615))+0-0-0</f>
        <v>4266.374742</v>
      </c>
      <c r="N278" s="3">
        <f>4344.4+(761.3-210)+(0+(0-0))+0-0-0</f>
        <v>4895.7</v>
      </c>
      <c r="O278" s="3">
        <f>4587.9+(924.7-206.1)+(0+(0-0))+0-0-0</f>
        <v>5306.5</v>
      </c>
      <c r="P278" s="3">
        <f>4895+(914-266.5)+(-9.9858+(-1.86456--0.54366))+0-0-0</f>
        <v>5531.1932999999999</v>
      </c>
      <c r="Q278" s="3">
        <f>5079.8+(894.5-278.3)+(-10.362792+(-1.82478--0.567732))+0-0-0</f>
        <v>5684.3801599999997</v>
      </c>
      <c r="R278" s="3">
        <f>5090.6+(816-270.6)+(-7.788618+(-1.24848--0.414018))+0-0-0</f>
        <v>5627.3769199999997</v>
      </c>
      <c r="S278" s="3">
        <f>5059.6+(716.9-295.2)+(-5.160792+(-0.731238--0.301104))+0-0-0</f>
        <v>5475.7090740000003</v>
      </c>
      <c r="T278" s="3">
        <f>5058.3+(752.2-296.5)+(-5.159466+(-0.767244--0.30243))+0-0-0</f>
        <v>5508.37572</v>
      </c>
      <c r="U278" s="3">
        <f>4994.1+(746.3-250.8)+(0+(0-0))+0-0-0</f>
        <v>5489.6</v>
      </c>
      <c r="V278" s="3">
        <f>4984.6+(778.6-246.8)+(-10.168584+(-1.588344--0.503472))+0-0-0</f>
        <v>5505.1465440000002</v>
      </c>
      <c r="W278" s="3">
        <f>5369.9+(941.4-322.1)+(5.477298+(0.960228-0.328542))+0-0-0</f>
        <v>5995.3089840000002</v>
      </c>
      <c r="X278" s="3">
        <f>5505.3+(807.1-302.9)+(-16.846218+(-2.469726--0.926874))+0-0-0</f>
        <v>5991.1109299999998</v>
      </c>
      <c r="Y278" s="3">
        <f>5500.5+(631.1-293.2)+(2.805255+(0.321861-0.149532))+0-0-0</f>
        <v>5841.3775839999998</v>
      </c>
      <c r="Z278" s="3">
        <f>5300.3+(633.9-253)+(-10.812612+(-1.293156--0.51612))+0-0-0</f>
        <v>5669.6103519999997</v>
      </c>
      <c r="AA278" s="3">
        <f>5254+(547.9-392.7)+(-8.03862+(-0.838287--0.600831))+0-0-0</f>
        <v>5400.9239239999997</v>
      </c>
      <c r="AB278" s="3">
        <f>4758.1+(751.4-318.1)+(-2.426631+(-0.383214--0.162231))+0-0-0</f>
        <v>5188.7523860000001</v>
      </c>
      <c r="AC278" s="3">
        <f>4639+(529.3-450.3)+(-14.19534+(-1.619658--1.377918))+0-0-0</f>
        <v>4703.5629200000003</v>
      </c>
      <c r="AD278" s="2">
        <v>6092.2999999999993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4530.2+(424.2-727.3)+(-4.620804+(-0.432684--0.741846))+0-0-0</f>
        <v>4222.7883579999998</v>
      </c>
      <c r="G279" s="3">
        <f>4396.7+(216.8-720.2)+(2.242317+(0.110568-0.367302))+0-0-0</f>
        <v>3895.2855829999999</v>
      </c>
      <c r="H279" s="3">
        <f>4356.3+(102.3-704.7)+(-2.221713+(-0.052173--0.359397))+0-0-0</f>
        <v>3751.9855110000003</v>
      </c>
      <c r="I279" s="3">
        <f>4277.6+(162.6-768.2)+(2.181576+(0.082926-0.391782))+0-0-0</f>
        <v>3673.8727200000003</v>
      </c>
      <c r="J279" s="3">
        <f>4266.5+(150.8-761.3)+(-2.175915+(-0.076908--0.388263))+0-0-0</f>
        <v>3654.13544</v>
      </c>
      <c r="K279" s="3">
        <f>4378.3+(185.1-827.4)+(0+(0-0))+0-0-0</f>
        <v>3736</v>
      </c>
      <c r="L279" s="3">
        <f>4584.8+(240.2-829.2)+(-9.352992+(-0.490008--1.691568))+0-0-0</f>
        <v>3987.6485680000001</v>
      </c>
      <c r="M279" s="3">
        <f>4827.3+(492.5-893.5)+(-9.847692+(-1.0047--1.82274))+0-0-0</f>
        <v>4417.270348</v>
      </c>
      <c r="N279" s="3">
        <f>5001.6+(534.8-581.6)+(7.652448+(0.818244-0.889848))+0-0-0</f>
        <v>4962.3808440000003</v>
      </c>
      <c r="O279" s="3">
        <f>5031.5+(540.8-288.5)+(-7.698195+(-0.827424--0.441405))+0-0-0</f>
        <v>5275.7157859999998</v>
      </c>
      <c r="P279" s="3">
        <f>5112.3+(681-248.3)+(0+(0-0))+0-0-0</f>
        <v>5545</v>
      </c>
      <c r="Q279" s="3">
        <f>5363.1+(798.3-209.7)+(-13.675905+(-2.035665--0.534735))+0-0-0</f>
        <v>5936.5231650000005</v>
      </c>
      <c r="R279" s="3">
        <f>5117.7+(796.7-301.1)+(-13.050135+(-2.031585--0.767805))+0-0-0</f>
        <v>5598.9860850000005</v>
      </c>
      <c r="S279" s="3">
        <f>5132.4+(757.1-434.5)+(-7.852572+(-1.158363--0.664785))+0-0-0</f>
        <v>5446.6538499999997</v>
      </c>
      <c r="T279" s="3">
        <f>5105.9+(809.7-434)+(-2.604009+(-0.412947--0.22134))+0-0-0</f>
        <v>5478.8043839999991</v>
      </c>
      <c r="U279" s="3">
        <f>5127.1+(738.6-431.1)+(-2.614821+(-0.376686--0.219861))+0-0-0</f>
        <v>5431.8283540000002</v>
      </c>
      <c r="V279" s="3">
        <f>5180.6+(629.3-282.9)+(-2.642106+(-0.320943--0.144279))+0-0-0</f>
        <v>5524.1812300000001</v>
      </c>
      <c r="W279" s="3">
        <f>5397.2+(745.1-247)+(-5.505144+(-0.760002--0.25194))+0-0-0</f>
        <v>5889.2867940000006</v>
      </c>
      <c r="X279" s="3">
        <f>5363.2+(896.5-284.1)+(-10.940928+(-1.82886--0.579564))+0-0-0</f>
        <v>5963.4097759999995</v>
      </c>
      <c r="Y279" s="3">
        <f>5372.4+(808.2-355.1)+(-8.219772+(-1.236546--0.543303))+0-0-0</f>
        <v>5816.5869849999999</v>
      </c>
      <c r="Z279" s="3">
        <f>5345.6+(687.8-390.6)+(-8.178768+(-1.052334--0.597618))+0-0-0</f>
        <v>5634.1665160000002</v>
      </c>
      <c r="AA279" s="3">
        <f>5042.3+(796-450.4)+(-5.143146+(-0.81192--0.459408))+0-0-0</f>
        <v>5382.4043420000007</v>
      </c>
      <c r="AB279" s="3">
        <f>4769.1+(936.8-577.1)+(-12.161205+(-2.38884--1.471605))+0-0-0</f>
        <v>5115.72156</v>
      </c>
      <c r="AC279" s="3">
        <f>4624.1+(595.8-518.6)+(-14.149746+(-1.823148--1.586916))+0-0-0</f>
        <v>4686.9140219999999</v>
      </c>
      <c r="AD279" s="2">
        <v>6012.2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4431.5+(531.4-742.6)+(-9.04026+(-1.084056--1.514904))+0-0-0</f>
        <v>4211.6905880000004</v>
      </c>
      <c r="G280" s="3">
        <f>4209.1+(546.9-855.2)+(-2.146641+(-0.278919--0.436152))+0-0-0</f>
        <v>3898.8105920000003</v>
      </c>
      <c r="H280" s="3">
        <f>4080.4+(503-857.4)+(-10.40502+(-1.28265--2.18637))+0-0-0</f>
        <v>3716.4987000000001</v>
      </c>
      <c r="I280" s="3">
        <f>4075.9+(526.9-948.5)+(2.078709+(0.268719-0.483735))+0-0-0</f>
        <v>3656.163693</v>
      </c>
      <c r="J280" s="3">
        <f>4058.4+(566.2-977)+(-2.069784+(-0.288762--0.49827))+0-0-0</f>
        <v>3645.7397240000005</v>
      </c>
      <c r="K280" s="3">
        <f>4072.9+(660.5-1022.2)+(2.077179+(0.336855-0.521322))+0-0-0</f>
        <v>3713.0927119999997</v>
      </c>
      <c r="L280" s="3">
        <f>4493.1+(642.9-1141.6)+(-4.582962+(-0.655758--1.164432))+0-0-0</f>
        <v>3990.3257120000007</v>
      </c>
      <c r="M280" s="3">
        <f>4607.9+(761.3-957.4)+(4.700058+(0.776526-0.976548))+0-0-0</f>
        <v>4416.3000359999996</v>
      </c>
      <c r="N280" s="3">
        <f>4853.4+(859.4-793.8)+(-9.900936+(-1.753176--1.619352))+0-0-0</f>
        <v>4908.9652400000004</v>
      </c>
      <c r="O280" s="3">
        <f>5055.3+(947.4-702.1)+(2.578203+(0.483174-0.358071))+0-0-0</f>
        <v>5303.3033060000007</v>
      </c>
      <c r="P280" s="3">
        <f>5256.1+(1041.5-763.4)+(-10.722444+(-2.12466--1.557336))+0-0-0</f>
        <v>5522.9102320000011</v>
      </c>
      <c r="Q280" s="3">
        <f>5288.1+(1031.5-667.8)+(-10.787724+(-2.10426--1.362312))+0-0-0</f>
        <v>5640.2703280000005</v>
      </c>
      <c r="R280" s="3">
        <f>5261.1+(985.6-677.9)+(-8.049483+(-1.507968--1.037187))+0-0-0</f>
        <v>5560.2797360000004</v>
      </c>
      <c r="S280" s="3">
        <f>5350.8+(814.8-784.8)+(2.728908+(0.415548-0.400248))+0-0-0</f>
        <v>5383.5442080000003</v>
      </c>
      <c r="T280" s="3">
        <f>5377.7+(813.1-758)+(-2.742627+(-0.414681--0.38658))+0-0-0</f>
        <v>5430.0292719999998</v>
      </c>
      <c r="U280" s="3">
        <f>5361.5+(793.9-774.6)+(-2.734365+(-0.404889--0.395046))+0-0-0</f>
        <v>5378.0557920000001</v>
      </c>
      <c r="V280" s="3">
        <f>5323.8+(727.7-557.7)+(-8.145414+(-1.113381--0.853281))+0-0-0</f>
        <v>5485.3944860000001</v>
      </c>
      <c r="W280" s="3">
        <f>5473.8+(783.4-286)+(-5.583276+(-0.799068--0.29172))+0-0-0</f>
        <v>5965.1093759999994</v>
      </c>
      <c r="X280" s="3">
        <f>5474.5+(750.3-250.2)+(-11.16798+(-1.530612--0.510408))+0-0-0</f>
        <v>5962.4118160000007</v>
      </c>
      <c r="Y280" s="3">
        <f>5521.3+(560.2-271)+(0+(0-0))+0-0-0</f>
        <v>5810.5</v>
      </c>
      <c r="Z280" s="3">
        <f>5394.8+(551.9-295)+(5.502696+(0.562938-0.3009))+0-0-0</f>
        <v>5657.4647340000001</v>
      </c>
      <c r="AA280" s="3">
        <f>5108.8+(648.1-345.5)+(-7.816464+(-0.991593--0.528615))+0-0-0</f>
        <v>5403.1205580000005</v>
      </c>
      <c r="AB280" s="3">
        <f>5026.7+(742.5-651)+(-2.563617+(-0.378675--0.33201))+0-0-0</f>
        <v>5115.5897180000002</v>
      </c>
      <c r="AC280" s="3">
        <f>4823.8+(686.2-830.7)+(-12.30069+(-1.74981--2.118285))+0-0-0</f>
        <v>4667.3677850000004</v>
      </c>
      <c r="AD280" s="2">
        <v>6003.6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4716.9+(514.3-1016.9)+(-9.622476+(-1.049172--2.074476))+0-0-0</f>
        <v>4205.7028279999995</v>
      </c>
      <c r="G281" s="3">
        <f>4498.1+(512.9-1114.4)+(-6.882093+(-0.784737--1.705032))+0-0-0</f>
        <v>3890.6382020000005</v>
      </c>
      <c r="H281" s="3">
        <f>4359.3+(503.8-1117)+(-4.446486+(-0.513876--1.13934))+0-0-0</f>
        <v>3742.2789780000003</v>
      </c>
      <c r="I281" s="3">
        <f>4304.4+(511.4-1149)+(0+(0-0))+0-0-0</f>
        <v>3666.7999999999997</v>
      </c>
      <c r="J281" s="3">
        <f>4307.3+(473.6-1121.3)+(0+(0-0))+0-0-0</f>
        <v>3659.6000000000004</v>
      </c>
      <c r="K281" s="3">
        <f>4355.5+(476.5-1101.4)+(0+(0-0))+0-0-0</f>
        <v>3730.6</v>
      </c>
      <c r="L281" s="3">
        <f>4534+(509.5-1063)+(-4.62468+(-0.51969--1.08426))+0-0-0</f>
        <v>3976.4398900000001</v>
      </c>
      <c r="M281" s="3">
        <f>4708.8+(715.2-1006.9)+(-2.401488+(-0.364752--0.513519))+0-0-0</f>
        <v>4414.8472790000005</v>
      </c>
      <c r="N281" s="3">
        <f>5057+(885.5-963.2)+(5.15814+(0.90321-0.982464))+0-0-0</f>
        <v>4984.3788860000004</v>
      </c>
      <c r="O281" s="3">
        <f>5430.4+(868.9-876.6)+(5.539008+(0.886278-0.894132))+0-0-0</f>
        <v>5428.2311540000001</v>
      </c>
      <c r="P281" s="3">
        <f>5604.3+(851.8-756.5)+(8.574579+(1.303254-1.157445))+0-0-0</f>
        <v>5708.3203880000001</v>
      </c>
      <c r="Q281" s="3">
        <f>5609.7+(884.5-667.5)+(2.860947+(0.451095-0.340425))+0-0-0</f>
        <v>5829.671617</v>
      </c>
      <c r="R281" s="3">
        <f>5620.3+(800.5-651.2)+(-8.599059+(-1.224765--0.996336))+0-0-0</f>
        <v>5760.7725120000005</v>
      </c>
      <c r="S281" s="3">
        <f>5678.5+(843.4-838.9)+(-5.79207+(-0.860268--0.855678))+0-0-0</f>
        <v>5677.20334</v>
      </c>
      <c r="T281" s="3">
        <f>5638.9+(867.3-745.4)+(-14.379195+(-2.211615--1.90077))+0-0-0</f>
        <v>5746.1099599999989</v>
      </c>
      <c r="U281" s="3">
        <f>5619.6+(805.1-755.9)+(2.865996+(0.410601-0.385509))+0-0-0</f>
        <v>5671.6910880000005</v>
      </c>
      <c r="V281" s="3">
        <f>5734.8+(640.1-603.9)+(-8.774244+(-0.979353--0.923967))+0-0-0</f>
        <v>5762.1703699999998</v>
      </c>
      <c r="W281" s="3">
        <f>5986.4+(694.4-579.7)+(-3.053064+(-0.354144--0.295647))+0-0-0</f>
        <v>6097.9884389999997</v>
      </c>
      <c r="X281" s="3">
        <f>6018.9+(561.2-515.4)+(-12.278556+(-1.144848--1.051416))+0-0-0</f>
        <v>6052.3280119999999</v>
      </c>
      <c r="Y281" s="3">
        <f>5949.6+(498.6-559.7)+(-6.068592+(-0.508572--0.570894))+0-0-0</f>
        <v>5882.4937300000001</v>
      </c>
      <c r="Z281" s="3">
        <f>5579+(608.8-547.6)+(0+(0-0))+0-0-0</f>
        <v>5640.2</v>
      </c>
      <c r="AA281" s="3">
        <f>5532+(508.3-638.4)+(-8.46396+(-0.777699--0.976752))+0-0-0</f>
        <v>5393.6350929999999</v>
      </c>
      <c r="AB281" s="3">
        <f>5235.9+(576.6-711.1)+(-10.681236+(-1.176264--1.450644))+0-0-0</f>
        <v>5090.993144</v>
      </c>
      <c r="AC281" s="3">
        <f>4979.5+(418.4-718.1)+(-12.697725+(-1.06692--1.831155))+0-0-0</f>
        <v>4667.8665099999998</v>
      </c>
      <c r="AD281" s="2">
        <v>6141.1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4533.1+(329.4-607.8)+(-6.935643+(-0.503982--0.929934))+0-0-0</f>
        <v>4248.1903090000005</v>
      </c>
      <c r="G282" s="3">
        <f>4400.5+(204.9-651.9)+(-6.732765+(-0.313497--0.997407))+0-0-0</f>
        <v>3947.451145</v>
      </c>
      <c r="H282" s="3">
        <f>4230.3+(256-704.9)+(-8.629812+(-0.52224--1.437996))+0-0-0</f>
        <v>3773.6859440000003</v>
      </c>
      <c r="I282" s="3">
        <f>4231.7+(205.1-733.6)+(0+(0-0))+0-0-0</f>
        <v>3703.2</v>
      </c>
      <c r="J282" s="3">
        <f>4259+(180.9-742)+(4.34418+(0.184518-0.75684))+0-0-0</f>
        <v>3701.6718580000002</v>
      </c>
      <c r="K282" s="3">
        <f>4329.1+(344.7-897.5)+(0+(0-0))+0-0-0</f>
        <v>3776.3</v>
      </c>
      <c r="L282" s="3">
        <f>4613.9+(390.9-958.5)+(0+(0-0))+0-0-0</f>
        <v>4046.2999999999997</v>
      </c>
      <c r="M282" s="3">
        <f>4669.9+(636.6-802.2)+(0+(0-0))+0-0-0</f>
        <v>4504.2999999999993</v>
      </c>
      <c r="N282" s="3">
        <f>4948.5+(717.9-622)+(-2.523735+(-0.366129--0.31722))+0-0-0</f>
        <v>5041.8273559999998</v>
      </c>
      <c r="O282" s="3">
        <f>5189+(920.1-635.8)+(5.29278+(0.938502-0.648516))+0-0-0</f>
        <v>5478.8827660000006</v>
      </c>
      <c r="P282" s="3">
        <f>5335+(1086.8-617.2)+(2.72085+(0.554268-0.314772))+0-0-0</f>
        <v>5807.5603460000002</v>
      </c>
      <c r="Q282" s="3">
        <f>5451.7+(1227.6-638.2)+(-11.121468+(-2.504304--1.301928))+0-0-0</f>
        <v>6028.7761559999999</v>
      </c>
      <c r="R282" s="3">
        <f>5546.3+(1116.3-685)+(2.828613+(0.569313-0.34935))+0-0-0</f>
        <v>5980.6485760000005</v>
      </c>
      <c r="S282" s="3">
        <f>5563.6+(1005.3-781.2)+(2.837436+(0.512703-0.398412))+0-0-0</f>
        <v>5790.6517270000004</v>
      </c>
      <c r="T282" s="3">
        <f>5533.6+(1026.3-763.9)+(2.822136+(0.523413-0.389589))+0-0-0</f>
        <v>5798.9559600000002</v>
      </c>
      <c r="U282" s="3">
        <f>5477.5+(925.6-700.3)+(-11.1741+(-1.888224--1.428612))+0-0-0</f>
        <v>5691.1662880000003</v>
      </c>
      <c r="V282" s="3">
        <f>5684.4+(741.4-716.7)+(-11.596176+(-1.512456--1.462068))+0-0-0</f>
        <v>5697.4534359999998</v>
      </c>
      <c r="W282" s="3">
        <f>6062.2+(736.5-744.3)+(-9.275166+(-1.126845--1.138779))+0-0-0</f>
        <v>6045.1367679999994</v>
      </c>
      <c r="X282" s="3">
        <f>6125.8+(617.4-722.9)+(0+(0-0))+0-0-0</f>
        <v>6020.3</v>
      </c>
      <c r="Y282" s="3">
        <f>6043.1+(641.7-838.8)+(-3.081981+(-0.327267--0.427788))+0-0-0</f>
        <v>5843.01854</v>
      </c>
      <c r="Z282" s="3">
        <f>6015.2+(630.2-974)+(-9.203256+(-0.964206--1.49022))+0-0-0</f>
        <v>5662.7227579999999</v>
      </c>
      <c r="AA282" s="3">
        <f>5830.7+(633-1086.1)+(-17.841942+(-1.93698--3.323466))+0-0-0</f>
        <v>5361.1445440000007</v>
      </c>
      <c r="AB282" s="3">
        <f>5689.8+(692.5-1277.5)+(-2.901798+(-0.353175--0.651525))+0-0-0</f>
        <v>5102.1965520000003</v>
      </c>
      <c r="AC282" s="3">
        <f>5509.9+(720.2-1468.7)+(-11.240196+(-1.469208--2.996148))+0-0-0</f>
        <v>4751.6867439999996</v>
      </c>
      <c r="AD282" s="2">
        <v>5985.9000000000005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5156.1+(528.9-1401.2)+(-7.888833+(-0.809217--2.143836))+0-0-0</f>
        <v>4277.2457860000004</v>
      </c>
      <c r="G283" s="3">
        <f>4890.8+(391.4-1330.7)+(-7.482924+(-0.598842--2.035971))+0-0-0</f>
        <v>3945.454205</v>
      </c>
      <c r="H283" s="3">
        <f>4781.2+(289.1-1308.6)+(-9.753648+(-0.589764--2.669544))+0-0-0</f>
        <v>3754.026132</v>
      </c>
      <c r="I283" s="3">
        <f>4739+(250.4-1284.1)+(-2.41689+(-0.127704--0.654891))+0-0-0</f>
        <v>3703.4102970000004</v>
      </c>
      <c r="J283" s="3">
        <f>4570.1+(297.4-1171.6)+(-4.661502+(-0.303348--1.195032))+0-0-0</f>
        <v>3692.1301820000003</v>
      </c>
      <c r="K283" s="3">
        <f>4638.4+(371.7-1277.8)+(4.731168+(0.379134-1.303356))+0-0-0</f>
        <v>3736.1069459999999</v>
      </c>
      <c r="L283" s="3">
        <f>4720.4+(617.2-1453.1)+(-7.222212+(-0.944316--2.223243))+0-0-0</f>
        <v>3878.5567150000002</v>
      </c>
      <c r="M283" s="3">
        <f>4728.7+(769.6-1380.4)+(0+(0-0))+0-0-0</f>
        <v>4117.8999999999996</v>
      </c>
      <c r="N283" s="3">
        <f>4922.2+(884-1186.4)+(5.020644+(0.90168-1.210128))+0-0-0</f>
        <v>4624.5121959999997</v>
      </c>
      <c r="O283" s="3">
        <f>5094+(965-981.3)+(-7.79382+(-1.47645--1.501389))+0-0-0</f>
        <v>5069.9311189999999</v>
      </c>
      <c r="P283" s="3">
        <f>5183.5+(1193.8-990.2)+(-5.28717+(-1.217676--1.010004))+0-0-0</f>
        <v>5381.6051580000003</v>
      </c>
      <c r="Q283" s="3">
        <f>5255.7+(1296.2-990.7)+(5.360814+(1.322124-1.010514))+0-0-0</f>
        <v>5566.8724240000001</v>
      </c>
      <c r="R283" s="3">
        <f>5191.4+(1232.5-947.8)+(-18.533298+(-4.400025--3.383646))+0-0-0</f>
        <v>5456.5503229999995</v>
      </c>
      <c r="S283" s="3">
        <f>5188.9+(1156.7-1127.8)+(0+(0-0))+0-0-0</f>
        <v>5217.7999999999993</v>
      </c>
      <c r="T283" s="3">
        <f>5192.6+(1036.4-1077.5)+(-7.944678+(-1.585692--1.648575))+0-0-0</f>
        <v>5143.6182049999998</v>
      </c>
      <c r="U283" s="3">
        <f>5149+(1030.9-1169.3)+(-5.25198+(-1.051518--1.192686))+0-0-0</f>
        <v>5005.4891880000005</v>
      </c>
      <c r="V283" s="3">
        <f>5202.2+(923.1-1084.5)+(-2.653122+(-0.470781--0.553095))+0-0-0</f>
        <v>5038.2291919999998</v>
      </c>
      <c r="W283" s="3">
        <f>5533.9+(1013.9-1030.7)+(8.466867+(1.551267-1.576971))+0-0-0</f>
        <v>5525.5411629999999</v>
      </c>
      <c r="X283" s="3">
        <f>5657.3+(913.5-1003.9)+(-8.655669+(-1.397655--1.535967))+0-0-0</f>
        <v>5558.3826430000008</v>
      </c>
      <c r="Y283" s="3">
        <f>5640.6+(922.7-1087.7)+(0+(0-0))+0-0-0</f>
        <v>5475.6</v>
      </c>
      <c r="Z283" s="3">
        <f>5437.3+(961.7-1098.4)+(-11.092092+(-1.961868--2.240736))+0-0-0</f>
        <v>5289.7867759999999</v>
      </c>
      <c r="AA283" s="3">
        <f>5100.8+(947.7-955.7)+(-5.202816+(-0.966654--0.974814))+0-0-0</f>
        <v>5087.6053440000005</v>
      </c>
      <c r="AB283" s="3">
        <f>4970.4+(861.3-956.9)+(-7.604712+(-1.317789--1.464057))+0-0-0</f>
        <v>4867.3415559999994</v>
      </c>
      <c r="AC283" s="3">
        <f>4689.9+(792.7-898.8)+(2.391849+(0.404277-0.458388))+0-0-0</f>
        <v>4586.1377379999994</v>
      </c>
      <c r="AD283" s="2">
        <v>5591.3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4628.4+(552.2-982.6)+(-7.081452+(-0.844866--1.503378))+0-0-0</f>
        <v>4191.5770599999996</v>
      </c>
      <c r="G284" s="3">
        <f>4514.5+(508.2-1149.1)+(-4.60479+(-0.518364--1.172082))+0-0-0</f>
        <v>3869.6489280000005</v>
      </c>
      <c r="H284" s="3">
        <f>4471.7+(526.7-1336.3)+(-2.280567+(-0.268617--0.681513))+0-0-0</f>
        <v>3660.2323289999999</v>
      </c>
      <c r="I284" s="3">
        <f>4553.7+(483-1486.4)+(-16.256709+(-1.72431--5.306448))+0-0-0</f>
        <v>3537.6254289999997</v>
      </c>
      <c r="J284" s="3">
        <f>4538.6+(426.7-1478.5)+(2.314686+(0.217617-0.754035))+0-0-0</f>
        <v>3488.5782680000002</v>
      </c>
      <c r="K284" s="3">
        <f>4449.9+(399.4-1347.2)+(-6.808347+(-0.611082--2.061216))+0-0-0</f>
        <v>3496.7417869999995</v>
      </c>
      <c r="L284" s="3">
        <f>4476.6+(451.8-1410.1)+(-11.41533+(-1.15209--3.595755))+0-0-0</f>
        <v>3509.3283350000002</v>
      </c>
      <c r="M284" s="3">
        <f>4382.5+(384.4-1327.3)+(0+(0-0))+0-0-0</f>
        <v>3439.6</v>
      </c>
      <c r="N284" s="3">
        <f>4566.9+(479.4-1488.2)+(2.329119+(0.244494-0.758982))+0-0-0</f>
        <v>3559.9146309999996</v>
      </c>
      <c r="O284" s="3">
        <f>4575.5+(578.2-1313.5)+(2.333505+(0.294882-0.669885))+0-0-0</f>
        <v>3842.1585019999998</v>
      </c>
      <c r="P284" s="3">
        <f>4748.2+(802.3-1408.7)+(-4.843164+(-0.818346--1.436874))+0-0-0</f>
        <v>4137.5753639999994</v>
      </c>
      <c r="Q284" s="3">
        <f>4905.2+(637.5-1179.4)+(0+(0-0))+0-0-0</f>
        <v>4363.2999999999993</v>
      </c>
      <c r="R284" s="3">
        <f>4902.2+(640.7-1134.5)+(-10.000488+(-1.307028--2.31438))+0-0-0</f>
        <v>4399.4068639999996</v>
      </c>
      <c r="S284" s="3">
        <f>4797.9+(504.7-977.4)+(-4.893858+(-0.514794--0.996948))+0-0-0</f>
        <v>4320.7882959999997</v>
      </c>
      <c r="T284" s="3">
        <f>4789.8+(442.9-957.3)+(-9.771192+(-0.903516--1.952892))+0-0-0</f>
        <v>4266.6781840000003</v>
      </c>
      <c r="U284" s="3">
        <f>4732.4+(559.2-1106.4)+(2.413524+(0.285192-0.564264))+0-0-0</f>
        <v>4187.3344520000001</v>
      </c>
      <c r="V284" s="3">
        <f>4840.3+(623.2-1137)+(-7.405659+(-0.953496--1.73961))+0-0-0</f>
        <v>4319.8804550000004</v>
      </c>
      <c r="W284" s="3">
        <f>5064.2+(473.6-648.7)+(5.165484+(0.483072-0.661674))+0-0-0</f>
        <v>4894.0868819999996</v>
      </c>
      <c r="X284" s="3">
        <f>5243.7+(484.7-632)+(-5.348574+(-0.494394--0.64464))+0-0-0</f>
        <v>5091.2016719999992</v>
      </c>
      <c r="Y284" s="3">
        <f>5154.6+(510.1-572.2)+(7.886538+(0.780453-0.875466))+0-0-0</f>
        <v>5100.2915249999996</v>
      </c>
      <c r="Z284" s="3">
        <f>5074.2+(546.8-569.7)+(7.763526+(0.836604-0.871641))+0-0-0</f>
        <v>5059.0284889999994</v>
      </c>
      <c r="AA284" s="3">
        <f>5025.1+(531.6-615.3)+(5.125602+(0.542232-0.627606))+0-0-0</f>
        <v>4946.4402280000004</v>
      </c>
      <c r="AB284" s="3">
        <f>4977+(591.9-812.7)+(-10.15308+(-1.207476--1.657908))+0-0-0</f>
        <v>4746.4973519999994</v>
      </c>
      <c r="AC284" s="3">
        <f>4900.6+(576.1-1076.9)+(-14.995836+(-1.762866--3.295314))+0-0-0</f>
        <v>4386.3366120000001</v>
      </c>
      <c r="AD284" s="2">
        <v>5093.7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4860.3+(394.2-1250.6)+(0+(0-0))+0-0-0</f>
        <v>4003.9000000000005</v>
      </c>
      <c r="G285" s="3">
        <f>4700.7+(214.2-1229.1)+(0+(0-0))+0-0-0</f>
        <v>3685.8</v>
      </c>
      <c r="H285" s="3">
        <f>4556.8+(214.5-1231.2)+(-2.323968+(-0.109395--0.627912))+0-0-0</f>
        <v>3538.2945490000002</v>
      </c>
      <c r="I285" s="3">
        <f>4493.3+(218.6-1239)+(6.874749+(0.334458-1.89567))+0-0-0</f>
        <v>3478.2135370000001</v>
      </c>
      <c r="J285" s="3">
        <f>4478.8+(231-1216.6)+(9.136752+(0.47124-2.481864))+0-0-0</f>
        <v>3500.3261280000002</v>
      </c>
      <c r="K285" s="3">
        <f>4590.8+(239.1-1260.3)+(11.70654+(0.609705-3.213765))+0-0-0</f>
        <v>3578.7024800000004</v>
      </c>
      <c r="L285" s="3">
        <f>4791.7+(367.7-1290.1)+(-2.443767+(-0.187527--0.657951))+0-0-0</f>
        <v>3867.3266570000001</v>
      </c>
      <c r="M285" s="3">
        <f>5093.6+(485.4-1199.3)+(5.195472+(0.495108-1.223286))+0-0-0</f>
        <v>4384.1672940000008</v>
      </c>
      <c r="N285" s="3">
        <f>5178.7+(773.7-989.7)+(10.564548+(1.578348-2.018988))+0-0-0</f>
        <v>4972.8239079999994</v>
      </c>
      <c r="O285" s="3">
        <f>5359.8+(841.1-770.4)+(2.733498+(0.428961-0.392904))+0-0-0</f>
        <v>5433.2695549999999</v>
      </c>
      <c r="P285" s="3">
        <f>5398.3+(900.8-574.6)+(5.506266+(0.918816-0.586092))+0-0-0</f>
        <v>5730.3389900000002</v>
      </c>
      <c r="Q285" s="3">
        <f>5380.7+(952-457)+(-10.976628+(-1.94208--0.93228))+0-0-0</f>
        <v>5863.7135719999997</v>
      </c>
      <c r="R285" s="3">
        <f>5429.6+(946.7-494.7)+(-8.307288+(-1.448451--0.756891))+0-0-0</f>
        <v>5872.6011520000002</v>
      </c>
      <c r="S285" s="3">
        <f>5405.1+(939-616)+(5.513202+(0.95778-0.62832))+0-0-0</f>
        <v>5733.9426620000004</v>
      </c>
      <c r="T285" s="3">
        <f>5394+(948.5-565)+(0+(0-0))+0-0-0</f>
        <v>5777.5</v>
      </c>
      <c r="U285" s="3">
        <f>5374.1+(784.6-434.6)+(0+(0-0))+0-0-0</f>
        <v>5724.1</v>
      </c>
      <c r="V285" s="3">
        <f>5420.6+(812.2-434.7)+(2.764506+(0.414222-0.221697))+0-0-0</f>
        <v>5801.0570310000003</v>
      </c>
      <c r="W285" s="3">
        <f>5670.7+(836.6-356.4)+(5.784114+(0.853332-0.363528))+0-0-0</f>
        <v>6157.1739179999995</v>
      </c>
      <c r="X285" s="3">
        <f>5742.4+(812.1-422.7)+(-2.928624+(-0.414171--0.215577))+0-0-0</f>
        <v>6128.6727819999996</v>
      </c>
      <c r="Y285" s="3">
        <f>5682.2+(713.8-447.6)+(-17.387532+(-2.184228--1.369656))+0-0-0</f>
        <v>5930.1978959999997</v>
      </c>
      <c r="Z285" s="3">
        <f>5694+(643.4-555.9)+(-5.80788+(-0.656268--0.567018))+0-0-0</f>
        <v>5775.6028699999997</v>
      </c>
      <c r="AA285" s="3">
        <f>5600.5+(654-749.5)+(-5.71251+(-0.66708--0.76449))+0-0-0</f>
        <v>5499.3849</v>
      </c>
      <c r="AB285" s="3">
        <f>5536.4+(697.6-1029.7)+(-5.647128+(-0.711552--1.050294))+0-0-0</f>
        <v>5198.9916139999996</v>
      </c>
      <c r="AC285" s="3">
        <f>5398.7+(451.5-1083.9)+(-16.520022+(-1.38159--3.316734))+0-0-0</f>
        <v>4751.7151219999996</v>
      </c>
      <c r="AD285" s="2">
        <v>6071.7000000000007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5292.2+(275.7-1274.7)+(8.097066+(0.421821-1.950291))+11.5-0-0</f>
        <v>4311.2685959999999</v>
      </c>
      <c r="G286" s="3">
        <f>4843.4+(302.8-1176.9)+(12.35067+(0.77214-3.001095))+0-0-0</f>
        <v>3979.4217149999995</v>
      </c>
      <c r="H286" s="3">
        <f>4582.3+(311.7-1066.8)+(9.347892+(0.635868-2.176272))+0-0-0</f>
        <v>3835.0074880000002</v>
      </c>
      <c r="I286" s="3">
        <f>4694.3+(406.5-1345.5)+(11.970465+(1.036575-3.431025))+0-0-0</f>
        <v>3764.8760150000003</v>
      </c>
      <c r="J286" s="3">
        <f>4675.4+(409.3-1334)+(0+(0-0))+0-0-0</f>
        <v>3750.7</v>
      </c>
      <c r="K286" s="3">
        <f>4648.7+(399.9-1233.1)+(4.741674+(0.407898-1.257762))+0-0-0</f>
        <v>3819.3918100000001</v>
      </c>
      <c r="L286" s="3">
        <f>5009.4+(389.3-1322.2)+(-2.554794+(-0.198543--0.674322))+0-0-0</f>
        <v>4074.4209849999997</v>
      </c>
      <c r="M286" s="3">
        <f>5277+(528.6-1239.5)+(2.69127+(0.269586-0.632145))+0-0-0</f>
        <v>4568.4287110000005</v>
      </c>
      <c r="N286" s="3">
        <f>5582.2+(760.2-1166.9)+(-8.540766+(-1.163106--1.785357))+0-0-0</f>
        <v>5167.5814849999997</v>
      </c>
      <c r="O286" s="3">
        <f>5696.6+(721-837.6)+(-14.52633+(-1.83855--2.13588))+0-0-0</f>
        <v>5565.7709999999997</v>
      </c>
      <c r="P286" s="3">
        <f>5737+(720.9-587.3)+(-11.70348+(-1.470636--1.198092))+0-0-0</f>
        <v>5858.6239760000008</v>
      </c>
      <c r="Q286" s="3">
        <f>5755.7+(724.3-439.7)+(-14.677035+(-1.846965--1.121235))+0-0-0</f>
        <v>6024.8972350000004</v>
      </c>
      <c r="R286" s="3">
        <f>5734.7+(703.5-473.8)+(-8.774091+(-1.076355--0.724914))+0-0-0</f>
        <v>5955.2744679999996</v>
      </c>
      <c r="S286" s="3">
        <f>5557.3+(658.3-393.5)+(0+(0-0))+0-0-0</f>
        <v>5822.1</v>
      </c>
      <c r="T286" s="3">
        <f>5519.9+(650.2-371.7)+(2.815149+(0.331602-0.189567))+0-0-0</f>
        <v>5801.3571839999995</v>
      </c>
      <c r="U286" s="3">
        <f>5514.8+(636.8-457.7)+(5.625096+(0.649536-0.466854))+0-0-0</f>
        <v>5699.7077780000009</v>
      </c>
      <c r="V286" s="3">
        <f>5567.9+(684.4-547.9)+(5.679258+(0.698088-0.558858))+0-0-0</f>
        <v>5710.2184879999995</v>
      </c>
      <c r="W286" s="3">
        <f>5903.6+(589.7-392.4)+(6.021672+(0.601494-0.400248))+0-0-0</f>
        <v>6107.1229180000009</v>
      </c>
      <c r="X286" s="3">
        <f>5829+(605.4-378.8)+(-8.91837+(-0.926262--0.579564))+0-0-0</f>
        <v>6046.3349320000007</v>
      </c>
      <c r="Y286" s="3">
        <f>5789+(526.6-426)+(-2.95239+(-0.268566--0.21726))+0-0-0</f>
        <v>5886.5963040000006</v>
      </c>
      <c r="Z286" s="3">
        <f>5772+(554.6-634.7)+(-5.88744+(-0.565692--0.647394))+0-0-0</f>
        <v>5686.0942619999996</v>
      </c>
      <c r="AA286" s="3">
        <f>5731.9+(387.1-640.2)+(-2.923269+(-0.197421--0.326502))+0-0-0</f>
        <v>5476.0058119999994</v>
      </c>
      <c r="AB286" s="3">
        <f>5734.4+(301.4-861.3)+(-2.924544+(-0.153714--0.439263))+0-0-0</f>
        <v>5171.8610049999997</v>
      </c>
      <c r="AC286" s="3">
        <f>5732+(262.4-1276.3)+(-5.84664+(-0.267648--1.301826))+0-0-0</f>
        <v>4713.2875380000005</v>
      </c>
      <c r="AD286" s="2">
        <v>6142.7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5599.7+(278.2-1546.7)+(0+(0-0))+0-0-0</f>
        <v>4331.2</v>
      </c>
      <c r="G287" s="3">
        <f>5208.4+(344.3-1548.3)+(7.968852+(0.526779-2.368899))+0-0-0</f>
        <v>4010.5267319999998</v>
      </c>
      <c r="H287" s="3">
        <f>5196+(281.2-1626.4)+(10.59984+(0.573648-3.317856))+0-0-0</f>
        <v>3858.655632</v>
      </c>
      <c r="I287" s="3">
        <f>5091.9+(262.1-1584.1)+(0+(0-0))+0-0-0</f>
        <v>3769.8999999999996</v>
      </c>
      <c r="J287" s="3">
        <f>5029.4+(240.4-1493.8)+(-5.129988+(-0.245208--1.523676))+0-0-0</f>
        <v>3772.1484799999998</v>
      </c>
      <c r="K287" s="3">
        <f>4995.4+(227-1396.1)+(5.095308+(0.23154-1.424022))+0-0-0</f>
        <v>3830.2028259999997</v>
      </c>
      <c r="L287" s="3">
        <f>5214.4+(259.8-1534.9)+(-13.29672+(-0.66249--3.913995))+0-0-0</f>
        <v>3929.2547849999992</v>
      </c>
      <c r="M287" s="3">
        <f>5193.9+(473.1-1238.1)+(-5.297778+(-0.482562--1.262862))+0-0-0</f>
        <v>4424.3825219999999</v>
      </c>
      <c r="N287" s="3">
        <f>5135.2+(603-777.3)+(-5.237904+(-0.61506--0.792846))+0-0-0</f>
        <v>4955.8398819999993</v>
      </c>
      <c r="O287" s="3">
        <f>5470.6+(625.9-571.8)+(11.160024+(1.276836-1.166472))+0-0-0</f>
        <v>5535.9703880000006</v>
      </c>
      <c r="P287" s="3">
        <f>5543.5+(631.8-402.1)+(2.827185+(0.322218-0.205071))+0-0-0</f>
        <v>5776.1443319999998</v>
      </c>
      <c r="Q287" s="3">
        <f>5643.4+(656.9-364.4)+(-14.39067+(-1.675095--0.92922))+0-0-0</f>
        <v>5920.7634549999993</v>
      </c>
      <c r="R287" s="3">
        <f>5610.3+(695-436.9)+(-11.445012+(-1.4178--0.891276))+0-0-0</f>
        <v>5856.4284640000005</v>
      </c>
      <c r="S287" s="3">
        <f>5636.1+(687-661.5)+(2.874411+(0.35037-0.337365))+0-0-0</f>
        <v>5664.4874159999999</v>
      </c>
      <c r="T287" s="3">
        <f>5599.4+(776.4-686.2)+(0+(0-0))+0-0-0</f>
        <v>5689.5999999999995</v>
      </c>
      <c r="U287" s="3">
        <f>5553+(729.3-633.6)+(-11.32812+(-1.487772--1.292544))+0-0-0</f>
        <v>5637.1766520000001</v>
      </c>
      <c r="V287" s="3">
        <f>5667.4+(562.8-538.4)+(5.780748+(0.574056-0.549168))+0-0-0</f>
        <v>5697.6056359999993</v>
      </c>
      <c r="W287" s="3">
        <f>5997.1+(463.1-301.7)+(9.175563+(0.708543-0.461601))+1-0-0</f>
        <v>6168.9225050000005</v>
      </c>
      <c r="X287" s="3">
        <f>6135.2+(419.3-367.7)+(-12.515808+(-0.855372--0.750108))+2-0-0</f>
        <v>6176.1789280000003</v>
      </c>
      <c r="Y287" s="3">
        <f>6097.8+(405.5-510.7)+(6.219756+(0.41361-0.520914))+0-0-0</f>
        <v>5998.7124520000007</v>
      </c>
      <c r="Z287" s="3">
        <f>6088.9+(322.8-612.2)+(0+(0-0))+0-0-0</f>
        <v>5799.5</v>
      </c>
      <c r="AA287" s="3">
        <f>5898.4+(270.8-655.2)+(-6.016368+(-0.276216--0.668304))+0-0-0</f>
        <v>5508.37572</v>
      </c>
      <c r="AB287" s="3">
        <f>5840.8+(283.9-888.4)+(-5.957616+(-0.289578--0.906168))+0-0-0</f>
        <v>5230.9589740000001</v>
      </c>
      <c r="AC287" s="3">
        <f>5763.3+(305.7-1223.6)+(-8.817849+(-0.467721--1.872108))+0-0-0</f>
        <v>4837.9865380000001</v>
      </c>
      <c r="AD287" s="2">
        <v>6243.9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5491.9+(172.1-1275.2)+(-2.800869+(-0.087771--0.650352))+0-0-0</f>
        <v>4386.5617119999997</v>
      </c>
      <c r="G288" s="3">
        <f>5237.3+(153.3-1312.9)+(-10.684092+(-0.312732--2.678316))+0-0-0</f>
        <v>4069.381492</v>
      </c>
      <c r="H288" s="3">
        <f>5043.2+(139.6-1311.6)+(0+(0-0))+0-0-0</f>
        <v>3871.2</v>
      </c>
      <c r="I288" s="3">
        <f>5061.4+(73.8-1340.7)+(-2.581314+(-0.037638--0.683757))+0-0-0</f>
        <v>3792.5648049999995</v>
      </c>
      <c r="J288" s="3">
        <f>5011.8+(72.7-1302)+(-2.556018+(-0.037077--0.66402))+0-0-0</f>
        <v>3780.570925</v>
      </c>
      <c r="K288" s="3">
        <f>5236+(51.6-1453)+(-8.01108+(-0.078948--2.22309))+0-0-0</f>
        <v>3828.7330619999998</v>
      </c>
      <c r="L288" s="3">
        <f>5240+(51.6-1453)+(-8.0172+(-0.078948--2.22309))+0-0-0</f>
        <v>3832.7269419999998</v>
      </c>
      <c r="M288" s="3">
        <f>5393.6+(181.4-1493.9)+(-2.750736+(-0.092514--0.761889))+0-0-0</f>
        <v>4079.0186390000003</v>
      </c>
      <c r="N288" s="3">
        <f>5508.4+(483.7-1486.7)+(0+(0-0))+0-0-0</f>
        <v>4505.3999999999996</v>
      </c>
      <c r="O288" s="3">
        <f>5976.2+(615.4-1061.8)+(-6.095724+(-0.627708--1.083036))+0-0-0</f>
        <v>5524.1596040000004</v>
      </c>
      <c r="P288" s="3">
        <f>5954+(651.7-781.3)+(-6.07308+(-0.664734--0.796926))+0-0-0</f>
        <v>5818.4591119999995</v>
      </c>
      <c r="Q288" s="3">
        <f>5960+(727.7-716.8)+(15.198+(1.855635-1.82784))+0-0-0</f>
        <v>5986.1257949999999</v>
      </c>
      <c r="R288" s="3">
        <f>5755.4+(675.5-558.5)+(-20.546778+(-2.411535--1.993845))+0-0-0</f>
        <v>5851.4355319999995</v>
      </c>
      <c r="S288" s="3">
        <f>5623.1+(755.2-689.9)+(-11.471124+(-1.540608--1.407396))+0-0-0</f>
        <v>5676.7956640000002</v>
      </c>
      <c r="T288" s="3">
        <f>5622.2+(855.4-735.7)+(2.867322+(0.436254-0.375207))+0-0-0</f>
        <v>5744.8283689999998</v>
      </c>
      <c r="U288" s="3">
        <f>5487.1+(821.8-571.9)+(-2.798421+(-0.419118--0.291669))+0-0-0</f>
        <v>5734.07413</v>
      </c>
      <c r="V288" s="3">
        <f>5605.8+(628.5-447)+(0+(0-0))+0-0-0</f>
        <v>5787.3</v>
      </c>
      <c r="W288" s="3">
        <f>5962.6+(574-388)+(9.122778+(0.87822-0.59364))+0-0-0</f>
        <v>6158.0073580000007</v>
      </c>
      <c r="X288" s="3">
        <f>5964.3+(583.1-391.6)+(-12.167172+(-1.189524--0.798864))+0-0-0</f>
        <v>6143.2421679999998</v>
      </c>
      <c r="Y288" s="3">
        <f>5920.6+(438.4-404)+(-6.039012+(-0.447168--0.41208))+0-0-0</f>
        <v>5948.9259000000002</v>
      </c>
      <c r="Z288" s="3">
        <f>5755+(475.6-445.6)+(-5.8701+(-0.485112--0.454512))+0-0-0</f>
        <v>5779.0992999999999</v>
      </c>
      <c r="AA288" s="3">
        <f>5614.5+(473.4-573.1)+(0+(0-0))+0-0-0</f>
        <v>5514.8</v>
      </c>
      <c r="AB288" s="3">
        <f>5590.2+(452.5-780.8)+(-8.553006+(-0.692325--1.194624))+0-0-0</f>
        <v>5253.8492929999993</v>
      </c>
      <c r="AC288" s="3">
        <f>5558.1+(309.5-1015)+(-2.834631+(-0.157845--0.51765))+0-0-0</f>
        <v>4850.1251740000007</v>
      </c>
      <c r="AD288" s="2">
        <v>6187.0999999999995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5312+(269.9-1208.4)+(-8.12736+(-0.412947--1.848852))+0-0-0</f>
        <v>4366.8085449999999</v>
      </c>
      <c r="G289" s="3">
        <f>4829.6+(328.9-1138.4)+(0+(0-0))+0-0-0</f>
        <v>4020.1000000000004</v>
      </c>
      <c r="H289" s="3">
        <f>4761.5+(149.1-1048.1)+(2.428365+(0.076041-0.534531))+0-0-0</f>
        <v>3864.4698749999998</v>
      </c>
      <c r="I289" s="3">
        <f>4777.3+(155.8-1140.3)+(4.872846+(0.158916-1.163106))+0-0-0</f>
        <v>3796.6686560000003</v>
      </c>
      <c r="J289" s="3">
        <f>4822.5+(163.5-1207.8)+(9.8379+(0.33354-2.463912))+0-0-0</f>
        <v>3785.9075279999997</v>
      </c>
      <c r="K289" s="3">
        <f>5076.5+(126.2-1351.3)+(5.17803+(0.128724-1.378326))+0-0-0</f>
        <v>3855.3284280000003</v>
      </c>
      <c r="L289" s="3">
        <f>5350.3+(229.6-1490.8)+(0+(0-0))+0-0-0</f>
        <v>4089.1000000000004</v>
      </c>
      <c r="M289" s="3">
        <f>5435.5+(412.9-1332.4)+(-5.54421+(-0.421158--1.359048))+0-0-0</f>
        <v>4511.3936800000001</v>
      </c>
      <c r="N289" s="3">
        <f>5420.9+(503-858.6)+(5.529318+(0.51306-0.875772))+0-0-0</f>
        <v>5070.466605999999</v>
      </c>
      <c r="O289" s="3">
        <f>5447.9+(531.6-494.9)+(-2.778429+(-0.271116--0.252399))+0-0-0</f>
        <v>5481.8028539999996</v>
      </c>
      <c r="P289" s="3">
        <f>5746.5+(581.5-561.4)+(-5.86143+(-0.59313--0.572628))+0-0-0</f>
        <v>5760.7180680000001</v>
      </c>
      <c r="Q289" s="3">
        <f>5620+(725.3-458)+(-2.8662+(-0.369903--0.23358))+0-0-0</f>
        <v>5884.2974770000001</v>
      </c>
      <c r="R289" s="3">
        <f>5564.1+(736.6-477.6)+(0+(0-0))+0-0-0</f>
        <v>5823.1</v>
      </c>
      <c r="S289" s="3">
        <f>5544.6+(686.8-616)+(-5.655492+(-0.700536--0.62832))+0-0-0</f>
        <v>5609.6722920000002</v>
      </c>
      <c r="T289" s="3">
        <f>5516+(743.3-596.6)+(-2.81316+(-0.379083--0.304266))+0-0-0</f>
        <v>5659.8120229999995</v>
      </c>
      <c r="U289" s="3">
        <f>5495.3+(716.9-645.7)+(2.802603+(0.365619-0.329307))+0-0-0</f>
        <v>5569.3389150000003</v>
      </c>
      <c r="V289" s="3">
        <f>5526.8+(579.1-530.5)+(-16.912008+(-1.772046--1.62333))+0-0-0</f>
        <v>5558.3392760000006</v>
      </c>
      <c r="W289" s="3">
        <f>5670.7+(623.9-349.2)+(5.784114+(0.636378-0.356184))+0-0-0</f>
        <v>5951.4643079999996</v>
      </c>
      <c r="X289" s="3">
        <f>5689.8+(680.8-427.9)+(-8.705394+(-1.041624--0.654687))+0-0-0</f>
        <v>5933.607669</v>
      </c>
      <c r="Y289" s="3">
        <f>5647.8+(569.8-478.1)+(-11.521512+(-1.162392--0.975324))+0-0-0</f>
        <v>5727.7914199999996</v>
      </c>
      <c r="Z289" s="3">
        <f>5490.1+(478.5-422.4)+(-8.399853+(-0.732105--0.646272))+0-0-0</f>
        <v>5537.7143140000007</v>
      </c>
      <c r="AA289" s="3">
        <f>5418.1+(456-549.2)+(-8.289693+(-0.69768--0.840276))+0-0-0</f>
        <v>5316.7529030000005</v>
      </c>
      <c r="AB289" s="3">
        <f>5303.1+(526.8-708)+(0+(0-0))+0-0-0</f>
        <v>5121.9000000000005</v>
      </c>
      <c r="AC289" s="3">
        <f>5093.5+(595.5-860.1)+(-10.39074+(-1.21482--1.754604))+0-0-0</f>
        <v>4819.0490439999994</v>
      </c>
      <c r="AD289" s="2">
        <v>5967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4536.4+(492.2-731)+(0+(0-0))+0-0-0</f>
        <v>4297.5999999999995</v>
      </c>
      <c r="G290" s="3">
        <f>4382.6+(489.9-914.6)+(6.705378+(0.749547-1.399338))+0-0-0</f>
        <v>3963.9555870000004</v>
      </c>
      <c r="H290" s="3">
        <f>4222.7+(525.7-984.5)+(2.153577+(0.268107-0.502095))+0-0-0</f>
        <v>3765.8195889999997</v>
      </c>
      <c r="I290" s="3">
        <f>4244.5+(424-1011.9)+(6.494085+(0.64872-1.548207))+0-0-0</f>
        <v>3662.194598</v>
      </c>
      <c r="J290" s="3">
        <f>4221.4+(343.8-952.2)+(4.305828+(0.350676-0.971244))+0-0-0</f>
        <v>3616.6852599999997</v>
      </c>
      <c r="K290" s="3">
        <f>4186.6+(266.7-833.2)+(4.270332+(0.272034-0.849864))+0-0-0</f>
        <v>3623.7925020000002</v>
      </c>
      <c r="L290" s="3">
        <f>4164.3+(247.6-776)+(-16.990344+(-1.010208--3.16608))+0-0-0</f>
        <v>3621.0655280000001</v>
      </c>
      <c r="M290" s="3">
        <f>4195.4+(262.2-919.7)+(12.837924+(0.802332-2.814282))+0-0-0</f>
        <v>3548.7259739999995</v>
      </c>
      <c r="N290" s="3">
        <f>4317.8+(289.9-940.3)+(8.808312+(0.591396-1.918212))+0-0-0</f>
        <v>3674.881496</v>
      </c>
      <c r="O290" s="3">
        <f>4318.1+(256.5-625.3)+(6.606693+(0.392445-0.956709))+0-0-0</f>
        <v>3955.3424290000003</v>
      </c>
      <c r="P290" s="3">
        <f>4308.4+(246.9-345)+(-8.789136+(-0.503676--0.7038))+0-0-0</f>
        <v>4201.7109879999989</v>
      </c>
      <c r="Q290" s="3">
        <f>4322+(265.2-277.9)+(-6.61266+(-0.405756--0.425187))+0-0-0</f>
        <v>4302.7067710000001</v>
      </c>
      <c r="R290" s="3">
        <f>4277.2+(288.2-286.8)+(-4.362744+(-0.293964--0.292536))+0-0-0</f>
        <v>4274.2358279999999</v>
      </c>
      <c r="S290" s="3">
        <f>4307.1+(319.2-416.2)+(-2.196621+(-0.162792--0.212262))+0-0-0</f>
        <v>4207.9528490000002</v>
      </c>
      <c r="T290" s="3">
        <f>4272.6+(378.1-443.3)+(-2.179026+(-0.192831--0.226083))+0-0-0</f>
        <v>4205.2542260000009</v>
      </c>
      <c r="U290" s="3">
        <f>4265.2+(293.7-420.2)+(-8.701008+(-0.599148--0.857208))+0-0-0</f>
        <v>4130.2570519999999</v>
      </c>
      <c r="V290" s="3">
        <f>4439.2+(276.3-465.7)+(2.263992+(0.140913-0.237507))+0-0-0</f>
        <v>4251.9673979999998</v>
      </c>
      <c r="W290" s="3">
        <f>4722.2+(462.9-402.5)+(-2.408322+(-0.236079--0.205275))+0-0-0</f>
        <v>4780.1608739999992</v>
      </c>
      <c r="X290" s="3">
        <f>4865.5+(513-424.8)+(-2.481405+(-0.26163--0.216648))+0-0-0</f>
        <v>4951.1736129999999</v>
      </c>
      <c r="Y290" s="3">
        <f>4851.7+(518.4-448.2)+(-2.474367+(-0.264384--0.228582))+0-0-0</f>
        <v>4919.3898309999995</v>
      </c>
      <c r="Z290" s="3">
        <f>4807.3+(476-415.3)+(-2.451723+(-0.24276--0.211803))+0-0-0</f>
        <v>4865.5173199999999</v>
      </c>
      <c r="AA290" s="3">
        <f>4778.3+(372.8-384.1)+(7.310799+(0.570384-0.587673))+0-0-0</f>
        <v>4774.2935100000004</v>
      </c>
      <c r="AB290" s="3">
        <f>4515.7+(527.6-438.1)+(0+(0-0))+0-0-0</f>
        <v>4605.2</v>
      </c>
      <c r="AC290" s="3">
        <f>4194.8+(662.3-498.7)+(-4.278696+(-0.675546--0.508674))+0-0-0</f>
        <v>4353.9544320000005</v>
      </c>
      <c r="AD290" s="2">
        <v>4942.5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4094.3+(327.3-475.1)+(-6.264279+(-0.500769--0.726903))+0-0-0</f>
        <v>3940.461855</v>
      </c>
      <c r="G291" s="3">
        <f>3944.3+(276-494.4)+(0+(0-0))+0-0-0</f>
        <v>3725.9</v>
      </c>
      <c r="H291" s="3">
        <f>3965.4+(217.5-657.9)+(2.022354+(0.110925-0.335529))+0-0-0</f>
        <v>3526.7977500000002</v>
      </c>
      <c r="I291" s="3">
        <f>3897.3+(125.3-596)+(1.987623+(0.063903-0.30396))+0-0-0</f>
        <v>3428.3475660000004</v>
      </c>
      <c r="J291" s="3">
        <f>3903.2+(113.5-619.5)+(-1.990632+(-0.057885--0.315945))+0-0-0</f>
        <v>3395.4674279999999</v>
      </c>
      <c r="K291" s="3">
        <f>3901.5+(119.8-617.8)+(5.969295+(0.183294-0.945234))+0-0-0</f>
        <v>3408.707355</v>
      </c>
      <c r="L291" s="3">
        <f>3946.5+(103.8-624.1)+(6.038145+(0.158814-0.954873))+0-0-0</f>
        <v>3431.442086</v>
      </c>
      <c r="M291" s="3">
        <f>4023.5+(129.9-783.2)+(-2.051985+(-0.066249--0.399432))+0-0-0</f>
        <v>3368.4811979999999</v>
      </c>
      <c r="N291" s="3">
        <f>4077.3+(135.2-733.7)+(2.079423+(0.068952-0.374187))+0-0-0</f>
        <v>3480.574188</v>
      </c>
      <c r="O291" s="3">
        <f>4242.2+(139.8-605.7)+(2.163522+(0.071298-0.308907))+0-0-0</f>
        <v>3778.2259129999998</v>
      </c>
      <c r="P291" s="3">
        <f>4337.3+(149-352.3)+(-2.212023+(-0.07599--0.179673))+0-0-0</f>
        <v>4131.8916600000002</v>
      </c>
      <c r="Q291" s="3">
        <f>4324.7+(268.9-272.9)+(-6.616791+(-0.411417--0.417537))+0-0-0</f>
        <v>4314.0893289999995</v>
      </c>
      <c r="R291" s="3">
        <f>4324.9+(347.6-273.5)+(-4.411398+(-0.354552--0.27897))+0-0-0</f>
        <v>4394.5130200000003</v>
      </c>
      <c r="S291" s="3">
        <f>4284+(381.8-349.6)+(-4.36968+(-0.389436--0.356592))+0-0-0</f>
        <v>4311.7974759999997</v>
      </c>
      <c r="T291" s="3">
        <f>4232+(409.6-382.6)+(-8.63328+(-0.835584--0.780504))+0-0-0</f>
        <v>4250.3116399999999</v>
      </c>
      <c r="U291" s="3">
        <f>4276.1+(360.8-456.7)+(10.904055+(0.92004-1.164585))+0-0-0</f>
        <v>4190.8595100000011</v>
      </c>
      <c r="V291" s="3">
        <f>4415.9+(240.2-363.5)+(0+(0-0))+0-0-0</f>
        <v>4292.5999999999995</v>
      </c>
      <c r="W291" s="3">
        <f>4897.3+(237.5-329.9)+(4.995246+(0.24225-0.336498))+0-0-0</f>
        <v>4809.8009980000006</v>
      </c>
      <c r="X291" s="3">
        <f>4972.8+(432.6-397)+(-7.608384+(-0.661878--0.60741))+0-0-0</f>
        <v>5000.7371480000002</v>
      </c>
      <c r="Y291" s="3">
        <f>4983.5+(393-380.5)+(2.541585+(0.20043-0.194055))+0-0-0</f>
        <v>4998.5479599999999</v>
      </c>
      <c r="Z291" s="3">
        <f>4856.4+(470.3-367.1)+(2.476764+(0.239853-0.187221))+0-0-0</f>
        <v>4962.1293959999994</v>
      </c>
      <c r="AA291" s="3">
        <f>4783.1+(411.3-340.4)+(4.878762+(0.419526-0.347208))+0-0-0</f>
        <v>4858.9510799999998</v>
      </c>
      <c r="AB291" s="3">
        <f>4427.7+(601.4-339.3)+(-4.516254+(-0.613428--0.346086))+0-0-0</f>
        <v>4685.016404</v>
      </c>
      <c r="AC291" s="3">
        <f>4149.3+(472.6-233)+(-10.580715+(-1.20513--0.59415))+0-0-0</f>
        <v>4377.7083050000001</v>
      </c>
      <c r="AD291" s="2">
        <v>4922.6000000000004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4151.4+(231.6-380.4)+(-6.351642+(-0.354348--0.582012))+0-0-0</f>
        <v>3996.4760219999994</v>
      </c>
      <c r="G292" s="3">
        <f>4161.9+(148.7-598.9)+(0+(0-0))+0-0-0</f>
        <v>3711.7</v>
      </c>
      <c r="H292" s="3">
        <f>4128.5+(139.1-711.9)+(2.105535+(0.070941-0.363069))+0-0-0</f>
        <v>3557.5134069999999</v>
      </c>
      <c r="I292" s="3">
        <f>3914.8+(74.4-521.8)+(5.989644+(0.113832-0.798354))+0-0-0</f>
        <v>3472.7051220000003</v>
      </c>
      <c r="J292" s="3">
        <f>4063.6+(42.6-662.7)+(10.36218+(0.10863-1.689885))+0-0-0</f>
        <v>3452.280925</v>
      </c>
      <c r="K292" s="3">
        <f>4058+(68.1-583.9)+(4.13916+(0.069462-0.595578))+0-0-0</f>
        <v>3545.813044</v>
      </c>
      <c r="L292" s="3">
        <f>4020.4+(178.6-517.3)+(-12.302424+(-0.546516--1.582938))+0-0-0</f>
        <v>3670.4339980000004</v>
      </c>
      <c r="M292" s="3">
        <f>3996.4+(369.2-377.5)+(6.114492+(0.564876-0.577575))+0-0-0</f>
        <v>3994.2017929999997</v>
      </c>
      <c r="N292" s="3">
        <f>4209.6+(540.5-263)+(0+(0-0))+0-0-0</f>
        <v>4487.1000000000004</v>
      </c>
      <c r="O292" s="3">
        <f>4235.5+(890.7-175.7)+(-8.64042+(-1.817028--0.358428))+0-0-0</f>
        <v>4940.4009800000003</v>
      </c>
      <c r="P292" s="3">
        <f>4157.3+(1370.6-168.2)+(4.240446+(1.398012-0.171564))+0-0-0</f>
        <v>5365.166894</v>
      </c>
      <c r="Q292" s="3">
        <f>4053.6+(1703.2-162.8)+(0+(0-0))+0-0-0</f>
        <v>5594</v>
      </c>
      <c r="R292" s="3">
        <f>3868.1+(1787.6-165.3)+(-5.918193+(-2.735028--0.252909))+0-0-0</f>
        <v>5481.9996879999999</v>
      </c>
      <c r="S292" s="3">
        <f>3934.7+(1512-157.3)+(-4.013394+(-1.54224--0.160446))+0-0-0</f>
        <v>5284.0048119999992</v>
      </c>
      <c r="T292" s="3">
        <f>4125.3+(1352.7-147.8)+(2.103903+(0.689877-0.075378))+0-0-0</f>
        <v>5332.9184020000012</v>
      </c>
      <c r="U292" s="3">
        <f>4215+(1254.1-148.7)+(6.44895+(1.918773-0.227511))+0-0-0</f>
        <v>5328.5402119999999</v>
      </c>
      <c r="V292" s="3">
        <f>4489.9+(1063.9-157.5)+(2.289849+(0.542589-0.080325))+0-0-0</f>
        <v>5399.0521129999988</v>
      </c>
      <c r="W292" s="3">
        <f>4853+(1269.2-237)+(0+(0-0))+0-0-0</f>
        <v>5885.2</v>
      </c>
      <c r="X292" s="3">
        <f>4876.2+(1332.4-240.1)+(-2.486862+(-0.679524--0.122451))+0-0-0</f>
        <v>5965.4560650000003</v>
      </c>
      <c r="Y292" s="3">
        <f>4874.8+(1167.7-237)+(-9.944592+(-2.382108--0.48348))+0-0-0</f>
        <v>5793.6567800000003</v>
      </c>
      <c r="Z292" s="3">
        <f>4869.6+(1010.4-226.8)+(-2.483496+(-0.515304--0.115668))+0-0-0</f>
        <v>5650.3168680000008</v>
      </c>
      <c r="AA292" s="3">
        <f>4760.5+(846.6-225.3)+(0+(0-0))+0-0-0</f>
        <v>5381.8</v>
      </c>
      <c r="AB292" s="3">
        <f>4732.4+(688.7-301.5)+(-7.240572+(-1.053711--0.461295))+0-0-0</f>
        <v>5111.7670119999993</v>
      </c>
      <c r="AC292" s="3">
        <f>4735.9+(402.1-421.9)+(-2.415309+(-0.205071--0.215169))+0-0-0</f>
        <v>4713.6947889999992</v>
      </c>
      <c r="AD292" s="2">
        <v>5905.2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4322.2+(376.2-457.9)+(-4.408644+(-0.383724--0.467058))+0-0-0</f>
        <v>4236.1746899999998</v>
      </c>
      <c r="G293" s="3">
        <f>4191.3+(358.2-618.6)+(2.137563+(0.182682-0.315486))+0-0-0</f>
        <v>3932.904759</v>
      </c>
      <c r="H293" s="3">
        <f>4208.2+(345.1-786.7)+(-4.292364+(-0.352002--0.802434))+0-0-0</f>
        <v>3762.7580680000001</v>
      </c>
      <c r="I293" s="3">
        <f>4221.5+(312.8-846.5)+(2.152965+(0.159528-0.431715))+0-0-0</f>
        <v>3689.6807780000004</v>
      </c>
      <c r="J293" s="3">
        <f>4247+(315.5-870.8)+(8.66388+(0.64362-1.776432))+0-0-0</f>
        <v>3699.2310679999996</v>
      </c>
      <c r="K293" s="3">
        <f>4280.5+(282.7-798.5)+(4.36611+(0.288354-0.81447))+0-0-0</f>
        <v>3768.5399939999998</v>
      </c>
      <c r="L293" s="3">
        <f>4382.8+(349-697.8)+(4.470456+(0.35598-0.711756))+0-0-0</f>
        <v>4038.1146800000001</v>
      </c>
      <c r="M293" s="3">
        <f>4290.7+(494.4-290)+(-4.376514+(-0.504288--0.2958))+0-0-0</f>
        <v>4490.5149979999997</v>
      </c>
      <c r="N293" s="3">
        <f>4565.4+(689.5-220.5)+(4.656708+(0.70329-0.22491))+0-0-0</f>
        <v>5039.5350879999996</v>
      </c>
      <c r="O293" s="3">
        <f>4702.3+(946.5-214.9)+(4.796346+(0.96543-0.219198))+0-0-0</f>
        <v>5439.4425780000001</v>
      </c>
      <c r="P293" s="3">
        <f>4730+(1160.6-210.4)+(2.4123+(0.591906-0.107304))+0-0-0</f>
        <v>5683.0969020000002</v>
      </c>
      <c r="Q293" s="3">
        <f>4738.4+(1298.5-210.3)+(-2.416584+(-0.662235--0.107253))+0-0-0</f>
        <v>5823.6284339999993</v>
      </c>
      <c r="R293" s="3">
        <f>4624.3+(1327.5-200.9)+(-9.433572+(-2.7081--0.409836))+0-0-0</f>
        <v>5739.1681639999997</v>
      </c>
      <c r="S293" s="3">
        <f>4613.7+(1183.6-187.6)+(-7.058961+(-1.810908--0.287028))+0-0-0</f>
        <v>5601.1171589999994</v>
      </c>
      <c r="T293" s="3">
        <f>4569.4+(1288.5-196.6)+(-13.982364+(-3.94281--0.601596))+0-0-0</f>
        <v>5643.9764219999988</v>
      </c>
      <c r="U293" s="3">
        <f>4525.7+(1240.7-208.3)+(6.924321+(1.898271-0.318699))+0-0-0</f>
        <v>5566.6038930000004</v>
      </c>
      <c r="V293" s="3">
        <f>4652.9+(1139.3-215.7)+(0+(0-0))+0-0-0</f>
        <v>5576.5</v>
      </c>
      <c r="W293" s="3">
        <f>4817.2+(1426.7-223.4)+(2.456772+(0.727617-0.113934))+0-0-0</f>
        <v>6023.570455</v>
      </c>
      <c r="X293" s="3">
        <f>4901.1+(1411-234.5)+(-12.497805+(-3.59805--0.597975))+0-0-0</f>
        <v>6062.1021200000005</v>
      </c>
      <c r="Y293" s="3">
        <f>4923+(1212.9-228.8)+(-5.02146+(-1.237158--0.233376))+0-0-0</f>
        <v>5901.0747580000007</v>
      </c>
      <c r="Z293" s="3">
        <f>4828.9+(1113.2-210.2)+(-2.462739+(-0.567732--0.107202))+0-0-0</f>
        <v>5728.9767309999997</v>
      </c>
      <c r="AA293" s="3">
        <f>4576.3+(1090-206.9)+(-9.335652+(-2.2236--0.422076))+0-0-0</f>
        <v>5448.2628240000004</v>
      </c>
      <c r="AB293" s="3">
        <f>4561.6+(924.3-313.7)+(-2.326416+(-0.471393--0.159987))+0-0-0</f>
        <v>5169.562178000001</v>
      </c>
      <c r="AC293" s="3">
        <f>4503.1+(698.8-453)+(-11.482905+(-1.78194--1.15515))+0-0-0</f>
        <v>4736.7903050000004</v>
      </c>
      <c r="AD293" s="2">
        <v>6105.7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4311+(378.7-419)+(-10.99305+(-0.965685--1.06845))+0-0-0</f>
        <v>4259.8097149999994</v>
      </c>
      <c r="G294" s="3">
        <f>4010.7+(376-454.1)+(-10.227285+(-0.9588--1.157955))+0-0-0</f>
        <v>3922.5718699999998</v>
      </c>
      <c r="H294" s="3">
        <f>3847.3+(383.6-466.8)+(3.924246+(0.391272-0.476136))+0-0-0</f>
        <v>3767.9393820000005</v>
      </c>
      <c r="I294" s="3">
        <f>3947.5+(255.9-509.2)+(2.013225+(0.130509-0.259692))+0-0-0</f>
        <v>3696.084042</v>
      </c>
      <c r="J294" s="3">
        <f>4113.4+(214.2-637.6)+(-4.195668+(-0.218484--0.650352))+0-0-0</f>
        <v>3686.2361999999994</v>
      </c>
      <c r="K294" s="3">
        <f>4153.3+(204.8-580.7)+(4.236366+(0.208896-0.592314))+0-0-0</f>
        <v>3781.2529480000003</v>
      </c>
      <c r="L294" s="3">
        <f>4325.5+(266.6-544.2)+(8.82402+(0.543864-1.110168))+0-0-0</f>
        <v>4056.1577160000002</v>
      </c>
      <c r="M294" s="3">
        <f>4461.9+(317.4-370.4)+(-4.551138+(-0.323748--0.377808))+0-0-0</f>
        <v>4404.4029219999993</v>
      </c>
      <c r="N294" s="3">
        <f>4749.3+(513.4-222.4)+(-2.422143+(-0.261834--0.113424))+0-0-0</f>
        <v>5037.7294470000006</v>
      </c>
      <c r="O294" s="3">
        <f>4951.7+(697.9-222)+(-5.050734+(-0.711858--0.22644))+0-0-0</f>
        <v>5422.0638479999998</v>
      </c>
      <c r="P294" s="3">
        <f>5028+(911.2-242.3)+(-5.12856+(-0.929424--0.247146))+0-0-0</f>
        <v>5691.0891619999993</v>
      </c>
      <c r="Q294" s="3">
        <f>5033.6+(1028.6-240.9)+(-5.134272+(-1.049172--0.245718))+0-0-0</f>
        <v>5815.3622740000001</v>
      </c>
      <c r="R294" s="3">
        <f>4987.8+(1011.8-253.3)+(-10.175112+(-2.064072--0.516732))+0-0-0</f>
        <v>5734.5775480000002</v>
      </c>
      <c r="S294" s="3">
        <f>4827.1+(1010.5-278.5)+(2.461821+(0.515355-0.142035))+0-0-0</f>
        <v>5561.9351409999999</v>
      </c>
      <c r="T294" s="3">
        <f>4864.1+(1022.2-304.9)+(-2.480691+(-0.521322--0.155499))+0-0-0</f>
        <v>5578.5534860000007</v>
      </c>
      <c r="U294" s="3">
        <f>4906.6+(927.8-314.3)+(-5.004732+(-0.946356--0.320586))+0-0-0</f>
        <v>5514.4694980000004</v>
      </c>
      <c r="V294" s="3">
        <f>4912.3+(949.5-290.1)+(-5.010546+(-0.96849--0.295902))+0-0-0</f>
        <v>5566.0168659999999</v>
      </c>
      <c r="W294" s="3">
        <f>5184+(1137.1-313.1)+(2.64384+(0.579921-0.159681))+0-0-0</f>
        <v>6011.0640800000001</v>
      </c>
      <c r="X294" s="3">
        <f>5286.6+(1171.6-358.5)+(-8.088498+(-1.792548--0.548505))+0-0-0</f>
        <v>6090.367459000001</v>
      </c>
      <c r="Y294" s="3">
        <f>5286.8+(1000.9-357.1)+(2.696268+(0.510459-0.182121))+0-0-0</f>
        <v>5933.6246060000003</v>
      </c>
      <c r="Z294" s="3">
        <f>5153.7+(1001.9-415.6)+(-2.628387+(-0.510969--0.211956))+0-0-0</f>
        <v>5737.0726000000004</v>
      </c>
      <c r="AA294" s="3">
        <f>5041.1+(866.7-451.2)+(-5.141922+(-0.884034--0.460224))+0-0-0</f>
        <v>5451.0342680000003</v>
      </c>
      <c r="AB294" s="3">
        <f>5027.3+(681.5-515.9)+(-10.255692+(-1.39026--1.052436))+0-0-0</f>
        <v>5182.3064840000006</v>
      </c>
      <c r="AC294" s="3">
        <f>4968.8+(438.2-615.8)+(-12.67044+(-1.11741--1.57029))+0-0-0</f>
        <v>4778.9824399999998</v>
      </c>
      <c r="AD294" s="2">
        <v>6139.2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4289.2+(533.5-528.4)+(-2.187492+(-0.272085--0.269484))+0-0-0</f>
        <v>4292.109907</v>
      </c>
      <c r="G295" s="3">
        <f>4081.9+(447.2-559.4)+(-8.327076+(-0.912288--1.141176))+0-0-0</f>
        <v>3961.6018120000003</v>
      </c>
      <c r="H295" s="3">
        <f>3960.2+(279.2-422.4)+(2.019702+(0.142392-0.215424))+0-0-0</f>
        <v>3818.9466699999998</v>
      </c>
      <c r="I295" s="3">
        <f>3963.5+(210-460)+(-6.064155+(-0.3213--0.7038))+0-0-0</f>
        <v>3707.8183450000001</v>
      </c>
      <c r="J295" s="3">
        <f>3937.6+(223.5-441.4)+(2.008176+(0.113985-0.225114))+0-0-0</f>
        <v>3721.5970469999997</v>
      </c>
      <c r="K295" s="3">
        <f>4005.3+(211.6-430.8)+(2.042703+(0.107916-0.219708))+0-0-0</f>
        <v>3788.0309110000003</v>
      </c>
      <c r="L295" s="3">
        <f>4332.1+(190.5-465)+(-11.046855+(-0.485775--1.18575))+0-0-0</f>
        <v>4047.2531200000003</v>
      </c>
      <c r="M295" s="3">
        <f>4709.8+(301.7-485.3)+(-7.205994+(-0.461601--0.742509))+0-0-0</f>
        <v>4519.2749139999996</v>
      </c>
      <c r="N295" s="3">
        <f>4926.8+(542.9-380)+(5.025336+(0.553758-0.3876))+0-0-0</f>
        <v>5094.8914939999995</v>
      </c>
      <c r="O295" s="3">
        <f>4891.9+(883.1-254.7)+(-2.494869+(-0.450381--0.129897))+0-0-0</f>
        <v>5517.4846469999993</v>
      </c>
      <c r="P295" s="3">
        <f>4909.4+(1161.8-309.3)+(7.511382+(1.777554-0.473229))+0-0-0</f>
        <v>5770.7157069999994</v>
      </c>
      <c r="Q295" s="3">
        <f>4929.9+(1309.8-341.1)+(0+(0-0))+0-0-0</f>
        <v>5898.5999999999995</v>
      </c>
      <c r="R295" s="3">
        <f>4912.1+(1262.4-337)+(-2.505171+(-0.643824--0.17187))+0-0-0</f>
        <v>5834.5228749999997</v>
      </c>
      <c r="S295" s="3">
        <f>4883.6+(1072.7-310.7)+(-2.490636+(-0.547077--0.158457))+0-0-0</f>
        <v>5642.7207440000002</v>
      </c>
      <c r="T295" s="3">
        <f>4875.1+(1081.5-258.4)+(-2.486301+(-0.551565--0.131784))+0-0-0</f>
        <v>5695.2939180000003</v>
      </c>
      <c r="U295" s="3">
        <f>4911.7+(981.1-241.3)+(0+(0-0))+0-0-0</f>
        <v>5651.5</v>
      </c>
      <c r="V295" s="3">
        <f>4953.5+(991.4-264.5)+(-2.526285+(-0.505614--0.134895))+0-0-0</f>
        <v>5677.5029959999993</v>
      </c>
      <c r="W295" s="3">
        <f>5113.6+(1441.4-493.5)+(2.607936+(0.735114-0.251685))+0-0-0</f>
        <v>6064.5913650000002</v>
      </c>
      <c r="X295" s="3">
        <f>5249.4+(1393.3-508.8)+(-10.708776+(-2.842332--1.037952))+0-0-0</f>
        <v>6121.3868439999997</v>
      </c>
      <c r="Y295" s="3">
        <f>5241.3+(1158.2-474.7)+(-2.673063+(-0.590682--0.242097))+0-0-0</f>
        <v>5921.7783520000003</v>
      </c>
      <c r="Z295" s="3">
        <f>5183.3+(955.4-418.3)+(-5.286966+(-0.974508--0.426666))+0-0-0</f>
        <v>5714.565192</v>
      </c>
      <c r="AA295" s="3">
        <f>5094.6+(806.9-424.3)+(0+(0-0))+0-0-0</f>
        <v>5477.2000000000007</v>
      </c>
      <c r="AB295" s="3">
        <f>5056.6+(715.1-539.8)+(-7.736598+(-1.094103--0.825894))+0-0-0</f>
        <v>5223.8951930000003</v>
      </c>
      <c r="AC295" s="3">
        <f>4724.6+(567.1-491.8)+(-4.819092+(-0.578442--0.501636))+0-0-0</f>
        <v>4795.0041020000008</v>
      </c>
      <c r="AD295" s="2">
        <v>6227.5999999999995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4482.6+(306.6-435.8)+(-11.43063+(-0.78183--1.11129))+0-0-0</f>
        <v>4342.2988300000006</v>
      </c>
      <c r="G296" s="3">
        <f>4281+(351.6-459.3)+(0+(0-0))+0-0-0</f>
        <v>4173.3</v>
      </c>
      <c r="H296" s="3">
        <f>4063.6+(334.5-557)+(-4.144872+(-0.34119--0.56814))+0-0-0</f>
        <v>3837.1820779999998</v>
      </c>
      <c r="I296" s="3">
        <f>3931.6+(256.7-422.2)+(-4.010232+(-0.261834--0.430644))+0-0-0</f>
        <v>3762.2585779999999</v>
      </c>
      <c r="J296" s="3">
        <f>3957.5+(167.6-493.1)+(0+(0-0))+0-0-0</f>
        <v>3632</v>
      </c>
      <c r="K296" s="3">
        <f>4157+(181-474.4)+(-2.12007+(-0.09231--0.241944))+0-0-0</f>
        <v>3861.6295639999998</v>
      </c>
      <c r="L296" s="3">
        <f>4572.5+(138.4-637.3)+(0+(0-0))+0-0-0</f>
        <v>4073.6</v>
      </c>
      <c r="M296" s="3">
        <f>4703.3+(299.4-517.6)+(4.797366+(0.305388-0.527952))+0-0-0</f>
        <v>4489.6748020000005</v>
      </c>
      <c r="N296" s="3">
        <f>4781.5+(621.3-439.5)+(4.87713+(0.633726-0.44829))+0-0-0</f>
        <v>4968.3625659999998</v>
      </c>
      <c r="O296" s="3">
        <f>5058.2+(903.5-532.3)+(0+(0-0))+0-0-0</f>
        <v>5429.4</v>
      </c>
      <c r="P296" s="3">
        <f>5230.7+(1029.9-606)+(8.002971+(1.575747-0.92718))+0-0-0</f>
        <v>5663.2515380000004</v>
      </c>
      <c r="Q296" s="3">
        <f>5202.7+(1147.6-541.2)+(-5.306754+(-1.170552--0.552024))+0-0-0</f>
        <v>5803.1747179999993</v>
      </c>
      <c r="R296" s="3">
        <f>5179.5+(1039.4-479)+(-13.207725+(-2.65047--1.22145))+0-0-0</f>
        <v>5725.2632549999998</v>
      </c>
      <c r="S296" s="3">
        <f>5195.1+(865.5-497.5)+(-2.649501+(-0.441405--0.253725))+0-0-0</f>
        <v>5560.2628190000005</v>
      </c>
      <c r="T296" s="3">
        <f>5199.3+(931.8-459)+(-2.651643+(-0.475218--0.23409))+0-0-0</f>
        <v>5669.2072290000006</v>
      </c>
      <c r="U296" s="3">
        <f>5148.4+(850.3-462.7)+(2.625684+(0.433653-0.235977))+0-0-0</f>
        <v>5538.8233600000003</v>
      </c>
      <c r="V296" s="3">
        <f>5245.2+(912.2-505.5)+(0+(0-0))+0-0-0</f>
        <v>5651.9</v>
      </c>
      <c r="W296" s="3">
        <f>5354.1+(1356.3-613.6)+(2.730591+(0.691713-0.312936))+0-0-0</f>
        <v>6099.9093680000005</v>
      </c>
      <c r="X296" s="3">
        <f>5331.5+(1461.7-642.5)+(-13.595325+(-3.727335--1.638375))+0-0-0</f>
        <v>6135.0157149999995</v>
      </c>
      <c r="Y296" s="3">
        <f>5340.8+(1156.1-636.8)+(-10.895232+(-2.358444--1.299072))+0-0-0</f>
        <v>5848.1453960000008</v>
      </c>
      <c r="Z296" s="3">
        <f>5307.4+(954.9-616.9)+(-13.53387+(-2.434995--1.573095))+0-0-0</f>
        <v>5631.0042299999996</v>
      </c>
      <c r="AA296" s="3">
        <f>5233.6+(757.8-632.8)+(-5.338272+(-0.772956--0.645456))+0-0-0</f>
        <v>5353.1342280000008</v>
      </c>
      <c r="AB296" s="3">
        <f>4890.8+(814.4-568.6)+(-7.482924+(-1.246032--0.869958))+0-0-0</f>
        <v>5128.7410020000007</v>
      </c>
      <c r="AC296" s="3">
        <f>4472.9+(765.5-486.6)+(-4.562358+(-0.78081--0.496332))+0-0-0</f>
        <v>4746.9531639999996</v>
      </c>
      <c r="AD296" s="2">
        <v>6105.4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4374.3+(405.4-435.2)+(-2.230893+(-0.206754--0.221952))+0-0-0</f>
        <v>4342.2843050000001</v>
      </c>
      <c r="G297" s="3">
        <f>3979+(430.1-420.9)+(6.08787+(0.658053-0.643977))+0-0-0</f>
        <v>3994.301946</v>
      </c>
      <c r="H297" s="3">
        <f>3885.8+(354.2-449.8)+(-1.981758+(-0.180642--0.229398))+0-0-0</f>
        <v>3788.2669980000001</v>
      </c>
      <c r="I297" s="3">
        <f>3890.1+(268.8-455.5)+(5.951853+(0.411264-0.696915))+0-0-0</f>
        <v>3709.066202</v>
      </c>
      <c r="J297" s="3">
        <f>3883.6+(261-458.1)+(0+(0-0))+0-0-0</f>
        <v>3686.5</v>
      </c>
      <c r="K297" s="3">
        <f>4094.3+(206.7-560.2)+(8.352372+(0.421668-1.142808))+0-0-0</f>
        <v>3748.4312320000004</v>
      </c>
      <c r="L297" s="3">
        <f>4382.8+(199.6-683.2)+(-8.940912+(-0.407184--1.393728))+0-0-0</f>
        <v>3891.2456320000001</v>
      </c>
      <c r="M297" s="3">
        <f>4392.6+(303.7-502.6)+(-2.240226+(-0.154887--0.256326))+0-0-0</f>
        <v>4191.5612130000009</v>
      </c>
      <c r="N297" s="3">
        <f>4471.2+(653.2-410)+(-2.280312+(-0.333132--0.2091))+0-0-0</f>
        <v>4711.9956560000001</v>
      </c>
      <c r="O297" s="3">
        <f>4798.6+(925.8-568.1)+(4.894572+(0.944316-0.579462))+0-0-0</f>
        <v>5161.5594259999998</v>
      </c>
      <c r="P297" s="3">
        <f>4990.2+(1094.8-587.8)+(-2.545002+(-0.558348--0.299778))+0-0-0</f>
        <v>5494.396428</v>
      </c>
      <c r="Q297" s="3">
        <f>5004.1+(1267.4-636.4)+(0+(0-0))+0-0-0</f>
        <v>5635.1</v>
      </c>
      <c r="R297" s="3">
        <f>4957+(1211.8-638.9)+(-7.58421+(-1.854054--0.977517))+0-0-0</f>
        <v>5521.4392529999996</v>
      </c>
      <c r="S297" s="3">
        <f>4955.7+(927.6-621.2)+(0+(0-0))+0-0-0</f>
        <v>5262.0999999999995</v>
      </c>
      <c r="T297" s="3">
        <f>4959.7+(856-571.9)+(-12.647235+(-2.1828--1.458345))+0-0-0</f>
        <v>5230.4283100000002</v>
      </c>
      <c r="U297" s="3">
        <f>5026.8+(777.8-669.8)+(-7.691004+(-1.190034--1.024794))+0-0-0</f>
        <v>5126.9437560000006</v>
      </c>
      <c r="V297" s="3">
        <f>4906.4+(795.8-625.4)+(-7.506792+(-1.217574--0.956862))+0-0-0</f>
        <v>5069.0324959999989</v>
      </c>
      <c r="W297" s="3">
        <f>5220.3+(1083.5-884.2)+(2.662353+(0.552585-0.450942))+0-0-0</f>
        <v>5422.363996</v>
      </c>
      <c r="X297" s="3">
        <f>5372+(1030.7-860.8)+(-5.47944+(-1.051314--0.878016))+0-0-0</f>
        <v>5536.2472619999999</v>
      </c>
      <c r="Y297" s="3">
        <f>5412.2+(798.2-810.2)+(-5.520444+(-0.814164--0.826404))+0-0-0</f>
        <v>5394.6917960000001</v>
      </c>
      <c r="Z297" s="3">
        <f>5293.5+(669.6-738.9)+(-13.498425+(-1.70748--1.884195))+0-0-0</f>
        <v>5210.8782899999997</v>
      </c>
      <c r="AA297" s="3">
        <f>5179.4+(626.5-793.7)+(0+(0-0))+0-0-0</f>
        <v>5012.2</v>
      </c>
      <c r="AB297" s="3">
        <f>5059.8+(674.9-893.3)+(-12.90249+(-1.720995--2.277915))+0-0-0</f>
        <v>4829.0544300000001</v>
      </c>
      <c r="AC297" s="3">
        <f>4733.7+(703.1-884.7)+(-4.828374+(-0.717162--0.902394))+0-0-0</f>
        <v>4547.4568579999996</v>
      </c>
      <c r="AD297" s="2">
        <v>5595.5000000000009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4618+(394.6-813.8)+(-4.71036+(-0.402492--0.830076))+0-0-0</f>
        <v>4194.5172240000002</v>
      </c>
      <c r="G298" s="3">
        <f>4428+(359-895.8)+(0+(0-0))+0-0-0</f>
        <v>3891.2</v>
      </c>
      <c r="H298" s="3">
        <f>4374.9+(260.3-979.7)+(-2.231199+(-0.132753--0.499647))+0-0-0</f>
        <v>3653.6356949999995</v>
      </c>
      <c r="I298" s="3">
        <f>4386.4+(126.9-950.6)+(6.711192+(0.194157-1.454418))+0-0-0</f>
        <v>3568.1509309999997</v>
      </c>
      <c r="J298" s="3">
        <f>4316.9+(180.4-969.5)+(-11.008095+(-0.46002--2.472225))+0-0-0</f>
        <v>3518.8041099999996</v>
      </c>
      <c r="K298" s="3">
        <f>4362.5+(61.1-911.5)+(2.224875+(0.031161-0.464865))+0-0-0</f>
        <v>3513.8911709999998</v>
      </c>
      <c r="L298" s="3">
        <f>4321+(67.5-870.3)+(-11.01855+(-0.172125--2.219265))+0-0-0</f>
        <v>3509.2285899999997</v>
      </c>
      <c r="M298" s="3">
        <f>4174.2+(22-859.6)+(-17.030736+(-0.08976--3.507168))+0-0-0</f>
        <v>3322.986672</v>
      </c>
      <c r="N298" s="3">
        <f>4176.8+(86.5-795.9)+(-2.130168+(-0.044115--0.405909))+4.6-0-0</f>
        <v>3470.2316259999998</v>
      </c>
      <c r="O298" s="3">
        <f>4296.5+(231.9-832.1)+(-4.38243+(-0.236538--0.848742))+0-0-0</f>
        <v>3692.5297740000001</v>
      </c>
      <c r="P298" s="3">
        <f>4351.3+(403.1-786.6)+(6.657489+(0.616743-1.203498))+0-0-0</f>
        <v>3973.8707340000001</v>
      </c>
      <c r="Q298" s="3">
        <f>4412+(516.6-819.7)+(-11.2506+(-1.31733--2.090235))+0-0-0</f>
        <v>4098.4223050000001</v>
      </c>
      <c r="R298" s="3">
        <f>4408.8+(535.8-803.8)+(-11.24244+(-1.36629--2.04969))+0-0-0</f>
        <v>4130.2409600000001</v>
      </c>
      <c r="S298" s="3">
        <f>4150+(685.5-783.7)+(0+(0-0))+0-0-0</f>
        <v>4051.8</v>
      </c>
      <c r="T298" s="3">
        <f>4150.4+(633.7-769.7)+(-4.233408+(-0.646374--0.785094))+0-0-0</f>
        <v>4010.3053119999995</v>
      </c>
      <c r="U298" s="3">
        <f>4195+(525.6-754.1)+(0+(0-0))+0-0-0</f>
        <v>3966.5</v>
      </c>
      <c r="V298" s="3">
        <f>4307.4+(531.9-749.5)+(2.196774+(0.271269-0.382245))+0-0-0</f>
        <v>4091.8857979999998</v>
      </c>
      <c r="W298" s="3">
        <f>4865+(631.9-935.6)+(-2.48115+(-0.322269--0.477156))+0-0-0</f>
        <v>4558.9737370000003</v>
      </c>
      <c r="X298" s="3">
        <f>5226.1+(670.4-1053.9)+(-2.665311+(-0.341904--0.537489))+0-0-0</f>
        <v>4840.1302740000001</v>
      </c>
      <c r="Y298" s="3">
        <f>5215.1+(674.7-1053.9)+(0+(0-0))+0-0-0</f>
        <v>4835.9000000000005</v>
      </c>
      <c r="Z298" s="3">
        <f>5004.3+(741.9-954.9)+(2.552193+(0.378369-0.486999))+0-0-0</f>
        <v>4793.743563</v>
      </c>
      <c r="AA298" s="3">
        <f>4932.2+(685.7-918.4)+(10.061688+(1.398828-1.873536))+0-0-0</f>
        <v>4709.08698</v>
      </c>
      <c r="AB298" s="3">
        <f>4749.7+(740.9-950)+(0+(0-0))+0-0-0</f>
        <v>4540.5999999999995</v>
      </c>
      <c r="AC298" s="3">
        <f>4674.6+(534.7-895.9)+(-16.688322+(-1.908879--3.198363))+0-0-0</f>
        <v>4298.0011620000005</v>
      </c>
      <c r="AD298" s="2">
        <v>4832.1000000000004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4323.9+(381.6-739.2)+(-8.820756+(-0.778464--1.507968))+0-0-0</f>
        <v>3958.2087479999996</v>
      </c>
      <c r="G299" s="3">
        <f>4154.5+(220.8-707.9)+(-8.47518+(-0.450432--1.444116))+0-0-0</f>
        <v>3659.9185040000002</v>
      </c>
      <c r="H299" s="3">
        <f>4158.6+(78.8-757.8)+(-6.362658+(-0.120564--1.159434))+0-0-0</f>
        <v>3474.2762120000002</v>
      </c>
      <c r="I299" s="3">
        <f>4153.3+(63.3-841.8)+(-6.354549+(-0.096849--1.287954))+0-0-0</f>
        <v>3369.6365560000004</v>
      </c>
      <c r="J299" s="3">
        <f>4198.4+(53.4-912.9)+(4.282368+(0.054468-0.931158))+0-0-0</f>
        <v>3342.3056779999997</v>
      </c>
      <c r="K299" s="3">
        <f>4209.3+(42.6-892.7)+(8.586972+(0.086904-1.821108))+0-0-0</f>
        <v>3366.0527680000005</v>
      </c>
      <c r="L299" s="3">
        <f>4168.4+(63.8-810.2)+(-8.503536+(-0.130152--1.652808))+0-0-0</f>
        <v>3415.0191199999995</v>
      </c>
      <c r="M299" s="3">
        <f>4187.2+(61.9-836.9)+(2.135472+(0.031569-0.426819))+0-0-0</f>
        <v>3413.9402219999997</v>
      </c>
      <c r="N299" s="3">
        <f>4467.3+(38.4-912.2)+(-6.834969+(-0.058752--1.395666))+0-0-0</f>
        <v>3588.001945</v>
      </c>
      <c r="O299" s="3">
        <f>4581.2+(87-762.6)+(-2.336412+(-0.04437--0.388926))+0-0-0</f>
        <v>3903.6081439999998</v>
      </c>
      <c r="P299" s="3">
        <f>4692+(330.9-761.9)+(-9.57168+(-0.675036--1.554276))+0-0-0</f>
        <v>4252.3075600000002</v>
      </c>
      <c r="Q299" s="3">
        <f>4770.2+(514.4-752.5)+(-2.432802+(-0.262344--0.383775))+0-0-0</f>
        <v>4529.7886289999997</v>
      </c>
      <c r="R299" s="3">
        <f>4756.8+(485.5-669.9)+(-16.981776+(-1.733235--2.391543))+0-0-0</f>
        <v>4556.076532000001</v>
      </c>
      <c r="S299" s="3">
        <f>4775+(384.1-682.9)+(0+(0-0))+0-0-0</f>
        <v>4476.2</v>
      </c>
      <c r="T299" s="3">
        <f>4842.8+(264.6-707.2)+(-4.939656+(-0.269892--0.721344))+0-0-0</f>
        <v>4395.7117959999996</v>
      </c>
      <c r="U299" s="3">
        <f>4876.7+(172.4-707.7)+(0+(0-0))+0-0-0</f>
        <v>4341.3999999999996</v>
      </c>
      <c r="V299" s="3">
        <f>4848.4+(244.4-677.1)+(-2.472684+(-0.124644--0.345321))+0-0-0</f>
        <v>4413.4479929999998</v>
      </c>
      <c r="W299" s="3">
        <f>5346.8+(482-887.6)+(2.726868+(0.24582-0.452676))+0-0-0</f>
        <v>4943.7200119999998</v>
      </c>
      <c r="X299" s="3">
        <f>5598.8+(699.3-1033.3)+(-8.566164+(-1.069929--1.580949))+0-0-0</f>
        <v>5256.7448560000003</v>
      </c>
      <c r="Y299" s="3">
        <f>5583.9+(774-1081.9)+(-8.543367+(-1.18422--1.655307))+0-0-0</f>
        <v>5267.9277199999997</v>
      </c>
      <c r="Z299" s="3">
        <f>5469+(735.1-986)+(-2.78919+(-0.374901--0.50286))+0-0-0</f>
        <v>5215.4387690000003</v>
      </c>
      <c r="AA299" s="3">
        <f>5239.7+(728.2-894.2)+(-2.672247+(-0.371382--0.456042))+0-0-0</f>
        <v>5071.1124129999998</v>
      </c>
      <c r="AB299" s="3">
        <f>5148.6+(527.2-790.4)+(-10.503144+(-1.075488--1.612416))+0-0-0</f>
        <v>4875.4337840000007</v>
      </c>
      <c r="AC299" s="3">
        <f>4918.5+(252.8-672.4)+(-7.525305+(-0.386784--1.028772))+0-0-0</f>
        <v>4492.0166829999998</v>
      </c>
      <c r="AD299" s="2">
        <v>5270.7999999999993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4501.1+(489.2-911.3)+(2.295561+(0.249492-0.464763))+0-0-0</f>
        <v>4081.0802900000003</v>
      </c>
      <c r="G300" s="3">
        <f>4136.4+(449.2-827.7)+(4.219128+(0.458184-0.844254))+0-0-0</f>
        <v>3761.7330579999998</v>
      </c>
      <c r="H300" s="3">
        <f>3966.8+(402.2-779)+(2.023068+(0.205122-0.39729))+0-0-0</f>
        <v>3591.8308999999999</v>
      </c>
      <c r="I300" s="3">
        <f>3973.2+(384.6-861.9)+(6.078996+(0.588438-1.318707))+0-0-0</f>
        <v>3501.2487269999997</v>
      </c>
      <c r="J300" s="3">
        <f>4040.4+(405.7-935.6)+(8.242416+(0.827628-1.908624))+0-0-0</f>
        <v>3517.6614199999999</v>
      </c>
      <c r="K300" s="3">
        <f>4279+(391.9-1069.5)+(0+(0-0))+0-0-0</f>
        <v>3601.4</v>
      </c>
      <c r="L300" s="3">
        <f>4727.6+(400.2-1194.8)+(4.822152+(0.408204-1.218696))+0-0-0</f>
        <v>3937.0116600000006</v>
      </c>
      <c r="M300" s="3">
        <f>4930.9+(447.2-932.1)+(7.544277+(0.684216-1.426113))+0-0-0</f>
        <v>4452.8023800000001</v>
      </c>
      <c r="N300" s="3">
        <f>5058.5+(383.7-401.4)+(7.739505+(0.587061-0.614142))+0-0-0</f>
        <v>5048.5124240000005</v>
      </c>
      <c r="O300" s="3">
        <f>5175.9+(669.9-354.2)+(13.198545+(1.708245-0.90321))+0-0-0</f>
        <v>5505.6035799999991</v>
      </c>
      <c r="P300" s="3">
        <f>5277.3+(943.7-415.1)+(5.382846+(0.962574-0.423402))+0-0-0</f>
        <v>5811.8220180000008</v>
      </c>
      <c r="Q300" s="3">
        <f>5312.5+(1243-564.3)+(10.8375+(2.53572-1.151172))+0-0-0</f>
        <v>6003.4220479999994</v>
      </c>
      <c r="R300" s="3">
        <f>5269.5+(1087.7-457.2)+(-5.37489+(-1.109454--0.466344))+0-0-0</f>
        <v>5893.982</v>
      </c>
      <c r="S300" s="3">
        <f>5304.5+(779.9-355.9)+(2.705295+(0.397749-0.181509))+0-0-0</f>
        <v>5731.4215350000004</v>
      </c>
      <c r="T300" s="3">
        <f>5298.6+(857.8-379.8)+(0+(0-0))+0-0-0</f>
        <v>5776.6</v>
      </c>
      <c r="U300" s="3">
        <f>5298.5+(867.9-413.7)+(-5.40447+(-0.885258--0.421974))+0-0-0</f>
        <v>5746.8322459999999</v>
      </c>
      <c r="V300" s="3">
        <f>5316.7+(797.6-360.8)+(0+(0-0))+0-0-0</f>
        <v>5753.5</v>
      </c>
      <c r="W300" s="3">
        <f>5430+(979.8-304)+(0+(0-0))+0-0-0</f>
        <v>6105.8</v>
      </c>
      <c r="X300" s="3">
        <f>5500.3+(1077.8-416.4)+(-8.415459+(-1.649034--0.637092))+0-0-0</f>
        <v>6152.2725989999999</v>
      </c>
      <c r="Y300" s="3">
        <f>5414.9+(975.9-405.6)+(-5.523198+(-0.995418--0.413712))+0-0-0</f>
        <v>5979.095096</v>
      </c>
      <c r="Z300" s="3">
        <f>5279.1+(903.6-362.6)+(-5.384682+(-0.921672--0.369852))+0-0-0</f>
        <v>5814.1634980000008</v>
      </c>
      <c r="AA300" s="3">
        <f>5142.4+(620.9-248.5)+(-2.622624+(-0.316659--0.126735))+0-0-0</f>
        <v>5511.9874519999994</v>
      </c>
      <c r="AB300" s="3">
        <f>5051.9+(502.5-291.1)+(-7.729407+(-0.768825--0.445383))+0-0-0</f>
        <v>5255.2471509999996</v>
      </c>
      <c r="AC300" s="3">
        <f>4754.2+(574.5-485.3)+(-9.698568+(-1.17198--0.990012))+0-0-0</f>
        <v>4833.519464</v>
      </c>
      <c r="AD300" s="2">
        <v>6188.5999999999995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4598.9+(467.7-681.5)+(-11.727195+(-1.192635--1.737825))+0-0-0</f>
        <v>4373.9179949999998</v>
      </c>
      <c r="G301" s="3">
        <f>4239.8+(514.9-706.3)+(-10.81149+(-1.312995--1.801065))+0-0-0</f>
        <v>4038.0765799999999</v>
      </c>
      <c r="H301" s="3">
        <f>4265.1+(537.8-914.7)+(-8.700804+(-1.097112--1.865988))+0-0-0</f>
        <v>3880.2680720000003</v>
      </c>
      <c r="I301" s="3">
        <f>4270.6+(537.9-989.2)+(-2.178006+(-0.274329--0.504492))+0-0-0</f>
        <v>3817.3521570000003</v>
      </c>
      <c r="J301" s="3">
        <f>4257+(519-968.4)+(-8.68428+(-1.05876--1.975536))+0-0-0</f>
        <v>3799.832496</v>
      </c>
      <c r="K301" s="3">
        <f>4359.1+(536.4-1024.3)+(11.115705+(1.36782-2.611965))+0-0-0</f>
        <v>3881.0715600000003</v>
      </c>
      <c r="L301" s="3">
        <f>4451.4+(454-792.4)+(0+(0-0))+0-0-0</f>
        <v>4113</v>
      </c>
      <c r="M301" s="3">
        <f>4851.5+(410.7-682.3)+(-2.474265+(-0.209457--0.347973))+0-0-0</f>
        <v>4577.5642509999998</v>
      </c>
      <c r="N301" s="3">
        <f>4909.7+(476.5-272.7)+(-5.007894+(-0.48603--0.278154))+0-0-0</f>
        <v>5108.2842300000002</v>
      </c>
      <c r="O301" s="3">
        <f>5177.5+(646.1-286.4)+(2.640525+(0.329511-0.146064))+0-0-0</f>
        <v>5540.023972</v>
      </c>
      <c r="P301" s="3">
        <f>5189.1+(962.4-338.7)+(-2.646441+(-0.490824--0.172737))+0-0-0</f>
        <v>5809.8354719999998</v>
      </c>
      <c r="Q301" s="3">
        <f>5218.1+(1114.3-322.8)+(-7.983693+(-1.704879--0.493884))+0-0-0</f>
        <v>6000.4053120000008</v>
      </c>
      <c r="R301" s="3">
        <f>5341.6+(878.8-284.8)+(-13.62108+(-2.24094--0.72624))+0-0-0</f>
        <v>5920.4642200000008</v>
      </c>
      <c r="S301" s="3">
        <f>5316+(675.7-268.5)+(-2.71116+(-0.344607--0.136935))+0-0-0</f>
        <v>5720.2811679999995</v>
      </c>
      <c r="T301" s="3">
        <f>5227.8+(773.3-223.7)+(2.666178+(0.394383-0.114087))+0-0-0</f>
        <v>5780.3464739999999</v>
      </c>
      <c r="U301" s="3">
        <f>5229.5+(732.1-238.3)+(2.667045+(0.373371-0.121533))+0-0-0</f>
        <v>5726.2188830000005</v>
      </c>
      <c r="V301" s="3">
        <f>5355.2+(635.6-266.4)+(2.731152+(0.324156-0.135864))+0-0-0</f>
        <v>5727.3194439999997</v>
      </c>
      <c r="W301" s="3">
        <f>5474.4+(1048.4-418.5)+(2.791944+(0.534684-0.213435))+0-0-0</f>
        <v>6107.4131929999994</v>
      </c>
      <c r="X301" s="3">
        <f>5558.3+(1251-579.6)+(-5.669466+(-1.27602--0.591192))+0-0-0</f>
        <v>6223.3457060000001</v>
      </c>
      <c r="Y301" s="3">
        <f>5570.4+(1063.3-587.8)+(-5.681808+(-1.084566--0.599556))+0-0-0</f>
        <v>6039.7331819999999</v>
      </c>
      <c r="Z301" s="3">
        <f>5553.1+(1001.9-667)+(2.832081+(0.510969-0.34017))+0-0-0</f>
        <v>5891.00288</v>
      </c>
      <c r="AA301" s="3">
        <f>5367.4+(717.6-544.9)+(2.737374+(0.365976-0.277899))+0-0-0</f>
        <v>5542.9254509999992</v>
      </c>
      <c r="AB301" s="3">
        <f>5289.4+(478.7-525.1)+(-2.697594+(-0.244137--0.267801))+0-0-0</f>
        <v>5240.3260700000001</v>
      </c>
      <c r="AC301" s="3">
        <f>5091+(205.7-547.6)+(-2.59641+(-0.104907--0.279276))+0-0-0</f>
        <v>4746.6779590000006</v>
      </c>
      <c r="AD301" s="2">
        <v>6270.3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5041.4+(150.8-802.2)+(-5.142228+(-0.153816--0.818244))+0-0-0</f>
        <v>4385.5222000000003</v>
      </c>
      <c r="G302" s="3">
        <f>4611.6+(230.3-803.2)+(-2.351916+(-0.117453--0.409632))+0-0-0</f>
        <v>4036.6402630000002</v>
      </c>
      <c r="H302" s="3">
        <f>4326.8+(213.4-654.5)+(4.413336+(0.217668-0.66759))+0-0-0</f>
        <v>3889.6634140000001</v>
      </c>
      <c r="I302" s="3">
        <f>4375.2+(176.5-745.9)+(-6.694056+(-0.270045--1.141227))+0-0-0</f>
        <v>3799.9771259999998</v>
      </c>
      <c r="J302" s="3">
        <f>4426.5+(181.4-806.6)+(0+(0-0))+0-0-0</f>
        <v>3801.3</v>
      </c>
      <c r="K302" s="3">
        <f>4654.3+(184.6-938.7)+(2.373693+(0.094146-0.478737))+0-0-0</f>
        <v>3902.1891020000003</v>
      </c>
      <c r="L302" s="3">
        <f>4666+(234.6-789.8)+(-2.37966+(-0.119646--0.402798))+0-0-0</f>
        <v>4108.7034920000006</v>
      </c>
      <c r="M302" s="3">
        <f>4820.2+(271.4-468.1)+(2.458302+(0.138414-0.238731))+0-0-0</f>
        <v>4625.8579849999996</v>
      </c>
      <c r="N302" s="3">
        <f>4937.1+(604.9-359.5)+(0+(0-0))+0-0-0</f>
        <v>5182.5</v>
      </c>
      <c r="O302" s="3">
        <f>5004.2+(952-409.8)+(2.552142+(0.48552-0.208998))+0-0-0</f>
        <v>5549.2286639999993</v>
      </c>
      <c r="P302" s="3">
        <f>5115.7+(1143.8-422.3)+(0+(0-0))+0-0-0</f>
        <v>5837.2</v>
      </c>
      <c r="Q302" s="3">
        <f>5206.9+(1229.7-375.7)+(-7.966557+(-1.881441--0.574821))+0-0-0</f>
        <v>6051.6268229999996</v>
      </c>
      <c r="R302" s="3">
        <f>5178.6+(1117.7-300.6)+(2.641086+(0.570027-0.153306))+0-0-0</f>
        <v>5998.7578070000009</v>
      </c>
      <c r="S302" s="3">
        <f>5195.1+(918.9-273.8)+(5.299002+(0.937278-0.279276))+0-0-0</f>
        <v>5846.1570040000006</v>
      </c>
      <c r="T302" s="3">
        <f>5248.7+(853.3-228.9)+(0+(0-0))+0-0-0</f>
        <v>5873.0999999999995</v>
      </c>
      <c r="U302" s="3">
        <f>5319+(724.1-233.4)+(-10.85076+(-1.477164--0.476136))+0-0-0</f>
        <v>5797.8482119999999</v>
      </c>
      <c r="V302" s="3">
        <f>5351.2+(734.6-284.1)+(-8.187336+(-1.123938--0.434673))+0-0-0</f>
        <v>5792.8233989999999</v>
      </c>
      <c r="W302" s="3">
        <f>5382.3+(1245-515.9)+(13.724865+(3.17475-1.315545))+0-0-0</f>
        <v>6126.9840700000004</v>
      </c>
      <c r="X302" s="3">
        <f>5370.4+(1420.5-551.7)+(-8.216712+(-2.173365--0.844101))+0-0-0</f>
        <v>6229.6540239999995</v>
      </c>
      <c r="Y302" s="3">
        <f>5368.7+(1178.7-488)+(-8.214111+(-1.803411--0.74664))+0-0-0</f>
        <v>6050.1291179999998</v>
      </c>
      <c r="Z302" s="3">
        <f>5354.4+(923.7-405)+(-5.461488+(-0.942174--0.4131))+0-0-0</f>
        <v>5867.1094379999995</v>
      </c>
      <c r="AA302" s="3">
        <f>5315.4+(565.5-286.9)+(2.710854+(0.288405-0.146319))+0-0-0</f>
        <v>5596.8529399999998</v>
      </c>
      <c r="AB302" s="3">
        <f>5221.4+(418.5-353.1)+(0+(0-0))+0-0-0</f>
        <v>5286.7999999999993</v>
      </c>
      <c r="AC302" s="3">
        <f>5102.6+(208.7-455.6)+(2.602326+(0.106437-0.232356))+0-0-0</f>
        <v>4858.1764070000008</v>
      </c>
      <c r="AD302" s="2">
        <v>6317.6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4728.3+(260.5-574.3)+(-2.411433+(-0.132855--0.292893))+0-0-0</f>
        <v>4412.2486049999998</v>
      </c>
      <c r="G303" s="3">
        <f>4410.4+(294.4-637)+(-6.747912+(-0.450432--0.97461))+0-0-0</f>
        <v>4061.5762659999996</v>
      </c>
      <c r="H303" s="3">
        <f>4425.9+(251.3-768.7)+(-6.771627+(-0.384489--1.176111))+0-0-0</f>
        <v>3902.5199949999997</v>
      </c>
      <c r="I303" s="3">
        <f>4435.9+(202.6-796.8)+(2.262309+(0.103326-0.406368))+0-0-0</f>
        <v>3843.659267</v>
      </c>
      <c r="J303" s="3">
        <f>4398.7+(210.9-784.5)+(0+(0-0))+0-0-0</f>
        <v>3825.1</v>
      </c>
      <c r="K303" s="3">
        <f>4428.1+(170.7-688.1)+(0+(0-0))+0-0-0</f>
        <v>3910.7000000000003</v>
      </c>
      <c r="L303" s="3">
        <f>4836.1+(161-826.5)+(-4.932822+(-0.16422--0.84303))+0-0-0</f>
        <v>4166.345988</v>
      </c>
      <c r="M303" s="3">
        <f>5023.8+(212.2-618.3)+(2.562138+(0.108222-0.315333))+0-0-0</f>
        <v>4620.0550269999994</v>
      </c>
      <c r="N303" s="3">
        <f>5242.8+(359.7-434.5)+(5.347656+(0.366894-0.44319))+0-0-0</f>
        <v>5173.2713599999997</v>
      </c>
      <c r="O303" s="3">
        <f>5293.2+(678.8-425.4)+(8.098596+(1.038564-0.650862))+0-0-0</f>
        <v>5555.0862979999993</v>
      </c>
      <c r="P303" s="3">
        <f>5292.9+(999.1-462.5)+(-5.398758+(-1.019082--0.47175))+0-0-0</f>
        <v>5823.5539099999996</v>
      </c>
      <c r="Q303" s="3">
        <f>5303.1+(1067.1-432.6)+(5.409162+(1.088442-0.441252))+0-0-0</f>
        <v>5943.656352</v>
      </c>
      <c r="R303" s="3">
        <f>5256.8+(1045.8-445.2)+(-8.042904+(-1.600074--0.681156))+0-0-0</f>
        <v>5848.4381779999994</v>
      </c>
      <c r="S303" s="3">
        <f>5250+(789.4-365.4)+(2.6775+(0.402594-0.186354))+0-0-0</f>
        <v>5676.8937400000004</v>
      </c>
      <c r="T303" s="3">
        <f>5229.4+(775.3-254.7)+(-8.000982+(-1.186209--0.389691))+0-0-0</f>
        <v>5741.2025000000003</v>
      </c>
      <c r="U303" s="3">
        <f>5244.8+(693.4-242)+(-5.349696+(-0.707268--0.24684))+0-0-0</f>
        <v>5690.3898760000002</v>
      </c>
      <c r="V303" s="3">
        <f>5260+(685.2-263.1)+(-2.6826+(-0.349452--0.134181))+0-0-0</f>
        <v>5679.2021290000002</v>
      </c>
      <c r="W303" s="3">
        <f>5457.9+(1054.7-465.3)+(0+(0-0))+0-0-0</f>
        <v>6047.2999999999993</v>
      </c>
      <c r="X303" s="3">
        <f>5485.9+(1165.3-448.7)+(-8.393427+(-1.782909--0.686511))+0-0-0</f>
        <v>6193.0101750000003</v>
      </c>
      <c r="Y303" s="3">
        <f>5423.4+(1005.2-414.3)+(-8.297802+(-1.537956--0.633879))+0-0-0</f>
        <v>6005.0981209999991</v>
      </c>
      <c r="Z303" s="3">
        <f>5367.4+(843.1-363.1)+(-5.474748+(-0.859962--0.370362))+0-0-0</f>
        <v>5841.4356519999992</v>
      </c>
      <c r="AA303" s="3">
        <f>5341.8+(674.4-420.7)+(-5.448636+(-0.687888--0.429114))+0-0-0</f>
        <v>5589.79259</v>
      </c>
      <c r="AB303" s="3">
        <f>5111.3+(560.1-397.9)+(-7.820289+(-0.856953--0.608787))+0-0-0</f>
        <v>5265.4315450000004</v>
      </c>
      <c r="AC303" s="3">
        <f>4993.2+(321.8-408.7)+(-7.639596+(-0.492354--0.625311))+0-0-0</f>
        <v>4898.793361</v>
      </c>
      <c r="AD303" s="2">
        <v>6158.7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4946.2+(117.5-581.9)+(-10.090248+(-0.2397--1.187076))+0-0-0</f>
        <v>4472.6571279999998</v>
      </c>
      <c r="G304" s="3">
        <f>4876.7+(78.6-846.6)+(0+(0-0))+0-0-0</f>
        <v>4108.7</v>
      </c>
      <c r="H304" s="3">
        <f>4696.7+(83.6-859.9)+(-11.976585+(-0.21318--2.192745))+0-0-0</f>
        <v>3910.4029799999998</v>
      </c>
      <c r="I304" s="3">
        <f>4617.7+(102-897)+(-7.065081+(-0.15606--1.37241))+0-0-0</f>
        <v>3816.8512689999998</v>
      </c>
      <c r="J304" s="3">
        <f>4712+(108.2-1017.1)+(2.40312+(0.055182-0.518721))+0-0-0</f>
        <v>3805.039581</v>
      </c>
      <c r="K304" s="3">
        <f>4806.2+(79-1048.1)+(9.804648+(0.16116-2.138124))+0-0-0</f>
        <v>3844.9276839999998</v>
      </c>
      <c r="L304" s="3">
        <f>4847.2+(63.2-887.6)+(-4.944144+(-0.064464--0.905352))+0-0-0</f>
        <v>4018.6967439999999</v>
      </c>
      <c r="M304" s="3">
        <f>4947.9+(100.8-749.9)+(-2.523429+(-0.051408--0.382449))+0-0-0</f>
        <v>4296.6076119999989</v>
      </c>
      <c r="N304" s="3">
        <f>5144.2+(187.1-505.3)+(0+(0-0))+0-0-0</f>
        <v>4826</v>
      </c>
      <c r="O304" s="3">
        <f>5059.4+(663.2-444.1)+(2.580294+(0.338232-0.226491))+0-0-0</f>
        <v>5281.192035</v>
      </c>
      <c r="P304" s="3">
        <f>5089.7+(937.6-438.7)+(7.787241+(1.434528-0.671211))+0-0-0</f>
        <v>5597.1505579999994</v>
      </c>
      <c r="Q304" s="3">
        <f>5048+(1126.5-415.7)+(-5.14896+(-1.14903--0.424014))+0-0-0</f>
        <v>5752.9260240000003</v>
      </c>
      <c r="R304" s="3">
        <f>5014.9+(988.4-367.2)+(-5.115198+(-1.008168--0.374544))+0-0-0</f>
        <v>5630.3511779999999</v>
      </c>
      <c r="S304" s="3">
        <f>5003.5+(687.8-314.3)+(-2.551785+(-0.350778--0.160293))+0-0-0</f>
        <v>5374.2577300000003</v>
      </c>
      <c r="T304" s="3">
        <f>5021.7+(539.3-260)+(0+(0-0))+0-0-0</f>
        <v>5301</v>
      </c>
      <c r="U304" s="3">
        <f>4960+(504.4-286.6)+(-5.0592+(-0.514488--0.292332))+0-0-0</f>
        <v>5172.5186439999998</v>
      </c>
      <c r="V304" s="3">
        <f>4883.2+(643.3-309.2)+(0+(0-0))+0-0-0</f>
        <v>5217.3</v>
      </c>
      <c r="W304" s="3">
        <f>5108.9+(1022.8-518.7)+(-2.605539+(-0.521628--0.264537))+0-0-0</f>
        <v>5610.1373700000004</v>
      </c>
      <c r="X304" s="3">
        <f>5263.3+(1144.2-659.8)+(-8.052849+(-1.750626--1.009494))+0-0-0</f>
        <v>5738.9060190000009</v>
      </c>
      <c r="Y304" s="3">
        <f>5269.4+(998-629.4)+(-5.374788+(-1.01796--0.641988))+0-0-0</f>
        <v>5632.2492400000001</v>
      </c>
      <c r="Z304" s="3">
        <f>5227.4+(961.8-726.5)+(2.665974+(0.490518-0.370515))+0-0-0</f>
        <v>5465.4859769999994</v>
      </c>
      <c r="AA304" s="3">
        <f>5204.4+(695.4-650.1)+(-2.654244+(-0.354654--0.331551))+0-0-0</f>
        <v>5247.022653</v>
      </c>
      <c r="AB304" s="3">
        <f>5148.3+(432.5-551.4)+(-13.128165+(-1.102875--1.40607))+0-0-0</f>
        <v>5016.5750300000009</v>
      </c>
      <c r="AC304" s="3">
        <f>5136.1+(144-536.5)+(-13.097055+(-0.3672--1.368075))+0-0-0</f>
        <v>4731.5038200000008</v>
      </c>
      <c r="AD304" s="2">
        <v>5780.2999999999993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4796.8+(222.6-673.7)+(-9.785472+(-0.454104--1.374348))+0-0-0</f>
        <v>4336.8347720000002</v>
      </c>
      <c r="G305" s="3">
        <f>4463.7+(280.4-728)+(-11.382435+(-0.71502--1.8564))+0-0-0</f>
        <v>4005.8589449999999</v>
      </c>
      <c r="H305" s="3">
        <f>4462.8+(246.6-904.4)+(-9.104112+(-0.503064--1.844976))+0-0-0</f>
        <v>3797.2377999999999</v>
      </c>
      <c r="I305" s="3">
        <f>4492.8+(195.7-1004.6)+(2.291328+(0.099807-0.512346))+0-0-0</f>
        <v>3685.778789</v>
      </c>
      <c r="J305" s="3">
        <f>4476.3+(177.1-1005.3)+(-2.282913+(-0.090321--0.512703))+0-0-0</f>
        <v>3646.2394690000006</v>
      </c>
      <c r="K305" s="3">
        <f>4486.2+(160-998.6)+(4.575924+(0.1632-1.018572))+0-0-0</f>
        <v>3651.3205520000001</v>
      </c>
      <c r="L305" s="3">
        <f>4435+(145.2-907.2)+(-4.5237+(-0.148104--0.925344))+0-0-0</f>
        <v>3669.2535400000002</v>
      </c>
      <c r="M305" s="3">
        <f>4286.9+(163.9-867.8)+(-6.558957+(-0.250767--1.327734))+0-0-0</f>
        <v>3577.5180099999993</v>
      </c>
      <c r="N305" s="3">
        <f>4499+(206.1-993.1)+(-2.29449+(-0.105111--0.506481))+0-0-0</f>
        <v>3710.1068799999998</v>
      </c>
      <c r="O305" s="3">
        <f>4452.7+(220.5-677)+(4.541754+(0.22491-0.69054))+0-0-0</f>
        <v>4000.276124</v>
      </c>
      <c r="P305" s="3">
        <f>4384.6+(387.7-461.1)+(0+(0-0))+0-0-0</f>
        <v>4311.2000000000007</v>
      </c>
      <c r="Q305" s="3">
        <f>4555.1+(458.1-499.5)+(-6.969303+(-0.700893--0.764235))+0-0-0</f>
        <v>4506.7940390000003</v>
      </c>
      <c r="R305" s="3">
        <f>4652.8+(397.7-494)+(0+(0-0))+0-0-0</f>
        <v>4556.5</v>
      </c>
      <c r="S305" s="3">
        <f>4640.9+(377-546.2)+(-2.366859+(-0.19227--0.278562))+0-0-0</f>
        <v>4469.419433</v>
      </c>
      <c r="T305" s="3">
        <f>4652.6+(367.3-636)+(4.745652+(0.374646-0.64872))+0-0-0</f>
        <v>4388.3715780000002</v>
      </c>
      <c r="U305" s="3">
        <f>4675.2+(314.6-654.4)+(-4.768704+(-0.320892--0.667488))+0-0-0</f>
        <v>4330.9778919999999</v>
      </c>
      <c r="V305" s="3">
        <f>4687.5+(219.5-521.9)+(-2.390625+(-0.111945--0.266169))+0-0-0</f>
        <v>4382.8635990000002</v>
      </c>
      <c r="W305" s="3">
        <f>4837.7+(717.4-691.7)+(2.467227+(0.365874-0.352767))+0-0-0</f>
        <v>4865.8803339999995</v>
      </c>
      <c r="X305" s="3">
        <f>4892.8+(1224.1-858.8)+(-4.990656+(-1.248582--0.875976))+0-0-0</f>
        <v>5252.7367380000005</v>
      </c>
      <c r="Y305" s="3">
        <f>4763.1+(1334-830.6)+(0+(0-0))+0-0-0</f>
        <v>5266.5</v>
      </c>
      <c r="Z305" s="3">
        <f>4668.7+(1229.6-744.4)+(-4.762074+(-1.254192--0.759288))+0-0-0</f>
        <v>5148.6430219999993</v>
      </c>
      <c r="AA305" s="3">
        <f>4531.6+(1234.1-716.2)+(2.311116+(0.629391-0.365262))+0-0-0</f>
        <v>5052.075245</v>
      </c>
      <c r="AB305" s="3">
        <f>4472+(938.1-569.9)+(4.56144+(0.956862-0.581298))+0-0-0</f>
        <v>4845.1370040000002</v>
      </c>
      <c r="AC305" s="3">
        <f>4410.2+(545.5-447.6)+(-4.498404+(-0.55641--0.456552))+0-0-0</f>
        <v>4503.501737999999</v>
      </c>
      <c r="AD305" s="2">
        <v>5241.2999999999993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4383.6+(308.6-572.4)+(0+(0-0))+0-0-0</f>
        <v>4119.8</v>
      </c>
      <c r="G306" s="3">
        <f>4121.3+(328.9-687.4)+(2.101863+(0.167739-0.350574))+0-0-0</f>
        <v>3764.719028</v>
      </c>
      <c r="H306" s="3">
        <f>4094.7+(320.3-815.3)+(-6.264891+(-0.490059--1.247409))+0-0-0</f>
        <v>3594.1924589999999</v>
      </c>
      <c r="I306" s="3">
        <f>3972.5+(333.9-772.9)+(4.05195+(0.340578-0.788358))+0-0-0</f>
        <v>3537.1041700000001</v>
      </c>
      <c r="J306" s="3">
        <f>3973+(356.3-783.2)+(4.05246+(0.363426-0.798864))+0-0-0</f>
        <v>3549.7170219999998</v>
      </c>
      <c r="K306" s="3">
        <f>4092+(305.8-760.7)+(4.17384+(0.311916-0.775914))+0-0-0</f>
        <v>3640.8098420000001</v>
      </c>
      <c r="L306" s="3">
        <f>4528.1+(305.8-872)+(0+(0-0))+0-0-0</f>
        <v>3961.9000000000005</v>
      </c>
      <c r="M306" s="3">
        <f>4645.6+(448.3-627.2)+(-2.369256+(-0.228633--0.319872))+0-0-0</f>
        <v>4464.4219830000011</v>
      </c>
      <c r="N306" s="3">
        <f>4751.2+(802.7-509.3)+(2.423112+(0.409377-0.259743))+0-0-0</f>
        <v>5047.1727459999993</v>
      </c>
      <c r="O306" s="3">
        <f>4855.2+(884.9-291.5)+(0+(0-0))+0-0-0</f>
        <v>5448.5999999999995</v>
      </c>
      <c r="P306" s="3">
        <f>4883.4+(1142.8-319.8)+(0+(0-0))+0-0-0</f>
        <v>5706.4</v>
      </c>
      <c r="Q306" s="3">
        <f>4858+(1284.3-289.5)+(-2.47758+(-0.654993--0.147645))+0-0-0</f>
        <v>5849.8150720000003</v>
      </c>
      <c r="R306" s="3">
        <f>4822.6+(1268.9-311.7)+(-7.378578+(-1.941417--0.476901))+0-0-0</f>
        <v>5770.9569060000003</v>
      </c>
      <c r="S306" s="3">
        <f>4798.2+(1291.7-478.1)+(-2.447082+(-0.658767--0.243831))+0-0-0</f>
        <v>5608.9379820000004</v>
      </c>
      <c r="T306" s="3">
        <f>4787.1+(1272.3-419.1)+(-4.882842+(-1.297746--0.427482))+0-0-0</f>
        <v>5634.5468940000001</v>
      </c>
      <c r="U306" s="3">
        <f>4788+(1204-414.2)+(4.88376+(1.22808-0.422484))+0-0-0</f>
        <v>5583.489356</v>
      </c>
      <c r="V306" s="3">
        <f>4800.2+(1122.9-353.6)+(-2.448102+(-0.572679--0.180336))+0-0-0</f>
        <v>5566.6595550000002</v>
      </c>
      <c r="W306" s="3">
        <f>4935.5+(1213.6-246.4)+(0+(0-0))+0-0-0</f>
        <v>5902.7</v>
      </c>
      <c r="X306" s="3">
        <f>5026.6+(1400.3-366.9)+(-2.563566+(-0.714153--0.187119))+0-0-0</f>
        <v>6056.9093999999996</v>
      </c>
      <c r="Y306" s="3">
        <f>5009.1+(1183.2-304.7)+(-7.663923+(-1.810296--0.466191))+0-0-0</f>
        <v>5878.5919720000002</v>
      </c>
      <c r="Z306" s="3">
        <f>4965.9+(1040.5-269.3)+(0+(0-0))+0-0-0</f>
        <v>5737.0999999999995</v>
      </c>
      <c r="AA306" s="3">
        <f>4837.1+(903.6-298.7)+(0+(0-0))+0-0-0</f>
        <v>5442</v>
      </c>
      <c r="AB306" s="3">
        <f>4756.8+(877-469.2)+(-9.703872+(-1.78908--0.957168))+0-0-0</f>
        <v>5154.0642160000007</v>
      </c>
      <c r="AC306" s="3">
        <f>4610.1+(683.7-517.5)+(-11.755755+(-1.743435--1.319625))+0-0-0</f>
        <v>4764.1204349999998</v>
      </c>
      <c r="AD306" s="2">
        <v>6022.2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4303+(614.8-629)+(0+(0-0))+0-0-0</f>
        <v>4288.8</v>
      </c>
      <c r="G307" s="3">
        <f>4069.6+(599.6-711.8)+(2.075496+(0.305796-0.363018))+0-0-0</f>
        <v>3959.4182740000001</v>
      </c>
      <c r="H307" s="3">
        <f>4048.5+(543.1-784.5)+(0+(0-0))+0-0-0</f>
        <v>3807.1</v>
      </c>
      <c r="I307" s="3">
        <f>4040+(494.7-781.5)+(-6.1812+(-0.756891--1.195695))+0-0-0</f>
        <v>3747.4576039999997</v>
      </c>
      <c r="J307" s="3">
        <f>4035.2+(476-768.9)+(-8.231808+(-0.97104--1.568556))+0-0-0</f>
        <v>3734.6657079999995</v>
      </c>
      <c r="K307" s="3">
        <f>4104+(532.6-838.4)+(8.37216+(1.086504-1.710336))+0-0-0</f>
        <v>3805.9483279999999</v>
      </c>
      <c r="L307" s="3">
        <f>4322.5+(636-879.2)+(-2.204475+(-0.32436--0.448392))+0-0-0</f>
        <v>4077.2195570000003</v>
      </c>
      <c r="M307" s="3">
        <f>4437.6+(867.6-779.8)+(-4.526352+(-0.884952--0.795396))+0-0-0</f>
        <v>4520.7840920000008</v>
      </c>
      <c r="N307" s="3">
        <f>4543.9+(885.8-373.1)+(-2.317389+(-0.451758--0.190281))+0-0-0</f>
        <v>5054.0211339999996</v>
      </c>
      <c r="O307" s="3">
        <f>4629.9+(1083.2-260.7)+(7.083747+(1.657296-0.398871))+0-0-0</f>
        <v>5460.7421719999993</v>
      </c>
      <c r="P307" s="3">
        <f>4641.9+(1362.5-337.4)+(4.734738+(1.38975-0.344148))+0-0-0</f>
        <v>5672.7803400000003</v>
      </c>
      <c r="Q307" s="3">
        <f>4611.1+(1575.2-364.8)+(-4.703322+(-1.606704--0.372096))+0-0-0</f>
        <v>5815.5620699999999</v>
      </c>
      <c r="R307" s="3">
        <f>4654.3+(1480.8-372.2)+(-9.494772+(-3.020832--0.759288))+0-0-0</f>
        <v>5751.1436839999997</v>
      </c>
      <c r="S307" s="3">
        <f>4504.1+(1401.1-348.5)+(4.594182+(1.429122-0.35547))+0-0-0</f>
        <v>5562.3678340000006</v>
      </c>
      <c r="T307" s="3">
        <f>4590.7+(1345.3-344.1)+(2.341257+(0.686103-0.175491))+0-0-0</f>
        <v>5594.7518689999997</v>
      </c>
      <c r="U307" s="3">
        <f>4690+(1261.8-402.1)+(-11.9595+(-3.21759--1.025355))+0-0-0</f>
        <v>5535.5482649999994</v>
      </c>
      <c r="V307" s="3">
        <f>4707.5+(1184.9-355.7)+(2.400825+(0.604299-0.181407))+0-0-0</f>
        <v>5539.523717</v>
      </c>
      <c r="W307" s="3">
        <f>4877.8+(1463.4-433.3)+(7.463034+(2.239002-0.662949))+0-0-0</f>
        <v>5916.9390870000007</v>
      </c>
      <c r="X307" s="3">
        <f>5139.4+(1487.8-533.7)+(-2.621094+(-0.758778--0.272187))+0-0-0</f>
        <v>6090.3923150000001</v>
      </c>
      <c r="Y307" s="3">
        <f>5150.7+(1345.9-525.1)+(-7.880571+(-2.059227--0.803403))+0-0-0</f>
        <v>5962.3636049999996</v>
      </c>
      <c r="Z307" s="3">
        <f>5090.9+(1159.2-513.1)+(-7.789077+(-1.773576--0.785043))+0-0-0</f>
        <v>5728.2223899999999</v>
      </c>
      <c r="AA307" s="3">
        <f>5061.4+(974.3-546.9)+(-10.325256+(-1.987572--1.115676))+0-0-0</f>
        <v>5477.6028479999995</v>
      </c>
      <c r="AB307" s="3">
        <f>4988.7+(863.1-634.3)+(-7.632711+(-1.320543--0.970479))+0-0-0</f>
        <v>5209.5172249999996</v>
      </c>
      <c r="AC307" s="3">
        <f>4780.9+(835.1-826)+(-2.438259+(-0.425901--0.42126))+0-0-0</f>
        <v>4787.5571</v>
      </c>
      <c r="AD307" s="2">
        <v>6104.7999999999993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4390.2+(598.3-667.2)+(0+(0-0))+0-0-0</f>
        <v>4321.2999999999993</v>
      </c>
      <c r="G308" s="3">
        <f>4228.5+(508-787.1)+(-8.62614+(-1.03632--1.605684))+0-0-0</f>
        <v>3941.3432240000002</v>
      </c>
      <c r="H308" s="3">
        <f>4175.4+(557.8-914.8)+(4.258908+(0.568956-0.933096))+0-0-0</f>
        <v>3822.2947679999997</v>
      </c>
      <c r="I308" s="3">
        <f>4178.9+(560.4-982.5)+(2.131239+(0.285804-0.501075))+0-0-0</f>
        <v>3758.7159679999995</v>
      </c>
      <c r="J308" s="3">
        <f>4191.6+(554.4-995.8)+(-2.137716+(-0.282744--0.507858))+0-0-0</f>
        <v>3748.2873980000004</v>
      </c>
      <c r="K308" s="3">
        <f>4309.8+(587.6-1052.7)+(2.197998+(0.299676-0.536877))+0-0-0</f>
        <v>3846.6607970000005</v>
      </c>
      <c r="L308" s="3">
        <f>4614.8+(663.9-1160.9)+(0+(0-0))+0-0-0</f>
        <v>4117.8</v>
      </c>
      <c r="M308" s="3">
        <f>4770.7+(777.4-1044.3)+(9.732228+(1.585896-2.130372))+0-0-0</f>
        <v>4512.987752</v>
      </c>
      <c r="N308" s="3">
        <f>4847.8+(862.8-697.7)+(4.944756+(0.880056-0.711654))+0-0-0</f>
        <v>5018.0131579999997</v>
      </c>
      <c r="O308" s="3">
        <f>4840.6+(1153.4-633.5)+(-4.937412+(-1.176468--0.64617))+0-0-0</f>
        <v>5355.0322900000001</v>
      </c>
      <c r="P308" s="3">
        <f>4907.4+(1468.7-709)+(2.502774+(0.749037-0.36159))+0-0-0</f>
        <v>5669.9902209999991</v>
      </c>
      <c r="Q308" s="3">
        <f>4992.2+(1487.4-723.6)+(-2.546022+(-0.758574--0.369036))+0-0-0</f>
        <v>5753.0644400000001</v>
      </c>
      <c r="R308" s="3">
        <f>4964.1+(1421.3-691.2)+(-10.126764+(-2.899452--1.410048))+0-0-0</f>
        <v>5682.5838320000012</v>
      </c>
      <c r="S308" s="3">
        <f>4954.5+(1261.3-710.1)+(-10.10718+(-2.573052--1.448604))+0-0-0</f>
        <v>5494.4683719999994</v>
      </c>
      <c r="T308" s="3">
        <f>4947.3+(1297.2-694.9)+(-5.046246+(-1.323144--0.708798))+0-0-0</f>
        <v>5543.9394080000002</v>
      </c>
      <c r="U308" s="3">
        <f>4860.7+(1317.8-685.9)+(-4.957914+(-1.344156--0.699618))+0-0-0</f>
        <v>5486.9975479999994</v>
      </c>
      <c r="V308" s="3">
        <f>4963.7+(1111.3-593.5)+(0+(0-0))+0-0-0</f>
        <v>5481.5</v>
      </c>
      <c r="W308" s="3">
        <f>5158.2+(1426-744.6)+(5.261364+(1.45452-0.759492))+0-0-0</f>
        <v>5845.5563919999995</v>
      </c>
      <c r="X308" s="3">
        <f>5296.7+(1557.9-741.6)+(0+(0-0))+0-0-0</f>
        <v>6113</v>
      </c>
      <c r="Y308" s="3">
        <f>5235.7+(1421.7-718.4)+(-5.340414+(-1.450134--0.732768))+0-0-0</f>
        <v>5932.9422199999999</v>
      </c>
      <c r="Z308" s="3">
        <f>5174.6+(1320.8-708.3)+(-13.19523+(-3.36804--1.806165))+0-0-0</f>
        <v>5772.3428950000007</v>
      </c>
      <c r="AA308" s="3">
        <f>5181.4+(1050-685.4)+(-2.642514+(-0.5355--0.349554))+0-0-0</f>
        <v>5543.1715400000003</v>
      </c>
      <c r="AB308" s="3">
        <f>4984.2+(960.4-716.9)+(-7.625826+(-1.469412--1.096857))+0-0-0</f>
        <v>5219.7016189999995</v>
      </c>
      <c r="AC308" s="3">
        <f>4885.1+(733.8-816.9)+(-4.982802+(-0.748476--0.833238))+0-0-0</f>
        <v>4797.10196</v>
      </c>
      <c r="AD308" s="2">
        <v>6088.5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4755.4+(572.3-963.8)+(-9.701016+(-1.167492--1.966152))+0-0-0</f>
        <v>4354.997644</v>
      </c>
      <c r="G309" s="3">
        <f>4344.4+(433.7-751.5)+(-6.646932+(-0.663561--1.149795))+0-0-0</f>
        <v>4020.4393019999993</v>
      </c>
      <c r="H309" s="3">
        <f>4142.7+(376.8-684.2)+(-2.112777+(-0.192168--0.348942))+0-0-0</f>
        <v>3833.3439969999999</v>
      </c>
      <c r="I309" s="3">
        <f>4017.5+(409.9-665.6)+(-2.048925+(-0.209049--0.339456))+0-0-0</f>
        <v>3759.8814820000002</v>
      </c>
      <c r="J309" s="3">
        <f>4013.5+(351.2-603.8)+(-4.09377+(-0.358224--0.615876))+0-0-0</f>
        <v>3757.0638819999999</v>
      </c>
      <c r="K309" s="3">
        <f>4319.9+(263.4-765.2)+(4.406298+(0.268668-0.780504))+0-0-0</f>
        <v>3821.9944619999997</v>
      </c>
      <c r="L309" s="3">
        <f>4741.3+(377.3-1009.9)+(-4.836126+(-0.384846--1.030098))+0-0-0</f>
        <v>4104.5091260000008</v>
      </c>
      <c r="M309" s="3">
        <f>4906.1+(776.1-1140.4)+(7.506333+(1.187433-1.744812))+0-0-0</f>
        <v>4548.7489540000006</v>
      </c>
      <c r="N309" s="3">
        <f>5043.5+(1033.9-1022.6)+(7.716555+(1.581867-1.564578))+0-0-0</f>
        <v>5062.5338440000005</v>
      </c>
      <c r="O309" s="3">
        <f>5015.3+(1179.6-795.2)+(2.557803+(0.601596-0.405552))+0-0-0</f>
        <v>5402.4538469999998</v>
      </c>
      <c r="P309" s="3">
        <f>5098.1+(1266.4-727.2)+(2.600031+(0.645864-0.370872))+0-0-0</f>
        <v>5640.1750229999998</v>
      </c>
      <c r="Q309" s="3">
        <f>5052.1+(1405-713.3)+(-18.035997+(-5.01585--2.546481))+0-0-0</f>
        <v>5723.2946339999999</v>
      </c>
      <c r="R309" s="3">
        <f>5026.5+(1348.3-723.6)+(-7.690545+(-2.062899--1.107108))+0-0-0</f>
        <v>5642.553664</v>
      </c>
      <c r="S309" s="3">
        <f>4982.4+(1177.8-669.6)+(-15.246144+(-3.604068--2.048976))+0-0-0</f>
        <v>5473.7987639999992</v>
      </c>
      <c r="T309" s="3">
        <f>5035.1+(1185.2-662.5)+(0+(0-0))+0-0-0</f>
        <v>5557.8</v>
      </c>
      <c r="U309" s="3">
        <f>5029.9+(1192.8-729.6)+(-5.130498+(-1.216656--0.744192))+0-0-0</f>
        <v>5487.4970379999995</v>
      </c>
      <c r="V309" s="3">
        <f>5194.2+(1124.9-823.2)+(0+(0-0))+0-0-0</f>
        <v>5495.9</v>
      </c>
      <c r="W309" s="3">
        <f>5407.2+(1210.2-780.6)+(2.757672+(0.617202-0.398106))+0-0-0</f>
        <v>5839.7767680000006</v>
      </c>
      <c r="X309" s="3">
        <f>5503.4+(1268.5-723.3)+(0+(0-0))+0-0-0</f>
        <v>6048.5999999999995</v>
      </c>
      <c r="Y309" s="3">
        <f>5456.6+(1125.3-687.6)+(-11.131464+(-2.295612--1.402704))+0-0-0</f>
        <v>5882.2756280000003</v>
      </c>
      <c r="Z309" s="3">
        <f>5505.3+(987-737.1)+(-5.615406+(-1.00674--0.751842))+0-0-0</f>
        <v>5749.3296959999998</v>
      </c>
      <c r="AA309" s="3">
        <f>5449.1+(991.1-935.4)+(-16.674246+(-3.032766--2.862324))+0-0-0</f>
        <v>5487.955312</v>
      </c>
      <c r="AB309" s="3">
        <f>5277.5+(810-898.3)+(-10.7661+(-1.6524--1.832532))+0-0-0</f>
        <v>5178.6140319999995</v>
      </c>
      <c r="AC309" s="3">
        <f>5033.2+(560.1-824.5)+(-12.83466+(-1.428255--2.102475))+0-0-0</f>
        <v>4756.6395600000005</v>
      </c>
      <c r="AD309" s="2">
        <v>6064.3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4809.1+(561.7-1093)+(-12.263205+(-1.432335--2.78715))+0-0-0</f>
        <v>4266.8916100000006</v>
      </c>
      <c r="G310" s="3">
        <f>4304.3+(516.8-855.7)+(-4.390386+(-0.527136--0.872814))+0-0-0</f>
        <v>3961.3552920000002</v>
      </c>
      <c r="H310" s="3">
        <f>4126+(528.5-859)+(-10.5213+(-1.347675--2.19045))+0-0-0</f>
        <v>3785.8214750000002</v>
      </c>
      <c r="I310" s="3">
        <f>4166.9+(468.5-908.4)+(6.375357+(0.716805-1.389852))+0-0-0</f>
        <v>3732.7023099999997</v>
      </c>
      <c r="J310" s="3">
        <f>4160.8+(439.5-899.6)+(6.366024+(0.672435-1.376388))+0-0-0</f>
        <v>3706.3620710000005</v>
      </c>
      <c r="K310" s="3">
        <f>4172.6+(510.4-913.9)+(0+(0-0))+0-0-0</f>
        <v>3769.1000000000004</v>
      </c>
      <c r="L310" s="3">
        <f>4487.2+(739.4-1173.9)+(0+(0-0))+0-0-0</f>
        <v>4052.7</v>
      </c>
      <c r="M310" s="3">
        <f>4613.8+(878.4-1020.5)+(-2.353038+(-0.447984--0.520455))+0-0-0</f>
        <v>4469.419433</v>
      </c>
      <c r="N310" s="3">
        <f>4928.7+(834.6-767)+(-2.513637+(-0.425646--0.39117))+0-0-0</f>
        <v>4993.7518870000004</v>
      </c>
      <c r="O310" s="3">
        <f>5197.7+(847.9-674.4)+(-2.650827+(-0.432429--0.343944))+0-0-0</f>
        <v>5368.4606880000001</v>
      </c>
      <c r="P310" s="3">
        <f>5216.5+(1001.6-602)+(5.32083+(1.021632-0.61404))+0-0-0</f>
        <v>5621.8284220000005</v>
      </c>
      <c r="Q310" s="3">
        <f>5189.5+(1075.5-547.5)+(-2.646645+(-0.548505--0.279225))+0-0-0</f>
        <v>5714.5840749999998</v>
      </c>
      <c r="R310" s="3">
        <f>5194.2+(1010.4-577.7)+(-10.596168+(-2.061216--1.178508))+0-0-0</f>
        <v>5615.4211239999995</v>
      </c>
      <c r="S310" s="3">
        <f>5170.7+(1009.8-678.3)+(0+(0-0))+0-0-0</f>
        <v>5502.2</v>
      </c>
      <c r="T310" s="3">
        <f>5192.7+(1040.4-699.5)+(2.648277+(0.530604-0.356745))+0-0-0</f>
        <v>5536.4221360000001</v>
      </c>
      <c r="U310" s="3">
        <f>5227.5+(1014.4-773.5)+(-13.330125+(-2.58672--1.972425))+0-0-0</f>
        <v>5454.4555799999998</v>
      </c>
      <c r="V310" s="3">
        <f>5230.9+(936.3-759.8)+(-5.335518+(-0.955026--0.774996))+0-0-0</f>
        <v>5401.8844519999993</v>
      </c>
      <c r="W310" s="3">
        <f>5495.9+(788.5-530.1)+(8.408727+(1.206405-0.811053))+0-0-0</f>
        <v>5763.1040789999988</v>
      </c>
      <c r="X310" s="3">
        <f>5703.9+(920.3-607.6)+(-2.908989+(-0.469353--0.309876))+0-0-0</f>
        <v>6013.5315339999997</v>
      </c>
      <c r="Y310" s="3">
        <f>5640.3+(821.9-630)+(-2.876553+(-0.419169--0.3213))+0-0-0</f>
        <v>5829.2255779999996</v>
      </c>
      <c r="Z310" s="3">
        <f>5607.2+(856.4-754.1)+(-2.859672+(-0.436764--0.384591))+0-0-0</f>
        <v>5706.5881550000004</v>
      </c>
      <c r="AA310" s="3">
        <f>5593.2+(822.7-1025.5)+(-8.557596+(-1.258731--1.569015))+0-0-0</f>
        <v>5382.1526879999992</v>
      </c>
      <c r="AB310" s="3">
        <f>5530.4+(920.3-1306.3)+(-14.10252+(-2.346765--3.331065))+0-0-0</f>
        <v>5131.2817799999993</v>
      </c>
      <c r="AC310" s="3">
        <f>5197.9+(832.2-1269.6)+(-13.254645+(-2.12211--3.23748))+0-0-0</f>
        <v>4748.3607249999995</v>
      </c>
      <c r="AD310" s="2">
        <v>6061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4740.9+(540.9-961)+(-2.417859+(-0.275859--0.49011))+0-0-0</f>
        <v>4318.5963919999995</v>
      </c>
      <c r="G311" s="3">
        <f>4703.5+(451.1-1177.6)+(-9.59514+(-0.920244--2.402304))+0-0-0</f>
        <v>3968.8869199999999</v>
      </c>
      <c r="H311" s="3">
        <f>4602.9+(467.3-1290.7)+(0+(0-0))+0-0-0</f>
        <v>3779.4999999999995</v>
      </c>
      <c r="I311" s="3">
        <f>4577.2+(431.3-1279.4)+(-7.003116+(-0.659889--1.957482))+0-0-0</f>
        <v>3723.3944769999994</v>
      </c>
      <c r="J311" s="3">
        <f>4553.6+(413.7-1256.7)+(2.322336+(0.210987-0.640917))+0-0-0</f>
        <v>3712.4924060000003</v>
      </c>
      <c r="K311" s="3">
        <f>4637+(433.6-1333.8)+(4.72974+(0.442272-1.360476))+0-0-0</f>
        <v>3740.6115360000003</v>
      </c>
      <c r="L311" s="3">
        <f>4773.3+(447.8-1307.6)+(0+(0-0))+0-0-0</f>
        <v>3913.5</v>
      </c>
      <c r="M311" s="3">
        <f>5022.1+(639.4-1454.7)+(5.122542+(0.652188-1.483794))+0-0-0</f>
        <v>4211.0909360000005</v>
      </c>
      <c r="N311" s="3">
        <f>5415.7+(645.9-1312.6)+(2.762007+(0.329409-0.669426))+0-0-0</f>
        <v>4751.4219899999998</v>
      </c>
      <c r="O311" s="3">
        <f>5328.3+(865.4-1038.7)+(0+(0-0))+0-0-0</f>
        <v>5155</v>
      </c>
      <c r="P311" s="3">
        <f>5307.9+(953.9-812.1)+(2.707029+(0.486489-0.414171))+0-0-0</f>
        <v>5452.4793469999995</v>
      </c>
      <c r="Q311" s="3">
        <f>5395.5+(970.2-814.3)+(-8.255115+(-1.484406--1.245879))+0-0-0</f>
        <v>5542.9063579999993</v>
      </c>
      <c r="R311" s="3">
        <f>5346.6+(957.5-828)+(-10.907064+(-1.9533--1.68912))+0-0-0</f>
        <v>5464.9287560000002</v>
      </c>
      <c r="S311" s="3">
        <f>5336.1+(959.1-1093.7)+(-2.721411+(-0.489141--0.557787))+0-0-0</f>
        <v>5198.8472350000002</v>
      </c>
      <c r="T311" s="3">
        <f>5377.5+(921.2-1153.1)+(-10.9701+(-1.879248--2.352324))+0-0-0</f>
        <v>5135.1029760000001</v>
      </c>
      <c r="U311" s="3">
        <f>5302.7+(863.6-1133.7)+(-16.226262+(-2.642616--3.469122))+0-0-0</f>
        <v>5017.2002439999997</v>
      </c>
      <c r="V311" s="3">
        <f>5264.1+(845.8-1123.5)+(2.684691+(0.431358-0.572985))+0-0-0</f>
        <v>4988.943064000001</v>
      </c>
      <c r="W311" s="3">
        <f>5531.8+(584.9-781)+(5.642436+(0.596598-0.79662))+0-0-0</f>
        <v>5341.1424139999999</v>
      </c>
      <c r="X311" s="3">
        <f>5614.8+(864.5-877)+(2.863548+(0.440895-0.44727))+0-0-0</f>
        <v>5605.1571730000005</v>
      </c>
      <c r="Y311" s="3">
        <f>5548.8+(735.5-783.3)+(-14.14944+(-1.875525--1.997415))+0-0-0</f>
        <v>5486.9724500000002</v>
      </c>
      <c r="Z311" s="3">
        <f>5528.3+(619.8-763.7)+(-11.277732+(-1.264392--1.557948))+0-0-0</f>
        <v>5373.4158239999997</v>
      </c>
      <c r="AA311" s="3">
        <f>5564.9+(608.4-980.2)+(5.676198+(0.620568-0.999804))+0-0-0</f>
        <v>5198.3969619999998</v>
      </c>
      <c r="AB311" s="3">
        <f>5444.7+(698.6-1213.3)+(-8.330391+(-1.068858--1.856349))+0-0-0</f>
        <v>4922.4570999999996</v>
      </c>
      <c r="AC311" s="3">
        <f>5299.5+(793.8-1436.1)+(0+(0-0))+0-0-0</f>
        <v>4657.2</v>
      </c>
      <c r="AD311" s="2">
        <v>5619.3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5132+(626.7-1461.4)+(-5.23464+(-0.639234--1.490628))+0-0-0</f>
        <v>4292.9167539999999</v>
      </c>
      <c r="G312" s="3">
        <f>5050+(389.2-1480.2)+(-10.302+(-0.793968--3.019608))+0-0-0</f>
        <v>3950.92364</v>
      </c>
      <c r="H312" s="3">
        <f>4836.2+(271.8-1369.6)+(-9.865848+(-0.554472--2.793984))+0-0-0</f>
        <v>3730.7736639999998</v>
      </c>
      <c r="I312" s="3">
        <f>4852.9+(201.1-1443)+(-2.474979+(-0.102561--0.73593))+0-0-0</f>
        <v>3609.1583899999996</v>
      </c>
      <c r="J312" s="3">
        <f>4858.1+(159.9-1456.1)+(0+(0-0))+0-0-0</f>
        <v>3561.9000000000005</v>
      </c>
      <c r="K312" s="3">
        <f>4914.3+(154.7-1513.2)+(7.518879+(0.236691-2.315196))+0-0-0</f>
        <v>3561.240374</v>
      </c>
      <c r="L312" s="3">
        <f>4842+(164.3-1423.2)+(-12.3471+(-0.418965--3.62916))+0-0-0</f>
        <v>3573.9630950000001</v>
      </c>
      <c r="M312" s="3">
        <f>4687.5+(318.6-1535.2)+(-11.953125+(-0.81243--3.91476))+0-0-0</f>
        <v>3462.0492050000003</v>
      </c>
      <c r="N312" s="3">
        <f>4741.5+(359.6-1461)+(2.418165+(0.183396-0.74511))+0-0-0</f>
        <v>3641.956451</v>
      </c>
      <c r="O312" s="3">
        <f>4813.6+(416.9-1254.1)+(-7.364808+(-0.637857--1.918773))+0-0-0</f>
        <v>3970.3161080000004</v>
      </c>
      <c r="P312" s="3">
        <f>4964.8+(508.3-1199.1)+(0+(0-0))+0-0-0</f>
        <v>4274</v>
      </c>
      <c r="Q312" s="3">
        <f>5016.2+(445.6-1016)+(-2.558262+(-0.227256--0.51816))+0-0-0</f>
        <v>4443.5326420000001</v>
      </c>
      <c r="R312" s="3">
        <f>5014.3+(525.7-1077)+(-5.114586+(-0.536214--1.09854))+0-0-0</f>
        <v>4458.4477399999996</v>
      </c>
      <c r="S312" s="3">
        <f>4947.9+(660.9-1266.5)+(-5.046858+(-0.674118--1.29183))+0-0-0</f>
        <v>4337.8708539999989</v>
      </c>
      <c r="T312" s="3">
        <f>4941.1+(713.8-1414.9)+(-2.519961+(-0.364038--0.721599))+0-0-0</f>
        <v>4237.8375999999998</v>
      </c>
      <c r="U312" s="3">
        <f>4862.5+(718.9-1294.3)+(-7.439625+(-1.099917--1.980279))+0-0-0</f>
        <v>4280.5407370000003</v>
      </c>
      <c r="V312" s="3">
        <f>4927.3+(548.6-1162.7)+(-2.512923+(-0.279786--0.592977))+0-0-0</f>
        <v>4311.0002679999998</v>
      </c>
      <c r="W312" s="3">
        <f>5322.2+(399.2-952.2)+(0+(0-0))+0-0-0</f>
        <v>4769.2</v>
      </c>
      <c r="X312" s="3">
        <f>5506.6+(402.6-860.5)+(-5.616732+(-0.410652--0.87771))+0-0-0</f>
        <v>5043.5503260000005</v>
      </c>
      <c r="Y312" s="3">
        <f>5456.9+(407-840.6)+(-16.698114+(-1.24542--2.572236))+0-0-0</f>
        <v>5007.9287019999992</v>
      </c>
      <c r="Z312" s="3">
        <f>5432.7+(413.4-864.9)+(-13.853385+(-1.05417--2.205495))+0-0-0</f>
        <v>4968.4979400000002</v>
      </c>
      <c r="AA312" s="3">
        <f>5463.1+(410.6-989.2)+(-11.144724+(-0.837624--2.017968))+0-0-0</f>
        <v>4874.5356199999997</v>
      </c>
      <c r="AB312" s="3">
        <f>5626.8+(232.9-1116.3)+(-5.739336+(-0.237558--1.138626))+0-0-0</f>
        <v>4738.5617320000001</v>
      </c>
      <c r="AC312" s="3">
        <f>5371.1+(148.9-1116.3)+(-10.957044+(-0.303756--2.277252))+0-0-0</f>
        <v>4394.7164520000006</v>
      </c>
      <c r="AD312" s="2">
        <v>5153.3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4991+(137.3-1149)+(-2.54541+(-0.070023--0.58599))+0-0-0</f>
        <v>3977.2705570000003</v>
      </c>
      <c r="G313" s="3">
        <f>4732+(99.5-1160.8)+(-7.23996+(-0.152235--1.776024))+0-0-0</f>
        <v>3665.0838289999997</v>
      </c>
      <c r="H313" s="3">
        <f>4473.7+(106.7-1054.2)+(-4.563174+(-0.108834--1.075284))+0-0-0</f>
        <v>3522.6032759999998</v>
      </c>
      <c r="I313" s="3">
        <f>4387.1+(107.3-1019.8)+(-8.949684+(-0.218892--2.080392))+0-0-0</f>
        <v>3467.5118160000002</v>
      </c>
      <c r="J313" s="3">
        <f>4474.1+(122.7-1129)+(-2.281791+(-0.062577--0.57579))+0-0-0</f>
        <v>3466.031422</v>
      </c>
      <c r="K313" s="3">
        <f>4592.1+(135.1-1182.7)+(9.367884+(0.275604-2.412708))+0-0-0</f>
        <v>3551.7307799999999</v>
      </c>
      <c r="L313" s="3">
        <f>5005.4+(314.8-1436.7)+(0+(0-0))+0-0-0</f>
        <v>3883.4999999999995</v>
      </c>
      <c r="M313" s="3">
        <f>5450.7+(659.2-1714.6)+(-2.779857+(-0.336192--0.874446))+0-0-0</f>
        <v>4393.0583969999998</v>
      </c>
      <c r="N313" s="3">
        <f>5901.7+(559.7-1514.4)+(-3.009867+(-0.285447--0.772344))+0-0-0</f>
        <v>4944.47703</v>
      </c>
      <c r="O313" s="3">
        <f>6174.2+(559.4-1362)+(0+(0-0))+0-0-0</f>
        <v>5371.5999999999995</v>
      </c>
      <c r="P313" s="3">
        <f>6163.5+(483.5-1072.3)+(3.143385+(0.246585-0.546873))+0-0-0</f>
        <v>5577.5430969999998</v>
      </c>
      <c r="Q313" s="3">
        <f>6088.6+(401.8-762.4)+(-6.210372+(-0.409836--0.777648))+0-0-0</f>
        <v>5722.15744</v>
      </c>
      <c r="R313" s="3">
        <f>6059.6+(439.3-823.4)+(-18.542376+(-1.344258--2.519604))+0-0-0</f>
        <v>5658.1329699999997</v>
      </c>
      <c r="S313" s="3">
        <f>6025.6+(654.3-1186.6)+(-15.36528+(-1.668465--3.02583))+0-0-0</f>
        <v>5479.292085</v>
      </c>
      <c r="T313" s="3">
        <f>6007.1+(786.5-1254.1)+(0+(0-0))+0-0-0</f>
        <v>5539.5</v>
      </c>
      <c r="U313" s="3">
        <f>6045.2+(623.5-1187.1)+(-9.249156+(-0.953955--1.816263))+0-0-0</f>
        <v>5473.2131520000003</v>
      </c>
      <c r="V313" s="3">
        <f>6091.6+(605.7-1224.3)+(9.320148+(0.926721-1.873179))+0-0-0</f>
        <v>5481.3736900000004</v>
      </c>
      <c r="W313" s="3">
        <f>6281+(302.7-825.3)+(12.81324+(0.617508-1.683612))+0-0-0</f>
        <v>5770.1471359999996</v>
      </c>
      <c r="X313" s="3">
        <f>6407.3+(440.1-827.8)+(-9.803169+(-0.673353--1.266534))+0-0-0</f>
        <v>6010.3900120000008</v>
      </c>
      <c r="Y313" s="3">
        <f>6382.4+(324.4-823.2)+(0+(0-0))+0-0-0</f>
        <v>5883.5999999999995</v>
      </c>
      <c r="Z313" s="3">
        <f>6315.9+(341.5-947.3)+(-6.442218+(-0.34833--0.966246))+0-0-0</f>
        <v>5704.2756979999995</v>
      </c>
      <c r="AA313" s="3">
        <f>6286.6+(468-1283.9)+(-9.618498+(-0.71604--1.964367))+0-0-0</f>
        <v>5462.3298290000012</v>
      </c>
      <c r="AB313" s="3">
        <f>6038.8+(460.3-1331.3)+(-6.159576+(-0.469506--1.357926))+0-0-0</f>
        <v>5162.5288440000004</v>
      </c>
      <c r="AC313" s="3">
        <f>5711.2+(449.8-1420.4)+(-11.650848+(-0.917592--2.897616))+0-0-0</f>
        <v>4730.9291759999996</v>
      </c>
      <c r="AD313" s="2">
        <v>6053.3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5462.2+(280.1-1481.3)+(-11.142888+(-0.571404--3.021852))+0-0-0</f>
        <v>4252.3075600000002</v>
      </c>
      <c r="G314" s="3">
        <f>4927.3+(249-1259)+(-5.025846+(-0.25398--1.28418))+0-0-0</f>
        <v>3913.3043540000003</v>
      </c>
      <c r="H314" s="3">
        <f>4643.3+(233.2-1117.2)+(-2.368083+(-0.118932--0.569772))+0-0-0</f>
        <v>3757.3827570000003</v>
      </c>
      <c r="I314" s="3">
        <f>4542.7+(286.3-1174.1)+(4.633554+(0.292026-1.197582))+0-0-0</f>
        <v>3658.6279979999995</v>
      </c>
      <c r="J314" s="3">
        <f>4536.8+(274.8-1148.3)+(-11.56884+(-0.70074--2.928165))+0-0-0</f>
        <v>3653.9585850000003</v>
      </c>
      <c r="K314" s="3">
        <f>4583.1+(272.6-1128.4)+(11.686905+(0.69513-2.87742))+0-0-0</f>
        <v>3736.804615</v>
      </c>
      <c r="L314" s="3">
        <f>4904.4+(323.5-1213.2)+(0+(0-0))+0-0-0</f>
        <v>4014.7</v>
      </c>
      <c r="M314" s="3">
        <f>5583.5+(301.5-1411.4)+(-8.542755+(-0.461295--2.159442))+0-0-0</f>
        <v>4466.755392</v>
      </c>
      <c r="N314" s="3">
        <f>5688+(611.7-1308.1)+(-5.80176+(-0.623934--1.334262))+0-0-0</f>
        <v>4986.5085680000002</v>
      </c>
      <c r="O314" s="3">
        <f>5692.1+(683.7-1041.9)+(-8.708913+(-1.046061--1.594107))+0-0-0</f>
        <v>5325.7391330000009</v>
      </c>
      <c r="P314" s="3">
        <f>5720.4+(641.7-826.8)+(-5.834808+(-0.654534--0.843336))+0-0-0</f>
        <v>5529.6539939999993</v>
      </c>
      <c r="Q314" s="3">
        <f>5647.8+(638.7-692.7)+(-14.40189+(-1.628685--1.766385))+0-0-0</f>
        <v>5579.5358100000003</v>
      </c>
      <c r="R314" s="3">
        <f>5722.6+(629.6-810.8)+(-11.674104+(-1.284384--1.654032))+0-0-0</f>
        <v>5530.0955440000007</v>
      </c>
      <c r="S314" s="3">
        <f>5778.7+(698.2-1045)+(-11.788548+(-1.424328--2.1318))+0-0-0</f>
        <v>5420.8189239999992</v>
      </c>
      <c r="T314" s="3">
        <f>5747.4+(688.3-954.7)+(-5.862348+(-0.702066--0.973794))+0-0-0</f>
        <v>5475.4093800000001</v>
      </c>
      <c r="U314" s="3">
        <f>5755.6+(637.5-973.1)+(5.870712+(0.65025-0.992562))+0-0-0</f>
        <v>5425.5284000000001</v>
      </c>
      <c r="V314" s="3">
        <f>5872.9+(593.4-1042)+(2.995179+(0.302634-0.53142))+0-0-0</f>
        <v>5427.0663929999992</v>
      </c>
      <c r="W314" s="3">
        <f>6146+(349.8-736.2)+(6.26892+(0.356796-0.750924))+0-0-0</f>
        <v>5765.474792</v>
      </c>
      <c r="X314" s="3">
        <f>6244.9+(517.8-759.1)+(-19.109394+(-1.584468--2.322846))+0-0-0</f>
        <v>5985.2289839999994</v>
      </c>
      <c r="Y314" s="3">
        <f>6213.5+(407.8-771.4)+(-15.844425+(-1.03989--1.96707))+0-0-0</f>
        <v>5834.982755</v>
      </c>
      <c r="Z314" s="3">
        <f>6179.8+(456-945.9)+(-9.455094+(-0.69768--1.447227))+0-0-0</f>
        <v>5681.194453000001</v>
      </c>
      <c r="AA314" s="3">
        <f>6031.8+(502.3-1122.3)+(-3.076218+(-0.256173--0.572373))+0-0-0</f>
        <v>5409.0399820000002</v>
      </c>
      <c r="AB314" s="3">
        <f>5824.8+(429.2-1090.1)+(-5.941296+(-0.437784--1.111902))+0-0-0</f>
        <v>5158.6328220000005</v>
      </c>
      <c r="AC314" s="3">
        <f>5334.4+(271.4-860.4)+(-13.60272+(-0.69207--2.19402))+0-0-0</f>
        <v>4733.2992299999996</v>
      </c>
      <c r="AD314" s="2">
        <v>6030.8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5024.1+(192.2-963.7)+(-5.124582+(-0.196044--0.982974))+0-0-0</f>
        <v>4248.2623480000002</v>
      </c>
      <c r="G315" s="3">
        <f>4801.5+(235-1128.4)+(-7.346295+(-0.35955--1.726452))+0-0-0</f>
        <v>3902.1206069999998</v>
      </c>
      <c r="H315" s="3">
        <f>4753.1+(242.2-1275.1)+(0+(0-0))+0-0-0</f>
        <v>3720.2000000000007</v>
      </c>
      <c r="I315" s="3">
        <f>4615.7+(259.9-1213.7)+(-4.708014+(-0.265098--1.237974))+0-0-0</f>
        <v>3658.1648619999996</v>
      </c>
      <c r="J315" s="3">
        <f>4641+(276.9-1271.9)+(2.36691+(0.141219-0.648669))+0-0-0</f>
        <v>3647.8594600000001</v>
      </c>
      <c r="K315" s="3">
        <f>4812.6+(239-1344.1)+(-2.454426+(-0.12189--0.685491))+0-0-0</f>
        <v>3705.6091750000005</v>
      </c>
      <c r="L315" s="3">
        <f>5283.7+(280.7-1588.3)+(-2.694687+(-0.143157--0.810033))+0-0-0</f>
        <v>3974.072189</v>
      </c>
      <c r="M315" s="3">
        <f>5590+(555.7-1708.2)+(0+(0-0))+0-0-0</f>
        <v>4437.5</v>
      </c>
      <c r="N315" s="3">
        <f>5692.9+(637.9-1347.2)+(0+(0-0))+0-0-0</f>
        <v>4983.5999999999995</v>
      </c>
      <c r="O315" s="3">
        <f>5836.1+(542.9-1028.3)+(-5.952822+(-0.553758--1.048866))+0-0-0</f>
        <v>5345.2422860000006</v>
      </c>
      <c r="P315" s="3">
        <f>5846.3+(527.6-851.2)+(0+(0-0))+0-0-0</f>
        <v>5522.7</v>
      </c>
      <c r="Q315" s="3">
        <f>5794+(558.8-697.4)+(-2.95494+(-0.284988--0.355674))+0-0-0</f>
        <v>5652.515746</v>
      </c>
      <c r="R315" s="3">
        <f>5861.3+(505-733.8)+(-14.946315+(-1.28775--1.87119))+0-0-0</f>
        <v>5618.1371250000002</v>
      </c>
      <c r="S315" s="3">
        <f>5847.6+(609.5-1036)+(0+(0-0))+0-0-0</f>
        <v>5421.1</v>
      </c>
      <c r="T315" s="3">
        <f>5895.3+(638.3-1035.5)+(-3.006603+(-0.325533--0.528105))+0-0-0</f>
        <v>5495.2959690000007</v>
      </c>
      <c r="U315" s="3">
        <f>5885.7+(559.6-983.4)+(-6.003414+(-0.570792--1.003068))+0-0-0</f>
        <v>5456.3288619999994</v>
      </c>
      <c r="V315" s="3">
        <f>5902+(529.3-995.6)+(3.01002+(0.269943-0.507756))+0-0-0</f>
        <v>5438.4722069999998</v>
      </c>
      <c r="W315" s="3">
        <f>6040.6+(320-665.3)+(3.080706+(0.1632-0.339303))+0-0-0</f>
        <v>5698.2046030000001</v>
      </c>
      <c r="X315" s="3">
        <f>6121.7+(396.5-622.8)+(-12.488268+(-0.80886--1.270512))+0-0-0</f>
        <v>5883.3733839999995</v>
      </c>
      <c r="Y315" s="3">
        <f>6077.9+(358.5-685.8)+(-12.398916+(-0.73134--1.399032))+0-0-0</f>
        <v>5738.8687759999993</v>
      </c>
      <c r="Z315" s="3">
        <f>6037.2+(326.1-805.2)+(-6.157944+(-0.332622--0.821304))+0-0-0</f>
        <v>5552.4307379999991</v>
      </c>
      <c r="AA315" s="3">
        <f>5962.3+(287.3-908.9)+(-6.081546+(-0.293046--0.927078))+0-0-0</f>
        <v>5335.2524860000003</v>
      </c>
      <c r="AB315" s="3">
        <f>5846.7+(383.8-1135.8)+(-8.945451+(-0.587214--1.737774))+0-0-0</f>
        <v>5086.9051090000003</v>
      </c>
      <c r="AC315" s="3">
        <f>5384.1+(298-878.9)+(-5.491782+(-0.30396--0.896478))+0-0-0</f>
        <v>4798.3007360000011</v>
      </c>
      <c r="AD315" s="2">
        <v>5906.6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4915.5+(259.2-1000.7)+(-12.534525+(-0.66096--2.551785))+0-0-0</f>
        <v>4163.3563000000004</v>
      </c>
      <c r="G316" s="3">
        <f>4684.6+(222.8-1040.6)+(0+(0-0))+0-0-0</f>
        <v>3866.8</v>
      </c>
      <c r="H316" s="3">
        <f>4573.1+(159.7-1028.8)+(-11.661405+(-0.407235--2.62344))+0-0-0</f>
        <v>3694.5548000000003</v>
      </c>
      <c r="I316" s="3">
        <f>4502.6+(148.5-1051)+(-2.296326+(-0.075735--0.53601))+0-0-0</f>
        <v>3598.2639490000001</v>
      </c>
      <c r="J316" s="3">
        <f>4273.7+(201.3-913.9)+(4.359174+(0.205326-0.932178))+0-0-0</f>
        <v>3564.7323219999998</v>
      </c>
      <c r="K316" s="3">
        <f>4246.3+(209-897.8)+(4.331226+(0.21318-0.915756))+0-0-0</f>
        <v>3561.1286500000001</v>
      </c>
      <c r="L316" s="3">
        <f>4284.9+(197.5-848.2)+(-6.555897+(-0.302175--1.297746))+0-0-0</f>
        <v>3628.639674</v>
      </c>
      <c r="M316" s="3">
        <f>4271.1+(242.9-821.6)+(-4.356522+(-0.247758--0.838032))+0-0-0</f>
        <v>3688.6337520000006</v>
      </c>
      <c r="N316" s="3">
        <f>4445.5+(331.7-837.3)+(-2.267205+(-0.169167--0.427023))+0-0-0</f>
        <v>3937.8906510000002</v>
      </c>
      <c r="O316" s="3">
        <f>4975.5+(294.6-907.4)+(7.612515+(0.450738-1.388322))+0-0-0</f>
        <v>4369.3749309999994</v>
      </c>
      <c r="P316" s="3">
        <f>5396.7+(346.2-936.4)+(11.009268+(0.706248-1.910256))+0-0-0</f>
        <v>4816.3052600000001</v>
      </c>
      <c r="Q316" s="3">
        <f>5434.7+(352.8-711.4)+(-2.771697+(-0.179928--0.362814))+0-0-0</f>
        <v>5073.5111889999998</v>
      </c>
      <c r="R316" s="3">
        <f>5405.4+(377.4-674.5)+(-11.027016+(-0.769896--1.37598))+0-0-0</f>
        <v>5097.8790679999993</v>
      </c>
      <c r="S316" s="3">
        <f>5378.9+(429.3-879.5)+(-10.972956+(-0.875772--1.79418))+0-0-0</f>
        <v>4918.6454519999998</v>
      </c>
      <c r="T316" s="3">
        <f>5411.1+(500.8-1010.1)+(0+(0-0))+0-0-0</f>
        <v>4901.8</v>
      </c>
      <c r="U316" s="3">
        <f>5358+(449.7-924)+(-16.39548+(-1.376082--2.82744))+0-0-0</f>
        <v>4868.7558779999999</v>
      </c>
      <c r="V316" s="3">
        <f>5384+(402.1-908.4)+(0+(0-0))+0-0-0</f>
        <v>4877.7</v>
      </c>
      <c r="W316" s="3">
        <f>5550.3+(244.3-731.3)+(0+(0-0))+0-0-0</f>
        <v>5063.3</v>
      </c>
      <c r="X316" s="3">
        <f>5589.2+(415.1-771.7)+(-14.25246+(-1.058505--1.967835))+0-0-0</f>
        <v>5219.2568699999993</v>
      </c>
      <c r="Y316" s="3">
        <f>5544.6+(339.6-757)+(-14.13873+(-0.86598--1.93035))+0-0-0</f>
        <v>5114.1256400000011</v>
      </c>
      <c r="Z316" s="3">
        <f>5521.1+(259.8-797)+(-5.631522+(-0.264996--0.81294))+0-0-0</f>
        <v>4978.8164220000008</v>
      </c>
      <c r="AA316" s="3">
        <f>5480.1+(250-915)+(-11.179404+(-0.51--1.8666))+0-0-0</f>
        <v>4805.277196</v>
      </c>
      <c r="AB316" s="3">
        <f>5426+(305.7-1060)+(-2.76726+(-0.155907--0.5406))+0-0-0</f>
        <v>4669.3174330000002</v>
      </c>
      <c r="AC316" s="3">
        <f>5073.7+(211.3-917.7)+(-10.350348+(-0.431052--1.872108))+0-0-0</f>
        <v>4358.390707999999</v>
      </c>
      <c r="AD316" s="2">
        <v>5377.4000000000005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4802.6+(204.1-953.9)+(-2.449326+(-0.104091--0.486489))+0-0-0</f>
        <v>4050.733072</v>
      </c>
      <c r="G317" s="3">
        <f>4426+(188.1-873.6)+(-2.25726+(-0.095931--0.445536))+0-0-0</f>
        <v>3738.592345</v>
      </c>
      <c r="H317" s="3">
        <f>4323.1+(282.3-1024)+(0+(0-0))+0-0-0</f>
        <v>3581.4000000000005</v>
      </c>
      <c r="I317" s="3">
        <f>4298+(310.4-1102.2)+(-2.19198+(-0.158304--0.562122))+0-0-0</f>
        <v>3504.411838</v>
      </c>
      <c r="J317" s="3">
        <f>4305.9+(292.1-1107)+(-6.588027+(-0.446913--1.69371))+0-0-0</f>
        <v>3485.6587699999995</v>
      </c>
      <c r="K317" s="3">
        <f>4343.8+(354.4-1130.7)+(2.215338+(0.180744-0.576657))+0-0-0</f>
        <v>3569.3194250000001</v>
      </c>
      <c r="L317" s="3">
        <f>4659.7+(488.8-1301.9)+(-4.752894+(-0.498576--1.327938))+0-0-0</f>
        <v>3842.6764679999997</v>
      </c>
      <c r="M317" s="3">
        <f>5033+(650.4-1418.3)+(-7.70049+(-0.995112--2.169999))+0-0-0</f>
        <v>4258.5743970000003</v>
      </c>
      <c r="N317" s="3">
        <f>5439.6+(698.9-1341.7)+(-5.548392+(-0.712878--1.368534))+0-0-0</f>
        <v>4791.9072640000004</v>
      </c>
      <c r="O317" s="3">
        <f>5738+(854-1404.3)+(-2.92638+(-0.43554--0.716193))+0-0-0</f>
        <v>5185.0542729999997</v>
      </c>
      <c r="P317" s="3">
        <f>5777.9+(846.3-1163.6)+(-8.840187+(-1.294839--1.780308))+0-0-0</f>
        <v>5452.2452819999999</v>
      </c>
      <c r="Q317" s="3">
        <f>5823.8+(860.6-1085.5)+(0+(0-0))+0-0-0</f>
        <v>5598.9000000000005</v>
      </c>
      <c r="R317" s="3">
        <f>5827.5+(834.5-1116.4)+(-11.8881+(-1.70238--2.277456))+0-0-0</f>
        <v>5534.2869760000003</v>
      </c>
      <c r="S317" s="3">
        <f>5888.1+(860.3-1356.3)+(-12.011724+(-1.755012--2.766852))+0-0-0</f>
        <v>5381.1001160000005</v>
      </c>
      <c r="T317" s="3">
        <f>5775.5+(862.2-1189.5)+(2.945505+(0.439722-0.606645))+0-0-0</f>
        <v>5450.9785819999997</v>
      </c>
      <c r="U317" s="3">
        <f>5671.7+(786.8-1152.3)+(-11.570268+(-1.605072--2.350692))+0-0-0</f>
        <v>5295.375352</v>
      </c>
      <c r="V317" s="3">
        <f>5802.8+(715.6-1142.2)+(-2.959428+(-0.364956--0.582522))+0-0-0</f>
        <v>5373.458138</v>
      </c>
      <c r="W317" s="3">
        <f>5949.6+(617.7-898.4)+(6.068592+(0.630054-0.916368))+0-0-0</f>
        <v>5674.6822780000002</v>
      </c>
      <c r="X317" s="3">
        <f>6118.3+(485.9-674.7)+(-3.120333+(-0.247809--0.344097))+0-0-0</f>
        <v>5926.4759549999999</v>
      </c>
      <c r="Y317" s="3">
        <f>6072.4+(524-806.8)+(-9.290772+(-0.80172--1.234404))+0-0-0</f>
        <v>5780.7419119999995</v>
      </c>
      <c r="Z317" s="3">
        <f>5993.9+(631.1-1000.7)+(3.056889+(0.321861-0.510357))+0-0-0</f>
        <v>5627.168392999999</v>
      </c>
      <c r="AA317" s="3">
        <f>5969.3+(642.9-1225.2)+(-9.133029+(-0.983637--1.874556))+0-0-0</f>
        <v>5378.7578899999999</v>
      </c>
      <c r="AB317" s="3">
        <f>5776.6+(701.4-1366)+(-14.73033+(-1.78857--3.4833))+0-0-0</f>
        <v>5098.9643999999998</v>
      </c>
      <c r="AC317" s="3">
        <f>5421+(516.3-1168.8)+(-5.52942+(-0.526626--1.192176))+0-0-0</f>
        <v>4763.6361299999999</v>
      </c>
      <c r="AD317" s="2">
        <v>5982.6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5254.3+(426.2-1346.6)+(-10.718772+(-0.869448--2.747064))+0-0-0</f>
        <v>4325.0588440000001</v>
      </c>
      <c r="G318" s="3">
        <f>5191.9+(324.1-1543.3)+(-5.295738+(-0.330582--1.574166))+0-0-0</f>
        <v>3968.6478459999998</v>
      </c>
      <c r="H318" s="3">
        <f>4817.8+(286.3-1364.4)+(0+(0-0))+0-0-0</f>
        <v>3739.7</v>
      </c>
      <c r="I318" s="3">
        <f>4743.7+(271.4-1360)+(-2.419287+(-0.138414--0.6936))+0-0-0</f>
        <v>3653.2358989999998</v>
      </c>
      <c r="J318" s="3">
        <f>4691.1+(299-1355)+(0+(0-0))+0-0-0</f>
        <v>3635.1000000000004</v>
      </c>
      <c r="K318" s="3">
        <f>4635.4+(383.2-1333.4)+(2.364054+(0.195432-0.680034))+0-0-0</f>
        <v>3687.0794519999999</v>
      </c>
      <c r="L318" s="3">
        <f>4631.6+(618.6-1398.8)+(-4.724232+(-0.630972--1.426776))+0-0-0</f>
        <v>3847.4715720000004</v>
      </c>
      <c r="M318" s="3">
        <f>4710.8+(735.7-1316.3)+(7.207524+(1.125621-2.013939))+0-0-0</f>
        <v>4136.5192060000008</v>
      </c>
      <c r="N318" s="3">
        <f>5334.2+(771.6-1441.6)+(0+(0-0))+0-0-0</f>
        <v>4664.2</v>
      </c>
      <c r="O318" s="3">
        <f>5914.3+(725.8-1501.1)+(3.016293+(0.370158-0.765561))+0-0-0</f>
        <v>5141.6208900000001</v>
      </c>
      <c r="P318" s="3">
        <f>6014.5+(739.9-1279.4)+(0+(0-0))+0-0-0</f>
        <v>5475</v>
      </c>
      <c r="Q318" s="3">
        <f>5973.2+(741.3-1079.2)+(-6.092664+(-0.756126--1.100784))+0-0-0</f>
        <v>5629.5519939999995</v>
      </c>
      <c r="R318" s="3">
        <f>5931.2+(733.9-1132.9)+(-12.099648+(-1.497156--2.311116))+0-0-0</f>
        <v>5520.9143119999999</v>
      </c>
      <c r="S318" s="3">
        <f>5986.4+(797.5-1498.9)+(6.106128+(0.81345-1.528878))+0-0-0</f>
        <v>5290.3906999999999</v>
      </c>
      <c r="T318" s="3">
        <f>5978+(823.8-1508.5)+(-6.09756+(-0.840276--1.53867))+0-0-0</f>
        <v>5287.900834</v>
      </c>
      <c r="U318" s="3">
        <f>5892.9+(802-1488.9)+(12.021516+(1.63608-3.037356))+0-0-0</f>
        <v>5216.6202400000002</v>
      </c>
      <c r="V318" s="3">
        <f>5855.2+(725.3-1316.9)+(0+(0-0))+0-0-0</f>
        <v>5263.5999999999995</v>
      </c>
      <c r="W318" s="3">
        <f>6172.6+(489.1-1194.7)+(-3.148026+(-0.249441--0.609297))+0-0-0</f>
        <v>5464.2118300000002</v>
      </c>
      <c r="X318" s="3">
        <f>6194.9+(448.4-1032)+(-6.318798+(-0.457368--1.05264))+0-0-0</f>
        <v>5605.5764739999995</v>
      </c>
      <c r="Y318" s="3">
        <f>6093.3+(444-1035.5)+(-18.645498+(-1.35864--3.16863))+0-0-0</f>
        <v>5484.9644920000001</v>
      </c>
      <c r="Z318" s="3">
        <f>6066.5+(521.3-1247.5)+(6.18783+(0.531726-1.27245))+0-0-0</f>
        <v>5345.7471059999998</v>
      </c>
      <c r="AA318" s="3">
        <f>5888.3+(486.2-1228.2)+(-15.015165+(-1.23981--3.13191))+0-0-0</f>
        <v>5133.1769350000004</v>
      </c>
      <c r="AB318" s="3">
        <f>5607.3+(430.7-1152)+(-11.438892+(-0.878628--2.35008))+0-0-0</f>
        <v>4876.0325599999996</v>
      </c>
      <c r="AC318" s="3">
        <f>5349.2+(421.1-1199.1)+(-10.912368+(-0.859044--2.446164))+0-0-0</f>
        <v>4561.8747519999997</v>
      </c>
      <c r="AD318" s="2">
        <v>5630.7999999999993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5185.7+(279.1-1242.1)+(-7.934121+(-0.427023--1.900413))+0-0-0</f>
        <v>4216.2392689999997</v>
      </c>
      <c r="G319" s="3">
        <f>5040.6+(234.9-1350.9)+(-12.85353+(-0.598995--3.444795))+0-0-0</f>
        <v>3914.5922700000006</v>
      </c>
      <c r="H319" s="3">
        <f>4585.5+(220.3-1073)+(4.67721+(0.224706-1.09446))+0-0-0</f>
        <v>3736.6074560000002</v>
      </c>
      <c r="I319" s="3">
        <f>4514.8+(233.4-1139)+(-2.302548+(-0.119034--0.58089))+0-0-0</f>
        <v>3607.3593080000001</v>
      </c>
      <c r="J319" s="3">
        <f>4509.5+(179.5-1115.8)+(-2.299845+(-0.091545--0.569058))+0-0-0</f>
        <v>3571.3776679999996</v>
      </c>
      <c r="K319" s="3">
        <f>4737.9+(156.2-1361.7)+(4.832658+(0.159324-1.388934))+0-0-0</f>
        <v>3536.0030479999996</v>
      </c>
      <c r="L319" s="3">
        <f>4743+(187.1-1433.7)+(-4.83786+(-0.190842--1.462374))+0-0-0</f>
        <v>3492.8336719999998</v>
      </c>
      <c r="M319" s="3">
        <f>4607.5+(219.7-1417.5)+(0+(0-0))+0-0-0</f>
        <v>3409.7</v>
      </c>
      <c r="N319" s="3">
        <f>4651.3+(382.3-1474.2)+(2.372163+(0.194973-0.751842))+0-0-0</f>
        <v>3561.2152940000001</v>
      </c>
      <c r="O319" s="3">
        <f>4959.1+(297.5-1376.4)+(2.529141+(0.151725-0.701964))+0-0-0</f>
        <v>3882.1789020000001</v>
      </c>
      <c r="P319" s="3">
        <f>5301.3+(298.6-1352.5)+(-8.110989+(-0.456858--2.069325))+0-0-0</f>
        <v>4240.9014779999998</v>
      </c>
      <c r="Q319" s="3">
        <f>5433.2+(300.8-1270.8)+(-11.083728+(-0.613632--2.592432))+0-0-0</f>
        <v>4454.0950720000001</v>
      </c>
      <c r="R319" s="3">
        <f>5413.8+(335.2-1271)+(-2.761038+(-0.170952--0.64821))+0-0-0</f>
        <v>4475.7162200000002</v>
      </c>
      <c r="S319" s="3">
        <f>5341+(340.9-1289.1)+(-10.89564+(-0.695436--2.629764))+0-0-0</f>
        <v>4383.8386879999998</v>
      </c>
      <c r="T319" s="3">
        <f>5010.3+(399.8-1102.6)+(-7.665759+(-0.611694--1.686978))+0-0-0</f>
        <v>4300.909525</v>
      </c>
      <c r="U319" s="3">
        <f>4813.7+(443.1-1045.4)+(7.364961+(0.677943-1.599462))+0-0-0</f>
        <v>4217.8434419999994</v>
      </c>
      <c r="V319" s="3">
        <f>4850+(469.9-1060)+(-4.947+(-0.479298--1.0812))+0-0-0</f>
        <v>4255.5549019999999</v>
      </c>
      <c r="W319" s="3">
        <f>5471.6+(207.9-1073.3)+(-13.95258+(-0.530145--2.736915))+0-0-0</f>
        <v>4594.4541900000004</v>
      </c>
      <c r="X319" s="3">
        <f>6183.5+(234.8-1346.8)+(-9.460755+(-0.359244--2.060604))+0-0-0</f>
        <v>5063.740605</v>
      </c>
      <c r="Y319" s="3">
        <f>6165.9+(280-1359.9)+(-3.144609+(-0.1428--0.693549))+0-0-0</f>
        <v>5083.4061400000001</v>
      </c>
      <c r="Z319" s="3">
        <f>5936.9+(357.5-1239.1)+(-3.027819+(-0.182325--0.631941))+0-0-0</f>
        <v>5052.7217969999992</v>
      </c>
      <c r="AA319" s="3">
        <f>5597.6+(493.8-1136.3)+(2.854776+(0.251838-0.579513))+0-0-0</f>
        <v>4957.627101</v>
      </c>
      <c r="AB319" s="3">
        <f>5530.2+(439.8-1215.8)+(-8.461206+(-0.672894--1.860174))+0-0-0</f>
        <v>4746.926074</v>
      </c>
      <c r="AC319" s="3">
        <f>5403.7+(175-1159.3)+(-11.023548+(-0.357--2.364972))+0-0-0</f>
        <v>4410.3844239999999</v>
      </c>
      <c r="AD319" s="2">
        <v>5105.2999999999993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4770.1+(209.4-937.2)+(-9.731004+(-0.427176--1.911888))+0-0-0</f>
        <v>4034.0537080000004</v>
      </c>
      <c r="G320" s="3">
        <f>4328.5+(255-889.9)+(-2.207535+(-0.13005--0.453849))+0-0-0</f>
        <v>3691.7162639999997</v>
      </c>
      <c r="H320" s="3">
        <f>4212.6+(272.3-963.2)+(-8.593704+(-0.555492--1.964928))+0-0-0</f>
        <v>3514.5157320000003</v>
      </c>
      <c r="I320" s="3">
        <f>4201+(274.8-1019.9)+(-2.14251+(-0.140148--0.520149))+0-0-0</f>
        <v>3454.137491</v>
      </c>
      <c r="J320" s="3">
        <f>4210+(265.3-1022.1)+(10.7355+(0.676515-2.606355))+0-0-0</f>
        <v>3462.0056599999998</v>
      </c>
      <c r="K320" s="3">
        <f>4329.2+(252.5-1036.1)+(6.623676+(0.386325-1.585233))+0-0-0</f>
        <v>3551.0247679999998</v>
      </c>
      <c r="L320" s="3">
        <f>4589.1+(374.5-1078.3)+(7.021323+(0.572985-1.649799))+0-0-0</f>
        <v>3891.2445090000001</v>
      </c>
      <c r="M320" s="3">
        <f>4875.5+(559.1-1067.5)+(-7.459515+(-0.855423--1.633275))+0-0-0</f>
        <v>4360.4183370000001</v>
      </c>
      <c r="N320" s="3">
        <f>5343+(704.1-1081.9)+(5.44986+(0.718182-1.103538))+0-0-0</f>
        <v>4970.2645039999998</v>
      </c>
      <c r="O320" s="3">
        <f>5586+(655.9-847.4)+(0+(0-0))+0-0-0</f>
        <v>5394.5</v>
      </c>
      <c r="P320" s="3">
        <f>5591.1+(813.8-701.1)+(5.702922+(0.830076-0.715122))+0-0-0</f>
        <v>5709.6178760000003</v>
      </c>
      <c r="Q320" s="3">
        <f>5571.2+(1037.8-706.8)+(-5.682624+(-1.058556--0.720936))+0-0-0</f>
        <v>5896.1797559999995</v>
      </c>
      <c r="R320" s="3">
        <f>5526+(1043.4-694.8)+(-14.0913+(-2.66067--1.77174))+0-0-0</f>
        <v>5859.6197700000002</v>
      </c>
      <c r="S320" s="3">
        <f>5540.6+(876.8-685.8)+(-2.825706+(-0.447168--0.349758))+0-0-0</f>
        <v>5728.6768840000004</v>
      </c>
      <c r="T320" s="3">
        <f>5528.9+(916.3-655.6)+(-14.098695+(-2.336565--1.67178))+0-0-0</f>
        <v>5774.8365199999998</v>
      </c>
      <c r="U320" s="3">
        <f>5522.9+(926-745.2)+(-5.633358+(-0.94452--0.760104))+0-0-0</f>
        <v>5697.8822259999997</v>
      </c>
      <c r="V320" s="3">
        <f>5533.8+(896.4-786.3)+(2.822238+(0.457164-0.401013))+0-0-0</f>
        <v>5646.778389000001</v>
      </c>
      <c r="W320" s="3">
        <f>5819.9+(794.7-745.9)+(0+(0-0))+0-0-0</f>
        <v>5868.7</v>
      </c>
      <c r="X320" s="3">
        <f>6006.6+(1000.7-874.8)+(-3.063366+(-0.510357--0.446148))+0-0-0</f>
        <v>6129.3724249999996</v>
      </c>
      <c r="Y320" s="3">
        <f>5923.9+(913.4-831.3)+(-18.127134+(-2.795004--2.543778))+0-0-0</f>
        <v>5987.6216400000003</v>
      </c>
      <c r="Z320" s="3">
        <f>5827.6+(798-792.9)+(-11.888304+(-1.62792--1.617516))+0-0-0</f>
        <v>5820.801292000001</v>
      </c>
      <c r="AA320" s="3">
        <f>5809.1+(748.5-981.9)+(-2.962641+(-0.381735--0.500769))+0-0-0</f>
        <v>5572.8563930000009</v>
      </c>
      <c r="AB320" s="3">
        <f>5680.2+(613.1-1006.2)+(-11.587608+(-1.250724--2.052648))+0-0-0</f>
        <v>5276.3143159999991</v>
      </c>
      <c r="AC320" s="3">
        <f>5420+(518.9-1056.2)+(-8.2926+(-0.793917--1.615986))+0-0-0</f>
        <v>4875.2294689999999</v>
      </c>
      <c r="AD320" s="2">
        <v>6144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4891.2+(465.6-988.2)+(-9.978048+(-0.949824--2.015928))+0-0-0</f>
        <v>4359.6880559999991</v>
      </c>
      <c r="G321" s="3">
        <f>4792.6+(349.4-1105.8)+(-7.332678+(-0.534582--1.691874))+0-0-0</f>
        <v>4030.0246140000004</v>
      </c>
      <c r="H321" s="3">
        <f>4591.8+(302.6-1030.6)+(0+(0-0))+0-0-0</f>
        <v>3863.8</v>
      </c>
      <c r="I321" s="3">
        <f>4509+(336.5-1068.6)+(-2.29959+(-0.171615--0.544986))+0-0-0</f>
        <v>3774.9737810000001</v>
      </c>
      <c r="J321" s="3">
        <f>4446.6+(351.2-1068.4)+(2.267766+(0.179112-0.544884))+0-0-0</f>
        <v>3731.3019940000004</v>
      </c>
      <c r="K321" s="3">
        <f>4495.3+(374.4-1057.3)+(4.585206+(0.381888-1.078446))+0-0-0</f>
        <v>3816.2886480000002</v>
      </c>
      <c r="L321" s="3">
        <f>4853.5+(378-1160.9)+(4.95057+(0.38556-1.184118))+0-0-0</f>
        <v>4074.7520119999999</v>
      </c>
      <c r="M321" s="3">
        <f>5221.1+(505.7-1234.8)+(2.662761+(0.257907-0.629748))+0-0-0</f>
        <v>4494.2909200000004</v>
      </c>
      <c r="N321" s="3">
        <f>5428.4+(627.2-971.1)+(-11.073936+(-1.279488--1.981044))+0-0-0</f>
        <v>5074.1276200000002</v>
      </c>
      <c r="O321" s="3">
        <f>5715.1+(558.8-778.8)+(8.744103+(0.854964-1.191564))+0-0-0</f>
        <v>5503.5075030000007</v>
      </c>
      <c r="P321" s="3">
        <f>5757+(571.2-580.3)+(-5.87214+(-0.582624--0.591906))+0-0-0</f>
        <v>5742.0371419999992</v>
      </c>
      <c r="Q321" s="3">
        <f>5710+(708.1-544.9)+(-11.6484+(-1.444524--1.111596))+0-0-0</f>
        <v>5861.218672</v>
      </c>
      <c r="R321" s="3">
        <f>5577.7+(747.1-557.4)+(-14.223135+(-1.905105--1.42137))+0-0-0</f>
        <v>5752.6931299999997</v>
      </c>
      <c r="S321" s="3">
        <f>5377.6+(835-596.4)+(2.742576+(0.42585-0.304164))+0-0-0</f>
        <v>5619.0642620000008</v>
      </c>
      <c r="T321" s="3">
        <f>5340.1+(885.3-585.4)+(-5.446902+(-0.903006--0.597108))+0-0-0</f>
        <v>5634.2471999999998</v>
      </c>
      <c r="U321" s="3">
        <f>5359.2+(848.8-626.7)+(-2.733192+(-0.432888--0.319617))+0-0-0</f>
        <v>5578.4535369999994</v>
      </c>
      <c r="V321" s="3">
        <f>5446.6+(779.1-693.5)+(0+(0-0))+0-0-0</f>
        <v>5532.2000000000007</v>
      </c>
      <c r="W321" s="3">
        <f>5861.1+(535.3-600)+(0+(0-0))+0-0-0</f>
        <v>5796.4000000000005</v>
      </c>
      <c r="X321" s="3">
        <f>6031.4+(945.5-841)+(3.076014+(0.482205-0.42891))+0-0-0</f>
        <v>6139.0293089999996</v>
      </c>
      <c r="Y321" s="3">
        <f>5982.9+(872.7-856)+(-9.153837+(-1.335231--1.30968))+0-0-0</f>
        <v>5990.4206119999999</v>
      </c>
      <c r="Z321" s="3">
        <f>5928.9+(696.9-779.8)+(-6.047478+(-0.710838--0.795396))+0-0-0</f>
        <v>5840.0370800000001</v>
      </c>
      <c r="AA321" s="3">
        <f>5755.4+(611.5-773.1)+(-8.805762+(-0.935595--1.182843))+0-0-0</f>
        <v>5585.241485999999</v>
      </c>
      <c r="AB321" s="3">
        <f>5566.5+(703.3-938.9)+(-5.67783+(-0.717366--0.957678))+0-0-0</f>
        <v>5325.4624819999999</v>
      </c>
      <c r="AC321" s="3">
        <f>5217.1+(679.4-1027.6)+(-13.303605+(-1.73247--2.62038))+0-0-0</f>
        <v>4856.4843050000009</v>
      </c>
      <c r="AD321" s="2">
        <v>6187.5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5006.5+(547.7-1187.8)+(-2.553315+(-0.279327--0.605778))+0-0-0</f>
        <v>4364.1731359999994</v>
      </c>
      <c r="G322" s="3">
        <f>4874.3+(446.9-1295.8)+(0+(0-0))+0-0-0</f>
        <v>4025.4</v>
      </c>
      <c r="H322" s="3">
        <f>4573.7+(357-1058.8)+(0+(0-0))+0-0-0</f>
        <v>3871.8999999999996</v>
      </c>
      <c r="I322" s="3">
        <f>4549.1+(318.4-1064.8)+(0+(0-0))+0-0-0</f>
        <v>3802.7000000000003</v>
      </c>
      <c r="J322" s="3">
        <f>4552.4+(331.1-1105.5)+(9.286896+(0.675444-2.25522))+0-0-0</f>
        <v>3785.7071199999996</v>
      </c>
      <c r="K322" s="3">
        <f>4597.5+(348.6-1085.8)+(7.034175+(0.533358-1.661274))+0-0-0</f>
        <v>3866.206259</v>
      </c>
      <c r="L322" s="3">
        <f>4696.3+(448.2-1023)+(4.790226+(0.457164-1.04346))+0-0-0</f>
        <v>4125.7039299999997</v>
      </c>
      <c r="M322" s="3">
        <f>5148.7+(569.5-1184.2)+(-5.251674+(-0.58089--1.207884))+0-0-0</f>
        <v>4529.3753200000001</v>
      </c>
      <c r="N322" s="3">
        <f>5640.2+(722.2-1289.9)+(-8.629506+(-1.104966--1.973547))+0-0-0</f>
        <v>5064.7390750000004</v>
      </c>
      <c r="O322" s="3">
        <f>5672+(879.7-1094.7)+(2.89272+(0.448647-0.558297))+0-0-0</f>
        <v>5459.7830700000004</v>
      </c>
      <c r="P322" s="3">
        <f>5574.3+(1005.6-890.3)+(0+(0-0))+0-0-0</f>
        <v>5689.6</v>
      </c>
      <c r="Q322" s="3">
        <f>5546+(1169.6-936.1)+(2.82846+(0.596496-0.477411))+0-0-0</f>
        <v>5782.447545</v>
      </c>
      <c r="R322" s="3">
        <f>5497.7+(1160.8-942.5)+(-14.019135+(-2.96004--2.403375))+0-0-0</f>
        <v>5701.4242000000004</v>
      </c>
      <c r="S322" s="3">
        <f>5506.8+(1000.6-968.6)+(0+(0-0))+0-0-0</f>
        <v>5538.8</v>
      </c>
      <c r="T322" s="3">
        <f>5447.9+(1023.3-884.6)+(-2.778429+(-0.521883--0.451146))+0-0-0</f>
        <v>5583.7508339999995</v>
      </c>
      <c r="U322" s="3">
        <f>5383.9+(1008.9-844.3)+(-13.728945+(-2.572695--2.152965))+0-0-0</f>
        <v>5534.3513249999996</v>
      </c>
      <c r="V322" s="3">
        <f>5344.2+(999.7-832.8)+(-8.176626+(-1.529541--1.274184))+0-0-0</f>
        <v>5502.668017</v>
      </c>
      <c r="W322" s="3">
        <f>5561.4+(982.3-830.7)+(-2.836314+(-0.500973--0.423657))+0-0-0</f>
        <v>5710.08637</v>
      </c>
      <c r="X322" s="3">
        <f>5787.2+(1287.1-1031.7)+(-8.854416+(-1.969263--1.578501))+0-0-0</f>
        <v>6033.3548219999993</v>
      </c>
      <c r="Y322" s="3">
        <f>5732.3+(1252-1053.3)+(-17.540838+(-3.83112--3.223098))+0-0-0</f>
        <v>5912.8511399999998</v>
      </c>
      <c r="Z322" s="3">
        <f>5688.9+(1161.2-1093.2)+(-8.704017+(-1.776636--1.672596))+0-0-0</f>
        <v>5748.0919429999994</v>
      </c>
      <c r="AA322" s="3">
        <f>5606.2+(1053.6-1129.8)+(-11.436648+(-2.149344--2.304792))+0-0-0</f>
        <v>5518.7187999999996</v>
      </c>
      <c r="AB322" s="3">
        <f>5562.2+(815.8-1111.4)+(-14.18361+(-2.08029--2.83407))+0-0-0</f>
        <v>5253.1701699999994</v>
      </c>
      <c r="AC322" s="3">
        <f>4893.1+(811.8-867.6)+(-4.990962+(-0.828036--0.884952))+0-0-0</f>
        <v>4832.3659539999999</v>
      </c>
      <c r="AD322" s="2">
        <v>6049.2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4630.9+(616.7-911.9)+(-9.447036+(-1.258068--1.860276))+0-0-0</f>
        <v>4326.8551719999996</v>
      </c>
      <c r="G323" s="3">
        <f>4578.7+(564.5-1155.3)+(-2.335137+(-0.287895--0.589203))+0-0-0</f>
        <v>3985.8661709999997</v>
      </c>
      <c r="H323" s="3">
        <f>4582.6+(534.7-1295)+(0+(0-0))+0-0-0</f>
        <v>3822.3</v>
      </c>
      <c r="I323" s="3">
        <f>4475.5+(532.1-1249)+(0+(0-0))+0-0-0</f>
        <v>3758.6</v>
      </c>
      <c r="J323" s="3">
        <f>4461.8+(513.4-1223.8)+(6.826554+(0.785502-1.872414))+0-0-0</f>
        <v>3757.1396420000001</v>
      </c>
      <c r="K323" s="3">
        <f>4628.2+(563.6-1356.1)+(-7.081146+(-0.862308--2.074833))+0-0-0</f>
        <v>3829.8313789999997</v>
      </c>
      <c r="L323" s="3">
        <f>4963.2+(720.7-1580.3)+(0+(0-0))+0-0-0</f>
        <v>4103.6000000000004</v>
      </c>
      <c r="M323" s="3">
        <f>5218.9+(896.1-1592.3)+(0+(0-0))+0-0-0</f>
        <v>4522.7</v>
      </c>
      <c r="N323" s="3">
        <f>5466.5+(895.6-1276)+(0+(0-0))+0-0-0</f>
        <v>5086.1000000000004</v>
      </c>
      <c r="O323" s="3">
        <f>5579.7+(931.2-1065.2)+(0+(0-0))+0-0-0</f>
        <v>5445.7</v>
      </c>
      <c r="P323" s="3">
        <f>5559+(1082.2-1004.9)+(-8.50527+(-1.655766--1.537497))+0-0-0</f>
        <v>5627.676461</v>
      </c>
      <c r="Q323" s="3">
        <f>5552.5+(1183-999.6)+(-5.66355+(-1.20666--1.019592))+0-0-0</f>
        <v>5730.0493819999992</v>
      </c>
      <c r="R323" s="3">
        <f>5485.1+(1192.4-967.6)+(-8.392203+(-1.824372--1.480428))+0-0-0</f>
        <v>5701.1638530000009</v>
      </c>
      <c r="S323" s="3">
        <f>5447+(1031.4-965.5)+(-8.33391+(-1.578042--1.477215))+0-0-0</f>
        <v>5504.465263</v>
      </c>
      <c r="T323" s="3">
        <f>5497.8+(1028.7-961.1)+(-2.803878+(-0.524637--0.490161))+0-0-0</f>
        <v>5562.5616460000001</v>
      </c>
      <c r="U323" s="3">
        <f>5521.6+(1105.2-1111.8)+(-5.632032+(-1.127304--1.134036))+0-0-0</f>
        <v>5509.3747000000003</v>
      </c>
      <c r="V323" s="3">
        <f>5323+(1214.9-1047.8)+(-8.14419+(-1.858797--1.603134))+0-0-0</f>
        <v>5481.7001470000005</v>
      </c>
      <c r="W323" s="3">
        <f>5563+(1133.3-950.1)+(0+(0-0))+0-0-0</f>
        <v>5746.2</v>
      </c>
      <c r="X323" s="3">
        <f>5776.8+(1417.6-1118.2)+(0+(0-0))+0-0-0</f>
        <v>6076.2</v>
      </c>
      <c r="Y323" s="3">
        <f>5702.6+(1390.6-1149.2)+(-17.449956+(-4.255236--3.516552))+0-0-0</f>
        <v>5925.8113599999997</v>
      </c>
      <c r="Z323" s="3">
        <f>5676.7+(1252-1156.4)+(0+(0-0))+0-0-0</f>
        <v>5772.2999999999993</v>
      </c>
      <c r="AA323" s="3">
        <f>5484.7+(1240.9-1209)+(-2.797197+(-0.632859--0.61659))+0-0-0</f>
        <v>5513.7865340000008</v>
      </c>
      <c r="AB323" s="3">
        <f>5529.4+(987.9-1298.6)+(-5.639988+(-1.007658--1.324572))+0-0-0</f>
        <v>5213.3769259999999</v>
      </c>
      <c r="AC323" s="3">
        <f>5511.1+(732.4-1425.7)+(-8.431983+(-1.120572--2.181321))+0-0-0</f>
        <v>4810.428766</v>
      </c>
      <c r="AD323" s="2">
        <v>6103.9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5260.5+(526.3-1474.2)+(-13.414275+(-1.342065--3.75921))+0-0-0</f>
        <v>4301.6028700000006</v>
      </c>
      <c r="G324" s="3">
        <f>4770.5+(389.5-1191.1)+(-9.73182+(-0.79458--2.429844))+0-0-0</f>
        <v>3960.8034440000001</v>
      </c>
      <c r="H324" s="3">
        <f>4623.9+(380-1199)+(-2.358189+(-0.1938--0.61149))+0-0-0</f>
        <v>3802.9595009999998</v>
      </c>
      <c r="I324" s="3">
        <f>4635.9+(379-1283.2)+(0+(0-0))+0-0-0</f>
        <v>3731.7</v>
      </c>
      <c r="J324" s="3">
        <f>4626.2+(359.5-1263.4)+(0+(0-0))+0-0-0</f>
        <v>3722.2999999999997</v>
      </c>
      <c r="K324" s="3">
        <f>4735.4+(316-1269.6)+(7.245162+(0.48348-1.942488))+0-0-0</f>
        <v>3787.5861539999996</v>
      </c>
      <c r="L324" s="3">
        <f>5094.4+(435.1-1462.3)+(0+(0-0))+0-0-0</f>
        <v>4067.2</v>
      </c>
      <c r="M324" s="3">
        <f>5255.1+(652.2-1438.9)+(10.720404+(1.330488-2.935356))+0-0-0</f>
        <v>4477.5155360000008</v>
      </c>
      <c r="N324" s="3">
        <f>5217.7+(931-1121.7)+(0+(0-0))+0-0-0</f>
        <v>5027</v>
      </c>
      <c r="O324" s="3">
        <f>5232.9+(1185.7-994.8)+(0+(0-0))+0-0-0</f>
        <v>5423.7999999999993</v>
      </c>
      <c r="P324" s="3">
        <f>5314.3+(1297.4-968)+(-5.420586+(-1.323348--0.98736))+0-0-0</f>
        <v>5637.9434260000007</v>
      </c>
      <c r="Q324" s="3">
        <f>5388.2+(1308.4-981.4)+(-5.495964+(-1.334568--1.001028))+0-0-0</f>
        <v>5709.3704959999995</v>
      </c>
      <c r="R324" s="3">
        <f>5350.8+(1295.5-992.7)+(-16.373448+(-3.96423--3.037662))+0-0-0</f>
        <v>5636.2999840000002</v>
      </c>
      <c r="S324" s="3">
        <f>5310.1+(1181.3-1036)+(-8.124453+(-1.807389--1.58508))+0-0-0</f>
        <v>5447.0532380000004</v>
      </c>
      <c r="T324" s="3">
        <f>5315.7+(1150.4-948.6)+(-13.555035+(-2.93352--2.41893))+0-0-0</f>
        <v>5503.4303749999999</v>
      </c>
      <c r="U324" s="3">
        <f>5396.2+(1127.3-1008.1)+(-2.752062+(-0.574923--0.514131))+0-0-0</f>
        <v>5512.5871459999998</v>
      </c>
      <c r="V324" s="3">
        <f>5418.6+(1165.3-971.2)+(-2.763486+(-0.594303--0.495312))+0-0-0</f>
        <v>5609.8375230000011</v>
      </c>
      <c r="W324" s="3">
        <f>5594.6+(1274.1-983.2)+(-8.559738+(-1.949373--1.504296))+0-0-0</f>
        <v>5876.4951849999998</v>
      </c>
      <c r="X324" s="3">
        <f>5797.6+(1333.3-1107.8)+(-11.827104+(-2.719932--2.259912))+0-0-0</f>
        <v>6010.812876</v>
      </c>
      <c r="Y324" s="3">
        <f>5736.7+(1243.5-1149.8)+(-8.777151+(-1.902555--1.759194))+0-0-0</f>
        <v>5821.4794879999999</v>
      </c>
      <c r="Z324" s="3">
        <f>5477.7+(1383.6-1145.5)+(-5.587254+(-1.411272--1.16841))+0-0-0</f>
        <v>5709.9698839999992</v>
      </c>
      <c r="AA324" s="3">
        <f>5399.5+(1238.2-1117.6)+(-5.50749+(-1.262964--1.139952))+0-0-0</f>
        <v>5514.4694980000004</v>
      </c>
      <c r="AB324" s="3">
        <f>5200.2+(1133.9-1093.3)+(-7.956306+(-1.734867--1.672749))+0-0-0</f>
        <v>5232.7815760000003</v>
      </c>
      <c r="AC324" s="3">
        <f>5127+(676.3-998.4)+(-10.45908+(-1.379652--2.036736))+0-0-0</f>
        <v>4795.0980039999995</v>
      </c>
      <c r="AD324" s="2">
        <v>6111.2000000000007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5089.3+(252.3-1007.5)+(-7.786629+(-0.386019--1.541475))+0-0-0</f>
        <v>4327.4688270000006</v>
      </c>
      <c r="G325" s="3">
        <f>5015.9+(136.8-1167.9)+(-12.790545+(-0.34884--2.978145))+0-0-0</f>
        <v>3974.6387599999994</v>
      </c>
      <c r="H325" s="3">
        <f>4979.8+(111.3-1291.6)+(-7.619094+(-0.170289--1.976148))+0-0-0</f>
        <v>3793.6867649999999</v>
      </c>
      <c r="I325" s="3">
        <f>4936.6+(110-1322.8)+(-7.552998+(-0.1683--2.023884))+0-0-0</f>
        <v>3718.102586</v>
      </c>
      <c r="J325" s="3">
        <f>4840.2+(114.8-1262.3)+(-2.468502+(-0.058548--0.643773))+0-0-0</f>
        <v>3690.8167229999999</v>
      </c>
      <c r="K325" s="3">
        <f>4879.3+(130.5-1265.1)+(4.976886+(0.13311-1.290402))+0-0-0</f>
        <v>3748.5195940000003</v>
      </c>
      <c r="L325" s="3">
        <f>4956.7+(217.3-1275.6)+(-7.583751+(-0.332469--1.951668))+0-0-0</f>
        <v>3892.4354479999997</v>
      </c>
      <c r="M325" s="3">
        <f>5145.8+(384.8-1331.3)+(-2.624358+(-0.196248--0.678963))+0-0-0</f>
        <v>4197.1583570000003</v>
      </c>
      <c r="N325" s="3">
        <f>5358.3+(538.5-1115.2)+(0+(0-0))+0-0-0</f>
        <v>4781.6000000000004</v>
      </c>
      <c r="O325" s="3">
        <f>5428.2+(709.8-914.3)+(5.536764+(0.723996-0.932586))+0-0-0</f>
        <v>5229.028174</v>
      </c>
      <c r="P325" s="3">
        <f>5438.1+(1055.7-931.4)+(2.773431+(0.538407-0.475014))+0-0-0</f>
        <v>5565.2368240000005</v>
      </c>
      <c r="Q325" s="3">
        <f>5437.8+(1251.2-962.4)+(-5.546556+(-1.276224--0.981648))+0-0-0</f>
        <v>5720.7588680000008</v>
      </c>
      <c r="R325" s="3">
        <f>5385.4+(1214.7-945.6)+(-16.479324+(-3.716982--2.893536))+0-0-0</f>
        <v>5637.1972299999998</v>
      </c>
      <c r="S325" s="3">
        <f>5390.5+(967-914)+(-10.99662+(-1.97268--1.86456))+0-0-0</f>
        <v>5432.3952600000002</v>
      </c>
      <c r="T325" s="3">
        <f>5389.4+(867.2-892.3)+(0+(0-0))+0-0-0</f>
        <v>5364.2999999999993</v>
      </c>
      <c r="U325" s="3">
        <f>5356.7+(781.4-908.5)+(-8.195751+(-1.195542--1.390005))+0-0-0</f>
        <v>5221.5987119999991</v>
      </c>
      <c r="V325" s="3">
        <f>5329.7+(693.7-967.2)+(-5.436294+(-0.707574--0.986544))+0-0-0</f>
        <v>5051.042676</v>
      </c>
      <c r="W325" s="3">
        <f>5500.5+(689.1-992.3)+(8.415765+(1.054323-1.518219))+0-0-0</f>
        <v>5205.2518690000006</v>
      </c>
      <c r="X325" s="3">
        <f>5785.9+(914.9-1122.9)+(-5.901618+(-0.933198--1.145358))+0-0-0</f>
        <v>5572.2105419999998</v>
      </c>
      <c r="Y325" s="3">
        <f>5613.5+(1023.2-1137.5)+(-5.72577+(-1.043664--1.16025))+0-0-0</f>
        <v>5493.5908159999999</v>
      </c>
      <c r="Z325" s="3">
        <f>5435.3+(1023.2-1100.6)+(-8.316009+(-1.565496--1.683918))+0-0-0</f>
        <v>5349.7024130000009</v>
      </c>
      <c r="AA325" s="3">
        <f>5415.7+(833.1-1072.4)+(-8.286021+(-1.274643--1.640772))+0-0-0</f>
        <v>5168.4801079999997</v>
      </c>
      <c r="AB325" s="3">
        <f>5315.2+(759.6-1146.2)+(2.710752+(0.387396-0.584562))+0-0-0</f>
        <v>4931.1135859999995</v>
      </c>
      <c r="AC325" s="3">
        <f>5155.2+(660.4-1183.9)+(-5.258304+(-0.673608--1.207578))+0-0-0</f>
        <v>4626.9756659999994</v>
      </c>
      <c r="AD325" s="2">
        <v>5610.8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5161.2+(521.6-1410.7)+(-2.632212+(-0.266016--0.719457))+0-0-0</f>
        <v>4269.9212289999996</v>
      </c>
      <c r="G326" s="3">
        <f>5039+(542.9-1662.1)+(-2.56989+(-0.276879--0.847671))+0-0-0</f>
        <v>3917.8009020000004</v>
      </c>
      <c r="H326" s="3">
        <f>5095.6+(419.8-1805.7)+(-2.598756+(-0.214098--0.920907))+0-0-0</f>
        <v>3707.8080530000002</v>
      </c>
      <c r="I326" s="3">
        <f>4970.4+(289.1-1677.1)+(2.534904+(0.147441-0.855321))+0-0-0</f>
        <v>3584.2270239999998</v>
      </c>
      <c r="J326" s="3">
        <f>4877.9+(131.5-1474)+(-7.463187+(-0.201195--2.25522))+0-0-0</f>
        <v>3529.9908379999997</v>
      </c>
      <c r="K326" s="3">
        <f>4809+(242.2-1545.3)+(0+(0-0))+0-0-0</f>
        <v>3505.9</v>
      </c>
      <c r="L326" s="3">
        <f>4880.8+(425.5-1774.9)+(-14.935248+(-1.30203--5.431194))+0-0-0</f>
        <v>3520.5939160000003</v>
      </c>
      <c r="M326" s="3">
        <f>4816.5+(376.5-1705)+(-4.91283+(-0.38403--1.7391))+0-0-0</f>
        <v>3484.4422399999999</v>
      </c>
      <c r="N326" s="3">
        <f>4991.2+(438-1727.4)+(5.091024+(0.44676-1.761948))+0-0-0</f>
        <v>3705.5758359999995</v>
      </c>
      <c r="O326" s="3">
        <f>5140.2+(403.7-1535)+(13.10751+(1.029435-3.91425))+0-0-0</f>
        <v>4019.1226949999996</v>
      </c>
      <c r="P326" s="3">
        <f>5171.7+(357.9-1225.7)+(5.275134+(0.365058-1.250214))+0-0-0</f>
        <v>4308.2899779999998</v>
      </c>
      <c r="Q326" s="3">
        <f>5279.6+(346-1119.5)+(-10.770384+(-0.70584--2.28378))+0-0-0</f>
        <v>4496.9075560000001</v>
      </c>
      <c r="R326" s="3">
        <f>5415.6+(403.4-1351.4)+(0+(0-0))+0-0-0</f>
        <v>4467.6000000000004</v>
      </c>
      <c r="S326" s="3">
        <f>5476.8+(383-1493.4)+(-5.586336+(-0.39066--1.523268))+0-0-0</f>
        <v>4361.9462719999992</v>
      </c>
      <c r="T326" s="3">
        <f>5454.1+(381.1-1560.4)+(8.344773+(0.583083-2.387412))+0-0-0</f>
        <v>4281.3404440000004</v>
      </c>
      <c r="U326" s="3">
        <f>5340.5+(332.4-1468.9)+(-5.44731+(-0.339048--1.498278))+0-0-0</f>
        <v>4199.7119199999997</v>
      </c>
      <c r="V326" s="3">
        <f>5293.9+(319.2-1413.8)+(2.699889+(0.162792-0.721038))+0-0-0</f>
        <v>4201.4416429999992</v>
      </c>
      <c r="W326" s="3">
        <f>5559+(226.5-1294)+(-5.67018+(-0.23103--1.31988))+0-0-0</f>
        <v>4486.91867</v>
      </c>
      <c r="X326" s="3">
        <f>5628.6+(387.1-1000.2)+(5.741172+(0.394842-1.020204))+0-0-0</f>
        <v>5020.6158100000002</v>
      </c>
      <c r="Y326" s="3">
        <f>5592.4+(444.4-997.5)+(-8.556372+(-0.679932--1.526175))+0-0-0</f>
        <v>5031.5898709999992</v>
      </c>
      <c r="Z326" s="3">
        <f>5551.2+(443.1-1010.2)+(-8.493336+(-0.677943--1.545606))+0-0-0</f>
        <v>4976.4743269999999</v>
      </c>
      <c r="AA326" s="3">
        <f>5521.4+(428.8-1060.4)+(-14.07957+(-1.09344--2.70402))+0-0-0</f>
        <v>4877.331009999999</v>
      </c>
      <c r="AB326" s="3">
        <f>5332.2+(401.1-1025.9)+(-2.719422+(-0.204561--0.523209))+0-0-0</f>
        <v>4704.9992259999999</v>
      </c>
      <c r="AC326" s="3">
        <f>5253.2+(273.7-1111.8)+(-13.39566+(-0.697935--2.83509))+0-0-0</f>
        <v>4403.8414950000006</v>
      </c>
      <c r="AD326" s="2">
        <v>5039.8999999999996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5137.4+(300-1432.3)+(-7.860222+(-0.459--2.191419))+0-0-0</f>
        <v>3998.9721969999996</v>
      </c>
      <c r="G327" s="3">
        <f>4942.8+(148-1413)+(-12.60414+(-0.3774--3.60315))+0-0-0</f>
        <v>3668.4216100000003</v>
      </c>
      <c r="H327" s="3">
        <f>4634+(200.2-1322.5)+(-2.36334+(-0.102102--0.674475))+0-0-0</f>
        <v>3509.9090329999999</v>
      </c>
      <c r="I327" s="3">
        <f>4516.4+(223.3-1295.7)+(-2.303364+(-0.113883--0.660807))+0-0-0</f>
        <v>3442.2435599999994</v>
      </c>
      <c r="J327" s="3">
        <f>4524+(209.1-1291.7)+(-4.61448+(-0.213282--1.317534))+0-0-0</f>
        <v>3437.8897719999995</v>
      </c>
      <c r="K327" s="3">
        <f>4681.2+(230.1-1392)+(9.549648+(0.469404-2.83968))+0-0-0</f>
        <v>3526.4793719999998</v>
      </c>
      <c r="L327" s="3">
        <f>4945.6+(458-1612.4)+(-2.522256+(-0.23358--0.822324))+0-0-0</f>
        <v>3789.2664880000002</v>
      </c>
      <c r="M327" s="3">
        <f>5215.8+(619.2-1645.1)+(2.660058+(0.315792-0.839001))+0-0-0</f>
        <v>4192.036849000001</v>
      </c>
      <c r="N327" s="3">
        <f>5565.7+(806-1645.7)+(-5.677014+(-0.82212--1.678614))+0-0-0</f>
        <v>4721.1794799999998</v>
      </c>
      <c r="O327" s="3">
        <f>5675.9+(793.2-1297.1)+(5.789418+(0.809064-1.323042))+0-0-0</f>
        <v>5177.2754400000003</v>
      </c>
      <c r="P327" s="3">
        <f>5511+(873.7-1022)+(-14.05305+(-2.227935--2.6061))+0-0-0</f>
        <v>5349.0251149999995</v>
      </c>
      <c r="Q327" s="3">
        <f>5540.6+(845.5-908.2)+(2.825706+(0.431205-0.463182))+0-0-0</f>
        <v>5480.6937290000005</v>
      </c>
      <c r="R327" s="3">
        <f>5539.8+(834.4-971.6)+(-2.825298+(-0.425544--0.495516))+0-0-0</f>
        <v>5399.8446739999999</v>
      </c>
      <c r="S327" s="3">
        <f>5354.3+(782.8-918.4)+(2.730693+(0.399228-0.468384))+0-0-0</f>
        <v>5221.3615369999998</v>
      </c>
      <c r="T327" s="3">
        <f>5305+(863.2-886)+(0+(0-0))+0-0-0</f>
        <v>5282.2</v>
      </c>
      <c r="U327" s="3">
        <f>5311.9+(771.3-856.3)+(0+(0-0))+0-0-0</f>
        <v>5226.8999999999996</v>
      </c>
      <c r="V327" s="3">
        <f>5506+(767.7-1056.3)+(-2.80806+(-0.391527--0.538713))+0-0-0</f>
        <v>5214.7391259999995</v>
      </c>
      <c r="W327" s="3">
        <f>5768.2+(673-1035.4)+(8.825346+(1.02969-1.584162))+0-0-0</f>
        <v>5414.0708739999991</v>
      </c>
      <c r="X327" s="3">
        <f>5855.4+(1030.8-1112.4)+(-8.958762+(-1.577124--1.701972))+0-0-0</f>
        <v>5764.9660859999994</v>
      </c>
      <c r="Y327" s="3">
        <f>5869.7+(894.2-1107.8)+(-11.974188+(-1.824168--2.259912))+0-0-0</f>
        <v>5644.5615560000006</v>
      </c>
      <c r="Z327" s="3">
        <f>5757.6+(811.1-1062.7)+(-5.872752+(-0.827322--1.083954))+0-0-0</f>
        <v>5500.3838800000003</v>
      </c>
      <c r="AA327" s="3">
        <f>5750.7+(556.8-1078.7)+(-5.865714+(-0.567936--1.100274))+0-0-0</f>
        <v>5223.4666239999997</v>
      </c>
      <c r="AB327" s="3">
        <f>5721+(469.7-1170.7)+(-2.91771+(-0.239547--0.597057))+0-0-0</f>
        <v>5017.4398000000001</v>
      </c>
      <c r="AC327" s="3">
        <f>5683.1+(410.1-1430.1)+(-14.491905+(-1.045755--3.646755))+0-0-0</f>
        <v>4651.2090950000002</v>
      </c>
      <c r="AD327" s="2">
        <v>5801.5000000000009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5397.5+(127.9-1296.6)+(-11.0109+(-0.260916--2.645064))+0-0-0</f>
        <v>4220.1732480000001</v>
      </c>
      <c r="G328" s="3">
        <f>5093.8+(54.1-1257.6)+(5.195676+(0.055182-1.282752))+0-0-0</f>
        <v>3894.268106</v>
      </c>
      <c r="H328" s="3">
        <f>4932.8+(67.9-1303.6)+(-2.515728+(-0.034629--0.664836))+0-0-0</f>
        <v>3695.2144790000002</v>
      </c>
      <c r="I328" s="3">
        <f>4775.1+(79.4-1260)+(2.435301+(0.040494-0.6426))+0-0-0</f>
        <v>3596.3331950000006</v>
      </c>
      <c r="J328" s="3">
        <f>4760.5+(81.3-1279)+(-2.427855+(-0.041463--0.65229))+0-0-0</f>
        <v>3560.9829720000002</v>
      </c>
      <c r="K328" s="3">
        <f>4795.1+(56.4-1286.3)+(7.336503+(0.086292-1.968039))+0-0-0</f>
        <v>3570.6547560000008</v>
      </c>
      <c r="L328" s="3">
        <f>4929+(51.5-1397.9)+(0+(0-0))+0-0-0</f>
        <v>3582.6</v>
      </c>
      <c r="M328" s="3">
        <f>4967+(71.6-1486.7)+(2.53317+(0.036516-0.758217))+0-0-0</f>
        <v>3553.7114689999999</v>
      </c>
      <c r="N328" s="3">
        <f>5300+(96.9-1589.7)+(2.703+(0.049419-0.810747))+0-0-0</f>
        <v>3809.1416719999997</v>
      </c>
      <c r="O328" s="3">
        <f>5569+(169.7-1592.4)+(0+(0-0))+0-0-0</f>
        <v>4146.3</v>
      </c>
      <c r="P328" s="3">
        <f>5619.6+(203.8-1385.5)+(-2.865996+(-0.103938--0.706605))+0-0-0</f>
        <v>4435.6366710000002</v>
      </c>
      <c r="Q328" s="3">
        <f>5716.6+(221.4-1328)+(-2.915466+(-0.112914--0.67728))+0-0-0</f>
        <v>4607.6489000000001</v>
      </c>
      <c r="R328" s="3">
        <f>5620.5+(233.6-1258.1)+(-2.866455+(-0.119136--0.641631))+0-0-0</f>
        <v>4593.6560399999998</v>
      </c>
      <c r="S328" s="3">
        <f>5447.9+(238.2-1215.3)+(2.778429+(0.121482-0.619803))+0-0-0</f>
        <v>4473.0801079999992</v>
      </c>
      <c r="T328" s="3">
        <f>5338.3+(297.6-1207.5)+(2.722533+(0.151776-0.615825))+0-0-0</f>
        <v>4430.6584840000005</v>
      </c>
      <c r="U328" s="3">
        <f>5295.8+(355.3-1269.7)+(-10.803432+(-0.724812--2.590188))+0-0-0</f>
        <v>4372.4619439999997</v>
      </c>
      <c r="V328" s="3">
        <f>5398.1+(302.3-1303.8)+(8.259093+(0.462519-1.994814))+0-0-0</f>
        <v>4403.3267980000001</v>
      </c>
      <c r="W328" s="3">
        <f>5756.1+(224.7-1280.9)+(2.935611+(0.114597-0.653259))+0-0-0</f>
        <v>4702.2969490000005</v>
      </c>
      <c r="X328" s="3">
        <f>6070.7+(510.4-1386.8)+(0+(0-0))+0-0-0</f>
        <v>5194.3</v>
      </c>
      <c r="Y328" s="3">
        <f>6052+(556.5-1393.1)+(-9.25956+(-0.851445--2.131443))+0-0-0</f>
        <v>5207.4204379999992</v>
      </c>
      <c r="Z328" s="3">
        <f>5975.3+(508.5-1313.8)+(-12.189612+(-1.03734--2.680152))+0-0-0</f>
        <v>5159.4531999999999</v>
      </c>
      <c r="AA328" s="3">
        <f>5955.3+(321-1263.5)+(-15.186015+(-0.81855--3.221925))+0-0-0</f>
        <v>5000.0173599999998</v>
      </c>
      <c r="AB328" s="3">
        <f>5859.4+(274.8-1287.8)+(-2.988294+(-0.140148--0.656778))+0-0-0</f>
        <v>4843.9283359999999</v>
      </c>
      <c r="AC328" s="3">
        <f>5423.9+(361.4-1294.4)+(-8.298567+(-0.552942--1.980432))+0-0-0</f>
        <v>4484.0289229999998</v>
      </c>
      <c r="AD328" s="2">
        <v>5240.7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5516+(48.9-1525.9)+(0+(0-0))+0-0-0</f>
        <v>4039</v>
      </c>
      <c r="G329" s="3">
        <f>5499+(63.7-1852)+(-2.80449+(-0.032487--0.94452))+0-0-0</f>
        <v>3708.8075429999999</v>
      </c>
      <c r="H329" s="3">
        <f>5191.6+(79.1-1705.3)+(0+(0-0))+0-0-0</f>
        <v>3565.4000000000005</v>
      </c>
      <c r="I329" s="3">
        <f>5101.9+(71-1670.2)+(-2.601969+(-0.03621--0.851802))+0-0-0</f>
        <v>3500.9136229999999</v>
      </c>
      <c r="J329" s="3">
        <f>5124.8+(76.7-1703.1)+(0+(0-0))+0-0-0</f>
        <v>3498.4000000000005</v>
      </c>
      <c r="K329" s="3">
        <f>5296.4+(75.2-1776.2)+(5.402328+(0.076704-1.811724))+0-0-0</f>
        <v>3599.0673079999997</v>
      </c>
      <c r="L329" s="3">
        <f>5488.7+(190.7-1784.2)+(-5.598474+(-0.194514--1.819884))+0-0-0</f>
        <v>3891.2268959999997</v>
      </c>
      <c r="M329" s="3">
        <f>5841.6+(264.1-1750.7)+(-2.979216+(-0.134691--0.892857))+0-0-0</f>
        <v>4352.7789499999999</v>
      </c>
      <c r="N329" s="3">
        <f>5951.5+(405.3-1408.7)+(-6.07053+(-0.413406--1.436874))+0-0-0</f>
        <v>4943.0529380000007</v>
      </c>
      <c r="O329" s="3">
        <f>5889.7+(589.3-1113.1)+(-15.018735+(-1.502715--2.838405))+0-0-0</f>
        <v>5352.2169549999999</v>
      </c>
      <c r="P329" s="3">
        <f>5880.6+(736-999.4)+(-8.997318+(-1.12608--1.529082))+0-0-0</f>
        <v>5608.605684000001</v>
      </c>
      <c r="Q329" s="3">
        <f>5760.7+(944.9-967.6)+(-14.689785+(-2.409495--2.46738))+0-0-0</f>
        <v>5723.3680999999997</v>
      </c>
      <c r="R329" s="3">
        <f>5727+(821.2-944.5)+(-5.84154+(-0.837624--0.96339))+0-0-0</f>
        <v>5597.9842259999996</v>
      </c>
      <c r="S329" s="3">
        <f>5701.4+(676.4-943.9)+(-14.53857+(-1.72482--2.406945))+0-0-0</f>
        <v>5420.0435549999993</v>
      </c>
      <c r="T329" s="3">
        <f>5759.9+(741.1-985.3)+(-2.937549+(-0.377961--0.502503))+0-0-0</f>
        <v>5512.8869930000001</v>
      </c>
      <c r="U329" s="3">
        <f>5766+(722.7-1033.9)+(2.94066+(0.368577-0.527289))+0-0-0</f>
        <v>5457.581948</v>
      </c>
      <c r="V329" s="3">
        <f>5752.1+(683.7-1003.7)+(-5.867142+(-0.697374--1.023774))+0-0-0</f>
        <v>5426.5592580000002</v>
      </c>
      <c r="W329" s="3">
        <f>5886.7+(676.3-965.9)+(-3.002217+(-0.344913--0.492609))+0-0-0</f>
        <v>5594.2454789999992</v>
      </c>
      <c r="X329" s="3">
        <f>5987.9+(1127.7-1134.2)+(0+(0-0))+0-0-0</f>
        <v>5981.4</v>
      </c>
      <c r="Y329" s="3">
        <f>5936+(1158.4-1212.3)+(-3.02736+(-0.590784--0.618273))+0-0-0</f>
        <v>5879.1001290000004</v>
      </c>
      <c r="Z329" s="3">
        <f>5873.3+(1080-1233.2)+(0+(0-0))+0-0-0</f>
        <v>5720.1</v>
      </c>
      <c r="AA329" s="3">
        <f>5847.1+(829.4-1203.1)+(-8.946063+(-1.268982--1.840743))+0-0-0</f>
        <v>5465.0256980000004</v>
      </c>
      <c r="AB329" s="3">
        <f>5801.3+(596.5-1228.7)+(-11.834652+(-1.21686--2.506548))+0-0-0</f>
        <v>5158.5550360000007</v>
      </c>
      <c r="AC329" s="3">
        <f>5560.5+(547.8-1338)+(-14.179275+(-1.39689--3.4119))+0-0-0</f>
        <v>4758.1357349999998</v>
      </c>
      <c r="AD329" s="2">
        <v>6012.8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5129.8+(452.4-1326.7)+(-2.616198+(-0.230724--0.676617))+0-0-0</f>
        <v>4253.3296950000004</v>
      </c>
      <c r="G330" s="3">
        <f>4997+(243.1-1330.4)+(-5.09694+(-0.247962--1.357008))+0-0-0</f>
        <v>3905.7121059999999</v>
      </c>
      <c r="H330" s="3">
        <f>4840.8+(199.4-1317.4)+(2.468808+(0.101694-0.671874))+0-0-0</f>
        <v>3724.6986280000001</v>
      </c>
      <c r="I330" s="3">
        <f>4817.2+(137-1287.3)+(-4.913544+(-0.13974--1.313046))+0-0-0</f>
        <v>3663.1597619999998</v>
      </c>
      <c r="J330" s="3">
        <f>4783.9+(121.8-1251.6)+(-4.879578+(-0.124236--1.276632))+0-0-0</f>
        <v>3650.3728179999994</v>
      </c>
      <c r="K330" s="3">
        <f>4901.6+(164.6-1339.9)+(-7.499448+(-0.251838--2.050047))+0-0-0</f>
        <v>3720.5987610000002</v>
      </c>
      <c r="L330" s="3">
        <f>5130.9+(322.7-1479.3)+(-7.850277+(-0.493731--2.263329))+0-0-0</f>
        <v>3968.2193209999996</v>
      </c>
      <c r="M330" s="3">
        <f>5379.5+(578.6-1558.6)+(-8.230635+(-0.885258--2.384658))+0-0-0</f>
        <v>4392.7687649999998</v>
      </c>
      <c r="N330" s="3">
        <f>5616.4+(622.9-1258.2)+(0+(0-0))+0-0-0</f>
        <v>4981.0999999999995</v>
      </c>
      <c r="O330" s="3">
        <f>5669.5+(654.1-937.2)+(-5.78289+(-0.667182--0.955944))+0-0-0</f>
        <v>5380.9058719999994</v>
      </c>
      <c r="P330" s="3">
        <f>5726.5+(816.6-871.1)+(-2.920515+(-0.416466--0.444261))+0-0-0</f>
        <v>5669.1072800000002</v>
      </c>
      <c r="Q330" s="3">
        <f>5737.4+(1057.2-955.3)+(-5.852148+(-1.078344--0.974406))+0-0-0</f>
        <v>5833.3439139999991</v>
      </c>
      <c r="R330" s="3">
        <f>5703.6+(1037.8-912.5)+(-11.635344+(-2.117112--1.8615))+0-0-0</f>
        <v>5817.0090440000004</v>
      </c>
      <c r="S330" s="3">
        <f>5718.8+(840-898)+(0+(0-0))+0-0-0</f>
        <v>5660.8</v>
      </c>
      <c r="T330" s="3">
        <f>5723.4+(821.4-873.8)+(5.837868+(0.837828-0.891276))+0-0-0</f>
        <v>5676.78442</v>
      </c>
      <c r="U330" s="3">
        <f>5721+(806.8-856.5)+(-2.91771+(-0.411468--0.436815))+0-0-0</f>
        <v>5668.4076370000002</v>
      </c>
      <c r="V330" s="3">
        <f>5742+(894.6-883.4)+(-5.85684+(-0.912492--0.901068))+0-0-0</f>
        <v>5747.3317360000001</v>
      </c>
      <c r="W330" s="3">
        <f>5858.4+(913.2-908.3)+(8.963352+(1.397196-1.389699))+0-0-0</f>
        <v>5872.2708489999995</v>
      </c>
      <c r="X330" s="3">
        <f>6006.2+(1087.1-1017.2)+(-6.126324+(-1.108842--1.037544))+0-0-0</f>
        <v>6069.9023779999998</v>
      </c>
      <c r="Y330" s="3">
        <f>5958.1+(999.7-1036.5)+(-3.038631+(-0.509847--0.528615))+0-0-0</f>
        <v>5918.2801369999997</v>
      </c>
      <c r="Z330" s="3">
        <f>5907+(879.2-1050.1)+(0+(0-0))+0-0-0</f>
        <v>5736.1</v>
      </c>
      <c r="AA330" s="3">
        <f>5887.4+(681.6-1072.8)+(0+(0-0))+0-0-0</f>
        <v>5496.2</v>
      </c>
      <c r="AB330" s="3">
        <f>5651.8+(640.8-1112.4)+(-20.176926+(-2.287656--3.971268))+0-0-0</f>
        <v>5161.7066859999995</v>
      </c>
      <c r="AC330" s="3">
        <f>5502.6+(339.6-1139.9)+(-19.644282+(-1.212372--4.069443))+0-0-0</f>
        <v>4685.5127890000003</v>
      </c>
      <c r="AD330" s="2">
        <v>6081.8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5289.7+(168.8-1152.3)+(0+(0-0))+0-0-0</f>
        <v>4306.2</v>
      </c>
      <c r="G331" s="3">
        <f>5120.7+(126.2-1309.2)+(0+(0-0))+0-0-0</f>
        <v>3937.7</v>
      </c>
      <c r="H331" s="3">
        <f>4779.8+(102.7-1118.1)+(2.437698+(0.052377-0.570231))+0-0-0</f>
        <v>3766.3198440000006</v>
      </c>
      <c r="I331" s="3">
        <f>4551.7+(155.3-1007.4)+(0+(0-0))+0-0-0</f>
        <v>3699.6</v>
      </c>
      <c r="J331" s="3">
        <f>4559.7+(340.6-1222.5)+(0+(0-0))+0-0-0</f>
        <v>3677.7999999999997</v>
      </c>
      <c r="K331" s="3">
        <f>4662+(393-1315.9)+(4.75524+(0.40086-1.342218))+0-0-0</f>
        <v>3742.9138819999998</v>
      </c>
      <c r="L331" s="3">
        <f>5227.5+(484.6-1706.9)+(0+(0-0))+0-0-0</f>
        <v>4005.2</v>
      </c>
      <c r="M331" s="3">
        <f>5405.4+(551.5-1537.1)+(-5.513508+(-0.56253--1.567842))+0-0-0</f>
        <v>4415.2918039999995</v>
      </c>
      <c r="N331" s="3">
        <f>5620.8+(508.5-1159.3)+(5.733216+(0.51867-1.182486))+0-0-0</f>
        <v>4975.0694000000003</v>
      </c>
      <c r="O331" s="3">
        <f>5609.8+(587.2-853.1)+(-14.30499+(-1.49736--2.175405))+0-0-0</f>
        <v>5330.2730550000006</v>
      </c>
      <c r="P331" s="3">
        <f>5657+(745.3-852.7)+(-2.88507+(-0.380103--0.434877))+0-0-0</f>
        <v>5546.7697040000003</v>
      </c>
      <c r="Q331" s="3">
        <f>5643.6+(892.4-845.3)+(-8.634708+(-1.365372--1.293309))+0-0-0</f>
        <v>5681.9932290000006</v>
      </c>
      <c r="R331" s="3">
        <f>5581.6+(1009.9-846.3)+(-2.846616+(-0.515049--0.431613))+0-0-0</f>
        <v>5742.269948000001</v>
      </c>
      <c r="S331" s="3">
        <f>5615.5+(820.8-899.4)+(-5.72781+(-0.837216--0.917388))+0-0-0</f>
        <v>5531.2523619999993</v>
      </c>
      <c r="T331" s="3">
        <f>5666.5+(803.9-859.1)+(5.77983+(0.819978-0.876282))+0-0-0</f>
        <v>5617.0235259999999</v>
      </c>
      <c r="U331" s="3">
        <f>5714.8+(698.5-831.9)+(-2.914548+(-0.356235--0.424269))+0-0-0</f>
        <v>5578.5534860000007</v>
      </c>
      <c r="V331" s="3">
        <f>5708.4+(635.3-778.1)+(-14.55642+(-1.620015--1.984155))+0-0-0</f>
        <v>5551.4077199999992</v>
      </c>
      <c r="W331" s="3">
        <f>5951.8+(593.3-831.4)+(9.106254+(0.907749-1.272042))+0-0-0</f>
        <v>5722.4419609999995</v>
      </c>
      <c r="X331" s="3">
        <f>6119.6+(844.3-921.1)+(0+(0-0))+0-0-0</f>
        <v>6042.8</v>
      </c>
      <c r="Y331" s="3">
        <f>6026.5+(809.1-883.7)+(-12.29406+(-1.650564--1.802748))+0-0-0</f>
        <v>5939.758124</v>
      </c>
      <c r="Z331" s="3">
        <f>5833.5+(787.3-854)+(-11.90034+(-1.606092--1.74216))+0-0-0</f>
        <v>5755.0357279999998</v>
      </c>
      <c r="AA331" s="3">
        <f>5668.1+(722-878.7)+(-2.890731+(-0.36822--0.448137))+0-0-0</f>
        <v>5508.5891860000002</v>
      </c>
      <c r="AB331" s="3">
        <f>5535.8+(585-910.5)+(-11.293032+(-1.1934--1.85742))+0-0-0</f>
        <v>5199.6709879999999</v>
      </c>
      <c r="AC331" s="3">
        <f>5358.4+(460.5-950.4)+(-10.931136+(-0.93942--1.938816))+0-0-0</f>
        <v>4858.56826</v>
      </c>
      <c r="AD331" s="2">
        <v>6057.5999999999995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5296.2+(368.5-1220.5)+(-10.804248+(-0.75174--2.48982))+0-0-0</f>
        <v>4435.1338319999995</v>
      </c>
      <c r="G332" s="3">
        <f>5127+(149.2-1242.7)+(-2.61477+(-0.076092--0.633777))+0-0-0</f>
        <v>4031.4429150000001</v>
      </c>
      <c r="H332" s="3">
        <f>4868.9+(144.8-1202.1)+(-4.966278+(-0.147696--1.226142))+0-0-0</f>
        <v>3807.7121679999996</v>
      </c>
      <c r="I332" s="3">
        <f>4762.3+(118.5-1149.6)+(-4.857546+(-0.12087--1.172592))+0-0-0</f>
        <v>3727.3941760000002</v>
      </c>
      <c r="J332" s="3">
        <f>4780.4+(109.9-1186.6)+(2.438004+(0.056049-0.605166))+0-0-0</f>
        <v>3705.5888869999999</v>
      </c>
      <c r="K332" s="3">
        <f>4808.5+(123.7-1178.7)+(-2.452335+(-0.063087--0.601137))+0-0-0</f>
        <v>3751.5857150000002</v>
      </c>
      <c r="L332" s="3">
        <f>5065.9+(252.9-1375.1)+(-10.334436+(-0.515916--2.805204))+0-0-0</f>
        <v>3935.6548519999997</v>
      </c>
      <c r="M332" s="3">
        <f>5405.2+(296.5-1383.3)+(5.513304+(0.30243-1.410966))+0-0-0</f>
        <v>4322.804768</v>
      </c>
      <c r="N332" s="3">
        <f>5604.3+(275-1074.1)+(-5.716386+(-0.2805--1.095582))+0-0-0</f>
        <v>4800.2986960000007</v>
      </c>
      <c r="O332" s="3">
        <f>5713.1+(411.6-891.5)+(14.568405+(1.04958-2.273325))+0-0-0</f>
        <v>5246.5446600000005</v>
      </c>
      <c r="P332" s="3">
        <f>5696.5+(672.1-823.5)+(-8.715645+(-1.028313--1.259955))+0-0-0</f>
        <v>5536.6159970000008</v>
      </c>
      <c r="Q332" s="3">
        <f>5705.2+(715.4-796.3)+(-5.819304+(-0.729708--0.812226))+0-0-0</f>
        <v>5618.5632139999998</v>
      </c>
      <c r="R332" s="3">
        <f>5618.9+(558.1-717.1)+(-20.059473+(-1.992417--2.560047))+0-0-0</f>
        <v>5440.4081569999998</v>
      </c>
      <c r="S332" s="3">
        <f>5347.8+(477.6-610.2)+(-2.727378+(-0.243576--0.311202))+0-0-0</f>
        <v>5212.5402480000002</v>
      </c>
      <c r="T332" s="3">
        <f>5147.4+(580.6-546.5)+(-2.625174+(-0.296106--0.278715))+0-0-0</f>
        <v>5178.8574349999999</v>
      </c>
      <c r="U332" s="3">
        <f>5163.9+(467.6-559.8)+(-5.267178+(-0.476952--0.570996))+0-0-0</f>
        <v>5066.5268660000002</v>
      </c>
      <c r="V332" s="3">
        <f>5242+(340.1-584.6)+(5.34684+(0.346902-0.596292))+0-0-0</f>
        <v>5002.5974500000002</v>
      </c>
      <c r="W332" s="3">
        <f>5501.1+(370.1-697.4)+(5.611122+(0.377502-0.711348))+0-0-0</f>
        <v>5179.077276</v>
      </c>
      <c r="X332" s="3">
        <f>5881.4+(623.2-853.7)+(-8.998542+(-0.953496--1.306161))+0-0-0</f>
        <v>5642.2541229999997</v>
      </c>
      <c r="Y332" s="3">
        <f>5650.1+(768.4-849)+(2.881551+(0.391884-0.43299))+0-0-0</f>
        <v>5572.3404449999998</v>
      </c>
      <c r="Z332" s="3">
        <f>5462+(754.3-765.9)+(-5.57124+(-0.769386--0.781218))+0-0-0</f>
        <v>5444.8405919999996</v>
      </c>
      <c r="AA332" s="3">
        <f>5204.9+(668.2-651.6)+(0+(0-0))+0-0-0</f>
        <v>5221.5</v>
      </c>
      <c r="AB332" s="3">
        <f>5094.6+(556.9-662.4)+(-5.196492+(-0.568038--0.675648))+0-0-0</f>
        <v>4984.0111180000004</v>
      </c>
      <c r="AC332" s="3">
        <f>4873.3+(429.5-625.7)+(2.485383+(0.219045-0.319107))+0-0-0</f>
        <v>4679.4853210000001</v>
      </c>
      <c r="AD332" s="2">
        <v>5695.8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4737.8+(155.4-602.8)+(2.416278+(0.079254-0.307428))+0-0-0</f>
        <v>4292.5881040000004</v>
      </c>
      <c r="G333" s="3">
        <f>4643.1+(84.3-785.9)+(2.367981+(0.042993-0.400809))+0-0-0</f>
        <v>3943.5101650000006</v>
      </c>
      <c r="H333" s="3">
        <f>4549+(65.1-869.6)+(0+(0-0))+0-0-0</f>
        <v>3744.5</v>
      </c>
      <c r="I333" s="3">
        <f>4370.8+(70.3-821.6)+(-2.229108+(-0.035853--0.419016))+0-0-0</f>
        <v>3617.654055</v>
      </c>
      <c r="J333" s="3">
        <f>4300+(75.9-807.7)+(-4.386+(-0.077418--0.823854))+0-0-0</f>
        <v>3564.5604359999998</v>
      </c>
      <c r="K333" s="3">
        <f>4317.5+(55-822.5)+(6.605775+(0.08415-1.258425))+0-0-0</f>
        <v>3555.4315000000001</v>
      </c>
      <c r="L333" s="3">
        <f>4348.3+(68.9-874.5)+(-2.217633+(-0.035139--0.445995))+0-0-0</f>
        <v>3540.8932230000005</v>
      </c>
      <c r="M333" s="3">
        <f>4457.2+(137.3-1111.3)+(4.546344+(0.140046-1.133526))+0-0-0</f>
        <v>3486.752864</v>
      </c>
      <c r="N333" s="3">
        <f>4745.2+(182.5-1227.9)+(-2.420052+(-0.093075--0.626229))+0-0-0</f>
        <v>3697.9131019999995</v>
      </c>
      <c r="O333" s="3">
        <f>4928.3+(132.2-1052.5)+(-2.513433+(-0.067422--0.536775))+0-0-0</f>
        <v>4005.9559199999999</v>
      </c>
      <c r="P333" s="3">
        <f>5017.9+(101-783.1)+(-10.236516+(-0.20604--1.597524))+0-0-0</f>
        <v>4326.9549679999991</v>
      </c>
      <c r="Q333" s="3">
        <f>5057.2+(108.9-638.8)+(-7.737516+(-0.166617--0.977364))+0-0-0</f>
        <v>4520.3732310000005</v>
      </c>
      <c r="R333" s="3">
        <f>5022.4+(123.4-605.7)+(-17.929968+(-0.440538--2.162349))+0-0-0</f>
        <v>4523.8918429999994</v>
      </c>
      <c r="S333" s="3">
        <f>4924.4+(110-592.6)+(-5.022888+(-0.1122--0.604452))+0-0-0</f>
        <v>4437.2693639999989</v>
      </c>
      <c r="T333" s="3">
        <f>4897+(100.4-617.5)+(-2.49747+(-0.051204--0.314925))+0-0-0</f>
        <v>4377.6662509999996</v>
      </c>
      <c r="U333" s="3">
        <f>4912+(67.2-667.7)+(2.50512+(0.034272-0.340527))+0-0-0</f>
        <v>4313.6988650000003</v>
      </c>
      <c r="V333" s="3">
        <f>5005.1+(65.9-727.7)+(0+(0-0))+0-0-0</f>
        <v>4343.3</v>
      </c>
      <c r="W333" s="3">
        <f>5337.9+(77-790.7)+(0+(0-0))+0-0-0</f>
        <v>4624.2</v>
      </c>
      <c r="X333" s="3">
        <f>5579.8+(346.8-800.2)+(-2.845698+(-0.176868--0.408102))+0-0-0</f>
        <v>5123.7855360000003</v>
      </c>
      <c r="Y333" s="3">
        <f>5418.7+(505.1-755.2)+(-11.054148+(-1.030404--1.540608))+0-0-0</f>
        <v>5158.0560559999994</v>
      </c>
      <c r="Z333" s="3">
        <f>5304.9+(500.7-683.1)+(-2.705499+(-0.255357--0.348381))+0-0-0</f>
        <v>5119.8875250000001</v>
      </c>
      <c r="AA333" s="3">
        <f>5074.6+(620.3-654.6)+(-10.352184+(-1.265412--1.335384))+0-0-0</f>
        <v>5030.0177880000001</v>
      </c>
      <c r="AB333" s="3">
        <f>4919.5+(565-656.6)+(-12.544725+(-1.44075--1.67433))+0-0-0</f>
        <v>4815.588855</v>
      </c>
      <c r="AC333" s="3">
        <f>4632+(451.8-587.1)+(-16.53624+(-1.612926--2.095947))+0-0-0</f>
        <v>4480.6467809999995</v>
      </c>
      <c r="AD333" s="2">
        <v>5181.8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4582+(41.3-593.3)+(-11.6841+(-0.105315--1.512915))+0-0-0</f>
        <v>4019.7235000000001</v>
      </c>
      <c r="G334" s="3">
        <f>4449.5+(51.9-791.2)+(-11.346225+(-0.132345--2.01756))+0-0-0</f>
        <v>3700.7389899999998</v>
      </c>
      <c r="H334" s="3">
        <f>4459.9+(7.6-927)+(-9.098196+(-0.015504--1.89108))+0-0-0</f>
        <v>3533.2773799999995</v>
      </c>
      <c r="I334" s="3">
        <f>4425+(0-958.6)+(2.25675+(0-0.488886))+0-0-0</f>
        <v>3468.167864</v>
      </c>
      <c r="J334" s="3">
        <f>4376.6+(0-910.5)+(-2.232066+(0--0.464355))+0-0-0</f>
        <v>3464.3322890000004</v>
      </c>
      <c r="K334" s="3">
        <f>4491.6+(6.8-944.4)+(-4.581432+(-0.006936--0.963288))+0-0-0</f>
        <v>3550.3749200000007</v>
      </c>
      <c r="L334" s="3">
        <f>4779.4+(91.8-1007.2)+(-9.749976+(-0.187272--2.054688))+0-0-0</f>
        <v>3856.1174399999995</v>
      </c>
      <c r="M334" s="3">
        <f>4951.6+(237.1-861.9)+(-2.525316+(-0.120921--0.439569))+0-0-0</f>
        <v>4324.5933320000004</v>
      </c>
      <c r="N334" s="3">
        <f>5229.5+(316.5-563.1)+(2.667045+(0.161415-0.287181))+0-0-0</f>
        <v>4985.4412789999997</v>
      </c>
      <c r="O334" s="3">
        <f>5261+(382.6-292.8)+(10.73244+(0.780504-0.597312))+0-0-0</f>
        <v>5361.7156320000004</v>
      </c>
      <c r="P334" s="3">
        <f>5245.3+(661.8-312.1)+(-5.350206+(-0.675036--0.318342))+0-0-0</f>
        <v>5589.2930999999999</v>
      </c>
      <c r="Q334" s="3">
        <f>5243.4+(782.7-300.6)+(0+(0-0))+0-0-0</f>
        <v>5725.5</v>
      </c>
      <c r="R334" s="3">
        <f>5113.7+(815-294.6)+(-13.039935+(-2.07825--0.75123))+0-0-0</f>
        <v>5619.733044999999</v>
      </c>
      <c r="S334" s="3">
        <f>5060.6+(683.2-309.6)+(2.580906+(0.348432-0.157896))+0-0-0</f>
        <v>5436.9714420000009</v>
      </c>
      <c r="T334" s="3">
        <f>5059.6+(772.3-284.6)+(0+(0-0))+0-0-0</f>
        <v>5547.3</v>
      </c>
      <c r="U334" s="3">
        <f>5056.1+(751.2-294.5)+(0+(0-0))+0-0-0</f>
        <v>5512.8</v>
      </c>
      <c r="V334" s="3">
        <f>5053.8+(766.9-321.4)+(7.732314+(1.173357-0.491742))+0-0-0</f>
        <v>5507.7139290000005</v>
      </c>
      <c r="W334" s="3">
        <f>5110.7+(1018.1-478.1)+(7.819371+(1.557693-0.731493))+0-0-0</f>
        <v>5659.3455709999998</v>
      </c>
      <c r="X334" s="3">
        <f>5368.5+(1287.6-598)+(8.213805+(1.970028-0.91494))+0-0-0</f>
        <v>6067.3688930000008</v>
      </c>
      <c r="Y334" s="3">
        <f>5409.7+(1150.2-610.1)+(-8.276841+(-1.759806--0.933453))+0-0-0</f>
        <v>5940.6968059999999</v>
      </c>
      <c r="Z334" s="3">
        <f>5315.1+(991.3-525.9)+(-5.421402+(-1.011126--0.536418))+0-0-0</f>
        <v>5774.6038900000003</v>
      </c>
      <c r="AA334" s="3">
        <f>5286.3+(663.7-446.6)+(-5.392026+(-0.676974--0.455532))+0-0-0</f>
        <v>5497.786532000001</v>
      </c>
      <c r="AB334" s="3">
        <f>5302.7+(334.6-407.7)+(-18.930639+(-1.194522--1.455489))+0-0-0</f>
        <v>5210.9303279999995</v>
      </c>
      <c r="AC334" s="3">
        <f>4899.2+(278.6-395.5)+(-9.994368+(-0.568344--0.80682))+0-0-0</f>
        <v>4772.5441080000001</v>
      </c>
      <c r="AD334" s="2">
        <v>6114.1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4391.4+(293.7-406.7)+(-4.479228+(-0.299574--0.414834))+0-0-0</f>
        <v>4274.036032</v>
      </c>
      <c r="G335" s="3">
        <f>4346.9+(139.1-544.7)+(-8.867676+(-0.283764--1.111188))+0-0-0</f>
        <v>3933.2597479999999</v>
      </c>
      <c r="H335" s="3">
        <f>4475.9+(37-739.9)+(0+(0-0))+0-0-0</f>
        <v>3772.9999999999995</v>
      </c>
      <c r="I335" s="3">
        <f>4329.2+(31.6-647.5)+(-6.623676+(-0.048348--0.990675))+0-0-0</f>
        <v>3707.6186509999998</v>
      </c>
      <c r="J335" s="3">
        <f>4324.8+(19.5-677.2)+(2.205648+(0.009945-0.345372))+0-0-0</f>
        <v>3668.9702210000005</v>
      </c>
      <c r="K335" s="3">
        <f>4395.6+(33.7-674.5)+(0+(0-0))+0-0-0</f>
        <v>3754.8</v>
      </c>
      <c r="L335" s="3">
        <f>4755.2+(157.2-895.4)+(-4.850304+(-0.160344--0.913308))+0-0-0</f>
        <v>4012.9026600000002</v>
      </c>
      <c r="M335" s="3">
        <f>4864.8+(214.3-647.1)+(0+(0-0))+0-0-0</f>
        <v>4432</v>
      </c>
      <c r="N335" s="3">
        <f>4905.4+(450.5-357.1)+(-2.501754+(-0.229755--0.182121))+0-0-0</f>
        <v>4996.2506119999989</v>
      </c>
      <c r="O335" s="3">
        <f>4939.6+(783.5-332.7)+(7.557588+(1.198755-0.509031))+0-0-0</f>
        <v>5398.647312000001</v>
      </c>
      <c r="P335" s="3">
        <f>4944+(1040.6-357.5)+(5.04288+(1.061412-0.36465))+0-0-0</f>
        <v>5632.8396419999999</v>
      </c>
      <c r="Q335" s="3">
        <f>4953.2+(1175-359.5)+(-2.526132+(-0.59925--0.183345))+0-0-0</f>
        <v>5765.757963</v>
      </c>
      <c r="R335" s="3">
        <f>4909.8+(1059.5-317)+(0+(0-0))+0-0-0</f>
        <v>5652.3</v>
      </c>
      <c r="S335" s="3">
        <f>4894+(883.8-302.7)+(-9.98376+(-1.802952--0.617508))+0-0-0</f>
        <v>5463.9307960000006</v>
      </c>
      <c r="T335" s="3">
        <f>4930.9+(938.4-290.5)+(-2.514759+(-0.478584--0.148155))+0-0-0</f>
        <v>5575.954811999999</v>
      </c>
      <c r="U335" s="3">
        <f>4828.6+(952.3-292.3)+(-4.925172+(-0.971346--0.298146))+0-0-0</f>
        <v>5483.001628</v>
      </c>
      <c r="V335" s="3">
        <f>4725.7+(1001.9-284.3)+(-2.410107+(-0.510969--0.144993))+0-0-0</f>
        <v>5440.5239169999995</v>
      </c>
      <c r="W335" s="3">
        <f>4887.2+(1119.9-406.6)+(2.492472+(0.571149-0.207366))+0-0-0</f>
        <v>5603.3562549999997</v>
      </c>
      <c r="X335" s="3">
        <f>5128.4+(1361.7-433.4)+(2.615484+(0.694467-0.221034))+0-0-0</f>
        <v>6059.7889169999999</v>
      </c>
      <c r="Y335" s="3">
        <f>5143.7+(1230.2-356.6)+(-10.493148+(-2.509608--0.727464))+0-0-0</f>
        <v>6005.0247079999999</v>
      </c>
      <c r="Z335" s="3">
        <f>5096.2+(1015.1-293)+(-5.198124+(-1.035402--0.29886))+0-0-0</f>
        <v>5812.3653340000001</v>
      </c>
      <c r="AA335" s="3">
        <f>5103.5+(725.9-296.1)+(0+(0-0))+0-0-0</f>
        <v>5533.3</v>
      </c>
      <c r="AB335" s="3">
        <f>5054.3+(494.7-313.5)+(0+(0-0))+0-0-0</f>
        <v>5235.5</v>
      </c>
      <c r="AC335" s="3">
        <f>4886.9+(338.4-440.2)+(-12.461595+(-0.86292--1.12251))+0-0-0</f>
        <v>4772.8979949999994</v>
      </c>
      <c r="AD335" s="2">
        <v>6100.4000000000005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4411.9+(262.6-456.4)+(-4.500138+(-0.267852--0.465528))+0-0-0</f>
        <v>4213.7975379999998</v>
      </c>
      <c r="G336" s="3">
        <f>4222.2+(104-464.6)+(6.459966+(0.15912-0.710838))+0-0-0</f>
        <v>3867.5082480000001</v>
      </c>
      <c r="H336" s="3">
        <f>4216+(139.8-578.5)+(0+(0-0))+0-0-0</f>
        <v>3777.3</v>
      </c>
      <c r="I336" s="3">
        <f>4217+(103-607.4)+(0+(0-0))+0-0-0</f>
        <v>3712.6</v>
      </c>
      <c r="J336" s="3">
        <f>4262.7+(87.8-598.3)+(0+(0-0))+0-0-0</f>
        <v>3752.2</v>
      </c>
      <c r="K336" s="3">
        <f>4426.2+(45.2-670.4)+(9.029448+(0.092208-1.367616))+0-0-0</f>
        <v>3808.7540399999998</v>
      </c>
      <c r="L336" s="3">
        <f>4480.8+(140.4-590.4)+(-11.42604+(-0.35802--1.50552))+0-0-0</f>
        <v>4020.5214600000004</v>
      </c>
      <c r="M336" s="3">
        <f>4541.9+(393.5-532.6)+(2.316369+(0.200685-0.271626))+0-0-0</f>
        <v>4405.0454279999994</v>
      </c>
      <c r="N336" s="3">
        <f>4802.1+(612.4-401.4)+(-2.449071+(-0.312324--0.204714))+0-0-0</f>
        <v>5010.5433190000003</v>
      </c>
      <c r="O336" s="3">
        <f>4826.1+(877.8-319.7)+(7.383933+(1.343034-0.489141))+0-0-0</f>
        <v>5392.4378260000003</v>
      </c>
      <c r="P336" s="3">
        <f>4822.4+(1095.7-309.2)+(-2.459424+(-0.558807--0.157692))+0-0-0</f>
        <v>5606.0394609999994</v>
      </c>
      <c r="Q336" s="3">
        <f>4839.7+(1203.3-310.2)+(7.404741+(1.841049-0.474606))+0-0-0</f>
        <v>5741.5711839999994</v>
      </c>
      <c r="R336" s="3">
        <f>4774.2+(1185.4-303.7)+(-14.609052+(-3.627324--0.929322))+0-0-0</f>
        <v>5638.5929459999998</v>
      </c>
      <c r="S336" s="3">
        <f>4796.8+(998.8-301)+(-7.339104+(-1.528164--0.46053))+0-0-0</f>
        <v>5486.1932620000007</v>
      </c>
      <c r="T336" s="3">
        <f>4830+(1018.5-304.6)+(2.4633+(0.519435-0.155346))+0-0-0</f>
        <v>5546.7273889999997</v>
      </c>
      <c r="U336" s="3">
        <f>4772.3+(1035-315.5)+(0+(0-0))+0-0-0</f>
        <v>5491.8</v>
      </c>
      <c r="V336" s="3">
        <f>4804.5+(943.3-304.7)+(-4.90059+(-0.962166--0.310794))+0-0-0</f>
        <v>5437.5480380000008</v>
      </c>
      <c r="W336" s="3">
        <f>4988+(894.2-313.2)+(-10.17552+(-1.824168--0.638928))+0-0-0</f>
        <v>5557.6392400000004</v>
      </c>
      <c r="X336" s="3">
        <f>5126.5+(1179.2-305.5)+(-2.614515+(-0.601392--0.155805))+0-0-0</f>
        <v>5997.1398979999994</v>
      </c>
      <c r="Y336" s="3">
        <f>5070.2+(1190.5-309.6)+(-7.757406+(-1.821465--0.473688))+0-0-0</f>
        <v>5941.9948169999998</v>
      </c>
      <c r="Z336" s="3">
        <f>4976.3+(1105.6-314.5)+(-7.613739+(-1.691568--0.481185))+0-0-0</f>
        <v>5758.5758779999996</v>
      </c>
      <c r="AA336" s="3">
        <f>4670.1+(1153.4-297.8)+(-11.908755+(-2.94117--0.75939))+0-0-0</f>
        <v>5511.6094650000005</v>
      </c>
      <c r="AB336" s="3">
        <f>4454.2+(1086.5-279.8)+(-6.814926+(-1.662345--0.428094))+0-0-0</f>
        <v>5252.8508229999998</v>
      </c>
      <c r="AC336" s="3">
        <f>4469+(766.6-283.8)+(-11.39595+(-1.95483--0.72369))+0-0-0</f>
        <v>4939.1729100000002</v>
      </c>
      <c r="AD336" s="2">
        <v>6048.3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4278.6+(333.7-317.7)+(-4.364172+(-0.340374--0.324054))+0-0-0</f>
        <v>4290.2195080000001</v>
      </c>
      <c r="G337" s="3">
        <f>4284.6+(195.4-535.2)+(2.185146+(0.099654-0.272952))+0-0-0</f>
        <v>3946.8118480000003</v>
      </c>
      <c r="H337" s="3">
        <f>4292.7+(167.8-684)+(8.757108+(0.342312-1.39536))+0-0-0</f>
        <v>3784.20406</v>
      </c>
      <c r="I337" s="3">
        <f>4249.8+(163.3-714.6)+(0+(0-0))+0-0-0</f>
        <v>3698.5</v>
      </c>
      <c r="J337" s="3">
        <f>4205+(128.5-643.5)+(-2.14455+(-0.065535--0.328185))+0-0-0</f>
        <v>3688.1181000000001</v>
      </c>
      <c r="K337" s="3">
        <f>4240.8+(224.4-700.5)+(-10.81404+(-0.57222--1.786275))+0-0-0</f>
        <v>3755.1000150000004</v>
      </c>
      <c r="L337" s="3">
        <f>4278.2+(336.9-641.5)+(-4.363764+(-0.343638--0.65433))+0-0-0</f>
        <v>3969.5469279999998</v>
      </c>
      <c r="M337" s="3">
        <f>4294.8+(576.6-480.7)+(-2.190348+(-0.294066--0.245157))+0-0-0</f>
        <v>4388.4607429999996</v>
      </c>
      <c r="N337" s="3">
        <f>4385.8+(868.3-295.5)+(0+(0-0))+0-0-0</f>
        <v>4958.6000000000004</v>
      </c>
      <c r="O337" s="3">
        <f>4633.7+(999.6-267.7)+(0+(0-0))+0-0-0</f>
        <v>5365.6</v>
      </c>
      <c r="P337" s="3">
        <f>4717.8+(1191.4-308.9)+(0+(0-0))+0-0-0</f>
        <v>5600.3</v>
      </c>
      <c r="Q337" s="3">
        <f>4850+(1195.7-320.1)+(-7.4205+(-1.829421--0.489753))+0-0-0</f>
        <v>5716.8398320000006</v>
      </c>
      <c r="R337" s="3">
        <f>4634.6+(1275.7-296.1)+(-4.727292+(-1.301214--0.302022))+0-0-0</f>
        <v>5608.4735160000009</v>
      </c>
      <c r="S337" s="3">
        <f>4490+(1133-263.1)+(4.5798+(1.15566-0.268362))+34.5-0-0</f>
        <v>5399.8670979999997</v>
      </c>
      <c r="T337" s="3">
        <f>4395.8+(1347.4-239.9)+(2.241858+(0.687174-0.122349))+0-0-0</f>
        <v>5506.106683</v>
      </c>
      <c r="U337" s="3">
        <f>4356.7+(1367.4-238.5)+(-2.221917+(-0.697374--0.121635))+0-0-0</f>
        <v>5482.8023440000006</v>
      </c>
      <c r="V337" s="3">
        <f>4419.6+(1274.3-243.5)+(0+(0-0))+0-0-0</f>
        <v>5450.4000000000005</v>
      </c>
      <c r="W337" s="3">
        <f>4695.5+(1115.5-257.4)+(7.184115+(1.706715-0.393822))+0-0-0</f>
        <v>5562.0970080000006</v>
      </c>
      <c r="X337" s="3">
        <f>5126.9+(1261.9-352)+(-5.229438+(-1.287138--0.35904))+0-0-0</f>
        <v>6030.6424639999996</v>
      </c>
      <c r="Y337" s="3">
        <f>4911.8+(1362.2-304.5)+(5.010036+(1.389444-0.31059))+0-0-0</f>
        <v>5975.58889</v>
      </c>
      <c r="Z337" s="3">
        <f>4509.7+(1574.4-262.7)+(0+(0-0))+0-0-0</f>
        <v>5821.4</v>
      </c>
      <c r="AA337" s="3">
        <f>4445.3+(1291.1-252.6)+(-2.267103+(-0.658461--0.128826))+0-0-0</f>
        <v>5481.0032620000002</v>
      </c>
      <c r="AB337" s="3">
        <f>4365.4+(1120-258)+(-11.13177+(-2.856--0.6579))+0-0-0</f>
        <v>5214.0701300000001</v>
      </c>
      <c r="AC337" s="3">
        <f>4013.7+(1042.6-253)+(-6.140961+(-1.595178--0.38709))+0-0-0</f>
        <v>4795.9509509999989</v>
      </c>
      <c r="AD337" s="2">
        <v>6097.3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3823.9+(727.4-269.8)+(-3.900378+(-0.741948--0.275196))+0-0-0</f>
        <v>4277.1328700000004</v>
      </c>
      <c r="G338" s="3">
        <f>3777.9+(544.9-401.4)+(-7.706916+(-1.111596--0.818856))+0-0-0</f>
        <v>3913.4003440000001</v>
      </c>
      <c r="H338" s="3">
        <f>3774.9+(521-543.9)+(0+(0-0))+0-0-0</f>
        <v>3752</v>
      </c>
      <c r="I338" s="3">
        <f>3777.2+(518.7-606.8)+(0+(0-0))+0-0-0</f>
        <v>3689.1</v>
      </c>
      <c r="J338" s="3">
        <f>3733.3+(467-526.2)+(1.903983+(0.23817-0.268362))+0-0-0</f>
        <v>3675.9737910000003</v>
      </c>
      <c r="K338" s="3">
        <f>3812.9+(455.9-505)+(3.889158+(0.465018-0.5151))+0-0-0</f>
        <v>3767.6390760000004</v>
      </c>
      <c r="L338" s="3">
        <f>4044.8+(481.5-529.5)+(2.062848+(0.245565-0.270045))+0-0-0</f>
        <v>3998.8383680000002</v>
      </c>
      <c r="M338" s="3">
        <f>4114.2+(660.4-347)+(0+(0-0))+0-0-0</f>
        <v>4427.5999999999995</v>
      </c>
      <c r="N338" s="3">
        <f>4301.9+(981.3-300.4)+(-2.193969+(-0.500463--0.153204))+0-0-0</f>
        <v>4980.2587719999992</v>
      </c>
      <c r="O338" s="3">
        <f>4480.1+(1265.7-294.5)+(4.569702+(1.291014-0.30039))+0-0-0</f>
        <v>5456.860326</v>
      </c>
      <c r="P338" s="3">
        <f>4658.2+(1331-301.5)+(0+(0-0))+0-0-0</f>
        <v>5687.7</v>
      </c>
      <c r="Q338" s="3">
        <f>4647.6+(1435.5-299.2)+(-7.110828+(-2.196315--0.457776))+0-0-0</f>
        <v>5775.0506330000007</v>
      </c>
      <c r="R338" s="3">
        <f>4550.4+(1412.3-288.7)+(-9.282816+(-2.881092--0.588948))+0-0-0</f>
        <v>5662.4250400000001</v>
      </c>
      <c r="S338" s="3">
        <f>4365.2+(1366.1-269.2)+(4.452504+(1.393422-0.274584))+0-0-0</f>
        <v>5467.6713419999996</v>
      </c>
      <c r="T338" s="3">
        <f>4348.3+(1466.1-276)+(-2.217633+(-0.747711--0.14076))+0-0-0</f>
        <v>5535.5754159999997</v>
      </c>
      <c r="U338" s="3">
        <f>4356.8+(1370.3-272.3)+(4.443936+(1.397706-0.277746))+0-0-0</f>
        <v>5460.3638959999998</v>
      </c>
      <c r="V338" s="3">
        <f>4387.7+(1301.1-273.5)+(-2.237727+(-0.663561--0.139485))+0-0-0</f>
        <v>5412.5381969999989</v>
      </c>
      <c r="W338" s="3">
        <f>4637.5+(1218.3-310.5)+(-7.095375+(-1.863999--0.475065))+0-0-0</f>
        <v>5536.8156909999998</v>
      </c>
      <c r="X338" s="3">
        <f>5019.5+(1363.3-406.8)+(2.559945+(0.695283-0.207468))+0-0-0</f>
        <v>5979.0477600000004</v>
      </c>
      <c r="Y338" s="3">
        <f>4899.8+(1401.9-369.9)+(-12.49449+(-3.574845--0.943245))+0-0-0</f>
        <v>5916.6739100000004</v>
      </c>
      <c r="Z338" s="3">
        <f>4717.7+(1396.4-349)+(-2.406027+(-0.712164--0.17799))+0-0-0</f>
        <v>5762.159799</v>
      </c>
      <c r="AA338" s="3">
        <f>4459.3+(1304.4-297.4)+(-6.822729+(-1.995732--0.455022))+0-0-0</f>
        <v>5457.9365610000004</v>
      </c>
      <c r="AB338" s="3">
        <f>4246.3+(1209.9-280.3)+(-6.496839+(-1.851147--0.428859))+0-0-0</f>
        <v>5167.9808730000004</v>
      </c>
      <c r="AC338" s="3">
        <f>4137.6+(989.7-302.7)+(-10.55088+(-2.523735--0.771885))+0-0-0</f>
        <v>4812.29727</v>
      </c>
      <c r="AD338" s="2">
        <v>6021.5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4104.5+(542.8-300.4)+(-6.279885+(-0.830484--0.459612))+0-0-0</f>
        <v>4340.2492429999993</v>
      </c>
      <c r="G339" s="3">
        <f>4097.9+(420.8-553.1)+(0+(0-0))+0-0-0</f>
        <v>3965.5999999999995</v>
      </c>
      <c r="H339" s="3">
        <f>4093.1+(247.4-562.5)+(6.262443+(0.378522-0.860625))+0-0-0</f>
        <v>3783.7803399999998</v>
      </c>
      <c r="I339" s="3">
        <f>4026.4+(168.1-474.6)+(-4.106928+(-0.171462--0.484092))+0-0-0</f>
        <v>3716.1057020000003</v>
      </c>
      <c r="J339" s="3">
        <f>4102.6+(171.2-585.5)+(6.276978+(0.261936-0.895815))+0-0-0</f>
        <v>3693.9430990000001</v>
      </c>
      <c r="K339" s="3">
        <f>4265.9+(154.3-685.4)+(0+(0-0))+0-0-0</f>
        <v>3734.7999999999997</v>
      </c>
      <c r="L339" s="3">
        <f>4574.9+(167.5-874.2)+(-9.332796+(-0.3417--1.783368))+0-0-0</f>
        <v>3860.3088719999996</v>
      </c>
      <c r="M339" s="3">
        <f>4601.2+(285.7-708.6)+(2.346612+(0.145707-0.361386))+0-0-0</f>
        <v>4180.4309330000006</v>
      </c>
      <c r="N339" s="3">
        <f>4510.2+(538.8-292.2)+(4.600404+(0.549576-0.298044))+0-0-0</f>
        <v>4761.6519360000002</v>
      </c>
      <c r="O339" s="3">
        <f>4689.6+(814.5-283.6)+(7.175088+(1.246185-0.433908))+0-0-0</f>
        <v>5228.487365</v>
      </c>
      <c r="P339" s="3">
        <f>4837.3+(995.5-313.7)+(0+(0-0))+0-0-0</f>
        <v>5519.1</v>
      </c>
      <c r="Q339" s="3">
        <f>4814.8+(1127.8-305.6)+(0+(0-0))+0-0-0</f>
        <v>5637</v>
      </c>
      <c r="R339" s="3">
        <f>4529.5+(1249-278.1)+(-4.62009+(-1.27398--0.283662))+0-0-0</f>
        <v>5494.7895920000001</v>
      </c>
      <c r="S339" s="3">
        <f>4488.9+(979.9-270.4)+(2.289339+(0.499749-0.137904))+0-0-0</f>
        <v>5201.0511839999999</v>
      </c>
      <c r="T339" s="3">
        <f>4468.7+(959.5-258)+(-4.558074+(-0.97869--0.26316))+0-0-0</f>
        <v>5164.9263959999998</v>
      </c>
      <c r="U339" s="3">
        <f>4444.2+(865.3-258)+(-4.533084+(-0.882606--0.26316))+0-0-0</f>
        <v>5046.3474699999997</v>
      </c>
      <c r="V339" s="3">
        <f>4455.7+(781.1-256.1)+(6.817221+(1.195083-0.391833))+0-0-0</f>
        <v>4988.320471</v>
      </c>
      <c r="W339" s="3">
        <f>4687.3+(693.8-281.5)+(-7.171569+(-1.061514--0.430695))+0-0-0</f>
        <v>5091.7976120000003</v>
      </c>
      <c r="X339" s="3">
        <f>5009+(948.5-358.9)+(0+(0-0))+0-0-0</f>
        <v>5598.6</v>
      </c>
      <c r="Y339" s="3">
        <f>4947.5+(1034-371.2)+(-15.13935+(-3.16404--1.135872))+0-0-0</f>
        <v>5593.132482</v>
      </c>
      <c r="Z339" s="3">
        <f>4291.7+(1449.8-262.7)+(4.377534+(1.478796-0.267954))+0-0-0</f>
        <v>5484.388375999999</v>
      </c>
      <c r="AA339" s="3">
        <f>4220.1+(1274.4-227.5)+(-2.152251+(-0.649944--0.116025))+0-0-0</f>
        <v>5264.3138300000001</v>
      </c>
      <c r="AB339" s="3">
        <f>4189.9+(1053.2-240.7)+(0+(0-0))+0-0-0</f>
        <v>5002.3999999999996</v>
      </c>
      <c r="AC339" s="3">
        <f>3962.7+(953.5-236.4)+(-6.062931+(-1.458855--0.361692))+0-0-0</f>
        <v>4672.6399060000003</v>
      </c>
      <c r="AD339" s="2">
        <v>5620.5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3650.3+(832.8-240.7)+(-5.584959+(-1.274184--0.368271))+0-0-0</f>
        <v>4235.9091279999993</v>
      </c>
      <c r="G340" s="3">
        <f>3622.7+(575.3-293.2)+(-9.237885+(-1.467015--0.74766))+0-0-0</f>
        <v>3894.8427599999995</v>
      </c>
      <c r="H340" s="3">
        <f>3590.5+(462.7-328.2)+(-1.831155+(-0.235977--0.167382))+0-0-0</f>
        <v>3723.10025</v>
      </c>
      <c r="I340" s="3">
        <f>3579.8+(346.3-340.2)+(1.825698+(0.176613-0.173502))+0-0-0</f>
        <v>3587.7288090000002</v>
      </c>
      <c r="J340" s="3">
        <f>3591.9+(381.2-416.2)+(1.831869+(0.194412-0.212262))+0-0-0</f>
        <v>3558.714019</v>
      </c>
      <c r="K340" s="3">
        <f>3733.9+(327-506.8)+(7.617156+(0.66708-1.033872))+0-0-0</f>
        <v>3561.3503639999999</v>
      </c>
      <c r="L340" s="3">
        <f>3910.3+(385.2-729.1)+(-3.988506+(-0.392904--0.743682))+0-0-0</f>
        <v>3562.7622719999999</v>
      </c>
      <c r="M340" s="3">
        <f>3994+(407.1-880.4)+(-2.03694+(-0.207621--0.449004))+0-0-0</f>
        <v>3518.9044429999999</v>
      </c>
      <c r="N340" s="3">
        <f>4126.1+(304.8-686.3)+(-4.208622+(-0.310896--0.700026))+0-0-0</f>
        <v>3740.7805080000003</v>
      </c>
      <c r="O340" s="3">
        <f>4296.6+(366.4-578.5)+(4.382532+(0.373728-0.59007))+0-0-0</f>
        <v>4088.6661900000004</v>
      </c>
      <c r="P340" s="3">
        <f>4392.6+(374.8-319.9)+(0+(0-0))+0-0-0</f>
        <v>4447.5</v>
      </c>
      <c r="Q340" s="3">
        <f>4345+(514.2-228.6)+(0+(0-0))+0-0-0</f>
        <v>4630.6000000000004</v>
      </c>
      <c r="R340" s="3">
        <f>4252.8+(562.9-224.1)+(-6.506784+(-0.861237--0.342873))+0-0-0</f>
        <v>4584.5748520000006</v>
      </c>
      <c r="S340" s="3">
        <f>4214.6+(586.7-350.3)+(-2.149446+(-0.299217--0.178653))+0-0-0</f>
        <v>4448.7299899999998</v>
      </c>
      <c r="T340" s="3">
        <f>4214.5+(593.3-423.2)+(-4.29879+(-0.605166--0.431664))+0-0-0</f>
        <v>4380.127708</v>
      </c>
      <c r="U340" s="3">
        <f>4031.5+(549.2-240)+(-4.11213+(-0.560184--0.2448))+0-0-0</f>
        <v>4336.2724859999998</v>
      </c>
      <c r="V340" s="3">
        <f>4042.5+(507.9-218.1)+(0+(0-0))+0-0-0</f>
        <v>4332.3</v>
      </c>
      <c r="W340" s="3">
        <f>4194.1+(562.7-222.3)+(-2.138991+(-0.286977--0.113373))+0-0-0</f>
        <v>4532.1874049999997</v>
      </c>
      <c r="X340" s="3">
        <f>4471.8+(806-229.2)+(-2.280618+(-0.41106--0.116892))+0-0-0</f>
        <v>5046.0252140000002</v>
      </c>
      <c r="Y340" s="3">
        <f>4555.4+(888.1-277.2)+(0+(0-0))+0-0-0</f>
        <v>5166.2999999999993</v>
      </c>
      <c r="Z340" s="3">
        <f>4369.9+(999.8-244.8)+(-4.457298+(-1.019796--0.249696))+0-0-0</f>
        <v>5119.6726019999996</v>
      </c>
      <c r="AA340" s="3">
        <f>4210.8+(1053.4-218.7)+(-2.147508+(-0.537234--0.111537))+0-0-0</f>
        <v>5042.9267950000003</v>
      </c>
      <c r="AB340" s="3">
        <f>4094.3+(963.8-235.5)+(-10.440465+(-2.45769--0.600525))+0-0-0</f>
        <v>4810.3023700000003</v>
      </c>
      <c r="AC340" s="3">
        <f>3773+(919.3-216.5)+(-9.62115+(-2.344215--0.552075))+0-0-0</f>
        <v>4464.3867099999998</v>
      </c>
      <c r="AD340" s="2">
        <v>5150.4999999999991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3755.5+(580.6-335)+(-3.83061+(-0.592212--0.3417))+0-0-0</f>
        <v>3997.0188779999999</v>
      </c>
      <c r="G341" s="3">
        <f>3716+(369.7-414)+(3.79032+(0.377094-0.42228))+0-0-0</f>
        <v>3675.4451339999996</v>
      </c>
      <c r="H341" s="3">
        <f>3623.3+(284.3-411.6)+(3.695766+(0.289986-0.419832))+0-0-0</f>
        <v>3499.56592</v>
      </c>
      <c r="I341" s="3">
        <f>3572.2+(241.7-368.4)+(1.821822+(0.123267-0.187884))+0-0-0</f>
        <v>3447.2572049999999</v>
      </c>
      <c r="J341" s="3">
        <f>3552.5+(281.6-388.8)+(-1.811775+(-0.143616--0.198288))+0-0-0</f>
        <v>3443.5428970000003</v>
      </c>
      <c r="K341" s="3">
        <f>3646.8+(257.3-348.7)+(3.719736+(0.262446-0.355674))+0-0-0</f>
        <v>3559.0265079999999</v>
      </c>
      <c r="L341" s="3">
        <f>4086.3+(333.8-585.2)+(2.084013+(0.170238-0.298452))+0-0-0</f>
        <v>3836.8557989999999</v>
      </c>
      <c r="M341" s="3">
        <f>4198.2+(465.5-346.5)+(2.141082+(0.237405-0.176715))+0-0-0</f>
        <v>4319.4017720000002</v>
      </c>
      <c r="N341" s="3">
        <f>4402.9+(830.9-270.2)+(4.490958+(0.847518-0.275604))+0-0-0</f>
        <v>4968.6628719999999</v>
      </c>
      <c r="O341" s="3">
        <f>4520.3+(1127.8-259.5)+(9.221412+(2.300712-0.52938))+0-0-0</f>
        <v>5399.5927440000005</v>
      </c>
      <c r="P341" s="3">
        <f>4629.6+(1317.2-258.7)+(0+(0-0))+0-0-0</f>
        <v>5688.1</v>
      </c>
      <c r="Q341" s="3">
        <f>4625.4+(1455.5-261.6)+(0+(0-0))+0-0-0</f>
        <v>5819.2999999999993</v>
      </c>
      <c r="R341" s="3">
        <f>4613.8+(1421.1-255.6)+(-4.706076+(-1.449522--0.260712))+0-0-0</f>
        <v>5773.4051140000001</v>
      </c>
      <c r="S341" s="3">
        <f>4597.4+(1242.6-235.8)+(-9.378696+(-2.534904--0.481032))+0-0-0</f>
        <v>5592.7674319999996</v>
      </c>
      <c r="T341" s="3">
        <f>4620.6+(1313.3-222.1)+(0+(0-0))+0-0-0</f>
        <v>5711.8</v>
      </c>
      <c r="U341" s="3">
        <f>4623.4+(1291.3-222.8)+(2.357934+(0.658563-0.113628))+0-0-0</f>
        <v>5694.8028689999992</v>
      </c>
      <c r="V341" s="3">
        <f>4619.7+(1275-238.9)+(0+(0-0))+0-0-0</f>
        <v>5655.7999999999993</v>
      </c>
      <c r="W341" s="3">
        <f>4775+(1272.8-242.8)+(-4.8705+(-1.298256--0.247656))+0-0-0</f>
        <v>5799.0789000000004</v>
      </c>
      <c r="X341" s="3">
        <f>4941.3+(1447.5-272.5)+(-7.560189+(-2.214675--0.416925))+0-0-0</f>
        <v>6106.9420609999997</v>
      </c>
      <c r="Y341" s="3">
        <f>4959.9+(1332.8-288.4)+(-5.059098+(-1.359456--0.294168))+0-0-0</f>
        <v>5998.1756139999989</v>
      </c>
      <c r="Z341" s="3">
        <f>4835.1+(1289.8-301)+(2.465901+(0.657798-0.15351))+0-0-0</f>
        <v>5826.8701890000002</v>
      </c>
      <c r="AA341" s="3">
        <f>4682.9+(1192.5-294.9)+(-4.776558+(-1.21635--0.300798))+0-0-0</f>
        <v>5574.80789</v>
      </c>
      <c r="AB341" s="3">
        <f>4504.3+(1082.3-339.3)+(-4.594386+(-1.103946--0.346086))+0-0-0</f>
        <v>5241.9477539999998</v>
      </c>
      <c r="AC341" s="3">
        <f>4405.4+(712.9-325.6)+(-2.246754+(-0.363579--0.166056))+0-0-0</f>
        <v>4790.2557230000002</v>
      </c>
      <c r="AD341" s="2">
        <v>6199.0999999999995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4386.6+(295.6-384.5)+(-11.18583+(-0.75378--0.980475))+0-0-0</f>
        <v>4286.7408650000007</v>
      </c>
      <c r="G342" s="3">
        <f>4357.9+(241.1-646.3)+(-2.222529+(-0.122961--0.329613))+0-0-0</f>
        <v>3950.684123</v>
      </c>
      <c r="H342" s="3">
        <f>4308.6+(135.2-646)+(-4.394772+(-0.137904--0.65892))+0-0-0</f>
        <v>3793.9262440000002</v>
      </c>
      <c r="I342" s="3">
        <f>4268.9+(125.1-671.1)+(-6.531417+(-0.191403--1.026783))+0-0-0</f>
        <v>3717.2039629999995</v>
      </c>
      <c r="J342" s="3">
        <f>4191.4+(126.7-607.2)+(2.137614+(0.064617-0.309672))+0-0-0</f>
        <v>3712.7925589999995</v>
      </c>
      <c r="K342" s="3">
        <f>4189.1+(163.5-543.5)+(-2.136441+(-0.083385--0.277185))+0-0-0</f>
        <v>3807.1573590000003</v>
      </c>
      <c r="L342" s="3">
        <f>4203.5+(206-403.3)+(-2.143785+(-0.10506--0.205683))+0-0-0</f>
        <v>4004.1568379999999</v>
      </c>
      <c r="M342" s="3">
        <f>4400.4+(407.2-341.9)+(2.244204+(0.207672-0.174369))+0-0-0</f>
        <v>4467.9775069999996</v>
      </c>
      <c r="N342" s="3">
        <f>4525.2+(842.5-281)+(2.307852+(0.429675-0.14331))+0-0-0</f>
        <v>5089.2942169999997</v>
      </c>
      <c r="O342" s="3">
        <f>4520.1+(1289.4-260.2)+(0+(0-0))+0-0-0</f>
        <v>5549.3</v>
      </c>
      <c r="P342" s="3">
        <f>4449.2+(1614.5-251.5)+(0+(0-0))+0-0-0</f>
        <v>5812.2</v>
      </c>
      <c r="Q342" s="3">
        <f>4562.5+(1694.7-244.3)+(-2.326875+(-0.864297--0.124593))+0-0-0</f>
        <v>6009.8334209999994</v>
      </c>
      <c r="R342" s="3">
        <f>4579.4+(1541.5-242.1)+(-9.341976+(-3.14466--0.493884))+0-0-0</f>
        <v>5866.8072479999992</v>
      </c>
      <c r="S342" s="3">
        <f>4558.3+(1293.7-236.7)+(4.649466+(1.319574-0.241434))+0-0-0</f>
        <v>5621.0276060000006</v>
      </c>
      <c r="T342" s="3">
        <f>4505.1+(1388.5-220.1)+(2.297601+(0.708135-0.112251))+0-0-0</f>
        <v>5676.3934849999996</v>
      </c>
      <c r="U342" s="3">
        <f>4509.7+(1335.8-225)+(4.599894+(1.362516-0.2295))+0-0-0</f>
        <v>5626.2329099999997</v>
      </c>
      <c r="V342" s="3">
        <f>4526.9+(1278.3-223.4)+(4.617438+(1.303866-0.227868))+0-0-0</f>
        <v>5587.4934359999988</v>
      </c>
      <c r="W342" s="3">
        <f>4795.4+(1148.6-254.3)+(-9.782616+(-2.343144--0.518772))+0-0-0</f>
        <v>5678.0930119999994</v>
      </c>
      <c r="X342" s="3">
        <f>4949+(1336.9-244.3)+(-2.52399+(-0.681819--0.124593))+0-0-0</f>
        <v>6038.5187840000008</v>
      </c>
      <c r="Y342" s="3">
        <f>4908.4+(1301.4-244.4)+(-10.013136+(-2.654856--0.498576))+0-0-0</f>
        <v>5953.2305839999999</v>
      </c>
      <c r="Z342" s="3">
        <f>4911.9+(1174.2-251.8)+(-12.525345+(-2.99421--0.64209))+0-0-0</f>
        <v>5819.4225349999997</v>
      </c>
      <c r="AA342" s="3">
        <f>4888.8+(986.6-266)+(0+(0-0))+0-0-0</f>
        <v>5609.4000000000005</v>
      </c>
      <c r="AB342" s="3">
        <f>4735.8+(784.4-260.2)+(-2.415258+(-0.400044--0.132702))+0-0-0</f>
        <v>5257.3173999999999</v>
      </c>
      <c r="AC342" s="3">
        <f>4196.8+(867.4-232.5)+(-6.421104+(-1.327122--0.355725))+0-0-0</f>
        <v>4824.3074989999996</v>
      </c>
      <c r="AD342" s="2">
        <v>6105.3000000000011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3893.3+(666.7-247.6)+(-3.971166+(-0.680034--0.252552))+0-0-0</f>
        <v>4308.0013520000002</v>
      </c>
      <c r="G343" s="3">
        <f>3589.2+(619-247.9)+(1.830492+(0.31569-0.126429))+0-0-0</f>
        <v>3962.3197529999998</v>
      </c>
      <c r="H343" s="3">
        <f>3390+(602.1-224.3)+(-3.4578+(-0.614142--0.228786))+0-0-0</f>
        <v>3763.9568440000003</v>
      </c>
      <c r="I343" s="3">
        <f>3397.1+(517.7-224.3)+(1.732521+(0.264027-0.114393))+0-0-0</f>
        <v>3692.3821549999998</v>
      </c>
      <c r="J343" s="3">
        <f>3396.8+(532.1-244)+(0+(0-0))+0-0-0</f>
        <v>3684.9</v>
      </c>
      <c r="K343" s="3">
        <f>3431.9+(581.8-238.3)+(-5.250807+(-0.890154--0.364599))+0-0-0</f>
        <v>3769.623638</v>
      </c>
      <c r="L343" s="3">
        <f>3758.1+(531.9-269.6)+(0+(0-0))+0-0-0</f>
        <v>4020.3999999999996</v>
      </c>
      <c r="M343" s="3">
        <f>4012.8+(732.1-248.5)+(2.046528+(0.373371-0.126735))+0-0-0</f>
        <v>4498.6931640000003</v>
      </c>
      <c r="N343" s="3">
        <f>4225.1+(1098.9-232.2)+(-2.154801+(-0.560439--0.118422))+0-0-0</f>
        <v>5089.2031820000002</v>
      </c>
      <c r="O343" s="3">
        <f>4616.5+(1173.1-264.1)+(-7.063245+(-1.794843--0.404073))+0-0-0</f>
        <v>5517.0459849999997</v>
      </c>
      <c r="P343" s="3">
        <f>4642.2+(1423.7-250.4)+(-7.102566+(-2.178261--0.383112))+0-0-0</f>
        <v>5806.6022849999999</v>
      </c>
      <c r="Q343" s="3">
        <f>4622.2+(1629.3-243.8)+(-9.429288+(-3.323772--0.497352))+0-0-0</f>
        <v>5995.4442920000001</v>
      </c>
      <c r="R343" s="3">
        <f>4432.6+(1725.4-214.8)+(0+(0-0))+0-0-0</f>
        <v>5943.2000000000007</v>
      </c>
      <c r="S343" s="3">
        <f>4271.5+(1657.8-215.2)+(-6.535395+(-2.536434--0.329256))+0-0-0</f>
        <v>5705.3574269999999</v>
      </c>
      <c r="T343" s="3">
        <f>4215.9+(1787.4-209.1)+(4.300218+(1.823148-0.213282))+0-0-0</f>
        <v>5800.1100839999999</v>
      </c>
      <c r="U343" s="3">
        <f>4175.3+(1804.4-205.1)+(-2.129403+(-0.920244--0.104601))+0-0-0</f>
        <v>5771.6549540000005</v>
      </c>
      <c r="V343" s="3">
        <f>4194.5+(1752.2-199)+(0+(0-0))+0-0-0</f>
        <v>5747.7</v>
      </c>
      <c r="W343" s="3">
        <f>4377.9+(1572.2-172.8)+(-4.465458+(-1.603644--0.176256))+0-0-0</f>
        <v>5771.4071539999995</v>
      </c>
      <c r="X343" s="3">
        <f>4811+(1479.1-205.4)+(-2.45361+(-0.754341--0.104754))+0-0-0</f>
        <v>6081.5968029999995</v>
      </c>
      <c r="Y343" s="3">
        <f>4789.8+(1477.3-253.1)+(-12.21399+(-3.767115--0.645405))+0-0-0</f>
        <v>5998.6643000000004</v>
      </c>
      <c r="Z343" s="3">
        <f>4616+(1479.4-245.8)+(0+(0-0))+0-0-0</f>
        <v>5849.6</v>
      </c>
      <c r="AA343" s="3">
        <f>4261.2+(1599-261.1)+(-4.346424+(-1.63098--0.266322))+0-0-0</f>
        <v>5593.3889180000006</v>
      </c>
      <c r="AB343" s="3">
        <f>4059.2+(1487.2-267.9)+(-4.140384+(-1.516944--0.273258))+0-0-0</f>
        <v>5273.1159299999999</v>
      </c>
      <c r="AC343" s="3">
        <f>3957.7+(1140.8-237.7)+(-10.092135+(-2.90904--0.606135))+0-0-0</f>
        <v>4848.4049599999989</v>
      </c>
      <c r="AD343" s="2">
        <v>6112.5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4034.5+(612.8-205.3)+(-6.172785+(-0.937584--0.314109))+0-0-0</f>
        <v>4435.2037399999999</v>
      </c>
      <c r="G344" s="3">
        <f>3897.6+(386.2-283)+(-5.963328+(-0.590886--0.43299))+0-0-0</f>
        <v>3994.6787759999997</v>
      </c>
      <c r="H344" s="3">
        <f>3893.8+(368.7-329)+(-1.985838+(-0.188037--0.16779))+0-0-0</f>
        <v>3931.493915</v>
      </c>
      <c r="I344" s="3">
        <f>3879.7+(313.9-341.9)+(-3.957294+(-0.320178--0.348738))+0-0-0</f>
        <v>3847.7712659999997</v>
      </c>
      <c r="J344" s="3">
        <f>3889.3+(335.7-368)+(1.983543+(0.171207-0.18768))+0-0-0</f>
        <v>3858.9670700000001</v>
      </c>
      <c r="K344" s="3">
        <f>3911.8+(370.8-337.5)+(7.980072+(0.756432-0.6885))+0-0-0</f>
        <v>3953.1480040000006</v>
      </c>
      <c r="L344" s="3">
        <f>3878.1+(505.4-224.7)+(-1.977831+(-0.257754--0.114597))+0-0-0</f>
        <v>4156.6790120000005</v>
      </c>
      <c r="M344" s="3">
        <f>4092+(712.3-198.4)+(-2.08692+(-0.363273--0.101184))+0-0-0</f>
        <v>4603.5509910000001</v>
      </c>
      <c r="N344" s="3">
        <f>4448.1+(972.5-206.1)+(-2.268531+(-0.495975--0.105111))+0-0-0</f>
        <v>5211.8406050000003</v>
      </c>
      <c r="O344" s="3">
        <f>4688.1+(1159.8-205.7)+(-9.563724+(-2.365992--0.419628))+0-0-0</f>
        <v>5630.6899120000007</v>
      </c>
      <c r="P344" s="3">
        <f>4677.8+(1363.3-202.5)+(-2.385678+(-0.695283--0.103275))+0-0-0</f>
        <v>5835.6223140000002</v>
      </c>
      <c r="Q344" s="3">
        <f>4781.6+(1393-220.6)+(-4.877232+(-1.42086--0.225012))+0-0-0</f>
        <v>5947.9269199999999</v>
      </c>
      <c r="R344" s="3">
        <f>4469.7+(1517-238.6)+(-9.118188+(-3.09468--0.486744))+0-0-0</f>
        <v>5736.3738760000006</v>
      </c>
      <c r="S344" s="3">
        <f>4504.8+(1300.2-227.4)+(-6.892344+(-1.989306--0.347922))+0-0-0</f>
        <v>5569.066272</v>
      </c>
      <c r="T344" s="3">
        <f>4240.8+(1629.5-216.5)+(2.162808+(0.831045-0.110415))+0-0-0</f>
        <v>5656.683438</v>
      </c>
      <c r="U344" s="3">
        <f>4231.4+(1574.6-206.5)+(4.316028+(1.606092-0.21063))+0-0-0</f>
        <v>5605.2114899999997</v>
      </c>
      <c r="V344" s="3">
        <f>4390.5+(1363.5-186.7)+(2.239155+(0.695385-0.095217))+0-0-0</f>
        <v>5570.1393230000003</v>
      </c>
      <c r="W344" s="3">
        <f>4584.8+(1196.3-172.2)+(2.338248+(0.610113-0.087822))+0-0-0</f>
        <v>5611.7605389999999</v>
      </c>
      <c r="X344" s="3">
        <f>5121+(1214-280)+(0+(0-0))+0-0-0</f>
        <v>6055</v>
      </c>
      <c r="Y344" s="3">
        <f>5114.3+(1198.5-285.5)+(0+(0-0))+0-0-0</f>
        <v>6027.3</v>
      </c>
      <c r="Z344" s="3">
        <f>5054.9+(1079.3-253.7)+(-2.577999+(-0.550443--0.129387))+0-0-0</f>
        <v>5877.5009449999998</v>
      </c>
      <c r="AA344" s="3">
        <f>4957.3+(877.9-208.1)+(0+(0-0))+0-0-0</f>
        <v>5627.1</v>
      </c>
      <c r="AB344" s="3">
        <f>4699.1+(794.5-218.5)+(-9.586164+(-1.62078--0.44574))+0-0-0</f>
        <v>5264.338796</v>
      </c>
      <c r="AC344" s="3">
        <f>4240.4+(924.4-304.6)+(-2.162604+(-0.471444--0.155346))+0-0-0</f>
        <v>4857.7212979999995</v>
      </c>
      <c r="AD344" s="2">
        <v>6097.5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4011.6+(728-367.8)+(-10.22958+(-1.8564--0.93789))+0-0-0</f>
        <v>4360.6519100000005</v>
      </c>
      <c r="G345" s="3">
        <f>4011.2+(466.4-501.7)+(-6.137136+(-0.713592--0.767601))+0-0-0</f>
        <v>3969.8168729999998</v>
      </c>
      <c r="H345" s="3">
        <f>4026.8+(316.3-583.4)+(0+(0-0))+0-0-0</f>
        <v>3759.7000000000003</v>
      </c>
      <c r="I345" s="3">
        <f>4030.7+(256-611.6)+(2.055657+(0.13056-0.311916))+0-0-0</f>
        <v>3676.9743009999997</v>
      </c>
      <c r="J345" s="3">
        <f>3983.5+(340.2-636)+(-8.12634+(-0.694008--1.29744))+0-0-0</f>
        <v>3680.1770919999999</v>
      </c>
      <c r="K345" s="3">
        <f>3998.5+(314.4-573.1)+(2.039235+(0.160344-0.292281))+0-0-0</f>
        <v>3741.7072980000003</v>
      </c>
      <c r="L345" s="3">
        <f>3976.5+(418-439.7)+(2.028015+(0.21318-0.224247))+0-0-0</f>
        <v>3956.8169480000001</v>
      </c>
      <c r="M345" s="3">
        <f>4043.1+(700.7-322)+(-2.061981+(-0.357357--0.16422))+0-0-0</f>
        <v>4419.5448820000001</v>
      </c>
      <c r="N345" s="3">
        <f>4319.3+(1008.3-280.8)+(0+(0-0))+0-0-0</f>
        <v>5046.8</v>
      </c>
      <c r="O345" s="3">
        <f>4441.2+(1347.9-326)+(-2.265012+(-0.687429--0.16626))+0-0-0</f>
        <v>5460.313819</v>
      </c>
      <c r="P345" s="3">
        <f>4562.8+(1439.2-307.5)+(-6.981084+(-2.201976--0.470475))+0-0-0</f>
        <v>5685.7874149999998</v>
      </c>
      <c r="Q345" s="3">
        <f>4560.3+(1549.4-305.7)+(-2.325753+(-0.790194--0.155907))+0-0-0</f>
        <v>5801.0399600000001</v>
      </c>
      <c r="R345" s="3">
        <f>4481.8+(1516.3-298.9)+(-2.285718+(-0.773313--0.152439))+0-0-0</f>
        <v>5696.2934080000005</v>
      </c>
      <c r="S345" s="3">
        <f>4390.2+(1431.2-311.1)+(6.717006+(2.189736-0.475983))+0-0-0</f>
        <v>5518.7307589999991</v>
      </c>
      <c r="T345" s="3">
        <f>4380+(1512.4-311.1)+(4.4676+(1.542648-0.317322))+0-0-0</f>
        <v>5586.9929259999999</v>
      </c>
      <c r="U345" s="3">
        <f>4358.9+(1491.8-320.3)+(-4.446078+(-1.521636--0.326706))+0-0-0</f>
        <v>5524.758992</v>
      </c>
      <c r="V345" s="3">
        <f>4379.4+(1407.2-310.5)+(2.233494+(0.717672-0.158355))+0-0-0</f>
        <v>5478.8928109999997</v>
      </c>
      <c r="W345" s="3">
        <f>4499.5+(1338.1-324.6)+(2.294745+(0.682431-0.165546))+0-0-0</f>
        <v>5515.8116300000002</v>
      </c>
      <c r="X345" s="3">
        <f>4836.2+(1430.9-300.9)+(-2.466462+(-0.729759--0.153459))+0-0-0</f>
        <v>5963.1572379999998</v>
      </c>
      <c r="Y345" s="3">
        <f>4802.2+(1463.3-310.8)+(-12.24561+(-3.731415--0.79254))+0-0-0</f>
        <v>5939.5155150000001</v>
      </c>
      <c r="Z345" s="3">
        <f>4648.9+(1452.3-298)+(-9.483756+(-2.962692--0.60792))+0-0-0</f>
        <v>5791.3614719999996</v>
      </c>
      <c r="AA345" s="3">
        <f>4647.7+(1218.2-304.8)+(-11.851635+(-3.10641--0.77724))+0-0-0</f>
        <v>5546.9191950000004</v>
      </c>
      <c r="AB345" s="3">
        <f>4499.3+(1048-312.1)+(-2.294643+(-0.53448--0.159171))+0-0-0</f>
        <v>5232.5300479999996</v>
      </c>
      <c r="AC345" s="3">
        <f>4181.3+(979.9-316)+(-6.397389+(-1.499247--0.48348))+0-0-0</f>
        <v>4837.7868440000002</v>
      </c>
      <c r="AD345" s="2">
        <v>5915.9000000000005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3767.7+(907.4-337.3)+(-1.921527+(-0.462774--0.172023))+0-0-0</f>
        <v>4335.5877219999993</v>
      </c>
      <c r="G346" s="3">
        <f>3537.4+(703.3-284.2)+(-1.804074+(-0.358683--0.144942))+0-0-0</f>
        <v>3954.4821849999998</v>
      </c>
      <c r="H346" s="3">
        <f>3559.8+(503.1-317.5)+(1.815498+(0.256581-0.161925))+0-0-0</f>
        <v>3747.3101540000002</v>
      </c>
      <c r="I346" s="3">
        <f>3544.9+(487.1-339.6)+(-3.615798+(-0.496842--0.346392))+0-0-0</f>
        <v>3688.6337520000002</v>
      </c>
      <c r="J346" s="3">
        <f>3558.6+(510.6-402.9)+(3.629772+(0.520812-0.410958))+0-0-0</f>
        <v>3670.0396260000002</v>
      </c>
      <c r="K346" s="3">
        <f>3544.9+(630.2-442.6)+(1.807899+(0.321402-0.225726))+0-0-0</f>
        <v>3734.4035749999998</v>
      </c>
      <c r="L346" s="3">
        <f>3770+(438-345.5)+(-11.5362+(-1.34028--1.05723))+0-0-0</f>
        <v>3850.68075</v>
      </c>
      <c r="M346" s="3">
        <f>3881.9+(599.3-279.9)+(1.979769+(0.305643-0.142749))+0-0-0</f>
        <v>4203.4426629999998</v>
      </c>
      <c r="N346" s="3">
        <f>4026.7+(1102.1-303)+(0+(0-0))+0-0-0</f>
        <v>4825.7999999999993</v>
      </c>
      <c r="O346" s="3">
        <f>4163.2+(1421.6-311.6)+(-4.246464+(-1.450032--0.317832))+0-0-0</f>
        <v>5267.821336</v>
      </c>
      <c r="P346" s="3">
        <f>4340.9+(1534.6-317.5)+(2.213859+(0.782646-0.161925))+0-0-0</f>
        <v>5560.8345799999997</v>
      </c>
      <c r="Q346" s="3">
        <f>4333.5+(1667.4-331.2)+(-8.84034+(-3.401496--0.675648))+0-0-0</f>
        <v>5658.133812</v>
      </c>
      <c r="R346" s="3">
        <f>4308.4+(1534.3-323.6)+(-4.394568+(-1.564986--0.330072))+0-0-0</f>
        <v>5513.4705179999992</v>
      </c>
      <c r="S346" s="3">
        <f>4189.2+(1304.7-240)+(-10.68246+(-3.326985--0.612))+0-0-0</f>
        <v>5240.502555</v>
      </c>
      <c r="T346" s="3">
        <f>4105.3+(1331-218.4)+(-4.187406+(-1.35762--0.222768))+0-0-0</f>
        <v>5212.5777419999995</v>
      </c>
      <c r="U346" s="3">
        <f>4083.5+(1214.1-202.1)+(-12.49551+(-3.715146--0.618426))+0-0-0</f>
        <v>5079.9077699999998</v>
      </c>
      <c r="V346" s="3">
        <f>4085.8+(1107.9-196.7)+(0+(0-0))+0-0-0</f>
        <v>4997</v>
      </c>
      <c r="W346" s="3">
        <f>4270.8+(1035.6-204.9)+(-4.356216+(-1.056312--0.208998))+0-0-0</f>
        <v>5096.2964700000002</v>
      </c>
      <c r="X346" s="3">
        <f>4510.2+(1310.4-245.5)+(4.600404+(1.336608-0.25041))+0-0-0</f>
        <v>5580.7866020000001</v>
      </c>
      <c r="Y346" s="3">
        <f>4511.9+(1324-251.2)+(-6.903207+(-2.02572--0.384336))+0-0-0</f>
        <v>5576.155409</v>
      </c>
      <c r="Z346" s="3">
        <f>4408.4+(1310.8-253)+(-8.993136+(-2.674032--0.51612))+0-0-0</f>
        <v>5455.0489520000001</v>
      </c>
      <c r="AA346" s="3">
        <f>4251.8+(1238-221.4)+(-2.168418+(-0.63138--0.112914))+0-0-0</f>
        <v>5265.7131160000008</v>
      </c>
      <c r="AB346" s="3">
        <f>4181.7+(1137.6-293.1)+(-4.265334+(-1.160352--0.298962))+0-0-0</f>
        <v>5021.0732760000001</v>
      </c>
      <c r="AC346" s="3">
        <f>3931.1+(990-228.2)+(-2.004861+(-0.5049--0.116382))+0-0-0</f>
        <v>4690.5066209999995</v>
      </c>
      <c r="AD346" s="2">
        <v>5563.7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3557.9+(931.6-216.5)+(-3.629058+(-0.950232--0.22083))+0-0-0</f>
        <v>4268.6415399999996</v>
      </c>
      <c r="G347" s="3">
        <f>3372.8+(729.8-205.2)+(-1.720128+(-0.372198--0.104652))+0-0-0</f>
        <v>3895.4123260000001</v>
      </c>
      <c r="H347" s="3">
        <f>3411.9+(516.5-234.2)+(-3.480138+(-0.52683--0.238884))+0-0-0</f>
        <v>3690.4319160000005</v>
      </c>
      <c r="I347" s="3">
        <f>3407.2+(448.1-265.6)+(1.737672+(0.228531-0.135456))+0-0-0</f>
        <v>3591.5307469999998</v>
      </c>
      <c r="J347" s="3">
        <f>3418.4+(438.9-313.4)+(-6.973536+(-0.895356--0.639336))+0-0-0</f>
        <v>3536.6704440000003</v>
      </c>
      <c r="K347" s="3">
        <f>3492.4+(393.3-355.3)+(1.781124+(0.200583-0.181203))+0-0-0</f>
        <v>3532.2005039999999</v>
      </c>
      <c r="L347" s="3">
        <f>3606.1+(329.1-426.6)+(-11.034666+(-1.007046--1.305396))+0-0-0</f>
        <v>3497.8636839999999</v>
      </c>
      <c r="M347" s="3">
        <f>3695+(288.7-481.8)+(-5.65335+(-0.441711--0.737154))+0-0-0</f>
        <v>3496.542093</v>
      </c>
      <c r="N347" s="3">
        <f>3824.5+(373.7-392.4)+(-1.950495+(-0.190587--0.200124))+0-0-0</f>
        <v>3803.859042</v>
      </c>
      <c r="O347" s="3">
        <f>3918.7+(580.7-330.1)+(-1.998537+(-0.296157--0.168351))+0-0-0</f>
        <v>4167.1736570000003</v>
      </c>
      <c r="P347" s="3">
        <f>3950.4+(823.2-283.4)+(-2.014704+(-0.419832--0.144534))+0-0-0</f>
        <v>4487.9099980000001</v>
      </c>
      <c r="Q347" s="3">
        <f>4051.4+(920-291)+(0+(0-0))+0-0-0</f>
        <v>4680.3999999999996</v>
      </c>
      <c r="R347" s="3">
        <f>4026.8+(943.7-368.9)+(-6.161004+(-1.443861--0.564417))+0-0-0</f>
        <v>4594.5595520000006</v>
      </c>
      <c r="S347" s="3">
        <f>4024+(802-316.7)+(4.10448+(0.81804-0.323034))+0-0-0</f>
        <v>4513.8994860000003</v>
      </c>
      <c r="T347" s="3">
        <f>4015.3+(711.8-281.8)+(0+(0-0))+0-0-0</f>
        <v>4445.3</v>
      </c>
      <c r="U347" s="3">
        <f>3999.9+(628-264.8)+(-6.119847+(-0.96084--0.405144))+0-0-0</f>
        <v>4356.4244570000001</v>
      </c>
      <c r="V347" s="3">
        <f>4031.3+(604.8-259.1)+(4.111926+(0.616896-0.264282))+0-0-0</f>
        <v>4381.4645399999999</v>
      </c>
      <c r="W347" s="3">
        <f>4173.1+(784.4-439.5)+(2.128281+(0.400044-0.224145))+0-0-0</f>
        <v>4520.3041800000001</v>
      </c>
      <c r="X347" s="3">
        <f>4402.7+(1322.3-784)+(0+(0-0))+0-0-0</f>
        <v>4941</v>
      </c>
      <c r="Y347" s="3">
        <f>4425.8+(1264.4-634.3)+(-2.257158+(-0.644844--0.323493))+0-0-0</f>
        <v>5053.3214910000006</v>
      </c>
      <c r="Z347" s="3">
        <f>4372.3+(1203.8-527.3)+(-2.229873+(-0.613938--0.268923))+0-0-0</f>
        <v>5046.2251120000001</v>
      </c>
      <c r="AA347" s="3">
        <f>4381+(1013.7-409.8)+(-2.23431+(-0.516987--0.208998))+0-0-0</f>
        <v>4982.3577009999999</v>
      </c>
      <c r="AB347" s="3">
        <f>4338.1+(766.3-307.9)+(-4.424862+(-0.781626--0.314058))+0-0-0</f>
        <v>4791.6075700000001</v>
      </c>
      <c r="AC347" s="3">
        <f>4148.7+(580.3-290.4)+(2.115837+(0.295953-0.148104))+0-0-0</f>
        <v>4440.8636859999997</v>
      </c>
      <c r="AD347" s="2">
        <v>5048.8000000000011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4078.1+(322.1-419.6)+(-10.399155+(-0.821355--1.06998))+0-0-0</f>
        <v>3970.44947</v>
      </c>
      <c r="G348" s="3">
        <f>3926.7+(188-538.7)+(4.005234+(0.19176-0.549474))+0-0-0</f>
        <v>3579.64752</v>
      </c>
      <c r="H348" s="3">
        <f>3912+(149.7-644.1)+(-7.98048+(-0.305388--1.313964))+0-0-0</f>
        <v>3410.6280959999999</v>
      </c>
      <c r="I348" s="3">
        <f>3790+(177.4-638.9)+(-3.8658+(-0.180948--0.651678))+0-0-0</f>
        <v>3325.10493</v>
      </c>
      <c r="J348" s="3">
        <f>3748.7+(238.6-647)+(1.911837+(0.121686-0.32997))+0-0-0</f>
        <v>3342.0035529999996</v>
      </c>
      <c r="K348" s="3">
        <f>3858.3+(223-642.8)+(0+(0-0))+0-0-0</f>
        <v>3438.5</v>
      </c>
      <c r="L348" s="3">
        <f>4083.5+(332.1-643.9)+(-2.082585+(-0.169371--0.328389))+0-0-0</f>
        <v>3769.776433</v>
      </c>
      <c r="M348" s="3">
        <f>4166.1+(483.7-354.5)+(4.249422+(0.493374-0.36159))+0-0-0</f>
        <v>4299.6812060000002</v>
      </c>
      <c r="N348" s="3">
        <f>4312.3+(934.2-268.8)+(0+(0-0))+0-0-0</f>
        <v>4977.7000000000007</v>
      </c>
      <c r="O348" s="3">
        <f>4334.4+(1360.3-247.7)+(6.631632+(2.081259-0.378981))+0-0-0</f>
        <v>5455.3339100000003</v>
      </c>
      <c r="P348" s="3">
        <f>4380.9+(1670.3-267.6)+(2.234259+(0.851853-0.136476))+0-0-0</f>
        <v>5786.5496359999997</v>
      </c>
      <c r="Q348" s="3">
        <f>4627.1+(1545.6-252.2)+(0+(0-0))+0-0-0</f>
        <v>5920.5</v>
      </c>
      <c r="R348" s="3">
        <f>4689+(1353.7-229.3)+(-2.39139+(-0.690387--0.116943))+0-0-0</f>
        <v>5810.4351659999993</v>
      </c>
      <c r="S348" s="3">
        <f>4861.6+(1014.9-267.9)+(-4.958832+(-1.035198--0.273258))+0-0-0</f>
        <v>5602.8792280000007</v>
      </c>
      <c r="T348" s="3">
        <f>5028.9+(939.5-307.7)+(-5.129478+(-0.95829--0.313854))+0-0-0</f>
        <v>5654.9260859999995</v>
      </c>
      <c r="U348" s="3">
        <f>5084.6+(887.1-343.7)+(-2.593146+(-0.452421--0.175287))+0-0-0</f>
        <v>5625.1297199999999</v>
      </c>
      <c r="V348" s="3">
        <f>5167.4+(752.1-328.2)+(-2.635374+(-0.383571--0.167382))+0-0-0</f>
        <v>5588.4484369999991</v>
      </c>
      <c r="W348" s="3">
        <f>5301.3+(749.4-402.6)+(-2.703663+(-0.382194--0.205326))+0-0-0</f>
        <v>5645.2194690000006</v>
      </c>
      <c r="X348" s="3">
        <f>5537.6+(854.3-497.4)+(5.648352+(0.871386-0.507348))+0-0-0</f>
        <v>5900.5123899999999</v>
      </c>
      <c r="Y348" s="3">
        <f>5498.2+(1001.9-632)+(-14.02041+(-2.554845--1.6116))+0-0-0</f>
        <v>5853.1363449999999</v>
      </c>
      <c r="Z348" s="3">
        <f>5330.6+(998.4-614.2)+(-5.437212+(-1.018368--0.626484))+0-0-0</f>
        <v>5708.9709039999998</v>
      </c>
      <c r="AA348" s="3">
        <f>5250.3+(876-614.6)+(-13.388265+(-2.2338--1.56723))+0-0-0</f>
        <v>5497.6451649999999</v>
      </c>
      <c r="AB348" s="3">
        <f>4932.3+(827.9-591.4)+(-12.577365+(-2.111145--1.50807))+0-0-0</f>
        <v>5155.6195600000001</v>
      </c>
      <c r="AC348" s="3">
        <f>4519+(866.8-653)+(-2.30469+(-0.442068--0.33303))+0-0-0</f>
        <v>4730.3862719999997</v>
      </c>
      <c r="AD348" s="2">
        <v>5874.7000000000007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4376.9+(397.3-465.2)+(-8.928876+(-0.810492--0.949008))+0-0-0</f>
        <v>4300.20964</v>
      </c>
      <c r="G349" s="3">
        <f>4355.7+(227.7-641.2)+(-4.442814+(-0.232254--0.654024))+0-0-0</f>
        <v>3938.1789559999997</v>
      </c>
      <c r="H349" s="3">
        <f>4381.6+(178.1-765.8)+(-6.703848+(-0.272493--1.171674))+0-0-0</f>
        <v>3788.0953330000007</v>
      </c>
      <c r="I349" s="3">
        <f>4519.1+(120.1-929.5)+(-9.218964+(-0.245004--1.89618))+0-0-0</f>
        <v>3702.1322120000004</v>
      </c>
      <c r="J349" s="3">
        <f>4585.6+(117.1-1014.1)+(2.338656+(0.059721-0.517191))+0-0-0</f>
        <v>3690.4811860000004</v>
      </c>
      <c r="K349" s="3">
        <f>4731.4+(103-1067.7)+(7.239042+(0.15759-1.633581))+0-0-0</f>
        <v>3772.4630509999997</v>
      </c>
      <c r="L349" s="3">
        <f>5079.9+(86.1-1200.7)+(7.772247+(0.131733-1.837071))+0-0-0</f>
        <v>3971.3669089999994</v>
      </c>
      <c r="M349" s="3">
        <f>5278.1+(208.3-1063)+(5.383662+(0.212466-1.08426))+0-0-0</f>
        <v>4427.9118680000001</v>
      </c>
      <c r="N349" s="3">
        <f>5390.2+(338-523)+(0+(0-0))+0-0-0</f>
        <v>5205.2</v>
      </c>
      <c r="O349" s="3">
        <f>5240.9+(656.6-358.8)+(-8.018577+(-1.004598--0.548964))+0-0-0</f>
        <v>5530.2257890000001</v>
      </c>
      <c r="P349" s="3">
        <f>5549.8+(630.2-383.8)+(0+(0-0))+0-0-0</f>
        <v>5796.2</v>
      </c>
      <c r="Q349" s="3">
        <f>5538.6+(687.1-435.9)+(-14.12343+(-1.752105--1.111545))+0-0-0</f>
        <v>5775.0360099999998</v>
      </c>
      <c r="R349" s="3">
        <f>5475.3+(684-481.6)+(-5.584806+(-0.69768--0.491232))+0-0-0</f>
        <v>5671.9087460000001</v>
      </c>
      <c r="S349" s="3">
        <f>5439.9+(526.6-494.6)+(5.548698+(0.537132-0.504492))+0-0-0</f>
        <v>5477.4813379999996</v>
      </c>
      <c r="T349" s="3">
        <f>5473.8+(524.4-447.9)+(-11.166552+(-1.069776--0.913716))+0-0-0</f>
        <v>5538.9773880000002</v>
      </c>
      <c r="U349" s="3">
        <f>5501.9+(439.5-454.9)+(0+(0-0))+0-0-0</f>
        <v>5486.5</v>
      </c>
      <c r="V349" s="3">
        <f>5498.6+(429.4-493.2)+(-2.804286+(-0.218994--0.251532))+0-0-0</f>
        <v>5432.0282520000001</v>
      </c>
      <c r="W349" s="3">
        <f>5616.7+(396-492.9)+(0+(0-0))+0-0-0</f>
        <v>5519.8</v>
      </c>
      <c r="X349" s="3">
        <f>5806+(811.6-630.8)+(0+(0-0))+0-0-0</f>
        <v>5986.8</v>
      </c>
      <c r="Y349" s="3">
        <f>5806.8+(985.2-807.7)+(-2.961468+(-0.502452--0.411927))+0-0-0</f>
        <v>5981.2480070000001</v>
      </c>
      <c r="Z349" s="3">
        <f>5729.2+(940.7-801.2)+(-14.60946+(-2.398785--2.04306))+0-0-0</f>
        <v>5853.7348149999998</v>
      </c>
      <c r="AA349" s="3">
        <f>5685.8+(819.9-884.7)+(0+(0-0))+0-0-0</f>
        <v>5621</v>
      </c>
      <c r="AB349" s="3">
        <f>5457.2+(700.4-894.2)+(-13.91586+(-1.78602--2.28021))+0-0-0</f>
        <v>5249.9783299999999</v>
      </c>
      <c r="AC349" s="3">
        <f>4827.6+(773.2-739.1)+(-12.31038+(-1.97166--1.884705))+0-0-0</f>
        <v>4849.3026650000011</v>
      </c>
      <c r="AD349" s="2">
        <v>5885.2000000000007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4599.6+(289.6-683.8)+(-4.691592+(-0.295392--0.697476))+0-0-0</f>
        <v>4201.1104920000007</v>
      </c>
      <c r="G350" s="3">
        <f>4570.9+(168.8-882.1)+(2.331159+(0.086088-0.449871))+0-0-0</f>
        <v>3859.5673759999995</v>
      </c>
      <c r="H350" s="3">
        <f>4485.6+(139-937.5)+(0+(0-0))+0-0-0</f>
        <v>3687.1000000000004</v>
      </c>
      <c r="I350" s="3">
        <f>4447.6+(163.9-974.9)+(-6.804828+(-0.250767--1.491597))+0-0-0</f>
        <v>3631.0360020000003</v>
      </c>
      <c r="J350" s="3">
        <f>4471.3+(76-947.2)+(4.560726+(0.07752-0.966144))+0-0-0</f>
        <v>3603.7721020000004</v>
      </c>
      <c r="K350" s="3">
        <f>4507.5+(55-879.2)+(-4.59765+(-0.0561--0.896784))+0-0-0</f>
        <v>3679.5430340000003</v>
      </c>
      <c r="L350" s="3">
        <f>4532.9+(161.8-794.1)+(-4.623558+(-0.165036--0.809982))+0-0-0</f>
        <v>3896.6213879999996</v>
      </c>
      <c r="M350" s="3">
        <f>4642.3+(450.7-717.5)+(4.735146+(0.459714-0.73185))+0-0-0</f>
        <v>4379.9630100000004</v>
      </c>
      <c r="N350" s="3">
        <f>5231.2+(464.8-717.8)+(0+(0-0))+0-0-0</f>
        <v>4978.2</v>
      </c>
      <c r="O350" s="3">
        <f>5323.5+(613.2-566.4)+(0+(0-0))+0-0-0</f>
        <v>5370.3</v>
      </c>
      <c r="P350" s="3">
        <f>5329.7+(682.3-437.8)+(2.718147+(0.347973-0.223278))+0-0-0</f>
        <v>5577.0428419999998</v>
      </c>
      <c r="Q350" s="3">
        <f>5316.2+(743.7-353.8)+(8.133786+(1.137861-0.541314))+0-0-0</f>
        <v>5714.8303329999999</v>
      </c>
      <c r="R350" s="3">
        <f>5258.7+(745-297.5)+(-10.727748+(-1.5198--0.6069))+0-0-0</f>
        <v>5694.5593520000002</v>
      </c>
      <c r="S350" s="3">
        <f>5211.5+(707.5-311.1)+(-5.31573+(-0.72165--0.317322))+0-0-0</f>
        <v>5602.1799419999998</v>
      </c>
      <c r="T350" s="3">
        <f>5202.1+(792.7-286.3)+(0+(0-0))+0-0-0</f>
        <v>5708.5</v>
      </c>
      <c r="U350" s="3">
        <f>5213.7+(760.2-297.8)+(2.658987+(0.387702-0.151878))+0-0-0</f>
        <v>5678.9948109999996</v>
      </c>
      <c r="V350" s="3">
        <f>5218.4+(783.7-347.7)+(-2.661384+(-0.399687--0.177327))+0-0-0</f>
        <v>5651.5162559999999</v>
      </c>
      <c r="W350" s="3">
        <f>5358+(734.1-459.6)+(-2.73258+(-0.374391--0.234396))+0-0-0</f>
        <v>5629.6274249999997</v>
      </c>
      <c r="X350" s="3">
        <f>5552.5+(952.7-557.1)+(-5.66355+(-0.971754--0.568242))+0-0-0</f>
        <v>5942.0329380000003</v>
      </c>
      <c r="Y350" s="3">
        <f>5580.5+(1057.6-709.9)+(-8.538165+(-1.618128--1.086147))+0-0-0</f>
        <v>5919.1298539999998</v>
      </c>
      <c r="Z350" s="3">
        <f>5433.5+(1100.9-732.4)+(0+(0-0))+0-0-0</f>
        <v>5802</v>
      </c>
      <c r="AA350" s="3">
        <f>5371.8+(1005.9-809.3)+(0+(0-0))+0-0-0</f>
        <v>5568.4000000000005</v>
      </c>
      <c r="AB350" s="3">
        <f>5289.8+(958.2-938.8)+(-13.48899+(-2.44341--2.39394))+0-0-0</f>
        <v>5295.661540000001</v>
      </c>
      <c r="AC350" s="3">
        <f>5061.2+(892.1-969.8)+(-20.649696+(-3.639768--3.956784))+0-0-0</f>
        <v>4963.1673199999996</v>
      </c>
      <c r="AD350" s="2">
        <v>5962.6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4376+(723.8-719.3)+(-8.92704+(-1.476552--1.467372))+0-0-0</f>
        <v>4371.5637800000004</v>
      </c>
      <c r="G351" s="3">
        <f>4147.8+(558.4-701.8)+(-6.346134+(-0.854352--1.073754))+0-0-0</f>
        <v>3998.2732679999999</v>
      </c>
      <c r="H351" s="3">
        <f>4019.8+(525-727.3)+(-8.200392+(-1.071--1.483692))+0-0-0</f>
        <v>3809.7123000000001</v>
      </c>
      <c r="I351" s="3">
        <f>4027+(494.2-784.1)+(-4.10754+(-0.504084--0.799782))+0-0-0</f>
        <v>3733.2881579999998</v>
      </c>
      <c r="J351" s="3">
        <f>4034.9+(509.3-845.5)+(8.231196+(1.038972-1.72482))+0-0-0</f>
        <v>3706.2453480000004</v>
      </c>
      <c r="K351" s="3">
        <f>4035.9+(425.8-646.3)+(0+(0-0))+0-0-0</f>
        <v>3815.4</v>
      </c>
      <c r="L351" s="3">
        <f>4062.8+(580-591.7)+(6.216084+(0.8874-0.905301))+0-0-0</f>
        <v>4057.2981830000003</v>
      </c>
      <c r="M351" s="3">
        <f>4276+(917.7-676.8)+(2.18076+(0.468027-0.345168))+0-0-0</f>
        <v>4519.2036189999999</v>
      </c>
      <c r="N351" s="3">
        <f>4565.6+(1149.3-604.7)+(2.328456+(0.586143-0.308397))+0-0-0</f>
        <v>5112.8062020000007</v>
      </c>
      <c r="O351" s="3">
        <f>4599.3+(1547.1-600.9)+(4.691286+(1.578042-0.612918))+0-0-0</f>
        <v>5551.1564099999996</v>
      </c>
      <c r="P351" s="3">
        <f>4659+(1619.9-481)+(0+(0-0))+0-0-0</f>
        <v>5797.9</v>
      </c>
      <c r="Q351" s="3">
        <f>4620+(1678-410.5)+(-7.0686+(-2.56734--0.628065))+0-0-0</f>
        <v>5878.4921249999998</v>
      </c>
      <c r="R351" s="3">
        <f>4585.1+(1639.5-329.2)+(-14.030406+(-5.01687--1.007352))+0-0-0</f>
        <v>5877.3600760000008</v>
      </c>
      <c r="S351" s="3">
        <f>4603.4+(1423.7-301.6)+(4.695468+(1.452174-0.307632))+0-0-0</f>
        <v>5731.3400099999999</v>
      </c>
      <c r="T351" s="3">
        <f>4608.1+(1639.7-416.5)+(0+(0-0))+0-0-0</f>
        <v>5831.3</v>
      </c>
      <c r="U351" s="3">
        <f>4604.9+(1669.4-434.9)+(-2.348499+(-0.851394--0.221799))+0-0-0</f>
        <v>5836.4219059999996</v>
      </c>
      <c r="V351" s="3">
        <f>4610.3+(1651-461.4)+(-2.351253+(-0.84201--0.235314))+0-0-0</f>
        <v>5796.942051</v>
      </c>
      <c r="W351" s="3">
        <f>4687.8+(1591.8-428.9)+(-2.390778+(-0.811818--0.218739))+0-0-0</f>
        <v>5847.7161430000006</v>
      </c>
      <c r="X351" s="3">
        <f>4921.3+(1678.8-505.7)+(-2.509863+(-0.856188--0.257907))+0-0-0</f>
        <v>6091.2918559999998</v>
      </c>
      <c r="Y351" s="3">
        <f>4943.5+(1670.1-600.7)+(-2.521185+(-0.851751--0.306357))+0-0-0</f>
        <v>6009.8334209999994</v>
      </c>
      <c r="Z351" s="3">
        <f>4883.5+(1528.3-545.9)+(-7.471755+(-2.338299--0.835227))+0-0-0</f>
        <v>5856.9251729999996</v>
      </c>
      <c r="AA351" s="3">
        <f>4837.9+(1323.2-550.3)+(-9.869316+(-2.699328--1.122612))+0-0-0</f>
        <v>5599.3539679999994</v>
      </c>
      <c r="AB351" s="3">
        <f>4723+(1053.6-507.6)+(-12.04365+(-2.68668--1.29438))+0-0-0</f>
        <v>5255.56405</v>
      </c>
      <c r="AC351" s="3">
        <f>4528.4+(915.9-572.5)+(-6.928452+(-1.401327--0.875925))+0-0-0</f>
        <v>4864.346145999999</v>
      </c>
      <c r="AD351" s="2">
        <v>6117.4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4087+(707.8-645.1)+(-4.16874+(-0.721956--0.658002))+0-0-0</f>
        <v>4145.4673059999996</v>
      </c>
      <c r="G352" s="3">
        <f>3835.6+(487.8-559)+(-7.824624+(-0.995112--1.14036))+0-0-0</f>
        <v>3756.720624</v>
      </c>
      <c r="H352" s="3">
        <f>3730.7+(380.1-588.5)+(5.707971+(0.581553-0.900405))+0-0-0</f>
        <v>3527.6891189999997</v>
      </c>
      <c r="I352" s="3">
        <f>3571.9+(456.9-550.8)+(1.821669+(0.233019-0.280908))+0-0-0</f>
        <v>3479.77378</v>
      </c>
      <c r="J352" s="3">
        <f>3438.1+(489.6-457.6)+(7.013724+(0.998784-0.933504))+0-0-0</f>
        <v>3477.1790040000001</v>
      </c>
      <c r="K352" s="3">
        <f>3425.6+(505.6-395)+(-8.73528+(-1.28928--1.00725))+0-0-0</f>
        <v>3527.1826899999996</v>
      </c>
      <c r="L352" s="3">
        <f>3649.5+(623.3-325.6)+(0+(0-0))+0-0-0</f>
        <v>3947.2</v>
      </c>
      <c r="M352" s="3">
        <f>4042.7+(819-425.3)+(0+(0-0))+0-0-0</f>
        <v>4436.3999999999996</v>
      </c>
      <c r="N352" s="3">
        <f>4394.2+(1194.7-556.5)+(6.723126+(1.827891-0.851445))+0-0-0</f>
        <v>5040.0995720000001</v>
      </c>
      <c r="O352" s="3">
        <f>4405.8+(1687.1-653.5)+(6.740874+(2.581263-0.999855))+0-0-0</f>
        <v>5447.7222819999997</v>
      </c>
      <c r="P352" s="3">
        <f>4498.2+(1854.7-603.7)+(2.294082+(0.945897-0.307887))+0-0-0</f>
        <v>5752.1320919999998</v>
      </c>
      <c r="Q352" s="3">
        <f>4596.2+(1869.4-558)+(-7.032186+(-2.860182--0.85374))+0-0-0</f>
        <v>5898.5613720000001</v>
      </c>
      <c r="R352" s="3">
        <f>4573.8+(1765.7-503.5)+(-6.997914+(-2.701521--0.770355))+0-0-0</f>
        <v>5827.0709200000001</v>
      </c>
      <c r="S352" s="3">
        <f>4596.6+(1515.5-458.5)+(-7.032798+(-2.318715--0.701505))+0-0-0</f>
        <v>5644.9499920000007</v>
      </c>
      <c r="T352" s="3">
        <f>4502.3+(1588.4-385.1)+(-2.296173+(-0.810084--0.196401))+0-0-0</f>
        <v>5702.6901440000001</v>
      </c>
      <c r="U352" s="3">
        <f>4487.2+(1488.4-366.5)+(-4.576944+(-1.518168--0.37383))+0-0-0</f>
        <v>5603.3787179999999</v>
      </c>
      <c r="V352" s="3">
        <f>4593.8+(1301.3-360.4)+(0+(0-0))+0-0-0</f>
        <v>5534.7</v>
      </c>
      <c r="W352" s="3">
        <f>4810.6+(1049.8-326.9)+(0+(0-0))+0-0-0</f>
        <v>5533.5</v>
      </c>
      <c r="X352" s="3">
        <f>4983.7+(1369-387.6)+(-5.083374+(-1.39638--0.395352))+0-0-0</f>
        <v>5959.015597999999</v>
      </c>
      <c r="Y352" s="3">
        <f>4986.8+(1523.5-540)+(-17.802876+(-5.438895--1.9278))+0-0-0</f>
        <v>5948.9860290000006</v>
      </c>
      <c r="Z352" s="3">
        <f>4961.8+(1379.2-515.7)+(0+(0-0))+0-0-0</f>
        <v>5825.3</v>
      </c>
      <c r="AA352" s="3">
        <f>4892.1+(1264-583.3)+(-14.969826+(-3.86784--1.784898))+0-0-0</f>
        <v>5555.7472320000006</v>
      </c>
      <c r="AB352" s="3">
        <f>4724+(1297.1-736.4)+(-19.27392+(-5.292168--3.004512))+0-0-0</f>
        <v>5263.1384239999998</v>
      </c>
      <c r="AC352" s="3">
        <f>4513.2+(1130.9-734.3)+(-9.206928+(-2.307036--1.497972))+0-0-0</f>
        <v>4899.7840080000005</v>
      </c>
      <c r="AD352" s="2">
        <v>6050.2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4347.7+(688.1-654.2)+(-2.217327+(-0.350931--0.333642))+0-0-0</f>
        <v>4379.3653839999997</v>
      </c>
      <c r="G353" s="3">
        <f>4222.4+(356.7-557.2)+(-4.306848+(-0.363834--0.568344))+0-0-0</f>
        <v>4017.7976619999995</v>
      </c>
      <c r="H353" s="3">
        <f>4198+(217.8-576.3)+(2.14098+(0.111078-0.293913))+0-0-0</f>
        <v>3841.4581450000001</v>
      </c>
      <c r="I353" s="3">
        <f>4068.9+(272.1-585)+(2.075139+(0.138771-0.29835))+0-0-0</f>
        <v>3757.9155599999999</v>
      </c>
      <c r="J353" s="3">
        <f>4076+(276.4-614.1)+(6.23628+(0.422892-0.939573))+0-0-0</f>
        <v>3744.0195990000002</v>
      </c>
      <c r="K353" s="3">
        <f>4203.6+(379.1-789.2)+(-6.431508+(-0.580023--1.207476))+0-0-0</f>
        <v>3787.6959450000004</v>
      </c>
      <c r="L353" s="3">
        <f>4353.4+(421.3-905.1)+(-2.220234+(-0.214863--0.461601))+0-0-0</f>
        <v>3867.6265039999994</v>
      </c>
      <c r="M353" s="3">
        <f>4463+(511.8-806.2)+(4.55226+(0.522036-0.822324))+0-0-0</f>
        <v>4172.8519720000004</v>
      </c>
      <c r="N353" s="3">
        <f>4588.3+(744.5-632.7)+(2.340033+(0.379695-0.322677))+0-0-0</f>
        <v>4702.4970510000003</v>
      </c>
      <c r="O353" s="3">
        <f>4602.4+(1112.9-550.5)+(0+(0-0))+0-0-0</f>
        <v>5164.7999999999993</v>
      </c>
      <c r="P353" s="3">
        <f>4671.6+(1399.3-585.2)+(0+(0-0))+0-0-0</f>
        <v>5485.7000000000007</v>
      </c>
      <c r="Q353" s="3">
        <f>4681.7+(1524.3-545.1)+(-2.387667+(-0.777393--0.278001))+0-0-0</f>
        <v>5658.012941</v>
      </c>
      <c r="R353" s="3">
        <f>4663+(1448.7-463.6)+(-9.51252+(-2.955348--0.945744))+0-0-0</f>
        <v>5636.5778760000003</v>
      </c>
      <c r="S353" s="3">
        <f>4773.7+(1117.1-522.5)+(-2.434587+(-0.569721--0.266475))+0-0-0</f>
        <v>5365.5621669999991</v>
      </c>
      <c r="T353" s="3">
        <f>4808.3+(999.6-529.6)+(2.452233+(0.509796-0.270096))+0-0-0</f>
        <v>5280.9919330000002</v>
      </c>
      <c r="U353" s="3">
        <f>4809.9+(945.9-633.2)+(4.906098+(0.964818-0.645864))+0-0-0</f>
        <v>5127.8250519999992</v>
      </c>
      <c r="V353" s="3">
        <f>4800.9+(905.2-605.2)+(-7.345377+(-1.384956--0.925956))+0-0-0</f>
        <v>5093.0956229999993</v>
      </c>
      <c r="W353" s="3">
        <f>4887.9+(800.4-502.4)+(9.971316+(1.632816-1.024896))+0-0-0</f>
        <v>5196.4792359999992</v>
      </c>
      <c r="X353" s="3">
        <f>5091.8+(1014.9-515.3)+(-5.193636+(-1.035198--0.525606))+0-0-0</f>
        <v>5585.6967720000002</v>
      </c>
      <c r="Y353" s="3">
        <f>4974.5+(1250.5-606.9)+(-10.14798+(-2.55102--1.238076))+0-0-0</f>
        <v>5606.6390760000004</v>
      </c>
      <c r="Z353" s="3">
        <f>4645.3+(1410-538.4)+(-9.476412+(-2.8764--1.098336))+0-0-0</f>
        <v>5505.6455240000005</v>
      </c>
      <c r="AA353" s="3">
        <f>4453.1+(1404.7-533.1)+(6.813243+(2.149191-0.815643))+0-0-0</f>
        <v>5332.8467910000008</v>
      </c>
      <c r="AB353" s="3">
        <f>4134.2+(1552.9-539.2)+(-10.54221+(-3.959895--1.37496))+0-0-0</f>
        <v>5134.7728549999993</v>
      </c>
      <c r="AC353" s="3">
        <f>4088.4+(1249.1-508.5)+(0+(0-0))+0-0-0</f>
        <v>4829</v>
      </c>
      <c r="AD353" s="2">
        <v>5704.0999999999995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3939+(786.5-407)+(-4.01778+(-0.80223--0.41514))+0-0-0</f>
        <v>4314.0951299999997</v>
      </c>
      <c r="G354" s="3">
        <f>3910.3+(406.9-356.1)+(0+(0-0))+0-0-0</f>
        <v>3961.1000000000004</v>
      </c>
      <c r="H354" s="3">
        <f>3877.7+(278.4-451.2)+(0+(0-0))+0-0-0</f>
        <v>3704.8999999999996</v>
      </c>
      <c r="I354" s="3">
        <f>3914.9+(298.4-579.5)+(-9.982995+(-0.76092--1.477725))+0-0-0</f>
        <v>3624.5338100000004</v>
      </c>
      <c r="J354" s="3">
        <f>3865.2+(275.4-539.2)+(-1.971252+(-0.140454--0.274992))+0-0-0</f>
        <v>3599.5632859999996</v>
      </c>
      <c r="K354" s="3">
        <f>3857+(284.2-548.6)+(0+(0-0))+0-0-0</f>
        <v>3592.6</v>
      </c>
      <c r="L354" s="3">
        <f>3855.7+(344.3-693.6)+(-3.932814+(-0.351186--0.707472))+0-0-0</f>
        <v>3502.8234719999996</v>
      </c>
      <c r="M354" s="3">
        <f>3875.3+(420.1-783.9)+(1.976403+(0.214251-0.399789))+0-0-0</f>
        <v>3513.2908649999999</v>
      </c>
      <c r="N354" s="3">
        <f>3930.5+(493.9-631.3)+(-6.013665+(-0.755667--0.965889))+0-0-0</f>
        <v>3787.2965570000001</v>
      </c>
      <c r="O354" s="3">
        <f>4112+(569.3-554.1)+(6.29136+(0.871029-0.847773))+0-0-0</f>
        <v>4133.5146159999995</v>
      </c>
      <c r="P354" s="3">
        <f>4473.6+(567.9-527.5)+(0+(0-0))+0-0-0</f>
        <v>4514</v>
      </c>
      <c r="Q354" s="3">
        <f>4392.2+(766-432.3)+(4.480044+(0.78132-0.440946))+0-0-0</f>
        <v>4730.7204179999999</v>
      </c>
      <c r="R354" s="3">
        <f>4368.3+(843.2-416.6)+(-2.227833+(-0.430032--0.212466))+0-0-0</f>
        <v>4792.4546010000004</v>
      </c>
      <c r="S354" s="3">
        <f>4341.6+(788.6-470.2)+(-8.856864+(-1.608744--0.959208))+0-0-0</f>
        <v>4650.4935999999998</v>
      </c>
      <c r="T354" s="3">
        <f>4299.5+(823.6-549)+(-4.38549+(-0.840072--0.55998))+0-0-0</f>
        <v>4569.4344180000007</v>
      </c>
      <c r="U354" s="3">
        <f>4261.9+(784.2-548)+(-2.173569+(-0.399942--0.27948))+0-0-0</f>
        <v>4495.8059689999991</v>
      </c>
      <c r="V354" s="3">
        <f>4248.5+(798.2-558.2)+(-4.33347+(-0.814164--0.569364))+0-0-0</f>
        <v>4483.92173</v>
      </c>
      <c r="W354" s="3">
        <f>4490+(554-440.1)+(-6.8697+(-0.84762--0.673353))+0-0-0</f>
        <v>4596.856033</v>
      </c>
      <c r="X354" s="3">
        <f>4656.1+(913-478.2)+(7.123833+(1.39689-0.731646))+0-0-0</f>
        <v>5098.6890770000009</v>
      </c>
      <c r="Y354" s="3">
        <f>4645.6+(1220.2-620.1)+(-4.738512+(-1.244604--0.632502))+0-0-0</f>
        <v>5240.3493860000008</v>
      </c>
      <c r="Z354" s="3">
        <f>4596.8+(1156.4-517.6)+(-9.377472+(-2.359056--1.055904))+0-0-0</f>
        <v>5224.9193760000007</v>
      </c>
      <c r="AA354" s="3">
        <f>4483.2+(1128.3-467.2)+(-9.145728+(-2.301732--0.953088))+0-0-0</f>
        <v>5133.8056279999992</v>
      </c>
      <c r="AB354" s="3">
        <f>4377.4+(980.7-418.8)+(-13.394844+(-3.000942--1.281528))+0-0-0</f>
        <v>4924.1857419999997</v>
      </c>
      <c r="AC354" s="3">
        <f>4332.6+(788-515.4)+(-8.838504+(-1.60752--1.051416))+0-0-0</f>
        <v>4595.8053920000011</v>
      </c>
      <c r="AD354" s="2">
        <v>5213.8999999999996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4345.7+(481.8-721.6)+(-6.648921+(-0.737154--1.104048))+0-0-0</f>
        <v>4099.6179729999994</v>
      </c>
      <c r="G355" s="3">
        <f>4291.7+(592.5-1128.7)+(0+(0-0))+0-0-0</f>
        <v>3755.5</v>
      </c>
      <c r="H355" s="3">
        <f>4148.3+(595.1-1135.3)+(-6.346899+(-0.910503--1.737009))+0-0-0</f>
        <v>3602.5796070000006</v>
      </c>
      <c r="I355" s="3">
        <f>4177.9+(568.1-1210.3)+(2.130729+(0.289731-0.617253))+0-0-0</f>
        <v>3537.5032069999997</v>
      </c>
      <c r="J355" s="3">
        <f>4225.7+(532.3-1214.7)+(10.775535+(1.357365-3.097485))+0-0-0</f>
        <v>3552.3354149999996</v>
      </c>
      <c r="K355" s="3">
        <f>4274.3+(554.2-1198.6)+(6.539679+(0.847926-1.833858))+0-0-0</f>
        <v>3635.4537470000005</v>
      </c>
      <c r="L355" s="3">
        <f>4301.3+(820.6-1273.5)+(-2.193663+(-0.418506--0.649485))+0-0-0</f>
        <v>3846.437316</v>
      </c>
      <c r="M355" s="3">
        <f>4492.2+(956.9-1070.4)+(4.582044+(0.976038-1.091808))+0-0-0</f>
        <v>4383.1662740000002</v>
      </c>
      <c r="N355" s="3">
        <f>4479.4+(1173-607)+(2.284494+(0.59823-0.30957))+0-0-0</f>
        <v>5047.9731539999993</v>
      </c>
      <c r="O355" s="3">
        <f>4438.5+(1731.7-658.1)+(6.790905+(2.649501-1.006893))+0-0-0</f>
        <v>5520.5335130000003</v>
      </c>
      <c r="P355" s="3">
        <f>4582.7+(1900.4-659.9)+(7.011531+(2.907612-1.009647))+0-0-0</f>
        <v>5832.109496</v>
      </c>
      <c r="Q355" s="3">
        <f>4667.6+(1862.9-581.7)+(-11.90238+(-4.750395--1.483335))+0-0-0</f>
        <v>5933.6305600000005</v>
      </c>
      <c r="R355" s="3">
        <f>4864.8+(1660.1-561.7)+(0+(0-0))+0-0-0</f>
        <v>5963.2</v>
      </c>
      <c r="S355" s="3">
        <f>4828.4+(1575.6-629.9)+(0+(0-0))+0-0-0</f>
        <v>5774.0999999999995</v>
      </c>
      <c r="T355" s="3">
        <f>4772+(1626.9-553.4)+(0+(0-0))+0-0-0</f>
        <v>5845.5</v>
      </c>
      <c r="U355" s="3">
        <f>4839.2+(1579.1-590.5)+(4.935984+(1.610682-0.60231))+0-0-0</f>
        <v>5833.7443559999992</v>
      </c>
      <c r="V355" s="3">
        <f>4959.4+(1428.2-597.5)+(7.587882+(2.185146-0.914175))+0-0-0</f>
        <v>5798.9588529999992</v>
      </c>
      <c r="W355" s="3">
        <f>5060.4+(1424.5-535.9)+(5.161608+(1.45299-0.546618))+0-0-0</f>
        <v>5955.0679799999998</v>
      </c>
      <c r="X355" s="3">
        <f>5193+(1415.7-447.1)+(5.29686+(1.444014-0.456042))+0-0-0</f>
        <v>6167.8848320000006</v>
      </c>
      <c r="Y355" s="3">
        <f>5172.3+(1425.2-513.4)+(0+(0-0))+0-0-0</f>
        <v>6084.1</v>
      </c>
      <c r="Z355" s="3">
        <f>5107.1+(1260.2-460.3)+(0+(0-0))+0-0-0</f>
        <v>5907</v>
      </c>
      <c r="AA355" s="3">
        <f>5071.8+(1101.5-495.5)+(2.586618+(0.561765-0.252705))+0-0-0</f>
        <v>5680.695678</v>
      </c>
      <c r="AB355" s="3">
        <f>4982.8+(874.2-482.4)+(-7.623684+(-1.337526--0.738072))+0-0-0</f>
        <v>5366.3768620000001</v>
      </c>
      <c r="AC355" s="3">
        <f>4640.1+(768.2-477.8)+(7.099353+(1.175346-0.731034))+0-0-0</f>
        <v>4938.0436650000001</v>
      </c>
      <c r="AD355" s="2">
        <v>6160.9000000000005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4443.5+(727.2-799.6)+(-9.06474+(-1.483488--1.631184))+0-0-0</f>
        <v>4362.1829560000006</v>
      </c>
      <c r="G356" s="3">
        <f>4420.6+(707.8-1122)+(-9.018024+(-1.443912--2.28888))+0-0-0</f>
        <v>3998.2269440000005</v>
      </c>
      <c r="H356" s="3">
        <f>4258.6+(602.2-963.3)+(-6.515658+(-0.921366--1.473849))+0-0-0</f>
        <v>3891.5368250000006</v>
      </c>
      <c r="I356" s="3">
        <f>4227.8+(588.7-991.1)+(-4.312356+(-0.600474--1.010922))+0-0-0</f>
        <v>3821.4980920000003</v>
      </c>
      <c r="J356" s="3">
        <f>4222.1+(624.3-1036.4)+(-2.153271+(-0.318393--0.528564))+0-0-0</f>
        <v>3808.0569</v>
      </c>
      <c r="K356" s="3">
        <f>4356.2+(656.5-1125.4)+(-4.443324+(-0.66963--1.147908))+0-0-0</f>
        <v>3883.3349539999999</v>
      </c>
      <c r="L356" s="3">
        <f>4460.2+(742.8-1151.2)+(-4.549404+(-0.757656--1.174224))+0-0-0</f>
        <v>4047.6671639999995</v>
      </c>
      <c r="M356" s="3">
        <f>4521+(915.2-930.4)+(0+(0-0))+0-0-0</f>
        <v>4505.8</v>
      </c>
      <c r="N356" s="3">
        <f>4550.2+(1105.9-617.8)+(11.60301+(2.820045-1.57539))+0-0-0</f>
        <v>5051.1476650000004</v>
      </c>
      <c r="O356" s="3">
        <f>4535.6+(1619.6-651.7)+(0+(0-0))+0-0-0</f>
        <v>5503.5</v>
      </c>
      <c r="P356" s="3">
        <f>4559+(1652.6-464.4)+(0+(0-0))+0-0-0</f>
        <v>5747.2</v>
      </c>
      <c r="Q356" s="3">
        <f>4569+(1683.6-424.2)+(-2.33019+(-0.858636--0.216342))+0-0-0</f>
        <v>5825.4275159999997</v>
      </c>
      <c r="R356" s="3">
        <f>4563.3+(1467.7-310.3)+(-13.963698+(-4.491162--0.949518))+0-0-0</f>
        <v>5703.1946580000003</v>
      </c>
      <c r="S356" s="3">
        <f>4594.5+(1217.8-298.5)+(-2.343195+(-0.621078--0.152235))+0-0-0</f>
        <v>5510.9879620000002</v>
      </c>
      <c r="T356" s="3">
        <f>4647.4+(1268.9-268.1)+(-14.221044+(-3.882834--0.820386))+0-0-0</f>
        <v>5630.9165080000002</v>
      </c>
      <c r="U356" s="3">
        <f>4668+(1324.1-250.6)+(2.38068+(0.675291-0.127806))+0-0-0</f>
        <v>5744.4281650000003</v>
      </c>
      <c r="V356" s="3">
        <f>4673.1+(1347.5-231.3)+(4.766562+(1.37445-0.235926))+0-0-0</f>
        <v>5795.2050859999999</v>
      </c>
      <c r="W356" s="3">
        <f>4764.4+(1197.4-205.6)+(4.859688+(1.221348-0.209712))+0-0-0</f>
        <v>5762.0713239999995</v>
      </c>
      <c r="X356" s="3">
        <f>4894.7+(1426.7-290.6)+(0+(0-0))+0-0-0</f>
        <v>6030.7999999999993</v>
      </c>
      <c r="Y356" s="3">
        <f>4920.4+(1545.8-449.3)+(0+(0-0))+0-0-0</f>
        <v>6016.9</v>
      </c>
      <c r="Z356" s="3">
        <f>4808.3+(1494.6-422.7)+(-9.808932+(-3.048984--0.862308))+0-0-0</f>
        <v>5868.2043919999996</v>
      </c>
      <c r="AA356" s="3">
        <f>4628.2+(1421.5-417.2)+(-7.081146+(-2.174895--0.638316))+0-0-0</f>
        <v>5623.8822749999999</v>
      </c>
      <c r="AB356" s="3">
        <f>4568.5+(1197.6-449.8)+(-4.65987+(-1.221552--0.458796))+0-0-0</f>
        <v>5310.8773740000006</v>
      </c>
      <c r="AC356" s="3">
        <f>4517.8+(838.8-445)+(-11.52039+(-2.13894--1.13475))+0-0-0</f>
        <v>4899.0754200000001</v>
      </c>
      <c r="AD356" s="2">
        <v>6094.8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4389.1+(608.2-561.9)+(-4.476882+(-0.620364--0.573138))+0-0-0</f>
        <v>4430.8758920000009</v>
      </c>
      <c r="G357" s="3">
        <f>4204.9+(551.8-684.9)+(-4.288998+(-0.562836--0.698598))+0-0-0</f>
        <v>4067.6467639999996</v>
      </c>
      <c r="H357" s="3">
        <f>4098.6+(460-681.5)+(0+(0-0))+0-0-0</f>
        <v>3877.1000000000004</v>
      </c>
      <c r="I357" s="3">
        <f>4101.2+(479.6-789.1)+(6.274836+(0.733788-1.207323))+0-0-0</f>
        <v>3797.5013009999998</v>
      </c>
      <c r="J357" s="3">
        <f>4095.2+(505.1-823.6)+(-2.088552+(-0.257601--0.420036))+0-0-0</f>
        <v>3774.7738829999998</v>
      </c>
      <c r="K357" s="3">
        <f>4168.9+(467.2-805.9)+(2.126139+(0.238272-0.411009))+0-0-0</f>
        <v>3832.1534019999999</v>
      </c>
      <c r="L357" s="3">
        <f>4262.5+(724.2-939.7)+(0+(0-0))+0-0-0</f>
        <v>4047</v>
      </c>
      <c r="M357" s="3">
        <f>4320.5+(712.7-510.2)+(4.40691+(0.726954-0.520404))+0-0-0</f>
        <v>4527.6134599999996</v>
      </c>
      <c r="N357" s="3">
        <f>4493.3+(961.2-324)+(2.291583+(0.490212-0.16524))+0-0-0</f>
        <v>5133.1165549999996</v>
      </c>
      <c r="O357" s="3">
        <f>4475.5+(1399.7-346.4)+(4.56501+(1.427694-0.353328))+0-0-0</f>
        <v>5534.4393760000003</v>
      </c>
      <c r="P357" s="3">
        <f>4575.4+(1551.7-347.6)+(-2.333454+(-0.791367--0.177276))+0-0-0</f>
        <v>5776.552455</v>
      </c>
      <c r="Q357" s="3">
        <f>4650.3+(1598.9-349.1)+(-11.858265+(-4.077195--0.890205))+0-0-0</f>
        <v>5885.0547450000004</v>
      </c>
      <c r="R357" s="3">
        <f>4709.2+(1461.5-357.3)+(-9.606768+(-2.98146--0.728892))+0-0-0</f>
        <v>5801.5406639999992</v>
      </c>
      <c r="S357" s="3">
        <f>4740.8+(1266.1-413.8)+(0+(0-0))+0-0-0</f>
        <v>5593.1</v>
      </c>
      <c r="T357" s="3">
        <f>4727.3+(1271-333.1)+(-2.410923+(-0.64821--0.169881))+0-0-0</f>
        <v>5662.3107479999999</v>
      </c>
      <c r="U357" s="3">
        <f>4715.9+(1224.3-342.8)+(0+(0-0))+0-0-0</f>
        <v>5597.4</v>
      </c>
      <c r="V357" s="3">
        <f>4713.3+(1172.6-332.2)+(-9.615132+(-2.392104--0.677688))+0-0-0</f>
        <v>5542.3704520000001</v>
      </c>
      <c r="W357" s="3">
        <f>4808.1+(1076.1-306.8)+(0+(0-0))+0-0-0</f>
        <v>5577.4000000000005</v>
      </c>
      <c r="X357" s="3">
        <f>4906.3+(1311.8-277.9)+(-2.502213+(-0.669018--0.141729))+0-0-0</f>
        <v>5937.1704980000004</v>
      </c>
      <c r="Y357" s="3">
        <f>4879.4+(1569-443.8)+(-4.976988+(-1.60038--0.452676))+0-0-0</f>
        <v>5998.4753079999991</v>
      </c>
      <c r="Z357" s="3">
        <f>4734.3+(1536.5-421.3)+(-4.828986+(-1.56723--0.429726))+0-0-0</f>
        <v>5843.5335100000002</v>
      </c>
      <c r="AA357" s="3">
        <f>4753.3+(1267.3-397.2)+(-12.120915+(-3.231615--1.01286))+0-0-0</f>
        <v>5609.0603299999993</v>
      </c>
      <c r="AB357" s="3">
        <f>4696.6+(1037.9-422.4)+(-7.185798+(-1.587987--0.646272))+0-0-0</f>
        <v>5303.972487</v>
      </c>
      <c r="AC357" s="3">
        <f>4447.4+(955.3-457.7)+(-6.804522+(-1.461609--0.700281))+0-0-0</f>
        <v>4937.43415</v>
      </c>
      <c r="AD357" s="2">
        <v>6049.8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4547.8+(406.5-548)+(2.319378+(0.207315-0.27948))+0-0-0</f>
        <v>4408.5472129999998</v>
      </c>
      <c r="G358" s="3">
        <f>4514.4+(233.9-704.3)+(-6.907032+(-0.357867--1.077579))+0-0-0</f>
        <v>4037.8126799999995</v>
      </c>
      <c r="H358" s="3">
        <f>4402.1+(131.6-717.5)+(0+(0-0))+0-0-0</f>
        <v>3816.2000000000003</v>
      </c>
      <c r="I358" s="3">
        <f>4238.9+(125.8-618.8)+(-10.809195+(-0.32079--1.57794))+0-0-0</f>
        <v>3736.3479549999997</v>
      </c>
      <c r="J358" s="3">
        <f>4157+(133.3-555.7)+(0+(0-0))+0-0-0</f>
        <v>3734.6</v>
      </c>
      <c r="K358" s="3">
        <f>4259+(150.2-616.5)+(4.34418+(0.153204-0.62883))+0-0-0</f>
        <v>3796.5685539999999</v>
      </c>
      <c r="L358" s="3">
        <f>4566.7+(298.6-897.7)+(-4.658034+(-0.304572--0.915654))+0-0-0</f>
        <v>3963.5530479999998</v>
      </c>
      <c r="M358" s="3">
        <f>4761.1+(340-677.8)+(4.856322+(0.3468-0.691356))+0-0-0</f>
        <v>4427.8117659999998</v>
      </c>
      <c r="N358" s="3">
        <f>4895.6+(669.4-554.6)+(-2.496756+(-0.341394--0.282846))+0-0-0</f>
        <v>5007.8446960000001</v>
      </c>
      <c r="O358" s="3">
        <f>4882.6+(1036-555.9)+(2.490126+(0.52836-0.283509))+0-0-0</f>
        <v>5365.4349770000008</v>
      </c>
      <c r="P358" s="3">
        <f>4895.5+(1211.9-484.8)+(-7.490115+(-1.854207--0.741744))+0-0-0</f>
        <v>5613.9974220000004</v>
      </c>
      <c r="Q358" s="3">
        <f>4926.1+(1365.2-575)+(0+(0-0))+0-0-0</f>
        <v>5716.3</v>
      </c>
      <c r="R358" s="3">
        <f>4946.8+(1228.7-553.3)+(-5.045736+(-1.253274--0.564366))+0-0-0</f>
        <v>5616.4653560000006</v>
      </c>
      <c r="S358" s="3">
        <f>4951+(939-557.2)+(-5.05002+(-0.95778--0.568344))+0-0-0</f>
        <v>5327.3605440000001</v>
      </c>
      <c r="T358" s="3">
        <f>5119+(882.2-522.9)+(5.22138+(0.899844-0.533358))+0-0-0</f>
        <v>5483.887866</v>
      </c>
      <c r="U358" s="3">
        <f>5205.3+(796.9-561.4)+(2.654703+(0.406419-0.286314))+0-0-0</f>
        <v>5443.5748080000003</v>
      </c>
      <c r="V358" s="3">
        <f>5155.3+(732.5-540)+(0+(0-0))+0-0-0</f>
        <v>5347.8</v>
      </c>
      <c r="W358" s="3">
        <f>5248.4+(634.1-501.1)+(2.676684+(0.323391-0.255561))+0-0-0</f>
        <v>5384.1445139999996</v>
      </c>
      <c r="X358" s="3">
        <f>5501.4+(895.8-580.9)+(0+(0-0))+0-0-0</f>
        <v>5816.2999999999993</v>
      </c>
      <c r="Y358" s="3">
        <f>5552.6+(1030.6-669.5)+(-16.990956+(-3.153636--2.04867))+0-0-0</f>
        <v>5895.6040780000003</v>
      </c>
      <c r="Z358" s="3">
        <f>5515.1+(905-612.1)+(-5.625402+(-0.9231--0.624342))+0-0-0</f>
        <v>5802.0758400000004</v>
      </c>
      <c r="AA358" s="3">
        <f>5431.5+(743.4-568.4)+(-11.08026+(-1.516536--1.159536))+0-0-0</f>
        <v>5595.0627400000003</v>
      </c>
      <c r="AB358" s="3">
        <f>5371+(534.7-638.5)+(-10.95684+(-1.090788--1.30254))+0-0-0</f>
        <v>5256.4549120000001</v>
      </c>
      <c r="AC358" s="3">
        <f>5038.2+(491.8-638.7)+(-12.84741+(-1.25409--1.628685))+0-0-0</f>
        <v>4878.8271850000001</v>
      </c>
      <c r="AD358" s="2">
        <v>5891.9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4847.5+(186.6-636.7)+(-12.361125+(-0.47583--1.623585))+0-0-0</f>
        <v>4386.1866299999992</v>
      </c>
      <c r="G359" s="3">
        <f>4653.2+(63.3-737.5)+(-11.86566+(-0.161415--1.880625))+0-0-0</f>
        <v>3968.8535499999998</v>
      </c>
      <c r="H359" s="3">
        <f>4446.9+(73.7-768.4)+(-2.267919+(-0.037587--0.391884))+0-0-0</f>
        <v>3750.2863779999998</v>
      </c>
      <c r="I359" s="3">
        <f>4403.4+(54.3-767.1)+(-2.245734+(-0.027693--0.391221))+0-0-0</f>
        <v>3688.7177939999992</v>
      </c>
      <c r="J359" s="3">
        <f>4382.1+(64.8-758)+(-11.174355+(-0.16524--1.9329))+0-0-0</f>
        <v>3679.4933050000004</v>
      </c>
      <c r="K359" s="3">
        <f>4698.1+(54.1-1002)+(-2.396031+(-0.027591--0.51102))+0-0-0</f>
        <v>3748.2873980000004</v>
      </c>
      <c r="L359" s="3">
        <f>4934.9+(61.7-1072.2)+(-7.550397+(-0.094401--1.640466))+0-0-0</f>
        <v>3918.3956679999997</v>
      </c>
      <c r="M359" s="3">
        <f>5088.5+(177.1-888.9)+(0+(0-0))+0-0-0</f>
        <v>4376.7</v>
      </c>
      <c r="N359" s="3">
        <f>5216.6+(328-572.9)+(2.660466+(0.16728-0.292179))+0-0-0</f>
        <v>4974.2355670000006</v>
      </c>
      <c r="O359" s="3">
        <f>5331.9+(644.5-587.5)+(-10.877076+(-1.31478--1.1985))+0-0-0</f>
        <v>5377.9066439999997</v>
      </c>
      <c r="P359" s="3">
        <f>5377.4+(805.4-588.4)+(-5.484948+(-0.821508--0.600168))+0-0-0</f>
        <v>5588.6937119999993</v>
      </c>
      <c r="Q359" s="3">
        <f>5438.6+(836.5-588)+(0+(0-0))+0-0-0</f>
        <v>5687.1</v>
      </c>
      <c r="R359" s="3">
        <f>5371.4+(770.8-557.9)+(-10.957656+(-1.572432--1.138116))+0-0-0</f>
        <v>5572.9080279999989</v>
      </c>
      <c r="S359" s="3">
        <f>5399.1+(639.4-637.9)+(-2.753541+(-0.326094--0.325329))+0-0-0</f>
        <v>5397.8456940000005</v>
      </c>
      <c r="T359" s="3">
        <f>5406.9+(697.1-629.9)+(0+(0-0))+0-0-0</f>
        <v>5474.0999999999995</v>
      </c>
      <c r="U359" s="3">
        <f>5174.6+(766.7-561.4)+(5.278092+(0.782034-0.572628))+0-0-0</f>
        <v>5385.387498000001</v>
      </c>
      <c r="V359" s="3">
        <f>5185.4+(692.4-560.9)+(-13.22277+(-1.76562--1.430295))+0-0-0</f>
        <v>5303.3419049999993</v>
      </c>
      <c r="W359" s="3">
        <f>5341.3+(525.2-527)+(0+(0-0))+0-0-0</f>
        <v>5339.5</v>
      </c>
      <c r="X359" s="3">
        <f>5621.8+(571.9-446)+(-5.734236+(-0.583338--0.45492))+0-0-0</f>
        <v>5741.8373460000003</v>
      </c>
      <c r="Y359" s="3">
        <f>5634.9+(771.9-570.8)+(-14.368995+(-1.968345--1.45554))+0-0-0</f>
        <v>5821.1181999999999</v>
      </c>
      <c r="Z359" s="3">
        <f>5598.1+(687.6-562.9)+(-11.420124+(-1.402704--1.148316))+0-0-0</f>
        <v>5711.1254880000006</v>
      </c>
      <c r="AA359" s="3">
        <f>5577.1+(586.6-656.1)+(-19.910247+(-2.094162--2.342277))+0-0-0</f>
        <v>5487.937868</v>
      </c>
      <c r="AB359" s="3">
        <f>5506.7+(577.7-886.3)+(-11.233668+(-1.178508--1.808052))+0-0-0</f>
        <v>5187.495876</v>
      </c>
      <c r="AC359" s="3">
        <f>5295.9+(463.1-920.8)+(-5.401818+(-0.472362--0.939216))+0-0-0</f>
        <v>4833.2650359999998</v>
      </c>
      <c r="AD359" s="2">
        <v>5855.6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5138.2+(249.4-1023.9)+(-15.722892+(-0.763164--3.133134))+0-0-0</f>
        <v>4350.3470779999998</v>
      </c>
      <c r="G360" s="3">
        <f>4728.4+(199.8-983.6)+(-7.234452+(-0.305694--1.504908))+0-0-0</f>
        <v>3938.5647619999995</v>
      </c>
      <c r="H360" s="3">
        <f>4515.9+(240.9-1019.5)+(-6.909327+(-0.368577--1.559835))+0-0-0</f>
        <v>3731.5819309999997</v>
      </c>
      <c r="I360" s="3">
        <f>4482+(219.3-1068.8)+(-2.28582+(-0.111843--0.545088))+0-0-0</f>
        <v>3630.6474250000001</v>
      </c>
      <c r="J360" s="3">
        <f>4434.2+(219.2-1035.1)+(-4.522884+(-0.223584--1.055802))+0-0-0</f>
        <v>3614.6093340000002</v>
      </c>
      <c r="K360" s="3">
        <f>4449.4+(264.8-1058.4)+(4.538388+(0.270096-1.079568))+0-0-0</f>
        <v>3659.5289159999993</v>
      </c>
      <c r="L360" s="3">
        <f>4609+(367.3-1239.1)+(-9.40236+(-0.749292--2.527764))+0-0-0</f>
        <v>3729.5761119999997</v>
      </c>
      <c r="M360" s="3">
        <f>5108.5+(227.5-1252.2)+(2.605335+(0.116025-0.638622))+0-0-0</f>
        <v>4085.8827380000002</v>
      </c>
      <c r="N360" s="3">
        <f>5530.5+(170.9-1067)+(2.820555+(0.087159-0.54417))+0-0-0</f>
        <v>4636.7635439999995</v>
      </c>
      <c r="O360" s="3">
        <f>5496.8+(298.5-729.8)+(11.213472+(0.60894-1.488792))+0-0-0</f>
        <v>5075.8336200000003</v>
      </c>
      <c r="P360" s="3">
        <f>5467.8+(447.6-591.1)+(-5.577156+(-0.456552--0.602922))+0-0-0</f>
        <v>5318.8692140000003</v>
      </c>
      <c r="Q360" s="3">
        <f>5453.6+(503.1-554.9)+(-13.90668+(-1.282905--1.414995))+0-0-0</f>
        <v>5388.0254100000002</v>
      </c>
      <c r="R360" s="3">
        <f>5419+(404.1-511.6)+(-13.81845+(-1.030455--1.30458))+0-0-0</f>
        <v>5297.9556750000002</v>
      </c>
      <c r="S360" s="3">
        <f>5393.8+(204.2-540)+(-11.003352+(-0.416568--1.1016))+0-0-0</f>
        <v>5047.6816799999997</v>
      </c>
      <c r="T360" s="3">
        <f>5345.2+(300.1-610.1)+(5.452104+(0.306102-0.622302))+0-0-0</f>
        <v>5040.3359039999996</v>
      </c>
      <c r="U360" s="3">
        <f>5396+(270-759.8)+(0+(0-0))+0-0-0</f>
        <v>4906.2</v>
      </c>
      <c r="V360" s="3">
        <f>5444.4+(252.9-860.3)+(-8.329932+(-0.386937--1.316259))+0-0-0</f>
        <v>4829.5993900000003</v>
      </c>
      <c r="W360" s="3">
        <f>5534.9+(159.8-745.6)+(5.645598+(0.162996-0.760512))+0-0-0</f>
        <v>4954.1480819999997</v>
      </c>
      <c r="X360" s="3">
        <f>5794.2+(197.6-662.4)+(5.910084+(0.201552-0.675648))+0-0-0</f>
        <v>5334.8359879999998</v>
      </c>
      <c r="Y360" s="3">
        <f>5859.3+(417.5-847)+(-8.964729+(-0.638775--1.29591))+0-0-0</f>
        <v>5421.4924060000003</v>
      </c>
      <c r="Z360" s="3">
        <f>5808.7+(318-769.4)+(-8.887311+(-0.48654--1.177182))+0-0-0</f>
        <v>5349.1033310000003</v>
      </c>
      <c r="AA360" s="3">
        <f>5759.3+(225.9-765.6)+(-2.937243+(-0.115209--0.390456))+0-0-0</f>
        <v>5216.9380040000005</v>
      </c>
      <c r="AB360" s="3">
        <f>5723+(192-911.1)+(-14.59365+(-0.4896--2.323305))+0-0-0</f>
        <v>4991.1400549999998</v>
      </c>
      <c r="AC360" s="3">
        <f>5649+(227.8-1223)+(-8.64297+(-0.348534--1.87119))+0-0-0</f>
        <v>4646.6796860000004</v>
      </c>
      <c r="AD360" s="2">
        <v>5300.9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5375.1+(177.8-1309.8)+(-10.965204+(-0.362712--2.671992))+0-0-0</f>
        <v>4234.4440760000007</v>
      </c>
      <c r="G361" s="3">
        <f>5104.9+(185.5-1434.3)+(-10.413996+(-0.37842--2.925972))+0-0-0</f>
        <v>3848.2335559999997</v>
      </c>
      <c r="H361" s="3">
        <f>4851.6+(144.3-1354.4)+(-4.948632+(-0.147186--1.381488))+0-0-0</f>
        <v>3637.7856700000002</v>
      </c>
      <c r="I361" s="3">
        <f>4762.5+(144.4-1402.5)+(7.286625+(0.220932-2.145825))+0-0-0</f>
        <v>3509.7617319999999</v>
      </c>
      <c r="J361" s="3">
        <f>4722.2+(93.6-1334.7)+(-9.633288+(-0.190944--2.722788))+0-0-0</f>
        <v>3473.9985559999996</v>
      </c>
      <c r="K361" s="3">
        <f>4743.2+(78.6-1339.9)+(-4.838064+(-0.080172--1.366698))+0-0-0</f>
        <v>3478.3484619999995</v>
      </c>
      <c r="L361" s="3">
        <f>4800.6+(101.4-1504.3)+(-2.448306+(-0.051714--0.767193))+0-0-0</f>
        <v>3395.9671730000009</v>
      </c>
      <c r="M361" s="3">
        <f>4990.7+(123.5-1612.6)+(2.545257+(0.062985-0.822426))+0-0-0</f>
        <v>3503.385816</v>
      </c>
      <c r="N361" s="3">
        <f>5196.7+(147.6-1533.8)+(-2.650317+(-0.075276--0.782238))+0-0-0</f>
        <v>3808.5566450000001</v>
      </c>
      <c r="O361" s="3">
        <f>5380.9+(158.7-1365.1)+(-2.744259+(-0.080937--0.696201))+0-0-0</f>
        <v>4172.371005</v>
      </c>
      <c r="P361" s="3">
        <f>5536.8+(195.7-1253.5)+(8.471304+(0.299421-1.917855))+0-0-0</f>
        <v>4485.8528699999997</v>
      </c>
      <c r="Q361" s="3">
        <f>5463.6+(215.6-1039.1)+(-11.145744+(-0.439824--2.119764))+0-0-0</f>
        <v>4630.634196</v>
      </c>
      <c r="R361" s="3">
        <f>5434.6+(254.7-1081.8)+(-5.543292+(-0.259794--1.103436))+0-0-0</f>
        <v>4602.8003500000004</v>
      </c>
      <c r="S361" s="3">
        <f>5414.2+(267.7-1187.7)+(-11.044968+(-0.546108--2.422908))+0-0-0</f>
        <v>4485.0318319999997</v>
      </c>
      <c r="T361" s="3">
        <f>5433.8+(338.2-1332.4)+(5.542476+(0.344964-1.359048))+0-0-0</f>
        <v>4444.1283920000005</v>
      </c>
      <c r="U361" s="3">
        <f>5423.2+(329.5-1383.4)+(2.765832+(0.168045-0.705534))+0-0-0</f>
        <v>4371.528342999999</v>
      </c>
      <c r="V361" s="3">
        <f>5426.3+(256.6-1340.8)+(5.534826+(0.261732-1.367616))+0-0-0</f>
        <v>4346.5289419999999</v>
      </c>
      <c r="W361" s="3">
        <f>5479.5+(154.9-1226.1)+(0+(0-0))+0-0-0</f>
        <v>4408.3</v>
      </c>
      <c r="X361" s="3">
        <f>5582.5+(112.3-855.4)+(5.69415+(0.114546-0.872508))+0-0-0</f>
        <v>4844.3361879999993</v>
      </c>
      <c r="Y361" s="3">
        <f>5587.4+(459.6-1002.3)+(-2.849574+(-0.234396--0.511173))+0-0-0</f>
        <v>5042.127203</v>
      </c>
      <c r="Z361" s="3">
        <f>5568.5+(358.5-890.7)+(-5.67987+(-0.36567--0.908514))+0-0-0</f>
        <v>5031.1629739999998</v>
      </c>
      <c r="AA361" s="3">
        <f>5444.7+(322.1-818.3)+(-5.553594+(-0.328542--0.834666))+0-0-0</f>
        <v>4943.4525299999996</v>
      </c>
      <c r="AB361" s="3">
        <f>5407.1+(184.1-840)+(-13.788105+(-0.469455--2.142))+0-0-0</f>
        <v>4739.0844400000005</v>
      </c>
      <c r="AC361" s="3">
        <f>5128+(197.2-857.2)+(-7.84584+(-0.301716--1.311516))+0-0-0</f>
        <v>4461.1639599999999</v>
      </c>
      <c r="AD361" s="2">
        <v>5138.8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5044.6+(135.3-1174.5)+(-15.436476+(-0.414018--3.59397))+0-0-0</f>
        <v>3993.1434760000006</v>
      </c>
      <c r="G362" s="3">
        <f>4920.4+(125-1422.2)+(-12.54702+(-0.31875--3.62661))+0-0-0</f>
        <v>3613.9608399999997</v>
      </c>
      <c r="H362" s="3">
        <f>4694.3+(163.6-1425.1)+(-9.576372+(-0.333744--2.907204))+0-0-0</f>
        <v>3425.7970880000003</v>
      </c>
      <c r="I362" s="3">
        <f>4619.3+(82.6-1374.2)+(0+(0-0))+0-0-0</f>
        <v>3327.7</v>
      </c>
      <c r="J362" s="3">
        <f>4643.2+(54.4-1403)+(7.104096+(0.083232-2.14659))+0-0-0</f>
        <v>3299.6407380000001</v>
      </c>
      <c r="K362" s="3">
        <f>4623.4+(86.2-1332.4)+(0+(0-0))+0-0-0</f>
        <v>3377.2</v>
      </c>
      <c r="L362" s="3">
        <f>4612.7+(177.4-1236.8)+(-2.352477+(-0.090474--0.630768))+0-0-0</f>
        <v>3551.4878170000002</v>
      </c>
      <c r="M362" s="3">
        <f>5104.9+(266.8-1389.3)+(0+(0-0))+0-0-0</f>
        <v>3982.3999999999996</v>
      </c>
      <c r="N362" s="3">
        <f>5583.6+(269.2-1287.1)+(-2.847636+(-0.137292--0.656421))+0-0-0</f>
        <v>4563.3714930000006</v>
      </c>
      <c r="O362" s="3">
        <f>5729.2+(258.7-1027.6)+(-2.921892+(-0.131937--0.524076))+0-0-0</f>
        <v>4957.7702470000004</v>
      </c>
      <c r="P362" s="3">
        <f>5866.9+(258.7-880)+(2.992119+(0.131937-0.4488))+0-0-0</f>
        <v>5248.2752559999999</v>
      </c>
      <c r="Q362" s="3">
        <f>5837.6+(289.8-759.3)+(0+(0-0))+0-0-0</f>
        <v>5368.1</v>
      </c>
      <c r="R362" s="3">
        <f>5795.2+(297.3-796.2)+(-8.866656+(-0.454869--1.218186))+0-0-0</f>
        <v>5288.1966609999999</v>
      </c>
      <c r="S362" s="3">
        <f>5797+(380.9-1054.1)+(2.95647+(0.194259-0.537591))+0-0-0</f>
        <v>5126.4131379999999</v>
      </c>
      <c r="T362" s="3">
        <f>5769.3+(481.4-1032.2)+(-5.884686+(-0.491028--1.052844))+0-0-0</f>
        <v>5213.17713</v>
      </c>
      <c r="U362" s="3">
        <f>5741.2+(491.9-1048.6)+(-11.712048+(-1.003476--2.139144))+0-0-0</f>
        <v>5173.9236199999996</v>
      </c>
      <c r="V362" s="3">
        <f>5739.6+(528.1-1155.7)+(-17.563176+(-1.615986--3.536442))+0-0-0</f>
        <v>5096.3572800000002</v>
      </c>
      <c r="W362" s="3">
        <f>5796.6+(283.3-1000.2)+(-23.650128+(-1.155864--4.080816))+0-0-0</f>
        <v>5058.9748240000008</v>
      </c>
      <c r="X362" s="3">
        <f>5983.1+(187-807.1)+(0+(0-0))+0-0-0</f>
        <v>5363</v>
      </c>
      <c r="Y362" s="3">
        <f>5950.6+(187-682)+(-15.17403+(-0.47685--1.7391))+0-0-0</f>
        <v>5441.68822</v>
      </c>
      <c r="Z362" s="3">
        <f>5926.9+(166.8-709.8)+(-15.113595+(-0.42534--1.80999))+0-0-0</f>
        <v>5370.1710549999998</v>
      </c>
      <c r="AA362" s="3">
        <f>5963.5+(171.5-932.4)+(-12.16554+(-0.34986--1.902096))+0-0-0</f>
        <v>5191.9866959999999</v>
      </c>
      <c r="AB362" s="3">
        <f>5666+(181.3-961.2)+(-2.88966+(-0.092463--0.490212))+0-0-0</f>
        <v>4883.6080890000003</v>
      </c>
      <c r="AC362" s="3">
        <f>5331.1+(166.1-960.8)+(-13.594305+(-0.423555--2.45004))+0-0-0</f>
        <v>4524.8321800000003</v>
      </c>
      <c r="AD362" s="2">
        <v>5548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5208.3+(203-1199.7)+(-15.937398+(-0.62118--3.671082))+0-0-0</f>
        <v>4198.7125040000001</v>
      </c>
      <c r="G363" s="3">
        <f>4998.6+(165.4-1307.4)+(-12.74643+(-0.42177--3.33387))+0-0-0</f>
        <v>3846.7656700000002</v>
      </c>
      <c r="H363" s="3">
        <f>4930+(179.6-1585.9)+(-10.0572+(-0.366384--3.235236))+0-0-0</f>
        <v>3516.5116519999997</v>
      </c>
      <c r="I363" s="3">
        <f>4739.2+(201-1501.6)+(-14.501952+(-0.61506--4.594896))+0-0-0</f>
        <v>3428.0778839999998</v>
      </c>
      <c r="J363" s="3">
        <f>4719.8+(192.5-1502.7)+(-7.221294+(-0.294525--2.299131))+0-0-0</f>
        <v>3404.3833120000004</v>
      </c>
      <c r="K363" s="3">
        <f>4671+(198.5-1409.4)+(-2.38221+(-0.101235--0.718794))+0-0-0</f>
        <v>3458.335349</v>
      </c>
      <c r="L363" s="3">
        <f>4721.1+(235.7-1443.9)+(0+(0-0))+0-0-0</f>
        <v>3512.9000000000005</v>
      </c>
      <c r="M363" s="3">
        <f>4990.5+(313.8-1431.8)+(5.09031+(0.320076-1.460436))+0-0-0</f>
        <v>3876.4499500000002</v>
      </c>
      <c r="N363" s="3">
        <f>5238.6+(358.7-1166.3)+(-2.671686+(-0.182937--0.594813))+0-0-0</f>
        <v>4428.7401900000004</v>
      </c>
      <c r="O363" s="3">
        <f>5510.6+(394.6-1061.9)+(0+(0-0))+0-0-0</f>
        <v>4843.3</v>
      </c>
      <c r="P363" s="3">
        <f>5603.2+(367.1-846.3)+(-14.28816+(-0.936105--2.158065))+0-0-0</f>
        <v>5110.9337999999998</v>
      </c>
      <c r="Q363" s="3">
        <f>5616.6+(406.7-807.3)+(-2.864466+(-0.207417--0.411723))+0-0-0</f>
        <v>5213.3398399999996</v>
      </c>
      <c r="R363" s="3">
        <f>5494.3+(410.4-789)+(-16.812558+(-1.255824--2.41434))+0-0-0</f>
        <v>5100.0459579999997</v>
      </c>
      <c r="S363" s="3">
        <f>5510.5+(382.3-937.2)+(2.810355+(0.194973-0.477972))+0-0-0</f>
        <v>4958.127356</v>
      </c>
      <c r="T363" s="3">
        <f>5477.9+(364.9-847)+(-11.174916+(-0.744396--1.72788))+0-0-0</f>
        <v>4985.6085679999997</v>
      </c>
      <c r="U363" s="3">
        <f>5474.1+(381.8-934.1)+(-8.375373+(-0.584154--1.429173))+0-0-0</f>
        <v>4914.2696459999997</v>
      </c>
      <c r="V363" s="3">
        <f>5415.6+(381.8-903.2)+(0+(0-0))+0-0-0</f>
        <v>4894.2000000000007</v>
      </c>
      <c r="W363" s="3">
        <f>5460.9+(250.9-671.9)+(0+(0-0))+0-0-0</f>
        <v>5039.8999999999996</v>
      </c>
      <c r="X363" s="3">
        <f>5674.1+(289-464.2)+(2.893791+(0.14739-0.236742))+0-0-0</f>
        <v>5501.7044390000001</v>
      </c>
      <c r="Y363" s="3">
        <f>5650.6+(286.8-481.9)+(-2.881806+(-0.146268--0.245769))+0-0-0</f>
        <v>5452.7176950000003</v>
      </c>
      <c r="Z363" s="3">
        <f>5619.9+(202.8-555.7)+(-2.866149+(-0.103428--0.283407))+0-0-0</f>
        <v>5264.3138300000001</v>
      </c>
      <c r="AA363" s="3">
        <f>5615.9+(170.6-664.3)+(-2.864109+(-0.087006--0.338793))+0-0-0</f>
        <v>5119.5876779999999</v>
      </c>
      <c r="AB363" s="3">
        <f>5515.1+(197.6-857.5)+(-14.063505+(-0.50388--2.186625))+0-0-0</f>
        <v>4842.8192400000007</v>
      </c>
      <c r="AC363" s="3">
        <f>5318.6+(102.8-850.1)+(-10.849944+(-0.209712--1.734204))+0-0-0</f>
        <v>4561.9745480000001</v>
      </c>
      <c r="AD363" s="2">
        <v>5293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5027.9+(114.5-1105.6)+(-10.256916+(-0.23358--2.255424))+0-0-0</f>
        <v>4028.5649279999998</v>
      </c>
      <c r="G364" s="3">
        <f>4713.6+(145.9-1222)+(-7.211808+(-0.223227--1.86966))+0-0-0</f>
        <v>3631.9346250000003</v>
      </c>
      <c r="H364" s="3">
        <f>4602.1+(175.7-1363.3)+(-11.735355+(-0.448035--3.476415))+0-0-0</f>
        <v>3405.7930250000004</v>
      </c>
      <c r="I364" s="3">
        <f>4526.2+(182.6-1400.3)+(2.308362+(0.093126-0.714153))+0-0-0</f>
        <v>3310.1873350000001</v>
      </c>
      <c r="J364" s="3">
        <f>4486.5+(170.1-1383.7)+(-9.15246+(-0.347004--2.822748))+0-0-0</f>
        <v>3266.2232839999997</v>
      </c>
      <c r="K364" s="3">
        <f>4497.3+(162.9-1347.6)+(-4.587246+(-0.166158--1.374552))+0-0-0</f>
        <v>3309.2211480000005</v>
      </c>
      <c r="L364" s="3">
        <f>4504.7+(182.4-1339.2)+(0+(0-0))+0-0-0</f>
        <v>3347.8999999999996</v>
      </c>
      <c r="M364" s="3">
        <f>4821.8+(210.5-1338.5)+(-7.377354+(-0.322065--2.047905))+0-0-0</f>
        <v>3688.148486</v>
      </c>
      <c r="N364" s="3">
        <f>5189.2+(282.5-1344.2)+(-2.646492+(-0.144075--0.685542))+0-0-0</f>
        <v>4125.3949750000002</v>
      </c>
      <c r="O364" s="3">
        <f>5443.7+(269-1138.4)+(-13.881435+(-0.68595--2.90292))+0-0-0</f>
        <v>4562.6355349999994</v>
      </c>
      <c r="P364" s="3">
        <f>5507.9+(290.7-976)+(2.809029+(0.148257-0.49776))+0-0-0</f>
        <v>4825.0595259999991</v>
      </c>
      <c r="Q364" s="3">
        <f>5576+(277.6-946.4)+(2.84376+(0.141576-0.482664))+0-0-0</f>
        <v>4909.7026719999994</v>
      </c>
      <c r="R364" s="3">
        <f>5576.6+(260.2-1007)+(-17.064396+(-0.796212--3.08142))+0-0-0</f>
        <v>4815.0208119999998</v>
      </c>
      <c r="S364" s="3">
        <f>5529.4+(313.1-1224)+(-11.279976+(-0.638724--2.49696))+0-0-0</f>
        <v>4609.0782600000002</v>
      </c>
      <c r="T364" s="3">
        <f>5434.3+(369.3-1211.1)+(-5.542986+(-0.376686--1.235322))+0-0-0</f>
        <v>4587.8156499999996</v>
      </c>
      <c r="U364" s="3">
        <f>5300.7+(420.4-1075.4)+(-2.703357+(-0.214404--0.548454))+0-0-0</f>
        <v>4643.3306929999999</v>
      </c>
      <c r="V364" s="3">
        <f>5237.2+(371.4-1075.1)+(-8.012916+(-0.568242--1.644903))+0-0-0</f>
        <v>4526.5637450000004</v>
      </c>
      <c r="W364" s="3">
        <f>5356.1+(280-1028.4)+(5.463222+(0.2856-1.048968))+0-0-0</f>
        <v>4612.3998540000011</v>
      </c>
      <c r="X364" s="3">
        <f>5731.6+(154.9-963.3)+(5.846232+(0.157998-0.982566))+0-0-0</f>
        <v>4928.2216640000006</v>
      </c>
      <c r="Y364" s="3">
        <f>5846.9+(94-906.9)+(-2.981919+(-0.04794--0.462519))+0-0-0</f>
        <v>5031.4326600000004</v>
      </c>
      <c r="Z364" s="3">
        <f>5691.7+(101.3-826.7)+(-14.513835+(-0.258315--2.108085))+0-0-0</f>
        <v>4953.6359349999993</v>
      </c>
      <c r="AA364" s="3">
        <f>5274.6+(153.7-611.9)+(0+(0-0))+0-0-0</f>
        <v>4816.4000000000005</v>
      </c>
      <c r="AB364" s="3">
        <f>4831.7+(236.3-478.2)+(-9.856668+(-0.482052--0.975528))+0-0-0</f>
        <v>4580.4368080000004</v>
      </c>
      <c r="AC364" s="3">
        <f>4665.8+(144.4-494.1)+(-11.89779+(-0.36822--1.259955))+0-0-0</f>
        <v>4305.0939450000005</v>
      </c>
      <c r="AD364" s="2">
        <v>5007.2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4493+(113.3-695.9)+(0+(0-0))+0-0-0</f>
        <v>3910.4</v>
      </c>
      <c r="G365" s="3">
        <f>4478+(162-1112.8)+(-9.13512+(-0.33048--2.270112))+0-0-0</f>
        <v>3520.004512</v>
      </c>
      <c r="H365" s="3">
        <f>4369.8+(127.5-1215.6)+(-13.371588+(-0.39015--3.719736))+0-0-0</f>
        <v>3271.6579980000001</v>
      </c>
      <c r="I365" s="3">
        <f>4048.5+(147.2-1065.5)+(-4.12947+(-0.150144--1.08681))+0-0-0</f>
        <v>3127.007196</v>
      </c>
      <c r="J365" s="3">
        <f>4001.2+(111.5-1025.6)+(-4.081224+(-0.11373--1.046112))+0-0-0</f>
        <v>3083.9511579999999</v>
      </c>
      <c r="K365" s="3">
        <f>4117+(94-1133)+(4.19934+(0.09588-1.15566))+0-0-0</f>
        <v>3081.1395600000001</v>
      </c>
      <c r="L365" s="3">
        <f>4094.7+(103.6-1210.2)+(-4.176594+(-0.105672--1.234404))+0-0-0</f>
        <v>2985.0521379999996</v>
      </c>
      <c r="M365" s="3">
        <f>4193.1+(147.6-1273.6)+(4.276962+(0.150552-1.299072))+0-0-0</f>
        <v>3070.2284420000005</v>
      </c>
      <c r="N365" s="3">
        <f>4345.9+(247.1-1223.3)+(-2.216409+(-0.126021--0.623883))+0-0-0</f>
        <v>3367.9814529999999</v>
      </c>
      <c r="O365" s="3">
        <f>4563.7+(250.4-1117)+(0+(0-0))+0-0-0</f>
        <v>3697.1</v>
      </c>
      <c r="P365" s="3">
        <f>4614.7+(206.4-878.7)+(-2.353497+(-0.105264--0.448137))+0-0-0</f>
        <v>3940.3893759999996</v>
      </c>
      <c r="Q365" s="3">
        <f>4660.2+(215.2-849.9)+(9.506808+(0.439008-1.733796))+0-0-0</f>
        <v>4033.7120199999999</v>
      </c>
      <c r="R365" s="3">
        <f>4687.3+(202.5-860.8)+(-9.562092+(-0.4131--1.756032))+0-0-0</f>
        <v>4020.7808399999999</v>
      </c>
      <c r="S365" s="3">
        <f>4709.6+(282.4-1067.9)+(-4.803792+(-0.288048--1.089258))+0-0-0</f>
        <v>3920.0974180000003</v>
      </c>
      <c r="T365" s="3">
        <f>4610.6+(238.8-957.8)+(-9.405624+(-0.487152--1.953912))+0-0-0</f>
        <v>3883.6611360000002</v>
      </c>
      <c r="U365" s="3">
        <f>4577.8+(208.4-950.2)+(-7.004034+(-0.318852--1.453806))+0-0-0</f>
        <v>3830.1309200000001</v>
      </c>
      <c r="V365" s="3">
        <f>4658.3+(188.2-1025.6)+(9.502932+(0.383928-2.092224))+0-0-0</f>
        <v>3828.6946360000006</v>
      </c>
      <c r="W365" s="3">
        <f>4748.2+(113.2-940.2)+(-9.686328+(-0.230928--1.918008))+0-0-0</f>
        <v>3913.2007519999997</v>
      </c>
      <c r="X365" s="3">
        <f>4970.7+(77.5-658.5)+(5.070114+(0.07905-0.67167))+0-0-0</f>
        <v>4394.1774939999996</v>
      </c>
      <c r="Y365" s="3">
        <f>5083.8+(197.3-706.5)+(-7.778214+(-0.301869--1.080945))+0-0-0</f>
        <v>4567.6008620000002</v>
      </c>
      <c r="Z365" s="3">
        <f>4921.4+(459.5-871)+(5.019828+(0.46869-0.88842))+0-0-0</f>
        <v>4514.5000979999995</v>
      </c>
      <c r="AA365" s="3">
        <f>4808+(718.9-1096.4)+(4.90416+(0.733278-1.118328))+0-0-0</f>
        <v>4435.0191100000002</v>
      </c>
      <c r="AB365" s="3">
        <f>4754.8+(599.9-1072.2)+(-7.274844+(-0.917847--1.640466))+0-0-0</f>
        <v>4275.9477749999996</v>
      </c>
      <c r="AC365" s="3">
        <f>4728.4+(387.3-1050.1)+(-4.822968+(-0.395046--1.071102))+0-0-0</f>
        <v>4061.4530879999993</v>
      </c>
      <c r="AD365" s="2">
        <v>4513.0999999999995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3">
        <v>3728.9925440000002</v>
      </c>
      <c r="G366" s="3">
        <v>3366.5182640000007</v>
      </c>
      <c r="H366" s="3">
        <v>3130.5026290000005</v>
      </c>
      <c r="I366" s="3">
        <v>3008.0510319999999</v>
      </c>
      <c r="J366" s="3">
        <v>2954.3059279999998</v>
      </c>
      <c r="K366" s="3">
        <v>2946.096724</v>
      </c>
      <c r="L366" s="3">
        <v>2807.8330860000001</v>
      </c>
      <c r="M366" s="3">
        <v>2873.7</v>
      </c>
      <c r="N366" s="3">
        <v>3161.3999999999996</v>
      </c>
      <c r="O366" s="3">
        <v>3536.8</v>
      </c>
      <c r="P366" s="3">
        <v>3805.2</v>
      </c>
      <c r="Q366" s="3">
        <v>3889.6827270000003</v>
      </c>
      <c r="R366" s="3">
        <v>3865.0773699999995</v>
      </c>
      <c r="S366" s="3">
        <v>3801.0300479999996</v>
      </c>
      <c r="T366" s="3">
        <v>3665.8282399999998</v>
      </c>
      <c r="U366" s="3">
        <v>3498.65562</v>
      </c>
      <c r="V366" s="3">
        <v>3407.9778039999992</v>
      </c>
      <c r="W366" s="3">
        <v>3441.4265490000007</v>
      </c>
      <c r="X366" s="3">
        <v>3851.834562</v>
      </c>
      <c r="Y366" s="3">
        <v>4050.733072</v>
      </c>
      <c r="Z366" s="3">
        <v>4020.222225</v>
      </c>
      <c r="AA366" s="3">
        <v>3951.2984300000003</v>
      </c>
      <c r="AB366" s="3">
        <v>3843.1748500000003</v>
      </c>
      <c r="AC366" s="3">
        <v>3698.8321150000002</v>
      </c>
      <c r="AD366" s="3">
        <v>4025.2</v>
      </c>
      <c r="AE366" s="3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966.5+(364.1-288.6)+(-0.98583+(-0.371382--0.294372))+0-0-0</f>
        <v>1040.9371599999999</v>
      </c>
      <c r="G1" s="3">
        <f>959.5+(357.4-373.1)+(-1.95738+(-0.729096--0.761124))+0-0-0</f>
        <v>941.87464799999998</v>
      </c>
      <c r="H1" s="3">
        <f>702+(379.4-199.7)+(-1.7901+(-0.96747--0.509235))+0-0-0</f>
        <v>879.45166500000005</v>
      </c>
      <c r="I1" s="3">
        <f>691.9+(368.8-221.7)+(-1.058607+(-0.564264--0.339201))+0-0-0</f>
        <v>837.71632999999997</v>
      </c>
      <c r="J1" s="3">
        <f>694.9+(339.6-210.2)+(-0.354399+(-0.173196--0.107202))+0-0-0</f>
        <v>823.87960699999996</v>
      </c>
      <c r="K1" s="3">
        <f>699+(329.1-205.4)+(0+(0-0))+0-0-0</f>
        <v>822.7</v>
      </c>
      <c r="L1" s="3">
        <f>697.4+(326.5-223.8)+(-0.355674+(-0.166515--0.114138))+0-0-0</f>
        <v>799.69194899999991</v>
      </c>
      <c r="M1" s="3">
        <f>848.5+(316.1-268)+(0+(0-0))+0-0-0</f>
        <v>896.6</v>
      </c>
      <c r="N1" s="3">
        <f>1030.7+(268.1-365.6)+(-1.051314+(-0.273462--0.372912))+0-0-0</f>
        <v>932.24813600000004</v>
      </c>
      <c r="O1" s="3">
        <f>1027.2+(240.4-429.8)+(-1.571616+(-0.367812--0.657594))+0-0-0</f>
        <v>836.51816600000006</v>
      </c>
      <c r="P1" s="3">
        <f>957.5+(278.7-452.4)+(-1.464975+(-0.426411--0.692172))+0-0-0</f>
        <v>782.60078599999997</v>
      </c>
      <c r="Q1" s="3">
        <f>774.6+(289.2-297.9)+(-0.395046+(-0.147492--0.151929))+0-0-0</f>
        <v>765.50939100000005</v>
      </c>
      <c r="R1" s="3">
        <f>681+(334.1-240.8)+(0+(0-0))+0-0-0</f>
        <v>774.3</v>
      </c>
      <c r="S1" s="3">
        <f>677.9+(330.5-246.6)+(0.345729+(0.168555-0.125766))+0-0-0</f>
        <v>762.18851799999993</v>
      </c>
      <c r="T1" s="3">
        <f>677.9+(356.4-285.7)+(-1.728645+(-0.90882--0.728535))+0-0-0</f>
        <v>746.69106999999985</v>
      </c>
      <c r="U1" s="3">
        <f>678+(368.9-302.2)+(-1.03734+(-0.564417--0.462366))+0-0-0</f>
        <v>743.560609</v>
      </c>
      <c r="V1" s="3">
        <f>734+(299.9-271.6)+(-1.12302+(-0.458847--0.415548))+0-0-0</f>
        <v>761.13368099999991</v>
      </c>
      <c r="W1" s="3">
        <f>823+(293-307.9)+(-0.83946+(-0.29886--0.314058))+0-0-0</f>
        <v>807.27573800000005</v>
      </c>
      <c r="X1" s="3">
        <f>892.4+(322.7-227.8)+(-0.910248+(-0.329154--0.232356))+0-0-0</f>
        <v>986.29295400000001</v>
      </c>
      <c r="Y1" s="3">
        <f>910.5+(344.6-177.7)+(-0.92871+(-0.351492--0.181254))+0-0-0</f>
        <v>1076.301052</v>
      </c>
      <c r="Z1" s="3">
        <f>909.6+(341.2-185.5)+(-1.391688+(-0.522036--0.283815))+0-0-0</f>
        <v>1063.670091</v>
      </c>
      <c r="AA1" s="3">
        <f>846.6+(349.4-148.1)+(-1.295298+(-0.534582--0.226593))+0-0-0</f>
        <v>1046.2967130000002</v>
      </c>
      <c r="AB1" s="3">
        <f>725.5+(358.6-67.4)+(-1.110015+(-0.548658--0.103122))+0-0-0</f>
        <v>1015.144449</v>
      </c>
      <c r="AC1" s="3">
        <f>676.9+(345.9-72.1)+(-2.416533+(-1.234863--0.257397))+0-0-0</f>
        <v>947.30600099999992</v>
      </c>
      <c r="AD1" s="2">
        <v>1058.4000000000001</v>
      </c>
      <c r="AE1" s="3">
        <f>922+(333.7-197.3)+(0+(0-0))+0-0-0</f>
        <v>1058.4000000000001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895.15300049999996</v>
      </c>
      <c r="G2" s="3">
        <f>684+(343-184)+(0+(0-0))+0-0-0</f>
        <v>843</v>
      </c>
      <c r="H2" s="3">
        <f>684.1+(328.8-168.6)+(-1.046673+(-0.503064--0.257958))+0-0-0</f>
        <v>843.00822100000005</v>
      </c>
      <c r="I2" s="3">
        <f>683.6+(327.7-196.9)+(-1.045908+(-0.501381--0.301257))+0-0-0</f>
        <v>813.15396799999996</v>
      </c>
      <c r="J2" s="3">
        <f>684.8+(322.2-205.8)+(-1.047744+(-0.492966--0.314874))+0-0-0</f>
        <v>799.97416399999997</v>
      </c>
      <c r="K2" s="3">
        <f>693.9+(308.3-204.7)+(1.061667+(0.471699-0.313191))+0-0-0</f>
        <v>798.72017500000004</v>
      </c>
      <c r="L2" s="3">
        <f>685.2+(329.7-219.5)+(-1.048356+(-0.504441--0.335835))+0-0-0</f>
        <v>794.18303800000012</v>
      </c>
      <c r="M2" s="3">
        <f>691.6+(312.9-268.5)+(0.352716+(0.159579-0.136935))+0-0-0</f>
        <v>736.37536</v>
      </c>
      <c r="N2" s="3">
        <f>694.6+(322.7-255.9)+(0.354246+(0.164577-0.130509))+0-0-0</f>
        <v>761.78831400000001</v>
      </c>
      <c r="O2" s="3">
        <f>687.6+(350.8-233.8)+(0.350676+(0.178908-0.119238))+0-0-0</f>
        <v>805.01034600000003</v>
      </c>
      <c r="P2" s="3">
        <f>816.7+(317.7-313.9)+(0+(0-0))+0-0-0</f>
        <v>820.5</v>
      </c>
      <c r="Q2" s="3">
        <f>923.6+(297-343.1)+(-0.942072+(-0.30294--0.349962))+0-0-0</f>
        <v>876.60495000000003</v>
      </c>
      <c r="R2" s="3">
        <f>903+(311.7-317.7)+(0+(0-0))+0-0-0</f>
        <v>897</v>
      </c>
      <c r="S2" s="3">
        <f>729+(301.7-215.1)+(0+(0-0))+0-0-0</f>
        <v>815.6</v>
      </c>
      <c r="T2" s="3">
        <f>684.5+(304.6-189.4)+(-0.69819+(-0.310692--0.193188))+0-0-0</f>
        <v>798.88430600000004</v>
      </c>
      <c r="U2" s="3">
        <f>681.8+(303.6-189.9)+(-1.390872+(-0.619344--0.387396))+0-0-0</f>
        <v>793.87717999999995</v>
      </c>
      <c r="V2" s="3">
        <f>694.5+(308.7-210.1)+(0.70839+(0.314874-0.214302))+0-0-0</f>
        <v>793.90896199999997</v>
      </c>
      <c r="W2" s="3">
        <f>684.9+(362.1-247)+(-0.698598+(-0.369342--0.25194))+0-0-0</f>
        <v>799.18399999999997</v>
      </c>
      <c r="X2" s="3">
        <f>897.4+(313.3-363.9)+(-0.915348+(-0.319566--0.371178))+0-0-0</f>
        <v>845.93626399999994</v>
      </c>
      <c r="Y2" s="3">
        <f>998.8+(318.6-272.2)+(0+(0-0))+0-0-0</f>
        <v>1045.2</v>
      </c>
      <c r="Z2" s="3">
        <f>1058.7+(311.7-250.8)+(-1.619811+(-0.476901--0.383724))+0-0-0</f>
        <v>1117.8870119999999</v>
      </c>
      <c r="AA2" s="3">
        <f>1048+(308.3-250.2)+(-1.06896+(-0.314466--0.255204))+0-0-0</f>
        <v>1104.9717779999999</v>
      </c>
      <c r="AB2" s="3">
        <f>913.1+(362.3-198.9)+(0.931362+(0.369546-0.202878))+0-0-0</f>
        <v>1077.5980300000001</v>
      </c>
      <c r="AC2" s="3">
        <f>860.6+(367.4-179.9)+(-0.438906+(-0.187374--0.091749))+0-0-0</f>
        <v>1047.5654689999999</v>
      </c>
      <c r="AD2" s="2">
        <v>1118.8</v>
      </c>
      <c r="AE2" s="3">
        <f>1058+(325.8-265)+(0+(0-0))+0-0-0</f>
        <v>1118.8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736.2+(332-108)+(-1.126386+(-0.50796--0.16524))+0-0-0</f>
        <v>958.73089400000003</v>
      </c>
      <c r="G3" s="3">
        <f>694.5+(340.8-147.6)+(-0.354195+(-0.173808--0.075276))+0-0-0</f>
        <v>887.24727300000006</v>
      </c>
      <c r="H3" s="3">
        <f>691.5+(336.2-192.9)+(-0.352665+(-0.171462--0.098379))+0-0-0</f>
        <v>834.37425199999996</v>
      </c>
      <c r="I3" s="3">
        <f>700.9+(340.6-245.8)+(1.429836+(0.694824-0.501432))+0-0-0</f>
        <v>797.32322800000009</v>
      </c>
      <c r="J3" s="3">
        <f>693.9+(324.7-233.1)+(0+(0-0))+0-0-0</f>
        <v>785.5</v>
      </c>
      <c r="K3" s="3">
        <f>698.3+(304.4-217.5)+(0.356133+(0.155244-0.110925))+0-0-0</f>
        <v>785.6004519999999</v>
      </c>
      <c r="L3" s="3">
        <f>696.1+(317.9-237.2)+(0.355011+(0.162129-0.120972))+0-0-0</f>
        <v>777.19616799999994</v>
      </c>
      <c r="M3" s="3">
        <f>688.9+(303.4-274.9)+(-1.405356+(-0.618936--0.560796))+0-0-0</f>
        <v>715.93650400000001</v>
      </c>
      <c r="N3" s="3">
        <f>692.2+(309.8-253.7)+(-0.353022+(-0.157998--0.129387))+0-0-0</f>
        <v>747.9183670000001</v>
      </c>
      <c r="O3" s="3">
        <f>693.2+(347.8-243.5)+(0.353532+(0.177378-0.124185))+0-0-0</f>
        <v>797.90672500000005</v>
      </c>
      <c r="P3" s="3">
        <f>688.9+(356.2-219.9)+(-0.351339+(-0.181662--0.112149))+0-0-0</f>
        <v>824.77914799999996</v>
      </c>
      <c r="Q3" s="3">
        <f>935.9+(325.9-423.6)+(0+(0-0))+0-0-0</f>
        <v>838.19999999999993</v>
      </c>
      <c r="R3" s="3">
        <f>1015.4+(322.1-485.4)+(-2.58927+(-0.821355--1.23777))+0-0-0</f>
        <v>849.927145</v>
      </c>
      <c r="S3" s="3">
        <f>1036.9+(283.9-483.6)+(1.057638+(0.289578-0.493272))+0-0-0</f>
        <v>838.053944</v>
      </c>
      <c r="T3" s="3">
        <f>1022.9+(290.9-479)+(-1.043358+(-0.296718--0.48858))+0-0-0</f>
        <v>833.94850399999996</v>
      </c>
      <c r="U3" s="3">
        <f>1020.7+(294.1-485.8)+(-2.082228+(-0.599964--0.991032))+0-0-0</f>
        <v>827.30884000000003</v>
      </c>
      <c r="V3" s="3">
        <f>843.1+(313.8-332.6)+(0+(0-0))+0-0-0</f>
        <v>824.3</v>
      </c>
      <c r="W3" s="3">
        <f>837.6+(312.5-315.4)+(0.427176+(0.159375-0.160854))+0-0-0</f>
        <v>835.12569700000006</v>
      </c>
      <c r="X3" s="3">
        <f>823+(315.7-265.5)+(-1.25919+(-0.483021--0.406215))+0-0-0</f>
        <v>871.86400400000002</v>
      </c>
      <c r="Y3" s="3">
        <f>938.6+(347.7-235.4)+(0+(0-0))+0-0-0</f>
        <v>1050.9000000000001</v>
      </c>
      <c r="Z3" s="3">
        <f>1029.9+(360.9-253.5)+(-3.151494+(-1.104354--0.77571))+0-0-0</f>
        <v>1133.8198620000003</v>
      </c>
      <c r="AA3" s="3">
        <f>1044.7+(350.7-276.4)+(-0.532797+(-0.178857--0.140964))+0-0-0</f>
        <v>1118.42931</v>
      </c>
      <c r="AB3" s="3">
        <f>890.6+(363.5-169.1)+(-0.908412+(-0.37077--0.172482))+0-0-0</f>
        <v>1083.8933</v>
      </c>
      <c r="AC3" s="3">
        <f>685.3+(431.6-77.1)+(-1.048509+(-0.660348--0.117963))+0-0-0</f>
        <v>1038.209106</v>
      </c>
      <c r="AD3" s="2">
        <v>1147.9000000000001</v>
      </c>
      <c r="AE3" s="3">
        <f>1034+(366.9-253)+(0+(0-0))+0-0-0</f>
        <v>1147.9000000000001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687.2+(405.8-105.5)+(-0.700944+(-0.413916--0.10761))+0-0-0</f>
        <v>986.49275</v>
      </c>
      <c r="G4" s="3">
        <f>687+(360.2-129.8)+(-1.05111+(-0.551106--0.198594))+0-0-0</f>
        <v>915.99637799999994</v>
      </c>
      <c r="H4" s="3">
        <f>691+(347.9-168.9)+(-0.35241+(-0.177429--0.086139))+0-0-0</f>
        <v>869.55629999999996</v>
      </c>
      <c r="I4" s="3">
        <f>691.9+(333.1-184.6)+(0+(0-0))+0-0-0</f>
        <v>840.4</v>
      </c>
      <c r="J4" s="3">
        <f>689+(323.8-185.6)+(-1.05417+(-0.495414--0.283968))+0-0-0</f>
        <v>825.93438400000002</v>
      </c>
      <c r="K4" s="3">
        <f>692.4+(320.4-188.2)+(-0.353124+(-0.163404--0.095982))+0-0-0</f>
        <v>824.17945399999996</v>
      </c>
      <c r="L4" s="3">
        <f>685.6+(344.1-216.1)+(-1.398624+(-0.701964--0.440844))+0-0-0</f>
        <v>811.94025599999998</v>
      </c>
      <c r="M4" s="3">
        <f>684.6+(318.1-236.5)+(-2.094876+(-0.973386--0.72369))+0-0-0</f>
        <v>763.85542800000007</v>
      </c>
      <c r="N4" s="3">
        <f>730.6+(314.6-254.3)+(0.745212+(0.320892-0.259386))+0-0-0</f>
        <v>791.70671800000014</v>
      </c>
      <c r="O4" s="3">
        <f>922.2+(281.6-348)+(0.470322+(0.143616-0.17748))+0-0-0</f>
        <v>856.23645800000008</v>
      </c>
      <c r="P4" s="3">
        <f>931.3+(290.8-305.9)+(0.949926+(0.296616-0.312018))+0-0-0</f>
        <v>917.13452400000006</v>
      </c>
      <c r="Q4" s="3">
        <f>1018.2+(286.6-367.8)+(0+(0-0))+0-0-0</f>
        <v>937</v>
      </c>
      <c r="R4" s="3">
        <f>1018.8+(301.2-383.8)+(-2.59794+(-0.76806--0.97869))+0-0-0</f>
        <v>933.81268999999998</v>
      </c>
      <c r="S4" s="3">
        <f>1018+(316.3-413.7)+(-2.07672+(-0.645252--0.843948))+0-0-0</f>
        <v>918.72197600000004</v>
      </c>
      <c r="T4" s="3">
        <f>1021.3+(345.3-455.3)+(-1.041726+(-0.352206--0.464406))+0-0-0</f>
        <v>910.37047399999994</v>
      </c>
      <c r="U4" s="3">
        <f>1028.8+(349.2-463.1)+(-1.574064+(-0.534276--0.708543))+0-0-0</f>
        <v>913.50020299999983</v>
      </c>
      <c r="V4" s="3">
        <f>1034.9+(351.8-450.8)+(0.527799+(0.179418-0.229908))+0-0-0</f>
        <v>936.37730900000008</v>
      </c>
      <c r="W4" s="3">
        <f>1043.2+(344.8-413.5)+(2.128128+(0.703392-0.84354))+0-0-0</f>
        <v>976.48797999999999</v>
      </c>
      <c r="X4" s="3">
        <f>1032.5+(329.6-322.1)+(-0.526575+(-0.168096--0.164271))+0-0-0</f>
        <v>1039.4695999999999</v>
      </c>
      <c r="Y4" s="3">
        <f>1045.7+(373.5-248)+(0+(0-0))+0-0-0</f>
        <v>1171.2</v>
      </c>
      <c r="Z4" s="3">
        <f>1029.2+(363.9-209.2)+(-2.62446+(-0.927945--0.53346))+0-0-0</f>
        <v>1180.8810550000001</v>
      </c>
      <c r="AA4" s="3">
        <f>918.4+(384.7-153.7)+(-1.873536+(-0.784788--0.313548))+0-0-0</f>
        <v>1147.0552240000002</v>
      </c>
      <c r="AB4" s="3">
        <f>715.8+(460.3-61.9)+(0+(0-0))+0-0-0</f>
        <v>1114.2</v>
      </c>
      <c r="AC4" s="3">
        <f>680.3+(473.7-81.1)+(0.346953+(0.241587-0.041361))+0-0-0</f>
        <v>1073.447179</v>
      </c>
      <c r="AD4" s="2">
        <v>1176.7</v>
      </c>
      <c r="AE4" s="3">
        <f>1040+(351.3-214.6)+(0+(0-0))+0-0-0</f>
        <v>1176.7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674.9+(409.7-95.3)+(-1.720995+(-1.044735--0.243015))+0-0-0</f>
        <v>986.77728500000001</v>
      </c>
      <c r="G5" s="3">
        <f>679.2+(382.8-134.9)+(-1.385568+(-0.780912--0.275196))+0-0-0</f>
        <v>925.20871599999998</v>
      </c>
      <c r="H5" s="3">
        <f>689.1+(384.2-217.3)+(0.351441+(0.195942-0.110823))+0-0-0</f>
        <v>856.43655999999999</v>
      </c>
      <c r="I5" s="3">
        <f>674.7+(389.4-235.4)+(-2.064582+(-1.191564--0.720324))+0-0-0</f>
        <v>826.16417799999999</v>
      </c>
      <c r="J5" s="3">
        <f>683.4+(355.7-228.2)+(-0.697068+(-0.362814--0.232764))+0-0-0</f>
        <v>810.07288199999994</v>
      </c>
      <c r="K5" s="3">
        <f>687.7+(341.5-217.8)+(0.701454+(0.34833-0.222156))+0-0-0</f>
        <v>812.2276280000001</v>
      </c>
      <c r="L5" s="3">
        <f>680.5+(385-240.6)+(-1.041165+(-0.58905--0.368118))+0-0-0</f>
        <v>823.63790299999994</v>
      </c>
      <c r="M5" s="3">
        <f>737.7+(365.2-283.2)+(-0.376227+(-0.186252--0.144432))+0-0-0</f>
        <v>819.28195300000004</v>
      </c>
      <c r="N5" s="3">
        <f>922+(367.2-442.4)+(0.47022+(0.187272-0.225624))+0-0-0</f>
        <v>847.23186799999996</v>
      </c>
      <c r="O5" s="3">
        <f>1038.9+(386.5-484.3)+(0.529839+(0.197115-0.246993))+0-0-0</f>
        <v>941.57996100000014</v>
      </c>
      <c r="P5" s="3">
        <f>1036.3+(378-387.6)+(0+(0-0))+0-0-0</f>
        <v>1026.6999999999998</v>
      </c>
      <c r="Q5" s="3">
        <f>1037.8+(383.7-427.5)+(0.529278+(0.195687-0.218025))+0-0-0</f>
        <v>994.50693999999999</v>
      </c>
      <c r="R5" s="3">
        <f>1028.9+(384.7-523.1)+(-2.098956+(-0.784788--1.067124))+0-0-0</f>
        <v>888.68338000000006</v>
      </c>
      <c r="S5" s="3">
        <f>1029.1+(373.2-529)+(-1.574523+(-0.570996--0.80937))+0-0-0</f>
        <v>871.96385099999998</v>
      </c>
      <c r="T5" s="3">
        <f>1028.4+(360.4-538.9)+(-0.524484+(-0.183804--0.274839))+0-0-0</f>
        <v>849.46655100000009</v>
      </c>
      <c r="U5" s="3">
        <f>1021.3+(332.5-477.1)+(-2.604315+(-0.847875--1.216605))+0-0-0</f>
        <v>874.46441499999992</v>
      </c>
      <c r="V5" s="3">
        <f>1030.2+(264-451.9)+(0+(0-0))+0-0-0</f>
        <v>842.30000000000007</v>
      </c>
      <c r="W5" s="3">
        <f>1030.2+(271.6-446.2)+(0.525402+(0.138516-0.227562))+0-0-0</f>
        <v>856.03635600000018</v>
      </c>
      <c r="X5" s="3">
        <f>1034.1+(282.8-365.5)+(0+(0-0))+0-0-0</f>
        <v>951.39999999999986</v>
      </c>
      <c r="Y5" s="3">
        <f>1053+(345.9-271.2)+(1.07406+(0.352818-0.276624))+0-0-0</f>
        <v>1128.8502539999999</v>
      </c>
      <c r="Z5" s="3">
        <f>1049.1+(379.4-215.9)+(-1.070082+(-0.386988--0.220218))+0-0-0</f>
        <v>1211.3631479999999</v>
      </c>
      <c r="AA5" s="3">
        <f>1048.8+(382.6-244.2)+(-1.604664+(-0.585378--0.373626))+0-0-0</f>
        <v>1185.3835840000002</v>
      </c>
      <c r="AB5" s="3">
        <f>938.8+(390.4-183.1)+(0.478788+(0.199104-0.093381))+0-0-0</f>
        <v>1146.6845109999999</v>
      </c>
      <c r="AC5" s="3">
        <f>821.9+(416.5-144.6)+(-1.676676+(-0.84966--0.294984))+0-0-0</f>
        <v>1091.5686479999999</v>
      </c>
      <c r="AD5" s="2">
        <v>1239.7</v>
      </c>
      <c r="AE5" s="3">
        <f>1050+(403.4-213.7)+(0+(0-0))+0-0-0</f>
        <v>1239.7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678.9+(442.4-104.8)+(-1.038717+(-0.676872--0.160344))+0-0-0</f>
        <v>1014.944755</v>
      </c>
      <c r="G6" s="3">
        <f>675.7+(410.3-149.4)+(-1.723035+(-1.046265--0.38097))+0-0-0</f>
        <v>934.21167000000003</v>
      </c>
      <c r="H6" s="3">
        <f>680.7+(382.4-180.5)+(-1.041471+(-0.585072--0.276165))+0-0-0</f>
        <v>881.24962200000004</v>
      </c>
      <c r="I6" s="3">
        <f>686+(388.1-217.3)+(0+(0-0))+0-0-0</f>
        <v>856.8</v>
      </c>
      <c r="J6" s="3">
        <f>686.6+(377.9-231.2)+(0+(0-0))+0-0-0</f>
        <v>833.3</v>
      </c>
      <c r="K6" s="3">
        <f>689.1+(374.8-223.9)+(0.351441+(0.191148-0.114189))+0-0-0</f>
        <v>840.42840000000001</v>
      </c>
      <c r="L6" s="3">
        <f>730.4+(386.5-278)+(-0.372504+(-0.197115--0.14178))+0-0-0</f>
        <v>838.47216100000003</v>
      </c>
      <c r="M6" s="3">
        <f>888.8+(407.9-454.9)+(0+(0-0))+0-0-0</f>
        <v>841.8</v>
      </c>
      <c r="N6" s="3">
        <f>897.8+(414.2-402.2)+(0+(0-0))+0-0-0</f>
        <v>909.8</v>
      </c>
      <c r="O6" s="3">
        <f>1001.4+(409.1-417)+(2.042856+(0.834564-0.85068))+0-0-0</f>
        <v>995.52674000000002</v>
      </c>
      <c r="P6" s="3">
        <f>1008.4+(409-374.4)+(1.028568+(0.41718-0.381888))+0-0-0</f>
        <v>1044.06386</v>
      </c>
      <c r="Q6" s="3">
        <f>1026.1+(385.1-337.5)+(-2.093244+(-0.785604--0.6885))+0-0-0</f>
        <v>1071.5096519999997</v>
      </c>
      <c r="R6" s="3">
        <f>1027.9+(381.1-345.2)+(-1.048458+(-0.388722--0.352104))+0-0-0</f>
        <v>1062.7149240000001</v>
      </c>
      <c r="S6" s="3">
        <f>1024.7+(380.9-382.6)+(-2.090388+(-0.777036--0.780504))+0-0-0</f>
        <v>1020.91308</v>
      </c>
      <c r="T6" s="3">
        <f>1030.3+(372.7-411.5)+(0.525453+(0.190077-0.209865))+0-0-0</f>
        <v>992.00566500000002</v>
      </c>
      <c r="U6" s="3">
        <f>1024.6+(387.2-441.2)+(-1.567638+(-0.592416--0.675036))+0-0-0</f>
        <v>969.11498199999994</v>
      </c>
      <c r="V6" s="3">
        <f>1029+(386-450.8)+(-1.04958+(-0.39372--0.459816))+0-0-0</f>
        <v>963.21651600000007</v>
      </c>
      <c r="W6" s="3">
        <f>1019+(358.9-406.1)+(-3.63783+(-1.281273--1.449777))+0-0-0</f>
        <v>968.33067399999993</v>
      </c>
      <c r="X6" s="3">
        <f>1029.9+(354.6-375.7)+(-0.525249+(-0.180846--0.191607))+0-0-0</f>
        <v>1008.2855120000002</v>
      </c>
      <c r="Y6" s="3">
        <f>1046.9+(451.1-311.9)+(1.067838+(0.460122-0.318138))+0-0-0</f>
        <v>1187.3098220000002</v>
      </c>
      <c r="Z6" s="3">
        <f>1035.1+(463.8-239.5)+(-1.583703+(-0.709614--0.366435))+0-0-0</f>
        <v>1257.4731179999999</v>
      </c>
      <c r="AA6" s="3">
        <f>1035.9+(449.9-260.7)+(-1.056618+(-0.458898--0.265914))+0-0-0</f>
        <v>1223.850398</v>
      </c>
      <c r="AB6" s="3">
        <f>1037.4+(423.3-271.6)+(-0.529074+(-0.215883--0.138516))+0-0-0</f>
        <v>1188.4935590000002</v>
      </c>
      <c r="AC6" s="3">
        <f>1035.6+(419.8-320.1)+(0+(0-0))+0-0-0</f>
        <v>1135.3</v>
      </c>
      <c r="AD6" s="2">
        <v>1262.5999999999999</v>
      </c>
      <c r="AE6" s="3">
        <f>1039+(456.6-233)+(0+(0-0))+0-0-0</f>
        <v>1262.5999999999999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792.5+(421.6-141.9)+(-0.80835+(-0.430032--0.144738))+0-0-0</f>
        <v>1071.106356</v>
      </c>
      <c r="G7" s="3">
        <f>675.2+(435.7-135.5)+(-0.688704+(-0.444414--0.13821))+0-0-0</f>
        <v>974.40509200000008</v>
      </c>
      <c r="H7" s="3">
        <f>688.7+(392.6-157)+(-0.702474+(-0.400452--0.16014))+0-0-0</f>
        <v>923.35721400000011</v>
      </c>
      <c r="I7" s="3">
        <f>696.8+(373.4-170.6)+(0.355368+(0.190434-0.087006))+0-0-0</f>
        <v>900.05879599999992</v>
      </c>
      <c r="J7" s="3">
        <f>692.3+(369.8-175.1)+(-0.706146+(-0.377196--0.178602))+0-0-0</f>
        <v>886.09526000000005</v>
      </c>
      <c r="K7" s="3">
        <f>708.3+(355.5-177)+(1.806165+(0.906525-0.45135))+0-0-0</f>
        <v>889.06133999999997</v>
      </c>
      <c r="L7" s="3">
        <f>698.2+(375.5-183.6)+(0.356082+(0.191505-0.093636))+0-0-0</f>
        <v>890.55395099999998</v>
      </c>
      <c r="M7" s="3">
        <f>793.7+(352.7-273.5)+(0+(0-0))+0-0-0</f>
        <v>872.90000000000009</v>
      </c>
      <c r="N7" s="3">
        <f>947.2+(355.9-377.9)+(-1.449216+(-0.544527--0.578187))+0-0-0</f>
        <v>923.78444400000001</v>
      </c>
      <c r="O7" s="3">
        <f>1017+(351.2-361.8)+(-1.03734+(-0.358224--0.369036))+0-0-0</f>
        <v>1005.373472</v>
      </c>
      <c r="P7" s="3">
        <f>1020.8+(348.5-300.1)+(1.041216+(0.35547-0.306102))+0-0-0</f>
        <v>1070.2905839999999</v>
      </c>
      <c r="Q7" s="3">
        <f>991.9+(359.9-253.9)+(-2.023476+(-0.734196--0.517956))+0-0-0</f>
        <v>1095.6602839999998</v>
      </c>
      <c r="R7" s="3">
        <f>1021.2+(368.2-292.8)+(-1.562436+(-0.563346--0.447984))+0-0-0</f>
        <v>1094.922202</v>
      </c>
      <c r="S7" s="3">
        <f>1017.5+(364.2-310.7)+(-2.0757+(-0.742968--0.633828))+0-0-0</f>
        <v>1068.8151600000001</v>
      </c>
      <c r="T7" s="3">
        <f>1015.4+(359.2-336.6)+(-2.071416+(-0.732768--0.686664))+0-0-0</f>
        <v>1035.88248</v>
      </c>
      <c r="U7" s="3">
        <f>1027+(342.3-348.4)+(0+(0-0))+0-0-0</f>
        <v>1020.9000000000001</v>
      </c>
      <c r="V7" s="3">
        <f>1018.1+(338.2-336.5)+(-1.557693+(-0.517446--0.514845))+0-0-0</f>
        <v>1018.239706</v>
      </c>
      <c r="W7" s="3">
        <f>1033.8+(324.5-327)+(1.054476+(0.33099-0.33354))+0-0-0</f>
        <v>1032.351926</v>
      </c>
      <c r="X7" s="3">
        <f>1016.6+(333.8-291.5)+(-2.59233+(-0.85119--0.743325))+0-0-0</f>
        <v>1056.1998050000002</v>
      </c>
      <c r="Y7" s="3">
        <f>1055.2+(397-234.9)+(0.538152+(0.20247-0.119799))+0-0-0</f>
        <v>1217.9208229999999</v>
      </c>
      <c r="Z7" s="3">
        <f>1045.3+(407.3-184.5)+(-1.066206+(-0.415446--0.18819))+0-0-0</f>
        <v>1266.8065379999998</v>
      </c>
      <c r="AA7" s="3">
        <f>1034+(392.7-194)+(-2.6367+(-1.001385--0.4947))+0-0-0</f>
        <v>1229.556615</v>
      </c>
      <c r="AB7" s="3">
        <f>1037.3+(391.5-231.3)+(-2.645115+(-0.998325--0.589815))+0-0-0</f>
        <v>1194.446375</v>
      </c>
      <c r="AC7" s="3">
        <f>1030.7+(382.8-259.6)+(1.051314+(0.390456-0.264792))+0-0-0</f>
        <v>1155.0769780000001</v>
      </c>
      <c r="AD7" s="2">
        <v>1264.4000000000001</v>
      </c>
      <c r="AE7" s="3">
        <f>1056+(400.2-191.8)+(0+(0-0))+0-0-0</f>
        <v>1264.4000000000001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1010.8+(383.8-305.8)+(-2.062032+(-0.782952--0.623832))+0-0-0</f>
        <v>1086.5788479999999</v>
      </c>
      <c r="G8" s="3">
        <f>868+(407.8-278.5)+(-1.77072+(-0.831912--0.56814))+0-0-0</f>
        <v>995.26550799999995</v>
      </c>
      <c r="H8" s="3">
        <f>708.9+(445.8-227.4)+(1.446156+(0.909432-0.463896))+0-0-0</f>
        <v>929.19169199999999</v>
      </c>
      <c r="I8" s="3">
        <f>689.5+(444-232.7)+(0.70329+(0.45288-0.237354))+0-0-0</f>
        <v>901.71881599999995</v>
      </c>
      <c r="J8" s="3">
        <f>669.5+(417.1-197.6)+(-1.707225+(-1.063605--0.50388))+0-0-0</f>
        <v>886.73305000000005</v>
      </c>
      <c r="K8" s="3">
        <f>674.7+(404.2-182.2)+(-0.688194+(-0.412284--0.185844))+0-0-0</f>
        <v>895.78536600000007</v>
      </c>
      <c r="L8" s="3">
        <f>690.9+(428.3-261)+(1.761795+(1.092165-0.66555))+0-0-0</f>
        <v>860.38841000000002</v>
      </c>
      <c r="M8" s="3">
        <f>826.4+(394.2-348.6)+(-1.264392+(-0.603126--0.533358))+0-0-0</f>
        <v>870.66584</v>
      </c>
      <c r="N8" s="3">
        <f>999.9+(444.8-518.6)+(1.019898+(0.453696-0.528972))+0-0-0</f>
        <v>927.04462199999989</v>
      </c>
      <c r="O8" s="3">
        <f>1039+(458.7-514)+(1.05978+(0.467874-0.52428))+0-0-0</f>
        <v>984.70337400000005</v>
      </c>
      <c r="P8" s="3">
        <f>1038+(457.2-472.1)+(1.05876+(0.466344-0.481542))+0-0-0</f>
        <v>1024.143562</v>
      </c>
      <c r="Q8" s="3">
        <f>1034+(450-449.3)+(0.52734+(0.2295-0.229143))+0-0-0</f>
        <v>1035.227697</v>
      </c>
      <c r="R8" s="3">
        <f>1034.5+(450.1-451.1)+(0+(0-0))+0-0-0</f>
        <v>1033.5</v>
      </c>
      <c r="S8" s="3">
        <f>1019.4+(463.6-476.7)+(-2.079576+(-0.945744--0.972468))+0-0-0</f>
        <v>1004.2471479999999</v>
      </c>
      <c r="T8" s="3">
        <f>1023.7+(489.6-537.6)+(-1.566261+(-0.749088--0.822528))+0-0-0</f>
        <v>974.207179</v>
      </c>
      <c r="U8" s="3">
        <f>1029.4+(486-553.9)+(-1.049988+(-0.49572--0.564978))+0-0-0</f>
        <v>960.51927000000012</v>
      </c>
      <c r="V8" s="3">
        <f>1024.8+(453.1-517.6)+(-1.567944+(-0.693243--0.791928))+0-0-0</f>
        <v>958.83074099999999</v>
      </c>
      <c r="W8" s="3">
        <f>1029.5+(417.3-472.5)+(-1.05009+(-0.425646--0.48195))+0-0-0</f>
        <v>973.30621399999995</v>
      </c>
      <c r="X8" s="3">
        <f>1033.9+(402.1-399.3)+(0.527289+(0.205071-0.203643))+0-0-0</f>
        <v>1037.228717</v>
      </c>
      <c r="Y8" s="3">
        <f>1035+(409.4-218.3)+(1.0557+(0.417588-0.222666))+0-0-0</f>
        <v>1227.3506219999999</v>
      </c>
      <c r="Z8" s="3">
        <f>1030+(439.1-193)+(-1.5759+(-0.671823--0.29529))+0-0-0</f>
        <v>1274.147567</v>
      </c>
      <c r="AA8" s="3">
        <f>1042.7+(448.3-254.4)+(-0.531777+(-0.228633--0.129744))+0-0-0</f>
        <v>1235.9693340000001</v>
      </c>
      <c r="AB8" s="3">
        <f>1043.2+(475.2-315.7)+(0+(0-0))+0-0-0</f>
        <v>1202.7</v>
      </c>
      <c r="AC8" s="3">
        <f>1043.1+(453.8-351.1)+(-0.531981+(-0.231438--0.179061))+0-0-0</f>
        <v>1145.2156419999999</v>
      </c>
      <c r="AD8" s="2">
        <v>1277.3999999999999</v>
      </c>
      <c r="AE8" s="3">
        <f>1018+(440.1-180.7)+(0+(0-0))+0-0-0</f>
        <v>1277.4000000000001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876.9+(500.5-304.9)+(-0.894438+(-0.51051--0.310998))+0-0-0</f>
        <v>1071.4060500000001</v>
      </c>
      <c r="G9" s="3">
        <f>541.3+(556.6-119)+(-0.828189+(-0.851598--0.18207))+0-0-0</f>
        <v>977.40228300000001</v>
      </c>
      <c r="H9" s="3">
        <f>531.4+(485.6-108)+(-0.271014+(-0.247656--0.05508))+0-0-0</f>
        <v>908.53641000000005</v>
      </c>
      <c r="I9" s="3">
        <f>531.2+(422.4-82.3)+(-0.541824+(-0.430848--0.083946))+0-0-0</f>
        <v>870.41127399999993</v>
      </c>
      <c r="J9" s="3">
        <f>531.4+(403.4-74.7)+(-0.542028+(-0.411468--0.076194))+0-0-0</f>
        <v>859.22269799999992</v>
      </c>
      <c r="K9" s="3">
        <f>535+(393.6-63.7)+(0.27285+(0.200736-0.032487))+0-0-0</f>
        <v>865.3410990000001</v>
      </c>
      <c r="L9" s="3">
        <f>537.4+(398.1-70.8)+(0.548148+(0.406062-0.072216))+0-0-0</f>
        <v>865.58199400000001</v>
      </c>
      <c r="M9" s="3">
        <f>560.8+(423.1-100.7)+(-0.286008+(-0.215781--0.051357))+0-0-0</f>
        <v>882.74956800000007</v>
      </c>
      <c r="N9" s="3">
        <f>781.9+(446.7-275.5)+(-0.398769+(-0.227817--0.140505))+0-0-0</f>
        <v>952.6139189999999</v>
      </c>
      <c r="O9" s="3">
        <f>799.3+(458.5-219.7)+(-0.407643+(-0.233835--0.112047))+0-0-0</f>
        <v>1037.570569</v>
      </c>
      <c r="P9" s="3">
        <f>803.5+(493.9-190.8)+(0+(0-0))+0-0-0</f>
        <v>1106.5999999999999</v>
      </c>
      <c r="Q9" s="3">
        <f>806.7+(521.4-185)+(0.822834+(0.531828-0.1887))+0-0-0</f>
        <v>1144.2659619999999</v>
      </c>
      <c r="R9" s="3">
        <f>804.6+(529.9-192.4)+(0+(0-0))+0-0-0</f>
        <v>1142.0999999999999</v>
      </c>
      <c r="S9" s="3">
        <f>796.4+(504.3-192)+(-2.03082+(-1.285965--0.4896))+0-0-0</f>
        <v>1105.8728149999999</v>
      </c>
      <c r="T9" s="3">
        <f>800.4+(494.6-225.1)+(-0.816408+(-0.504492--0.229602))+0-0-0</f>
        <v>1068.808702</v>
      </c>
      <c r="U9" s="3">
        <f>799.6+(478.6-225.9)+(-1.223388+(-0.732258--0.345627))+0-0-0</f>
        <v>1050.689981</v>
      </c>
      <c r="V9" s="3">
        <f>802.8+(506.3-245.5)+(0+(0-0))+0-0-0</f>
        <v>1063.5999999999999</v>
      </c>
      <c r="W9" s="3">
        <f>819.6+(491-221.8)+(2.08998+(1.25205-0.56559))+0-0-0</f>
        <v>1091.57644</v>
      </c>
      <c r="X9" s="3">
        <f>783+(513.2-163.3)+(1.59732+(1.046928-0.333132))+0-0-0</f>
        <v>1135.2111160000002</v>
      </c>
      <c r="Y9" s="3">
        <f>784.2+(558.3-78.9)+(0.799884+(0.569466-0.080478))+0-0-0</f>
        <v>1264.888872</v>
      </c>
      <c r="Z9" s="3">
        <f>829.5+(546.5-83.5)+(0.423045+(0.278715-0.042585))+0-0-0</f>
        <v>1293.159175</v>
      </c>
      <c r="AA9" s="3">
        <f>824.3+(553.7-130)+(0+(0-0))+0-0-0</f>
        <v>1248</v>
      </c>
      <c r="AB9" s="3">
        <f>817.6+(568.4-178.9)+(-1.250928+(-0.869652--0.273717))+0-0-0</f>
        <v>1205.2531369999999</v>
      </c>
      <c r="AC9" s="3">
        <f>822.2+(551.4-214.1)+(-0.419322+(-0.281214--0.109191))+0-0-0</f>
        <v>1158.908655</v>
      </c>
      <c r="AD9" s="2">
        <v>1287.3</v>
      </c>
      <c r="AE9" s="3">
        <f>838+(537.8-88.5)+(0+(0-0))+0-0-0</f>
        <v>1287.3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817.8+(556.7-270.6)+(-1.251234+(-0.851751--0.414018))+0-0-0</f>
        <v>1102.211033</v>
      </c>
      <c r="G10" s="3">
        <f>642.4+(487-163.1)+(0+(0-0))+0-0-0</f>
        <v>966.3</v>
      </c>
      <c r="H10" s="3">
        <f>614.2+(453.9-175.6)+(-0.939726+(-0.694467--0.268668))+0-0-0</f>
        <v>891.13447499999995</v>
      </c>
      <c r="I10" s="3">
        <f>630.6+(453.3-192.5)+(-0.964818+(-0.693549--0.294525))+0-0-0</f>
        <v>890.03615800000011</v>
      </c>
      <c r="J10" s="3">
        <f>616.7+(434.7-172.7)+(-0.943551+(-0.665091--0.264231))+0-0-0</f>
        <v>877.35558900000001</v>
      </c>
      <c r="K10" s="3">
        <f>624.2+(403.2-156)+(0+(0-0))+0-0-0</f>
        <v>871.40000000000009</v>
      </c>
      <c r="L10" s="3">
        <f>626.6+(418.3-176.3)+(0+(0-0))+0-0-0</f>
        <v>868.6</v>
      </c>
      <c r="M10" s="3">
        <f>624.6+(418.2-186.4)+(-0.318546+(-0.213282--0.095064))+0-0-0</f>
        <v>855.96323599999994</v>
      </c>
      <c r="N10" s="3">
        <f>801.2+(481.8-357.2)+(0+(0-0))+0-0-0</f>
        <v>925.80000000000007</v>
      </c>
      <c r="O10" s="3">
        <f>798.7+(476.2-282.3)+(-0.814674+(-0.485724--0.287946))+0-0-0</f>
        <v>991.58754799999997</v>
      </c>
      <c r="P10" s="3">
        <f>803.1+(472.3-223.9)+(-0.409581+(-0.240873--0.114189))+0-0-0</f>
        <v>1050.963735</v>
      </c>
      <c r="Q10" s="3">
        <f>823+(464.6-208.3)+(-0.83946+(-0.473892--0.212466))+0-0-0</f>
        <v>1078.199114</v>
      </c>
      <c r="R10" s="3">
        <f>826.4+(463.4-215.7)+(-0.421464+(-0.236334--0.110007))+0-0-0</f>
        <v>1073.5522089999999</v>
      </c>
      <c r="S10" s="3">
        <f>820.4+(452.9-246.3)+(-1.673616+(-0.923916--0.502452))+0-0-0</f>
        <v>1024.9049199999999</v>
      </c>
      <c r="T10" s="3">
        <f>830.7+(466.5-311.4)+(0.423657+(0.237915-0.158814))+0-0-0</f>
        <v>986.30275800000004</v>
      </c>
      <c r="U10" s="3">
        <f>824.5+(444.7-316.2)+(-0.84099+(-0.453594--0.322524))+0-0-0</f>
        <v>952.02793999999994</v>
      </c>
      <c r="V10" s="3">
        <f>828+(458.3-339.5)+(-0.42228+(-0.233733--0.173145))+0-0-0</f>
        <v>946.3171319999999</v>
      </c>
      <c r="W10" s="3">
        <f>1049+(392.5-486.2)+(-1.60497+(-0.600525--0.743886))+0-0-0</f>
        <v>953.838391</v>
      </c>
      <c r="X10" s="3">
        <f>1140.6+(390.6-543.7)+(-1.163412+(-0.398412--0.554574))+0-0-0</f>
        <v>986.49274999999989</v>
      </c>
      <c r="Y10" s="3">
        <f>1160.7+(345.5-347.6)+(1.183914+(0.35241-0.354552))+0-0-0</f>
        <v>1159.7817719999998</v>
      </c>
      <c r="Z10" s="3">
        <f>1291.5+(331.2-364.1)+(-3.95199+(-1.013472--1.114146))+0-0-0</f>
        <v>1254.7486839999999</v>
      </c>
      <c r="AA10" s="3">
        <f>1320.7+(352.9-446.6)+(0+(0-0))+0-0-0</f>
        <v>1227</v>
      </c>
      <c r="AB10" s="3">
        <f>1314.7+(410.3-536.6)+(-0.670497+(-0.209253--0.273666))+0-0-0</f>
        <v>1187.7939160000001</v>
      </c>
      <c r="AC10" s="3">
        <f>1296.1+(420.1-578.3)+(-2.644044+(-0.857004--1.179732))+0-0-0</f>
        <v>1135.5786840000001</v>
      </c>
      <c r="AD10" s="2">
        <v>1262.1999999999998</v>
      </c>
      <c r="AE10" s="3">
        <f>1312+(315.3-365.1)+(0+(0-0))+0-0-0</f>
        <v>1262.2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1170+(447.5-524.4)+(-1.1934+(-0.45645--0.534888))+0-0-0</f>
        <v>1091.9850379999998</v>
      </c>
      <c r="G11" s="3">
        <f>829.4+(508-332.2)+(-1.268982+(-0.77724--0.508266))+0-0-0</f>
        <v>1003.662044</v>
      </c>
      <c r="H11" s="3">
        <f>469+(545.1-84.8)+(-0.71757+(-0.834003--0.129744))+0-0-0</f>
        <v>927.87817099999995</v>
      </c>
      <c r="I11" s="3">
        <f>467.3+(522.9-97.3)+(-0.238323+(-0.266679--0.049623))+0-0-0</f>
        <v>892.44462099999998</v>
      </c>
      <c r="J11" s="3">
        <f>472.7+(515-109.9)+(0.482154+(0.5253-0.112098))+0-0-0</f>
        <v>878.69535599999995</v>
      </c>
      <c r="K11" s="3">
        <f>470.9+(504.1-100)+(0+(0-0))+0-0-0</f>
        <v>875</v>
      </c>
      <c r="L11" s="3">
        <f>464.4+(518.5-117.2)+(-0.947376+(-1.05774--0.239088))+0-0-0</f>
        <v>863.93397200000004</v>
      </c>
      <c r="M11" s="3">
        <f>472.3+(502.7-152.8)+(-0.240873+(-0.256377--0.077928))+0-0-0</f>
        <v>821.78067800000008</v>
      </c>
      <c r="N11" s="3">
        <f>518.4+(506-186.1)+(-0.528768+(-0.51612--0.189822))+0-0-0</f>
        <v>837.44493399999999</v>
      </c>
      <c r="O11" s="3">
        <f>718.8+(515.6-346.8)+(-0.366588+(-0.262956--0.176868))+0-0-0</f>
        <v>887.14732399999991</v>
      </c>
      <c r="P11" s="3">
        <f>780.9+(534.4-351.8)+(-0.796518+(-0.545088--0.358836))+0-0-0</f>
        <v>962.51723000000004</v>
      </c>
      <c r="Q11" s="3">
        <f>796.2+(518.7-306.5)+(-1.218186+(-0.793611--0.468945))+0-0-0</f>
        <v>1006.8571480000001</v>
      </c>
      <c r="R11" s="3">
        <f>809.8+(480.6-295)+(-0.825996+(-0.490212--0.3009))+0-0-0</f>
        <v>994.38469199999997</v>
      </c>
      <c r="S11" s="3">
        <f>807.8+(443.1-268.2)+(-1.235934+(-0.677943--0.410346))+0-0-0</f>
        <v>981.19646900000009</v>
      </c>
      <c r="T11" s="3">
        <f>810+(417.4-254.3)+(-1.2393+(-0.638622--0.389079))+0-0-0</f>
        <v>971.61115699999993</v>
      </c>
      <c r="U11" s="3">
        <f>808.8+(466-325.4)+(-1.237464+(-0.71298--0.497862))+0-0-0</f>
        <v>947.94741799999997</v>
      </c>
      <c r="V11" s="3">
        <f>799.7+(497.8-351.2)+(-2.447082+(-1.523268--1.074672))+0-0-0</f>
        <v>943.40432200000009</v>
      </c>
      <c r="W11" s="3">
        <f>810.3+(534.2-376.8)+(-0.826506+(-0.544884--0.384336))+0-0-0</f>
        <v>966.7129460000001</v>
      </c>
      <c r="X11" s="3">
        <f>829.1+(490.1-298)+(0.422841+(0.249951-0.15198))+0-0-0</f>
        <v>1021.720812</v>
      </c>
      <c r="Y11" s="3">
        <f>974.3+(410.8-216.2)+(0+(0-0))+0-0-0</f>
        <v>1168.9000000000001</v>
      </c>
      <c r="Z11" s="3">
        <f>980.4+(404.9-178.1)+(-2.000016+(-0.825996--0.363324))+0-0-0</f>
        <v>1204.737312</v>
      </c>
      <c r="AA11" s="3">
        <f>980.1+(448.5-241.5)+(-0.999702+(-0.45747--0.24633))+0-0-0</f>
        <v>1185.889158</v>
      </c>
      <c r="AB11" s="3">
        <f>976.8+(490.7-301.1)+(-0.498168+(-0.250257--0.153561))+0-0-0</f>
        <v>1165.8051359999999</v>
      </c>
      <c r="AC11" s="3">
        <f>889.4+(517.1-298)+(-1.360782+(-0.791163--0.45594))+0-0-0</f>
        <v>1106.803995</v>
      </c>
      <c r="AD11" s="2">
        <v>1217.3999999999999</v>
      </c>
      <c r="AE11" s="3">
        <f>976+(409.6-168.2)+(0+(0-0))+0-0-0</f>
        <v>1217.4000000000001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757.6+(530.8-245.1)+(-1.159128+(-0.812124--0.375003))+0-0-0</f>
        <v>1041.703751</v>
      </c>
      <c r="G12" s="3">
        <f>504.3+(586.3-141.9)+(-0.514386+(-0.598026--0.144738))+0-0-0</f>
        <v>947.73232600000006</v>
      </c>
      <c r="H12" s="3">
        <f>479.3+(587.1-176)+(0.488886+(0.598842-0.17952))+0-0-0</f>
        <v>891.30820800000004</v>
      </c>
      <c r="I12" s="3">
        <f>482.3+(550.9-174.1)+(0.737919+(0.842877-0.266373))+0-0-0</f>
        <v>860.41442299999994</v>
      </c>
      <c r="J12" s="3">
        <f>478.1+(518-150.1)+(0.243831+(0.26418-0.076551))+0-0-0</f>
        <v>846.43146000000002</v>
      </c>
      <c r="K12" s="3">
        <f>481.2+(516.1-151.3)+(0.736236+(0.789633-0.231489))+0-0-0</f>
        <v>847.29438000000005</v>
      </c>
      <c r="L12" s="3">
        <f>469.1+(508.2-150.1)+(-0.717723+(-0.777546--0.229653))+0-0-0</f>
        <v>825.93438400000002</v>
      </c>
      <c r="M12" s="3">
        <f>472.6+(440.9-126)+(-0.482052+(-0.449718--0.12852))+0-0-0</f>
        <v>786.69674999999995</v>
      </c>
      <c r="N12" s="3">
        <f>471.2+(515.7-165.2)+(-0.240312+(-0.263007--0.084252))+0-0-0</f>
        <v>821.280933</v>
      </c>
      <c r="O12" s="3">
        <f>496.3+(530.7-155.8)+(0.506226+(0.541314-0.158916))+0-0-0</f>
        <v>872.0886240000001</v>
      </c>
      <c r="P12" s="3">
        <f>597+(503.8-181.3)+(0.91341+(0.770814-0.277389))+0-0-0</f>
        <v>920.906835</v>
      </c>
      <c r="Q12" s="3">
        <f>574.5+(490.9-133.5)+(-0.292995+(-0.250359--0.068085))+0-0-0</f>
        <v>931.42473099999995</v>
      </c>
      <c r="R12" s="3">
        <f>573.1+(486-131.6)+(-0.584562+(-0.49572--0.134232))+0-0-0</f>
        <v>926.55394999999999</v>
      </c>
      <c r="S12" s="3">
        <f>575.9+(465.8-140.4)+(0+(0-0))+0-0-0</f>
        <v>901.3</v>
      </c>
      <c r="T12" s="3">
        <f>599.3+(449.7-167.5)+(0.305643+(0.229347-0.085425))+0-0-0</f>
        <v>881.94956500000001</v>
      </c>
      <c r="U12" s="3">
        <f>682.3+(414.3-235.7)+(-0.347973+(-0.211293--0.120207))+0-0-0</f>
        <v>860.46094099999993</v>
      </c>
      <c r="V12" s="3">
        <f>871.3+(396.3-403.7)+(1.333089+(0.606339-0.617661))+0-0-0</f>
        <v>865.221767</v>
      </c>
      <c r="W12" s="3">
        <f>684.6+(420.4-228.6)+(-0.698292+(-0.428808--0.233172))+0-0-0</f>
        <v>875.50607200000002</v>
      </c>
      <c r="X12" s="3">
        <f>710.4+(411.4-223.8)+(-0.362304+(-0.209814--0.114138))+0-0-0</f>
        <v>897.54201999999998</v>
      </c>
      <c r="Y12" s="3">
        <f>828.5+(456.8-223.2)+(0.84507+(0.465936-0.227664))+0-0-0</f>
        <v>1063.1833419999998</v>
      </c>
      <c r="Z12" s="3">
        <f>829.2+(492.6-159.1)+(0.422892+(0.251226-0.081141))+0-0-0</f>
        <v>1163.2929770000001</v>
      </c>
      <c r="AA12" s="3">
        <f>820.2+(522.6-191.9)+(0.418302+(0.266526-0.097869))+0-0-0</f>
        <v>1151.4869590000001</v>
      </c>
      <c r="AB12" s="3">
        <f>815+(520.6-211.7)+(-0.8313+(-0.531012--0.215934))+0-0-0</f>
        <v>1122.7536220000002</v>
      </c>
      <c r="AC12" s="3">
        <f>816.9+(524.5-274.4)+(-0.416619+(-0.267495--0.139944))+0-0-0</f>
        <v>1066.4558300000001</v>
      </c>
      <c r="AD12" s="2">
        <v>1150.3999999999999</v>
      </c>
      <c r="AE12" s="3">
        <f>819+(499.8-168.4)+(0+(0-0))+0-0-0</f>
        <v>1150.4000000000001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812.4+(468.8-281.2)+(-0.414324+(-0.239088--0.143412))+0-0-0</f>
        <v>999.49</v>
      </c>
      <c r="G13" s="3">
        <f>699.7+(415.6-194.7)+(-0.713694+(-0.423912--0.198594))+0-0-0</f>
        <v>919.66098800000009</v>
      </c>
      <c r="H13" s="3">
        <f>547.2+(401.6-108.3)+(-0.558144+(-0.409632--0.110466))+0-0-0</f>
        <v>839.64269000000002</v>
      </c>
      <c r="I13" s="3">
        <f>469.8+(429.9-94.6)+(0+(0-0))+0-0-0</f>
        <v>805.09999999999991</v>
      </c>
      <c r="J13" s="3">
        <f>472.3+(420.2-103.8)+(0.240873+(0.214302-0.052938))+0-0-0</f>
        <v>789.10223700000006</v>
      </c>
      <c r="K13" s="3">
        <f>474.1+(408.8-98)+(0.483582+(0.416976-0.09996))+0-0-0</f>
        <v>785.70059800000013</v>
      </c>
      <c r="L13" s="3">
        <f>471.1+(407.8-112.7)+(0+(0-0))+0-0-0</f>
        <v>766.2</v>
      </c>
      <c r="M13" s="3">
        <f>469.3+(383.1-134.7)+(-0.239343+(-0.195381--0.068697))+0-0-0</f>
        <v>717.33397300000001</v>
      </c>
      <c r="N13" s="3">
        <f>472.7+(372.6-125.3)+(0.482154+(0.380052-0.127806))+0-0-0</f>
        <v>720.73440000000005</v>
      </c>
      <c r="O13" s="3">
        <f>460.6+(386.2-132.1)+(-0.234906+(-0.196962--0.067371))+0-0-0</f>
        <v>714.33550300000002</v>
      </c>
      <c r="P13" s="3">
        <f>453.9+(375.9-129.1)+(-1.157445+(-0.958545--0.329205))+0-0-0</f>
        <v>698.91321499999992</v>
      </c>
      <c r="Q13" s="3">
        <f>461.1+(383.1-162.3)+(-0.235161+(-0.195381--0.082773))+0-0-0</f>
        <v>681.55223100000012</v>
      </c>
      <c r="R13" s="3">
        <f>461.4+(356.5-154)+(0+(0-0))+0-0-0</f>
        <v>663.9</v>
      </c>
      <c r="S13" s="3">
        <f>460.6+(329.3-142.2)+(0+(0-0))+0-0-0</f>
        <v>647.70000000000005</v>
      </c>
      <c r="T13" s="3">
        <f>458.4+(338.2-147)+(-0.467568+(-0.344964--0.14994))+0-0-0</f>
        <v>648.93740799999989</v>
      </c>
      <c r="U13" s="3">
        <f>461.4+(329.1-147.3)+(-0.235314+(-0.167841--0.075123))+0-0-0</f>
        <v>642.87196800000004</v>
      </c>
      <c r="V13" s="3">
        <f>464.7+(349.3-159.4)+(0.236997+(0.178143-0.081294))+0-0-0</f>
        <v>654.93384600000002</v>
      </c>
      <c r="W13" s="3">
        <f>499.6+(350.2-168.4)+(-0.254796+(-0.178602--0.085884))+0-0-0</f>
        <v>681.05248599999993</v>
      </c>
      <c r="X13" s="3">
        <f>635.7+(313.5-217.7)+(-0.648414+(-0.31977--0.222054))+0-0-0</f>
        <v>730.75387000000001</v>
      </c>
      <c r="Y13" s="3">
        <f>824.1+(337.9-237.5)+(0.420291+(0.172329-0.121125))+0-0-0</f>
        <v>924.971495</v>
      </c>
      <c r="Z13" s="3">
        <f>833.2+(387.3-140.4)+(-0.849864+(-0.395046--0.143208))+0-0-0</f>
        <v>1078.9982980000002</v>
      </c>
      <c r="AA13" s="3">
        <f>834.3+(410.1-145.7)+(-0.425493+(-0.209151--0.074307))+0-0-0</f>
        <v>1098.1396630000002</v>
      </c>
      <c r="AB13" s="3">
        <f>833.7+(418.2-184.8)+(-0.850374+(-0.426564--0.188496))+0-0-0</f>
        <v>1066.0115579999999</v>
      </c>
      <c r="AC13" s="3">
        <f>825.2+(407.2-237.9)+(-0.420852+(-0.207672--0.121329))+0-0-0</f>
        <v>993.99280499999998</v>
      </c>
      <c r="AD13" s="2">
        <v>1072.3</v>
      </c>
      <c r="AE13" s="3">
        <f>829+(399-155.7)+(0+(0-0))+0-0-0</f>
        <v>1072.3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731.9+(446-282.9)+(-0.746538+(-0.45492--0.288558))+0-0-0</f>
        <v>894.08709999999996</v>
      </c>
      <c r="G14" s="3">
        <f>487.6+(482.4-138.7)+(-0.497352+(-0.492048--0.141474))+0-0-0</f>
        <v>830.45207399999993</v>
      </c>
      <c r="H14" s="3">
        <f>462.4+(441.1-114.5)+(-0.471648+(-0.449922--0.11679))+0-0-0</f>
        <v>788.19521999999995</v>
      </c>
      <c r="I14" s="3">
        <f>462.3+(430.8-117.6)+(-0.471546+(-0.439416--0.119952))+0-0-0</f>
        <v>774.70898999999997</v>
      </c>
      <c r="J14" s="3">
        <f>462+(411.4-105.5)+(-0.47124+(-0.419628--0.10761))+0-0-0</f>
        <v>767.11674199999993</v>
      </c>
      <c r="K14" s="3">
        <f>462.3+(405.4-90)+(0.235773+(0.206754-0.0459))+0-0-0</f>
        <v>778.09662700000001</v>
      </c>
      <c r="L14" s="3">
        <f>462.2+(414.3-82.3)+(0+(0-0))+0-0-0</f>
        <v>794.2</v>
      </c>
      <c r="M14" s="3">
        <f>509+(403.2-103.5)+(0.25959+(0.205632-0.052785))+0-0-0</f>
        <v>809.112437</v>
      </c>
      <c r="N14" s="3">
        <f>730.6+(411.2-235.9)+(-0.372606+(-0.209712--0.120309))+0-0-0</f>
        <v>905.43799100000001</v>
      </c>
      <c r="O14" s="3">
        <f>825.1+(384.1-228.5)+(0+(0-0))+0-0-0</f>
        <v>980.7</v>
      </c>
      <c r="P14" s="3">
        <f>827.1+(382-190.2)+(0+(0-0))+0-0-0</f>
        <v>1018.9000000000001</v>
      </c>
      <c r="Q14" s="3">
        <f>824+(393-191.7)+(-0.42024+(-0.20043--0.097767))+0-0-0</f>
        <v>1024.7770969999999</v>
      </c>
      <c r="R14" s="3">
        <f>821.2+(388.9-178.6)+(-0.837624+(-0.396678--0.182172))+0-0-0</f>
        <v>1030.44787</v>
      </c>
      <c r="S14" s="3">
        <f>812.3+(393.5-200.3)+(-1.657092+(-0.80274--0.408612))+0-0-0</f>
        <v>1003.4487800000001</v>
      </c>
      <c r="T14" s="3">
        <f>815.7+(417.6-249.3)+(-1.248021+(-0.638928--0.381429))+0-0-0</f>
        <v>982.49447999999995</v>
      </c>
      <c r="U14" s="3">
        <f>820.8+(407.8-258.6)+(-0.837216+(-0.415956--0.263772))+0-0-0</f>
        <v>969.01059999999995</v>
      </c>
      <c r="V14" s="3">
        <f>828.2+(426.8-280.7)+(0+(0-0))+0-0-0</f>
        <v>974.30000000000007</v>
      </c>
      <c r="W14" s="3">
        <f>821.6+(402.1-246.7)+(-0.419016+(-0.205071--0.125817))+0-0-0</f>
        <v>976.50172999999995</v>
      </c>
      <c r="X14" s="3">
        <f>839.7+(369.8-219.3)+(-0.428247+(-0.188598--0.111843))+0-0-0</f>
        <v>989.69499800000006</v>
      </c>
      <c r="Y14" s="3">
        <f>937.2+(391.8-175.3)+(0.477972+(0.199818-0.089403))+0-0-0</f>
        <v>1154.2883870000001</v>
      </c>
      <c r="Z14" s="3">
        <f>1029.1+(380.6-144.1)+(-3.149046+(-1.164636--0.440946))+0-0-0</f>
        <v>1261.7272639999999</v>
      </c>
      <c r="AA14" s="3">
        <f>1210.5+(362-332.1)+(-1.852065+(-0.55386--0.508113))+0-0-0</f>
        <v>1238.5021880000002</v>
      </c>
      <c r="AB14" s="3">
        <f>1237.2+(362.2-420.8)+(-0.630972+(-0.184722--0.214608))+0-0-0</f>
        <v>1177.998914</v>
      </c>
      <c r="AC14" s="3">
        <f>1093.6+(365.2-362.2)+(-1.673208+(-0.558756--0.554166))+0-0-0</f>
        <v>1094.922202</v>
      </c>
      <c r="AD14" s="2">
        <v>1278.9000000000001</v>
      </c>
      <c r="AE14" s="3">
        <f>1017+(370.5-108.6)+(0+(0-0))+0-0-0</f>
        <v>1278.9000000000001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929.1+(377.6-306.3)+(-1.895364+(-0.770304--0.624852))+0-0-0</f>
        <v>998.35918400000014</v>
      </c>
      <c r="G15" s="3">
        <f>807.5+(392.3-272.2)+(-2.059125+(-1.000365--0.69411))+0-0-0</f>
        <v>925.23462000000006</v>
      </c>
      <c r="H15" s="3">
        <f>702.7+(389.3-211.7)+(-1.791885+(-0.992715--0.539835))+0-0-0</f>
        <v>878.05523500000004</v>
      </c>
      <c r="I15" s="3">
        <f>709.7+(392.9-233.7)+(-0.723894+(-0.400758--0.238374))+0-0-0</f>
        <v>868.01372200000014</v>
      </c>
      <c r="J15" s="3">
        <f>718.8+(398.8-265.3)+(0.366588+(0.203388-0.135303))+0-0-0</f>
        <v>852.73467299999993</v>
      </c>
      <c r="K15" s="3">
        <f>714.7+(394.1-246)+(-0.364497+(-0.200991--0.12546))+0-0-0</f>
        <v>862.35997200000008</v>
      </c>
      <c r="L15" s="3">
        <f>757.9+(402.4-281.1)+(0.386529+(0.205224-0.143361))+0-0-0</f>
        <v>879.64839199999994</v>
      </c>
      <c r="M15" s="3">
        <f>808+(396.2-324.3)+(-0.41208+(-0.202062--0.165393))+0-0-0</f>
        <v>879.45125099999996</v>
      </c>
      <c r="N15" s="3">
        <f>998.3+(404.9-457.5)+(0+(0-0))+0-0-0</f>
        <v>945.69999999999993</v>
      </c>
      <c r="O15" s="3">
        <f>1214.6+(382.1-584.5)+(-1.238892+(-0.389742--0.59619))+0-0-0</f>
        <v>1011.1675559999999</v>
      </c>
      <c r="P15" s="3">
        <f>1221.4+(346.5-533.6)+(-0.622914+(-0.176715--0.272136))+0-0-0</f>
        <v>1033.7725070000001</v>
      </c>
      <c r="Q15" s="3">
        <f>1241.5+(357.9-531.5)+(-3.165825+(-0.912645--1.355325))+0-0-0</f>
        <v>1065.1768550000002</v>
      </c>
      <c r="R15" s="3">
        <f>1252.4+(361-470)+(-1.277448+(-0.36822--0.4794))+0-0-0</f>
        <v>1142.2337320000001</v>
      </c>
      <c r="S15" s="3">
        <f>1240.4+(373-527)+(-3.16302+(-0.95115--1.34385))+0-0-0</f>
        <v>1083.62968</v>
      </c>
      <c r="T15" s="3">
        <f>1242.4+(355-564)+(-3.16812+(-0.90525--1.4382))+0-0-0</f>
        <v>1030.7648300000001</v>
      </c>
      <c r="U15" s="3">
        <f>1251.4+(321-502)+(-1.276428+(-0.32742--0.51204))+0-0-0</f>
        <v>1069.3081920000002</v>
      </c>
      <c r="V15" s="3">
        <f>1246.5+(340-498)+(-2.54286+(-0.6936--1.01592))+0-0-0</f>
        <v>1086.27946</v>
      </c>
      <c r="W15" s="3">
        <f>1255.4+(343-477)+(-0.640254+(-0.17493--0.24327))+0-0-0</f>
        <v>1120.828086</v>
      </c>
      <c r="X15" s="3">
        <f>1254.4+(409-490)+(0+(0-0))+0-0-0</f>
        <v>1173.4000000000001</v>
      </c>
      <c r="Y15" s="3">
        <f>1258.4+(387-429)+(0.641784+(0.19737-0.21879))+0-0-0</f>
        <v>1217.0203640000002</v>
      </c>
      <c r="Z15" s="3">
        <f>1267.5+(363-392)+(1.29285+(0.37026-0.39984))+0-0-0</f>
        <v>1239.7632699999999</v>
      </c>
      <c r="AA15" s="3">
        <f>1258.4+(364-445)+(-1.925352+(-0.55692--0.68085))+0-0-0</f>
        <v>1175.5985780000001</v>
      </c>
      <c r="AB15" s="3">
        <f>1262.4+(458-553)+(0+(0-0))+0-0-0</f>
        <v>1167.4000000000001</v>
      </c>
      <c r="AC15" s="3">
        <f>1171.5+(474-363)+(-1.19493+(-0.48348--0.37026))+0-0-0</f>
        <v>1281.1918499999999</v>
      </c>
      <c r="AD15" s="2">
        <v>1303</v>
      </c>
      <c r="AE15" s="3">
        <f>1269+(395.5-361.5)+(0+(0-0))+0-0-0</f>
        <v>1303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817.4+(493.6-317.2)+(0+(0-0))+0-0-0</f>
        <v>993.8</v>
      </c>
      <c r="G16" s="3">
        <f>690.4+(523.8-293.4)+(0+(0-0))+0-0-0</f>
        <v>920.8</v>
      </c>
      <c r="H16" s="3">
        <f>691.4+(497.6-291.2)+(0+(0-0))+0-0-0</f>
        <v>897.8</v>
      </c>
      <c r="I16" s="3">
        <f>715.4+(484.3-296.7)+(0+(0-0))+0-0-0</f>
        <v>903</v>
      </c>
      <c r="J16" s="3">
        <f>705.4+(448.6-275.1)+(0+(0-0))+0-0-0</f>
        <v>878.9</v>
      </c>
      <c r="K16" s="3">
        <f>717.4+(435.2-267.8)+(0+(0-0))+0-0-0</f>
        <v>884.8</v>
      </c>
      <c r="L16" s="3">
        <f>703.2+(475.4-285.8)+(0.358632+(0.242454-0.145758))+0-0-0</f>
        <v>893.25532799999996</v>
      </c>
      <c r="M16" s="3">
        <f>801+(445.9-328.4)+(1.22553+(0.682227-0.502452))+0-0-0</f>
        <v>919.905305</v>
      </c>
      <c r="N16" s="3">
        <f>1207.5+(460.6-658.6)+(-1.23165+(-0.469812--0.671772))+0-0-0</f>
        <v>1008.47031</v>
      </c>
      <c r="O16" s="3">
        <f>1228.1+(477.6-642.1)+(-1.252662+(-0.487152--0.654942))+0-0-0</f>
        <v>1062.515128</v>
      </c>
      <c r="P16" s="3">
        <f>1220.8+(411.4-530.4)+(-1.867824+(-0.629442--0.811512))+0-0-0</f>
        <v>1100.1142459999999</v>
      </c>
      <c r="Q16" s="3">
        <f>1223.5+(440.9-524.7)+(0+(0-0))+0-0-0</f>
        <v>1139.6999999999998</v>
      </c>
      <c r="R16" s="3">
        <f>1210.1+(437.3-500.2)+(-3.702906+(-1.338138--1.530612))+0-0-0</f>
        <v>1143.6895679999998</v>
      </c>
      <c r="S16" s="3">
        <f>1235.7+(413.4-523.8)+(0.630207+(0.210834-0.267138))+0-0-0</f>
        <v>1125.8739030000002</v>
      </c>
      <c r="T16" s="3">
        <f>1223.2+(430.4-561.3)+(-1.247664+(-0.439008--0.572526))+0-0-0</f>
        <v>1091.1858540000003</v>
      </c>
      <c r="U16" s="3">
        <f>1227.3+(417.4-577.3)+(-0.625923+(-0.212874--0.294423))+0-0-0</f>
        <v>1066.855626</v>
      </c>
      <c r="V16" s="3">
        <f>1224.7+(418.1-573.7)+(-1.249194+(-0.426462--0.585174))+0-0-0</f>
        <v>1068.0095179999998</v>
      </c>
      <c r="W16" s="3">
        <f>1229.5+(425.3-573.7)+(0+(0-0))+0-0-0</f>
        <v>1081.0999999999999</v>
      </c>
      <c r="X16" s="3">
        <f>1224.1+(413.6-526.2)+(-0.624291+(-0.210936--0.268362))+0-0-0</f>
        <v>1110.933135</v>
      </c>
      <c r="Y16" s="3">
        <f>1241.6+(397.8-398.6)+(0.633216+(0.202878-0.203286))+0-0-0</f>
        <v>1241.432808</v>
      </c>
      <c r="Z16" s="3">
        <f>1228.5+(444.7-382.9)+(-1.879605+(-0.680391--0.585837))+0-0-0</f>
        <v>1288.3258409999999</v>
      </c>
      <c r="AA16" s="3">
        <f>1209.3+(472.4-438)+(-3.700458+(-1.445544--1.34028))+0-0-0</f>
        <v>1239.8942779999998</v>
      </c>
      <c r="AB16" s="3">
        <f>1114.5+(511-443.2)+(-2.841975+(-1.30305--1.13016))+0-0-0</f>
        <v>1179.2851349999999</v>
      </c>
      <c r="AC16" s="3">
        <f>982.8+(489.7-375.2)+(-2.004912+(-0.998988--0.765408))+0-0-0</f>
        <v>1095.061508</v>
      </c>
      <c r="AD16" s="2">
        <v>1291</v>
      </c>
      <c r="AE16" s="3">
        <f>1246+(423.4-378.4)+(0+(0-0))+0-0-0</f>
        <v>1291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697.5+(549.9-222.4)+(-0.355725+(-0.280449--0.113424))+0-0-0</f>
        <v>1024.4772499999999</v>
      </c>
      <c r="G17" s="3">
        <f>632.9+(506.8-192.6)+(-0.968337+(-0.775404--0.294678))+0-0-0</f>
        <v>945.650937</v>
      </c>
      <c r="H17" s="3">
        <f>639.4+(518.6-238.3)+(0.652188+(0.528972-0.243066))+0-0-0</f>
        <v>920.63809400000002</v>
      </c>
      <c r="I17" s="3">
        <f>632.5+(522.7-253.8)+(0.64515+(0.533154-0.258876))+0-0-0</f>
        <v>902.31942800000013</v>
      </c>
      <c r="J17" s="3">
        <f>624.3+(510.6-235.6)+(-0.636786+(-0.520812--0.240312))+0-0-0</f>
        <v>898.38271399999996</v>
      </c>
      <c r="K17" s="3">
        <f>635.8+(498.1-222)+(0.324258+(0.254031-0.11322))+0-0-0</f>
        <v>912.36506899999995</v>
      </c>
      <c r="L17" s="3">
        <f>622.8+(506.2-226.8)+(-0.635256+(-0.516324--0.231336))+0-0-0</f>
        <v>901.27975599999991</v>
      </c>
      <c r="M17" s="3">
        <f>653.5+(522.5-262.4)+(0.66657+(0.53295-0.267648))+0-0-0</f>
        <v>914.53187200000002</v>
      </c>
      <c r="N17" s="3">
        <f>696.3+(437.3-134.3)+(0.710226+(0.446046-0.136986))+0-0-0</f>
        <v>1000.3192859999999</v>
      </c>
      <c r="O17" s="3">
        <f>823.5+(432.1-183.3)+(1.259955+(0.661113-0.280449))+0-0-0</f>
        <v>1073.940619</v>
      </c>
      <c r="P17" s="3">
        <f>825.5+(452.3-161)+(1.263015+(0.692019-0.24633))+0-0-0</f>
        <v>1118.5087039999999</v>
      </c>
      <c r="Q17" s="3">
        <f>819.4+(457.2-149.3)+(0+(0-0))+0-0-0</f>
        <v>1127.3</v>
      </c>
      <c r="R17" s="3">
        <f>771.5+(471.4-113)+(0+(0-0))+0-0-0</f>
        <v>1129.9000000000001</v>
      </c>
      <c r="S17" s="3">
        <f>407.5+(693.7-28.4)+(-1.24695+(-2.122722--0.086904))+0-0-0</f>
        <v>1069.5172320000001</v>
      </c>
      <c r="T17" s="3">
        <f>432.7+(651.1-60.4)+(0+(0-0))+0-0-0</f>
        <v>1023.4000000000001</v>
      </c>
      <c r="U17" s="3">
        <f>678.9+(471.1-150.7)+(0+(0-0))+0-0-0</f>
        <v>999.3</v>
      </c>
      <c r="V17" s="3">
        <f>910.1+(424.9-341.2)+(-0.928302+(-0.433398--0.348024))+0-0-0</f>
        <v>992.78632399999992</v>
      </c>
      <c r="W17" s="3">
        <f>1200.5+(390.2-571.9)+(-1.836765+(-0.597006--0.875007))+0-0-0</f>
        <v>1017.241236</v>
      </c>
      <c r="X17" s="3">
        <f>1185.8+(377.8-524.2)+(-0.604758+(-0.192678--0.267342))+0-0-0</f>
        <v>1038.8699059999999</v>
      </c>
      <c r="Y17" s="3">
        <f>1221+(357.4-403.4)+(1.86813+(0.546822-0.617202))+0-0-0</f>
        <v>1176.79775</v>
      </c>
      <c r="Z17" s="3">
        <f>1279.7+(367.5-376.5)+(0+(0-0))+0-0-0</f>
        <v>1270.7</v>
      </c>
      <c r="AA17" s="3">
        <f>1271+(410.2-455.7)+(-1.94463+(-0.627606--0.697221))+0-0-0</f>
        <v>1223.6249849999999</v>
      </c>
      <c r="AB17" s="3">
        <f>1266.6+(467.2-558.6)+(-2.583864+(-0.953088--1.139544))+0-0-0</f>
        <v>1172.8025919999998</v>
      </c>
      <c r="AC17" s="3">
        <f>1264.2+(468.4-617.1)+(-3.22371+(-1.19442--1.573605))+0-0-0</f>
        <v>1112.655475</v>
      </c>
      <c r="AD17" s="2">
        <v>1287.8</v>
      </c>
      <c r="AE17" s="3">
        <f>1284+(388-384.2)+(0+(0-0))+0-0-0</f>
        <v>1287.8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1004.7+(435.8-395.3)+(1.537191+(0.666774-0.604809))+0-0-0</f>
        <v>1046.799156</v>
      </c>
      <c r="G18" s="3">
        <f>959+(420.8-408.5)+(-1.46727+(-0.643824--0.625005))+0-0-0</f>
        <v>969.81391099999996</v>
      </c>
      <c r="H18" s="3">
        <f>794.3+(434.8-303.2)+(-0.405093+(-0.221748--0.154632))+0-0-0</f>
        <v>925.42779099999996</v>
      </c>
      <c r="I18" s="3">
        <f>822.6+(397.8-319)+(-2.09763+(-1.01439--0.81345))+0-0-0</f>
        <v>899.10143000000005</v>
      </c>
      <c r="J18" s="3">
        <f>845.4+(389.1-347)+(1.724616+(0.793764-0.70788))+0-0-0</f>
        <v>889.31050000000005</v>
      </c>
      <c r="K18" s="3">
        <f>626.2+(452.7-197.7)+(-0.319362+(-0.230877--0.100827))+0-0-0</f>
        <v>880.75058799999999</v>
      </c>
      <c r="L18" s="3">
        <f>534.4+(444.2-133.6)+(-1.090176+(-0.906168--0.272544))+0-0-0</f>
        <v>843.27620000000002</v>
      </c>
      <c r="M18" s="3">
        <f>534.2+(392.3-124.4)+(-0.817326+(-0.600219--0.190332))+0-0-0</f>
        <v>800.87278700000002</v>
      </c>
      <c r="N18" s="3">
        <f>539.1+(435.8-149)+(-0.274941+(-0.222258--0.07599))+0-0-0</f>
        <v>825.47879100000011</v>
      </c>
      <c r="O18" s="3">
        <f>605+(444.4-176.2)+(0+(0-0))+0-0-0</f>
        <v>873.2</v>
      </c>
      <c r="P18" s="3">
        <f>601.4+(457.6-135.8)+(0+(0-0))+0-0-0</f>
        <v>923.2</v>
      </c>
      <c r="Q18" s="3">
        <f>617.8+(460.7-127.6)+(0.315078+(0.234957-0.065076))+0-0-0</f>
        <v>951.38495899999998</v>
      </c>
      <c r="R18" s="3">
        <f>615.2+(464.1-132.1)+(-0.313752+(-0.236691--0.067371))+0-0-0</f>
        <v>946.71692800000005</v>
      </c>
      <c r="S18" s="3">
        <f>613.8+(444.7-136.9)+(-0.626076+(-0.453594--0.139638))+0-0-0</f>
        <v>920.65996799999994</v>
      </c>
      <c r="T18" s="3">
        <f>616.2+(450.4-164)+(-0.314262+(-0.229704--0.08364))+0-0-0</f>
        <v>902.13967400000001</v>
      </c>
      <c r="U18" s="3">
        <f>608.1+(442.5-166.3)+(-1.550655+(-1.128375--0.424065))+0-0-0</f>
        <v>882.04503499999998</v>
      </c>
      <c r="V18" s="3">
        <f>620.7+(458.6-197.8)+(0+(0-0))+0-0-0</f>
        <v>881.5</v>
      </c>
      <c r="W18" s="3">
        <f>858.3+(384.9-343.5)+(-2.188665+(-0.981495--0.875925))+0-0-0</f>
        <v>897.40576499999997</v>
      </c>
      <c r="X18" s="3">
        <f>1060.5+(346.8-471.4)+(-0.540855+(-0.176868--0.240414))+0-0-0</f>
        <v>935.4226910000001</v>
      </c>
      <c r="Y18" s="3">
        <f>1079.2+(381.1-365.5)+(-0.550392+(-0.194361--0.186405))+0-0-0</f>
        <v>1094.2416520000002</v>
      </c>
      <c r="Z18" s="3">
        <f>1173.4+(380.2-339)+(-1.795302+(-0.581706--0.51867))+0-0-0</f>
        <v>1212.7416620000001</v>
      </c>
      <c r="AA18" s="3">
        <f>1299.5+(338.7-431)+(-2.65098+(-0.690948--0.87924))+0-0-0</f>
        <v>1204.737312</v>
      </c>
      <c r="AB18" s="3">
        <f>1244.6+(339.3-426.7)+(-0.634746+(-0.173043--0.217617))+0-0-0</f>
        <v>1156.6098279999999</v>
      </c>
      <c r="AC18" s="3">
        <f>1078.4+(349-350.2)+(0.549984+(0.17799-0.178602))+0-0-0</f>
        <v>1077.749372</v>
      </c>
      <c r="AD18" s="2">
        <v>1333</v>
      </c>
      <c r="AE18" s="3">
        <f>1306.4+(371.8-345.2)+(0+(0-0))+0-0-0</f>
        <v>1333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1022.6+(348.7-389.3)+(-2.60763+(-0.889185--0.992715))+0-0-0</f>
        <v>979.49590000000001</v>
      </c>
      <c r="G19" s="3">
        <f>832.9+(415.4-345)+(-2.123895+(-1.05927--0.87975))+0-0-0</f>
        <v>900.99658499999998</v>
      </c>
      <c r="H19" s="3">
        <f>854.5+(394.5-374.4)+(1.307385+(0.603585-0.572832))+0-0-0</f>
        <v>875.93813799999998</v>
      </c>
      <c r="I19" s="3">
        <f>862+(376.8-383.2)+(2.1981+(0.96084-0.97716))+0-0-0</f>
        <v>857.78178000000003</v>
      </c>
      <c r="J19" s="3">
        <f>833.4+(372.8-359.1)+(-2.12517+(-0.95064--0.915705))+0-0-0</f>
        <v>844.93989499999986</v>
      </c>
      <c r="K19" s="3">
        <f>856.9+(350.9-349.9)+(0+(0-0))+0-0-0</f>
        <v>857.9</v>
      </c>
      <c r="L19" s="3">
        <f>836.7+(357.7-314.5)+(-1.706868+(-0.729708--0.64158))+0-0-0</f>
        <v>878.10500400000012</v>
      </c>
      <c r="M19" s="3">
        <f>983.7+(338.3-396.5)+(0.501687+(0.172533-0.202215))+0-0-0</f>
        <v>925.97200499999997</v>
      </c>
      <c r="N19" s="3">
        <f>1158.5+(299.4-436.6)+(1.18167+(0.305388-0.445332))+0-0-0</f>
        <v>1022.341726</v>
      </c>
      <c r="O19" s="3">
        <f>1291.5+(289.7-498)+(0+(0-0))+0-0-0</f>
        <v>1083.2</v>
      </c>
      <c r="P19" s="3">
        <f>1430.2+(362.2-673.9)+(-0.729402+(-0.184722--0.343689))+0-0-0</f>
        <v>1117.9295649999999</v>
      </c>
      <c r="Q19" s="3">
        <f>1421.1+(386.7-680)+(-2.899044+(-0.788868--1.3872))+0-0-0</f>
        <v>1125.499288</v>
      </c>
      <c r="R19" s="3">
        <f>1444.1+(395.6-708.1)+(1.472982+(0.403512-0.722262))+0-0-0</f>
        <v>1132.754232</v>
      </c>
      <c r="S19" s="3">
        <f>1391.8+(383.8-674.3)+(-2.129454+(-0.587214--1.031679))+0-0-0</f>
        <v>1099.6150109999999</v>
      </c>
      <c r="T19" s="3">
        <f>1352.2+(356.3-636.2)+(-0.689622+(-0.181713--0.324462))+0-0-0</f>
        <v>1071.7531269999999</v>
      </c>
      <c r="U19" s="3">
        <f>1342.1+(339.4-630.7)+(-2.053413+(-0.519282--0.964971))+0-0-0</f>
        <v>1049.1922759999998</v>
      </c>
      <c r="V19" s="3">
        <f>1360.5+(412.7-726.5)+(0.693855+(0.210477-0.370515))+0-0-0</f>
        <v>1047.233817</v>
      </c>
      <c r="W19" s="3">
        <f>1353.3+(421.6-724.1)+(-1.380366+(-0.430032--0.738582))+0-0-0</f>
        <v>1049.7281840000001</v>
      </c>
      <c r="X19" s="3">
        <f>1341.6+(412.9-676.5)+(-2.736864+(-0.842316--1.38006))+0-0-0</f>
        <v>1075.80088</v>
      </c>
      <c r="Y19" s="3">
        <f>1441+(371.3-606.9)+(0.73491+(0.189363-0.309519))+0-0-0</f>
        <v>1206.014754</v>
      </c>
      <c r="Z19" s="3">
        <f>1539+(383.6-607.7)+(-2.35467+(-0.586908--0.929781))+0-0-0</f>
        <v>1312.8882030000002</v>
      </c>
      <c r="AA19" s="3">
        <f>1513.4+(329.8-562.9)+(-3.85917+(-0.84099--1.435395))+0-0-0</f>
        <v>1277.0352350000003</v>
      </c>
      <c r="AB19" s="3">
        <f>1411.7+(338-533.2)+(-2.879868+(-0.68952--1.087728))+0-0-0</f>
        <v>1214.0183400000001</v>
      </c>
      <c r="AC19" s="3">
        <f>1090+(386-359.2)+(-2.2236+(-0.78744--0.732768))+0-0-0</f>
        <v>1114.5217279999999</v>
      </c>
      <c r="AD19" s="2">
        <v>1321.7</v>
      </c>
      <c r="AE19" s="3">
        <f>1545+(417-640.3)+(0+(0-0))+0-0-0</f>
        <v>1321.7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917.4+(427.7-346.9)+(0+(0-0))+0-0-0</f>
        <v>998.2</v>
      </c>
      <c r="G20" s="3">
        <f>892.6+(451.6-410.3)+(-1.820904+(-0.921264--0.837012))+0-0-0</f>
        <v>931.99484400000006</v>
      </c>
      <c r="H20" s="3">
        <f>890.6+(398.3-384.3)+(-1.816824+(-0.812532--0.783972))+0-0-0</f>
        <v>902.75461600000006</v>
      </c>
      <c r="I20" s="3">
        <f>887+(412.3-413.4)+(-0.90474+(-0.420546--0.421668))+0-0-0</f>
        <v>884.99638200000004</v>
      </c>
      <c r="J20" s="3">
        <f>835.3+(382.9-337.8)+(-1.278009+(-0.585837--0.516834))+0-0-0</f>
        <v>879.05298799999991</v>
      </c>
      <c r="K20" s="3">
        <f>849.7+(340.7-300.1)+(0.433347+(0.173757-0.153051))+0-0-0</f>
        <v>890.754053</v>
      </c>
      <c r="L20" s="3">
        <f>845.4+(349-300.1)+(0+(0-0))+0-0-0</f>
        <v>894.3</v>
      </c>
      <c r="M20" s="3">
        <f>918.7+(392.7-400)+(-0.468537+(-0.200277--0.204))+0-0-0</f>
        <v>910.93518600000004</v>
      </c>
      <c r="N20" s="3">
        <f>1199.1+(415.9-614.7)+(-1.834623+(-0.636327--0.940491))+0-0-0</f>
        <v>998.76954099999989</v>
      </c>
      <c r="O20" s="3">
        <f>1332+(418.2-697.2)+(0.67932+(0.213282-0.355572))+0-0-0</f>
        <v>1053.53703</v>
      </c>
      <c r="P20" s="3">
        <f>1312.5+(396-627.5)+(0+(0-0))+0-0-0</f>
        <v>1081</v>
      </c>
      <c r="Q20" s="3">
        <f>1318.9+(421.8-651.3)+(1.345278+(0.430236-0.664326))+0-0-0</f>
        <v>1090.5111880000002</v>
      </c>
      <c r="R20" s="3">
        <f>1443.8+(440.8-773.6)+(0.736338+(0.224808-0.394536))+0-0-0</f>
        <v>1111.5666100000001</v>
      </c>
      <c r="S20" s="3">
        <f>1463.8+(413.5-795.7)+(-4.479228+(-1.26531--2.434842))+0-0-0</f>
        <v>1078.2903039999999</v>
      </c>
      <c r="T20" s="3">
        <f>1490.2+(431.1-866.4)+(-1.520004+(-0.439722--0.883728))+0-0-0</f>
        <v>1053.8240020000001</v>
      </c>
      <c r="U20" s="3">
        <f>1483.5+(426.2-878.1)+(-2.269755+(-0.652086--1.343493))+0-0-0</f>
        <v>1030.0216519999999</v>
      </c>
      <c r="V20" s="3">
        <f>1351.2+(401.7-726.2)+(-0.689112+(-0.204867--0.370362))+0-0-0</f>
        <v>1026.176383</v>
      </c>
      <c r="W20" s="3">
        <f>1304.6+(347-615.2)+(0.665346+(0.17697-0.313752))+0-0-0</f>
        <v>1036.9285639999998</v>
      </c>
      <c r="X20" s="3">
        <f>1294.2+(305.4-543.8)+(-1.980126+(-0.467262--0.832014))+0-0-0</f>
        <v>1054.1846260000002</v>
      </c>
      <c r="Y20" s="3">
        <f>1492.3+(279.8-577.4)+(-1.522146+(-0.285396--0.588948))+0-0-0</f>
        <v>1193.4814060000001</v>
      </c>
      <c r="Z20" s="3">
        <f>1539.8+(288.7-510.9)+(-3.92649+(-0.736185--1.302795))+0-0-0</f>
        <v>1314.2401199999999</v>
      </c>
      <c r="AA20" s="3">
        <f>1459.5+(304.9-488)+(-2.97738+(-0.621996--0.99552))+0-0-0</f>
        <v>1273.7961440000001</v>
      </c>
      <c r="AB20" s="3">
        <f>1418.6+(316.2-521.4)+(-1.446972+(-0.322524--0.531828))+0-0-0</f>
        <v>1212.1623319999999</v>
      </c>
      <c r="AC20" s="3">
        <f>1214.3+(385.4-498.8)+(-1.857879+(-0.589662--0.763164))+0-0-0</f>
        <v>1099.2156229999998</v>
      </c>
      <c r="AD20" s="2">
        <v>1328</v>
      </c>
      <c r="AE20" s="3">
        <f>1531+(296.7-499.7)+(0+(0-0))+0-0-0</f>
        <v>1328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1129.6+(419.5-532.4)+(-1.728288+(-0.641835--0.814572))+0-0-0</f>
        <v>1015.1444489999999</v>
      </c>
      <c r="G21" s="3">
        <f>1108.2+(436.1-594.6)+(-2.260728+(-0.889644--1.212984))+0-0-0</f>
        <v>947.76261199999999</v>
      </c>
      <c r="H21" s="3">
        <f>924.5+(418.1-427.9)+(-0.94299+(-0.426462--0.436458))+0-0-0</f>
        <v>913.76700600000004</v>
      </c>
      <c r="I21" s="3">
        <f>923.8+(386.4-406.1)+(-1.413414+(-0.591192--0.621333))+0-0-0</f>
        <v>902.71672699999988</v>
      </c>
      <c r="J21" s="3">
        <f>929+(371.7-399.9)+(-0.47379+(-0.189567--0.203949))+0-0-0</f>
        <v>900.3405919999999</v>
      </c>
      <c r="K21" s="3">
        <f>932.2+(363.6-391.8)+(0.475422+(0.185436-0.199818))+0-0-0</f>
        <v>904.46104000000003</v>
      </c>
      <c r="L21" s="3">
        <f>897.7+(306.4-291)+(-3.204789+(-1.093848--1.03887))+0-0-0</f>
        <v>909.84023300000001</v>
      </c>
      <c r="M21" s="3">
        <f>994.6+(339.8-402.5)+(0+(0-0))+0-0-0</f>
        <v>931.90000000000009</v>
      </c>
      <c r="N21" s="3">
        <f>1345.9+(303.8-633.3)+(0.686409+(0.154938-0.322983))+0-0-0</f>
        <v>1016.9183640000001</v>
      </c>
      <c r="O21" s="3">
        <f>1490.2+(326.4-704.2)+(-1.520004+(-0.332928--0.718284))+0-0-0</f>
        <v>1111.2653520000001</v>
      </c>
      <c r="P21" s="3">
        <f>1486.6+(347.7-753.5)+(0.758166+(0.177327-0.384285))+0-0-0</f>
        <v>1081.351208</v>
      </c>
      <c r="Q21" s="3">
        <f>1480.1+(350.4-715.9)+(0+(0-0))+0-0-0</f>
        <v>1114.5999999999999</v>
      </c>
      <c r="R21" s="3">
        <f>1467.4+(347.9-694.7)+(0+(0-0))+0-0-0</f>
        <v>1120.5999999999999</v>
      </c>
      <c r="S21" s="3">
        <f>1454.6+(358.1-717.4)+(-3.70923+(-0.913155--1.82937))+0-0-0</f>
        <v>1092.506985</v>
      </c>
      <c r="T21" s="3">
        <f>1460.4+(387.4-772.2)+(0+(0-0))+0-0-0</f>
        <v>1075.5999999999999</v>
      </c>
      <c r="U21" s="3">
        <f>1457.8+(386.8-761.9)+(-1.486956+(-0.394536--0.777138))+0-0-0</f>
        <v>1081.595646</v>
      </c>
      <c r="V21" s="3">
        <f>1466.3+(390.2-795.8)+(-2.243439+(-0.597006--1.217574))+0-0-0</f>
        <v>1059.077129</v>
      </c>
      <c r="W21" s="3">
        <f>1373.4+(397.8-702.4)+(-0.700434+(-0.202878--0.358224))+0-0-0</f>
        <v>1068.2549120000001</v>
      </c>
      <c r="X21" s="3">
        <f>1340.5+(369.6-644.2)+(-2.050965+(-0.565488--0.985626))+0-0-0</f>
        <v>1064.2691730000001</v>
      </c>
      <c r="Y21" s="3">
        <f>1434.3+(338.8-593)+(-0.731493+(-0.172788--0.30243))+0-0-0</f>
        <v>1179.498149</v>
      </c>
      <c r="Z21" s="3">
        <f>1658+(288.6-612.3)+(-1.69116+(-0.294372--0.624546))+0-0-0</f>
        <v>1332.9390140000003</v>
      </c>
      <c r="AA21" s="3">
        <f>1576.5+(371.5-650.4)+(-0.804015+(-0.189465--0.331704))+0-0-0</f>
        <v>1296.938224</v>
      </c>
      <c r="AB21" s="3">
        <f>1477.9+(463.7-715)+(-3.014916+(-0.945948--1.4586))+0-0-0</f>
        <v>1224.0977360000002</v>
      </c>
      <c r="AC21" s="3">
        <f>1213+(492.5-589.4)+(0.61863+(0.251175-0.300594))+0-0-0</f>
        <v>1116.6692109999999</v>
      </c>
      <c r="AD21" s="2">
        <v>1323.5</v>
      </c>
      <c r="AE21" s="3">
        <f>1664+(283-623.5)+(0+(0-0))+0-0-0</f>
        <v>1323.5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1168.5+(498-657)+(0.595935+(0.25398-0.33507))+0-0-0</f>
        <v>1010.014845</v>
      </c>
      <c r="G22" s="3">
        <f>1009.3+(471.7-530.4)+(-0.514743+(-0.240567--0.270504))+0-0-0</f>
        <v>950.11519399999986</v>
      </c>
      <c r="H22" s="3">
        <f>787.2+(480.2-369.4)+(-0.401472+(-0.244902--0.188394))+0-0-0</f>
        <v>897.54201999999998</v>
      </c>
      <c r="I22" s="3">
        <f>790.6+(481-399.2)+(0+(0-0))+0-0-0</f>
        <v>872.40000000000009</v>
      </c>
      <c r="J22" s="3">
        <f>788.9+(451-392.4)+(0+(0-0))+0-0-0</f>
        <v>847.5</v>
      </c>
      <c r="K22" s="3">
        <f>780.5+(409.2-337.4)+(-1.194165+(-0.626076--0.516222))+0-0-0</f>
        <v>850.99598099999992</v>
      </c>
      <c r="L22" s="3">
        <f>869+(374.9-378.2)+(-0.88638+(-0.382398--0.385764))+0-0-0</f>
        <v>864.81698600000004</v>
      </c>
      <c r="M22" s="3">
        <f>942.3+(387.2-427.2)+(0.961146+(0.394944-0.435744))+0-0-0</f>
        <v>903.22034599999995</v>
      </c>
      <c r="N22" s="3">
        <f>985.4+(418.7-408.8)+(2.010216+(0.854148-0.833952))+0-0-0</f>
        <v>997.33041199999991</v>
      </c>
      <c r="O22" s="3">
        <f>1031+(421.3-402.4)+(-1.05162+(-0.429726--0.410448))+0-0-0</f>
        <v>1048.8291020000001</v>
      </c>
      <c r="P22" s="3">
        <f>1286.9+(437-627.9)+(-0.656319+(-0.22287--0.320229))+0-0-0</f>
        <v>1095.4410399999999</v>
      </c>
      <c r="Q22" s="3">
        <f>1475.9+(427.4-749.5)+(1.505418+(0.435948-0.76449))+0-0-0</f>
        <v>1154.9768760000002</v>
      </c>
      <c r="R22" s="3">
        <f>1488.3+(384.5-711.7)+(0+(0-0))+0-0-0</f>
        <v>1161.0999999999999</v>
      </c>
      <c r="S22" s="3">
        <f>1455+(369.2-668.4)+(-2.9682+(-0.753168--1.363536))+0-0-0</f>
        <v>1153.442168</v>
      </c>
      <c r="T22" s="3">
        <f>1452+(379.6-689.5)+(1.48104+(0.387192-0.70329))+0-0-0</f>
        <v>1143.264942</v>
      </c>
      <c r="U22" s="3">
        <f>1450.6+(366.4-675.2)+(1.479612+(0.373728-0.688704))+0-0-0</f>
        <v>1142.9646359999997</v>
      </c>
      <c r="V22" s="3">
        <f>1428.5+(349.9-633.2)+(-2.185605+(-0.535347--0.968796))+0-0-0</f>
        <v>1143.4478439999998</v>
      </c>
      <c r="W22" s="3">
        <f>1440.2+(324.6-614.5)+(-0.734502+(-0.165546--0.313395))+0-0-0</f>
        <v>1149.7133470000001</v>
      </c>
      <c r="X22" s="3">
        <f>1414+(298.2-571.2)+(-3.6057+(-0.76041--1.45656))+0-0-0</f>
        <v>1138.0904499999999</v>
      </c>
      <c r="Y22" s="3">
        <f>1467.5+(243.8-476.9)+(1.49685+(0.248676-0.486438))+0-0-0</f>
        <v>1235.6590880000001</v>
      </c>
      <c r="Z22" s="3">
        <f>1515.4+(267.6-425.2)+(-0.772854+(-0.136476--0.216852))+0-0-0</f>
        <v>1357.1075220000002</v>
      </c>
      <c r="AA22" s="3">
        <f>1495.8+(304-478.6)+(-3.051432+(-0.62016--0.976344))+0-0-0</f>
        <v>1318.5047519999998</v>
      </c>
      <c r="AB22" s="3">
        <f>1512.9+(392.2-654.2)+(-1.543158+(-0.400044--0.667284))+0-0-0</f>
        <v>1249.624082</v>
      </c>
      <c r="AC22" s="3">
        <f>1405.9+(325-562.6)+(-2.868036+(-0.663--1.147704))+0-0-0</f>
        <v>1165.9166680000001</v>
      </c>
      <c r="AD22" s="2">
        <v>1383.7</v>
      </c>
      <c r="AE22" s="3">
        <f>1531+(279-426.3)+(0+(0-0))+0-0-0</f>
        <v>1383.7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1195.7+(439.9-577.3)+(-0.609807+(-0.224349--0.294423))+0-0-0</f>
        <v>1057.7602670000001</v>
      </c>
      <c r="G23" s="3">
        <f>1160.4+(455.2-628.1)+(-1.775412+(-0.696456--0.960993))+0-0-0</f>
        <v>985.98912499999994</v>
      </c>
      <c r="H23" s="3">
        <f>896.3+(495.7-466.6)+(0+(0-0))+0-0-0</f>
        <v>925.39999999999986</v>
      </c>
      <c r="I23" s="3">
        <f>898.8+(491.3-482.5)+(-2.29194+(-1.252815--1.230375))+0-0-0</f>
        <v>905.28561999999988</v>
      </c>
      <c r="J23" s="3">
        <f>951+(461-522.6)+(0.97002+(0.47022-0.533052))+0-0-0</f>
        <v>890.307188</v>
      </c>
      <c r="K23" s="3">
        <f>950.3+(416.6-467.5)+(-0.484653+(-0.212466--0.238425))+0-0-0</f>
        <v>898.94130599999994</v>
      </c>
      <c r="L23" s="3">
        <f>968.2+(393.5-460.1)+(-2.46891+(-1.003425--1.173255))+0-0-0</f>
        <v>899.30092000000002</v>
      </c>
      <c r="M23" s="3">
        <f>1023.6+(355.6-450.6)+(-0.522036+(-0.181356--0.229806))+0-0-0</f>
        <v>928.12641400000007</v>
      </c>
      <c r="N23" s="3">
        <f>1340.9+(396-714.6)+(-0.683859+(-0.20196--0.364446))+0-0-0</f>
        <v>1021.778627</v>
      </c>
      <c r="O23" s="3">
        <f>1401.1+(347-657.9)+(0.714561+(0.17697-0.335529))+0-0-0</f>
        <v>1090.7560019999999</v>
      </c>
      <c r="P23" s="3">
        <f>1384.9+(338.5-574.5)+(1.412598+(0.34527-0.58599))+0-0-0</f>
        <v>1150.0718780000002</v>
      </c>
      <c r="Q23" s="3">
        <f>1394.5+(393.1-618.8)+(0+(0-0))+0-0-0</f>
        <v>1168.8000000000002</v>
      </c>
      <c r="R23" s="3">
        <f>1521.8+(394.2-737.1)+(-1.552236+(-0.402084--0.751842))+0-0-0</f>
        <v>1177.6975219999999</v>
      </c>
      <c r="S23" s="3">
        <f>1534.8+(346.4-721)+(-0.782748+(-0.176664--0.36771))+0-0-0</f>
        <v>1159.6082979999999</v>
      </c>
      <c r="T23" s="3">
        <f>1540.5+(331.9-735.7)+(-3.14262+(-0.677076--1.500828))+0-0-0</f>
        <v>1134.3811319999998</v>
      </c>
      <c r="U23" s="3">
        <f>1561.8+(400.3-848.6)+(0+(0-0))+0-0-0</f>
        <v>1113.5</v>
      </c>
      <c r="V23" s="3">
        <f>1553.5+(434.1-879.1)+(-2.376855+(-0.664173--1.345023))+0-0-0</f>
        <v>1106.803995</v>
      </c>
      <c r="W23" s="3">
        <f>1563.7+(433.2-893.3)+(-0.797487+(-0.220932--0.455583))+0-0-0</f>
        <v>1103.0371640000001</v>
      </c>
      <c r="X23" s="3">
        <f>1550.8+(431.7-895.3)+(-3.163632+(-0.880668--1.826412))+0-0-0</f>
        <v>1084.9821120000001</v>
      </c>
      <c r="Y23" s="3">
        <f>1573.6+(311.8-689.6)+(0.802536+(0.159018-0.351696))+0-0-0</f>
        <v>1196.409858</v>
      </c>
      <c r="Z23" s="3">
        <f>1572.9+(263.7-501.9)+(-0.802179+(-0.134487--0.255969))+0-0-0</f>
        <v>1334.019303</v>
      </c>
      <c r="AA23" s="3">
        <f>1556.9+(302.3-567)+(-1.588038+(-0.308346--0.57834))+0-0-0</f>
        <v>1290.8819559999999</v>
      </c>
      <c r="AB23" s="3">
        <f>1581.3+(438.4-801.6)+(0+(0-0))+0-0-0</f>
        <v>1218.0999999999999</v>
      </c>
      <c r="AC23" s="3">
        <f>1571.6+(479.6-911.4)+(-3.206064+(-0.978384--1.859256))+0-0-0</f>
        <v>1137.4748079999999</v>
      </c>
      <c r="AD23" s="2">
        <v>1353.8</v>
      </c>
      <c r="AE23" s="3">
        <f>1580+(289.3-515.5)+(0+(0-0))+0-0-0</f>
        <v>1353.8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1406.4+(485.2-832.9)+(-1.434528+(-0.494904--0.849558))+0-0-0</f>
        <v>1057.620126</v>
      </c>
      <c r="G24" s="3">
        <f>1164.9+(509.2-702)+(-1.188198+(-0.519384--0.71604))+0-0-0</f>
        <v>971.10845800000016</v>
      </c>
      <c r="H24" s="3">
        <f>999+(465.3-536.4)+(-2.54745+(-1.186515--1.36782))+0-0-0</f>
        <v>925.53385500000013</v>
      </c>
      <c r="I24" s="3">
        <f>996.9+(492.7-585)+(-1.016838+(-0.502554--0.5967))+0-0-0</f>
        <v>903.67730799999993</v>
      </c>
      <c r="J24" s="3">
        <f>1017.3+(466-589.2)+(0.518823+(0.23766-0.300492))+0-0-0</f>
        <v>894.55599099999995</v>
      </c>
      <c r="K24" s="3">
        <f>957.5+(481.1-541.3)+(0.488325+(0.245361-0.276063))+0-0-0</f>
        <v>897.75762300000008</v>
      </c>
      <c r="L24" s="3">
        <f>916.1+(483.8-534.1)+(-0.934422+(-0.493476--0.544782))+0-0-0</f>
        <v>864.91688399999998</v>
      </c>
      <c r="M24" s="3">
        <f>928.3+(433.5-475.5)+(0.946866+(0.44217-0.48501))+0-0-0</f>
        <v>887.204026</v>
      </c>
      <c r="N24" s="3">
        <f>931.7+(424.8-374.4)+(1.900668+(0.866592-0.763776))+0-0-0</f>
        <v>984.10348400000009</v>
      </c>
      <c r="O24" s="3">
        <f>1060.6+(382.1-383.5)+(0.540906+(0.194871-0.195585))+0-0-0</f>
        <v>1059.7401919999998</v>
      </c>
      <c r="P24" s="3">
        <f>1176.3+(396.6-468.7)+(0+(0-0))+0-0-0</f>
        <v>1104.2</v>
      </c>
      <c r="Q24" s="3">
        <f>1162.8+(363.5-395.8)+(-0.593028+(-0.185385--0.201858))+0-0-0</f>
        <v>1129.9234449999999</v>
      </c>
      <c r="R24" s="3">
        <f>1159.9+(401.7-404.6)+(-1.183098+(-0.409734--0.412692))+0-0-0</f>
        <v>1155.8198600000001</v>
      </c>
      <c r="S24" s="3">
        <f>1169.2+(353.2-398.7)+(-1.192584+(-0.360264--0.406674))+0-0-0</f>
        <v>1122.5538260000001</v>
      </c>
      <c r="T24" s="3">
        <f>1166.2+(368.9-429.4)+(-1.189524+(-0.376278--0.437988))+0-0-0</f>
        <v>1104.5721860000001</v>
      </c>
      <c r="U24" s="3">
        <f>1167.1+(378-456.1)+(-0.595221+(-0.19278--0.232611))+0-0-0</f>
        <v>1088.44461</v>
      </c>
      <c r="V24" s="3">
        <f>1171.6+(403.5-490.6)+(0+(0-0))+0-0-0</f>
        <v>1084.5</v>
      </c>
      <c r="W24" s="3">
        <f>1165.9+(419.3-493.9)+(-1.189218+(-0.427686--0.503778))+0-0-0</f>
        <v>1090.1868740000002</v>
      </c>
      <c r="X24" s="3">
        <f>1179+(413.3-512.1)+(1.20258+(0.421566-0.522342))+0-0-0</f>
        <v>1081.3018039999999</v>
      </c>
      <c r="Y24" s="3">
        <f>1178.5+(373.8-372)+(0+(0-0))+0-0-0</f>
        <v>1180.3</v>
      </c>
      <c r="Z24" s="3">
        <f>1176.3+(402.4-289.2)+(-2.399652+(-0.820896--0.589968))+0-0-0</f>
        <v>1286.86942</v>
      </c>
      <c r="AA24" s="3">
        <f>1178.4+(427.3-352.7)+(-1.201968+(-0.435846--0.359754))+0-0-0</f>
        <v>1251.7219399999999</v>
      </c>
      <c r="AB24" s="3">
        <f>1173.5+(453.3-426.9)+(-2.39394+(-0.924732--0.870876))+0-0-0</f>
        <v>1197.4522040000002</v>
      </c>
      <c r="AC24" s="3">
        <f>1177.9+(439.3-491.9)+(-1.802187+(-0.672129--0.752607))+0-0-0</f>
        <v>1123.5782910000003</v>
      </c>
      <c r="AD24" s="2">
        <v>1281.2</v>
      </c>
      <c r="AE24" s="3">
        <f>1193+(382.2-294)+(0+(0-0))+0-0-0</f>
        <v>1281.2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1181.9+(412-540.6)+(-1.205538+(-0.42024--0.551412))+0-0-0</f>
        <v>1052.2256340000001</v>
      </c>
      <c r="G25" s="3">
        <f>1082.6+(387.8-499)+(-1.656378+(-0.593334--0.76347))+0-0-0</f>
        <v>969.91375799999992</v>
      </c>
      <c r="H25" s="3">
        <f>787+(441.5-306.6)+(-0.80274+(-0.45033--0.312732))+0-0-0</f>
        <v>920.95966199999998</v>
      </c>
      <c r="I25" s="3">
        <f>732.6+(448.6-276.9)+(-0.747252+(-0.457572--0.282438))+0-0-0</f>
        <v>903.37761400000011</v>
      </c>
      <c r="J25" s="3">
        <f>742.6+(454.9-302.1)+(0.757452+(0.463998-0.308142))+0-0-0</f>
        <v>896.31330800000001</v>
      </c>
      <c r="K25" s="3">
        <f>735.7+(437.7-280.7)+(-0.375207+(-0.223227--0.143157))+0-0-0</f>
        <v>892.24472300000002</v>
      </c>
      <c r="L25" s="3">
        <f>731.1+(421.9-314.2)+(-2.237166+(-1.291014--0.961452))+0-0-0</f>
        <v>836.23327199999994</v>
      </c>
      <c r="M25" s="3">
        <f>801.8+(402.9-391.7)+(-0.408918+(-0.205479--0.199767))+0-0-0</f>
        <v>812.58537000000001</v>
      </c>
      <c r="N25" s="3">
        <f>955.1+(380.9-473.6)+(0.487101+(0.194259-0.241536))+0-0-0</f>
        <v>862.83982400000002</v>
      </c>
      <c r="O25" s="3">
        <f>1256.1+(445.5-775.6)+(-0.640611+(-0.227205--0.395556))+0-0-0</f>
        <v>925.52773999999988</v>
      </c>
      <c r="P25" s="3">
        <f>1389.9+(406.7-813.8)+(0.708849+(0.207417-0.415038))+0-0-0</f>
        <v>983.30122800000015</v>
      </c>
      <c r="Q25" s="3">
        <f>1377.5+(331-699.4)+(-1.40505+(-0.33762--0.713388))+0-0-0</f>
        <v>1008.0707180000001</v>
      </c>
      <c r="R25" s="3">
        <f>1311.8+(377.6-684.5)+(0.669018+(0.192576-0.349095))+0-0-0</f>
        <v>1005.412499</v>
      </c>
      <c r="S25" s="3">
        <f>1309.7+(369.5-683.6)+(0.667947+(0.188445-0.348636))+0-0-0</f>
        <v>996.10775599999999</v>
      </c>
      <c r="T25" s="3">
        <f>1327.5+(375.8-731.5)+(0.677025+(0.191658-0.373065))+0-0-0</f>
        <v>972.29561799999999</v>
      </c>
      <c r="U25" s="3">
        <f>1295.9+(376.4-721.7)+(-1.321818+(-0.383928--0.736134))+0-0-0</f>
        <v>949.63038800000004</v>
      </c>
      <c r="V25" s="3">
        <f>1226.2+(327.3-603.7)+(1.250724+(0.333846-0.615774))+0-0-0</f>
        <v>950.76879599999995</v>
      </c>
      <c r="W25" s="3">
        <f>1332.6+(272.8-615.9)+(2.038878+(0.417384-0.942327))+0-0-0</f>
        <v>991.01393499999995</v>
      </c>
      <c r="X25" s="3">
        <f>1449.1+(265.9-670.7)+(-2.217123+(-0.406827--1.026171))+0-0-0</f>
        <v>1042.7022209999998</v>
      </c>
      <c r="Y25" s="3">
        <f>1587.8+(310.8-714.9)+(0.809778+(0.158508-0.364599))+0-0-0</f>
        <v>1184.3036870000001</v>
      </c>
      <c r="Z25" s="3">
        <f>1613.6+(305.6-655.7)+(-2.468808+(-0.467568--1.003221))+0-0-0</f>
        <v>1261.5668450000001</v>
      </c>
      <c r="AA25" s="3">
        <f>1602.5+(333-697.8)+(-4.086375+(-0.84915--1.77939))+0-0-0</f>
        <v>1234.5438650000001</v>
      </c>
      <c r="AB25" s="3">
        <f>1439.6+(397.6-671.7)+(-1.468392+(-0.405552--0.685134))+0-0-0</f>
        <v>1164.3111899999999</v>
      </c>
      <c r="AC25" s="3">
        <f>1216.3+(391.3-525.4)+(-0.620313+(-0.199563--0.267954))+0-0-0</f>
        <v>1081.6480779999999</v>
      </c>
      <c r="AD25" s="2">
        <v>1266.7</v>
      </c>
      <c r="AE25" s="3">
        <f>1613+(317.2-663.5)+(0+(0-0))+0-0-0</f>
        <v>1266.7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976.9+(415.6-418.6)+(-0.498219+(-0.211956--0.213486))+0-0-0</f>
        <v>973.40331100000003</v>
      </c>
      <c r="G26" s="3">
        <f>982.9+(438-510.2)+(0.501279+(0.22338-0.260202))+0-0-0</f>
        <v>911.16445700000008</v>
      </c>
      <c r="H26" s="3">
        <f>976.2+(428.8-530.8)+(-0.497862+(-0.218688--0.270708))+0-0-0</f>
        <v>873.75415800000007</v>
      </c>
      <c r="I26" s="3">
        <f>975.6+(413.5-531.7)+(-0.995112+(-0.42177--0.542334))+0-0-0</f>
        <v>856.52545199999997</v>
      </c>
      <c r="J26" s="3">
        <f>992.5+(409.7-546.2)+(2.0247+(0.835788-1.114248))+0-0-0</f>
        <v>857.74623999999994</v>
      </c>
      <c r="K26" s="3">
        <f>974.1+(382.4-492.3)+(-0.993582+(-0.390048--0.502146))+0-0-0</f>
        <v>863.31851600000005</v>
      </c>
      <c r="L26" s="3">
        <f>989.9+(385.8-499.1)+(1.514547+(0.590274-0.763623))+0-0-0</f>
        <v>877.94119799999987</v>
      </c>
      <c r="M26" s="3">
        <f>1139.8+(404.7-624.2)+(-0.581298+(-0.206397--0.318342))+0-0-0</f>
        <v>919.830647</v>
      </c>
      <c r="N26" s="3">
        <f>1223.7+(386.1-592.6)+(-0.624087+(-0.196911--0.302226))+0-0-0</f>
        <v>1016.681228</v>
      </c>
      <c r="O26" s="3">
        <f>1342.1+(437.9-706.6)+(-1.368942+(-0.446658--0.720732))+0-0-0</f>
        <v>1072.305132</v>
      </c>
      <c r="P26" s="3">
        <f>1371+(488.1-765.9)+(-2.09763+(-0.746793--1.171827))+0-0-0</f>
        <v>1091.5274039999999</v>
      </c>
      <c r="Q26" s="3">
        <f>1364.3+(477.9-728.4)+(-2.783172+(-0.974916--1.485936))+0-0-0</f>
        <v>1111.5278479999999</v>
      </c>
      <c r="R26" s="3">
        <f>1373.7+(467.6-729.8)+(-2.101761+(-0.715428--1.116594))+0-0-0</f>
        <v>1109.799405</v>
      </c>
      <c r="S26" s="3">
        <f>1366.7+(451-721.9)+(-2.788068+(-0.92004--1.472676))+0-0-0</f>
        <v>1093.5645680000002</v>
      </c>
      <c r="T26" s="3">
        <f>1373.3+(440.7-743.5)+(-2.101149+(-0.674271--1.137555))+0-0-0</f>
        <v>1068.8621350000001</v>
      </c>
      <c r="U26" s="3">
        <f>1370+(320.6-629.6)+(-4.1922+(-0.981036--1.926576))+0-0-0</f>
        <v>1057.75334</v>
      </c>
      <c r="V26" s="3">
        <f>1378.2+(292.8-591.7)+(-0.702882+(-0.149328--0.301767))+0-0-0</f>
        <v>1078.7495569999999</v>
      </c>
      <c r="W26" s="3">
        <f>1366.9+(304-573.2)+(-3.485595+(-0.7752--1.46166))+0-0-0</f>
        <v>1094.9008650000001</v>
      </c>
      <c r="X26" s="3">
        <f>1382.1+(290.1-558.5)+(-0.704871+(-0.147951--0.284835))+0-0-0</f>
        <v>1113.1320129999999</v>
      </c>
      <c r="Y26" s="3">
        <f>1506.2+(312.9-601.2)+(0.768162+(0.159579-0.306612))+0-0-0</f>
        <v>1218.5211290000002</v>
      </c>
      <c r="Z26" s="3">
        <f>1591+(337.1-612.1)+(-4.05705+(-0.859605--1.560855))+0-0-0</f>
        <v>1312.6442</v>
      </c>
      <c r="AA26" s="3">
        <f>1543.3+(333.2-592.7)+(-3.935415+(-0.84966--1.511385))+0-0-0</f>
        <v>1280.52631</v>
      </c>
      <c r="AB26" s="3">
        <f>1214+(362-379.4)+(-0.61914+(-0.18462--0.193494))+0-0-0</f>
        <v>1195.989734</v>
      </c>
      <c r="AC26" s="3">
        <f>1187.2+(327.4-413.8)+(-2.421888+(-0.667896--0.844152))+0-0-0</f>
        <v>1098.5543680000001</v>
      </c>
      <c r="AD26" s="2">
        <v>1333.9</v>
      </c>
      <c r="AE26" s="3">
        <f>1591+(361.7-618.8)+(0+(0-0))+0-0-0</f>
        <v>1333.9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1164.1+(319.7-458.5)+(-2.374764+(-0.652188--0.93534))+0-0-0</f>
        <v>1023.2083879999999</v>
      </c>
      <c r="G27" s="3">
        <f>1073.4+(317.2-426.3)+(-1.642302+(-0.485316--0.652239))+0-0-0</f>
        <v>962.82462100000009</v>
      </c>
      <c r="H27" s="3">
        <f>1081.4+(324.2-473)+(0+(0-0))+0-0-0</f>
        <v>932.60000000000014</v>
      </c>
      <c r="I27" s="3">
        <f>1081.5+(312.2-474)+(-1.10313+(-0.318444--0.48348))+0-0-0</f>
        <v>918.76190600000007</v>
      </c>
      <c r="J27" s="3">
        <f>1081.8+(308-481.5)+(0+(0-0))+0-0-0</f>
        <v>908.3</v>
      </c>
      <c r="K27" s="3">
        <f>1087.1+(312.8-482)+(0+(0-0))+0-0-0</f>
        <v>917.89999999999986</v>
      </c>
      <c r="L27" s="3">
        <f>1094+(326.9-498.8)+(1.67382+(0.500157-0.763164))+0-0-0</f>
        <v>923.51081299999987</v>
      </c>
      <c r="M27" s="3">
        <f>1324.9+(330.6-694.4)+(-1.351398+(-0.337212--0.708288))+0-0-0</f>
        <v>960.11967800000014</v>
      </c>
      <c r="N27" s="3">
        <f>1536.6+(333.9-819.6)+(-0.783666+(-0.170289--0.417996))+0-0-0</f>
        <v>1050.3640409999998</v>
      </c>
      <c r="O27" s="3">
        <f>1580.3+(328.2-807.7)+(0+(0-0))+0-0-0</f>
        <v>1100.8</v>
      </c>
      <c r="P27" s="3">
        <f>1517.6+(320.1-710.7)+(-1.547952+(-0.326502--0.724914))+0-0-0</f>
        <v>1125.8504600000001</v>
      </c>
      <c r="Q27" s="3">
        <f>1526.3+(327.3-715.7)+(-2.335239+(-0.500769--1.095021))+0-0-0</f>
        <v>1136.159013</v>
      </c>
      <c r="R27" s="3">
        <f>1521.4+(334.2-711)+(-1.551828+(-0.340884--0.72522))+0-0-0</f>
        <v>1143.4325080000001</v>
      </c>
      <c r="S27" s="3">
        <f>1570.4+(329.8-780)+(-3.203616+(-0.672792--1.5912))+0-0-0</f>
        <v>1117.914792</v>
      </c>
      <c r="T27" s="3">
        <f>1581.3+(320.8-815.7)+(-0.806463+(-0.163608--0.416007))+0-0-0</f>
        <v>1085.8459359999999</v>
      </c>
      <c r="U27" s="3">
        <f>1562+(310.6-799.7)+(-3.9831+(-0.79203--2.039235))+0-0-0</f>
        <v>1070.1641050000001</v>
      </c>
      <c r="V27" s="3">
        <f>1560.8+(306-794.4)+(-4.776048+(-0.93636--2.430864))+0-0-0</f>
        <v>1069.1184560000002</v>
      </c>
      <c r="W27" s="3">
        <f>1567.4+(309.6-788.7)+(-2.398122+(-0.473688--1.206711))+0-0-0</f>
        <v>1086.6349010000001</v>
      </c>
      <c r="X27" s="3">
        <f>1580+(263.1-751.1)+(-1.6116+(-0.268362--0.766122))+0-0-0</f>
        <v>1090.88616</v>
      </c>
      <c r="Y27" s="3">
        <f>1613.3+(295.1-723)+(0.822783+(0.150501-0.36873))+0-0-0</f>
        <v>1186.0045540000001</v>
      </c>
      <c r="Z27" s="3">
        <f>1631.3+(301.4-611.2)+(-2.495889+(-0.461142--0.935136))+0-0-0</f>
        <v>1319.4781049999999</v>
      </c>
      <c r="AA27" s="3">
        <f>1622.1+(297.5-628.7)+(-2.481813+(-0.455175--0.961911))+0-0-0</f>
        <v>1288.9249229999998</v>
      </c>
      <c r="AB27" s="3">
        <f>1625.2+(302.7-703)+(-1.657704+(-0.308754--0.71706))+0-0-0</f>
        <v>1223.6506020000002</v>
      </c>
      <c r="AC27" s="3">
        <f>1380.8+(285.6-546.1)+(0+(0-0))+0-0-0</f>
        <v>1120.3</v>
      </c>
      <c r="AD27" s="2">
        <v>1354.6999999999998</v>
      </c>
      <c r="AE27" s="3">
        <f>1638.8+(316.4-600.5)+(0+(0-0))+0-0-0</f>
        <v>1354.6999999999998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1100.1+(339.7-409.1)+(-1.683153+(-0.519741--0.625923))+0-0-0</f>
        <v>1029.1230289999999</v>
      </c>
      <c r="G28" s="3">
        <f>986.1+(335.7-353.3)+(-1.508733+(-0.513621--0.540549))+0-0-0</f>
        <v>967.01819499999999</v>
      </c>
      <c r="H28" s="3">
        <f>987+(350.8-403.7)+(-1.51011+(-0.536724--0.617661))+0-0-0</f>
        <v>932.67082700000003</v>
      </c>
      <c r="I28" s="3">
        <f>994.3+(365.7-439)+(0+(0-0))+0-0-0</f>
        <v>921</v>
      </c>
      <c r="J28" s="3">
        <f>1002.5+(376.7-466.5)+(1.02255+(0.384234-0.47583))+0-0-0</f>
        <v>913.63095400000009</v>
      </c>
      <c r="K28" s="3">
        <f>997.4+(345.1-412.4)+(0+(0-0))+0-0-0</f>
        <v>930.1</v>
      </c>
      <c r="L28" s="3">
        <f>988.8+(398.3-463.7)+(-1.512864+(-0.609399--0.709461))+0-0-0</f>
        <v>921.98719799999992</v>
      </c>
      <c r="M28" s="3">
        <f>1119.3+(430.8-594)+(0+(0-0))+0-0-0</f>
        <v>956.09999999999991</v>
      </c>
      <c r="N28" s="3">
        <f>1393.6+(435.9-781.6)+(-0.710736+(-0.222309--0.398616))+0-0-0</f>
        <v>1047.3655709999998</v>
      </c>
      <c r="O28" s="3">
        <f>1494.8+(384.5-774.7)+(-1.524696+(-0.39219--0.790194))+0-0-0</f>
        <v>1103.4733079999999</v>
      </c>
      <c r="P28" s="3">
        <f>1554.6+(345.1-762.2)+(0.792846+(0.176001-0.388722))+0-0-0</f>
        <v>1138.080125</v>
      </c>
      <c r="Q28" s="3">
        <f>1553.4+(323.8-719.1)+(0.792234+(0.165138-0.366741))+0-0-0</f>
        <v>1158.6906310000002</v>
      </c>
      <c r="R28" s="3">
        <f>1528.7+(304.4-666.7)+(0.779637+(0.155244-0.340017))+0-0-0</f>
        <v>1166.994864</v>
      </c>
      <c r="S28" s="3">
        <f>1545.3+(321-713.7)+(0.788103+(0.16371-0.363987))+0-0-0</f>
        <v>1153.1878259999999</v>
      </c>
      <c r="T28" s="3">
        <f>1554+(314.7-725.2)+(2.37762+(0.481491-1.109556))+0-0-0</f>
        <v>1145.2495550000001</v>
      </c>
      <c r="U28" s="3">
        <f>1538.5+(303.3-718.2)+(-1.56927+(-0.309366--0.732564))+0-0-0</f>
        <v>1122.4539279999999</v>
      </c>
      <c r="V28" s="3">
        <f>1543.6+(308.3-733.8)+(-0.787236+(-0.157233--0.374238))+0-0-0</f>
        <v>1117.529769</v>
      </c>
      <c r="W28" s="3">
        <f>1545+(306.4-729.6)+(-0.78795+(-0.156264--0.372096))+0-0-0</f>
        <v>1121.2278819999999</v>
      </c>
      <c r="X28" s="3">
        <f>1538.5+(300.6-713.5)+(-3.13854+(-0.613224--1.45554))+0-0-0</f>
        <v>1123.303776</v>
      </c>
      <c r="Y28" s="3">
        <f>1571.7+(322.9-671.3)+(2.404701+(0.494037-1.027089))+0-0-0</f>
        <v>1225.1716490000001</v>
      </c>
      <c r="Z28" s="3">
        <f>1590.2+(337.4-568.5)+(-0.811002+(-0.172074--0.289935))+0-0-0</f>
        <v>1358.4068589999999</v>
      </c>
      <c r="AA28" s="3">
        <f>1585.8+(324.5-594.4)+(-2.426274+(-0.496485--0.909432))+0-0-0</f>
        <v>1313.8866730000002</v>
      </c>
      <c r="AB28" s="3">
        <f>1563.3+(397-710.5)+(-3.986415+(-1.01235--1.811775))+0-0-0</f>
        <v>1246.61301</v>
      </c>
      <c r="AC28" s="3">
        <f>1507.7+(391.7-743)+(0.768927+(0.199767-0.37893))+0-0-0</f>
        <v>1156.9897640000002</v>
      </c>
      <c r="AD28" s="2">
        <v>1350.9</v>
      </c>
      <c r="AE28" s="3">
        <f>1595+(331.5-575.6)+(0+(0-0))+0-0-0</f>
        <v>1350.9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1328.8+(446.9-717.4)+(-1.355376+(-0.455838--0.731748))+0-0-0</f>
        <v>1057.220534</v>
      </c>
      <c r="G29" s="3">
        <f>973.1+(513.2-504.1)+(-1.985124+(-1.046928--1.028364))+0-0-0</f>
        <v>980.19631200000003</v>
      </c>
      <c r="H29" s="3">
        <f>967.1+(479.5-500.1)+(-0.493221+(-0.244545--0.255051))+0-0-0</f>
        <v>946.01728500000002</v>
      </c>
      <c r="I29" s="3">
        <f>970.6+(437.5-473)+(0.495006+(0.223125-0.24123))+0-0-0</f>
        <v>935.57690100000002</v>
      </c>
      <c r="J29" s="3">
        <f>969.3+(412.7-447.8)+(-0.494343+(-0.210477--0.228378))+0-0-0</f>
        <v>933.72355799999991</v>
      </c>
      <c r="K29" s="3">
        <f>971.3+(396.1-432.1)+(0.495363+(0.202011-0.220371))+0-0-0</f>
        <v>935.77700299999992</v>
      </c>
      <c r="L29" s="3">
        <f>960.4+(381.8-404)+(-0.979608+(-0.389436--0.41208))+0-0-0</f>
        <v>937.24303600000007</v>
      </c>
      <c r="M29" s="3">
        <f>1041.4+(432.8-512.4)+(1.062228+(0.441456-0.522648))+0-0-0</f>
        <v>962.7810360000002</v>
      </c>
      <c r="N29" s="3">
        <f>1378.6+(452.8-779.8)+(1.406172+(0.461856-0.795396))+0-0-0</f>
        <v>1052.672632</v>
      </c>
      <c r="O29" s="3">
        <f>1591.9+(420.1-901.7)+(1.623738+(0.428502-0.919734))+0-0-0</f>
        <v>1111.4325060000001</v>
      </c>
      <c r="P29" s="3">
        <f>1614.8+(376.5-841.2)+(1.647096+(0.38403-0.858024))+0-0-0</f>
        <v>1151.2731019999999</v>
      </c>
      <c r="Q29" s="3">
        <f>1588.4+(340.4-747.2)+(-4.860504+(-1.041624--2.286432))+0-0-0</f>
        <v>1177.9843039999998</v>
      </c>
      <c r="R29" s="3">
        <f>1615.4+(373-802)+(1.647708+(0.38046-0.81804))+0-0-0</f>
        <v>1187.610128</v>
      </c>
      <c r="S29" s="3">
        <f>1626.4+(373.7-837.1)+(-1.658928+(-0.381174--0.853842))+0-0-0</f>
        <v>1161.8137400000001</v>
      </c>
      <c r="T29" s="3">
        <f>1582.2+(374.1-819)+(-4.841532+(-1.144746--2.50614))+0-0-0</f>
        <v>1133.8198620000003</v>
      </c>
      <c r="U29" s="3">
        <f>1586.4+(332.5-791.2)+(-3.236256+(-0.6783--1.614048))+0-0-0</f>
        <v>1125.399492</v>
      </c>
      <c r="V29" s="3">
        <f>1602.9+(277.4-753.8)+(-0.817479+(-0.141474--0.384438))+0-0-0</f>
        <v>1125.925485</v>
      </c>
      <c r="W29" s="3">
        <f>1617.5+(254.7-735.4)+(3.2997+(0.519588-1.500216))+0-0-0</f>
        <v>1139.119072</v>
      </c>
      <c r="X29" s="3">
        <f>1616.5+(249.2-728.9)+(-1.64883+(-0.254184--0.743478))+0-0-0</f>
        <v>1135.6404640000001</v>
      </c>
      <c r="Y29" s="3">
        <f>1706.7+(285.9-775.7)+(-1.740834+(-0.291618--0.791214))+0-0-0</f>
        <v>1215.658762</v>
      </c>
      <c r="Z29" s="3">
        <f>1759.5+(265.8-686.4)+(-2.692035+(-0.406674--1.050192))+0-0-0</f>
        <v>1336.8514830000001</v>
      </c>
      <c r="AA29" s="3">
        <f>1597.5+(293.7-577.5)+(-1.62945+(-0.299574--0.58905))+0-0-0</f>
        <v>1312.3600260000001</v>
      </c>
      <c r="AB29" s="3">
        <f>1378.4+(397.5-537.8)+(-1.405968+(-0.40545--0.548556))+0-0-0</f>
        <v>1236.8371380000001</v>
      </c>
      <c r="AC29" s="3">
        <f>1236+(416.4-505)+(-1.26072+(-0.424728--0.5151))+0-0-0</f>
        <v>1146.229652</v>
      </c>
      <c r="AD29" s="2">
        <v>1347.2</v>
      </c>
      <c r="AE29" s="3">
        <f>1766+(261-679.8)+(0+(0-0))+0-0-0</f>
        <v>1347.2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983.5+(486.9-415)+(-1.504755+(-0.744957--0.63495))+0-0-0</f>
        <v>1053.7852380000002</v>
      </c>
      <c r="G30" s="3">
        <f>965.8+(467.7-436.7)+(-0.492558+(-0.238527--0.222717))+0-0-0</f>
        <v>996.29163199999994</v>
      </c>
      <c r="H30" s="3">
        <f>988.4+(432-454.9)+(1.512252+(0.66096-0.695997))+0-0-0</f>
        <v>966.977215</v>
      </c>
      <c r="I30" s="3">
        <f>969.4+(410.9-440.6)+(-0.988788+(-0.419118--0.449412))+0-0-0</f>
        <v>938.74150599999996</v>
      </c>
      <c r="J30" s="3">
        <f>970.4+(413.3-444.7)+(-0.989808+(-0.421566--0.453594))+0-0-0</f>
        <v>938.04222000000004</v>
      </c>
      <c r="K30" s="3">
        <f>965.9+(399.3-422.3)+(-1.970436+(-0.814572--0.861492))+0-0-0</f>
        <v>940.97648400000003</v>
      </c>
      <c r="L30" s="3">
        <f>963.2+(385.1-401.7)+(-1.964928+(-0.785604--0.819468))+0-0-0</f>
        <v>944.66893600000014</v>
      </c>
      <c r="M30" s="3">
        <f>999.2+(387.9-396.7)+(0.509592+(0.197829-0.202317))+0-0-0</f>
        <v>990.90510400000005</v>
      </c>
      <c r="N30" s="3">
        <f>1041.8+(431.6-412.5)+(0.531318+(0.220116-0.210375))+0-0-0</f>
        <v>1061.441059</v>
      </c>
      <c r="O30" s="3">
        <f>1104+(473.9-470.4)+(0.56304+(0.241689-0.239904))+0-0-0</f>
        <v>1108.0648249999999</v>
      </c>
      <c r="P30" s="3">
        <f>1173.9+(430-459)+(0.598689+(0.2193-0.23409))+0-0-0</f>
        <v>1145.4838990000001</v>
      </c>
      <c r="Q30" s="3">
        <f>1166.2+(413.4-413.3)+(-0.594762+(-0.210834--0.210783))+0-0-0</f>
        <v>1165.705187</v>
      </c>
      <c r="R30" s="3">
        <f>1167.7+(433.5-432.1)+(0.595527+(0.221085-0.220371))+0-0-0</f>
        <v>1169.6962409999999</v>
      </c>
      <c r="S30" s="3">
        <f>1156.1+(408.7-425.4)+(-2.948055+(-1.042185--1.08477))+0-0-0</f>
        <v>1136.4945299999999</v>
      </c>
      <c r="T30" s="3">
        <f>1217.6+(412.7-524.2)+(-0.620976+(-0.210477--0.267342))+0-0-0</f>
        <v>1105.535889</v>
      </c>
      <c r="U30" s="3">
        <f>1373.4+(389.8-667)+(-2.801736+(-0.795192--1.36068))+0-0-0</f>
        <v>1093.9637520000001</v>
      </c>
      <c r="V30" s="3">
        <f>1394.7+(418.9-721.9)+(-0.711297+(-0.213639--0.368169))+0-0-0</f>
        <v>1091.143233</v>
      </c>
      <c r="W30" s="3">
        <f>1392.3+(419.6-701.6)+(-2.840292+(-0.855984--1.431264))+0-0-0</f>
        <v>1108.0349879999999</v>
      </c>
      <c r="X30" s="3">
        <f>1397.9+(402.1-657.6)+(-2.138787+(-0.615213--1.006128))+0-0-0</f>
        <v>1140.6521280000002</v>
      </c>
      <c r="Y30" s="3">
        <f>1409.2+(377.5-551.8)+(-3.59346+(-0.962625--1.40709))+0-0-0</f>
        <v>1231.7510050000001</v>
      </c>
      <c r="Z30" s="3">
        <f>1507+(398.8-562.4)+(-2.30571+(-0.610164--0.860472))+0-0-0</f>
        <v>1341.3445980000001</v>
      </c>
      <c r="AA30" s="3">
        <f>1501.6+(369.9-565.3)+(-3.82908+(-0.943245--1.441515))+0-0-0</f>
        <v>1302.8691899999999</v>
      </c>
      <c r="AB30" s="3">
        <f>1454.5+(388.1-604.8)+(-2.225385+(-0.593793--0.925344))+0-0-0</f>
        <v>1235.9061660000002</v>
      </c>
      <c r="AC30" s="3">
        <f>1150.2+(390.2-395.2)+(-2.346408+(-0.796008--0.806208))+0-0-0</f>
        <v>1142.8637920000001</v>
      </c>
      <c r="AD30" s="2">
        <v>1317.4</v>
      </c>
      <c r="AE30" s="3">
        <f>1496+(427.7-606.3)+(0+(0-0))+0-0-0</f>
        <v>1317.4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1062.6+(372.7-392.6)+(-2.167704+(-0.760308--0.800904))+0-0-0</f>
        <v>1040.5728919999999</v>
      </c>
      <c r="G31" s="3">
        <f>1064.3+(397.2-482.7)+(-1.628379+(-0.607716--0.738531))+0-0-0</f>
        <v>977.30243599999994</v>
      </c>
      <c r="H31" s="3">
        <f>1061.5+(398.4-525.5)+(-2.706825+(-1.01592--1.340025))+0-0-0</f>
        <v>932.01728000000003</v>
      </c>
      <c r="I31" s="3">
        <f>1009.8+(400.2-487.7)+(0+(0-0))+0-0-0</f>
        <v>922.3</v>
      </c>
      <c r="J31" s="3">
        <f>980.1+(394.3-465.5)+(-0.499851+(-0.201093--0.237405))+0-0-0</f>
        <v>908.43646100000012</v>
      </c>
      <c r="K31" s="3">
        <f>984.9+(400.9-476.3)+(0.502299+(0.204459-0.242913))+0-0-0</f>
        <v>909.96384499999999</v>
      </c>
      <c r="L31" s="3">
        <f>980.2+(392.1-495.5)+(-0.499902+(-0.199971--0.252705))+0-0-0</f>
        <v>876.35283200000003</v>
      </c>
      <c r="M31" s="3">
        <f>1077.4+(370.2-534.1)+(0.549474+(0.188802-0.272391))+0-0-0</f>
        <v>913.96588499999996</v>
      </c>
      <c r="N31" s="3">
        <f>1301.8+(381.3-670.5)+(-0.663918+(-0.194463--0.341955))+0-0-0</f>
        <v>1012.0835739999999</v>
      </c>
      <c r="O31" s="3">
        <f>1520.5+(363.8-801.7)+(-1.55091+(-0.371076--0.817734))+0-0-0</f>
        <v>1081.4957479999998</v>
      </c>
      <c r="P31" s="3">
        <f>1592.5+(334.9-813.3)+(0.812175+(0.170799-0.414783))+0-0-0</f>
        <v>1114.668191</v>
      </c>
      <c r="Q31" s="3">
        <f>1558.4+(313.8-753.3)+(-4.768704+(-0.960228--2.305098))+0-0-0</f>
        <v>1115.4761660000001</v>
      </c>
      <c r="R31" s="3">
        <f>1570.7+(334.6-781.4)+(-3.204228+(-0.682584--1.594056))+0-0-0</f>
        <v>1121.607244</v>
      </c>
      <c r="S31" s="3">
        <f>1556.6+(276.8-732.1)+(-3.96933+(-0.70584--1.866855))+0-0-0</f>
        <v>1098.491685</v>
      </c>
      <c r="T31" s="3">
        <f>1576+(272.9-775.8)+(0+(0-0))+0-0-0</f>
        <v>1073.0999999999999</v>
      </c>
      <c r="U31" s="3">
        <f>1567.6+(253.1-759.7)+(-1.598952+(-0.258162--0.774894))+0-0-0</f>
        <v>1059.91778</v>
      </c>
      <c r="V31" s="3">
        <f>1568.1+(242.5-741.3)+(-0.799731+(-0.123675--0.378063))+0-0-0</f>
        <v>1068.754657</v>
      </c>
      <c r="W31" s="3">
        <f>1554.4+(254.7-735.4)+(-1.585488+(-0.259794--0.750108))+0-0-0</f>
        <v>1072.604826</v>
      </c>
      <c r="X31" s="3">
        <f>1564.8+(237.5-744.2)+(1.596096+(0.24225-0.759084))+0-0-0</f>
        <v>1059.1792619999999</v>
      </c>
      <c r="Y31" s="3">
        <f>1570.4+(284.7-713)+(0.800904+(0.145197-0.36363))+0-0-0</f>
        <v>1142.6824710000001</v>
      </c>
      <c r="Z31" s="3">
        <f>1597.8+(281.4-589.8)+(-2.444634+(-0.430542--0.902394))+0-0-0</f>
        <v>1287.427218</v>
      </c>
      <c r="AA31" s="3">
        <f>1591.7+(325.4-667.2)+(-2.435301+(-0.497862--1.020816))+0-0-0</f>
        <v>1247.9876530000001</v>
      </c>
      <c r="AB31" s="3">
        <f>1588.1+(388.9-788.7)+(-2.429793+(-0.595017--1.206711))+0-0-0</f>
        <v>1186.4819009999997</v>
      </c>
      <c r="AC31" s="3">
        <f>1581.3+(401.4-872)+(-1.612926+(-0.409428--0.88944))+0-0-0</f>
        <v>1109.5670859999998</v>
      </c>
      <c r="AD31" s="2">
        <v>1327</v>
      </c>
      <c r="AE31" s="3">
        <f>1613+(313.7-599.7)+(0+(0-0))+0-0-0</f>
        <v>1327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1478.1+(443.4-868.3)+(-0.753831+(-0.226134--0.442833))+0-0-0</f>
        <v>1052.6628679999999</v>
      </c>
      <c r="G32" s="3">
        <f>1285+(417.8-716.1)+(-1.3107+(-0.426156--0.730422))+0-0-0</f>
        <v>985.69356600000003</v>
      </c>
      <c r="H32" s="3">
        <f>1040.1+(411.3-521.5)+(-1.060902+(-0.419526--0.53193))+0-0-0</f>
        <v>928.95150199999989</v>
      </c>
      <c r="I32" s="3">
        <f>972.2+(436.4-507.1)+(0+(0-0))+0-0-0</f>
        <v>901.5</v>
      </c>
      <c r="J32" s="3">
        <f>973.5+(405.3-497.4)+(0+(0-0))+0-0-0</f>
        <v>881.40000000000009</v>
      </c>
      <c r="K32" s="3">
        <f>967.3+(383.2-475.5)+(-0.986646+(-0.390864--0.48501))+0-0-0</f>
        <v>874.10749999999996</v>
      </c>
      <c r="L32" s="3">
        <f>972.1+(414.3-563.1)+(0+(0-0))+0-0-0</f>
        <v>823.3</v>
      </c>
      <c r="M32" s="3">
        <f>973.4+(389.3-555.7)+(0+(0-0))+0-0-0</f>
        <v>807</v>
      </c>
      <c r="N32" s="3">
        <f>977.4+(440.4-573.8)+(0.996948+(0.449208-0.585276))+0-0-0</f>
        <v>844.86087999999995</v>
      </c>
      <c r="O32" s="3">
        <f>1094+(419.1-614.3)+(1.11588+(0.427482-0.626586))+0-0-0</f>
        <v>899.7167760000001</v>
      </c>
      <c r="P32" s="3">
        <f>1321.4+(391.8-732.9)+(0+(0-0))+0-0-0</f>
        <v>980.30000000000018</v>
      </c>
      <c r="Q32" s="3">
        <f>1318.5+(358.1-671.6)+(-2.017305+(-0.547893--1.027548))+0-0-0</f>
        <v>1003.46235</v>
      </c>
      <c r="R32" s="3">
        <f>1321.3+(341.5-657.1)+(0+(0-0))+0-0-0</f>
        <v>1005.6999999999999</v>
      </c>
      <c r="S32" s="3">
        <f>1321.2+(313.1-651.9)+(-2.695248+(-0.638724--1.329876))+0-0-0</f>
        <v>980.39590400000009</v>
      </c>
      <c r="T32" s="3">
        <f>1342.1+(363.8-721.7)+(0+(0-0))+0-0-0</f>
        <v>984.19999999999982</v>
      </c>
      <c r="U32" s="3">
        <f>1292.3+(309.4-662.1)+(-3.954438+(-0.946764--2.026026))+0-0-0</f>
        <v>936.7248239999999</v>
      </c>
      <c r="V32" s="3">
        <f>1269.2+(297.2-611.1)+(0.647292+(0.151572-0.311661))+0-0-0</f>
        <v>955.78720299999998</v>
      </c>
      <c r="W32" s="3">
        <f>1264.4+(293.6-593.3)+(-0.644844+(-0.149736--0.302583))+0-0-0</f>
        <v>964.20800300000019</v>
      </c>
      <c r="X32" s="3">
        <f>1265.6+(281.9-554.1)+(0+(0-0))+0-0-0</f>
        <v>993.39999999999986</v>
      </c>
      <c r="Y32" s="3">
        <f>1395.3+(285.9-575)+(0+(0-0))+0-0-0</f>
        <v>1106.1999999999998</v>
      </c>
      <c r="Z32" s="3">
        <f>1545.7+(317.4-622)+(-1.576614+(-0.323748--0.63444))+0-0-0</f>
        <v>1239.8340779999999</v>
      </c>
      <c r="AA32" s="3">
        <f>1603.2+(314.7-695.1)+(-2.452896+(-0.481491--1.063503))+0-0-0</f>
        <v>1220.929116</v>
      </c>
      <c r="AB32" s="3">
        <f>1573.5+(310.6-699.2)+(-3.20994+(-0.633624--1.426368))+0-0-0</f>
        <v>1182.482804</v>
      </c>
      <c r="AC32" s="3">
        <f>1411.6+(327.3-652.1)+(-0.719916+(-0.166923--0.332571))+0-0-0</f>
        <v>1086.2457319999999</v>
      </c>
      <c r="AD32" s="2">
        <v>1252.2</v>
      </c>
      <c r="AE32" s="3">
        <f>1612+(335.7-695.5)+(0+(0-0))+0-0-0</f>
        <v>1252.2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1372.9+(289.6-673.7)+(-1.400358+(-0.295392--0.687174))+0-0-0</f>
        <v>987.79142400000012</v>
      </c>
      <c r="G33" s="3">
        <f>1297.7+(323.1-692)+(-1.323654+(-0.329562--0.70584))+0-0-0</f>
        <v>927.85262400000011</v>
      </c>
      <c r="H33" s="3">
        <f>1293+(329.7-731.8)+(-3.29715+(-0.840735--1.86609))+0-0-0</f>
        <v>888.62820500000009</v>
      </c>
      <c r="I33" s="3">
        <f>1139.3+(372.9-646.6)+(1.162086+(0.380358-0.659532))+0-0-0</f>
        <v>866.48291199999994</v>
      </c>
      <c r="J33" s="3">
        <f>1046.3+(389.2-575.6)+(1.067226+(0.396984-0.587112))+0-0-0</f>
        <v>860.77709799999991</v>
      </c>
      <c r="K33" s="3">
        <f>1049.3+(397.8-584.4)+(0.535143+(0.202878-0.298044))+0-0-0</f>
        <v>863.13997700000004</v>
      </c>
      <c r="L33" s="3">
        <f>1058.7+(437.3-616)+(-0.539937+(-0.223023--0.31416))+0-0-0</f>
        <v>879.55119999999999</v>
      </c>
      <c r="M33" s="3">
        <f>1337.4+(461.1-855.8)+(0.682074+(0.235161-0.436458))+0-0-0</f>
        <v>943.18077700000015</v>
      </c>
      <c r="N33" s="3">
        <f>1592.1+(439.2-927.2)+(0+(0-0))+0-0-0</f>
        <v>1104.0999999999999</v>
      </c>
      <c r="O33" s="3">
        <f>1604.8+(446.2-983.4)+(0.818448+(0.227562-0.501534))+0-0-0</f>
        <v>1068.1444759999999</v>
      </c>
      <c r="P33" s="3">
        <f>1600.1+(452.9-951)+(1.632102+(0.461958-0.97002))+0-0-0</f>
        <v>1103.1240399999999</v>
      </c>
      <c r="Q33" s="3">
        <f>1583.2+(444.3-903.6)+(-0.807432+(-0.226593--0.460836))+0-0-0</f>
        <v>1123.3268110000001</v>
      </c>
      <c r="R33" s="3">
        <f>1569.1+(462.5-908.1)+(-3.200964+(-0.9435--1.852524))+0-0-0</f>
        <v>1121.2080599999999</v>
      </c>
      <c r="S33" s="3">
        <f>1565.1+(453.5-925.7)+(-3.991005+(-1.156425--2.360535))+0-0-0</f>
        <v>1090.1131049999999</v>
      </c>
      <c r="T33" s="3">
        <f>1577.7+(470.6-967.8)+(-1.609254+(-0.480012--0.987156))+0-0-0</f>
        <v>1079.39789</v>
      </c>
      <c r="U33" s="3">
        <f>1595.9+(492.8-1050.9)+(1.627818+(0.502656-1.071918))+0-0-0</f>
        <v>1038.8585559999999</v>
      </c>
      <c r="V33" s="3">
        <f>1571.2+(514.2-1039.9)+(-2.403936+(-0.786726--1.591047))+0-0-0</f>
        <v>1043.9003849999999</v>
      </c>
      <c r="W33" s="3">
        <f>1578.2+(405.4-912.7)+(-0.804882+(-0.206754--0.465477))+0-0-0</f>
        <v>1070.3538410000001</v>
      </c>
      <c r="X33" s="3">
        <f>1543.5+(341.4-784.4)+(-3.935925+(-0.87057--2.00022))+0-0-0</f>
        <v>1097.6937250000001</v>
      </c>
      <c r="Y33" s="3">
        <f>1503.1+(361-626)+(0.766581+(0.18411-0.31926))+0-0-0</f>
        <v>1238.7314309999999</v>
      </c>
      <c r="Z33" s="3">
        <f>1506.9+(369.8-525.6)+(-3.074076+(-0.754392--1.072224))+0-0-0</f>
        <v>1348.3437560000002</v>
      </c>
      <c r="AA33" s="3">
        <f>1507.3+(385.6-571.5)+(-3.843615+(-0.98328--1.457325))+0-0-0</f>
        <v>1318.03043</v>
      </c>
      <c r="AB33" s="3">
        <f>1495.1+(455.7-703.5)+(-3.812505+(-1.162035--1.793925))+0-0-0</f>
        <v>1244.119385</v>
      </c>
      <c r="AC33" s="3">
        <f>1245.1+(415.7-508.5)+(-1.905003+(-0.636021--0.778005))+0-0-0</f>
        <v>1150.536981</v>
      </c>
      <c r="AD33" s="2">
        <v>1283.3999999999999</v>
      </c>
      <c r="AE33" s="3">
        <f>1527+(313.6-557.2)+(0+(0-0))+0-0-0</f>
        <v>1283.4000000000001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1225.5+(380-610.9)+(-1.25001+(-0.3876--0.623118))+0-0-0</f>
        <v>993.585508</v>
      </c>
      <c r="G34" s="3">
        <f>1033.3+(408-508.5)+(-1.053966+(-0.41616--0.51867))+0-0-0</f>
        <v>931.84854399999995</v>
      </c>
      <c r="H34" s="3">
        <f>968.1+(452.9-507.7)+(-0.987462+(-0.461958--0.517854))+0-0-0</f>
        <v>912.36843399999998</v>
      </c>
      <c r="I34" s="3">
        <f>971.8+(431.2-502.6)+(-0.495618+(-0.219912--0.256326))+0-0-0</f>
        <v>899.94079599999986</v>
      </c>
      <c r="J34" s="3">
        <f>967.7+(380.2-461.8)+(-1.974108+(-0.775608--0.942072))+0-0-0</f>
        <v>884.29235600000004</v>
      </c>
      <c r="K34" s="3">
        <f>982.3+(354.4-449.1)+(1.001946+(0.361488-0.458082))+0-0-0</f>
        <v>888.5053519999999</v>
      </c>
      <c r="L34" s="3">
        <f>977.7+(352.8-450)+(-0.498627+(-0.179928--0.2295))+0-0-0</f>
        <v>880.05094499999996</v>
      </c>
      <c r="M34" s="3">
        <f>1160.9+(380.4-666.8)+(1.776177+(0.582012-1.020204))+0-0-0</f>
        <v>875.83798500000012</v>
      </c>
      <c r="N34" s="3">
        <f>1511.5+(487.3-961.8)+(1.54173+(0.497046-0.981036))+0-0-0</f>
        <v>1038.05774</v>
      </c>
      <c r="O34" s="3">
        <f>1546.2+(502.1-973.3)+(-0.788562+(-0.256071--0.496383))+0-0-0</f>
        <v>1074.4517499999999</v>
      </c>
      <c r="P34" s="3">
        <f>1554.1+(469-924.8)+(-0.792591+(-0.23919--0.471648))+0-0-0</f>
        <v>1097.739867</v>
      </c>
      <c r="Q34" s="3">
        <f>1535.1+(393.5-823.6)+(-2.348703+(-0.602055--1.260108))+0-0-0</f>
        <v>1103.30935</v>
      </c>
      <c r="R34" s="3">
        <f>1553.1+(374.6-820.3)+(0+(0-0))+0-0-0</f>
        <v>1107.4000000000001</v>
      </c>
      <c r="S34" s="3">
        <f>1526.2+(374.9-826.1)+(-3.89181+(-0.955995--2.106555))+0-0-0</f>
        <v>1072.25875</v>
      </c>
      <c r="T34" s="3">
        <f>1558.7+(381.5-882.8)+(1.589874+(0.38913-0.900456))+0-0-0</f>
        <v>1058.478548</v>
      </c>
      <c r="U34" s="3">
        <f>1535.9+(388-882.5)+(-2.349927+(-0.59364--1.350225))+0-0-0</f>
        <v>1039.8066580000002</v>
      </c>
      <c r="V34" s="3">
        <f>1508.8+(398.8-867.9)+(-0.769488+(-0.203388--0.442629))+0-0-0</f>
        <v>1039.1697530000001</v>
      </c>
      <c r="W34" s="3">
        <f>1449.6+(377.4-778.7)+(-2.217888+(-0.577422--1.191411))+0-0-0</f>
        <v>1046.6961009999998</v>
      </c>
      <c r="X34" s="3">
        <f>1456.1+(246.7-653.9)+(-0.742611+(-0.125817--0.333489))+0-0-0</f>
        <v>1048.365061</v>
      </c>
      <c r="Y34" s="3">
        <f>1483.4+(255-606)+(0+(0-0))+0-0-0</f>
        <v>1132.4000000000001</v>
      </c>
      <c r="Z34" s="3">
        <f>1606+(304.6-621.8)+(0+(0-0))+0-0-0</f>
        <v>1288.8000000000002</v>
      </c>
      <c r="AA34" s="3">
        <f>1589.7+(325.3-649.5)+(-3.242988+(-0.663612--1.32498))+0-0-0</f>
        <v>1262.9183800000001</v>
      </c>
      <c r="AB34" s="3">
        <f>1536.6+(316.7-630.1)+(-1.567332+(-0.323034--0.642702))+0-0-0</f>
        <v>1221.9523359999998</v>
      </c>
      <c r="AC34" s="3">
        <f>1402.7+(298.8-581.4)+(-0.715377+(-0.152388--0.296514))+0-0-0</f>
        <v>1119.5287490000001</v>
      </c>
      <c r="AD34" s="2">
        <v>1292.8</v>
      </c>
      <c r="AE34" s="3">
        <f>1619.8+(306.2-633.2)+(0+(0-0))+0-0-0</f>
        <v>1292.8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1386.2+(296.1-654.7)+(-2.827848+(-0.604044--1.335588))+0-0-0</f>
        <v>1025.503696</v>
      </c>
      <c r="G35" s="3">
        <f>1402.3+(300.5-728.9)+(-0.715173+(-0.153255--0.371739))+0-0-0</f>
        <v>973.40331100000003</v>
      </c>
      <c r="H35" s="3">
        <f>1299.4+(302.9-666.2)+(-0.662694+(-0.154479--0.339762))+0-0-0</f>
        <v>935.62258900000006</v>
      </c>
      <c r="I35" s="3">
        <f>1201.5+(321.9-614.8)+(1.838295+(0.492507-0.940644))+0-0-0</f>
        <v>909.99015800000006</v>
      </c>
      <c r="J35" s="3">
        <f>1184+(301.8-580.4)+(-1.81152+(-0.461754--0.888012))+0-0-0</f>
        <v>904.01473800000008</v>
      </c>
      <c r="K35" s="3">
        <f>1189.8+(309.5-584)+(-0.606798+(-0.157845--0.29784))+0-0-0</f>
        <v>914.83319699999993</v>
      </c>
      <c r="L35" s="3">
        <f>1180.6+(270.2-556.4)+(-2.408424+(-0.551208--1.135056))+0-0-0</f>
        <v>892.57542399999988</v>
      </c>
      <c r="M35" s="3">
        <f>1205.6+(284.2-549.4)+(2.459424+(0.579768-1.120776))+0-0-0</f>
        <v>942.31841599999984</v>
      </c>
      <c r="N35" s="3">
        <f>1440.2+(258.7-675.8)+(0.734502+(0.131937-0.344658))+0-0-0</f>
        <v>1023.6217810000002</v>
      </c>
      <c r="O35" s="3">
        <f>1588.8+(235.1-736)+(0.810288+(0.119901-0.37536))+0-0-0</f>
        <v>1088.454829</v>
      </c>
      <c r="P35" s="3">
        <f>1584.3+(235.9-709.1)+(-0.807993+(-0.120309--0.361641))+0-0-0</f>
        <v>1110.5333389999998</v>
      </c>
      <c r="Q35" s="3">
        <f>1555.1+(240-667.9)+(1.586202+(0.2448-0.681258))+0-0-0</f>
        <v>1128.3497439999999</v>
      </c>
      <c r="R35" s="3">
        <f>1562.1+(239.5-639.9)+(-1.593342+(-0.24429--0.652698))+0-0-0</f>
        <v>1160.5150659999997</v>
      </c>
      <c r="S35" s="3">
        <f>1533.2+(245.5-673.5)+(1.563864+(0.25041-0.68697))+0-0-0</f>
        <v>1106.3273040000001</v>
      </c>
      <c r="T35" s="3">
        <f>1540.8+(256.9-723.1)+(1.571616+(0.262038-0.737562))+0-0-0</f>
        <v>1075.6960919999999</v>
      </c>
      <c r="U35" s="3">
        <f>1593+(258-787.9)+(-0.81243+(-0.13158--0.401829))+0-0-0</f>
        <v>1062.5578189999999</v>
      </c>
      <c r="V35" s="3">
        <f>1586.5+(317-839.2)+(-3.23646+(-0.64668--1.711968))+0-0-0</f>
        <v>1062.1288279999999</v>
      </c>
      <c r="W35" s="3">
        <f>1572.7+(407.8-920.2)+(-4.010385+(-1.03989--2.34651))+0-0-0</f>
        <v>1057.596235</v>
      </c>
      <c r="X35" s="3">
        <f>1560.5+(300.9-789.5)+(-5.570985+(-1.074213--2.818515))+0-0-0</f>
        <v>1068.0733170000001</v>
      </c>
      <c r="Y35" s="3">
        <f>1591.7+(277.8-709)+(0.811767+(0.141678-0.36159))+0-0-0</f>
        <v>1161.0918549999999</v>
      </c>
      <c r="Z35" s="3">
        <f>1614.3+(278.2-578.8)+(-0.823293+(-0.141882--0.295188))+0-0-0</f>
        <v>1313.0300130000001</v>
      </c>
      <c r="AA35" s="3">
        <f>1596.7+(309.2-626.9)+(-6.514536+(-1.261536--2.557752))+0-0-0</f>
        <v>1273.7816800000001</v>
      </c>
      <c r="AB35" s="3">
        <f>1606.2+(416.3-815.2)+(-4.09581+(-1.061565--2.07876))+0-0-0</f>
        <v>1204.2213850000001</v>
      </c>
      <c r="AC35" s="3">
        <f>1454.4+(410.6-754.4)+(-2.225232+(-0.628218--1.154232))+0-0-0</f>
        <v>1108.9007820000002</v>
      </c>
      <c r="AD35" s="2">
        <v>1311.6999999999998</v>
      </c>
      <c r="AE35" s="3">
        <f>1626+(267.8-582.1)+(0+(0-0))+0-0-0</f>
        <v>1311.7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1379.1+(437.2-801.9)+(-2.813364+(-0.891888--1.635876))+0-0-0</f>
        <v>1012.3306239999998</v>
      </c>
      <c r="G36" s="3">
        <f>1188.3+(425.9-668.5)+(-2.424132+(-0.868836--1.36374))+0-0-0</f>
        <v>943.77077199999997</v>
      </c>
      <c r="H36" s="3">
        <f>1128.2+(413.9-636.9)+(-2.87691+(-1.055445--1.624095))+0-0-0</f>
        <v>902.89174000000003</v>
      </c>
      <c r="I36" s="3">
        <f>1000.1+(391.2-499.8)+(1.020102+(0.399024-0.509796))+0-0-0</f>
        <v>892.40932999999995</v>
      </c>
      <c r="J36" s="3">
        <f>979.1+(375.7-465.9)+(-0.499341+(-0.191607--0.237609))+0-0-0</f>
        <v>888.44666100000006</v>
      </c>
      <c r="K36" s="3">
        <f>983.8+(413.1-503.1)+(0+(0-0))+0-0-0</f>
        <v>893.8</v>
      </c>
      <c r="L36" s="3">
        <f>976+(440.1-522.3)+(-0.49776+(-0.224451--0.266373))+0-0-0</f>
        <v>893.3441620000001</v>
      </c>
      <c r="M36" s="3">
        <f>1097.7+(430.5-579.6)+(1.119654+(0.43911-0.591192))+0-0-0</f>
        <v>949.56757200000004</v>
      </c>
      <c r="N36" s="3">
        <f>1456.3+(406.4-818.6)+(0.742713+(0.207264-0.417486))+0-0-0</f>
        <v>1044.6324909999998</v>
      </c>
      <c r="O36" s="3">
        <f>1605.3+(379.2-855.7)+(0.818703+(0.193392-0.436407))+0-0-0</f>
        <v>1129.3756879999999</v>
      </c>
      <c r="P36" s="3">
        <f>1592.9+(372-839.7)+(-2.437137+(-0.56916--1.284741))+0-0-0</f>
        <v>1123.4784440000001</v>
      </c>
      <c r="Q36" s="3">
        <f>1586.8+(355.3-809.4)+(-0.809268+(-0.181203--0.412794))+0-0-0</f>
        <v>1132.1223230000001</v>
      </c>
      <c r="R36" s="3">
        <f>1575.6+(342.1-785.5)+(-3.214224+(-0.697884--1.60242))+0-0-0</f>
        <v>1129.8903119999998</v>
      </c>
      <c r="S36" s="3">
        <f>1578.7+(338.6-824.2)+(-1.610274+(-0.345372--0.840684))+0-0-0</f>
        <v>1091.9850379999998</v>
      </c>
      <c r="T36" s="3">
        <f>1601.1+(337.1-858.9)+(1.633122+(0.343842-0.876078))+0-0-0</f>
        <v>1080.4008859999999</v>
      </c>
      <c r="U36" s="3">
        <f>1574.9+(288.6-806.3)+(-2.409597+(-0.441558--1.233639))+0-0-0</f>
        <v>1055.5824840000002</v>
      </c>
      <c r="V36" s="3">
        <f>1578.6+(315.8-840.4)+(-2.415258+(-0.483174--1.285812))+0-0-0</f>
        <v>1052.3873799999999</v>
      </c>
      <c r="W36" s="3">
        <f>1510.2+(328.2-772.4)+(-4.621212+(-1.004292--2.363544))+0-0-0</f>
        <v>1062.73804</v>
      </c>
      <c r="X36" s="3">
        <f>1483.7+(282.4-696.1)+(-3.026748+(-0.576096--1.420044))+0-0-0</f>
        <v>1067.8172</v>
      </c>
      <c r="Y36" s="3">
        <f>1503.2+(250.6-597.9)+(0+(0-0))+0-0-0</f>
        <v>1155.9000000000001</v>
      </c>
      <c r="Z36" s="3">
        <f>1563.1+(249.7-521.4)+(-2.391543+(-0.382041--0.797742))+0-0-0</f>
        <v>1289.4241579999998</v>
      </c>
      <c r="AA36" s="3">
        <f>1561.3+(267.4-570.2)+(-3.185052+(-0.545496--1.163208))+0-0-0</f>
        <v>1255.9326599999999</v>
      </c>
      <c r="AB36" s="3">
        <f>1400.2+(368.7-572.6)+(0+(0-0))+0-0-0</f>
        <v>1196.3</v>
      </c>
      <c r="AC36" s="3">
        <f>1323.8+(384.3-576.5)+(-1.350276+(-0.391986--0.58803))+0-0-0</f>
        <v>1130.4457679999998</v>
      </c>
      <c r="AD36" s="2">
        <v>1291.3</v>
      </c>
      <c r="AE36" s="3">
        <f>1595+(239.6-543.3)+(0+(0-0))+0-0-0</f>
        <v>1291.3000000000002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1283.6+(423.7-652.9)+(-1.309272+(-0.432174--0.665958))+0-0-0</f>
        <v>1053.3245119999999</v>
      </c>
      <c r="G37" s="3">
        <f>1147+(435.2-597)+(-1.16994+(-0.443904--0.60894))+0-0-0</f>
        <v>984.19509600000004</v>
      </c>
      <c r="H37" s="3">
        <f>982.5+(430.7-481.8)+(-1.00215+(-0.439314--0.491436))+0-0-0</f>
        <v>930.449972</v>
      </c>
      <c r="I37" s="3">
        <f>975.5+(414.1-479)+(0+(0-0))+0-0-0</f>
        <v>910.6</v>
      </c>
      <c r="J37" s="3">
        <f>970.8+(345.9-404.6)+(-0.990216+(-0.352818--0.412692))+0-0-0</f>
        <v>911.16965799999991</v>
      </c>
      <c r="K37" s="3">
        <f>970.4+(319.8-386.3)+(-1.484712+(-0.489294--0.591039))+0-0-0</f>
        <v>902.51703299999997</v>
      </c>
      <c r="L37" s="3">
        <f>966.4+(296.4-415.1)+(-2.46432+(-0.75582--1.058505))+0-0-0</f>
        <v>845.53836499999989</v>
      </c>
      <c r="M37" s="3">
        <f>994.5+(303.8-454.5)+(0+(0-0))+0-0-0</f>
        <v>843.8</v>
      </c>
      <c r="N37" s="3">
        <f>1115.2+(380.7-590.4)+(0+(0-0))+0-0-0</f>
        <v>905.5</v>
      </c>
      <c r="O37" s="3">
        <f>1256.9+(396.2-676.8)+(0+(0-0))+0-0-0</f>
        <v>976.30000000000018</v>
      </c>
      <c r="P37" s="3">
        <f>1382.8+(381.9-750.5)+(-2.820912+(-0.779076--1.53102))+0-0-0</f>
        <v>1012.1310319999999</v>
      </c>
      <c r="Q37" s="3">
        <f>1416.8+(404-802.4)+(0.722568+(0.20604-0.409224))+0-0-0</f>
        <v>1018.9193839999999</v>
      </c>
      <c r="R37" s="3">
        <f>1401.6+(399-779.3)+(-2.859264+(-0.81396--1.589772))+0-0-0</f>
        <v>1019.216548</v>
      </c>
      <c r="S37" s="3">
        <f>1412.3+(380.2-819.2)+(0+(0-0))+0-0-0</f>
        <v>973.3</v>
      </c>
      <c r="T37" s="3">
        <f>1411.9+(391.1-822.8)+(-0.720069+(-0.199461--0.419628))+0-0-0</f>
        <v>979.70009800000014</v>
      </c>
      <c r="U37" s="3">
        <f>1395.8+(314.9-745.6)+(-2.847432+(-0.642396--1.521024))+0-0-0</f>
        <v>963.13119599999993</v>
      </c>
      <c r="V37" s="3">
        <f>1396.9+(320.4-766.1)+(-0.712419+(-0.163404--0.390711))+0-0-0</f>
        <v>950.71488800000009</v>
      </c>
      <c r="W37" s="3">
        <f>1357.4+(312.6-699.4)+(-2.769096+(-0.637704--1.426776))+0-0-0</f>
        <v>968.61997600000018</v>
      </c>
      <c r="X37" s="3">
        <f>1334.3+(299.1-645.6)+(-2.721972+(-0.610164--1.317024))+0-0-0</f>
        <v>985.78488799999991</v>
      </c>
      <c r="Y37" s="3">
        <f>1426.3+(273.8-619.5)+(-0.727413+(-0.139638--0.315945))+0-0-0</f>
        <v>1080.048894</v>
      </c>
      <c r="Z37" s="3">
        <f>1508.5+(286.6-544.8)+(-2.308005+(-0.438498--0.833544))+0-0-0</f>
        <v>1248.3870410000002</v>
      </c>
      <c r="AA37" s="3">
        <f>1502.9+(304.8-558.9)+(-2.299437+(-0.466344--0.855117))+0-0-0</f>
        <v>1246.8893360000002</v>
      </c>
      <c r="AB37" s="3">
        <f>1518.5+(309-614.4)+(-0.774435+(-0.15759--0.313344))+0-0-0</f>
        <v>1212.481319</v>
      </c>
      <c r="AC37" s="3">
        <f>1518.3+(319.4-659.4)+(-0.774333+(-0.162894--0.336294))+0-0-0</f>
        <v>1177.699067</v>
      </c>
      <c r="AD37" s="2">
        <v>1262.9000000000001</v>
      </c>
      <c r="AE37" s="3">
        <f>1516+(285.8-538.9)+(0+(0-0))+0-0-0</f>
        <v>1262.9000000000001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1246.6+(314.8-497.5)+(-0.635766+(-0.160548--0.253725))+0-0-0</f>
        <v>1063.357411</v>
      </c>
      <c r="G38" s="3">
        <f>1092.3+(351.3-461.9)+(-2.228292+(-0.716652--0.942276))+0-0-0</f>
        <v>979.69733200000007</v>
      </c>
      <c r="H38" s="3">
        <f>1011.3+(347.9-430)+(-0.515763+(-0.177429--0.2193))+0-0-0</f>
        <v>928.72610799999995</v>
      </c>
      <c r="I38" s="3">
        <f>879.4+(372.4-355.1)+(-0.448494+(-0.189924--0.181101))+0-0-0</f>
        <v>896.24268299999994</v>
      </c>
      <c r="J38" s="3">
        <f>768.1+(372.1-249.7)+(-0.783462+(-0.379542--0.254694))+0-0-0</f>
        <v>889.59168999999997</v>
      </c>
      <c r="K38" s="3">
        <f>741.3+(387.7-243.4)+(-0.756126+(-0.395454--0.248268))+0-0-0</f>
        <v>884.69668799999988</v>
      </c>
      <c r="L38" s="3">
        <f>735.1+(363.1-252.3)+(-1.499604+(-0.740724--0.514692))+0-0-0</f>
        <v>844.17436400000008</v>
      </c>
      <c r="M38" s="3">
        <f>754.2+(390.4-241.1)+(0.384642+(0.199104-0.122961))+0-0-0</f>
        <v>903.96078499999999</v>
      </c>
      <c r="N38" s="3">
        <f>904+(420.9-330.8)+(0.46104+(0.214659-0.168708))+0-0-0</f>
        <v>994.60699099999988</v>
      </c>
      <c r="O38" s="3">
        <f>1090.7+(384.5-415)+(-0.556257+(-0.196095--0.21165))+0-0-0</f>
        <v>1059.659298</v>
      </c>
      <c r="P38" s="3">
        <f>1186.5+(398.9-487.6)+(1.21023+(0.406878-0.497352))+0-0-0</f>
        <v>1098.919756</v>
      </c>
      <c r="Q38" s="3">
        <f>1194.2+(413.4-503.1)+(0+(0-0))+0-0-0</f>
        <v>1104.5</v>
      </c>
      <c r="R38" s="3">
        <f>1189+(432.7-529.1)+(-1.21278+(-0.441354--0.539682))+0-0-0</f>
        <v>1091.4855479999999</v>
      </c>
      <c r="S38" s="3">
        <f>1189.8+(433-562.1)+(-0.606798+(-0.22083--0.286671))+0-0-0</f>
        <v>1060.1590429999999</v>
      </c>
      <c r="T38" s="3">
        <f>1176.2+(412.6-547.3)+(-1.199724+(-0.420852--0.558246))+0-0-0</f>
        <v>1040.43767</v>
      </c>
      <c r="U38" s="3">
        <f>1168+(443.2-586.7)+(-1.78704+(-0.678096--0.897651))+0-0-0</f>
        <v>1022.932515</v>
      </c>
      <c r="V38" s="3">
        <f>1178.6+(422.8-576.9)+(0+(0-0))+0-0-0</f>
        <v>1024.5</v>
      </c>
      <c r="W38" s="3">
        <f>1172.8+(436.5-574.4)+(-0.598128+(-0.222615--0.292944))+0-0-0</f>
        <v>1034.3722010000001</v>
      </c>
      <c r="X38" s="3">
        <f>1132.7+(421.1-515.6)+(-1.733031+(-0.644283--0.788868))+0-0-0</f>
        <v>1036.6115540000001</v>
      </c>
      <c r="Y38" s="3">
        <f>1096.2+(357.3-345.5)+(-0.559062+(-0.182223--0.176205))+0-0-0</f>
        <v>1107.4349199999999</v>
      </c>
      <c r="Z38" s="3">
        <f>1231.5+(388.9-350.6)+(-1.25613+(-0.396678--0.357612))+0-0-0</f>
        <v>1268.5048039999999</v>
      </c>
      <c r="AA38" s="3">
        <f>1424.2+(371-536.3)+(-2.179026+(-0.56763--0.820539))+0-0-0</f>
        <v>1256.9738830000001</v>
      </c>
      <c r="AB38" s="3">
        <f>1427.7+(381.7-590.9)+(-1.456254+(-0.389334--0.602718))+0-0-0</f>
        <v>1217.25713</v>
      </c>
      <c r="AC38" s="3">
        <f>1438.3+(389.8-688.3)+(2.200599+(0.596394-1.053099))+0-0-0</f>
        <v>1141.5438939999999</v>
      </c>
      <c r="AD38" s="2">
        <v>1300.3999999999999</v>
      </c>
      <c r="AE38" s="3">
        <f>1305+(370.1-374.7)+(0+(0-0))+0-0-0</f>
        <v>1300.4000000000001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1430.9+(332.9-692.9)+(0+(0-0))+0-0-0</f>
        <v>1070.9000000000001</v>
      </c>
      <c r="G39" s="3">
        <f>1379.5+(310.4-678.9)+(-0.703545+(-0.158304--0.346239))+0-0-0</f>
        <v>1010.48439</v>
      </c>
      <c r="H39" s="3">
        <f>1161.4+(325.5-531.2)+(1.776942+(0.498015-0.812736))+0-0-0</f>
        <v>957.16222100000005</v>
      </c>
      <c r="I39" s="3">
        <f>977.9+(340.4-389.6)+(-1.994916+(-0.694416--0.794784))+0-0-0</f>
        <v>926.80545199999995</v>
      </c>
      <c r="J39" s="3">
        <f>975.4+(324.3-379)+(-1.492362+(-0.496179--0.57987))+0-0-0</f>
        <v>919.29132900000002</v>
      </c>
      <c r="K39" s="3">
        <f>980.8+(323.5-391)+(-1.000416+(-0.32997--0.39882))+0-0-0</f>
        <v>912.36843399999998</v>
      </c>
      <c r="L39" s="3">
        <f>970.4+(292.7-422.4)+(-3.464328+(-1.044939--1.507968))+0-0-0</f>
        <v>837.69870100000003</v>
      </c>
      <c r="M39" s="3">
        <f>983.9+(300.4-448.9)+(0.501789+(0.153204-0.228939))+0-0-0</f>
        <v>835.826054</v>
      </c>
      <c r="N39" s="3">
        <f>990+(311.4-430.8)+(0.5049+(0.158814-0.219708))+0-0-0</f>
        <v>871.04400599999985</v>
      </c>
      <c r="O39" s="3">
        <f>1022.6+(311.2-404.7)+(-1.043052+(-0.317424--0.412794))+0-0-0</f>
        <v>928.15231800000004</v>
      </c>
      <c r="P39" s="3">
        <f>1026.1+(328.9-395.1)+(-1.569933+(-0.503217--0.604503))+0-0-0</f>
        <v>958.43135299999983</v>
      </c>
      <c r="Q39" s="3">
        <f>1037.4+(356.1-419.2)+(-2.116296+(-0.726444--0.855168))+0-0-0</f>
        <v>972.31242800000018</v>
      </c>
      <c r="R39" s="3">
        <f>1035.7+(359.2-422.6)+(0+(0-0))+0-0-0</f>
        <v>972.3</v>
      </c>
      <c r="S39" s="3">
        <f>1027.2+(386.1-463.3)+(-1.571616+(-0.590733--0.708849))+0-0-0</f>
        <v>948.54650000000004</v>
      </c>
      <c r="T39" s="3">
        <f>1035.2+(417.2-524.3)+(-0.527952+(-0.212772--0.267393))+0-0-0</f>
        <v>927.62666900000011</v>
      </c>
      <c r="U39" s="3">
        <f>1036.3+(385.5-503.2)+(-1.057026+(-0.39321--0.513264))+0-0-0</f>
        <v>917.66302799999994</v>
      </c>
      <c r="V39" s="3">
        <f>1030.8+(403-506.4)+(-1.051416+(-0.41106--0.516528))+0-0-0</f>
        <v>926.45405199999993</v>
      </c>
      <c r="W39" s="3">
        <f>1025.1+(319.8-410.3)+(-1.568403+(-0.489294--0.627759))+0-0-0</f>
        <v>933.17006199999992</v>
      </c>
      <c r="X39" s="3">
        <f>1028.6+(299.4-374.5)+(-1.573758+(-0.458082--0.572985))+0-0-0</f>
        <v>952.04114499999991</v>
      </c>
      <c r="Y39" s="3">
        <f>1206.9+(292.3-450.9)+(-1.231038+(-0.298146--0.459918))+0-0-0</f>
        <v>1047.2307340000002</v>
      </c>
      <c r="Z39" s="3">
        <f>1313+(334.7-405.9)+(-0.66963+(-0.170697--0.207009))+0-0-0</f>
        <v>1241.166682</v>
      </c>
      <c r="AA39" s="3">
        <f>1365.2+(324.7-447)+(-1.392504+(-0.331194--0.45594))+0-0-0</f>
        <v>1241.6322420000001</v>
      </c>
      <c r="AB39" s="3">
        <f>1317.2+(399.4-531.7)+(0.671772+(0.203694-0.271167))+0-0-0</f>
        <v>1185.5042990000002</v>
      </c>
      <c r="AC39" s="3">
        <f>1301.4+(451.2-657.7)+(-1.991142+(-0.690336--1.006281))+0-0-0</f>
        <v>1093.2248030000001</v>
      </c>
      <c r="AD39" s="2">
        <v>1254.0999999999999</v>
      </c>
      <c r="AE39" s="3">
        <f>1395+(305.7-446.6)+(0+(0-0))+0-0-0</f>
        <v>1254.0999999999999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1309.5+(489.4-795.8)+(-0.667845+(-0.249594--0.405858))+0-0-0</f>
        <v>1002.588419</v>
      </c>
      <c r="G40" s="3">
        <f>1106.7+(463.9-627)+(-1.693251+(-0.709767--0.95931))+0-0-0</f>
        <v>942.15629200000001</v>
      </c>
      <c r="H40" s="3">
        <f>973+(448.7-518.7)+(0.99246+(0.457674-0.529074))+0-0-0</f>
        <v>903.92106000000001</v>
      </c>
      <c r="I40" s="3">
        <f>980.9+(425.3-519.8)+(0.500259+(0.216903-0.265098))+0-0-0</f>
        <v>886.85206400000004</v>
      </c>
      <c r="J40" s="3">
        <f>977.8+(411.4-503)+(0+(0-0))+0-0-0</f>
        <v>886.19999999999993</v>
      </c>
      <c r="K40" s="3">
        <f>972.7+(365.4-437.2)+(-1.488231+(-0.559062--0.668916))+0-0-0</f>
        <v>899.52162300000009</v>
      </c>
      <c r="L40" s="3">
        <f>976.3+(346.6-433.4)+(-0.497913+(-0.176766--0.221034))+0-0-0</f>
        <v>889.04635499999995</v>
      </c>
      <c r="M40" s="3">
        <f>1087.7+(362.8-505.9)+(0.554727+(0.185028-0.258009))+0-0-0</f>
        <v>945.08174600000018</v>
      </c>
      <c r="N40" s="3">
        <f>1358.8+(386.6-699.6)+(0.692988+(0.197166-0.356796))+0-0-0</f>
        <v>1046.3333579999999</v>
      </c>
      <c r="O40" s="3">
        <f>1590.9+(337.8-812.4)+(0+(0-0))+0-0-0</f>
        <v>1116.3000000000002</v>
      </c>
      <c r="P40" s="3">
        <f>1577.7+(323.1-756.8)+(0+(0-0))+0-0-0</f>
        <v>1144</v>
      </c>
      <c r="Q40" s="3">
        <f>1565.5+(316.1-718.3)+(-2.395215+(-0.483633--1.098999))+0-0-0</f>
        <v>1161.5201510000002</v>
      </c>
      <c r="R40" s="3">
        <f>1556.3+(328.8-722.5)+(-3.174852+(-0.670752--1.4739))+0-0-0</f>
        <v>1160.228296</v>
      </c>
      <c r="S40" s="3">
        <f>1562.7+(335.4-756.8)+(-1.593954+(-0.342108--0.771936))+0-0-0</f>
        <v>1140.1358740000003</v>
      </c>
      <c r="T40" s="3">
        <f>1522+(336-747)+(0+(0-0))+0-0-0</f>
        <v>1111</v>
      </c>
      <c r="U40" s="3">
        <f>1511.3+(336.9-752.2)+(-1.541526+(-0.343638--0.767244))+0-0-0</f>
        <v>1094.8820800000001</v>
      </c>
      <c r="V40" s="3">
        <f>1497.1+(351.8-755.7)+(-1.527042+(-0.358836--0.770814))+0-0-0</f>
        <v>1092.0849359999997</v>
      </c>
      <c r="W40" s="3">
        <f>1495.3+(365.9-763.5)+(-1.525206+(-0.373218--0.77877))+0-0-0</f>
        <v>1096.5803459999997</v>
      </c>
      <c r="X40" s="3">
        <f>1425.1+(322.6-646.8)+(-2.180403+(-0.493578--0.989604))+0-0-0</f>
        <v>1099.2156230000001</v>
      </c>
      <c r="Y40" s="3">
        <f>1526.1+(253.1-622.7)+(-2.334933+(-0.387243--0.952731))+0-0-0</f>
        <v>1154.7305550000001</v>
      </c>
      <c r="Z40" s="3">
        <f>1611.8+(291.5-575.2)+(-3.288072+(-0.59466--1.173408))+0-0-0</f>
        <v>1325.390676</v>
      </c>
      <c r="AA40" s="3">
        <f>1617.6+(356.2-664.4)+(-1.649952+(-0.363324--0.677688))+0-0-0</f>
        <v>1308.0644119999999</v>
      </c>
      <c r="AB40" s="3">
        <f>1615.5+(412.4-787.5)+(-2.471715+(-0.630972--1.204875))+0-0-0</f>
        <v>1238.5021880000002</v>
      </c>
      <c r="AC40" s="3">
        <f>1606.5+(452.2-916.2)+(-3.27726+(-0.922488--1.869048))+0-0-0</f>
        <v>1140.1693</v>
      </c>
      <c r="AD40" s="2">
        <v>1327.2</v>
      </c>
      <c r="AE40" s="3">
        <f>1601+(312-585.8)+(0+(0-0))+0-0-0</f>
        <v>1327.2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1431.4+(439.7-821.9)+(-2.190042+(-0.672741--1.257507))+0-0-0</f>
        <v>1047.594724</v>
      </c>
      <c r="G41" s="3">
        <f>1014.7+(391.4-421.5)+(-1.552491+(-0.598842--0.644895))+0-0-0</f>
        <v>983.09356200000002</v>
      </c>
      <c r="H41" s="3">
        <f>980.9+(380.7-409.1)+(0.500259+(0.194157-0.208641))+0-0-0</f>
        <v>952.98577499999999</v>
      </c>
      <c r="I41" s="3">
        <f>981.1+(390.4-439.4)+(1.000722+(0.398208-0.448188))+0-0-0</f>
        <v>933.05074200000001</v>
      </c>
      <c r="J41" s="3">
        <f>977.2+(361-407.8)+(-0.498372+(-0.18411--0.207978))+0-0-0</f>
        <v>929.92549600000007</v>
      </c>
      <c r="K41" s="3">
        <f>975.4+(368.4-413)+(-1.989816+(-0.751536--0.84252))+0-0-0</f>
        <v>928.90116799999998</v>
      </c>
      <c r="L41" s="3">
        <f>980.6+(364-445.7)+(-1.500318+(-0.55692--0.681921))+0-0-0</f>
        <v>897.5246830000001</v>
      </c>
      <c r="M41" s="3">
        <f>1126.7+(387-558.6)+(0+(0-0))+0-0-0</f>
        <v>955.1</v>
      </c>
      <c r="N41" s="3">
        <f>1295.6+(398.2-641.4)+(0.660756+(0.203082-0.327114))+0-0-0</f>
        <v>1052.9367239999999</v>
      </c>
      <c r="O41" s="3">
        <f>1460.6+(458.4-810.1)+(0.744906+(0.233784-0.413151))+0-0-0</f>
        <v>1109.4655389999998</v>
      </c>
      <c r="P41" s="3">
        <f>1576+(498.3-938.8)+(-0.80376+(-0.254133--0.478788))+0-0-0</f>
        <v>1134.920895</v>
      </c>
      <c r="Q41" s="3">
        <f>1507.4+(566.4-927.5)+(-2.306322+(-0.866592--1.419075))+0-0-0</f>
        <v>1144.5461610000002</v>
      </c>
      <c r="R41" s="3">
        <f>1556.6+(559.9-970.1)+(-1.587732+(-0.571098--0.989502))+0-0-0</f>
        <v>1145.2306719999999</v>
      </c>
      <c r="S41" s="3">
        <f>1566.4+(568.9-1015.5)+(-3.195456+(-1.160556--2.07162))+0-0-0</f>
        <v>1117.5156080000002</v>
      </c>
      <c r="T41" s="3">
        <f>1580.2+(552.7-1023.3)+(-0.805902+(-0.281877--0.521883))+0-0-0</f>
        <v>1109.0341040000001</v>
      </c>
      <c r="U41" s="3">
        <f>1561.6+(558.2-1033.9)+(-3.185664+(-1.138728--2.109156))+0-0-0</f>
        <v>1083.6847639999999</v>
      </c>
      <c r="V41" s="3">
        <f>1572.5+(566.5-1048.2)+(-1.60395+(-0.57783--1.069164))+0-0-0</f>
        <v>1089.6873840000001</v>
      </c>
      <c r="W41" s="3">
        <f>1558.3+(530.6-996)+(-3.973665+(-1.35303--2.5398))+0-0-0</f>
        <v>1090.1131050000001</v>
      </c>
      <c r="X41" s="3">
        <f>1525+(438.6-858.9)+(-6.99975+(-2.013174--3.942351))+0-0-0</f>
        <v>1099.6294270000001</v>
      </c>
      <c r="Y41" s="3">
        <f>1504.8+(386.9-724)+(0+(0-0))+0-0-0</f>
        <v>1167.6999999999998</v>
      </c>
      <c r="Z41" s="3">
        <f>1595.2+(460.7-730.6)+(-0.813552+(-0.234957--0.372606))+0-0-0</f>
        <v>1324.6240969999999</v>
      </c>
      <c r="AA41" s="3">
        <f>1577.2+(481.7-748.2)+(-4.826232+(-1.474002--2.289492))+0-0-0</f>
        <v>1306.6892580000001</v>
      </c>
      <c r="AB41" s="3">
        <f>1594.5+(534-886.9)+(0+(0-0))+0-0-0</f>
        <v>1241.5999999999999</v>
      </c>
      <c r="AC41" s="3">
        <f>1538.4+(525.6-919.2)+(0+(0-0))+0-0-0</f>
        <v>1144.8000000000002</v>
      </c>
      <c r="AD41" s="2">
        <v>1324.3</v>
      </c>
      <c r="AE41" s="3">
        <f>1619+(412.5-707.2)+(0+(0-0))+0-0-0</f>
        <v>1324.3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1368+(445.8-778.3)+(-1.39536+(-0.454716--0.793866))+0-0-0</f>
        <v>1034.44379</v>
      </c>
      <c r="G42" s="3">
        <f>1177.6+(482.1-691.4)+(-1.201152+(-0.491742--0.705228))+0-0-0</f>
        <v>967.31233399999996</v>
      </c>
      <c r="H42" s="3">
        <f>984.2+(502.9-557)+(0+(0-0))+0-0-0</f>
        <v>930.1</v>
      </c>
      <c r="I42" s="3">
        <f>988+(486.1-563.2)+(1.00776+(0.495822-0.574464))+0-0-0</f>
        <v>911.82911799999999</v>
      </c>
      <c r="J42" s="3">
        <f>976.9+(435.7-498.5)+(-0.996438+(-0.444414--0.50847))+0-0-0</f>
        <v>913.16761799999995</v>
      </c>
      <c r="K42" s="3">
        <f>985.5+(422.4-481.7)+(-0.502605+(-0.215424--0.245667))+0-0-0</f>
        <v>925.72763800000007</v>
      </c>
      <c r="L42" s="3">
        <f>972.5+(405.7-485.5)+(-2.479875+(-1.034535--1.238025))+0-0-0</f>
        <v>890.42361500000004</v>
      </c>
      <c r="M42" s="3">
        <f>1049.7+(374.8-477.3)+(1.606041+(0.573444-0.730269))+0-0-0</f>
        <v>948.64921600000002</v>
      </c>
      <c r="N42" s="3">
        <f>1275.8+(385.8-625.8)+(0+(0-0))+0-0-0</f>
        <v>1035.8</v>
      </c>
      <c r="O42" s="3">
        <f>1524.7+(424.7-848.2)+(0.777597+(0.216597-0.432582))+0-0-0</f>
        <v>1101.761612</v>
      </c>
      <c r="P42" s="3">
        <f>1604.8+(500.7-973)+(-0.818448+(-0.255357--0.49623))+0-0-0</f>
        <v>1131.922425</v>
      </c>
      <c r="Q42" s="3">
        <f>1583+(517.5-951)+(-4.03665+(-1.319625--2.42505))+0-0-0</f>
        <v>1146.568775</v>
      </c>
      <c r="R42" s="3">
        <f>1589.4+(541.7-994.9)+(-3.242376+(-1.105068--2.029596))+0-0-0</f>
        <v>1133.8821520000004</v>
      </c>
      <c r="S42" s="3">
        <f>1589+(517.1-986.9)+(-2.43117+(-0.791163--1.509957))+0-0-0</f>
        <v>1117.4876240000001</v>
      </c>
      <c r="T42" s="3">
        <f>1609.4+(546-1059.1)+(2.462382+(0.83538-1.620423))+0-0-0</f>
        <v>1097.9773390000003</v>
      </c>
      <c r="U42" s="3">
        <f>1581.6+(500.5-994.4)+(-4.03308+(-1.276275--2.53572))+0-0-0</f>
        <v>1084.9263649999998</v>
      </c>
      <c r="V42" s="3">
        <f>1591.2+(514.9-1017)+(-1.623024+(-0.525198--1.03734))+0-0-0</f>
        <v>1087.989118</v>
      </c>
      <c r="W42" s="3">
        <f>1582.5+(488.6-974)+(-4.035375+(-1.24593--2.4837))+0-0-0</f>
        <v>1094.3023949999999</v>
      </c>
      <c r="X42" s="3">
        <f>1582.5+(488.6-974)+(-4.035375+(-1.24593--2.4837))+0-0-0</f>
        <v>1094.3023949999999</v>
      </c>
      <c r="Y42" s="3">
        <f>1574.4+(374.8-814.7)+(-4.01472+(-0.95574--2.077485))+0-0-0</f>
        <v>1131.607025</v>
      </c>
      <c r="Z42" s="3">
        <f>1569.4+(426.4-680.3)+(-2.401182+(-0.652392--1.040859))+0-0-0</f>
        <v>1313.4872849999999</v>
      </c>
      <c r="AA42" s="3">
        <f>1555.8+(423.7-689.3)+(-2.380374+(-0.648261--1.054629))+0-0-0</f>
        <v>1288.2259940000001</v>
      </c>
      <c r="AB42" s="3">
        <f>1342.8+(428.8-587.8)+(2.054484+(0.656064-0.899334))+0-0-0</f>
        <v>1185.611214</v>
      </c>
      <c r="AC42" s="3">
        <f>1249.7+(436.7-609.4)+(-3.186735+(-1.113585--1.55397))+0-0-0</f>
        <v>1074.2536500000001</v>
      </c>
      <c r="AD42" s="2">
        <v>1332.8</v>
      </c>
      <c r="AE42" s="3">
        <f>1601+(469.5-737.7)+(0+(0-0))+0-0-0</f>
        <v>1332.8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1126.2+(432.5-514)+(-1.723086+(-0.661725--0.78642))+0-0-0</f>
        <v>1043.1016090000001</v>
      </c>
      <c r="G43" s="3">
        <f>1023.5+(452.3-499.1)+(-2.08794+(-0.922692--1.018164))+0-0-0</f>
        <v>974.70753200000001</v>
      </c>
      <c r="H43" s="3">
        <f>974.1+(454.1-495.1)+(-1.490373+(-0.694773--0.757503))+0-0-0</f>
        <v>931.67235700000003</v>
      </c>
      <c r="I43" s="3">
        <f>967+(433.3-479)+(-2.46585+(-1.104915--1.22145))+0-0-0</f>
        <v>918.95068499999991</v>
      </c>
      <c r="J43" s="3">
        <f>988.3+(433.1-501.6)+(0.504033+(0.220881-0.255816))+0-0-0</f>
        <v>920.26909799999999</v>
      </c>
      <c r="K43" s="3">
        <f>974.9+(422.7-440.5)+(-1.988796+(-0.862308--0.89862))+0-0-0</f>
        <v>955.14751599999988</v>
      </c>
      <c r="L43" s="3">
        <f>989.4+(399-420.2)+(1.009188+(0.40698-0.428604))+0-0-0</f>
        <v>969.18756400000007</v>
      </c>
      <c r="M43" s="3">
        <f>1154.3+(383.1-389.5)+(0+(0-0))+0-0-0</f>
        <v>1147.9000000000001</v>
      </c>
      <c r="N43" s="3">
        <f>1431.9+(354.1-501.7)+(1.460538+(0.361182-0.511734))+0-0-0</f>
        <v>1285.6099860000002</v>
      </c>
      <c r="O43" s="3">
        <f>1494.7+(366.3-819)+(0+(0-0))+0-0-0</f>
        <v>1042</v>
      </c>
      <c r="P43" s="3">
        <f>1594.6+(487.4-951.7)+(-0.813246+(-0.248574--0.485367))+0-0-0</f>
        <v>1129.7235469999998</v>
      </c>
      <c r="Q43" s="3">
        <f>1604+(502.2-984.2)+(0.81804+(0.256122-0.501942))+0-0-0</f>
        <v>1122.57222</v>
      </c>
      <c r="R43" s="3">
        <f>1756.8+(545-1053.3)+(-3.583872+(-1.1118--2.148732))+0-0-0</f>
        <v>1245.9530600000001</v>
      </c>
      <c r="S43" s="3">
        <f>1753.5+(491.3-1109.4)+(-1.78857+(-0.501126--1.131588))+0-0-0</f>
        <v>1134.2418919999998</v>
      </c>
      <c r="T43" s="3">
        <f>1743.5+(452.8-1076.6)+(-1.77837+(-0.461856--1.098132))+0-0-0</f>
        <v>1118.557906</v>
      </c>
      <c r="U43" s="3">
        <f>1688.8+(449.7-1035.2)+(-5.167728+(-1.376082--3.167712))+0-0-0</f>
        <v>1099.923902</v>
      </c>
      <c r="V43" s="3">
        <f>1569.9+(470.6-934.5)+(-3.202596+(-0.960024--1.90638))+0-0-0</f>
        <v>1103.7437600000001</v>
      </c>
      <c r="W43" s="3">
        <f>1575+(444.5-897.9)+(-2.40975+(-0.680085--1.373787))+0-0-0</f>
        <v>1119.8839519999999</v>
      </c>
      <c r="X43" s="3">
        <f>1568+(425-879.5)+(-3.19872+(-0.867--1.79418))+0-0-0</f>
        <v>1111.22846</v>
      </c>
      <c r="Y43" s="3">
        <f>1571+(358.4-770.6)+(-0.80121+(-0.182784--0.393006))+0-0-0</f>
        <v>1158.209012</v>
      </c>
      <c r="Z43" s="3">
        <f>1731.6+(422.6-828.3)+(-1.766232+(-0.431052--0.844866))+0-0-0</f>
        <v>1324.5475820000001</v>
      </c>
      <c r="AA43" s="3">
        <f>1745.1+(423.8-847.5)+(-3.560004+(-0.864552--1.7289))+0-0-0</f>
        <v>1318.7043439999998</v>
      </c>
      <c r="AB43" s="3">
        <f>1746.9+(458.9-939.7)+(-2.672757+(-0.702117--1.437741))+0-0-0</f>
        <v>1264.162867</v>
      </c>
      <c r="AC43" s="3">
        <f>1616+(439.5-885.8)+(-4.1208+(-1.120725--2.25879))+0-0-0</f>
        <v>1166.717265</v>
      </c>
      <c r="AD43" s="2">
        <v>1337.2</v>
      </c>
      <c r="AE43" s="3">
        <f>1762+(423.9-848.7)+(0+(0-0))+0-0-0</f>
        <v>1337.1999999999998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1350+(403.3-689.5)+(-1.377+(-0.411366--0.70329))+0-0-0</f>
        <v>1062.7149239999999</v>
      </c>
      <c r="G44" s="3">
        <f>1164.6+(429.9-570.8)+(0+(0-0))+0-0-0</f>
        <v>1023.6999999999999</v>
      </c>
      <c r="H44" s="3">
        <f>1017.4+(423.8-500.4)+(-2.59437+(-1.08069--1.27602))+0-0-0</f>
        <v>938.40095999999994</v>
      </c>
      <c r="I44" s="3">
        <f>985.2+(437.7-492.7)+(0+(0-0))+0-0-0</f>
        <v>930.2</v>
      </c>
      <c r="J44" s="3">
        <f>982.2+(413-455.9)+(-2.003688+(-0.84252--0.930036))+0-0-0</f>
        <v>937.38382800000011</v>
      </c>
      <c r="K44" s="3">
        <f>980.2+(426.2-472.1)+(-2.49951+(-1.08681--1.203855))+0-0-0</f>
        <v>931.91753499999993</v>
      </c>
      <c r="L44" s="3">
        <f>971.2+(425.2-503.1)+(-2.47656+(-1.08426--1.282905))+0-0-0</f>
        <v>891.02208499999995</v>
      </c>
      <c r="M44" s="3">
        <f>1186.2+(388.1-508)+(-4.234734+(-1.385517--1.81356))+0-0-0</f>
        <v>1062.4933090000002</v>
      </c>
      <c r="N44" s="3">
        <f>1329.8+(453.2-684.9)+(0.678198+(0.231132-0.349299))+0-0-0</f>
        <v>1098.6600309999999</v>
      </c>
      <c r="O44" s="3">
        <f>1452.2+(373.3-660.3)+(0.740622+(0.190383-0.336753))+0-0-0</f>
        <v>1165.7942520000001</v>
      </c>
      <c r="P44" s="3">
        <f>1554.2+(308.6-707.7)+(0+(0-0))+0-0-0</f>
        <v>1155.0999999999999</v>
      </c>
      <c r="Q44" s="3">
        <f>1608.7+(306.6-757.3)+(0.820437+(0.156366-0.386223))+0-0-0</f>
        <v>1158.59058</v>
      </c>
      <c r="R44" s="3">
        <f>1720.8+(302.7-837.9)+(-2.632824+(-0.463131--1.281987))+0-0-0</f>
        <v>1183.786032</v>
      </c>
      <c r="S44" s="3">
        <f>1716.6+(289.6-837.8)+(0+(0-0))+0-0-0</f>
        <v>1168.4000000000001</v>
      </c>
      <c r="T44" s="3">
        <f>1707.7+(297.6-845.6)+(-3.483708+(-0.607104--1.725024))+0-0-0</f>
        <v>1157.334212</v>
      </c>
      <c r="U44" s="3">
        <f>1702.4+(298.2-851.4)+(-3.472896+(-0.608328--1.736856))+0-0-0</f>
        <v>1146.855632</v>
      </c>
      <c r="V44" s="3">
        <f>1710.8+(312-870.9)+(-3.490032+(-0.63648--1.776636))+0-0-0</f>
        <v>1149.5501240000001</v>
      </c>
      <c r="W44" s="3">
        <f>1659.8+(325-822.6)+(-6.771984+(-1.326--3.356208))+0-0-0</f>
        <v>1157.4582239999997</v>
      </c>
      <c r="X44" s="3">
        <f>1681.5+(342.5-863.5)+(-7.718085+(-1.572075--3.963465))+0-0-0</f>
        <v>1155.173305</v>
      </c>
      <c r="Y44" s="3">
        <f>1725.7+(289.4-785.1)+(0+(0-0))+0-0-0</f>
        <v>1230</v>
      </c>
      <c r="Z44" s="3">
        <f>1722.3+(308.7-640.6)+(1.756746+(0.314874-0.653412))+0-0-0</f>
        <v>1391.8182079999999</v>
      </c>
      <c r="AA44" s="3">
        <f>1683.3+(320.7-637.4)+(-6.009381+(-1.144899--2.275518))+0-0-0</f>
        <v>1361.7212379999999</v>
      </c>
      <c r="AB44" s="3">
        <f>1610.7+(378.4-706.9)+(-1.642914+(-0.385968--0.721038))+0-0-0</f>
        <v>1280.8921560000001</v>
      </c>
      <c r="AC44" s="3">
        <f>1533.7+(418.3-761)+(-3.128748+(-0.853332--1.55244))+0-0-0</f>
        <v>1188.5703599999999</v>
      </c>
      <c r="AD44" s="2">
        <v>1402.6</v>
      </c>
      <c r="AE44" s="3">
        <f>1727+(293.3-617.7)+(0+(0-0))+0-0-0</f>
        <v>1402.6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1465.2+(393.8-770.9)+(-0.747252+(-0.200838--0.393159))+0-0-0</f>
        <v>1087.5450690000002</v>
      </c>
      <c r="G45" s="3">
        <f>1198.4+(398.7-589.3)+(-1.222368+(-0.406674--0.601086))+0-0-0</f>
        <v>1006.7720440000002</v>
      </c>
      <c r="H45" s="3">
        <f>1200.4+(368-602.3)+(-3.06102+(-0.9384--1.535865))+0-0-0</f>
        <v>963.63644500000009</v>
      </c>
      <c r="I45" s="3">
        <f>1208.6+(390.5-655.3)+(-0.616386+(-0.199155--0.334203))+0-0-0</f>
        <v>943.3186619999999</v>
      </c>
      <c r="J45" s="3">
        <f>1204.5+(373.7-646.9)+(-1.22859+(-0.381174--0.659838))+0-0-0</f>
        <v>930.35007399999995</v>
      </c>
      <c r="K45" s="3">
        <f>1208.4+(367.7-652.9)+(-2.465136+(-0.750108--1.331916))+0-0-0</f>
        <v>921.31667200000004</v>
      </c>
      <c r="L45" s="3">
        <f>1209.6+(306.5-584)+(-1.233792+(-0.31263--0.59568))+0-0-0</f>
        <v>931.14925799999992</v>
      </c>
      <c r="M45" s="3">
        <f>1343.1+(281-716.8)+(-0.684981+(-0.14331--0.365568))+0-0-0</f>
        <v>906.83727699999997</v>
      </c>
      <c r="N45" s="3">
        <f>1535.8+(353-843.2)+(0+(0-0))+0-0-0</f>
        <v>1045.5999999999999</v>
      </c>
      <c r="O45" s="3">
        <f>1654.8+(360.6-872.7)+(0.843948+(0.183906-0.445077))+0-0-0</f>
        <v>1143.2827769999999</v>
      </c>
      <c r="P45" s="3">
        <f>1693.6+(384.1-903.9)+(2.591208+(0.587673-1.382967))+0-0-0</f>
        <v>1175.595914</v>
      </c>
      <c r="Q45" s="3">
        <f>1689.5+(365-847.1)+(-0.861645+(-0.18615--0.432021))+0-0-0</f>
        <v>1206.784226</v>
      </c>
      <c r="R45" s="3">
        <f>1686.6+(411.7-878.9)+(-1.720332+(-0.419934--0.896478))+0-0-0</f>
        <v>1218.1562119999999</v>
      </c>
      <c r="S45" s="3">
        <f>1676.3+(446.9-954.2)+(-2.564739+(-0.683757--1.459926))+0-0-0</f>
        <v>1167.2114300000001</v>
      </c>
      <c r="T45" s="3">
        <f>1656.8+(457.1-981.8)+(-2.534904+(-0.699363--1.502154))+0-0-0</f>
        <v>1130.3678869999999</v>
      </c>
      <c r="U45" s="3">
        <f>1656.6+(482.2-1031.6)+(-1.689732+(-0.491844--1.052232))+0-0-0</f>
        <v>1106.0706560000001</v>
      </c>
      <c r="V45" s="3">
        <f>1659.3+(455.9-996.7)+(-5.077458+(-1.395054--3.049902))+0-0-0</f>
        <v>1115.0773899999999</v>
      </c>
      <c r="W45" s="3">
        <f>1526.1+(412.9-800.4)+(-2.334933+(-0.631737--1.224612))+0-0-0</f>
        <v>1136.8579419999999</v>
      </c>
      <c r="X45" s="3">
        <f>1526.9+(376.9-754.4)+(-0.778719+(-0.192219--0.384744))+0-0-0</f>
        <v>1148.8138060000001</v>
      </c>
      <c r="Y45" s="3">
        <f>1559.2+(307.3-613.8)+(0.795192+(0.156723-0.313038))+0-0-0</f>
        <v>1253.3388770000001</v>
      </c>
      <c r="Z45" s="3">
        <f>1629.3+(280.8-601.5)+(-1.661886+(-0.286416--0.61353))+0-0-0</f>
        <v>1307.265228</v>
      </c>
      <c r="AA45" s="3">
        <f>1725.9+(314.5-810.9)+(-2.640627+(-0.481185--1.240677))+0-0-0</f>
        <v>1227.6188649999999</v>
      </c>
      <c r="AB45" s="3">
        <f>1706+(370.5-891)+(-5.22036+(-1.13373--2.72646))+0-0-0</f>
        <v>1181.87237</v>
      </c>
      <c r="AC45" s="3">
        <f>1720.4+(440.8-1032.7)+(-1.754808+(-0.449616--1.053354))+0-0-0</f>
        <v>1127.3489300000001</v>
      </c>
      <c r="AD45" s="2">
        <v>1240.1000000000001</v>
      </c>
      <c r="AE45" s="3">
        <f>1731+(358.9-849.8)+(0+(0-0))+0-0-0</f>
        <v>1240.0999999999999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1649.4+(428.9-1022.3)+(-3.364776+(-0.874956--2.085492))+0-0-0</f>
        <v>1053.8457599999999</v>
      </c>
      <c r="G46" s="3">
        <f>1487.2+(354.5-835.1)+(-1.516944+(-0.36159--0.851802))+0-0-0</f>
        <v>1005.573268</v>
      </c>
      <c r="H46" s="3">
        <f>1090.6+(340.8-485.1)+(-0.556206+(-0.173808--0.247401))+0-0-0</f>
        <v>945.81738699999994</v>
      </c>
      <c r="I46" s="3">
        <f>1034.8+(276.8-384.1)+(2.110992+(0.564672-0.783564))+0-0-0</f>
        <v>929.39210000000003</v>
      </c>
      <c r="J46" s="3">
        <f>1025.4+(254.4-375)+(0+(0-0))+0-0-0</f>
        <v>904.80000000000007</v>
      </c>
      <c r="K46" s="3">
        <f>1017.3+(251.9-374.1)+(-1.556469+(-0.385407--0.572373))+0-0-0</f>
        <v>893.7304969999999</v>
      </c>
      <c r="L46" s="3">
        <f>1019.3+(255.1-435.1)+(-1.039686+(-0.260202--0.443802))+0-0-0</f>
        <v>838.44391399999995</v>
      </c>
      <c r="M46" s="3">
        <f>1041.4+(274.8-476.4)+(-1.062228+(-0.280296--0.485928))+0-0-0</f>
        <v>838.94340400000021</v>
      </c>
      <c r="N46" s="3">
        <f>1121.2+(280-480.7)+(-0.571812+(-0.1428--0.245157))+0-0-0</f>
        <v>920.03054499999996</v>
      </c>
      <c r="O46" s="3">
        <f>1126.1+(268.4-438)+(0+(0-0))+0-0-0</f>
        <v>956.49999999999989</v>
      </c>
      <c r="P46" s="3">
        <f>1161.1+(270.6-425.2)+(0+(0-0))+0-0-0</f>
        <v>1006.5</v>
      </c>
      <c r="Q46" s="3">
        <f>1426.8+(252.8-644.3)+(-2.183004+(-0.386784--0.985779))+0-0-0</f>
        <v>1033.715991</v>
      </c>
      <c r="R46" s="3">
        <f>1530.4+(261-755.3)+(-0.780504+(-0.13311--0.385203))+0-0-0</f>
        <v>1035.5715890000001</v>
      </c>
      <c r="S46" s="3">
        <f>1559+(238.4-772.4)+(0+(0-0))+0-0-0</f>
        <v>1025</v>
      </c>
      <c r="T46" s="3">
        <f>1619.2+(244-831.3)+(-4.12896+(-0.6222--2.119815))+0-0-0</f>
        <v>1029.2686550000001</v>
      </c>
      <c r="U46" s="3">
        <f>1618.1+(243.8-825.8)+(-2.475693+(-0.373014--1.263474))+0-0-0</f>
        <v>1034.5147669999999</v>
      </c>
      <c r="V46" s="3">
        <f>1603.9+(233.5-784.5)+(-4.089945+(-0.595425--2.000475))+0-0-0</f>
        <v>1050.215105</v>
      </c>
      <c r="W46" s="3">
        <f>1530.8+(280.1-753.4)+(-1.561416+(-0.285702--0.768468))+0-0-0</f>
        <v>1056.4213500000001</v>
      </c>
      <c r="X46" s="3">
        <f>1511.6+(284.9-736)+(-2.312748+(-0.435897--1.12608))+0-0-0</f>
        <v>1058.8774350000001</v>
      </c>
      <c r="Y46" s="3">
        <f>1534.1+(277-687.8)+(-0.782391+(-0.14127--0.350778))+0-0-0</f>
        <v>1122.7271169999999</v>
      </c>
      <c r="Z46" s="3">
        <f>1618.1+(337.7-649.4)+(0+(0-0))+0-0-0</f>
        <v>1306.3999999999999</v>
      </c>
      <c r="AA46" s="3">
        <f>1723.2+(351.9-753.2)+(-3.515328+(-0.717876--1.536528))+0-0-0</f>
        <v>1319.2033240000001</v>
      </c>
      <c r="AB46" s="3">
        <f>1686.8+(397.7-816.9)+(-3.441072+(-0.811308--1.666476))+0-0-0</f>
        <v>1265.0140959999999</v>
      </c>
      <c r="AC46" s="3">
        <f>1560.5+(390.4-765.2)+(-2.387565+(-0.597312--1.170756))+0-0-0</f>
        <v>1183.8858789999999</v>
      </c>
      <c r="AD46" s="2">
        <v>1334.4</v>
      </c>
      <c r="AE46" s="3">
        <f>1736+(340.4-742)+(0+(0-0))+0-0-0</f>
        <v>1334.4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1259.5+(416.7-615.6)+(-0.642345+(-0.212517--0.313956))+0-0-0</f>
        <v>1060.059094</v>
      </c>
      <c r="G47" s="3">
        <f>1067.3+(400.3-491.9)+(-1.632969+(-0.612459--0.752607))+0-0-0</f>
        <v>974.207179</v>
      </c>
      <c r="H47" s="3">
        <f>1007.7+(387.8-456)+(-1.027854+(-0.395556--0.46512))+0-0-0</f>
        <v>938.54170999999997</v>
      </c>
      <c r="I47" s="3">
        <f>1053.3+(372.8-491.2)+(-2.685915+(-0.95064--1.25256))+0-0-0</f>
        <v>932.51600499999995</v>
      </c>
      <c r="J47" s="3">
        <f>1000.9+(375.9-465.9)+(-2.552295+(-0.958545--1.188045))+0-0-0</f>
        <v>908.57720499999994</v>
      </c>
      <c r="K47" s="3">
        <f>1003.7+(392.8-484)+(-1.535661+(-0.600984--0.74052))+0-0-0</f>
        <v>911.10387500000002</v>
      </c>
      <c r="L47" s="3">
        <f>1004.4+(352.4-463.5)+(-3.073464+(-1.078344--1.41831))+0-0-0</f>
        <v>890.5665019999999</v>
      </c>
      <c r="M47" s="3">
        <f>1133.7+(358.3-541.7)+(-0.578187+(-0.182733--0.276267))+0-0-0</f>
        <v>949.81534699999997</v>
      </c>
      <c r="N47" s="3">
        <f>1497.2+(413.5-850.2)+(3.81786+(1.054425-2.16801))+0-0-0</f>
        <v>1063.2042750000001</v>
      </c>
      <c r="O47" s="3">
        <f>1713.9+(373.3-949)+(-1.748178+(-0.380766--0.96798))+0-0-0</f>
        <v>1137.0390360000001</v>
      </c>
      <c r="P47" s="3">
        <f>1932.7+(359.2-1086.2)+(-1.971354+(-0.366384--1.107924))+0-0-0</f>
        <v>1204.470186</v>
      </c>
      <c r="Q47" s="3">
        <f>2060.8+(344-1128.3)+(-4.204032+(-0.70176--2.301732))+0-0-0</f>
        <v>1273.8959400000003</v>
      </c>
      <c r="R47" s="3">
        <f>2134.4+(335.7-1183.8)+(1.088544+(0.171207-0.603738))+0-0-0</f>
        <v>1286.9560130000002</v>
      </c>
      <c r="S47" s="3">
        <f>2142.3+(337.3-1190)+(-3.277719+(-0.516069--1.8207))+0-0-0</f>
        <v>1287.6269120000002</v>
      </c>
      <c r="T47" s="3">
        <f>2155.7+(355.1-1243)+(1.099407+(0.181101-0.63393))+0-0-0</f>
        <v>1268.4465779999998</v>
      </c>
      <c r="U47" s="3">
        <f>1965.2+(367.9-1097.2)+(1.002252+(0.187629-0.559572))+0-0-0</f>
        <v>1236.530309</v>
      </c>
      <c r="V47" s="3">
        <f>2011.8+(359.1-1148.4)+(-4.104072+(-0.732564--2.342736))+0-0-0</f>
        <v>1220.0061000000001</v>
      </c>
      <c r="W47" s="3">
        <f>2149.6+(338.5-1264.1)+(-6.577776+(-1.03581--3.868146))+0-0-0</f>
        <v>1220.2545600000001</v>
      </c>
      <c r="X47" s="3">
        <f>2088.9+(300.7-1164.7)+(-7.457373+(-1.073499--4.157979))+0-0-0</f>
        <v>1220.5271070000001</v>
      </c>
      <c r="Y47" s="3">
        <f>1987.2+(282.8-1017.8)+(-4.053888+(-0.576912--2.076312))+0-0-0</f>
        <v>1249.6455120000001</v>
      </c>
      <c r="Z47" s="3">
        <f>2145.3+(312.9-1051.4)+(-2.188206+(-0.319158--1.072428))+0-0-0</f>
        <v>1405.3650640000001</v>
      </c>
      <c r="AA47" s="3">
        <f>2208.1+(338-1153.5)+(-6.756786+(-1.03428--3.52971))+0-0-0</f>
        <v>1388.3386439999999</v>
      </c>
      <c r="AB47" s="3">
        <f>2143.2+(384-1215.9)+(-4.372128+(-0.78336--2.480436))+0-0-0</f>
        <v>1308.6249479999997</v>
      </c>
      <c r="AC47" s="3">
        <f>1928.8+(388.7-1120.1)+(-1.967376+(-0.396474--1.142502))+0-0-0</f>
        <v>1196.1786520000001</v>
      </c>
      <c r="AD47" s="2">
        <v>1425.9</v>
      </c>
      <c r="AE47" s="3">
        <f>2204+(323.8-1101.9)+(0+(0-0))+0-0-0</f>
        <v>1425.8999999999999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1512.2+(397.2-846)+(-2.313666+(-0.607716--1.29438))+0-0-0</f>
        <v>1061.7729980000001</v>
      </c>
      <c r="G48" s="3">
        <f>1250.7+(458.6-721.6)+(-1.913571+(-0.701658--1.104048))+0-0-0</f>
        <v>986.18881900000008</v>
      </c>
      <c r="H48" s="3">
        <f>1257.6+(385.9-694.2)+(0+(0-0))+0-0-0</f>
        <v>949.29999999999984</v>
      </c>
      <c r="I48" s="3">
        <f>1253.8+(356.8-681.5)+(-1.278876+(-0.363936--0.69513))+0-0-0</f>
        <v>928.15231799999992</v>
      </c>
      <c r="J48" s="3">
        <f>1250.7+(339.6-661.9)+(-1.913571+(-0.519588--1.012707))+0-0-0</f>
        <v>926.97954800000014</v>
      </c>
      <c r="K48" s="3">
        <f>1247.5+(339-664.1)+(-3.181125+(-0.86445--1.693455))+0-0-0</f>
        <v>920.04787999999996</v>
      </c>
      <c r="L48" s="3">
        <f>1260.1+(320.8-684.2)+(0+(0-0))+0-0-0</f>
        <v>896.69999999999982</v>
      </c>
      <c r="M48" s="3">
        <f>1440.4+(314.2-830.9)+(-0.734604+(-0.160242--0.423759))+0-0-0</f>
        <v>923.22891300000003</v>
      </c>
      <c r="N48" s="3">
        <f>1860.9+(309.9-1091.4)+(0+(0-0))+0-0-0</f>
        <v>1079.4000000000001</v>
      </c>
      <c r="O48" s="3">
        <f>2000.7+(268.7-1111.2)+(-1.020357+(-0.137037--0.566712))+0-0-0</f>
        <v>1157.609318</v>
      </c>
      <c r="P48" s="3">
        <f>1998.9+(259.8-1058.7)+(-1.019439+(-0.132498--0.539937))+0-0-0</f>
        <v>1199.3879999999999</v>
      </c>
      <c r="Q48" s="3">
        <f>2085.4+(255.7-1121.4)+(-1.063554+(-0.130407--0.571914))+0-0-0</f>
        <v>1219.077953</v>
      </c>
      <c r="R48" s="3">
        <f>2084+(294.1-1161.1)+(0+(0-0))+0-0-0</f>
        <v>1217</v>
      </c>
      <c r="S48" s="3">
        <f>2064.8+(289-1168.3)+(-4.212192+(-0.58956--2.383332))+0-0-0</f>
        <v>1183.0815800000003</v>
      </c>
      <c r="T48" s="3">
        <f>2099.8+(301.7-1238.3)+(-1.070898+(-0.153867--0.631533))+0-0-0</f>
        <v>1162.6067680000003</v>
      </c>
      <c r="U48" s="3">
        <f>2092.4+(307.7-1261.4)+(-2.134248+(-0.313854--1.286628))+0-0-0</f>
        <v>1137.538526</v>
      </c>
      <c r="V48" s="3">
        <f>2119.5+(287.8-1276)+(-5.404725+(-0.73389--3.2538))+0-0-0</f>
        <v>1128.4151850000001</v>
      </c>
      <c r="W48" s="3">
        <f>2134.2+(279.2-1278)+(-2.176884+(-0.284784--1.30356))+0-0-0</f>
        <v>1134.2418919999998</v>
      </c>
      <c r="X48" s="3">
        <f>2005.2+(264.9-1147.2)+(-6.135912+(-0.810594--3.510432))+0-0-0</f>
        <v>1119.4639260000001</v>
      </c>
      <c r="Y48" s="3">
        <f>2005.7+(252-1098.6)+(0+(0-0))+0-0-0</f>
        <v>1159.1000000000001</v>
      </c>
      <c r="Z48" s="3">
        <f>2143.4+(237.3-1062.8)+(-2.186268+(-0.242046--1.084056))+0-0-0</f>
        <v>1316.555742</v>
      </c>
      <c r="AA48" s="3">
        <f>2056.7+(276.4-1025.7)+(-5.244585+(-0.70482--2.615535))+0-0-0</f>
        <v>1304.0661299999997</v>
      </c>
      <c r="AB48" s="3">
        <f>1830.9+(360-958.9)+(-2.801277+(-0.5508--1.467117))+0-0-0</f>
        <v>1230.1150399999999</v>
      </c>
      <c r="AC48" s="3">
        <f>1728.8+(314.3-898.5)+(-3.526752+(-0.641172--1.83294))+0-0-0</f>
        <v>1142.2650159999998</v>
      </c>
      <c r="AD48" s="2">
        <v>1341.3000000000002</v>
      </c>
      <c r="AE48" s="3">
        <f>2139+(250.4-1048.1)+(0+(0-0))+0-0-0</f>
        <v>1341.3000000000002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1690.3+(319-939.1)+(-6.034371+(-1.13883--3.352587))+0-0-0</f>
        <v>1066.3793859999998</v>
      </c>
      <c r="G49" s="3">
        <f>1394.1+(375.6-772.5)+(-4.976937+(-1.340892--2.757825))+0-0-0</f>
        <v>993.63999599999988</v>
      </c>
      <c r="H49" s="3">
        <f>1265.5+(379.6-699.2)+(-1.29081+(-0.387192--0.713184))+0-0-0</f>
        <v>944.93518199999994</v>
      </c>
      <c r="I49" s="3">
        <f>1262.3+(342.4-666.1)+(-0.643773+(-0.174624--0.339711))+0-0-0</f>
        <v>938.12131399999987</v>
      </c>
      <c r="J49" s="3">
        <f>1260.2+(319-650.9)+(-0.642702+(-0.16269--0.331959))+0-0-0</f>
        <v>927.82656700000007</v>
      </c>
      <c r="K49" s="3">
        <f>1248.2+(306-635.6)+(-2.546328+(-0.62424--1.296624))+0-0-0</f>
        <v>916.72605599999997</v>
      </c>
      <c r="L49" s="3">
        <f>1246.8+(346.8-704)+(-2.543472+(-0.707472--1.43616))+0-0-0</f>
        <v>887.78521599999988</v>
      </c>
      <c r="M49" s="3">
        <f>1392+(322-739.7)+(3.5496+(0.8211-1.886235))+0-0-0</f>
        <v>976.78446499999995</v>
      </c>
      <c r="N49" s="3">
        <f>1790.8+(279.4-1070.3)+(0.913308+(0.142494-0.545853))+0-0-0</f>
        <v>1000.409949</v>
      </c>
      <c r="O49" s="3">
        <f>2007+(279.2-1147.8)+(-1.02357+(-0.142392--0.585378))+0-0-0</f>
        <v>1137.819416</v>
      </c>
      <c r="P49" s="3">
        <f>2045.8+(286.9-1162.9)+(-1.043358+(-0.146319--0.593079))+0-0-0</f>
        <v>1169.2034019999996</v>
      </c>
      <c r="Q49" s="3">
        <f>2157.1+(246-1218.3)+(-1.100121+(-0.12546--0.621333))+0-0-0</f>
        <v>1184.1957519999999</v>
      </c>
      <c r="R49" s="3">
        <f>2149.2+(234.8-1185.2)+(-6.576552+(-0.718488--3.626712))+0-0-0</f>
        <v>1195.1316719999998</v>
      </c>
      <c r="S49" s="3">
        <f>2155.8+(229.7-1193.6)+(-3.298374+(-0.351441--1.826208))+0-0-0</f>
        <v>1190.0763930000003</v>
      </c>
      <c r="T49" s="3">
        <f>2165.5+(252.2-1235.3)+(1.104405+(0.128622-0.630003))+0-0-0</f>
        <v>1183.0030240000001</v>
      </c>
      <c r="U49" s="3">
        <f>2140.6+(235.5-1219.6)+(-5.45853+(-0.600525--3.10998))+0-0-0</f>
        <v>1153.550925</v>
      </c>
      <c r="V49" s="3">
        <f>2082.3+(253.2-1179.1)+(-5.309865+(-0.64566--3.006705))+0-0-0</f>
        <v>1153.4511800000002</v>
      </c>
      <c r="W49" s="3">
        <f>1985.9+(279.5-1101.3)+(-5.064045+(-0.712725--2.808315))+0-0-0</f>
        <v>1161.1315450000002</v>
      </c>
      <c r="X49" s="3">
        <f>1870.4+(236-937.3)+(-1.907808+(-0.24072--0.956046))+0-0-0</f>
        <v>1167.9075180000002</v>
      </c>
      <c r="Y49" s="3">
        <f>1879.5+(197-869)+(-0.958545+(-0.10047--0.44319))+0-0-0</f>
        <v>1206.8841749999999</v>
      </c>
      <c r="Z49" s="3">
        <f>2094.1+(165.9-904.1)+(-3.203973+(-0.253827--1.383273))+0-0-0</f>
        <v>1353.8254729999999</v>
      </c>
      <c r="AA49" s="3">
        <f>2133.4+(170.5-972.2)+(-5.44017+(-0.434775--2.47911))+0-0-0</f>
        <v>1328.304165</v>
      </c>
      <c r="AB49" s="3">
        <f>1903.1+(299.4-953.8)+(-2.911743+(-0.458082--1.459314))+0-0-0</f>
        <v>1246.7894889999998</v>
      </c>
      <c r="AC49" s="3">
        <f>1720.9+(339.8-922.8)+(-2.632977+(-0.519894--1.411884))+0-0-0</f>
        <v>1136.1590130000002</v>
      </c>
      <c r="AD49" s="2">
        <v>1365.7</v>
      </c>
      <c r="AE49" s="3">
        <f>2207+(150-991.3)+(0+(0-0))+0-0-0</f>
        <v>1365.7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1490+(332-772.9)+(-3.7995+(-0.8466--1.970895))+0-0-0</f>
        <v>1046.4247949999999</v>
      </c>
      <c r="G50" s="3">
        <f>1347+(351.1-717.4)+(-2.06091+(-0.537183--1.097622))+0-0-0</f>
        <v>979.1995290000001</v>
      </c>
      <c r="H50" s="3">
        <f>1268+(328.3-638.6)+(-3.2334+(-0.837165--1.62843))+0-0-0</f>
        <v>955.25786500000004</v>
      </c>
      <c r="I50" s="3">
        <f>1245.6+(332.1-635.2)+(-2.541024+(-0.677484--1.295808))+0-0-0</f>
        <v>940.57729999999992</v>
      </c>
      <c r="J50" s="3">
        <f>1242.6+(326.8-633.4)+(-1.901178+(-0.500004--0.969102))+0-0-0</f>
        <v>934.56791999999996</v>
      </c>
      <c r="K50" s="3">
        <f>1245.2+(339.9-661.7)+(-1.270104+(-0.346698--0.674934))+0-0-0</f>
        <v>922.45813199999998</v>
      </c>
      <c r="L50" s="3">
        <f>1247.4+(312.9-658.4)+(-2.544696+(-0.638316--1.343136))+0-0-0</f>
        <v>900.06012400000009</v>
      </c>
      <c r="M50" s="3">
        <f>1385.1+(348.3-762.8)+(1.412802+(0.355266-0.778056))+0-0-0</f>
        <v>971.59001199999989</v>
      </c>
      <c r="N50" s="3">
        <f>1542.5+(316.9-774.8)+(-1.57335+(-0.323238--0.790296))+0-0-0</f>
        <v>1083.493708</v>
      </c>
      <c r="O50" s="3">
        <f>1550.8+(333.2-738.3)+(0+(0-0))+0-0-0</f>
        <v>1145.7</v>
      </c>
      <c r="P50" s="3">
        <f>1770.7+(322.2-906.2)+(0+(0-0))+0-0-0</f>
        <v>1186.7</v>
      </c>
      <c r="Q50" s="3">
        <f>2065.8+(338.8-1173.2)+(0+(0-0))+0-0-0</f>
        <v>1231.4000000000001</v>
      </c>
      <c r="R50" s="3">
        <f>2060.8+(273-1135)+(0+(0-0))+0-0-0</f>
        <v>1198.8000000000002</v>
      </c>
      <c r="S50" s="3">
        <f>2006.4+(308.6-1089.6)+(-5.11632+(-0.78693--2.77848))+0-0-0</f>
        <v>1222.2752300000002</v>
      </c>
      <c r="T50" s="3">
        <f>2010.8+(281-1117)+(-5.12754+(-0.71655--2.84835))+0-0-0</f>
        <v>1171.8042599999999</v>
      </c>
      <c r="U50" s="3">
        <f>2019.9+(323.8-1149.1)+(-3.090447+(-0.495414--1.758123))+0-0-0</f>
        <v>1192.7722620000002</v>
      </c>
      <c r="V50" s="3">
        <f>2023.9+(329.6-1174.6)+(-4.128756+(-0.672384--2.396184))+0-0-0</f>
        <v>1176.495044</v>
      </c>
      <c r="W50" s="3">
        <f>1964.5+(305.2-1089.4)+(-5.009475+(-0.77826--2.77797))+0-0-0</f>
        <v>1177.2902349999999</v>
      </c>
      <c r="X50" s="3">
        <f>1929.1+(276.9-1035.6)+(-4.919205+(-0.706095--2.64078))+0-0-0</f>
        <v>1167.4154800000001</v>
      </c>
      <c r="Y50" s="3">
        <f>1944.3+(227.8-972.1)+(-1.983186+(-0.232356--0.991542))+0-0-0</f>
        <v>1198.7760000000001</v>
      </c>
      <c r="Z50" s="3">
        <f>2121.4+(226.6-976)+(-3.245742+(-0.346698--1.49328))+0-0-0</f>
        <v>1369.90084</v>
      </c>
      <c r="AA50" s="3">
        <f>2139.6+(234-998.2)+(-6.547176+(-0.71604--3.054492))+0-0-0</f>
        <v>1371.1912759999998</v>
      </c>
      <c r="AB50" s="3">
        <f>1863.9+(303.1-863.6)+(-0.950589+(-0.154581--0.440436))+0-0-0</f>
        <v>1302.7352660000001</v>
      </c>
      <c r="AC50" s="3">
        <f>1517.5+(363-699.8)+(-2.321775+(-0.55539--1.070694))+0-0-0</f>
        <v>1178.8935289999999</v>
      </c>
      <c r="AD50" s="2">
        <v>1387.9</v>
      </c>
      <c r="AE50" s="3">
        <f>2154+(246.9-1013)+(0+(0-0))+0-0-0</f>
        <v>1387.9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1400.9+(350.8-676.3)+(-3.572295+(-0.89454--1.724565))+0-0-0</f>
        <v>1072.6577300000001</v>
      </c>
      <c r="G51" s="3">
        <f>1238.2+(347-578)+(-3.15741+(-0.88485--1.4739))+0-0-0</f>
        <v>1004.6316400000001</v>
      </c>
      <c r="H51" s="3">
        <f>1239.7+(333.4-608)+(-2.528988+(-0.680136--1.24032))+0-0-0</f>
        <v>963.13119600000005</v>
      </c>
      <c r="I51" s="3">
        <f>1239.4+(322.3-614.8)+(-0.632094+(-0.164373--0.313548))+0-0-0</f>
        <v>946.41708100000005</v>
      </c>
      <c r="J51" s="3">
        <f>1239.4+(293.7-598.4)+(1.896282+(0.449361-0.915552))+0-0-0</f>
        <v>936.13009099999999</v>
      </c>
      <c r="K51" s="3">
        <f>1240+(301.4-620.9)+(-1.8972+(-0.461142--0.949977))+0-0-0</f>
        <v>919.091635</v>
      </c>
      <c r="L51" s="3">
        <f>1238.7+(290.6-629.5)+(-0.631737+(-0.148206--0.321045))+0-0-0</f>
        <v>899.34110200000009</v>
      </c>
      <c r="M51" s="3">
        <f>1364.2+(307.7-715.8)+(-2.782968+(-0.627708--1.460232))+0-0-0</f>
        <v>954.14955600000019</v>
      </c>
      <c r="N51" s="3">
        <f>1575.3+(316.3-834.9)+(-2.410209+(-0.483939--1.277397))+0-0-0</f>
        <v>1055.083249</v>
      </c>
      <c r="O51" s="3">
        <f>1648+(306.1-825.9)+(-1.68096+(-0.312222--0.842418))+0-0-0</f>
        <v>1127.0492360000001</v>
      </c>
      <c r="P51" s="3">
        <f>1801.9+(284.9-907.4)+(-1.837938+(-0.290598--0.925548))+0-0-0</f>
        <v>1178.1970120000001</v>
      </c>
      <c r="Q51" s="3">
        <f>1806.9+(312-907.5)+(-1.843038+(-0.31824--0.92565))+0-0-0</f>
        <v>1210.1643720000002</v>
      </c>
      <c r="R51" s="3">
        <f>1812.3+(314.8-916.2)+(-0.924273+(-0.160548--0.467262))+0-0-0</f>
        <v>1210.2824409999998</v>
      </c>
      <c r="S51" s="3">
        <f>1806.3+(334.3-956.8)+(-3.684852+(-0.681972--1.951872))+0-0-0</f>
        <v>1181.3850479999999</v>
      </c>
      <c r="T51" s="3">
        <f>1806.2+(334.3-956.8)+(-3.684648+(-0.681972--1.951872))+0-0-0</f>
        <v>1181.2852520000001</v>
      </c>
      <c r="U51" s="3">
        <f>1816.4+(343.1-1005.8)+(0+(0-0))+0-0-0</f>
        <v>1153.7000000000003</v>
      </c>
      <c r="V51" s="3">
        <f>1795.5+(346-991.9)+(-3.66282+(-0.70584--2.023476))+0-0-0</f>
        <v>1147.2548159999999</v>
      </c>
      <c r="W51" s="3">
        <f>1775.6+(339.5-960.8)+(-5.433336+(-1.03887--2.940048))+0-0-0</f>
        <v>1150.767842</v>
      </c>
      <c r="X51" s="3">
        <f>1774.1+(339.5-960.8)+(-5.428746+(-1.03887--2.940048))+0-0-0</f>
        <v>1149.272432</v>
      </c>
      <c r="Y51" s="3">
        <f>1765.5+(292.9-905.4)+(-6.302835+(-1.045653--3.232278))+0-0-0</f>
        <v>1148.8837900000001</v>
      </c>
      <c r="Z51" s="3">
        <f>2173.8+(209.5-1044.4)+(-1.108638+(-0.106845--0.532644))+0-0-0</f>
        <v>1338.217161</v>
      </c>
      <c r="AA51" s="3">
        <f>2153.5+(259-1062.7)+(-6.58971+(-0.79254--3.251862))+0-0-0</f>
        <v>1345.6696119999999</v>
      </c>
      <c r="AB51" s="3">
        <f>2052.3+(287-1050.3)+(-3.140019+(-0.43911--1.606959))+0-0-0</f>
        <v>1287.0278300000002</v>
      </c>
      <c r="AC51" s="3">
        <f>1707.7+(336.2-870.6)+(-3.483708+(-0.685848--1.776024))+0-0-0</f>
        <v>1170.9064679999999</v>
      </c>
      <c r="AD51" s="2">
        <v>1391.9</v>
      </c>
      <c r="AE51" s="3">
        <f>2192+(250.8-1050.9)+(0+(0-0))+0-0-0</f>
        <v>1391.8999999999999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1451.8+(367.1-740.1)+(-3.70209+(-0.936105--1.887255))+0-0-0</f>
        <v>1076.0490600000001</v>
      </c>
      <c r="G52" s="3">
        <f>1292.8+(377.7-678.3)+(-2.637312+(-0.770508--1.383732))+0-0-0</f>
        <v>990.17591200000004</v>
      </c>
      <c r="H52" s="3">
        <f>1241.7+(328.9-617.1)+(-1.899801+(-0.503217--0.944163))+0-0-0</f>
        <v>952.04114500000003</v>
      </c>
      <c r="I52" s="3">
        <f>1264.7+(352.5-684.1)+(3.224985+(0.898875-1.744455))+0-0-0</f>
        <v>935.47940500000004</v>
      </c>
      <c r="J52" s="3">
        <f>1245.3+(328.6-644.7)+(-1.905309+(-0.502758--0.986391))+0-0-0</f>
        <v>927.77832399999988</v>
      </c>
      <c r="K52" s="3">
        <f>1248.5+(326.7-660.3)+(-0.636735+(-0.166617--0.336753))+0-0-0</f>
        <v>914.43340100000012</v>
      </c>
      <c r="L52" s="3">
        <f>1249.3+(293.4-675.2)+(-1.274286+(-0.299268--0.688704))+0-0-0</f>
        <v>866.61514999999986</v>
      </c>
      <c r="M52" s="3">
        <f>1260.1+(313.9-646.3)+(0.642651+(0.160089-0.329613))+0-0-0</f>
        <v>928.17312699999991</v>
      </c>
      <c r="N52" s="3">
        <f>1516.3+(267.4-735)+(0+(0-0))+0-0-0</f>
        <v>1048.6999999999998</v>
      </c>
      <c r="O52" s="3">
        <f>1893.6+(219.1-966)+(-1.931472+(-0.223482--0.98532))+0-0-0</f>
        <v>1145.5303659999997</v>
      </c>
      <c r="P52" s="3">
        <f>1948.1+(222-972.7)+(0.993531+(0.11322-0.496077))+0-0-0</f>
        <v>1198.0106739999999</v>
      </c>
      <c r="Q52" s="3">
        <f>1945.2+(191.8-910.8)+(-0.992052+(-0.097818--0.464508))+0-0-0</f>
        <v>1225.574638</v>
      </c>
      <c r="R52" s="3">
        <f>1947.6+(207.9-917.5)+(1.986552+(0.212058-0.93585))+0-0-0</f>
        <v>1239.2627600000001</v>
      </c>
      <c r="S52" s="3">
        <f>1927.7+(193.3-914.7)+(-3.932508+(-0.394332--1.865988))+0-0-0</f>
        <v>1203.839148</v>
      </c>
      <c r="T52" s="3">
        <f>2045.8+(165.3-1029.6)+(1.043358+(0.084303-0.525096))+0-0-0</f>
        <v>1182.1025649999999</v>
      </c>
      <c r="U52" s="3">
        <f>2086+(156.4-1078)+(-2.12772+(-0.159528--1.09956))+0-0-0</f>
        <v>1163.2123120000001</v>
      </c>
      <c r="V52" s="3">
        <f>2076.8+(213.6-1121.6)+(-4.236672+(-0.435744--2.288064))+0-0-0</f>
        <v>1166.4156480000001</v>
      </c>
      <c r="W52" s="3">
        <f>2099.8+(227-1157.9)+(1.070898+(0.11577-0.590529))+0-0-0</f>
        <v>1169.4961390000001</v>
      </c>
      <c r="X52" s="3">
        <f>1935.8+(265.3-1058.9)+(-6.910806+(-0.947121--3.780273))+0-0-0</f>
        <v>1138.1223459999999</v>
      </c>
      <c r="Y52" s="3">
        <f>1973.9+(198.8-1005)+(-3.020067+(-0.304164--1.53765))+0-0-0</f>
        <v>1165.913419</v>
      </c>
      <c r="Z52" s="3">
        <f>2217.5+(154.1-1025.5)+(-2.26185+(-0.157182--1.04601))+0-0-0</f>
        <v>1344.7269779999999</v>
      </c>
      <c r="AA52" s="3">
        <f>2144.9+(230.8-1034.3)+(-6.563394+(-0.706248--3.164958))+0-0-0</f>
        <v>1337.2953160000002</v>
      </c>
      <c r="AB52" s="3">
        <f>2179.2+(276.9-1167.2)+(0+(0-0))+0-0-0</f>
        <v>1288.8999999999996</v>
      </c>
      <c r="AC52" s="3">
        <f>2148+(284.8-1226.5)+(-1.09548+(-0.145248--0.625515))+0-0-0</f>
        <v>1205.6847869999999</v>
      </c>
      <c r="AD52" s="2">
        <v>1376.6</v>
      </c>
      <c r="AE52" s="3">
        <f>2188+(175-986.4)+(0+(0-0))+0-0-0</f>
        <v>1376.6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2113.6+(245.8-1231)+(-5.38968+(-0.62679--3.13905))+0-0-0</f>
        <v>1125.5225799999998</v>
      </c>
      <c r="G53" s="3">
        <f>1814.9+(269.5-1030.6)+(-0.925599+(-0.137445--0.525606))+0-0-0</f>
        <v>1053.2625620000001</v>
      </c>
      <c r="H53" s="3">
        <f>1490.5+(300.4-796.9)+(-2.280465+(-0.459612--1.219257))+0-0-0</f>
        <v>992.47918000000004</v>
      </c>
      <c r="I53" s="3">
        <f>1242.8+(310.9-603)+(-2.535312+(-0.634236--1.23012))+0-0-0</f>
        <v>948.76057199999991</v>
      </c>
      <c r="J53" s="3">
        <f>1266.4+(295.7-629.7)+(0+(0-0))+0-0-0</f>
        <v>932.40000000000009</v>
      </c>
      <c r="K53" s="3">
        <f>1248.2+(299.3-640.2)+(-2.546328+(-0.610572--1.306008))+0-0-0</f>
        <v>905.44910799999991</v>
      </c>
      <c r="L53" s="3">
        <f>1257.2+(266.9-686.5)+(-2.564688+(-0.544476--1.40046))+0-0-0</f>
        <v>835.89129600000001</v>
      </c>
      <c r="M53" s="3">
        <f>1268.7+(265.2-686.2)+(0+(0-0))+0-0-0</f>
        <v>847.7</v>
      </c>
      <c r="N53" s="3">
        <f>1250.9+(279.1-623.5)+(-1.275918+(-0.284682--0.63597))+0-0-0</f>
        <v>905.57537000000013</v>
      </c>
      <c r="O53" s="3">
        <f>1259.6+(281.1-567.4)+(0+(0-0))+0-0-0</f>
        <v>973.3</v>
      </c>
      <c r="P53" s="3">
        <f>1260.8+(276.1-509.2)+(0+(0-0))+0-0-0</f>
        <v>1027.7</v>
      </c>
      <c r="Q53" s="3">
        <f>1500.9+(239.8-674)+(-0.765459+(-0.122298--0.34374))+0-0-0</f>
        <v>1066.1559830000001</v>
      </c>
      <c r="R53" s="3">
        <f>1565.9+(253.4-739.8)+(-0.798609+(-0.129234--0.377298))+0-0-0</f>
        <v>1078.9494549999999</v>
      </c>
      <c r="S53" s="3">
        <f>1571.1+(255.5-756.7)+(-1.602522+(-0.26061--0.771834))+0-0-0</f>
        <v>1068.8087019999998</v>
      </c>
      <c r="T53" s="3">
        <f>1558.6+(263.4-762.3)+(-2.384658+(-0.403002--1.166319))+0-0-0</f>
        <v>1058.0786589999998</v>
      </c>
      <c r="U53" s="3">
        <f>1568.1+(255.3-774.4)+(-1.599462+(-0.260406--0.789888))+0-0-0</f>
        <v>1047.93002</v>
      </c>
      <c r="V53" s="3">
        <f>1582.7+(303.1-839.2)+(0.807177+(0.154581-0.427992))+0-0-0</f>
        <v>1047.1337659999999</v>
      </c>
      <c r="W53" s="3">
        <f>1572.9+(351.9-873.3)+(-0.802179+(-0.179469--0.445383))+0-0-0</f>
        <v>1050.963735</v>
      </c>
      <c r="X53" s="3">
        <f>1552.6+(362.5-859.6)+(-3.95913+(-0.924375--2.19198))+0-0-0</f>
        <v>1052.808475</v>
      </c>
      <c r="Y53" s="3">
        <f>1660.2+(258.5-814.9)+(-2.540106+(-0.395505--1.246797))+0-0-0</f>
        <v>1102.1111860000001</v>
      </c>
      <c r="Z53" s="3">
        <f>2079.7+(282.1-1066.6)+(-3.181941+(-0.431613--1.631898))+0-0-0</f>
        <v>1293.2183439999999</v>
      </c>
      <c r="AA53" s="3">
        <f>2138+(296.9-1123.6)+(-3.27114+(-0.454257--1.719108))+0-0-0</f>
        <v>1309.2937110000003</v>
      </c>
      <c r="AB53" s="3">
        <f>2165.8+(346.1-1247.3)+(2.209116+(0.353022-1.272246))+0-0-0</f>
        <v>1265.8898920000004</v>
      </c>
      <c r="AC53" s="3">
        <f>2091.2+(342.6-1251.6)+(-2.133024+(-0.349452--1.276632))+0-0-0</f>
        <v>1180.9941559999997</v>
      </c>
      <c r="AD53" s="2">
        <v>1333.8</v>
      </c>
      <c r="AE53" s="3">
        <f>2185+(280-1131.2)+(0+(0-0))+0-0-0</f>
        <v>1333.8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1934.8+(318.6-1183.4)+(-0.986748+(-0.162486--0.603534))+0-0-0</f>
        <v>1069.4543000000001</v>
      </c>
      <c r="G54" s="3">
        <f>1455.6+(378.6-851.6)+(-3.71178+(-0.96543--2.17158))+0-0-0</f>
        <v>980.09436999999991</v>
      </c>
      <c r="H54" s="3">
        <f>1280.4+(381.8-735.8)+(0+(0-0))+0-0-0</f>
        <v>926.40000000000009</v>
      </c>
      <c r="I54" s="3">
        <f>1264.6+(361.7-719.4)+(-1.934838+(-0.553401--1.100682))+0-0-0</f>
        <v>905.51244299999985</v>
      </c>
      <c r="J54" s="3">
        <f>1292.3+(371.9-752.9)+(1.977219+(0.569007-1.151937))+0-0-0</f>
        <v>912.69428899999991</v>
      </c>
      <c r="K54" s="3">
        <f>1274.1+(384.1-752.1)+(-1.299582+(-0.391782--0.767142))+0-0-0</f>
        <v>905.17577799999992</v>
      </c>
      <c r="L54" s="3">
        <f>1261+(349.6-720.5)+(-1.92933+(-0.534888--1.102365))+0-0-0</f>
        <v>888.73814700000003</v>
      </c>
      <c r="M54" s="3">
        <f>1412.8+(353-787.8)+(0.720528+(0.18003-0.401778))+0-0-0</f>
        <v>978.49878000000001</v>
      </c>
      <c r="N54" s="3">
        <f>1752.4+(333.4-970.5)+(3.574896+(0.680136-1.97982))+0-0-0</f>
        <v>1117.5752120000002</v>
      </c>
      <c r="O54" s="3">
        <f>1877.7+(364-1044.8)+(-0.957627+(-0.18564--0.532848))+0-0-0</f>
        <v>1196.289581</v>
      </c>
      <c r="P54" s="3">
        <f>1982.8+(355.6-1097)+(0+(0-0))+0-0-0</f>
        <v>1241.4000000000001</v>
      </c>
      <c r="Q54" s="3">
        <f>2028.9+(373.2-1128.1)+(-2.069478+(-0.380664--1.150662))+0-0-0</f>
        <v>1272.7005200000003</v>
      </c>
      <c r="R54" s="3">
        <f>2118.1+(378.8-1204.3)+(-1.080231+(-0.193188--0.614193))+0-0-0</f>
        <v>1291.9407739999999</v>
      </c>
      <c r="S54" s="3">
        <f>2104.8+(368.1-1185.2)+(-2.146896+(-0.375462--1.208904))+0-0-0</f>
        <v>1286.3865460000002</v>
      </c>
      <c r="T54" s="3">
        <f>2109.9+(378.2-1213)+(-1.076049+(-0.192882--0.61863))+0-0-0</f>
        <v>1274.4496990000002</v>
      </c>
      <c r="U54" s="3">
        <f>2108.2+(355.5-1220.5)+(-3.225546+(-0.543915--1.867365))+0-0-0</f>
        <v>1241.2979039999998</v>
      </c>
      <c r="V54" s="3">
        <f>2123.4+(372.4-1278.2)+(0+(0-0))+0-0-0</f>
        <v>1217.5999999999999</v>
      </c>
      <c r="W54" s="3">
        <f>2100.8+(365.7-1265.4)+(-3.214224+(-0.559521--1.936062))+0-0-0</f>
        <v>1199.2623170000002</v>
      </c>
      <c r="X54" s="3">
        <f>2066.9+(366.4-1232.7)+(-5.270595+(-0.93432--3.143385))+0-0-0</f>
        <v>1197.53847</v>
      </c>
      <c r="Y54" s="3">
        <f>1936.4+(284.1-1015.8)+(-2.962692+(-0.434673--1.554174))+0-0-0</f>
        <v>1202.8568090000003</v>
      </c>
      <c r="Z54" s="3">
        <f>2052.6+(293.3-989.8)+(-1.046826+(-0.149583--0.504798))+0-0-0</f>
        <v>1355.4083889999999</v>
      </c>
      <c r="AA54" s="3">
        <f>2087.6+(307.2-1031.1)+(-4.258704+(-0.626688--2.103444))+0-0-0</f>
        <v>1360.918052</v>
      </c>
      <c r="AB54" s="3">
        <f>2148.8+(364.5-1214.6)+(-1.095888+(-0.185895--0.619446))+0-0-0</f>
        <v>1298.0376630000003</v>
      </c>
      <c r="AC54" s="3">
        <f>2159.7+(373.1-1317.2)+(1.101447+(0.190281-0.671772))+0-0-0</f>
        <v>1216.2199559999999</v>
      </c>
      <c r="AD54" s="2">
        <v>1353.6000000000001</v>
      </c>
      <c r="AE54" s="3">
        <f>2062+(298.3-1006.7)+(0+(0-0))+0-0-0</f>
        <v>1353.6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2039.5+(316.5-1241.4)+(-2.08029+(-0.32283--1.266228))+0-0-0</f>
        <v>1113.4631079999999</v>
      </c>
      <c r="G55" s="3">
        <f>1619.9+(341.4-925.3)+(-4.130745+(-0.87057--2.359515))+0-0-0</f>
        <v>1033.3581999999999</v>
      </c>
      <c r="H55" s="3">
        <f>1295+(368.5-680.1)+(-1.98135+(-0.563805--1.040553))+0-0-0</f>
        <v>981.895398</v>
      </c>
      <c r="I55" s="3">
        <f>1243.6+(367.4-651.4)+(-1.268472+(-0.374748--0.664428))+0-0-0</f>
        <v>958.62120799999991</v>
      </c>
      <c r="J55" s="3">
        <f>1245.6+(361.2-658.3)+(-1.270512+(-0.368424--0.671466))+0-0-0</f>
        <v>947.53252999999995</v>
      </c>
      <c r="K55" s="3">
        <f>1240.8+(363-667)+(-3.16404+(-0.92565--1.70085))+0-0-0</f>
        <v>934.41116</v>
      </c>
      <c r="L55" s="3">
        <f>1246.6+(334-671.7)+(-2.543064+(-0.68136--1.370268))+0-0-0</f>
        <v>907.04584399999987</v>
      </c>
      <c r="M55" s="3">
        <f>1372.1+(401.9-796.8)+(2.099313+(0.614907-1.219104))+0-0-0</f>
        <v>978.69511599999998</v>
      </c>
      <c r="N55" s="3">
        <f>1726.2+(384-1006.9)+(1.760724+(0.39168-1.027038))+0-0-0</f>
        <v>1104.4253660000002</v>
      </c>
      <c r="O55" s="3">
        <f>2029.1+(307.1-1142.7)+(0+(0-0))+0-0-0</f>
        <v>1193.5</v>
      </c>
      <c r="P55" s="3">
        <f>2133.3+(278.7-1179.4)+(0+(0-0))+0-0-0</f>
        <v>1232.6000000000001</v>
      </c>
      <c r="Q55" s="3">
        <f>2122.8+(282.3-1131.9)+(0+(0-0))+0-0-0</f>
        <v>1273.2</v>
      </c>
      <c r="R55" s="3">
        <f>2132.1+(250-1116.7)+(-1.087371+(-0.1275--0.569517))+0-0-0</f>
        <v>1264.7546459999999</v>
      </c>
      <c r="S55" s="3">
        <f>2157+(292-1173.4)+(-2.20014+(-0.29784--1.196868))+0-0-0</f>
        <v>1274.2988879999998</v>
      </c>
      <c r="T55" s="3">
        <f>2167.2+(353.9-1303)+(0+(0-0))+0-0-0</f>
        <v>1218.0999999999999</v>
      </c>
      <c r="U55" s="3">
        <f>2115.7+(363.1-1276.3)+(-4.316028+(-0.740724--2.603652))+0-0-0</f>
        <v>1200.0469000000001</v>
      </c>
      <c r="V55" s="3">
        <f>2103.9+(386.8-1294.6)+(-5.364945+(-0.98634--3.30123))+0-0-0</f>
        <v>1193.0499450000002</v>
      </c>
      <c r="W55" s="3">
        <f>2088.6+(392.2-1277.8)+(-7.456302+(-1.400154--4.561746))+0-0-0</f>
        <v>1198.7052900000001</v>
      </c>
      <c r="X55" s="3">
        <f>2146.5+(305.6-1233.9)+(-7.663005+(-1.090992--4.405023))+0-0-0</f>
        <v>1213.8510259999998</v>
      </c>
      <c r="Y55" s="3">
        <f>2158.6+(232.8-1124.9)+(-1.100886+(-0.118728--0.573699))+0-0-0</f>
        <v>1265.8540849999997</v>
      </c>
      <c r="Z55" s="3">
        <f>2185+(226.4-1024.4)+(1.11435+(0.115464-0.522444))+0-0-0</f>
        <v>1387.7073700000001</v>
      </c>
      <c r="AA55" s="3">
        <f>2142.9+(241-1011.7)+(-6.557274+(-0.73746--3.095802))+0-0-0</f>
        <v>1368.001068</v>
      </c>
      <c r="AB55" s="3">
        <f>1866.8+(363.8-945)+(-4.76034+(-0.92769--2.40975))+0-0-0</f>
        <v>1282.3217199999999</v>
      </c>
      <c r="AC55" s="3">
        <f>1726.9+(390.9-932.5)+(-4.403595+(-0.996795--2.377875))+0-0-0</f>
        <v>1182.2774850000001</v>
      </c>
      <c r="AD55" s="2">
        <v>1387.5</v>
      </c>
      <c r="AE55" s="3">
        <f>2191+(225.4-1028.9)+(0+(0-0))+0-0-0</f>
        <v>1387.5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1422.3+(393.1-725)+(-1.450746+(-0.400962--0.7395))+0-0-0</f>
        <v>1089.2877920000001</v>
      </c>
      <c r="G56" s="3">
        <f>1232+(407-613.1)+(-0.62832+(-0.20757--0.312681))+0-0-0</f>
        <v>1025.3767910000001</v>
      </c>
      <c r="H56" s="3">
        <f>1137.2+(396.5-559.5)+(-2.319888+(-0.80886--1.14138))+2.4-0-0</f>
        <v>974.61263200000008</v>
      </c>
      <c r="I56" s="3">
        <f>1016.9+(413.1-466.6)+(-1.555857+(-0.632043--0.713898))+0-0-0</f>
        <v>961.92599799999994</v>
      </c>
      <c r="J56" s="3">
        <f>1212.2+(366.8-624.2)+(0+(0-0))+0-0-0</f>
        <v>954.8</v>
      </c>
      <c r="K56" s="3">
        <f>1240.3+(350.8-651.7)+(-2.530212+(-0.715632--1.329468))+0-0-0</f>
        <v>937.48362399999985</v>
      </c>
      <c r="L56" s="3">
        <f>1260.4+(335.4-682.8)+(-0.642804+(-0.171054--0.348228))+0-0-0</f>
        <v>912.53437000000008</v>
      </c>
      <c r="M56" s="3">
        <f>1487.2+(356.5-840.2)+(-0.758472+(-0.181815--0.428502))+0-0-0</f>
        <v>1002.988215</v>
      </c>
      <c r="N56" s="3">
        <f>1666.7+(351.8-890.4)+(0.850017+(0.179418-0.454104))+0-0-0</f>
        <v>1128.6753310000001</v>
      </c>
      <c r="O56" s="3">
        <f>1791.9+(400.1-983.5)+(0.913869+(0.204051-0.501585))+0-0-0</f>
        <v>1209.1163349999999</v>
      </c>
      <c r="P56" s="3">
        <f>1956.4+(403.3-1089.7)+(-1.995528+(-0.411366--1.111494))+0-0-0</f>
        <v>1268.7046</v>
      </c>
      <c r="Q56" s="3">
        <f>1972.5+(383.5-1057.4)+(0+(0-0))+0-0-0</f>
        <v>1298.5999999999999</v>
      </c>
      <c r="R56" s="3">
        <f>1971.5+(387.7-1043.9)+(0+(0-0))+0-0-0</f>
        <v>1315.3</v>
      </c>
      <c r="S56" s="3">
        <f>1945.7+(369-1026.4)+(-2.976921+(-0.56457--1.570392))+0-0-0</f>
        <v>1286.3289009999999</v>
      </c>
      <c r="T56" s="3">
        <f>1998.9+(372.8-1125.5)+(-5.097195+(-0.95064--2.870025))+0-0-0</f>
        <v>1243.0221900000001</v>
      </c>
      <c r="U56" s="3">
        <f>2020.3+(370.3-1160.1)+(-5.151765+(-0.944265--2.958255))+0-0-0</f>
        <v>1227.3622250000001</v>
      </c>
      <c r="V56" s="3">
        <f>2030.4+(356.1-1152.5)+(-4.142016+(-0.726444--2.3511))+0-0-0</f>
        <v>1231.4826399999999</v>
      </c>
      <c r="W56" s="3">
        <f>2030.5+(337.2-1140.7)+(-2.07111+(-0.343944--1.163514))+0-0-0</f>
        <v>1225.74846</v>
      </c>
      <c r="X56" s="3">
        <f>2005.6+(332.6-1122.3)+(-5.11428+(-0.84813--2.861865))+0-0-0</f>
        <v>1212.7994550000001</v>
      </c>
      <c r="Y56" s="3">
        <f>1992+(291.3-1054.4)+(1.01592+(0.148563-0.537744))+0-0-0</f>
        <v>1229.5267389999999</v>
      </c>
      <c r="Z56" s="3">
        <f>2139.3+(335.1-1085.5)+(0+(0-0))+0-0-0</f>
        <v>1388.9</v>
      </c>
      <c r="AA56" s="3">
        <f>1989.1+(357.1-946)+(-6.086646+(-1.092726--2.89476))+0-0-0</f>
        <v>1395.9153879999999</v>
      </c>
      <c r="AB56" s="3">
        <f>1978+(410.5-1053.5)+(-3.02634+(-0.628065--1.611855))+0-0-0</f>
        <v>1332.9574500000001</v>
      </c>
      <c r="AC56" s="3">
        <f>1756.2+(406.5-937)+(-2.686986+(-0.621945--1.43361))+0-0-0</f>
        <v>1223.8246790000001</v>
      </c>
      <c r="AD56" s="2">
        <v>1484.4</v>
      </c>
      <c r="AE56" s="3">
        <f>2049.8+(350.7-916.1)+(0+(0-0))+0-0-0</f>
        <v>1484.4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1623.7+(388-915.4)+(-1.656174+(-0.39576--0.933708))+0-0-0</f>
        <v>1095.1817740000001</v>
      </c>
      <c r="G57" s="3">
        <f>1339.8+(373.3-696.7)+(-2.049894+(-0.571149--1.065951))+0-0-0</f>
        <v>1014.8449079999999</v>
      </c>
      <c r="H57" s="3">
        <f>1249.2+(370.3-649.6)+(-0.637092+(-0.188853--0.331296))+0-0-0</f>
        <v>969.40535100000011</v>
      </c>
      <c r="I57" s="3">
        <f>1258.5+(372.3-687.7)+(0.641835+(0.189873-0.350727))+0-0-0</f>
        <v>943.58098099999995</v>
      </c>
      <c r="J57" s="3">
        <f>1258.5+(368.1-685.4)+(0+(0-0))+0-0-0</f>
        <v>941.2</v>
      </c>
      <c r="K57" s="3">
        <f>1251.5+(374.7-699.7)+(-1.914795+(-0.573291--1.070541))+0-0-0</f>
        <v>925.08245499999998</v>
      </c>
      <c r="L57" s="3">
        <f>1251+(371.1-731.1)+(0+(0-0))+0-0-0</f>
        <v>891</v>
      </c>
      <c r="M57" s="3">
        <f>1375.1+(400.3-800)+(0+(0-0))+0-0-0</f>
        <v>975.39999999999986</v>
      </c>
      <c r="N57" s="3">
        <f>1650.5+(358.9-909.3)+(-1.68351+(-0.366078--0.927486))+0-0-0</f>
        <v>1098.9778979999999</v>
      </c>
      <c r="O57" s="3">
        <f>1917.2+(346.3-1078.5)+(-0.977772+(-0.176613--0.550035))+0-0-0</f>
        <v>1184.3956499999999</v>
      </c>
      <c r="P57" s="3">
        <f>1977.7+(319-1062.4)+(5.043135+(0.81345-2.70912))+0-0-0</f>
        <v>1237.447465</v>
      </c>
      <c r="Q57" s="3">
        <f>1994.5+(300.4-1027.2)+(1.017195+(0.153204-0.523872))+0-0-0</f>
        <v>1268.3465269999999</v>
      </c>
      <c r="R57" s="3">
        <f>2063.8+(265.6-1030)+(2.105076+(0.270912-1.0506))+0-0-0</f>
        <v>1300.7253880000001</v>
      </c>
      <c r="S57" s="3">
        <f>2110.9+(274.1-1090.4)+(0+(0-0))+0-0-0</f>
        <v>1294.5999999999999</v>
      </c>
      <c r="T57" s="3">
        <f>2122.9+(313.9-1162.6)+(2.165358+(0.320178-1.185852))+0-0-0</f>
        <v>1275.4996840000003</v>
      </c>
      <c r="U57" s="3">
        <f>2120.5+(307.7-1180.5)+(0+(0-0))+0-0-0</f>
        <v>1247.7</v>
      </c>
      <c r="V57" s="3">
        <f>2070.2+(263.2-1099.1)+(-5.27901+(-0.67116--2.802705))+0-0-0</f>
        <v>1231.1525349999999</v>
      </c>
      <c r="W57" s="3">
        <f>2002.6+(272.9-1045.7)+(-3.063978+(-0.417537--1.599921))+0-0-0</f>
        <v>1227.9184059999998</v>
      </c>
      <c r="X57" s="3">
        <f>1906.1+(292.5-1003.7)+(-6.804777+(-1.044225--3.583209))+0-0-0</f>
        <v>1190.6342069999998</v>
      </c>
      <c r="Y57" s="3">
        <f>1941.1+(217.8-944.1)+(-0.989961+(-0.111078--0.481491))+0-0-0</f>
        <v>1214.1804520000001</v>
      </c>
      <c r="Z57" s="3">
        <f>2082.7+(217-932.1)+(-2.124354+(-0.22134--0.950742))+0-0-0</f>
        <v>1366.2050479999998</v>
      </c>
      <c r="AA57" s="3">
        <f>2095.1+(211.4-919.8)+(-4.274004+(-0.431256--1.876392))+0-0-0</f>
        <v>1383.8711319999998</v>
      </c>
      <c r="AB57" s="3">
        <f>2088.7+(268.4-1038.7)+(-6.391422+(-0.821304--3.178422))+0-0-0</f>
        <v>1314.3656959999996</v>
      </c>
      <c r="AC57" s="3">
        <f>1928.4+(337.3-1060.1)+(-3.933936+(-0.688092--2.162604))+0-0-0</f>
        <v>1203.1405760000002</v>
      </c>
      <c r="AD57" s="2">
        <v>1434.6999999999998</v>
      </c>
      <c r="AE57" s="3">
        <f>2106+(251.6-922.9)+(0+(0-0))+0-0-0</f>
        <v>1434.7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1452.3+(386.7-742.8)+(-0.740673+(-0.197217--0.378828))+0-0-0</f>
        <v>1095.640938</v>
      </c>
      <c r="G58" s="3">
        <f>1326.3+(363.7-670)+(-3.382065+(-0.927435--1.7085))+0-0-0</f>
        <v>1017.399</v>
      </c>
      <c r="H58" s="3">
        <f>1328.7+(371.8-718.4)+(-2.710548+(-0.758472--1.465536))+0-0-0</f>
        <v>980.09651600000018</v>
      </c>
      <c r="I58" s="3">
        <f>1242.8+(372.1-650.2)+(-1.901484+(-0.569313--0.994806))+0-0-0</f>
        <v>963.22400899999991</v>
      </c>
      <c r="J58" s="3">
        <f>1238+(375.9-659.1)+(-3.1569+(-0.958545--1.680705))+0-0-0</f>
        <v>952.36525999999992</v>
      </c>
      <c r="K58" s="3">
        <f>1238.7+(372.2-674.2)+(-3.158685+(-0.94911--1.71921))+0-0-0</f>
        <v>934.31141500000001</v>
      </c>
      <c r="L58" s="3">
        <f>1258.4+(339.6-697.1)+(0.641784+(0.173196-0.355521))+0-0-0</f>
        <v>901.35945900000013</v>
      </c>
      <c r="M58" s="3">
        <f>1328.1+(396.5-740.2)+(2.031993+(0.606645-1.132506))+0-0-0</f>
        <v>985.90613199999984</v>
      </c>
      <c r="N58" s="3">
        <f>1487.4+(373-758.1)+(1.517148+(0.38046-0.773262))+0-0-0</f>
        <v>1103.4243460000002</v>
      </c>
      <c r="O58" s="3">
        <f>1844.6+(314.7-967.2)+(-2.822238+(-0.481491--1.479816))+0-0-0</f>
        <v>1190.276087</v>
      </c>
      <c r="P58" s="3">
        <f>2008+(255.4-1003.3)+(-3.07224+(-0.390762--1.535049))+0-0-0</f>
        <v>1258.172047</v>
      </c>
      <c r="Q58" s="3">
        <f>2115.5+(240.3-1052.9)+(-3.236715+(-0.367659--1.610937))+0-0-0</f>
        <v>1300.9065629999998</v>
      </c>
      <c r="R58" s="3">
        <f>2129.9+(258.1-1027.6)+(0+(0-0))+0-0-0</f>
        <v>1360.4</v>
      </c>
      <c r="S58" s="3">
        <f>2136.2+(258.2-1053.8)+(2.178924+(0.263364-1.074876))+0-0-0</f>
        <v>1341.967412</v>
      </c>
      <c r="T58" s="3">
        <f>2108.1+(247.9-1052)+(-3.225393+(-0.379287--1.60956))+0-0-0</f>
        <v>1302.00488</v>
      </c>
      <c r="U58" s="3">
        <f>2133.8+(222.9-1084.3)+(2.176476+(0.227358-1.105986))+0-0-0</f>
        <v>1273.697848</v>
      </c>
      <c r="V58" s="3">
        <f>2122.5+(274.8-1127.3)+(-1.082475+(-0.140148--0.574923))+0-0-0</f>
        <v>1269.3523</v>
      </c>
      <c r="W58" s="3">
        <f>2083.3+(252.6-1049.4)+(-5.312415+(-0.64413--2.67597))+0-0-0</f>
        <v>1283.219425</v>
      </c>
      <c r="X58" s="3">
        <f>1933.5+(265.4-937.7)+(-4.930425+(-0.67677--2.391135))+0-0-0</f>
        <v>1257.9839399999998</v>
      </c>
      <c r="Y58" s="3">
        <f>1950.7+(228.9-922.4)+(-1.989714+(-0.233478--0.940848))+0-0-0</f>
        <v>1255.9176560000001</v>
      </c>
      <c r="Z58" s="3">
        <f>2081.6+(289.1-955.6)+(0+(0-0))+0-0-0</f>
        <v>1415.1</v>
      </c>
      <c r="AA58" s="3">
        <f>2129.9+(316.7-1020.3)+(-5.431245+(-0.807585--2.601765))+0-0-0</f>
        <v>1422.6629350000003</v>
      </c>
      <c r="AB58" s="3">
        <f>2137.1+(346.6-1123.3)+(-5.449605+(-0.88383--2.864415))+0-0-0</f>
        <v>1356.9309800000001</v>
      </c>
      <c r="AC58" s="3">
        <f>1955.2+(356.8-1051.3)+(-0.997152+(-0.181968--0.536163))+0-0-0</f>
        <v>1260.057043</v>
      </c>
      <c r="AD58" s="2">
        <v>1456.2</v>
      </c>
      <c r="AE58" s="3">
        <f>2183+(306.4-1033.2)+(0+(0-0))+0-0-0</f>
        <v>1456.1999999999998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1823.1+(316.8-978.8)+(-6.508467+(-1.130976--3.494316))+0-0-0</f>
        <v>1156.9548729999999</v>
      </c>
      <c r="G59" s="3">
        <f>1350+(340.5-617.7)+(-0.6885+(-0.173655--0.315027))+0-0-0</f>
        <v>1072.252872</v>
      </c>
      <c r="H59" s="3">
        <f>1241.4+(331.5-554.8)+(0+(0-0))+0-0-0</f>
        <v>1018.1000000000001</v>
      </c>
      <c r="I59" s="3">
        <f>1241.9+(324.4-577.9)+(-1.900107+(-0.496332--0.884187))+0-0-0</f>
        <v>986.8877480000001</v>
      </c>
      <c r="J59" s="3">
        <f>1241+(317.9-581.3)+(-3.16455+(-0.810645--1.482315))+0-0-0</f>
        <v>975.10712000000001</v>
      </c>
      <c r="K59" s="3">
        <f>1242.4+(322.5-613.4)+(-2.534496+(-0.6579--1.251336))+0-0-0</f>
        <v>949.55894000000012</v>
      </c>
      <c r="L59" s="3">
        <f>1244.5+(297.1-634.3)+(-1.904085+(-0.454563--0.970479))+0-0-0</f>
        <v>905.91183100000012</v>
      </c>
      <c r="M59" s="3">
        <f>1442.6+(321.3-789.5)+(0+(0-0))+0-0-0</f>
        <v>974.39999999999986</v>
      </c>
      <c r="N59" s="3">
        <f>1782.7+(288.9-956.7)+(0.909177+(0.147339-0.487917))+0-0-0</f>
        <v>1115.468599</v>
      </c>
      <c r="O59" s="3">
        <f>1847.2+(290.4-926.3)+(-0.942072+(-0.148104--0.472413))+0-0-0</f>
        <v>1210.6822370000002</v>
      </c>
      <c r="P59" s="3">
        <f>1973.3+(274.3-966)+(0+(0-0))+0-0-0</f>
        <v>1281.5999999999999</v>
      </c>
      <c r="Q59" s="3">
        <f>2129.6+(234.4-1034.8)+(-1.086096+(-0.119544--0.527748))+0-0-0</f>
        <v>1328.5221079999999</v>
      </c>
      <c r="R59" s="3">
        <f>2146.7+(243-1032.4)+(2.189634+(0.24786-1.053048))+0-0-0</f>
        <v>1358.6844459999998</v>
      </c>
      <c r="S59" s="3">
        <f>2114.7+(230.2-1010.9)+(-3.235491+(-0.352206--1.546677))+0-0-0</f>
        <v>1331.9589799999999</v>
      </c>
      <c r="T59" s="3">
        <f>2137.5+(235.3-1060.9)+(1.090125+(0.120003-0.541059))+0-0-0</f>
        <v>1312.5690689999999</v>
      </c>
      <c r="U59" s="3">
        <f>2092.4+(251.7-1056.5)+(-6.402744+(-0.770202--3.23289))+0-0-0</f>
        <v>1283.6599440000002</v>
      </c>
      <c r="V59" s="3">
        <f>2111.7+(265.4-1093.3)+(-4.307868+(-0.541416--2.230332))+0-0-0</f>
        <v>1281.1810479999997</v>
      </c>
      <c r="W59" s="3">
        <f>2101.9+(248.2-1077.7)+(-5.359845+(-0.63291--2.748135))+0-0-0</f>
        <v>1269.1553800000002</v>
      </c>
      <c r="X59" s="3">
        <f>1979.2+(238.9-970.8)+(-6.056352+(-0.731034--2.970648))+0-0-0</f>
        <v>1243.4832620000002</v>
      </c>
      <c r="Y59" s="3">
        <f>2026.6+(190-977.7)+(2.067132+(0.1938-0.997254))+0-0-0</f>
        <v>1240.1636779999999</v>
      </c>
      <c r="Z59" s="3">
        <f>2149.7+(250.1-996.4)+(-1.096347+(-0.127551--0.508164))+0-0-0</f>
        <v>1402.6842659999998</v>
      </c>
      <c r="AA59" s="3">
        <f>2120.9+(281.7-982)+(-5.408295+(-0.718335--2.5041))+0-0-0</f>
        <v>1416.97747</v>
      </c>
      <c r="AB59" s="3">
        <f>2042.7+(289.3-960.9)+(-3.125331+(-0.442629--1.470177))+0-0-0</f>
        <v>1369.0022170000002</v>
      </c>
      <c r="AC59" s="3">
        <f>1827.1+(309.9-867.1)+(-1.863642+(-0.316098--0.884442))+0-0-0</f>
        <v>1268.6047019999999</v>
      </c>
      <c r="AD59" s="2">
        <v>1414.1</v>
      </c>
      <c r="AE59" s="3">
        <f>2106+(265.2-957.1)+(0+(0-0))+0-0-0</f>
        <v>1414.1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1725.8+(285.9-826.3)+(-1.760316+(-0.291618--0.842826))+0-0-0</f>
        <v>1184.1908920000001</v>
      </c>
      <c r="G60" s="3">
        <f>1347.5+(333.1-586.5)+(1.37445+(0.339762-0.59823))+0-0-0</f>
        <v>1095.2159819999999</v>
      </c>
      <c r="H60" s="3">
        <f>1324+(332.4-620.8)+(-0.67524+(-0.169524--0.316608))+0-0-0</f>
        <v>1035.0718439999998</v>
      </c>
      <c r="I60" s="3">
        <f>1329.4+(332.1-661.7)+(0+(0-0))+0-0-0</f>
        <v>999.80000000000007</v>
      </c>
      <c r="J60" s="3">
        <f>1339.3+(323.4-678.5)+(0+(0-0))+0-0-0</f>
        <v>984.19999999999993</v>
      </c>
      <c r="K60" s="3">
        <f>1290.4+(333.1-666.3)+(-1.974312+(-0.509643--1.019439))+0-0-0</f>
        <v>955.73548400000016</v>
      </c>
      <c r="L60" s="3">
        <f>1237.5+(302.4-670.9)+(-1.893375+(-0.462672--1.026477))+0-0-0</f>
        <v>867.67043000000001</v>
      </c>
      <c r="M60" s="3">
        <f>1236.7+(272.8-628.7)+(-1.892151+(-0.417384--0.961911))+0-0-0</f>
        <v>879.45237599999996</v>
      </c>
      <c r="N60" s="3">
        <f>1426.3+(263.9-746.7)+(0+(0-0))+0-0-0</f>
        <v>943.49999999999989</v>
      </c>
      <c r="O60" s="3">
        <f>1699.1+(229.5-891.4)+(-0.866541+(-0.117045--0.454614))+0-0-0</f>
        <v>1036.6710279999998</v>
      </c>
      <c r="P60" s="3">
        <f>1825.7+(246.8-966)+(1.862214+(0.251736-0.98532))+0-0-0</f>
        <v>1107.6286299999999</v>
      </c>
      <c r="Q60" s="3">
        <f>2010.2+(232.2-1079.4)+(3.075606+(0.355266-1.651482))+0-0-0</f>
        <v>1164.7793899999999</v>
      </c>
      <c r="R60" s="3">
        <f>2114.1+(239-1147.7)+(0+(0-0))+0-0-0</f>
        <v>1205.3999999999999</v>
      </c>
      <c r="S60" s="3">
        <f>2125.2+(234.7-1146.1)+(-1.083852+(-0.119697--0.584511))+0-0-0</f>
        <v>1213.1809619999999</v>
      </c>
      <c r="T60" s="3">
        <f>2122.9+(232.1-1142)+(-2.165358+(-0.236742--1.16484))+0-0-0</f>
        <v>1211.7627399999999</v>
      </c>
      <c r="U60" s="3">
        <f>2114.8+(231.8-1141.7)+(-2.157096+(-0.236436--1.164534))+0-0-0</f>
        <v>1203.671002</v>
      </c>
      <c r="V60" s="3">
        <f>2100.1+(228.9-1122.5)+(-4.284204+(-0.466956--2.2899))+0-0-0</f>
        <v>1204.03874</v>
      </c>
      <c r="W60" s="3">
        <f>2022.7+(231.7-1045.2)+(-4.126308+(-0.472668--2.132208))+0-0-0</f>
        <v>1206.733232</v>
      </c>
      <c r="X60" s="3">
        <f>1998.8+(219.4-1014.8)+(-3.058164+(-0.335682--1.552644))+0-0-0</f>
        <v>1201.558798</v>
      </c>
      <c r="Y60" s="3">
        <f>1996.7+(170.2-977.1)+(-1.018317+(-0.086802--0.498321))+0-0-0</f>
        <v>1189.1932019999999</v>
      </c>
      <c r="Z60" s="3">
        <f>2154.9+(180.4-973.7)+(0+(0-0))+0-0-0</f>
        <v>1361.6</v>
      </c>
      <c r="AA60" s="3">
        <f>2140.8+(216.4-936.9)+(-3.275424+(-0.331092--1.433457))+0-0-0</f>
        <v>1418.1269410000002</v>
      </c>
      <c r="AB60" s="3">
        <f>2132.4+(274.4-1028.7)+(-4.350096+(-0.559776--2.098548))+0-0-0</f>
        <v>1375.2886759999999</v>
      </c>
      <c r="AC60" s="3">
        <f>2133.2+(262.4-1107)+(-4.351728+(-0.535296--2.25828))+0-0-0</f>
        <v>1285.9712559999998</v>
      </c>
      <c r="AD60" s="2">
        <v>1413.5</v>
      </c>
      <c r="AE60" s="3">
        <f>2131+(190.9-908.4)+(0+(0-0))+0-0-0</f>
        <v>1413.5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1814.2+(287.5-931.6)+(-0.925242+(-0.146625--0.475116))+0-0-0</f>
        <v>1169.5032489999999</v>
      </c>
      <c r="G61" s="3">
        <f>1589.4+(303.6-815.7)+(-4.05297+(-0.77418--2.080035))+0-0-0</f>
        <v>1074.5528850000003</v>
      </c>
      <c r="H61" s="3">
        <f>1424.3+(327.9-729.9)+(-2.905572+(-0.668916--1.488996))+0-0-0</f>
        <v>1020.2145079999999</v>
      </c>
      <c r="I61" s="3">
        <f>1409.3+(315.6-724.7)+(-2.874972+(-0.643824--1.478388))+0-0-0</f>
        <v>998.15959199999998</v>
      </c>
      <c r="J61" s="3">
        <f>1278+(309.4-606.4)+(0.65178+(0.157794-0.309264))+0-0-0</f>
        <v>981.50031000000001</v>
      </c>
      <c r="K61" s="3">
        <f>1259.6+(294.9-597.7)+(-2.569584+(-0.601596--1.219308))+0-0-0</f>
        <v>954.84812799999986</v>
      </c>
      <c r="L61" s="3">
        <f>1266.3+(289.4-646.1)+(-0.645813+(-0.147594--0.329511))+0-0-0</f>
        <v>909.13610399999993</v>
      </c>
      <c r="M61" s="3">
        <f>1346.8+(321.3-654.7)+(1.373736+(0.327726-0.667794))+0-0-0</f>
        <v>1014.4336679999999</v>
      </c>
      <c r="N61" s="3">
        <f>1907.9+(306.1-1043.1)+(0+(0-0))+0-0-0</f>
        <v>1170.9000000000001</v>
      </c>
      <c r="O61" s="3">
        <f>2151.9+(332.3-1196.4)+(2.194938+(0.338946-1.220328))+0-0-0</f>
        <v>1289.113556</v>
      </c>
      <c r="P61" s="3">
        <f>2141.8+(362.6-1165.3)+(0+(0-0))+0-0-0</f>
        <v>1339.1000000000004</v>
      </c>
      <c r="Q61" s="3">
        <f>2146.9+(355.1-1102.3)+(0+(0-0))+0-0-0</f>
        <v>1399.7000000000003</v>
      </c>
      <c r="R61" s="3">
        <f>2139+(387.8-1102.8)+(-1.09089+(-0.197778--0.562428))+0-0-0</f>
        <v>1423.27376</v>
      </c>
      <c r="S61" s="3">
        <f>2118.6+(383-1081.6)+(-4.321944+(-0.78132--2.206464))+0-0-0</f>
        <v>1417.1032</v>
      </c>
      <c r="T61" s="3">
        <f>2139.9+(380.1-1110.4)+(0+(0-0))+0-0-0</f>
        <v>1409.6</v>
      </c>
      <c r="U61" s="3">
        <f>2114.4+(393.6-1125.4)+(-4.313376+(-0.802944--2.295816))+0-0-0</f>
        <v>1379.7794959999999</v>
      </c>
      <c r="V61" s="3">
        <f>2113.7+(396.1-1129.7)+(-5.389935+(-1.010055--2.880735))+0-0-0</f>
        <v>1376.580745</v>
      </c>
      <c r="W61" s="3">
        <f>2124.3+(378.5-1141.7)+(-3.250179+(-0.579105--1.746801))+0-0-0</f>
        <v>1359.0175170000002</v>
      </c>
      <c r="X61" s="3">
        <f>2050.8+(355.9-1084.1)+(-7.321356+(-1.270563--3.870237))+0-0-0</f>
        <v>1317.8783180000003</v>
      </c>
      <c r="Y61" s="3">
        <f>1955.4+(311.6-970)+(-4.98627+(-0.79458--2.4735))+0-0-0</f>
        <v>1293.69265</v>
      </c>
      <c r="Z61" s="3">
        <f>2151.7+(274.1-967.5)+(-1.097367+(-0.139791--0.493425))+0-0-0</f>
        <v>1457.5562669999997</v>
      </c>
      <c r="AA61" s="3">
        <f>2160+(285.9-939.6)+(-5.508+(-0.729045--2.39598))+0-0-0</f>
        <v>1502.4589349999999</v>
      </c>
      <c r="AB61" s="3">
        <f>2035.9+(392.9-983.2)+(-4.153236+(-0.801516--2.005728))+0-0-0</f>
        <v>1442.6509759999999</v>
      </c>
      <c r="AC61" s="3">
        <f>1883.2+(404.5-939.4)+(-3.841728+(-0.82518--1.916376))+0-0-0</f>
        <v>1345.5494680000002</v>
      </c>
      <c r="AD61" s="2">
        <v>1532.7</v>
      </c>
      <c r="AE61" s="3">
        <f>2178+(298.4-943.7)+(0+(0-0))+0-0-0</f>
        <v>1532.6999999999998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1809.8+(353.8-928.1)+(-4.61499+(-0.90219--2.366655))+0-0-0</f>
        <v>1232.349475</v>
      </c>
      <c r="G62" s="3">
        <f>1713.4+(270.8-816.6)+(-4.36917+(-0.69054--2.08233))+0-0-0</f>
        <v>1164.6226200000001</v>
      </c>
      <c r="H62" s="3">
        <f>1655.5+(263.8-812.1)+(-2.532915+(-0.403614--1.242513))+0-0-0</f>
        <v>1105.5059840000001</v>
      </c>
      <c r="I62" s="3">
        <f>1619.5+(262.2-815)+(-0.825945+(-0.133722--0.41565))+0-0-0</f>
        <v>1066.1559830000001</v>
      </c>
      <c r="J62" s="3">
        <f>1612.5+(262.2-824.6)+(-2.467125+(-0.401166--1.261638))+0-0-0</f>
        <v>1048.4933469999999</v>
      </c>
      <c r="K62" s="3">
        <f>1559.8+(306.4-858.1)+(-3.97749+(-0.78132--2.188155))+0-0-0</f>
        <v>1005.5293449999999</v>
      </c>
      <c r="L62" s="3">
        <f>1526.8+(313.6-902.5)+(-0.778668+(-0.159936--0.460275))+0-0-0</f>
        <v>937.42167099999995</v>
      </c>
      <c r="M62" s="3">
        <f>1681+(345.9-998.2)+(-1.71462+(-0.352818--1.018164))+0-0-0</f>
        <v>1027.6507259999998</v>
      </c>
      <c r="N62" s="3">
        <f>2111.1+(239.2-1160.1)+(1.076661+(0.121992-0.591651))+0-0-0</f>
        <v>1190.807002</v>
      </c>
      <c r="O62" s="3">
        <f>2147.2+(250.8-1115.2)+(-2.190144+(-0.255816--1.137504))+0-0-0</f>
        <v>1281.4915439999997</v>
      </c>
      <c r="P62" s="3">
        <f>2162.2+(315.8-1137.2)+(3.308166+(0.483174-1.739916))+0-0-0</f>
        <v>1342.8514239999997</v>
      </c>
      <c r="Q62" s="3">
        <f>2176+(390.6-1176.4)+(3.32928+(0.597618-1.799892))+0-0-0</f>
        <v>1392.3270059999998</v>
      </c>
      <c r="R62" s="3">
        <f>2162.9+(403.4-1133.6)+(0+(0-0))+0-0-0</f>
        <v>1432.7000000000003</v>
      </c>
      <c r="S62" s="3">
        <f>2147.6+(386.3-1091)+(0+(0-0))+0-0-0</f>
        <v>1442.8999999999999</v>
      </c>
      <c r="T62" s="3">
        <f>2130.7+(385.6-1077.4)+(-3.259971+(-0.589968--1.648422))+0-0-0</f>
        <v>1436.6984829999997</v>
      </c>
      <c r="U62" s="3">
        <f>2127+(392.3-1101.4)+(-4.33908+(-0.800292--2.246856))+0-0-0</f>
        <v>1415.007484</v>
      </c>
      <c r="V62" s="3">
        <f>2119.7+(388.4-1108.6)+(-5.405235+(-0.99042--2.82693))+0-0-0</f>
        <v>1395.9312749999999</v>
      </c>
      <c r="W62" s="3">
        <f>2096.6+(413.8-1120)+(-1.069266+(-0.211038--0.5712))+0-0-0</f>
        <v>1389.6908959999998</v>
      </c>
      <c r="X62" s="3">
        <f>1950.6+(386.7-986.2)+(-3.979224+(-0.788868--2.011848))+0-0-0</f>
        <v>1348.343756</v>
      </c>
      <c r="Y62" s="3">
        <f>1918.2+(324.4-913.3)+(-0.978282+(-0.165444--0.465783))+0-0-0</f>
        <v>1328.6220570000003</v>
      </c>
      <c r="Z62" s="3">
        <f>2066.9+(374-956)+(1.054119+(0.19074-0.48756))+0-0-0</f>
        <v>1485.6572990000002</v>
      </c>
      <c r="AA62" s="3">
        <f>2050.9+(396.7-924.2)+(-4.183836+(-0.809268--1.885368))+0-0-0</f>
        <v>1520.2922640000002</v>
      </c>
      <c r="AB62" s="3">
        <f>1970+(443.9-950.3)+(-3.0141+(-0.679167--1.453959))+0-0-0</f>
        <v>1461.360692</v>
      </c>
      <c r="AC62" s="3">
        <f>1836.3+(435.1-921)+(-3.746052+(-0.887604--1.87884))+0-0-0</f>
        <v>1347.6451840000002</v>
      </c>
      <c r="AD62" s="2">
        <v>1553.4</v>
      </c>
      <c r="AE62" s="3">
        <f>2084+(416-946.6)+(0+(0-0))+0-0-0</f>
        <v>1553.4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1702.7+(416.4-869.3)+(-1.736754+(-0.424728--0.886686))+0-0-0</f>
        <v>1248.5252040000003</v>
      </c>
      <c r="G63" s="3">
        <f>1534.3+(371.3-737.3)+(-3.912465+(-0.946815--1.880115))+0-0-0</f>
        <v>1165.320835</v>
      </c>
      <c r="H63" s="3">
        <f>1537.5+(364.6-785.7)+(-1.56825+(-0.371892--0.801414))+0-0-0</f>
        <v>1115.2612720000002</v>
      </c>
      <c r="I63" s="3">
        <f>1487.4+(322-721.9)+(-2.275722+(-0.49266--1.104507))+0-0-0</f>
        <v>1085.836125</v>
      </c>
      <c r="J63" s="3">
        <f>1291.5+(316.3-544.8)+(0+(0-0))+0-0-0</f>
        <v>1063</v>
      </c>
      <c r="K63" s="3">
        <f>1246.7+(327.7-535.4)+(-1.907451+(-0.501381--0.819162))+0-0-0</f>
        <v>1037.4103299999999</v>
      </c>
      <c r="L63" s="3">
        <f>1254.2+(305.8-579)+(-1.279284+(-0.311916--0.59058))+0-0-0</f>
        <v>979.99937999999997</v>
      </c>
      <c r="M63" s="3">
        <f>1335.9+(398.7-660.7)+(-2.043927+(-0.610011--1.010871))+0-0-0</f>
        <v>1072.2569330000001</v>
      </c>
      <c r="N63" s="3">
        <f>1650+(465.3-902.1)+(-0.8415+(-0.237303--0.460071))+0-0-0</f>
        <v>1212.5812680000001</v>
      </c>
      <c r="O63" s="3">
        <f>1957.2+(440.5-1051.6)+(0+(0-0))+0-0-0</f>
        <v>1346.1000000000001</v>
      </c>
      <c r="P63" s="3">
        <f>2012.2+(406.9-1001.2)+(0+(0-0))+0-0-0</f>
        <v>1417.9</v>
      </c>
      <c r="Q63" s="3">
        <f>2085.3+(398.8-1004.6)+(1.063503+(0.203388-0.512346))+0-0-0</f>
        <v>1480.2545450000002</v>
      </c>
      <c r="R63" s="3">
        <f>2113.9+(387.6-962.7)+(-1.078089+(-0.197676--0.490977))+0-0-0</f>
        <v>1538.0152120000002</v>
      </c>
      <c r="S63" s="3">
        <f>2100.6+(382.9-907.9)+(-2.142612+(-0.390558--0.926058))+0-0-0</f>
        <v>1573.992888</v>
      </c>
      <c r="T63" s="3">
        <f>2102.9+(380-897.1)+(-1.072479+(-0.1938--0.457521))+0-0-0</f>
        <v>1584.9912420000003</v>
      </c>
      <c r="U63" s="3">
        <f>2095.3+(322.2-876.6)+(-2.137206+(-0.328644--0.894132))+0-0-0</f>
        <v>1539.3282820000002</v>
      </c>
      <c r="V63" s="3">
        <f>2070+(314.7-876.4)+(-6.3342+(-0.962982--2.681784))+0-0-0</f>
        <v>1503.684602</v>
      </c>
      <c r="W63" s="3">
        <f>2086.4+(308-924.5)+(-3.192192+(-0.47124--1.414485))+0-0-0</f>
        <v>1467.651053</v>
      </c>
      <c r="X63" s="3">
        <f>2038.9+(309.5-887.7)+(-7.278873+(-1.104915--3.169089))+0-0-0</f>
        <v>1455.4853009999999</v>
      </c>
      <c r="Y63" s="3">
        <f>1924.8+(288.9-854)+(-4.90824+(-0.736695--2.1777))+0-0-0</f>
        <v>1356.2327649999997</v>
      </c>
      <c r="Z63" s="3">
        <f>2005.1+(277-834.2)+(1.022601+(0.14127-0.425442))+0-0-0</f>
        <v>1448.6384289999999</v>
      </c>
      <c r="AA63" s="3">
        <f>2127.6+(304.9-869.5)+(-3.255228+(-0.466497--1.330335))+0-0-0</f>
        <v>1560.60861</v>
      </c>
      <c r="AB63" s="3">
        <f>2129+(392.8-959.6)+(-4.34316+(-0.801312--1.957584))+0-0-0</f>
        <v>1559.0131120000001</v>
      </c>
      <c r="AC63" s="3">
        <f>1985.2+(444.9-978)+(-2.024904+(-0.453798--0.99756))+0-0-0</f>
        <v>1450.6188579999998</v>
      </c>
      <c r="AD63" s="2">
        <v>1575.7</v>
      </c>
      <c r="AE63" s="3">
        <f>2183+(298-905.3)+(0+(0-0))+0-0-0</f>
        <v>1575.7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1677.7+(438.1-778.1)+(-2.566881+(-0.670293--1.190493))+0-0-0</f>
        <v>1335.653319</v>
      </c>
      <c r="G64" s="3">
        <f>1254.6+(488.2-506.3)+(-2.559384+(-0.995928--1.032852))+0-0-0</f>
        <v>1233.9775400000001</v>
      </c>
      <c r="H64" s="3">
        <f>1237.7+(494.3-541.8)+(-3.156135+(-1.260465--1.38159))+0-0-0</f>
        <v>1187.16499</v>
      </c>
      <c r="I64" s="3">
        <f>1245.5+(491.1-557.1)+(-1.905615+(-0.751383--0.852363))+0-0-0</f>
        <v>1177.695365</v>
      </c>
      <c r="J64" s="3">
        <f>1244.8+(468.4-595.3)+(-1.904544+(-0.716652--0.910809))+0-0-0</f>
        <v>1116.189613</v>
      </c>
      <c r="K64" s="3">
        <f>1241.2+(447.8-610.3)+(-3.798072+(-1.370268--1.867518))+0-0-0</f>
        <v>1075.3991780000001</v>
      </c>
      <c r="L64" s="3">
        <f>1260.8+(399.7-626.9)+(0.643008+(0.203847-0.319719))+0-0-0</f>
        <v>1034.1271359999998</v>
      </c>
      <c r="M64" s="3">
        <f>1543.4+(393.9-820)+(-0.787134+(-0.200889--0.4182))+0-0-0</f>
        <v>1116.7301770000001</v>
      </c>
      <c r="N64" s="3">
        <f>1946.3+(373.7-1053.4)+(0.992613+(0.190587-0.537234))+0-0-0</f>
        <v>1267.245966</v>
      </c>
      <c r="O64" s="3">
        <f>2051.2+(359.9-1056.2)+(0+(0-0))+0-0-0</f>
        <v>1354.8999999999996</v>
      </c>
      <c r="P64" s="3">
        <f>2048.7+(395.4-1038.9)+(0+(0-0))+0-0-0</f>
        <v>1405.1999999999998</v>
      </c>
      <c r="Q64" s="3">
        <f>2046.8+(441.1-1047.5)+(0+(0-0))+0-0-0</f>
        <v>1440.4</v>
      </c>
      <c r="R64" s="3">
        <f>2048.7+(439.2-1017.5)+(0+(0-0))+0-0-0</f>
        <v>1470.3999999999999</v>
      </c>
      <c r="S64" s="3">
        <f>2024.1+(428.7-999.2)+(-4.129164+(-0.874548--2.038368))+0-0-0</f>
        <v>1450.6346559999999</v>
      </c>
      <c r="T64" s="3">
        <f>2043.9+(427.4-1041.3)+(-1.042389+(-0.217974--0.531063))+0-0-0</f>
        <v>1429.2707</v>
      </c>
      <c r="U64" s="3">
        <f>2017.2+(409.2-1028.8)+(-4.115088+(-0.834768--2.098752))+0-0-0</f>
        <v>1394.7488960000001</v>
      </c>
      <c r="V64" s="3">
        <f>2005.6+(362-986.7)+(-7.159992+(-1.29234--3.522519))+0-0-0</f>
        <v>1375.9701869999999</v>
      </c>
      <c r="W64" s="3">
        <f>1937.3+(354.4-921.2)+(-5.928138+(-1.084464--2.818872))+0-0-0</f>
        <v>1366.30627</v>
      </c>
      <c r="X64" s="3">
        <f>1953+(350.4-955.7)+(-1.99206+(-0.357408--0.974814))+0-0-0</f>
        <v>1346.3253459999999</v>
      </c>
      <c r="Y64" s="3">
        <f>1958.8+(256.5-862.7)+(0+(0-0))+0-0-0</f>
        <v>1352.6</v>
      </c>
      <c r="Z64" s="3">
        <f>2017.2+(285.7-813.5)+(-2.057544+(-0.291414--0.82977))+0-0-0</f>
        <v>1487.8808120000001</v>
      </c>
      <c r="AA64" s="3">
        <f>2114.6+(287.9-885.5)+(-5.39223+(-0.734145--2.258025))+0-0-0</f>
        <v>1513.13165</v>
      </c>
      <c r="AB64" s="3">
        <f>1936.1+(303.1-793.4)+(-3.949644+(-0.618324--1.618536))+0-0-0</f>
        <v>1442.8505680000001</v>
      </c>
      <c r="AC64" s="3">
        <f>1629.3+(351.7-642.9)+(-5.816601+(-1.255569--2.295153))+0-0-0</f>
        <v>1333.322983</v>
      </c>
      <c r="AD64" s="2">
        <v>1518.5</v>
      </c>
      <c r="AE64" s="3">
        <f>2135+(243.9-860.4)+(0+(0-0))+0-0-0</f>
        <v>1518.5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1338.7+(406.1-539.2)+(-4.779159+(-1.449777--1.924944))+0-0-0</f>
        <v>1201.2960079999998</v>
      </c>
      <c r="G65" s="3">
        <f>1244.8+(363-482)+(-3.809088+(-1.11078--1.47492))+0-0-0</f>
        <v>1122.3550519999999</v>
      </c>
      <c r="H65" s="3">
        <f>1246.4+(337.8-506.8)+(-2.542656+(-0.689112--1.033872))+0-0-0</f>
        <v>1075.2021040000002</v>
      </c>
      <c r="I65" s="3">
        <f>1252.3+(328.2-536.2)+(-2.554692+(-0.669528--1.093848))+0-0-0</f>
        <v>1042.1696279999999</v>
      </c>
      <c r="J65" s="3">
        <f>1257.5+(329.5-558.3)+(-2.5653+(-0.67218--1.138932))+0-0-0</f>
        <v>1026.6014520000001</v>
      </c>
      <c r="K65" s="3">
        <f>1248.2+(335.3-593.1)+(-1.909746+(-0.513009--0.907443))+0-0-0</f>
        <v>988.8846880000001</v>
      </c>
      <c r="L65" s="3">
        <f>1245.3+(305-601.3)+(-2.540412+(-0.6222--1.226652))+0-0-0</f>
        <v>947.06403999999998</v>
      </c>
      <c r="M65" s="3">
        <f>1390.4+(276.7-629.4)+(0.709104+(0.141117-0.320994))+0-0-0</f>
        <v>1038.229227</v>
      </c>
      <c r="N65" s="3">
        <f>1684.2+(336.8-875.6)+(-1.717884+(-0.343536--0.893112))+0-0-0</f>
        <v>1144.2316920000001</v>
      </c>
      <c r="O65" s="3">
        <f>1858.4+(287.5-905)+(-5.686704+(-0.87975--2.7693))+0-0-0</f>
        <v>1237.102846</v>
      </c>
      <c r="P65" s="3">
        <f>1884.7+(286.2-879.7)+(0.961197+(0.145962-0.448647))+0-0-0</f>
        <v>1291.858512</v>
      </c>
      <c r="Q65" s="3">
        <f>1970.7+(279.5-920.2)+(0+(0-0))+0-0-0</f>
        <v>1330</v>
      </c>
      <c r="R65" s="3">
        <f>1982.8+(322.9-977.2)+(0+(0-0))+0-0-0</f>
        <v>1328.5</v>
      </c>
      <c r="S65" s="3">
        <f>1952+(310.9-963.9)+(-4.9776+(-0.792795--2.457945))+0-0-0</f>
        <v>1295.6875500000001</v>
      </c>
      <c r="T65" s="3">
        <f>1973.5+(301.3-1016.6)+(-1.006485+(-0.153663--0.518466))+0-0-0</f>
        <v>1257.5583180000001</v>
      </c>
      <c r="U65" s="3">
        <f>1959.5+(284.5-1030.5)+(-3.99738+(-0.58038--2.10222))+0-0-0</f>
        <v>1211.0244600000001</v>
      </c>
      <c r="V65" s="3">
        <f>1964.7+(240.9-999.5)+(-2.003994+(-0.245718--1.01949))+0-0-0</f>
        <v>1204.869778</v>
      </c>
      <c r="W65" s="3">
        <f>1969.4+(230.2-986.8)+(-2.008788+(-0.234804--1.006536))+0-0-0</f>
        <v>1211.5629440000002</v>
      </c>
      <c r="X65" s="3">
        <f>1968.8+(169.2-944.4)+(-1.004088+(-0.086292--0.481644))+0-0-0</f>
        <v>1192.991264</v>
      </c>
      <c r="Y65" s="3">
        <f>1929+(149-907.5)+(-2.95137+(-0.22797--1.388475))+0-0-0</f>
        <v>1168.7091350000001</v>
      </c>
      <c r="Z65" s="3">
        <f>2003.9+(124.4-803.3)+(-2.043978+(-0.126888--0.819366))+0-0-0</f>
        <v>1323.6485</v>
      </c>
      <c r="AA65" s="3">
        <f>2006.1+(119.4-778.8)+(-2.046222+(-0.121788--0.794376))+0-0-0</f>
        <v>1345.3263659999998</v>
      </c>
      <c r="AB65" s="3">
        <f>1834.4+(196.7-750)+(-4.67772+(-0.501585--1.9125))+0-0-0</f>
        <v>1277.8331950000002</v>
      </c>
      <c r="AC65" s="3">
        <f>1762.9+(250.8-817.6)+(0+(0-0))+0-0-0</f>
        <v>1196.1000000000001</v>
      </c>
      <c r="AD65" s="2">
        <v>1375.5</v>
      </c>
      <c r="AE65" s="3">
        <f>2023+(142.5-790)+(0+(0-0))+0-0-0</f>
        <v>1375.5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1507.5+(283.5-699.9)+(-1.53765+(-0.28917--0.713898))+0-0-0</f>
        <v>1089.9870779999999</v>
      </c>
      <c r="G66" s="3">
        <f>1371.4+(297.7-657.3)+(-0.699414+(-0.151827--0.335223))+0-0-0</f>
        <v>1011.2839820000002</v>
      </c>
      <c r="H66" s="3">
        <f>1189.6+(309.8-529.9)+(1.820088+(0.473994-0.810747))+0-0-0</f>
        <v>970.98333500000001</v>
      </c>
      <c r="I66" s="3">
        <f>1062.9+(338.9-463.2)+(0.542079+(0.172839-0.236232))+0-0-0</f>
        <v>939.07868600000018</v>
      </c>
      <c r="J66" s="3">
        <f>1021.5+(355.6-452.8)+(-1.562895+(-0.544068--0.692784))+0-0-0</f>
        <v>922.88582099999996</v>
      </c>
      <c r="K66" s="3">
        <f>1016.2+(364.2-480)+(-2.59131+(-0.92871--1.224))+0-0-0</f>
        <v>898.10398000000009</v>
      </c>
      <c r="L66" s="3">
        <f>1021.4+(323.4-482.9)+(-1.041828+(-0.329868--0.492558))+0-0-0</f>
        <v>861.02086199999997</v>
      </c>
      <c r="M66" s="3">
        <f>1137.7+(307.1-519.6)+(1.160454+(0.313242-0.529992))+0-0-0</f>
        <v>926.14370400000007</v>
      </c>
      <c r="N66" s="3">
        <f>1339.3+(323.3-627)+(-1.366086+(-0.329766--0.63954))+0-0-0</f>
        <v>1034.543688</v>
      </c>
      <c r="O66" s="3">
        <f>1368.9+(326.8-589.6)+(1.396278+(0.333336-0.601392))+0-0-0</f>
        <v>1107.2282220000002</v>
      </c>
      <c r="P66" s="3">
        <f>1451.6+(305.9-596.8)+(0+(0-0))+0-0-0</f>
        <v>1160.6999999999998</v>
      </c>
      <c r="Q66" s="3">
        <f>1633.5+(267.1-709)+(0.833085+(0.136221-0.36159))+0-0-0</f>
        <v>1192.2077159999999</v>
      </c>
      <c r="R66" s="3">
        <f>1731.7+(251.5-777.8)+(-3.532668+(-0.51306--1.586712))+0-0-0</f>
        <v>1202.9409840000001</v>
      </c>
      <c r="S66" s="3">
        <f>1733.8+(243.6-815)+(-1.768476+(-0.248472--0.8313))+0-0-0</f>
        <v>1161.2143520000002</v>
      </c>
      <c r="T66" s="3">
        <f>1735.9+(244.5-845.3)+(-0.885309+(-0.124695--0.431103))+0-0-0</f>
        <v>1134.521099</v>
      </c>
      <c r="U66" s="3">
        <f>1720.7+(204.3-812.5)+(-3.510228+(-0.416772--1.6575))+0-0-0</f>
        <v>1110.2304999999999</v>
      </c>
      <c r="V66" s="3">
        <f>1709.1+(149.8-761)+(-4.358205+(-0.38199--1.94055))+0-0-0</f>
        <v>1095.1003549999998</v>
      </c>
      <c r="W66" s="3">
        <f>1719.8+(206.2-806.4)+(-3.508392+(-0.420648--1.645056))+0-0-0</f>
        <v>1117.316016</v>
      </c>
      <c r="X66" s="3">
        <f>1649.6+(227-765.2)+(-4.20648+(-0.57885--1.95126))+0-0-0</f>
        <v>1108.5659299999998</v>
      </c>
      <c r="Y66" s="3">
        <f>1556.8+(207.5-647.4)+(-0.793968+(-0.105825--0.330174))+0-0-0</f>
        <v>1116.330381</v>
      </c>
      <c r="Z66" s="3">
        <f>1704.9+(190.9-628.5)+(-0.869499+(-0.097359--0.320535))+0-0-0</f>
        <v>1266.6536770000002</v>
      </c>
      <c r="AA66" s="3">
        <f>1724.1+(192.4-611.5)+(-4.396455+(-0.49062--1.559325))+0-0-0</f>
        <v>1301.6722500000001</v>
      </c>
      <c r="AB66" s="3">
        <f>1698.8+(250.2-700.1)+(-4.33194+(-0.63801--1.785255))+0-0-0</f>
        <v>1245.7153049999999</v>
      </c>
      <c r="AC66" s="3">
        <f>1452+(298.3-593.8)+(-0.74052+(-0.152133--0.302838))+0-0-0</f>
        <v>1155.910185</v>
      </c>
      <c r="AD66" s="2">
        <v>1344.8000000000002</v>
      </c>
      <c r="AE66" s="3">
        <f>1751+(207.7-613.9)+(0+(0-0))+0-0-0</f>
        <v>1344.8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1387.4+(332.9-620.5)+(-0.707574+(-0.169779--0.316455))+0-0-0</f>
        <v>1099.2391020000002</v>
      </c>
      <c r="G67" s="3">
        <f>1251.5+(316.6-548.9)+(-1.27653+(-0.322932--0.559878))+0-0-0</f>
        <v>1018.1604160000001</v>
      </c>
      <c r="H67" s="3">
        <f>1221.2+(303.3-548.8)+(-1.868436+(-0.464049--0.839664))+0-0-0</f>
        <v>974.207179</v>
      </c>
      <c r="I67" s="3">
        <f>1220.5+(285.9-556.9)+(-1.24491+(-0.291618--0.568038))+0-0-0</f>
        <v>948.53151000000003</v>
      </c>
      <c r="J67" s="3">
        <f>1064.7+(298.3-426.8)+(1.628991+(0.456399-0.653004))+0-0-0</f>
        <v>937.632386</v>
      </c>
      <c r="K67" s="3">
        <f>1045.8+(296.7-451.7)+(-0.533358+(-0.151317--0.230367))+0-0-0</f>
        <v>890.34569199999999</v>
      </c>
      <c r="L67" s="3">
        <f>1050.5+(293.1-523.9)+(0.535755+(0.149481-0.267189))+0-0-0</f>
        <v>820.11804700000005</v>
      </c>
      <c r="M67" s="3">
        <f>1150.8+(282.6-592.7)+(-0.586908+(-0.144126--0.302277))+0-0-0</f>
        <v>840.27124299999991</v>
      </c>
      <c r="N67" s="3">
        <f>1273.3+(270-638.9)+(-1.948149+(-0.4131--0.977517))+0-0-0</f>
        <v>903.01626799999997</v>
      </c>
      <c r="O67" s="3">
        <f>1512.9+(241.2-760.5)+(-1.543158+(-0.246024--0.77571))+0-0-0</f>
        <v>992.58652800000016</v>
      </c>
      <c r="P67" s="3">
        <f>1517.4+(273.9-722.3)+(-0.773874+(-0.139689--0.368373))+0-0-0</f>
        <v>1068.45481</v>
      </c>
      <c r="Q67" s="3">
        <f>1642.4+(262.4-797.3)+(-1.675248+(-0.267648--0.813246))+0-0-0</f>
        <v>1106.3703499999999</v>
      </c>
      <c r="R67" s="3">
        <f>1745.1+(265.6-869.9)+(0.890001+(0.135456-0.443649))+0-0-0</f>
        <v>1141.3818079999999</v>
      </c>
      <c r="S67" s="3">
        <f>1745.8+(265.2-870.7)+(-0.890358+(-0.135252--0.444057))+0-0-0</f>
        <v>1139.718447</v>
      </c>
      <c r="T67" s="3">
        <f>1750+(258.9-872.2)+(-0.8925+(-0.132039--0.444822))+0-0-0</f>
        <v>1136.1202829999997</v>
      </c>
      <c r="U67" s="3">
        <f>1780.6+(256.9-904.7)+(4.54053+(0.655095-2.306985))+0-0-0</f>
        <v>1135.6886399999996</v>
      </c>
      <c r="V67" s="3">
        <f>1770.1+(262.8-887.9)+(-0.902751+(-0.134028--0.452829))+0-0-0</f>
        <v>1144.41605</v>
      </c>
      <c r="W67" s="3">
        <f>1525.3+(350.8-742.3)+(-1.555806+(-0.357816--0.757146))+0-0-0</f>
        <v>1132.6435239999998</v>
      </c>
      <c r="X67" s="3">
        <f>1667.3+(307.9-840.8)+(-5.101938+(-0.942174--2.572848))+0-0-0</f>
        <v>1130.9287360000001</v>
      </c>
      <c r="Y67" s="3">
        <f>1701.8+(223.5-781.9)+(-2.603754+(-0.341955--1.196307))+0-0-0</f>
        <v>1141.6505980000002</v>
      </c>
      <c r="Z67" s="3">
        <f>1735.3+(243.8-682.1)+(-1.770006+(-0.248676--0.695742))+0-0-0</f>
        <v>1295.67706</v>
      </c>
      <c r="AA67" s="3">
        <f>1731.2+(245.6-602.3)+(-2.648736+(-0.375768--0.921519))+0-0-0</f>
        <v>1372.397015</v>
      </c>
      <c r="AB67" s="3">
        <f>1726.7+(329.5-720.5)+(-2.641851+(-0.504135--1.102365))+0-0-0</f>
        <v>1333.656379</v>
      </c>
      <c r="AC67" s="3">
        <f>1717.5+(288.4-751.3)+(-0.875925+(-0.147084--0.383163))+0-0-0</f>
        <v>1253.9601539999999</v>
      </c>
      <c r="AD67" s="2">
        <v>1386.2</v>
      </c>
      <c r="AE67" s="3">
        <f>1751+(259-623.8)+(0+(0-0))+0-0-0</f>
        <v>1386.2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1596.9+(228.4-685.2)+(-3.257676+(-0.465936--1.397808))+0-0-0</f>
        <v>1137.7741959999998</v>
      </c>
      <c r="G68" s="3">
        <f>1096.2+(265.7-314.1)+(-2.79531+(-0.677535--0.800955))+0-0-0</f>
        <v>1045.1281099999999</v>
      </c>
      <c r="H68" s="3">
        <f>1015.2+(277.6-289.6)+(-2.071008+(-0.566304--0.590784))+0-0-0</f>
        <v>1001.1534720000001</v>
      </c>
      <c r="I68" s="3">
        <f>1026.9+(270.4-339)+(-1.047438+(-0.275808--0.34578))+0-0-0</f>
        <v>957.32253400000002</v>
      </c>
      <c r="J68" s="3">
        <f>1022.9+(270.2-345.8)+(-1.043358+(-0.275604--0.352716))+0-0-0</f>
        <v>946.333754</v>
      </c>
      <c r="K68" s="3">
        <f>1013.7+(263.4-363.1)+(-2.584935+(-0.67167--0.925905))+0-0-0</f>
        <v>911.66930000000002</v>
      </c>
      <c r="L68" s="3">
        <f>1027.8+(250.6-400.7)+(-0.524178+(-0.127806--0.204357))+0-0-0</f>
        <v>877.25237299999992</v>
      </c>
      <c r="M68" s="3">
        <f>1337.2+(224.6-578.5)+(1.363944+(0.229092-0.59007))+0-0-0</f>
        <v>984.30296600000008</v>
      </c>
      <c r="N68" s="3">
        <f>1643.4+(138-649.5)+(0.838134+(0.07038-0.331245))+0-0-0</f>
        <v>1132.477269</v>
      </c>
      <c r="O68" s="3">
        <f>1720.9+(132-618.9)+(0.877659+(0.06732-0.315639))+0-0-0</f>
        <v>1234.62934</v>
      </c>
      <c r="P68" s="3">
        <f>1753.7+(188.5-642.3)+(-2.683161+(-0.288405--0.982719))+0-0-0</f>
        <v>1297.911153</v>
      </c>
      <c r="Q68" s="3">
        <f>1855.3+(189-678)+(-0.946203+(-0.09639--0.34578))+0-0-0</f>
        <v>1365.6031869999999</v>
      </c>
      <c r="R68" s="3">
        <f>1861.6+(204.9-633.6)+(1.898832+(0.208998-0.646272))+0-0-0</f>
        <v>1434.3615579999998</v>
      </c>
      <c r="S68" s="3">
        <f>1841.5+(213.9-621.3)+(-1.87833+(-0.218178--0.633726))+0-0-0</f>
        <v>1432.6372179999998</v>
      </c>
      <c r="T68" s="3">
        <f>1849.2+(256.4-658.6)+(-0.943092+(-0.130764--0.335886))+0-0-0</f>
        <v>1446.2620300000001</v>
      </c>
      <c r="U68" s="3">
        <f>1831.7+(316.9-714.4)+(-4.670835+(-0.808095--1.82172))+0-0-0</f>
        <v>1430.54279</v>
      </c>
      <c r="V68" s="3">
        <f>1852.7+(333.1-755.3)+(-0.944877+(-0.169881--0.385203))+0-0-0</f>
        <v>1429.7704450000001</v>
      </c>
      <c r="W68" s="3">
        <f>1841.3+(333.5-756.9)+(-3.756252+(-0.68034--1.544076))+0-0-0</f>
        <v>1415.0074840000002</v>
      </c>
      <c r="X68" s="3">
        <f>1757.7+(327.3-705.3)+(-4.482135+(-0.834615--1.798515))+0-0-0</f>
        <v>1376.181765</v>
      </c>
      <c r="Y68" s="3">
        <f>1612.2+(215.9-488.9)+(0.822222+(0.110109-0.249339))+0-0-0</f>
        <v>1339.8829920000001</v>
      </c>
      <c r="Z68" s="3">
        <f>1738.4+(271.1-532.9)+(-0.886584+(-0.138261--0.271779))+0-0-0</f>
        <v>1475.8469340000001</v>
      </c>
      <c r="AA68" s="3">
        <f>1880.5+(309.7-630.8)+(-2.877165+(-0.473841--0.965124))+0-0-0</f>
        <v>1557.0141180000001</v>
      </c>
      <c r="AB68" s="3">
        <f>1860.2+(345-705.7)+(-5.692212+(-1.0557--2.159442))+0-0-0</f>
        <v>1494.9115300000001</v>
      </c>
      <c r="AC68" s="3">
        <f>1871+(368.9-844.7)+(-4.77105+(-0.940695--2.153985))+0-0-0</f>
        <v>1391.6422399999999</v>
      </c>
      <c r="AD68" s="2">
        <v>1559.0000000000002</v>
      </c>
      <c r="AE68" s="3">
        <f>1891+(310.3-642.3)+(0+(0-0))+0-0-0</f>
        <v>1559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1645.4+(362.2-746.3)+(0+(0-0))+0-0-0</f>
        <v>1261.3000000000002</v>
      </c>
      <c r="G69" s="3">
        <f>1190.5+(382.7-408.4)+(-1.821465+(-0.585531--0.624852))+0-0-0</f>
        <v>1163.0178559999999</v>
      </c>
      <c r="H69" s="3">
        <f>1054.2+(374.3-327.6)+(-2.150568+(-0.763572--0.668304))+0-0-0</f>
        <v>1098.654164</v>
      </c>
      <c r="I69" s="3">
        <f>1060.1+(351.5-349.5)+(-2.162604+(-0.71706--0.71298))+0-0-0</f>
        <v>1059.9333159999999</v>
      </c>
      <c r="J69" s="3">
        <f>1069.5+(338.3-365.4)+(-0.545445+(-0.172533--0.186354))+0-0-0</f>
        <v>1041.8683760000001</v>
      </c>
      <c r="K69" s="3">
        <f>1067.8+(342.9-411.6)+(-2.178312+(-0.699516--0.839664))+0-0-0</f>
        <v>997.06183599999986</v>
      </c>
      <c r="L69" s="3">
        <f>1067.4+(326.1-445.4)+(-2.72187+(-0.831555--1.13577))+0-0-0</f>
        <v>945.68234500000017</v>
      </c>
      <c r="M69" s="3">
        <f>1220.7+(338.3-528.5)+(0.622557+(0.172533-0.269535))+0-0-0</f>
        <v>1031.0255549999999</v>
      </c>
      <c r="N69" s="3">
        <f>1442.4+(312.7-592.6)+(0+(0-0))+0-0-0</f>
        <v>1162.5</v>
      </c>
      <c r="O69" s="3">
        <f>1728.4+(348.5-831.8)+(-0.881484+(-0.177735--0.424218))+0-0-0</f>
        <v>1244.464999</v>
      </c>
      <c r="P69" s="3">
        <f>1834.5+(389.8-931.7)+(0.935595+(0.198798-0.475167))+0-0-0</f>
        <v>1293.2592259999999</v>
      </c>
      <c r="Q69" s="3">
        <f>1867.7+(376.3-926.9)+(-1.905054+(-0.383826--0.945438))+0-0-0</f>
        <v>1315.756558</v>
      </c>
      <c r="R69" s="3">
        <f>1871+(360.3-866.1)+(0.95421+(0.183753-0.441711))+0-0-0</f>
        <v>1365.896252</v>
      </c>
      <c r="S69" s="3">
        <f>1859+(416.5-939.8)+(-0.94809+(-0.212415--0.479298))+0-0-0</f>
        <v>1335.018793</v>
      </c>
      <c r="T69" s="3">
        <f>1866.2+(443.9-1010.9)+(0+(0-0))+0-0-0</f>
        <v>1299.2</v>
      </c>
      <c r="U69" s="3">
        <f>1865.2+(441.3-1042.7)+(-0.951252+(-0.225063--0.531777))+0-0-0</f>
        <v>1263.1554619999999</v>
      </c>
      <c r="V69" s="3">
        <f>1854+(420.9-1021.6)+(-3.78216+(-0.858636--2.084064))+0-0-0</f>
        <v>1250.7432679999999</v>
      </c>
      <c r="W69" s="3">
        <f>1845.7+(352.8-940.4)+(-5.647842+(-1.079568--2.877624))+0-0-0</f>
        <v>1254.2502140000001</v>
      </c>
      <c r="X69" s="3">
        <f>1692.9+(318.2-769.5)+(-3.453516+(-0.649128--1.56978))+0-0-0</f>
        <v>1239.0671360000001</v>
      </c>
      <c r="Y69" s="3">
        <f>1622.6+(307.6-707.5)+(2.482578+(0.470628-1.082475))+0-0-0</f>
        <v>1224.5707309999998</v>
      </c>
      <c r="Z69" s="3">
        <f>1642.8+(321.5-598.7)+(0+(0-0))+0-0-0</f>
        <v>1365.6</v>
      </c>
      <c r="AA69" s="3">
        <f>1695.3+(352.8-618.2)+(-3.458412+(-0.719712--1.261128))+0-0-0</f>
        <v>1426.9830039999999</v>
      </c>
      <c r="AB69" s="3">
        <f>1685.6+(390.2-703.2)+(-2.578968+(-0.597006--1.075896))+0-0-0</f>
        <v>1370.499922</v>
      </c>
      <c r="AC69" s="3">
        <f>1404.3+(413.8-556.1)+(-0.716193+(-0.211038--0.283611))+0-0-0</f>
        <v>1261.3563799999999</v>
      </c>
      <c r="AD69" s="2">
        <v>1390.3999999999999</v>
      </c>
      <c r="AE69" s="3">
        <f>1714+(386.7-710.3)+(0+(0-0))+0-0-0</f>
        <v>1390.4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1220.1+(404.4-472.8)+(-1.866753+(-0.618732--0.723384))+0-0-0</f>
        <v>1149.9378989999998</v>
      </c>
      <c r="G70" s="3">
        <f>1108+(409.5-452.7)+(0+(0-0))+0-0-0</f>
        <v>1064.8</v>
      </c>
      <c r="H70" s="3">
        <f>1065.6+(430.2-479.9)+(0+(0-0))+0-0-0</f>
        <v>1015.8999999999999</v>
      </c>
      <c r="I70" s="3">
        <f>1071.9+(420.9-496.1)+(1.093338+(0.429318-0.506022))+0-0-0</f>
        <v>997.716634</v>
      </c>
      <c r="J70" s="3">
        <f>1066.2+(397.8-484.5)+(-0.543762+(-0.202878--0.247095))+0-0-0</f>
        <v>979.00045499999999</v>
      </c>
      <c r="K70" s="3">
        <f>1057.2+(378-483.7)+(-2.69586+(-0.9639--1.233435))+0-0-0</f>
        <v>949.07367499999998</v>
      </c>
      <c r="L70" s="3">
        <f>1071.1+(329.9-491.2)+(-1.092522+(-0.336498--0.501024))+0-0-0</f>
        <v>908.87200399999995</v>
      </c>
      <c r="M70" s="3">
        <f>1201.5+(352.2-540.2)+(1.22553+(0.359244-0.551004))+0-0-0</f>
        <v>1014.53377</v>
      </c>
      <c r="N70" s="3">
        <f>1538.4+(345-680.6)+(2.353752+(0.52785-1.041318))+0-0-0</f>
        <v>1204.6402840000003</v>
      </c>
      <c r="O70" s="3">
        <f>1613.5+(367.3-729.4)+(1.64577+(0.374646-0.743988))+0-0-0</f>
        <v>1252.676428</v>
      </c>
      <c r="P70" s="3">
        <f>1617.6+(416.2-731.1)+(2.474928+(0.636786-1.118583))+0-0-0</f>
        <v>1304.6931309999998</v>
      </c>
      <c r="Q70" s="3">
        <f>1765.3+(393.3-818.1)+(0+(0-0))+0-0-0</f>
        <v>1340.5</v>
      </c>
      <c r="R70" s="3">
        <f>1854.5+(353.8-846.4)+(-0.945795+(-0.180438--0.431664))+0-0-0</f>
        <v>1361.2054310000001</v>
      </c>
      <c r="S70" s="3">
        <f>1840.6+(348.3-856.4)+(-2.816118+(-0.532899--1.310292))+0-0-0</f>
        <v>1330.4612749999999</v>
      </c>
      <c r="T70" s="3">
        <f>1870.2+(348.6-915)+(2.861406+(0.533358-1.39995))+0-0-0</f>
        <v>1305.7948140000001</v>
      </c>
      <c r="U70" s="3">
        <f>1841.5+(347.9-893.7)+(-1.87833+(-0.354858--0.911574))+0-0-0</f>
        <v>1294.3783859999999</v>
      </c>
      <c r="V70" s="3">
        <f>1825.4+(337.3-863.9)+(-4.65477+(-0.860115--2.202945))+0-0-0</f>
        <v>1295.4880600000001</v>
      </c>
      <c r="W70" s="3">
        <f>1706.8+(320-740.2)+(-2.611404+(-0.4896--1.132506))+0-0-0</f>
        <v>1284.631502</v>
      </c>
      <c r="X70" s="3">
        <f>1569.4+(338.6-665.1)+(-4.00197+(-0.86343--1.696005))+0-0-0</f>
        <v>1239.7306050000002</v>
      </c>
      <c r="Y70" s="3">
        <f>1581.5+(278.5-631)+(-1.61313+(-0.28407--0.64362))+0-0-0</f>
        <v>1227.7464199999999</v>
      </c>
      <c r="Z70" s="3">
        <f>1739.7+(262.5-617.3)+(-1.774494+(-0.26775--0.629646))+0-0-0</f>
        <v>1383.4874020000002</v>
      </c>
      <c r="AA70" s="3">
        <f>1967.5+(253.6-776.4)+(-3.010275+(-0.388008--1.187892))+0-0-0</f>
        <v>1442.489609</v>
      </c>
      <c r="AB70" s="3">
        <f>1855.7+(338.5-813.9)+(-4.732035+(-0.863175--2.075445))+0-0-0</f>
        <v>1376.7802350000002</v>
      </c>
      <c r="AC70" s="3">
        <f>1684.1+(315.8-716.9)+(-2.576673+(-0.483174--1.096857))+0-0-0</f>
        <v>1281.03701</v>
      </c>
      <c r="AD70" s="2">
        <v>1445.1</v>
      </c>
      <c r="AE70" s="3">
        <f>1977+(260.2-792.1)+(0+(0-0))+0-0-0</f>
        <v>1445.1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1673.9+(291.4-768.8)+(-2.561067+(-0.445842--1.176264))+0-0-0</f>
        <v>1194.669355</v>
      </c>
      <c r="G71" s="3">
        <f>1451.8+(294.2-642)+(-0.740418+(-0.150042--0.32742))+0-0-0</f>
        <v>1103.43696</v>
      </c>
      <c r="H71" s="3">
        <f>1411.3+(281.4-635.9)+(-1.439526+(-0.287028--0.648618))+0-0-0</f>
        <v>1055.722064</v>
      </c>
      <c r="I71" s="3">
        <f>1349.4+(277.6-596.4)+(-2.064582+(-0.424728--0.912492))+0-0-0</f>
        <v>1029.0231820000001</v>
      </c>
      <c r="J71" s="3">
        <f>1347+(269.1-599)+(-2.74788+(-0.548964--1.22196))+0-0-0</f>
        <v>1015.025116</v>
      </c>
      <c r="K71" s="3">
        <f>1350.1+(272.1-639.9)+(-2.065653+(-0.416313--0.979047))+0-0-0</f>
        <v>980.79708099999993</v>
      </c>
      <c r="L71" s="3">
        <f>1348.9+(253.6-651.6)+(-2.751756+(-0.517344--1.329264))+0-0-0</f>
        <v>948.96016400000008</v>
      </c>
      <c r="M71" s="3">
        <f>1354.6+(281.4-602.3)+(0+(0-0))+0-0-0</f>
        <v>1033.6999999999998</v>
      </c>
      <c r="N71" s="3">
        <f>1481.6+(323.6-638.5)+(1.511232+(0.330072-0.65127))+0-0-0</f>
        <v>1167.8900339999998</v>
      </c>
      <c r="O71" s="3">
        <f>1716.5+(357.8-792.4)+(3.50166+(0.729912-1.616496))+0-0-0</f>
        <v>1284.5150760000001</v>
      </c>
      <c r="P71" s="3">
        <f>2101.2+(273.5-1024.4)+(-2.143224+(-0.27897--1.044888))+0-0-0</f>
        <v>1348.9226939999996</v>
      </c>
      <c r="Q71" s="3">
        <f>2136+(244.1-993.5)+(0+(0-0))+0-0-0</f>
        <v>1386.6</v>
      </c>
      <c r="R71" s="3">
        <f>2113.3+(237.1-925.8)+(-3.233349+(-0.362763--1.416474))+0-0-0</f>
        <v>1422.4203620000003</v>
      </c>
      <c r="S71" s="3">
        <f>2136.2+(257.4-962.1)+(2.178924+(0.262548-0.981342))+0-0-0</f>
        <v>1432.9601299999997</v>
      </c>
      <c r="T71" s="3">
        <f>2137.5+(272.7-987.2)+(2.18025+(0.278154-1.006944))+0-0-0</f>
        <v>1424.45146</v>
      </c>
      <c r="U71" s="3">
        <f>2124.8+(264.3-973.9)+(0+(0-0))+0-0-0</f>
        <v>1415.2000000000003</v>
      </c>
      <c r="V71" s="3">
        <f>2114.9+(253.1-949.6)+(-2.157198+(-0.258162--0.968592))+0-0-0</f>
        <v>1416.9532320000001</v>
      </c>
      <c r="W71" s="3">
        <f>2106.9+(242.2-947.7)+(-4.298076+(-0.494088--1.933308))+0-0-0</f>
        <v>1398.541144</v>
      </c>
      <c r="X71" s="3">
        <f>2091.5+(229.4-972.6)+(-6.39999+(-0.701964--2.976156))+0-0-0</f>
        <v>1344.1742019999999</v>
      </c>
      <c r="Y71" s="3">
        <f>2146.5+(160.7-989.9)+(2.18943+(0.163914-1.009698))+0-0-0</f>
        <v>1318.643646</v>
      </c>
      <c r="Z71" s="3">
        <f>2148.5+(162.9-858.4)+(-1.095735+(-0.083079--0.437784))+0-0-0</f>
        <v>1452.2589700000001</v>
      </c>
      <c r="AA71" s="3">
        <f>2178.3+(175.9-812.9)+(-2.221866+(-0.179418--0.829158))+0-0-0</f>
        <v>1539.7278740000002</v>
      </c>
      <c r="AB71" s="3">
        <f>2161.4+(226.9-895.5)+(-4.409256+(-0.462876--1.82682))+0-0-0</f>
        <v>1489.7546880000002</v>
      </c>
      <c r="AC71" s="3">
        <f>2023.8+(307.2-955.2)+(-3.096414+(-0.470016--1.461456))+0-0-0</f>
        <v>1373.6950259999999</v>
      </c>
      <c r="AD71" s="2">
        <v>1543.2999999999997</v>
      </c>
      <c r="AE71" s="3">
        <f>2191+(181.2-828.9)+(0+(0-0))+0-0-0</f>
        <v>1543.3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1885.1+(101.9-749.2)+(-3.845604+(-0.207876--1.528368))+0-0-0</f>
        <v>1235.2748879999997</v>
      </c>
      <c r="G72" s="3">
        <f>1557.9+(110.4-517.4)+(-3.178116+(-0.225216--1.055496))+0-0-0</f>
        <v>1148.5521640000002</v>
      </c>
      <c r="H72" s="3">
        <f>1426.1+(134.2-479.3)+(-2.181933+(-0.205326--0.733329))+0-0-0</f>
        <v>1079.3460700000001</v>
      </c>
      <c r="I72" s="3">
        <f>1423.6+(104-475.1)+(-4.356216+(-0.31824--1.453806))+0-0-0</f>
        <v>1049.27935</v>
      </c>
      <c r="J72" s="3">
        <f>1425.7+(90.3-477.5)+(-2.908428+(-0.184212--0.9741))+0-0-0</f>
        <v>1036.3814600000001</v>
      </c>
      <c r="K72" s="3">
        <f>1420.6+(101.3-526.5)+(-3.62253+(-0.258315--1.342575))+0-0-0</f>
        <v>992.86172999999985</v>
      </c>
      <c r="L72" s="3">
        <f>1246.1+(99.9-402.5)+(-2.542044+(-0.203796--0.8211))+0-0-0</f>
        <v>941.57525999999984</v>
      </c>
      <c r="M72" s="3">
        <f>1548.7+(99.4-594)+(4.739022+(0.304164-1.81764))+0-0-0</f>
        <v>1057.3255459999998</v>
      </c>
      <c r="N72" s="3">
        <f>1979.4+(102.6-854.4)+(0+(0-0))+0-0-0</f>
        <v>1227.6000000000001</v>
      </c>
      <c r="O72" s="3">
        <f>2081.9+(121.8-863.2)+(2.123538+(0.124236-0.880464))+0-0-0</f>
        <v>1341.8673100000001</v>
      </c>
      <c r="P72" s="3">
        <f>2117.8+(185.7-879)+(-2.160156+(-0.189414--0.89658))+0-0-0</f>
        <v>1423.0470100000002</v>
      </c>
      <c r="Q72" s="3">
        <f>2130.6+(186.2-822.9)+(0+(0-0))+0-0-0</f>
        <v>1493.8999999999999</v>
      </c>
      <c r="R72" s="3">
        <f>2123.8+(208.8-749.1)+(-1.083138+(-0.106488--0.382041))+0-0-0</f>
        <v>1582.6924150000002</v>
      </c>
      <c r="S72" s="3">
        <f>2110+(214.2-731.4)+(-2.1522+(-0.218484--0.746028))+0-0-0</f>
        <v>1591.175344</v>
      </c>
      <c r="T72" s="3">
        <f>2114.4+(212.2-761.2)+(0+(0-0))+0-0-0</f>
        <v>1565.4</v>
      </c>
      <c r="U72" s="3">
        <f>2105+(204-737)+(-2.1471+(-0.20808--0.75174))+0-0-0</f>
        <v>1570.3965599999999</v>
      </c>
      <c r="V72" s="3">
        <f>2145.8+(219-740.3)+(-3.283074+(-0.33507--1.132659))+0-0-0</f>
        <v>1622.0145150000003</v>
      </c>
      <c r="W72" s="3">
        <f>2079.7+(219-716.9)+(-6.363882+(-0.67014--2.193714))+0-0-0</f>
        <v>1576.9596919999997</v>
      </c>
      <c r="X72" s="3">
        <f>2090.3+(222.3-824)+(-1.066053+(-0.113373--0.42024))+0-0-0</f>
        <v>1487.8408140000001</v>
      </c>
      <c r="Y72" s="3">
        <f>2031.2+(212.7-780.6)+(-2.071824+(-0.216954--0.796212))+0-0-0</f>
        <v>1461.8074340000001</v>
      </c>
      <c r="Z72" s="3">
        <f>2113.4+(181.4-698.5)+(1.077834+(0.092514-0.356235))+0-0-0</f>
        <v>1597.1141130000001</v>
      </c>
      <c r="AA72" s="3">
        <f>2127+(201-651.1)+(-2.16954+(-0.20502--0.664122))+0-0-0</f>
        <v>1675.189562</v>
      </c>
      <c r="AB72" s="3">
        <f>2128.6+(226.6-734.3)+(-2.171172+(-0.231132--0.748986))+0-0-0</f>
        <v>1619.2466820000002</v>
      </c>
      <c r="AC72" s="3">
        <f>2080.4+(305.9-858.1)+(1.061004+(0.156009-0.437631))+0-0-0</f>
        <v>1528.979382</v>
      </c>
      <c r="AD72" s="2">
        <v>1654.1999999999998</v>
      </c>
      <c r="AE72" s="3">
        <f>2136+(198.1-679.9)+(0+(0-0))+0-0-0</f>
        <v>1654.2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1945.6+(301.1-930)+(-3.969024+(-0.614244--1.8972))+0-0-0</f>
        <v>1314.0139319999998</v>
      </c>
      <c r="G73" s="3">
        <f>1544.5+(300.4-667.2)+(0+(0-0))+0-0-0</f>
        <v>1177.6999999999998</v>
      </c>
      <c r="H73" s="3">
        <f>1326.8+(308.5-550.8)+(-0.676668+(-0.157335--0.280908))+0-0-0</f>
        <v>1083.946905</v>
      </c>
      <c r="I73" s="3">
        <f>1253.2+(303.3-522.7)+(1.917396+(0.464049-0.799731))+0-0-0</f>
        <v>1035.3817139999999</v>
      </c>
      <c r="J73" s="3">
        <f>1242.9+(283-518.7)+(-1.901637+(-0.43299--0.793611))+0-0-0</f>
        <v>1005.658984</v>
      </c>
      <c r="K73" s="3">
        <f>1235.7+(278.8-557.4)+(-3.151035+(-0.71094--1.42137))+0-0-0</f>
        <v>954.65939500000013</v>
      </c>
      <c r="L73" s="3">
        <f>1246.5+(267.8-589.4)+(-1.27143+(-0.273156--0.601188))+0-0-0</f>
        <v>923.95660200000009</v>
      </c>
      <c r="M73" s="3">
        <f>1425.5+(259.5-698.4)+(-0.727005+(-0.132345--0.356184))+0-0-0</f>
        <v>986.09683400000006</v>
      </c>
      <c r="N73" s="3">
        <f>1772.3+(260.6-890.7)+(4.519365+(0.66453-2.271285))+0-0-0</f>
        <v>1145.1126099999999</v>
      </c>
      <c r="O73" s="3">
        <f>1949.8+(251.2-927.4)+(4.97199+(0.64056-2.36487))+0-0-0</f>
        <v>1276.8476799999999</v>
      </c>
      <c r="P73" s="3">
        <f>2044.5+(222.5-776.6)+(4.17078+(0.4539-1.584264))+0-0-0</f>
        <v>1493.4404160000001</v>
      </c>
      <c r="Q73" s="3">
        <f>2054.7+(200.1-650.7)+(2.095794+(0.204102-0.663714))+0-0-0</f>
        <v>1605.7361819999999</v>
      </c>
      <c r="R73" s="3">
        <f>2088.8+(202.1-611.3)+(1.065288+(0.103071-0.311763))+0-0-0</f>
        <v>1680.4565960000004</v>
      </c>
      <c r="S73" s="3">
        <f>2165.9+(163.6-608.1)+(-2.209218+(-0.166872--0.620262))+0-0-0</f>
        <v>1719.644172</v>
      </c>
      <c r="T73" s="3">
        <f>2167.1+(179.4-608.1)+(-1.105221+(-0.091494--0.310131))+0-0-0</f>
        <v>1737.5134159999998</v>
      </c>
      <c r="U73" s="3">
        <f>2163+(182.2-628.1)+(-2.20626+(-0.185844--0.640662))+0-0-0</f>
        <v>1715.3485579999999</v>
      </c>
      <c r="V73" s="3">
        <f>2163+(193.9-648.8)+(1.10313+(0.098889-0.330888))+0-0-0</f>
        <v>1708.971131</v>
      </c>
      <c r="W73" s="3">
        <f>2163.6+(213.5-708)+(-2.206872+(-0.21777--0.72216))+0-0-0</f>
        <v>1667.397518</v>
      </c>
      <c r="X73" s="3">
        <f>2167.2+(241.2-827.3)+(-2.210544+(-0.246024--0.843846))+0-0-0</f>
        <v>1579.4872779999998</v>
      </c>
      <c r="Y73" s="3">
        <f>2173.3+(191.5-873.1)+(-2.216766+(-0.19533--0.890562))+0-0-0</f>
        <v>1490.1784660000003</v>
      </c>
      <c r="Z73" s="3">
        <f>2184.1+(133.4-707.6)+(-3.341673+(-0.204102--1.082628))+0-0-0</f>
        <v>1607.4368529999999</v>
      </c>
      <c r="AA73" s="3">
        <f>2188.9+(169.6-638.3)+(-4.465356+(-0.345984--1.302132))+0-0-0</f>
        <v>1716.6907920000003</v>
      </c>
      <c r="AB73" s="3">
        <f>2182.6+(245-718.4)+(-3.339378+(-0.37485--1.099152))+0-0-0</f>
        <v>1706.5849239999998</v>
      </c>
      <c r="AC73" s="3">
        <f>2146.6+(356.9-853.3)+(-4.379064+(-0.728076--1.740732))+0-0-0</f>
        <v>1646.8335919999997</v>
      </c>
      <c r="AD73" s="2">
        <v>1753.2</v>
      </c>
      <c r="AE73" s="3">
        <f>2183+(200.9-630.7)+(0+(0-0))+0-0-0</f>
        <v>1753.1999999999998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1737.1+(397.1-526)+(-2.657763+(-0.607563--0.80478))+0-0-0</f>
        <v>1605.7394539999998</v>
      </c>
      <c r="G74" s="3">
        <f>1621.6+(370.3-482.3)+(-0.827016+(-0.188853--0.245973))+0-0-0</f>
        <v>1508.8301039999999</v>
      </c>
      <c r="H74" s="3">
        <f>1651.9+(318.9-538.1)+(-1.684938+(-0.325278--0.548862))+0-0-0</f>
        <v>1431.238646</v>
      </c>
      <c r="I74" s="3">
        <f>1480.3+(299.7-427.2)+(-0.754953+(-0.152847--0.217872))+0-0-0</f>
        <v>1352.1100719999999</v>
      </c>
      <c r="J74" s="3">
        <f>1415.2+(298.2-405.4)+(-5.052264+(-1.064574--1.447278))+0-0-0</f>
        <v>1303.33044</v>
      </c>
      <c r="K74" s="3">
        <f>1414.4+(289.7-542.7)+(-7.21344+(-1.47747--2.76777))+0-0-0</f>
        <v>1155.47686</v>
      </c>
      <c r="L74" s="3">
        <f>1416.9+(261.9-624.8)+(-1.445238+(-0.267138--0.637296))+0-0-0</f>
        <v>1052.9249199999999</v>
      </c>
      <c r="M74" s="3">
        <f>1425.3+(256.2-635.1)+(2.180709+(0.391986-0.971703))+0-0-0</f>
        <v>1048.0009919999998</v>
      </c>
      <c r="N74" s="3">
        <f>1589.3+(202.4-682)+(3.242172+(0.412896-1.39128))+0-0-0</f>
        <v>1111.9637879999998</v>
      </c>
      <c r="O74" s="3">
        <f>1723.9+(158.2-706.6)+(-0.879189+(-0.080682--0.360366))+0-0-0</f>
        <v>1174.9004950000001</v>
      </c>
      <c r="P74" s="3">
        <f>1919.6+(142.7-795.8)+(0+(0-0))+0-0-0</f>
        <v>1266.5</v>
      </c>
      <c r="Q74" s="3">
        <f>2115.7+(129-841.8)+(0+(0-0))+0-0-0</f>
        <v>1402.8999999999999</v>
      </c>
      <c r="R74" s="3">
        <f>2126.7+(180.5-790.7)+(3.253851+(0.276165-1.209771))+0-0-0</f>
        <v>1518.8202449999999</v>
      </c>
      <c r="S74" s="3">
        <f>2100.2+(137.6-686.2)+(-2.142204+(-0.140352--0.699924))+0-0-0</f>
        <v>1550.0173679999998</v>
      </c>
      <c r="T74" s="3">
        <f>2042.1+(174.8-636.2)+(-2.082942+(-0.178296--0.648924))+0-0-0</f>
        <v>1579.0876859999998</v>
      </c>
      <c r="U74" s="3">
        <f>2045.9+(211.4-669.4)+(0+(0-0))+0-0-0</f>
        <v>1587.9</v>
      </c>
      <c r="V74" s="3">
        <f>2049.5+(219.1-694)+(-1.045245+(-0.111741--0.35394))+0-0-0</f>
        <v>1573.7969539999999</v>
      </c>
      <c r="W74" s="3">
        <f>2049+(271-784.8)+(-2.08998+(-0.27642--0.800496))+0-0-0</f>
        <v>1533.634096</v>
      </c>
      <c r="X74" s="3">
        <f>2028.5+(193.6-867.4)+(-5.172675+(-0.49368--2.21187))+0-0-0</f>
        <v>1351.2455150000001</v>
      </c>
      <c r="Y74" s="3">
        <f>1910+(177.9-785.9)+(-1.9482+(-0.181458--0.801618))+0-0-0</f>
        <v>1300.6719599999999</v>
      </c>
      <c r="Z74" s="3">
        <f>2023.8+(164.6-664.4)+(-1.032138+(-0.083946--0.338844))+0-0-0</f>
        <v>1523.2227600000001</v>
      </c>
      <c r="AA74" s="3">
        <f>2126.9+(194.1-669.7)+(-4.338876+(-0.395964--1.366188))+0-0-0</f>
        <v>1647.9313480000001</v>
      </c>
      <c r="AB74" s="3">
        <f>2139.5+(268-739.3)+(-1.091145+(-0.13668--0.377043))+0-0-0</f>
        <v>1667.3492180000001</v>
      </c>
      <c r="AC74" s="3">
        <f>2109.6+(357.2-802.5)+(-5.37948+(-0.91086--2.046375))+0-0-0</f>
        <v>1660.0560350000001</v>
      </c>
      <c r="AD74" s="2">
        <v>1642.1</v>
      </c>
      <c r="AE74" s="3">
        <f>2141+(180.7-679.6)+(0+(0-0))+0-0-0</f>
        <v>1642.1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1865+(361.9-729.7)+(0.95115+(0.184569-0.372147))+0-0-0</f>
        <v>1497.9635719999999</v>
      </c>
      <c r="G75" s="3">
        <f>1632+(408.8-650.8)+(0+(0-0))+0-0-0</f>
        <v>1390</v>
      </c>
      <c r="H75" s="3">
        <f>1369.4+(466-526.3)+(2.793576+(0.95064-1.073652))+0-0-0</f>
        <v>1311.7705640000001</v>
      </c>
      <c r="I75" s="3">
        <f>1280.6+(418.4-448.4)+(-3.918636+(-1.280304--1.372104))+0-0-0</f>
        <v>1246.773164</v>
      </c>
      <c r="J75" s="3">
        <f>1249.4+(372.6-413.4)+(-0.637194+(-0.190026--0.210834))+0-0-0</f>
        <v>1207.9836140000002</v>
      </c>
      <c r="K75" s="3">
        <f>1240.4+(346.4-450.8)+(-3.795624+(-1.059984--1.379448))+0-0-0</f>
        <v>1132.5238400000001</v>
      </c>
      <c r="L75" s="3">
        <f>1239.4+(324.1-487.6)+(-3.16047+(-0.826455--1.24338))+0-0-0</f>
        <v>1073.1564550000001</v>
      </c>
      <c r="M75" s="3">
        <f>1498.2+(329.4-663.3)+(0+(0-0))+0-0-0</f>
        <v>1164.3000000000002</v>
      </c>
      <c r="N75" s="3">
        <f>2014.8+(322.4-1026.9)+(0+(0-0))+0-0-0</f>
        <v>1310.2999999999997</v>
      </c>
      <c r="O75" s="3">
        <f>1918.3+(299.5-827.9)+(0+(0-0))+0-0-0</f>
        <v>1389.9</v>
      </c>
      <c r="P75" s="3">
        <f>1941.1+(249.1-741.2)+(-0.989961+(-0.127041--0.378012))+0-0-0</f>
        <v>1448.2610099999999</v>
      </c>
      <c r="Q75" s="3">
        <f>1938.5+(263.1-710.7)+(-0.988635+(-0.134181--0.362457))+0-0-0</f>
        <v>1490.139641</v>
      </c>
      <c r="R75" s="3">
        <f>1938.8+(292.9-717.8)+(-0.988788+(-0.149379--0.366078))+0-0-0</f>
        <v>1513.127911</v>
      </c>
      <c r="S75" s="3">
        <f>1931+(291-701.7)+(-0.98481+(-0.14841--0.357867))+0-0-0</f>
        <v>1519.524647</v>
      </c>
      <c r="T75" s="3">
        <f>1921.8+(293.3-704.4)+(-1.960236+(-0.299166--0.718488))+0-0-0</f>
        <v>1509.1590860000001</v>
      </c>
      <c r="U75" s="3">
        <f>1918.2+(293.5-702.9)+(-1.956564+(-0.29937--0.716958))+0-0-0</f>
        <v>1507.2610240000001</v>
      </c>
      <c r="V75" s="3">
        <f>1985.2+(264.1-745)+(-3.037356+(-0.404073--1.13985))+0-0-0</f>
        <v>1501.9984210000002</v>
      </c>
      <c r="W75" s="3">
        <f>2114.2+(265.4-888.5)+(-3.234726+(-0.406062--1.359405))+0-0-0</f>
        <v>1488.8186169999999</v>
      </c>
      <c r="X75" s="3">
        <f>2106.4+(295.6-961.8)+(-5.37132+(-0.75378--2.45259))+0-0-0</f>
        <v>1436.5274900000002</v>
      </c>
      <c r="Y75" s="3">
        <f>2112.8+(172.7-898.5)+(-4.310112+(-0.352308--1.83294))+0-0-0</f>
        <v>1384.1705200000001</v>
      </c>
      <c r="Z75" s="3">
        <f>2156.9+(160.7-814.8)+(-2.200038+(-0.163914--0.831096))+0-0-0</f>
        <v>1501.2671440000001</v>
      </c>
      <c r="AA75" s="3">
        <f>2161+(241.3-786.6)+(-5.51055+(-0.615315--2.00583))+0-0-0</f>
        <v>1611.5799650000001</v>
      </c>
      <c r="AB75" s="3">
        <f>2153.3+(307.4-867.5)+(-4.392732+(-0.627096--1.7697))+0-0-0</f>
        <v>1589.9498720000004</v>
      </c>
      <c r="AC75" s="3">
        <f>2047.6+(387-906.1)+(-1.044276+(-0.19737--0.462111))+0-0-0</f>
        <v>1527.7204650000001</v>
      </c>
      <c r="AD75" s="2">
        <v>1636.2</v>
      </c>
      <c r="AE75" s="3">
        <f>2170.8+(260.7-795.3)+(0+(0-0))+0-0-0</f>
        <v>1636.2000000000003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1857.5+(417.6-824.2)+(0+(0-0))+0-0-0</f>
        <v>1450.9</v>
      </c>
      <c r="G76" s="3">
        <f>1686.5+(426.9-754.3)+(-1.72023+(-0.435438--0.769386))+0-0-0</f>
        <v>1357.713718</v>
      </c>
      <c r="H76" s="3">
        <f>1686.5+(417.2-820)+(0.860115+(0.212772-0.4182))+0-0-0</f>
        <v>1284.354687</v>
      </c>
      <c r="I76" s="3">
        <f>1581.7+(422.4-771)+(1.613334+(0.430848-0.78642))+0-0-0</f>
        <v>1234.3577619999999</v>
      </c>
      <c r="J76" s="3">
        <f>1524.5+(409.9-741.9)+(-1.55499+(-0.418098--0.756738))+0-0-0</f>
        <v>1191.2836500000001</v>
      </c>
      <c r="K76" s="3">
        <f>1348.2+(396-629.1)+(-1.375164+(-0.40392--0.641682))+0-0-0</f>
        <v>1113.9625979999998</v>
      </c>
      <c r="L76" s="3">
        <f>1336.1+(309.5-601.1)+(-4.088466+(-0.94707--1.839366))+0-0-0</f>
        <v>1041.3038300000001</v>
      </c>
      <c r="M76" s="3">
        <f>1297.3+(322.4-559.9)+(2.646492+(0.657696-1.142196))+0-0-0</f>
        <v>1061.961992</v>
      </c>
      <c r="N76" s="3">
        <f>1373.4+(375.4-606.2)+(0+(0-0))+0-0-0</f>
        <v>1142.5999999999999</v>
      </c>
      <c r="O76" s="3">
        <f>1611.6+(332.1-712)+(-0.821916+(-0.169371--0.36312))+0-0-0</f>
        <v>1231.0718329999997</v>
      </c>
      <c r="P76" s="3">
        <f>1813.3+(252.4-746.3)+(0+(0-0))+0-0-0</f>
        <v>1319.4</v>
      </c>
      <c r="Q76" s="3">
        <f>1898.2+(281.1-802.8)+(0+(0-0))+0-0-0</f>
        <v>1376.5</v>
      </c>
      <c r="R76" s="3">
        <f>2053.9+(261.4-889.8)+(0+(0-0))+0-0-0</f>
        <v>1425.5</v>
      </c>
      <c r="S76" s="3">
        <f>2025.3+(244-838.7)+(-4.131612+(-0.49776--1.710948))+0-0-0</f>
        <v>1427.6815759999999</v>
      </c>
      <c r="T76" s="3">
        <f>2046.4+(263.7-874.4)+(1.043664+(0.134487-0.445944))+0-0-0</f>
        <v>1436.4322070000001</v>
      </c>
      <c r="U76" s="3">
        <f>2023.5+(282.2-889.2)+(-1.031985+(-0.143922--0.453492))+0-0-0</f>
        <v>1415.777585</v>
      </c>
      <c r="V76" s="3">
        <f>2066.9+(293.6-950.6)+(2.108238+(0.299472-0.969612))+0-0-0</f>
        <v>1411.3380980000002</v>
      </c>
      <c r="W76" s="3">
        <f>2040.4+(303.4-957)+(-3.121812+(-0.464202--1.46421))+0-0-0</f>
        <v>1384.6781960000001</v>
      </c>
      <c r="X76" s="3">
        <f>2038+(292.4-981.1)+(-2.07876+(-0.298248--1.000722))+0-0-0</f>
        <v>1347.923714</v>
      </c>
      <c r="Y76" s="3">
        <f>2038.6+(236.1-939.5)+(-2.079372+(-0.240822--0.95829))+0-0-0</f>
        <v>1333.8380959999997</v>
      </c>
      <c r="Z76" s="3">
        <f>2158.9+(249.9-951.7)+(0+(0-0))+0-0-0</f>
        <v>1457.1</v>
      </c>
      <c r="AA76" s="3">
        <f>2146+(266.5-852.8)+(-3.28338+(-0.407745--1.304784))+0-0-0</f>
        <v>1557.3136590000001</v>
      </c>
      <c r="AB76" s="3">
        <f>2086.2+(374.8-924.7)+(-2.127924+(-0.382296--0.943194))+0-0-0</f>
        <v>1534.7329739999998</v>
      </c>
      <c r="AC76" s="3">
        <f>1749.6+(498.7-789.5)+(1.784592+(0.508674-0.80529))+0-0-0</f>
        <v>1460.2879759999998</v>
      </c>
      <c r="AD76" s="2">
        <v>1526.1000000000004</v>
      </c>
      <c r="AE76" s="3">
        <f>2161.8+(241.8-877.5)+(0+(0-0))+0-0-0</f>
        <v>1526.1000000000001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1729.1+(466.3-815.5)+(-1.763682+(-0.475626--0.83181))+0-0-0</f>
        <v>1378.4925019999998</v>
      </c>
      <c r="G77" s="3">
        <f>1544.3+(426.1-689.6)+(1.575186+(0.434622-0.703392))+0-0-0</f>
        <v>1282.1064159999999</v>
      </c>
      <c r="H77" s="3">
        <f>1428.8+(414.5-651)+(-0.728688+(-0.211395--0.33201))+0-0-0</f>
        <v>1191.6919269999999</v>
      </c>
      <c r="I77" s="3">
        <f>1439.1+(420.2-715.5)+(0+(0-0))+0-0-0</f>
        <v>1143.8</v>
      </c>
      <c r="J77" s="3">
        <f>1402.7+(398.8-687.1)+(-2.146131+(-0.610164--1.051263))+0-0-0</f>
        <v>1112.694968</v>
      </c>
      <c r="K77" s="3">
        <f>1296.5+(379.9-629)+(-1.32243+(-0.387498--0.64158))+0-0-0</f>
        <v>1046.3316520000001</v>
      </c>
      <c r="L77" s="3">
        <f>1235.4+(319.6-577.6)+(-3.15027+(-0.81498--1.47288))+0-0-0</f>
        <v>974.90763000000004</v>
      </c>
      <c r="M77" s="3">
        <f>1262.1+(300.2-550.7)+(1.931013+(0.459306-0.842571))+0-0-0</f>
        <v>1013.1477479999999</v>
      </c>
      <c r="N77" s="3">
        <f>1344.4+(364.7-598.1)+(0.685644+(0.185997-0.305031))+0-0-0</f>
        <v>1111.5666100000001</v>
      </c>
      <c r="O77" s="3">
        <f>1590.8+(394.7-782.4)+(1.622616+(0.402594-0.798048))+0-0-0</f>
        <v>1204.3271619999998</v>
      </c>
      <c r="P77" s="3">
        <f>1956.7+(342.2-1008.1)+(0+(0-0))+0-0-0</f>
        <v>1290.8</v>
      </c>
      <c r="Q77" s="3">
        <f>2012.4+(347.6-999.5)+(-3.078972+(-0.531828--1.529235))+0-0-0</f>
        <v>1358.418435</v>
      </c>
      <c r="R77" s="3">
        <f>2024.5+(354.9-973.2)+(1.032495+(0.180999-0.496332))+0-0-0</f>
        <v>1406.9171619999997</v>
      </c>
      <c r="S77" s="3">
        <f>1993.8+(340.8-891.3)+(-5.08419+(-0.86904--2.272815))+0-0-0</f>
        <v>1439.6195849999999</v>
      </c>
      <c r="T77" s="3">
        <f>1988.7+(341.4-869.7)+(-5.071185+(-0.87057--2.217735))+0-0-0</f>
        <v>1456.67598</v>
      </c>
      <c r="U77" s="3">
        <f>2016.4+(336.1-896.8)+(0+(0-0))+0-0-0</f>
        <v>1455.7000000000003</v>
      </c>
      <c r="V77" s="3">
        <f>1998+(315.4-868)+(-3.05694+(-0.482562--1.32804))+0-0-0</f>
        <v>1443.1885380000001</v>
      </c>
      <c r="W77" s="3">
        <f>1988.1+(310.7-873.5)+(-5.069655+(-0.792285--2.227425))+0-0-0</f>
        <v>1421.665485</v>
      </c>
      <c r="X77" s="3">
        <f>1845.3+(349.3-825.3)+(-4.705515+(-0.890715--2.104515))+0-0-0</f>
        <v>1365.8082849999998</v>
      </c>
      <c r="Y77" s="3">
        <f>1834.9+(322.2-817)+(-2.807397+(-0.492966--1.25001))+0-0-0</f>
        <v>1338.049647</v>
      </c>
      <c r="Z77" s="3">
        <f>2019.5+(266.4-857.7)+(2.05989+(0.271728-0.874854))+0-0-0</f>
        <v>1429.6567639999998</v>
      </c>
      <c r="AA77" s="3">
        <f>2152.9+(241.9-830)+(-1.097979+(-0.123369--0.4233))+0-0-0</f>
        <v>1564.0019520000001</v>
      </c>
      <c r="AB77" s="3">
        <f>2142.7+(267.6-864.6)+(-3.278331+(-0.409428--1.322838))+0-0-0</f>
        <v>1543.3350789999997</v>
      </c>
      <c r="AC77" s="3">
        <f>2086.1+(311.9-920.8)+(-2.127822+(-0.318138--0.939216))+0-0-0</f>
        <v>1475.6932559999998</v>
      </c>
      <c r="AD77" s="2">
        <v>1542.3</v>
      </c>
      <c r="AE77" s="3">
        <f>2162+(234-853.7)+(0+(0-0))+0-0-0</f>
        <v>1542.3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1869.1+(392.8-890.3)+(0+(0-0))+0-0-0</f>
        <v>1371.6</v>
      </c>
      <c r="G78" s="3">
        <f>1489.4+(414.9-663.4)+(-3.038376+(-0.846396--1.353336))+0-0-0</f>
        <v>1238.3685640000001</v>
      </c>
      <c r="H78" s="3">
        <f>1428.9+(412.4-655.9)+(-3.643695+(-1.05162--1.672545))+0-0-0</f>
        <v>1182.3772300000001</v>
      </c>
      <c r="I78" s="3">
        <f>1302+(372-549.7)+(-1.32804+(-0.37944--0.560694))+0-0-0</f>
        <v>1123.1532139999999</v>
      </c>
      <c r="J78" s="3">
        <f>1266.7+(364.1-542.3)+(-0.646017+(-0.185691--0.276573))+0-0-0</f>
        <v>1087.9448649999999</v>
      </c>
      <c r="K78" s="3">
        <f>1263.7+(401.9-619.4)+(-0.644487+(-0.204969--0.315894))+0-0-0</f>
        <v>1045.666438</v>
      </c>
      <c r="L78" s="3">
        <f>1256.4+(351.1-612.4)+(0+(0-0))+0-0-0</f>
        <v>995.10000000000014</v>
      </c>
      <c r="M78" s="3">
        <f>1473.3+(429.5-782)+(2.254149+(0.657135-1.19646))+0-0-0</f>
        <v>1122.5148239999999</v>
      </c>
      <c r="N78" s="3">
        <f>1780.1+(402.8-907.4)+(-2.723553+(-0.616284--1.388322))+0-0-0</f>
        <v>1273.548485</v>
      </c>
      <c r="O78" s="3">
        <f>1890.2+(412.1-905.7)+(0+(0-0))+0-0-0</f>
        <v>1396.6</v>
      </c>
      <c r="P78" s="3">
        <f>1932.6+(390.2-842)+(0+(0-0))+0-0-0</f>
        <v>1480.8</v>
      </c>
      <c r="Q78" s="3">
        <f>2101.6+(332.8-880.8)+(0+(0-0))+0-0-0</f>
        <v>1553.6</v>
      </c>
      <c r="R78" s="3">
        <f>2128.2+(350.8-869.3)+(2.170764+(0.357816-0.886686))+0-0-0</f>
        <v>1611.3418939999999</v>
      </c>
      <c r="S78" s="3">
        <f>2085.8+(380.8-805.7)+(-1.063758+(-0.194208--0.410907))+0-0-0</f>
        <v>1660.0529410000001</v>
      </c>
      <c r="T78" s="3">
        <f>2104.5+(376.2-788.6)+(-1.073295+(-0.191862--0.402186))+0-0-0</f>
        <v>1691.2370289999999</v>
      </c>
      <c r="U78" s="3">
        <f>2100.1+(384.6-805.9)+(0+(0-0))+0-0-0</f>
        <v>1678.8</v>
      </c>
      <c r="V78" s="3">
        <f>2091.6+(386.3-812.9)+(-4.266864+(-0.788052--1.658316))+0-0-0</f>
        <v>1661.6034</v>
      </c>
      <c r="W78" s="3">
        <f>2080.2+(382-825.2)+(-6.365412+(-1.16892--2.525112))+0-0-0</f>
        <v>1631.9907799999999</v>
      </c>
      <c r="X78" s="3">
        <f>2062.8+(397.9-905.4)+(-9.468252+(-1.826361--4.155786))+0-0-0</f>
        <v>1548.1611730000002</v>
      </c>
      <c r="Y78" s="3">
        <f>1927.9+(269.4-743.9)+(-4.916145+(-0.68697--1.896945))+0-0-0</f>
        <v>1449.6938300000002</v>
      </c>
      <c r="Z78" s="3">
        <f>1981.2+(219.4-653.5)+(-3.031236+(-0.335682--0.999855))+0-0-0</f>
        <v>1544.732937</v>
      </c>
      <c r="AA78" s="3">
        <f>2125+(216-647.4)+(-1.08375+(-0.11016--0.330174))+0-0-0</f>
        <v>1692.7362639999999</v>
      </c>
      <c r="AB78" s="3">
        <f>2096.1+(319.3-740.1)+(-5.345055+(-0.814215--1.887255))+0-0-0</f>
        <v>1671.0279849999999</v>
      </c>
      <c r="AC78" s="3">
        <f>2012.9+(379.3-797.8)+(-4.106316+(-0.773772--1.627512))+0-0-0</f>
        <v>1591.147424</v>
      </c>
      <c r="AD78" s="2">
        <v>1721.8999999999999</v>
      </c>
      <c r="AE78" s="3">
        <f>2132+(242.2-652.3)+(0+(0-0))+0-0-0</f>
        <v>1721.9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1407.5+(470.4-401.4)+(-0.717825+(-0.239904--0.204714))+0-0-0</f>
        <v>1475.746985</v>
      </c>
      <c r="G79" s="3">
        <f>1336.8+(438-422.1)+(0+(0-0))+0-0-0</f>
        <v>1352.6999999999998</v>
      </c>
      <c r="H79" s="3">
        <f>1249.2+(436.4-408.8)+(-0.637092+(-0.222564--0.208488))+0-0-0</f>
        <v>1276.1488319999999</v>
      </c>
      <c r="I79" s="3">
        <f>1243.9+(403.3-421.8)+(-1.903167+(-0.617049--0.645354))+0-0-0</f>
        <v>1223.5251380000002</v>
      </c>
      <c r="J79" s="3">
        <f>1243.4+(367.2-432.6)+(-1.902402+(-0.561816--0.661878))+0-0-0</f>
        <v>1176.19766</v>
      </c>
      <c r="K79" s="3">
        <f>1239.8+(381.9-520)+(-3.16149+(-0.973845--1.326))+0-0-0</f>
        <v>1098.8906649999999</v>
      </c>
      <c r="L79" s="3">
        <f>1235.7+(342.8-531.5)+(-1.890621+(-0.524484--0.813195))+0-0-0</f>
        <v>1045.3980899999999</v>
      </c>
      <c r="M79" s="3">
        <f>1318+(385.3-565.9)+(2.01654+(0.589509-0.865827))+0-0-0</f>
        <v>1139.140222</v>
      </c>
      <c r="N79" s="3">
        <f>1938.7+(377.7-986.9)+(4.943685+(0.963135-2.516595))+0-0-0</f>
        <v>1332.8902250000001</v>
      </c>
      <c r="O79" s="3">
        <f>2052.8+(432.7-1089.1)+(2.093856+(0.441354-1.110882))+0-0-0</f>
        <v>1397.8243280000004</v>
      </c>
      <c r="P79" s="3">
        <f>2018.1+(396.1-945.2)+(-3.087693+(-0.606033--1.446156))+0-0-0</f>
        <v>1466.75243</v>
      </c>
      <c r="Q79" s="3">
        <f>2047.5+(369.1-854.3)+(3.132675+(0.564723-1.307079))+0-0-0</f>
        <v>1564.6903190000003</v>
      </c>
      <c r="R79" s="3">
        <f>2026.9+(331.7-743.7)+(0+(0-0))+0-0-0</f>
        <v>1614.9</v>
      </c>
      <c r="S79" s="3">
        <f>2006.9+(333.1-700.5)+(-1.023519+(-0.169881--0.357255))+0-0-0</f>
        <v>1638.663855</v>
      </c>
      <c r="T79" s="3">
        <f>2038.2+(315.6-667.6)+(-1.039482+(-0.160956--0.340476))+0-0-0</f>
        <v>1685.340038</v>
      </c>
      <c r="U79" s="3">
        <f>2039.8+(286.1-640.8)+(1.040298+(0.145911-0.326808))+0-0-0</f>
        <v>1685.9594009999998</v>
      </c>
      <c r="V79" s="3">
        <f>2026.8+(290.4-654.3)+(-2.067336+(-0.296208--0.667386))+0-0-0</f>
        <v>1661.2038420000001</v>
      </c>
      <c r="W79" s="3">
        <f>2024.2+(287.6-697.2)+(-4.129368+(-0.586704--1.422288))+0-0-0</f>
        <v>1611.3062159999999</v>
      </c>
      <c r="X79" s="3">
        <f>2034.9+(311.3-824.4)+(-2.075598+(-0.317526--0.840888))+0-0-0</f>
        <v>1520.2477640000002</v>
      </c>
      <c r="Y79" s="3">
        <f>2024.6+(269.7-808.8)+(-4.130184+(-0.550188--1.649952))+0-0-0</f>
        <v>1482.46958</v>
      </c>
      <c r="Z79" s="3">
        <f>2058.4+(174.8-660.2)+(-1.049784+(-0.089148--0.336702))+0-0-0</f>
        <v>1572.19777</v>
      </c>
      <c r="AA79" s="3">
        <f>2102.1+(182.9-621.6)+(-3.216213+(-0.279837--0.951048))+0-0-0</f>
        <v>1660.8549979999998</v>
      </c>
      <c r="AB79" s="3">
        <f>2094.9+(302.6-742.9)+(0+(0-0))+0-0-0</f>
        <v>1654.6000000000001</v>
      </c>
      <c r="AC79" s="3">
        <f>2086.1+(376.9-875.6)+(-3.191733+(-0.576657--1.339668))+0-0-0</f>
        <v>1584.9712779999998</v>
      </c>
      <c r="AD79" s="2">
        <v>1668.1</v>
      </c>
      <c r="AE79" s="3">
        <f>2181+(204.2-717.1)+(0+(0-0))+0-0-0</f>
        <v>1668.1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2022+(371.9-805)+(-2.06244+(-0.379338--0.8211))+0-0-0</f>
        <v>1587.2793220000001</v>
      </c>
      <c r="G80" s="3">
        <f>1766.5+(379.3-677.2)+(-1.80183+(-0.386886--0.690744))+0-0-0</f>
        <v>1467.102028</v>
      </c>
      <c r="H80" s="3">
        <f>1434+(440.7-514.1)+(0+(0-0))+0-0-0</f>
        <v>1360.6</v>
      </c>
      <c r="I80" s="3">
        <f>1401+(425.9-511.5)+(-0.71451+(-0.217209--0.260865))+0-0-0</f>
        <v>1314.7291460000001</v>
      </c>
      <c r="J80" s="3">
        <f>1236.7+(453.1-423.4)+(-1.892151+(-0.693243--0.647802))+0-0-0</f>
        <v>1264.4624080000001</v>
      </c>
      <c r="K80" s="3">
        <f>1238.7+(407.9-468.5)+(-1.263474+(-0.416058--0.47787))+0-0-0</f>
        <v>1176.898338</v>
      </c>
      <c r="L80" s="3">
        <f>1231+(353.5-487.6)+(-2.51124+(-0.72114--0.994704))+0-0-0</f>
        <v>1094.6623240000001</v>
      </c>
      <c r="M80" s="3">
        <f>1451.7+(360-602.5)+(2.221101+(0.5508-0.921825))+0-0-0</f>
        <v>1211.050076</v>
      </c>
      <c r="N80" s="3">
        <f>1848.7+(351.7-813.8)+(2.828511+(0.538101-1.245114))+0-0-0</f>
        <v>1388.7214980000001</v>
      </c>
      <c r="O80" s="3">
        <f>2092.1+(340.1-873.7)+(0+(0-0))+0-0-0</f>
        <v>1558.5</v>
      </c>
      <c r="P80" s="3">
        <f>1975.9+(326.6-713.5)+(1.007709+(0.166566-0.363885))+0-0-0</f>
        <v>1589.8103900000001</v>
      </c>
      <c r="Q80" s="3">
        <f>2037.2+(271.2-572.2)+(0+(0-0))+0-0-0</f>
        <v>1736.2</v>
      </c>
      <c r="R80" s="3">
        <f>2091.9+(236.3-572.9)+(0+(0-0))+0-0-0</f>
        <v>1755.3000000000002</v>
      </c>
      <c r="S80" s="3">
        <f>2164.8+(230.9-554.1)+(-3.312144+(-0.353277--0.847773))+0-0-0</f>
        <v>1838.7823520000002</v>
      </c>
      <c r="T80" s="3">
        <f>2153.8+(263.4-513.5)+(-2.196876+(-0.268668--0.52377))+0-0-0</f>
        <v>1901.7582260000004</v>
      </c>
      <c r="U80" s="3">
        <f>2147.6+(233.9-493.8)+(-4.381104+(-0.477156--1.007352))+0-0-0</f>
        <v>1883.8490919999999</v>
      </c>
      <c r="V80" s="3">
        <f>2160.1+(237.2-543.4)+(1.101651+(0.120972-0.277134))+0-0-0</f>
        <v>1854.8454889999998</v>
      </c>
      <c r="W80" s="3">
        <f>2154.3+(274.9-644.7)+(0+(0-0))+0-0-0</f>
        <v>1784.5</v>
      </c>
      <c r="X80" s="3">
        <f>2134.8+(302.7-773.5)+(-2.177496+(-0.308754--0.78897))+0-0-0</f>
        <v>1662.3027200000001</v>
      </c>
      <c r="Y80" s="3">
        <f>1609.8+(281.7-337.8)+(-0.820998+(-0.143667--0.172278))+0-0-0</f>
        <v>1552.9076129999999</v>
      </c>
      <c r="Z80" s="3">
        <f>1917.4+(240.7-495.8)+(1.955748+(0.245514-0.505716))+0-0-0</f>
        <v>1663.9955460000001</v>
      </c>
      <c r="AA80" s="3">
        <f>2354.7+(199.4-703.6)+(-3.602691+(-0.305082--1.076508))+0-0-0</f>
        <v>1847.6687349999997</v>
      </c>
      <c r="AB80" s="3">
        <f>2335.5+(262.3-754.8)+(-2.38221+(-0.267546--0.769896))+0-0-0</f>
        <v>1841.12014</v>
      </c>
      <c r="AC80" s="3">
        <f>2213.1+(340.2-769.2)+(1.128681+(0.173502-0.392292))+0-0-0</f>
        <v>1785.0098909999999</v>
      </c>
      <c r="AD80" s="2">
        <v>1711.8000000000002</v>
      </c>
      <c r="AE80" s="3">
        <f>2397+(166.3-851.5)+(0+(0-0))+0-0-0</f>
        <v>1711.8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2124+(375.5-786.3)+(-1.08324+(-0.191505--0.401013))+0-0-0</f>
        <v>1712.326268</v>
      </c>
      <c r="G81" s="3">
        <f>1867+(406-674)+(-0.95217+(-0.20706--0.34374))+0-0-0</f>
        <v>1598.18451</v>
      </c>
      <c r="H81" s="3">
        <f>1569.5+(463.3-533.6)+(0+(0-0))+0-0-0</f>
        <v>1499.2</v>
      </c>
      <c r="I81" s="3">
        <f>1417.5+(476.3-476.4)+(0+(0-0))+0-0-0</f>
        <v>1417.4</v>
      </c>
      <c r="J81" s="3">
        <f>1306.9+(449.4-404.9)+(-2.666076+(-0.916776--0.825996))+0-0-0</f>
        <v>1348.6431440000001</v>
      </c>
      <c r="K81" s="3">
        <f>1228.8+(431-418.6)+(-3.13344+(-1.09905--1.06743))+0-0-0</f>
        <v>1238.0349399999998</v>
      </c>
      <c r="L81" s="3">
        <f>1227.1+(347.3-460.9)+(-3.129105+(-0.885615--1.175295))+0-0-0</f>
        <v>1110.6605750000001</v>
      </c>
      <c r="M81" s="3">
        <f>1246.8+(324.1-442.9)+(1.271736+(0.330582-0.451758))+0-0-0</f>
        <v>1129.15056</v>
      </c>
      <c r="N81" s="3">
        <f>1325+(307.5-436.5)+(-0.67575+(-0.156825--0.222615))+0-0-0</f>
        <v>1195.39004</v>
      </c>
      <c r="O81" s="3">
        <f>1589.5+(274.7-566.3)+(-1.62129+(-0.280194--0.577626))+0-0-0</f>
        <v>1296.5761420000001</v>
      </c>
      <c r="P81" s="3">
        <f>1666.4+(269.1-534.8)+(0+(0-0))+0-0-0</f>
        <v>1400.7000000000003</v>
      </c>
      <c r="Q81" s="3">
        <f>2066.7+(227.4-731.2)+(1.054017+(0.115974-0.372912))+0-0-0</f>
        <v>1563.6970789999996</v>
      </c>
      <c r="R81" s="3">
        <f>2075.4+(196.5-672.7)+(2.116908+(0.20043-0.686154))+0-0-0</f>
        <v>1600.8311840000001</v>
      </c>
      <c r="S81" s="3">
        <f>2062.5+(229.2-587)+(-1.051875+(-0.116892--0.29937))+0-0-0</f>
        <v>1703.8306030000001</v>
      </c>
      <c r="T81" s="3">
        <f>2067+(264.2-567.7)+(0+(0-0))+0-0-0</f>
        <v>1763.5</v>
      </c>
      <c r="U81" s="3">
        <f>2056.4+(293.5-584.6)+(-2.097528+(-0.29937--0.596292))+0-0-0</f>
        <v>1763.4993940000002</v>
      </c>
      <c r="V81" s="3">
        <f>2071.9+(269.2-617.8)+(0+(0-0))+0-0-0</f>
        <v>1723.3000000000002</v>
      </c>
      <c r="W81" s="3">
        <f>2062.9+(282.3-708.9)+(-2.104158+(-0.287946--0.723078))+0-0-0</f>
        <v>1634.6309740000002</v>
      </c>
      <c r="X81" s="3">
        <f>2039.7+(303.9-799)+(-2.080494+(-0.309978--0.81498))+0-0-0</f>
        <v>1543.024508</v>
      </c>
      <c r="Y81" s="3">
        <f>1908.1+(270.4-727)+(-1.946262+(-0.275808--0.74154))+0-0-0</f>
        <v>1450.01947</v>
      </c>
      <c r="Z81" s="3">
        <f>2103.1+(145.3-697.8)+(2.145162+(0.148206-0.711756))+0-0-0</f>
        <v>1552.1816119999999</v>
      </c>
      <c r="AA81" s="3">
        <f>2161.1+(202.9-630.7)+(-1.102161+(-0.103479--0.321657))+0-0-0</f>
        <v>1732.4160169999998</v>
      </c>
      <c r="AB81" s="3">
        <f>2160.2+(285.2-686.1)+(2.203404+(0.290904-0.699822))+0-0-0</f>
        <v>1761.0944859999997</v>
      </c>
      <c r="AC81" s="3">
        <f>2147.6+(360.9-775)+(-2.190552+(-0.368118--0.7905))+0-0-0</f>
        <v>1731.7318299999999</v>
      </c>
      <c r="AD81" s="2">
        <v>1788.9</v>
      </c>
      <c r="AE81" s="3">
        <f>2165.8+(252.2-629.1)+(0+(0-0))+0-0-0</f>
        <v>1788.9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1941.1+(434.2-726.1)+(-0.989961+(-0.221442--0.370311))+0-0-0</f>
        <v>1648.3589079999999</v>
      </c>
      <c r="G82" s="3">
        <f>1658.2+(418.9-533.4)+(-4.22841+(-1.068195--1.36017))+0-0-0</f>
        <v>1539.763565</v>
      </c>
      <c r="H82" s="3">
        <f>1384.8+(450.8-380.7)+(-1.412496+(-0.459816--0.388314))+0-0-0</f>
        <v>1453.4160020000002</v>
      </c>
      <c r="I82" s="3">
        <f>1369.6+(436.3-408.3)+(-1.396992+(-0.445026--0.416466))+0-0-0</f>
        <v>1396.174448</v>
      </c>
      <c r="J82" s="3">
        <f>1243+(423.8-310.2)+(-0.63393+(-0.216138--0.158202))+0-0-0</f>
        <v>1355.908134</v>
      </c>
      <c r="K82" s="3">
        <f>1235.5+(424.6-405.2)+(-3.150525+(-1.08273--1.03326))+0-0-0</f>
        <v>1251.7000050000001</v>
      </c>
      <c r="L82" s="3">
        <f>1237.2+(356.1-426.1)+(-1.261944+(-0.363222--0.434622))+0-0-0</f>
        <v>1166.009456</v>
      </c>
      <c r="M82" s="3">
        <f>1477.4+(305.6-533.4)+(-3.76737+(-0.77928--1.36017))+0-0-0</f>
        <v>1246.4135200000001</v>
      </c>
      <c r="N82" s="3">
        <f>1946.5+(303.6-853.5)+(-0.992715+(-0.154836--0.435285))+0-0-0</f>
        <v>1395.8877339999999</v>
      </c>
      <c r="O82" s="3">
        <f>2038.7+(333.8-880)+(-1.039737+(-0.170238--0.4488))+0-0-0</f>
        <v>1491.7388249999999</v>
      </c>
      <c r="P82" s="3">
        <f>2047.8+(282.4-790)+(-2.088756+(-0.288048--0.8058))+0-0-0</f>
        <v>1538.6289959999999</v>
      </c>
      <c r="Q82" s="3">
        <f>2116.4+(267.9-792.6)+(0+(0-0))+0-0-0</f>
        <v>1591.7</v>
      </c>
      <c r="R82" s="3">
        <f>2132.6+(272.6-753.9)+(-3.262878+(-0.417078--1.153467))+0-0-0</f>
        <v>1648.7735109999999</v>
      </c>
      <c r="S82" s="3">
        <f>2118.9+(344.3-808.5)+(-4.322556+(-0.702372--1.64934))+0-0-0</f>
        <v>1651.3244119999999</v>
      </c>
      <c r="T82" s="3">
        <f>2139.3+(353.5-861.4)+(2.182086+(0.36057-0.878628))+0-0-0</f>
        <v>1633.064028</v>
      </c>
      <c r="U82" s="3">
        <f>2127.6+(360.4-882.9)+(-1.085076+(-0.183804--0.450279))+0-0-0</f>
        <v>1604.281399</v>
      </c>
      <c r="V82" s="3">
        <f>2105+(345.8-881.8)+(-3.22065+(-0.529074--1.349154))+0-0-0</f>
        <v>1566.59943</v>
      </c>
      <c r="W82" s="3">
        <f>2116+(381.2-973.8)+(0+(0-0))+0-0-0</f>
        <v>1523.4</v>
      </c>
      <c r="X82" s="3">
        <f>2120.8+(385.5-1042.5)+(-2.163216+(-0.39321--1.06335))+0-0-0</f>
        <v>1462.3069240000002</v>
      </c>
      <c r="Y82" s="3">
        <f>2142.6+(337.1-1030.4)+(0+(0-0))+0-0-0</f>
        <v>1449.2999999999997</v>
      </c>
      <c r="Z82" s="3">
        <f>2159.5+(280-860.7)+(1.101345+(0.1428-0.438957))+0-0-0</f>
        <v>1579.605188</v>
      </c>
      <c r="AA82" s="3">
        <f>2146.5+(265.8-743.1)+(-4.37886+(-0.542232--1.515924))+0-0-0</f>
        <v>1665.794832</v>
      </c>
      <c r="AB82" s="3">
        <f>1999.9+(327.2-684.8)+(-5.099745+(-0.83436--1.74624))+0-0-0</f>
        <v>1638.1121350000001</v>
      </c>
      <c r="AC82" s="3">
        <f>1762.4+(416.1-602.3)+(-2.696472+(-0.636633--0.921519))+0-0-0</f>
        <v>1573.7884140000003</v>
      </c>
      <c r="AD82" s="2">
        <v>1674.2000000000003</v>
      </c>
      <c r="AE82" s="3">
        <f>2157+(278.8-761.6)+(0+(0-0))+0-0-0</f>
        <v>1674.2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1589.9+(393.1-509.6)+(-4.054245+(-1.002405--1.29948))+0-0-0</f>
        <v>1469.64283</v>
      </c>
      <c r="G83" s="3">
        <f>1353.5+(440-417.8)+(-1.38057+(-0.4488--0.426156))+0-0-0</f>
        <v>1374.2967860000001</v>
      </c>
      <c r="H83" s="3">
        <f>1290.5+(436-422.3)+(0.658155+(0.22236-0.215373))+0-0-0</f>
        <v>1304.8651420000001</v>
      </c>
      <c r="I83" s="3">
        <f>1273.5+(417.7-434.5)+(2.59794+(0.852108-0.88638))+0-0-0</f>
        <v>1259.2636680000001</v>
      </c>
      <c r="J83" s="3">
        <f>1246.9+(395.2-422.4)+(-1.907757+(-0.604656--0.646272))+0-0-0</f>
        <v>1217.8338590000001</v>
      </c>
      <c r="K83" s="3">
        <f>1237.7+(379.5-460.5)+(-3.156135+(-0.967725--1.174275))+0-0-0</f>
        <v>1153.750415</v>
      </c>
      <c r="L83" s="3">
        <f>1248.4+(331.8-501.3)+(-1.273368+(-0.338436--0.511326))+0-0-0</f>
        <v>1077.799522</v>
      </c>
      <c r="M83" s="3">
        <f>1377.2+(351.3-588.9)+(0+(0-0))+0-0-0</f>
        <v>1139.6000000000001</v>
      </c>
      <c r="N83" s="3">
        <f>1539.9+(349.1-634.1)+(2.356047+(0.534123-0.970173))+0-0-0</f>
        <v>1256.8199970000001</v>
      </c>
      <c r="O83" s="3">
        <f>1935.3+(241.6-831.8)+(0+(0-0))+0-0-0</f>
        <v>1345.1</v>
      </c>
      <c r="P83" s="3">
        <f>2035.3+(254-888.4)+(1.038003+(0.12954-0.453084))+0-0-0</f>
        <v>1401.6144590000001</v>
      </c>
      <c r="Q83" s="3">
        <f>2068.6+(270.8-884.1)+(-2.109972+(-0.276216--0.901782))+0-0-0</f>
        <v>1453.8155939999999</v>
      </c>
      <c r="R83" s="3">
        <f>2134.7+(243.9-898.6)+(-1.088697+(-0.124389--0.458286))+0-0-0</f>
        <v>1479.2451999999998</v>
      </c>
      <c r="S83" s="3">
        <f>2112.7+(232.3-868.9)+(-3.232431+(-0.355419--1.329417))+0-0-0</f>
        <v>1473.8415669999999</v>
      </c>
      <c r="T83" s="3">
        <f>2114.8+(247.2-898.4)+(-3.235644+(-0.378216--1.374552))+0-0-0</f>
        <v>1461.3606920000002</v>
      </c>
      <c r="U83" s="3">
        <f>2098.8+(240.3-902.5)+(-5.35194+(-0.612765--2.301375))+0-0-0</f>
        <v>1432.93667</v>
      </c>
      <c r="V83" s="3">
        <f>2130.1+(221.4-934.9)+(-1.086351+(-0.112914--0.476799))+0-0-0</f>
        <v>1415.877534</v>
      </c>
      <c r="W83" s="3">
        <f>2113.2+(206.4-934.9)+(-4.310928+(-0.421056--1.907196))+0-0-0</f>
        <v>1381.8752119999999</v>
      </c>
      <c r="X83" s="3">
        <f>2093.7+(211.8-955.2)+(-5.338935+(-0.54009--2.43576))+0-0-0</f>
        <v>1346.8567349999996</v>
      </c>
      <c r="Y83" s="3">
        <f>1970.3+(224.8-862.9)+(-3.014559+(-0.343944--1.320237))+0-0-0</f>
        <v>1330.161734</v>
      </c>
      <c r="Z83" s="3">
        <f>2060.6+(189.6-805.4)+(0+(0-0))+0-0-0</f>
        <v>1444.8</v>
      </c>
      <c r="AA83" s="3">
        <f>2139.5+(168.8-772.8)+(-3.273435+(-0.258264--1.182384))+0-0-0</f>
        <v>1533.1506850000001</v>
      </c>
      <c r="AB83" s="3">
        <f>2063.1+(237-802.1)+(-6.313086+(-0.72522--2.454426))+0-0-0</f>
        <v>1493.4161200000001</v>
      </c>
      <c r="AC83" s="3">
        <f>1581.3+(366.1-543.1)+(0+(0-0))+0-0-0</f>
        <v>1404.3</v>
      </c>
      <c r="AD83" s="2">
        <v>1555.3999999999999</v>
      </c>
      <c r="AE83" s="3">
        <f>2148+(200.6-793.2)+(0+(0-0))+0-0-0</f>
        <v>1555.4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1424+(342.7-426)+(-1.45248+(-0.349554--0.43452))+0-0-0</f>
        <v>1339.332486</v>
      </c>
      <c r="G84" s="3">
        <f>1431.1+(336.1-500.2)+(0+(0-0))+0-0-0</f>
        <v>1267</v>
      </c>
      <c r="H84" s="3">
        <f>1424.2+(290.9-505.3)+(-0.726342+(-0.148359--0.257703))+0-0-0</f>
        <v>1209.183002</v>
      </c>
      <c r="I84" s="3">
        <f>1340.3+(323.2-481.7)+(-2.050659+(-0.494496--0.737001))+0-0-0</f>
        <v>1179.9918459999999</v>
      </c>
      <c r="J84" s="3">
        <f>1273.5+(331.5-449.4)+(-3.247425+(-0.845325--1.14597))+0-0-0</f>
        <v>1152.6532199999999</v>
      </c>
      <c r="K84" s="3">
        <f>1233.7+(345.7-476.2)+(-3.145935+(-0.881535--1.21431))+0-0-0</f>
        <v>1100.3868400000001</v>
      </c>
      <c r="L84" s="3">
        <f>1244.8+(327.8-527.7)+(-1.269696+(-0.334356--0.538254))+0-0-0</f>
        <v>1043.8342019999998</v>
      </c>
      <c r="M84" s="3">
        <f>1549.5+(283.4-694.1)+(2.370735+(0.433602-1.061973))+0-0-0</f>
        <v>1140.5423639999999</v>
      </c>
      <c r="N84" s="3">
        <f>1815.9+(302.7-856.8)+(-0.926109+(-0.154377--0.436968))+0-0-0</f>
        <v>1261.1564820000001</v>
      </c>
      <c r="O84" s="3">
        <f>1961.6+(317.2-915.5)+(-2.000832+(-0.323544--0.93381))+0-0-0</f>
        <v>1361.9094339999999</v>
      </c>
      <c r="P84" s="3">
        <f>2137.6+(289.1-975.9)+(-2.180352+(-0.294882--0.995418))+0-0-0</f>
        <v>1449.3201839999999</v>
      </c>
      <c r="Q84" s="3">
        <f>2155.9+(288.2-933.8)+(2.199018+(0.293964-0.952476))+0-0-0</f>
        <v>1511.8405060000002</v>
      </c>
      <c r="R84" s="3">
        <f>2143.6+(271.6-852.2)+(0+(0-0))+0-0-0</f>
        <v>1563</v>
      </c>
      <c r="S84" s="3">
        <f>2133.7+(237.5-779)+(-1.088187+(-0.121125--0.39729))+0-0-0</f>
        <v>1591.3879779999997</v>
      </c>
      <c r="T84" s="3">
        <f>2140.6+(248.6-781.1)+(1.091706+(0.126786-0.398361))+0-0-0</f>
        <v>1608.9201309999999</v>
      </c>
      <c r="U84" s="3">
        <f>2143+(271.1-812.9)+(2.18586+(0.276522-0.829158))+0-0-0</f>
        <v>1602.833224</v>
      </c>
      <c r="V84" s="3">
        <f>2078.2+(288.7-779.9)+(-3.179646+(-0.441711--1.193247))+0-0-0</f>
        <v>1584.5718899999997</v>
      </c>
      <c r="W84" s="3">
        <f>2027.3+(299-775.8)+(-6.203538+(-0.91494--2.373948))+0-0-0</f>
        <v>1545.7554700000001</v>
      </c>
      <c r="X84" s="3">
        <f>1980.1+(289.8-804.8)+(-2.019702+(-0.295596--0.820896))+0-0-0</f>
        <v>1463.6055979999999</v>
      </c>
      <c r="Y84" s="3">
        <f>1945.8+(236.4-774.6)+(-5.954148+(-0.723384--2.370276))+0-0-0</f>
        <v>1403.2927439999999</v>
      </c>
      <c r="Z84" s="3">
        <f>2054.2+(227.6-757.9)+(2.095284+(0.232152-0.773058))+0-0-0</f>
        <v>1525.4543779999999</v>
      </c>
      <c r="AA84" s="3">
        <f>2141.4+(262.9-764.3)+(-3.276342+(-0.402237--1.169379))+0-0-0</f>
        <v>1637.4908</v>
      </c>
      <c r="AB84" s="3">
        <f>2139.5+(338.2-867.1)+(-1.091145+(-0.172482--0.442221))+0-0-0</f>
        <v>1609.7785939999999</v>
      </c>
      <c r="AC84" s="3">
        <f>2137.9+(333.1-948.4)+(-3.270987+(-0.509643--1.451052))+0-0-0</f>
        <v>1520.2704220000001</v>
      </c>
      <c r="AD84" s="2">
        <v>1639.9</v>
      </c>
      <c r="AE84" s="3">
        <f>2156+(250.5-766.6)+(0+(0-0))+0-0-0</f>
        <v>1639.9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1862.9+(273.9-730.7)+(-3.800316+(-0.558756--1.490628))+0-0-0</f>
        <v>1403.231556</v>
      </c>
      <c r="G85" s="3">
        <f>1470.4+(352.5-531.5)+(-1.499808+(-0.35955--0.54213))+0-0-0</f>
        <v>1290.0827720000002</v>
      </c>
      <c r="H85" s="3">
        <f>1279.2+(364.2-422.6)+(-0.652392+(-0.185742--0.215526))+0-0-0</f>
        <v>1220.1773920000001</v>
      </c>
      <c r="I85" s="3">
        <f>1241+(356.6-413.6)+(-1.89873+(-0.545598--0.632808))+0-0-0</f>
        <v>1182.18848</v>
      </c>
      <c r="J85" s="3">
        <f>1241.5+(356.2-441.5)+(-1.899495+(-0.544986--0.675495))+0-0-0</f>
        <v>1154.431014</v>
      </c>
      <c r="K85" s="3">
        <f>1241+(328.5-475.9)+(-2.53164+(-0.67014--0.970836))+0-0-0</f>
        <v>1091.369056</v>
      </c>
      <c r="L85" s="3">
        <f>1248.6+(224.5-438.8)+(0+(0-0))+0-0-0</f>
        <v>1034.3</v>
      </c>
      <c r="M85" s="3">
        <f>1403.6+(231-505.8)+(-2.147508+(-0.35343--0.773874))+0-0-0</f>
        <v>1127.072936</v>
      </c>
      <c r="N85" s="3">
        <f>2051+(239-847)+(0+(0-0))+0-0-0</f>
        <v>1443</v>
      </c>
      <c r="O85" s="3">
        <f>2052.7+(285.8-913.9)+(2.093754+(0.291516-0.932178))+0-0-0</f>
        <v>1426.0530919999999</v>
      </c>
      <c r="P85" s="3">
        <f>2097.9+(255.6-846.8)+(3.209787+(0.391068-1.295604))+0-0-0</f>
        <v>1509.0052510000003</v>
      </c>
      <c r="Q85" s="3">
        <f>2088.7+(230.7-745.2)+(2.130474+(0.235314-0.760104))+0-0-0</f>
        <v>1575.8056839999999</v>
      </c>
      <c r="R85" s="3">
        <f>2096+(265.4-672.5)+(4.27584+(0.541416-1.3719))+0-0-0</f>
        <v>1692.345356</v>
      </c>
      <c r="S85" s="3">
        <f>2138+(226.7-599.5)+(1.09038+(0.115617-0.305745))+0-0-0</f>
        <v>1766.100252</v>
      </c>
      <c r="T85" s="3">
        <f>2140.3+(277.7-605.1)+(-1.091553+(-0.141627--0.308601))+0-0-0</f>
        <v>1811.9754210000001</v>
      </c>
      <c r="U85" s="3">
        <f>2142.5+(303.2-643.8)+(0+(0-0))+0-0-0</f>
        <v>1801.9</v>
      </c>
      <c r="V85" s="3">
        <f>2142.4+(307.7-662.5)+(0+(0-0))+0-0-0</f>
        <v>1787.6000000000001</v>
      </c>
      <c r="W85" s="3">
        <f>2142.5+(332.2-742.7)+(-1.092675+(-0.169422--0.378777))+0-0-0</f>
        <v>1731.1166800000001</v>
      </c>
      <c r="X85" s="3">
        <f>2143.9+(334.5-835.8)+(-1.093389+(-0.170595--0.426258))+0-0-0</f>
        <v>1641.7622740000002</v>
      </c>
      <c r="Y85" s="3">
        <f>2033.5+(226.5-662.6)+(-5.185425+(-0.577575--1.68963))+0-0-0</f>
        <v>1593.32663</v>
      </c>
      <c r="Z85" s="3">
        <f>2097.5+(173.2-683.8)+(2.13945+(0.176664-0.697476))+0-0-0</f>
        <v>1588.518638</v>
      </c>
      <c r="AA85" s="3">
        <f>2141.6+(156.5-626.1)+(-4.368864+(-0.31926--1.277244))+0-0-0</f>
        <v>1668.5891200000001</v>
      </c>
      <c r="AB85" s="3">
        <f>2140.4+(212.1-726.9)+(-3.274812+(-0.324513--1.112157))+0-0-0</f>
        <v>1623.112832</v>
      </c>
      <c r="AC85" s="3">
        <f>2085+(275-804)+(-1.06335+(-0.14025--0.41004))+0-0-0</f>
        <v>1555.2064399999999</v>
      </c>
      <c r="AD85" s="2">
        <v>1665.5</v>
      </c>
      <c r="AE85" s="3">
        <f>2178+(142.9-655.4)+(0+(0-0))+0-0-0</f>
        <v>1665.5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1642.6+(316.6-462.7)+(0+(0-0))+0-0-0</f>
        <v>1496.5</v>
      </c>
      <c r="G86" s="3">
        <f>1388.4+(343.7-369.7)+(-2.832336+(-0.701148--0.754188))+0-0-0</f>
        <v>1359.6207040000002</v>
      </c>
      <c r="H86" s="3">
        <f>1247.8+(363.7-314.7)+(-1.272756+(-0.370974--0.320994))+0-0-0</f>
        <v>1295.4772639999999</v>
      </c>
      <c r="I86" s="3">
        <f>1266.5+(433.1-362.3)+(1.937745+(0.662643-0.554319))+0-0-0</f>
        <v>1339.3460689999999</v>
      </c>
      <c r="J86" s="3">
        <f>1253+(414.3-369.6)+(-0.63903+(-0.211293--0.188496))+0-0-0</f>
        <v>1297.0381730000001</v>
      </c>
      <c r="K86" s="3">
        <f>1234.8+(371.3-408.2)+(-3.14874+(-0.946815--1.04091))+0-0-0</f>
        <v>1194.8453550000002</v>
      </c>
      <c r="L86" s="3">
        <f>1252.5+(317.4-437.2)+(-1.27755+(-0.323748--0.445944))+0-0-0</f>
        <v>1131.5446460000001</v>
      </c>
      <c r="M86" s="3">
        <f>1426.4+(322.1-528.1)+(2.182392+(0.492813-0.807993))+0-0-0</f>
        <v>1222.2672120000002</v>
      </c>
      <c r="N86" s="3">
        <f>1810.3+(359.1-775.2)+(-0.923253+(-0.183141--0.395352))+0-0-0</f>
        <v>1393.4889579999999</v>
      </c>
      <c r="O86" s="3">
        <f>2067.1+(385.5-930.5)+(3.162663+(0.589815-1.423665))+0-0-0</f>
        <v>1524.428813</v>
      </c>
      <c r="P86" s="3">
        <f>2138.1+(381.7-889.6)+(1.090431+(0.194667-0.453696))+0-0-0</f>
        <v>1631.0314019999998</v>
      </c>
      <c r="Q86" s="3">
        <f>2138.1+(362.3-754.8)+(0+(0-0))+0-0-0</f>
        <v>1745.6</v>
      </c>
      <c r="R86" s="3">
        <f>2129.1+(360.1-635.1)+(0+(0-0))+0-0-0</f>
        <v>1854.1</v>
      </c>
      <c r="S86" s="3">
        <f>2120.5+(380.6-546.6)+(-2.16291+(-0.388212--0.557532))+0-0-0</f>
        <v>1952.50641</v>
      </c>
      <c r="T86" s="3">
        <f>2124.2+(398-528.3)+(-1.083342+(-0.20298--0.269433))+0-0-0</f>
        <v>1992.8831109999999</v>
      </c>
      <c r="U86" s="3">
        <f>2125.2+(390.9-541.9)+(-1.083852+(-0.199359--0.276369))+0-0-0</f>
        <v>1973.1931579999998</v>
      </c>
      <c r="V86" s="3">
        <f>2100.8+(389.4-557.1)+(-4.285632+(-0.794376--1.136484))+0-0-0</f>
        <v>1929.1564760000001</v>
      </c>
      <c r="W86" s="3">
        <f>2109.5+(384.6-657.7)+(-2.15169+(-0.392292--0.670854))+0-0-0</f>
        <v>1834.5268720000001</v>
      </c>
      <c r="X86" s="3">
        <f>2119.6+(367-781.2)+(-3.242988+(-0.56151--1.195236))+0-0-0</f>
        <v>1702.7907379999999</v>
      </c>
      <c r="Y86" s="3">
        <f>2127.7+(247.5-768.3)+(-2.170254+(-0.25245--0.783666))+0-0-0</f>
        <v>1605.2609619999998</v>
      </c>
      <c r="Z86" s="3">
        <f>2141.4+(286.2-731.9)+(1.092114+(0.145962-0.373269))+0-0-0</f>
        <v>1696.564807</v>
      </c>
      <c r="AA86" s="3">
        <f>2133+(306.1-548.7)+(-4.35132+(-0.624444--1.119348))+0-0-0</f>
        <v>1886.543584</v>
      </c>
      <c r="AB86" s="3">
        <f>2147.1+(335.2-591.1)+(0+(0-0))+0-0-0</f>
        <v>1891.1999999999998</v>
      </c>
      <c r="AC86" s="3">
        <f>2106.5+(338.5-590.1)+(-1.074315+(-0.172635--0.300951))+0-0-0</f>
        <v>1853.9540010000001</v>
      </c>
      <c r="AD86" s="2">
        <v>1834.7</v>
      </c>
      <c r="AE86" s="3">
        <f>2134+(294.9-594.2)+(0+(0-0))+0-0-0</f>
        <v>1834.6999999999998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1940.2+(384.1-565.4)+(-3.958008+(-0.783564--1.153416))+0-0-0</f>
        <v>1755.3118440000001</v>
      </c>
      <c r="G87" s="3">
        <f>1545.6+(449.2-373.3)+(0+(0-0))+0-0-0</f>
        <v>1621.5</v>
      </c>
      <c r="H87" s="3">
        <f>1291.6+(481-273.8)+(1.317432+(0.49062-0.279276))+0-0-0</f>
        <v>1500.3287760000001</v>
      </c>
      <c r="I87" s="3">
        <f>1279.3+(441.4-286.4)+(0+(0-0))+0-0-0</f>
        <v>1434.3</v>
      </c>
      <c r="J87" s="3">
        <f>1223+(427.3-271.7)+(1.24746+(0.435846-0.277134))+0-0-0</f>
        <v>1380.0061719999999</v>
      </c>
      <c r="K87" s="3">
        <f>1175.5+(392.3-293.8)+(-2.997525+(-1.000365--0.74919))+0-0-0</f>
        <v>1270.7512999999999</v>
      </c>
      <c r="L87" s="3">
        <f>1182.4+(366.6-362.2)+(-1.809072+(-0.560898--0.554166))+0-0-0</f>
        <v>1184.9841960000001</v>
      </c>
      <c r="M87" s="3">
        <f>1235.4+(373.8-328)+(1.890162+(0.571914-0.50184))+0-0-0</f>
        <v>1283.1602359999999</v>
      </c>
      <c r="N87" s="3">
        <f>1390.5+(400.7-349.1)+(0.709155+(0.204357-0.178041))+0-0-0</f>
        <v>1442.8354709999999</v>
      </c>
      <c r="O87" s="3">
        <f>1488.5+(391-317.3)+(1.51827+(0.39882-0.323646))+0-0-0</f>
        <v>1563.7934440000001</v>
      </c>
      <c r="P87" s="3">
        <f>1597.6+(386.8-306.3)+(1.629552+(0.394536-0.312426))+0-0-0</f>
        <v>1679.8116619999998</v>
      </c>
      <c r="Q87" s="3">
        <f>1710.1+(368.4-282.9)+(-2.616453+(-0.563652--0.432837))+0-0-0</f>
        <v>1792.8527319999998</v>
      </c>
      <c r="R87" s="3">
        <f>1804.1+(385.1-262.4)+(0+(0-0))+0-0-0</f>
        <v>1926.8</v>
      </c>
      <c r="S87" s="3">
        <f>1780.6+(447.8-189.1)+(-5.448636+(-1.370268--0.578646))+0-0-0</f>
        <v>2033.0597419999999</v>
      </c>
      <c r="T87" s="3">
        <f>1793.6+(471.9-160.9)+(-1.829472+(-0.481338--0.164118))+0-0-0</f>
        <v>2102.4533080000001</v>
      </c>
      <c r="U87" s="3">
        <f>1796.5+(450.2-175.3)+(-1.83243+(-0.459204--0.178806))+0-0-0</f>
        <v>2069.2871720000003</v>
      </c>
      <c r="V87" s="3">
        <f>1793.8+(407.3-202.9)+(-2.744514+(-0.623169--0.310437))+0-0-0</f>
        <v>1995.142754</v>
      </c>
      <c r="W87" s="3">
        <f>1797.6+(325.2-275.9)+(-0.916776+(-0.165852--0.140709))+0-0-0</f>
        <v>1845.9580809999998</v>
      </c>
      <c r="X87" s="3">
        <f>1722+(313.1-326.3)+(-3.51288+(-0.638724--0.665652))+0-0-0</f>
        <v>1705.314048</v>
      </c>
      <c r="Y87" s="3">
        <f>1729.5+(292.2-402.5)+(0+(0-0))+0-0-0</f>
        <v>1619.2</v>
      </c>
      <c r="Z87" s="3">
        <f>1847.7+(295.1-407.6)+(0+(0-0))+0-0-0</f>
        <v>1735.2</v>
      </c>
      <c r="AA87" s="3">
        <f>1881.7+(340.5-303)+(-2.879001+(-0.520965--0.46359))+0-0-0</f>
        <v>1916.2636239999999</v>
      </c>
      <c r="AB87" s="3">
        <f>1772.1+(413.7-269.4)+(-3.615084+(-0.843948--0.549576))+0-0-0</f>
        <v>1912.4905439999998</v>
      </c>
      <c r="AC87" s="3">
        <f>1486.3+(537.3-180)+(-0.758013+(-0.274023--0.0918))+0-0-0</f>
        <v>1842.659764</v>
      </c>
      <c r="AD87" s="2">
        <v>1928.6000000000001</v>
      </c>
      <c r="AE87" s="3">
        <f>1884+(341.3-296.7)+(0+(0-0))+0-0-0</f>
        <v>1928.6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1478.3+(512.2-228.6)+(-1.507866+(-0.522444--0.233172))+0-0-0</f>
        <v>1760.1028620000002</v>
      </c>
      <c r="G88" s="3">
        <f>1430.7+(500.1-270.6)+(-4.377942+(-1.530306--0.828036))+0-0-0</f>
        <v>1655.119788</v>
      </c>
      <c r="H88" s="3">
        <f>1434.5+(469.7-349.2)+(-2.92638+(-0.958188--0.712368))+0-0-0</f>
        <v>1551.8278</v>
      </c>
      <c r="I88" s="3">
        <f>1431.9+(461.9-368.6)+(-3.651345+(-1.177845--0.93993))+0-0-0</f>
        <v>1521.3107400000001</v>
      </c>
      <c r="J88" s="3">
        <f>1449.9+(420.3-424.8)+(0+(0-0))+0-0-0</f>
        <v>1445.4</v>
      </c>
      <c r="K88" s="3">
        <f>1486.3+(344.6-551.7)+(-2.274039+(-0.527238--0.844101))+0-0-0</f>
        <v>1277.2428239999999</v>
      </c>
      <c r="L88" s="3">
        <f>1540.8+(265-642.1)+(0.785808+(0.13515-0.327471))+0-0-0</f>
        <v>1164.2934869999999</v>
      </c>
      <c r="M88" s="3">
        <f>1542.6+(251.8-599.6)+(0.786726+(0.128418-0.305796))+0-0-0</f>
        <v>1195.4093479999999</v>
      </c>
      <c r="N88" s="3">
        <f>1534.8+(260-560.2)+(0+(0-0))+0-0-0</f>
        <v>1234.5999999999999</v>
      </c>
      <c r="O88" s="3">
        <f>1593.2+(235.2-548.4)+(0.812532+(0.119952-0.279684))+0-0-0</f>
        <v>1280.6528000000001</v>
      </c>
      <c r="P88" s="3">
        <f>1877.3+(220.4-638.8)+(0.957423+(0.112404-0.325788))+0-0-0</f>
        <v>1459.644039</v>
      </c>
      <c r="Q88" s="3">
        <f>1916.2+(205-528.5)+(2.931786+(0.31365-0.808605))+0-0-0</f>
        <v>1595.136831</v>
      </c>
      <c r="R88" s="3">
        <f>1928.8+(249.1-457.6)+(5.902128+(0.762246-1.400256))+0-0-0</f>
        <v>1725.564118</v>
      </c>
      <c r="S88" s="3">
        <f>1928.1+(300.9-359.1)+(1.966662+(0.306918-0.366282))+0-0-0</f>
        <v>1871.8072979999999</v>
      </c>
      <c r="T88" s="3">
        <f>1832.9+(378.3-250.4)+(2.804337+(0.578799-0.383112))+0-0-0</f>
        <v>1963.8000240000001</v>
      </c>
      <c r="U88" s="3">
        <f>1717.6+(424-168.7)+(0.875976+(0.21624-0.086037))+0-0-0</f>
        <v>1973.9061789999998</v>
      </c>
      <c r="V88" s="3">
        <f>1612.6+(424-138.2)+(0.822426+(0.21624-0.070482))+0-0-0</f>
        <v>1899.3681839999999</v>
      </c>
      <c r="W88" s="3">
        <f>1605.4+(409.1-203.7)+(0+(0-0))+0-0-0</f>
        <v>1810.8000000000002</v>
      </c>
      <c r="X88" s="3">
        <f>1602.3+(375.5-273.1)+(-1.634346+(-0.38301--0.278562))+0-0-0</f>
        <v>1702.9612059999997</v>
      </c>
      <c r="Y88" s="3">
        <f>1660.3+(275.1-342)+(0+(0-0))+0-0-0</f>
        <v>1593.4</v>
      </c>
      <c r="Z88" s="3">
        <f>2002.8+(213-544)+(3.064284+(0.32589-0.83232))+0-0-0</f>
        <v>1674.3578539999999</v>
      </c>
      <c r="AA88" s="3">
        <f>2123.6+(271.5-494.5)+(4.332144+(0.55386-1.00878))+0-0-0</f>
        <v>1904.477224</v>
      </c>
      <c r="AB88" s="3">
        <f>2097.3+(312.9-475.1)+(-1.069623+(-0.159579--0.242301))+0-0-0</f>
        <v>1934.1130990000001</v>
      </c>
      <c r="AC88" s="3">
        <f>2117.2+(350.6-550.1)+(1.079772+(0.178806-0.280551))+0-0-0</f>
        <v>1918.6780269999999</v>
      </c>
      <c r="AD88" s="2">
        <v>2022.3</v>
      </c>
      <c r="AE88" s="3">
        <f>2203+(280.1-460.8)+(0+(0-0))+0-0-0</f>
        <v>2022.3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2028.4+(298.3-509.4)+(-2.068968+(-0.304266--0.519588))+0-0-0</f>
        <v>1815.4463540000002</v>
      </c>
      <c r="G89" s="3">
        <f>1857.9+(289.9-428.9)+(-5.685174+(-0.887094--1.312434))+0-0-0</f>
        <v>1713.6401660000001</v>
      </c>
      <c r="H89" s="3">
        <f>1597+(306-351)+(-1.62894+(-0.31212--0.35802))+0-0-0</f>
        <v>1550.41696</v>
      </c>
      <c r="I89" s="3">
        <f>1436.5+(333.5-327.4)+(1.46523+(0.34017-0.333948))+0-0-0</f>
        <v>1444.0714519999999</v>
      </c>
      <c r="J89" s="3">
        <f>1451.4+(317.2-409)+(2.960856+(0.647088-0.83436))+0-0-0</f>
        <v>1362.3735840000002</v>
      </c>
      <c r="K89" s="3">
        <f>1393.5+(298.6-458.9)+(-1.42137+(-0.304572--0.468078))+0-0-0</f>
        <v>1231.9421360000001</v>
      </c>
      <c r="L89" s="3">
        <f>1286.5+(297.3-393.8)+(3.280575+(0.758115-1.00419))+0-0-0</f>
        <v>1193.0345</v>
      </c>
      <c r="M89" s="3">
        <f>1588.6+(267-567.7)+(2.430558+(0.40851-0.868581))+0-0-0</f>
        <v>1289.8704869999999</v>
      </c>
      <c r="N89" s="3">
        <f>1638.5+(294-559.2)+(4.178175+(0.7497-1.42596))+0-0-0</f>
        <v>1376.801915</v>
      </c>
      <c r="O89" s="3">
        <f>2058+(304-654.9)+(5.2479+(0.7752-1.669995))+0-0-0</f>
        <v>1711.4531049999998</v>
      </c>
      <c r="P89" s="3">
        <f>2133.8+(250.8-670.8)+(2.176476+(0.255816-0.684216))+0-0-0</f>
        <v>1715.5480760000003</v>
      </c>
      <c r="Q89" s="3">
        <f>2234.8+(274.8-638)+(5.69874+(0.70074-1.6269))+0-0-0</f>
        <v>1876.3725800000002</v>
      </c>
      <c r="R89" s="3">
        <f>2271.5+(309.1-541.6)+(2.31693+(0.315282-0.552432))+0-0-0</f>
        <v>2041.07978</v>
      </c>
      <c r="S89" s="3">
        <f>2313.2+(335.1-419.6)+(-1.179732+(-0.170901--0.213996))+8.3-0-0</f>
        <v>2235.8633629999999</v>
      </c>
      <c r="T89" s="3">
        <f>2337.4+(389.2-385.9)+(1.192074+(0.198492-0.196809))+3.3-0-0</f>
        <v>2345.1937570000005</v>
      </c>
      <c r="U89" s="3">
        <f>2274.7+(420.3-358.4)+(0+(0-0))+0-0-0</f>
        <v>2336.6</v>
      </c>
      <c r="V89" s="3">
        <f>2346.4+(386.7-453.2)+(-1.196664+(-0.197217--0.231132))+0-0-0</f>
        <v>2278.737251</v>
      </c>
      <c r="W89" s="3">
        <f>2376.7+(344.9-586)+(-7.272702+(-1.055394--1.79316))+0-0-0</f>
        <v>2129.0650639999999</v>
      </c>
      <c r="X89" s="3">
        <f>2389.1+(367.5-810.4)+(-4.873764+(-0.7497--1.653216))+0-0-0</f>
        <v>1942.2297519999997</v>
      </c>
      <c r="Y89" s="3">
        <f>2333.1+(339.6-867.7)+(-5.949405+(-0.86598--2.212635))+0-0-0</f>
        <v>1800.39725</v>
      </c>
      <c r="Z89" s="3">
        <f>2362.1+(212.8-726.7)+(0+(0-0))+0-0-0</f>
        <v>1848.1999999999998</v>
      </c>
      <c r="AA89" s="3">
        <f>2421.6+(262.8-601.1)+(-3.705048+(-0.402084--0.919683))+0-0-0</f>
        <v>2080.1125509999997</v>
      </c>
      <c r="AB89" s="3">
        <f>2403.1+(353.2-644.7)+(0+(0-0))+0-0-0</f>
        <v>2111.6</v>
      </c>
      <c r="AC89" s="3">
        <f>2312.5+(440.2-688)+(-4.7175+(-0.898008--1.40352))+0-0-0</f>
        <v>2060.4880119999998</v>
      </c>
      <c r="AD89" s="2">
        <v>2152</v>
      </c>
      <c r="AE89" s="3">
        <f>2444+(294.7-586.7)+(0+(0-0))+0-0-0</f>
        <v>2152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2118.7+(460.8-585.7)+(-4.322148+(-0.940032--1.194828))+0-0-0</f>
        <v>1989.7326479999997</v>
      </c>
      <c r="G90" s="3">
        <f>1514+(585.6-273.6)+(-0.77214+(-0.298656--0.139536))+0-0-0</f>
        <v>1825.0687399999999</v>
      </c>
      <c r="H90" s="3">
        <f>1531+(526.7-338.7)+(-2.34243+(-0.805851--0.518211))+0-0-0</f>
        <v>1716.3699300000001</v>
      </c>
      <c r="I90" s="3">
        <f>1536+(472-370.1)+(-3.9168+(-1.2036--0.943755))+0-0-0</f>
        <v>1633.7233550000001</v>
      </c>
      <c r="J90" s="3">
        <f>1552.1+(414.6-412.9)+(-0.791571+(-0.211446--0.210579))+0-0-0</f>
        <v>1553.007562</v>
      </c>
      <c r="K90" s="3">
        <f>1540.7+(378-503.3)+(-3.928785+(-0.9639--1.283415))+0-0-0</f>
        <v>1411.7907300000002</v>
      </c>
      <c r="L90" s="3">
        <f>1522.7+(350.7-575.9)+(0.776577+(0.178857-0.293709))+0-0-0</f>
        <v>1298.1617249999999</v>
      </c>
      <c r="M90" s="3">
        <f>1649.8+(420.6-682.3)+(2.524194+(0.643518-1.043919))+0-0-0</f>
        <v>1390.2237929999999</v>
      </c>
      <c r="N90" s="3">
        <f>1936.5+(408.5-766.6)+(2.962845+(0.625005-1.172898))+0-0-0</f>
        <v>1580.8149520000002</v>
      </c>
      <c r="O90" s="3">
        <f>2172.9+(325.7-764.4)+(-1.108179+(-0.166107--0.389844))+0-0-0</f>
        <v>1733.315558</v>
      </c>
      <c r="P90" s="3">
        <f>2247.8+(366.1-780.7)+(0+(0-0))+0-0-0</f>
        <v>1833.2000000000003</v>
      </c>
      <c r="Q90" s="3">
        <f>2342.8+(381.5-792.9)+(0+(0-0))+0-0-0</f>
        <v>1931.4</v>
      </c>
      <c r="R90" s="3">
        <f>2339.9+(361.9-638.5)+(2.386698+(0.369138-0.65127))+0-0-0</f>
        <v>2065.4045660000002</v>
      </c>
      <c r="S90" s="3">
        <f>2334.5+(395.3-542)+(-3.571785+(-0.604809--0.82926))+0-0-0</f>
        <v>2184.4526660000001</v>
      </c>
      <c r="T90" s="3">
        <f>2336.4+(412.7-487.5)+(-3.574692+(-0.631431--0.745875))+0-0-0</f>
        <v>2258.139752</v>
      </c>
      <c r="U90" s="3">
        <f>2334.8+(408.1-492)+(-2.381496+(-0.416262--0.50184))+0-0-0</f>
        <v>2248.6040820000003</v>
      </c>
      <c r="V90" s="3">
        <f>2348+(376.1-543.4)+(1.19748+(0.191811-0.277134))+0-0-0</f>
        <v>2181.8121569999998</v>
      </c>
      <c r="W90" s="3">
        <f>2336.5+(348.3-646.3)+(-3.574845+(-0.532899--0.988839))+0-0-0</f>
        <v>2035.381095</v>
      </c>
      <c r="X90" s="3">
        <f>2345.9+(362.7-841.4)+(-1.196409+(-0.184977--0.429114))+0-0-0</f>
        <v>1866.2477280000001</v>
      </c>
      <c r="Y90" s="3">
        <f>2243.1+(336.3-834.6)+(-1.143981+(-0.171513--0.425646))+0-0-0</f>
        <v>1743.9101519999999</v>
      </c>
      <c r="Z90" s="3">
        <f>2317.8+(290-774.6)+(-1.182078+(-0.1479--0.395046))+0-0-0</f>
        <v>1832.2650680000004</v>
      </c>
      <c r="AA90" s="3">
        <f>2342.9+(345.3-640.9)+(-8.364153+(-1.232721--2.288013))+0-0-0</f>
        <v>2039.9911390000002</v>
      </c>
      <c r="AB90" s="3">
        <f>2289.5+(422.4-633.9)+(-1.167645+(-0.215424--0.323289))+0-0-0</f>
        <v>2076.94022</v>
      </c>
      <c r="AC90" s="3">
        <f>2189.8+(461.7-596.7)+(-1.116798+(-0.235467--0.304317))+0-0-0</f>
        <v>2053.7520520000003</v>
      </c>
      <c r="AD90" s="2">
        <v>2081.6</v>
      </c>
      <c r="AE90" s="3">
        <f>2368+(373.6-660)+(0+(0-0))+0-0-0</f>
        <v>2081.6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2137.1+(493.2-645.9)+(0+(0-0))+0-0-0</f>
        <v>1984.3999999999999</v>
      </c>
      <c r="G91" s="3">
        <f>1952.1+(515.7-589.1)+(-4.977855+(-1.315035--1.502205))+0-0-0</f>
        <v>1873.9093149999999</v>
      </c>
      <c r="H91" s="3">
        <f>1672.2+(505.5-434.9)+(-0.852822+(-0.257805--0.221799))+0-0-0</f>
        <v>1741.9111720000001</v>
      </c>
      <c r="I91" s="3">
        <f>1493.7+(485-328.7)+(0+(0-0))+0-0-0</f>
        <v>1650</v>
      </c>
      <c r="J91" s="3">
        <f>1438.1+(483.6-346.7)+(-1.466862+(-0.493272--0.353634))+0-0-0</f>
        <v>1573.3934999999999</v>
      </c>
      <c r="K91" s="3">
        <f>1429.4+(447.7-458.2)+(-3.64497+(-1.141635--1.16841))+0-0-0</f>
        <v>1415.2818050000001</v>
      </c>
      <c r="L91" s="3">
        <f>1434.9+(369-543.5)+(-1.463598+(-0.37638--0.55437))+0-0-0</f>
        <v>1259.1143920000002</v>
      </c>
      <c r="M91" s="3">
        <f>1482.7+(383.8-646.7)+(0+(0-0))+0-0-0</f>
        <v>1219.8</v>
      </c>
      <c r="N91" s="3">
        <f>1551.8+(401.1-687.4)+(-1.582836+(-0.409122--0.701148))+0-0-0</f>
        <v>1264.20919</v>
      </c>
      <c r="O91" s="3">
        <f>1571.4+(388.6-607.9)+(1.602828+(0.396372-0.620058))+0-0-0</f>
        <v>1353.4791420000001</v>
      </c>
      <c r="P91" s="3">
        <f>1626.5+(354.9-526.7)+(0.829515+(0.180999-0.268617))+0-0-0</f>
        <v>1455.4418969999999</v>
      </c>
      <c r="Q91" s="3">
        <f>1843.1+(323.8-650.1)+(1.879962+(0.330276-0.663102))+0-0-0</f>
        <v>1518.3471359999999</v>
      </c>
      <c r="R91" s="3">
        <f>2175.8+(263.5-917.3)+(1.109658+(0.134385-0.467823))+0-0-0</f>
        <v>1522.7762200000002</v>
      </c>
      <c r="S91" s="3">
        <f>2269.4+(221.4-1051.9)+(-2.314788+(-0.225828--1.072938))+0-0-0</f>
        <v>1437.4323220000001</v>
      </c>
      <c r="T91" s="3">
        <f>2231.5+(216.1-1082.4)+(-3.414195+(-0.330633--1.656072))+0-0-0</f>
        <v>1363.1112439999997</v>
      </c>
      <c r="U91" s="3">
        <f>2243.3+(238.9-1231.1)+(-1.144083+(-0.121839--0.627861))+0-0-0</f>
        <v>1250.4619390000003</v>
      </c>
      <c r="V91" s="3">
        <f>2260.3+(245.1-1304.8)+(2.305506+(0.250002-1.330896))+0-0-0</f>
        <v>1201.8246120000001</v>
      </c>
      <c r="W91" s="3">
        <f>2233.2+(262-1279.8)+(-2.277864+(-0.26724--1.305396))+0-0-0</f>
        <v>1214.1602919999998</v>
      </c>
      <c r="X91" s="3">
        <f>2220.8+(310.3-1325.1)+(-4.530432+(-0.633012--2.703204))+0-0-0</f>
        <v>1203.5397600000001</v>
      </c>
      <c r="Y91" s="3">
        <f>2196.7+(276.3-1236.3)+(-2.240634+(-0.281826--1.261026))+0-0-0</f>
        <v>1235.4385659999998</v>
      </c>
      <c r="Z91" s="3">
        <f>2269.3+(200.1-1127.7)+(0+(0-0))+0-0-0</f>
        <v>1341.7000000000003</v>
      </c>
      <c r="AA91" s="3">
        <f>2285.1+(193.2-1095.2)+(-4.661604+(-0.394128--2.234208))+0-0-0</f>
        <v>1380.278476</v>
      </c>
      <c r="AB91" s="3">
        <f>2105.2+(291.2-1069.5)+(-4.294608+(-0.594048--2.18178))+0-0-0</f>
        <v>1324.1931239999999</v>
      </c>
      <c r="AC91" s="3">
        <f>1891.7+(402.6-1039.9)+(-0.964767+(-0.205326--0.530349))+0-0-0</f>
        <v>1253.760256</v>
      </c>
      <c r="AD91" s="2">
        <v>1400.1000000000001</v>
      </c>
      <c r="AE91" s="3">
        <f>2277.8+(218.6-1096.3)+(0+(0-0))+0-0-0</f>
        <v>1400.1000000000004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1651.7+(411.2-905.5)+(-1.684734+(-0.419424--0.92361))+0-0-0</f>
        <v>1156.219452</v>
      </c>
      <c r="G92" s="3">
        <f>1488.7+(432.6-837.3)+(-3.036948+(-0.882504--1.708092))+0-0-0</f>
        <v>1081.78864</v>
      </c>
      <c r="H92" s="3">
        <f>1495.7+(377.4-830.4)+(-2.288421+(-0.577422--1.270512))+0-0-0</f>
        <v>1041.1046690000001</v>
      </c>
      <c r="I92" s="3">
        <f>1457.8+(352.6-785.2)+(-2.973912+(-0.719304--1.601808))+0-0-0</f>
        <v>1023.1085919999998</v>
      </c>
      <c r="J92" s="3">
        <f>1463.7+(311.2-755.6)+(0.746487+(0.158712-0.385356))+0-0-0</f>
        <v>1019.819843</v>
      </c>
      <c r="K92" s="3">
        <f>1438+(315.3-764.5)+(-2.93352+(-0.643212--1.55958))+0-0-0</f>
        <v>986.78284799999994</v>
      </c>
      <c r="L92" s="3">
        <f>1465.8+(300.7-809.9)+(2.990232+(0.613428-1.652196))+0-0-0</f>
        <v>958.5514639999999</v>
      </c>
      <c r="M92" s="3">
        <f>1542+(340.7-866.7)+(0+(0-0))+0-0-0</f>
        <v>1016</v>
      </c>
      <c r="N92" s="3">
        <f>1693.2+(351.2-925.5)+(1.727064+(0.358224-0.94401))+0-0-0</f>
        <v>1120.0412780000001</v>
      </c>
      <c r="O92" s="3">
        <f>1839.7+(373.2-1025.9)+(0+(0-0))+0-0-0</f>
        <v>1187</v>
      </c>
      <c r="P92" s="3">
        <f>2067.5+(389.4-1203.3)+(2.10885+(0.397188-1.227366))+0-0-0</f>
        <v>1254.8786719999998</v>
      </c>
      <c r="Q92" s="3">
        <f>2110.8+(380.7-1218.1)+(1.076508+(0.194157-0.621231))+0-0-0</f>
        <v>1274.0494340000002</v>
      </c>
      <c r="R92" s="3">
        <f>2012.6+(398.5-1113.9)+(1.026426+(0.203235-0.568089))+0-0-0</f>
        <v>1297.8615719999998</v>
      </c>
      <c r="S92" s="3">
        <f>1921.7+(402.4-1060.2)+(-4.900335+(-1.02612--2.70351))+0-0-0</f>
        <v>1260.6770550000001</v>
      </c>
      <c r="T92" s="3">
        <f>1949.4+(399.7-1110.9)+(-1.988388+(-0.407694--1.133118))+0-0-0</f>
        <v>1236.937036</v>
      </c>
      <c r="U92" s="3">
        <f>1947.6+(407.2-1143)+(-4.96638+(-1.03836--2.91465))+0-0-0</f>
        <v>1208.70991</v>
      </c>
      <c r="V92" s="3">
        <f>1953.3+(467.3-1231.9)+(-1.992366+(-0.476646--1.256538))+0-0-0</f>
        <v>1187.4875259999999</v>
      </c>
      <c r="W92" s="3">
        <f>1947.8+(455.6-1211)+(-4.96689+(-1.16178--3.08805))+0-0-0</f>
        <v>1189.3593800000001</v>
      </c>
      <c r="X92" s="3">
        <f>1975.4+(458.9-1253.3)+(-5.03727+(-1.170195--3.195915))+0-0-0</f>
        <v>1177.9884500000001</v>
      </c>
      <c r="Y92" s="3">
        <f>2046.5+(403.6-1237)+(-4.17486+(-0.823344--2.52348))+0-0-0</f>
        <v>1210.625276</v>
      </c>
      <c r="Z92" s="3">
        <f>2172.5+(406.3-1214.1)+(0+(0-0))+0-0-0</f>
        <v>1364.7</v>
      </c>
      <c r="AA92" s="3">
        <f>2323.7+(315-1251.2)+(-7.110522+(-0.9639--3.828672))+0-0-0</f>
        <v>1383.2542499999997</v>
      </c>
      <c r="AB92" s="3">
        <f>2336.6+(361.8-1361.2)+(-4.766664+(-0.738072--2.776848))+0-0-0</f>
        <v>1334.4721119999999</v>
      </c>
      <c r="AC92" s="3">
        <f>2217.6+(363.2-1321.4)+(-2.261952+(-0.370464--1.347828))+0-0-0</f>
        <v>1258.1154119999999</v>
      </c>
      <c r="AD92" s="2">
        <v>1348.7</v>
      </c>
      <c r="AE92" s="3">
        <f>2356.8+(345.1-1353.2)+(0+(0-0))+0-0-0</f>
        <v>1348.7000000000003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1967.9+(344.5-1175)+(-3.010887+(-0.527085--1.79775))+0-0-0</f>
        <v>1135.6597780000002</v>
      </c>
      <c r="G93" s="3">
        <f>1543.7+(384.9-906.6)+(-3.149148+(-0.785196--1.849464))+0-0-0</f>
        <v>1019.91512</v>
      </c>
      <c r="H93" s="3">
        <f>1420.9+(392-806.6)+(-2.173977+(-0.59976--1.234098))+0-0-0</f>
        <v>1004.7603610000001</v>
      </c>
      <c r="I93" s="3">
        <f>1423.2+(378.4-811.4)+(-0.725832+(-0.192984--0.413814))+0-0-0</f>
        <v>989.69499800000006</v>
      </c>
      <c r="J93" s="3">
        <f>1432.5+(337.2-790.5)+(-1.46115+(-0.343944--0.80631))+0-0-0</f>
        <v>978.20121600000004</v>
      </c>
      <c r="K93" s="3">
        <f>1456.9+(329.6-840.2)+(-1.486038+(-0.336192--0.857004))+0-0-0</f>
        <v>945.33477400000004</v>
      </c>
      <c r="L93" s="3">
        <f>1456.4+(306.1-849.3)+(0+(0-0))+0-0-0</f>
        <v>913.20000000000016</v>
      </c>
      <c r="M93" s="3">
        <f>1627.5+(345.7-964.8)+(0.830025+(0.176307-0.492048))+0-0-0</f>
        <v>1008.9142840000001</v>
      </c>
      <c r="N93" s="3">
        <f>2111+(302.4-1226.4)+(2.15322+(0.308448-1.250928))+0-0-0</f>
        <v>1188.21074</v>
      </c>
      <c r="O93" s="3">
        <f>2247.6+(378.9-1320.5)+(2.292552+(0.386478-1.34691))+0-0-0</f>
        <v>1307.33212</v>
      </c>
      <c r="P93" s="3">
        <f>2266.1+(354.7-1275.1)+(0+(0-0))+0-0-0</f>
        <v>1345.7</v>
      </c>
      <c r="Q93" s="3">
        <f>2316.4+(389.9-1299)+(0+(0-0))+0-0-0</f>
        <v>1407.3000000000002</v>
      </c>
      <c r="R93" s="3">
        <f>2307.2+(408.5-1259.5)+(-5.88336+(-1.041675--3.211725))+0-0-0</f>
        <v>1452.4866899999997</v>
      </c>
      <c r="S93" s="3">
        <f>2284+(400.4-1272.1)+(-5.8242+(-1.02102--3.243855))+0-0-0</f>
        <v>1408.6986350000002</v>
      </c>
      <c r="T93" s="3">
        <f>2275.5+(407.7-1319.9)+(-1.160505+(-0.207927--0.673149))+0-0-0</f>
        <v>1362.6047169999999</v>
      </c>
      <c r="U93" s="3">
        <f>2282.8+(365.7-1276.7)+(-4.656912+(-0.746028--2.604468))+0-0-0</f>
        <v>1369.0015280000002</v>
      </c>
      <c r="V93" s="3">
        <f>2277.4+(362.1-1290.7)+(-4.645896+(-0.738684--2.633028))+0-0-0</f>
        <v>1346.0484480000002</v>
      </c>
      <c r="W93" s="3">
        <f>2270.8+(363.4-1240.3)+(-5.79054+(-0.92667--3.162765))+0-0-0</f>
        <v>1390.3455550000001</v>
      </c>
      <c r="X93" s="3">
        <f>2141.7+(320.6-1117.2)+(-5.461335+(-0.81753--2.84886))+0-0-0</f>
        <v>1341.669995</v>
      </c>
      <c r="Y93" s="3">
        <f>2115.6+(241.8-1032.1)+(-1.078956+(-0.123318--0.526371))+0-0-0</f>
        <v>1324.6240969999999</v>
      </c>
      <c r="Z93" s="3">
        <f>2206.3+(226-1034.4)+(0+(0-0))+0-0-0</f>
        <v>1397.9</v>
      </c>
      <c r="AA93" s="3">
        <f>2298.4+(313.4-1126.2)+(-4.688736+(-0.639336--2.297448))+0-0-0</f>
        <v>1482.5693759999999</v>
      </c>
      <c r="AB93" s="3">
        <f>2128+(351.8-1086.8)+(-3.25584+(-0.538254--1.662804))+0-0-0</f>
        <v>1390.86871</v>
      </c>
      <c r="AC93" s="3">
        <f>2096.3+(390-1147.4)+(-2.138226+(-0.3978--1.170348))+0-0-0</f>
        <v>1337.5343220000002</v>
      </c>
      <c r="AD93" s="2">
        <v>1493.8999999999999</v>
      </c>
      <c r="AE93" s="3">
        <f>2337+(327.1-1170.2)+(0+(0-0))+0-0-0</f>
        <v>1493.9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1927.3+(365.9-1062)+(-1.965846+(-0.373218--1.08324))+0-0-0</f>
        <v>1229.9441759999997</v>
      </c>
      <c r="G94" s="3">
        <f>1604.1+(377.3-834.1)+(-1.636182+(-0.384846--0.850782))+0-0-0</f>
        <v>1146.129754</v>
      </c>
      <c r="H94" s="3">
        <f>1461.6+(338.7-726.6)+(1.490832+(0.345474-0.741132))+0-0-0</f>
        <v>1074.7951739999999</v>
      </c>
      <c r="I94" s="3">
        <f>1457.2+(353.2-768.5)+(-1.486344+(-0.360264--0.78387))+0-0-0</f>
        <v>1040.837262</v>
      </c>
      <c r="J94" s="3">
        <f>1469.6+(412.3-867.5)+(2.248488+(0.630819-1.327275))+0-0-0</f>
        <v>1015.9520319999999</v>
      </c>
      <c r="K94" s="3">
        <f>1452.3+(382.7-860.7)+(-3.703365+(-0.975885--2.194785))+0-0-0</f>
        <v>971.81553499999995</v>
      </c>
      <c r="L94" s="3">
        <f>1462.3+(304.9-829.6)+(-0.745773+(-0.155499--0.423096))+0-0-0</f>
        <v>937.12182399999995</v>
      </c>
      <c r="M94" s="3">
        <f>1545.7+(326.8-848.3)+(1.576614+(0.333336-0.865266))+0-0-0</f>
        <v>1025.244684</v>
      </c>
      <c r="N94" s="3">
        <f>1840.4+(395.2-1065.9)+(1.877208+(0.403104-1.087218))+0-0-0</f>
        <v>1170.893094</v>
      </c>
      <c r="O94" s="3">
        <f>2250.8+(369.9-1326.2)+(1.147908+(0.188649-0.676362))+0-0-0</f>
        <v>1295.1601949999999</v>
      </c>
      <c r="P94" s="3">
        <f>2336.6+(402.5-1373.7)+(0+(0-0))+0-0-0</f>
        <v>1365.3999999999999</v>
      </c>
      <c r="Q94" s="3">
        <f>2339+(446.3-1373)+(3.57867+(0.682839-2.10069))+0-0-0</f>
        <v>1414.4608189999999</v>
      </c>
      <c r="R94" s="3">
        <f>2344.5+(424.6-1315.5)+(2.39139+(0.433092-1.34181))+0-0-0</f>
        <v>1455.082672</v>
      </c>
      <c r="S94" s="3">
        <f>2358.7+(385.1-1262.2)+(-4.811748+(-0.785604--2.574888))+0-0-0</f>
        <v>1478.577536</v>
      </c>
      <c r="T94" s="3">
        <f>2302+(391.3-1273.1)+(-4.69608+(-0.798252--2.597124))+0-0-0</f>
        <v>1417.302792</v>
      </c>
      <c r="U94" s="3">
        <f>2321.3+(365-1284.4)+(-1.183863+(-0.18615--0.655044))+0-0-0</f>
        <v>1401.185031</v>
      </c>
      <c r="V94" s="3">
        <f>2302.7+(320.9-1231.5)+(-3.523131+(-0.490977--1.884195))+0-0-0</f>
        <v>1389.9700869999999</v>
      </c>
      <c r="W94" s="3">
        <f>2297+(352.1-1257.9)+(-5.85735+(-0.897855--3.207645))+0-0-0</f>
        <v>1387.6524399999998</v>
      </c>
      <c r="X94" s="3">
        <f>2270.5+(344.1-1252)+(-5.789775+(-0.877455--3.1926))+0-0-0</f>
        <v>1359.12537</v>
      </c>
      <c r="Y94" s="3">
        <f>2154.1+(321.4-1149)+(-1.098591+(-0.163914--0.58599))+0-0-0</f>
        <v>1325.8234849999999</v>
      </c>
      <c r="Z94" s="3">
        <f>2258.3+(339.3-1169.2)+(3.455199+(0.519129-1.788876))+0-0-0</f>
        <v>1430.585452</v>
      </c>
      <c r="AA94" s="3">
        <f>2370.7+(348.5-1152.6)+(-3.627171+(-0.533205--1.763478))+0-0-0</f>
        <v>1564.2031019999999</v>
      </c>
      <c r="AB94" s="3">
        <f>2373+(410.5-1217.2)+(-6.05115+(-1.046775--3.10386))+0-0-0</f>
        <v>1562.3059349999999</v>
      </c>
      <c r="AC94" s="3">
        <f>2365.6+(435.7-1240.7)+(-3.619368+(-0.666621--1.898271))+0-0-0</f>
        <v>1558.212282</v>
      </c>
      <c r="AD94" s="2">
        <v>1583</v>
      </c>
      <c r="AE94" s="3">
        <f>2373+(368-1158)+(0+(0-0))+0-0-0</f>
        <v>1583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2194.5+(426.9-1148.2)+(-2.23839+(-0.435438--1.171164))+0-0-0</f>
        <v>1471.6973359999997</v>
      </c>
      <c r="G95" s="3">
        <f>1668.5+(423.4-782.7)+(-3.40374+(-0.863736--1.596708))+0-0-0</f>
        <v>1306.5292319999999</v>
      </c>
      <c r="H95" s="3">
        <f>1439.1+(429.3-657.9)+(-1.467882+(-0.437886--0.671058))+0-0-0</f>
        <v>1209.26529</v>
      </c>
      <c r="I95" s="3">
        <f>1444.2+(419.3-708.6)+(0+(0-0))+0-0-0</f>
        <v>1154.9000000000001</v>
      </c>
      <c r="J95" s="3">
        <f>1426.4+(403.3-706.1)+(-2.909856+(-0.822732--1.440444))+0-0-0</f>
        <v>1121.3078560000001</v>
      </c>
      <c r="K95" s="3">
        <f>1421.1+(399.1-777.4)+(-3.623805+(-1.017705--1.98237))+0-0-0</f>
        <v>1040.14086</v>
      </c>
      <c r="L95" s="3">
        <f>1422.4+(358.5-821.7)+(-3.62712+(-0.914175--2.095335))+0-0-0</f>
        <v>956.75404000000003</v>
      </c>
      <c r="M95" s="3">
        <f>1431.9+(339.8-800.9)+(-2.190807+(-0.519894--1.225377))+0-0-0</f>
        <v>969.31467600000019</v>
      </c>
      <c r="N95" s="3">
        <f>1442.4+(361-780.5)+(-0.735624+(-0.18411--0.398055))+0-0-0</f>
        <v>1022.3783210000001</v>
      </c>
      <c r="O95" s="3">
        <f>1540.5+(340.8-741.5)+(-1.57131+(-0.347616--0.75633))+0-0-0</f>
        <v>1138.6374040000001</v>
      </c>
      <c r="P95" s="3">
        <f>1753.9+(312.1-835.3)+(0.894489+(0.159171-0.426003))+0-0-0</f>
        <v>1231.3276570000003</v>
      </c>
      <c r="Q95" s="3">
        <f>2000.8+(311.1-990.7)+(-1.020408+(-0.158661--0.505257))+0-0-0</f>
        <v>1320.5261879999998</v>
      </c>
      <c r="R95" s="3">
        <f>2096.2+(257.2-975.9)+(-3.207186+(-0.393516--1.493127))+0-0-0</f>
        <v>1375.3924249999998</v>
      </c>
      <c r="S95" s="3">
        <f>2095.9+(271.3-940.9)+(-3.206727+(-0.415089--1.439577))+0-0-0</f>
        <v>1424.1177610000002</v>
      </c>
      <c r="T95" s="3">
        <f>2106.4+(273.9-911.5)+(-1.074264+(-0.139689--0.464865))+0-0-0</f>
        <v>1468.0509120000002</v>
      </c>
      <c r="U95" s="3">
        <f>2124+(272.8-916.9)+(-2.16648+(-0.278256--0.935238))+0-0-0</f>
        <v>1478.3905020000002</v>
      </c>
      <c r="V95" s="3">
        <f>2118.3+(262.3-918.4)+(-3.240999+(-0.401319--1.405152))+0-0-0</f>
        <v>1459.9628340000004</v>
      </c>
      <c r="W95" s="3">
        <f>2110+(264.7-931.3)+(-4.3044+(-0.539988--1.899852))+0-0-0</f>
        <v>1440.4554640000001</v>
      </c>
      <c r="X95" s="3">
        <f>2131+(261-982.4)+(-3.26043+(-0.39933--1.503072))+0-0-0</f>
        <v>1407.4433119999999</v>
      </c>
      <c r="Y95" s="3">
        <f>2130.9+(263.3-1015.7)+(-4.347036+(-0.537132--2.072028))+0-0-0</f>
        <v>1375.68786</v>
      </c>
      <c r="Z95" s="3">
        <f>2319.1+(261.3-1072.5)+(0+(0-0))+0-0-0</f>
        <v>1507.8999999999999</v>
      </c>
      <c r="AA95" s="3">
        <f>2344+(302.4-1042.3)+(1.19544+(0.154224-0.531573))+0-0-0</f>
        <v>1604.918091</v>
      </c>
      <c r="AB95" s="3">
        <f>2324.9+(350.5-1034.7)+(-4.742796+(-0.71502--2.110788))+0-0-0</f>
        <v>1637.3529720000001</v>
      </c>
      <c r="AC95" s="3">
        <f>2171+(384-988)+(-3.32163+(-0.58752--1.51164))+0-0-0</f>
        <v>1564.60249</v>
      </c>
      <c r="AD95" s="2">
        <v>1608.3000000000002</v>
      </c>
      <c r="AE95" s="3">
        <f>2361+(320.9-1073.6)+(0+(0-0))+0-0-0</f>
        <v>1608.3000000000002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1990.8+(394.6-905)+(-2.030616+(-0.402492--0.9231))+0-0-0</f>
        <v>1478.8899920000001</v>
      </c>
      <c r="G96" s="3">
        <f>1653.2+(398.1-661.1)+(-0.843132+(-0.203031--0.337161))+0-0-0</f>
        <v>1389.490998</v>
      </c>
      <c r="H96" s="3">
        <f>1599.5+(360.6-630.5)+(-1.63149+(-0.367812--0.64311))+0-0-0</f>
        <v>1328.2438079999999</v>
      </c>
      <c r="I96" s="3">
        <f>1442+(364.5-527.3)+(-1.47084+(-0.37179--0.537846))+0-0-0</f>
        <v>1277.8952160000001</v>
      </c>
      <c r="J96" s="3">
        <f>1439.6+(360.2-571.6)+(-2.202588+(-0.551106--0.874548))+0-0-0</f>
        <v>1226.3208539999998</v>
      </c>
      <c r="K96" s="3">
        <f>1439.5+(371.8-634.1)+(-3.670725+(-0.94809--1.616955))+0-0-0</f>
        <v>1174.19814</v>
      </c>
      <c r="L96" s="3">
        <f>1451.6+(341.6-673.3)+(1.480632+(0.348432-0.686766))+0-0-0</f>
        <v>1121.0422980000001</v>
      </c>
      <c r="M96" s="3">
        <f>1574.6+(327.9-785)+(0+(0-0))+0-0-0</f>
        <v>1117.5</v>
      </c>
      <c r="N96" s="3">
        <f>1959.3+(382.2-987.8)+(1.998486+(0.389844-1.007556))+0-0-0</f>
        <v>1355.080774</v>
      </c>
      <c r="O96" s="3">
        <f>2317.4+(363.5-1183.4)+(0+(0-0))+0-0-0</f>
        <v>1497.5</v>
      </c>
      <c r="P96" s="3">
        <f>2323.7+(379.8-1114.6)+(1.185087+(0.193698-0.568446))+0-0-0</f>
        <v>1589.710339</v>
      </c>
      <c r="Q96" s="3">
        <f>2334.6+(382.3-1046.7)+(2.381292+(0.389946-1.067634))+0-0-0</f>
        <v>1671.9036039999999</v>
      </c>
      <c r="R96" s="3">
        <f>2325.5+(420.2-983.3)+(0+(0-0))+0-0-0</f>
        <v>1762.4</v>
      </c>
      <c r="S96" s="3">
        <f>2314.8+(436.1-889.4)+(-1.180548+(-0.222411--0.453594))+0-0-0</f>
        <v>1860.5506350000003</v>
      </c>
      <c r="T96" s="3">
        <f>2315.1+(461.2-854.7)+(-2.361402+(-0.470424--0.871794))+0-0-0</f>
        <v>1919.639968</v>
      </c>
      <c r="U96" s="3">
        <f>2316+(432.1-845.6)+(2.36232+(0.440742-0.862512))+0-0-0</f>
        <v>1904.44055</v>
      </c>
      <c r="V96" s="3">
        <f>2275.6+(429.8-861.1)+(-3.481668+(-0.657594--1.317483))+0-0-0</f>
        <v>1841.4782209999998</v>
      </c>
      <c r="W96" s="3">
        <f>2280.1+(430.9-923.9)+(-5.814255+(-1.098795--2.355945))+0-0-0</f>
        <v>1782.5428949999998</v>
      </c>
      <c r="X96" s="3">
        <f>2247.6+(434.6-1001.5)+(-4.585104+(-0.886584--2.04306))+0-0-0</f>
        <v>1677.2713719999999</v>
      </c>
      <c r="Y96" s="3">
        <f>2228.9+(406-1013)+(-4.546956+(-0.82824--2.06652))+0-0-0</f>
        <v>1618.591324</v>
      </c>
      <c r="Z96" s="3">
        <f>2272.7+(392.5-906.4)+(2.318154+(0.40035-0.924528))+0-0-0</f>
        <v>1760.5939759999997</v>
      </c>
      <c r="AA96" s="3">
        <f>2316.4+(374.6-820)+(-3.544092+(-0.573138--1.2546))+0-0-0</f>
        <v>1868.1373699999999</v>
      </c>
      <c r="AB96" s="3">
        <f>2329.1+(420.9-880.4)+(1.187841+(0.214659-0.449004))+0-0-0</f>
        <v>1870.553496</v>
      </c>
      <c r="AC96" s="3">
        <f>2330.3+(447.7-925.9)+(1.188453+(0.228327-0.472209))+0-0-0</f>
        <v>1853.0445710000001</v>
      </c>
      <c r="AD96" s="2">
        <v>1880</v>
      </c>
      <c r="AE96" s="3">
        <f>2324+(409.5-853.5)+(0+(0-0))+0-0-0</f>
        <v>1880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2221.5+(507.1-930.3)+(-4.53186+(-1.034484--1.897812))+0-0-0</f>
        <v>1794.6314680000003</v>
      </c>
      <c r="G97" s="3">
        <f>1859.9+(516.3-739.1)+(-2.845647+(-0.789939--1.130823))+0-0-0</f>
        <v>1634.595237</v>
      </c>
      <c r="H97" s="3">
        <f>1670.6+(516.7-701.9)+(0.852006+(0.263517-0.357969))+0-0-0</f>
        <v>1486.1575540000001</v>
      </c>
      <c r="I97" s="3">
        <f>1471+(515.1-605.5)+(3.00084+(1.050804-1.23522))+0-0-0</f>
        <v>1383.416424</v>
      </c>
      <c r="J97" s="3">
        <f>1506+(506-655.8)+(-3.8403+(-1.2903--1.67229))+0-0-0</f>
        <v>1352.7416900000001</v>
      </c>
      <c r="K97" s="3">
        <f>1520+(488.2-737.2)+(-3.876+(-1.24491--1.87986))+0-0-0</f>
        <v>1267.7589499999999</v>
      </c>
      <c r="L97" s="3">
        <f>1528.9+(467.9-698.1)+(-2.339217+(-0.715887--1.068093))+0-0-0</f>
        <v>1296.7129890000001</v>
      </c>
      <c r="M97" s="3">
        <f>1703.4+(429.5-808.6)+(2.606202+(0.657135-1.237158))+0-0-0</f>
        <v>1326.3261790000001</v>
      </c>
      <c r="N97" s="3">
        <f>2188.9+(354.6-1136)+(1.116339+(0.180846-0.57936))+0-0-0</f>
        <v>1408.2178249999999</v>
      </c>
      <c r="O97" s="3">
        <f>2324.3+(391.4-1186.1)+(1.185393+(0.199614-0.604911))+0-0-0</f>
        <v>1530.3800960000003</v>
      </c>
      <c r="P97" s="3">
        <f>2334+(369-1100.6)+(3.57102+(0.56457-1.683918))+0-0-0</f>
        <v>1604.851672</v>
      </c>
      <c r="Q97" s="3">
        <f>2332.5+(356.6-1019.8)+(0+(0-0))+0-0-0</f>
        <v>1669.3000000000002</v>
      </c>
      <c r="R97" s="3">
        <f>2355+(361.1-983.1)+(-4.8042+(-0.736644--2.005524))+0-0-0</f>
        <v>1729.46468</v>
      </c>
      <c r="S97" s="3">
        <f>2412+(443.3-1073.2)+(-4.92048+(-0.904332--2.189328))+0-0-0</f>
        <v>1778.464516</v>
      </c>
      <c r="T97" s="3">
        <f>2435.4+(458.4-1084.2)+(0+(0-0))+0-0-0</f>
        <v>1809.6</v>
      </c>
      <c r="U97" s="3">
        <f>2434.6+(440.4-1099.1)+(-1.241646+(-0.224604--0.560541))+0-0-0</f>
        <v>1774.9942910000002</v>
      </c>
      <c r="V97" s="3">
        <f>2423+(427.4-1122.9)+(-3.70719+(-0.653922--1.718037))+0-0-0</f>
        <v>1724.856925</v>
      </c>
      <c r="W97" s="3">
        <f>2407.6+(341-1076.9)+(-6.13938+(-0.86955--2.746095))+0-0-0</f>
        <v>1667.4371649999998</v>
      </c>
      <c r="X97" s="3">
        <f>2368.4+(336.5-1117.8)+(-4.831536+(-0.68646--2.280312))+0-0-0</f>
        <v>1583.8623160000002</v>
      </c>
      <c r="Y97" s="3">
        <f>2211.4+(333.9-1073)+(-4.511256+(-0.681156--2.18892))+0-0-0</f>
        <v>1469.2965080000001</v>
      </c>
      <c r="Z97" s="3">
        <f>2266.7+(306.7-974.7)+(1.156017+(0.156417-0.497097))+0-0-0</f>
        <v>1599.5153369999998</v>
      </c>
      <c r="AA97" s="3">
        <f>2415.7+(273.1-959)+(-1.232007+(-0.139281--0.48909))+0-0-0</f>
        <v>1728.9178019999997</v>
      </c>
      <c r="AB97" s="3">
        <f>2442.1+(318.4-987.4)+(-6.227355+(-0.81192--2.51787))+0-0-0</f>
        <v>1768.578595</v>
      </c>
      <c r="AC97" s="3">
        <f>2341.3+(341.5-955.1)+(-2.388126+(-0.34833--0.974202))+0-0-0</f>
        <v>1725.9377460000003</v>
      </c>
      <c r="AD97" s="2">
        <v>1754.5</v>
      </c>
      <c r="AE97" s="3">
        <f>2473+(267.9-986.4)+(0+(0-0))+0-0-0</f>
        <v>1754.5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1800.4+(362.5-671.8)+(-3.672816+(-0.7395--1.370472))+0-0-0</f>
        <v>1488.0581560000001</v>
      </c>
      <c r="G98" s="3">
        <f>1768.1+(363.5-685.4)+(-2.705193+(-0.556155--1.048662))+0-0-0</f>
        <v>1443.9873139999997</v>
      </c>
      <c r="H98" s="3">
        <f>1693.4+(405.5-658.4)+(-3.454536+(-0.82722--1.343136))+0-0-0</f>
        <v>1437.5613800000001</v>
      </c>
      <c r="I98" s="3">
        <f>1509.7+(409.8-595.3)+(-0.769947+(-0.208998--0.303603))+0-0-0</f>
        <v>1323.524658</v>
      </c>
      <c r="J98" s="3">
        <f>1500.7+(381.7-579.7)+(-3.061428+(-0.778668--1.182588))+0-0-0</f>
        <v>1300.042492</v>
      </c>
      <c r="K98" s="3">
        <f>1502.4+(364.4-650.9)+(-3.83112+(-0.92922--1.659795))+0-0-0</f>
        <v>1212.7994550000001</v>
      </c>
      <c r="L98" s="3">
        <f>1500.1+(353.7-693.7)+(-2.295153+(-0.541161--1.061361))+0-0-0</f>
        <v>1158.3250469999998</v>
      </c>
      <c r="M98" s="3">
        <f>1763.3+(353.9-845.9)+(1.798566+(0.360978-0.862818))+0-0-0</f>
        <v>1272.596726</v>
      </c>
      <c r="N98" s="3">
        <f>2000.6+(335-960.2)+(2.040612+(0.3417-0.979404))+0-0-0</f>
        <v>1376.8029079999999</v>
      </c>
      <c r="O98" s="3">
        <f>2356.2+(309.3-1032.5)+(0+(0-0))+0-0-0</f>
        <v>1632.9999999999998</v>
      </c>
      <c r="P98" s="3">
        <f>2390+(287.9-1062.7)+(0+(0-0))+0-0-0</f>
        <v>1615.1999999999998</v>
      </c>
      <c r="Q98" s="3">
        <f>2437.9+(278.2-1092)+(2.486658+(0.283764-1.11384))+0-0-0</f>
        <v>1625.7565820000002</v>
      </c>
      <c r="R98" s="3">
        <f>2456.3+(301.6-1036)+(3.758139+(0.461448-1.58508))+0-0-0</f>
        <v>1724.5345070000001</v>
      </c>
      <c r="S98" s="3">
        <f>2413.3+(304.2-924.6)+(-4.923132+(-0.620568--1.886184))+0-0-0</f>
        <v>1789.2424840000001</v>
      </c>
      <c r="T98" s="3">
        <f>2437.5+(324-913.5)+(1.243125+(0.16524-0.465885))+0-0-0</f>
        <v>1848.9424799999999</v>
      </c>
      <c r="U98" s="3">
        <f>2401.8+(332.8-863.3)+(-6.12459+(-0.84864--2.201415))+0-0-0</f>
        <v>1866.5281850000001</v>
      </c>
      <c r="V98" s="3">
        <f>2385.8+(335.8-883.3)+(-4.867032+(-0.685032--1.801932))+0-0-0</f>
        <v>1834.5498680000003</v>
      </c>
      <c r="W98" s="3">
        <f>2316.3+(333.5-920.1)+(-7.087878+(-1.02051--2.815506))+0-0-0</f>
        <v>1724.4071180000003</v>
      </c>
      <c r="X98" s="3">
        <f>2320.9+(324.1-1005)+(-7.101954+(-0.991746--3.0753))+0-0-0</f>
        <v>1634.9816000000001</v>
      </c>
      <c r="Y98" s="3">
        <f>2326.5+(339-1071.6)+(-5.932575+(-0.86445--2.73258))+0-0-0</f>
        <v>1589.8355550000001</v>
      </c>
      <c r="Z98" s="3">
        <f>2357.8+(312.9-982.4)+(-1.202478+(-0.159579--0.501024))+0-0-0</f>
        <v>1687.4389670000003</v>
      </c>
      <c r="AA98" s="3">
        <f>2390.2+(309.2-856.6)+(-2.438004+(-0.315384--0.873732))+0-0-0</f>
        <v>1840.9203439999997</v>
      </c>
      <c r="AB98" s="3">
        <f>2343.2+(368.2-881.8)+(-1.195032+(-0.187782--0.449718))+0-0-0</f>
        <v>1828.6669039999999</v>
      </c>
      <c r="AC98" s="3">
        <f>2179.3+(418.7-816.9)+(-2.222886+(-0.427074--0.833238))+0-0-0</f>
        <v>1779.2832780000001</v>
      </c>
      <c r="AD98" s="2">
        <v>1801.5000000000002</v>
      </c>
      <c r="AE98" s="3">
        <f>2410+(329.8-938.3)+(0+(0-0))+0-0-0</f>
        <v>1801.5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2003.1+(441-763)+(-4.086324+(-0.89964--1.55652))+0-0-0</f>
        <v>1677.6705559999998</v>
      </c>
      <c r="G99" s="3">
        <f>1567.4+(501.2-514.1)+(-1.598748+(-0.511224--0.524382))+0-0-0</f>
        <v>1552.9144100000001</v>
      </c>
      <c r="H99" s="3">
        <f>1445+(480.4-433.9)+(-2.9478+(-0.980016--0.885156))+0-0-0</f>
        <v>1488.4573399999999</v>
      </c>
      <c r="I99" s="3">
        <f>1447.4+(450.1-468.7)+(-3.69087+(-1.147755--1.195185))+0-0-0</f>
        <v>1425.1565600000001</v>
      </c>
      <c r="J99" s="3">
        <f>1457.7+(426.5-513.3)+(1.486854+(0.43503-0.523566))+0-0-0</f>
        <v>1372.2983180000001</v>
      </c>
      <c r="K99" s="3">
        <f>1444.6+(422.7-542.1)+(-3.68373+(-1.077885--1.382355))+0-0-0</f>
        <v>1321.8207399999999</v>
      </c>
      <c r="L99" s="3">
        <f>1446.2+(401.1-595.6)+(-3.68781+(-1.022805--1.51878))+0-0-0</f>
        <v>1248.508165</v>
      </c>
      <c r="M99" s="3">
        <f>1652+(364.6-728.1)+(1.68504+(0.371892-0.742662))+0-0-0</f>
        <v>1289.8142700000001</v>
      </c>
      <c r="N99" s="3">
        <f>1882.7+(351-823.9)+(0.960177+(0.17901-0.420189))+0-0-0</f>
        <v>1410.5189980000002</v>
      </c>
      <c r="O99" s="3">
        <f>2091.7+(338.2-962.1)+(-1.066767+(-0.172482--0.490671))+0-0-0</f>
        <v>1467.0514219999998</v>
      </c>
      <c r="P99" s="3">
        <f>2348+(437.5-1136.1)+(1.19748+(0.223125-0.579411))+0-0-0</f>
        <v>1650.2411940000002</v>
      </c>
      <c r="Q99" s="3">
        <f>2342.9+(428.2-1051.7)+(-3.584637+(-0.655146--1.609101))+0-0-0</f>
        <v>1716.7693180000001</v>
      </c>
      <c r="R99" s="3">
        <f>2344+(419.7-956.3)+(-2.39088+(-0.428094--0.975426))+0-0-0</f>
        <v>1805.556452</v>
      </c>
      <c r="S99" s="3">
        <f>2309.3+(413.7-874.7)+(-8.244201+(-1.476909--3.122679))+0-0-0</f>
        <v>1841.7015690000003</v>
      </c>
      <c r="T99" s="3">
        <f>2338.9+(443-870.9)+(-1.192839+(-0.22593--0.444159))+0-0-0</f>
        <v>1910.02539</v>
      </c>
      <c r="U99" s="3">
        <f>2339.9+(458.8-907.6)+(0+(0-0))+0-0-0</f>
        <v>1891.1000000000001</v>
      </c>
      <c r="V99" s="3">
        <f>2330+(465.9-951)+(-3.5649+(-0.712827--1.45503))+0-0-0</f>
        <v>1842.077303</v>
      </c>
      <c r="W99" s="3">
        <f>2279+(459.8-971.9)+(-4.64916+(-0.937992--1.982676))+0-0-0</f>
        <v>1763.2955240000001</v>
      </c>
      <c r="X99" s="3">
        <f>2265.9+(458.1-1063.7)+(-3.466827+(-0.700893--1.627461))+0-0-0</f>
        <v>1657.7597410000001</v>
      </c>
      <c r="Y99" s="3">
        <f>2220.4+(427.6-1016.3)+(-2.264808+(-0.436152--1.036626))+0-0-0</f>
        <v>1630.0356660000002</v>
      </c>
      <c r="Z99" s="3">
        <f>2281.9+(304.3-924.5)+(-1.163769+(-0.155193--0.471495))+0-0-0</f>
        <v>1660.852533</v>
      </c>
      <c r="AA99" s="3">
        <f>2349.8+(324.5-863.7)+(-3.595194+(-0.496485--1.321461))+0-0-0</f>
        <v>1807.8297820000003</v>
      </c>
      <c r="AB99" s="3">
        <f>2345.5+(463-923.5)+(-4.78482+(-0.94452--1.88394))+0-0-0</f>
        <v>1881.1546000000001</v>
      </c>
      <c r="AC99" s="3">
        <f>2351.4+(540.8-1021.1)+(-2.398428+(-0.551616--1.041522))+0-0-0</f>
        <v>1869.191478</v>
      </c>
      <c r="AD99" s="2">
        <v>1752.1999999999998</v>
      </c>
      <c r="AE99" s="3">
        <f>2362+(283.7-893.5)+(0+(0-0))+0-0-0</f>
        <v>1752.2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2319.2+(528.4-1028.7)+(-1.182792+(-0.269484--0.524637))+0-0-0</f>
        <v>1817.9723609999996</v>
      </c>
      <c r="G100" s="3">
        <f>1901.1+(500.9-780.1)+(-2.908683+(-0.766377--1.193553))+0-0-0</f>
        <v>1619.4184929999999</v>
      </c>
      <c r="H100" s="3">
        <f>1442.2+(543.9-508.3)+(-2.206566+(-0.832167--0.777699))+0-0-0</f>
        <v>1475.5389659999998</v>
      </c>
      <c r="I100" s="3">
        <f>1405.6+(517.4-519.2)+(0+(0-0))+0-0-0</f>
        <v>1403.7999999999997</v>
      </c>
      <c r="J100" s="3">
        <f>1420.8+(510.8-583.2)+(-3.62304+(-1.30254--1.48716))+0-0-0</f>
        <v>1344.9615799999999</v>
      </c>
      <c r="K100" s="3">
        <f>1400.4+(457.5-614.8)+(-2.856816+(-0.9333--1.254192))+0-0-0</f>
        <v>1240.5640760000001</v>
      </c>
      <c r="L100" s="3">
        <f>1251.2+(421.1-533.8)+(-1.914336+(-0.644283--0.816714))+0-0-0</f>
        <v>1136.7580949999999</v>
      </c>
      <c r="M100" s="3">
        <f>1396.6+(502.7-663.4)+(1.424532+(0.512754-0.676668))+0-0-0</f>
        <v>1237.1606179999999</v>
      </c>
      <c r="N100" s="3">
        <f>1746+(500-834.1)+(1.78092+(0.51-0.850782))+0-0-0</f>
        <v>1413.340138</v>
      </c>
      <c r="O100" s="3">
        <f>1876.2+(501.8-823.1)+(-1.913724+(-0.511836--0.839562))+0-0-0</f>
        <v>1553.3140020000001</v>
      </c>
      <c r="P100" s="3">
        <f>2022.7+(472.8-890.4)+(0+(0-0))+0-0-0</f>
        <v>1605.1000000000001</v>
      </c>
      <c r="Q100" s="3">
        <f>2088.1+(473.7-880.2)+(3.194793+(0.724761-1.346706))+0-0-0</f>
        <v>1684.1728479999999</v>
      </c>
      <c r="R100" s="3">
        <f>2068.8+(437.3-747.9)+(-1.055088+(-0.223023--0.381429))+0-0-0</f>
        <v>1757.3033180000002</v>
      </c>
      <c r="S100" s="3">
        <f>2087.2+(477.4-721.3)+(-2.128944+(-0.486948--0.735726))+0-0-0</f>
        <v>1841.4198339999998</v>
      </c>
      <c r="T100" s="3">
        <f>2121.5+(480.9-686)+(-1.081965+(-0.245259--0.34986))+0-0-0</f>
        <v>1915.422636</v>
      </c>
      <c r="U100" s="3">
        <f>2126.5+(457-665.2)+(3.253545+(0.69921-1.017756))+0-0-0</f>
        <v>1921.234999</v>
      </c>
      <c r="V100" s="3">
        <f>2116.8+(425.5-657.3)+(-2.159136+(-0.43401--0.670446))+0.6-0-0</f>
        <v>1883.6773000000001</v>
      </c>
      <c r="W100" s="3">
        <f>2117.3+(423.6-725.5)+(-3.239469+(-0.648108--1.110015))+0-0-0</f>
        <v>1812.6224380000001</v>
      </c>
      <c r="X100" s="3">
        <f>2153.4+(429.5-877.9)+(-6.589404+(-1.31427--2.686374))+0-0-0</f>
        <v>1699.7827</v>
      </c>
      <c r="Y100" s="3">
        <f>2248.3+(390.8-1018.7)+(-4.586532+(-0.797232--2.078148))+0-0-0</f>
        <v>1617.094384</v>
      </c>
      <c r="Z100" s="3">
        <f>2346.3+(379.4-1011.9)+(2.393226+(0.386988-1.032138))+0-0-0</f>
        <v>1715.5480760000003</v>
      </c>
      <c r="AA100" s="3">
        <f>2360.9+(393.4-852.3)+(-2.408118+(-0.401268--0.869346))+0-0-0</f>
        <v>1900.05996</v>
      </c>
      <c r="AB100" s="3">
        <f>2358.2+(480.7-910.6)+(1.202682+(0.245157-0.464406))+0-0-0</f>
        <v>1929.2834329999998</v>
      </c>
      <c r="AC100" s="3">
        <f>2361.9+(497.8-947.2)+(0+(0-0))+0-0-0</f>
        <v>1912.5</v>
      </c>
      <c r="AD100" s="2">
        <v>1942.1000000000001</v>
      </c>
      <c r="AE100" s="3">
        <f>2371+(494.9-923.8)+(0+(0-0))+0-0-0</f>
        <v>1942.1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2172.4+(459.4-815.8)+(1.107924+(0.234294-0.416058))+0-0-0</f>
        <v>1816.92616</v>
      </c>
      <c r="G101" s="3">
        <f>1786.3+(508.4-615.8)+(1.822026+(0.518568-0.628116))+0-0-0</f>
        <v>1680.612478</v>
      </c>
      <c r="H101" s="3">
        <f>1605.1+(479.3-535.5)+(0+(0-0))+0-0-0</f>
        <v>1548.8999999999999</v>
      </c>
      <c r="I101" s="3">
        <f>1605.4+(470.4-602.5)+(0.818754+(0.239904-0.307275))+0-0-0</f>
        <v>1474.0513830000002</v>
      </c>
      <c r="J101" s="3">
        <f>1609.1+(440.8-637.9)+(0.820641+(0.224808-0.325329))+0-0-0</f>
        <v>1412.72012</v>
      </c>
      <c r="K101" s="3">
        <f>1608.9+(403.9-708.3)+(-1.641078+(-0.411978--0.722466))+0-0-0</f>
        <v>1303.16941</v>
      </c>
      <c r="L101" s="3">
        <f>1495.5+(377-669)+(-1.52541+(-0.38454--0.68238))+0-0-0</f>
        <v>1202.27243</v>
      </c>
      <c r="M101" s="3">
        <f>1558.3+(396.5-676.6)+(2.384199+(0.606645-1.035198))+0-0-0</f>
        <v>1280.1556459999997</v>
      </c>
      <c r="N101" s="3">
        <f>1865.8+(425.8-877.8)+(4.75779+(1.08579-2.23839))+0-0-0</f>
        <v>1417.4051899999999</v>
      </c>
      <c r="O101" s="3">
        <f>2110.7+(397.8-971.2)+(4.305828+(0.811512-1.981248))+0-0-0</f>
        <v>1540.4360919999997</v>
      </c>
      <c r="P101" s="3">
        <f>2335.2+(352.4-1025.3)+(4.763808+(0.718896-2.091612))+0-0-0</f>
        <v>1665.6910919999998</v>
      </c>
      <c r="Q101" s="3">
        <f>2328.1+(315.8-914.1)+(3.561993+(0.483174-1.398573))+0-0-0</f>
        <v>1732.446594</v>
      </c>
      <c r="R101" s="3">
        <f>2318.2+(353.4-865.3)+(4.729128+(0.720936-1.765212))+0-0-0</f>
        <v>1809.9848519999998</v>
      </c>
      <c r="S101" s="3">
        <f>2275.9+(387-793.6)+(-5.803545+(-0.98685--2.02368))+0-0-0</f>
        <v>1864.5332850000002</v>
      </c>
      <c r="T101" s="3">
        <f>2295.1+(393.3-736.5)+(0+(0-0))+0-0-0</f>
        <v>1951.8999999999999</v>
      </c>
      <c r="U101" s="3">
        <f>2286+(406.6-757.9)+(0+(0-0))+0-0-0</f>
        <v>1934.7</v>
      </c>
      <c r="V101" s="3">
        <f>2284.2+(377.9-813.3)+(0+(0-0))+0-0-0</f>
        <v>1848.7999999999997</v>
      </c>
      <c r="W101" s="3">
        <f>2272.2+(361.2-907.1)+(-4.635288+(-0.736848--1.850484))+0-0-0</f>
        <v>1722.7783479999998</v>
      </c>
      <c r="X101" s="3">
        <f>2260.7+(382-1021.2)+(-6.917742+(-1.16892--3.124872))+0-0-0</f>
        <v>1616.5382099999997</v>
      </c>
      <c r="Y101" s="3">
        <f>2260.4+(311.5-1014.2)+(-4.611216+(-0.63546--2.068968))+0-0-0</f>
        <v>1554.5222920000001</v>
      </c>
      <c r="Z101" s="3">
        <f>2327.7+(275.9-922.9)+(2.374254+(0.281418-0.941358))+0-0-0</f>
        <v>1682.4143139999999</v>
      </c>
      <c r="AA101" s="3">
        <f>2289.9+(270-723.4)+(-8.174943+(-0.9639--2.582538))+0-0-0</f>
        <v>1829.9436949999999</v>
      </c>
      <c r="AB101" s="3">
        <f>2288.4+(313.1-766.8)+(-3.501252+(-0.479043--1.173204))+0-0-0</f>
        <v>1831.8929090000004</v>
      </c>
      <c r="AC101" s="3">
        <f>2282.4+(384.5-850.3)+(-4.656096+(-0.78438--1.734612))+0-0-0</f>
        <v>1812.8941360000001</v>
      </c>
      <c r="AD101" s="2">
        <v>1839.5</v>
      </c>
      <c r="AE101" s="3">
        <f>2290.8+(309.6-760.9)+(0+(0-0))+0-0-0</f>
        <v>1839.5000000000002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2342.5+(423-921.1)+(2.38935+(0.43146-0.939522))+0-0-0</f>
        <v>1846.2812880000001</v>
      </c>
      <c r="G102" s="3">
        <f>2306+(386.1-959.2)+(-4.70424+(-0.787644--1.956768))+0-0-0</f>
        <v>1729.3648840000001</v>
      </c>
      <c r="H102" s="3">
        <f>2238.4+(382.8-956.5)+(-3.424752+(-0.585684--1.463445))+0-0-0</f>
        <v>1662.1530090000001</v>
      </c>
      <c r="I102" s="3">
        <f>1937.6+(410.7-841.1)+(-1.976352+(-0.418914--0.857922))+0-0-0</f>
        <v>1505.6626559999997</v>
      </c>
      <c r="J102" s="3">
        <f>1861+(427.3-823.5)+(-1.89822+(-0.435846--0.83997))+0-0-0</f>
        <v>1463.3059040000001</v>
      </c>
      <c r="K102" s="3">
        <f>1823.2+(434.5-892.3)+(-2.789496+(-0.664785--1.365219))+0-0-0</f>
        <v>1363.3109380000001</v>
      </c>
      <c r="L102" s="3">
        <f>1683.6+(338-796.7)+(-4.29318+(-0.8619--2.031585))+0-0-0</f>
        <v>1221.7765049999998</v>
      </c>
      <c r="M102" s="3">
        <f>1776.5+(276.3-830.9)+(-0.906015+(-0.140913--0.423759))+0-0-0</f>
        <v>1221.2768310000001</v>
      </c>
      <c r="N102" s="3">
        <f>1943.5+(339-1009.2)+(-1.98237+(-0.34578--1.029384))+0-0-0</f>
        <v>1272.0012340000001</v>
      </c>
      <c r="O102" s="3">
        <f>2138.1+(260.8-1022.8)+(-3.271293+(-0.399024--1.564884))+0-0-0</f>
        <v>1373.994567</v>
      </c>
      <c r="P102" s="3">
        <f>2290.2+(259.4-1127.6)+(0+(0-0))+0-0-0</f>
        <v>1422</v>
      </c>
      <c r="Q102" s="3">
        <f>2330.9+(273.8-1094.3)+(2.377518+(0.279276-1.116186))+0-0-0</f>
        <v>1511.9406080000001</v>
      </c>
      <c r="R102" s="3">
        <f>2306.3+(238.2-1001.1)+(1.176213+(0.121482-0.510561))+0-0-0</f>
        <v>1544.187134</v>
      </c>
      <c r="S102" s="3">
        <f>2304+(195.4-897.3)+(1.17504+(0.099654-0.457623))+0-0-0</f>
        <v>1602.9170709999999</v>
      </c>
      <c r="T102" s="3">
        <f>2299.8+(191.9-845.8)+(-1.172898+(-0.097869--0.431358))+0-0-0</f>
        <v>1645.0605910000002</v>
      </c>
      <c r="U102" s="3">
        <f>2291+(197.2-862.1)+(-1.16841+(-0.100572--0.439671))+0-0-0</f>
        <v>1625.2706889999999</v>
      </c>
      <c r="V102" s="3">
        <f>2310.9+(215.1-955.2)+(1.178559+(0.109701-0.487152))+0-0-0</f>
        <v>1571.6011080000003</v>
      </c>
      <c r="W102" s="3">
        <f>2270.2+(213.4-985.4)+(-5.78901+(-0.54417--2.51277))+0-0-0</f>
        <v>1494.3795899999998</v>
      </c>
      <c r="X102" s="3">
        <f>2271.2+(216.2-1061.4)+(-5.79156+(-0.55131--2.70657))+0-0-0</f>
        <v>1422.3636999999999</v>
      </c>
      <c r="Y102" s="3">
        <f>2198.1+(200.1-990.4)+(-1.121031+(-0.102051--0.505104))+0-0-0</f>
        <v>1407.0820220000001</v>
      </c>
      <c r="Z102" s="3">
        <f>2295.3+(184.2-928.7)+(-2.341206+(-0.187884--0.947274))+0-0-0</f>
        <v>1549.2181840000003</v>
      </c>
      <c r="AA102" s="3">
        <f>2366.8+(192-830.8)+(-6.03534+(-0.4896--2.11854))+0-0-0</f>
        <v>1723.5936000000002</v>
      </c>
      <c r="AB102" s="3">
        <f>2367.6+(267.6-882.2)+(-1.207476+(-0.136476--0.449922))+0-0-0</f>
        <v>1752.1059700000001</v>
      </c>
      <c r="AC102" s="3">
        <f>2349.6+(318.8-939)+(-3.594888+(-0.487764--1.43667))+0-0-0</f>
        <v>1726.7540179999999</v>
      </c>
      <c r="AD102" s="2">
        <v>1778.8</v>
      </c>
      <c r="AE102" s="3">
        <f>2365+(272.1-858.3)+(0+(0-0))+0-0-0</f>
        <v>1778.8000000000002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2278.9+(366-957.1)+(0+(0-0))+0-0-0</f>
        <v>1687.8000000000002</v>
      </c>
      <c r="G103" s="3">
        <f>1974.7+(397.3-793.1)+(-1.007097+(-0.202623--0.404481))+0-0-0</f>
        <v>1578.0947610000001</v>
      </c>
      <c r="H103" s="3">
        <f>1817.2+(453.2-791.1)+(0.926772+(0.231132-0.403461))+0-0-0</f>
        <v>1480.054443</v>
      </c>
      <c r="I103" s="3">
        <f>1812.2+(453.9-851.1)+(0+(0-0))+0-0-0</f>
        <v>1415</v>
      </c>
      <c r="J103" s="3">
        <f>1802.7+(431.9-864.6)+(-1.838754+(-0.440538--0.881892))+0-0-0</f>
        <v>1368.6025999999999</v>
      </c>
      <c r="K103" s="3">
        <f>1780.3+(375.9-858.7)+(-4.539765+(-0.958545--2.189685))+0-0-0</f>
        <v>1294.1913750000001</v>
      </c>
      <c r="L103" s="3">
        <f>1696.1+(336.3-819.8)+(0+(0-0))+0-0-0</f>
        <v>1212.5999999999999</v>
      </c>
      <c r="M103" s="3">
        <f>1923.9+(331.6-963)+(1.962378+(0.338232-0.98226))+0-0-0</f>
        <v>1293.81835</v>
      </c>
      <c r="N103" s="3">
        <f>2222.7+(330.6-1126.2)+(2.267154+(0.337212-1.148724))+0-0-0</f>
        <v>1428.5556419999998</v>
      </c>
      <c r="O103" s="3">
        <f>2342+(303.8-1130.1)+(0+(0-0))+0-0-0</f>
        <v>1515.7</v>
      </c>
      <c r="P103" s="3">
        <f>2456.1+(287.3-1169.7)+(3.757833+(0.439569-1.789641))+0-0-0</f>
        <v>1576.1077609999998</v>
      </c>
      <c r="Q103" s="3">
        <f>2484.2+(287.8-1158.9)+(0+(0-0))+0-0-0</f>
        <v>1613.0999999999997</v>
      </c>
      <c r="R103" s="3">
        <f>2480.9+(288.4-1151.6)+(-1.265259+(-0.147084--0.587316))+0-0-0</f>
        <v>1616.8749730000002</v>
      </c>
      <c r="S103" s="3">
        <f>2488.6+(300.1-1187.7)+(1.269186+(0.153051-0.605727))+0-0-0</f>
        <v>1601.8165100000001</v>
      </c>
      <c r="T103" s="3">
        <f>2478.1+(287-1187.2)+(-2.527662+(-0.29274--1.210944))+0-0-0</f>
        <v>1576.290542</v>
      </c>
      <c r="U103" s="3">
        <f>2477.4+(275.6-1202.6)+(-2.526948+(-0.281112--1.226652))+0-0-0</f>
        <v>1548.8185920000001</v>
      </c>
      <c r="V103" s="3">
        <f>2478.4+(297-1256)+(-1.263984+(-0.15147--0.64056))+0-0-0</f>
        <v>1518.6251060000002</v>
      </c>
      <c r="W103" s="3">
        <f>2457+(311.8-1267.2)+(-5.01228+(-0.636072--2.585088))+0-0-0</f>
        <v>1498.536736</v>
      </c>
      <c r="X103" s="3">
        <f>2455.6+(359.9-1337.4)+(-3.757068+(-0.550647--2.046222))+0-0-0</f>
        <v>1475.8385069999999</v>
      </c>
      <c r="Y103" s="3">
        <f>2340.2+(318.8-1188.9)+(-2.387004+(-0.325176--1.212678))+0-0-0</f>
        <v>1468.6004979999998</v>
      </c>
      <c r="Z103" s="3">
        <f>2400.9+(244.5-1043)+(2.448918+(0.24939-1.06386))+0-0-0</f>
        <v>1604.0344480000001</v>
      </c>
      <c r="AA103" s="3">
        <f>2480.1+(252.3-1017.2)+(-5.059404+(-0.514692--2.075088))+0-0-0</f>
        <v>1711.7009919999998</v>
      </c>
      <c r="AB103" s="3">
        <f>2470.4+(303.3-1076.9)+(-6.29952+(-0.773415--2.746095))+0-0-0</f>
        <v>1692.47316</v>
      </c>
      <c r="AC103" s="3">
        <f>2429+(438.9-1226.7)+(-4.95516+(-0.895356--2.502468))+0-0-0</f>
        <v>1637.8519519999998</v>
      </c>
      <c r="AD103" s="2">
        <v>1693.3000000000002</v>
      </c>
      <c r="AE103" s="3">
        <f>2474.4+(246.4-1027.5)+(0+(0-0))+0-0-0</f>
        <v>1693.3000000000002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2132.1+(436.3-1050.3)+(0+(0-0))+0-0-0</f>
        <v>1518.1</v>
      </c>
      <c r="G104" s="3">
        <f>1927.1+(391.9-900)+(-5.896926+(-1.199214--2.754))+0-0-0</f>
        <v>1414.65786</v>
      </c>
      <c r="H104" s="3">
        <f>1626.9+(344.6-630.9)+(-3.318876+(-0.702984--1.287036))+0-0-0</f>
        <v>1337.8651760000002</v>
      </c>
      <c r="I104" s="3">
        <f>1539.6+(343.9-600.1)+(-3.92598+(-0.876945--1.530255))+0-0-0</f>
        <v>1280.1273299999998</v>
      </c>
      <c r="J104" s="3">
        <f>1489.4+(353.5-594.2)+(-4.557564+(-1.08171--1.818252))+0-0-0</f>
        <v>1244.878978</v>
      </c>
      <c r="K104" s="3">
        <f>1341.4+(389.5-565.2)+(-2.736456+(-0.79458--1.153008))+0-0-0</f>
        <v>1163.321972</v>
      </c>
      <c r="L104" s="3">
        <f>1281.4+(382.5-578.4)+(-3.26757+(-0.975375--1.47492))+0-0-0</f>
        <v>1082.7319749999999</v>
      </c>
      <c r="M104" s="3">
        <f>1585+(401.9-833.9)+(2.42505+(0.614907-1.275867))+0-0-0</f>
        <v>1154.7640899999999</v>
      </c>
      <c r="N104" s="3">
        <f>2006+(414.8-1132.1)+(3.06918+(0.634644-1.732113))+0-0-0</f>
        <v>1290.671711</v>
      </c>
      <c r="O104" s="3">
        <f>2193.1+(388.2-1204.2)+(2.236962+(0.395964-1.228284))+0-0-0</f>
        <v>1378.5046419999999</v>
      </c>
      <c r="P104" s="3">
        <f>2411.5+(369-1259.6)+(0+(0-0))+0-0-0</f>
        <v>1520.9</v>
      </c>
      <c r="Q104" s="3">
        <f>2421.6+(345.1-1249.6)+(6.17508+(0.880005-3.18648))+0-0-0</f>
        <v>1520.9686049999998</v>
      </c>
      <c r="R104" s="3">
        <f>2407.4+(320.9-1153.8)+(1.227774+(0.163659-0.588438))+0-0-0</f>
        <v>1575.302995</v>
      </c>
      <c r="S104" s="3">
        <f>2395.1+(325.7-1127.8)+(-2.443002+(-0.332214--1.150356))+0-0-0</f>
        <v>1591.3751400000001</v>
      </c>
      <c r="T104" s="3">
        <f>2416.3+(315.9-1140.2)+(-2.464626+(-0.322218--1.163004))+0-0-0</f>
        <v>1590.37616</v>
      </c>
      <c r="U104" s="3">
        <f>2417.6+(299.2-1160.5)+(-6.16488+(-0.76296--2.959275))+0-0-0</f>
        <v>1552.3314350000001</v>
      </c>
      <c r="V104" s="3">
        <f>2501.4+(320.5-1307)+(-1.275714+(-0.163455--0.66657))+0-0-0</f>
        <v>1514.1274010000002</v>
      </c>
      <c r="W104" s="3">
        <f>2591.1+(295.4-1414.6)+(-5.285844+(-0.602616--2.885784))+0-0-0</f>
        <v>1468.897324</v>
      </c>
      <c r="X104" s="3">
        <f>2604.7+(241-1430.9)+(-3.985191+(-0.36873--2.189277))+0-0-0</f>
        <v>1412.6353559999998</v>
      </c>
      <c r="Y104" s="3">
        <f>2605.6+(195-1413.2)+(-6.64428+(-0.49725--3.60366))+0-0-0</f>
        <v>1383.8621299999998</v>
      </c>
      <c r="Z104" s="3">
        <f>2642.6+(159.8-1313.4)+(0+(0-0))+0-0-0</f>
        <v>1488.9999999999998</v>
      </c>
      <c r="AA104" s="3">
        <f>2638.9+(201.1-1283.3)+(-6.729195+(-0.512805--3.272415))+0-0-0</f>
        <v>1552.730415</v>
      </c>
      <c r="AB104" s="3">
        <f>2576.1+(182.9-1226.1)+(-2.627622+(-0.186558--1.250622))+0-0-0</f>
        <v>1531.336442</v>
      </c>
      <c r="AC104" s="3">
        <f>2494.6+(247.7-1260.8)+(-2.544492+(-0.252654--1.286016))+0-0-0</f>
        <v>1479.9888699999999</v>
      </c>
      <c r="AD104" s="2">
        <v>1590</v>
      </c>
      <c r="AE104" s="3">
        <f>2633+(222.1-1265.1)+(0+(0-0))+0-0-0</f>
        <v>1590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2157.8+(320.8-1072.5)+(-5.50239+(-0.81804--2.734875))+0-0-0</f>
        <v>1402.514445</v>
      </c>
      <c r="G105" s="3">
        <f>1624.1+(320.5-641.3)+(-3.313164+(-0.65382--1.308252))+0-0-0</f>
        <v>1300.6412679999999</v>
      </c>
      <c r="H105" s="3">
        <f>1513.3+(362.2-636.7)+(-2.315349+(-0.554166--0.974151))+0-0-0</f>
        <v>1236.904636</v>
      </c>
      <c r="I105" s="3">
        <f>1496.4+(366.1-663.6)+(-3.052656+(-0.746844--1.353744))+0-0-0</f>
        <v>1196.454244</v>
      </c>
      <c r="J105" s="3">
        <f>1492.4+(373.6-688.4)+(-3.80562+(-0.95268--1.75542))+0-0-0</f>
        <v>1174.5971200000001</v>
      </c>
      <c r="K105" s="3">
        <f>1491.5+(368.9-740.5)+(-3.803325+(-0.940695--1.888275))+0-0-0</f>
        <v>1117.044255</v>
      </c>
      <c r="L105" s="3">
        <f>1503.7+(335.5-785.6)+(-0.766887+(-0.171105--0.400656))+0-0-0</f>
        <v>1053.0626639999998</v>
      </c>
      <c r="M105" s="3">
        <f>1518.4+(317.9-726.5)+(1.548768+(0.324258-0.74103))+0-0-0</f>
        <v>1110.9319960000003</v>
      </c>
      <c r="N105" s="3">
        <f>1625.3+(265.6-682.9)+(0+(0-0))+0-0-0</f>
        <v>1208</v>
      </c>
      <c r="O105" s="3">
        <f>1698.3+(285.6-704.6)+(-4.330665+(-0.72828--1.79673))+0-0-0</f>
        <v>1276.037785</v>
      </c>
      <c r="P105" s="3">
        <f>1974.8+(329.3-979.7)+(0+(0-0))+0-0-0</f>
        <v>1324.3999999999999</v>
      </c>
      <c r="Q105" s="3">
        <f>2567.4+(311.2-1494.6)+(-2.618748+(-0.317424--1.524492))+0-0-0</f>
        <v>1382.5883200000003</v>
      </c>
      <c r="R105" s="3">
        <f>2715.9+(256-1570.9)+(0+(0-0))+0-0-0</f>
        <v>1401</v>
      </c>
      <c r="S105" s="3">
        <f>2726.2+(247.1-1591.4)+(-2.780724+(-0.252042--1.623228))+0-0-0</f>
        <v>1380.4904619999995</v>
      </c>
      <c r="T105" s="3">
        <f>2713.4+(244.8-1596.5)+(-4.151502+(-0.374544--2.442645))+0-0-0</f>
        <v>1359.616599</v>
      </c>
      <c r="U105" s="3">
        <f>2741.6+(244.3-1634.2)+(2.796432+(0.249186-1.666884))+0-0-0</f>
        <v>1353.0787339999997</v>
      </c>
      <c r="V105" s="3">
        <f>2729.9+(263-1644)+(-1.392249+(-0.13413--0.83844))+0-0-0</f>
        <v>1348.2120610000002</v>
      </c>
      <c r="W105" s="3">
        <f>2694.5+(294.2-1642.2)+(-9.619365+(-1.050294--5.862654))+0-0-0</f>
        <v>1341.6929950000001</v>
      </c>
      <c r="X105" s="3">
        <f>2499+(343-1593.3)+(-8.92143+(-1.22451--5.688081))+0-0-0</f>
        <v>1244.2421409999999</v>
      </c>
      <c r="Y105" s="3">
        <f>2371.8+(156-1130.7)+(-2.419236+(-0.15912--1.153314))+0-0-0</f>
        <v>1395.6749580000001</v>
      </c>
      <c r="Z105" s="3">
        <f>2446.1+(97-1199.2)+(0+(0-0))+0-0-0</f>
        <v>1343.8999999999999</v>
      </c>
      <c r="AA105" s="3">
        <f>2794.8+(251-1507.4)+(-2.850696+(-0.25602--1.537548))+0-0-0</f>
        <v>1536.8308320000001</v>
      </c>
      <c r="AB105" s="3">
        <f>2512.8+(320-1351.8)+(-2.563056+(-0.3264--1.378836))+0-0-0</f>
        <v>1479.4893800000002</v>
      </c>
      <c r="AC105" s="3">
        <f>2425.2+(411.1-1350.7)+(0+(0-0))+0-0-0</f>
        <v>1485.6</v>
      </c>
      <c r="AD105" s="2">
        <v>1609.1</v>
      </c>
      <c r="AE105" s="3">
        <f>2783+(267-1440.9)+(0+(0-0))+0-0-0</f>
        <v>1609.1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2220.6+(371.6-1261.5)+(1.132506+(0.189516-0.643365))+0-0-0</f>
        <v>1331.3786569999997</v>
      </c>
      <c r="G106" s="3">
        <f>1978.5+(437.2-1179.3)+(0+(0-0))+0-0-0</f>
        <v>1236.4000000000001</v>
      </c>
      <c r="H106" s="3">
        <f>1767.1+(495.4-1094.3)+(0+(0-0))+0-0-0</f>
        <v>1168.1999999999998</v>
      </c>
      <c r="I106" s="3">
        <f>1766.3+(437.3-1069.3)+(0+(0-0))+0-0-0</f>
        <v>1134.3</v>
      </c>
      <c r="J106" s="3">
        <f>1690.6+(385.1-959.6)+(-2.586618+(-0.589203--1.468188))+0-0-0</f>
        <v>1114.3923669999999</v>
      </c>
      <c r="K106" s="3">
        <f>1492.3+(430.5-861.1)+(-1.522146+(-0.43911--0.878322))+0-0-0</f>
        <v>1060.6170659999998</v>
      </c>
      <c r="L106" s="3">
        <f>1486.1+(372.1-854.2)+(-3.031644+(-0.759084--1.742568))+0-0-0</f>
        <v>1001.9518399999998</v>
      </c>
      <c r="M106" s="3">
        <f>1631.2+(333.3-872.3)+(0+(0-0))+0-0-0</f>
        <v>1092.2</v>
      </c>
      <c r="N106" s="3">
        <f>1863.8+(305.6-934.2)+(1.901076+(0.311712-0.952884))+0-0-0</f>
        <v>1236.4599039999998</v>
      </c>
      <c r="O106" s="3">
        <f>2171.4+(384.1-1209.9)+(-4.429656+(-0.783564--2.468196))+0-0-0</f>
        <v>1342.8549759999999</v>
      </c>
      <c r="P106" s="3">
        <f>2488.5+(373.6-1429.1)+(-1.269135+(-0.190536--0.728841))+0-0-0</f>
        <v>1432.26917</v>
      </c>
      <c r="Q106" s="3">
        <f>2496.1+(383.7-1380.6)+(-1.273011+(-0.195687--0.704106))+0-0-0</f>
        <v>1498.4354080000001</v>
      </c>
      <c r="R106" s="3">
        <f>2539.5+(442.7-1432)+(0+(0-0))+0-0-0</f>
        <v>1550.2</v>
      </c>
      <c r="S106" s="3">
        <f>2646.8+(416.5-1518.1)+(-5.399472+(-0.84966--3.096924))+0-0-0</f>
        <v>1542.0477920000003</v>
      </c>
      <c r="T106" s="3">
        <f>2664.9+(391.4-1514.2)+(-2.718198+(-0.399228--1.544484))+0-0-0</f>
        <v>1540.5270579999999</v>
      </c>
      <c r="U106" s="3">
        <f>2650.1+(381.5-1531.8)+(-1.351551+(-0.194565--0.781218))+0-0-0</f>
        <v>1499.0351020000001</v>
      </c>
      <c r="V106" s="3">
        <f>2620.8+(413-1567.4)+(-1.336608+(-0.21063--0.799374))+0-0-0</f>
        <v>1465.6521360000002</v>
      </c>
      <c r="W106" s="3">
        <f>2581.2+(441-1576.8)+(3.949236+(0.67473-2.412504))+0-0-0</f>
        <v>1447.6114619999998</v>
      </c>
      <c r="X106" s="3">
        <f>2475.7+(412.8-1489.3)+(-3.787821+(-0.631584--2.278629))+0-0-0</f>
        <v>1397.0592239999999</v>
      </c>
      <c r="Y106" s="3">
        <f>2369.2+(253.7-1239.8)+(2.416584+(0.258774-1.264596))+0-0-0</f>
        <v>1384.5107619999999</v>
      </c>
      <c r="Z106" s="3">
        <f>2485.3+(279.6-1269.3)+(-1.267503+(-0.142596--0.647343))+0-0-0</f>
        <v>1494.8372440000003</v>
      </c>
      <c r="AA106" s="3">
        <f>2659.1+(358-1423.2)+(-5.424564+(-0.73032--2.903328))+0-0-0</f>
        <v>1590.6484439999999</v>
      </c>
      <c r="AB106" s="3">
        <f>2602.1+(428.3-1453.1)+(-1.327071+(-0.218433--0.741081))+0-0-0</f>
        <v>1576.4955769999999</v>
      </c>
      <c r="AC106" s="3">
        <f>2565.6+(394.7-1425)+(-2.616912+(-0.402594--1.4535))+0-0-0</f>
        <v>1533.7339939999999</v>
      </c>
      <c r="AD106" s="2">
        <v>1596.7000000000003</v>
      </c>
      <c r="AE106" s="3">
        <f>2675.4+(377.8-1456.5)+(0+(0-0))+0-0-0</f>
        <v>1596.7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2392.3+(394-1379.8)+(-6.100365+(-1.0047--3.51849))+0-0-0</f>
        <v>1402.9134250000002</v>
      </c>
      <c r="G107" s="3">
        <f>1976.8+(446.5-1127.5)+(2.016336+(0.45543-1.15005))+0-0-0</f>
        <v>1297.1217159999999</v>
      </c>
      <c r="H107" s="3">
        <f>1870.9+(383.7-1024.9)+(-1.908318+(-0.391374--1.045398))+0-0-0</f>
        <v>1228.445706</v>
      </c>
      <c r="I107" s="3">
        <f>1824.6+(376.1-1013.2)+(0.930546+(0.191811-0.516732))+0-0-0</f>
        <v>1188.1056249999999</v>
      </c>
      <c r="J107" s="3">
        <f>1728.4+(369.9-937.1)+(-2.644452+(-0.565947--1.433763))+0-0-0</f>
        <v>1159.423364</v>
      </c>
      <c r="K107" s="3">
        <f>1599.5+(363.1-849.7)+(-2.447235+(-0.555543--1.300041))+0-0-0</f>
        <v>1111.197263</v>
      </c>
      <c r="L107" s="3">
        <f>1563.2+(309.6-805)+(-2.391696+(-0.473688--1.23165))+0-0-0</f>
        <v>1066.1662660000002</v>
      </c>
      <c r="M107" s="3">
        <f>1707.5+(309.7-891.6)+(1.74165+(0.315894-0.909432))+0-0-0</f>
        <v>1126.748112</v>
      </c>
      <c r="N107" s="3">
        <f>2168.3+(317-1232.5)+(0+(0-0))+0-0-0</f>
        <v>1252.8000000000002</v>
      </c>
      <c r="O107" s="3">
        <f>2285+(346.6-1296.2)+(-3.49605+(-0.530298--1.983186))+0-0-0</f>
        <v>1333.3568380000002</v>
      </c>
      <c r="P107" s="3">
        <f>2242.6+(326.3-1158.1)+(-3.431178+(-0.499239--1.771893))+0-0-0</f>
        <v>1408.641476</v>
      </c>
      <c r="Q107" s="3">
        <f>2445.9+(286-1253)+(0+(0-0))+0-0-0</f>
        <v>1478.9</v>
      </c>
      <c r="R107" s="3">
        <f>2599.1+(246.3-1298)+(2.651082+(0.251226-1.32396))+0-0-0</f>
        <v>1548.9783479999999</v>
      </c>
      <c r="S107" s="3">
        <f>2695.1+(299.5-1417.4)+(-8.247006+(-0.91647--4.337244))+0-0-0</f>
        <v>1572.3737679999999</v>
      </c>
      <c r="T107" s="3">
        <f>2688.1+(325.4-1430)+(-1.370931+(-0.165954--0.7293))+0-0-0</f>
        <v>1582.692415</v>
      </c>
      <c r="U107" s="3">
        <f>2684.2+(308.7-1429.6)+(-2.737884+(-0.314874--1.458192))+0-0-0</f>
        <v>1561.705434</v>
      </c>
      <c r="V107" s="3">
        <f>2637.8+(316.6-1390.9)+(-4.035834+(-0.484398--2.128077))+0-0-0</f>
        <v>1561.107845</v>
      </c>
      <c r="W107" s="3">
        <f>2723+(326.6-1504.1)+(-5.55492+(-0.666264--3.068364))+0-0-0</f>
        <v>1542.34718</v>
      </c>
      <c r="X107" s="3">
        <f>2677+(306-1492.7)+(-10.92216+(-1.24848--6.090216))+0-0-0</f>
        <v>1484.219576</v>
      </c>
      <c r="Y107" s="3">
        <f>2586+(221.5-1368.2)+(-3.95658+(-0.338895--2.093346))+0-0-0</f>
        <v>1437.0978709999999</v>
      </c>
      <c r="Z107" s="3">
        <f>2585+(269.2-1325.3)+(-1.31835+(-0.137292--0.675903))+0-0-0</f>
        <v>1528.120261</v>
      </c>
      <c r="AA107" s="3">
        <f>2709.6+(271.6-1341.1)+(-8.291376+(-0.831096--4.103766))+0-0-0</f>
        <v>1635.0812939999998</v>
      </c>
      <c r="AB107" s="3">
        <f>2593.1+(351-1310.3)+(-5.289924+(-0.71604--2.673012))+0-0-0</f>
        <v>1630.467048</v>
      </c>
      <c r="AC107" s="3">
        <f>2532.7+(403.6-1315)+(-3.875031+(-0.617508--2.01195))+0-0-0</f>
        <v>1618.8194109999997</v>
      </c>
      <c r="AD107" s="2">
        <v>1653.3999999999999</v>
      </c>
      <c r="AE107" s="3">
        <f>2709+(286.2-1341.8)+(0+(0-0))+0-0-0</f>
        <v>1653.4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2391+(406.9-1274.6)+(-1.21941+(-0.207519--0.650046))+0-0-0</f>
        <v>1522.5231170000002</v>
      </c>
      <c r="G108" s="3">
        <f>1875.5+(450.2-899.6)+(0.956505+(0.229602-0.458796))+0-0-0</f>
        <v>1426.827311</v>
      </c>
      <c r="H108" s="3">
        <f>1548.9+(461.3-660.5)+(-2.369817+(-0.705789--1.010565))+0-0-0</f>
        <v>1347.634959</v>
      </c>
      <c r="I108" s="3">
        <f>1506.2+(431.3-655)+(0+(0-0))+0-0-0</f>
        <v>1282.5</v>
      </c>
      <c r="J108" s="3">
        <f>1480.3+(446-685)+(0+(0-0))+0-0-0</f>
        <v>1241.3</v>
      </c>
      <c r="K108" s="3">
        <f>1411.2+(431-679.3)+(-3.59856+(-1.09905--1.732215))+0-0-0</f>
        <v>1159.9346050000001</v>
      </c>
      <c r="L108" s="3">
        <f>1280+(354.4-557.2)+(-4.5696+(-1.265208--1.989204))+0-0-0</f>
        <v>1073.3543959999997</v>
      </c>
      <c r="M108" s="3">
        <f>1304.9+(368.5-611)+(0+(0-0))+0-0-0</f>
        <v>1062.4000000000001</v>
      </c>
      <c r="N108" s="3">
        <f>1341.6+(419.1-643.5)+(0+(0-0))+0-0-0</f>
        <v>1117.1999999999998</v>
      </c>
      <c r="O108" s="3">
        <f>1513.5+(429.6-757.7)+(0.771885+(0.219096-0.386427))+0-0-0</f>
        <v>1186.0045540000001</v>
      </c>
      <c r="P108" s="3">
        <f>2014+(355.7-1103.9)+(0+(0-0))+0-0-0</f>
        <v>1265.8</v>
      </c>
      <c r="Q108" s="3">
        <f>2218.8+(329-1221.9)+(2.263176+(0.33558-1.246338))+0-0-0</f>
        <v>1327.252418</v>
      </c>
      <c r="R108" s="3">
        <f>2201.7+(358.8-1190)+(-1.122867+(-0.182988--0.6069))+0-0-0</f>
        <v>1369.8010449999997</v>
      </c>
      <c r="S108" s="3">
        <f>2196.2+(371.8-1180.6)+(-1.120062+(-0.189618--0.602106))+0-0-0</f>
        <v>1386.6924259999998</v>
      </c>
      <c r="T108" s="3">
        <f>2191.4+(366.8-1133.2)+(-2.235228+(-0.374136--1.155864))+0-0-0</f>
        <v>1423.5464999999999</v>
      </c>
      <c r="U108" s="3">
        <f>2193.6+(361.8-1125.4)+(0+(0-0))+0-0-0</f>
        <v>1429.9999999999998</v>
      </c>
      <c r="V108" s="3">
        <f>2279+(341.8-1203.3)+(1.16229+(0.174318-0.613683))+0-0-0</f>
        <v>1418.222925</v>
      </c>
      <c r="W108" s="3">
        <f>2293.7+(314.4-1202.1)+(-7.018722+(-0.962064--3.678426))+0-0-0</f>
        <v>1401.6976400000001</v>
      </c>
      <c r="X108" s="3">
        <f>2293.6+(302.6-1220.8)+(-5.84868+(-0.77163--3.11304))+0-0-0</f>
        <v>1371.89273</v>
      </c>
      <c r="Y108" s="3">
        <f>2166.6+(276.5-1095.1)+(-1.104966+(-0.141015--0.558501))+0-0-0</f>
        <v>1347.3125199999999</v>
      </c>
      <c r="Z108" s="3">
        <f>2132+(258-915.3)+(1.08732+(0.13158-0.466803))+0-0-0</f>
        <v>1475.4520970000001</v>
      </c>
      <c r="AA108" s="3">
        <f>2126.7+(342.2-874.3)+(-3.253851+(-0.523566--1.337679))+0-0-0</f>
        <v>1592.1602619999999</v>
      </c>
      <c r="AB108" s="3">
        <f>2121.5+(374.2-893.1)+(-1.081965+(-0.190842--0.455481))+0-0-0</f>
        <v>1601.7826739999998</v>
      </c>
      <c r="AC108" s="3">
        <f>2134.5+(474-1026.8)+(1.088595+(0.24174-0.523668))+0-0-0</f>
        <v>1582.5066670000001</v>
      </c>
      <c r="AD108" s="2">
        <v>1613.9</v>
      </c>
      <c r="AE108" s="3">
        <f>2135+(369.5-890.6)+(0+(0-0))+0-0-0</f>
        <v>1613.9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2128.7+(416.4-1018.4)+(2.171274+(0.424728-1.038768))+0-0-0</f>
        <v>1528.2572339999999</v>
      </c>
      <c r="G109" s="3">
        <f>1983+(444.5-1000.7)+(1.01133+(0.226695-0.510357))+0-0-0</f>
        <v>1427.5276679999999</v>
      </c>
      <c r="H109" s="3">
        <f>1728.2+(419.7-811.2)+(2.644146+(0.642141-1.241136))+0-0-0</f>
        <v>1338.7451510000001</v>
      </c>
      <c r="I109" s="3">
        <f>1727+(393-844.1)+(0+(0-0))+0-0-0</f>
        <v>1275.9000000000001</v>
      </c>
      <c r="J109" s="3">
        <f>1717.7+(345.5-832.7)+(-1.752054+(-0.35241--0.849354))+0-0-0</f>
        <v>1229.2448899999999</v>
      </c>
      <c r="K109" s="3">
        <f>1646.1+(375.7-855)+(-5.876577+(-1.341249--3.05235))+0-0-0</f>
        <v>1162.6345240000001</v>
      </c>
      <c r="L109" s="3">
        <f>1627.6+(354.4-925.9)+(-2.490228+(-0.542232--1.416627))+0-0-0</f>
        <v>1054.4841669999998</v>
      </c>
      <c r="M109" s="3">
        <f>1675.5+(322.8-958.3)+(0.854505+(0.164628-0.488733))+0-0-0</f>
        <v>1040.5304000000001</v>
      </c>
      <c r="N109" s="3">
        <f>1872.4+(302.1-1089.1)+(-0.954924+(-0.154071--0.555441))+0-0-0</f>
        <v>1084.846446</v>
      </c>
      <c r="O109" s="3">
        <f>1952.5+(239-1037.1)+(2.987325+(0.36567-1.586763))+0-0-0</f>
        <v>1156.166232</v>
      </c>
      <c r="P109" s="3">
        <f>2092.5+(255-1104.8)+(1.067175+(0.13005-0.563448))+0-0-0</f>
        <v>1243.3337770000001</v>
      </c>
      <c r="Q109" s="3">
        <f>2235.3+(311.7-1228.8)+(1.140003+(0.158967-0.626688))+0-0-0</f>
        <v>1318.8722820000003</v>
      </c>
      <c r="R109" s="3">
        <f>2277.6+(309.8-1206.6)+(2.323152+(0.315996-1.230732))+0-0-0</f>
        <v>1382.2084159999999</v>
      </c>
      <c r="S109" s="3">
        <f>2287+(315.2-1189.7)+(4.66548+(0.643008-2.426988))+0-0-0</f>
        <v>1415.3815</v>
      </c>
      <c r="T109" s="3">
        <f>2186.6+(312.4-1061.5)+(3.345498+(0.477972-1.624095))+0-0-0</f>
        <v>1439.6993749999999</v>
      </c>
      <c r="U109" s="3">
        <f>2067.7+(304.6-952.5)+(2.109054+(0.310692-0.97155))+0-0-0</f>
        <v>1421.2481959999998</v>
      </c>
      <c r="V109" s="3">
        <f>2061.3+(315.4-976.9)+(1.051263+(0.160854-0.498219))+0-0-0</f>
        <v>1400.5138980000002</v>
      </c>
      <c r="W109" s="3">
        <f>2041.5+(335.4-1013.4)+(-1.041165+(-0.171054--0.516834))+0-0-0</f>
        <v>1362.804615</v>
      </c>
      <c r="X109" s="3">
        <f>2035.2+(361.7-1073.9)+(-4.151808+(-0.737868--2.190756))+0-0-0</f>
        <v>1320.30108</v>
      </c>
      <c r="Y109" s="3">
        <f>2056.8+(310.5-1072.5)+(1.048968+(0.158355-0.546975))+0-0-0</f>
        <v>1295.4603480000003</v>
      </c>
      <c r="Z109" s="3">
        <f>1800+(344-711.7)+(-0.918+(-0.17544--0.362967))+0-0-0</f>
        <v>1431.5695269999999</v>
      </c>
      <c r="AA109" s="3">
        <f>1741.9+(406.1-559.5)+(-1.776738+(-0.414222--0.57069))+0-0-0</f>
        <v>1586.8797300000001</v>
      </c>
      <c r="AB109" s="3">
        <f>1921+(433.2-736.1)+(-1.95942+(-0.441864--0.750822))+0-0-0</f>
        <v>1616.4495379999998</v>
      </c>
      <c r="AC109" s="3">
        <f>1925.3+(484.7-810.2)+(-0.981903+(-0.247197--0.413202))+0-0-0</f>
        <v>1598.9841019999999</v>
      </c>
      <c r="AD109" s="2">
        <v>1640.8999999999999</v>
      </c>
      <c r="AE109" s="3">
        <f>1929+(428.6-716.7)+(0+(0-0))+0-0-0</f>
        <v>1640.9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1896.8+(487.4-829.9)+(-0.967368+(-0.248574--0.423249))+0-0-0</f>
        <v>1553.5073069999999</v>
      </c>
      <c r="G110" s="3">
        <f>1404.6+(501.5-468)+(0+(0-0))+0-0-0</f>
        <v>1438.1</v>
      </c>
      <c r="H110" s="3">
        <f>1387.1+(450.2-479.8)+(-0.707421+(-0.229602--0.244698))+0-0-0</f>
        <v>1356.807675</v>
      </c>
      <c r="I110" s="3">
        <f>1357.5+(418.6-464.1)+(-0.692325+(-0.213486--0.236691))+0-0-0</f>
        <v>1311.33088</v>
      </c>
      <c r="J110" s="3">
        <f>1214.9+(448.4-399.1)+(-1.239198+(-0.457368--0.407082))+0-0-0</f>
        <v>1262.9105160000001</v>
      </c>
      <c r="K110" s="3">
        <f>1179.9+(463.9-464.7)+(-3.008745+(-1.182945--1.184985))+0-0-0</f>
        <v>1176.0932950000001</v>
      </c>
      <c r="L110" s="3">
        <f>1135.2+(429.7-469.2)+(-1.157904+(-0.438294--0.478584))+0-0-0</f>
        <v>1094.582386</v>
      </c>
      <c r="M110" s="3">
        <f>1406.9+(454.3-697.2)+(2.152557+(0.695079-1.066716))+0-0-0</f>
        <v>1165.7809199999999</v>
      </c>
      <c r="N110" s="3">
        <f>1692.8+(494.8-888.3)+(0+(0-0))+0-0-0</f>
        <v>1299.3</v>
      </c>
      <c r="O110" s="3">
        <f>1980.9+(427.7-990.3)+(2.020518+(0.436254-1.010106))+0-0-0</f>
        <v>1419.7466660000002</v>
      </c>
      <c r="P110" s="3">
        <f>2138.2+(427.6-1052.1)+(3.271446+(0.654228-1.609713))+0-0-0</f>
        <v>1516.0159609999998</v>
      </c>
      <c r="Q110" s="3">
        <f>2207.3+(419.3-1023.4)+(3.377169+(0.641529-1.565802))+0-0-0</f>
        <v>1605.6528960000003</v>
      </c>
      <c r="R110" s="3">
        <f>2243.4+(397.7-944.6)+(4.576536+(0.811308-1.926984))+0-0-0</f>
        <v>1699.9608599999999</v>
      </c>
      <c r="S110" s="3">
        <f>2285.1+(370.5-898.7)+(1.165401+(0.188955-0.458337))+0-0-0</f>
        <v>1757.7960189999999</v>
      </c>
      <c r="T110" s="3">
        <f>2291.8+(396.1-901.4)+(-1.168818+(-0.202011--0.459714))+0-0-0</f>
        <v>1785.5888850000001</v>
      </c>
      <c r="U110" s="3">
        <f>2297.6+(367.3-909.4)+(0+(0-0))+0-0-0</f>
        <v>1755.5</v>
      </c>
      <c r="V110" s="3">
        <f>2289.3+(364.3-962.7)+(-2.335086+(-0.371586--0.981954))+0-0-0</f>
        <v>1689.1752820000002</v>
      </c>
      <c r="W110" s="3">
        <f>2288.3+(367.5-1026.6)+(-3.501099+(-0.562275--1.570698))+0-0-0</f>
        <v>1626.7073240000002</v>
      </c>
      <c r="X110" s="3">
        <f>2289.2+(382.7-1134.5)+(-5.83746+(-0.975885--2.892975))+0-0-0</f>
        <v>1533.4796299999998</v>
      </c>
      <c r="Y110" s="3">
        <f>2299.7+(313.9-1103.1)+(-3.518541+(-0.480267--1.687743))+0-0-0</f>
        <v>1508.1889349999999</v>
      </c>
      <c r="Z110" s="3">
        <f>2333.1+(303.5-986.7)+(2.379762+(0.30957-1.006434))+0-0-0</f>
        <v>1651.5828979999999</v>
      </c>
      <c r="AA110" s="3">
        <f>2351.6+(332.2-873.2)+(-3.597948+(-0.508266--1.335996))+0-0-0</f>
        <v>1807.8297819999998</v>
      </c>
      <c r="AB110" s="3">
        <f>2344+(381.3-919.9)+(-3.58632+(-0.583389--1.407447))+0-0-0</f>
        <v>1802.6377380000001</v>
      </c>
      <c r="AC110" s="3">
        <f>2342.4+(387.4-972)+(-2.389248+(-0.395148--0.99144))+0-0-0</f>
        <v>1756.0070440000002</v>
      </c>
      <c r="AD110" s="2">
        <v>1811.1</v>
      </c>
      <c r="AE110" s="3">
        <f>2359+(318-865.9)+(0+(0-0))+0-0-0</f>
        <v>1811.1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2230.4+(381.4-965.8)+(-2.275008+(-0.389028--0.985116))+0-0-0</f>
        <v>1644.3210799999999</v>
      </c>
      <c r="G111" s="3">
        <f>1792.9+(421.6-686)+(-1.828758+(-0.430032--0.69972))+0-0-0</f>
        <v>1526.94093</v>
      </c>
      <c r="H111" s="3">
        <f>1471.6+(429.5-461.8)+(-2.251548+(-0.657135--0.706554))+0-0-0</f>
        <v>1437.0978709999999</v>
      </c>
      <c r="I111" s="3">
        <f>1391.4+(399.3-413.7)+(-4.257684+(-1.221858--1.265922))+0-0-0</f>
        <v>1372.78638</v>
      </c>
      <c r="J111" s="3">
        <f>1370.2+(391.2-436)+(-3.49401+(-0.99756--1.1118))+0-0-0</f>
        <v>1322.0202300000001</v>
      </c>
      <c r="K111" s="3">
        <f>1367.3+(388.3-511.4)+(-6.275907+(-1.782297--2.347326))+0-0-0</f>
        <v>1238.489122</v>
      </c>
      <c r="L111" s="3">
        <f>1377.6+(387.2-636)+(0+(0-0))+0-0-0</f>
        <v>1128.8</v>
      </c>
      <c r="M111" s="3">
        <f>1637.7+(363.8-784.4)+(0.835227+(0.185538-0.400044))+0-0-0</f>
        <v>1217.7207210000001</v>
      </c>
      <c r="N111" s="3">
        <f>1966.1+(346.5-955.2)+(2.005422+(0.35343-0.974304))+0-0-0</f>
        <v>1358.7845479999999</v>
      </c>
      <c r="O111" s="3">
        <f>2154.3+(365.6-1050.7)+(1.098693+(0.186456-0.535857))+0-0-0</f>
        <v>1469.9492920000002</v>
      </c>
      <c r="P111" s="3">
        <f>2212.4+(321.5-973.4)+(1.128324+(0.163965-0.496434))+0-0-0</f>
        <v>1561.2958550000001</v>
      </c>
      <c r="Q111" s="3">
        <f>2351.5+(297.3-1003.4)+(1.199265+(0.151623-0.511734))+0-0-0</f>
        <v>1646.2391540000001</v>
      </c>
      <c r="R111" s="3">
        <f>2348.6+(269.8-893.3)+(0+(0-0))+0-0-0</f>
        <v>1725.1</v>
      </c>
      <c r="S111" s="3">
        <f>2334.6+(293.2-842.4)+(-1.190646+(-0.149532--0.429624))+0-0-0</f>
        <v>1784.4894459999998</v>
      </c>
      <c r="T111" s="3">
        <f>2347.3+(306.7-832.4)+(2.394246+(0.312834-0.849048))+0-0-0</f>
        <v>1823.4580320000002</v>
      </c>
      <c r="U111" s="3">
        <f>2344.2+(291.3-848.4)+(0+(0-0))+0-0-0</f>
        <v>1787.1</v>
      </c>
      <c r="V111" s="3">
        <f>2338+(318.2-924.8)+(0+(0-0))+0-0-0</f>
        <v>1731.4</v>
      </c>
      <c r="W111" s="3">
        <f>2311.1+(307.1-953.9)+(-7.071966+(-0.939726--2.918934))+0-0-0</f>
        <v>1659.207242</v>
      </c>
      <c r="X111" s="3">
        <f>2290.8+(341.8-1067)+(-10.514772+(-1.568862--4.89753))+0-0-0</f>
        <v>1558.413896</v>
      </c>
      <c r="Y111" s="3">
        <f>2317.3+(263.5-1065.4)+(-2.363646+(-0.26877--1.086708))+0-0-0</f>
        <v>1513.854292</v>
      </c>
      <c r="Z111" s="3">
        <f>2348+(144.7-847)+(0+(0-0))+0-0-0</f>
        <v>1645.7</v>
      </c>
      <c r="AA111" s="3">
        <f>2355.5+(243.7-772.8)+(-2.40261+(-0.248574--0.788256))+0-0-0</f>
        <v>1824.5370720000001</v>
      </c>
      <c r="AB111" s="3">
        <f>2344.9+(310.1-813.3)+(-4.783596+(-0.632604--1.659132))+0-0-0</f>
        <v>1837.9429320000004</v>
      </c>
      <c r="AC111" s="3">
        <f>2332.2+(415-950.7)+(-2.378844+(-0.4233--0.969714))+0-0-0</f>
        <v>1794.6675699999998</v>
      </c>
      <c r="AD111" s="2">
        <v>1864.7000000000003</v>
      </c>
      <c r="AE111" s="3">
        <f>2350.8+(294.8-780.9)+(0+(0-0))+0-0-0</f>
        <v>1864.7000000000003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2009.4+(524.5-813)+(-2.049588+(-0.53499--0.82926))+0-0-0</f>
        <v>1719.1446820000001</v>
      </c>
      <c r="G112" s="3">
        <f>1906.7+(511-822.6)+(-2.917251+(-0.78183--1.258578))+0-0-0</f>
        <v>1592.6594969999999</v>
      </c>
      <c r="H112" s="3">
        <f>1651.8+(471.3-625.7)+(-4.21209+(-1.201815--1.595535))+0-0-0</f>
        <v>1493.5816299999999</v>
      </c>
      <c r="I112" s="3">
        <f>1486.6+(498.1-562.6)+(0.758166+(0.254031-0.286926))+0-0-0</f>
        <v>1422.8252709999999</v>
      </c>
      <c r="J112" s="3">
        <f>1427.9+(453.7-517.5)+(-0.728229+(-0.231387--0.263925))+0-0-0</f>
        <v>1363.4043090000002</v>
      </c>
      <c r="K112" s="3">
        <f>1475+(465.5-657.4)+(-2.25675+(-0.712215--1.005822))+0-0-0</f>
        <v>1281.136857</v>
      </c>
      <c r="L112" s="3">
        <f>1480.2+(413.7-721.5)+(0+(0-0))+0-0-0</f>
        <v>1172.4000000000001</v>
      </c>
      <c r="M112" s="3">
        <f>1698.6+(408-858.7)+(-0.866286+(-0.20808--0.437937))+0-0-0</f>
        <v>1247.263571</v>
      </c>
      <c r="N112" s="3">
        <f>2042+(369.5-1008.4)+(4.16568+(0.75378-2.057136))+0-0-0</f>
        <v>1405.9623239999999</v>
      </c>
      <c r="O112" s="3">
        <f>2178.5+(367.7-1024.9)+(-2.22207+(-0.375054--1.045398))+0-0-0</f>
        <v>1519.748274</v>
      </c>
      <c r="P112" s="3">
        <f>2414.1+(361.7-1153)+(-1.231191+(-0.184467--0.58803))+0-0-0</f>
        <v>1621.972372</v>
      </c>
      <c r="Q112" s="3">
        <f>2513.8+(347.5-1136.2)+(5.128152+(0.7089-2.317848))+0-0-0</f>
        <v>1728.6192040000001</v>
      </c>
      <c r="R112" s="3">
        <f>2565.8+(317.5-1064.5)+(2.617116+(0.32385-1.08579))+0-0-0</f>
        <v>1820.6551760000002</v>
      </c>
      <c r="S112" s="3">
        <f>2639.3+(312.3-1064.8)+(1.346043+(0.159273-0.543048))+0-0-0</f>
        <v>1887.7622680000002</v>
      </c>
      <c r="T112" s="3">
        <f>2646+(313.2-1060.1)+(-1.34946+(-0.159732--0.540651))+0-0-0</f>
        <v>1898.1314590000002</v>
      </c>
      <c r="U112" s="3">
        <f>2662.7+(281.7-1100.1)+(0+(0-0))+0-0-0</f>
        <v>1844.3</v>
      </c>
      <c r="V112" s="3">
        <f>2674.6+(275.5-1204.9)+(1.364046+(0.140505-0.614499))+0-0-0</f>
        <v>1746.0900519999998</v>
      </c>
      <c r="W112" s="3">
        <f>2667.4+(292.7-1318.7)+(0+(0-0))+0-0-0</f>
        <v>1641.4</v>
      </c>
      <c r="X112" s="3">
        <f>2665.2+(335.4-1428.8)+(-2.718504+(-0.342108--1.457376))+0-0-0</f>
        <v>1570.1967639999998</v>
      </c>
      <c r="Y112" s="3">
        <f>2527.3+(277.3-1267.5)+(5.155692+(0.565692-2.5857))+0-0-0</f>
        <v>1540.2356840000002</v>
      </c>
      <c r="Z112" s="3">
        <f>2648.8+(299.9-1278.4)+(4.052664+(0.458847-1.955952))+0-0-0</f>
        <v>1672.8555590000001</v>
      </c>
      <c r="AA112" s="3">
        <f>2711.7+(322.4-1207.1)+(-5.531868+(-0.657696--2.462484))+0-0-0</f>
        <v>1823.2729200000001</v>
      </c>
      <c r="AB112" s="3">
        <f>2717.1+(338-1219.4)+(-4.157163+(-0.51714--1.865682))+0-0-0</f>
        <v>1832.8913789999999</v>
      </c>
      <c r="AC112" s="3">
        <f>2518.6+(369.1-1099.6)+(-1.284486+(-0.188241--0.560796))+0-0-0</f>
        <v>1787.1880689999998</v>
      </c>
      <c r="AD112" s="2">
        <v>1826.7</v>
      </c>
      <c r="AE112" s="3">
        <f>2710+(305.5-1188.8)+(0+(0-0))+0-0-0</f>
        <v>1826.7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2432+(333.3-1075.2)+(-3.72096+(-0.509949--1.645056))+0-0-0</f>
        <v>1687.5141469999999</v>
      </c>
      <c r="G113" s="3">
        <f>2236.5+(327.5-987.1)+(-5.703075+(-0.835125--2.517105))+0-0-0</f>
        <v>1572.878905</v>
      </c>
      <c r="H113" s="3">
        <f>1979.3+(391.6-875.3)+(-4.037772+(-0.798864--1.785612))+0-0-0</f>
        <v>1492.5489759999998</v>
      </c>
      <c r="I113" s="3">
        <f>1912.3+(406.2-883.6)+(-4.876365+(-1.03581--2.25318))+0-0-0</f>
        <v>1431.2410049999999</v>
      </c>
      <c r="J113" s="3">
        <f>1835+(391-848)+(-0.93585+(-0.19941--0.43248))+0-0-0</f>
        <v>1377.2972199999999</v>
      </c>
      <c r="K113" s="3">
        <f>1715.7+(438-866.9)+(0+(0-0))+0-0-0</f>
        <v>1286.8000000000002</v>
      </c>
      <c r="L113" s="3">
        <f>1644.9+(390.6-847.5)+(-2.516697+(-0.597618--1.296675))+0-0-0</f>
        <v>1186.18236</v>
      </c>
      <c r="M113" s="3">
        <f>1674.1+(437.2-866.6)+(2.561373+(0.668916-1.325898))+0-0-0</f>
        <v>1246.6043909999999</v>
      </c>
      <c r="N113" s="3">
        <f>2023.8+(481.7-1130.4)+(0+(0-0))+0-0-0</f>
        <v>1375.1</v>
      </c>
      <c r="O113" s="3">
        <f>2370.6+(447-1332.1)+(0+(0-0))+0-0-0</f>
        <v>1485.5</v>
      </c>
      <c r="P113" s="3">
        <f>2540.8+(369.5-1326.6)+(0+(0-0))+0-0-0</f>
        <v>1583.7000000000003</v>
      </c>
      <c r="Q113" s="3">
        <f>2676.2+(310.9-1321.7)+(2.729724+(0.317118-1.348134))+0-0-0</f>
        <v>1667.0987079999995</v>
      </c>
      <c r="R113" s="3">
        <f>2674+(299.1-1199.7)+(2.72748+(0.305082-1.223694))+0-0-0</f>
        <v>1775.2088680000002</v>
      </c>
      <c r="S113" s="3">
        <f>2659.9+(285.4-1130.3)+(-4.069647+(-0.436662--1.729359))+0-0-0</f>
        <v>1812.2230500000001</v>
      </c>
      <c r="T113" s="3">
        <f>2687.1+(270.7-1131.4)+(-2.740842+(-0.276114--1.154028))+0-0-0</f>
        <v>1824.5370719999999</v>
      </c>
      <c r="U113" s="3">
        <f>2693.2+(243.2-1155.9)+(-5.494128+(-0.496128--2.358036))+0-0-0</f>
        <v>1776.8677799999998</v>
      </c>
      <c r="V113" s="3">
        <f>2695.3+(214.8-1201.8)+(-1.374603+(-0.109548--0.612918))+0-0-0</f>
        <v>1707.4287670000001</v>
      </c>
      <c r="W113" s="3">
        <f>2699.4+(221.9-1280.8)+(-4.130082+(-0.339507--1.959624))+0-0-0</f>
        <v>1637.9900350000003</v>
      </c>
      <c r="X113" s="3">
        <f>2700.2+(272.8-1400.4)+(-6.88551+(-0.69564--3.57102))+0-0-0</f>
        <v>1568.5898699999998</v>
      </c>
      <c r="Y113" s="3">
        <f>2502.9+(148-1101.8)+(0+(0-0))+0-0-0</f>
        <v>1549.1000000000001</v>
      </c>
      <c r="Z113" s="3">
        <f>2622.6+(207-1135.1)+(0+(0-0))+0-0-0</f>
        <v>1694.5</v>
      </c>
      <c r="AA113" s="3">
        <f>2834.9+(242.1-1234)+(-4.337397+(-0.370413--1.88802))+0-0-0</f>
        <v>1840.18021</v>
      </c>
      <c r="AB113" s="3">
        <f>2751.6+(280-1218.6)+(-4.209948+(-0.4284--1.864458))+0-0-0</f>
        <v>1810.2261100000001</v>
      </c>
      <c r="AC113" s="3">
        <f>2661.5+(334.4-1228.2)+(-2.71473+(-0.341088--1.252764))+0-0-0</f>
        <v>1765.8969459999998</v>
      </c>
      <c r="AD113" s="2">
        <v>1852.6000000000001</v>
      </c>
      <c r="AE113" s="3">
        <f>2846.8+(255.1-1249.3)+(0+(0-0))+0-0-0</f>
        <v>1852.6000000000004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2493+(313.1-1156)+(-1.27143+(-0.159681--0.58956))+0-0-0</f>
        <v>1649.2584489999999</v>
      </c>
      <c r="G114" s="3">
        <f>2323.1+(309.8-1088.7)+(-4.739124+(-0.631992--2.220948))+0-0-0</f>
        <v>1541.0498319999999</v>
      </c>
      <c r="H114" s="3">
        <f>1937.1+(350.5-853.2)+(-0.987921+(-0.178755--0.435132))+0-0-0</f>
        <v>1433.6684559999999</v>
      </c>
      <c r="I114" s="3">
        <f>1937.3+(291.9-842.9)+(-2.964069+(-0.446607--1.289637))+0-0-0</f>
        <v>1384.1789609999998</v>
      </c>
      <c r="J114" s="3">
        <f>1941.9+(252.9-855.4)+(-1.980738+(-0.257958--0.872508))+0-0-0</f>
        <v>1338.0338120000001</v>
      </c>
      <c r="K114" s="3">
        <f>1941.8+(235.7-919)+(-5.941908+(-0.721242--2.81214))+0-0-0</f>
        <v>1254.6489899999999</v>
      </c>
      <c r="L114" s="3">
        <f>1942.9+(179.6-951.9)+(0+(0-0))+0-0-0</f>
        <v>1170.6000000000001</v>
      </c>
      <c r="M114" s="3">
        <f>2144.4+(162.8-1069.4)+(1.093644+(0.083028-0.545394))+0-0-0</f>
        <v>1238.431278</v>
      </c>
      <c r="N114" s="3">
        <f>2342.1+(181-1161.3)+(2.388942+(0.18462-1.184526))+0-0-0</f>
        <v>1363.189036</v>
      </c>
      <c r="O114" s="3">
        <f>2509.5+(217.7-1251.2)+(0+(0-0))+0-0-0</f>
        <v>1476</v>
      </c>
      <c r="P114" s="3">
        <f>2691.3+(213.3-1320.9)+(4.117689+(0.326349-2.020977))+0-0-0</f>
        <v>1586.123061</v>
      </c>
      <c r="Q114" s="3">
        <f>2712.9+(181.1-1244.4)+(-2.767158+(-0.184722--1.269288))+0-0-0</f>
        <v>1647.9174079999998</v>
      </c>
      <c r="R114" s="3">
        <f>2796.2+(141.9-1217.1)+(1.426062+(0.072369-0.620721))+0-0-0</f>
        <v>1721.87771</v>
      </c>
      <c r="S114" s="3">
        <f>2767.8+(144.4-1135.4)+(-7.05789+(-0.36822--2.89527))+0-0-0</f>
        <v>1772.2691600000003</v>
      </c>
      <c r="T114" s="3">
        <f>2778.5+(176.5-1159.8)+(-2.83407+(-0.18003--1.182996))+0-0-0</f>
        <v>1793.3688959999999</v>
      </c>
      <c r="U114" s="3">
        <f>2815.1+(152.5-1208.6)+(-1.435701+(-0.077775--0.616386))+0-0-0</f>
        <v>1758.1029100000001</v>
      </c>
      <c r="V114" s="3">
        <f>2798.1+(164-1246.9)+(1.427031+(0.08364-0.635919))+0-0-0</f>
        <v>1716.0747519999998</v>
      </c>
      <c r="W114" s="3">
        <f>2780.8+(179.7-1290.5)+(-1.418208+(-0.091647--0.658155))+0-0-0</f>
        <v>1669.1483000000003</v>
      </c>
      <c r="X114" s="3">
        <f>2688+(243.7-1339.9)+(-2.74176+(-0.248574--1.366698))+0-0-0</f>
        <v>1590.1763639999999</v>
      </c>
      <c r="Y114" s="3">
        <f>2522+(234.2-1224.6)+(-5.14488+(-0.477768--2.498184))+0-0-0</f>
        <v>1528.4755360000001</v>
      </c>
      <c r="Z114" s="3">
        <f>2727.1+(190.6-1230.6)+(5.563284+(0.388824-2.510424))+0-0-0</f>
        <v>1690.5416839999998</v>
      </c>
      <c r="AA114" s="3">
        <f>2823.6+(193.5-1151.4)+(-2.880072+(-0.19737--1.174428))+0-0-0</f>
        <v>1863.7969859999998</v>
      </c>
      <c r="AB114" s="3">
        <f>2741.4+(213.8-1107.4)+(-5.592456+(-0.436152--2.259096))+0-0-0</f>
        <v>1844.0304879999999</v>
      </c>
      <c r="AC114" s="3">
        <f>2567.8+(277.9-1114.5)+(1.309578+(0.141729-0.568395))+0-0-0</f>
        <v>1732.0829120000003</v>
      </c>
      <c r="AD114" s="2">
        <v>1905.3000000000002</v>
      </c>
      <c r="AE114" s="3">
        <f>2816+(216.9-1127.6)+(0+(0-0))+0-0-0</f>
        <v>1905.3000000000002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2301.4+(275.4-1006.3)+(-1.173714+(-0.140454--0.513213))+0-0-0</f>
        <v>1569.6990450000001</v>
      </c>
      <c r="G115" s="3">
        <f>2184+(306.1-1009.1)+(-1.11384+(-0.156111--0.514641))+0-0-0</f>
        <v>1480.24469</v>
      </c>
      <c r="H115" s="3">
        <f>1968.8+(310.2-785.1)+(-2.008176+(-0.316404--0.800802))+0-0-0</f>
        <v>1492.3762219999999</v>
      </c>
      <c r="I115" s="3">
        <f>1853.6+(284.5-702.2)+(-2.836008+(-0.435285--1.074366))+0-0-0</f>
        <v>1433.7030729999999</v>
      </c>
      <c r="J115" s="3">
        <f>1782.5+(279.4-680.2)+(-1.81815+(-0.284988--0.693804))+0-0-0</f>
        <v>1380.2906659999999</v>
      </c>
      <c r="K115" s="3">
        <f>1719.2+(304.7-717.8)+(-1.753584+(-0.310794--0.732156))+0-0-0</f>
        <v>1304.7677780000001</v>
      </c>
      <c r="L115" s="3">
        <f>1652.4+(251.1-692.1)+(0.842724+(0.128061-0.352971))+0-0-0</f>
        <v>1212.017814</v>
      </c>
      <c r="M115" s="3">
        <f>1766.6+(221-728.9)+(2.702898+(0.33813-1.115217))+0-0-0</f>
        <v>1260.6258109999999</v>
      </c>
      <c r="N115" s="3">
        <f>1917.8+(235.8-784.1)+(-0.978078+(-0.120258--0.399891))+0-0-0</f>
        <v>1368.801555</v>
      </c>
      <c r="O115" s="3">
        <f>2036.2+(315.6-884.4)+(4.153848+(0.643824-1.804176))+0-0-0</f>
        <v>1470.3934960000001</v>
      </c>
      <c r="P115" s="3">
        <f>2120.6+(263.4-832.8)+(0+(0-0))+0-0-0</f>
        <v>1551.1999999999998</v>
      </c>
      <c r="Q115" s="3">
        <f>2182.1+(257.5-810)+(4.451484+(0.5253-1.6524))+0-0-0</f>
        <v>1632.9243839999999</v>
      </c>
      <c r="R115" s="3">
        <f>2325.7+(195.3-824.5)+(-1.186107+(-0.099603--0.420495))+0-0-0</f>
        <v>1695.6347849999997</v>
      </c>
      <c r="S115" s="3">
        <f>2729.4+(152.1-1183.7)+(-2.783988+(-0.155142--1.207374))+0-0-0</f>
        <v>1696.068244</v>
      </c>
      <c r="T115" s="3">
        <f>2743.5+(162.5-1249.7)+(2.79837+(0.16575-1.274694))+0-0-0</f>
        <v>1657.9894259999999</v>
      </c>
      <c r="U115" s="3">
        <f>2726.5+(154.7-1284.8)+(-1.390515+(-0.078897--0.655248))+0-0-0</f>
        <v>1595.5858360000002</v>
      </c>
      <c r="V115" s="3">
        <f>2726.2+(157.9-1335)+(-2.780724+(-0.161058--1.3617))+0-0-0</f>
        <v>1547.519918</v>
      </c>
      <c r="W115" s="3">
        <f>2735.8+(180-1397.8)+(1.395258+(0.0918-0.712878))+0-0-0</f>
        <v>1518.7741800000001</v>
      </c>
      <c r="X115" s="3">
        <f>2659.7+(244-1427.2)+(-4.069341+(-0.37332--2.183616))+0-0-0</f>
        <v>1474.2409549999998</v>
      </c>
      <c r="Y115" s="3">
        <f>2507.2+(235-1274.5)+(-5.114688+(-0.4794--2.59998))+0-0-0</f>
        <v>1464.7058919999997</v>
      </c>
      <c r="Z115" s="3">
        <f>2554.8+(187.1-1144.5)+(1.302948+(0.095421-0.583695))+0-0-0</f>
        <v>1598.2146740000001</v>
      </c>
      <c r="AA115" s="3">
        <f>2701.1+(181.1-1185.2)+(-4.132683+(-0.277083--1.813356))+0-0-0</f>
        <v>1694.4035899999999</v>
      </c>
      <c r="AB115" s="3">
        <f>2716.6+(233.9-1276.1)+(-2.770932+(-0.238578--1.301622))+0-0-0</f>
        <v>1672.6921120000002</v>
      </c>
      <c r="AC115" s="3">
        <f>2612.3+(287.3-1260.3)+(-3.996819+(-0.439569--1.928259))+0-0-0</f>
        <v>1636.7918710000001</v>
      </c>
      <c r="AD115" s="2">
        <v>1733</v>
      </c>
      <c r="AE115" s="3">
        <f>2726+(206.4-1199.4)+(0+(0-0))+0-0-0</f>
        <v>1733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2594.7+(291.9-1292.6)+(3.969891+(0.446607-1.977678))+0-0-0</f>
        <v>1596.4388200000001</v>
      </c>
      <c r="G116" s="3">
        <f>2407.8+(291.4-1192.1)+(0+(0-0))+0-0-0</f>
        <v>1507.1000000000004</v>
      </c>
      <c r="H116" s="3">
        <f>2073.9+(341.6-1005)+(2.115378+(0.348432-1.0251))+0-0-0</f>
        <v>1411.9387099999999</v>
      </c>
      <c r="I116" s="3">
        <f>1813.9+(391.1-862.7)+(-1.850178+(-0.398922--0.879954))+0-0-0</f>
        <v>1340.9308540000002</v>
      </c>
      <c r="J116" s="3">
        <f>1783.1+(327.4-815.8)+(-0.909381+(-0.166974--0.416058))+0-0-0</f>
        <v>1294.0397029999999</v>
      </c>
      <c r="K116" s="3">
        <f>1719.5+(336.1-836.5)+(-4.384725+(-0.857055--2.133075))+0-0-0</f>
        <v>1215.9912949999998</v>
      </c>
      <c r="L116" s="3">
        <f>1577.7+(283.6-755)+(-3.218508+(-0.578544--1.5402))+0-0-0</f>
        <v>1104.0431480000002</v>
      </c>
      <c r="M116" s="3">
        <f>1556.7+(214.8-698.4)+(-0.793917+(-0.109548--0.356184))+0-0-0</f>
        <v>1072.552719</v>
      </c>
      <c r="N116" s="3">
        <f>1846.1+(154.7-873)+(-1.883022+(-0.157794--0.89046))+0-0-0</f>
        <v>1126.6496439999999</v>
      </c>
      <c r="O116" s="3">
        <f>2430.2+(111-1338.6)+(-2.478804+(-0.11322--1.365372))+0-0-0</f>
        <v>1201.3733479999999</v>
      </c>
      <c r="P116" s="3">
        <f>2624.4+(75.4-1418.6)+(-1.338444+(-0.038454--0.723486))+0-0-0</f>
        <v>1280.5465880000004</v>
      </c>
      <c r="Q116" s="3">
        <f>2622.3+(113.7-1402)+(-1.337373+(-0.057987--0.71502))+0-0-0</f>
        <v>1333.3196600000003</v>
      </c>
      <c r="R116" s="3">
        <f>2626.5+(117.9-1400)+(0+(0-0))+0-0-0</f>
        <v>1344.4</v>
      </c>
      <c r="S116" s="3">
        <f>2625.7+(148.1-1437.6)+(-2.678214+(-0.151062--1.466352))+0-0-0</f>
        <v>1334.8370759999998</v>
      </c>
      <c r="T116" s="3">
        <f>2636.9+(155.1-1472.2)+(2.689638+(0.158202-1.501644))+0-0-0</f>
        <v>1321.1461959999999</v>
      </c>
      <c r="U116" s="3">
        <f>2627.6+(138.9-1479)+(-2.680152+(-0.141678--1.50858))+0-0-0</f>
        <v>1286.1867500000001</v>
      </c>
      <c r="V116" s="3">
        <f>2623.4+(115.2-1482.4)+(-5.351736+(-0.235008--3.024096))+0-0-0</f>
        <v>1253.637352</v>
      </c>
      <c r="W116" s="3">
        <f>2627.5+(87.4-1471.2)+(-2.68005+(-0.089148--1.500624))+0-0-0</f>
        <v>1242.4314260000001</v>
      </c>
      <c r="X116" s="3">
        <f>2627.5+(148.1-1529.1)+(-4.020075+(-0.226593--2.339523))+0-0-0</f>
        <v>1244.5928550000001</v>
      </c>
      <c r="Y116" s="3">
        <f>2336.2+(146.1-1215.1)+(-1.191462+(-0.074511--0.619701))+0-0-0</f>
        <v>1266.5537279999999</v>
      </c>
      <c r="Z116" s="3">
        <f>2489.7+(183.2-1274.7)+(0+(0-0))+0-0-0</f>
        <v>1398.1999999999998</v>
      </c>
      <c r="AA116" s="3">
        <f>2648.4+(173-1325.6)+(4.052052+(0.26469-2.028168))+0-0-0</f>
        <v>1498.0885740000001</v>
      </c>
      <c r="AB116" s="3">
        <f>2627.5+(197.8-1344)+(-4.020075+(-0.302634--2.05632))+0-0-0</f>
        <v>1479.0336110000001</v>
      </c>
      <c r="AC116" s="3">
        <f>2565+(241.9-1374.7)+(-3.92445+(-0.370107--2.103291))+0-0-0</f>
        <v>1430.008734</v>
      </c>
      <c r="AD116" s="2">
        <v>1522.0000000000002</v>
      </c>
      <c r="AE116" s="3">
        <f>2652.8+(215.9-1346.7)+(0+(0-0))+0-0-0</f>
        <v>1522.0000000000002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2308.2+(253.2-1192.3)+(-1.177182+(-0.129132--0.608073))+0-0-0</f>
        <v>1368.4017589999999</v>
      </c>
      <c r="G117" s="3">
        <f>1951.1+(257.8-936.9)+(-2.985183+(-0.394434--1.433457))+0-0-0</f>
        <v>1270.05384</v>
      </c>
      <c r="H117" s="3">
        <f>1902.2+(242.6-939.7)+(-1.940244+(-0.247452--0.958494))+0-0-0</f>
        <v>1203.8707979999999</v>
      </c>
      <c r="I117" s="3">
        <f>1829+(219.8-887.5)+(-1.86558+(-0.224196--0.90525))+0-0-0</f>
        <v>1160.1154739999999</v>
      </c>
      <c r="J117" s="3">
        <f>1818.6+(208.2-891)+(-1.854972+(-0.212364--0.90882))+0-0-0</f>
        <v>1134.641484</v>
      </c>
      <c r="K117" s="3">
        <f>1710.7+(255.8-871.6)+(-3.489828+(-0.521832--1.778064))+0-0-0</f>
        <v>1092.6664040000001</v>
      </c>
      <c r="L117" s="3">
        <f>1560+(227.6-744.3)+(0+(0-0))+0-0-0</f>
        <v>1043.3000000000002</v>
      </c>
      <c r="M117" s="3">
        <f>1719.9+(245.2-835.6)+(-0.877149+(-0.125052--0.426156))+0-0-0</f>
        <v>1128.923955</v>
      </c>
      <c r="N117" s="3">
        <f>2170.2+(249.7-1145.7)+(2.213604+(0.254694-1.168614))+0-0-0</f>
        <v>1275.4996839999999</v>
      </c>
      <c r="O117" s="3">
        <f>2494+(268.2-1372.4)+(-1.27194+(-0.136782--0.699924))+0-0-0</f>
        <v>1389.0912020000001</v>
      </c>
      <c r="P117" s="3">
        <f>2630.3+(285-1430.3)+(2.682906+(0.2907-1.458906))+0-0-0</f>
        <v>1486.5147000000002</v>
      </c>
      <c r="Q117" s="3">
        <f>2676.1+(290.4-1398.7)+(1.364811+(0.148104-0.713337))+0-0-0</f>
        <v>1568.5995779999998</v>
      </c>
      <c r="R117" s="3">
        <f>2681.7+(307-1336)+(1.367667+(0.15657-0.68136))+0-0-0</f>
        <v>1653.5428769999999</v>
      </c>
      <c r="S117" s="3">
        <f>2687+(299.4-1277.9)+(-1.37037+(-0.152694--0.651729))+0-0-0</f>
        <v>1707.628665</v>
      </c>
      <c r="T117" s="3">
        <f>2667.4+(301.3-1219.9)+(-4.081122+(-0.460989--1.866447))+0-0-0</f>
        <v>1746.1243359999999</v>
      </c>
      <c r="U117" s="3">
        <f>2652.6+(293.9-1207.1)+(-5.411304+(-0.599556--2.462484))+0-0-0</f>
        <v>1735.8516240000001</v>
      </c>
      <c r="V117" s="3">
        <f>2583.6+(310.1-1180.6)+(-5.270544+(-0.632604--2.408424))+0-0-0</f>
        <v>1709.605276</v>
      </c>
      <c r="W117" s="3">
        <f>2555.2+(321.7-1192.3)+(-3.909456+(-0.492201--1.824219))+0-0-0</f>
        <v>1682.0225619999999</v>
      </c>
      <c r="X117" s="3">
        <f>2497+(390.2-1271.4)+(-8.91429+(-1.393014--4.538898))+0-0-0</f>
        <v>1610.031594</v>
      </c>
      <c r="Y117" s="3">
        <f>2484.2+(321.9-1252.1)+(-6.33471+(-0.820845--3.192855))+0-0-0</f>
        <v>1550.0373</v>
      </c>
      <c r="Z117" s="3">
        <f>2705.7+(220.9-1241.8)+(5.519628+(0.450636-2.533272))+0-0-0</f>
        <v>1688.2369919999996</v>
      </c>
      <c r="AA117" s="3">
        <f>2774.2+(243.3-1159.6)+(-1.414842+(-0.124083--0.591396))+0-0-0</f>
        <v>1856.9524709999998</v>
      </c>
      <c r="AB117" s="3">
        <f>2658.7+(279.9-1103.7)+(-8.135622+(-0.856494--3.377322))+0-0-0</f>
        <v>1829.2852059999996</v>
      </c>
      <c r="AC117" s="3">
        <f>2593.9+(362.4-1166.7)+(1.322889+(0.184824-0.595017))+0-0-0</f>
        <v>1790.512696</v>
      </c>
      <c r="AD117" s="2">
        <v>1848.4999999999998</v>
      </c>
      <c r="AE117" s="3">
        <f>2718+(247.7-1117.2)+(0+(0-0))+0-0-0</f>
        <v>1848.5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2531.9+(361.6-1212)+(-3.873807+(-0.553248--1.85436))+0-0-0</f>
        <v>1678.9273049999999</v>
      </c>
      <c r="G118" s="3">
        <f>2181.8+(435.2-1066.9)+(1.112718+(0.221952-0.544119))+0-0-0</f>
        <v>1550.8905510000002</v>
      </c>
      <c r="H118" s="3">
        <f>1849.5+(455-866.4)+(-0.943245+(-0.23205--0.441864))+0-0-0</f>
        <v>1437.3665689999998</v>
      </c>
      <c r="I118" s="3">
        <f>1802.8+(404.4-835.1)+(-1.838856+(-0.412488--0.851802))+0-0-0</f>
        <v>1370.7004579999998</v>
      </c>
      <c r="J118" s="3">
        <f>1680.7+(358.2-717.7)+(-3.428628+(-0.730728--1.464108))+0-0-0</f>
        <v>1318.5047520000001</v>
      </c>
      <c r="K118" s="3">
        <f>1633.5+(327.5-710.5)+(-2.499255+(-0.501075--1.087065))+0-0-0</f>
        <v>1248.5867350000001</v>
      </c>
      <c r="L118" s="3">
        <f>1634.4+(292.2-773.6)+(-4.16772+(-0.74511--1.97268))+0-0-0</f>
        <v>1150.0598500000001</v>
      </c>
      <c r="M118" s="3">
        <f>1779.2+(324-877.5)+(3.629568+(0.66096-1.7901))+0-0-0</f>
        <v>1228.2004280000001</v>
      </c>
      <c r="N118" s="3">
        <f>2211+(415.2-1257.3)+(0+(0-0))+0-0-0</f>
        <v>1368.9</v>
      </c>
      <c r="O118" s="3">
        <f>2411.5+(413.9-1300.7)+(2.45973+(0.422178-1.326714))+0-0-0</f>
        <v>1526.2551939999998</v>
      </c>
      <c r="P118" s="3">
        <f>2601.2+(399.4-1352.2)+(2.653224+(0.407388-1.379244))+0-0-0</f>
        <v>1650.0813679999997</v>
      </c>
      <c r="Q118" s="3">
        <f>2682.1+(395.4-1327.2)+(0+(0-0))+0-0-0</f>
        <v>1750.2999999999997</v>
      </c>
      <c r="R118" s="3">
        <f>2674.7+(405.7-1236.2)+(1.364097+(0.206907-0.630462))+0-0-0</f>
        <v>1845.1405419999999</v>
      </c>
      <c r="S118" s="3">
        <f>2651.6+(403.2-1151.3)+(-2.704632+(-0.411264--1.174326))+0-0-0</f>
        <v>1901.55843</v>
      </c>
      <c r="T118" s="3">
        <f>2631.1+(414.2-1118.2)+(-5.367444+(-0.844968--2.281128))+0-0-0</f>
        <v>1923.1687159999999</v>
      </c>
      <c r="U118" s="3">
        <f>2667.3+(394.5-1176.8)+(1.360323+(0.201195-0.600168))+0-0-0</f>
        <v>1885.9613500000003</v>
      </c>
      <c r="V118" s="3">
        <f>2653.5+(376.4-1230.3)+(-5.41314+(-0.767856--2.509812))+0-0-0</f>
        <v>1795.9288159999999</v>
      </c>
      <c r="W118" s="3">
        <f>2656.9+(381.7-1335.5)+(-2.710038+(-0.389334--1.36221))+0-0-0</f>
        <v>1701.3628380000002</v>
      </c>
      <c r="X118" s="3">
        <f>2620.5+(394.4-1403.1)+(-2.67291+(-0.402288--1.431162))+0-0-0</f>
        <v>1610.1559640000003</v>
      </c>
      <c r="Y118" s="3">
        <f>2452.9+(319.8-1211.8)+(0+(0-0))+0-0-0</f>
        <v>1560.9</v>
      </c>
      <c r="Z118" s="3">
        <f>2600.6+(316.9-1219.4)+(0+(0-0))+0-0-0</f>
        <v>1698.1</v>
      </c>
      <c r="AA118" s="3">
        <f>2714.4+(306.1-1182)+(-5.537376+(-0.624444--2.41128))+0-0-0</f>
        <v>1834.74946</v>
      </c>
      <c r="AB118" s="3">
        <f>2632.8+(333.5-1139)+(-5.370912+(-0.68034--2.32356))+0-0-0</f>
        <v>1823.5723080000002</v>
      </c>
      <c r="AC118" s="3">
        <f>2454.4+(386.7-1075.1)+(-6.25872+(-0.986085--2.741505))+0-0-0</f>
        <v>1761.4967000000001</v>
      </c>
      <c r="AD118" s="2">
        <v>1842.0000000000002</v>
      </c>
      <c r="AE118" s="3">
        <f>2727+(306.8-1191.8)+(0+(0-0))+0-0-0</f>
        <v>1842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2219.5+(432.7-1004.3)+(-5.659725+(-1.103385--2.560965))+0-0-0</f>
        <v>1643.6978550000001</v>
      </c>
      <c r="G119" s="3">
        <f>1972.6+(459.3-904.1)+(-3.018078+(-0.702729--1.383273))+0-0-0</f>
        <v>1525.4624659999999</v>
      </c>
      <c r="H119" s="3">
        <f>1798.5+(430.7-791.1)+(-0.917235+(-0.219657--0.403461))+0-0-0</f>
        <v>1437.3665689999998</v>
      </c>
      <c r="I119" s="3">
        <f>1659+(407.8-693.8)+(-4.23045+(-1.03989--1.76919))+0-0-0</f>
        <v>1369.4988499999999</v>
      </c>
      <c r="J119" s="3">
        <f>1612.6+(347.3-632.8)+(-3.289704+(-0.708492--1.290912))+0-0-0</f>
        <v>1324.3927159999998</v>
      </c>
      <c r="K119" s="3">
        <f>1617.2+(303.4-659.2)+(-1.649544+(-0.309468--0.672384))+0-0-0</f>
        <v>1260.113372</v>
      </c>
      <c r="L119" s="3">
        <f>1610.1+(329-775.3)+(-4.105755+(-0.83895--1.977015))+0-0-0</f>
        <v>1160.83231</v>
      </c>
      <c r="M119" s="3">
        <f>1697.4+(366.8-841.1)+(3.462696+(0.748272-1.715844))+0-0-0</f>
        <v>1225.5951240000002</v>
      </c>
      <c r="N119" s="3">
        <f>2205.6+(339.1-1172.1)+(5.62428+(0.864705-2.988855))+0-0-0</f>
        <v>1376.1001299999998</v>
      </c>
      <c r="O119" s="3">
        <f>2298.5+(301.9-1138)+(2.34447+(0.307938-1.16076))+0-0-0</f>
        <v>1463.891648</v>
      </c>
      <c r="P119" s="3">
        <f>2346.5+(239.3-1052)+(3.590145+(0.366129-1.60956))+0-0-0</f>
        <v>1536.146714</v>
      </c>
      <c r="Q119" s="3">
        <f>2355.2+(252.9-985.3)+(4.804608+(0.515916-2.010012))+0-0-0</f>
        <v>1626.1105119999997</v>
      </c>
      <c r="R119" s="3">
        <f>2340.8+(266.8-930)+(3.581424+(0.408204-1.4229))+0-0-0</f>
        <v>1680.1667280000001</v>
      </c>
      <c r="S119" s="3">
        <f>2319.3+(257.8-884)+(-1.182843+(-0.131478--0.45084))+0-0-0</f>
        <v>1692.236519</v>
      </c>
      <c r="T119" s="3">
        <f>2323.8+(289.6-905.2)+(0+(0-0))+0-0-0</f>
        <v>1708.2000000000003</v>
      </c>
      <c r="U119" s="3">
        <f>2301.8+(275.6-913.3)+(-5.86959+(-0.70278--2.328915))+0-0-0</f>
        <v>1659.8565450000003</v>
      </c>
      <c r="V119" s="3">
        <f>2327.3+(313.1-1022.8)+(1.186923+(0.159681-0.521628))+0-0-0</f>
        <v>1618.4249760000005</v>
      </c>
      <c r="W119" s="3">
        <f>2318.4+(326.3-1069)+(-3.547152+(-0.499239--1.63557))+0-0-0</f>
        <v>1573.2891790000001</v>
      </c>
      <c r="X119" s="3">
        <f>2308.6+(338.9-1141.3)+(-7.064316+(-1.037034--3.492378))+0-0-0</f>
        <v>1501.5910279999998</v>
      </c>
      <c r="Y119" s="3">
        <f>2199.5+(268.3-1009.1)+(0+(0-0))+0-0-0</f>
        <v>1458.7</v>
      </c>
      <c r="Z119" s="3">
        <f>2286.7+(263.6-975.8)+(-3.498651+(-0.403308--1.492974))+0-0-0</f>
        <v>1572.091015</v>
      </c>
      <c r="AA119" s="3">
        <f>2332+(272.7-902.8)+(-3.56796+(-0.417231--1.381284))+0-0-0</f>
        <v>1699.2960930000002</v>
      </c>
      <c r="AB119" s="3">
        <f>2326+(321.3-1006.3)+(-7.11756+(-0.983178--3.079278))+0-0-0</f>
        <v>1635.9785400000001</v>
      </c>
      <c r="AC119" s="3">
        <f>2276.7+(319.9-1086.7)+(-3.483351+(-0.489447--1.662651))+0-0-0</f>
        <v>1507.5898529999997</v>
      </c>
      <c r="AD119" s="2">
        <v>1698</v>
      </c>
      <c r="AE119" s="3">
        <f>2353+(280.4-935.4)+(0+(0-0))+0-0-0</f>
        <v>1698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2153.7+(284.2-1033.8)+(-7.688709+(-1.014594--3.690666))+0-0-0</f>
        <v>1399.0873629999999</v>
      </c>
      <c r="G120" s="3">
        <f>1860.2+(262.8-807.8)+(-4.74351+(-0.67014--2.05989))+0-0-0</f>
        <v>1311.8462400000001</v>
      </c>
      <c r="H120" s="3">
        <f>1647.2+(292.1-691.5)+(-3.360288+(-0.595884--1.41066))+0-0-0</f>
        <v>1245.2544880000003</v>
      </c>
      <c r="I120" s="3">
        <f>1578.7+(275.8-644.3)+(-3.220548+(-0.562632--1.314372))+0-0-0</f>
        <v>1207.731192</v>
      </c>
      <c r="J120" s="3">
        <f>1509.7+(239.4-574.3)+(0+(0-0))+0-0-0</f>
        <v>1174.8000000000002</v>
      </c>
      <c r="K120" s="3">
        <f>1474.7+(254.4-602.8)+(-3.008388+(-0.518976--1.229712))+0-0-0</f>
        <v>1124.0023480000002</v>
      </c>
      <c r="L120" s="3">
        <f>1398.3+(230.2-581.2)+(0+(0-0))+0-0-0</f>
        <v>1047.3</v>
      </c>
      <c r="M120" s="3">
        <f>1537.1+(340.9-758.9)+(2.351763+(0.521577-1.161117))+0-0-0</f>
        <v>1120.8122229999999</v>
      </c>
      <c r="N120" s="3">
        <f>2024.5+(349-1089.7)+(1.032495+(0.17799-0.555747))+0-0-0</f>
        <v>1284.4547379999999</v>
      </c>
      <c r="O120" s="3">
        <f>2212.1+(338.6-1140.6)+(1.128171+(0.172686-0.581706))+0-0-0</f>
        <v>1410.8191509999999</v>
      </c>
      <c r="P120" s="3">
        <f>2301.2+(343.7-1162.3)+(4.694448+(0.701148-2.371092))+0-0-0</f>
        <v>1485.6245039999999</v>
      </c>
      <c r="Q120" s="3">
        <f>2319.2+(331.2-1050)+(3.548376+(0.506736-1.6065))+0-0-0</f>
        <v>1602.8486119999998</v>
      </c>
      <c r="R120" s="3">
        <f>2327.9+(354.6-982.4)+(-1.187229+(-0.180846--0.501024))+0-0-0</f>
        <v>1699.2329490000002</v>
      </c>
      <c r="S120" s="3">
        <f>2389.4+(369.4-980)+(-3.655782+(-0.565182--1.4994))+0-0-0</f>
        <v>1776.0784360000002</v>
      </c>
      <c r="T120" s="3">
        <f>2385.3+(358.7-918.2)+(-1.216503+(-0.182937--0.468282))+0-0-0</f>
        <v>1824.8688420000001</v>
      </c>
      <c r="U120" s="3">
        <f>2351.2+(343.4-901.1)+(4.796448+(0.700536-1.838244))+0-0-0</f>
        <v>1797.1587399999999</v>
      </c>
      <c r="V120" s="3">
        <f>2344.6+(347.4-914.3)+(0+(0-0))+0-0-0</f>
        <v>1777.6999999999998</v>
      </c>
      <c r="W120" s="3">
        <f>2324.1+(353.1-933.4)+(-5.926455+(-0.900405--2.38017))+0-0-0</f>
        <v>1739.35331</v>
      </c>
      <c r="X120" s="3">
        <f>2321.8+(369.9-1043.3)+(-3.552354+(-0.565947--1.596249))+0-0-0</f>
        <v>1645.8779480000001</v>
      </c>
      <c r="Y120" s="3">
        <f>2334+(314.6-1073.5)+(-1.19034+(-0.160446--0.547485))+0-0-0</f>
        <v>1574.296699</v>
      </c>
      <c r="Z120" s="3">
        <f>2342.1+(297.4-930.5)+(2.388942+(0.303348-0.94911))+0-0-0</f>
        <v>1710.7431799999999</v>
      </c>
      <c r="AA120" s="3">
        <f>2365.9+(350.6-808.7)+(-2.413218+(-0.357612--0.824874))+0-0-0</f>
        <v>1905.8540440000002</v>
      </c>
      <c r="AB120" s="3">
        <f>2350.6+(389.4-823.9)+(-2.397612+(-0.397188--0.840378))+0-0-0</f>
        <v>1914.1455779999999</v>
      </c>
      <c r="AC120" s="3">
        <f>2346.5+(386.4-860.3)+(-2.39343+(-0.394128--0.877506))+0-0-0</f>
        <v>1870.689948</v>
      </c>
      <c r="AD120" s="2">
        <v>1891.4</v>
      </c>
      <c r="AE120" s="3">
        <f>2377+(334-819.6)+(0+(0-0))+0-0-0</f>
        <v>1891.4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2334.1+(386.3-947.9)+(-3.571173+(-0.591039--1.450287))+0-0-0</f>
        <v>1769.7880749999999</v>
      </c>
      <c r="G121" s="3">
        <f>2148.2+(396.4-901.8)+(-1.095582+(-0.202164--0.459918))+0-0-0</f>
        <v>1641.9621719999998</v>
      </c>
      <c r="H121" s="3">
        <f>2039.1+(399.5-906.5)+(-3.119823+(-0.611235--1.386945))+0-0-0</f>
        <v>1529.7558869999998</v>
      </c>
      <c r="I121" s="3">
        <f>1770.5+(403.4-708.1)+(-1.80591+(-0.411468--0.722262))+0-0-0</f>
        <v>1464.3048839999999</v>
      </c>
      <c r="J121" s="3">
        <f>1729.1+(363.5-688.5)+(-4.409205+(-0.926925--1.755675))+0-0-0</f>
        <v>1400.5195449999999</v>
      </c>
      <c r="K121" s="3">
        <f>1719.4+(298.8-698.2)+(-4.38447+(-0.76194--1.78041))+0-0-0</f>
        <v>1316.634</v>
      </c>
      <c r="L121" s="3">
        <f>1759.7+(290.4-857)+(1.794894+(0.296208-0.87414))+0-0-0</f>
        <v>1194.3169619999999</v>
      </c>
      <c r="M121" s="3">
        <f>2011.9+(257-948.5)+(-1.026069+(-0.13107--0.483735))+0-0-0</f>
        <v>1319.7265960000002</v>
      </c>
      <c r="N121" s="3">
        <f>2261.5+(282.1-1134)+(3.460095+(0.431613-1.73502))+0-0-0</f>
        <v>1411.7566879999999</v>
      </c>
      <c r="O121" s="3">
        <f>2580+(284.1-1324.5)+(0+(0-0))+0-0-0</f>
        <v>1539.6</v>
      </c>
      <c r="P121" s="3">
        <f>2673.1+(263-1270.2)+(2.726562+(0.26826-1.295604))+0-0-0</f>
        <v>1667.5992179999998</v>
      </c>
      <c r="Q121" s="3">
        <f>2703.8+(256.3-1196.2)+(4.136814+(0.392139-1.830186))+0-0-0</f>
        <v>1766.5987670000002</v>
      </c>
      <c r="R121" s="3">
        <f>2715.2+(277.9-1103.5)+(4.154256+(0.425187-1.688355))+0-0-0</f>
        <v>1892.491088</v>
      </c>
      <c r="S121" s="3">
        <f>2673.8+(265.9-990.5)+(-5.454552+(-0.542436--2.02062))+0-0-0</f>
        <v>1945.2236320000002</v>
      </c>
      <c r="T121" s="3">
        <f>2701.1+(319.8-964.8)+(0+(0-0))+0-0-0</f>
        <v>2056.1</v>
      </c>
      <c r="U121" s="3">
        <f>2661.7+(331.4-946.6)+(-4.072401+(-0.507042--1.448298))+0-0-0</f>
        <v>2043.3688549999997</v>
      </c>
      <c r="V121" s="3">
        <f>2655.7+(343.1-981.3)+(1.354407+(0.174981-0.500463))+0-0-0</f>
        <v>2018.5289250000001</v>
      </c>
      <c r="W121" s="3">
        <f>2623.1+(356.2-1036.6)+(-4.013343+(-0.544986--1.585998))+0-0-0</f>
        <v>1939.7276690000001</v>
      </c>
      <c r="X121" s="3">
        <f>2615.3+(387.1-1192.5)+(-5.335212+(-0.789684--2.4327))+0-0-0</f>
        <v>1806.2078040000001</v>
      </c>
      <c r="Y121" s="3">
        <f>2430.8+(344.5-1094)+(-1.239708+(-0.175695--0.55794))+0-0-0</f>
        <v>1680.4425370000001</v>
      </c>
      <c r="Z121" s="3">
        <f>2633.6+(289.9-1123.5)+(6.71568+(0.739245-2.864925))+0-0-0</f>
        <v>1804.59</v>
      </c>
      <c r="AA121" s="3">
        <f>2790.8+(300.9-1057.5)+(1.423308+(0.153459-0.539325))+0-0-0</f>
        <v>2035.2374420000003</v>
      </c>
      <c r="AB121" s="3">
        <f>2689.3+(347-965.2)+(2.743086+(0.35394-0.984504))+0-0-0</f>
        <v>2073.2125220000003</v>
      </c>
      <c r="AC121" s="3">
        <f>2531.8+(338.4-856.7)+(1.291218+(0.172584-0.436917))+0-0-0</f>
        <v>2014.526885</v>
      </c>
      <c r="AD121" s="2">
        <v>1909.8999999999999</v>
      </c>
      <c r="AE121" s="3">
        <f>2671+(286.7-1047.8)+(0+(0-0))+0-0-0</f>
        <v>1909.9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2359.8+(345.8-818.1)+(-3.610494+(-0.529074--1.251693))+0-0-0</f>
        <v>1884.6121250000003</v>
      </c>
      <c r="G122" s="3">
        <f>1949+(414.1-621.7)+(-1.98798+(-0.422382--0.634134))+0-0-0</f>
        <v>1739.6237720000001</v>
      </c>
      <c r="H122" s="3">
        <f>1777.5+(389.9-539.9)+(-1.81305+(-0.397698--0.550698))+0-0-0</f>
        <v>1625.83995</v>
      </c>
      <c r="I122" s="3">
        <f>1692.3+(365.3-528.9)+(0+(0-0))+0-0-0</f>
        <v>1528.7</v>
      </c>
      <c r="J122" s="3">
        <f>1688.5+(365.7-584.8)+(-0.861135+(-0.186507--0.298248))+0-0-0</f>
        <v>1468.6506060000002</v>
      </c>
      <c r="K122" s="3">
        <f>1681.1+(381.7-682.2)+(-1.714722+(-0.389334--0.695844))+0-0-0</f>
        <v>1379.1917879999999</v>
      </c>
      <c r="L122" s="3">
        <f>1603.8+(293-675)+(0+(0-0))+0-0-0</f>
        <v>1221.8</v>
      </c>
      <c r="M122" s="3">
        <f>1841.2+(283.5-860.3)+(1.878024+(0.28917-0.877506))+0-0-0</f>
        <v>1265.6896880000002</v>
      </c>
      <c r="N122" s="3">
        <f>2503.2+(218.6-1285.5)+(6.38316+(0.55743-3.278025))+0-0-0</f>
        <v>1439.9625649999998</v>
      </c>
      <c r="O122" s="3">
        <f>2695.4+(181.4-1273.7)+(4.123962+(0.277542-1.948761))+0-0-0</f>
        <v>1605.5527430000002</v>
      </c>
      <c r="P122" s="3">
        <f>2731.3+(239.5-1182.4)+(2.785926+(0.24429-1.206048))+0-0-0</f>
        <v>1790.2241680000002</v>
      </c>
      <c r="Q122" s="3">
        <f>2725.1+(246.4-1047.6)+(4.169403+(0.376992-1.602828))+0-0-0</f>
        <v>1926.8435670000001</v>
      </c>
      <c r="R122" s="3">
        <f>2725.5+(245.6-893.5)+(-1.390005+(-0.125256--0.455685))+0-0-0</f>
        <v>2076.5404239999998</v>
      </c>
      <c r="S122" s="3">
        <f>2722.6+(275.6-786.3)+(-6.94263+(-0.70278--2.005065))+0-0-0</f>
        <v>2206.2596550000003</v>
      </c>
      <c r="T122" s="3">
        <f>2735.7+(271.6-699.1)+(0+(0-0))+0-0-0</f>
        <v>2308.1999999999998</v>
      </c>
      <c r="U122" s="3">
        <f>2727.9+(288.9-730.3)+(-4.173687+(-0.442017--1.117359))+0-0-0</f>
        <v>2283.001655</v>
      </c>
      <c r="V122" s="3">
        <f>2715.8+(270.3-791.3)+(-4.155174+(-0.413559--1.210689))+0-0-0</f>
        <v>2191.4419560000001</v>
      </c>
      <c r="W122" s="3">
        <f>2715.8+(268-918.7)+(-2.770116+(-0.27336--0.937074))+0-0-0</f>
        <v>2062.9935980000005</v>
      </c>
      <c r="X122" s="3">
        <f>2725.7+(310.8-1161.4)+(-2.780214+(-0.317016--1.184628))+0-0-0</f>
        <v>1873.1873979999996</v>
      </c>
      <c r="Y122" s="3">
        <f>2689.9+(265.3-1184.1)+(4.115547+(0.405909-1.811673))+0-0-0</f>
        <v>1773.8097830000002</v>
      </c>
      <c r="Z122" s="3">
        <f>2720.7+(274.7-1061.9)+(2.775114+(0.280194-1.083138))+0-0-0</f>
        <v>1935.4721699999998</v>
      </c>
      <c r="AA122" s="3">
        <f>2737.8+(307.9-935.5)+(-5.585112+(-0.628116--1.90842))+0-0-0</f>
        <v>2105.8951920000004</v>
      </c>
      <c r="AB122" s="3">
        <f>2745+(321.8-930)+(-2.7999+(-0.328236--0.9486))+0-0-0</f>
        <v>2134.6204640000001</v>
      </c>
      <c r="AC122" s="3">
        <f>2602.2+(380.1-890.7)+(-1.327122+(-0.193851--0.454257))+0-0-0</f>
        <v>2090.5332840000001</v>
      </c>
      <c r="AD122" s="2">
        <v>2131.2999999999997</v>
      </c>
      <c r="AE122" s="3">
        <f>2771+(320.7-960.4)+(0+(0-0))+0-0-0</f>
        <v>2131.3000000000002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2447+(423.1-822.5)+(0+(0-0))+0-0-0</f>
        <v>2047.6</v>
      </c>
      <c r="G123" s="3">
        <f>2416.5+(409.4-875.9)+(-2.46483+(-0.417588--0.893418))+0-0-0</f>
        <v>1948.011</v>
      </c>
      <c r="H123" s="3">
        <f>2428.4+(342.7-944.3)+(0+(0-0))+0-0-0</f>
        <v>1826.8000000000002</v>
      </c>
      <c r="I123" s="3">
        <f>2259.3+(289.7-808.3)+(-2.304486+(-0.295494--0.824466))+0-0-0</f>
        <v>1738.9244860000003</v>
      </c>
      <c r="J123" s="3">
        <f>2108.5+(302.9-756.1)+(-3.226005+(-0.463437--1.156833))+0-0-0</f>
        <v>1652.7673909999999</v>
      </c>
      <c r="K123" s="3">
        <f>1751.4+(345.6-608.3)+(-3.572856+(-0.705024--1.240932))+0-0-0</f>
        <v>1485.6630520000003</v>
      </c>
      <c r="L123" s="3">
        <f>1681.9+(330.4-702.3)+(-2.573307+(-0.505512--1.074519))+0-0-0</f>
        <v>1307.9956999999999</v>
      </c>
      <c r="M123" s="3">
        <f>1765.5+(255.7-754.9)+(2.701215+(0.391221-1.154997))+0-0-0</f>
        <v>1268.237439</v>
      </c>
      <c r="N123" s="3">
        <f>1945.4+(222-891.3)+(1.984308+(0.22644-0.909126))+0-0-0</f>
        <v>1277.4016220000001</v>
      </c>
      <c r="O123" s="3">
        <f>2277.7+(160.2-1094.7)+(1.161627+(0.081702-0.558297))+0-0-0</f>
        <v>1343.8850319999999</v>
      </c>
      <c r="P123" s="3">
        <f>2407.3+(196.2-1182.9)+(3.683169+(0.300186-1.809837))+0-0-0</f>
        <v>1422.7735180000002</v>
      </c>
      <c r="Q123" s="3">
        <f>2641+(258.5-1408.5)+(2.69382+(0.26367-1.43667))+0-0-0</f>
        <v>1492.52082</v>
      </c>
      <c r="R123" s="3">
        <f>2712.5+(222.1-1393.7)+(2.76675+(0.226542-1.421574))+0-0-0</f>
        <v>1542.4717179999998</v>
      </c>
      <c r="S123" s="3">
        <f>2711.7+(205.1-1351.7)+(2.765934+(0.209202-1.378734))+0-0-0</f>
        <v>1566.6964019999996</v>
      </c>
      <c r="T123" s="3">
        <f>2724.7+(194.8-1352)+(0+(0-0))+0-0-0</f>
        <v>1567.4999999999998</v>
      </c>
      <c r="U123" s="3">
        <f>2727.8+(185-1389.1)+(0+(0-0))+0-0-0</f>
        <v>1523.7000000000003</v>
      </c>
      <c r="V123" s="3">
        <f>2708.5+(203.6-1448.6)+(0+(0-0))+0-0-0</f>
        <v>1463.5</v>
      </c>
      <c r="W123" s="3">
        <f>2642.8+(259.1-1469.6)+(0+(0-0))+0-0-0</f>
        <v>1432.3000000000002</v>
      </c>
      <c r="X123" s="3">
        <f>2629.4+(285.9-1507.8)+(-4.022982+(-0.437427--2.306934))+0-0-0</f>
        <v>1405.3465249999999</v>
      </c>
      <c r="Y123" s="3">
        <f>2626.1+(303.7-1507.6)+(-5.357244+(-0.619548--3.075504))+0-0-0</f>
        <v>1419.298712</v>
      </c>
      <c r="Z123" s="3">
        <f>2678.6+(288.5-1357.2)+(0+(0-0))+0-0-0</f>
        <v>1609.8999999999999</v>
      </c>
      <c r="AA123" s="3">
        <f>2712.4+(356.6-1317.6)+(-6.91662+(-0.90933--3.35988))+0-0-0</f>
        <v>1746.9339300000001</v>
      </c>
      <c r="AB123" s="3">
        <f>2627.8+(404.5-1269.4)+(1.340178+(0.206295-0.647394))+0-0-0</f>
        <v>1763.7990790000001</v>
      </c>
      <c r="AC123" s="3">
        <f>2614+(409.9-1302.8)+(-1.33314+(-0.209049--0.664428))+0-0-0</f>
        <v>1720.2222389999999</v>
      </c>
      <c r="AD123" s="2">
        <v>1758.4999999999998</v>
      </c>
      <c r="AE123" s="3">
        <f>2707+(378.7-1327.2)+(0+(0-0))+0-0-0</f>
        <v>1758.5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2433.7+(395.9-1218.4)+(-2.482374+(-0.403818--1.242768))+0-0-0</f>
        <v>1609.5565759999997</v>
      </c>
      <c r="G124" s="3">
        <f>1856.1+(438-821.5)+(-0.946611+(-0.22338--0.418965))+0-0-0</f>
        <v>1471.848974</v>
      </c>
      <c r="H124" s="3">
        <f>1794.9+(420.1-809.3)+(0.915399+(0.214251-0.412743))+0-0-0</f>
        <v>1406.4169070000003</v>
      </c>
      <c r="I124" s="3">
        <f>1746+(388.4-715.8)+(0.89046+(0.198084-0.365058))+0-0-0</f>
        <v>1419.323486</v>
      </c>
      <c r="J124" s="3">
        <f>1695.2+(410.6-740.6)+(-2.593656+(-0.628218--1.133118))+0-0-0</f>
        <v>1363.1112439999999</v>
      </c>
      <c r="K124" s="3">
        <f>1617.4+(363.8-736.7)+(-1.649748+(-0.371076--0.751434))+0-0-0</f>
        <v>1243.2306100000001</v>
      </c>
      <c r="L124" s="3">
        <f>1617.9+(333.1-802.1)+(-1.650258+(-0.339762--0.818142))+0-0-0</f>
        <v>1147.728122</v>
      </c>
      <c r="M124" s="3">
        <f>1834.1+(355.5-993.2)+(0.935391+(0.181305-0.506532))+0-0-0</f>
        <v>1197.0101639999998</v>
      </c>
      <c r="N124" s="3">
        <f>2287.8+(316.2-1252.1)+(4.667112+(0.645048-2.554284))+0-0-0</f>
        <v>1354.6578760000002</v>
      </c>
      <c r="O124" s="3">
        <f>2580.7+(314.9-1408)+(2.632314+(0.321198-1.43616))+0-0-0</f>
        <v>1489.117352</v>
      </c>
      <c r="P124" s="3">
        <f>2615.6+(329.7-1362.6)+(1.333956+(0.168147-0.694926))+0-0-0</f>
        <v>1583.507177</v>
      </c>
      <c r="Q124" s="3">
        <f>2612.1+(370.4-1334.3)+(1.332171+(0.188904-0.680493))+0-0-0</f>
        <v>1649.0405819999999</v>
      </c>
      <c r="R124" s="3">
        <f>2618.6+(377.5-1276.1)+(2.670972+(0.38505-1.301622))+0-0-0</f>
        <v>1721.7544</v>
      </c>
      <c r="S124" s="3">
        <f>2641+(361.4-1174.5)+(-4.04073+(-0.552942--1.796985))+0-0-0</f>
        <v>1825.1033130000001</v>
      </c>
      <c r="T124" s="3">
        <f>2670.3+(392.9-1113.2)+(-1.361853+(-0.200379--0.567732))+0-0-0</f>
        <v>1949.0055</v>
      </c>
      <c r="U124" s="3">
        <f>2669.4+(398.3-1114.1)+(1.361394+(0.203133-0.568191))+0-0-0</f>
        <v>1954.5963360000001</v>
      </c>
      <c r="V124" s="3">
        <f>2669+(384.6-1142.6)+(4.08357+(0.588438-1.748178))+0-0-0</f>
        <v>1913.92383</v>
      </c>
      <c r="W124" s="3">
        <f>2652+(390.5-1196)+(1.35252+(0.199155-0.60996))+0-0-0</f>
        <v>1847.4417149999999</v>
      </c>
      <c r="X124" s="3">
        <f>2639.5+(356.7-1242.1)+(-4.038435+(-0.545751--1.900413))+0-0-0</f>
        <v>1751.4162270000002</v>
      </c>
      <c r="Y124" s="3">
        <f>2656.3+(268.1-1205.6)+(0+(0-0))+0-0-0</f>
        <v>1718.8000000000002</v>
      </c>
      <c r="Z124" s="3">
        <f>2727.4+(308.8-1054.5)+(2.781948+(0.314976-1.07559))+0-0-0</f>
        <v>1983.7213340000001</v>
      </c>
      <c r="AA124" s="3">
        <f>2736.5+(332.1-963.9)+(-6.978075+(-0.846855--2.457945))+0-0-0</f>
        <v>2099.3330149999997</v>
      </c>
      <c r="AB124" s="3">
        <f>2752.9+(407.3-1113.3)+(1.403979+(0.207723-0.567783))+0-0-0</f>
        <v>2047.9439190000001</v>
      </c>
      <c r="AC124" s="3">
        <f>2693.9+(345.8-1021.3)+(-2.747778+(-0.352716--1.041726))+0-0-0</f>
        <v>2016.341232</v>
      </c>
      <c r="AD124" s="2">
        <v>2142.5</v>
      </c>
      <c r="AE124" s="3">
        <f>2763+(338-958.5)+(0+(0-0))+0-0-0</f>
        <v>2142.5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2581.3+(319.7-1005.4)+(-1.316463+(-0.163047--0.512754))+0-0-0</f>
        <v>1894.6332440000001</v>
      </c>
      <c r="G125" s="3">
        <f>2080.9+(384.6-714.1)+(0+(0-0))+0-0-0</f>
        <v>1751.4</v>
      </c>
      <c r="H125" s="3">
        <f>1818.4+(443-614.6)+(1.854768+(0.45186-0.626892))+0-0-0</f>
        <v>1648.4797360000002</v>
      </c>
      <c r="I125" s="3">
        <f>1815.8+(437.1-632.5)+(2.778174+(0.668763-0.967725))+0-0-0</f>
        <v>1622.8792120000001</v>
      </c>
      <c r="J125" s="3">
        <f>1876.6+(489.1-832.8)+(-1.914132+(-0.498882--0.849456))+0-0-0</f>
        <v>1531.336442</v>
      </c>
      <c r="K125" s="3">
        <f>1707.6+(501.4-825.3)+(-3.483504+(-1.022856--1.683612))+0-0-0</f>
        <v>1380.8772519999998</v>
      </c>
      <c r="L125" s="3">
        <f>1576.2+(440.6-762)+(-4.01931+(-1.12353--1.9431))+0-0-0</f>
        <v>1251.6002600000002</v>
      </c>
      <c r="M125" s="3">
        <f>1703.9+(400.2-817)+(2.606967+(0.612306-1.25001))+0-0-0</f>
        <v>1289.0692630000001</v>
      </c>
      <c r="N125" s="3">
        <f>2106.2+(394.9-1056.3)+(3.222486+(0.604197-1.616139))+0-0-0</f>
        <v>1447.0105439999998</v>
      </c>
      <c r="O125" s="3">
        <f>2490.5+(341.1-1236.8)+(5.08062+(0.695844-2.523072))+0-0-0</f>
        <v>1598.0533920000003</v>
      </c>
      <c r="P125" s="3">
        <f>2582.1+(326.8-1197.7)+(1.316871+(0.166668-0.610827))+0-0-0</f>
        <v>1712.0727119999999</v>
      </c>
      <c r="Q125" s="3">
        <f>2624.7+(345.2-1156)+(2.677194+(0.352104-1.17912))+0-0-0</f>
        <v>1815.7501779999998</v>
      </c>
      <c r="R125" s="3">
        <f>2713.8+(326.4-1112.4)+(4.152114+(0.499392-1.701972))+0-0-0</f>
        <v>1930.7495340000003</v>
      </c>
      <c r="S125" s="3">
        <f>2763.1+(302.9-1004.2)+(-1.409181+(-0.154479--0.512142))+0-0-0</f>
        <v>2060.7484819999995</v>
      </c>
      <c r="T125" s="3">
        <f>2788.5+(327.9-920.2)+(2.84427+(0.334458-0.938604))+0-0-0</f>
        <v>2198.4401239999997</v>
      </c>
      <c r="U125" s="3">
        <f>2764.5+(324.5-903.5)+(-1.409895+(-0.165495--0.460785))+0-0-0</f>
        <v>2184.3853949999998</v>
      </c>
      <c r="V125" s="3">
        <f>2762.5+(331.2-973.7)+(2.81775+(0.337824-0.993174))+0-0-0</f>
        <v>2122.1624000000002</v>
      </c>
      <c r="W125" s="3">
        <f>2670+(332.6-989.8)+(-5.4468+(-0.678504--2.019192))+0-0-0</f>
        <v>2008.6938880000002</v>
      </c>
      <c r="X125" s="3">
        <f>2669.3+(338.4-1103.3)+(-4.084029+(-0.517752--1.688049))+0-0-0</f>
        <v>1901.4862680000001</v>
      </c>
      <c r="Y125" s="3">
        <f>2627+(290.6-1078.8)+(2.67954+(0.296412-1.100376))+0-0-0</f>
        <v>1840.6755760000001</v>
      </c>
      <c r="Z125" s="3">
        <f>2714.4+(254.3-859.3)+(6.92172+(0.648465-2.191215))+0-0-0</f>
        <v>2114.7789700000003</v>
      </c>
      <c r="AA125" s="3">
        <f>2739.2+(288.7-756.9)+(-1.396992+(-0.147237--0.386019))+0-0-0</f>
        <v>2269.8417899999999</v>
      </c>
      <c r="AB125" s="3">
        <f>2773.1+(280.7-868.7)+(-4.242843+(-0.429471--1.329111))+0-0-0</f>
        <v>2181.756797</v>
      </c>
      <c r="AC125" s="3">
        <f>2716.5+(369.4-907.3)+(-4.156245+(-0.565182--1.388169))+0-0-0</f>
        <v>2175.2667419999998</v>
      </c>
      <c r="AD125" s="2">
        <v>2314.8000000000002</v>
      </c>
      <c r="AE125" s="3">
        <f>2727+(314.3-726.5)+(0+(0-0))+0-0-0</f>
        <v>2314.8000000000002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2372.2+(427.2-719.6)+(2.419644+(0.435744-0.733992))+0-0-0</f>
        <v>2081.9213959999997</v>
      </c>
      <c r="G126" s="3">
        <f>1976.9+(477-541.3)+(0+(0-0))+0-0-0</f>
        <v>1912.6000000000001</v>
      </c>
      <c r="H126" s="3">
        <f>1852.6+(475.1-519.8)+(1.889652+(0.484602-0.530196))+0-0-0</f>
        <v>1809.744058</v>
      </c>
      <c r="I126" s="3">
        <f>1782.8+(448.4-458.2)+(0.909228+(0.228684-0.233682))+0-0-0</f>
        <v>1773.9042300000001</v>
      </c>
      <c r="J126" s="3">
        <f>1802.9+(459.7-576)+(-0.919479+(-0.234447--0.29376))+0-0-0</f>
        <v>1685.7398340000002</v>
      </c>
      <c r="K126" s="3">
        <f>1794.3+(458.8-740.1)+(-3.660372+(-0.935952--1.509804))+0-0-0</f>
        <v>1509.9134799999999</v>
      </c>
      <c r="L126" s="3">
        <f>1644.3+(425.4-704.7)+(0+(0-0))+0-0-0</f>
        <v>1365</v>
      </c>
      <c r="M126" s="3">
        <f>1983.5+(383.9-976.4)+(1.011585+(0.195789-0.497964))+0-0-0</f>
        <v>1391.7094099999999</v>
      </c>
      <c r="N126" s="3">
        <f>2450.7+(331.6-1255.4)+(1.249857+(0.169116-0.640254))+0-0-0</f>
        <v>1527.6787189999995</v>
      </c>
      <c r="O126" s="3">
        <f>2676.3+(373.4-1342.1)+(1.364913+(0.190434-0.684471))+0-0-0</f>
        <v>1708.4708760000003</v>
      </c>
      <c r="P126" s="3">
        <f>2709.4+(294.6-1195.5)+(-1.381794+(-0.150246--0.609705))+0-0-0</f>
        <v>1807.577665</v>
      </c>
      <c r="Q126" s="3">
        <f>2753+(318.5-1138.5)+(4.21209+(0.487305-1.741905))+0-0-0</f>
        <v>1935.95749</v>
      </c>
      <c r="R126" s="3">
        <f>2742.3+(310.7-959.9)+(-4.195719+(-0.475371--1.468647))+0-0-0</f>
        <v>2089.8975570000002</v>
      </c>
      <c r="S126" s="3">
        <f>2769.1+(348.7-875.1)+(-1.412241+(-0.177837--0.446301))+0-0-0</f>
        <v>2241.5562229999996</v>
      </c>
      <c r="T126" s="3">
        <f>2754.2+(377.6-770)+(-4.213926+(-0.577728--1.1781))+0-0-0</f>
        <v>2358.1864459999997</v>
      </c>
      <c r="U126" s="3">
        <f>2753.1+(372-796.3)+(-2.808162+(-0.37944--0.812226))+0-0-0</f>
        <v>2326.4246240000002</v>
      </c>
      <c r="V126" s="3">
        <f>2765.9+(356.2-883.8)+(1.410609+(0.181662-0.450738))+0-0-0</f>
        <v>2239.4415330000002</v>
      </c>
      <c r="W126" s="3">
        <f>2756.7+(330.9-965.8)+(-1.405917+(-0.168759--0.492558))+0-0-0</f>
        <v>2120.7178819999999</v>
      </c>
      <c r="X126" s="3">
        <f>2733.4+(328.3-1078.2)+(-4.182102+(-0.502299--1.649646))+0-0-0</f>
        <v>1980.4652450000001</v>
      </c>
      <c r="Y126" s="3">
        <f>2629.8+(289.6-1003.4)+(-1.341198+(-0.147696--0.511734))+0-0-0</f>
        <v>1915.0228400000003</v>
      </c>
      <c r="Z126" s="3">
        <f>2760.2+(321.5-858.8)+(2.815404+(0.32793-0.875976))+0-0-0</f>
        <v>2225.1673579999997</v>
      </c>
      <c r="AA126" s="3">
        <f>2764.4+(340.9-766.5)+(1.409844+(0.173859-0.390915))+0-0-0</f>
        <v>2339.992788</v>
      </c>
      <c r="AB126" s="3">
        <f>2624.5+(371.2-754.2)+(-5.35398+(-0.757248--1.538568))+0-0-0</f>
        <v>2236.9273400000002</v>
      </c>
      <c r="AC126" s="3">
        <f>2524.3+(404.1-696.2)+(1.287393+(0.206091-0.355062))+0-0-0</f>
        <v>2233.3384220000003</v>
      </c>
      <c r="AD126" s="2">
        <v>2365.6999999999998</v>
      </c>
      <c r="AE126" s="3">
        <f>2758+(320.4-712.7)+(0+(0-0))+0-0-0</f>
        <v>2365.6999999999998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2494.6+(441.6-818)+(1.272246+(0.225216-0.41718))+0-0-0</f>
        <v>2119.2802819999997</v>
      </c>
      <c r="G127" s="3">
        <f>2244.5+(361.4-637.2)+(1.144695+(0.184314-0.324972))+0-0-0</f>
        <v>1969.7040369999997</v>
      </c>
      <c r="H127" s="3">
        <f>2137.9+(368.4-651.8)+(1.090329+(0.187884-0.332418))+0-0-0</f>
        <v>1855.4457950000001</v>
      </c>
      <c r="I127" s="3">
        <f>2039.3+(368.9-628.6)+(2.080086+(0.376278-0.641172))+0-0-0</f>
        <v>1781.4151919999999</v>
      </c>
      <c r="J127" s="3">
        <f>2026.8+(398.2-743.2)+(1.033668+(0.203082-0.379032))+0-0-0</f>
        <v>1682.6577179999999</v>
      </c>
      <c r="K127" s="3">
        <f>2013.8+(379.7-881.6)+(-4.108152+(-0.774588--1.798464))+0-0-0</f>
        <v>1508.8157239999998</v>
      </c>
      <c r="L127" s="3">
        <f>2030.7+(292.9-968.6)+(-1.035657+(-0.149379--0.493986))+0-0-0</f>
        <v>1354.3089500000001</v>
      </c>
      <c r="M127" s="3">
        <f>2145.8+(310.3-1075.4)+(2.188716+(0.316506-1.096908))+0-0-0</f>
        <v>1382.1083140000001</v>
      </c>
      <c r="N127" s="3">
        <f>2407.2+(354.4-1227)+(1.227672+(0.180744-0.62577))+0-0-0</f>
        <v>1535.382646</v>
      </c>
      <c r="O127" s="3">
        <f>2564.4+(350.6-1225.8)+(-2.615688+(-0.357612--1.250316))+0-0-0</f>
        <v>1687.4770160000003</v>
      </c>
      <c r="P127" s="3">
        <f>2670.4+(298.6-1150.4)+(5.447616+(0.609144-2.346816))+0-0-0</f>
        <v>1822.3099439999999</v>
      </c>
      <c r="Q127" s="3">
        <f>2722.5+(294.5-1060.1)+(1.388475+(0.150195-0.540651))+0-0-0</f>
        <v>1957.8980190000002</v>
      </c>
      <c r="R127" s="3">
        <f>2686.3+(338.8-887.1)+(2.740026+(0.345576-0.904842))+0-0-0</f>
        <v>2140.1807600000002</v>
      </c>
      <c r="S127" s="3">
        <f>2454.3+(408.8-546.8)+(-3.755079+(-0.625464--0.836604))+0-0-0</f>
        <v>2312.756061</v>
      </c>
      <c r="T127" s="3">
        <f>2452.9+(449.5-422.4)+(-5.003916+(-0.91698--0.861696))+0-0-0</f>
        <v>2474.9407999999999</v>
      </c>
      <c r="U127" s="3">
        <f>2442.7+(447.8-423.1)+(-4.983108+(-0.913512--0.863124))+0-0-0</f>
        <v>2462.3665039999996</v>
      </c>
      <c r="V127" s="3">
        <f>2456.2+(434.4-515.5)+(-2.505324+(-0.443088--0.52581))+0-0-0</f>
        <v>2372.6773979999998</v>
      </c>
      <c r="W127" s="3">
        <f>2451.8+(352.4-563.2)+(-1.250418+(-0.179724--0.287232))+0-0-0</f>
        <v>2239.85709</v>
      </c>
      <c r="X127" s="3">
        <f>2435.7+(321.8-676.5)+(-6.211035+(-0.82059--1.725075))+0-0-0</f>
        <v>2075.6934500000002</v>
      </c>
      <c r="Y127" s="3">
        <f>2426+(280.3-716.6)+(-7.42356+(-0.857718--2.192796))+0-0-0</f>
        <v>1983.6115179999999</v>
      </c>
      <c r="Z127" s="3">
        <f>2556.8+(301.9-581.5)+(2.607936+(0.307938-0.59313))+0-0-0</f>
        <v>2279.5227440000003</v>
      </c>
      <c r="AA127" s="3">
        <f>2795.7+(276.1-663.5)+(-4.277421+(-0.422433--1.015155))+0-0-0</f>
        <v>2404.6153009999998</v>
      </c>
      <c r="AB127" s="3">
        <f>2810.4+(300.7-765.5)+(-7.16652+(-0.766785--1.952025))+0-0-0</f>
        <v>2339.6187199999999</v>
      </c>
      <c r="AC127" s="3">
        <f>2702.5+(345.7-724.3)+(-5.5131+(-0.705228--1.477572))+0-0-0</f>
        <v>2319.1592439999999</v>
      </c>
      <c r="AD127" s="2">
        <v>2506.1</v>
      </c>
      <c r="AE127" s="3">
        <f>2807+(294.2-595.1)+(0+(0-0))+0-0-0</f>
        <v>2506.1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2546.3+(405.3-733.8)+(-1.298613+(-0.206703--0.374238))+0-0-0</f>
        <v>2216.6689220000003</v>
      </c>
      <c r="G128" s="3">
        <f>1969.9+(482.1-424)+(-2.009298+(-0.491742--0.43248))+0-0-0</f>
        <v>2025.9314400000001</v>
      </c>
      <c r="H128" s="3">
        <f>1745.6+(528.3-390)+(0.890256+(0.269433-0.1989))+0-0-0</f>
        <v>1884.8607889999998</v>
      </c>
      <c r="I128" s="3">
        <f>1741.5+(500.7-415.8)+(0+(0-0))+0-0-0</f>
        <v>1826.4</v>
      </c>
      <c r="J128" s="3">
        <f>1732.1+(483.9-501.7)+(-3.533484+(-0.987156--1.023468))+0-0-0</f>
        <v>1710.8028279999999</v>
      </c>
      <c r="K128" s="3">
        <f>1674.3+(471.2-616.5)+(-4.269465+(-1.20156--1.572075))+0-0-0</f>
        <v>1525.10105</v>
      </c>
      <c r="L128" s="3">
        <f>1550.7+(452.8-646.8)+(-3.954285+(-1.15464--1.64934))+0-0-0</f>
        <v>1353.240415</v>
      </c>
      <c r="M128" s="3">
        <f>1750.6+(407-781.9)+(0.892806+(0.20757-0.398769))+0-0-0</f>
        <v>1376.4016069999998</v>
      </c>
      <c r="N128" s="3">
        <f>2096.9+(353.1-913.7)+(2.138838+(0.360162-0.931974))+0-0-0</f>
        <v>1537.8670260000001</v>
      </c>
      <c r="O128" s="3">
        <f>2404.5+(345.8-1022.7)+(3.678885+(0.529074-1.564731))+0-0-0</f>
        <v>1730.2432279999998</v>
      </c>
      <c r="P128" s="3">
        <f>2626.6+(316-1102.6)+(2.679132+(0.32232-1.124652))+0-0-0</f>
        <v>1841.8768</v>
      </c>
      <c r="Q128" s="3">
        <f>2724.4+(304.4-1064.9)+(4.168332+(0.465732-1.629297))+0-0-0</f>
        <v>1966.904767</v>
      </c>
      <c r="R128" s="3">
        <f>2702.8+(345.2-891.5)+(-4.135284+(-0.528156--1.363995))+0-0-0</f>
        <v>2153.2005549999999</v>
      </c>
      <c r="S128" s="3">
        <f>2507.9+(396.9-563.8)+(-2.558058+(-0.404838--0.575076))+0-0-0</f>
        <v>2338.6121800000001</v>
      </c>
      <c r="T128" s="3">
        <f>2433.6+(448.1-384.2)+(-2.482272+(-0.457062--0.391884))+0-0-0</f>
        <v>2494.95255</v>
      </c>
      <c r="U128" s="3">
        <f>2424.2+(448-388.9)+(-3.709026+(-0.68544--0.595017))+0-0-0</f>
        <v>2479.5005509999996</v>
      </c>
      <c r="V128" s="3">
        <f>2422.2+(436-444.9)+(-3.705966+(-0.66708--0.680697))+0-0-0</f>
        <v>2409.6076509999998</v>
      </c>
      <c r="W128" s="3">
        <f>2412+(402.6-555.4)+(-6.1506+(-1.02663--1.41627))+0-0-0</f>
        <v>2253.4390399999997</v>
      </c>
      <c r="X128" s="3">
        <f>2214+(363.5-486.3)+(-2.25828+(-0.37077--0.496026))+0-0-0</f>
        <v>2089.0669759999996</v>
      </c>
      <c r="Y128" s="3">
        <f>2195.8+(343.1-563.3)+(-1.119858+(-0.174981--0.287283))+0-0-0</f>
        <v>1974.5924440000003</v>
      </c>
      <c r="Z128" s="3">
        <f>2536.6+(330.1-636.9)+(2.587332+(0.336702-0.649638))+0-0-0</f>
        <v>2232.074396</v>
      </c>
      <c r="AA128" s="3">
        <f>2676.9+(321.3-683.8)+(-5.460876+(-0.655452--1.394952))+0-0-0</f>
        <v>2309.6786240000001</v>
      </c>
      <c r="AB128" s="3">
        <f>2617.5+(337-702.9)+(-1.334925+(-0.17187--0.358479))+0-0-0</f>
        <v>2250.4516840000001</v>
      </c>
      <c r="AC128" s="3">
        <f>2429.5+(378.3-586.3)+(-3.717135+(-0.578799--0.897039))+0-0-0</f>
        <v>2218.1011050000002</v>
      </c>
      <c r="AD128" s="2">
        <v>2351.8000000000002</v>
      </c>
      <c r="AE128" s="3">
        <f>2700+(369-717.2)+(0+(0-0))+0-0-0</f>
        <v>2351.8000000000002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2297.3+(435.2-579.4)+(0+(0-0))+0-0-0</f>
        <v>2153.1000000000004</v>
      </c>
      <c r="G129" s="3">
        <f>1946.2+(508.6-483.1)+(0.992562+(0.259386-0.246381))+0-0-0</f>
        <v>1972.705567</v>
      </c>
      <c r="H129" s="3">
        <f>1759.7+(522.2-448.8)+(-1.794894+(-0.532644--0.457776))+0-0-0</f>
        <v>1831.2302380000001</v>
      </c>
      <c r="I129" s="3">
        <f>1757.9+(500-485.1)+(-0.896529+(-0.255--0.247401))+0-0-0</f>
        <v>1771.8958720000003</v>
      </c>
      <c r="J129" s="3">
        <f>1757.9+(487.5-577.2)+(-2.689587+(-0.745875--0.883116))+0-0-0</f>
        <v>1665.6476540000001</v>
      </c>
      <c r="K129" s="3">
        <f>1561.1+(452.1-516.5)+(-2.388483+(-0.691713--0.790245))+0-0-0</f>
        <v>1494.4100489999998</v>
      </c>
      <c r="L129" s="3">
        <f>1504.4+(411.8-580.5)+(0+(0-0))+0-0-0</f>
        <v>1335.7</v>
      </c>
      <c r="M129" s="3">
        <f>1539.2+(392-561.9)+(4.709952+(1.19952-1.719414))+0-0-0</f>
        <v>1373.4900580000001</v>
      </c>
      <c r="N129" s="3">
        <f>1815.9+(389.5-672.4)+(4.630545+(0.993225-1.71462))+0-0-0</f>
        <v>1536.90915</v>
      </c>
      <c r="O129" s="3">
        <f>1981.2+(408.4-685.4)+(6.062472+(1.249704-2.097324))+0-0-0</f>
        <v>1709.4148520000001</v>
      </c>
      <c r="P129" s="3">
        <f>2161.2+(423.8-757.5)+(0+(0-0))+0-0-0</f>
        <v>1827.4999999999998</v>
      </c>
      <c r="Q129" s="3">
        <f>2390.7+(331.6-765)+(3.657771+(0.507348-1.17045))+0-0-0</f>
        <v>1960.2946689999997</v>
      </c>
      <c r="R129" s="3">
        <f>2403.1+(322.1-632.3)+(0+(0-0))+0-0-0</f>
        <v>2092.9</v>
      </c>
      <c r="S129" s="3">
        <f>2516.9+(319.2-580.2)+(-7.701714+(-0.976752--1.775412))+0-0-0</f>
        <v>2248.9969460000002</v>
      </c>
      <c r="T129" s="3">
        <f>2526.9+(379.3-479.3)+(-1.288719+(-0.193443--0.244443))+0-0-0</f>
        <v>2425.6622809999999</v>
      </c>
      <c r="U129" s="3">
        <f>2388+(455.2-416.9)+(-1.21788+(-0.232152--0.212619))+0-0-0</f>
        <v>2425.0625870000003</v>
      </c>
      <c r="V129" s="3">
        <f>2409.2+(442.6-537.3)+(-1.228692+(-0.225726--0.274023))+0-0-0</f>
        <v>2313.3196050000001</v>
      </c>
      <c r="W129" s="3">
        <f>2458.8+(423.9-725.1)+(2.507976+(0.432378-0.739602))+0-0-0</f>
        <v>2159.8007520000006</v>
      </c>
      <c r="X129" s="3">
        <f>2448+(391-834.8)+(1.24848+(0.19941-0.425748))+0-0-0</f>
        <v>2005.2221420000001</v>
      </c>
      <c r="Y129" s="3">
        <f>2456.7+(328.5-868.5)+(0+(0-0))+0-0-0</f>
        <v>1916.6999999999998</v>
      </c>
      <c r="Z129" s="3">
        <f>2653.9+(287.4-762.1)+(-4.060467+(-0.439722--1.166013))+0-0-0</f>
        <v>2175.865824</v>
      </c>
      <c r="AA129" s="3">
        <f>2735.3+(342.1-811.2)+(-1.395003+(-0.174471--0.413712))+0-0-0</f>
        <v>2265.0442380000004</v>
      </c>
      <c r="AB129" s="3">
        <f>2698.4+(369.5-868.2)+(-2.752368+(-0.37689--0.885564))+0-0-0</f>
        <v>2197.456306</v>
      </c>
      <c r="AC129" s="3">
        <f>2676.8+(415.9-918.3)+(-5.460672+(-0.848436--1.873332))+0-0-0</f>
        <v>2169.9642240000003</v>
      </c>
      <c r="AD129" s="2">
        <v>2278.9</v>
      </c>
      <c r="AE129" s="3">
        <f>2754+(314.9-790)+(0+(0-0))+0-0-0</f>
        <v>2278.9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2504.4+(466-866.4)+(-1.277244+(-0.23766--0.441864))+0-0-0</f>
        <v>2102.9269599999998</v>
      </c>
      <c r="G130" s="3">
        <f>2357.5+(456.8-833)+(-1.202325+(-0.232968--0.42483))+0-0-0</f>
        <v>1980.2895369999999</v>
      </c>
      <c r="H130" s="3">
        <f>2123.7+(439.2-701.6)+(0+(0-0))+0-0-0</f>
        <v>1861.2999999999997</v>
      </c>
      <c r="I130" s="3">
        <f>2051.6+(353.4-601.1)+(-5.23158+(-0.90117--1.532805))+0-0-0</f>
        <v>1799.3000549999999</v>
      </c>
      <c r="J130" s="3">
        <f>2056.4+(401-751.2)+(-2.097528+(-0.40902--0.766224))+0-0-0</f>
        <v>1704.4596759999999</v>
      </c>
      <c r="K130" s="3">
        <f>2010.9+(396.2-880.6)+(-7.178913+(-1.414434--3.143742))+0-0-0</f>
        <v>1521.050395</v>
      </c>
      <c r="L130" s="3">
        <f>1839.8+(286.7-758.9)+(-6.568086+(-1.023519--2.709273))+0-0-0</f>
        <v>1362.717668</v>
      </c>
      <c r="M130" s="3">
        <f>1871.9+(257-688.1)+(0.954669+(0.13107-0.350931))+0-0-0</f>
        <v>1441.5348080000001</v>
      </c>
      <c r="N130" s="3">
        <f>2008+(239-801)+(-1.02408+(-0.12189--0.40851))+0-0-0</f>
        <v>1445.2625399999999</v>
      </c>
      <c r="O130" s="3">
        <f>2115.4+(217-864.1)+(3.236562+(0.33201-1.322073))+0-0-0</f>
        <v>1470.5464990000003</v>
      </c>
      <c r="P130" s="3">
        <f>2103.3+(346-896.1)+(0+(0-0))+0-0-0</f>
        <v>1553.2000000000003</v>
      </c>
      <c r="Q130" s="3">
        <f>2110.3+(396.8-863)+(3.228759+(0.607104-1.32039))+0-0-0</f>
        <v>1646.6154730000001</v>
      </c>
      <c r="R130" s="3">
        <f>2105.5+(420.3-760.3)+(2.14761+(0.428706-0.775506))+0-0-0</f>
        <v>1767.30081</v>
      </c>
      <c r="S130" s="3">
        <f>2103.6+(422.9-615.1)+(4.291344+(0.862716-1.254804))+0-0-0</f>
        <v>1915.2992559999998</v>
      </c>
      <c r="T130" s="3">
        <f>2092.8+(419.4-471.2)+(4.269312+(0.855576-0.961248))+0-0-0</f>
        <v>2045.1636400000002</v>
      </c>
      <c r="U130" s="3">
        <f>2086+(446.7-440.4)+(2.12772+(0.455634-0.449208))+0-0-0</f>
        <v>2094.4341460000001</v>
      </c>
      <c r="V130" s="3">
        <f>2180+(427.9-579.6)+(-1.1118+(-0.218229--0.295596))+0-0-0</f>
        <v>2027.2655669999999</v>
      </c>
      <c r="W130" s="3">
        <f>2143.9+(447.1-672.7)+(2.186778+(0.456042-0.686154))+0-0-0</f>
        <v>1920.2566660000002</v>
      </c>
      <c r="X130" s="3">
        <f>2170.4+(423.9-780.2)+(-1.106904+(-0.216189--0.397902))+0-0-0</f>
        <v>1813.1748089999999</v>
      </c>
      <c r="Y130" s="3">
        <f>2273.8+(337.8-857)+(-4.638552+(-0.689112--1.74828))+0-0-0</f>
        <v>1751.0206160000002</v>
      </c>
      <c r="Z130" s="3">
        <f>2524.9+(289.7-776.6)+(0+(0-0))+0-0-0</f>
        <v>2038</v>
      </c>
      <c r="AA130" s="3">
        <f>2608+(305-827.4)+(-6.6504+(-0.77775--2.10987))+0-0-0</f>
        <v>2080.28172</v>
      </c>
      <c r="AB130" s="3">
        <f>2657.5+(394.9-970)+(0+(0-0))+0-0-0</f>
        <v>2082.4</v>
      </c>
      <c r="AC130" s="3">
        <f>2497.3+(513-875.4)+(3.820869+(0.78489-1.339362))+0-0-0</f>
        <v>2138.166397</v>
      </c>
      <c r="AD130" s="2">
        <v>2086</v>
      </c>
      <c r="AE130" s="3">
        <f>2654+(331.4-899.4)+(0+(0-0))+0-0-0</f>
        <v>2086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2452.3+(442.7-844.4)+(-5.002692+(-0.903108--1.722576))+0-0-0</f>
        <v>2046.4167760000003</v>
      </c>
      <c r="G131" s="3">
        <f>2399+(439.1-871.4)+(-6.11745+(-1.119705--2.22207))+0-0-0</f>
        <v>1961.684915</v>
      </c>
      <c r="H131" s="3">
        <f>2309.7+(361.9-830.8)+(-8.245629+(-1.291983--2.965956))+0-0-0</f>
        <v>1834.2283439999997</v>
      </c>
      <c r="I131" s="3">
        <f>2076.9+(362.7-696.1)+(0+(0-0))+0-0-0</f>
        <v>1743.5</v>
      </c>
      <c r="J131" s="3">
        <f>2020.9+(371.8-725.8)+(-5.153295+(-0.94809--1.85079))+0-0-0</f>
        <v>1662.6494050000001</v>
      </c>
      <c r="K131" s="3">
        <f>1795.3+(377.1-700.9)+(-5.493618+(-1.153926--2.144754))+0-0-0</f>
        <v>1466.99721</v>
      </c>
      <c r="L131" s="3">
        <f>1804.8+(313.9-768.7)+(0+(0-0))+0-0-0</f>
        <v>1350</v>
      </c>
      <c r="M131" s="3">
        <f>2066.1+(303.6-961.3)+(0+(0-0))+0-0-0</f>
        <v>1408.4</v>
      </c>
      <c r="N131" s="3">
        <f>2174.9+(383.4-995.2)+(-1.109199+(-0.195534--0.507552))+0-0-0</f>
        <v>1562.302819</v>
      </c>
      <c r="O131" s="3">
        <f>2294.5+(428.4-957.2)+(-3.510585+(-0.655452--1.464516))+0-0-0</f>
        <v>1762.9984789999999</v>
      </c>
      <c r="P131" s="3">
        <f>2301.3+(374.2-887.4)+(0+(0-0))+0-0-0</f>
        <v>1788.1000000000001</v>
      </c>
      <c r="Q131" s="3">
        <f>2301.4+(350-811.5)+(3.521142+(0.5355-1.241595))+0-0-0</f>
        <v>1842.7150470000001</v>
      </c>
      <c r="R131" s="3">
        <f>2300+(443.6-678)+(2.346+(0.452472-0.69156))+0-0-0</f>
        <v>2067.7069120000001</v>
      </c>
      <c r="S131" s="3">
        <f>2288.7+(483-521.1)+(0+(0-0))+0-0-0</f>
        <v>2250.6</v>
      </c>
      <c r="T131" s="3">
        <f>2288.5+(524.6-380.9)+(1.167135+(0.267546-0.194259))+0-0-0</f>
        <v>2433.4404219999997</v>
      </c>
      <c r="U131" s="3">
        <f>2365.7+(506.4-397.5)+(0+(0-0))+0-0-0</f>
        <v>2474.6</v>
      </c>
      <c r="V131" s="3">
        <f>2562.9+(469.4-638.7)+(1.307079+(0.239394-0.325737))+0-0-0</f>
        <v>2394.8207360000001</v>
      </c>
      <c r="W131" s="3">
        <f>2569.5+(444.6-774.9)+(1.310445+(0.226746-0.395199))+0-0-0</f>
        <v>2240.3419919999997</v>
      </c>
      <c r="X131" s="3">
        <f>2569.4+(439.4-919.9)+(1.310394+(0.224094-0.469149))+0-0-0</f>
        <v>2089.9653390000003</v>
      </c>
      <c r="Y131" s="3">
        <f>2508.3+(412-906.3)+(2.558466+(0.42024-0.924426))+0-0-0</f>
        <v>2016.0542800000003</v>
      </c>
      <c r="Z131" s="3">
        <f>2560.6+(391-700.1)+(0+(0-0))+0-0-0</f>
        <v>2251.5</v>
      </c>
      <c r="AA131" s="3">
        <f>2596.1+(391.2-663.4)+(-5.296044+(-0.798048--1.353336))+0-0-0</f>
        <v>2319.1592439999999</v>
      </c>
      <c r="AB131" s="3">
        <f>2537.2+(448.8-731.6)+(0+(0-0))+0-0-0</f>
        <v>2254.3999999999996</v>
      </c>
      <c r="AC131" s="3">
        <f>2492.7+(471.5-732)+(1.271277+(0.240465-0.37332))+0-0-0</f>
        <v>2233.3384219999998</v>
      </c>
      <c r="AD131" s="2">
        <v>2377.6999999999998</v>
      </c>
      <c r="AE131" s="3">
        <f>2609+(378.2-609.5)+(0+(0-0))+0-0-0</f>
        <v>2377.6999999999998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2485.1+(480.9-826.4)+(2.534802+(0.490518-0.842928))+0-0-0</f>
        <v>2141.7823920000001</v>
      </c>
      <c r="G132" s="3">
        <f>2224.8+(446.7-683)+(-3.403944+(-0.683451--1.04499))+0-0-0</f>
        <v>1985.4575950000003</v>
      </c>
      <c r="H132" s="3">
        <f>1959.7+(428.1-543.5)+(0+(0-0))+0-0-0</f>
        <v>1844.3000000000002</v>
      </c>
      <c r="I132" s="3">
        <f>1938.4+(414.3-564.2)+(-1.977168+(-0.422586--0.575484))+0-0-0</f>
        <v>1786.6757299999999</v>
      </c>
      <c r="J132" s="3">
        <f>1935.2+(438.8-681.8)+(-3.947808+(-0.895152--1.390872))+0-0-0</f>
        <v>1688.747912</v>
      </c>
      <c r="K132" s="3">
        <f>1695.6+(424.3-578.5)+(-4.32378+(-1.081965--1.475175))+0-0-0</f>
        <v>1537.4694299999999</v>
      </c>
      <c r="L132" s="3">
        <f>1595.2+(368.4-568.3)+(-1.627104+(-0.375768--0.579666))+0-0-0</f>
        <v>1393.8767940000002</v>
      </c>
      <c r="M132" s="3">
        <f>1732.8+(292-610.6)+(0.883728+(0.14892-0.311406))+0-0-0</f>
        <v>1414.9212419999999</v>
      </c>
      <c r="N132" s="3">
        <f>2011.8+(348.1-790.4)+(2.052036+(0.355062-0.806208))+0-0-0</f>
        <v>1571.1008899999999</v>
      </c>
      <c r="O132" s="3">
        <f>2235.9+(415.5-940.8)+(3.420927+(0.635715-1.439424))+0-0-0</f>
        <v>1713.2172180000002</v>
      </c>
      <c r="P132" s="3">
        <f>2247.9+(443.4-857.8)+(2.292858+(0.452268-0.874956))+0-0-0</f>
        <v>1835.3701699999999</v>
      </c>
      <c r="Q132" s="3">
        <f>2302.6+(424-760.5)+(4.697304+(0.86496-1.55142))+0-0-0</f>
        <v>1970.1108439999998</v>
      </c>
      <c r="R132" s="3">
        <f>2323.9+(400.9-669.4)+(3.555567+(0.613377-1.024182))+52.9-0-0</f>
        <v>2111.4447620000001</v>
      </c>
      <c r="S132" s="3">
        <f>2315.7+(458.1-421.9)+(3.543021+(0.700893-0.645507))+0-0-0</f>
        <v>2355.4984069999996</v>
      </c>
      <c r="T132" s="3">
        <f>2356.1+(494-376.7)+(-2.403222+(-0.50388--0.384234))+0-0-0</f>
        <v>2470.8771320000001</v>
      </c>
      <c r="U132" s="3">
        <f>2541.1+(437-491.7)+(2.591922+(0.44574-0.501534))+0-0-0</f>
        <v>2488.9361280000003</v>
      </c>
      <c r="V132" s="3">
        <f>2545.9+(411.5-556.3)+(0+(0-0))+0-0-0</f>
        <v>2401.1000000000004</v>
      </c>
      <c r="W132" s="3">
        <f>2542.1+(398.9-688.5)+(0+(0-0))+0-0-0</f>
        <v>2252.5</v>
      </c>
      <c r="X132" s="3">
        <f>2551.4+(392.6-866.7)+(1.301214+(0.200226-0.442017))+0-0-0</f>
        <v>2078.3594230000003</v>
      </c>
      <c r="Y132" s="3">
        <f>2568.9+(332.4-900.9)+(3.930417+(0.508572-1.378377))+0-0-0</f>
        <v>2003.4606120000001</v>
      </c>
      <c r="Z132" s="3">
        <f>2580.4+(359.1-650.7)+(0+(0-0))+0-0-0</f>
        <v>2288.8000000000002</v>
      </c>
      <c r="AA132" s="3">
        <f>2573.7+(367.8-599.8)+(-9.188109+(-1.313046--2.141286))+0-0-0</f>
        <v>2333.3401309999999</v>
      </c>
      <c r="AB132" s="3">
        <f>2581.9+(406.2-706.5)+(-3.950307+(-0.621486--1.080945))+0-0-0</f>
        <v>2278.109152</v>
      </c>
      <c r="AC132" s="3">
        <f>2561.4+(403.3-728.9)+(1.306314+(0.205683-0.371739))+0-0-0</f>
        <v>2236.9402580000001</v>
      </c>
      <c r="AD132" s="2">
        <v>2432.5</v>
      </c>
      <c r="AE132" s="3">
        <f>2588+(405.1-560.6)+(0+(0-0))+0-0-0</f>
        <v>2432.5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2270.4+(478.9-554.2)+(-2.315808+(-0.488478--0.565284))+0-0-0</f>
        <v>2192.8609980000001</v>
      </c>
      <c r="G133" s="3">
        <f>2134.7+(472.7-569)+(-4.354788+(-0.964308--1.16076))+0-0-0</f>
        <v>2034.2416639999999</v>
      </c>
      <c r="H133" s="3">
        <f>2115.1+(405.8-599.5)+(-3.236103+(-0.620874--0.917235))+0-0-0</f>
        <v>1918.4602579999998</v>
      </c>
      <c r="I133" s="3">
        <f>2062.8+(375.7-580.1)+(-1.052028+(-0.191607--0.295851))+0-0-0</f>
        <v>1857.4522160000001</v>
      </c>
      <c r="J133" s="3">
        <f>1998.1+(388.5-618.2)+(-4.076124+(-0.79254--1.261128))+0-0-0</f>
        <v>1764.7924639999999</v>
      </c>
      <c r="K133" s="3">
        <f>1750+(400.4-549.5)+(-2.6775+(-0.612612--0.840735))+0-0-0</f>
        <v>1598.4506230000002</v>
      </c>
      <c r="L133" s="3">
        <f>1614.8+(365.3-530.1)+(0+(0-0))+0-0-0</f>
        <v>1450</v>
      </c>
      <c r="M133" s="3">
        <f>1825+(371.8-703.1)+(2.79225+(0.568854-1.075743))+0-0-0</f>
        <v>1495.985361</v>
      </c>
      <c r="N133" s="3">
        <f>2237+(321-978.3)+(1.14087+(0.16371-0.498933))+0-0-0</f>
        <v>1580.505647</v>
      </c>
      <c r="O133" s="3">
        <f>2561.6+(379.7-1125)+(1.306416+(0.193647-0.57375))+0-0-0</f>
        <v>1817.2263129999999</v>
      </c>
      <c r="P133" s="3">
        <f>2582.7+(390.8-1048.9)+(5.268708+(0.797232-2.139756))+0-0-0</f>
        <v>1928.5261839999996</v>
      </c>
      <c r="Q133" s="3">
        <f>2574.7+(374.8-917.3)+(3.939291+(0.573444-1.403469))+0-0-0</f>
        <v>2035.3092659999998</v>
      </c>
      <c r="R133" s="3">
        <f>2541.7+(409-761.8)+(-5.185068+(-0.83436--1.554072))+0-0-0</f>
        <v>2184.4346439999995</v>
      </c>
      <c r="S133" s="3">
        <f>2539.9+(467.6-644.1)+(-3.886047+(-0.715428--0.985473))+0-0-0</f>
        <v>2359.7839979999999</v>
      </c>
      <c r="T133" s="3">
        <f>2545.8+(463.5-566)+(3.895074+(0.709155-0.86598))+0-0-0</f>
        <v>2447.0382490000002</v>
      </c>
      <c r="U133" s="3">
        <f>2550.4+(454.3-576.3)+(2.601408+(0.463386-0.587826))+0-0-0</f>
        <v>2430.876968</v>
      </c>
      <c r="V133" s="3">
        <f>2541.7+(422.5-655.8)+(1.296267+(0.215475-0.334458))+0-0-0</f>
        <v>2309.5772839999995</v>
      </c>
      <c r="W133" s="3">
        <f>2540.9+(404.5-814.7)+(-1.295859+(-0.206295--0.415497))+0-0-0</f>
        <v>2129.613343</v>
      </c>
      <c r="X133" s="3">
        <f>2551.9+(394.6-957.9)+(2.602938+(0.402492-0.977058))+0-0-0</f>
        <v>1990.6283720000001</v>
      </c>
      <c r="Y133" s="3">
        <f>2581.5+(371.2-978)+(5.26626+(0.757248-1.99512))+0-0-0</f>
        <v>1978.728388</v>
      </c>
      <c r="Z133" s="3">
        <f>2603.2+(380.4-701.4)+(1.327632+(0.194004-0.357714))+0-0-0</f>
        <v>2283.363922</v>
      </c>
      <c r="AA133" s="3">
        <f>2607.6+(375.1-653.1)+(-5.319504+(-0.765204--1.332324))+0-0-0</f>
        <v>2324.847616</v>
      </c>
      <c r="AB133" s="3">
        <f>2609+(420.2-772.2)+(2.66118+(0.428604-0.787644))+0-0-0</f>
        <v>2259.3021399999998</v>
      </c>
      <c r="AC133" s="3">
        <f>2609.3+(413.3-767.5)+(0+(0-0))+0-0-0</f>
        <v>2255.1000000000004</v>
      </c>
      <c r="AD133" s="2">
        <v>2291.1000000000004</v>
      </c>
      <c r="AE133" s="3">
        <f>2605+(395.3-709.2)+(0+(0-0))+0-0-0</f>
        <v>2291.1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2424.2+(427-684.9)+(-3.709026+(-0.65331--1.047897))+0-0-0</f>
        <v>2162.9855609999995</v>
      </c>
      <c r="G134" s="3">
        <f>1827.6+(548.5-357.2)+(-1.864152+(-0.55947--0.364344))+0-0-0</f>
        <v>2016.8407219999999</v>
      </c>
      <c r="H134" s="3">
        <f>1809.5+(487.8-373.5)+(-0.922845+(-0.248778--0.190485))+0-0-0</f>
        <v>1922.8188619999999</v>
      </c>
      <c r="I134" s="3">
        <f>1804.9+(456-376.6)+(-1.840998+(-0.46512--0.384132))+0-0-0</f>
        <v>1882.3780140000001</v>
      </c>
      <c r="J134" s="3">
        <f>1776.3+(476-451.3)+(1.811826+(0.48552-0.460326))+0-0-0</f>
        <v>1802.8370199999999</v>
      </c>
      <c r="K134" s="3">
        <f>1775.4+(454.9-557.3)+(0.905454+(0.231999-0.284223))+0-0-0</f>
        <v>1673.8532299999999</v>
      </c>
      <c r="L134" s="3">
        <f>1674.1+(412.1-627.8)+(-2.561373+(-0.630513--0.960534))+0-0-0</f>
        <v>1456.1686480000001</v>
      </c>
      <c r="M134" s="3">
        <f>1705.2+(406.5-636.7)+(0.869652+(0.207315-0.324717))+0-0-0</f>
        <v>1475.75225</v>
      </c>
      <c r="N134" s="3">
        <f>2205.8+(398-923.8)+(2.249916+(0.40596-0.942276))+0-0-0</f>
        <v>1681.7136000000003</v>
      </c>
      <c r="O134" s="3">
        <f>2491.3+(410.3-1099.8)+(2.541126+(0.418506-1.121796))+0-0-0</f>
        <v>1803.6378360000001</v>
      </c>
      <c r="P134" s="3">
        <f>2560.2+(411.2-1110.3)+(1.305702+(0.209712-0.566253))+0-0-0</f>
        <v>1862.0491609999999</v>
      </c>
      <c r="Q134" s="3">
        <f>2552+(384.8-1002.3)+(2.60304+(0.392496-1.022346))+0-0-0</f>
        <v>1936.4731899999999</v>
      </c>
      <c r="R134" s="3">
        <f>2556.6+(395.2-938.8)+(1.303866+(0.201552-0.478788))+0-0-0</f>
        <v>2014.0266300000001</v>
      </c>
      <c r="S134" s="3">
        <f>2576+(395.2-941.4)+(1.31376+(0.201552-0.480114))+0-0-0</f>
        <v>2030.835198</v>
      </c>
      <c r="T134" s="3">
        <f>2578.8+(392.8-867.8)+(1.315188+(0.200328-0.442578))+0-0-0</f>
        <v>2104.872938</v>
      </c>
      <c r="U134" s="3">
        <f>2565.9+(398.8-861.3)+(-3.925827+(-0.610164--1.317789))+0-0-0</f>
        <v>2100.1817980000001</v>
      </c>
      <c r="V134" s="3">
        <f>2579.2+(399.6-927.9)+(1.315392+(0.203796-0.473229))+0-0-0</f>
        <v>2051.9459589999997</v>
      </c>
      <c r="W134" s="3">
        <f>2573.6+(406.6-1010.3)+(-2.625072+(-0.414732--1.030506))+0-0-0</f>
        <v>1967.8907020000001</v>
      </c>
      <c r="X134" s="3">
        <f>2526+(385-1023.8)+(-3.86478+(-0.58905--1.566414))+0-0-0</f>
        <v>1884.312584</v>
      </c>
      <c r="Y134" s="3">
        <f>2425.2+(402.8-936.7)+(2.473704+(0.410856-0.955434))+0-0-0</f>
        <v>1893.2291259999997</v>
      </c>
      <c r="Z134" s="3">
        <f>2526.6+(379.6-716.8)+(2.577132+(0.387192-0.731136))+0-0-0</f>
        <v>2191.6331880000002</v>
      </c>
      <c r="AA134" s="3">
        <f>2581.5+(380-716.9)+(-2.63313+(-0.3876--0.731238))+0-0-0</f>
        <v>2242.310508</v>
      </c>
      <c r="AB134" s="3">
        <f>2593.9+(421.2-808.6)+(1.322889+(0.214812-0.412386))+0-0-0</f>
        <v>2207.6253149999998</v>
      </c>
      <c r="AC134" s="3">
        <f>2589.1+(445.7-829.9)+(6.602205+(1.136535-2.116245))+0-0-0</f>
        <v>2210.5224950000002</v>
      </c>
      <c r="AD134" s="2">
        <v>2246.3000000000002</v>
      </c>
      <c r="AE134" s="3">
        <f>2601+(325-679.7)+(0+(0-0))+0-0-0</f>
        <v>2246.3000000000002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2523.7+(401.2-811.1)+(3.861261+(0.613836-1.240983))+0-0-0</f>
        <v>2117.0341139999996</v>
      </c>
      <c r="G135" s="3">
        <f>2510+(359.4-872.9)+(-1.2801+(-0.183294--0.445179))+0-0-0</f>
        <v>1995.4817849999999</v>
      </c>
      <c r="H135" s="3">
        <f>2509.4+(323.3-936.8)+(2.559588+(0.329766-0.955536))+0-0-0</f>
        <v>1897.8338180000001</v>
      </c>
      <c r="I135" s="3">
        <f>2511.9+(314.5-971.3)+(2.562138+(0.32079-0.990726))+0-0-0</f>
        <v>1856.9922020000001</v>
      </c>
      <c r="J135" s="3">
        <f>2500.8+(347.9-1075)+(5.101632+(0.709716-2.193))+0-0-0</f>
        <v>1777.3183480000002</v>
      </c>
      <c r="K135" s="3">
        <f>2319.5+(357.3-1058.7)+(-7.09767+(-1.093338--3.239622))+0-0-0</f>
        <v>1613.148614</v>
      </c>
      <c r="L135" s="3">
        <f>2145.8+(331.2-1009.3)+(-5.47179+(-0.84456--2.573715))+0-0-0</f>
        <v>1463.9573650000002</v>
      </c>
      <c r="M135" s="3">
        <f>2146.4+(339-1001.7)+(0+(0-0))+0-0-0</f>
        <v>1483.7</v>
      </c>
      <c r="N135" s="3">
        <f>2160+(396.9-973.4)+(-1.1016+(-0.202419--0.496434))+0-0-0</f>
        <v>1582.692415</v>
      </c>
      <c r="O135" s="3">
        <f>2366.2+(390.4-960.8)+(0+(0-0))+0-0-0</f>
        <v>1795.7999999999997</v>
      </c>
      <c r="P135" s="3">
        <f>2579+(324.9-1073.8)+(3.94587+(0.497097-1.642914))+0-0-0</f>
        <v>1832.9000529999998</v>
      </c>
      <c r="Q135" s="3">
        <f>2678.2+(334.6-1114.4)+(4.097646+(0.511938-1.705032))+0-0-0</f>
        <v>1901.3045519999996</v>
      </c>
      <c r="R135" s="3">
        <f>2712.3+(327.8-1051.3)+(-2.766546+(-0.334356--1.072326))+0-0-0</f>
        <v>1986.7714240000003</v>
      </c>
      <c r="S135" s="3">
        <f>2710.3+(344.1-1002.6)+(-1.382253+(-0.175491--0.511326))+0-0-0</f>
        <v>2050.7535820000003</v>
      </c>
      <c r="T135" s="3">
        <f>2695.7+(359.8-906.6)+(-5.499228+(-0.733992--1.849464))+0-0-0</f>
        <v>2144.5162439999995</v>
      </c>
      <c r="U135" s="3">
        <f>2691.9+(374.2-932.4)+(-4.118607+(-0.572526--1.426572))+0-0-0</f>
        <v>2130.4354389999999</v>
      </c>
      <c r="V135" s="3">
        <f>2699.6+(378.1-1023.4)+(0+(0-0))+0-0-0</f>
        <v>2054.3000000000002</v>
      </c>
      <c r="W135" s="3">
        <f>2705.8+(346-1096.6)+(4.139874+(0.52938-1.677798))+0-0-0</f>
        <v>1958.1914560000002</v>
      </c>
      <c r="X135" s="3">
        <f>2710.9+(362.5-1221.7)+(4.147677+(0.554625-1.869201))+0-0-0</f>
        <v>1854.533101</v>
      </c>
      <c r="Y135" s="3">
        <f>2679.8+(355.4-1178.1)+(5.466792+(0.725016-2.403324))+0-0-0</f>
        <v>1860.8884840000003</v>
      </c>
      <c r="Z135" s="3">
        <f>2732.8+(322.3-943.6)+(2.787456+(0.328746-0.962472))+0-0-0</f>
        <v>2113.65373</v>
      </c>
      <c r="AA135" s="3">
        <f>2732.3+(318.8-906.9)+(-5.573892+(-0.650352--1.850076))+0-0-0</f>
        <v>2139.8258320000004</v>
      </c>
      <c r="AB135" s="3">
        <f>2741.8+(346-1009.5)+(-1.398318+(-0.17646--0.514845))+0-0-0</f>
        <v>2077.2400670000002</v>
      </c>
      <c r="AC135" s="3">
        <f>2573.8+(402.3-925.6)+(-1.312638+(-0.205173--0.472056))+0-0-0</f>
        <v>2049.4542449999999</v>
      </c>
      <c r="AD135" s="2">
        <v>2208.2999999999997</v>
      </c>
      <c r="AE135" s="3">
        <f>2736+(340.2-867.9)+(0+(0-0))+0-0-0</f>
        <v>2208.3000000000002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2552.5+(409-983.1)+(1.301775+(0.20859-0.501381))+0-0-0</f>
        <v>1979.4089840000001</v>
      </c>
      <c r="G136" s="3">
        <f>2431.8+(397.4-977.9)+(3.720654+(0.608022-1.496187))+0-0-0</f>
        <v>1854.1324890000001</v>
      </c>
      <c r="H136" s="3">
        <f>2300.6+(349.5-896.2)+(1.173306+(0.178245-0.457062))+0-0-0</f>
        <v>1754.7944889999999</v>
      </c>
      <c r="I136" s="3">
        <f>2323.3+(286.1-896.3)+(2.369766+(0.291822-0.914226))+0-0-0</f>
        <v>1714.8473620000004</v>
      </c>
      <c r="J136" s="3">
        <f>2311.5+(314.6-974.7)+(-2.35773+(-0.320892--0.994194))+0-0-0</f>
        <v>1649.7155720000001</v>
      </c>
      <c r="K136" s="3">
        <f>2147.3+(278.2-917.9)+(-4.380492+(-0.567528--1.872516))+0-0-0</f>
        <v>1504.5244960000002</v>
      </c>
      <c r="L136" s="3">
        <f>2113.9+(235.4-972)+(-6.468534+(-0.720324--2.97432))+0-0-0</f>
        <v>1373.0854620000002</v>
      </c>
      <c r="M136" s="3">
        <f>2245.5+(215.8-1079.2)+(4.58082+(0.440232-2.201568))+0-0-0</f>
        <v>1384.919484</v>
      </c>
      <c r="N136" s="3">
        <f>2378.1+(228.7-1120)+(7.276986+(0.699822-3.4272))+0-0-0</f>
        <v>1491.349608</v>
      </c>
      <c r="O136" s="3">
        <f>2384.7+(297.1-1107.5)+(3.648591+(0.454563-1.694475))+0-0-0</f>
        <v>1576.7086789999996</v>
      </c>
      <c r="P136" s="3">
        <f>2392.6+(297.7-1040.7)+(2.440452+(0.303654-1.061514))+0-0-0</f>
        <v>1651.282592</v>
      </c>
      <c r="Q136" s="3">
        <f>2390.8+(276.2-951)+(1.219308+(0.140862-0.48501))+0-0-0</f>
        <v>1716.8751600000003</v>
      </c>
      <c r="R136" s="3">
        <f>2392.5+(270.5-880.5)+(1.220175+(0.137955-0.449055))+0-0-0</f>
        <v>1783.409075</v>
      </c>
      <c r="S136" s="3">
        <f>2360.2+(253.8-786.3)+(-7.222212+(-0.776628--2.406078))+0-0-0</f>
        <v>1822.1072379999998</v>
      </c>
      <c r="T136" s="3">
        <f>2365.7+(256.5-753.6)+(-6.032535+(-0.654075--1.92168))+0-0-0</f>
        <v>1863.8350699999999</v>
      </c>
      <c r="U136" s="3">
        <f>2449.6+(297.2-904.3)+(-1.249296+(-0.151572--0.461193))+0-0-0</f>
        <v>1841.5603249999999</v>
      </c>
      <c r="V136" s="3">
        <f>2513.3+(283.4-1012.3)+(-3.845349+(-0.433602--1.548819))+0-0-0</f>
        <v>1781.6698680000002</v>
      </c>
      <c r="W136" s="3">
        <f>2562.3+(304.1-1143.7)+(-6.533865+(-0.775455--2.916435))+0-0-0</f>
        <v>1718.3071150000003</v>
      </c>
      <c r="X136" s="3">
        <f>2574.6+(328.5-1248.5)+(-3.939138+(-0.502605--1.910205))+0-0-0</f>
        <v>1652.068462</v>
      </c>
      <c r="Y136" s="3">
        <f>2615.2+(275.4-1225)+(0+(0-0))+0-0-0</f>
        <v>1665.6</v>
      </c>
      <c r="Z136" s="3">
        <f>2802.6+(203.8-1112.8)+(2.858652+(0.207876-1.135056))+0-0-0</f>
        <v>1895.5314719999999</v>
      </c>
      <c r="AA136" s="3">
        <f>2799.9+(212.1-1056.9)+(-2.855898+(-0.216342--1.078038))+0-0-0</f>
        <v>1953.1057979999998</v>
      </c>
      <c r="AB136" s="3">
        <f>2669.6+(295.2-1050.4)+(-4.084488+(-0.451656--1.607112))+0-0-0</f>
        <v>1911.4709679999999</v>
      </c>
      <c r="AC136" s="3">
        <f>2618.4+(380.9-1101.9)+(-4.006152+(-0.582777--1.685907))+0-0-0</f>
        <v>1894.4969780000001</v>
      </c>
      <c r="AD136" s="2">
        <v>1991.6000000000001</v>
      </c>
      <c r="AE136" s="3">
        <f>2805+(246.3-1059.7)+(0+(0-0))+0-0-0</f>
        <v>1991.6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2597.7+(425.8-1147.7)+(-3.974481+(-0.651474--1.755981))+0-0-0</f>
        <v>1872.9300259999998</v>
      </c>
      <c r="G137" s="3">
        <f>2414.3+(450.3-1080.5)+(1.231293+(0.229653-0.551055))+0-0-0</f>
        <v>1785.0098910000002</v>
      </c>
      <c r="H137" s="3">
        <f>2047+(474.3-845.9)+(0+(0-0))+0-0-0</f>
        <v>1675.4</v>
      </c>
      <c r="I137" s="3">
        <f>2039+(461.2-853.9)+(-2.07978+(-0.470424--0.870978))+0-0-0</f>
        <v>1644.620774</v>
      </c>
      <c r="J137" s="3">
        <f>2038.5+(487.7-938.4)+(-3.118905+(-0.746181--1.435752))+0-0-0</f>
        <v>1585.370666</v>
      </c>
      <c r="K137" s="3">
        <f>1901+(437-883.5)+(-3.87804+(-0.89148--1.80234))+0-0-0</f>
        <v>1451.5328199999999</v>
      </c>
      <c r="L137" s="3">
        <f>1645.8+(356.6-683.9)+(-4.19679+(-0.90933--1.743945))+0-0-0</f>
        <v>1315.137825</v>
      </c>
      <c r="M137" s="3">
        <f>1633.8+(335.3-704.5)+(-1.666476+(-0.342006--0.71859))+0-0-0</f>
        <v>1263.3101079999999</v>
      </c>
      <c r="N137" s="3">
        <f>1957.3+(302.4-937.4)+(-2.994669+(-0.462672--1.434222))+0-0-0</f>
        <v>1320.276881</v>
      </c>
      <c r="O137" s="3">
        <f>2105.1+(284-998.7)+(0+(0-0))+0-0-0</f>
        <v>1390.3999999999999</v>
      </c>
      <c r="P137" s="3">
        <f>2409.4+(277.6-1193.9)+(3.686382+(0.424728-1.826667))+0-0-0</f>
        <v>1495.3844429999999</v>
      </c>
      <c r="Q137" s="3">
        <f>2612.8+(266-1272.4)+(-2.665056+(-0.27132--1.297848))+0-0-0</f>
        <v>1604.7614720000001</v>
      </c>
      <c r="R137" s="3">
        <f>2712.4+(321-1292.9)+(1.383324+(0.16371-0.659379))+0-0-0</f>
        <v>1741.387655</v>
      </c>
      <c r="S137" s="3">
        <f>2716.7+(366.8-1193.7)+(-1.385517+(-0.187068--0.608787))+0-0-0</f>
        <v>1888.8362019999997</v>
      </c>
      <c r="T137" s="3">
        <f>2719.8+(373.2-1069.1)+(1.387098+(0.190332-0.545241))+0-0-0</f>
        <v>2024.9321890000003</v>
      </c>
      <c r="U137" s="3">
        <f>2715.6+(374.6-1009.8)+(1.384956+(0.191046-0.514998))+0-0-0</f>
        <v>2081.4610040000002</v>
      </c>
      <c r="V137" s="3">
        <f>2713.1+(352.3-1016.2)+(1.383681+(0.179673-0.518262))+0-0-0</f>
        <v>2050.2450919999997</v>
      </c>
      <c r="W137" s="3">
        <f>2688.6+(336.4-1075.1)+(-1.371186+(-0.171564--0.548301))+0-0-0</f>
        <v>1948.9055510000001</v>
      </c>
      <c r="X137" s="3">
        <f>2622.1+(328.7-1130.2)+(0+(0-0))+0-0-0</f>
        <v>1820.6</v>
      </c>
      <c r="Y137" s="3">
        <f>2541.7+(316.9-1087.8)+(-1.296267+(-0.161619--0.554778))+0-0-0</f>
        <v>1769.8968919999998</v>
      </c>
      <c r="Z137" s="3">
        <f>2776.4+(320.6-1050.5)+(1.415964+(0.163506-0.535755))+0-0-0</f>
        <v>2047.543715</v>
      </c>
      <c r="AA137" s="3">
        <f>2777.8+(345.3-1019.8)+(-2.833356+(-0.352206--1.040196))+0-0-0</f>
        <v>2101.154634</v>
      </c>
      <c r="AB137" s="3">
        <f>2653.2+(375.2-953.7)+(1.353132+(0.191352-0.486387))+0-0-0</f>
        <v>2075.7580969999999</v>
      </c>
      <c r="AC137" s="3">
        <f>2606.9+(451.1-963.5)+(-1.329519+(-0.230061--0.491385))+0-0-0</f>
        <v>2093.4318050000002</v>
      </c>
      <c r="AD137" s="2">
        <v>2141.6999999999998</v>
      </c>
      <c r="AE137" s="3">
        <f>2790.3+(354.1-1002.7)+(0+(0-0))+0-0-0</f>
        <v>2141.7000000000003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2481.3+(440.1-867.2)+(-1.265463+(-0.224451--0.442272))+0-0-0</f>
        <v>2053.1523580000003</v>
      </c>
      <c r="G138" s="3">
        <f>2265.9+(401.7-734.2)+(-3.466827+(-0.614601--1.123326))+0-0-0</f>
        <v>1930.441898</v>
      </c>
      <c r="H138" s="3">
        <f>2052.4+(443.3-683.3)+(0+(0-0))+0-0-0</f>
        <v>1812.4</v>
      </c>
      <c r="I138" s="3">
        <f>1690.3+(505.5-454.8)+(0.862053+(0.257805-0.231948))+0-0-0</f>
        <v>1741.8879099999999</v>
      </c>
      <c r="J138" s="3">
        <f>1678.4+(498.4-509.6)+(-3.423936+(-1.016736--1.039584))+0-0-0</f>
        <v>1663.798912</v>
      </c>
      <c r="K138" s="3">
        <f>1673+(460.6-621.1)+(-4.26615+(-1.17453--1.583805))+0-0-0</f>
        <v>1508.6431250000001</v>
      </c>
      <c r="L138" s="3">
        <f>1682.1+(380.5-678.2)+(-1.715742+(-0.38811--0.691764))+0-0-0</f>
        <v>1382.9879119999998</v>
      </c>
      <c r="M138" s="3">
        <f>1755.4+(415.6-755.9)+(0+(0-0))+0-0-0</f>
        <v>1415.1000000000001</v>
      </c>
      <c r="N138" s="3">
        <f>1862.2+(456.9-740.3)+(0.949722+(0.233019-0.377553))+0-0-0</f>
        <v>1579.6051880000002</v>
      </c>
      <c r="O138" s="3">
        <f>2001.4+(444.7-652.2)+(0+(0-0))+0-0-0</f>
        <v>1793.9</v>
      </c>
      <c r="P138" s="3">
        <f>2285.1+(375.6-790.1)+(3.496203+(0.574668-1.208853))+0-0-0</f>
        <v>1873.4620179999999</v>
      </c>
      <c r="Q138" s="3">
        <f>2411.1+(353.5-753.3)+(-1.229661+(-0.180285--0.384183))+0-0-0</f>
        <v>2010.2742369999999</v>
      </c>
      <c r="R138" s="3">
        <f>2501.6+(352.6-732.4)+(0+(0-0))+0-0-0</f>
        <v>2121.8000000000002</v>
      </c>
      <c r="S138" s="3">
        <f>2495+(325.9-575.2)+(-1.27245+(-0.166209--0.293352))+0-0-0</f>
        <v>2244.554693</v>
      </c>
      <c r="T138" s="3">
        <f>2488+(531.1-469.7)+(1.26888+(0.270861-0.239547))+0-0-0</f>
        <v>2550.700194</v>
      </c>
      <c r="U138" s="3">
        <f>2483.6+(539.1-457.9)+(1.266636+(0.274941-0.233529))+0-0-0</f>
        <v>2566.1080480000001</v>
      </c>
      <c r="V138" s="3">
        <f>2484.6+(511.5-504.2)+(-5.068584+(-1.04346--1.028568))+0-0-0</f>
        <v>2486.8165240000003</v>
      </c>
      <c r="W138" s="3">
        <f>2486+(482.1-618.4)+(-5.07144+(-0.983484--1.261536))+0-0-0</f>
        <v>2344.9066119999998</v>
      </c>
      <c r="X138" s="3">
        <f>2493.3+(462.8-791.6)+(-6.357915+(-1.18014--2.01858))+0-0-0</f>
        <v>2158.9805249999999</v>
      </c>
      <c r="Y138" s="3">
        <f>2506.2+(393.8-805.3)+(0+(0-0))+0-0-0</f>
        <v>2094.6999999999998</v>
      </c>
      <c r="Z138" s="3">
        <f>2515.9+(434.8-560.6)+(3.849327+(0.665244-0.857718))+0-0-0</f>
        <v>2393.7568529999999</v>
      </c>
      <c r="AA138" s="3">
        <f>2524.6+(454.4-538.3)+(-7.725276+(-1.390464--1.647198))+0-0-0</f>
        <v>2433.2314579999997</v>
      </c>
      <c r="AB138" s="3">
        <f>2531.7+(454.3-627.1)+(-2.582334+(-0.463386--0.639642))+0-0-0</f>
        <v>2356.4939219999997</v>
      </c>
      <c r="AC138" s="3">
        <f>2533+(458-645.2)+(1.29183+(0.23358-0.329052))+0-0-0</f>
        <v>2346.9963580000003</v>
      </c>
      <c r="AD138" s="2">
        <v>2479.9</v>
      </c>
      <c r="AE138" s="3">
        <f>2520+(461.8-501.9)+(0+(0-0))+0-0-0</f>
        <v>2479.9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2437.5+(504.8-679)+(0+(0-0))+0-0-0</f>
        <v>2263.3000000000002</v>
      </c>
      <c r="G139" s="3">
        <f>2021.5+(571.3-487.2)+(-1.030965+(-0.291363--0.248472))+0-0-0</f>
        <v>2104.5261439999999</v>
      </c>
      <c r="H139" s="3">
        <f>1937.1+(534.5-492.9)+(-1.975842+(-0.54519--0.502758))+0-0-0</f>
        <v>1976.6817259999998</v>
      </c>
      <c r="I139" s="3">
        <f>1744.9+(567.3-426.5)+(-0.889899+(-0.289323--0.217515))+0-0-0</f>
        <v>1884.7382930000001</v>
      </c>
      <c r="J139" s="3">
        <f>1732.9+(549.3-482.4)+(-3.535116+(-1.120572--0.984096))+0-0-0</f>
        <v>1796.1284080000003</v>
      </c>
      <c r="K139" s="3">
        <f>1563.5+(556.9-492.6)+(-1.59477+(-0.568038--0.502452))+0-0-0</f>
        <v>1626.1396439999999</v>
      </c>
      <c r="L139" s="3">
        <f>1563.3+(498.9-586.7)+(-1.594566+(-0.508878--0.598434))+0-0-0</f>
        <v>1473.9949899999999</v>
      </c>
      <c r="M139" s="3">
        <f>1733.3+(440.1-677.2)+(0.883983+(0.224451-0.345372))+0-0-0</f>
        <v>1496.9630619999998</v>
      </c>
      <c r="N139" s="3">
        <f>2049.9+(445.8-831.8)+(1.045449+(0.227358-0.424218))+0-0-0</f>
        <v>1664.748589</v>
      </c>
      <c r="O139" s="3">
        <f>2413.3+(458.2-1030.5)+(-1.230783+(-0.233682--0.525555))+0-0-0</f>
        <v>1840.0610900000001</v>
      </c>
      <c r="P139" s="3">
        <f>2459.7+(413.2-912)+(-2.508894+(-0.421464--0.93024))+0-0-0</f>
        <v>1958.8998819999999</v>
      </c>
      <c r="Q139" s="3">
        <f>2475.8+(430.3-804.8)+(3.787974+(0.658359-1.231344))+0-0-0</f>
        <v>2104.5149890000002</v>
      </c>
      <c r="R139" s="3">
        <f>2463.1+(445-619.1)+(-2.512362+(-0.4539--0.631482))+0-0-0</f>
        <v>2286.6652199999999</v>
      </c>
      <c r="S139" s="3">
        <f>2450.1+(478.9-434.8)+(-3.748653+(-0.732717--0.665244))+0-0-0</f>
        <v>2490.3838739999997</v>
      </c>
      <c r="T139" s="3">
        <f>2449.8+(539.5-340)+(-3.748194+(-0.825435--0.5202))+0-0-0</f>
        <v>2645.2465710000001</v>
      </c>
      <c r="U139" s="3">
        <f>2443.5+(549.1-344.4)+(-2.49237+(-0.560082--0.351288))+0-0-0</f>
        <v>2645.4988359999998</v>
      </c>
      <c r="V139" s="3">
        <f>2440.4+(506.1-385.5)+(-1.244604+(-0.258111--0.196605))+0-0-0</f>
        <v>2559.69389</v>
      </c>
      <c r="W139" s="3">
        <f>2428.6+(472.1-488.6)+(-4.954344+(-0.963084--0.996744))+0-0-0</f>
        <v>2407.1793159999997</v>
      </c>
      <c r="X139" s="3">
        <f>2417.7+(437-646.6)+(-7.398162+(-1.33722--1.978596))+0-0-0</f>
        <v>2201.343214</v>
      </c>
      <c r="Y139" s="3">
        <f>2211.5+(374-483.2)+(4.51146+(0.76296-0.985728))+0-0-0</f>
        <v>2106.5886920000003</v>
      </c>
      <c r="Z139" s="3">
        <f>2404.1+(455.9-464.7)+(4.904364+(0.930036-0.947988))+0-0-0</f>
        <v>2400.1864119999996</v>
      </c>
      <c r="AA139" s="3">
        <f>2476.4+(446.6-487.7)+(-5.051856+(-0.911064--0.994908))+0-0-0</f>
        <v>2430.3319880000004</v>
      </c>
      <c r="AB139" s="3">
        <f>2498.4+(449.4-572.7)+(0+(0-0))+0-0-0</f>
        <v>2375.1</v>
      </c>
      <c r="AC139" s="3">
        <f>2498.2+(439.9-585.5)+(-2.548164+(-0.448698--0.59721))+0-0-0</f>
        <v>2350.2003479999998</v>
      </c>
      <c r="AD139" s="2">
        <v>2489.3000000000002</v>
      </c>
      <c r="AE139" s="3">
        <f>2495+(462.3-468)+(0+(0-0))+0-0-0</f>
        <v>2489.3000000000002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2495.2+(508.4-730.3)+(0+(0-0))+0-0-0</f>
        <v>2273.2999999999997</v>
      </c>
      <c r="G140" s="3">
        <f>2360.3+(517.6-760.7)+(0+(0-0))+0-0-0</f>
        <v>2117.2000000000003</v>
      </c>
      <c r="H140" s="3">
        <f>1909.8+(585-544)+(1.947996+(0.5967-0.55488))+0-0-0</f>
        <v>1952.789816</v>
      </c>
      <c r="I140" s="3">
        <f>1841.6+(545.7-514.6)+(-1.878432+(-0.556614--0.524892))+0-0-0</f>
        <v>1870.7898459999999</v>
      </c>
      <c r="J140" s="3">
        <f>1753.8+(554.4-516.5)+(-4.47219+(-1.41372--1.317075))+0-0-0</f>
        <v>1787.1311649999998</v>
      </c>
      <c r="K140" s="3">
        <f>1745.7+(519.7-640.7)+(-4.451535+(-1.325235--1.633785))+0-0-0</f>
        <v>1620.5570150000001</v>
      </c>
      <c r="L140" s="3">
        <f>1600.8+(474-625.9)+(-0.816408+(-0.24174--0.319209))+0-0-0</f>
        <v>1448.161061</v>
      </c>
      <c r="M140" s="3">
        <f>1636.3+(433.2-584)+(2.503539+(0.662796-0.89352))+0-0-0</f>
        <v>1487.772815</v>
      </c>
      <c r="N140" s="3">
        <f>1924.8+(511.2-767.8)+(3.926592+(1.042848-1.566312))+0-0-0</f>
        <v>1671.603128</v>
      </c>
      <c r="O140" s="3">
        <f>2262.6+(471.7-889.6)+(0+(0-0))+0-0-0</f>
        <v>1844.6999999999998</v>
      </c>
      <c r="P140" s="3">
        <f>2437+(430.3-855.1)+(3.72861+(0.658359-1.308303))+0-0-0</f>
        <v>2015.2786660000002</v>
      </c>
      <c r="Q140" s="3">
        <f>2482.2+(403.5-736.8)+(0+(0-0))+0-0-0</f>
        <v>2148.8999999999996</v>
      </c>
      <c r="R140" s="3">
        <f>2474.1+(428.4-550)+(-1.261791+(-0.218484--0.2805))+0-0-0</f>
        <v>2351.300225</v>
      </c>
      <c r="S140" s="3">
        <f>2467.4+(521.5-425.4)+(-3.775122+(-0.797895--0.650862))+0-0-0</f>
        <v>2559.5778449999998</v>
      </c>
      <c r="T140" s="3">
        <f>2460.4+(591.4-327.4)+(0+(0-0))+0-0-0</f>
        <v>2724.4</v>
      </c>
      <c r="U140" s="3">
        <f>2484.5+(561.9-337.3)+(-2.53419+(-0.573138--0.344046))+0-0-0</f>
        <v>2706.336718</v>
      </c>
      <c r="V140" s="3">
        <f>2590.1+(467-454.2)+(-6.604755+(-1.19085--1.15821))+0-0-0</f>
        <v>2596.2626049999999</v>
      </c>
      <c r="W140" s="3">
        <f>2644.7+(441.4-601.9)+(0+(0-0))+0-0-0</f>
        <v>2484.1999999999998</v>
      </c>
      <c r="X140" s="3">
        <f>2628.3+(404.3-770.9)+(-5.361732+(-0.824772--1.572636))+0-0-0</f>
        <v>2257.0861320000004</v>
      </c>
      <c r="Y140" s="3">
        <f>2676.8+(394.3-885.2)+(0+(0-0))+0-0-0</f>
        <v>2185.9</v>
      </c>
      <c r="Z140" s="3">
        <f>2739.9+(394.4-665.2)+(-1.397349+(-0.201144--0.339252))+0-0-0</f>
        <v>2467.8407589999997</v>
      </c>
      <c r="AA140" s="3">
        <f>2756.9+(396.8-670.7)+(-8.436114+(-1.214208--2.052342))+0-0-0</f>
        <v>2475.40202</v>
      </c>
      <c r="AB140" s="3">
        <f>2694.7+(391.5-658.9)+(2.748594+(0.39933-0.672078))+0-0-0</f>
        <v>2429.7758459999995</v>
      </c>
      <c r="AC140" s="3">
        <f>2682.1+(472.4-737.9)+(0+(0-0))+0-0-0</f>
        <v>2416.6</v>
      </c>
      <c r="AD140" s="2">
        <v>2513.1</v>
      </c>
      <c r="AE140" s="3">
        <f>2765+(378.5-630.4)+(0+(0-0))+0-0-0</f>
        <v>2513.1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2597+(493.4-792.3)+(3.97341+(0.754902-1.212219))+0-0-0</f>
        <v>2301.6160930000001</v>
      </c>
      <c r="G141" s="3">
        <f>2488+(461.2-766.7)+(-3.80664+(-0.705636--1.173051))+0-0-0</f>
        <v>2179.1607749999998</v>
      </c>
      <c r="H141" s="3">
        <f>1987.3+(535.7-536.5)+(0+(0-0))+0-0-0</f>
        <v>1986.5</v>
      </c>
      <c r="I141" s="3">
        <f>1946.1+(522.7-560.4)+(-0.992511+(-0.266577--0.285804))+0-0-0</f>
        <v>1907.4267160000002</v>
      </c>
      <c r="J141" s="3">
        <f>1965.3+(521.4-653.5)+(3.006909+(0.797742-0.999855))+0-0-0</f>
        <v>1836.0047959999997</v>
      </c>
      <c r="K141" s="3">
        <f>1856.4+(525.8-710.6)+(-4.73382+(-1.34079--1.81203))+0-0-0</f>
        <v>1667.3374199999998</v>
      </c>
      <c r="L141" s="3">
        <f>1610.5+(442.6-569.2)+(-4.106775+(-1.12863--1.45146))+0-0-0</f>
        <v>1480.1160550000002</v>
      </c>
      <c r="M141" s="3">
        <f>1664+(401.4-561.4)+(0+(0-0))+0-0-0</f>
        <v>1504</v>
      </c>
      <c r="N141" s="3">
        <f>2203.5+(406.6-909.3)+(3.371355+(0.622098-1.391229))+0-0-0</f>
        <v>1703.4022240000002</v>
      </c>
      <c r="O141" s="3">
        <f>2587.7+(417.5-1107.1)+(6.598635+(1.064625-2.823105))+0-0-0</f>
        <v>1902.940155</v>
      </c>
      <c r="P141" s="3">
        <f>2589.3+(382.2-960.4)+(3.961629+(0.584766-1.469412))+0-0-0</f>
        <v>2014.1769830000001</v>
      </c>
      <c r="Q141" s="3">
        <f>2596.9+(420.8-852)+(1.324419+(0.214608-0.43452))+0-0-0</f>
        <v>2166.8045070000003</v>
      </c>
      <c r="R141" s="3">
        <f>2597.6+(427.5-664.4)+(-1.324776+(-0.218025--0.338844))+0-0-0</f>
        <v>2359.4960429999996</v>
      </c>
      <c r="S141" s="3">
        <f>2653.1+(460-495)+(0+(0-0))+0-0-0</f>
        <v>2618.1</v>
      </c>
      <c r="T141" s="3">
        <f>2643+(520.1-390.3)+(-4.04379+(-0.795753--0.597159))+0-0-0</f>
        <v>2768.5576160000001</v>
      </c>
      <c r="U141" s="3">
        <f>2655.6+(512-387.2)+(2.708712+(0.52224-0.394944))+0-0-0</f>
        <v>2783.2360080000003</v>
      </c>
      <c r="V141" s="3">
        <f>2657.2+(491-436.6)+(1.355172+(0.25041-0.222666))+0-0-0</f>
        <v>2712.9829159999999</v>
      </c>
      <c r="W141" s="3">
        <f>2660.2+(402.5-524.3)+(1.356702+(0.205275-0.267393))+0-0-0</f>
        <v>2539.6945839999998</v>
      </c>
      <c r="X141" s="3">
        <f>2694.8+(390.2-787.5)+(2.748696+(0.398004-0.80325))+0-0-0</f>
        <v>2299.8434499999998</v>
      </c>
      <c r="Y141" s="3">
        <f>2671.8+(362-826.9)+(4.087854+(0.55386-1.265157))+0-0-0</f>
        <v>2210.2765570000001</v>
      </c>
      <c r="Z141" s="3">
        <f>2735.1+(352.3-627.7)+(0+(0-0))+0-0-0</f>
        <v>2459.6999999999998</v>
      </c>
      <c r="AA141" s="3">
        <f>2773.4+(344.7-642.8)+(-2.828868+(-0.351594--0.655656))+0-0-0</f>
        <v>2472.7751940000003</v>
      </c>
      <c r="AB141" s="3">
        <f>2753.2+(396.8-715.7)+(1.404132+(0.202368-0.365007))+0-0-0</f>
        <v>2435.5414929999997</v>
      </c>
      <c r="AC141" s="3">
        <f>2656.8+(422.3-673.3)+(-1.354968+(-0.215373--0.343383))+0-0-0</f>
        <v>2404.573042</v>
      </c>
      <c r="AD141" s="2">
        <v>2498.6000000000004</v>
      </c>
      <c r="AE141" s="3">
        <f>2786+(367.4-654.8)+(0+(0-0))+0-0-0</f>
        <v>2498.6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2588.2+(415.2-675.5)+(0+(0-0))+0-0-0</f>
        <v>2327.8999999999996</v>
      </c>
      <c r="G142" s="3">
        <f>2400+(442.5-617.5)+(-3.672+(-0.677025--0.944775))+0-0-0</f>
        <v>2221.59575</v>
      </c>
      <c r="H142" s="3">
        <f>2015.8+(498.1-404.3)+(-2.056116+(-0.508062--0.412386))+0-0-0</f>
        <v>2107.4482079999998</v>
      </c>
      <c r="I142" s="3">
        <f>1955+(486.4-420.3)+(-2.99115+(-0.744192--0.643059))+0-0-0</f>
        <v>2018.007717</v>
      </c>
      <c r="J142" s="3">
        <f>1985.6+(456.7-516.3)+(3.037968+(0.698751-0.789939))+0-0-0</f>
        <v>1928.94678</v>
      </c>
      <c r="K142" s="3">
        <f>1654.5+(417.7-354.9)+(-1.68759+(-0.426054--0.361998))+0-0-0</f>
        <v>1715.548354</v>
      </c>
      <c r="L142" s="3">
        <f>1642.4+(370.9-443.5)+(0+(0-0))+0-0-0</f>
        <v>1569.8000000000002</v>
      </c>
      <c r="M142" s="3">
        <f>1724+(352.8-518.4)+(1.75848+(0.359856-0.528768))+0-0-0</f>
        <v>1559.9895680000002</v>
      </c>
      <c r="N142" s="3">
        <f>2024.8+(394.4-722.6)+(2.065296+(0.402288-0.737052))+0-0-0</f>
        <v>1698.3305319999999</v>
      </c>
      <c r="O142" s="3">
        <f>2458.9+(359.2-891.4)+(2.508078+(0.366384-0.909228))+0-0-0</f>
        <v>1928.6652340000001</v>
      </c>
      <c r="P142" s="3">
        <f>2645.5+(314.2-892.9)+(6.746025+(0.80121-2.276895))+0-0-0</f>
        <v>2072.0703400000002</v>
      </c>
      <c r="Q142" s="3">
        <f>2737.7+(308.7-805.9)+(4.188681+(0.472311-1.233027))+0-0-0</f>
        <v>2243.9279649999999</v>
      </c>
      <c r="R142" s="3">
        <f>2755.5+(313.6-601.5)+(0+(0-0))+0-0-0</f>
        <v>2467.6</v>
      </c>
      <c r="S142" s="3">
        <f>2745.3+(377.7-436.7)+(1.400103+(0.192627-0.222717))+0-0-0</f>
        <v>2687.6700130000004</v>
      </c>
      <c r="T142" s="3">
        <f>2754.5+(429.6-350)+(-5.61918+(-0.876384--0.714))+0-0-0</f>
        <v>2828.318436</v>
      </c>
      <c r="U142" s="3">
        <f>2761.1+(418.7-394.1)+(-4.224483+(-0.640611--0.602973))+0-0-0</f>
        <v>2781.4378789999996</v>
      </c>
      <c r="V142" s="3">
        <f>2755.4+(417.9-450.4)+(0+(0-0))+0-0-0</f>
        <v>2722.9</v>
      </c>
      <c r="W142" s="3">
        <f>2714.7+(405.7-548)+(0+(0-0))+0-0-0</f>
        <v>2572.3999999999996</v>
      </c>
      <c r="X142" s="3">
        <f>2696.1+(394.2-757.5)+(-2.750022+(-0.402084--0.77265))+0-0-0</f>
        <v>2330.4205439999996</v>
      </c>
      <c r="Y142" s="3">
        <f>2600.7+(379.5-743)+(3.979071+(0.580635-1.13679))+0-0-0</f>
        <v>2240.6229159999998</v>
      </c>
      <c r="Z142" s="3">
        <f>2730.9+(366.3-573.3)+(0+(0-0))+0-0-0</f>
        <v>2523.9</v>
      </c>
      <c r="AA142" s="3">
        <f>2738.3+(344.9-579)+(-4.189599+(-0.527697--0.88587))+0-0-0</f>
        <v>2500.3685740000001</v>
      </c>
      <c r="AB142" s="3">
        <f>2713.4+(405.9-653.1)+(-2.767668+(-0.414018--0.666162))+0-0-0</f>
        <v>2463.6844759999999</v>
      </c>
      <c r="AC142" s="3">
        <f>2668.7+(439.4-659.5)+(1.361037+(0.224094-0.336345))+0-0-0</f>
        <v>2449.848786</v>
      </c>
      <c r="AD142" s="2">
        <v>2533.4</v>
      </c>
      <c r="AE142" s="3">
        <f>2748+(350.8-565.4)+(0+(0-0))+0-0-0</f>
        <v>2533.4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2647.4+(460.5-746.4)+(1.350174+(0.234855-0.380664))+0-0-0</f>
        <v>2362.7043650000001</v>
      </c>
      <c r="G143" s="3">
        <f>2515+(475.7-739.9)+(-1.28265+(-0.242607--0.377349))+0-0-0</f>
        <v>2249.6520920000003</v>
      </c>
      <c r="H143" s="3">
        <f>1919+(618.6-431)+(3.91476+(1.261944-0.87924))+0-0-0</f>
        <v>2110.8974640000001</v>
      </c>
      <c r="I143" s="3">
        <f>1714.3+(627.9-346.3)+(-4.371465+(-1.601145--0.883065))+0-0-0</f>
        <v>1990.8104549999998</v>
      </c>
      <c r="J143" s="3">
        <f>1720.4+(614.2-423.7)+(-2.632212+(-0.939726--0.648261))+0-0-0</f>
        <v>1907.9763230000001</v>
      </c>
      <c r="K143" s="3">
        <f>1634.7+(552.5-448)+(-2.501091+(-0.845325--0.68544))+0-0-0</f>
        <v>1736.5390240000002</v>
      </c>
      <c r="L143" s="3">
        <f>1554.5+(519.3-505.2)+(-3.17118+(-1.059372--1.030608))+0-0-0</f>
        <v>1565.4000559999999</v>
      </c>
      <c r="M143" s="3">
        <f>1575.5+(485.6-511.2)+(0+(0-0))+0-0-0</f>
        <v>1549.9</v>
      </c>
      <c r="N143" s="3">
        <f>1858.3+(421.9-616.8)+(1.895466+(0.430338-0.629136))+0-0-0</f>
        <v>1665.0966680000001</v>
      </c>
      <c r="O143" s="3">
        <f>2355.6+(362.3-810.7)+(1.201356+(0.184773-0.413457))+0-0-0</f>
        <v>1908.1726719999999</v>
      </c>
      <c r="P143" s="3">
        <f>2405.4+(439.2-821.2)+(2.453508+(0.447984-0.837624))+0-0-0</f>
        <v>2025.463868</v>
      </c>
      <c r="Q143" s="3">
        <f>2487.2+(429-740.4)+(2.536944+(0.43758-0.755208))+0-0-0</f>
        <v>2178.0193159999999</v>
      </c>
      <c r="R143" s="3">
        <f>2476.3+(469.3-550)+(1.262913+(0.239343-0.2805))+0-0-0</f>
        <v>2396.8217560000003</v>
      </c>
      <c r="S143" s="3">
        <f>2459.1+(549.9-385.3)+(-1.254141+(-0.280449--0.196503))+0-0-0</f>
        <v>2622.3619129999997</v>
      </c>
      <c r="T143" s="3">
        <f>2388.6+(663.8-255.4)+(1.218186+(0.338538-0.130254))+1.3-0-0</f>
        <v>2799.7264700000001</v>
      </c>
      <c r="U143" s="3">
        <f>2143.1+(761-158)+(-1.092981+(-0.38811--0.08058))+6.3-0-0</f>
        <v>2750.9994890000003</v>
      </c>
      <c r="V143" s="3">
        <f>2140.6+(738.7-217)+(1.091706+(0.376737-0.11067))+0-0-0</f>
        <v>2663.6577730000004</v>
      </c>
      <c r="W143" s="3">
        <f>2140+(651.2-292.9)+(-1.0914+(-0.332112--0.149379))+0-0-0</f>
        <v>2497.0258670000003</v>
      </c>
      <c r="X143" s="3">
        <f>2133.1+(549.1-444)+(-3.263643+(-0.840123--0.67932))+0-0-0</f>
        <v>2234.7755539999998</v>
      </c>
      <c r="Y143" s="3">
        <f>2278.2+(448-586.2)+(-5.80941+(-1.1424--1.49481))+0-0-0</f>
        <v>2134.5430000000001</v>
      </c>
      <c r="Z143" s="3">
        <f>2470.2+(477.4-577.1)+(0+(0-0))+0-0-0</f>
        <v>2370.5</v>
      </c>
      <c r="AA143" s="3">
        <f>2447.3+(471.8-540.9)+(-8.736861+(-1.684326--1.931013))+0-0-0</f>
        <v>2369.7098260000002</v>
      </c>
      <c r="AB143" s="3">
        <f>2386+(478.5-576.7)+(0+(0-0))+0-0-0</f>
        <v>2287.8000000000002</v>
      </c>
      <c r="AC143" s="3">
        <f>2384.7+(526.9-665.7)+(1.216197+(0.268719-0.339507))+0-0-0</f>
        <v>2247.0454089999998</v>
      </c>
      <c r="AD143" s="2">
        <v>2411.4</v>
      </c>
      <c r="AE143" s="3">
        <f>2481+(473-542.6)+(0+(0-0))+0-0-0</f>
        <v>2411.4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2387.5+(497.3-702.1)+(4.8705+(1.014492-1.432284))+0-0-0</f>
        <v>2187.1527079999996</v>
      </c>
      <c r="G144" s="3">
        <f>2144.3+(525.3-514.1)+(2.187186+(0.535806-0.524382))+0-0-0</f>
        <v>2157.6986099999999</v>
      </c>
      <c r="H144" s="3">
        <f>1798.6+(571-302.6)+(-1.834572+(-0.58242--0.308652))+0-0-0</f>
        <v>2064.8916599999998</v>
      </c>
      <c r="I144" s="3">
        <f>1598.3+(617.5-210.5)+(-0.815133+(-0.314925--0.107355))+0-0-0</f>
        <v>2004.2772969999999</v>
      </c>
      <c r="J144" s="3">
        <f>1577.4+(606.2-261.4)+(-3.217896+(-1.236648--0.533256))+0-0-0</f>
        <v>1918.2787120000003</v>
      </c>
      <c r="K144" s="3">
        <f>1495.5+(540.8-332.3)+(-1.52541+(-0.551616--0.338946))+0-0-0</f>
        <v>1702.2619199999999</v>
      </c>
      <c r="L144" s="3">
        <f>1365.3+(441-291.2)+(-1.392606+(-0.44982--0.297024))+0-0-0</f>
        <v>1513.5545979999999</v>
      </c>
      <c r="M144" s="3">
        <f>1334.6+(418.2-309.2)+(0+(0-0))+0-0-0</f>
        <v>1443.6</v>
      </c>
      <c r="N144" s="3">
        <f>1344.2+(460.6-321.9)+(0+(0-0))+0-0-0</f>
        <v>1482.9</v>
      </c>
      <c r="O144" s="3">
        <f>1397.5+(447.5-316.5)+(-0.712725+(-0.228225--0.161415))+0-0-0</f>
        <v>1527.7204650000001</v>
      </c>
      <c r="P144" s="3">
        <f>1679.3+(381.3-403.8)+(0.856443+(0.194463-0.205938))+0-0-0</f>
        <v>1657.6449680000001</v>
      </c>
      <c r="Q144" s="3">
        <f>1846.5+(331.9-406.1)+(1.88343+(0.338538-0.414222))+0-0-0</f>
        <v>1774.1077459999999</v>
      </c>
      <c r="R144" s="3">
        <f>2097.8+(337.5-445.7)+(1.069878+(0.172125-0.227307))+0-0-0</f>
        <v>1990.6146960000001</v>
      </c>
      <c r="S144" s="3">
        <f>2179.8+(396-366.1)+(3.335094+(0.60588-0.560133))+0-0-0</f>
        <v>2213.0808410000004</v>
      </c>
      <c r="T144" s="3">
        <f>2186.9+(441.4-251)+(-2.230638+(-0.450228--0.25602))+0-0-0</f>
        <v>2374.8751540000003</v>
      </c>
      <c r="U144" s="3">
        <f>2204.2+(477.5-244.2)+(2.248284+(0.48705-0.249084))+0-0-0</f>
        <v>2439.9862499999999</v>
      </c>
      <c r="V144" s="3">
        <f>2190.2+(453.1-305)+(1.117002+(0.231081-0.15555))+0-0-0</f>
        <v>2339.4925329999996</v>
      </c>
      <c r="W144" s="3">
        <f>2201.7+(371.9-397.4)+(-2.245734+(-0.379338--0.405348))+0-0-0</f>
        <v>2173.9802759999998</v>
      </c>
      <c r="X144" s="3">
        <f>2352.3+(299.8-595.2)+(-4.798692+(-0.611592--1.214208))+0-0-0</f>
        <v>2052.7039239999999</v>
      </c>
      <c r="Y144" s="3">
        <f>2462.7+(220.6-730.7)+(-1.255977+(-0.112506--0.372657))+0-0-0</f>
        <v>1951.6041739999998</v>
      </c>
      <c r="Z144" s="3">
        <f>2633.8+(196.7-549.9)+(0+(0-0))+0-0-0</f>
        <v>2280.6000000000004</v>
      </c>
      <c r="AA144" s="3">
        <f>2613.2+(214.3-559.3)+(-5.330928+(-0.437172--1.140972))+0-0-0</f>
        <v>2263.5728719999997</v>
      </c>
      <c r="AB144" s="3">
        <f>2615.7+(219.5-567.7)+(-1.334007+(-0.111945--0.289527))+0-0-0</f>
        <v>2266.3435749999999</v>
      </c>
      <c r="AC144" s="3">
        <f>2595.5+(262.5-528.9)+(-1.323705+(-0.133875--0.269739))+0-0-0</f>
        <v>2327.912159</v>
      </c>
      <c r="AD144" s="2">
        <v>2345.3000000000002</v>
      </c>
      <c r="AE144" s="3">
        <f>2627+(255.8-537.5)+(0+(0-0))+0-0-0</f>
        <v>2345.3000000000002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2601.4+(262.2-568.5)+(-3.980142+(-0.401166--0.869805))+0-0-0</f>
        <v>2291.5884969999997</v>
      </c>
      <c r="G145" s="3">
        <f>2545.9+(224.5-592.8)+(-5.193636+(-0.45798--1.209312))+0-0-0</f>
        <v>2173.1576960000002</v>
      </c>
      <c r="H145" s="3">
        <f>2241.9+(221.1-412)+(-5.716845+(-0.563805--1.0506))+0-0-0</f>
        <v>2045.7699500000001</v>
      </c>
      <c r="I145" s="3">
        <f>1913.5+(378.1-330.7)+(-2.927655+(-0.578493--0.505971))+0-0-0</f>
        <v>1957.8998230000002</v>
      </c>
      <c r="J145" s="3">
        <f>1901.7+(365.6-382)+(-2.909601+(-0.559368--0.58446))+0-0-0</f>
        <v>1882.4154910000002</v>
      </c>
      <c r="K145" s="3">
        <f>1699.5+(393-358.4)+(-4.333725+(-1.00215--0.91392))+0-0-0</f>
        <v>1729.6780449999999</v>
      </c>
      <c r="L145" s="3">
        <f>1627.3+(373.2-472.3)+(-0.829923+(-0.190332--0.240873))+0-0-0</f>
        <v>1527.4206179999999</v>
      </c>
      <c r="M145" s="3">
        <f>1942.1+(358.9-751.3)+(0.990471+(0.183039-0.383163))+0-0-0</f>
        <v>1550.4903469999999</v>
      </c>
      <c r="N145" s="3">
        <f>2196.9+(393-874.7)+(2.240838+(0.40086-0.892194))+0-0-0</f>
        <v>1716.9495039999999</v>
      </c>
      <c r="O145" s="3">
        <f>2600.2+(344.7-1022.9)+(2.652204+(0.351594-1.043358))+0-0-0</f>
        <v>1923.9604399999998</v>
      </c>
      <c r="P145" s="3">
        <f>2679.6+(352.8-979)+(1.366596+(0.179928-0.49929))+0-0-0</f>
        <v>2054.4472339999998</v>
      </c>
      <c r="Q145" s="3">
        <f>2715.5+(374.7-891.8)+(0+(0-0))+0-0-0</f>
        <v>2198.4</v>
      </c>
      <c r="R145" s="3">
        <f>2714.3+(408.8-722.7)+(0+(0-0))+0-0-0</f>
        <v>2400.4</v>
      </c>
      <c r="S145" s="3">
        <f>2695.7+(433.8-523)+(-4.124421+(-0.663714--0.80019))+0-0-0</f>
        <v>2602.5120550000001</v>
      </c>
      <c r="T145" s="3">
        <f>2650.3+(539.5-397)+(-5.406612+(-1.10058--0.80988))+0-0-0</f>
        <v>2787.1026880000004</v>
      </c>
      <c r="U145" s="3">
        <f>2640+(558.5-386.7)+(-1.3464+(-0.284835--0.197217))+0-0-0</f>
        <v>2810.3659820000003</v>
      </c>
      <c r="V145" s="3">
        <f>2643+(519-428.5)+(-4.04379+(-0.79407--0.655605))+0-0-0</f>
        <v>2729.3177449999998</v>
      </c>
      <c r="W145" s="3">
        <f>2649.1+(423-518)+(-1.351041+(-0.21573--0.26418))+0-0-0</f>
        <v>2552.7974089999998</v>
      </c>
      <c r="X145" s="3">
        <f>2628.7+(409.9-701.2)+(-1.340637+(-0.209049--0.357612))+0-0-0</f>
        <v>2336.2079259999996</v>
      </c>
      <c r="Y145" s="3">
        <f>2626+(348.6-722.6)+(1.33926+(0.177786-0.368526))+0-0-0</f>
        <v>2253.1485200000002</v>
      </c>
      <c r="Z145" s="3">
        <f>2721.4+(362.9-565.9)+(-2.775828+(-0.370158--0.577218))+0-0-0</f>
        <v>2515.831232</v>
      </c>
      <c r="AA145" s="3">
        <f>2704.1+(361.9-540.8)+(-4.137273+(-0.553707--0.827424))+0-0-0</f>
        <v>2521.336444</v>
      </c>
      <c r="AB145" s="3">
        <f>2715.1+(398.6-651.1)+(-1.384701+(-0.203286--0.332061))+0-0-0</f>
        <v>2461.3440740000001</v>
      </c>
      <c r="AC145" s="3">
        <f>2543.7+(488.6-609.8)+(0+(0-0))+0-0-0</f>
        <v>2422.5</v>
      </c>
      <c r="AD145" s="2">
        <v>2586.1000000000004</v>
      </c>
      <c r="AE145" s="3">
        <f>2716+(408.8-538.7)+(0+(0-0))+0-0-0</f>
        <v>2586.1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2351.1+(543.5-535.9)+(-2.398122+(-0.55437--0.546618))+0-0-0</f>
        <v>2356.2941259999998</v>
      </c>
      <c r="G146" s="3">
        <f>2317.8+(500.2-556.2)+(-7.092468+(-1.530612--1.701972))+0-0-0</f>
        <v>2254.8788920000002</v>
      </c>
      <c r="H146" s="3">
        <f>2034.8+(570.5-449.4)+(-2.075496+(-0.58191--0.458388))+0-0-0</f>
        <v>2153.7009820000003</v>
      </c>
      <c r="I146" s="3">
        <f>1828+(616.6-366.3)+(1.86456+(0.628932-0.373626))+0-0-0</f>
        <v>2080.4198660000002</v>
      </c>
      <c r="J146" s="3">
        <f>1821.1+(582.5-411.4)+(-3.715044+(-1.1883--0.839256))+0-0-0</f>
        <v>1988.1359119999997</v>
      </c>
      <c r="K146" s="3">
        <f>1712.3+(556.1-468.3)+(-0.873273+(-0.283611--0.238833))+0-0-0</f>
        <v>1799.1819489999998</v>
      </c>
      <c r="L146" s="3">
        <f>1656.9+(538.8-574.6)+(0+(0-0))+0-0-0</f>
        <v>1621.1</v>
      </c>
      <c r="M146" s="3">
        <f>1714.9+(495.1-604.1)+(1.749198+(0.505002-0.616182))+0-0-0</f>
        <v>1607.5380180000002</v>
      </c>
      <c r="N146" s="3">
        <f>1816.4+(530.3-615.3)+(3.705456+(1.081812-1.255212))+0-0-0</f>
        <v>1734.9320560000001</v>
      </c>
      <c r="O146" s="3">
        <f>2301.1+(415.6-791.4)+(3.520683+(0.635868-1.210842))+0-0-0</f>
        <v>1928.245709</v>
      </c>
      <c r="P146" s="3">
        <f>2558.2+(402.3-882.1)+(2.609364+(0.410346-0.899742))+0-0-0</f>
        <v>2080.5199679999996</v>
      </c>
      <c r="Q146" s="3">
        <f>2567+(395.7-798.4)+(1.30917+(0.201807-0.407184))+0-0-0</f>
        <v>2165.4037930000004</v>
      </c>
      <c r="R146" s="3">
        <f>2618.1+(386.2-637.9)+(-1.335231+(-0.196962--0.325329))+0-0-0</f>
        <v>2365.1931359999999</v>
      </c>
      <c r="S146" s="3">
        <f>2700.3+(437.1-494.6)+(0+(0-0))+0-0-0</f>
        <v>2642.8</v>
      </c>
      <c r="T146" s="3">
        <f>2713.9+(524.3-421.1)+(0+(0-0))+0-0-0</f>
        <v>2817.1</v>
      </c>
      <c r="U146" s="3">
        <f>2687.1+(538.4-406.2)+(-1.370421+(-0.274584--0.207162))+0-0-0</f>
        <v>2817.8621569999996</v>
      </c>
      <c r="V146" s="3">
        <f>2652.4+(513.6-419.6)+(0+(0-0))+0-0-0</f>
        <v>2746.4</v>
      </c>
      <c r="W146" s="3">
        <f>2637.4+(444.9-503.5)+(-2.690148+(-0.453798--0.51357))+0-0-0</f>
        <v>2576.1696240000001</v>
      </c>
      <c r="X146" s="3">
        <f>2622+(391.7-671.8)+(-4.01166+(-0.599301--1.027854))+0-0-0</f>
        <v>2338.3168930000002</v>
      </c>
      <c r="Y146" s="3">
        <f>2665+(326.2-736.8)+(-1.35915+(-0.166362--0.375768))+0-0-0</f>
        <v>2253.2502560000003</v>
      </c>
      <c r="Z146" s="3">
        <f>2702.5+(378.1-513.7)+(-1.378275+(-0.192831--0.261987))+0-0-0</f>
        <v>2565.5908810000001</v>
      </c>
      <c r="AA146" s="3">
        <f>2694.2+(376.4-518.6)+(-5.496168+(-0.767856--1.057944))+0-0-0</f>
        <v>2546.7939200000001</v>
      </c>
      <c r="AB146" s="3">
        <f>2661.2+(416.6-577.9)+(-2.714424+(-0.424932--0.589458))+0-0-0</f>
        <v>2497.3501019999994</v>
      </c>
      <c r="AC146" s="3">
        <f>2646.8+(498.8-636.9)+(2.699736+(0.508776-0.649638))+0-0-0</f>
        <v>2511.2588740000001</v>
      </c>
      <c r="AD146" s="2">
        <v>2625.1</v>
      </c>
      <c r="AE146" s="3">
        <f>2692+(431.7-498.6)+(0+(0-0))+0-0-0</f>
        <v>2625.1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2328.8+(547.8-438.5)+(2.375376+(0.558756-0.44727))+0-0-0</f>
        <v>2440.5868620000006</v>
      </c>
      <c r="G147" s="3">
        <f>1652.7+(739.9-115.2)+(0.842877+(0.377349-0.058752))+0-0-0</f>
        <v>2278.5614740000001</v>
      </c>
      <c r="H147" s="3">
        <f>1625+(672.3-172.8)+(0+(0-0))+0-0-0</f>
        <v>2124.5</v>
      </c>
      <c r="I147" s="3">
        <f>1649.5+(628.8-246.8)+(3.36498+(1.282752-0.503472))+0-0-0</f>
        <v>2035.64426</v>
      </c>
      <c r="J147" s="3">
        <f>1628.7+(604-275.4)+(-0.830637+(-0.30804--0.140454))+0-0-0</f>
        <v>1956.3017770000001</v>
      </c>
      <c r="K147" s="3">
        <f>1612.4+(568.6-402.3)+(-4.11162+(-1.44993--1.025865))+0-0-0</f>
        <v>1774.164315</v>
      </c>
      <c r="L147" s="3">
        <f>1620.2+(479.9-505)+(-4.13151+(-1.223745--1.28775))+0-0-0</f>
        <v>1591.0324949999999</v>
      </c>
      <c r="M147" s="3">
        <f>1807.6+(445.6-668.1)+(2.765628+(0.681768-1.022193))+0-0-0</f>
        <v>1587.5252029999999</v>
      </c>
      <c r="N147" s="3">
        <f>2431.4+(381.4-1030.7)+(1.240014+(0.194514-0.525657))+0-0-0</f>
        <v>1783.008871</v>
      </c>
      <c r="O147" s="3">
        <f>2591.8+(375.6-1017.7)+(1.321818+(0.191556-0.519027))+0-0-0</f>
        <v>1950.6943470000003</v>
      </c>
      <c r="P147" s="3">
        <f>2605.2+(382.2-907.6)+(3.985956+(0.584766-1.388628))+0-0-0</f>
        <v>2082.9820939999995</v>
      </c>
      <c r="Q147" s="3">
        <f>2654+(378.9-791.3)+(4.06062+(0.579717-1.210689))+0-0-0</f>
        <v>2245.0296479999997</v>
      </c>
      <c r="R147" s="3">
        <f>2637.8+(435.1-592.6)+(0+(0-0))+0-0-0</f>
        <v>2480.3000000000002</v>
      </c>
      <c r="S147" s="3">
        <f>2611.6+(529.7-445.8)+(-3.995748+(-0.810441--0.682074))+0-0-0</f>
        <v>2691.3758849999999</v>
      </c>
      <c r="T147" s="3">
        <f>2626.6+(632.6-397.2)+(1.339566+(0.322626-0.202572))+0-0-0</f>
        <v>2863.4596200000001</v>
      </c>
      <c r="U147" s="3">
        <f>2614.8+(656.8-387.9)+(-1.333548+(-0.334968--0.197829))+0-0-0</f>
        <v>2882.2293130000003</v>
      </c>
      <c r="V147" s="3">
        <f>2594+(616.7-406.3)+(-5.29176+(-1.258068--0.828852))+0-0-0</f>
        <v>2798.679024</v>
      </c>
      <c r="W147" s="3">
        <f>2569.7+(559.1-420.7)+(-9.173829+(-1.995987--1.501899))+0-0-0</f>
        <v>2698.4320829999997</v>
      </c>
      <c r="X147" s="3">
        <f>2453+(556.3-550.3)+(-2.50206+(-0.567426--0.561306))+0-0-0</f>
        <v>2456.4918200000002</v>
      </c>
      <c r="Y147" s="3">
        <f>2468.9+(487.2-583.6)+(1.259139+(0.248472-0.297636))+0-0-0</f>
        <v>2373.7099750000002</v>
      </c>
      <c r="Z147" s="3">
        <f>2575.7+(513.9-413.5)+(2.627214+(0.524178-0.42177))+0-0-0</f>
        <v>2678.8296219999997</v>
      </c>
      <c r="AA147" s="3">
        <f>2680.7+(451.3-486.6)+(-5.468628+(-0.920652--0.992664))+0-0-0</f>
        <v>2640.0033839999996</v>
      </c>
      <c r="AB147" s="3">
        <f>2696.3+(448.1-553.7)+(-5.500452+(-0.914124--1.129548))+0-0-0</f>
        <v>2585.4149720000005</v>
      </c>
      <c r="AC147" s="3">
        <f>2618.4+(531.1-570.8)+(1.335384+(0.270861-0.291108))+0-0-0</f>
        <v>2580.0151370000003</v>
      </c>
      <c r="AD147" s="2">
        <v>2680.2</v>
      </c>
      <c r="AE147" s="3">
        <f>2631+(490.2-441)+(0+(0-0))+0-0-0</f>
        <v>2680.2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2575.7+(563.7-598.5)+(1.313607+(0.287487-0.305235))+0-0-0</f>
        <v>2542.1958589999995</v>
      </c>
      <c r="G148" s="3">
        <f>2266.3+(594.4-484.6)+(0+(0-0))+0-0-0</f>
        <v>2376.1000000000004</v>
      </c>
      <c r="H148" s="3">
        <f>2036.4+(625.9-439.6)+(-2.077128+(-0.638418--0.448392))+0-0-0</f>
        <v>2220.4328459999997</v>
      </c>
      <c r="I148" s="3">
        <f>2022.5+(592.8-483.4)+(0+(0-0))+0-0-0</f>
        <v>2131.9</v>
      </c>
      <c r="J148" s="3">
        <f>2018.4+(522.4-517.2)+(-3.088152+(-0.799272--0.791316))+0-0-0</f>
        <v>2020.503892</v>
      </c>
      <c r="K148" s="3">
        <f>2020.2+(434.4-597.5)+(-6.181812+(-1.329264--1.82835))+0-0-0</f>
        <v>1851.4172739999999</v>
      </c>
      <c r="L148" s="3">
        <f>2029.8+(355.9-699.6)+(-2.070396+(-0.363018--0.713592))+0-0-0</f>
        <v>1684.3801779999999</v>
      </c>
      <c r="M148" s="3">
        <f>2044.4+(374.9-722.4)+(0+(0-0))+0-0-0</f>
        <v>1696.9</v>
      </c>
      <c r="N148" s="3">
        <f>2340.8+(408.6-910)+(0+(0-0))+0-0-0</f>
        <v>1839.4</v>
      </c>
      <c r="O148" s="3">
        <f>2668.6+(409-989.8)+(2.721972+(0.41718-1.009596))+0-0-0</f>
        <v>2089.929556</v>
      </c>
      <c r="P148" s="3">
        <f>2668.2+(426.4-888.5)+(2.721564+(0.434928-0.90627))+0-0-0</f>
        <v>2208.350222</v>
      </c>
      <c r="Q148" s="3">
        <f>2673.2+(465.4-769.5)+(0+(0-0))+0-0-0</f>
        <v>2369.1</v>
      </c>
      <c r="R148" s="3">
        <f>2675.5+(471-554.9)+(1.364505+(0.24021-0.282999))+0-0-0</f>
        <v>2592.9217159999998</v>
      </c>
      <c r="S148" s="3">
        <f>2644.8+(545.3-367.2)+(-4.046544+(-0.834309--0.561816))+0-0-0</f>
        <v>2818.5809629999999</v>
      </c>
      <c r="T148" s="3">
        <f>2652.4+(624.6-298.3)+(-1.352724+(-0.318546--0.152133))+0-0-0</f>
        <v>2977.1808630000005</v>
      </c>
      <c r="U148" s="3">
        <f>2640.3+(622.8-285.2)+(-4.039659+(-0.952884--0.436356))+0-0-0</f>
        <v>2973.343813</v>
      </c>
      <c r="V148" s="3">
        <f>2628+(585.9-330.2)+(-4.02084+(-0.896427--0.505206))+0-0-0</f>
        <v>2879.2879389999998</v>
      </c>
      <c r="W148" s="3">
        <f>2591.4+(511.2-398.8)+(-6.60807+(-1.30356--1.01694))+0-0-0</f>
        <v>2696.9053100000001</v>
      </c>
      <c r="X148" s="3">
        <f>2601.5+(445.7-571.7)+(-9.287355+(-1.591149--2.040969))+0-0-0</f>
        <v>2466.6624649999999</v>
      </c>
      <c r="Y148" s="3">
        <f>2480.7+(424.8-544.6)+(0+(0-0))+0-0-0</f>
        <v>2360.8999999999996</v>
      </c>
      <c r="Z148" s="3">
        <f>2702.1+(411.8-426.1)+(1.378071+(0.210018-0.217311))+0-0-0</f>
        <v>2689.1707779999997</v>
      </c>
      <c r="AA148" s="3">
        <f>2791.3+(350.3-489.4)+(-8.541378+(-1.071918--1.497564))+0-0-0</f>
        <v>2644.0842680000001</v>
      </c>
      <c r="AB148" s="3">
        <f>2790.7+(361.1-557)+(-8.539542+(-1.104966--1.70442))+0-0-0</f>
        <v>2586.8599119999999</v>
      </c>
      <c r="AC148" s="3">
        <f>2675.5+(448.5-531.8)+(2.72901+(0.45747-0.542436))+0-0-0</f>
        <v>2594.8440439999999</v>
      </c>
      <c r="AD148" s="2">
        <v>2687</v>
      </c>
      <c r="AE148" s="3">
        <f>2679+(408.8-400.8)+(0+(0-0))+0-0-0</f>
        <v>2687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2515.1+(468.6-552)+(0+(0-0))+0-0-0</f>
        <v>2431.6999999999998</v>
      </c>
      <c r="G149" s="3">
        <f>2452.8+(470.2-603.4)+(1.250928+(0.239802-0.307734))+0-0-0</f>
        <v>2320.7829960000004</v>
      </c>
      <c r="H149" s="3">
        <f>2079.1+(521.1-420.7)+(0+(0-0))+0-0-0</f>
        <v>2179.5</v>
      </c>
      <c r="I149" s="3">
        <f>1955.7+(527-417.6)+(-1.994814+(-0.53754--0.425952))+0-0-0</f>
        <v>2062.993598</v>
      </c>
      <c r="J149" s="3">
        <f>1959.4+(489.9-460.2)+(4.99647+(1.249245-1.17351))+0-0-0</f>
        <v>1994.1722050000001</v>
      </c>
      <c r="K149" s="3">
        <f>1810.3+(474.7-478.3)+(-4.616265+(-1.210485--1.219665))+0-0-0</f>
        <v>1802.0929149999997</v>
      </c>
      <c r="L149" s="3">
        <f>1624.6+(421.5-435.1)+(-4.971276+(-1.28979--1.331406))+0-0-0</f>
        <v>1606.07034</v>
      </c>
      <c r="M149" s="3">
        <f>1678.2+(398.9-476.8)+(2.567646+(0.610317-0.729504))+0-0-0</f>
        <v>1602.7484589999999</v>
      </c>
      <c r="N149" s="3">
        <f>2227.8+(402.3-849.7)+(1.136178+(0.205173-0.433347))+0-0-0</f>
        <v>1781.308004</v>
      </c>
      <c r="O149" s="3">
        <f>2601.4+(351.2-947.6)+(1.326714+(0.179112-0.483276))+0-0-0</f>
        <v>2006.0225499999999</v>
      </c>
      <c r="P149" s="3">
        <f>2655.2+(322.7-831.3)+(4.062456+(0.493731-1.271889))+0-0-0</f>
        <v>2149.8842979999999</v>
      </c>
      <c r="Q149" s="3">
        <f>2711.5+(303.9-709.5)+(0+(0-0))+0-0-0</f>
        <v>2305.9</v>
      </c>
      <c r="R149" s="3">
        <f>2690+(371.4-480.9)+(-2.7438+(-0.378828--0.490518))+0-0-0</f>
        <v>2577.86789</v>
      </c>
      <c r="S149" s="3">
        <f>2671.3+(482.7-350.5)+(0+(0-0))+0-0-0</f>
        <v>2803.5</v>
      </c>
      <c r="T149" s="3">
        <f>2678.7+(578.9-299.6)+(-1.366137+(-0.295239--0.152796))+0-0-0</f>
        <v>2956.4914199999998</v>
      </c>
      <c r="U149" s="3">
        <f>2657.7+(601.6-290.4)+(-2.710854+(-0.613632--0.296208))+0-0-0</f>
        <v>2965.8717219999999</v>
      </c>
      <c r="V149" s="3">
        <f>2644.5+(561.2-332.7)+(-2.69739+(-0.572424--0.339354))+0-0-0</f>
        <v>2870.06954</v>
      </c>
      <c r="W149" s="3">
        <f>2612.9+(501-402)+(-1.332579+(-0.25551--0.20502))+0-0-0</f>
        <v>2710.5169310000001</v>
      </c>
      <c r="X149" s="3">
        <f>2504.6+(431.6-487.7)+(-5.109384+(-0.880464--0.994908))+0-0-0</f>
        <v>2443.50506</v>
      </c>
      <c r="Y149" s="3">
        <f>2496.7+(376.4-508.4)+(-2.546634+(-0.383928--0.518568))+0-0-0</f>
        <v>2362.2880059999998</v>
      </c>
      <c r="Z149" s="3">
        <f>2624.7+(457.1-419.7)+(-1.338597+(-0.233121--0.214047))+0-0-0</f>
        <v>2660.7423289999997</v>
      </c>
      <c r="AA149" s="3">
        <f>2608.6+(466.1-426.2)+(-1.330386+(-0.237711--0.217362))+0-0-0</f>
        <v>2647.149265</v>
      </c>
      <c r="AB149" s="3">
        <f>2566.9+(475-445.4)+(-6.545595+(-1.21125--1.13577))+0-0-0</f>
        <v>2589.878925</v>
      </c>
      <c r="AC149" s="3">
        <f>2438+(548.1-413.1)+(-1.24338+(-0.279531--0.210681))+0-0-0</f>
        <v>2571.68777</v>
      </c>
      <c r="AD149" s="2">
        <v>2643.4</v>
      </c>
      <c r="AE149" s="3">
        <f>2591+(474.5-422.1)+(0+(0-0))+0-0-0</f>
        <v>2643.4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2177.5+(616.2-317.1)+(0+(0-0))+0-0-0</f>
        <v>2476.6</v>
      </c>
      <c r="G150" s="3">
        <f>1895.6+(665.9-220.7)+(-3.867024+(-1.358436--0.450228))+0-0-0</f>
        <v>2336.0247679999998</v>
      </c>
      <c r="H150" s="3">
        <f>1611.8+(717.5-129.8)+(-2.466054+(-1.097775--0.198594))+0-0-0</f>
        <v>2196.1347649999998</v>
      </c>
      <c r="I150" s="3">
        <f>1549.2+(662.7-118.8)+(-3.95046+(-1.689885--0.30294))+0-0-0</f>
        <v>2087.7625950000001</v>
      </c>
      <c r="J150" s="3">
        <f>1561.7+(613.3-166.6)+(1.592934+(0.625566-0.169932))+0-0-0</f>
        <v>2010.448568</v>
      </c>
      <c r="K150" s="3">
        <f>1552.2+(548.1-272)+(-3.95811+(-1.397655--0.6936))+0-0-0</f>
        <v>1823.6378350000002</v>
      </c>
      <c r="L150" s="3">
        <f>1548.6+(463.1-363.9)+(-3.94893+(-1.180905--0.927945))+0-0-0</f>
        <v>1643.5981099999999</v>
      </c>
      <c r="M150" s="3">
        <f>1607.6+(470.8-453.1)+(0.819876+(0.240108-0.231081))+0-0-0</f>
        <v>1626.128903</v>
      </c>
      <c r="N150" s="3">
        <f>1952.4+(474.3-616.8)+(1.991448+(0.483786-0.629136))+0-0-0</f>
        <v>1811.7460980000001</v>
      </c>
      <c r="O150" s="3">
        <f>2282.7+(416.6-674.7)+(3.492531+(0.637398-1.032291))+0-0-0</f>
        <v>2027.6976379999999</v>
      </c>
      <c r="P150" s="3">
        <f>2328.5+(422.9-581.8)+(-1.187535+(-0.215679--0.296718))+0-0-0</f>
        <v>2168.493504</v>
      </c>
      <c r="Q150" s="3">
        <f>2331.1+(452.5-445.7)+(2.377722+(0.46155-0.454614))+0-0-0</f>
        <v>2340.284658</v>
      </c>
      <c r="R150" s="3">
        <f>2304.8+(513.3-256.9)+(-2.350896+(-0.523566--0.262038))+0-0-0</f>
        <v>2558.5875760000004</v>
      </c>
      <c r="S150" s="3">
        <f>2310.1+(661.9-180.3)+(1.178151+(0.337569-0.091953))+0-0-0</f>
        <v>2793.123767</v>
      </c>
      <c r="T150" s="3">
        <f>2296.7+(760-116.9)+(0+(0-0))+0-0-0</f>
        <v>2939.7999999999997</v>
      </c>
      <c r="U150" s="3">
        <f>2290.7+(765.7-118)+(-3.504771+(-1.171521--0.18054))+0-0-0</f>
        <v>2933.9042479999998</v>
      </c>
      <c r="V150" s="3">
        <f>2292.8+(716.3-161.2)+(-3.507984+(-1.095939--0.246636))+0-0-0</f>
        <v>2843.5427130000003</v>
      </c>
      <c r="W150" s="3">
        <f>2281.6+(626-257.6)+(-5.81808+(-1.5963--0.65688))+0-0-0</f>
        <v>2643.2424999999998</v>
      </c>
      <c r="X150" s="3">
        <f>2295.6+(504.1-409.7)+(-3.512268+(-0.771273--0.626841))+0-0-0</f>
        <v>2386.3433</v>
      </c>
      <c r="Y150" s="3">
        <f>2367.5+(420.5-437)+(2.41485+(0.42891-0.44574))+0-0-0</f>
        <v>2353.3980200000001</v>
      </c>
      <c r="Z150" s="3">
        <f>2466.1+(497.8-331.6)+(0+(0-0))+0-0-0</f>
        <v>2632.2999999999997</v>
      </c>
      <c r="AA150" s="3">
        <f>2472.2+(479.8-361)+(-1.260822+(-0.244698--0.18411))+0-0-0</f>
        <v>2589.67859</v>
      </c>
      <c r="AB150" s="3">
        <f>2476.4+(489.8-425.1)+(-2.525928+(-0.499596--0.433602))+0-0-0</f>
        <v>2538.5080779999998</v>
      </c>
      <c r="AC150" s="3">
        <f>2456.8+(513.4-438.8)+(-5.011872+(-1.047336--0.895152))+0-0-0</f>
        <v>2526.235944</v>
      </c>
      <c r="AD150" s="2">
        <v>2616.1999999999998</v>
      </c>
      <c r="AE150" s="3">
        <f>2458+(487.6-329.4)+(0+(0-0))+0-0-0</f>
        <v>2616.1999999999998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2455.3+(513.3-481.5)+(-3.756609+(-0.785349--0.736695))+0-0-0</f>
        <v>2483.2947370000002</v>
      </c>
      <c r="G151" s="3">
        <f>2469.6+(501.6-623.3)+(0+(0-0))+0-0-0</f>
        <v>2347.9</v>
      </c>
      <c r="H151" s="3">
        <f>2443.1+(440.4-637.1)+(-6.229905+(-1.12302--1.624605))+0-0-0</f>
        <v>2240.6716799999995</v>
      </c>
      <c r="I151" s="3">
        <f>2435.9+(395-681.7)+(-4.969236+(-0.8058--1.390668))+0-0-0</f>
        <v>2144.8156319999998</v>
      </c>
      <c r="J151" s="3">
        <f>2452+(349.2-725.9)+(-2.50104+(-0.356184--0.740418))+0-0-0</f>
        <v>2073.1831940000002</v>
      </c>
      <c r="K151" s="3">
        <f>1943.2+(366.6-350.6)+(-4.95516+(-0.93483--0.89403))+0-0-0</f>
        <v>1954.2040400000001</v>
      </c>
      <c r="L151" s="3">
        <f>1408.8+(447.3-153.8)+(-2.155464+(-0.684369--0.235314))+0-0-0</f>
        <v>1699.695481</v>
      </c>
      <c r="M151" s="3">
        <f>1247+(472.8-98)+(-1.27194+(-0.482256--0.09996))+0-0-0</f>
        <v>1620.1457639999999</v>
      </c>
      <c r="N151" s="3">
        <f>1363.5+(428.1-107)+(0+(0-0))+0-0-0</f>
        <v>1684.6</v>
      </c>
      <c r="O151" s="3">
        <f>1639.2+(432.4-208.9)+(-1.671984+(-0.441048--0.213078))+0-0-0</f>
        <v>1860.8000460000001</v>
      </c>
      <c r="P151" s="3">
        <f>1811.1+(466.2-344.8)+(0.923661+(0.237762-0.175848))+0-0-0</f>
        <v>1933.4855749999999</v>
      </c>
      <c r="Q151" s="3">
        <f>2021.7+(441.1-351.3)+(1.031067+(0.224961-0.179163))+0-0-0</f>
        <v>2112.576865</v>
      </c>
      <c r="R151" s="3">
        <f>2181.9+(504.7-319.3)+(-1.112769+(-0.257397--0.162843))+0-0-0</f>
        <v>2366.0926770000001</v>
      </c>
      <c r="S151" s="3">
        <f>2273.9+(554.7-239.1)+(-2.319378+(-0.565794--0.243882))+0-0-0</f>
        <v>2586.85871</v>
      </c>
      <c r="T151" s="3">
        <f>2321.1+(595.5-146.6)+(-4.735044+(-1.21482--0.299064))+0.8-0-0</f>
        <v>2765.1492000000003</v>
      </c>
      <c r="U151" s="3">
        <f>2330.3+(588-133.4)+(-2.376906+(-0.59976--0.136068))+9-0-0</f>
        <v>2791.0594019999999</v>
      </c>
      <c r="V151" s="3">
        <f>2330.2+(615.8-230.4)+(-1.188402+(-0.314058--0.117504))+7.5-0-0</f>
        <v>2721.715044</v>
      </c>
      <c r="W151" s="3">
        <f>2429.3+(584.4-437.2)+(-4.955772+(-1.192176--0.891888))+0-0-0</f>
        <v>2571.2439399999998</v>
      </c>
      <c r="X151" s="3">
        <f>2427.5+(529.3-591.4)+(-4.9521+(-1.079772--1.206456))+0-0-0</f>
        <v>2360.574584</v>
      </c>
      <c r="Y151" s="3">
        <f>2452.4+(426.4-548.5)+(-2.501448+(-0.434928--0.55947))+0-0-0</f>
        <v>2327.9230940000002</v>
      </c>
      <c r="Z151" s="3">
        <f>2497.9+(565.2-444.3)+(0+(0-0))+0-0-0</f>
        <v>2618.8000000000002</v>
      </c>
      <c r="AA151" s="3">
        <f>2514+(547-480.3)+(-3.84642+(-0.83691--0.734859))+0-0-0</f>
        <v>2576.7515289999997</v>
      </c>
      <c r="AB151" s="3">
        <f>2467+(572-505.2)+(0+(0-0))+0-0-0</f>
        <v>2533.8000000000002</v>
      </c>
      <c r="AC151" s="3">
        <f>2145.8+(698-323.3)+(1.094358+(0.35598-0.164883))+0-0-0</f>
        <v>2521.7854550000002</v>
      </c>
      <c r="AD151" s="2">
        <v>2626.6</v>
      </c>
      <c r="AE151" s="3">
        <f>2506+(559.6-439)+(0+(0-0))+0-0-0</f>
        <v>2626.6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2101.7+(718.8-332.1)+(-1.071867+(-0.366588--0.169371))+0-0-0</f>
        <v>2487.1309159999996</v>
      </c>
      <c r="G152" s="3">
        <f>1940.8+(724.5-305.3)+(-2.969424+(-1.108485--0.467109))+0-0-0</f>
        <v>2356.3892000000001</v>
      </c>
      <c r="H152" s="3">
        <f>1883+(704.2-350.9)+(-0.96033+(-0.359142--0.178959))+0-0-0</f>
        <v>2235.1594870000004</v>
      </c>
      <c r="I152" s="3">
        <f>1872+(661.8-392.8)+(-3.81888+(-1.350072--0.801312))+0-0-0</f>
        <v>2136.6323600000001</v>
      </c>
      <c r="J152" s="3">
        <f>1895.9+(599.6-422.9)+(0.966909+(0.305796-0.215679))+0-0-0</f>
        <v>2073.6570260000003</v>
      </c>
      <c r="K152" s="3">
        <f>1726.7+(545.4-386.1)+(-0.880617+(-0.278154--0.196911))+0-0-0</f>
        <v>1885.0381400000001</v>
      </c>
      <c r="L152" s="3">
        <f>1559.3+(511.4-355.1)+(-0.795243+(-0.260814--0.181101))+0-0-0</f>
        <v>1714.7250439999998</v>
      </c>
      <c r="M152" s="3">
        <f>1616.3+(459.4-377.8)+(0+(0-0))+0-0-0</f>
        <v>1697.8999999999999</v>
      </c>
      <c r="N152" s="3">
        <f>1805.6+(479.1-427.2)+(0.920856+(0.244341-0.217872))+0-0-0</f>
        <v>1858.4473250000001</v>
      </c>
      <c r="O152" s="3">
        <f>2176.2+(504.3-625.8)+(1.109862+(0.257193-0.319158))+0-0-0</f>
        <v>2055.7478969999997</v>
      </c>
      <c r="P152" s="3">
        <f>2476.1+(457.9-736.6)+(1.262811+(0.233529-0.375666))+0-0-0</f>
        <v>2198.5206739999994</v>
      </c>
      <c r="Q152" s="3">
        <f>2617.9+(441.1-715.5)+(4.005387+(0.674883-1.094715))+0-0-0</f>
        <v>2347.0855550000001</v>
      </c>
      <c r="R152" s="3">
        <f>2641.2+(457.1-569)+(1.347012+(0.233121-0.29019))+0-0-0</f>
        <v>2530.5899429999999</v>
      </c>
      <c r="S152" s="3">
        <f>2621.7+(553.1-442.8)+(-2.674134+(-0.564162--0.451656))+0-0-0</f>
        <v>2729.2133600000002</v>
      </c>
      <c r="T152" s="3">
        <f>2626.6+(630.4-365.6)+(-1.339566+(-0.321504--0.186456))+0-0-0</f>
        <v>2889.9253859999994</v>
      </c>
      <c r="U152" s="3">
        <f>2633.6+(651.5-367.2)+(1.343136+(0.332265-0.187272))+0-0-0</f>
        <v>2919.3881289999999</v>
      </c>
      <c r="V152" s="3">
        <f>2622.5+(599.3-398.9)+(-1.337475+(-0.305643--0.203439))+0-0-0</f>
        <v>2821.460321</v>
      </c>
      <c r="W152" s="3">
        <f>2623+(528.3-513.8)+(-1.33773+(-0.269433--0.262038))+0-0-0</f>
        <v>2636.1548750000002</v>
      </c>
      <c r="X152" s="3">
        <f>2532.4+(479.5-610)+(-3.874572+(-0.733635--0.9333))+0-0-0</f>
        <v>2398.225093</v>
      </c>
      <c r="Y152" s="3">
        <f>2482.5+(459.9-563.6)+(2.53215+(0.469098-0.574872))+0-0-0</f>
        <v>2381.2263760000001</v>
      </c>
      <c r="Z152" s="3">
        <f>2617+(572.7-445.4)+(1.33467+(0.292077-0.227154))+0-0-0</f>
        <v>2745.6995930000003</v>
      </c>
      <c r="AA152" s="3">
        <f>2607.2+(549.6-454)+(-5.318688+(-1.121184--0.92616))+0-0-0</f>
        <v>2697.2862879999998</v>
      </c>
      <c r="AB152" s="3">
        <f>2581.3+(558.5-517.3)+(-2.632926+(-0.56967--0.527646))+0-0-0</f>
        <v>2619.8250499999999</v>
      </c>
      <c r="AC152" s="3">
        <f>2526.7+(571.1-496.2)+(0+(0-0))+0-0-0</f>
        <v>2601.6</v>
      </c>
      <c r="AD152" s="2">
        <v>2774.5</v>
      </c>
      <c r="AE152" s="3">
        <f>2617+(590.2-432.7)+(0+(0-0))+0-0-0</f>
        <v>2774.5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2385.5+(634.1-505.7)+(-2.43321+(-0.646782--0.515814))+0-0-0</f>
        <v>2511.335822</v>
      </c>
      <c r="G153" s="3">
        <f>2364.2+(609.7-562.6)+(-4.822968+(-1.243788--1.147704))+0-0-0</f>
        <v>2406.3809479999995</v>
      </c>
      <c r="H153" s="3">
        <f>2122.3+(644.9-499.6)+(-1.082373+(-0.328899--0.254796))+0-0-0</f>
        <v>2266.4435240000003</v>
      </c>
      <c r="I153" s="3">
        <f>1820.3+(664.5-362)+(0+(0-0))+0-0-0</f>
        <v>2122.8000000000002</v>
      </c>
      <c r="J153" s="3">
        <f>1750.3+(636.2-355.1)+(-2.677959+(-0.973386--0.543303))+0-0-0</f>
        <v>2028.291958</v>
      </c>
      <c r="K153" s="3">
        <f>1600.9+(646.4-323.3)+(-3.265836+(-1.318656--0.659532))+0-0-0</f>
        <v>1920.0750399999999</v>
      </c>
      <c r="L153" s="3">
        <f>1573.6+(539.2-384.2)+(-6.420288+(-2.199936--1.567536))+0-0-0</f>
        <v>1721.5473119999999</v>
      </c>
      <c r="M153" s="3">
        <f>1587.2+(460.2-430.5)+(0+(0-0))+0-0-0</f>
        <v>1616.9</v>
      </c>
      <c r="N153" s="3">
        <f>1630+(432.1-429.1)+(1.6626+(0.440742-0.437682))+0-0-0</f>
        <v>1634.6656599999999</v>
      </c>
      <c r="O153" s="3">
        <f>1672.7+(506.5-436.1)+(-0.853077+(-0.258315--0.222411))+0-0-0</f>
        <v>1742.2110189999999</v>
      </c>
      <c r="P153" s="3">
        <f>1980.2+(441.3-574.1)+(-1.009902+(-0.225063--0.292791))+0-0-0</f>
        <v>1846.4578260000001</v>
      </c>
      <c r="Q153" s="3">
        <f>2161+(408.2-629.7)+(0+(0-0))+0-0-0</f>
        <v>1939.5</v>
      </c>
      <c r="R153" s="3">
        <f>2263.9+(421.7-625.5)+(-1.154589+(-0.215067--0.319005))+0-0-0</f>
        <v>2059.0493489999999</v>
      </c>
      <c r="S153" s="3">
        <f>2289.1+(436.4-571.8)+(-2.334882+(-0.445128--0.583236))+0-0-0</f>
        <v>2151.5032259999998</v>
      </c>
      <c r="T153" s="3">
        <f>2403.6+(428.3-591.4)+(-4.903344+(-0.873732--1.206456))+0-0-0</f>
        <v>2235.92938</v>
      </c>
      <c r="U153" s="3">
        <f>2420.8+(467.9-609.4)+(2.469216+(0.477258-0.621588))+0-0-0</f>
        <v>2281.6248860000001</v>
      </c>
      <c r="V153" s="3">
        <f>2418.4+(458.6-615.5)+(3.700152+(0.701658-0.941715))+0-0-0</f>
        <v>2264.9600949999999</v>
      </c>
      <c r="W153" s="3">
        <f>2392.8+(432.8-658.2)+(-2.440656+(-0.441456--0.671364))+0-0-0</f>
        <v>2165.1892520000001</v>
      </c>
      <c r="X153" s="3">
        <f>2299.7+(374.8-671.2)+(-3.518541+(-0.573444--1.026936))+0-0-0</f>
        <v>2000.2349509999997</v>
      </c>
      <c r="Y153" s="3">
        <f>2203+(356.9-628.5)+(-1.12353+(-0.182019--0.320535))+0-0-0</f>
        <v>1930.414986</v>
      </c>
      <c r="Z153" s="3">
        <f>2446.8+(401-637.4)+(-3.743604+(-0.61353--0.975222))+0-0-0</f>
        <v>2207.0180880000003</v>
      </c>
      <c r="AA153" s="3">
        <f>2537.5+(411-617.9)+(-3.882375+(-0.62883--0.945387))+0-0-0</f>
        <v>2327.0341819999999</v>
      </c>
      <c r="AB153" s="3">
        <f>2474.2+(434-547.8)+(-1.261842+(-0.22134--0.279378))+0-0-0</f>
        <v>2359.1961959999994</v>
      </c>
      <c r="AC153" s="3">
        <f>2276.1+(551.4-451.3)+(-1.160811+(-0.281214--0.230163))+0-0-0</f>
        <v>2374.9881379999997</v>
      </c>
      <c r="AD153" s="2">
        <v>2280.5</v>
      </c>
      <c r="AE153" s="3">
        <f>2572+(379.1-670.6)+(0+(0-0))+0-0-0</f>
        <v>2280.5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2197+(578.3-403.2)+(1.12047+(0.294933-0.205632))+0-0-0</f>
        <v>2373.3097709999997</v>
      </c>
      <c r="G154" s="3">
        <f>2053+(541.8-335)+(1.04703+(0.276318-0.17085))+0-0-0</f>
        <v>2260.9524980000001</v>
      </c>
      <c r="H154" s="3">
        <f>1722.7+(592.5-205.7)+(-0.878577+(-0.302175--0.104907))+0-0-0</f>
        <v>2108.4241550000002</v>
      </c>
      <c r="I154" s="3">
        <f>1727.9+(503.6-233.3)+(-0.881229+(-0.256836--0.118983))+0-0-0</f>
        <v>1997.180918</v>
      </c>
      <c r="J154" s="3">
        <f>1582.6+(511.2-207.1)+(-2.421378+(-0.782136--0.316863))+0-0-0</f>
        <v>1883.8133489999998</v>
      </c>
      <c r="K154" s="3">
        <f>1561.7+(469.5-257.3)+(0+(0-0))+0-0-0</f>
        <v>1773.9</v>
      </c>
      <c r="L154" s="3">
        <f>1556.6+(339.3-297)+(-3.96933+(-0.865215--0.75735))+0-0-0</f>
        <v>1594.8228049999998</v>
      </c>
      <c r="M154" s="3">
        <f>1560.6+(291.9-329.8)+(-1.591812+(-0.297738--0.336396))+0-0-0</f>
        <v>1521.1468459999999</v>
      </c>
      <c r="N154" s="3">
        <f>1566.5+(365.8-332.3)+(1.59783+(0.373116-0.338946))+0-0-0</f>
        <v>1601.6320000000001</v>
      </c>
      <c r="O154" s="3">
        <f>1671.7+(430.1-358.9)+(-0.852567+(-0.219351--0.183039))+0-0-0</f>
        <v>1742.011121</v>
      </c>
      <c r="P154" s="3">
        <f>1947.8+(407.7-433.2)+(1.986756+(0.415854-0.441864))+0-0-0</f>
        <v>1924.2607459999999</v>
      </c>
      <c r="Q154" s="3">
        <f>2372.1+(340.9-628.7)+(-2.419542+(-0.347718--0.641274))+0-0-0</f>
        <v>2082.1740139999997</v>
      </c>
      <c r="R154" s="3">
        <f>2586.4+(316.7-660.8)+(-1.319064+(-0.161517--0.337008))+0-0-0</f>
        <v>2241.1564270000003</v>
      </c>
      <c r="S154" s="3">
        <f>2576.8+(375.7-554)+(-1.314168+(-0.191607--0.28254))+0-0-0</f>
        <v>2397.2767650000001</v>
      </c>
      <c r="T154" s="3">
        <f>2553.9+(434.5-487.2)+(-5.209956+(-0.88638--0.993888))+0-0-0</f>
        <v>2496.0975520000002</v>
      </c>
      <c r="U154" s="3">
        <f>2565.6+(486.7-532.4)+(0+(0-0))+0-0-0</f>
        <v>2519.9</v>
      </c>
      <c r="V154" s="3">
        <f>2546.3+(475.1-543.5)+(-1.298613+(-0.242301--0.277185))+0-0-0</f>
        <v>2476.6362710000003</v>
      </c>
      <c r="W154" s="3">
        <f>2531.1+(427.6-605.1)+(-5.163444+(-0.872304--1.234404))+0-0-0</f>
        <v>2348.7986559999999</v>
      </c>
      <c r="X154" s="3">
        <f>2397.1+(390-634.7)+(-3.667563+(-0.5967--0.971091))+0-0-0</f>
        <v>2149.1068279999995</v>
      </c>
      <c r="Y154" s="3">
        <f>2245.7+(349.9-542.1)+(-3.435921+(-0.535347--0.829413))+0-0-0</f>
        <v>2050.3581450000001</v>
      </c>
      <c r="Z154" s="3">
        <f>2601.2+(400.1-653.6)+(-5.306448+(-0.816204--1.333344))+0-0-0</f>
        <v>2342.9106919999999</v>
      </c>
      <c r="AA154" s="3">
        <f>2645.6+(454.3-633.6)+(-2.698512+(-0.463386--0.646272))+0-0-0</f>
        <v>2463.7843739999998</v>
      </c>
      <c r="AB154" s="3">
        <f>2627.7+(493.6-621)+(-5.360508+(-1.006944--1.26684))+0-0-0</f>
        <v>2495.1993879999995</v>
      </c>
      <c r="AC154" s="3">
        <f>2621.8+(557.7-644.2)+(0+(0-0))+0-0-0</f>
        <v>2535.3000000000002</v>
      </c>
      <c r="AD154" s="2">
        <v>2463.3000000000002</v>
      </c>
      <c r="AE154" s="3">
        <f>2623+(451.5-611.2)+(0+(0-0))+0-0-0</f>
        <v>2463.3000000000002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2568.5+(540.2-658.2)+(1.309935+(0.275502-0.335682))+0-0-0</f>
        <v>2451.7497549999998</v>
      </c>
      <c r="G155" s="3">
        <f>2153.1+(641.4-479.4)+(1.098081+(0.327114-0.244494))+0-0-0</f>
        <v>2316.2807010000001</v>
      </c>
      <c r="H155" s="3">
        <f>1870.8+(637-346.3)+(0+(0-0))+0-0-0</f>
        <v>2161.5</v>
      </c>
      <c r="I155" s="3">
        <f>1794+(604.5-352.5)+(0+(0-0))+0-0-0</f>
        <v>2046</v>
      </c>
      <c r="J155" s="3">
        <f>1633.3+(593.5-284.4)+(-3.331932+(-1.21074--0.580176))+0-0-0</f>
        <v>1938.437504</v>
      </c>
      <c r="K155" s="3">
        <f>1556.8+(567.7-303.2)+(-3.175872+(-1.158108--0.618528))+0-0-0</f>
        <v>1817.584548</v>
      </c>
      <c r="L155" s="3">
        <f>1524.1+(458.5-361)+(-6.218328+(-1.87068--1.47288))+0-0-0</f>
        <v>1614.983872</v>
      </c>
      <c r="M155" s="3">
        <f>1569.3+(420.5-371)+(1.600686+(0.42891-0.37842))+0-0-0</f>
        <v>1620.451176</v>
      </c>
      <c r="N155" s="3">
        <f>1991.1+(348.7-532.1)+(2.030922+(0.355674-0.542742))+0-0-0</f>
        <v>1809.5438539999998</v>
      </c>
      <c r="O155" s="3">
        <f>2268.7+(324.4-597.9)+(1.157037+(0.165444-0.304929))+0-0-0</f>
        <v>1996.2175519999998</v>
      </c>
      <c r="P155" s="3">
        <f>2550.2+(300.5-700.8)+(1.300602+(0.153255-0.357408))+0-0-0</f>
        <v>2150.9964489999998</v>
      </c>
      <c r="Q155" s="3">
        <f>2742.1+(344.7-773.9)+(4.195413+(0.527391-1.184067))+0-0-0</f>
        <v>2316.4387369999999</v>
      </c>
      <c r="R155" s="3">
        <f>2718.1+(375.7-611.2)+(-1.386231+(-0.191607--0.311712))+0-0-0</f>
        <v>2481.3338739999999</v>
      </c>
      <c r="S155" s="3">
        <f>2703.5+(443.6-493.6)+(-2.75757+(-0.452472--0.503472))+0-0-0</f>
        <v>2650.7934300000002</v>
      </c>
      <c r="T155" s="3">
        <f>2669.5+(497.5-400.1)+(-4.084335+(-0.761175--0.612153))+0-0-0</f>
        <v>2762.666643</v>
      </c>
      <c r="U155" s="3">
        <f>2677.1+(499.1-410.9)+(1.365321+(0.254541-0.209559))+0-0-0</f>
        <v>2766.7103030000003</v>
      </c>
      <c r="V155" s="3">
        <f>2688.3+(462.3-459)+(-1.371033+(-0.235773--0.23409))+0-0-0</f>
        <v>2690.2272840000005</v>
      </c>
      <c r="W155" s="3">
        <f>2674.9+(380.3-573.5)+(-1.364199+(-0.193953--0.292485))+0-0-0</f>
        <v>2480.4343330000002</v>
      </c>
      <c r="X155" s="3">
        <f>2666.1+(305.4-752.5)+(-4.079133+(-0.467262--1.151325))+0-0-0</f>
        <v>2215.60493</v>
      </c>
      <c r="Y155" s="3">
        <f>2630.3+(196.9-726.5)+(-2.682906+(-0.200838--0.74103))+0-0-0</f>
        <v>2098.5572860000002</v>
      </c>
      <c r="Z155" s="3">
        <f>2794.3+(293.8-671)+(1.425093+(0.149838-0.34221))+0-0-0</f>
        <v>2418.3327210000002</v>
      </c>
      <c r="AA155" s="3">
        <f>2803.4+(337.3-574)+(-5.718936+(-0.688092--1.17096))+0-0-0</f>
        <v>2561.4639320000001</v>
      </c>
      <c r="AB155" s="3">
        <f>2791.3+(406.9-629.1)+(1.423563+(0.207519-0.320841))+0-0-0</f>
        <v>2570.4102410000005</v>
      </c>
      <c r="AC155" s="3">
        <f>2599.7+(459.9-518.6)+(2.651694+(0.469098-0.528972))+0-0-0</f>
        <v>2543.5918200000001</v>
      </c>
      <c r="AD155" s="2">
        <v>2559.9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2536.1+(511.2-580.8)+(-2.586822+(-0.521424--0.592416))+0-0-0</f>
        <v>2463.9841700000002</v>
      </c>
      <c r="G156" s="3">
        <f>2164.7+(614.2-440.8)+(-1.103997+(-0.313242--0.224808))+0-0-0</f>
        <v>2336.907569</v>
      </c>
      <c r="H156" s="3">
        <f>1791+(673.6-265.1)+(-3.65364+(-1.374144--0.540804))+0-0-0</f>
        <v>2195.0130199999999</v>
      </c>
      <c r="I156" s="3">
        <f>1645+(666.9-234.3)+(0.83895+(0.340119-0.119493))+0-0-0</f>
        <v>2078.659576</v>
      </c>
      <c r="J156" s="3">
        <f>1651.3+(598-321.4)+(5.052978+(1.82988-0.983484))+0-0-0</f>
        <v>1933.7993740000002</v>
      </c>
      <c r="K156" s="3">
        <f>1635.8+(570-372.5)+(0.834258+(0.2907-0.189975))+0-0-0</f>
        <v>1834.2349830000001</v>
      </c>
      <c r="L156" s="3">
        <f>1625.4+(510.3-490.4)+(-3.315816+(-1.041012--1.000416))+0-0-0</f>
        <v>1641.9435880000001</v>
      </c>
      <c r="M156" s="3">
        <f>1681.6+(454.1-535.3)+(-0.857616+(-0.231591--0.273003))+0-0-0</f>
        <v>1599.5837960000001</v>
      </c>
      <c r="N156" s="3">
        <f>2059+(451.4-794.2)+(2.10018+(0.460428-0.810084))+0-0-0</f>
        <v>1717.9505239999999</v>
      </c>
      <c r="O156" s="3">
        <f>2401+(428.7-977.5)+(0+(0-0))+0-0-0</f>
        <v>1852.2</v>
      </c>
      <c r="P156" s="3">
        <f>2660.6+(378.6-954.3)+(0+(0-0))+0-0-0</f>
        <v>2084.9</v>
      </c>
      <c r="Q156" s="3">
        <f>2692.4+(349.3-868.2)+(-2.746248+(-0.356286--0.885564))+0-0-0</f>
        <v>2171.2830300000001</v>
      </c>
      <c r="R156" s="3">
        <f>2718.3+(352.8-700.7)+(-2.772666+(-0.359856--0.714714))+0-0-0</f>
        <v>2367.9821919999999</v>
      </c>
      <c r="S156" s="3">
        <f>2714.5+(363-541.2)+(-2.76879+(-0.37026--0.552024))+0-0-0</f>
        <v>2533.712974</v>
      </c>
      <c r="T156" s="3">
        <f>2706.8+(388.5-473.3)+(0+(0-0))+0-0-0</f>
        <v>2622</v>
      </c>
      <c r="U156" s="3">
        <f>2703+(390.2-487.6)+(1.37853+(0.199002-0.248676))+0-0-0</f>
        <v>2606.928856</v>
      </c>
      <c r="V156" s="3">
        <f>2688.8+(396.4-588.1)+(-6.85644+(-1.01082--1.499655))+0-0-0</f>
        <v>2490.7323950000005</v>
      </c>
      <c r="W156" s="3">
        <f>2688.3+(372-766.6)+(-5.484132+(-0.75888--1.563864))+0-0-0</f>
        <v>2289.0208520000001</v>
      </c>
      <c r="X156" s="3">
        <f>2683.4+(314.2-914.1)+(-5.474136+(-0.640968--1.864764))+0-0-0</f>
        <v>2079.2496599999999</v>
      </c>
      <c r="Y156" s="3">
        <f>2701+(224.5-908.8)+(-1.37751+(-0.114495--0.463488))+0-0-0</f>
        <v>2015.6714830000001</v>
      </c>
      <c r="Z156" s="3">
        <f>2760.3+(322.8-791)+(0+(0-0))+0-0-0</f>
        <v>2292.1000000000004</v>
      </c>
      <c r="AA156" s="3">
        <f>2738.6+(352-709.3)+(-6.98343+(-0.8976--1.808715))+0-0-0</f>
        <v>2375.2276850000003</v>
      </c>
      <c r="AB156" s="3">
        <f>2731.3+(355.4-725.9)+(-5.571852+(-0.725016--1.480836))+0-0-0</f>
        <v>2355.983968</v>
      </c>
      <c r="AC156" s="3">
        <f>2654.9+(435.8-733)+(-2.707998+(-0.444516--0.74766))+0-0-0</f>
        <v>2355.2951460000004</v>
      </c>
      <c r="AD156" s="2">
        <v>2372.5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2582.7+(454.4-778.2)+(0+(0-0))+0-0-0</f>
        <v>2258.8999999999996</v>
      </c>
      <c r="G157" s="3">
        <f>2149.5+(510.1-537.1)+(1.096245+(0.260151-0.273921))+0-0-0</f>
        <v>2123.5824750000002</v>
      </c>
      <c r="H157" s="3">
        <f>1835.6+(581.8-422.4)+(3.744624+(1.186872-0.861696))+0-0-0</f>
        <v>1999.0698</v>
      </c>
      <c r="I157" s="3">
        <f>1832.2+(516.8-467.5)+(-0.934422+(-0.263568--0.238425))+0-0-0</f>
        <v>1880.5404349999999</v>
      </c>
      <c r="J157" s="3">
        <f>1820.6+(441.2-476.9)+(-1.857012+(-0.450024--0.486438))+0-0-0</f>
        <v>1783.0794019999998</v>
      </c>
      <c r="K157" s="3">
        <f>1743.9+(389-454)+(-2.668167+(-0.59517--0.69462))+0-0-0</f>
        <v>1676.331283</v>
      </c>
      <c r="L157" s="3">
        <f>1684.7+(399.4-563.5)+(-6.014379+(-1.425858--2.011695))+0-0-0</f>
        <v>1515.1714579999998</v>
      </c>
      <c r="M157" s="3">
        <f>1572.5+(386-513.4)+(-0.801975+(-0.19686--0.261834))+0-0-0</f>
        <v>1444.3629989999999</v>
      </c>
      <c r="N157" s="3">
        <f>1724.2+(360.2-568)+(2.638026+(0.551106-0.86904))+0-0-0</f>
        <v>1518.720092</v>
      </c>
      <c r="O157" s="3">
        <f>1876.8+(316.7-635.9)+(-1.914336+(-0.323034--0.648618))+0-0-0</f>
        <v>1556.0112479999998</v>
      </c>
      <c r="P157" s="3">
        <f>1923+(308.4-647.9)+(-0.98073+(-0.157284--0.330429))+0-0-0</f>
        <v>1582.692415</v>
      </c>
      <c r="Q157" s="3">
        <f>2409.1+(235.9-1080.9)+(1.228641+(0.120309-0.551259))+0-0-0</f>
        <v>1564.8976909999999</v>
      </c>
      <c r="R157" s="3">
        <f>2584.5+(192.4-1227.2)+(1.318095+(0.098124-0.625872))+0-0-0</f>
        <v>1550.4903470000002</v>
      </c>
      <c r="S157" s="3">
        <f>2573.8+(189.1-1272.5)+(2.625276+(0.192882-1.29795))+0-0-0</f>
        <v>1491.920208</v>
      </c>
      <c r="T157" s="3">
        <f>2604.9+(170.1-1308.3)+(-5.313996+(-0.347004--2.668932))+0-0-0</f>
        <v>1463.707932</v>
      </c>
      <c r="U157" s="3">
        <f>2611.3+(187.5-1369.5)+(-2.663526+(-0.19125--1.39689))+0-0-0</f>
        <v>1427.8421140000003</v>
      </c>
      <c r="V157" s="3">
        <f>2616.4+(218.4-1402.8)+(-1.334364+(-0.111384--0.715428))+0-0-0</f>
        <v>1431.2696800000003</v>
      </c>
      <c r="W157" s="3">
        <f>2610.3+(252.2-1428.4)+(-3.993759+(-0.385866--2.185452))+0-0-0</f>
        <v>1431.905827</v>
      </c>
      <c r="X157" s="3">
        <f>2524.5+(277.8-1385.2)+(-7.72497+(-0.850068--4.238712))+0-0-0</f>
        <v>1412.7636739999998</v>
      </c>
      <c r="Y157" s="3">
        <f>2493.5+(219.7-1243.6)+(0+(0-0))+0-0-0</f>
        <v>1469.6000000000001</v>
      </c>
      <c r="Z157" s="3">
        <f>2760.9+(215.4-1339.7)+(1.408059+(0.109854-0.683247))+0-0-0</f>
        <v>1637.4346660000001</v>
      </c>
      <c r="AA157" s="3">
        <f>2805.4+(216.4-1378.5)+(-4.292262+(-0.331092--2.109105))+0-0-0</f>
        <v>1640.7857510000001</v>
      </c>
      <c r="AB157" s="3">
        <f>2747.5+(266-1412.9)+(-2.80245+(-0.27132--1.441158))+0-0-0</f>
        <v>1598.9673879999998</v>
      </c>
      <c r="AC157" s="3">
        <f>2639.3+(283-1371.5)+(-2.692086+(-0.28866--1.39893))+0-0-0</f>
        <v>1549.2181840000003</v>
      </c>
      <c r="AD157" s="2">
        <v>1676.3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2484.3+(282.6-1256.1)+(0+(0-0))+0-0-0</f>
        <v>1510.8000000000002</v>
      </c>
      <c r="G158" s="3">
        <f>2207.1+(308.6-1082)+(-3.376863+(-0.472158--1.65546))+0-0-0</f>
        <v>1431.5064389999998</v>
      </c>
      <c r="H158" s="3">
        <f>1992.4+(342.1-988.4)+(-3.048372+(-0.523413--1.512252))+0-0-0</f>
        <v>1344.040467</v>
      </c>
      <c r="I158" s="3">
        <f>1959.5+(321.4-990.8)+(-3.99738+(-0.655656--2.021232))+0-0-0</f>
        <v>1287.4681959999998</v>
      </c>
      <c r="J158" s="3">
        <f>1811.4+(350-902.7)+(-4.61907+(-0.8925--2.301885))+0-0-0</f>
        <v>1255.490315</v>
      </c>
      <c r="K158" s="3">
        <f>1645.3+(347.8-793.3)+(-0.839103+(-0.177378--0.404583))+0-0-0</f>
        <v>1199.1881019999998</v>
      </c>
      <c r="L158" s="3">
        <f>1600.7+(350.8-828.4)+(0+(0-0))+0-0-0</f>
        <v>1123.1000000000001</v>
      </c>
      <c r="M158" s="3">
        <f>1671.4+(288.6-873.5)+(-2.557242+(-0.441558--1.336455))+0-0-0</f>
        <v>1084.837655</v>
      </c>
      <c r="N158" s="3">
        <f>1881.4+(265.6-1018.3)+(0+(0-0))+0-0-0</f>
        <v>1128.7000000000003</v>
      </c>
      <c r="O158" s="3">
        <f>1981.3+(228.9-1032.1)+(1.010463+(0.116739-0.526371))+0-0-0</f>
        <v>1178.7008309999999</v>
      </c>
      <c r="P158" s="3">
        <f>2182.5+(208.3-1135.9)+(-2.22615+(-0.212466--1.158618))+0-0-0</f>
        <v>1253.6200019999999</v>
      </c>
      <c r="Q158" s="3">
        <f>2451.5+(293.3-1385.8)+(-1.250265+(-0.149583--0.706758))+0-0-0</f>
        <v>1358.30691</v>
      </c>
      <c r="R158" s="3">
        <f>2556.9+(305.7-1449.2)+(-1.304019+(-0.155907--0.739092))+0-0-0</f>
        <v>1412.6791660000001</v>
      </c>
      <c r="S158" s="3">
        <f>2517.2+(278.6-1366.3)+(-2.567544+(-0.284172--1.393626))+0-0-0</f>
        <v>1428.0419099999999</v>
      </c>
      <c r="T158" s="3">
        <f>2494+(272.4-1320)+(-2.54388+(-0.277848--1.3464))+0-0-0</f>
        <v>1444.9246720000001</v>
      </c>
      <c r="U158" s="3">
        <f>2527.8+(275.7-1355.1)+(6.44589+(0.703035-3.455505))+0-0-0</f>
        <v>1452.0934200000004</v>
      </c>
      <c r="V158" s="3">
        <f>2498+(270.9-1338.5)+(1.27398+(0.138159-0.682635))+0-0-0</f>
        <v>1431.129504</v>
      </c>
      <c r="W158" s="3">
        <f>2491+(290.2-1365.8)+(-2.54082+(-0.296004--1.393116))+0-0-0</f>
        <v>1413.9562920000001</v>
      </c>
      <c r="X158" s="3">
        <f>2438.3+(303-1350.3)+(1.243533+(0.15453-0.688653))+0-0-0</f>
        <v>1391.7094100000002</v>
      </c>
      <c r="Y158" s="3">
        <f>2372.9+(294.9-1224.2)+(1.210179+(0.150399-0.624342))+0-0-0</f>
        <v>1444.3362359999999</v>
      </c>
      <c r="Z158" s="3">
        <f>2697.4+(326-1399.7)+(0+(0-0))+0-0-0</f>
        <v>1623.7</v>
      </c>
      <c r="AA158" s="3">
        <f>2763.4+(307.3-1439)+(-8.456004+(-0.940338--4.40334))+0-0-0</f>
        <v>1626.7069980000001</v>
      </c>
      <c r="AB158" s="3">
        <f>2771.9+(365.4-1517.7)+(-5.654676+(-0.745416--3.096108))+0-0-0</f>
        <v>1616.296016</v>
      </c>
      <c r="AC158" s="3">
        <f>2745+(368.4-1539.1)+(-1.39995+(-0.187884--0.784941))+0-0-0</f>
        <v>1573.4971070000001</v>
      </c>
      <c r="AD158" s="2">
        <v>1623.4999999999998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2540+(375.5-1416.2)+(2.5908+(0.38301-1.444524))+0-0-0</f>
        <v>1500.8292859999999</v>
      </c>
      <c r="G159" s="3">
        <f>2171.4+(360.9-1147.5)+(-3.322242+(-0.552177--1.755675))+0-0-0</f>
        <v>1382.6812560000001</v>
      </c>
      <c r="H159" s="3">
        <f>1883.4+(380.8-969.5)+(0+(0-0))+0-0-0</f>
        <v>1294.7</v>
      </c>
      <c r="I159" s="3">
        <f>1810.6+(378.9-938.1)+(-3.693624+(-0.772956--1.913724))+0-0-0</f>
        <v>1248.8471439999998</v>
      </c>
      <c r="J159" s="3">
        <f>1594.6+(407.2-803.6)+(-3.252984+(-0.830688--1.639344))+0-0-0</f>
        <v>1195.7556719999998</v>
      </c>
      <c r="K159" s="3">
        <f>1603.8+(419-855.4)+(0.817938+(0.21369-0.436254))+0-0-0</f>
        <v>1167.9953740000001</v>
      </c>
      <c r="L159" s="3">
        <f>1599+(382-863.2)+(-1.63098+(-0.38964--0.880464))+0-0-0</f>
        <v>1116.659844</v>
      </c>
      <c r="M159" s="3">
        <f>1701.6+(380.3-920.6)+(3.471264+(0.775812-1.878024))+0-0-0</f>
        <v>1163.669052</v>
      </c>
      <c r="N159" s="3">
        <f>2074.1+(355.9-1110.2)+(1.057791+(0.181509-0.566202))+0-0-0</f>
        <v>1320.4730979999997</v>
      </c>
      <c r="O159" s="3">
        <f>2463.2+(334-1336)+(2.512464+(0.34068-1.36272))+0-0-0</f>
        <v>1462.6904239999999</v>
      </c>
      <c r="P159" s="3">
        <f>2602.7+(347.2-1383.7)+(1.327377+(0.177072-0.705687))+0-0-0</f>
        <v>1566.9987619999997</v>
      </c>
      <c r="Q159" s="3">
        <f>2643.6+(419.6-1402.3)+(4.044708+(0.641988-2.145519))+0-0-0</f>
        <v>1663.4411770000002</v>
      </c>
      <c r="R159" s="3">
        <f>2605.4+(437.4-1305.7)+(-3.986262+(-0.669222--1.997721))+0-0-0</f>
        <v>1734.442237</v>
      </c>
      <c r="S159" s="3">
        <f>2606.6+(458.4-1264.2)+(-2.658732+(-0.467568--1.289484))+0-0-0</f>
        <v>1798.9631839999997</v>
      </c>
      <c r="T159" s="3">
        <f>2552.2+(461.4-1155.8)+(1.301622+(0.235314-0.589458))+0-0-0</f>
        <v>1858.7474779999998</v>
      </c>
      <c r="U159" s="3">
        <f>2625+(449.9-1242.9)+(1.33875+(0.229449-0.633879))+0-0-0</f>
        <v>1832.9343200000001</v>
      </c>
      <c r="V159" s="3">
        <f>2591.6+(445.9-1280.1)+(-5.286864+(-0.909636--2.611404))+0-0-0</f>
        <v>1753.8149040000001</v>
      </c>
      <c r="W159" s="3">
        <f>2585.1+(418.6-1326.8)+(-3.955203+(-0.640458--2.030004))+0-0-0</f>
        <v>1674.334343</v>
      </c>
      <c r="X159" s="3">
        <f>2556+(402.2-1346.7)+(-3.91068+(-0.615366--2.060451))+0-0-0</f>
        <v>1609.0344050000001</v>
      </c>
      <c r="Y159" s="3">
        <f>2482.3+(276.2-1129.4)+(-1.265973+(-0.140862--0.575994))+0-0-0</f>
        <v>1628.2691590000002</v>
      </c>
      <c r="Z159" s="3">
        <f>2708.8+(335-1217.3)+(0+(0-0))+0-0-0</f>
        <v>1826.5000000000002</v>
      </c>
      <c r="AA159" s="3">
        <f>2696.6+(365.9-1221.3)+(-6.87633+(-0.933045--3.114315))+0-0-0</f>
        <v>1836.5049399999998</v>
      </c>
      <c r="AB159" s="3">
        <f>2614.9+(407.1-1223.8)+(-6.667995+(-1.038105--3.12069))+0-0-0</f>
        <v>1793.6145900000004</v>
      </c>
      <c r="AC159" s="3">
        <f>2534.4+(428.6-1232.8)+(-6.46272+(-1.09293--3.14364))+0-0-0</f>
        <v>1725.7879900000003</v>
      </c>
      <c r="AD159" s="2">
        <v>1845.9999999999998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2257.1+(431.6-1070.1)+(-1.151121+(-0.220116--0.545751))+0-0-0</f>
        <v>1617.774514</v>
      </c>
      <c r="G160" s="3">
        <f>1815.6+(509.4-832)+(3.703824+(1.039176-1.69728))+0-0-0</f>
        <v>1496.0457200000001</v>
      </c>
      <c r="H160" s="3">
        <f>1766.9+(483.3-840.3)+(-2.703357+(-0.739449--1.285659))+0-0-0</f>
        <v>1407.7428530000002</v>
      </c>
      <c r="I160" s="3">
        <f>1687.5+(484.3-817.8)+(1.72125+(0.493986-0.834156))+0-0-0</f>
        <v>1355.3810800000001</v>
      </c>
      <c r="J160" s="3">
        <f>1589.7+(427.8-712.4)+(-3.242988+(-0.872712--1.453296))+0-0-0</f>
        <v>1302.4375960000002</v>
      </c>
      <c r="K160" s="3">
        <f>1590.1+(373.5-696.6)+(-0.810951+(-0.190485--0.355266))+0-0-0</f>
        <v>1266.35383</v>
      </c>
      <c r="L160" s="3">
        <f>1590.9+(395.5-802)+(-4.056795+(-1.008525--2.0451))+0-0-0</f>
        <v>1181.37978</v>
      </c>
      <c r="M160" s="3">
        <f>1817.9+(364.8-944.2)+(0+(0-0))+0-0-0</f>
        <v>1238.5</v>
      </c>
      <c r="N160" s="3">
        <f>2079.7+(342.8-1014.6)+(1.060647+(0.174828-0.517446))+0-0-0</f>
        <v>1408.6180289999998</v>
      </c>
      <c r="O160" s="3">
        <f>2346.1+(381.1-1166.7)+(1.196511+(0.194361-0.595017))+0-0-0</f>
        <v>1561.2958550000001</v>
      </c>
      <c r="P160" s="3">
        <f>2548.9+(400.3-1247.8)+(-1.299939+(-0.204153--0.636378))+0-0-0</f>
        <v>1700.5322860000001</v>
      </c>
      <c r="Q160" s="3">
        <f>2581.2+(429.5-1246.6)+(2.632824+(0.43809-1.271532))+0-0-0</f>
        <v>1765.8993819999998</v>
      </c>
      <c r="R160" s="3">
        <f>2556.7+(398-1124.3)+(-1.303917+(-0.20298--0.573393))+0-0-0</f>
        <v>1829.4664959999998</v>
      </c>
      <c r="S160" s="3">
        <f>2544.7+(429.9-1085.9)+(-2.595594+(-0.438498--1.107618))+0-0-0</f>
        <v>1886.7735259999997</v>
      </c>
      <c r="T160" s="3">
        <f>2588.1+(439.6-1083.3)+(0+(0-0))+0-0-0</f>
        <v>1944.4</v>
      </c>
      <c r="U160" s="3">
        <f>2636.8+(436.9-1120.2)+(1.344768+(0.222819-0.571302))+0-0-0</f>
        <v>1954.4962849999999</v>
      </c>
      <c r="V160" s="3">
        <f>2629.4+(442.2-1153.4)+(-1.340994+(-0.225522--0.588234))+0-0-0</f>
        <v>1917.221718</v>
      </c>
      <c r="W160" s="3">
        <f>2622.3+(434.7-1213.1)+(-2.674746+(-0.443394--1.237362))+0-0-0</f>
        <v>1842.0192220000004</v>
      </c>
      <c r="X160" s="3">
        <f>2396.5+(401.3-1068.8)+(2.44443+(0.409326-1.090176))+0-0-0</f>
        <v>1730.76358</v>
      </c>
      <c r="Y160" s="3">
        <f>2375.8+(327.9-989.8)+(1.211658+(0.167229-0.504798))+0-0-0</f>
        <v>1714.774089</v>
      </c>
      <c r="Z160" s="3">
        <f>2755.8+(373.7-1155.2)+(-2.810916+(-0.381174--1.178304))+0-0-0</f>
        <v>1972.2862140000002</v>
      </c>
      <c r="AA160" s="3">
        <f>2731.2+(376.2-1087.5)+(-4.178736+(-0.575586--1.663875))+0-0-0</f>
        <v>2016.8095529999998</v>
      </c>
      <c r="AB160" s="3">
        <f>2677.5+(370.1-1063.3)+(-4.096575+(-0.566253--1.626849))+0-0-0</f>
        <v>1981.2640210000002</v>
      </c>
      <c r="AC160" s="3">
        <f>2474+(389.9-940.1)+(-6.3087+(-0.994245--2.397255))+0-0-0</f>
        <v>1918.8943099999999</v>
      </c>
      <c r="AD160" s="2">
        <v>2022.0000000000002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2326.2+(459.7-970)+(0+(0-0))+0-0-0</f>
        <v>1815.8999999999999</v>
      </c>
      <c r="G161" s="3">
        <f>1933+(455.3-713.1)+(-0.98583+(-0.232203--0.363681))+0-0-0</f>
        <v>1674.345648</v>
      </c>
      <c r="H161" s="3">
        <f>1813.4+(416.5-664.3)+(0+(0-0))+0-0-0</f>
        <v>1565.6000000000001</v>
      </c>
      <c r="I161" s="3">
        <f>1721.9+(421.2-657.6)+(-3.512676+(-0.859248--1.341504))+0-0-0</f>
        <v>1482.46958</v>
      </c>
      <c r="J161" s="3">
        <f>1676.8+(408.8-653.3)+(0+(0-0))+0-0-0</f>
        <v>1432.3</v>
      </c>
      <c r="K161" s="3">
        <f>1635.4+(414.7-675.6)+(-4.17027+(-1.057485--1.72278))+0-0-0</f>
        <v>1370.9950249999999</v>
      </c>
      <c r="L161" s="3">
        <f>1617.4+(390.5-738.6)+(-4.12437+(-0.995775--1.88343))+0-0-0</f>
        <v>1266.0632850000002</v>
      </c>
      <c r="M161" s="3">
        <f>1885.9+(359.6-933.2)+(0.961809+(0.183396-0.475932))+0-0-0</f>
        <v>1312.9692730000002</v>
      </c>
      <c r="N161" s="3">
        <f>2052+(383.6-958.7)+(0+(0-0))+0-0-0</f>
        <v>1476.9</v>
      </c>
      <c r="O161" s="3">
        <f>2205.7+(429.2-1002.4)+(2.249814+(0.437784-1.022448))+0-0-0</f>
        <v>1634.1651499999998</v>
      </c>
      <c r="P161" s="3">
        <f>2571.3+(373.9-1169.9)+(0+(0-0))+0-0-0</f>
        <v>1775.3000000000002</v>
      </c>
      <c r="Q161" s="3">
        <f>2653.4+(410.8-1157.1)+(1.353234+(0.209508-0.590121))+0-0-0</f>
        <v>1908.072621</v>
      </c>
      <c r="R161" s="3">
        <f>2700.5+(380.3-1066.1)+(-2.75451+(-0.387906--1.087422))+0-0-0</f>
        <v>2012.645006</v>
      </c>
      <c r="S161" s="3">
        <f>2686.2+(416.8-982.8)+(-1.369962+(-0.212568--0.501228))+0-0-0</f>
        <v>2119.1186979999998</v>
      </c>
      <c r="T161" s="3">
        <f>2532.4+(460.1-810)+(-2.583048+(-0.469302--0.8262))+0-0-0</f>
        <v>2180.27385</v>
      </c>
      <c r="U161" s="3">
        <f>2528.6+(443.3-800.7)+(3.868758+(0.678249-1.225071))+0-0-0</f>
        <v>2174.5219359999996</v>
      </c>
      <c r="V161" s="3">
        <f>2465.2+(428.1-773.9)+(0+(0-0))+0-0-0</f>
        <v>2119.3999999999996</v>
      </c>
      <c r="W161" s="3">
        <f>2451.5+(417-860.3)+(-3.750795+(-0.63801--1.316259))+0-0-0</f>
        <v>2005.1274539999999</v>
      </c>
      <c r="X161" s="3">
        <f>2414.1+(426.6-983.5)+(-8.618337+(-1.522962--3.511095))+0-0-0</f>
        <v>1850.5697959999998</v>
      </c>
      <c r="Y161" s="3">
        <f>2285.7+(355.9-849.7)+(0+(0-0))+0-0-0</f>
        <v>1791.8999999999996</v>
      </c>
      <c r="Z161" s="3">
        <f>2494.5+(356.9-813.7)+(1.272195+(0.182019-0.414987))+0-0-0</f>
        <v>2038.7392269999998</v>
      </c>
      <c r="AA161" s="3">
        <f>2509.4+(373.1-796.3)+(-5.119176+(-0.761124--1.624452))+0-0-0</f>
        <v>2081.9441520000005</v>
      </c>
      <c r="AB161" s="3">
        <f>2492.7+(432.4-883.1)+(0+(0-0))+0-0-0</f>
        <v>2041.9999999999998</v>
      </c>
      <c r="AC161" s="3">
        <f>2378.5+(393.9-806.1)+(-1.213035+(-0.200889--0.411111))+0-0-0</f>
        <v>1965.2971869999999</v>
      </c>
      <c r="AD161" s="2">
        <v>2110.6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2157.6+(456.5-756.7)+(-2.200752+(-0.46563--0.771834))+0-0-0</f>
        <v>1855.5054519999999</v>
      </c>
      <c r="G162" s="3">
        <f>1848.2+(488.7-616.6)+(-0.942582+(-0.249237--0.314466))+0-0-0</f>
        <v>1719.4226469999999</v>
      </c>
      <c r="H162" s="3">
        <f>1621+(490.3-527.5)+(-2.48013+(-0.750159--0.807075))+0-0-0</f>
        <v>1581.376786</v>
      </c>
      <c r="I162" s="3">
        <f>1623.5+(433.5-558.2)+(-0.827985+(-0.221085--0.284682))+0-0-0</f>
        <v>1498.0356119999999</v>
      </c>
      <c r="J162" s="3">
        <f>1631+(439.6-637.3)+(2.49543+(0.672588-0.975069))+0-0-0</f>
        <v>1435.4929490000002</v>
      </c>
      <c r="K162" s="3">
        <f>1502.5+(454-596.9)+(2.298825+(0.69462-0.913257))+0-0-0</f>
        <v>1361.6801879999998</v>
      </c>
      <c r="L162" s="3">
        <f>1456+(457.4-665.1)+(1.48512+(0.466548-0.678402))+0-0-0</f>
        <v>1249.5732659999999</v>
      </c>
      <c r="M162" s="3">
        <f>1600.4+(343.2-661.1)+(0+(0-0))+0-0-0</f>
        <v>1282.5</v>
      </c>
      <c r="N162" s="3">
        <f>1826.6+(383.2-743.6)+(-2.794698+(-0.586296--1.137708))+0-0-0</f>
        <v>1463.9567139999999</v>
      </c>
      <c r="O162" s="3">
        <f>2137+(347.5-840.4)+(1.08987+(0.177225-0.428604))+0-0-0</f>
        <v>1644.9384909999999</v>
      </c>
      <c r="P162" s="3">
        <f>2291.8+(389.6-892.3)+(5.84409+(0.99348-2.275365))+0-0-0</f>
        <v>1793.6622050000003</v>
      </c>
      <c r="Q162" s="3">
        <f>2441.3+(361.3-866.1)+(1.245063+(0.184263-0.441711))+0-0-0</f>
        <v>1937.4876150000002</v>
      </c>
      <c r="R162" s="3">
        <f>2454.1+(405.2-765.3)+(-1.251591+(-0.206652--0.390303))+0-0-0</f>
        <v>2092.9320600000001</v>
      </c>
      <c r="S162" s="3">
        <f>2438.9+(449.5-649.7)+(0+(0-0))+0-0-0</f>
        <v>2238.6999999999998</v>
      </c>
      <c r="T162" s="3">
        <f>2399.6+(491.2-539.4)+(-1.223796+(-0.250512--0.275094))+0-0-0</f>
        <v>2350.2007859999999</v>
      </c>
      <c r="U162" s="3">
        <f>2434.9+(538.8-578.5)+(-1.241799+(-0.274788--0.295035))+0-0-0</f>
        <v>2393.9784479999998</v>
      </c>
      <c r="V162" s="3">
        <f>2418.6+(514-585.3)+(-2.466972+(-0.52428--0.597006))+0-0-0</f>
        <v>2344.9057540000003</v>
      </c>
      <c r="W162" s="3">
        <f>2415.2+(472.5-648.7)+(-1.231752+(-0.240975--0.330837))+0-0-0</f>
        <v>2237.8581100000001</v>
      </c>
      <c r="X162" s="3">
        <f>2412+(403.8-772.2)+(-3.69036+(-0.617814--1.181466))+0-0-0</f>
        <v>2040.4732919999999</v>
      </c>
      <c r="Y162" s="3">
        <f>2500.5+(273.7-811.2)+(0+(0-0))+0-0-0</f>
        <v>1963</v>
      </c>
      <c r="Z162" s="3">
        <f>2780.7+(314.9-859.5)+(-2.836314+(-0.321198--0.87669))+0-0-0</f>
        <v>2233.8191779999997</v>
      </c>
      <c r="AA162" s="3">
        <f>2793.9+(331.5-838.7)+(-1.424889+(-0.169065--0.427737))+0-0-0</f>
        <v>2285.5337829999999</v>
      </c>
      <c r="AB162" s="3">
        <f>2780.5+(396.1-921)+(-1.418055+(-0.202011--0.46971))+0-0-0</f>
        <v>2254.4496439999998</v>
      </c>
      <c r="AC162" s="3">
        <f>2723.4+(429.8-973.7)+(-4.166802+(-0.657594--1.489761))+0-0-0</f>
        <v>2176.1653649999998</v>
      </c>
      <c r="AD162" s="2">
        <v>2361.3000000000002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2622.3+(439-964.1)+(-2.674746+(-0.44778--0.983382))+0-0-0</f>
        <v>2095.0608560000001</v>
      </c>
      <c r="G163" s="3">
        <f>2377.5+(459.8-909.2)+(-4.8501+(-0.937992--1.854768))+0-0-0</f>
        <v>1924.1666759999998</v>
      </c>
      <c r="H163" s="3">
        <f>2063.6+(463.6-758.6)+(-3.157308+(-0.709308--1.160658))+0-0-0</f>
        <v>1765.8940419999999</v>
      </c>
      <c r="I163" s="3">
        <f>1983.1+(430.7-750.3)+(-5.056905+(-1.098285--1.913265))+0-0-0</f>
        <v>1659.258075</v>
      </c>
      <c r="J163" s="3">
        <f>1831.6+(432.5-701.8)+(3.736464+(0.8823-1.431672))+0-0-0</f>
        <v>1565.4870919999998</v>
      </c>
      <c r="K163" s="3">
        <f>1771.5+(422.5-715.3)+(1.80693+(0.43095-0.729606))+0-0-0</f>
        <v>1480.2082740000001</v>
      </c>
      <c r="L163" s="3">
        <f>1703.3+(366.9-738.5)+(-2.606049+(-0.561357--1.129905))+0-0-0</f>
        <v>1329.6624989999998</v>
      </c>
      <c r="M163" s="3">
        <f>1812.6+(346.6-815.3)+(0.924426+(0.176766-0.415803))+0-0-0</f>
        <v>1344.5853890000001</v>
      </c>
      <c r="N163" s="3">
        <f>2248.1+(401.5-1077.9)+(0+(0-0))+0-0-0</f>
        <v>1571.6999999999998</v>
      </c>
      <c r="O163" s="3">
        <f>2496.8+(371.8-1108)+(1.273368+(0.189618-0.56508))+0-0-0</f>
        <v>1761.4979060000001</v>
      </c>
      <c r="P163" s="3">
        <f>2637.2+(350.5-1088.9)+(1.344972+(0.178755-0.555339))+0-0-0</f>
        <v>1899.7683879999997</v>
      </c>
      <c r="Q163" s="3">
        <f>2688.8+(403.9-971.3)+(4.113864+(0.617967-1.486089))+0-0-0</f>
        <v>2124.6457420000002</v>
      </c>
      <c r="R163" s="3">
        <f>2688.1+(395.2-784)+(2.741862+(0.403104-0.79968))+0-0-0</f>
        <v>2301.6452859999999</v>
      </c>
      <c r="S163" s="3">
        <f>2675.5+(440.7-599.8)+(1.364505+(0.224757-0.305898))+0-0-0</f>
        <v>2517.683364</v>
      </c>
      <c r="T163" s="3">
        <f>2669.6+(493.8-508)+(0+(0-0))+0-0-0</f>
        <v>2655.4</v>
      </c>
      <c r="U163" s="3">
        <f>2668.7+(500.2-495.9)+(-1.361037+(-0.255102--0.252909))+0-0-0</f>
        <v>2671.6367700000001</v>
      </c>
      <c r="V163" s="3">
        <f>2647.6+(474.1-506.8)+(-6.75138+(-1.208955--1.29234))+0-0-0</f>
        <v>2608.2320050000003</v>
      </c>
      <c r="W163" s="3">
        <f>2638.5+(423.9-596.5)+(-8.07381+(-1.297134--1.82529))+0-0-0</f>
        <v>2458.3543460000001</v>
      </c>
      <c r="X163" s="3">
        <f>2664.2+(410.1-833.6)+(-4.076226+(-0.627453--1.275408))+0-0-0</f>
        <v>2237.2717289999996</v>
      </c>
      <c r="Y163" s="3">
        <f>2705.8+(319.5-848.3)+(1.379958+(0.162945-0.432633))+0-0-0</f>
        <v>2178.1102700000001</v>
      </c>
      <c r="Z163" s="3">
        <f>2767.8+(358.6-666)+(-2.823156+(-0.365772--0.67932))+0-0-0</f>
        <v>2457.8903920000002</v>
      </c>
      <c r="AA163" s="3">
        <f>2791.6+(400.1-658.9)+(-5.694864+(-0.816204--1.344156))+0-0-0</f>
        <v>2527.633088</v>
      </c>
      <c r="AB163" s="3">
        <f>2678.8+(461.4-667.3)+(-4.098564+(-0.705942--1.020969))+0-0-0</f>
        <v>2469.1164630000003</v>
      </c>
      <c r="AC163" s="3">
        <f>2564.3+(452.1-613.3)+(3.923379+(0.691713-0.938349))+0-0-0</f>
        <v>2406.7767430000004</v>
      </c>
      <c r="AD163" s="2">
        <v>2487.6999999999998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2508.4+(496.7-693.5)+(-2.558568+(-0.506634--0.70737))+0-0-0</f>
        <v>2309.2421679999998</v>
      </c>
      <c r="G164" s="3">
        <f>1833.8+(675-354)+(0.935238+(0.34425-0.18054))+0-0-0</f>
        <v>2155.898948</v>
      </c>
      <c r="H164" s="3">
        <f>1617.8+(655.8-283.6)+(1.650156+(0.668916-0.289272))+0-0-0</f>
        <v>1992.0298</v>
      </c>
      <c r="I164" s="3">
        <f>1602.5+(508-252.4)+(-1.63455+(-0.51816--0.257448))+0-0-0</f>
        <v>1856.2047379999999</v>
      </c>
      <c r="J164" s="3">
        <f>1625.6+(455.4-315.5)+(4.974336+(1.393524-0.96543))+0-0-0</f>
        <v>1770.9024300000001</v>
      </c>
      <c r="K164" s="3">
        <f>1587+(409.4-315.8)+(3.23748+(0.835176-0.644232))+0-0-0</f>
        <v>1684.0284239999999</v>
      </c>
      <c r="L164" s="3">
        <f>1543.1+(358.6-357.8)+(1.573962+(0.365772-0.364956))+0-0-0</f>
        <v>1545.4747779999998</v>
      </c>
      <c r="M164" s="3">
        <f>1544.4+(359.6-386.9)+(4.725864+(1.100376-1.183914))+0-0-0</f>
        <v>1521.742326</v>
      </c>
      <c r="N164" s="3">
        <f>1737.2+(342.9-415.4)+(2.657916+(0.524637-0.635562))+0-0-0</f>
        <v>1667.246991</v>
      </c>
      <c r="O164" s="3">
        <f>2215.1+(319-659)+(0+(0-0))+0-0-0</f>
        <v>1875.1</v>
      </c>
      <c r="P164" s="3">
        <f>2345.8+(317.9-630)+(1.196358+(0.162129-0.3213))+0-0-0</f>
        <v>2034.7371870000002</v>
      </c>
      <c r="Q164" s="3">
        <f>2437+(309.9-570.7)+(1.24287+(0.158049-0.291057))+0-0-0</f>
        <v>2177.3098619999996</v>
      </c>
      <c r="R164" s="3">
        <f>2441.8+(323.4-453.8)+(-3.735954+(-0.494802--0.694314))+0-0-0</f>
        <v>2307.863558</v>
      </c>
      <c r="S164" s="3">
        <f>2443.4+(380.7-388.8)+(-3.738402+(-0.582471--0.594864))+0-0-0</f>
        <v>2431.5739910000002</v>
      </c>
      <c r="T164" s="3">
        <f>2446.3+(428.8-366.3)+(-1.247613+(-0.218688--0.186813))+0-0-0</f>
        <v>2507.5205120000001</v>
      </c>
      <c r="U164" s="3">
        <f>2442.6+(422.4-389.9)+(0+(0-0))+0-0-0</f>
        <v>2475.1</v>
      </c>
      <c r="V164" s="3">
        <f>2442.7+(425.6-485.7)+(-1.245777+(-0.217056--0.247707))+0-0-0</f>
        <v>2381.3848739999999</v>
      </c>
      <c r="W164" s="3">
        <f>2448.4+(417.6-651.8)+(0+(0-0))+0-0-0</f>
        <v>2214.2000000000003</v>
      </c>
      <c r="X164" s="3">
        <f>2450.1+(394.7-821.6)+(-3.748653+(-0.603891--1.257048))+0-0-0</f>
        <v>2020.1045039999999</v>
      </c>
      <c r="Y164" s="3">
        <f>2477.2+(346.4-790.9)+(0+(0-0))+0-0-0</f>
        <v>2032.6999999999998</v>
      </c>
      <c r="Z164" s="3">
        <f>2509+(411.5-621)+(0+(0-0))+0-0-0</f>
        <v>2299.5</v>
      </c>
      <c r="AA164" s="3">
        <f>2509.2+(427.1-615.5)+(-3.839076+(-0.653463--0.941715))+0-0-0</f>
        <v>2317.2491759999998</v>
      </c>
      <c r="AB164" s="3">
        <f>2500.5+(482.3-673.2)+(-6.376275+(-1.229865--1.71666))+0-0-0</f>
        <v>2303.7105200000001</v>
      </c>
      <c r="AC164" s="3">
        <f>2374.8+(552-648.2)+(-2.422296+(-0.56304--0.661164))+0-0-0</f>
        <v>2276.2758280000003</v>
      </c>
      <c r="AD164" s="2">
        <v>2339.6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2228.7+(560.1-593.2)+(-3.409911+(-0.856953--0.907596))+0-0-0</f>
        <v>2192.2407319999998</v>
      </c>
      <c r="G165" s="3">
        <f>1980.2+(585.7-470.3)+(-3.029706+(-0.896121--0.719559))+0-0-0</f>
        <v>2092.393732</v>
      </c>
      <c r="H165" s="3">
        <f>1973.2+(551-536.6)+(-2.012664+(-0.56202--0.547332))+0-0-0</f>
        <v>1985.5726479999998</v>
      </c>
      <c r="I165" s="3">
        <f>1911+(517.3-541.7)+(0.97461+(0.263823-0.276267))+0-0-0</f>
        <v>1887.5621659999999</v>
      </c>
      <c r="J165" s="3">
        <f>1793.4+(502.3-502.4)+(-3.658536+(-1.024692--1.024896))+0-0-0</f>
        <v>1789.6416680000002</v>
      </c>
      <c r="K165" s="3">
        <f>1796.5+(438.7-522.1)+(-2.748645+(-0.671211--0.798813))+0-0-0</f>
        <v>1710.4789569999998</v>
      </c>
      <c r="L165" s="3">
        <f>1568+(422.6-457)+(-3.9984+(-1.07763--1.16535))+0-0-0</f>
        <v>1529.68932</v>
      </c>
      <c r="M165" s="3">
        <f>1467.1+(407.7-464.3)+(0.748221+(0.207927-0.236793))+0-0-0</f>
        <v>1411.219355</v>
      </c>
      <c r="N165" s="3">
        <f>1465.9+(459.4-485.7)+(0.747609+(0.234294-0.247707))+0-0-0</f>
        <v>1440.3341960000002</v>
      </c>
      <c r="O165" s="3">
        <f>1812.4+(415.9-693.5)+(-1.848648+(-0.424218--0.70737))+0-0-0</f>
        <v>1533.2345040000002</v>
      </c>
      <c r="P165" s="3">
        <f>2060.9+(351.2-755.4)+(0+(0-0))+0-0-0</f>
        <v>1656.7</v>
      </c>
      <c r="Q165" s="3">
        <f>2141.5+(381.2-746.8)+(0+(0-0))+0-0-0</f>
        <v>1775.9</v>
      </c>
      <c r="R165" s="3">
        <f>2232.4+(405.6-764.5)+(-1.138524+(-0.206856--0.389895))+0-0-0</f>
        <v>1872.544515</v>
      </c>
      <c r="S165" s="3">
        <f>2348.6+(410.6-756.6)+(-3.593358+(-0.628218--1.157598))+0-0-0</f>
        <v>1999.536022</v>
      </c>
      <c r="T165" s="3">
        <f>2427.9+(394.4-729.2)+(-4.952916+(-0.804576--1.487568))+0-0-0</f>
        <v>2088.8300759999997</v>
      </c>
      <c r="U165" s="3">
        <f>2451.2+(363.4-710.5)+(1.250112+(0.185334-0.362355))+0-0-0</f>
        <v>2105.1730910000001</v>
      </c>
      <c r="V165" s="3">
        <f>2420.6+(341.7-720.6)+(-6.17253+(-0.871335--1.83753))+0-0-0</f>
        <v>2036.4936649999997</v>
      </c>
      <c r="W165" s="3">
        <f>2349.5+(313.3-746.4)+(-5.991225+(-0.798915--1.90332))+0-0-0</f>
        <v>1911.5131800000001</v>
      </c>
      <c r="X165" s="3">
        <f>2252.1+(308-808.8)+(-2.297142+(-0.31416--0.824976))+0-0-0</f>
        <v>1749.513674</v>
      </c>
      <c r="Y165" s="3">
        <f>2330.7+(327-874.8)+(1.188657+(0.16677-0.446148))+0-0-0</f>
        <v>1783.8092789999998</v>
      </c>
      <c r="Z165" s="3">
        <f>2483.3+(323-850)+(0+(0-0))+0-0-0</f>
        <v>1956.3000000000002</v>
      </c>
      <c r="AA165" s="3">
        <f>2469.4+(322.6-747.5)+(-5.037576+(-0.658104--1.5249))+0-0-0</f>
        <v>2040.3292200000001</v>
      </c>
      <c r="AB165" s="3">
        <f>2445.4+(347.9-692.1)+(0+(0-0))+0-0-0</f>
        <v>2101.1999999999998</v>
      </c>
      <c r="AC165" s="3">
        <f>2395.6+(448.3-720.5)+(-1.221756+(-0.228633--0.367455))+0-0-0</f>
        <v>2122.3170660000001</v>
      </c>
      <c r="AD165" s="2">
        <v>2074.1999999999998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2290.6+(453.1-656.7)+(-2.336412+(-0.462162--0.669834))+0-0-0</f>
        <v>2084.8712599999999</v>
      </c>
      <c r="G166" s="3">
        <f>2029.2+(485.3-544.6)+(-1.034892+(-0.247503--0.277746))+0-0-0</f>
        <v>1968.8953510000001</v>
      </c>
      <c r="H166" s="3">
        <f>1732.3+(535.8-418.8)+(-1.766946+(-0.546516--0.427176))+0-0-0</f>
        <v>1847.413714</v>
      </c>
      <c r="I166" s="3">
        <f>1536.1+(532.3-325.1)+(2.350233+(0.814419-0.497403))+0-0-0</f>
        <v>1745.9672489999998</v>
      </c>
      <c r="J166" s="3">
        <f>1499.2+(527.9-349.3)+(-0.764592+(-0.269229--0.178143))+0-0-0</f>
        <v>1676.9443220000001</v>
      </c>
      <c r="K166" s="3">
        <f>1489.3+(487.4-376.5)+(-3.797715+(-1.24287--0.960075))+0-0-0</f>
        <v>1596.1194899999998</v>
      </c>
      <c r="L166" s="3">
        <f>1460+(456-442.7)+(-2.9784+(-0.93024--0.903108))+0-0-0</f>
        <v>1470.2944680000001</v>
      </c>
      <c r="M166" s="3">
        <f>1417.1+(455.4-418.2)+(0.722721+(0.232254-0.213282))+0-0-0</f>
        <v>1455.0416929999999</v>
      </c>
      <c r="N166" s="3">
        <f>1555.6+(467.3-451.3)+(0+(0-0))+0-0-0</f>
        <v>1571.6</v>
      </c>
      <c r="O166" s="3">
        <f>1850.8+(433.9-577.1)+(0+(0-0))+0-0-0</f>
        <v>1707.6</v>
      </c>
      <c r="P166" s="3">
        <f>2216.4+(410.9-804)+(2.260728+(0.419118-0.82008))+0-0-0</f>
        <v>1825.1597660000002</v>
      </c>
      <c r="Q166" s="3">
        <f>2564.5+(408.1-1005.8)+(0+(0-0))+0-0-0</f>
        <v>1966.8000000000002</v>
      </c>
      <c r="R166" s="3">
        <f>2741.8+(339.7-1014.7)+(0+(0-0))+0-0-0</f>
        <v>2066.8000000000002</v>
      </c>
      <c r="S166" s="3">
        <f>2735.1+(345-906.3)+(-5.579604+(-0.7038--1.848852))+0-0-0</f>
        <v>2169.365448</v>
      </c>
      <c r="T166" s="3">
        <f>2738.6+(341.8-861.6)+(-4.190058+(-0.522954--1.318248))+0-0-0</f>
        <v>2215.4052360000001</v>
      </c>
      <c r="U166" s="3">
        <f>2726.5+(352.7-906.9)+(1.390515+(0.179877-0.462519))+0-0-0</f>
        <v>2173.4078730000001</v>
      </c>
      <c r="V166" s="3">
        <f>2720.8+(342-990.7)+(1.387608+(0.17442-0.505257))+0-0-0</f>
        <v>2073.1567710000004</v>
      </c>
      <c r="W166" s="3">
        <f>2696+(352.8-1119.4)+(0+(0-0))+0-0-0</f>
        <v>1929.3999999999999</v>
      </c>
      <c r="X166" s="3">
        <f>2508+(324.4-1063.4)+(2.55816+(0.330888-1.084668))+0-0-0</f>
        <v>1770.80438</v>
      </c>
      <c r="Y166" s="3">
        <f>2436+(284.4-936.4)+(0+(0-0))+0-0-0</f>
        <v>1784</v>
      </c>
      <c r="Z166" s="3">
        <f>2580.6+(279.8-910.9)+(-1.316106+(-0.142698--0.464559))+0-0-0</f>
        <v>1948.5057549999999</v>
      </c>
      <c r="AA166" s="3">
        <f>2701.1+(230.2-964.8)+(-1.377561+(-0.117402--0.492048))+0-0-0</f>
        <v>1965.497085</v>
      </c>
      <c r="AB166" s="3">
        <f>2586.5+(350.8-1000.7)+(-2.63823+(-0.357816--1.020714))+0-0-0</f>
        <v>1934.6246679999999</v>
      </c>
      <c r="AC166" s="3">
        <f>2224.2+(417.8-776.4)+(-2.268684+(-0.426156--0.791928))+0-0-0</f>
        <v>1863.6970879999999</v>
      </c>
      <c r="AD166" s="2">
        <v>2069.5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1793.6+(461.8-495.7)+(-2.744208+(-0.706554--0.758421))+0-0-0</f>
        <v>1757.0076589999999</v>
      </c>
      <c r="G167" s="3">
        <f>1646.3+(482.7-492.8)+(-4.198065+(-1.230885--1.25664))+0-0-0</f>
        <v>1632.0276899999999</v>
      </c>
      <c r="H167" s="3">
        <f>1593.8+(409.6-481.1)+(-1.625676+(-0.417792--0.490722))+0-0-0</f>
        <v>1520.7472539999999</v>
      </c>
      <c r="I167" s="3">
        <f>1584.4+(368.3-513.8)+(-3.232176+(-0.751332--1.048152))+0-0-0</f>
        <v>1435.9646440000001</v>
      </c>
      <c r="J167" s="3">
        <f>1595.9+(332.1-548.1)+(-0.813909+(-0.169371--0.279531))+0-0-0</f>
        <v>1379.1962510000001</v>
      </c>
      <c r="K167" s="3">
        <f>1593.7+(244.4-507.8)+(-0.812787+(-0.124644--0.258978))+0-0-0</f>
        <v>1329.6215470000002</v>
      </c>
      <c r="L167" s="3">
        <f>1586.2+(151.8-503.6)+(-5.662734+(-0.541926--1.797852))+0-0-0</f>
        <v>1229.9931920000001</v>
      </c>
      <c r="M167" s="3">
        <f>1609.6+(226.9-584.7)+(0.820896+(0.115719-0.298197))+0-0-0</f>
        <v>1252.4384179999997</v>
      </c>
      <c r="N167" s="3">
        <f>1838.5+(267.6-743)+(-0.937635+(-0.136476--0.37893))+0-0-0</f>
        <v>1362.4048189999999</v>
      </c>
      <c r="O167" s="3">
        <f>2343.8+(245.9-1104.7)+(0+(0-0))+0-0-0</f>
        <v>1485</v>
      </c>
      <c r="P167" s="3">
        <f>2457.9+(290.3-1184.3)+(-1.253529+(-0.148053--0.603993))+0-0-0</f>
        <v>1563.1024110000001</v>
      </c>
      <c r="Q167" s="3">
        <f>2548.4+(279.5-1207.1)+(-1.299684+(-0.142545--0.615621))+0-0-0</f>
        <v>1619.9733920000001</v>
      </c>
      <c r="R167" s="3">
        <f>2668+(270.8-1270.9)+(-2.72136+(-0.276216--1.296318))+0-0-0</f>
        <v>1666.1987419999998</v>
      </c>
      <c r="S167" s="3">
        <f>2700.2+(273.7-1290.2)+(-1.377102+(-0.139587--0.658002))+0-0-0</f>
        <v>1682.8413129999999</v>
      </c>
      <c r="T167" s="3">
        <f>2677.3+(264.2-1273.6)+(-6.827115+(-0.67371--3.24768))+0-0-0</f>
        <v>1663.6468550000004</v>
      </c>
      <c r="U167" s="3">
        <f>2675.3+(276.2-1336.8)+(-2.728806+(-0.281724--1.363536))+0-0-0</f>
        <v>1613.0530060000003</v>
      </c>
      <c r="V167" s="3">
        <f>2622.8+(245.6-1302.8)+(-1.337628+(-0.125256--0.664428))+0-0-0</f>
        <v>1564.8015440000001</v>
      </c>
      <c r="W167" s="3">
        <f>2607.5+(239.4-1329.6)+(-6.649125+(-0.61047--3.39048))+0-0-0</f>
        <v>1513.4308850000002</v>
      </c>
      <c r="X167" s="3">
        <f>2564.8+(232-1356.2)+(-5.232192+(-0.47328--2.766648))+0-0-0</f>
        <v>1437.6611760000001</v>
      </c>
      <c r="Y167" s="3">
        <f>2536.2+(203.1-1237.7)+(1.293462+(0.103581-0.631227))+0-0-0</f>
        <v>1502.3658159999998</v>
      </c>
      <c r="Z167" s="3">
        <f>2724.6+(230.6-1409.9)+(0+(0-0))+0-0-0</f>
        <v>1545.2999999999997</v>
      </c>
      <c r="AA167" s="3">
        <f>2722.1+(163.5-1414)+(-9.717897+(-0.583695--5.04798))+0-0-0</f>
        <v>1466.3463879999999</v>
      </c>
      <c r="AB167" s="3">
        <f>2752.7+(161.4-1470.1)+(-4.211631+(-0.246942--2.249253))+0-0-0</f>
        <v>1441.7906800000001</v>
      </c>
      <c r="AC167" s="3">
        <f>2644.5+(211.1-1479.5)+(-4.046085+(-0.322983--2.263635))+0-0-0</f>
        <v>1373.994567</v>
      </c>
      <c r="AD167" s="2">
        <v>1509.9999999999998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2308.6+(316-1331.3)+(-5.88693+(-0.8058--3.394815))+0-0-0</f>
        <v>1290.0020849999999</v>
      </c>
      <c r="G168" s="3">
        <f>1842.8+(332.4-970.3)+(-5.638968+(-1.017144--2.969118))+0-0-0</f>
        <v>1201.2130060000002</v>
      </c>
      <c r="H168" s="3">
        <f>1614.3+(326.9-805)+(-2.469879+(-0.500157--1.23165))+0-0-0</f>
        <v>1134.4616139999998</v>
      </c>
      <c r="I168" s="3">
        <f>1613+(304.5-813.3)+(-1.64526+(-0.31059--0.829566))+0-0-0</f>
        <v>1103.0737160000001</v>
      </c>
      <c r="J168" s="3">
        <f>1612+(271.4-809.3)+(-0.82212+(-0.138414--0.412743))+0-0-0</f>
        <v>1073.5522089999999</v>
      </c>
      <c r="K168" s="3">
        <f>1614.1+(273.6-825.4)+(-2.469573+(-0.418608--1.262862))+0-0-0</f>
        <v>1060.674681</v>
      </c>
      <c r="L168" s="3">
        <f>1613.9+(308.8-888.9)+(-0.823089+(-0.157488--0.453339))+0-0-0</f>
        <v>1033.2727620000003</v>
      </c>
      <c r="M168" s="3">
        <f>1620.4+(293.2-849.3)+(0.826404+(0.149532-0.433143))+0-0-0</f>
        <v>1064.8427930000003</v>
      </c>
      <c r="N168" s="3">
        <f>1869.3+(162.6-852.7)+(0.953343+(0.082926-0.434877))+0-0-0</f>
        <v>1179.8013919999999</v>
      </c>
      <c r="O168" s="3">
        <f>2343.5+(149.4-1194.6)+(-1.195185+(-0.076194--0.609246))+0-0-0</f>
        <v>1297.6378670000001</v>
      </c>
      <c r="P168" s="3">
        <f>2416.9+(221.9-1274.5)+(1.232619+(0.113169-0.649995))+0-0-0</f>
        <v>1364.9957930000003</v>
      </c>
      <c r="Q168" s="3">
        <f>2512.1+(289.8-1380.5)+(1.281171+(0.147798-0.704055))+0-0-0</f>
        <v>1422.1249139999998</v>
      </c>
      <c r="R168" s="3">
        <f>2610.7+(259.5-1420.3)+(0+(0-0))+0-0-0</f>
        <v>1449.8999999999999</v>
      </c>
      <c r="S168" s="3">
        <f>2635.1+(257.1-1485.5)+(-1.343901+(-0.131121--0.757605))+0-0-0</f>
        <v>1405.9825829999997</v>
      </c>
      <c r="T168" s="3">
        <f>2669.7+(222.8-1518.6)+(-1.361547+(-0.113628--0.774486))+0-0-0</f>
        <v>1373.1993109999999</v>
      </c>
      <c r="U168" s="3">
        <f>2695.7+(195.8-1549.9)+(-6.874035+(-0.49929--3.952245))+0-0-0</f>
        <v>1338.1789199999996</v>
      </c>
      <c r="V168" s="3">
        <f>2674+(171.3-1512.9)+(-4.09122+(-0.262089--2.314737))+0-0-0</f>
        <v>1330.3614279999999</v>
      </c>
      <c r="W168" s="3">
        <f>2470.8+(261-1401.1)+(-7.560648+(-0.79866--4.287366))+0-0-0</f>
        <v>1326.6280580000002</v>
      </c>
      <c r="X168" s="3">
        <f>2374.1+(291.6-1345.4)+(-8.475537+(-1.041012--4.803078))+0-0-0</f>
        <v>1315.5865289999997</v>
      </c>
      <c r="Y168" s="3">
        <f>2443.5+(228.5-1243.1)+(1.246185+(0.116535-0.633981))+0-0-0</f>
        <v>1429.628739</v>
      </c>
      <c r="Z168" s="3">
        <f>2454.2+(367.2-1301.3)+(-1.251642+(-0.187272--0.663663))+0-0-0</f>
        <v>1519.3247489999999</v>
      </c>
      <c r="AA168" s="3">
        <f>2289.9+(368.1-1192.5)+(-4.671396+(-0.750924--2.4327))+0-0-0</f>
        <v>1462.5103799999999</v>
      </c>
      <c r="AB168" s="3">
        <f>2021.5+(474.8-1097.1)+(-3.092895+(-0.726444--1.678563))+0-0-0</f>
        <v>1397.0592240000001</v>
      </c>
      <c r="AC168" s="3">
        <f>1809.3+(496.3-985.3)+(-1.845486+(-0.506226--1.005006))+0-0-0</f>
        <v>1318.9532939999999</v>
      </c>
      <c r="AD168" s="2">
        <v>1505.5000000000002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1578.8+(481.5-858.6)+(-2.415564+(-0.736695--1.313658))+0-0-0</f>
        <v>1199.8613989999999</v>
      </c>
      <c r="G169" s="3">
        <f>1568.3+(443.5-886.1)+(-0.799833+(-0.226185--0.451911))+0-0-0</f>
        <v>1125.1258929999999</v>
      </c>
      <c r="H169" s="3">
        <f>1564.6+(371.3-864.7)+(-1.595892+(-0.378726--0.881994))+0-0-0</f>
        <v>1070.1073759999999</v>
      </c>
      <c r="I169" s="3">
        <f>1559.3+(327.6-851.8)+(-2.385729+(-0.501228--1.303254))+0-0-0</f>
        <v>1033.5162969999999</v>
      </c>
      <c r="J169" s="3">
        <f>1578.2+(285.2-848.3)+(3.219528+(0.581808-1.730532))+0-0-0</f>
        <v>1017.1708040000001</v>
      </c>
      <c r="K169" s="3">
        <f>1560.3+(292-843.8)+(-2.387259+(-0.44676--1.291014))+0-0-0</f>
        <v>1006.956995</v>
      </c>
      <c r="L169" s="3">
        <f>1557.9+(302.7-877.9)+(-3.972645+(-0.771885--2.238645))+0-0-0</f>
        <v>980.19411500000001</v>
      </c>
      <c r="M169" s="3">
        <f>1627.6+(280-881.2)+(-0.830076+(-0.1428--0.449412))+0-0-0</f>
        <v>1025.8765359999998</v>
      </c>
      <c r="N169" s="3">
        <f>1916.5+(296.1-1051.7)+(-0.977415+(-0.151011--0.536367))+0-0-0</f>
        <v>1160.307941</v>
      </c>
      <c r="O169" s="3">
        <f>2203.3+(348.2-1292.2)+(0+(0-0))+0-0-0</f>
        <v>1259.3000000000002</v>
      </c>
      <c r="P169" s="3">
        <f>2235.3+(294.3-1228.8)+(0+(0-0))+0-0-0</f>
        <v>1300.8000000000002</v>
      </c>
      <c r="Q169" s="3">
        <f>2294+(367.5-1330.3)+(0+(0-0))+0-0-0</f>
        <v>1331.2</v>
      </c>
      <c r="R169" s="3">
        <f>2399.4+(351.5-1400.9)+(-3.671082+(-0.537795--2.143377))+0-0-0</f>
        <v>1347.9345000000001</v>
      </c>
      <c r="S169" s="3">
        <f>2399.8+(365.6-1454.2)+(-2.447796+(-0.372912--1.483284))+0-0-0</f>
        <v>1309.8625760000002</v>
      </c>
      <c r="T169" s="3">
        <f>2403.5+(388-1501.8)+(0+(0-0))+0-0-0</f>
        <v>1289.7</v>
      </c>
      <c r="U169" s="3">
        <f>2416.3+(384.5-1534.5)+(3.696939+(0.588285-2.347785))+0-0-0</f>
        <v>1268.2374390000002</v>
      </c>
      <c r="V169" s="3">
        <f>2386.1+(366.4-1495.8)+(-6.084555+(-0.93432--3.81429))+0-0-0</f>
        <v>1253.4954149999999</v>
      </c>
      <c r="W169" s="3">
        <f>2380.4+(366.5-1488)+(-6.07002+(-0.934575--3.7944))+0-0-0</f>
        <v>1255.689805</v>
      </c>
      <c r="X169" s="3">
        <f>2295.2+(279.1-1320.3)+(-3.511656+(-0.427023--2.020059))+0-0-0</f>
        <v>1252.0813800000001</v>
      </c>
      <c r="Y169" s="3">
        <f>2261.4+(281.7-1183.7)+(1.153314+(0.143667-0.603687))+0-0-0</f>
        <v>1360.093294</v>
      </c>
      <c r="Z169" s="3">
        <f>2635+(291.2-1476.6)+(-4.03155+(-0.445536--2.259198))+0-0-0</f>
        <v>1447.3821120000002</v>
      </c>
      <c r="AA169" s="3">
        <f>2587+(312.8-1489.5)+(-7.91622+(-0.957168--4.55787))+0-0-0</f>
        <v>1405.9844819999998</v>
      </c>
      <c r="AB169" s="3">
        <f>2466.2+(352.8-1463.5)+(-6.28881+(-0.89964--3.731925))+0-0-0</f>
        <v>1352.0434749999997</v>
      </c>
      <c r="AC169" s="3">
        <f>2244.6+(350.7-1332.2)+(-6.868476+(-1.073142--4.076532))+0-0-0</f>
        <v>1259.2349139999999</v>
      </c>
      <c r="AD169" s="2">
        <v>1476.3999999999999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1779.2+(411.5-1016.4)+(-3.629568+(-0.83946--2.073456))+0-0-0</f>
        <v>1171.9044280000003</v>
      </c>
      <c r="G170" s="3">
        <f>1322.3+(492.4-748.5)+(0.674373+(0.251124-0.381735))+0-0-0</f>
        <v>1066.7437619999998</v>
      </c>
      <c r="H170" s="3">
        <f>1314+(354.2-656.8)+(0.67014+(0.180642-0.334968))+0-0-0</f>
        <v>1011.9158140000001</v>
      </c>
      <c r="I170" s="3">
        <f>1313.9+(321.4-649.8)+(-2.010267+(-0.491742--0.994194))+0-0-0</f>
        <v>983.99218500000006</v>
      </c>
      <c r="J170" s="3">
        <f>1313.9+(300.3-653.1)+(-1.340178+(-0.306306--0.666162))+0-0-0</f>
        <v>960.11967800000014</v>
      </c>
      <c r="K170" s="3">
        <f>1313.7+(320.9-668.5)+(-2.009961+(-0.490977--1.022805))+0-0-0</f>
        <v>964.62186700000007</v>
      </c>
      <c r="L170" s="3">
        <f>1314+(339.7-710.8)+(-4.02084+(-1.039482--2.175048))+0-0-0</f>
        <v>940.01472600000011</v>
      </c>
      <c r="M170" s="3">
        <f>1479.8+(364.1-857.1)+(0.754698+(0.185691-0.437121))+0-0-0</f>
        <v>987.303268</v>
      </c>
      <c r="N170" s="3">
        <f>2001.8+(388-1237.8)+(-1.020918+(-0.19788--0.631278))+0-0-0</f>
        <v>1151.41248</v>
      </c>
      <c r="O170" s="3">
        <f>2140.2+(395-1278.9)+(-1.091502+(-0.20145--0.652239))+0-0-0</f>
        <v>1255.6592869999997</v>
      </c>
      <c r="P170" s="3">
        <f>2320.7+(401.6-1386.2)+(-3.550671+(-0.614448--2.120886))+0-0-0</f>
        <v>1334.0557669999998</v>
      </c>
      <c r="Q170" s="3">
        <f>2442.7+(479.8-1521)+(-1.245777+(-0.244698--0.77571))+0-0-0</f>
        <v>1400.7852349999998</v>
      </c>
      <c r="R170" s="3">
        <f>2526+(466.9-1561.4)+(-3.86478+(-0.714357--2.388942))+0-0-0</f>
        <v>1429.3098050000001</v>
      </c>
      <c r="S170" s="3">
        <f>2563.3+(435.8-1609.3)+(-3.921849+(-0.666774--2.462229))+0-0-0</f>
        <v>1387.6736060000003</v>
      </c>
      <c r="T170" s="3">
        <f>2629.2+(410.6-1673.3)+(-1.340892+(-0.209406--0.853383))+0-0-0</f>
        <v>1365.803085</v>
      </c>
      <c r="U170" s="3">
        <f>2577.1+(429.6-1658.8)+(1.314321+(0.219096-0.845988))+0-0-0</f>
        <v>1348.5874290000002</v>
      </c>
      <c r="V170" s="3">
        <f>2561+(426.3-1647.3)+(-2.61222+(-0.434826--1.680246))+0-0-0</f>
        <v>1338.6332</v>
      </c>
      <c r="W170" s="3">
        <f>2552+(327.2-1537.4)+(-5.20608+(-0.667488--3.136296))+0-0-0</f>
        <v>1339.0627279999999</v>
      </c>
      <c r="X170" s="3">
        <f>2440.6+(290.7-1403.1)+(-2.489412+(-0.296514--1.431162))+0-0-0</f>
        <v>1326.8452360000001</v>
      </c>
      <c r="Y170" s="3">
        <f>2372.5+(296.7-1250.2)+(-2.41995+(-0.302634--1.275204))+0-0-0</f>
        <v>1417.5526199999999</v>
      </c>
      <c r="Z170" s="3">
        <f>2599.8+(395.7-1430.2)+(-1.325898+(-0.201807--0.729402))+0-0-0</f>
        <v>1564.5016970000001</v>
      </c>
      <c r="AA170" s="3">
        <f>2585.6+(419.9-1475.4)+(-9.230592+(-1.499043--5.267178))+0-0-0</f>
        <v>1524.6375429999998</v>
      </c>
      <c r="AB170" s="3">
        <f>2428.7+(402.1-1372.9)+(-4.954548+(-0.820284--2.800716))+0-0-0</f>
        <v>1454.9258839999995</v>
      </c>
      <c r="AC170" s="3">
        <f>1963.1+(470.4-1070.6)+(0+(0-0))+0-0-0</f>
        <v>1362.9</v>
      </c>
      <c r="AD170" s="2">
        <v>1553.6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1360.7+(532.8-664.6)+(-1.387914+(-0.543456--0.677892))+0-0-0</f>
        <v>1227.646522</v>
      </c>
      <c r="G171" s="3">
        <f>1194.6+(491-555.6)+(-1.827738+(-0.75123--0.850068))+0-0-0</f>
        <v>1128.2710999999999</v>
      </c>
      <c r="H171" s="3">
        <f>1190.9+(449-570.1)+(-2.429436+(-0.91596--1.163004))+0-0-0</f>
        <v>1067.6176080000002</v>
      </c>
      <c r="I171" s="3">
        <f>1190.5+(489-642.4)+(-1.21431+(-0.49878--0.655248))+0-0-0</f>
        <v>1036.042158</v>
      </c>
      <c r="J171" s="3">
        <f>1206+(482.4-674.6)+(1.84518+(0.738072-1.032138))+0-0-0</f>
        <v>1015.3511139999999</v>
      </c>
      <c r="K171" s="3">
        <f>1211.5+(491.9-696.5)+(2.47146+(1.003476-1.42086))+0-0-0</f>
        <v>1008.954076</v>
      </c>
      <c r="L171" s="3">
        <f>1197.1+(494.3-708.4)+(-0.610521+(-0.252093--0.361284))+0-0-0</f>
        <v>982.49866999999995</v>
      </c>
      <c r="M171" s="3">
        <f>1287.2+(473.2-735.5)+(0+(0-0))+0-0-0</f>
        <v>1024.9000000000001</v>
      </c>
      <c r="N171" s="3">
        <f>1646+(515.4-993.7)+(1.67892+(0.525708-1.013574))+0-0-0</f>
        <v>1168.8910539999997</v>
      </c>
      <c r="O171" s="3">
        <f>1966.5+(488-1188.4)+(1.002915+(0.24888-0.606084))+0-0-0</f>
        <v>1266.7457109999998</v>
      </c>
      <c r="P171" s="3">
        <f>2191.9+(513.8-1349.2)+(1.117869+(0.262038-0.688092))+0-0-0</f>
        <v>1357.1918149999999</v>
      </c>
      <c r="Q171" s="3">
        <f>2304.2+(511.3-1408.6)+(1.175142+(0.260763-0.718386))+0-0-0</f>
        <v>1407.6175189999999</v>
      </c>
      <c r="R171" s="3">
        <f>2308.3+(504.9-1381)+(-1.177233+(-0.257499--0.70431))+0-0-0</f>
        <v>1431.4695780000002</v>
      </c>
      <c r="S171" s="3">
        <f>2303.4+(481.1-1411.6)+(-2.349468+(-0.490722--1.439832))+0-0-0</f>
        <v>1371.499642</v>
      </c>
      <c r="T171" s="3">
        <f>2222.5+(486.8-1376.4)+(-1.133475+(-0.248268--0.701964))+0-0-0</f>
        <v>1332.2202209999998</v>
      </c>
      <c r="U171" s="3">
        <f>2216.2+(477.7-1381.8)+(2.260524+(0.487254-1.409436))+0-0-0</f>
        <v>1313.4383419999999</v>
      </c>
      <c r="V171" s="3">
        <f>2217+(432.2-1353.9)+(-4.52268+(-0.881688--2.761956))+0-0-0</f>
        <v>1292.657588</v>
      </c>
      <c r="W171" s="3">
        <f>2129.4+(405.6-1248.3)+(-1.085994+(-0.206856--0.636633))+0-0-0</f>
        <v>1286.0437830000003</v>
      </c>
      <c r="X171" s="3">
        <f>1852.5+(402.7-981.5)+(-2.834325+(-0.616131--1.501695))+0-0-0</f>
        <v>1271.7512389999999</v>
      </c>
      <c r="Y171" s="3">
        <f>1929.8+(422.7-960.6)+(1.968396+(0.431154-0.979812))+0-0-0</f>
        <v>1393.3197379999999</v>
      </c>
      <c r="Z171" s="3">
        <f>2289.1+(439.7-1212.9)+(-2.334882+(-0.448494--1.237158))+0-0-0</f>
        <v>1514.3537819999999</v>
      </c>
      <c r="AA171" s="3">
        <f>2261.2+(453.7-1242.4)+(-1.153212+(-0.231387--0.633624))+0-0-0</f>
        <v>1471.7490249999998</v>
      </c>
      <c r="AB171" s="3">
        <f>1899.2+(458.4-967.6)+(0+(0-0))+0-0-0</f>
        <v>1390</v>
      </c>
      <c r="AC171" s="3">
        <f>1668.5+(486.7-848.9)+(-2.552805+(-0.744651--1.298817))+0-0-0</f>
        <v>1304.301361</v>
      </c>
      <c r="AD171" s="2">
        <v>1509.6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1436.4+(468.9-699.2)+(-1.465128+(-0.478278--0.713184))+0-0-0</f>
        <v>1204.869778</v>
      </c>
      <c r="G172" s="3">
        <f>1394.5+(460.1-714.7)+(-0.711195+(-0.234651--0.364497))+0-0-0</f>
        <v>1139.318651</v>
      </c>
      <c r="H172" s="3">
        <f>1333.3+(437.3-708.7)+(-2.039949+(-0.669069--1.084311))+0-0-0</f>
        <v>1060.2752929999999</v>
      </c>
      <c r="I172" s="3">
        <f>1343.7+(356.9-676.5)+(-0.685287+(-0.182019--0.345015))+0-0-0</f>
        <v>1023.5777089999999</v>
      </c>
      <c r="J172" s="3">
        <f>1330.5+(346.6-673.3)+(-3.392775+(-0.88383--1.716915))+0-0-0</f>
        <v>1001.24031</v>
      </c>
      <c r="K172" s="3">
        <f>1353.5+(348.6-708.4)+(2.070855+(0.533358-1.083852))+0-0-0</f>
        <v>995.22036100000003</v>
      </c>
      <c r="L172" s="3">
        <f>1322.8+(334.1-728)+(-4.047768+(-1.022346--2.22768))+0-0-0</f>
        <v>926.05756599999995</v>
      </c>
      <c r="M172" s="3">
        <f>1337.6+(320.3-759.1)+(-2.046528+(-0.490059--1.161423))+0-0-0</f>
        <v>897.42483599999991</v>
      </c>
      <c r="N172" s="3">
        <f>1365.1+(291.6-691.7)+(-1.392402+(-0.297432--0.705534))+0-0-0</f>
        <v>964.01569999999992</v>
      </c>
      <c r="O172" s="3">
        <f>1513.3+(366.1-808.7)+(-3.087132+(-0.746844--1.649748))+0-0-0</f>
        <v>1068.5157719999997</v>
      </c>
      <c r="P172" s="3">
        <f>1520.5+(453-834.9)+(-1.55091+(-0.46206--0.851598))+0-0-0</f>
        <v>1137.4386279999999</v>
      </c>
      <c r="Q172" s="3">
        <f>1714.1+(539.6-1044.9)+(-0.874191+(-0.275196--0.532899))+0-0-0</f>
        <v>1208.1835119999998</v>
      </c>
      <c r="R172" s="3">
        <f>1888.2+(512.7-1150.3)+(0.962982+(0.261477-0.586653))+0-0-0</f>
        <v>1251.2378060000001</v>
      </c>
      <c r="S172" s="3">
        <f>1897.2+(469.9-1103.3)+(-1.935144+(-0.479298--1.125366))+0-0-0</f>
        <v>1262.5109240000002</v>
      </c>
      <c r="T172" s="3">
        <f>1759.4+(467.5-967.8)+(-3.589176+(-0.9537--1.974312))+0-0-0</f>
        <v>1256.5314360000002</v>
      </c>
      <c r="U172" s="3">
        <f>1762.8+(441.2-951.6)+(1.798056+(0.450024-0.970632))+0-0-0</f>
        <v>1253.6774479999999</v>
      </c>
      <c r="V172" s="3">
        <f>1679.2+(393.5-839.9)+(0.856392+(0.200685-0.428349))+0-0-0</f>
        <v>1233.4287280000001</v>
      </c>
      <c r="W172" s="3">
        <f>1582.4+(383.2-762.2)+(-0.807024+(-0.195432--0.388722))+0-0-0</f>
        <v>1202.7862660000001</v>
      </c>
      <c r="X172" s="3">
        <f>1439.2+(368.5-632.3)+(2.201976+(0.563805-0.967419))+0-0-0</f>
        <v>1177.1983620000001</v>
      </c>
      <c r="Y172" s="3">
        <f>1463.3+(473.3-632.2)+(1.492566+(0.482766-0.644844))+0-0-0</f>
        <v>1305.7304879999999</v>
      </c>
      <c r="Z172" s="3">
        <f>1767+(485-798.2)+(-1.80234+(-0.4947--0.814164))+0-0-0</f>
        <v>1452.3171239999999</v>
      </c>
      <c r="AA172" s="3">
        <f>1653.7+(554.5-766.7)+(-0.843387+(-0.282795--0.391017))+0-0-0</f>
        <v>1440.7648349999999</v>
      </c>
      <c r="AB172" s="3">
        <f>1398.2+(484.5-510.8)+(0.713082+(0.247095-0.260508))+0-0-0</f>
        <v>1372.5996690000002</v>
      </c>
      <c r="AC172" s="3">
        <f>1404.2+(446.8-555.2)+(-2.148426+(-0.683604--0.849456))+0-0-0</f>
        <v>1293.8174259999998</v>
      </c>
      <c r="AD172" s="2">
        <v>1426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1385+(455-624.5)+(-1.4127+(-0.4641--0.63699))+0-0-0</f>
        <v>1214.26019</v>
      </c>
      <c r="G173" s="3">
        <f>1337.5+(441.3-663.6)+(-2.046375+(-0.675189--1.015308))+0-0-0</f>
        <v>1113.4937440000001</v>
      </c>
      <c r="H173" s="3">
        <f>1148.8+(426-537.6)+(-1.757664+(-0.65178--0.822528))+0-0-0</f>
        <v>1035.6130839999998</v>
      </c>
      <c r="I173" s="3">
        <f>1150.2+(420.3-572)+(-1.759806+(-0.643059--0.87516))+0-0-0</f>
        <v>996.97229500000003</v>
      </c>
      <c r="J173" s="3">
        <f>1148.9+(348.1-522.3)+(-2.343756+(-0.710124--1.065492))+0-0-0</f>
        <v>972.71161200000017</v>
      </c>
      <c r="K173" s="3">
        <f>1156.4+(346.6-531.7)+(0.589764+(0.176766-0.271167))+0-0-0</f>
        <v>971.79536300000007</v>
      </c>
      <c r="L173" s="3">
        <f>1147+(352.5-554.6)+(-1.75491+(-0.539325--0.848538))+0-0-0</f>
        <v>943.45430299999998</v>
      </c>
      <c r="M173" s="3">
        <f>1259.3+(364.8-615.5)+(-0.642243+(-0.186048--0.313905))+0-0-0</f>
        <v>1008.085614</v>
      </c>
      <c r="N173" s="3">
        <f>1435.9+(449.8-714)+(1.464618+(0.458796-0.72828))+0-0-0</f>
        <v>1172.8951340000001</v>
      </c>
      <c r="O173" s="3">
        <f>1535.8+(534.6-769.4)+(-0.783258+(-0.272646--0.392394))+0-0-0</f>
        <v>1300.3364899999999</v>
      </c>
      <c r="P173" s="3">
        <f>1908.5+(471.4-961.2)+(-0.973335+(-0.240414--0.490212))+0-0-0</f>
        <v>1417.9764629999997</v>
      </c>
      <c r="Q173" s="3">
        <f>2276.4+(449.9-1194.9)+(3.482892+(0.688347-1.828197))+0-0-0</f>
        <v>1533.7430420000001</v>
      </c>
      <c r="R173" s="3">
        <f>2305.7+(447.2-1150.8)+(3.527721+(0.684216-1.760724))+0-0-0</f>
        <v>1604.551213</v>
      </c>
      <c r="S173" s="3">
        <f>2264.2+(441-1088.1)+(-3.464226+(-0.67473--1.664793))+0-0-0</f>
        <v>1614.6258369999998</v>
      </c>
      <c r="T173" s="3">
        <f>2301.2+(441.4-1141.8)+(0+(0-0))+0-0-0</f>
        <v>1600.7999999999997</v>
      </c>
      <c r="U173" s="3">
        <f>2357.5+(428.1-1214.2)+(-6.011625+(-1.091655--3.09621))+0-0-0</f>
        <v>1567.39293</v>
      </c>
      <c r="V173" s="3">
        <f>2355.7+(444.2-1252)+(3.604221+(0.679626-1.91556))+0-0-0</f>
        <v>1550.2682869999999</v>
      </c>
      <c r="W173" s="3">
        <f>2358.8+(410.4-1255.7)+(-4.811952+(-0.837216--2.561628))+0-0-0</f>
        <v>1510.41246</v>
      </c>
      <c r="X173" s="3">
        <f>1961.2+(454.3-957)+(-6.001272+(-1.390158--2.92842))+0-0-0</f>
        <v>1454.0369900000001</v>
      </c>
      <c r="Y173" s="3">
        <f>1760.9+(485.9-702.1)+(0+(0-0))+0-0-0</f>
        <v>1544.7</v>
      </c>
      <c r="Z173" s="3">
        <f>1816.3+(478.3-625.2)+(0.926313+(0.243933-0.318852))+0-0-0</f>
        <v>1670.2513939999999</v>
      </c>
      <c r="AA173" s="3">
        <f>1804.4+(515.7-680)+(-1.840488+(-0.526014--0.6936))+0-0-0</f>
        <v>1638.4270980000001</v>
      </c>
      <c r="AB173" s="3">
        <f>1807.1+(548.2-782.8)+(0+(0-0))+0-0-0</f>
        <v>1572.5</v>
      </c>
      <c r="AC173" s="3">
        <f>1769.8+(568.5-841.7)+(-3.610392+(-1.15974--1.717068))+0-0-0</f>
        <v>1493.546936</v>
      </c>
      <c r="AD173" s="2">
        <v>1666.6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1938.1+(478.4-1016.1)+(1.976862+(0.487968-1.036422))+0-0-0</f>
        <v>1401.8284079999999</v>
      </c>
      <c r="G174" s="3">
        <f>1838.5+(437.3-979.4)+(1.87527+(0.446046-0.998988))+0-0-0</f>
        <v>1297.7223280000001</v>
      </c>
      <c r="H174" s="3">
        <f>1534+(441.2-771.5)+(0+(0-0))+0-0-0</f>
        <v>1203.7</v>
      </c>
      <c r="I174" s="3">
        <f>1538.1+(400.9-779)+(0.784431+(0.204459-0.39729))+0-0-0</f>
        <v>1160.5916</v>
      </c>
      <c r="J174" s="3">
        <f>1528.1+(397.5-797.5)+(-3.117324+(-0.8109--1.6269))+0-0-0</f>
        <v>1125.7986759999999</v>
      </c>
      <c r="K174" s="3">
        <f>1524+(380-793.6)+(-3.8862+(-0.969--2.02368))+0-0-0</f>
        <v>1107.5684800000001</v>
      </c>
      <c r="L174" s="3">
        <f>1510.6+(409.1-850.6)+(-6.163248+(-1.669128--3.470448))+0-0-0</f>
        <v>1064.7380719999999</v>
      </c>
      <c r="M174" s="3">
        <f>1576.6+(425.5-902.2)+(1.608132+(0.43401-0.920244))+0-0-0</f>
        <v>1101.021898</v>
      </c>
      <c r="N174" s="3">
        <f>1750.2+(465-962.7)+(1.785204+(0.4743-0.981954))+0-0-0</f>
        <v>1253.77755</v>
      </c>
      <c r="O174" s="3">
        <f>1930.9+(450.8-997.2)+(-0.984759+(-0.229908--0.508572))+0-0-0</f>
        <v>1383.793905</v>
      </c>
      <c r="P174" s="3">
        <f>2223.4+(447.3-1180.3)+(3.401802+(0.684369-1.805859))+0-0-0</f>
        <v>1492.6803120000002</v>
      </c>
      <c r="Q174" s="3">
        <f>2332+(472.1-1220.2)+(3.56796+(0.722313-1.866906))+0-0-0</f>
        <v>1586.3233670000002</v>
      </c>
      <c r="R174" s="3">
        <f>2316+(462.2-1157.2)+(-1.18116+(-0.235722--0.590172))+0-0-0</f>
        <v>1620.17329</v>
      </c>
      <c r="S174" s="3">
        <f>2282.2+(477.2-1097)+(-4.655688+(-0.973488--2.23788))+0-0-0</f>
        <v>1659.0087039999999</v>
      </c>
      <c r="T174" s="3">
        <f>2315.2+(514.3-1166.2)+(1.180752+(0.262293-0.594762))+0-0-0</f>
        <v>1664.1482829999998</v>
      </c>
      <c r="U174" s="3">
        <f>2294.1+(516.2-1189.9)+(-1.169991+(-0.263262--0.606849))+0-0-0</f>
        <v>1619.573596</v>
      </c>
      <c r="V174" s="3">
        <f>2279.4+(518.2-1215.6)+(-2.324988+(-0.528564--1.239912))+0-0-0</f>
        <v>1580.3863600000002</v>
      </c>
      <c r="W174" s="3">
        <f>2306.8+(506.4-1275.4)+(1.176468+(0.258264-0.650454))+0-0-0</f>
        <v>1538.5842780000003</v>
      </c>
      <c r="X174" s="3">
        <f>2197.9+(399-1112.1)+(-7.846503+(-1.42443--3.970197))+0-0-0</f>
        <v>1479.4992640000003</v>
      </c>
      <c r="Y174" s="3">
        <f>2254.3+(334.6-984.3)+(2.299386+(0.341292-1.003986))+0-0-0</f>
        <v>1606.2366920000004</v>
      </c>
      <c r="Z174" s="3">
        <f>2353.7+(413.8-1039.2)+(0+(0-0))+0-0-0</f>
        <v>1728.2999999999997</v>
      </c>
      <c r="AA174" s="3">
        <f>2346.3+(382.8-1120.7)+(-3.589839+(-0.585684--1.714671))+0-0-0</f>
        <v>1605.9391480000002</v>
      </c>
      <c r="AB174" s="3">
        <f>2360.6+(418.9-1233.9)+(-1.203906+(-0.213639--0.629289))+0-0-0</f>
        <v>1544.8117439999999</v>
      </c>
      <c r="AC174" s="3">
        <f>2338.4+(362-1191.2)+(-3.577752+(-0.55386--1.822536))+0-0-0</f>
        <v>1506.890924</v>
      </c>
      <c r="AD174" s="2">
        <v>1736.2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2002.1+(361.8-1017.2)+(-1.021071+(-0.184518--0.518772))+0-0-0</f>
        <v>1346.0131829999998</v>
      </c>
      <c r="G175" s="3">
        <f>1659.2+(357.5-783.8)+(-2.538576+(-0.546975--1.199214))+0-0-0</f>
        <v>1231.0136630000002</v>
      </c>
      <c r="H175" s="3">
        <f>1408.9+(346-591.8)+(-2.874156+(-0.70584--1.207272))+0-0-0</f>
        <v>1160.7272760000001</v>
      </c>
      <c r="I175" s="3">
        <f>1334.7+(347.4-566.8)+(-2.042091+(-0.531522--0.867204))+0-0-0</f>
        <v>1113.5935910000003</v>
      </c>
      <c r="J175" s="3">
        <f>1320.5+(335.8-535.2)+(-2.020365+(-0.513774--0.818856))+0-0-0</f>
        <v>1119.3847169999999</v>
      </c>
      <c r="K175" s="3">
        <f>1340+(302-533.3)+(1.3668+(0.30804-0.543966))+0-0-0</f>
        <v>1109.830874</v>
      </c>
      <c r="L175" s="3">
        <f>1258.5+(311.5-508)+(-3.85101+(-0.95319--1.55448))+0-0-0</f>
        <v>1058.75028</v>
      </c>
      <c r="M175" s="3">
        <f>1308.2+(323.3-537.7)+(-0.667182+(-0.164883--0.274227))+0-0-0</f>
        <v>1093.242162</v>
      </c>
      <c r="N175" s="3">
        <f>1563.3+(394.9-718.5)+(0+(0-0))+0-0-0</f>
        <v>1239.6999999999998</v>
      </c>
      <c r="O175" s="3">
        <f>1654.1+(439.6-746.4)+(0+(0-0))+0-0-0</f>
        <v>1347.3</v>
      </c>
      <c r="P175" s="3">
        <f>1963.7+(413.9-934.8)+(0+(0-0))+0-0-0</f>
        <v>1442.8000000000002</v>
      </c>
      <c r="Q175" s="3">
        <f>2178.5+(426.7-1075)+(4.44414+(0.870468-2.193))+0-0-0</f>
        <v>1533.321608</v>
      </c>
      <c r="R175" s="3">
        <f>2160.5+(481.8-1067.8)+(1.101855+(0.245718-0.544578))+2.1-0-0</f>
        <v>1577.4029949999999</v>
      </c>
      <c r="S175" s="3">
        <f>2126.7+(475.7-1042)+(-2.169234+(-0.485214--1.06284))+0-0-0</f>
        <v>1558.8083919999999</v>
      </c>
      <c r="T175" s="3">
        <f>2134.1+(475.8-1075.1)+(-1.088391+(-0.242658--0.548301))+0-0-0</f>
        <v>1534.0172519999999</v>
      </c>
      <c r="U175" s="3">
        <f>2143.8+(454.9-1112.1)+(-1.093338+(-0.231999--0.567171))+0-0-0</f>
        <v>1485.8418340000003</v>
      </c>
      <c r="V175" s="3">
        <f>2145.7+(426.8-1122.9)+(-4.377228+(-0.870672--2.290716))+0-0-0</f>
        <v>1446.6428159999996</v>
      </c>
      <c r="W175" s="3">
        <f>2168.1+(351.6-1171.4)+(1.105731+(0.179316-0.597414))+0-0-0</f>
        <v>1348.9876329999997</v>
      </c>
      <c r="X175" s="3">
        <f>2152.4+(298.9-1083.3)+(-2.195448+(-0.304878--1.104966))+0-0-0</f>
        <v>1366.60464</v>
      </c>
      <c r="Y175" s="3">
        <f>2198+(311.7-1009.6)+(3.36294+(0.476901-1.544688))+0-0-0</f>
        <v>1502.3951529999999</v>
      </c>
      <c r="Z175" s="3">
        <f>2158.7+(314.5-903.8)+(-4.403748+(-0.64158--1.843752))+0-0-0</f>
        <v>1566.1984239999999</v>
      </c>
      <c r="AA175" s="3">
        <f>2148+(358.7-978)+(-7.66836+(-1.280559--3.49146))+0-0-0</f>
        <v>1523.2425410000001</v>
      </c>
      <c r="AB175" s="3">
        <f>2172.4+(396.1-1109.8)+(-3.323772+(-0.606033--1.697994))+0-0-0</f>
        <v>1456.4681890000002</v>
      </c>
      <c r="AC175" s="3">
        <f>2092.7+(392.8-1103.8)+(-1.067277+(-0.200328--0.562938))+0-0-0</f>
        <v>1380.9953329999998</v>
      </c>
      <c r="AD175" s="2">
        <v>1564.8000000000002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1907.8+(350.2-978.5)+(1.945956+(0.357204-0.99807))+0-0-0</f>
        <v>1280.8050900000001</v>
      </c>
      <c r="G176" s="3">
        <f>1818.1+(354.6-978.7)+(1.854462+(0.361692-0.998274))+0-0-0</f>
        <v>1195.2178799999999</v>
      </c>
      <c r="H176" s="3">
        <f>1693.5+(365.1-933.9)+(-2.591055+(-0.558603--1.428867))+0-0-0</f>
        <v>1122.9792090000001</v>
      </c>
      <c r="I176" s="3">
        <f>1702.1+(300.7-884.4)+(-2.604213+(-0.460071--1.353132))+0-0-0</f>
        <v>1116.6888479999998</v>
      </c>
      <c r="J176" s="3">
        <f>1708.1+(279.9-894.8)+(-0.871131+(-0.142749--0.456348))+0-0-0</f>
        <v>1092.6424679999998</v>
      </c>
      <c r="K176" s="3">
        <f>1690.9+(268.4-885.7)+(-3.449436+(-0.547536--1.806828))+0-0-0</f>
        <v>1071.409856</v>
      </c>
      <c r="L176" s="3">
        <f>1706.5+(273.9-954.5)+(-0.870315+(-0.139689--0.486795))+0-0-0</f>
        <v>1025.3767910000001</v>
      </c>
      <c r="M176" s="3">
        <f>1711.5+(372.3-1009.3)+(0+(0-0))+0-0-0</f>
        <v>1074.5</v>
      </c>
      <c r="N176" s="3">
        <f>1847.7+(445.6-1108.5)+(0.942327+(0.227256-0.565335))+0-0-0</f>
        <v>1185.4042480000003</v>
      </c>
      <c r="O176" s="3">
        <f>2067.1+(428.2-1195.7)+(2.108442+(0.436764-1.219614))+0-0-0</f>
        <v>1300.9255919999998</v>
      </c>
      <c r="P176" s="3">
        <f>2212.7+(398.3-1264.7)+(4.513908+(0.812532-2.579988))+0-0-0</f>
        <v>1349.0464519999998</v>
      </c>
      <c r="Q176" s="3">
        <f>2411.5+(384.2-1382.7)+(-1.229865+(-0.195942--0.705177))+0-0-0</f>
        <v>1412.27937</v>
      </c>
      <c r="R176" s="3">
        <f>2458.1+(450.6-1433.8)+(0+(0-0))+0-0-0</f>
        <v>1474.9</v>
      </c>
      <c r="S176" s="3">
        <f>2430.4+(433.4-1402.1)+(-2.479008+(-0.442068--1.430142))+0-0-0</f>
        <v>1460.2090660000003</v>
      </c>
      <c r="T176" s="3">
        <f>2427.1+(367.7-1359.7)+(-3.713463+(-0.562581--2.080341))+0-0-0</f>
        <v>1432.9042969999998</v>
      </c>
      <c r="U176" s="3">
        <f>2431.1+(356.4-1398.7)+(-1.239861+(-0.181764--0.713337))+0-0-0</f>
        <v>1388.0917119999997</v>
      </c>
      <c r="V176" s="3">
        <f>2417.5+(356.3-1412.8)+(-4.9317+(-0.726852--2.882112))+0-0-0</f>
        <v>1358.2235599999999</v>
      </c>
      <c r="W176" s="3">
        <f>2389.8+(322-1370.2)+(-7.312788+(-0.98532--4.192812))+0-0-0</f>
        <v>1337.4947040000002</v>
      </c>
      <c r="X176" s="3">
        <f>2242.7+(313.2-1222.3)+(-6.862662+(-0.958392--3.740238))+0-0-0</f>
        <v>1329.519184</v>
      </c>
      <c r="Y176" s="3">
        <f>2383.5+(254.8-1189.3)+(-2.43117+(-0.259896--1.213086))+0-0-0</f>
        <v>1447.5220200000001</v>
      </c>
      <c r="Z176" s="3">
        <f>2542+(301.1-1328.5)+(-3.88926+(-0.460683--2.032605))+0-0-0</f>
        <v>1512.2826619999998</v>
      </c>
      <c r="AA176" s="3">
        <f>2492.6+(310.8-1338.1)+(-5.084904+(-0.634032--2.729724))+0-0-0</f>
        <v>1462.310788</v>
      </c>
      <c r="AB176" s="3">
        <f>2343.4+(408.5-1342.4)+(-4.780536+(-0.83334--2.738496))+0-0-0</f>
        <v>1406.62462</v>
      </c>
      <c r="AC176" s="3">
        <f>1977.9+(396.1-1058.8)+(4.034916+(0.808044-2.159952))+0-0-0</f>
        <v>1317.8830080000002</v>
      </c>
      <c r="AD176" s="2">
        <v>1504.7999999999997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1873.7+(394.2-1052.7)+(-4.777935+(-1.00521--2.684385))+0-0-0</f>
        <v>1212.10124</v>
      </c>
      <c r="G177" s="3">
        <f>1801+(390.5-1059.6)+(0.91851+(0.199155-0.540396))+0-0-0</f>
        <v>1132.477269</v>
      </c>
      <c r="H177" s="3">
        <f>1760.1+(390.4-1065.5)+(-4.488255+(-0.99552--2.717025))+0-0-0</f>
        <v>1082.23325</v>
      </c>
      <c r="I177" s="3">
        <f>1712.2+(400.7-1062.8)+(0+(0-0))+0-0-0</f>
        <v>1050.1000000000001</v>
      </c>
      <c r="J177" s="3">
        <f>1706.4+(390.5-1066.6)+(0.870264+(0.199155-0.543966))+0-0-0</f>
        <v>1030.8254530000002</v>
      </c>
      <c r="K177" s="3">
        <f>1711.2+(330.3-1031.5)+(2.618136+(0.505359-1.578195))+0-0-0</f>
        <v>1011.5453</v>
      </c>
      <c r="L177" s="3">
        <f>1603.5+(282.2-918.9)+(-1.63557+(-0.287844--0.937278))+0-0-0</f>
        <v>965.81386399999997</v>
      </c>
      <c r="M177" s="3">
        <f>1547.2+(291.5-900)+(2.367216+(0.445995-1.377))+0-0-0</f>
        <v>940.136211</v>
      </c>
      <c r="N177" s="3">
        <f>1807.5+(279.3-1068.5)+(-0.921825+(-0.142443--0.544935))+0-0-0</f>
        <v>1017.780667</v>
      </c>
      <c r="O177" s="3">
        <f>1874.7+(255.8-1029.5)+(0.956097+(0.130458-0.525045))+0-0-0</f>
        <v>1101.56151</v>
      </c>
      <c r="P177" s="3">
        <f>1890.5+(268.2-1008.7)+(2.892465+(0.410346-1.543311))+0-0-0</f>
        <v>1151.7594999999999</v>
      </c>
      <c r="Q177" s="3">
        <f>1868.7+(288.4-970)+(0+(0-0))+0-0-0</f>
        <v>1187.0999999999999</v>
      </c>
      <c r="R177" s="3">
        <f>1848.7+(287-937.1)+(-0.942837+(-0.14637--0.477921))+0-0-0</f>
        <v>1197.9887139999998</v>
      </c>
      <c r="S177" s="3">
        <f>1836.2+(294.6-963.5)+(-2.809386+(-0.450738--1.474155))+0-0-0</f>
        <v>1165.5140310000002</v>
      </c>
      <c r="T177" s="3">
        <f>1863.4+(287.2-1002.7)+(0+(0-0))+0-0-0</f>
        <v>1147.9000000000001</v>
      </c>
      <c r="U177" s="3">
        <f>1856.8+(264.3-987.3)+(0+(0-0))+0-0-0</f>
        <v>1133.8</v>
      </c>
      <c r="V177" s="3">
        <f>1825+(288.6-979.4)+(-4.65375+(-0.73593--2.49747))+0-0-0</f>
        <v>1131.3077900000001</v>
      </c>
      <c r="W177" s="3">
        <f>1737.6+(383.8-973.4)+(-4.43088+(-0.97869--2.48217))+0-0-0</f>
        <v>1145.0726</v>
      </c>
      <c r="X177" s="3">
        <f>1644.8+(351.4-829.8)+(-5.033088+(-1.075284--2.539188))+0-0-0</f>
        <v>1162.8308160000001</v>
      </c>
      <c r="Y177" s="3">
        <f>1709.2+(303.6-702)+(2.615076+(0.464508-1.07406))+0-0-0</f>
        <v>1312.8055240000001</v>
      </c>
      <c r="Z177" s="3">
        <f>1809.3+(294.6-741.9)+(-2.768229+(-0.450738--1.135107))+0-0-0</f>
        <v>1359.91614</v>
      </c>
      <c r="AA177" s="3">
        <f>1988.1+(348.6-990.9)+(-3.041793+(-0.533358--1.516077))+0-0-0</f>
        <v>1343.7409259999999</v>
      </c>
      <c r="AB177" s="3">
        <f>1927.3+(360.6-989)+(-5.897538+(-1.103436--3.02634))+0-0-0</f>
        <v>1294.9253660000002</v>
      </c>
      <c r="AC177" s="3">
        <f>1880.9+(333.5-992.4)+(-3.837036+(-0.68034--2.024496))+0-0-0</f>
        <v>1219.50712</v>
      </c>
      <c r="AD177" s="2">
        <v>1352.7999999999997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1871.4+(248.2-1012.1)+(-1.908828+(-0.253164--1.032342))+0-0-0</f>
        <v>1106.3703499999999</v>
      </c>
      <c r="G178" s="3">
        <f>1843+(267.3-1082.1)+(-3.75972+(-0.545292--2.207484))+0-0-0</f>
        <v>1026.102472</v>
      </c>
      <c r="H178" s="3">
        <f>1741.8+(263.5-1027.6)+(-4.44159+(-0.671925--2.62038))+0-0-0</f>
        <v>975.20686499999999</v>
      </c>
      <c r="I178" s="3">
        <f>1716.3+(267.6-1028.4)+(-2.625939+(-0.409428--1.573452))+0-0-0</f>
        <v>954.03808499999991</v>
      </c>
      <c r="J178" s="3">
        <f>1575.2+(254-899.2)+(1.606704+(0.25908-0.917184))+0-0-0</f>
        <v>930.94860000000006</v>
      </c>
      <c r="K178" s="3">
        <f>1527.1+(251.8-851.8)+(-2.336463+(-0.385254--1.303254))+0-0-0</f>
        <v>925.68153699999993</v>
      </c>
      <c r="L178" s="3">
        <f>1524.7+(230.3-845.4)+(-1.555194+(-0.234906--0.862308))+0-0-0</f>
        <v>908.67220800000018</v>
      </c>
      <c r="M178" s="3">
        <f>1540.1+(204.9-811.3)+(0+(0-0))+0-0-0</f>
        <v>933.69999999999993</v>
      </c>
      <c r="N178" s="3">
        <f>1658.9+(160.5-773.5)+(-0.846039+(-0.081855--0.394485))+0-0-0</f>
        <v>1045.3665910000002</v>
      </c>
      <c r="O178" s="3">
        <f>1748.5+(156.5-772.7)+(0.891735+(0.079815-0.394077))+0-0-0</f>
        <v>1132.877473</v>
      </c>
      <c r="P178" s="3">
        <f>1804.7+(169-791.7)+(-0.920397+(-0.08619--0.403767))+0-0-0</f>
        <v>1181.3971799999999</v>
      </c>
      <c r="Q178" s="3">
        <f>1905.9+(171.4-866.7)+(-0.972009+(-0.087414--0.442017))+0-0-0</f>
        <v>1209.9825939999998</v>
      </c>
      <c r="R178" s="3">
        <f>1911.7+(197.5-861.2)+(0.974967+(0.100725-0.439212))+0-0-0</f>
        <v>1248.6364799999999</v>
      </c>
      <c r="S178" s="3">
        <f>1885.5+(192.6-875.9)+(-2.884815+(-0.294678--1.340127))+0-0-0</f>
        <v>1200.3606340000001</v>
      </c>
      <c r="T178" s="3">
        <f>1905.5+(194.7-915)+(-0.971805+(-0.099297--0.46665))+0-0-0</f>
        <v>1184.595548</v>
      </c>
      <c r="U178" s="3">
        <f>1882.4+(200.5-907.6)+(-2.880072+(-0.306765--1.388628))+0-0-0</f>
        <v>1173.5017910000001</v>
      </c>
      <c r="V178" s="3">
        <f>1894.3+(212.3-933)+(-1.932186+(-0.216546--0.95166))+0-0-0</f>
        <v>1172.402928</v>
      </c>
      <c r="W178" s="3">
        <f>1795.9+(256.3-854.7)+(-1.831818+(-0.261426--0.871794))+0-0-0</f>
        <v>1196.27855</v>
      </c>
      <c r="X178" s="3">
        <f>1718.1+(268.2-762.4)+(-3.504924+(-0.547128--1.555296))+0-0-0</f>
        <v>1221.4032439999999</v>
      </c>
      <c r="Y178" s="3">
        <f>1840.7+(260.1-726)+(0+(0-0))+0-0-0</f>
        <v>1374.8000000000002</v>
      </c>
      <c r="Z178" s="3">
        <f>1901.4+(251.8-734.3)+(-2.909142+(-0.385254--1.123479))+0-0-0</f>
        <v>1416.7290830000002</v>
      </c>
      <c r="AA178" s="3">
        <f>1711.8+(318.8-654.7)+(-3.492072+(-0.650352--1.335588))+0-0-0</f>
        <v>1373.0931639999999</v>
      </c>
      <c r="AB178" s="3">
        <f>1549.8+(371.5-614.1)+(0+(0-0))+0-0-0</f>
        <v>1307.1999999999998</v>
      </c>
      <c r="AC178" s="3">
        <f>1469.9+(378.5-608.6)+(-2.998596+(-0.77214--1.241544))+0-0-0</f>
        <v>1237.2708080000002</v>
      </c>
      <c r="AD178" s="2">
        <v>1408.5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1451.1+(305.1-633.8)+(-0.740061+(-0.155601--0.323238))+0-0-0</f>
        <v>1121.8275760000001</v>
      </c>
      <c r="G179" s="3">
        <f>1464+(298.5-718.4)+(1.49328+(0.30447-0.732768))+0-0-0</f>
        <v>1045.164982</v>
      </c>
      <c r="H179" s="3">
        <f>1258+(300.6-573)+(-1.92474+(-0.459918--0.87669))+0-0-0</f>
        <v>984.09203200000002</v>
      </c>
      <c r="I179" s="3">
        <f>994+(343.9-411.8)+(-0.50694+(-0.175389--0.210018))+0-0-0</f>
        <v>925.62768899999992</v>
      </c>
      <c r="J179" s="3">
        <f>985.2+(336.1-419.3)+(-0.502452+(-0.171411--0.213843))+0-0-0</f>
        <v>901.53998000000001</v>
      </c>
      <c r="K179" s="3">
        <f>999.9+(324.3-405.9)+(1.019898+(0.330786-0.414018))+0-0-0</f>
        <v>919.2366659999999</v>
      </c>
      <c r="L179" s="3">
        <f>955.2+(307.8-380.1)+(0.974304+(0.313956-0.387702))+0-0-0</f>
        <v>883.80055800000014</v>
      </c>
      <c r="M179" s="3">
        <f>845.9+(334.4-339.1)+(0.862818+(0.341088-0.345882))+0-0-0</f>
        <v>842.05802399999993</v>
      </c>
      <c r="N179" s="3">
        <f>874.4+(333.5-313.4)+(0.891888+(0.34017-0.319668))+0-0-0</f>
        <v>895.41238999999996</v>
      </c>
      <c r="O179" s="3">
        <f>883+(335.3-258.6)+(0.45033+(0.171003-0.131886))+0-0-0</f>
        <v>960.18944700000009</v>
      </c>
      <c r="P179" s="3">
        <f>1081.8+(308.8-355)+(0+(0-0))+0-0-0</f>
        <v>1035.5999999999999</v>
      </c>
      <c r="Q179" s="3">
        <f>1225.7+(277.7-417.7)+(0+(0-0))+0-0-0</f>
        <v>1085.7</v>
      </c>
      <c r="R179" s="3">
        <f>1221.7+(278.7-415.8)+(-0.623067+(-0.142137--0.212058))+0-0-0</f>
        <v>1084.0468539999999</v>
      </c>
      <c r="S179" s="3">
        <f>1213.8+(285.6-424.2)+(-1.857114+(-0.436968--0.649026))+0-0-0</f>
        <v>1073.554944</v>
      </c>
      <c r="T179" s="3">
        <f>1213.9+(271.4-436.7)+(-1.238178+(-0.276828--0.445434))+0-0-0</f>
        <v>1047.530428</v>
      </c>
      <c r="U179" s="3">
        <f>1216.2+(281.4-453.7)+(-1.240524+(-0.287028--0.462774))+0-0-0</f>
        <v>1042.8352220000002</v>
      </c>
      <c r="V179" s="3">
        <f>1213.8+(289.5-473.8)+(-1.238076+(-0.29529--0.483276))+0-0-0</f>
        <v>1028.44991</v>
      </c>
      <c r="W179" s="3">
        <f>1303.3+(297.9-563.5)+(-1.329366+(-0.303858--0.57477))+0-0-0</f>
        <v>1036.6415459999998</v>
      </c>
      <c r="X179" s="3">
        <f>1338.3+(304.1-555.2)+(-0.682533+(-0.155091--0.283152))+0-0-0</f>
        <v>1086.6455279999998</v>
      </c>
      <c r="Y179" s="3">
        <f>1338.9+(376.5-449.2)+(-0.682839+(-0.192015--0.229092))+0-0-0</f>
        <v>1265.5542379999999</v>
      </c>
      <c r="Z179" s="3">
        <f>1334.4+(404.3-445)+(-1.361088+(-0.412386--0.4539))+0-0-0</f>
        <v>1292.3804259999999</v>
      </c>
      <c r="AA179" s="3">
        <f>1327.5+(380.8-440.4)+(-2.031075+(-0.582624--0.673812))+0-0-0</f>
        <v>1265.9601130000001</v>
      </c>
      <c r="AB179" s="3">
        <f>1353.3+(357.9-473)+(1.380366+(0.365058-0.48246))+0-0-0</f>
        <v>1239.4629639999998</v>
      </c>
      <c r="AC179" s="3">
        <f>1339.8+(343.5-516.6)+(-0.683298+(-0.175185--0.263466))+0-0-0</f>
        <v>1166.1049829999997</v>
      </c>
      <c r="AD179" s="2">
        <v>1318.3999999999999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1298.9+(333-484.4)+(0+(0-0))+0-0-0</f>
        <v>1147.5</v>
      </c>
      <c r="G180" s="3">
        <f>1245.3+(338.3-511.1)+(0+(0-0))+0-0-0</f>
        <v>1072.5</v>
      </c>
      <c r="H180" s="3">
        <f>1076.4+(359.4-424.6)+(0+(0-0))+0-0-0</f>
        <v>1011.2</v>
      </c>
      <c r="I180" s="3">
        <f>1075.2+(346.7-438.3)+(0+(0-0))+0-0-0</f>
        <v>983.6</v>
      </c>
      <c r="J180" s="3">
        <f>913+(383.3-343.6)+(2.32815+(0.977415-0.87618))+0-0-0</f>
        <v>955.12938500000007</v>
      </c>
      <c r="K180" s="3">
        <f>867.3+(389.9-316.7)+(0.884646+(0.397698-0.323034))+0-0-0</f>
        <v>941.45930999999996</v>
      </c>
      <c r="L180" s="3">
        <f>907.9+(357.5-318.2)+(0.463029+(0.182325-0.162282))+0-0-0</f>
        <v>947.68307200000004</v>
      </c>
      <c r="M180" s="3">
        <f>1075.9+(315.4-401.3)+(-1.097418+(-0.321708--0.409326))+0-0-0</f>
        <v>988.99019999999996</v>
      </c>
      <c r="N180" s="3">
        <f>1507.9+(334.8-708.2)+(3.845145+(0.85374-1.80591))+0-0-0</f>
        <v>1137.392975</v>
      </c>
      <c r="O180" s="3">
        <f>1837.3+(371.4-967)+(0+(0-0))+0-0-0</f>
        <v>1241.6999999999998</v>
      </c>
      <c r="P180" s="3">
        <f>1969.6+(391.9-1048.6)+(1.004496+(0.199869-0.534786))+0-0-0</f>
        <v>1313.5695790000002</v>
      </c>
      <c r="Q180" s="3">
        <f>2163.1+(387-1162.9)+(1.103181+(0.19737-0.593079))+0-0-0</f>
        <v>1387.9074719999999</v>
      </c>
      <c r="R180" s="3">
        <f>2184.3+(400.1-1177.8)+(-2.227986+(-0.408102--1.201356))+0-0-0</f>
        <v>1405.1652680000004</v>
      </c>
      <c r="S180" s="3">
        <f>2188.1+(451.6-1249.8)+(1.115931+(0.230316-0.637398))+0-0-0</f>
        <v>1390.6088490000002</v>
      </c>
      <c r="T180" s="3">
        <f>2163.6+(478.8-1281.9)+(0+(0-0))+0-0-0</f>
        <v>1360.4999999999998</v>
      </c>
      <c r="U180" s="3">
        <f>2102.4+(507.8-1285.9)+(5.36112+(1.29489-3.279045))+0-0-0</f>
        <v>1327.6769649999999</v>
      </c>
      <c r="V180" s="3">
        <f>2061.8+(490.4-1236.4)+(-4.206072+(-1.000416--2.522256))+0-0-0</f>
        <v>1313.1157680000001</v>
      </c>
      <c r="W180" s="3">
        <f>2060.1+(434-1186.3)+(-8.405208+(-1.77072--4.840104))+0-0-0</f>
        <v>1302.464176</v>
      </c>
      <c r="X180" s="3">
        <f>2082.6+(381.2-1134.9)+(-5.31063+(-0.97206--2.893995))+0-0-0</f>
        <v>1325.5113049999998</v>
      </c>
      <c r="Y180" s="3">
        <f>2146.8+(420-1097.8)+(2.189736+(0.4284-1.119756))+0-0-0</f>
        <v>1470.4983800000002</v>
      </c>
      <c r="Z180" s="3">
        <f>2166.3+(434.3-1102.1)+(-2.209626+(-0.442986--1.124142))+0-0-0</f>
        <v>1496.9715300000003</v>
      </c>
      <c r="AA180" s="3">
        <f>2170.4+(443.9-1156.4)+(-2.213808+(-0.452778--1.179528))+0-0-0</f>
        <v>1456.4129420000002</v>
      </c>
      <c r="AB180" s="3">
        <f>2180.5+(342.5-1154.6)+(-2.22411+(-0.34935--1.177692))+0-0-0</f>
        <v>1367.004232</v>
      </c>
      <c r="AC180" s="3">
        <f>2194+(289.8-1234.2)+(1.11894+(0.147798-0.629442))+0-0-0</f>
        <v>1250.237296</v>
      </c>
      <c r="AD180" s="2">
        <v>1691.9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2065.2+(268.5-1190.3)+(-3.159756+(-0.410805--1.821159))+0-0-0</f>
        <v>1141.6505979999999</v>
      </c>
      <c r="G181" s="3">
        <f>1880+(301-1112.2)+(-3.8352+(-0.61404--2.268888))+0-0-0</f>
        <v>1066.6196479999999</v>
      </c>
      <c r="H181" s="3">
        <f>1696.7+(320-1004.5)+(-2.595951+(-0.4896--1.536885))+0-0-0</f>
        <v>1010.651334</v>
      </c>
      <c r="I181" s="3">
        <f>1652.9+(280.8-941.1)+(-0.842979+(-0.143208--0.479961))+0-0-0</f>
        <v>992.09377400000017</v>
      </c>
      <c r="J181" s="3">
        <f>1526.3+(272.8-825.5)+(3.113652+(0.556512-1.68402))+0-0-0</f>
        <v>975.58614399999988</v>
      </c>
      <c r="K181" s="3">
        <f>1364.7+(277.7-686.7)+(0.695997+(0.141627-0.350217))+0-0-0</f>
        <v>956.18740700000001</v>
      </c>
      <c r="L181" s="3">
        <f>1216.8+(303-566)+(-2.482272+(-0.61812--1.15464))+0-0-0</f>
        <v>951.85424799999998</v>
      </c>
      <c r="M181" s="3">
        <f>1264.9+(283.7-592.8)+(-0.645099+(-0.144687--0.302328))+0-0-0</f>
        <v>955.31254200000024</v>
      </c>
      <c r="N181" s="3">
        <f>1528.7+(297.2-764)+(0+(0-0))+0-0-0</f>
        <v>1061.9000000000001</v>
      </c>
      <c r="O181" s="3">
        <f>1821.5+(327-972.1)+(-6.502755+(-1.16739--3.470397))+0-0-0</f>
        <v>1172.2002520000001</v>
      </c>
      <c r="P181" s="3">
        <f>2089.9+(305.7-1157.7)+(0+(0-0))+0-0-0</f>
        <v>1237.9000000000001</v>
      </c>
      <c r="Q181" s="3">
        <f>2200.6+(327.6-1224.7)+(2.244612+(0.334152-1.249194))+0-0-0</f>
        <v>1304.8295700000001</v>
      </c>
      <c r="R181" s="3">
        <f>2197+(331.3-1170.3)+(0+(0-0))+0-0-0</f>
        <v>1358</v>
      </c>
      <c r="S181" s="3">
        <f>2140.7+(366.5-1188.2)+(-1.091757+(-0.186915--0.605982))+0-0-0</f>
        <v>1318.3273099999997</v>
      </c>
      <c r="T181" s="3">
        <f>2097.7+(378.5-1186.4)+(-1.069827+(-0.193035--0.605064))+0-0-0</f>
        <v>1289.1422019999998</v>
      </c>
      <c r="U181" s="3">
        <f>2094.8+(388.7-1207)+(0+(0-0))+0-0-0</f>
        <v>1276.5000000000002</v>
      </c>
      <c r="V181" s="3">
        <f>2085.4+(397.4-1202.3)+(-3.190662+(-0.608022--1.839519))+0-0-0</f>
        <v>1278.540835</v>
      </c>
      <c r="W181" s="3">
        <f>2078.7+(347.3-1155.4)+(-1.060137+(-0.177123--0.589254))+0-0-0</f>
        <v>1269.9519939999998</v>
      </c>
      <c r="X181" s="3">
        <f>1741.3+(328.4-807.5)+(0.888063+(0.167484-0.411825))+0-0-0</f>
        <v>1262.8437219999998</v>
      </c>
      <c r="Y181" s="3">
        <f>2042.1+(299.2-957.4)+(-1.041471+(-0.152592--0.488274))+0-0-0</f>
        <v>1383.1942109999998</v>
      </c>
      <c r="Z181" s="3">
        <f>2254.3+(285.6-1057.3)+(-2.299386+(-0.291312--1.078446))+0-0-0</f>
        <v>1481.0877480000004</v>
      </c>
      <c r="AA181" s="3">
        <f>2229.8+(309.1-1072.5)+(-2.274396+(-0.315282--1.09395))+0-0-0</f>
        <v>1464.904272</v>
      </c>
      <c r="AB181" s="3">
        <f>1895.6+(344.8-868.6)+(0+(0-0))+0-0-0</f>
        <v>1371.8</v>
      </c>
      <c r="AC181" s="3">
        <f>1641.9+(344.4-734.1)+(-3.349476+(-0.702576--1.497564))+0-0-0</f>
        <v>1249.6455120000001</v>
      </c>
      <c r="AD181" s="2">
        <v>1517.6999999999998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1574.7+(316-718.5)+(-4.818582+(-0.96696--2.19861))+0-0-0</f>
        <v>1168.6130680000001</v>
      </c>
      <c r="G182" s="3">
        <f>1485.9+(332.3-732.8)+(-3.789045+(-0.847365--1.86864))+0-0-0</f>
        <v>1082.6322300000002</v>
      </c>
      <c r="H182" s="3">
        <f>1344+(298.2-629)+(-2.05632+(-0.456246--0.96237))+0-0-0</f>
        <v>1011.649804</v>
      </c>
      <c r="I182" s="3">
        <f>1332.6+(309.5-658.6)+(-4.757382+(-1.104915--2.351202))+0-0-0</f>
        <v>979.98890499999993</v>
      </c>
      <c r="J182" s="3">
        <f>1355.7+(295.9-682.5)+(1.382814+(0.301818-0.69615))+0-0-0</f>
        <v>970.088482</v>
      </c>
      <c r="K182" s="3">
        <f>1342.9+(261.4-641.4)+(-2.054637+(-0.399942--0.981342))+0-0-0</f>
        <v>961.42676300000005</v>
      </c>
      <c r="L182" s="3">
        <f>1328.7+(299.7-667.9)+(-4.065822+(-0.917082--2.043774))+0-0-0</f>
        <v>957.56087000000002</v>
      </c>
      <c r="M182" s="3">
        <f>1314.1+(319.2-688.6)+(1.340382+(0.325584-0.702372))+0-0-0</f>
        <v>945.66359399999976</v>
      </c>
      <c r="N182" s="3">
        <f>1723.5+(326.5-955.8)+(1.75797+(0.33303-0.974916))+0-0-0</f>
        <v>1095.316084</v>
      </c>
      <c r="O182" s="3">
        <f>2127.1+(278.6-1170.8)+(1.084821+(0.142086-0.597108))+0-0-0</f>
        <v>1235.5297990000001</v>
      </c>
      <c r="P182" s="3">
        <f>2221.1+(299.2-1187.3)+(3.398283+(0.457776-1.816569))+0-0-0</f>
        <v>1335.0394899999999</v>
      </c>
      <c r="Q182" s="3">
        <f>2208.3+(307.8-1132.2)+(2.252466+(0.313956-1.154844))+0-0-0</f>
        <v>1385.3115780000001</v>
      </c>
      <c r="R182" s="3">
        <f>2186.6+(319.5-1097.9)+(-1.115166+(-0.162945--0.559929))+0-0-0</f>
        <v>1407.4818179999997</v>
      </c>
      <c r="S182" s="3">
        <f>2174.9+(297.7-1094.2)+(-3.327597+(-0.455481--1.674126))+0-0-0</f>
        <v>1376.291048</v>
      </c>
      <c r="T182" s="3">
        <f>2176.7+(294.6-1112.3)+(-1.110117+(-0.150246--0.567273))+0-0-0</f>
        <v>1358.30691</v>
      </c>
      <c r="U182" s="3">
        <f>2184.7+(323.9-1160.6)+(1.114197+(0.165189-0.591906))+0-0-0</f>
        <v>1348.6874800000001</v>
      </c>
      <c r="V182" s="3">
        <f>2175.2+(322.5-1156.2)+(-1.109352+(-0.164475--0.589662))+0-0-0</f>
        <v>1340.8158349999999</v>
      </c>
      <c r="W182" s="3">
        <f>2175.4+(297.4-1131.7)+(-1.109454+(-0.151674--0.577167))+0-0-0</f>
        <v>1340.416039</v>
      </c>
      <c r="X182" s="3">
        <f>2086+(282-1061.6)+(-4.25544+(-0.57528--2.165664))+0-0-0</f>
        <v>1303.734944</v>
      </c>
      <c r="Y182" s="3">
        <f>2213.1+(264.2-1014.5)+(1.128681+(0.134742-0.517395))+0-0-0</f>
        <v>1463.546028</v>
      </c>
      <c r="Z182" s="3">
        <f>2214.1+(262.1-949.9)+(-4.516764+(-0.534684--1.937796))+0-0-0</f>
        <v>1523.186348</v>
      </c>
      <c r="AA182" s="3">
        <f>2212.1+(287.7-1023.5)+(-6.769026+(-0.880362--3.13191))+0-0-0</f>
        <v>1471.782522</v>
      </c>
      <c r="AB182" s="3">
        <f>2225+(313.6-1124.5)+(-3.40425+(-0.479808--1.720485))+0-0-0</f>
        <v>1411.9364269999999</v>
      </c>
      <c r="AC182" s="3">
        <f>2015.9+(292.8-990.9)+(-1.028109+(-0.149328--0.505359))+0-0-0</f>
        <v>1317.1279220000001</v>
      </c>
      <c r="AD182" s="2">
        <v>1537.3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1913.9+(327.1-1027.4)+(-3.904356+(-0.667284--2.095896))+0-0-0</f>
        <v>1211.1242559999998</v>
      </c>
      <c r="G183" s="3">
        <f>1567.1+(361.1-788.4)+(-6.393768+(-1.473288--3.216672))+0-0-0</f>
        <v>1135.1496159999999</v>
      </c>
      <c r="H183" s="3">
        <f>1424+(372.8-746.4)+(-2.17872+(-0.570384--1.141992))+0-0-0</f>
        <v>1048.7928880000002</v>
      </c>
      <c r="I183" s="3">
        <f>1433.6+(377.1-778.8)+(-0.731136+(-0.192321--0.397188))+0-0-0</f>
        <v>1031.3737310000001</v>
      </c>
      <c r="J183" s="3">
        <f>1371.6+(330.5-696.1)+(-0.699516+(-0.168555--0.355011))+0-0-0</f>
        <v>1005.4869399999999</v>
      </c>
      <c r="K183" s="3">
        <f>1344.5+(325.8-665.6)+(-0.685695+(-0.166158--0.339456))+0-0-0</f>
        <v>1004.1876030000001</v>
      </c>
      <c r="L183" s="3">
        <f>1341.8+(329.7-684.8)+(-0.684318+(-0.168147--0.349248))+0-0-0</f>
        <v>986.1967830000001</v>
      </c>
      <c r="M183" s="3">
        <f>1394.6+(356.8-734.2)+(1.422492+(0.363936-0.748884))+0-0-0</f>
        <v>1018.2375439999998</v>
      </c>
      <c r="N183" s="3">
        <f>1577.8+(427.3-869.9)+(2.414034+(0.653769-1.330947))+0-0-0</f>
        <v>1136.936856</v>
      </c>
      <c r="O183" s="3">
        <f>1819.9+(364-917.7)+(-1.856298+(-0.37128--0.936054))+0-0-0</f>
        <v>1264.9084760000001</v>
      </c>
      <c r="P183" s="3">
        <f>2048.7+(354.7-1037.7)+(0+(0-0))+0-0-0</f>
        <v>1365.6999999999998</v>
      </c>
      <c r="Q183" s="3">
        <f>2176.5+(333.3-1089.7)+(1.110015+(0.169983-0.555747))+0-0-0</f>
        <v>1420.824251</v>
      </c>
      <c r="R183" s="3">
        <f>2194.9+(315.9-1064.4)+(1.119399+(0.161109-0.542844))+0-0-0</f>
        <v>1447.1376640000001</v>
      </c>
      <c r="S183" s="3">
        <f>1993.6+(356.8-891.9)+(-1.016736+(-0.181968--0.454869))+0-0-0</f>
        <v>1457.756165</v>
      </c>
      <c r="T183" s="3">
        <f>1850.5+(407.6-842.3)+(-0.943755+(-0.207876--0.429573))+0-0-0</f>
        <v>1415.0779420000001</v>
      </c>
      <c r="U183" s="3">
        <f>1875.8+(430.6-907.9)+(-0.956658+(-0.219606--0.463029))+0-0-0</f>
        <v>1397.7867650000001</v>
      </c>
      <c r="V183" s="3">
        <f>1919.1+(411.5-933.1)+(-4.893705+(-1.049325--2.379405))+0-0-0</f>
        <v>1393.936375</v>
      </c>
      <c r="W183" s="3">
        <f>1922.3+(405.9-942.4)+(-3.921492+(-0.828036--1.922496))+0-0-0</f>
        <v>1382.972968</v>
      </c>
      <c r="X183" s="3">
        <f>1851.9+(308.6-849)+(-1.888938+(-0.314772--0.86598))+0-0-0</f>
        <v>1310.16227</v>
      </c>
      <c r="Y183" s="3">
        <f>2207.6+(238.8-923.1)+(1.125876+(0.121788-0.470781))+0-0-0</f>
        <v>1524.076883</v>
      </c>
      <c r="Z183" s="3">
        <f>2200.2+(236.4-874.9)+(-2.244204+(-0.241128--0.892398))+0-0-0</f>
        <v>1560.1070659999998</v>
      </c>
      <c r="AA183" s="3">
        <f>2193.8+(261.8-949.9)+(-5.59419+(-0.66759--2.422245))+0-0-0</f>
        <v>1501.8604650000002</v>
      </c>
      <c r="AB183" s="3">
        <f>2138.7+(303.9-986.3)+(-4.362948+(-0.619956--2.012052))+0-0-0</f>
        <v>1453.3291479999998</v>
      </c>
      <c r="AC183" s="3">
        <f>2030.7+(306.7-975.9)+(-4.142628+(-0.625668--1.990836))+0-0-0</f>
        <v>1358.72254</v>
      </c>
      <c r="AD183" s="2">
        <v>1540.1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1905.5+(382.8-1013.8)+(-0.971805+(-0.195228--0.517038))+0-0-0</f>
        <v>1273.850005</v>
      </c>
      <c r="G184" s="3">
        <f>1586.3+(428.8-859.8)+(-4.045065+(-1.09344--2.19249))+0-0-0</f>
        <v>1152.353985</v>
      </c>
      <c r="H184" s="3">
        <f>1409.2+(435.5-769.6)+(-4.312152+(-1.33263--2.354976))+0-0-0</f>
        <v>1071.8101939999999</v>
      </c>
      <c r="I184" s="3">
        <f>1256.7+(426.1-644.1)+(-4.486419+(-1.521177--2.299437))+0-0-0</f>
        <v>1034.991841</v>
      </c>
      <c r="J184" s="3">
        <f>1241.7+(382.7-605.7)+(-2.533068+(-0.780708--1.235628))+0-0-0</f>
        <v>1016.621852</v>
      </c>
      <c r="K184" s="3">
        <f>1263.8+(357.2-598.6)+(1.933614+(0.546516-0.915858))+0-0-0</f>
        <v>1023.9642719999998</v>
      </c>
      <c r="L184" s="3">
        <f>1215+(367.3-567.4)+(-2.4786+(-0.749292--1.157496))+0-0-0</f>
        <v>1012.8296040000001</v>
      </c>
      <c r="M184" s="3">
        <f>1257.1+(442.9-663.2)+(0+(0-0))+0-0-0</f>
        <v>1036.7999999999997</v>
      </c>
      <c r="N184" s="3">
        <f>1603.5+(460.5-926.4)+(0+(0-0))+0-0-0</f>
        <v>1137.5999999999999</v>
      </c>
      <c r="O184" s="3">
        <f>1891.8+(481.5-1074.7)+(1.929636+(0.49113-1.096194))+0-0-0</f>
        <v>1299.9245719999999</v>
      </c>
      <c r="P184" s="3">
        <f>2053+(491.3-1178.8)+(2.09406+(0.501126-1.202376))+0-0-0</f>
        <v>1366.8928100000001</v>
      </c>
      <c r="Q184" s="3">
        <f>2120.7+(504.4-1162.7)+(3.244671+(0.771732-1.778931))+0-0-0</f>
        <v>1464.6374719999997</v>
      </c>
      <c r="R184" s="3">
        <f>2111.7+(486.9-1109.5)+(3.230901+(0.744957-1.697535))+0-0-0</f>
        <v>1491.3783229999999</v>
      </c>
      <c r="S184" s="3">
        <f>2119.3+(453.1-1103.7)+(-2.161686+(-0.462162--1.125774))+0-0-0</f>
        <v>1467.2019260000002</v>
      </c>
      <c r="T184" s="3">
        <f>2180.4+(469.9-1205.9)+(0+(0-0))+0-0-0</f>
        <v>1444.4</v>
      </c>
      <c r="U184" s="3">
        <f>2184.7+(450-1217.3)+(-2.228394+(-0.459--1.241646))+0-0-0</f>
        <v>1415.9542519999998</v>
      </c>
      <c r="V184" s="3">
        <f>2174.2+(466.3-1239.8)+(-4.435368+(-0.951252--2.529192))+0-0-0</f>
        <v>1397.8425719999998</v>
      </c>
      <c r="W184" s="3">
        <f>2174.9+(484.1-1279.5)+(-5.545995+(-1.234455--3.262725))+0-0-0</f>
        <v>1375.9822750000001</v>
      </c>
      <c r="X184" s="3">
        <f>2196.5+(417.1-1255.3)+(-2.24043+(-0.425442--1.280406))+0-0-0</f>
        <v>1356.9145340000002</v>
      </c>
      <c r="Y184" s="3">
        <f>2312.5+(416.1-1182.6)+(1.179375+(0.212211-0.603126))+0-0-0</f>
        <v>1546.78846</v>
      </c>
      <c r="Z184" s="3">
        <f>2375.3+(433.6-1217.3)+(-6.057015+(-1.10568--3.104115))+0-0-0</f>
        <v>1587.5414200000005</v>
      </c>
      <c r="AA184" s="3">
        <f>2357.3+(459.3-1276.2)+(-2.404446+(-0.468486--1.301724))+0-0-0</f>
        <v>1538.828792</v>
      </c>
      <c r="AB184" s="3">
        <f>2249.5+(459.1-1216.3)+(-3.441735+(-0.702423--1.860939))+0-0-0</f>
        <v>1490.0167810000003</v>
      </c>
      <c r="AC184" s="3">
        <f>1832.1+(486.6-943.7)+(-0.934371+(-0.248166--0.481287))+0-0-0</f>
        <v>1374.2987499999999</v>
      </c>
      <c r="AD184" s="2">
        <v>1591.8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1583.1+(511.7-853.9)+(-0.807381+(-0.260967--0.435489))+0-0-0</f>
        <v>1240.2671409999998</v>
      </c>
      <c r="G185" s="3">
        <f>1586.1+(466.8-890.3)+(0+(0-0))+0-0-0</f>
        <v>1162.5999999999999</v>
      </c>
      <c r="H185" s="3">
        <f>1466+(431.3-781)+(-2.99064+(-0.879852--1.59324))+0-0-0</f>
        <v>1114.0227479999999</v>
      </c>
      <c r="I185" s="3">
        <f>1402.6+(447.1-786.6)+(-0.715326+(-0.228021--0.401166))+0-0-0</f>
        <v>1062.5578189999999</v>
      </c>
      <c r="J185" s="3">
        <f>1403.4+(390.8-751.8)+(0+(0-0))+0-0-0</f>
        <v>1042.4000000000001</v>
      </c>
      <c r="K185" s="3">
        <f>1402.3+(367.7-722.1)+(-2.860692+(-0.750108--1.473084))+0-0-0</f>
        <v>1045.7622839999999</v>
      </c>
      <c r="L185" s="3">
        <f>1401.4+(356.7-741.8)+(-3.57357+(-0.909585--1.89159))+0-0-0</f>
        <v>1013.7084350000002</v>
      </c>
      <c r="M185" s="3">
        <f>1425.6+(317.2-704.4)+(-0.727056+(-0.161772--0.359244))+0-0-0</f>
        <v>1037.8704159999998</v>
      </c>
      <c r="N185" s="3">
        <f>1631.6+(440.3-902.4)+(1.664232+(0.449106-0.920448))+0-0-0</f>
        <v>1170.69289</v>
      </c>
      <c r="O185" s="3">
        <f>1793.2+(474.5-1000)+(0+(0-0))+0-0-0</f>
        <v>1267.7</v>
      </c>
      <c r="P185" s="3">
        <f>2068.6+(455.4-1135.4)+(0+(0-0))+0-0-0</f>
        <v>1388.6</v>
      </c>
      <c r="Q185" s="3">
        <f>2144.6+(476.4-1175.1)+(-2.187492+(-0.485928--1.198602))+0-0-0</f>
        <v>1444.4251820000002</v>
      </c>
      <c r="R185" s="3">
        <f>2166.6+(509.4-1180.1)+(0+(0-0))+0-0-0</f>
        <v>1495.9</v>
      </c>
      <c r="S185" s="3">
        <f>2089+(471.4-1113.2)+(0+(0-0))+0-0-0</f>
        <v>1447.1999999999998</v>
      </c>
      <c r="T185" s="3">
        <f>2093+(445.4-1110.9)+(0+(0-0))+0-0-0</f>
        <v>1427.5</v>
      </c>
      <c r="U185" s="3">
        <f>2084.6+(443.7-1145.9)+(0+(0-0))+0-0-0</f>
        <v>1382.3999999999999</v>
      </c>
      <c r="V185" s="3">
        <f>2174.1+(391.8-1215.3)+(0+(0-0))+0-0-0</f>
        <v>1350.6</v>
      </c>
      <c r="W185" s="3">
        <f>2172.2+(413.8-1254.1)+(0+(0-0))+0-0-0</f>
        <v>1331.8999999999999</v>
      </c>
      <c r="X185" s="3">
        <f>2043.1+(352.7-1072.8)+(0+(0-0))+0-0-0</f>
        <v>1323</v>
      </c>
      <c r="Y185" s="3">
        <f>2034.9+(393.3-937.8)+(0+(0-0))+0-0-0</f>
        <v>1490.4</v>
      </c>
      <c r="Z185" s="3">
        <f>2183.1+(399-1031.2)+(0+(0-0))+0-0-0</f>
        <v>1550.8999999999999</v>
      </c>
      <c r="AA185" s="3">
        <f>2210.3+(389.6-1096.6)+(0+(0-0))+0-0-0</f>
        <v>1503.3000000000002</v>
      </c>
      <c r="AB185" s="3">
        <f>1972.3+(378.5-927)+(0+(0-0))+0-0-0</f>
        <v>1423.8</v>
      </c>
      <c r="AC185" s="3">
        <f>1648.4+(439.3-743.2)+(0+(0-0))+0-0-0</f>
        <v>1344.5</v>
      </c>
      <c r="AD185" s="2">
        <v>1556.0000000000002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1586.6+(443.6-775.8)+(-1.618332+(-0.452472--0.791316))+0-0-0</f>
        <v>1253.1205120000002</v>
      </c>
      <c r="G186" s="3">
        <f>1579.5+(379.2-848.3)+(-4.027725+(-0.96696--2.163165))+0-0-0</f>
        <v>1107.5684800000001</v>
      </c>
      <c r="H186" s="3">
        <f>1498+(361.9-786.8)+(-0.76398+(-0.184569--0.401268))+0-0-0</f>
        <v>1072.5527189999998</v>
      </c>
      <c r="I186" s="3">
        <f>1419.4+(358.9-742.5)+(-1.447788+(-0.366078--0.75735))+0-0-0</f>
        <v>1034.7434840000001</v>
      </c>
      <c r="J186" s="3">
        <f>1386.3+(366.5-728.7)+(0.707013+(0.186915-0.371637))+0-0-0</f>
        <v>1024.6222909999999</v>
      </c>
      <c r="K186" s="3">
        <f>1299+(355.5-676)+(-3.97494+(-1.08783--2.06856))+0-0-0</f>
        <v>975.50579000000005</v>
      </c>
      <c r="L186" s="3">
        <f>1206.9+(332.4-625.4)+(-0.615519+(-0.169524--0.318954))+0-0-0</f>
        <v>913.43391100000008</v>
      </c>
      <c r="M186" s="3">
        <f>1407+(316.1-765.1)+(0.71757+(0.161211-0.390201))+0-0-0</f>
        <v>958.48857999999996</v>
      </c>
      <c r="N186" s="3">
        <f>1464.9+(288.6-717.4)+(-2.241297+(-0.441558--1.097622))+0-0-0</f>
        <v>1034.5147670000001</v>
      </c>
      <c r="O186" s="3">
        <f>1602.3+(349.5-835.1)+(-4.903038+(-1.06947--2.555406))+0-0-0</f>
        <v>1113.2828979999999</v>
      </c>
      <c r="P186" s="3">
        <f>1597.6+(413.9-842.8)+(-3.259104+(-0.844356--1.719312))+0-0-0</f>
        <v>1166.3158519999997</v>
      </c>
      <c r="Q186" s="3">
        <f>1647.9+(460.5-894.2)+(3.361716+(0.93942-1.824168))+0-0-0</f>
        <v>1216.676968</v>
      </c>
      <c r="R186" s="3">
        <f>1643.7+(462.1-885.1)+(0.838287+(0.235671-0.451401))+0-0-0</f>
        <v>1221.322557</v>
      </c>
      <c r="S186" s="3">
        <f>1709.8+(469.6-950.2)+(0.871998+(0.239496-0.484602))+0-0-0</f>
        <v>1229.8268919999998</v>
      </c>
      <c r="T186" s="3">
        <f>1627.6+(461.8-871.2)+(-3.320304+(-0.942072--1.777248))+0-0-0</f>
        <v>1215.7148719999998</v>
      </c>
      <c r="U186" s="3">
        <f>1572.2+(477.9-851.1)+(-3.207288+(-0.974916--1.736244))+0-0-0</f>
        <v>1196.55404</v>
      </c>
      <c r="V186" s="3">
        <f>1525.9+(436.7-784.8)+(-5.447463+(-1.559019--2.801736))+0-0-0</f>
        <v>1173.5952540000003</v>
      </c>
      <c r="W186" s="3">
        <f>1430.6+(321.6-583)+(-0.729606+(-0.164016--0.29733))+0-0-0</f>
        <v>1168.6037079999999</v>
      </c>
      <c r="X186" s="3">
        <f>1547.8+(391.8-583.5)+(-1.578756+(-0.399636--0.59517))+0-0-0</f>
        <v>1354.716778</v>
      </c>
      <c r="Y186" s="3">
        <f>1692.1+(460-730.2)+(-2.588913+(-0.7038--1.117206))+0-0-0</f>
        <v>1419.7244929999999</v>
      </c>
      <c r="Z186" s="3">
        <f>1635.4+(477.3-720)+(-3.336216+(-0.973692--1.4688))+0-0-0</f>
        <v>1389.858892</v>
      </c>
      <c r="AA186" s="3">
        <f>1439.9+(518.2-624.8)+(-2.937396+(-1.057128--1.274592))+0-0-0</f>
        <v>1330.5800680000002</v>
      </c>
      <c r="AB186" s="3">
        <f>1441.7+(506.1-688.4)+(-1.470534+(-0.516222--0.702168))+0-0-0</f>
        <v>1258.1154120000001</v>
      </c>
      <c r="AC186" s="3">
        <f>1439.9+(473.6-742)+(-4.406094+(-1.449216--2.27052))+0-0-0</f>
        <v>1167.9152099999999</v>
      </c>
      <c r="AD186" s="2">
        <v>1444.1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1455.3+(423.8-775.1)+(0+(0-0))+0-0-0</f>
        <v>1104</v>
      </c>
      <c r="G187" s="3">
        <f>1476.5+(432.4-868.8)+(-2.259045+(-0.661572--1.329264))+0-0-0</f>
        <v>1038.5086469999999</v>
      </c>
      <c r="H187" s="3">
        <f>1362.4+(378.3-723)+(-1.389648+(-0.385866--0.73746))+0-0-0</f>
        <v>1016.6619460000001</v>
      </c>
      <c r="I187" s="3">
        <f>1090.2+(396-510)+(-1.668006+(-0.60588--0.7803))+0-0-0</f>
        <v>974.706414</v>
      </c>
      <c r="J187" s="3">
        <f>1104.1+(355.8-494.2)+(0+(0-0))+0-0-0</f>
        <v>965.69999999999993</v>
      </c>
      <c r="K187" s="3">
        <f>1094.4+(365.5-511.2)+(-1.116288+(-0.37281--0.521424))+0-0-0</f>
        <v>947.73232600000006</v>
      </c>
      <c r="L187" s="3">
        <f>1219.6+(353.7-622.6)+(0+(0-0))+0-0-0</f>
        <v>950.69999999999982</v>
      </c>
      <c r="M187" s="3">
        <f>1318.7+(398.5-650.3)+(-0.672537+(-0.203235--0.331653))+0-0-0</f>
        <v>1066.3558810000002</v>
      </c>
      <c r="N187" s="3">
        <f>1647+(418.8-837.2)+(-1.67994+(-0.427176--0.853944))+0-0-0</f>
        <v>1227.346828</v>
      </c>
      <c r="O187" s="3">
        <f>1969.6+(460.6-1076.8)+(2.008992+(0.469812-1.098336))+0-0-0</f>
        <v>1354.7804680000002</v>
      </c>
      <c r="P187" s="3">
        <f>2043.3+(477.1-1093.7)+(-1.042083+(-0.243321--0.557787))+0-0-0</f>
        <v>1425.9723829999998</v>
      </c>
      <c r="Q187" s="3">
        <f>2113.8+(466.1-1086.4)+(-1.078038+(-0.237711--0.554064))+0-0-0</f>
        <v>1492.7383150000001</v>
      </c>
      <c r="R187" s="3">
        <f>2122+(491.4-1095.3)+(-2.16444+(-0.501228--1.117206))+0-0-0</f>
        <v>1516.5515379999999</v>
      </c>
      <c r="S187" s="3">
        <f>2118.5+(489.1-1076.3)+(-3.241305+(-0.748323--1.646739))+0-0-0</f>
        <v>1528.9571110000002</v>
      </c>
      <c r="T187" s="3">
        <f>2116.3+(518.6-1110.4)+(-3.237939+(-0.793458--1.698912))+0-0-0</f>
        <v>1522.1675150000001</v>
      </c>
      <c r="U187" s="3">
        <f>2117.3+(527.5-1152.4)+(-3.239469+(-0.807075--1.763172))+0-0-0</f>
        <v>1490.116628</v>
      </c>
      <c r="V187" s="3">
        <f>2105.3+(546.9-1196.4)+(-5.368515+(-1.394595--3.05082))+0-0-0</f>
        <v>1452.0877100000002</v>
      </c>
      <c r="W187" s="3">
        <f>1989.5+(456.7-1042)+(-3.043935+(-0.698751--1.59426))+0-0-0</f>
        <v>1402.0515740000001</v>
      </c>
      <c r="X187" s="3">
        <f>2121.7+(405.2-964.9)+(0+(0-0))+0-0-0</f>
        <v>1561.9999999999998</v>
      </c>
      <c r="Y187" s="3">
        <f>2132.7+(457.8-984)+(-5.438385+(-1.16739--2.5092))+0-0-0</f>
        <v>1602.4034249999997</v>
      </c>
      <c r="Z187" s="3">
        <f>2139.3+(521.6-1097.4)+(-4.364172+(-1.064064--2.238696))+0-0-0</f>
        <v>1560.3104599999999</v>
      </c>
      <c r="AA187" s="3">
        <f>2146+(531.3-1166.8)+(-4.37784+(-1.083852--2.380272))+0-0-0</f>
        <v>1507.41858</v>
      </c>
      <c r="AB187" s="3">
        <f>2147.9+(447.9-1173.5)+(-4.381716+(-0.913716--2.39394))+0-0-0</f>
        <v>1419.3985080000002</v>
      </c>
      <c r="AC187" s="3">
        <f>2128.3+(433.5-1256.8)+(-3.256299+(-0.663255--1.922904))+0-0-0</f>
        <v>1303.0033500000002</v>
      </c>
      <c r="AD187" s="2">
        <v>1600.1000000000001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1848.6+(394.6-1073.6)+(-0.942786+(-0.201246--0.547536))+0-0-0</f>
        <v>1169.003504</v>
      </c>
      <c r="G188" s="3">
        <f>1613.9+(412.7-931.8)+(-3.292356+(-0.841908--1.900872))+0-0-0</f>
        <v>1092.5666080000001</v>
      </c>
      <c r="H188" s="3">
        <f>1516.8+(362.4-825.3)+(-2.320704+(-0.554472--1.262709))+0-0-0</f>
        <v>1052.2875330000002</v>
      </c>
      <c r="I188" s="3">
        <f>1506.9+(333.8-809.4)+(-2.305557+(-0.510714--1.238382))+0-0-0</f>
        <v>1029.7221110000003</v>
      </c>
      <c r="J188" s="3">
        <f>1413.5+(358.6-757)+(1.44177+(0.365772-0.77214))+0-0-0</f>
        <v>1016.135402</v>
      </c>
      <c r="K188" s="3">
        <f>1399.3+(366.8-773.7)+(-2.140929+(-0.561204--1.183761))+0-0-0</f>
        <v>990.88162799999986</v>
      </c>
      <c r="L188" s="3">
        <f>1419.5+(332.1-788)+(1.44789+(0.338742-0.80376))+0-0-0</f>
        <v>964.58287200000007</v>
      </c>
      <c r="M188" s="3">
        <f>1989.4+(319.5-1209.7)+(2.029188+(0.32589-1.233894))+0-0-0</f>
        <v>1100.3211840000001</v>
      </c>
      <c r="N188" s="3">
        <f>2153.6+(428.2-1304.2)+(1.098336+(0.218382-0.665142))+0-0-0</f>
        <v>1278.2515759999999</v>
      </c>
      <c r="O188" s="3">
        <f>2134.6+(472.8-1233.8)+(-1.088646+(-0.241128--0.629238))+0-0-0</f>
        <v>1372.8994639999999</v>
      </c>
      <c r="P188" s="3">
        <f>2113.1+(475.7-1146.9)+(-3.233043+(-0.727821--1.754757))+0-0-0</f>
        <v>1439.6938929999999</v>
      </c>
      <c r="Q188" s="3">
        <f>2130.8+(502.3-1125.7)+(-1.086708+(-0.256173--0.574107))+0-0-0</f>
        <v>1506.6312260000002</v>
      </c>
      <c r="R188" s="3">
        <f>2155.4+(536-1145)+(3.297762+(0.82008-1.75185))+0-0-0</f>
        <v>1548.7659920000001</v>
      </c>
      <c r="S188" s="3">
        <f>2142.6+(527.7-1087.7)+(2.185452+(0.538254-1.109454))+0-0-0</f>
        <v>1584.214252</v>
      </c>
      <c r="T188" s="3">
        <f>2128.2+(550.6-1113.7)+(-2.170764+(-0.561612--1.135974))+0-0-0</f>
        <v>1563.503598</v>
      </c>
      <c r="U188" s="3">
        <f>2116.8+(544.5-1132.5)+(-5.39784+(-1.388475--2.887875))+0-0-0</f>
        <v>1524.9015600000002</v>
      </c>
      <c r="V188" s="3">
        <f>2097.7+(501.5-1115.9)+(-5.349135+(-1.278825--2.845545))+0-0-0</f>
        <v>1479.5175849999998</v>
      </c>
      <c r="W188" s="3">
        <f>1968.3+(472.1-1009.8)+(-2.007666+(-0.481542--1.029996))+0-0-0</f>
        <v>1429.1407879999999</v>
      </c>
      <c r="X188" s="3">
        <f>2089.2+(433.1-932.1)+(-1.065492+(-0.220881--0.475371))+0-0-0</f>
        <v>1589.3889979999999</v>
      </c>
      <c r="Y188" s="3">
        <f>2149.1+(442.8-954.8)+(-4.384164+(-0.903312--1.947792))+0-0-0</f>
        <v>1633.7603159999999</v>
      </c>
      <c r="Z188" s="3">
        <f>2160.5+(479.7-1047)+(-3.305565+(-0.733941--1.60191))+0-0-0</f>
        <v>1590.7624040000001</v>
      </c>
      <c r="AA188" s="3">
        <f>2155.2+(473.3-1109.3)+(-6.594912+(-1.448298--3.394458))+0-0-0</f>
        <v>1514.5512479999998</v>
      </c>
      <c r="AB188" s="3">
        <f>2175.3+(357.8-1097.5)+(-3.328209+(-0.547434--1.679175))+0-0-0</f>
        <v>1433.403532</v>
      </c>
      <c r="AC188" s="3">
        <f>2184.2+(294.9-1148.7)+(0+(0-0))+0-0-0</f>
        <v>1330.3999999999996</v>
      </c>
      <c r="AD188" s="2">
        <v>1652.8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2163+(252.9-1169.8)+(-1.10313+(-0.128979--0.596598))+0-0-0</f>
        <v>1245.464489</v>
      </c>
      <c r="G189" s="3">
        <f>2047.9+(267.7-1144.8)+(-4.177716+(-0.546108--2.335392))+0-0-0</f>
        <v>1168.4115680000002</v>
      </c>
      <c r="H189" s="3">
        <f>1803.6+(289.4-965.4)+(-0.919836+(-0.147594--0.492354))+0-0-0</f>
        <v>1127.0249239999998</v>
      </c>
      <c r="I189" s="3">
        <f>1478.1+(319.7-701.9)+(-1.507662+(-0.326094--0.715938))+0-0-0</f>
        <v>1094.7821819999999</v>
      </c>
      <c r="J189" s="3">
        <f>1245.4+(351.4-519.1)+(1.905462+(0.537642-0.794223))+0-0-0</f>
        <v>1079.3488810000001</v>
      </c>
      <c r="K189" s="3">
        <f>1230.7+(282.4-465.8)+(-1.882971+(-0.432072--0.712674))+0-0-0</f>
        <v>1045.697631</v>
      </c>
      <c r="L189" s="3">
        <f>1152.8+(353-484.7)+(-0.587928+(-0.18003--0.247197))+0-0-0</f>
        <v>1020.5792389999999</v>
      </c>
      <c r="M189" s="3">
        <f>1406.3+(406-678.5)+(2.868852+(0.82824-1.38414))+0-0-0</f>
        <v>1136.112952</v>
      </c>
      <c r="N189" s="3">
        <f>1722.7+(371.4-826)+(-0.878577+(-0.189414--0.42126))+0-0-0</f>
        <v>1267.4532689999999</v>
      </c>
      <c r="O189" s="3">
        <f>1827.4+(385.7-897.9)+(0.931974+(0.196707-0.457929))+0-0-0</f>
        <v>1315.870752</v>
      </c>
      <c r="P189" s="3">
        <f>1899+(456.2-1005.9)+(0+(0-0))+0-0-0</f>
        <v>1349.3</v>
      </c>
      <c r="Q189" s="3">
        <f>1749.7+(514.3-924)+(1.784694+(0.524586-0.94248))+0-0-0</f>
        <v>1341.3668</v>
      </c>
      <c r="R189" s="3">
        <f>1771.6+(457.5-934.9)+(-2.710548+(-0.699975--1.430397))+0-0-0</f>
        <v>1292.2198739999999</v>
      </c>
      <c r="S189" s="3">
        <f>2068.2+(399.6-1229.7)+(-3.164346+(-0.611388--1.881441))+0-0-0</f>
        <v>1236.2057069999998</v>
      </c>
      <c r="T189" s="3">
        <f>2069.5+(406.1-1261.3)+(-5.277225+(-1.035555--3.216315))+0-0-0</f>
        <v>1211.2035350000001</v>
      </c>
      <c r="U189" s="3">
        <f>2030.1+(401.8-1231.1)+(-6.212106+(-1.229508--3.767166))+0-0-0</f>
        <v>1197.125552</v>
      </c>
      <c r="V189" s="3">
        <f>1954.8+(386.9-1131.2)+(-6.978636+(-1.381233--4.038384))+0-0-0</f>
        <v>1206.1785150000001</v>
      </c>
      <c r="W189" s="3">
        <f>1868.7+(297.3-933.4)+(-1.906074+(-0.303246--0.952068))+0-0-0</f>
        <v>1231.342748</v>
      </c>
      <c r="X189" s="3">
        <f>2194+(363-1015)+(-3.35682+(-0.55539--1.55295))+0-0-0</f>
        <v>1539.6407400000001</v>
      </c>
      <c r="Y189" s="3">
        <f>2270.7+(307-1120)+(-4.632228+(-0.62628--2.2848))+0-0-0</f>
        <v>1454.7262919999998</v>
      </c>
      <c r="Z189" s="3">
        <f>2235.9+(322.3-1159)+(-5.701545+(-0.821865--2.95545))+0-0-0</f>
        <v>1395.63204</v>
      </c>
      <c r="AA189" s="3">
        <f>2101.7+(357.4-1112.8)+(-6.431202+(-1.093644--3.405168))+0-0-0</f>
        <v>1342.1803219999997</v>
      </c>
      <c r="AB189" s="3">
        <f>1896.9+(360.2-994.5)+(-3.869676+(-0.734808--2.02878))+0-0-0</f>
        <v>1260.024296</v>
      </c>
      <c r="AC189" s="3">
        <f>1652.9+(368.6-868.8)+(-4.214895+(-0.93993--2.21544))+0-0-0</f>
        <v>1149.7606150000004</v>
      </c>
      <c r="AD189" s="2">
        <v>1431.4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1498.4+(389.8-819.7)+(-0.764184+(-0.198798--0.418047))+0-0-0</f>
        <v>1067.9550650000001</v>
      </c>
      <c r="G190" s="3">
        <f>1377.3+(392.7-755.4)+(-1.404846+(-0.400554--0.770508))+0-0-0</f>
        <v>1013.5651079999999</v>
      </c>
      <c r="H190" s="3">
        <f>1474.7+(307.8-799.3)+(-0.752097+(-0.156978--0.407643))+0-0-0</f>
        <v>982.69856800000002</v>
      </c>
      <c r="I190" s="3">
        <f>1379.3+(287-698.1)+(-3.517215+(-0.73185--1.780155))+0-0-0</f>
        <v>965.73108999999988</v>
      </c>
      <c r="J190" s="3">
        <f>1245.1+(307.1-587.6)+(0.635001+(0.156621-0.299676))+0-0-0</f>
        <v>965.09194599999989</v>
      </c>
      <c r="K190" s="3">
        <f>1247.6+(350.1-642.4)+(-3.18138+(-0.892755--1.63812))+0-0-0</f>
        <v>952.86398499999996</v>
      </c>
      <c r="L190" s="3">
        <f>1253.3+(379.5-687.6)+(-0.639183+(-0.193545--0.350676))+0-0-0</f>
        <v>944.71794799999998</v>
      </c>
      <c r="M190" s="3">
        <f>1413.7+(422.3-784.1)+(-0.720987+(-0.215373--0.399891))+0-0-0</f>
        <v>1051.3635310000002</v>
      </c>
      <c r="N190" s="3">
        <f>1515.4+(539.5-865.7)+(0+(0-0))+0-0-0</f>
        <v>1189.2</v>
      </c>
      <c r="O190" s="3">
        <f>1660.1+(524.5-918.2)+(0+(0-0))+0-0-0</f>
        <v>1266.3999999999999</v>
      </c>
      <c r="P190" s="3">
        <f>1985.9+(482.7-1056.2)+(-2.025618+(-0.492354--1.077324))+0-0-0</f>
        <v>1410.9593520000001</v>
      </c>
      <c r="Q190" s="3">
        <f>2026.1+(528.4-1188)+(-1.033311+(-0.269484--0.60588))+0-0-0</f>
        <v>1365.803085</v>
      </c>
      <c r="R190" s="3">
        <f>2025.3+(514.5-1181.4)+(-2.065806+(-0.52479--1.205028))+0-0-0</f>
        <v>1357.0144319999999</v>
      </c>
      <c r="S190" s="3">
        <f>2013.6+(498-1151.1)+(-3.080808+(-0.76194--1.761183))+0-0-0</f>
        <v>1358.418435</v>
      </c>
      <c r="T190" s="3">
        <f>1980.6+(435.4-1074.8)+(-1.010106+(-0.222054--0.548148))+0-0-0</f>
        <v>1340.5159879999999</v>
      </c>
      <c r="U190" s="3">
        <f>1913.1+(405.5-1003.9)+(-4.878405+(-1.034025--2.559945))+0-0-0</f>
        <v>1311.3475149999999</v>
      </c>
      <c r="V190" s="3">
        <f>1849.4+(392.2-952.7)+(-1.886388+(-0.400044--0.971754))+0-0-0</f>
        <v>1287.5853220000001</v>
      </c>
      <c r="W190" s="3">
        <f>1687+(334.9-745.6)+(-2.58111+(-0.512397--1.140768))+0-0-0</f>
        <v>1274.3472609999999</v>
      </c>
      <c r="X190" s="3">
        <f>1704.8+(437.5-692.5)+(-0.869448+(-0.223125--0.353175))+0-0-0</f>
        <v>1449.060602</v>
      </c>
      <c r="Y190" s="3">
        <f>1752.8+(436.3-725.1)+(-5.363568+(-1.335078--2.218806))+0-0-0</f>
        <v>1459.52016</v>
      </c>
      <c r="Z190" s="3">
        <f>1764.4+(445.7-783.8)+(-0.899844+(-0.227307--0.399738))+0-0-0</f>
        <v>1425.5725870000001</v>
      </c>
      <c r="AA190" s="3">
        <f>1684.7+(448.1-767.8)+(-0.859197+(-0.228531--0.391578))+0-0-0</f>
        <v>1364.30385</v>
      </c>
      <c r="AB190" s="3">
        <f>1654.9+(323.5-691)+(-4.219995+(-0.824925--1.76205))+0-0-0</f>
        <v>1284.1171300000001</v>
      </c>
      <c r="AC190" s="3">
        <f>1424.2+(358.9-606.2)+(-2.179026+(-0.549117--0.927486))+0-0-0</f>
        <v>1175.0993430000001</v>
      </c>
      <c r="AD190" s="2">
        <v>1467.2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1170.8+(392-487.4)+(-2.388432+(-0.79968--0.994296))+0-0-0</f>
        <v>1073.2061840000001</v>
      </c>
      <c r="G191" s="3">
        <f>1088.1+(391.7-454.7)+(-2.774655+(-0.998835--1.159485))+0-0-0</f>
        <v>1022.4859949999999</v>
      </c>
      <c r="H191" s="3">
        <f>1080.8+(375.1-464.8)+(-2.75604+(-0.956505--1.18524))+0-0-0</f>
        <v>988.57269499999995</v>
      </c>
      <c r="I191" s="3">
        <f>1091.2+(360.5-480.7)+(-0.556512+(-0.183855--0.245157))+0-0-0</f>
        <v>970.50478999999996</v>
      </c>
      <c r="J191" s="3">
        <f>1088.5+(363-479.2)+(-1.11027+(-0.37026--0.488784))+0-0-0</f>
        <v>971.30825399999992</v>
      </c>
      <c r="K191" s="3">
        <f>1084.1+(353.5-479)+(-2.764455+(-0.901425--1.22145))+0-0-0</f>
        <v>956.1555699999999</v>
      </c>
      <c r="L191" s="3">
        <f>1058.8+(356-482.5)+(0+(0-0))+0-0-0</f>
        <v>932.3</v>
      </c>
      <c r="M191" s="3">
        <f>1050.7+(398.3-402.6)+(-0.535857+(-0.203133--0.205326))+0-0-0</f>
        <v>1045.866336</v>
      </c>
      <c r="N191" s="3">
        <f>1267+(421.6-523.7)+(-1.29234+(-0.430032--0.534174))+0-0-0</f>
        <v>1163.711802</v>
      </c>
      <c r="O191" s="3">
        <f>1532.7+(381-667.1)+(-0.781677+(-0.19431--0.340221))+0-0-0</f>
        <v>1245.9642339999998</v>
      </c>
      <c r="P191" s="3">
        <f>1547.9+(404.4-646.5)+(1.578858+(0.412488-0.65943))+0-0-0</f>
        <v>1307.1319160000003</v>
      </c>
      <c r="Q191" s="3">
        <f>1531.3+(416.4-594.1)+(0+(0-0))+0-0-0</f>
        <v>1353.6</v>
      </c>
      <c r="R191" s="3">
        <f>1530.3+(420.3-593.3)+(0.780453+(0.214353-0.302583))+0-0-0</f>
        <v>1357.992223</v>
      </c>
      <c r="S191" s="3">
        <f>1529.6+(422.1-605.8)+(1.560192+(0.430542-0.617916))+0-0-0</f>
        <v>1347.2728180000001</v>
      </c>
      <c r="T191" s="3">
        <f>1519.1+(433.2-624.8)+(-1.549482+(-0.441864--0.637296))+0-0-0</f>
        <v>1326.1459500000001</v>
      </c>
      <c r="U191" s="3">
        <f>1523.2+(423.9-635.5)+(-5.437824+(-1.513323--2.268735))+0-0-0</f>
        <v>1306.9175879999998</v>
      </c>
      <c r="V191" s="3">
        <f>1566.2+(388.6-655)+(-1.597524+(-0.396372--0.6681))+0-0-0</f>
        <v>1298.4742040000001</v>
      </c>
      <c r="W191" s="3">
        <f>1582.3+(319.2-605.7)+(0+(0-0))+0-0-0</f>
        <v>1295.8</v>
      </c>
      <c r="X191" s="3">
        <f>1584.5+(361.6-498.2)+(-0.808095+(-0.184416--0.254082))+0-0-0</f>
        <v>1447.1615710000001</v>
      </c>
      <c r="Y191" s="3">
        <f>1567.4+(345.9-445.4)+(-3.197496+(-0.705636--0.908616))+0-0-0</f>
        <v>1464.9054840000001</v>
      </c>
      <c r="Z191" s="3">
        <f>1494.1+(372.6-450.2)+(-1.523982+(-0.380052--0.459204))+0-0-0</f>
        <v>1415.0551700000001</v>
      </c>
      <c r="AA191" s="3">
        <f>1183.2+(426.6-264.5)+(-0.603432+(-0.217566--0.134895))+0-0-0</f>
        <v>1344.6138970000002</v>
      </c>
      <c r="AB191" s="3">
        <f>1160.3+(394.1-278.3)+(-4.142271+(-1.406937--0.993531))+0-0-0</f>
        <v>1271.5443229999998</v>
      </c>
      <c r="AC191" s="3">
        <f>1088.7+(425.4-330.7)+(0.555237+(0.216954-0.168657))+0-0-0</f>
        <v>1184.0035340000002</v>
      </c>
      <c r="AD191" s="2">
        <v>1488.1999999999998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1080.7+(369.6-374.4)+(-1.653471+(-0.565488--0.572832))+0-0-0</f>
        <v>1074.2538730000001</v>
      </c>
      <c r="G192" s="3">
        <f>1080.6+(345.8-419.6)+(-1.653318+(-0.529074--0.641988))+0-0-0</f>
        <v>1005.259596</v>
      </c>
      <c r="H192" s="3">
        <f>1077.6+(354.4-460.4)+(-2.74788+(-0.90372--1.17402))+0-0-0</f>
        <v>969.12241999999992</v>
      </c>
      <c r="I192" s="3">
        <f>1085+(338.1-465)+(-1.1067+(-0.344862--0.4743))+0-0-0</f>
        <v>957.12273800000003</v>
      </c>
      <c r="J192" s="3">
        <f>1090.9+(331.5-471.1)+(0+(0-0))+0-0-0</f>
        <v>951.30000000000007</v>
      </c>
      <c r="K192" s="3">
        <f>1086.2+(310.3-453.4)+(-1.661886+(-0.474759--0.693702))+0-0-0</f>
        <v>941.65705700000012</v>
      </c>
      <c r="L192" s="3">
        <f>1094.8+(296.8-480.8)+(0.558348+(0.151368-0.245208))+0-0-0</f>
        <v>911.26450799999998</v>
      </c>
      <c r="M192" s="3">
        <f>1351.1+(295.2-624.3)+(-0.689061+(-0.150552--0.318393))+0-0-0</f>
        <v>1021.47878</v>
      </c>
      <c r="N192" s="3">
        <f>1586.7+(317.5-730.4)+(-1.618434+(-0.32385--0.745008))+0-0-0</f>
        <v>1172.6027240000001</v>
      </c>
      <c r="O192" s="3">
        <f>1579.6+(320-642.1)+(-0.805596+(-0.1632--0.327471))+0-0-0</f>
        <v>1256.8586749999999</v>
      </c>
      <c r="P192" s="3">
        <f>1593.7+(341.9-616.2)+(1.625574+(0.348738-0.628524))+0-0-0</f>
        <v>1320.7457880000002</v>
      </c>
      <c r="Q192" s="3">
        <f>1596.5+(356.5-596.2)+(2.442645+(0.545445-0.912186))+0-0-0</f>
        <v>1358.875904</v>
      </c>
      <c r="R192" s="3">
        <f>1568.8+(360.7-564.2)+(-2.400264+(-0.551871--0.863226))+0-0-0</f>
        <v>1363.2110909999999</v>
      </c>
      <c r="S192" s="3">
        <f>1582.2+(347.8-590.5)+(0+(0-0))+0-0-0</f>
        <v>1339.5</v>
      </c>
      <c r="T192" s="3">
        <f>1571.8+(363.2-619.6)+(-2.404854+(-0.555696--0.947988))+0-0-0</f>
        <v>1313.387438</v>
      </c>
      <c r="U192" s="3">
        <f>1552.6+(352.2-615.2)+(-4.750956+(-1.077732--1.882512))+0-0-0</f>
        <v>1285.653824</v>
      </c>
      <c r="V192" s="3">
        <f>1555.5+(327-615)+(-4.75983+(-1.00062--1.8819))+0-0-0</f>
        <v>1263.6214500000001</v>
      </c>
      <c r="W192" s="3">
        <f>1563+(315.8-616)+(-3.18852+(-0.644232--1.25664))+0-0-0</f>
        <v>1260.223888</v>
      </c>
      <c r="X192" s="3">
        <f>1634.5+(326.7-517.4)+(0+(0-0))+0-0-0</f>
        <v>1443.8</v>
      </c>
      <c r="Y192" s="3">
        <f>1620.7+(352.7-521.8)+(-7.439013+(-1.618893--2.395062))+0-0-0</f>
        <v>1444.9371560000002</v>
      </c>
      <c r="Z192" s="3">
        <f>1633.6+(367.5-598.8)+(-4.16568+(-0.937125--1.52694))+0-0-0</f>
        <v>1398.7241349999999</v>
      </c>
      <c r="AA192" s="3">
        <f>1638.9+(364.7-651.5)+(-2.507517+(-0.557991--0.996795))+0-0-0</f>
        <v>1350.0312870000002</v>
      </c>
      <c r="AB192" s="3">
        <f>1641.6+(330.4-686.9)+(-2.511648+(-0.505512--1.050957))+0-0-0</f>
        <v>1283.133797</v>
      </c>
      <c r="AC192" s="3">
        <f>1493.7+(359.3-647.8)+(-2.285361+(-0.549729--0.991134))+0-0-0</f>
        <v>1203.3560440000001</v>
      </c>
      <c r="AD192" s="2">
        <v>1487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1401.6+(383.7-634)+(-2.859264+(-0.782748--1.29336))+0-0-0</f>
        <v>1148.9513480000001</v>
      </c>
      <c r="G193" s="3">
        <f>1194.8+(367.8-483)+(0.609348+(0.187578-0.24633))+0-0-0</f>
        <v>1080.150596</v>
      </c>
      <c r="H193" s="3">
        <f>1011.4+(404-384)+(-0.515814+(-0.20604--0.19584))+0-0-0</f>
        <v>1030.8739860000001</v>
      </c>
      <c r="I193" s="3">
        <f>856.4+(460.1-325.7)+(-1.310292+(-0.703953--0.498321))+0-0-0</f>
        <v>989.28407599999991</v>
      </c>
      <c r="J193" s="3">
        <f>860.5+(440.5-317.3)+(-0.438855+(-0.224655--0.161823))+0-0-0</f>
        <v>983.1983130000001</v>
      </c>
      <c r="K193" s="3">
        <f>854.2+(422.8-312.6)+(-2.17821+(-1.07814--0.79713))+0-0-0</f>
        <v>961.94078000000013</v>
      </c>
      <c r="L193" s="3">
        <f>860.8+(384.5-341.8)+(0+(0-0))+0-0-0</f>
        <v>903.5</v>
      </c>
      <c r="M193" s="3">
        <f>930.2+(323.6-326.1)+(-2.846412+(-0.990216--0.997866))+0-0-0</f>
        <v>924.86123800000007</v>
      </c>
      <c r="N193" s="3">
        <f>954.8+(353.4-308.4)+(-0.486948+(-0.180234--0.157284))+0-0-0</f>
        <v>999.29010199999993</v>
      </c>
      <c r="O193" s="3">
        <f>1007.1+(390.5-333.3)+(-1.540863+(-0.597465--0.509949))+0-0-0</f>
        <v>1062.671621</v>
      </c>
      <c r="P193" s="3">
        <f>1187.1+(357.1-422.6)+(-1.816263+(-0.546363--0.646578))+0-0-0</f>
        <v>1119.8839519999999</v>
      </c>
      <c r="Q193" s="3">
        <f>1191.2+(362.8-407.1)+(-1.215024+(-0.370056--0.415242))+0-0-0</f>
        <v>1145.7301620000001</v>
      </c>
      <c r="R193" s="3">
        <f>1201.1+(377.3-443.3)+(1.225122+(0.384846-0.452166))+0-0-0</f>
        <v>1136.2578019999999</v>
      </c>
      <c r="S193" s="3">
        <f>1187.8+(366.8-444)+(-1.817334+(-0.561204--0.67932))+0-0-0</f>
        <v>1108.9007819999999</v>
      </c>
      <c r="T193" s="3">
        <f>1186.3+(377-506.4)+(-1.815039+(-0.57681--0.774792))+0-0-0</f>
        <v>1055.2829430000002</v>
      </c>
      <c r="U193" s="3">
        <f>1174.5+(365.9-498.5)+(-2.994975+(-0.933045--1.271175))+0-0-0</f>
        <v>1039.2431550000001</v>
      </c>
      <c r="V193" s="3">
        <f>956.9+(397.9-304.6)+(-2.440095+(-1.014645--0.77673))+0-0-0</f>
        <v>1047.5219899999997</v>
      </c>
      <c r="W193" s="3">
        <f>863.1+(504.4-261.3)+(-0.880362+(-0.514488--0.266526))+0-0-0</f>
        <v>1105.071676</v>
      </c>
      <c r="X193" s="3">
        <f>1154.7+(414.3-317.8)+(-0.588897+(-0.211293--0.162078))+0-0-0</f>
        <v>1250.561888</v>
      </c>
      <c r="Y193" s="3">
        <f>1205.8+(415.8-362.9)+(-1.229916+(-0.424116--0.370158))+0-0-0</f>
        <v>1257.4161260000001</v>
      </c>
      <c r="Z193" s="3">
        <f>1195.8+(422.7-386.7)+(-3.04929+(-1.077885--0.986085))+0-0-0</f>
        <v>1228.6589099999999</v>
      </c>
      <c r="AA193" s="3">
        <f>1207.2+(402.7-408.8)+(-0.615672+(-0.205377--0.208488))+0-0-0</f>
        <v>1200.487439</v>
      </c>
      <c r="AB193" s="3">
        <f>1132.5+(385.2-388.8)+(-2.887875+(-0.98226--0.99144))+0-0-0</f>
        <v>1126.021305</v>
      </c>
      <c r="AC193" s="3">
        <f>925.5+(398.6-274.5)+(-0.94401+(-0.406572--0.27999))+0-0-0</f>
        <v>1048.5294079999999</v>
      </c>
      <c r="AD193" s="2">
        <v>1261.8000000000002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985.1+(397.1-435.1)+(-2.512005+(-1.012605--1.109505))+0-0-0</f>
        <v>944.68489499999998</v>
      </c>
      <c r="G194" s="3">
        <f>1034.2+(377.5-510.8)+(-1.582326+(-0.577575--0.781524))+0-0-0</f>
        <v>899.52162300000009</v>
      </c>
      <c r="H194" s="3">
        <f>1033.3+(346.5-497.7)+(-2.634915+(-0.883575--1.269135))+0-0-0</f>
        <v>879.85064499999987</v>
      </c>
      <c r="I194" s="3">
        <f>1032.2+(311.5-481.1)+(-2.105688+(-0.63546--0.981444))+0-0-0</f>
        <v>860.84029599999997</v>
      </c>
      <c r="J194" s="3">
        <f>1037.1+(301.9-487.8)+(-1.586763+(-0.461907--0.746334))+0-0-0</f>
        <v>849.89766399999985</v>
      </c>
      <c r="K194" s="3">
        <f>1038.6+(322.6-506.6)+(-0.529686+(-0.164526--0.258366))+0-0-0</f>
        <v>854.16415399999994</v>
      </c>
      <c r="L194" s="3">
        <f>1044.9+(305.3-490.4)+(1.598697+(0.467109-0.750312))+0-0-0</f>
        <v>861.11549400000013</v>
      </c>
      <c r="M194" s="3">
        <f>1128.4+(369.3-530.3)+(1.726452+(0.565029-0.811359))+0-0-0</f>
        <v>968.88012200000014</v>
      </c>
      <c r="N194" s="3">
        <f>1271.2+(466.2-639.6)+(0+(0-0))+0-0-0</f>
        <v>1097.8</v>
      </c>
      <c r="O194" s="3">
        <f>1516.3+(512.5-847.7)+(0+(0-0))+0-0-0</f>
        <v>1181.0999999999999</v>
      </c>
      <c r="P194" s="3">
        <f>1706.2+(517.2-982.3)+(0+(0-0))+0-0-0</f>
        <v>1241.1000000000001</v>
      </c>
      <c r="Q194" s="3">
        <f>1824.3+(495.1-1043.3)+(-2.791179+(-0.757503--1.596249))+0-0-0</f>
        <v>1274.147567</v>
      </c>
      <c r="R194" s="3">
        <f>1918.7+(499.3-1113.1)+(-5.871222+(-1.527858--3.406086))+0-0-0</f>
        <v>1300.9070060000001</v>
      </c>
      <c r="S194" s="3">
        <f>1926.8+(519.6-1150.7)+(-1.965336+(-0.529992--1.173714))+0-0-0</f>
        <v>1294.3783859999999</v>
      </c>
      <c r="T194" s="3">
        <f>1930+(483-1134.7)+(-0.9843+(-0.24633--0.578697))+0-0-0</f>
        <v>1277.6480669999999</v>
      </c>
      <c r="U194" s="3">
        <f>1913.5+(465.8-1121)+(-1.95177+(-0.475116--1.14342))+0-0-0</f>
        <v>1257.0165339999999</v>
      </c>
      <c r="V194" s="3">
        <f>1455.3+(500.9-708.9)+(-2.226609+(-0.766377--1.084617))+0-0-0</f>
        <v>1245.391631</v>
      </c>
      <c r="W194" s="3">
        <f>1206.7+(415.3-380.6)+(2.461668+(0.847212-0.776424))+0-0-0</f>
        <v>1243.932456</v>
      </c>
      <c r="X194" s="3">
        <f>1216.1+(451.4-244.9)+(1.240422+(0.460428-0.249798))+0-0-0</f>
        <v>1424.0510519999998</v>
      </c>
      <c r="Y194" s="3">
        <f>1215.4+(455.2-238.9)+(1.239708+(0.464304-0.243678))+0-0-0</f>
        <v>1433.1603340000001</v>
      </c>
      <c r="Z194" s="3">
        <f>1212.6+(431.1-263.3)+(0+(0-0))+0-0-0</f>
        <v>1380.3999999999999</v>
      </c>
      <c r="AA194" s="3">
        <f>1122.3+(430.8-224.4)+(0.572373+(0.219708-0.114444))+0-0-0</f>
        <v>1329.377637</v>
      </c>
      <c r="AB194" s="3">
        <f>1013.5+(434.6-204.4)+(-2.584425+(-1.10823--0.52122))+0-0-0</f>
        <v>1240.5285650000001</v>
      </c>
      <c r="AC194" s="3">
        <f>1023.6+(383.8-276.3)+(-2.088144+(-0.782952--0.563652))+0-0-0</f>
        <v>1128.7925559999999</v>
      </c>
      <c r="AD194" s="2">
        <v>1423.1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931+(395.3-301.8)+(-1.89924+(-0.806412--0.615672))+0-0-0</f>
        <v>1022.41002</v>
      </c>
      <c r="G195" s="3">
        <f>858.4+(383.9-277.3)+(-3.064488+(-1.370523--0.989961))+0-0-0</f>
        <v>961.55494999999996</v>
      </c>
      <c r="H195" s="3">
        <f>869.8+(359.3-292.8)+(0.887196+(0.366486-0.298656))+0-0-0</f>
        <v>937.25502599999993</v>
      </c>
      <c r="I195" s="3">
        <f>862+(345.7-292.6)+(-1.75848+(-0.705228--0.596904))+0-0-0</f>
        <v>913.23319599999991</v>
      </c>
      <c r="J195" s="3">
        <f>868.8+(326.1-285.5)+(0.886176+(0.332622-0.29121))+0-0-0</f>
        <v>910.32758799999999</v>
      </c>
      <c r="K195" s="3">
        <f>864.6+(338.3-302.5)+(-1.322838+(-0.517599--0.462825))+0-0-0</f>
        <v>899.02238800000009</v>
      </c>
      <c r="L195" s="3">
        <f>871.9+(321-303.4)+(0+(0-0))+0-0-0</f>
        <v>889.5</v>
      </c>
      <c r="M195" s="3">
        <f>1053.1+(374.9-438.8)+(-1.611243+(-0.573597--0.671364))+0-0-0</f>
        <v>987.68652399999985</v>
      </c>
      <c r="N195" s="3">
        <f>1429+(490.1-809.7)+(0.72879+(0.249951-0.412947))+0-0-0</f>
        <v>1109.9657940000002</v>
      </c>
      <c r="O195" s="3">
        <f>1793.2+(442.4-1057.4)+(-1.829064+(-0.451248--1.078548))+0-0-0</f>
        <v>1176.9982359999999</v>
      </c>
      <c r="P195" s="3">
        <f>1916.9+(434.9-1120.9)+(-0.977619+(-0.221799--0.571659))+0-0-0</f>
        <v>1230.2722410000001</v>
      </c>
      <c r="Q195" s="3">
        <f>1916.1+(470.3-1120.8)+(2.931633+(0.719559-1.714824))+0-0-0</f>
        <v>1267.5363679999998</v>
      </c>
      <c r="R195" s="3">
        <f>1903.4+(447.6-1090.6)+(-3.882936+(-0.913104--2.224824))+0-0-0</f>
        <v>1257.828784</v>
      </c>
      <c r="S195" s="3">
        <f>1916.4+(473-1120.6)+(3.909456+(0.96492-2.286024))+0-0-0</f>
        <v>1271.3883520000002</v>
      </c>
      <c r="T195" s="3">
        <f>1899.7+(467.4-1108.2)+(-0.968847+(-0.238374--0.565182))+0-0-0</f>
        <v>1258.257961</v>
      </c>
      <c r="U195" s="3">
        <f>1856.6+(452.4-1062.3)+(-4.73433+(-1.15362--2.708865))+0-0-0</f>
        <v>1243.5209149999998</v>
      </c>
      <c r="V195" s="3">
        <f>1588.9+(418.6-772.8)+(-5.672373+(-1.494402--2.758896))+0-0-0</f>
        <v>1230.2921210000002</v>
      </c>
      <c r="W195" s="3">
        <f>1571.8+(316.7-656)+(-2.404854+(-0.484551--1.00368))+0-0-0</f>
        <v>1230.6142749999999</v>
      </c>
      <c r="X195" s="3">
        <f>1781.7+(347.5-726.6)+(-3.634668+(-0.7089--1.482264))+0-0-0</f>
        <v>1399.7386959999999</v>
      </c>
      <c r="Y195" s="3">
        <f>1837+(331.1-773.6)+(-4.68435+(-0.844305--1.97268))+0-0-0</f>
        <v>1390.944025</v>
      </c>
      <c r="Z195" s="3">
        <f>1692.5+(338.9-697.8)+(-3.4527+(-0.691356--1.423512))+0-0-0</f>
        <v>1330.8794559999999</v>
      </c>
      <c r="AA195" s="3">
        <f>1588.9+(353.6-665.8)+(-4.051695+(-0.90168--1.69779))+0-0-0</f>
        <v>1273.4444150000002</v>
      </c>
      <c r="AB195" s="3">
        <f>1506.4+(294-601.5)+(0.768264+(0.14994-0.306765))+0-0-0</f>
        <v>1199.5114390000001</v>
      </c>
      <c r="AC195" s="3">
        <f>1304.2+(290.6-500.7)+(-3.32571+(-0.74103--1.276785))+0-0-0</f>
        <v>1091.3100450000002</v>
      </c>
      <c r="AD195" s="2">
        <v>1414.5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1156.4+(305.3-448.2)+(-0.589764+(-0.155703--0.228582))+0-0-0</f>
        <v>1012.9831150000001</v>
      </c>
      <c r="G196" s="3">
        <f>1134.2+(307.1-477.9)+(-0.578442+(-0.156621--0.243729))+0-0-0</f>
        <v>962.90866600000004</v>
      </c>
      <c r="H196" s="3">
        <f>1079.6+(319.7-462.8)+(1.651788+(0.489141-0.708084))+0-0-0</f>
        <v>937.93284499999993</v>
      </c>
      <c r="I196" s="3">
        <f>1080.1+(300.4-468.3)+(1.652553+(0.459612-0.716499))+0-0-0</f>
        <v>913.59566599999982</v>
      </c>
      <c r="J196" s="3">
        <f>1059.8+(292.5-444.5)+(-2.161992+(-0.5967--0.90678))+0-0-0</f>
        <v>905.94808799999998</v>
      </c>
      <c r="K196" s="3">
        <f>1063.1+(306.8-469.8)+(-1.626543+(-0.469404--0.718794))+0-0-0</f>
        <v>898.72284699999989</v>
      </c>
      <c r="L196" s="3">
        <f>1064.1+(302.4-482.5)+(-1.628073+(-0.462672--0.738225))+0-0-0</f>
        <v>882.64747999999986</v>
      </c>
      <c r="M196" s="3">
        <f>1167.4+(314.5-502.4)+(2.97687+(0.801975-1.28112))+0-0-0</f>
        <v>981.99772500000006</v>
      </c>
      <c r="N196" s="3">
        <f>1494.9+(421.9-803.5)+(0+(0-0))+0-0-0</f>
        <v>1113.3000000000002</v>
      </c>
      <c r="O196" s="3">
        <f>1714.8+(496.1-1023.8)+(2.623644+(0.759033-1.566414))+0-0-0</f>
        <v>1188.9162629999998</v>
      </c>
      <c r="P196" s="3">
        <f>1939.6+(554.9-1242.6)+(0+(0-0))+0-0-0</f>
        <v>1251.9000000000001</v>
      </c>
      <c r="Q196" s="3">
        <f>1942.2+(561.8-1214.8)+(1.981044+(0.573036-1.239096))+0-0-0</f>
        <v>1290.5149840000001</v>
      </c>
      <c r="R196" s="3">
        <f>1928.6+(547.4-1187.4)+(-0.983586+(-0.279174--0.605574))+0-0-0</f>
        <v>1287.942814</v>
      </c>
      <c r="S196" s="3">
        <f>1930.5+(551.8-1195.7)+(1.96911+(0.562836-1.219614))+0-0-0</f>
        <v>1287.9123319999999</v>
      </c>
      <c r="T196" s="3">
        <f>1933+(515.3-1176.7)+(2.95749+(0.788409-1.800351))+0-0-0</f>
        <v>1273.5455479999998</v>
      </c>
      <c r="U196" s="3">
        <f>1926.4+(509.8-1187.8)+(0+(0-0))+0-0-0</f>
        <v>1248.4000000000001</v>
      </c>
      <c r="V196" s="3">
        <f>1926+(500.7-1195.5)+(-0.98226+(-0.255357--0.609705))+0-0-0</f>
        <v>1230.5720880000001</v>
      </c>
      <c r="W196" s="3">
        <f>1949.3+(327.9-1033.5)+(2.982429+(0.501687-1.581255))+0-0-0</f>
        <v>1245.6028609999998</v>
      </c>
      <c r="X196" s="3">
        <f>1955.1+(461.9-1003.6)+(-1.994202+(-0.471138--1.023672))+0-0-0</f>
        <v>1411.9583319999999</v>
      </c>
      <c r="Y196" s="3">
        <f>1952.3+(511.5-1048.1)+(-4.978365+(-1.304325--2.672655))+0-0-0</f>
        <v>1412.0899650000001</v>
      </c>
      <c r="Z196" s="3">
        <f>1953.2+(510.8-1102.9)+(-3.984528+(-1.042032--2.249916))+0-0-0</f>
        <v>1358.3233559999999</v>
      </c>
      <c r="AA196" s="3">
        <f>1837.2+(436.3-976.5)+(-2.810916+(-0.667539--1.494045))+0-0-0</f>
        <v>1295.01559</v>
      </c>
      <c r="AB196" s="3">
        <f>1751.4+(402.6-940.4)+(-4.46607+(-1.02663--2.39802))+0-0-0</f>
        <v>1210.5053200000002</v>
      </c>
      <c r="AC196" s="3">
        <f>1709.6+(384.3-980.1)+(-4.35948+(-0.979965--2.499255))+0-0-0</f>
        <v>1110.9598100000001</v>
      </c>
      <c r="AD196" s="2">
        <v>1441.8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1592.3+(434.1-980.3)+(-0.812073+(-0.221391--0.499953))+0-0-0</f>
        <v>1045.5664889999998</v>
      </c>
      <c r="G197" s="3">
        <f>1431.8+(409.8-854.1)+(0.730218+(0.208998-0.435591))+0-0-0</f>
        <v>988.00362500000006</v>
      </c>
      <c r="H197" s="3">
        <f>1301.9+(424.2-775.9)+(1.327938+(0.432684-0.791418))+0-0-0</f>
        <v>951.16920400000004</v>
      </c>
      <c r="I197" s="3">
        <f>1287.5+(423.2-772)+(-0.656625+(-0.215832--0.39372))+0-0-0</f>
        <v>938.22126300000002</v>
      </c>
      <c r="J197" s="3">
        <f>1192.4+(431.9-690.9)+(0.608124+(0.220269-0.352359))+0-0-0</f>
        <v>933.87603400000012</v>
      </c>
      <c r="K197" s="3">
        <f>1185.2+(436.1-698.5)+(-1.813356+(-0.667233--1.068705))+0-0-0</f>
        <v>921.38811600000008</v>
      </c>
      <c r="L197" s="3">
        <f>1193.1+(410.5-690.3)+(1.216962+(0.41871-0.704106))+0-0-0</f>
        <v>914.23156599999993</v>
      </c>
      <c r="M197" s="3">
        <f>1394.2+(427.3-820.4)+(1.422084+(0.435846-0.836808))+0-0-0</f>
        <v>1002.1211220000001</v>
      </c>
      <c r="N197" s="3">
        <f>1782.6+(480.9-1106.3)+(-0.909126+(-0.245259--0.564213))+0-0-0</f>
        <v>1156.6098279999999</v>
      </c>
      <c r="O197" s="3">
        <f>1854.2+(508.9-1130.4)+(-0.945642+(-0.259539--0.576504))+0-0-0</f>
        <v>1232.0713229999999</v>
      </c>
      <c r="P197" s="3">
        <f>1936.7+(474.7-1129.4)+(0+(0-0))+0-0-0</f>
        <v>1282</v>
      </c>
      <c r="Q197" s="3">
        <f>1921.3+(458-1068.2)+(-1.959726+(-0.46716--1.089564))+0-0-0</f>
        <v>1309.7626779999998</v>
      </c>
      <c r="R197" s="3">
        <f>1928.6+(472.3-1093.6)+(0.983586+(0.240873-0.557736))+0-0-0</f>
        <v>1307.966723</v>
      </c>
      <c r="S197" s="3">
        <f>1927.6+(547.1-1174.4)+(0+(0-0))+0-0-0</f>
        <v>1300.2999999999997</v>
      </c>
      <c r="T197" s="3">
        <f>1926.2+(561.8-1204.9)+(1.964724+(0.573036-1.228998))+0-0-0</f>
        <v>1284.4087619999998</v>
      </c>
      <c r="U197" s="3">
        <f>1904.6+(523.2-1172.6)+(-4.85673+(-1.33416--2.99013))+0-0-0</f>
        <v>1251.9992400000001</v>
      </c>
      <c r="V197" s="3">
        <f>1890.1+(502.2-1148.5)+(-2.891853+(-0.768366--1.757205))+0-0-0</f>
        <v>1241.896986</v>
      </c>
      <c r="W197" s="3">
        <f>1797.7+(369.6-915.4)+(1.833654+(0.376992-0.933708))+0-0-0</f>
        <v>1253.1769380000001</v>
      </c>
      <c r="X197" s="3">
        <f>1949.9+(512-1031.6)+(0+(0-0))+0-0-0</f>
        <v>1430.3000000000002</v>
      </c>
      <c r="Y197" s="3">
        <f>1941.7+(532.1-1053.3)+(-3.961068+(-1.085484--2.148732))+0-0-0</f>
        <v>1417.6021800000001</v>
      </c>
      <c r="Z197" s="3">
        <f>1914.5+(523.4-1075.2)+(-1.95279+(-0.533868--1.096704))+0-0-0</f>
        <v>1361.3100459999998</v>
      </c>
      <c r="AA197" s="3">
        <f>1791.1+(502-989.5)+(-0.913461+(-0.25602--0.504645))+0-0-0</f>
        <v>1302.935164</v>
      </c>
      <c r="AB197" s="3">
        <f>1708+(479.6-971.4)+(-4.3554+(-1.22298--2.47707))+0-0-0</f>
        <v>1213.09869</v>
      </c>
      <c r="AC197" s="3">
        <f>1574.3+(446.9-898.4)+(-4.014465+(-1.139595--2.29092))+0-0-0</f>
        <v>1119.93686</v>
      </c>
      <c r="AD197" s="2">
        <v>1433.2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1354.7+(421.3-746)+(-2.072691+(-0.644589--1.14138))+0-0-0</f>
        <v>1028.4241</v>
      </c>
      <c r="G198" s="3">
        <f>1066.1+(385.6-493.1)+(-2.718555+(-0.98328--1.257405))+0-0-0</f>
        <v>956.1555699999999</v>
      </c>
      <c r="H198" s="3">
        <f>994.2+(352.3-428)+(-1.521126+(-0.539019--0.65484))+0-0-0</f>
        <v>917.094695</v>
      </c>
      <c r="I198" s="3">
        <f>998.5+(364.7-454.6)+(0+(0-0))+0-0-0</f>
        <v>908.59999999999991</v>
      </c>
      <c r="J198" s="3">
        <f>997.9+(332.5-414.8)+(-0.508929+(-0.169575--0.211548))+0-0-0</f>
        <v>915.13304399999993</v>
      </c>
      <c r="K198" s="3">
        <f>997.9+(340.1-429.6)+(-1.526787+(-0.520353--0.657288))+0-0-0</f>
        <v>907.01014799999996</v>
      </c>
      <c r="L198" s="3">
        <f>1002.4+(360.8-474.6)+(0.511224+(0.184008-0.242046))+0-0-0</f>
        <v>889.05318599999987</v>
      </c>
      <c r="M198" s="3">
        <f>1101.3+(381.1-492.7)+(0.561663+(0.194361-0.251277))+0-0-0</f>
        <v>990.204747</v>
      </c>
      <c r="N198" s="3">
        <f>1358.5+(487.8-734.5)+(0.692835+(0.248778-0.374595))+0-0-0</f>
        <v>1112.3670179999999</v>
      </c>
      <c r="O198" s="3">
        <f>1523.8+(501.9-824.7)+(0.777138+(0.255969-0.420597))+0-0-0</f>
        <v>1201.6125099999999</v>
      </c>
      <c r="P198" s="3">
        <f>1554.3+(468-810.3)+(0+(0-0))+0-0-0</f>
        <v>1212</v>
      </c>
      <c r="Q198" s="3">
        <f>1760.1+(475.4-979.1)+(0+(0-0))+0-0-0</f>
        <v>1256.3999999999999</v>
      </c>
      <c r="R198" s="3">
        <f>1765.3+(464.2-976)+(0+(0-0))+0-0-0</f>
        <v>1253.5</v>
      </c>
      <c r="S198" s="3">
        <f>1838.1+(340.5-935)+(-1.874862+(-0.34731--0.9537))+0-0-0</f>
        <v>1242.3315279999999</v>
      </c>
      <c r="T198" s="3">
        <f>1844.9+(373.6-986.4)+(-0.940899+(-0.190536--0.503064))+0-0-0</f>
        <v>1231.4716290000001</v>
      </c>
      <c r="U198" s="3">
        <f>1819.8+(383.5-990.9)+(-6.496686+(-1.369095--3.537513))+0-0-0</f>
        <v>1208.0717320000001</v>
      </c>
      <c r="V198" s="3">
        <f>1577.2+(429.7-834.9)+(0.804372+(0.219147-0.425799))+0-0-0</f>
        <v>1172.59772</v>
      </c>
      <c r="W198" s="3">
        <f>1569.3+(375.5-741.2)+(-1.600686+(-0.38301--0.756024))+0-0-0</f>
        <v>1202.3723279999999</v>
      </c>
      <c r="X198" s="3">
        <f>1861.8+(390.4-879.3)+(-3.798072+(-0.796416--1.793772))+0-0-0</f>
        <v>1370.0992840000001</v>
      </c>
      <c r="Y198" s="3">
        <f>1889.8+(428.3-949.8)+(-3.855192+(-0.873732--1.937592))+0-0-0</f>
        <v>1365.5086679999999</v>
      </c>
      <c r="Z198" s="3">
        <f>1711.3+(429-829)+(-1.745526+(-0.43758--0.84558))+0-0-0</f>
        <v>1309.9624739999999</v>
      </c>
      <c r="AA198" s="3">
        <f>1549+(489.1-773.9)+(-3.94995+(-1.247205--1.973445))+0-0-0</f>
        <v>1260.9762900000001</v>
      </c>
      <c r="AB198" s="3">
        <f>1556+(448.6-812.8)+(-3.17424+(-0.915144--1.658112))+0-0-0</f>
        <v>1189.3687280000001</v>
      </c>
      <c r="AC198" s="3">
        <f>1554.5+(420.6-873)+(-0.792795+(-0.214506--0.44523))+0-0-0</f>
        <v>1101.5379289999998</v>
      </c>
      <c r="AD198" s="2">
        <v>1412.6999999999998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1557.6+(439.1-960.5)+(-0.794376+(-0.223941--0.489855))+0-0-0</f>
        <v>1035.6715379999998</v>
      </c>
      <c r="G199" s="3">
        <f>1493.5+(421-934.7)+(-3.808425+(-1.07355--2.383485))+0-0-0</f>
        <v>977.30151000000001</v>
      </c>
      <c r="H199" s="3">
        <f>1210.8+(418.5-695.7)+(0+(0-0))+0-0-0</f>
        <v>933.59999999999991</v>
      </c>
      <c r="I199" s="3">
        <f>1181+(426.7-690.6)+(-0.60231+(-0.217617--0.352206))+0-0-0</f>
        <v>916.63227899999993</v>
      </c>
      <c r="J199" s="3">
        <f>1187.4+(370.8-646)+(1.211148+(0.378216-0.65892))+0-0-0</f>
        <v>913.13044400000001</v>
      </c>
      <c r="K199" s="3">
        <f>1185.1+(404.9-686.4)+(-1.208802+(-0.412998--0.700128))+0-0-0</f>
        <v>902.67832799999996</v>
      </c>
      <c r="L199" s="3">
        <f>1190+(370.6-685.5)+(0.6069+(0.189006-0.349605))+0-0-0</f>
        <v>875.54630099999997</v>
      </c>
      <c r="M199" s="3">
        <f>1487.1+(321.2-845.5)+(0+(0-0))+0-0-0</f>
        <v>962.8</v>
      </c>
      <c r="N199" s="3">
        <f>1716+(330.6-952.5)+(0.87516+(0.168606-0.485775))+0-0-0</f>
        <v>1094.6579909999998</v>
      </c>
      <c r="O199" s="3">
        <f>1850.2+(364.9-1036)+(0.943602+(0.186099-0.52836))+0-0-0</f>
        <v>1179.701341</v>
      </c>
      <c r="P199" s="3">
        <f>1836+(462.4-1062.6)+(-2.80908+(-0.707472--1.625778))+0-0-0</f>
        <v>1233.9092260000002</v>
      </c>
      <c r="Q199" s="3">
        <f>1831.7+(492.9-1070.7)+(0+(0-0))+0-0-0</f>
        <v>1253.9000000000001</v>
      </c>
      <c r="R199" s="3">
        <f>1829.7+(481.6-1063.5)+(-2.799441+(-0.736848--1.627155))+0-0-0</f>
        <v>1245.8908660000002</v>
      </c>
      <c r="S199" s="3">
        <f>1812.9+(492.8-1084.5)+(-1.849158+(-0.502656--1.10619))+0-0-0</f>
        <v>1219.9543760000001</v>
      </c>
      <c r="T199" s="3">
        <f>1830.5+(461.8-1098)+(0+(0-0))+0-0-0</f>
        <v>1194.3</v>
      </c>
      <c r="U199" s="3">
        <f>1829+(476.9-1122.7)+(-1.86558+(-0.486438--1.145154))+0-0-0</f>
        <v>1181.9931359999998</v>
      </c>
      <c r="V199" s="3">
        <f>1700+(375.3-912.1)+(-2.601+(-0.574209--1.395513))+0-0-0</f>
        <v>1161.420304</v>
      </c>
      <c r="W199" s="3">
        <f>1826.5+(281.9-902.1)+(1.86303+(0.287538-0.920142))+0-0-0</f>
        <v>1207.530426</v>
      </c>
      <c r="X199" s="3">
        <f>1937.5+(427-982.9)+(-4.940625+(-1.08885--2.506395))+0-0-0</f>
        <v>1378.07692</v>
      </c>
      <c r="Y199" s="3">
        <f>1800.7+(477.2-910.7)+(-2.755071+(-0.730116--1.393371))+0-0-0</f>
        <v>1365.1081839999999</v>
      </c>
      <c r="Z199" s="3">
        <f>1789.8+(458.3-923.7)+(-4.56399+(-1.168665--2.355435))+0-0-0</f>
        <v>1321.0227799999998</v>
      </c>
      <c r="AA199" s="3">
        <f>1682.2+(449.9-868.6)+(-2.573766+(-0.688347--1.328958))+0-0-0</f>
        <v>1261.5668450000001</v>
      </c>
      <c r="AB199" s="3">
        <f>1577.8+(454.9-837.6)+(-1.609356+(-0.463998--0.854352))+0-0-0</f>
        <v>1193.8809979999999</v>
      </c>
      <c r="AC199" s="3">
        <f>1559.2+(453-894.4)+(-0.795192+(-0.23103--0.456144))+0-0-0</f>
        <v>1117.2299220000002</v>
      </c>
      <c r="AD199" s="2">
        <v>1385.3000000000002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1555.6+(372.6-895.1)+(-2.380068+(-0.570078--1.369503))+0-0-0</f>
        <v>1031.5193569999999</v>
      </c>
      <c r="G200" s="3">
        <f>1555.9+(362.6-940.1)+(-2.380527+(-0.554778--1.438353))+0-0-0</f>
        <v>976.90304800000013</v>
      </c>
      <c r="H200" s="3">
        <f>1465+(344-872.4)+(-1.4943+(-0.35088--0.889848))+0-0-0</f>
        <v>935.64466800000002</v>
      </c>
      <c r="I200" s="3">
        <f>1402.4+(337-830.3)+(-2.145672+(-0.51561--1.270359))+0-0-0</f>
        <v>907.70907700000009</v>
      </c>
      <c r="J200" s="3">
        <f>1339.3+(261.2-703.3)+(2.049129+(0.399636-1.076049))+0-0-0</f>
        <v>898.57271600000001</v>
      </c>
      <c r="K200" s="3">
        <f>1326.2+(310.7-750.7)+(-3.38181+(-0.792285--1.914285))+0-0-0</f>
        <v>883.94019000000003</v>
      </c>
      <c r="L200" s="3">
        <f>1182.7+(295.8-656.2)+(0+(0-0))+0-0-0</f>
        <v>822.3</v>
      </c>
      <c r="M200" s="3">
        <f>1263.2+(321.5-733.6)+(0+(0-0))+0-0-0</f>
        <v>851.1</v>
      </c>
      <c r="N200" s="3">
        <f>1334.7+(312.9-725.1)+(-2.722788+(-0.638316--1.479204))+0-0-0</f>
        <v>920.61810000000003</v>
      </c>
      <c r="O200" s="3">
        <f>1528.7+(356.9-887.5)+(-1.559274+(-0.364038--0.90525))+0-0-0</f>
        <v>997.08193800000004</v>
      </c>
      <c r="P200" s="3">
        <f>1610.9+(419.7-992.5)+(-2.464677+(-0.642141--1.518525))+0-0-0</f>
        <v>1036.5117070000001</v>
      </c>
      <c r="Q200" s="3">
        <f>1765.9+(404.2-1097.5)+(-3.602436+(-0.824568--2.2389))+0-0-0</f>
        <v>1070.4118960000001</v>
      </c>
      <c r="R200" s="3">
        <f>1804.3+(381.4-1118.5)+(0+(0-0))+0-0-0</f>
        <v>1067.1999999999998</v>
      </c>
      <c r="S200" s="3">
        <f>1788.3+(368.3-1093.4)+(-4.560165+(-0.939165--2.78817))+0-0-0</f>
        <v>1060.4888399999998</v>
      </c>
      <c r="T200" s="3">
        <f>1627.6+(399.2-976.5)+(-2.490228+(-0.610776--1.494045))+0-0-0</f>
        <v>1048.693041</v>
      </c>
      <c r="U200" s="3">
        <f>1443.3+(347.2-749.8)+(-2.208249+(-0.531216--1.147194))+0-0-0</f>
        <v>1039.1077290000001</v>
      </c>
      <c r="V200" s="3">
        <f>1259.4+(321.9-544.8)+(-1.284588+(-0.328338--0.555696))+0-0-0</f>
        <v>1035.4427700000001</v>
      </c>
      <c r="W200" s="3">
        <f>1303.9+(341.5-530.2)+(0.664989+(0.174165-0.270402))+0-0-0</f>
        <v>1115.7687519999999</v>
      </c>
      <c r="X200" s="3">
        <f>1483.5+(407.3-597.1)+(0+(0-0))+0-0-0</f>
        <v>1293.7</v>
      </c>
      <c r="Y200" s="3">
        <f>1487.2+(433.1-619.2)+(-2.275416+(-0.662643--0.947376))+0-0-0</f>
        <v>1299.1093169999999</v>
      </c>
      <c r="Z200" s="3">
        <f>1497.1+(414.8-643.3)+(-0.763521+(-0.211548--0.328083))+0-0-0</f>
        <v>1267.9530139999999</v>
      </c>
      <c r="AA200" s="3">
        <f>1499+(385.3-668.2)+(-2.29347+(-0.589509--1.022346))+0-0-0</f>
        <v>1214.2393669999999</v>
      </c>
      <c r="AB200" s="3">
        <f>1470.1+(379.7-707.6)+(-5.248257+(-1.355529--2.526132))+0-0-0</f>
        <v>1138.1223459999999</v>
      </c>
      <c r="AC200" s="3">
        <f>1375.4+(353.8-682)+(-0.701454+(-0.180438--0.34782))+0-0-0</f>
        <v>1046.6659280000001</v>
      </c>
      <c r="AD200" s="2">
        <v>1305.8999999999999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1357+(302.6-706.7)+(-2.76828+(-0.617304--1.441668))+0-0-0</f>
        <v>950.95608400000003</v>
      </c>
      <c r="G201" s="3">
        <f>1301.7+(307.4-698.3)+(-0.663867+(-0.156774--0.356133))+0-0-0</f>
        <v>910.33549200000004</v>
      </c>
      <c r="H201" s="3">
        <f>1111.1+(344.6-566.1)+(-2.833305+(-0.87873--1.443555))+0-0-0</f>
        <v>887.33151999999995</v>
      </c>
      <c r="I201" s="3">
        <f>1086+(316.1-528.2)+(-2.7693+(-0.806055--1.34691))+0-0-0</f>
        <v>871.67155500000001</v>
      </c>
      <c r="J201" s="3">
        <f>1089+(322.3-538.2)+(1.11078+(0.328746-0.548964))+0-0-0</f>
        <v>873.99056199999995</v>
      </c>
      <c r="K201" s="3">
        <f>1087+(333.2-541.3)+(0.55437+(0.169932-0.276063))+0-0-0</f>
        <v>879.34823900000004</v>
      </c>
      <c r="L201" s="3">
        <f>1092.1+(316.5-520.7)+(1.113942+(0.32283-0.531114))+0-0-0</f>
        <v>888.80565799999988</v>
      </c>
      <c r="M201" s="3">
        <f>1235+(310-564)+(0.62985+(0.1581-0.28764))+0-0-0</f>
        <v>981.50031000000001</v>
      </c>
      <c r="N201" s="3">
        <f>1443.3+(345.6-676.4)+(0+(0-0))+0-0-0</f>
        <v>1112.5</v>
      </c>
      <c r="O201" s="3">
        <f>1541+(525.9-888.2)+(0+(0-0))+0-0-0</f>
        <v>1178.6999999999998</v>
      </c>
      <c r="P201" s="3">
        <f>1461.9+(564.6-803.8)+(-0.745569+(-0.287946--0.409938))+0-0-0</f>
        <v>1222.0764230000002</v>
      </c>
      <c r="Q201" s="3">
        <f>1435.4+(583.6-763.1)+(2.196162+(0.892908-1.167543))+0-0-0</f>
        <v>1257.8215270000001</v>
      </c>
      <c r="R201" s="3">
        <f>1426.8+(559.9-748.2)+(0+(0-0))+0-0-0</f>
        <v>1238.5</v>
      </c>
      <c r="S201" s="3">
        <f>1426+(558-758.4)+(0.72726+(0.28458-0.386784))+0-0-0</f>
        <v>1226.225056</v>
      </c>
      <c r="T201" s="3">
        <f>1426.2+(553.1-775.2)+(0+(0-0))+0-0-0</f>
        <v>1204.0999999999999</v>
      </c>
      <c r="U201" s="3">
        <f>1415+(543.3-777.1)+(-5.05155+(-1.939581--2.774247))+0-0-0</f>
        <v>1176.9831159999999</v>
      </c>
      <c r="V201" s="3">
        <f>1429.1+(502.2-752.9)+(-2.915364+(-1.024488--1.535916))+0-0-0</f>
        <v>1175.9960639999999</v>
      </c>
      <c r="W201" s="3">
        <f>1472.9+(413.7-631.9)+(0.751179+(0.210987-0.322269))+0-0-0</f>
        <v>1255.3398970000001</v>
      </c>
      <c r="X201" s="3">
        <f>1681.6+(468.8-752.9)+(0+(0-0))+0-0-0</f>
        <v>1397.5</v>
      </c>
      <c r="Y201" s="3">
        <f>1796.4+(438.4-850.7)+(0+(0-0))+0-0-0</f>
        <v>1384.1</v>
      </c>
      <c r="Z201" s="3">
        <f>1791+(421.3-869.4)+(-3.65364+(-0.859452--1.773576))+0-0-0</f>
        <v>1340.160484</v>
      </c>
      <c r="AA201" s="3">
        <f>1654.7+(415.1-776)+(-1.687794+(-0.423402--0.79152))+0-0-0</f>
        <v>1292.4803240000001</v>
      </c>
      <c r="AB201" s="3">
        <f>1472.8+(310.6-575.3)+(-2.253384+(-0.475218--0.880209))+0-0-0</f>
        <v>1206.2516069999999</v>
      </c>
      <c r="AC201" s="3">
        <f>1406.7+(320.1-610.8)+(-2.869668+(-0.653004--1.246032))+0-0-0</f>
        <v>1113.72336</v>
      </c>
      <c r="AD201" s="2">
        <v>1458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1260.3+(307.6-548.1)+(-2.571012+(-0.627504--1.118124))+0-0-0</f>
        <v>1017.719608</v>
      </c>
      <c r="G202" s="3">
        <f>1130.4+(311.4-460.3)+(-2.88252+(-0.79407--1.173765))+0-0-0</f>
        <v>978.99717499999997</v>
      </c>
      <c r="H202" s="3">
        <f>1082.6+(310.6-455.9)+(-1.656378+(-0.475218--0.697527))+0-0-0</f>
        <v>935.86593099999993</v>
      </c>
      <c r="I202" s="3">
        <f>1086.7+(303.8-465.3)+(-0.554217+(-0.154938--0.237303))+0-0-0</f>
        <v>924.72814800000003</v>
      </c>
      <c r="J202" s="3">
        <f>1094.3+(300.2-470.1)+(1.674279+(0.459306-0.719253))+0-0-0</f>
        <v>925.81433199999981</v>
      </c>
      <c r="K202" s="3">
        <f>1083.2+(309.1-466.9)+(-1.657296+(-0.472923--0.714357))+0-0-0</f>
        <v>923.98413800000014</v>
      </c>
      <c r="L202" s="3">
        <f>1095.5+(298.5-488.3)+(0+(0-0))+0-0-0</f>
        <v>905.7</v>
      </c>
      <c r="M202" s="3">
        <f>1344.7+(331.3-672.4)+(-1.371594+(-0.337926--0.685848))+0-0-0</f>
        <v>1002.5763280000001</v>
      </c>
      <c r="N202" s="3">
        <f>1489+(397.3-747.4)+(2.27817+(0.607869-1.143522))+0-0-0</f>
        <v>1140.642517</v>
      </c>
      <c r="O202" s="3">
        <f>1763.4+(391.1-938.7)+(0.899334+(0.199461-0.478737))+0-0-0</f>
        <v>1216.4200580000002</v>
      </c>
      <c r="P202" s="3">
        <f>1775.4+(415.9-925.3)+(0+(0-0))+0-0-0</f>
        <v>1266</v>
      </c>
      <c r="Q202" s="3">
        <f>1779+(426.6-900.6)+(-1.81458+(-0.435132--0.918612))+0-0-0</f>
        <v>1303.6688999999999</v>
      </c>
      <c r="R202" s="3">
        <f>1776.5+(496-979.8)+(0+(0-0))+0-0-0</f>
        <v>1292.7</v>
      </c>
      <c r="S202" s="3">
        <f>1776.6+(507.7-998.3)+(0.906066+(0.258927-0.509133))+0-0-0</f>
        <v>1286.6558600000001</v>
      </c>
      <c r="T202" s="3">
        <f>1769.3+(472.1-983.9)+(-1.804686+(-0.481542--1.003578))+0-0-0</f>
        <v>1256.2173499999999</v>
      </c>
      <c r="U202" s="3">
        <f>1761.1+(442-970.8)+(-4.490805+(-1.1271--2.47554))+0-0-0</f>
        <v>1229.157635</v>
      </c>
      <c r="V202" s="3">
        <f>1716.2+(477.3-968.6)+(-1.750524+(-0.486846--0.987972))+0-0-0</f>
        <v>1223.6506020000002</v>
      </c>
      <c r="W202" s="3">
        <f>1716.8+(417.9-842)+(0.875568+(0.213129-0.42942))+0-0-0</f>
        <v>1293.3592769999998</v>
      </c>
      <c r="X202" s="3">
        <f>1822+(471.9-861.2)+(-1.85844+(-0.481338--0.878424))+0-0-0</f>
        <v>1431.2386459999998</v>
      </c>
      <c r="Y202" s="3">
        <f>1828.2+(493.5-904)+(0+(0-0))+0-0-0</f>
        <v>1417.7</v>
      </c>
      <c r="Z202" s="3">
        <f>1833.7+(473.1-940.9)+(-0.935187+(-0.241281--0.479859))+0-0-0</f>
        <v>1365.203391</v>
      </c>
      <c r="AA202" s="3">
        <f>1832.3+(484.8-997.5)+(-0.934473+(-0.247248--0.508725))+0-0-0</f>
        <v>1318.9270039999999</v>
      </c>
      <c r="AB202" s="3">
        <f>1741.6+(474.7-967.4)+(-3.552864+(-0.968388--1.973496))+0-0-0</f>
        <v>1246.3522439999999</v>
      </c>
      <c r="AC202" s="3">
        <f>1493.8+(480.4-833.7)+(0+(0-0))+0-0-0</f>
        <v>1140.5</v>
      </c>
      <c r="AD202" s="2">
        <v>1459.5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1299.8+(484.2-723.2)+(0+(0-0))+0-0-0</f>
        <v>1060.8</v>
      </c>
      <c r="G203" s="3">
        <f>1154.5+(474-630.5)+(0.588795+(0.24174-0.321555))+0-0-0</f>
        <v>998.50897999999995</v>
      </c>
      <c r="H203" s="3">
        <f>1087+(484-605.8)+(0.55437+(0.24684-0.308958))+0-0-0</f>
        <v>965.69225200000005</v>
      </c>
      <c r="I203" s="3">
        <f>1065+(484.7-603.4)+(1.0863+(0.494394-0.615468))+0-0-0</f>
        <v>947.26522599999998</v>
      </c>
      <c r="J203" s="3">
        <f>1113.4+(466.7-642.5)+(-1.135668+(-0.476034--0.65535))+0-0-0</f>
        <v>936.6436480000001</v>
      </c>
      <c r="K203" s="3">
        <f>1180.1+(444.7-683.1)+(-1.203702+(-0.453594--0.696762))+0-0-0</f>
        <v>940.73946599999977</v>
      </c>
      <c r="L203" s="3">
        <f>1190.3+(430.1-692.1)+(3.035265+(1.096755-1.764855))+0-0-0</f>
        <v>930.66716499999995</v>
      </c>
      <c r="M203" s="3">
        <f>1362.8+(465.6-808.7)+(0.695028+(0.237456-0.412437))+0-0-0</f>
        <v>1020.2200469999999</v>
      </c>
      <c r="N203" s="3">
        <f>1570.7+(539.2-967.7)+(1.602114+(0.549984-0.987054))+0-0-0</f>
        <v>1143.3650440000001</v>
      </c>
      <c r="O203" s="3">
        <f>1568.1+(495.7-848.5)+(2.399193+(0.758421-1.298205))+0-0-0</f>
        <v>1217.1594089999999</v>
      </c>
      <c r="P203" s="3">
        <f>1561.2+(496.1-793.2)+(0.796212+(0.253011-0.404532))+0-0-0</f>
        <v>1264.7446909999999</v>
      </c>
      <c r="Q203" s="3">
        <f>1558+(500.6-764)+(0+(0-0))+0-0-0</f>
        <v>1294.5999999999999</v>
      </c>
      <c r="R203" s="3">
        <f>1547.3+(500.6-738)+(-0.789123+(-0.255306--0.37638))+0-0-0</f>
        <v>1309.231951</v>
      </c>
      <c r="S203" s="3">
        <f>1557.6+(504.8-750.6)+(2.383128+(0.772344-1.148418))+0-0-0</f>
        <v>1313.8070539999999</v>
      </c>
      <c r="T203" s="3">
        <f>1572.5+(505.9-782.7)+(0.801975+(0.258009-0.399177))+0-0-0</f>
        <v>1296.3608069999998</v>
      </c>
      <c r="U203" s="3">
        <f>1557.5+(491.1-776.3)+(-4.76595+(-1.502766--2.375478))+0-0-0</f>
        <v>1268.4067620000001</v>
      </c>
      <c r="V203" s="3">
        <f>1602.8+(410.2-755.9)+(-3.269712+(-0.836808--1.542036))+0-0-0</f>
        <v>1254.5355159999999</v>
      </c>
      <c r="W203" s="3">
        <f>1713.4+(401.7-787.7)+(0+(0-0))+0-0-0</f>
        <v>1327.4</v>
      </c>
      <c r="X203" s="3">
        <f>1818+(490.8-841.9)+(-0.92718+(-0.250308--0.429369))+0-0-0</f>
        <v>1466.151881</v>
      </c>
      <c r="Y203" s="3">
        <f>1820.7+(518.4-883.3)+(-0.928557+(-0.264384--0.450483))+0-0-0</f>
        <v>1455.0575420000002</v>
      </c>
      <c r="Z203" s="3">
        <f>1827.3+(466.3-894.2)+(-1.863846+(-0.475626--0.912084))+0-0-0</f>
        <v>1397.9726119999998</v>
      </c>
      <c r="AA203" s="3">
        <f>1811.1+(430.2-896.2)+(-3.694644+(-0.877608--1.828248))+0-0-0</f>
        <v>1342.355996</v>
      </c>
      <c r="AB203" s="3">
        <f>1699.8+(414-846.1)+(1.733796+(0.42228-0.863022))+0-0-0</f>
        <v>1268.9930539999998</v>
      </c>
      <c r="AC203" s="3">
        <f>1680.5+(360.6-876.1)+(-0.857055+(-0.183906--0.446811))+0-0-0</f>
        <v>1164.4058500000001</v>
      </c>
      <c r="AD203" s="2">
        <v>1460.7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1650.3+(286.7-862.3)+(-2.524959+(-0.438651--1.319319))+0-0-0</f>
        <v>1073.055709</v>
      </c>
      <c r="G204" s="3">
        <f>1275.7+(300.7-569.1)+(-3.253035+(-0.766785--1.451205))+0-0-0</f>
        <v>1004.7313849999999</v>
      </c>
      <c r="H204" s="3">
        <f>1187.4+(297.9-512.8)+(-3.02787+(-0.759645--1.30764))+0-0-0</f>
        <v>970.02012500000012</v>
      </c>
      <c r="I204" s="3">
        <f>1191.4+(305.1-545.3)+(-1.822842+(-0.466803--0.834309))+0-0-0</f>
        <v>949.74466400000017</v>
      </c>
      <c r="J204" s="3">
        <f>1191.1+(289.6-536.2)+(-1.214922+(-0.295392--0.546924))+0-0-0</f>
        <v>943.53660999999988</v>
      </c>
      <c r="K204" s="3">
        <f>1194+(296.7-550.2)+(-1.82682+(-0.453951--0.841806))+0-0-0</f>
        <v>939.06103499999995</v>
      </c>
      <c r="L204" s="3">
        <f>1194.2+(306.5-573.2)+(-1.218084+(-0.31263--0.584664))+0-0-0</f>
        <v>926.55394999999999</v>
      </c>
      <c r="M204" s="3">
        <f>1380.8+(393.4-730.4)+(-0.704208+(-0.200634--0.372504))+0-0-0</f>
        <v>1043.267662</v>
      </c>
      <c r="N204" s="3">
        <f>1699.8+(488.3-1011.8)+(-0.866898+(-0.249033--0.516018))+0-0-0</f>
        <v>1175.7000869999999</v>
      </c>
      <c r="O204" s="3">
        <f>1755.4+(527.3-1028.9)+(0+(0-0))+0-0-0</f>
        <v>1253.8</v>
      </c>
      <c r="P204" s="3">
        <f>1750.8+(528.6-968.5)+(1.785816+(0.539172-0.98787))+0-0-0</f>
        <v>1312.237118</v>
      </c>
      <c r="Q204" s="3">
        <f>1851.9+(526.1-1018.3)+(-0.944469+(-0.268311--0.519333))+0-0-0</f>
        <v>1359.0065530000002</v>
      </c>
      <c r="R204" s="3">
        <f>1866.7+(500.8-1027.1)+(0.952017+(0.255408-0.523821))+0-0-0</f>
        <v>1341.0836040000002</v>
      </c>
      <c r="S204" s="3">
        <f>1849.6+(507.2-1018.2)+(-2.829888+(-0.776016--1.557846))+0-0-0</f>
        <v>1336.5519419999998</v>
      </c>
      <c r="T204" s="3">
        <f>1852.9+(516.9-1056.6)+(-0.944979+(-0.263619--0.538866))+0-0-0</f>
        <v>1312.5302680000002</v>
      </c>
      <c r="U204" s="3">
        <f>1844.4+(492.8-1020)+(-4.70322+(-1.25664--2.601))+0-0-0</f>
        <v>1313.84114</v>
      </c>
      <c r="V204" s="3">
        <f>1826.4+(417.1-952.3)+(-2.794392+(-0.638163--1.457019))+0-0-0</f>
        <v>1289.2244640000004</v>
      </c>
      <c r="W204" s="3">
        <f>1812.1+(394.8-849.9)+(-0.924171+(-0.201348--0.433449))+0-0-0</f>
        <v>1356.3079299999999</v>
      </c>
      <c r="X204" s="3">
        <f>1874.7+(397.5-811.6)+(-4.780485+(-1.013625--2.06958))+0-0-0</f>
        <v>1456.87547</v>
      </c>
      <c r="Y204" s="3">
        <f>1831+(365-770.7)+(-3.73524+(-0.7446--1.572228))+0-0-0</f>
        <v>1422.392388</v>
      </c>
      <c r="Z204" s="3">
        <f>1676.9+(367-663)+(-1.710438+(-0.37434--0.67626))+0-0-0</f>
        <v>1379.4914820000001</v>
      </c>
      <c r="AA204" s="3">
        <f>1567.4+(406.5-637.5)+(-2.398122+(-0.621945--0.975375))+0-0-0</f>
        <v>1334.3553080000002</v>
      </c>
      <c r="AB204" s="3">
        <f>1566+(397.6-692.1)+(-3.19464+(-0.811104--1.411884))+0-0-0</f>
        <v>1268.9061400000001</v>
      </c>
      <c r="AC204" s="3">
        <f>1483.5+(380.8-691.6)+(-3.782925+(-0.97104--1.76358))+0-0-0</f>
        <v>1169.709615</v>
      </c>
      <c r="AD204" s="2">
        <v>1454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1338.2+(326.8-599.5)+(-2.729928+(-0.666672--1.22298))+0-0-0</f>
        <v>1063.32638</v>
      </c>
      <c r="G205" s="3">
        <f>1348.4+(285.1-627.1)+(-2.063052+(-0.436203--0.959463))+0-0-0</f>
        <v>1004.8602080000001</v>
      </c>
      <c r="H205" s="3">
        <f>1355.7+(267.5-641.3)+(-1.382814+(-0.27285--0.654126))+0-0-0</f>
        <v>980.89846200000011</v>
      </c>
      <c r="I205" s="3">
        <f>1355.6+(271.3-664.6)+(0.691356+(0.138363-0.338946))+0-0-0</f>
        <v>962.79077299999994</v>
      </c>
      <c r="J205" s="3">
        <f>1259.4+(272.7-571.9)+(0+(0-0))+0-0-0</f>
        <v>960.2</v>
      </c>
      <c r="K205" s="3">
        <f>1146.2+(325.4-521)+(-0.584562+(-0.165954--0.26571))+0-0-0</f>
        <v>950.11519399999997</v>
      </c>
      <c r="L205" s="3">
        <f>1151.4+(322.7-539.5)+(-0.587214+(-0.164577--0.275145))+0-0-0</f>
        <v>934.12335400000018</v>
      </c>
      <c r="M205" s="3">
        <f>1335+(316.7-624.2)+(0.68085+(0.161517-0.318342))+0-0-0</f>
        <v>1028.0240249999999</v>
      </c>
      <c r="N205" s="3">
        <f>1829.9+(335.8-980.8)+(-0.933249+(-0.171258--0.500208))+0-0-0</f>
        <v>1184.295701</v>
      </c>
      <c r="O205" s="3">
        <f>1823.7+(425.5-998.2)+(0+(0-0))+0-0-0</f>
        <v>1251</v>
      </c>
      <c r="P205" s="3">
        <f>1822.6+(428.9-943.4)+(0.929526+(0.218739-0.481134))+0-0-0</f>
        <v>1308.7671309999998</v>
      </c>
      <c r="Q205" s="3">
        <f>1879.2+(439.9-994.5)+(1.916784+(0.448698-1.01439))+0-0-0</f>
        <v>1325.951092</v>
      </c>
      <c r="R205" s="3">
        <f>1889.8+(449.7-1021.9)+(-0.963798+(-0.229347--0.521169))+0-0-0</f>
        <v>1316.9280239999998</v>
      </c>
      <c r="S205" s="3">
        <f>1888.9+(453.7-1057.8)+(-5.780034+(-1.388322--3.236868))+0-0-0</f>
        <v>1280.8685120000002</v>
      </c>
      <c r="T205" s="3">
        <f>1890.7+(468.8-1108.2)+(-2.892771+(-0.717264--1.695546))+0-0-0</f>
        <v>1249.385511</v>
      </c>
      <c r="U205" s="3">
        <f>1875.7+(499.4-1147.1)+(-2.869821+(-0.764082--1.755063))+0-0-0</f>
        <v>1226.1211599999999</v>
      </c>
      <c r="V205" s="3">
        <f>1802.1+(441.6-1022.1)+(-2.757213+(-0.675648--1.563813))+0-0-0</f>
        <v>1219.7309519999999</v>
      </c>
      <c r="W205" s="3">
        <f>1850+(346-901.1)+(0+(0-0))+0-0-0</f>
        <v>1294.9000000000001</v>
      </c>
      <c r="X205" s="3">
        <f>1971.5+(316.5-856.8)+(-4.02186+(-0.64566--1.747872))+0-0-0</f>
        <v>1428.280352</v>
      </c>
      <c r="Y205" s="3">
        <f>1975.8+(338.5-895.5)+(-5.03829+(-0.863175--2.283525))+0-0-0</f>
        <v>1415.1820599999999</v>
      </c>
      <c r="Z205" s="3">
        <f>1924.3+(354-906.5)+(-4.906965+(-0.9027--2.311575))+0-0-0</f>
        <v>1368.3019099999999</v>
      </c>
      <c r="AA205" s="3">
        <f>1883.8+(321.9-869.3)+(-1.921476+(-0.328338--0.886686))+0-0-0</f>
        <v>1335.0368720000001</v>
      </c>
      <c r="AB205" s="3">
        <f>1704.2+(293-740.2)+(-1.738284+(-0.29886--0.755004))+0-0-0</f>
        <v>1255.71786</v>
      </c>
      <c r="AC205" s="3">
        <f>1188.7+(381.1-408.9)+(-1.818711+(-0.583083--0.625617))+0-0-0</f>
        <v>1159.1238230000001</v>
      </c>
      <c r="AD205" s="2">
        <v>1457.9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1143+(372.1-448.2)+(0+(0-0))+0-0-0</f>
        <v>1066.9000000000001</v>
      </c>
      <c r="G206" s="3">
        <f>1140+(351.8-483)+(-1.7442+(-0.538254--0.73899))+0-0-0</f>
        <v>1007.256536</v>
      </c>
      <c r="H206" s="3">
        <f>1140.5+(324.7-492.9)+(-1.744965+(-0.496791--0.754137))+0-0-0</f>
        <v>970.81238099999996</v>
      </c>
      <c r="I206" s="3">
        <f>1145.4+(294.6-487.6)+(0+(0-0))+0-0-0</f>
        <v>952.40000000000009</v>
      </c>
      <c r="J206" s="3">
        <f>1150.2+(323.5-526)+(1.173204+(0.32997-0.53652))+0-0-0</f>
        <v>948.66665399999999</v>
      </c>
      <c r="K206" s="3">
        <f>1149.7+(306.8-511.4)+(1.172694+(0.312936-0.521628))+0-0-0</f>
        <v>946.06400200000019</v>
      </c>
      <c r="L206" s="3">
        <f>1151.5+(296.9-535)+(1.17453+(0.302838-0.5457))+0-0-0</f>
        <v>914.33166799999992</v>
      </c>
      <c r="M206" s="3">
        <f>1158.7+(329.1-492.5)+(0+(0-0))+0-0-0</f>
        <v>995.30000000000007</v>
      </c>
      <c r="N206" s="3">
        <f>1395.3+(369.2-639)+(0+(0-0))+0-0-0</f>
        <v>1125.5</v>
      </c>
      <c r="O206" s="3">
        <f>1429.4+(430.9-649.4)+(0+(0-0))+0-0-0</f>
        <v>1210.9000000000001</v>
      </c>
      <c r="P206" s="3">
        <f>1551.8+(444.1-719.1)+(0+(0-0))+0-0-0</f>
        <v>1276.8</v>
      </c>
      <c r="Q206" s="3">
        <f>1664.4+(463.1-811.1)+(0+(0-0))+0-0-0</f>
        <v>1316.4</v>
      </c>
      <c r="R206" s="3">
        <f>1824.9+(449.1-960.9)+(0+(0-0))+0-0-0</f>
        <v>1313.1000000000001</v>
      </c>
      <c r="S206" s="3">
        <f>1759.3+(394.5-870.7)+(0+(0-0))+0-0-0</f>
        <v>1283.0999999999999</v>
      </c>
      <c r="T206" s="3">
        <f>1667.5+(420-833.5)+(1.70085+(0.4284-0.85017))+0-0-0</f>
        <v>1255.27908</v>
      </c>
      <c r="U206" s="3">
        <f>1566.4+(398.4-734.1)+(-3.195456+(-0.812736--1.497564))+0-0-0</f>
        <v>1228.189372</v>
      </c>
      <c r="V206" s="3">
        <f>1490.3+(283-560.4)+(0+(0-0))+0-0-0</f>
        <v>1212.9000000000001</v>
      </c>
      <c r="W206" s="3">
        <f>1492+(282.8-500.4)+(0.76092+(0.144228-0.255204))+0-0-0</f>
        <v>1275.0499440000001</v>
      </c>
      <c r="X206" s="3">
        <f>1848.7+(267.2-710.9)+(-4.714185+(-0.68136--1.812795))+0-0-0</f>
        <v>1401.41725</v>
      </c>
      <c r="Y206" s="3">
        <f>1928.5+(305-834.7)+(-4.917675+(-0.77775--2.128485))+0-0-0</f>
        <v>1395.23306</v>
      </c>
      <c r="Z206" s="3">
        <f>1901.3+(337.5-876.6)+(-0.969663+(-0.172125--0.447066))+0-0-0</f>
        <v>1361.5052779999999</v>
      </c>
      <c r="AA206" s="3">
        <f>1659.3+(375.9-733.5)+(-0.846243+(-0.191709--0.374085))+0-0-0</f>
        <v>1301.0361329999998</v>
      </c>
      <c r="AB206" s="3">
        <f>1484.4+(359.9-621.6)+(0+(0-0))+0-0-0</f>
        <v>1222.7</v>
      </c>
      <c r="AC206" s="3">
        <f>1446.6+(368.8-683.2)+(-2.213298+(-0.564264--1.045296))+0-0-0</f>
        <v>1130.4677339999998</v>
      </c>
      <c r="AD206" s="2">
        <v>1441.4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1398.5+(405-730.9)+(-2.85294+(-0.8262--1.491036))+0-0-0</f>
        <v>1070.4118959999998</v>
      </c>
      <c r="G207" s="3">
        <f>1204.5+(416.9-608.6)+(-2.45718+(-0.850476--1.241544))+0-0-0</f>
        <v>1010.733888</v>
      </c>
      <c r="H207" s="3">
        <f>1156.3+(417.9-603.4)+(-1.769139+(-0.639387--0.923202))+0-0-0</f>
        <v>969.31467599999996</v>
      </c>
      <c r="I207" s="3">
        <f>1094.2+(402.2-548.7)+(-0.558042+(-0.205122--0.279837))+0-0-0</f>
        <v>947.21667300000001</v>
      </c>
      <c r="J207" s="3">
        <f>1104.5+(394-560.4)+(1.12659+(0.40188-0.571608))+0-0-0</f>
        <v>939.05686200000002</v>
      </c>
      <c r="K207" s="3">
        <f>1089.9+(395.4-559)+(-2.223396+(-0.806616--1.14036))+0-0-0</f>
        <v>924.41034800000011</v>
      </c>
      <c r="L207" s="3">
        <f>1101.6+(390.9-634.8)+(0.561816+(0.199359-0.323748))+0-0-0</f>
        <v>858.13742699999989</v>
      </c>
      <c r="M207" s="3">
        <f>1141.6+(350.1-630.3)+(0+(0-0))+0-0-0</f>
        <v>861.4</v>
      </c>
      <c r="N207" s="3">
        <f>1314.8+(389-772)+(-0.670548+(-0.19839--0.39372))+0-0-0</f>
        <v>931.32478199999991</v>
      </c>
      <c r="O207" s="3">
        <f>1394.7+(435.7-822.7)+(0.711297+(0.222207-0.419577))+0-0-0</f>
        <v>1008.213927</v>
      </c>
      <c r="P207" s="3">
        <f>1593.6+(401.4-919.8)+(0+(0-0))+0-0-0</f>
        <v>1075.1999999999998</v>
      </c>
      <c r="Q207" s="3">
        <f>1592.1+(432.6-910.4)+(0.811971+(0.220626-0.464304))+0-0-0</f>
        <v>1114.868293</v>
      </c>
      <c r="R207" s="3">
        <f>1678.4+(420.4-979.7)+(0+(0-0))+0-0-0</f>
        <v>1119.0999999999999</v>
      </c>
      <c r="S207" s="3">
        <f>1731.2+(413.2-1023.5)+(-3.531648+(-0.842928--2.08794))+0-0-0</f>
        <v>1118.613364</v>
      </c>
      <c r="T207" s="3">
        <f>1729.1+(390.8-1001.2)+(-3.527364+(-0.797232--2.042448))+0-0-0</f>
        <v>1116.4178519999998</v>
      </c>
      <c r="U207" s="3">
        <f>1728.6+(363.7-979)+(-3.526344+(-0.741948--1.99716))+0-0-0</f>
        <v>1111.0288679999999</v>
      </c>
      <c r="V207" s="3">
        <f>1631.4+(309.3-830.7)+(-2.496042+(-0.473229--1.270971))+0-0-0</f>
        <v>1108.3017</v>
      </c>
      <c r="W207" s="3">
        <f>1619.1+(245.7-656.8)+(0.825741+(0.125307-0.334968))+0-0-0</f>
        <v>1208.61608</v>
      </c>
      <c r="X207" s="3">
        <f>1618.3+(327.4-599.9)+(-2.475999+(-0.500922--0.917847))+0-0-0</f>
        <v>1343.7409259999999</v>
      </c>
      <c r="Y207" s="3">
        <f>1610.4+(357.1-628.8)+(-4.10652+(-0.910605--1.60344))+0-0-0</f>
        <v>1335.2863150000003</v>
      </c>
      <c r="Z207" s="3">
        <f>1576.1+(401.2-667.8)+(-2.411433+(-0.613836--1.021734))+0-0-0</f>
        <v>1307.4964649999999</v>
      </c>
      <c r="AA207" s="3">
        <f>1507.8+(355.4-598.1)+(-3.075912+(-0.725016--1.220124))+0-0-0</f>
        <v>1262.519196</v>
      </c>
      <c r="AB207" s="3">
        <f>1409.9+(340.8-569.7)+(-2.876196+(-0.695232--1.162188))+0-0-0</f>
        <v>1178.59076</v>
      </c>
      <c r="AC207" s="3">
        <f>1279.5+(338.1-590)+(-3.262725+(-0.862155--1.5045))+0-0-0</f>
        <v>1024.9796199999998</v>
      </c>
      <c r="AD207" s="2">
        <v>1363.1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1060.6+(353.6-472.2)+(-1.622718+(-0.541008--0.722466))+0-0-0</f>
        <v>940.55873999999994</v>
      </c>
      <c r="G208" s="3">
        <f>1025+(348-545.2)+(-1.56825+(-0.53244--0.834156))+0-0-0</f>
        <v>826.53346599999998</v>
      </c>
      <c r="H208" s="3">
        <f>1025.5+(356-583.5)+(-2.615025+(-0.9078--1.487925))+0-0-0</f>
        <v>795.96510000000001</v>
      </c>
      <c r="I208" s="3">
        <f>1026.1+(336.2-565.5)+(-0.523311+(-0.171462--0.288405))+0-0-0</f>
        <v>796.39363199999991</v>
      </c>
      <c r="J208" s="3">
        <f>1028.5+(228.2-454.4)+(-0.524535+(-0.116382--0.231744))+0-0-0</f>
        <v>801.89082699999994</v>
      </c>
      <c r="K208" s="3">
        <f>1030+(170.8-382.7)+(-1.0506+(-0.174216--0.390354))+0-0-0</f>
        <v>817.26553799999999</v>
      </c>
      <c r="L208" s="3">
        <f>1088.4+(176-426.7)+(-0.555084+(-0.08976--0.217617))+0-0-0</f>
        <v>837.27277300000003</v>
      </c>
      <c r="M208" s="3">
        <f>1343.7+(184.7-613.6)+(1.370574+(0.188394-0.625872))+0-0-0</f>
        <v>915.73309599999993</v>
      </c>
      <c r="N208" s="3">
        <f>1433.7+(361.9-763.3)+(-2.193561+(-0.553707--1.167849))+0-0-0</f>
        <v>1030.7205810000003</v>
      </c>
      <c r="O208" s="3">
        <f>1618.7+(382.9-904.7)+(0+(0-0))+0-0-0</f>
        <v>1096.9000000000001</v>
      </c>
      <c r="P208" s="3">
        <f>1955.6+(303.4-1118.6)+(0+(0-0))+0-0-0</f>
        <v>1140.4000000000001</v>
      </c>
      <c r="Q208" s="3">
        <f>2022+(285.5-1143.4)+(0+(0-0))+0-0-0</f>
        <v>1164.0999999999999</v>
      </c>
      <c r="R208" s="3">
        <f>2021.8+(307.8-1161.5)+(0+(0-0))+0-0-0</f>
        <v>1168.0999999999999</v>
      </c>
      <c r="S208" s="3">
        <f>2028.9+(328.3-1208.6)+(0+(0-0))+0-0-0</f>
        <v>1148.6000000000001</v>
      </c>
      <c r="T208" s="3">
        <f>2022+(339.6-1233.9)+(0+(0-0))+0-0-0</f>
        <v>1127.6999999999998</v>
      </c>
      <c r="U208" s="3">
        <f>2024.8+(297.3-1208)+(0+(0-0))+0-0-0</f>
        <v>1114.0999999999999</v>
      </c>
      <c r="V208" s="3">
        <f>2032.7+(280.3-1200.2)+(0+(0-0))+0-0-0</f>
        <v>1112.8</v>
      </c>
      <c r="W208" s="3">
        <f>2106.6+(285.8-1145.1)+(0+(0-0))+0-0-0</f>
        <v>1247.3</v>
      </c>
      <c r="X208" s="3">
        <f>2210.3+(272.3-1120.1)+(0+(0-0))+0-0-0</f>
        <v>1362.5000000000002</v>
      </c>
      <c r="Y208" s="3">
        <f>2088.3+(299.4-1035.8)+(0+(0-0))+0-0-0</f>
        <v>1351.9</v>
      </c>
      <c r="Z208" s="3">
        <f>1975.6+(299.4-968.7)+(0+(0-0))+0-0-0</f>
        <v>1306.2999999999997</v>
      </c>
      <c r="AA208" s="3">
        <f>1673.8+(296.9-722.5)+(0+(0-0))+0-0-0</f>
        <v>1248.1999999999998</v>
      </c>
      <c r="AB208" s="3">
        <f>1644.8+(307.6-789)+(0+(0-0))+0-0-0</f>
        <v>1163.4000000000001</v>
      </c>
      <c r="AC208" s="3">
        <f>1525.9+(319.2-772.1)+(0+(0-0))+0-0-0</f>
        <v>1073</v>
      </c>
      <c r="AD208" s="2">
        <v>1344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1523.3+(321.6-859.4)+(-2.330649+(-0.492048--1.314882))+0-0-0</f>
        <v>983.99218499999995</v>
      </c>
      <c r="G209" s="3">
        <f>1451.8+(332.7-857.7)+(0.740418+(0.169677-0.437427))+0-0-0</f>
        <v>927.27266799999995</v>
      </c>
      <c r="H209" s="3">
        <f>1275.3+(360.6-743.8)+(-1.300806+(-0.367812--0.758676))+0-0-0</f>
        <v>891.19005800000002</v>
      </c>
      <c r="I209" s="3">
        <f>1273.9+(295-690.3)+(-0.649689+(-0.15045--0.352053))+0-0-0</f>
        <v>878.15191400000015</v>
      </c>
      <c r="J209" s="3">
        <f>1267.1+(273.5-663.4)+(-1.938663+(-0.418455--1.015002))+0-0-0</f>
        <v>875.8578839999999</v>
      </c>
      <c r="K209" s="3">
        <f>1277.3+(275.4-672.4)+(-0.651423+(-0.140454--0.342924))+0-0-0</f>
        <v>879.85104699999999</v>
      </c>
      <c r="L209" s="3">
        <f>1280.6+(264.8-675.5)+(0+(0-0))+0-0-0</f>
        <v>869.89999999999986</v>
      </c>
      <c r="M209" s="3">
        <f>1551.3+(304.6-909.6)+(1.582326+(0.310692-0.927792))+0-0-0</f>
        <v>947.26522599999998</v>
      </c>
      <c r="N209" s="3">
        <f>1945.1+(349.2-1223.4)+(1.984002+(0.356184-1.247868))+0-0-0</f>
        <v>1071.9923179999998</v>
      </c>
      <c r="O209" s="3">
        <f>2062.1+(329.3-1271.5)+(-1.051671+(-0.167943--0.648465))+0-0-0</f>
        <v>1119.3288509999998</v>
      </c>
      <c r="P209" s="3">
        <f>2077.6+(322.4-1284.1)+(0+(0-0))+0-0-0</f>
        <v>1115.9000000000001</v>
      </c>
      <c r="Q209" s="3">
        <f>2059+(299.1-1201.3)+(-3.15027+(-0.457623--1.837989))+0-0-0</f>
        <v>1155.0300960000002</v>
      </c>
      <c r="R209" s="3">
        <f>2066.1+(320.7-1261.6)+(0+(0-0))+0-0-0</f>
        <v>1125.2</v>
      </c>
      <c r="S209" s="3">
        <f>2055.7+(331.8-1274.1)+(0+(0-0))+0-0-0</f>
        <v>1113.3999999999999</v>
      </c>
      <c r="T209" s="3">
        <f>2066.9+(360.2-1314.1)+(0+(0-0))+0-0-0</f>
        <v>1113.0000000000002</v>
      </c>
      <c r="U209" s="3">
        <f>2039.4+(359.8-1301.8)+(0+(0-0))+0-0-0</f>
        <v>1097.4000000000001</v>
      </c>
      <c r="V209" s="3">
        <f>2048.8+(324.7-1274.2)+(0+(0-0))+0-0-0</f>
        <v>1099.3000000000002</v>
      </c>
      <c r="W209" s="3">
        <f>2009.5+(275.6-1074.5)+(0+(0-0))+0-0-0</f>
        <v>1210.5999999999999</v>
      </c>
      <c r="X209" s="3">
        <f>2082.2+(296.5-1033.8)+(0+(0-0))+0-0-0</f>
        <v>1344.8999999999999</v>
      </c>
      <c r="Y209" s="3">
        <f>2083.2+(304.7-1052.8)+(0+(0-0))+0-0-0</f>
        <v>1335.1</v>
      </c>
      <c r="Z209" s="3">
        <f>2024.5+(343.4-1066.5)+(0+(0-0))+0-0-0</f>
        <v>1301.4000000000001</v>
      </c>
      <c r="AA209" s="3">
        <f>2007.9+(307-1061.9)+(0+(0-0))+0-0-0</f>
        <v>1253</v>
      </c>
      <c r="AB209" s="3">
        <f>1861.5+(278.6-973.6)+(0+(0-0))+0-0-0</f>
        <v>1166.5</v>
      </c>
      <c r="AC209" s="3">
        <f>1434.1+(286.5-654.9)+(0+(0-0))+0-0-0</f>
        <v>1065.6999999999998</v>
      </c>
      <c r="AD209" s="2">
        <v>1356.6999999999998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1302.9+(346.5-677.4)+(-3.322395+(-0.883575--1.72737))+0-0-0</f>
        <v>969.52140000000009</v>
      </c>
      <c r="G210" s="3">
        <f>1290.9+(367-734)+(-3.291795+(-0.93585--1.8717))+0-0-0</f>
        <v>921.54405500000007</v>
      </c>
      <c r="H210" s="3">
        <f>1290.1+(359.7-754.1)+(-0.657951+(-0.183447--0.384591))+0-0-0</f>
        <v>895.24319299999979</v>
      </c>
      <c r="I210" s="3">
        <f>1292.2+(354.6-765.8)+(-1.977066+(-0.542538--1.171674))+0-0-0</f>
        <v>879.65207000000009</v>
      </c>
      <c r="J210" s="3">
        <f>1292.6+(299.7-709.4)+(-1.977678+(-0.458541--1.085382))+0-0-0</f>
        <v>881.54916299999991</v>
      </c>
      <c r="K210" s="3">
        <f>1292.5+(276.1-679.2)+(-1.31835+(-0.281622--0.692784))+0-0-0</f>
        <v>888.49281199999996</v>
      </c>
      <c r="L210" s="3">
        <f>1292.2+(265.9-681.7)+(0+(0-0))+0-0-0</f>
        <v>876.4</v>
      </c>
      <c r="M210" s="3">
        <f>1386.8+(357-792.5)+(0+(0-0))+0-0-0</f>
        <v>951.3</v>
      </c>
      <c r="N210" s="3">
        <f>1781.3+(367.5-1086)+(0+(0-0))+0-0-0</f>
        <v>1062.8</v>
      </c>
      <c r="O210" s="3">
        <f>1876.5+(365-1140.8)+(0+(0-0))+0-0-0</f>
        <v>1100.7</v>
      </c>
      <c r="P210" s="3">
        <f>2063.7+(344.9-1282.7)+(0+(0-0))+0-0-0</f>
        <v>1125.8999999999996</v>
      </c>
      <c r="Q210" s="3">
        <f>2134.1+(321.4-1291.5)+(0+(0-0))+0-0-0</f>
        <v>1164</v>
      </c>
      <c r="R210" s="3">
        <f>2086.6+(323.3-1258.3)+(0+(0-0))+0-0-0</f>
        <v>1151.5999999999999</v>
      </c>
      <c r="S210" s="3">
        <f>1948.5+(370.4-1173.4)+(-1.98747+(-0.377808--1.196868))+0-0-0</f>
        <v>1144.33159</v>
      </c>
      <c r="T210" s="3">
        <f>2037+(394.1-1302.3)+(-1.03887+(-0.200991--0.664173))+0-0-0</f>
        <v>1128.2243120000003</v>
      </c>
      <c r="U210" s="3">
        <f>2125.8+(345.1-1351.9)+(-4.336632+(-0.704004--2.757876))+0-0-0</f>
        <v>1116.7172399999999</v>
      </c>
      <c r="V210" s="3">
        <f>1953.1+(339.9-1174.8)+(-1.992162+(-0.346698--1.198296))+0-0-0</f>
        <v>1117.0594359999998</v>
      </c>
      <c r="W210" s="3">
        <f>2016.5+(297-1079.4)+(-2.05683+(-0.30294--1.100988))+0-0-0</f>
        <v>1232.8412179999998</v>
      </c>
      <c r="X210" s="3">
        <f>2154.6+(327.3-1127.1)+(-3.296538+(-0.500769--1.724463))+0-0-0</f>
        <v>1352.7271559999999</v>
      </c>
      <c r="Y210" s="3">
        <f>2178.2+(291.6-1125.7)+(-3.332646+(-0.446148--1.722321))+0-0-0</f>
        <v>1342.0435269999998</v>
      </c>
      <c r="Z210" s="3">
        <f>2002.3+(315-1016.3)+(-3.063519+(-0.48195--1.554939))+0-0-0</f>
        <v>1299.00947</v>
      </c>
      <c r="AA210" s="3">
        <f>1910.4+(333.9-992.1)+(-3.897216+(-0.681156--2.023884))+0-0-0</f>
        <v>1249.6455120000001</v>
      </c>
      <c r="AB210" s="3">
        <f>1839.1+(335.4-1003.2)+(-0.937941+(-0.171054--0.511632))+0-0-0</f>
        <v>1170.7026369999996</v>
      </c>
      <c r="AC210" s="3">
        <f>1568.4+(344-839.8)+(-2.399652+(-0.52632--1.284894))+0-0-0</f>
        <v>1070.958922</v>
      </c>
      <c r="AD210" s="2">
        <v>1352.2999999999997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1387.4+(365.4-768.1)+(-0.707574+(-0.186354--0.391731))+0-0-0</f>
        <v>984.19780300000002</v>
      </c>
      <c r="G211" s="3">
        <f>1333.7+(365.5-766)+(0+(0-0))+0-0-0</f>
        <v>933.2</v>
      </c>
      <c r="H211" s="3">
        <f>1337.5+(367.3-793.6)+(0.682125+(0.187323-0.404736))+0-0-0</f>
        <v>911.66471200000001</v>
      </c>
      <c r="I211" s="3">
        <f>1346.9+(349.1-802.1)+(1.373838+(0.356082-0.818142))+0-0-0</f>
        <v>894.81177800000012</v>
      </c>
      <c r="J211" s="3">
        <f>1341.9+(325.6-776.2)+(1.368738+(0.332112-0.791724))+0-0-0</f>
        <v>892.20912600000008</v>
      </c>
      <c r="K211" s="3">
        <f>1342+(327.4-766.4)+(0+(0-0))+0-0-0</f>
        <v>903</v>
      </c>
      <c r="L211" s="3">
        <f>1366.3+(295.6-767.2)+(2.787252+(0.603024-1.565088))+0-0-0</f>
        <v>896.52518799999996</v>
      </c>
      <c r="M211" s="3">
        <f>1489.5+(321.8-848.2)+(-1.51929+(-0.328236--0.865164))+0-0-0</f>
        <v>962.11763799999994</v>
      </c>
      <c r="N211" s="3">
        <f>1654.2+(365.7-952.1)+(-3.374568+(-0.746028--1.942284))+0-0-0</f>
        <v>1065.6216879999999</v>
      </c>
      <c r="O211" s="3">
        <f>1925.8+(391-1153.2)+(-2.946474+(-0.59823--1.764396))+0-0-0</f>
        <v>1161.8196919999998</v>
      </c>
      <c r="P211" s="3">
        <f>2105.4+(429.1-1368.5)+(-5.36877+(-1.094205--3.489675))+0-0-0</f>
        <v>1163.0266999999999</v>
      </c>
      <c r="Q211" s="3">
        <f>2156.5+(380.9-1354.7)+(-3.299445+(-0.582777--2.072691))+0-0-0</f>
        <v>1180.8904689999997</v>
      </c>
      <c r="R211" s="3">
        <f>2194.2+(347-1383.1)+(-4.476168+(-0.70788--2.821524))+0-0-0</f>
        <v>1155.737476</v>
      </c>
      <c r="S211" s="3">
        <f>2215.3+(302.3-1379)+(1.129803+(0.154173-0.70329))+0-0-0</f>
        <v>1139.1806860000002</v>
      </c>
      <c r="T211" s="3">
        <f>2202.8+(301.2-1375.8)+(-2.246856+(-0.307224--1.403316))+0-0-0</f>
        <v>1127.0492360000003</v>
      </c>
      <c r="U211" s="3">
        <f>2155.7+(288-1331.7)+(-5.497035+(-0.7344--3.395835))+0-0-0</f>
        <v>1109.1643999999997</v>
      </c>
      <c r="V211" s="3">
        <f>2037.6+(194.3-1124.3)+(-3.117528+(-0.297279--1.720179))+0-0-0</f>
        <v>1105.9053719999999</v>
      </c>
      <c r="W211" s="3">
        <f>2067.4+(238.6-1061.9)+(1.054374+(0.121686-0.541569))+0-0-0</f>
        <v>1244.7344909999999</v>
      </c>
      <c r="X211" s="3">
        <f>2204.2+(236.6-1095.2)+(-3.372426+(-0.361998--1.675656))+0-0-0</f>
        <v>1343.5412319999998</v>
      </c>
      <c r="Y211" s="3">
        <f>2253.8+(243.3-1151)+(-4.597752+(-0.496332--2.34804))+0-0-0</f>
        <v>1343.3539560000002</v>
      </c>
      <c r="Z211" s="3">
        <f>2227.9+(280.1-1200.7)+(-4.544916+(-0.571404--2.449428))+0-0-0</f>
        <v>1304.6331080000002</v>
      </c>
      <c r="AA211" s="3">
        <f>2078.7+(266.3-1103.4)+(-5.300685+(-0.679065--2.81367))+0-0-0</f>
        <v>1238.4339199999997</v>
      </c>
      <c r="AB211" s="3">
        <f>1883.9+(265.4-988.3)+(-4.803945+(-0.67677--2.520165))+0-0-0</f>
        <v>1158.03945</v>
      </c>
      <c r="AC211" s="3">
        <f>1523.1+(315.1-772.3)+(-2.330343+(-0.482103--1.181619))+0-0-0</f>
        <v>1064.2691730000001</v>
      </c>
      <c r="AD211" s="2">
        <v>1336.3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1323.1+(361.3-714.2)+(-2.024343+(-0.552789--1.092726))+0-0-0</f>
        <v>968.71559399999978</v>
      </c>
      <c r="G212" s="3">
        <f>1326.3+(330.6-734)+(-2.029239+(-0.505818--1.12302))+0-0-0</f>
        <v>921.48796299999992</v>
      </c>
      <c r="H212" s="3">
        <f>1331+(290.6-719.2)+(-1.35762+(-0.296412--0.733584))+0-0-0</f>
        <v>901.47955200000001</v>
      </c>
      <c r="I212" s="3">
        <f>1330.2+(294.3-736.3)+(-0.678402+(-0.150093--0.375513))+0-0-0</f>
        <v>887.74701800000003</v>
      </c>
      <c r="J212" s="3">
        <f>1336.6+(269.7-714.4)+(0.681666+(0.137547-0.364344))+0-0-0</f>
        <v>892.35486899999989</v>
      </c>
      <c r="K212" s="3">
        <f>1337.4+(256.9-696.7)+(0.682074+(0.131019-0.355317))+0-0-0</f>
        <v>898.05777599999999</v>
      </c>
      <c r="L212" s="3">
        <f>1337.3+(258.9-712.8)+(-0.682023+(-0.132039--0.363528))+0-0-0</f>
        <v>882.94946600000003</v>
      </c>
      <c r="M212" s="3">
        <f>1336.3+(312.1-699)+(0+(0-0))+0-0-0</f>
        <v>949.4</v>
      </c>
      <c r="N212" s="3">
        <f>1399.8+(342.9-692.4)+(-2.141694+(-0.524637--1.059372))+0-0-0</f>
        <v>1048.693041</v>
      </c>
      <c r="O212" s="3">
        <f>1569.1+(345.5-814.2)+(-0.800241+(-0.176205--0.415242))+0-0-0</f>
        <v>1099.8387959999998</v>
      </c>
      <c r="P212" s="3">
        <f>1679.4+(348.3-889.7)+(-1.712988+(-0.355266--0.907494))+0-0-0</f>
        <v>1136.83924</v>
      </c>
      <c r="Q212" s="3">
        <f>1838.9+(334.6-1008.9)+(-1.875678+(-0.341292--1.029078))+0-0-0</f>
        <v>1163.4121080000002</v>
      </c>
      <c r="R212" s="3">
        <f>1881.6+(301.2-1040.5)+(-0.959616+(-0.153612--0.530655))+0-0-0</f>
        <v>1141.717427</v>
      </c>
      <c r="S212" s="3">
        <f>1990.4+(281.1-1134.3)+(-3.045312+(-0.430083--1.735479))+0-0-0</f>
        <v>1135.4600840000003</v>
      </c>
      <c r="T212" s="3">
        <f>2166.4+(287.2-1325.1)+(-3.314592+(-0.439416--2.027403))+0-0-0</f>
        <v>1126.7733950000002</v>
      </c>
      <c r="U212" s="3">
        <f>2042.6+(314-1236)+(-3.125178+(-0.48042--1.89108))+0-0-0</f>
        <v>1118.8854819999999</v>
      </c>
      <c r="V212" s="3">
        <f>1522.4+(280.5-697.3)+(1.552848+(0.28611-0.711246))+0-0-0</f>
        <v>1106.7277120000001</v>
      </c>
      <c r="W212" s="3">
        <f>1657.7+(292.8-714.3)+(0.845427+(0.149328-0.364293))+0-0-0</f>
        <v>1236.8304620000001</v>
      </c>
      <c r="X212" s="3">
        <f>1907.2+(266.2-825.8)+(-2.918016+(-0.407286--1.263474))+0-0-0</f>
        <v>1345.538172</v>
      </c>
      <c r="Y212" s="3">
        <f>1919.3+(276.8-867.6)+(-1.957686+(-0.282336--0.884952))+0-0-0</f>
        <v>1327.1449299999999</v>
      </c>
      <c r="Z212" s="3">
        <f>1920.3+(291-918.6)+(-1.958706+(-0.29682--0.936972))+0-0-0</f>
        <v>1291.3814459999999</v>
      </c>
      <c r="AA212" s="3">
        <f>1725.1+(302.6-793.1)+(-1.759602+(-0.308652--0.808962))+0-0-0</f>
        <v>1233.3407079999999</v>
      </c>
      <c r="AB212" s="3">
        <f>1570.9+(295.9-710.5)+(-4.005795+(-0.754545--1.811775))+0-0-0</f>
        <v>1153.3514350000003</v>
      </c>
      <c r="AC212" s="3">
        <f>1461.4+(303.2-687.1)+(-4.471884+(-0.927792--2.102526))+0-0-0</f>
        <v>1074.2028499999999</v>
      </c>
      <c r="AD212" s="2">
        <v>1341.1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1318.9+(323.7-637)+(1.345278+(0.330174-0.64974))+0-0-0</f>
        <v>1006.6257120000001</v>
      </c>
      <c r="G213" s="3">
        <f>869.7+(406.8-345.5)+(0.443547+(0.207468-0.176205))+0-0-0</f>
        <v>931.47481000000005</v>
      </c>
      <c r="H213" s="3">
        <f>642.4+(464.1-197)+(0.655248+(0.473382-0.20094))+0-0-0</f>
        <v>910.42768999999998</v>
      </c>
      <c r="I213" s="3">
        <f>621.3+(465.7-197.8)+(-0.316863+(-0.237507--0.100878))+0-0-0</f>
        <v>888.74650799999995</v>
      </c>
      <c r="J213" s="3">
        <f>622+(467.7-202.5)+(0+(0-0))+0-0-0</f>
        <v>887.2</v>
      </c>
      <c r="K213" s="3">
        <f>620.6+(446.8-183.7)+(-1.266024+(-0.911472--0.374748))+0-0-0</f>
        <v>881.89725200000009</v>
      </c>
      <c r="L213" s="3">
        <f>622.9+(470-238.6)+(0.635358+(0.4794-0.243372))+0-0-0</f>
        <v>855.17138599999998</v>
      </c>
      <c r="M213" s="3">
        <f>805.4+(442.9-324.8)+(0+(0-0))+0-0-0</f>
        <v>923.5</v>
      </c>
      <c r="N213" s="3">
        <f>1168.2+(420.6-558.8)+(0+(0-0))+0-0-0</f>
        <v>1030</v>
      </c>
      <c r="O213" s="3">
        <f>1254.2+(474.7-638.4)+(0+(0-0))+0-0-0</f>
        <v>1090.5</v>
      </c>
      <c r="P213" s="3">
        <f>1323.6+(444.7-648.4)+(-2.025108+(-0.680391--0.992052))+0-0-0</f>
        <v>1118.1865529999998</v>
      </c>
      <c r="Q213" s="3">
        <f>1463+(460.6-785.4)+(0+(0-0))+0-0-0</f>
        <v>1138.2</v>
      </c>
      <c r="R213" s="3">
        <f>1437.7+(468.6-793.5)+(-2.199681+(-0.716958--1.214055))+0-0-0</f>
        <v>1111.0974160000003</v>
      </c>
      <c r="S213" s="3">
        <f>1444.2+(456.9-818.2)+(0+(0-0))+0-0-0</f>
        <v>1082.9000000000001</v>
      </c>
      <c r="T213" s="3">
        <f>1441.3+(446.4-826.8)+(0+(0-0))+0-0-0</f>
        <v>1060.9000000000001</v>
      </c>
      <c r="U213" s="3">
        <f>1291.6+(471.9-721.8)+(-2.634864+(-0.962676--1.472472))+0-0-0</f>
        <v>1039.5749319999998</v>
      </c>
      <c r="V213" s="3">
        <f>1202.8+(440.7-592.5)+(-1.840284+(-0.674271--0.906525))+0-0-0</f>
        <v>1049.3919699999999</v>
      </c>
      <c r="W213" s="3">
        <f>1195.5+(446-456.6)+(-0.609705+(-0.22746--0.232866))+0-0-0</f>
        <v>1184.295701</v>
      </c>
      <c r="X213" s="3">
        <f>1419+(399.1-535.8)+(-2.17107+(-0.610623--0.819774))+0-0-0</f>
        <v>1280.3380810000001</v>
      </c>
      <c r="Y213" s="3">
        <f>1217+(411-361.7)+(-0.62067+(-0.20961--0.184467))+0-0-0</f>
        <v>1265.6541869999999</v>
      </c>
      <c r="Z213" s="3">
        <f>848.6+(480.5-122.9)+(0.865572+(0.49011-0.125358))+0-0-0</f>
        <v>1207.4303240000002</v>
      </c>
      <c r="AA213" s="3">
        <f>835.5+(490.7-158)+(0.426105+(0.250257-0.08058))+0-0-0</f>
        <v>1168.7957820000001</v>
      </c>
      <c r="AB213" s="3">
        <f>823.2+(469-170.6)+(-0.839664+(-0.47838--0.174012))+0-0-0</f>
        <v>1120.455968</v>
      </c>
      <c r="AC213" s="3">
        <f>642.7+(521.8-128.7)+(-0.983331+(-0.798354--0.196911))+0-0-0</f>
        <v>1034.215226</v>
      </c>
      <c r="AD213" s="2">
        <v>1281.0999999999999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547.9+(589.3-138.7)+(-0.279429+(-0.300543--0.070737))+0-0-0</f>
        <v>997.99076500000001</v>
      </c>
      <c r="G214" s="3">
        <f>545.9+(549.3-150.6)+(-0.556818+(-0.560286--0.153612))+0-0-0</f>
        <v>943.63650799999994</v>
      </c>
      <c r="H214" s="3">
        <f>488.4+(545.7-126.8)+(-0.747252+(-0.834921--0.194004))+0-0-0</f>
        <v>905.91183100000001</v>
      </c>
      <c r="I214" s="3">
        <f>447.7+(547-102.9)+(-0.913308+(-1.11588--0.209916))+0-0-0</f>
        <v>889.980728</v>
      </c>
      <c r="J214" s="3">
        <f>453.6+(529-103.9)+(0+(0-0))+0-0-0</f>
        <v>878.7</v>
      </c>
      <c r="K214" s="3">
        <f>450.4+(517.7-94.4)+(-0.689112+(-0.792081--0.144432))+0-0-0</f>
        <v>872.36323900000002</v>
      </c>
      <c r="L214" s="3">
        <f>450+(485.3-145.6)+(-0.6885+(-0.742509--0.222768))+0-0-0</f>
        <v>788.491759</v>
      </c>
      <c r="M214" s="3">
        <f>455+(451.9-118.9)+(0.23205+(0.230469-0.060639))+0-0-0</f>
        <v>788.40188000000001</v>
      </c>
      <c r="N214" s="3">
        <f>650.3+(415.7-220)+(0.331653+(0.212007-0.1122))+0-0-0</f>
        <v>846.43146000000002</v>
      </c>
      <c r="O214" s="3">
        <f>812.6+(433.6-334.4)+(-1.657704+(-0.884544--0.682176))+0-0-0</f>
        <v>909.93992800000012</v>
      </c>
      <c r="P214" s="3">
        <f>813.1+(489.5-360.7)+(0.414681+(0.249645-0.183957))+0-0-0</f>
        <v>942.38036900000009</v>
      </c>
      <c r="Q214" s="3">
        <f>804.7+(521.1-361.6)+(-1.231191+(-0.797283--0.553248))+0-0-0</f>
        <v>962.72477400000002</v>
      </c>
      <c r="R214" s="3">
        <f>812.5+(547.1-401.9)+(0.414375+(0.279021-0.204969))+0-0-0</f>
        <v>958.18842700000005</v>
      </c>
      <c r="S214" s="3">
        <f>807.8+(549.5-411.7)+(-0.823956+(-0.56049--0.419934))+0-0-0</f>
        <v>944.6354879999999</v>
      </c>
      <c r="T214" s="3">
        <f>806.2+(509.6-379.7)+(-1.644648+(-1.039584--0.774588))+0-0-0</f>
        <v>934.19035600000018</v>
      </c>
      <c r="U214" s="3">
        <f>808.7+(501.3-360.1)+(-1.649748+(-1.022652--0.734604))+0-0-0</f>
        <v>947.96220400000004</v>
      </c>
      <c r="V214" s="3">
        <f>821.7+(422.7-253.8)+(0.838134+(0.431154-0.258876))+0-0-0</f>
        <v>991.610412</v>
      </c>
      <c r="W214" s="3">
        <f>823.1+(458.6-155.7)+(-0.419781+(-0.233886--0.079407))+0-0-0</f>
        <v>1125.4257399999999</v>
      </c>
      <c r="X214" s="3">
        <f>829.4+(511.8-144.6)+(0.845988+(0.522036-0.147492))+0-0-0</f>
        <v>1197.820532</v>
      </c>
      <c r="Y214" s="3">
        <f>816.6+(514.5-134.5)+(-1.249398+(-0.787185--0.205785))+0-0-0</f>
        <v>1194.769202</v>
      </c>
      <c r="Z214" s="3">
        <f>811.5+(498.2-137.7)+(-1.65546+(-1.016328--0.280908))+0-0-0</f>
        <v>1169.6091200000001</v>
      </c>
      <c r="AA214" s="3">
        <f>793.4+(436-102.3)+(-0.809268+(-0.44472--0.104346))+0-0-0</f>
        <v>1125.9503579999998</v>
      </c>
      <c r="AB214" s="3">
        <f>652.7+(479.4-73.8)+(-0.665754+(-0.488988--0.075276))+0-0-0</f>
        <v>1057.220534</v>
      </c>
      <c r="AC214" s="3">
        <f>462.4+(577.5-57.1)+(-0.471648+(-0.58905--0.058242))+0-0-0</f>
        <v>981.7975439999999</v>
      </c>
      <c r="AD214" s="2">
        <v>1215.5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461.2+(517.4-69.8)+(-0.940848+(-1.055496--0.142392))+0-0-0</f>
        <v>906.94604799999991</v>
      </c>
      <c r="G215" s="3">
        <f>459.5+(486.6-84.7)+(-0.234345+(-0.248166--0.043197))+0-0-0</f>
        <v>860.96068600000012</v>
      </c>
      <c r="H215" s="3">
        <f>458.7+(473.8-88.1)+(-0.701811+(-0.724914--0.134793))+0-0-0</f>
        <v>843.10806800000012</v>
      </c>
      <c r="I215" s="3">
        <f>458.7+(473.1-91)+(-0.701811+(-0.723843--0.13923))+0-0-0</f>
        <v>839.51357599999994</v>
      </c>
      <c r="J215" s="3">
        <f>459+(467.3-88.1)+(-0.46818+(-0.476646--0.089862))+0-0-0</f>
        <v>837.34503600000005</v>
      </c>
      <c r="K215" s="3">
        <f>458.9+(466.5-76.4)+(0+(0-0))+0-0-0</f>
        <v>849</v>
      </c>
      <c r="L215" s="3">
        <f>459.1+(476.7-72.2)+(-0.234141+(-0.243117--0.036822))+0-0-0</f>
        <v>863.15956400000005</v>
      </c>
      <c r="M215" s="3">
        <f>639.3+(512.7-205.8)+(-0.326043+(-0.261477--0.104958))+0-0-0</f>
        <v>945.71743800000002</v>
      </c>
      <c r="N215" s="3">
        <f>807.9+(523.5-291)+(0+(0-0))+0-0-0</f>
        <v>1040.4000000000001</v>
      </c>
      <c r="O215" s="3">
        <f>803.7+(588.4-311)+(-1.639548+(-1.200336--0.63444))+0-0-0</f>
        <v>1078.894556</v>
      </c>
      <c r="P215" s="3">
        <f>808.2+(622.8-321.8)+(-0.412182+(-0.317628--0.164118))+0-0-0</f>
        <v>1108.6343080000001</v>
      </c>
      <c r="Q215" s="3">
        <f>803.1+(620.9-293.5)+(-0.819162+(-0.633318--0.29937))+0-0-0</f>
        <v>1129.34689</v>
      </c>
      <c r="R215" s="3">
        <f>817.4+(533.1-264.6)+(-1.250622+(-0.815643--0.404838))+0-0-0</f>
        <v>1084.2385730000001</v>
      </c>
      <c r="S215" s="3">
        <f>867.7+(500.1-297.1)+(-1.327581+(-0.765153--0.454563))+0-0-0</f>
        <v>1069.061829</v>
      </c>
      <c r="T215" s="3">
        <f>916.6+(477.1-333.7)+(0.467466+(0.243321-0.170187))+0-0-0</f>
        <v>1060.5406</v>
      </c>
      <c r="U215" s="3">
        <f>916.6+(439.7-308.6)+(-2.804796+(-1.345482--0.944316))+0-0-0</f>
        <v>1044.494038</v>
      </c>
      <c r="V215" s="3">
        <f>943.5+(431-300.4)+(-0.96237+(-0.43962--0.306408))+0-0-0</f>
        <v>1073.004418</v>
      </c>
      <c r="W215" s="3">
        <f>1039.7+(446.8-269.9)+(0+(0-0))+0-0-0</f>
        <v>1216.6000000000001</v>
      </c>
      <c r="X215" s="3">
        <f>1143.8+(460.4-293.7)+(-2.333352+(-0.939216--0.599148))+0-0-0</f>
        <v>1307.8265799999999</v>
      </c>
      <c r="Y215" s="3">
        <f>1145.9+(429.4-285.9)+(-4.675272+(-1.751952--1.166472))+0-0-0</f>
        <v>1284.1392480000002</v>
      </c>
      <c r="Z215" s="3">
        <f>1017.5+(445.1-218.9)+(-2.594625+(-1.135005--0.558195))+0-0-0</f>
        <v>1240.5285650000001</v>
      </c>
      <c r="AA215" s="3">
        <f>936.9+(415.6-155.6)+(-2.389095+(-1.05978--0.39678))+0-0-0</f>
        <v>1193.8479050000001</v>
      </c>
      <c r="AB215" s="3">
        <f>815+(422.5-110.9)+(-1.24695+(-0.646425--0.169677))+0-0-0</f>
        <v>1124.8763019999999</v>
      </c>
      <c r="AC215" s="3">
        <f>742.4+(404.9-115.1)+(-0.378624+(-0.206499--0.058701))+0-0-0</f>
        <v>1031.6735779999999</v>
      </c>
      <c r="AD215" s="2">
        <v>1334.3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673.1+(404.9-107.3)+(0.343281+(0.206499-0.054723))+0-0-0</f>
        <v>971.19505700000002</v>
      </c>
      <c r="G216" s="3">
        <f>708.9+(378.5-159.4)+(-1.446156+(-0.77214--0.325176))+0-0-0</f>
        <v>926.10688000000005</v>
      </c>
      <c r="H216" s="3">
        <f>776.2+(359.6-225.5)+(-1.583448+(-0.733584--0.46002))+0-0-0</f>
        <v>908.44298800000001</v>
      </c>
      <c r="I216" s="3">
        <f>882.1+(311.6-295.3)+(1.799484+(0.635664-0.602412))+0-0-0</f>
        <v>900.23273600000005</v>
      </c>
      <c r="J216" s="3">
        <f>889+(274.3-264.7)+(2.26695+(0.699465-0.674985))+0-0-0</f>
        <v>900.89143000000001</v>
      </c>
      <c r="K216" s="3">
        <f>885.7+(317.1-294.1)+(1.355121+(0.485163-0.449973))+0-0-0</f>
        <v>910.09031100000004</v>
      </c>
      <c r="L216" s="3">
        <f>890+(313.7-303.8)+(1.8156+(0.639948-0.619752))+0-0-0</f>
        <v>901.73579599999994</v>
      </c>
      <c r="M216" s="3">
        <f>945.9+(333.4-314.8)+(0+(0-0))+0-0-0</f>
        <v>964.5</v>
      </c>
      <c r="N216" s="3">
        <f>1200.7+(363.7-506.6)+(1.224714+(0.370974-0.516732))+0-0-0</f>
        <v>1058.878956</v>
      </c>
      <c r="O216" s="3">
        <f>1444.1+(308.9-698.1)+(-2.209473+(-0.472617--1.068093))+0-0-0</f>
        <v>1053.2860029999999</v>
      </c>
      <c r="P216" s="3">
        <f>1516+(352.5-738.3)+(0+(0-0))+0-0-0</f>
        <v>1130.2</v>
      </c>
      <c r="Q216" s="3">
        <f>1545.8+(389.3-811.7)+(-1.576716+(-0.397086--0.827934))+0-0-0</f>
        <v>1122.2541319999998</v>
      </c>
      <c r="R216" s="3">
        <f>1554.5+(385.1-822.1)+(-3.17118+(-0.785604--1.677084))+0-0-0</f>
        <v>1115.2203</v>
      </c>
      <c r="S216" s="3">
        <f>1548.4+(362.8-806)+(-1.579368+(-0.370056--0.82212))+0-0-0</f>
        <v>1104.072696</v>
      </c>
      <c r="T216" s="3">
        <f>1463.9+(405.2-754.3)+(-3.732945+(-1.03326--1.923465))+0-0-0</f>
        <v>1111.9572600000001</v>
      </c>
      <c r="U216" s="3">
        <f>1415.4+(411-684.8)+(-0.721854+(-0.20961--0.349248))+0-0-0</f>
        <v>1141.0177840000001</v>
      </c>
      <c r="V216" s="3">
        <f>1410.4+(296-598.2)+(0+(0-0))+0-0-0</f>
        <v>1108.2</v>
      </c>
      <c r="W216" s="3">
        <f>1469.1+(294.2-522)+(0+(0-0))+0-0-0</f>
        <v>1241.3</v>
      </c>
      <c r="X216" s="3">
        <f>1568.3+(291.3-523.3)+(-1.599666+(-0.297126--0.533766))+0-0-0</f>
        <v>1334.936974</v>
      </c>
      <c r="Y216" s="3">
        <f>1572.2+(291.2-538)+(-1.603644+(-0.297024--0.54876))+0-0-0</f>
        <v>1324.048092</v>
      </c>
      <c r="Z216" s="3">
        <f>1390.1+(323.8-444.6)+(1.417902+(0.330276-0.453492))+0-0-0</f>
        <v>1270.5946859999999</v>
      </c>
      <c r="AA216" s="3">
        <f>1171.3+(368.3-315)+(1.194726+(0.375666-0.3213))+0-0-0</f>
        <v>1225.8490919999999</v>
      </c>
      <c r="AB216" s="3">
        <f>1172.2+(276.8-313.2)+(-1.793466+(-0.423504--0.479196))+0-0-0</f>
        <v>1134.0622260000002</v>
      </c>
      <c r="AC216" s="3">
        <f>1070.1+(346-342.4)+(-2.183004+(-0.70584--0.698496))+0-0-0</f>
        <v>1071.5096519999997</v>
      </c>
      <c r="AD216" s="2">
        <v>1323.9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988+(344.9-357.7)+(-0.50388+(-0.175899--0.182427))+0-0-0</f>
        <v>974.70264800000007</v>
      </c>
      <c r="G217" s="3">
        <f>987.3+(333.8-394.7)+(-1.510569+(-0.510714--0.603891))+0-0-0</f>
        <v>924.98260800000003</v>
      </c>
      <c r="H217" s="3">
        <f>988.6+(315.1-393.6)+(-2.016744+(-0.642804--0.802944))+0-0-0</f>
        <v>908.24339600000008</v>
      </c>
      <c r="I217" s="3">
        <f>988.6+(285.3-378.4)+(-1.008372+(-0.291006--0.385968))+0-0-0</f>
        <v>894.58659</v>
      </c>
      <c r="J217" s="3">
        <f>988.6+(253.6-356.1)+(1.512558+(0.388008-0.544833))+0-0-0</f>
        <v>887.45573300000001</v>
      </c>
      <c r="K217" s="3">
        <f>987.7+(289.8-372.3)+(-2.014908+(-0.591192--0.759492))+0-0-0</f>
        <v>903.3533920000001</v>
      </c>
      <c r="L217" s="3">
        <f>1021.4+(292.8-423.7)+(0+(0-0))+0-0-0</f>
        <v>890.5</v>
      </c>
      <c r="M217" s="3">
        <f>1104.2+(340.6-512.4)+(0+(0-0))+0-0-0</f>
        <v>932.40000000000009</v>
      </c>
      <c r="N217" s="3">
        <f>1542.9+(456.7-934.6)+(1.573758+(0.465834-0.953292))+0-0-0</f>
        <v>1066.0862999999999</v>
      </c>
      <c r="O217" s="3">
        <f>1565.4+(444.4-919.8)+(0.798354+(0.226644-0.469098))+0-0-0</f>
        <v>1090.5559000000001</v>
      </c>
      <c r="P217" s="3">
        <f>1560.9+(431-868.3)+(-1.592118+(-0.43962--0.885666))+0-0-0</f>
        <v>1122.4539280000001</v>
      </c>
      <c r="Q217" s="3">
        <f>1552+(444-842.7)+(-2.37456+(-0.67932--1.289331))+0-0-0</f>
        <v>1151.535451</v>
      </c>
      <c r="R217" s="3">
        <f>1479+(466-823.4)+(-4.52574+(-1.42596--2.519604))+0-0-0</f>
        <v>1118.1679039999999</v>
      </c>
      <c r="S217" s="3">
        <f>1336.5+(494.4-740.2)+(0+(0-0))+0-0-0</f>
        <v>1090.6999999999998</v>
      </c>
      <c r="T217" s="3">
        <f>1342.9+(495.5-759.9)+(-0.684879+(-0.252705--0.387549))+0-0-0</f>
        <v>1077.949965</v>
      </c>
      <c r="U217" s="3">
        <f>1297.9+(493.3-766.2)+(0+(0-0))+0-0-0</f>
        <v>1025</v>
      </c>
      <c r="V217" s="3">
        <f>1231.3+(443.2-714.1)+(-2.511852+(-0.904128--1.456764))+0-0-0</f>
        <v>958.44078399999989</v>
      </c>
      <c r="W217" s="3">
        <f>1621.8+(428.8-789.4)+(-1.654236+(-0.437376--0.805188))+0-0-0</f>
        <v>1259.9135760000001</v>
      </c>
      <c r="X217" s="3">
        <f>1691.8+(458.2-819.3)+(-0.862818+(-0.233682--0.417843))+0-0-0</f>
        <v>1330.0213430000001</v>
      </c>
      <c r="Y217" s="3">
        <f>1691.9+(432-804.7)+(-1.725738+(-0.44064--0.820794))+0-0-0</f>
        <v>1317.8544160000001</v>
      </c>
      <c r="Z217" s="3">
        <f>1684.7+(443.8-838.4)+(-4.295985+(-1.13169--2.13792))+0-0-0</f>
        <v>1286.8102450000001</v>
      </c>
      <c r="AA217" s="3">
        <f>1686.1+(433.5-882.1)+(-3.439644+(-0.88434--1.799484))+0-0-0</f>
        <v>1234.9755</v>
      </c>
      <c r="AB217" s="3">
        <f>1626.5+(413.7-862.6)+(-2.488545+(-0.632961--1.319778))+0-0-0</f>
        <v>1175.798272</v>
      </c>
      <c r="AC217" s="3">
        <f>1336.7+(388.1-619.6)+(-1.363434+(-0.395862--0.631992))+0-0-0</f>
        <v>1104.072696</v>
      </c>
      <c r="AD217" s="2">
        <v>1320.7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1047.1+(413.5-481.2)+(-0.534021+(-0.210885--0.245412))+0-0-0</f>
        <v>978.90050599999984</v>
      </c>
      <c r="G218" s="3">
        <f>1057.5+(432.9-546.4)+(0.539325+(0.220779-0.278664))+0-0-0</f>
        <v>944.48144000000002</v>
      </c>
      <c r="H218" s="3">
        <f>1064.9+(366.6-525.4)+(0+(0-0))+0-0-0</f>
        <v>906.10000000000014</v>
      </c>
      <c r="I218" s="3">
        <f>1069.8+(331.9-504.8)+(2.182392+(0.677076-1.029792))+0-0-0</f>
        <v>898.72967599999981</v>
      </c>
      <c r="J218" s="3">
        <f>1063.9+(304.5-473.3)+(0.542589+(0.155295-0.241383))+0-0-0</f>
        <v>895.55650100000014</v>
      </c>
      <c r="K218" s="3">
        <f>1068+(303.3-461)+(1.08936+(0.309366-0.47022))+0-0-0</f>
        <v>911.22850599999992</v>
      </c>
      <c r="L218" s="3">
        <f>1059.8+(329-472)+(-1.080996+(-0.33558--0.48144))+0-0-0</f>
        <v>915.8648639999999</v>
      </c>
      <c r="M218" s="3">
        <f>1068.2+(376.3-459.1)+(2.72391+(0.959565-1.170705))+0-0-0</f>
        <v>987.91277000000014</v>
      </c>
      <c r="N218" s="3">
        <f>1168.4+(421.2-531.1)+(-1.191768+(-0.429624--0.541722))+0-0-0</f>
        <v>1057.4203299999999</v>
      </c>
      <c r="O218" s="3">
        <f>1415.6+(402.8-692.9)+(-0.721956+(-0.205428--0.353379))+0-0-0</f>
        <v>1124.9259950000001</v>
      </c>
      <c r="P218" s="3">
        <f>1402.5+(399.9-670.8)+(0+(0-0))+0-0-0</f>
        <v>1131.5999999999999</v>
      </c>
      <c r="Q218" s="3">
        <f>1462.6+(407.6-722)+(0.745926+(0.207876-0.36822))+0-0-0</f>
        <v>1148.7855819999997</v>
      </c>
      <c r="R218" s="3">
        <f>1412.1+(355.7-661.3)+(-1.440342+(-0.362814--0.674526))+0-0-0</f>
        <v>1105.3713700000001</v>
      </c>
      <c r="S218" s="3">
        <f>1388.8+(373.1-670.7)+(-1.416576+(-0.380562--0.684114))+0-0-0</f>
        <v>1090.0869759999998</v>
      </c>
      <c r="T218" s="3">
        <f>1402.9+(383.6-698)+(1.430958+(0.391272-0.71196))+0-0-0</f>
        <v>1089.6102699999999</v>
      </c>
      <c r="U218" s="3">
        <f>1384.9+(375.7-671.6)+(-2.118897+(-0.574821--1.027548))+0-0-0</f>
        <v>1087.33383</v>
      </c>
      <c r="V218" s="3">
        <f>1391.6+(342.9-618.1)+(-1.419432+(-0.349758--0.630462))+0-0-0</f>
        <v>1115.261272</v>
      </c>
      <c r="W218" s="3">
        <f>1620.8+(335.1-684.6)+(0+(0-0))+0-0-0</f>
        <v>1271.3</v>
      </c>
      <c r="X218" s="3">
        <f>1822.2+(323.2-794.6)+(-3.717288+(-0.659328--1.620984))+0-0-0</f>
        <v>1348.0443679999998</v>
      </c>
      <c r="Y218" s="3">
        <f>1823.5+(287.6-774.9)+(-4.649925+(-0.73338--1.975995))+0-0-0</f>
        <v>1332.79269</v>
      </c>
      <c r="Z218" s="3">
        <f>1843.3+(279.8-822.9)+(-0.940083+(-0.142698--0.419679))+0-0-0</f>
        <v>1299.5368980000001</v>
      </c>
      <c r="AA218" s="3">
        <f>1718.3+(310.6-770.2)+(-3.505332+(-0.633624--1.571208))+0-0-0</f>
        <v>1256.1322519999999</v>
      </c>
      <c r="AB218" s="3">
        <f>1358.6+(328.1-597.1)+(-0.692886+(-0.167331--0.304521))+0-0-0</f>
        <v>1089.044304</v>
      </c>
      <c r="AC218" s="3">
        <f>1315.2+(353.8-571.4)+(-4.024512+(-1.082628--1.748484))+0-0-0</f>
        <v>1094.241344</v>
      </c>
      <c r="AD218" s="2">
        <v>1346.0000000000002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1116+(428.6-544.2)+(-1.13832+(-0.437172--0.555084))+0-0-0</f>
        <v>999.379592</v>
      </c>
      <c r="G219" s="3">
        <f>1102.6+(415.3-569.8)+(-0.562326+(-0.211803--0.290598))+0-0-0</f>
        <v>947.61646899999994</v>
      </c>
      <c r="H219" s="3">
        <f>1104.7+(368.8-553.4)+(0+(0-0))+0-0-0</f>
        <v>920.10000000000014</v>
      </c>
      <c r="I219" s="3">
        <f>1107.1+(360-556.4)+(1.693863+(0.5508-0.851292))+0-0-0</f>
        <v>912.09337099999993</v>
      </c>
      <c r="J219" s="3">
        <f>1101+(340.4-529.1)+(-1.12302+(-0.347208--0.539682))+0-0-0</f>
        <v>911.36945399999991</v>
      </c>
      <c r="K219" s="3">
        <f>1101.3+(356.9-537.1)+(-0.561663+(-0.182019--0.273921))+0-0-0</f>
        <v>920.63023899999996</v>
      </c>
      <c r="L219" s="3">
        <f>1099.3+(361.2-538.9)+(-1.681929+(-0.552636--0.824517))+0-0-0</f>
        <v>920.18995199999995</v>
      </c>
      <c r="M219" s="3">
        <f>1228.1+(354.1-599.2)+(1.252662+(0.361182-0.611184))+0-0-0</f>
        <v>984.00265999999988</v>
      </c>
      <c r="N219" s="3">
        <f>1400.1+(350-684.1)+(0+(0-0))+0-0-0</f>
        <v>1066</v>
      </c>
      <c r="O219" s="3">
        <f>1466.5+(374.4-766.1)+(-1.49583+(-0.381888--0.781422))+0-0-0</f>
        <v>1073.703704</v>
      </c>
      <c r="P219" s="3">
        <f>1470.9+(379.8-734.3)+(0+(0-0))+0-0-0</f>
        <v>1116.4000000000001</v>
      </c>
      <c r="Q219" s="3">
        <f>1537.8+(381.7-771.5)+(-2.352834+(-0.584001--1.180395))+0-0-0</f>
        <v>1146.2435599999999</v>
      </c>
      <c r="R219" s="3">
        <f>1524+(364.2-747.1)+(-3.10896+(-0.742968--1.524084))+0-0-0</f>
        <v>1138.772156</v>
      </c>
      <c r="S219" s="3">
        <f>1471.6+(401.4-743.1)+(1.501032+(0.409428-0.757962))+0-0-0</f>
        <v>1131.0524979999998</v>
      </c>
      <c r="T219" s="3">
        <f>1467.6+(413.2-758.7)+(-0.748476+(-0.210732--0.386937))+0-0-0</f>
        <v>1121.5277289999999</v>
      </c>
      <c r="U219" s="3">
        <f>1407.4+(363.4-694.9)+(-1.435548+(-0.370668--0.708798))+0-0-0</f>
        <v>1074.802582</v>
      </c>
      <c r="V219" s="3">
        <f>1398+(324-615.6)+(0+(0-0))+0-0-0</f>
        <v>1106.4000000000001</v>
      </c>
      <c r="W219" s="3">
        <f>1645.9+(394.1-737.7)+(-1.678818+(-0.401982--0.752454))+0-0-0</f>
        <v>1300.9716540000002</v>
      </c>
      <c r="X219" s="3">
        <f>1814.1+(433.4-882.8)+(-3.700764+(-0.884136--1.800912))+0-0-0</f>
        <v>1361.9160119999999</v>
      </c>
      <c r="Y219" s="3">
        <f>1777.6+(382.9-822.2)+(0+(0-0))+0-0-0</f>
        <v>1338.2999999999997</v>
      </c>
      <c r="Z219" s="3">
        <f>1748.9+(328.8-781)+(-1.783878+(-0.335376--0.79662))+0-0-0</f>
        <v>1295.3773659999999</v>
      </c>
      <c r="AA219" s="3">
        <f>1723.6+(345.3-808)+(-2.637108+(-0.528309--1.23624))+0-0-0</f>
        <v>1258.9708229999999</v>
      </c>
      <c r="AB219" s="3">
        <f>1550.7+(299.1-659.6)+(-3.954285+(-0.762705--1.68198))+0-0-0</f>
        <v>1187.16499</v>
      </c>
      <c r="AC219" s="3">
        <f>1244.3+(364.1-513.1)+(-1.269186+(-0.371382--0.523362))+0-0-0</f>
        <v>1094.1827940000001</v>
      </c>
      <c r="AD219" s="2">
        <v>1371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1232.5+(375.6-595.9)+(-2.5143+(-0.766224--1.215636))+0-0-0</f>
        <v>1010.135112</v>
      </c>
      <c r="G220" s="3">
        <f>1236.2+(389.6-673.2)+(-1.260924+(-0.397392--0.686664))+0-0-0</f>
        <v>951.62834800000007</v>
      </c>
      <c r="H220" s="3">
        <f>1236.7+(402.4-716.4)+(1.261434+(0.410448-0.730728))+0-0-0</f>
        <v>923.64115400000003</v>
      </c>
      <c r="I220" s="3">
        <f>1138.5+(390.2-620.7)+(-2.903175+(-0.99501--1.582785))+0-0-0</f>
        <v>905.68460000000005</v>
      </c>
      <c r="J220" s="3">
        <f>1050.1+(366.2-511.6)+(-2.677755+(-0.93381--1.30458))+0-0-0</f>
        <v>902.39301499999976</v>
      </c>
      <c r="K220" s="3">
        <f>1050.5+(352.8-494.2)+(-1.607265+(-0.539784--0.756126))+0-0-0</f>
        <v>907.70907699999998</v>
      </c>
      <c r="L220" s="3">
        <f>1054.5+(307.9-480.7)+(-1.613385+(-0.471087--0.735471))+0-0-0</f>
        <v>880.350999</v>
      </c>
      <c r="M220" s="3">
        <f>1234+(381.5-665.8)+(1.88802+(0.583695-1.018674))+0-0-0</f>
        <v>951.15304100000003</v>
      </c>
      <c r="N220" s="3">
        <f>1425.7+(384.6-759.4)+(-0.727107+(-0.196146--0.387294))+0-0-0</f>
        <v>1050.364041</v>
      </c>
      <c r="O220" s="3">
        <f>1414.5+(378.7-695.8)+(-1.44279+(-0.386274--0.709716))+0-0-0</f>
        <v>1096.2806520000001</v>
      </c>
      <c r="P220" s="3">
        <f>1413.9+(379.8-664.5)+(-0.721089+(-0.193698--0.338895))+0-0-0</f>
        <v>1128.624108</v>
      </c>
      <c r="Q220" s="3">
        <f>1401.3+(395.9-650.7)+(-2.143989+(-0.605727--0.995571))+0-0-0</f>
        <v>1144.7458549999999</v>
      </c>
      <c r="R220" s="3">
        <f>1391.2+(384.4-648.4)+(-2.838048+(-0.784176--1.322736))+0-0-0</f>
        <v>1124.9005119999999</v>
      </c>
      <c r="S220" s="3">
        <f>1395.5+(368.5-668.8)+(-0.711705+(-0.187935--0.341088))+0-0-0</f>
        <v>1094.6414480000001</v>
      </c>
      <c r="T220" s="3">
        <f>1393.4+(379-704.3)+(-2.131902+(-0.57987--1.077579))+0-0-0</f>
        <v>1066.465807</v>
      </c>
      <c r="U220" s="3">
        <f>1351.8+(343.3-638.6)+(-1.378836+(-0.350166--0.651372))+0-0-0</f>
        <v>1055.42237</v>
      </c>
      <c r="V220" s="3">
        <f>1338.2+(290.6-546.6)+(0+(0-0))+0-0-0</f>
        <v>1082.2</v>
      </c>
      <c r="W220" s="3">
        <f>1629+(306.3-674.3)+(-1.66158+(-0.312426--0.687786))+0-0-0</f>
        <v>1259.71378</v>
      </c>
      <c r="X220" s="3">
        <f>1825.3+(367.7-852.9)+(-0.930903+(-0.187527--0.434979))+0-0-0</f>
        <v>1339.4165489999998</v>
      </c>
      <c r="Y220" s="3">
        <f>1823.6+(343.6-854.7)+(-3.720144+(-0.700944--1.743588))+0-0-0</f>
        <v>1309.8225</v>
      </c>
      <c r="Z220" s="3">
        <f>1833.8+(306-867.7)+(-1.870476+(-0.31212--0.885054))+0-0-0</f>
        <v>1270.8024579999999</v>
      </c>
      <c r="AA220" s="3">
        <f>1831.3+(306.6-915)+(-2.801889+(-0.469098--1.39995))+0-0-0</f>
        <v>1221.0289630000002</v>
      </c>
      <c r="AB220" s="3">
        <f>1836.4+(321.4-990.2)+(-2.809692+(-0.491742--1.515006))+0-0-0</f>
        <v>1165.813572</v>
      </c>
      <c r="AC220" s="3">
        <f>1830.8+(331.1-1067.9)+(-3.734832+(-0.675444--2.178516))+0-0-0</f>
        <v>1091.7682400000001</v>
      </c>
      <c r="AD220" s="2">
        <v>1311.6999999999998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1694.7+(303.3-1006.1)+(-2.592891+(-0.464049--1.539333))+0-0-0</f>
        <v>990.38239300000009</v>
      </c>
      <c r="G221" s="3">
        <f>1646.8+(235.5-955.8)+(-4.19934+(-0.600525--2.43729))+0-0-0</f>
        <v>924.13742500000001</v>
      </c>
      <c r="H221" s="3">
        <f>1480.2+(242.8-830.7)+(0+(0-0))+0-0-0</f>
        <v>892.3</v>
      </c>
      <c r="I221" s="3">
        <f>1237.2+(244.4-622.2)+(-3.15486+(-0.62322--1.58661))+0-0-0</f>
        <v>857.20853</v>
      </c>
      <c r="J221" s="3">
        <f>1117.9+(255.1-517.8)+(0.570129+(0.130101-0.264078))+0-0-0</f>
        <v>855.63615200000015</v>
      </c>
      <c r="K221" s="3">
        <f>1108.9+(275-515.9)+(0+(0-0))+0-0-0</f>
        <v>868.00000000000011</v>
      </c>
      <c r="L221" s="3">
        <f>1106+(280.9-559.9)+(-1.12812+(-0.286518--0.571098))+0-0-0</f>
        <v>826.15646000000004</v>
      </c>
      <c r="M221" s="3">
        <f>1105.3+(260.4-560.7)+(-1.127406+(-0.265608--0.571914))+0-0-0</f>
        <v>804.17889999999989</v>
      </c>
      <c r="N221" s="3">
        <f>1124.2+(291.2-587.9)+(1.146684+(0.297024-0.599658))+0-0-0</f>
        <v>828.34405000000004</v>
      </c>
      <c r="O221" s="3">
        <f>1380.2+(285.7-818.3)+(0.703902+(0.145707-0.417333))+0-0-0</f>
        <v>848.03227600000014</v>
      </c>
      <c r="P221" s="3">
        <f>1560.3+(286.2-970.9)+(-3.183012+(-0.583848--1.980636))+0-0-0</f>
        <v>873.81377599999996</v>
      </c>
      <c r="Q221" s="3">
        <f>1639+(340.9-1090)+(-0.83589+(-0.173859--0.5559))+0-0-0</f>
        <v>889.44615099999999</v>
      </c>
      <c r="R221" s="3">
        <f>1468.9+(326.9-907.1)+(-2.247417+(-0.500157--1.387863))+0-0-0</f>
        <v>887.3402890000001</v>
      </c>
      <c r="S221" s="3">
        <f>1373.1+(322.6-813)+(-2.801124+(-0.658104--1.65852))+0-0-0</f>
        <v>880.89929199999995</v>
      </c>
      <c r="T221" s="3">
        <f>1312.1+(292.2-717.6)+(-2.676684+(-0.596088--1.463904))+0-0-0</f>
        <v>884.89113199999986</v>
      </c>
      <c r="U221" s="3">
        <f>1291.1+(249.1-643.6)+(-1.316922+(-0.254082--0.656472))+0-0-0</f>
        <v>895.6854679999999</v>
      </c>
      <c r="V221" s="3">
        <f>1318.1+(216.3-600.7)+(-0.672231+(-0.110313--0.306357))+0-0-0</f>
        <v>933.22381299999984</v>
      </c>
      <c r="W221" s="3">
        <f>1491.8+(231.5-608.9)+(-2.282454+(-0.354195--0.931617))+0-0-0</f>
        <v>1112.694968</v>
      </c>
      <c r="X221" s="3">
        <f>1587.8+(243.5-638.1)+(-0.809778+(-0.124185--0.325431))+0-0-0</f>
        <v>1192.5914679999998</v>
      </c>
      <c r="Y221" s="3">
        <f>1576.6+(248.6-643.6)+(-3.216264+(-0.507144--1.312944))+0-0-0</f>
        <v>1179.1895359999999</v>
      </c>
      <c r="Z221" s="3">
        <f>1589.6+(258.1-683.1)+(0+(0-0))+0-0-0</f>
        <v>1164.5999999999999</v>
      </c>
      <c r="AA221" s="3">
        <f>1588.7+(272.1-724.1)+(0+(0-0))+0-0-0</f>
        <v>1136.7</v>
      </c>
      <c r="AB221" s="3">
        <f>1586.7+(294-785.4)+(-0.809217+(-0.14994--0.400554))+0-0-0</f>
        <v>1094.7413970000002</v>
      </c>
      <c r="AC221" s="3">
        <f>1340.9+(310.5-654.1)+(-2.051577+(-0.475065--1.000773))+0-0-0</f>
        <v>995.77413100000012</v>
      </c>
      <c r="AD221" s="2">
        <v>1213.7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1048.6+(344.6-467.9)+(-1.069572+(-0.351492--0.477258))+0-0-0</f>
        <v>924.35619399999996</v>
      </c>
      <c r="G222" s="3">
        <f>1047.6+(296.1-452.7)+(-1.068552+(-0.302022--0.461754))+0-0-0</f>
        <v>890.09118000000001</v>
      </c>
      <c r="H222" s="3">
        <f>1031.3+(250.1-411.4)+(0.525963+(0.127551-0.209814))+0-0-0</f>
        <v>870.44370000000004</v>
      </c>
      <c r="I222" s="3">
        <f>1010.3+(259.4-410.6)+(-1.545759+(-0.396882--0.628218))+0-0-0</f>
        <v>857.78557699999988</v>
      </c>
      <c r="J222" s="3">
        <f>1018.8+(246.7-407.1)+(-0.519588+(-0.125817--0.207621))+0-0-0</f>
        <v>857.9622159999999</v>
      </c>
      <c r="K222" s="3">
        <f>1010.6+(256-392.6)+(-2.061624+(-0.52224--0.800904))+0-0-0</f>
        <v>872.21704</v>
      </c>
      <c r="L222" s="3">
        <f>1016.7+(251.6-384.5)+(-0.518517+(-0.128316--0.196095))+0-0-0</f>
        <v>883.34926200000007</v>
      </c>
      <c r="M222" s="3">
        <f>1086.1+(307.2-447.8)+(0+(0-0))+0-0-0</f>
        <v>945.49999999999989</v>
      </c>
      <c r="N222" s="3">
        <f>1262+(315.5-531.9)+(0+(0-0))+0-0-0</f>
        <v>1045.5999999999999</v>
      </c>
      <c r="O222" s="3">
        <f>1592.3+(299-779.8)+(-3.248292+(-0.60996--1.590792))+0-0-0</f>
        <v>1109.23254</v>
      </c>
      <c r="P222" s="3">
        <f>1720.4+(257.6-826.9)+(3.509616+(0.525504-1.686876))+0-0-0</f>
        <v>1153.4482440000002</v>
      </c>
      <c r="Q222" s="3">
        <f>1792.1+(243.9-861.8)+(0.913971+(0.124389-0.439518))+0-0-0</f>
        <v>1174.7988419999999</v>
      </c>
      <c r="R222" s="3">
        <f>1774.2+(236-873.5)+(-4.52421+(-0.6018--2.227425))+0-0-0</f>
        <v>1133.8014150000001</v>
      </c>
      <c r="S222" s="3">
        <f>1793.8+(226-903.7)+(1.829676+(0.23052-0.921774))+0-0-0</f>
        <v>1117.2384219999999</v>
      </c>
      <c r="T222" s="3">
        <f>1788.4+(240.2-934)+(0+(0-0))+0-0-0</f>
        <v>1094.6000000000001</v>
      </c>
      <c r="U222" s="3">
        <f>1760.7+(261-942.3)+(-1.795914+(-0.26622--0.961146))+0-0-0</f>
        <v>1078.2990120000002</v>
      </c>
      <c r="V222" s="3">
        <f>1527.2+(256-681.6)+(1.557744+(0.26112-0.695232))+0-0-0</f>
        <v>1102.723632</v>
      </c>
      <c r="W222" s="3">
        <f>1721.7+(252.9-709.6)+(-2.634201+(-0.386937--1.085688))+0-0-0</f>
        <v>1263.0645500000001</v>
      </c>
      <c r="X222" s="3">
        <f>1788.3+(275.1-763.9)+(-4.560165+(-0.701505--1.947945))+0-0-0</f>
        <v>1296.186275</v>
      </c>
      <c r="Y222" s="3">
        <f>1715.3+(256.8-683.8)+(-4.374015+(-0.65484--1.74369))+0-0-0</f>
        <v>1285.0148349999999</v>
      </c>
      <c r="Z222" s="3">
        <f>1615.8+(249-611.5)+(-2.472174+(-0.38097--0.935595))+0-0-0</f>
        <v>1251.3824509999999</v>
      </c>
      <c r="AA222" s="3">
        <f>1603.7+(240.5-627.3)+(-2.453661+(-0.367965--0.959769))+0-0-0</f>
        <v>1215.038143</v>
      </c>
      <c r="AB222" s="3">
        <f>1457.1+(246.1-560.8)+(-1.486242+(-0.251022--0.572016))+0-0-0</f>
        <v>1141.2347520000001</v>
      </c>
      <c r="AC222" s="3">
        <f>1228.7+(265.6-482.4)+(-1.253274+(-0.270912--0.492048))+0-0-0</f>
        <v>1010.8678620000001</v>
      </c>
      <c r="AD222" s="2">
        <v>1306.8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1089.6+(272.5-408.5)+(0+(0-0))+0-0-0</f>
        <v>953.59999999999991</v>
      </c>
      <c r="G223" s="3">
        <f>1027.1+(291.6-407.5)+(-1.571463+(-0.446148--0.623475))+0-0-0</f>
        <v>909.80586399999993</v>
      </c>
      <c r="H223" s="3">
        <f>1033.7+(266.5-415.5)+(-2.635935+(-0.679575--1.059525))+0-0-0</f>
        <v>882.44401500000004</v>
      </c>
      <c r="I223" s="3">
        <f>1038.7+(258.3-411.4)+(0.529737+(0.131733-0.209814))+0-0-0</f>
        <v>886.05165600000009</v>
      </c>
      <c r="J223" s="3">
        <f>1008.6+(270.7-399.4)+(0+(0-0))+0-0-0</f>
        <v>879.90000000000009</v>
      </c>
      <c r="K223" s="3">
        <f>1008.3+(261.7-389.4)+(0+(0-0))+0-0-0</f>
        <v>880.59999999999991</v>
      </c>
      <c r="L223" s="3">
        <f>1005.8+(320.3-422)+(0+(0-0))+0-0-0</f>
        <v>904.09999999999991</v>
      </c>
      <c r="M223" s="3">
        <f>1114+(329-488.3)+(-1.13628+(-0.33558--0.498066))+0-0-0</f>
        <v>953.72620600000005</v>
      </c>
      <c r="N223" s="3">
        <f>1192.3+(364.9-503.5)+(0.608073+(0.186099-0.256785))+0-0-0</f>
        <v>1054.2373869999999</v>
      </c>
      <c r="O223" s="3">
        <f>1330.4+(397.6-622.5)+(-2.714016+(-0.811104--1.2699))+0-0-0</f>
        <v>1103.24478</v>
      </c>
      <c r="P223" s="3">
        <f>1345.8+(401.7-622.2)+(0+(0-0))+0-0-0</f>
        <v>1125.3</v>
      </c>
      <c r="Q223" s="3">
        <f>1326.9+(399.9-582.9)+(-3.383595+(-1.019745--1.486395))+0-0-0</f>
        <v>1140.9830550000001</v>
      </c>
      <c r="R223" s="3">
        <f>1333.3+(362.1-566.7)+(-2.039949+(-0.554013--0.867051))+0-0-0</f>
        <v>1126.9730889999998</v>
      </c>
      <c r="S223" s="3">
        <f>1343.2+(282.1-526.2)+(0.685032+(0.143871-0.268362))+0-0-0</f>
        <v>1099.660541</v>
      </c>
      <c r="T223" s="3">
        <f>1334.5+(306.8-550.1)+(-1.36119+(-0.312936--0.561102))+0-0-0</f>
        <v>1090.086976</v>
      </c>
      <c r="U223" s="3">
        <f>1340.2+(330.9-576.5)+(-0.683502+(-0.168759--0.294015))+0-0-0</f>
        <v>1094.0417539999999</v>
      </c>
      <c r="V223" s="3">
        <f>1331+(333.6-520.9)+(1.35762+(0.340272-0.531318))+0-0-0</f>
        <v>1144.8665740000001</v>
      </c>
      <c r="W223" s="3">
        <f>1340.2+(344.9-402.8)+(0+(0-0))+0-0-0</f>
        <v>1282.3</v>
      </c>
      <c r="X223" s="3">
        <f>1332.3+(370.2-386.3)+(-1.358946+(-0.377604--0.394026))+0-0-0</f>
        <v>1314.8574759999999</v>
      </c>
      <c r="Y223" s="3">
        <f>1329.7+(362.9-397)+(-2.034441+(-0.555237--0.60741))+0-0-0</f>
        <v>1293.6177319999999</v>
      </c>
      <c r="Z223" s="3">
        <f>1328.4+(333.6-405.8)+(-2.032452+(-0.510408--0.620874))+0-0-0</f>
        <v>1254.278014</v>
      </c>
      <c r="AA223" s="3">
        <f>1334.5+(323.7-442.6)+(-1.36119+(-0.330174--0.451452))+0-0-0</f>
        <v>1214.3600879999999</v>
      </c>
      <c r="AB223" s="3">
        <f>1151.1+(335.6-332.5)+(-1.761183+(-0.513468--0.508725))+0-0-0</f>
        <v>1152.4340739999998</v>
      </c>
      <c r="AC223" s="3">
        <f>1035.9+(339.8-312.4)+(-2.641545+(-0.86649--0.79662))+0-0-0</f>
        <v>1060.5885850000002</v>
      </c>
      <c r="AD223" s="2">
        <v>1317.4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928.1+(333.9-282.7)+(-0.473331+(-0.170289--0.144177))+0-0-0</f>
        <v>978.80055699999991</v>
      </c>
      <c r="G224" s="3">
        <f>885.6+(323.5-282.7)+(0+(0-0))+0-0-0</f>
        <v>926.40000000000009</v>
      </c>
      <c r="H224" s="3">
        <f>888.9+(320.4-302.6)+(1.360017+(0.490212-0.462978))+0-0-0</f>
        <v>908.08725099999992</v>
      </c>
      <c r="I224" s="3">
        <f>852.6+(334.3-287.1)+(0.869652+(0.340986-0.292842))+0-0-0</f>
        <v>900.71779599999991</v>
      </c>
      <c r="J224" s="3">
        <f>710.3+(365.5-192.9)+(0.724506+(0.37281-0.196758))+0-0-0</f>
        <v>883.80055800000002</v>
      </c>
      <c r="K224" s="3">
        <f>710.6+(387.4-182.2)+(-0.362406+(-0.197574--0.092922))+0-0-0</f>
        <v>915.332942</v>
      </c>
      <c r="L224" s="3">
        <f>709.5+(395.1-192.4)+(-0.361845+(-0.201501--0.098124))+0-0-0</f>
        <v>911.73477800000001</v>
      </c>
      <c r="M224" s="3">
        <f>915.3+(358.2-310.2)+(-1.867212+(-0.730728--0.632808))+0-0-0</f>
        <v>961.33486799999991</v>
      </c>
      <c r="N224" s="3">
        <f>1028.1+(349.2-324.8)+(1.572993+(0.534276-0.496944))+0-0-0</f>
        <v>1054.1103250000001</v>
      </c>
      <c r="O224" s="3">
        <f>1228.7+(335.5-479.3)+(-2.506548+(-0.68442--0.977772))+0-0-0</f>
        <v>1082.6868040000002</v>
      </c>
      <c r="P224" s="3">
        <f>1353.3+(285.2-520.9)+(0+(0-0))+0-0-0</f>
        <v>1117.5999999999999</v>
      </c>
      <c r="Q224" s="3">
        <f>1349.8+(301.9-516)+(-0.688398+(-0.153969--0.26316))+0-0-0</f>
        <v>1135.1207929999998</v>
      </c>
      <c r="R224" s="3">
        <f>1379.7+(329.4-592.8)+(-2.814588+(-0.671976--1.209312))+0-0-0</f>
        <v>1114.0227480000001</v>
      </c>
      <c r="S224" s="3">
        <f>1327.9+(343.4-573.9)+(-1.354458+(-0.350268--0.585378))+0-0-0</f>
        <v>1096.2806520000001</v>
      </c>
      <c r="T224" s="3">
        <f>1323.2+(368.8-607.8)+(-0.674832+(-0.188088--0.309978))+0-0-0</f>
        <v>1083.647058</v>
      </c>
      <c r="U224" s="3">
        <f>1323.5+(351.9-601.4)+(-2.024955+(-0.538407--0.920142))+0-0-0</f>
        <v>1072.3567800000001</v>
      </c>
      <c r="V224" s="3">
        <f>1324.6+(282.3-514.7)+(-4.728822+(-1.007811--1.837479))+0-0-0</f>
        <v>1088.3008459999999</v>
      </c>
      <c r="W224" s="3">
        <f>1325.6+(317.1-366.5)+(-1.352112+(-0.323442--0.37383))+0-0-0</f>
        <v>1274.8982759999999</v>
      </c>
      <c r="X224" s="3">
        <f>1374.3+(324.4-361)+(-3.504465+(-0.82722--0.92055))+0-0-0</f>
        <v>1334.2888649999998</v>
      </c>
      <c r="Y224" s="3">
        <f>1286+(341.3-297.6)+(-0.65586+(-0.174063--0.151776))+0-0-0</f>
        <v>1329.021853</v>
      </c>
      <c r="Z224" s="3">
        <f>1243+(330.8-285.8)+(-4.43751+(-1.180956--1.020306))+0-0-0</f>
        <v>1283.40184</v>
      </c>
      <c r="AA224" s="3">
        <f>1250.9+(314.2-317.2)+(-2.551836+(-0.640968--0.647088))+0-0-0</f>
        <v>1245.354284</v>
      </c>
      <c r="AB224" s="3">
        <f>1245.9+(295.4-358.8)+(-3.177045+(-0.75327--0.91494))+0-0-0</f>
        <v>1179.4846250000001</v>
      </c>
      <c r="AC224" s="3">
        <f>1186.6+(304.2-403.3)+(-3.02583+(-0.77571--1.028415))+0-0-0</f>
        <v>1084.7268750000001</v>
      </c>
      <c r="AD224" s="2">
        <v>1401.8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1063.1+(333.1-403.8)+(-2.168724+(-0.679524--0.823752))+0-0-0</f>
        <v>990.37550399999986</v>
      </c>
      <c r="G225" s="3">
        <f>944.9+(351.4-355.8)+(-1.927596+(-0.716856--0.725832))+0-0-0</f>
        <v>938.58137999999997</v>
      </c>
      <c r="H225" s="3">
        <f>925.7+(316.1-328.8)+(-0.944214+(-0.322422--0.335376))+0-0-0</f>
        <v>912.06874000000005</v>
      </c>
      <c r="I225" s="3">
        <f>926.6+(319.9-345.3)+(-0.945132+(-0.326298--0.352206))+0-0-0</f>
        <v>900.28077600000006</v>
      </c>
      <c r="J225" s="3">
        <f>926.6+(348.8-375)+(0.945132+(0.355776-0.3825))+0-0-0</f>
        <v>901.31840800000009</v>
      </c>
      <c r="K225" s="3">
        <f>926.8+(324.7-346.5)+(0.945336+(0.331194-0.35343))+0-0-0</f>
        <v>905.92309999999998</v>
      </c>
      <c r="L225" s="3">
        <f>927.7+(388-404.1)+(0+(0-0))+0-0-0</f>
        <v>911.6</v>
      </c>
      <c r="M225" s="3">
        <f>1115.2+(399-548.9)+(1.137504+(0.40698-0.559878))+0-0-0</f>
        <v>966.28460600000005</v>
      </c>
      <c r="N225" s="3">
        <f>1195+(351.4-491.7)+(-1.82835+(-0.537642--0.752301))+0-0-0</f>
        <v>1053.086309</v>
      </c>
      <c r="O225" s="3">
        <f>1187.1+(412-510.2)+(1.816263+(0.63036-0.780606))+0-0-0</f>
        <v>1090.5660169999999</v>
      </c>
      <c r="P225" s="3">
        <f>1175.3+(413.6-478.7)+(-0.599403+(-0.210936--0.244137))+0-0-0</f>
        <v>1109.6337980000001</v>
      </c>
      <c r="Q225" s="3">
        <f>1173.6+(390.7-451.8)+(0+(0-0))+0-0-0</f>
        <v>1112.5</v>
      </c>
      <c r="R225" s="3">
        <f>1162+(351.5-422.6)+(-1.77786+(-0.537795--0.646578))+0-0-0</f>
        <v>1089.2309230000001</v>
      </c>
      <c r="S225" s="3">
        <f>1144.7+(317.3-385.4)+(0+(0-0))+0-0-0</f>
        <v>1076.6000000000001</v>
      </c>
      <c r="T225" s="3">
        <f>1142.6+(299.6-376.9)+(-1.165452+(-0.305592--0.384438))+0-0-0</f>
        <v>1064.2133939999999</v>
      </c>
      <c r="U225" s="3">
        <f>1136.8+(280.3-360.8)+(-1.739304+(-0.428859--0.552024))+0-0-0</f>
        <v>1054.683861</v>
      </c>
      <c r="V225" s="3">
        <f>1130.8+(299.9-347.3)+(-1.153416+(-0.305898--0.354246))+0-0-0</f>
        <v>1082.2949319999998</v>
      </c>
      <c r="W225" s="3">
        <f>1238.9+(307-282.3)+(1.263678+(0.31314-0.287946))+0-0-0</f>
        <v>1264.8888720000002</v>
      </c>
      <c r="X225" s="3">
        <f>1236.9+(351.4-257.1)+(-1.261638+(-0.358428--0.262242))+0-0-0</f>
        <v>1329.8421760000001</v>
      </c>
      <c r="Y225" s="3">
        <f>1229.5+(364-279.9)+(-3.135225+(-0.9282--0.713745))+0-0-0</f>
        <v>1310.2503199999999</v>
      </c>
      <c r="Z225" s="3">
        <f>1250.7+(349.4-318)+(1.275714+(0.356388-0.32436))+0-0-0</f>
        <v>1283.4077419999999</v>
      </c>
      <c r="AA225" s="3">
        <f>1221.9+(339.7-329.1)+(-3.115845+(-0.866235--0.839205))+0-0-0</f>
        <v>1229.357125</v>
      </c>
      <c r="AB225" s="3">
        <f>963.4+(390-192.5)+(-0.491334+(-0.1989--0.098175))+0-0-0</f>
        <v>1160.307941</v>
      </c>
      <c r="AC225" s="3">
        <f>865.3+(381.6-176.4)+(-0.441303+(-0.194616--0.089964))+0-0-0</f>
        <v>1069.954045</v>
      </c>
      <c r="AD225" s="2">
        <v>1330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859.7+(368.2-235.3)+(-2.192235+(-0.93891--0.600015))+0-0-0</f>
        <v>990.06887000000006</v>
      </c>
      <c r="G226" s="3">
        <f>864.7+(354.2-284.2)+(-0.440997+(-0.180642--0.144942))+0-0-0</f>
        <v>934.2233030000001</v>
      </c>
      <c r="H226" s="3">
        <f>861.2+(335.3-289.6)+(-1.756848+(-0.684012--0.590784))+0-0-0</f>
        <v>905.04992400000015</v>
      </c>
      <c r="I226" s="3">
        <f>864.4+(328.9-297.9)+(-0.881688+(-0.335478--0.303858))+0-0-0</f>
        <v>894.48669199999995</v>
      </c>
      <c r="J226" s="3">
        <f>874.5+(311.3-290.9)+(2.229975+(0.793815-0.741795))+0-0-0</f>
        <v>897.18199500000014</v>
      </c>
      <c r="K226" s="3">
        <f>872.8+(353.6-311.3)+(0.890256+(0.360672-0.317526))+0-0-0</f>
        <v>916.03340199999991</v>
      </c>
      <c r="L226" s="3">
        <f>870.3+(371.7-325.8)+(-0.443853+(-0.189567--0.166158))+0-0-0</f>
        <v>915.73273799999993</v>
      </c>
      <c r="M226" s="3">
        <f>895.1+(385.3-322.1)+(-1.369503+(-0.589509--0.492813))+0-0-0</f>
        <v>956.83380099999999</v>
      </c>
      <c r="N226" s="3">
        <f>1067.2+(416.6-441.2)+(-2.72136+(-1.06233--1.12506))+0-0-0</f>
        <v>1039.9413700000002</v>
      </c>
      <c r="O226" s="3">
        <f>1159.8+(417.2-497.5)+(1.774494+(0.638316-0.761175))+0-0-0</f>
        <v>1081.1516349999999</v>
      </c>
      <c r="P226" s="3">
        <f>1219.8+(392.9-511.7)+(1.244196+(0.400758-0.521934))+0-0-0</f>
        <v>1102.12302</v>
      </c>
      <c r="Q226" s="3">
        <f>1222.8+(369.2-477.1)+(0+(0-0))+0-0-0</f>
        <v>1114.8999999999999</v>
      </c>
      <c r="R226" s="3">
        <f>1211.7+(358.2-489.3)+(-1.853901+(-0.548046--0.748629))+0-0-0</f>
        <v>1078.946682</v>
      </c>
      <c r="S226" s="3">
        <f>1209.4+(370.7-493.6)+(-2.467176+(-0.756228--1.006944))+0-0-0</f>
        <v>1084.2835399999999</v>
      </c>
      <c r="T226" s="3">
        <f>1219.3+(346.7-505.7)+(-0.621843+(-0.176817--0.257907))+0-0-0</f>
        <v>1059.759247</v>
      </c>
      <c r="U226" s="3">
        <f>1209+(293.7-432.4)+(-3.08295+(-0.748935--1.10262))+0-0-0</f>
        <v>1067.570735</v>
      </c>
      <c r="V226" s="3">
        <f>1200.8+(291.3-399.3)+(-2.449632+(-0.594252--0.814572))+0-0-0</f>
        <v>1090.570688</v>
      </c>
      <c r="W226" s="3">
        <f>1240.5+(372.8-343.6)+(-0.632655+(-0.190128--0.175236))+0-0-0</f>
        <v>1269.052453</v>
      </c>
      <c r="X226" s="3">
        <f>1250.2+(383.8-302.4)+(-1.275204+(-0.391476--0.308448))+0-0-0</f>
        <v>1330.2417680000001</v>
      </c>
      <c r="Y226" s="3">
        <f>1246.1+(384.1-315)+(-3.813066+(-1.175346--0.9639))+0-0-0</f>
        <v>1311.1754879999999</v>
      </c>
      <c r="Z226" s="3">
        <f>1249.6+(363.6-343.4)+(-3.823776+(-1.112616--1.050804))+0-0-0</f>
        <v>1265.9144119999999</v>
      </c>
      <c r="AA226" s="3">
        <f>1109+(375-273)+(-0.56559+(-0.19125--0.13923))+0-0-0</f>
        <v>1210.38239</v>
      </c>
      <c r="AB226" s="3">
        <f>991.3+(372.2-196.1)+(-2.022252+(-0.759288--0.400044))+0-0-0</f>
        <v>1165.0185039999999</v>
      </c>
      <c r="AC226" s="3">
        <f>997.4+(345.6-264.3)+(-2.034696+(-0.705024--0.539172))+0-0-0</f>
        <v>1076.499452</v>
      </c>
      <c r="AD226" s="2">
        <v>1327.6999999999998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898.1+(382.1-286.6)+(-0.458031+(-0.194871--0.146166))+0-0-0</f>
        <v>993.09326399999998</v>
      </c>
      <c r="G227" s="3">
        <f>878.9+(387.1-324.6)+(0+(0-0))+0-0-0</f>
        <v>941.4</v>
      </c>
      <c r="H227" s="3">
        <f>877.9+(355.1-320.6)+(0.895458+(0.362202-0.327012))+0-0-0</f>
        <v>913.330648</v>
      </c>
      <c r="I227" s="3">
        <f>882.4+(317.4-298.8)+(1.800096+(0.647496-0.609552))+0-0-0</f>
        <v>902.83803999999998</v>
      </c>
      <c r="J227" s="3">
        <f>876.2+(304.2-273.7)+(0+(0-0))+0-0-0</f>
        <v>906.7</v>
      </c>
      <c r="K227" s="3">
        <f>883.6+(302.7-274.7)+(1.351908+(0.463131-0.420291))+0-0-0</f>
        <v>912.99474800000007</v>
      </c>
      <c r="L227" s="3">
        <f>1018+(278.1-411.8)+(-2.5959+(-0.709155--1.05009))+0-0-0</f>
        <v>882.04503499999998</v>
      </c>
      <c r="M227" s="3">
        <f>1143.5+(284.2-489.8)+(1.16637+(0.289884-0.499596))+0-0-0</f>
        <v>938.85665799999992</v>
      </c>
      <c r="N227" s="3">
        <f>1379.5+(329.9-662.1)+(0+(0-0))+0-0-0</f>
        <v>1047.3</v>
      </c>
      <c r="O227" s="3">
        <f>1375.7+(315.1-604.4)+(0+(0-0))+0-0-0</f>
        <v>1086.4000000000001</v>
      </c>
      <c r="P227" s="3">
        <f>1375.6+(330.8-589.5)+(0.701556+(0.168708-0.300645))+0-0-0</f>
        <v>1117.469619</v>
      </c>
      <c r="Q227" s="3">
        <f>1361.4+(319.3-558.8)+(-2.082942+(-0.488529--0.854964))+0-0-0</f>
        <v>1120.183493</v>
      </c>
      <c r="R227" s="3">
        <f>1353.9+(304.3-557.4)+(-3.452445+(-0.775965--1.42137))+0-0-0</f>
        <v>1097.9929600000003</v>
      </c>
      <c r="S227" s="3">
        <f>1229.3+(327-482.3)+(-1.880829+(-0.50031--0.737919))+0-0-0</f>
        <v>1072.3567800000001</v>
      </c>
      <c r="T227" s="3">
        <f>1229.5+(340.5-513)+(2.50818+(0.69462-1.04652))+0-0-0</f>
        <v>1059.1562799999999</v>
      </c>
      <c r="U227" s="3">
        <f>1215.2+(288.3-463.7)+(-1.859256+(-0.441099--0.709461))+0-0-0</f>
        <v>1038.2091060000002</v>
      </c>
      <c r="V227" s="3">
        <f>1202.6+(240.3-377)+(1.839978+(0.367659-0.57681))+0-0-0</f>
        <v>1067.5308269999998</v>
      </c>
      <c r="W227" s="3">
        <f>1210.9+(336.3-290.5)+(-0.617559+(-0.171513--0.148155))+0-0-0</f>
        <v>1256.0590830000001</v>
      </c>
      <c r="X227" s="3">
        <f>1221+(356.3-266.9)+(-2.49084+(-0.726852--0.544476))+0-0-0</f>
        <v>1307.7267840000002</v>
      </c>
      <c r="Y227" s="3">
        <f>1236+(380.2-319.3)+(0.63036+(0.193902-0.162843))+0-0-0</f>
        <v>1297.5614190000001</v>
      </c>
      <c r="Z227" s="3">
        <f>1164+(390-296.4)+(-1.78092+(-0.5967--0.453492))+0-0-0</f>
        <v>1255.6758719999998</v>
      </c>
      <c r="AA227" s="3">
        <f>1087.7+(403.1-270.4)+(-2.218908+(-0.822324--0.551616))+0-0-0</f>
        <v>1217.910384</v>
      </c>
      <c r="AB227" s="3">
        <f>940.6+(404.1-182.9)+(-0.959412+(-0.412182--0.186558))+0-0-0</f>
        <v>1160.6149639999999</v>
      </c>
      <c r="AC227" s="3">
        <f>905.9+(381.7-197.6)+(-1.386027+(-0.584001--0.302328))+0-0-0</f>
        <v>1088.3323</v>
      </c>
      <c r="AD227" s="2">
        <v>1314.7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866.6+(383.2-233.8)+(-2.20983+(-0.97716--0.59619))+0-0-0</f>
        <v>1013.4092000000001</v>
      </c>
      <c r="G228" s="3">
        <f>869.8+(362.4-277.4)+(0+(0-0))+0-0-0</f>
        <v>954.8</v>
      </c>
      <c r="H228" s="3">
        <f>860.4+(338.8-280)+(-2.19402+(-0.86394--0.714))+0-0-0</f>
        <v>916.85604000000001</v>
      </c>
      <c r="I228" s="3">
        <f>864.8+(328.9-299.7)+(-1.323144+(-0.503217--0.458541))+0-0-0</f>
        <v>892.63217999999995</v>
      </c>
      <c r="J228" s="3">
        <f>870+(326.3-307.7)+(0+(0-0))+0-0-0</f>
        <v>888.6</v>
      </c>
      <c r="K228" s="3">
        <f>876.1+(322.5-306.2)+(0.893622+(0.32895-0.312324))+0-0-0</f>
        <v>893.31024800000012</v>
      </c>
      <c r="L228" s="3">
        <f>868.1+(321.8-341.9)+(-3.099117+(-1.148826--1.220583))+0-0-0</f>
        <v>844.97263999999996</v>
      </c>
      <c r="M228" s="3">
        <f>875.7+(314.2-352.2)+(-1.339821+(-0.480726--0.538866))+0-0-0</f>
        <v>836.418319</v>
      </c>
      <c r="N228" s="3">
        <f>878+(303.8-286.2)+(0+(0-0))+0-0-0</f>
        <v>895.6</v>
      </c>
      <c r="O228" s="3">
        <f>881.5+(341.2-271.3)+(0.89913+(0.348024-0.276726))+0-0-0</f>
        <v>952.37042799999995</v>
      </c>
      <c r="P228" s="3">
        <f>1177.4+(325.9-509.2)+(-1.801422+(-0.498627--0.779076))+0-0-0</f>
        <v>992.57902700000011</v>
      </c>
      <c r="Q228" s="3">
        <f>1230+(323-558.5)+(0.6273+(0.16473-0.284835))+0-0-0</f>
        <v>995.00719500000002</v>
      </c>
      <c r="R228" s="3">
        <f>1208.8+(337.7-575.1)+(-1.849464+(-0.516681--0.879903))+0-0-0</f>
        <v>969.91375799999992</v>
      </c>
      <c r="S228" s="3">
        <f>1218.8+(329.9-595.2)+(-0.621588+(-0.168249--0.303552))+0-0-0</f>
        <v>953.01371499999993</v>
      </c>
      <c r="T228" s="3">
        <f>1211.4+(325.2-585.7)+(-2.471256+(-0.663408--1.194828))+0-0-0</f>
        <v>948.96016400000008</v>
      </c>
      <c r="U228" s="3">
        <f>1181.8+(318.5-544.9)+(-1.205436+(-0.32487--0.555798))+0-0-0</f>
        <v>954.42549199999996</v>
      </c>
      <c r="V228" s="3">
        <f>1134.6+(267.5-406.4)+(0+(0-0))+0-0-0</f>
        <v>995.69999999999993</v>
      </c>
      <c r="W228" s="3">
        <f>1204.8+(367.1-372)+(-0.614448+(-0.187221--0.18972))+0-0-0</f>
        <v>1199.288051</v>
      </c>
      <c r="X228" s="3">
        <f>1231.7+(381.1-347)+(-3.140835+(-0.971805--0.88485))+0-0-0</f>
        <v>1262.5722100000003</v>
      </c>
      <c r="Y228" s="3">
        <f>1229.5+(367.1-373.9)+(-2.50818+(-0.748884--0.762756))+0-0-0</f>
        <v>1220.205692</v>
      </c>
      <c r="Z228" s="3">
        <f>1247.2+(359.5-396.1)+(-1.272144+(-0.36669--0.404022))+0-0-0</f>
        <v>1209.365188</v>
      </c>
      <c r="AA228" s="3">
        <f>1172.9+(352.9-363.9)+(-1.196358+(-0.359958--0.371178))+0-0-0</f>
        <v>1160.714862</v>
      </c>
      <c r="AB228" s="3">
        <f>1101.6+(337.7-339.2)+(-2.80908+(-0.861135--0.86496))+0-0-0</f>
        <v>1097.2947449999999</v>
      </c>
      <c r="AC228" s="3">
        <f>942.9+(342.7-230.6)+(-2.885274+(-1.048662--0.705636))+0-0-0</f>
        <v>1051.7717</v>
      </c>
      <c r="AD228" s="2">
        <v>1258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856.4+(339.2-233.6)+(1.310292+(0.518976-0.357408))+0-0-0</f>
        <v>963.47185999999999</v>
      </c>
      <c r="G229" s="3">
        <f>823.7+(323.3-238.3)+(-1.680348+(-0.659532--0.486132))+0-0-0</f>
        <v>906.84625200000005</v>
      </c>
      <c r="H229" s="3">
        <f>825.8+(312.5-254.6)+(0.421158+(0.159375-0.129846))+0-0-0</f>
        <v>884.15068699999995</v>
      </c>
      <c r="I229" s="3">
        <f>830.9+(293.9-264.5)+(2.118795+(0.749445-0.674475))+0-0-0</f>
        <v>862.49376499999994</v>
      </c>
      <c r="J229" s="3">
        <f>824.1+(282.5-248.9)+(-0.420291+(-0.144075--0.126939))+0-0-0</f>
        <v>857.26257300000009</v>
      </c>
      <c r="K229" s="3">
        <f>821.4+(288.4-244.4)+(-0.418914+(-0.147084--0.124644))+0-0-0</f>
        <v>864.95864599999993</v>
      </c>
      <c r="L229" s="3">
        <f>818.1+(281.2-267.9)+(-1.668924+(-0.573648--0.546516))+0-0-0</f>
        <v>829.70394400000009</v>
      </c>
      <c r="M229" s="3">
        <f>826.7+(289.5-272)+(0.421617+(0.147645-0.13872))+0-0-0</f>
        <v>844.63054199999999</v>
      </c>
      <c r="N229" s="3">
        <f>854.7+(304.1-248.4)+(0+(0-0))+0-0-0</f>
        <v>910.40000000000009</v>
      </c>
      <c r="O229" s="3">
        <f>964.1+(286.8-286.4)+(-0.491691+(-0.146268--0.146064))+0-0-0</f>
        <v>964.008105</v>
      </c>
      <c r="P229" s="3">
        <f>1051.7+(274.5-345.8)+(-2.145468+(-0.55998--0.705432))+0-0-0</f>
        <v>978.39998400000013</v>
      </c>
      <c r="Q229" s="3">
        <f>1078.2+(281.2-374.1)+(1.099764+(0.286824-0.381582))+0-0-0</f>
        <v>986.30500599999993</v>
      </c>
      <c r="R229" s="3">
        <f>1068.1+(283.2-384.4)+(-1.089462+(-0.288864--0.392088))+0-0-0</f>
        <v>965.91376199999991</v>
      </c>
      <c r="S229" s="3">
        <f>1061.8+(294.8-408.6)+(-1.624554+(-0.451044--0.625158))+0-0-0</f>
        <v>946.54956000000004</v>
      </c>
      <c r="T229" s="3">
        <f>1074.8+(285.7-417.1)+(0.548148+(0.145707-0.212721))+0-0-0</f>
        <v>943.88113399999986</v>
      </c>
      <c r="U229" s="3">
        <f>1078.7+(234.2-372.1)+(0.550137+(0.119442-0.189771))+0-0-0</f>
        <v>941.279808</v>
      </c>
      <c r="V229" s="3">
        <f>1107.1+(262-383.6)+(-1.129242+(-0.26724--0.391272))+0-0-0</f>
        <v>984.49478999999985</v>
      </c>
      <c r="W229" s="3">
        <f>1222.7+(297.3-331.6)+(-0.623577+(-0.151623--0.169116))+0-0-0</f>
        <v>1187.7939160000001</v>
      </c>
      <c r="X229" s="3">
        <f>1227.1+(297.8-286.7)+(-1.877463+(-0.455634--0.438651))+0-0-0</f>
        <v>1236.3055539999998</v>
      </c>
      <c r="Y229" s="3">
        <f>1228.4+(295.7-302.5)+(-1.252968+(-0.301614--0.30855))+0-0-0</f>
        <v>1220.3539680000001</v>
      </c>
      <c r="Z229" s="3">
        <f>1222.6+(288.6-309.4)+(-1.870578+(-0.441558--0.473382))+0-0-0</f>
        <v>1199.9612459999998</v>
      </c>
      <c r="AA229" s="3">
        <f>1225.3+(267.8-320.8)+(-0.624903+(-0.136578--0.163608))+0-0-0</f>
        <v>1171.702127</v>
      </c>
      <c r="AB229" s="3">
        <f>1069.7+(292.4-249.8)+(-1.636641+(-0.447372--0.382194))+0-0-0</f>
        <v>1110.5981810000001</v>
      </c>
      <c r="AC229" s="3">
        <f>869.7+(312.9-148.2)+(-0.887094+(-0.319158--0.151164))+0-0-0</f>
        <v>1033.344912</v>
      </c>
      <c r="AD229" s="2">
        <v>1265.7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860.6+(294.9-192.6)+(0+(0-0))+0-0-0</f>
        <v>962.9</v>
      </c>
      <c r="G230" s="3">
        <f>825.7+(295.6-219.2)+(-0.842214+(-0.301512--0.223584))+0-0-0</f>
        <v>901.17985800000008</v>
      </c>
      <c r="H230" s="3">
        <f>821.3+(297.7-238.4)+(-0.837726+(-0.303654--0.243168))+0-0-0</f>
        <v>879.70178799999996</v>
      </c>
      <c r="I230" s="3">
        <f>818.9+(277.6-223.3)+(-1.252917+(-0.424728--0.341649))+0-0-0</f>
        <v>871.86400400000002</v>
      </c>
      <c r="J230" s="3">
        <f>828.6+(258.7-209.2)+(0.845172+(0.263874-0.213384))+0-0-0</f>
        <v>878.99566200000004</v>
      </c>
      <c r="K230" s="3">
        <f>868.3+(277.8-251)+(0.442833+(0.141678-0.12801))+0-0-0</f>
        <v>895.55650099999991</v>
      </c>
      <c r="L230" s="3">
        <f>1011.6+(292.8-399.4)+(-1.547748+(-0.447984--0.611082))+0-0-0</f>
        <v>903.61535000000003</v>
      </c>
      <c r="M230" s="3">
        <f>1025.4+(293.5-368.3)+(1.045908+(0.29937-0.375666))+0-0-0</f>
        <v>951.56961200000012</v>
      </c>
      <c r="N230" s="3">
        <f>1285.2+(374.6-607.5)+(-0.655452+(-0.191046--0.309825))+0-0-0</f>
        <v>1051.7633270000001</v>
      </c>
      <c r="O230" s="3">
        <f>1408.8+(426.7-734.6)+(4.310928+(1.305702-2.247876))+0-0-0</f>
        <v>1104.2687539999999</v>
      </c>
      <c r="P230" s="3">
        <f>1544.1+(456.3-869.5)+(-0.787491+(-0.232713--0.443445))+0-0-0</f>
        <v>1130.3232409999998</v>
      </c>
      <c r="Q230" s="3">
        <f>1565.1+(457.4-874.6)+(1.596402+(0.466548-0.892092))+0-0-0</f>
        <v>1149.0708579999998</v>
      </c>
      <c r="R230" s="3">
        <f>1556.9+(445.2-866.1)+(-1.588038+(-0.454104--0.883422))+0-0-0</f>
        <v>1134.8412800000001</v>
      </c>
      <c r="S230" s="3">
        <f>1556.3+(429.3-862.4)+(-1.587426+(-0.437886--0.879648))+0-0-0</f>
        <v>1122.0543360000001</v>
      </c>
      <c r="T230" s="3">
        <f>1564.4+(438-892.1)+(0.797844+(0.22338-0.454971))+0-0-0</f>
        <v>1110.8662530000001</v>
      </c>
      <c r="U230" s="3">
        <f>1541.6+(423.7-871.8)+(-3.144864+(-0.864348--1.778472))+0-0-0</f>
        <v>1091.26926</v>
      </c>
      <c r="V230" s="3">
        <f>1561.2+(255.4-685.7)+(0.796212+(0.130254-0.349707))+0-0-0</f>
        <v>1131.4767590000001</v>
      </c>
      <c r="W230" s="3">
        <f>1607.8+(271.6-548.5)+(0+(0-0))+0-0-0</f>
        <v>1330.9</v>
      </c>
      <c r="X230" s="3">
        <f>1635.9+(271.5-528)+(-4.171545+(-0.692325--1.3464))+0-0-0</f>
        <v>1375.8825300000001</v>
      </c>
      <c r="Y230" s="3">
        <f>1632.8+(291.6-572.4)+(-0.832728+(-0.148716--0.291924))+0-0-0</f>
        <v>1351.3104800000001</v>
      </c>
      <c r="Z230" s="3">
        <f>1596.8+(295.5-584.9)+(-3.257472+(-0.60282--1.193196))+0-0-0</f>
        <v>1304.7329040000002</v>
      </c>
      <c r="AA230" s="3">
        <f>1591.4+(275.5-604.2)+(-4.869684+(-0.84303--1.848852))+0-0-0</f>
        <v>1258.8361380000001</v>
      </c>
      <c r="AB230" s="3">
        <f>1581.6+(255.9-642.4)+(-4.03308+(-0.652545--1.63812))+0-0-0</f>
        <v>1192.0524949999999</v>
      </c>
      <c r="AC230" s="3">
        <f>1586.9+(251.8-735.4)+(-3.237276+(-0.513672--1.500216))+0-0-0</f>
        <v>1101.0492680000002</v>
      </c>
      <c r="AD230" s="2">
        <v>1388.7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1608.4+(262.3-854)+(0+(0-0))+0-0-0</f>
        <v>1016.7</v>
      </c>
      <c r="G231" s="3">
        <f>1515.7+(245.1-804)+(-3.092028+(-0.500004--1.64016))+0-0-0</f>
        <v>954.84812800000009</v>
      </c>
      <c r="H231" s="3">
        <f>1368.4+(270-701.8)+(-0.697884+(-0.1377--0.357918))+0-0-0</f>
        <v>936.12233400000014</v>
      </c>
      <c r="I231" s="3">
        <f>1158.6+(279.2-528.6)+(0+(0-0))+0-0-0</f>
        <v>909.19999999999982</v>
      </c>
      <c r="J231" s="3">
        <f>1159.5+(261.3-509.5)+(0.591345+(0.133263-0.259845))+0-0-0</f>
        <v>911.7647629999999</v>
      </c>
      <c r="K231" s="3">
        <f>1156+(212.3-443)+(-0.58956+(-0.108273--0.22593))+0-0-0</f>
        <v>924.82809699999996</v>
      </c>
      <c r="L231" s="3">
        <f>1153.9+(307.1-516.6)+(-0.588489+(-0.156621--0.263466))+0-0-0</f>
        <v>943.91835600000013</v>
      </c>
      <c r="M231" s="3">
        <f>1242.1+(337.5-591.9)+(0+(0-0))+0-0-0</f>
        <v>987.69999999999993</v>
      </c>
      <c r="N231" s="3">
        <f>1421.8+(302.3-654.8)+(-0.725118+(-0.154173--0.333948))+0-0-0</f>
        <v>1068.754657</v>
      </c>
      <c r="O231" s="3">
        <f>1508.6+(342.1-748.4)+(0.769386+(0.174471-0.381684))+0-0-0</f>
        <v>1102.862173</v>
      </c>
      <c r="P231" s="3">
        <f>1546.8+(363.5-795.6)+(0+(0-0))+0-0-0</f>
        <v>1114.6999999999998</v>
      </c>
      <c r="Q231" s="3">
        <f>1539.5+(359.4-768.1)+(-0.785145+(-0.183294--0.391731))+0-0-0</f>
        <v>1130.2232919999999</v>
      </c>
      <c r="R231" s="3">
        <f>1520.5+(339.4-764.5)+(-3.10182+(-0.692376--1.55958))+0-0-0</f>
        <v>1093.1653840000001</v>
      </c>
      <c r="S231" s="3">
        <f>1522.4+(339.4-785)+(-2.329272+(-0.519282--1.20105))+0-0-0</f>
        <v>1075.1524960000002</v>
      </c>
      <c r="T231" s="3">
        <f>1528.9+(343-808.9)+(-1.559478+(-0.34986--0.825078))+0-0-0</f>
        <v>1061.9157399999999</v>
      </c>
      <c r="U231" s="3">
        <f>1521.2+(278.7-749.8)+(-2.327436+(-0.426411--1.147194))+0-0-0</f>
        <v>1048.4933470000001</v>
      </c>
      <c r="V231" s="3">
        <f>1552.2+(204.2-666.7)+(1.583244+(0.208284-0.680034))+0-0-0</f>
        <v>1090.811494</v>
      </c>
      <c r="W231" s="3">
        <f>1738.6+(233.9-694)+(-1.773372+(-0.238578--0.70788))+0-0-0</f>
        <v>1277.1959300000001</v>
      </c>
      <c r="X231" s="3">
        <f>1794+(255.8-725.6)+(-4.5747+(-0.65229--1.85028))+0-0-0</f>
        <v>1320.82329</v>
      </c>
      <c r="Y231" s="3">
        <f>1715+(262.1-671.4)+(-1.7493+(-0.267342--0.684828))+0-0-0</f>
        <v>1304.3681860000002</v>
      </c>
      <c r="Z231" s="3">
        <f>1318.8+(311.4-375.8)+(0.672588+(0.158814-0.191658))+0-0-0</f>
        <v>1255.0397439999999</v>
      </c>
      <c r="AA231" s="3">
        <f>1244.6+(353.7-393.8)+(-1.269492+(-0.360774--0.401676))+0-0-0</f>
        <v>1203.2714100000001</v>
      </c>
      <c r="AB231" s="3">
        <f>1250+(371.3-473.6)+(-0.6375+(-0.189363--0.241536))+0-0-0</f>
        <v>1147.114673</v>
      </c>
      <c r="AC231" s="3">
        <f>1251.4+(359.4-545.8)+(-1.914642+(-0.549882--0.835074))+0-0-0</f>
        <v>1063.3705500000001</v>
      </c>
      <c r="AD231" s="2">
        <v>1344.6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1183.9+(384.2-563.6)+(-2.415156+(-0.783768--1.149744))+0-0-0</f>
        <v>1002.45082</v>
      </c>
      <c r="G232" s="3">
        <f>1162.5+(354.9-556.1)+(-2.3715+(-0.723996--1.134444))+0-0-0</f>
        <v>959.33894799999996</v>
      </c>
      <c r="H232" s="3">
        <f>1170.3+(370-602.2)+(0+(0-0))+0-0-0</f>
        <v>938.09999999999991</v>
      </c>
      <c r="I232" s="3">
        <f>1169.1+(348.1-592)+(-0.596241+(-0.177531--0.30192))+0-0-0</f>
        <v>924.72814799999992</v>
      </c>
      <c r="J232" s="3">
        <f>1169.8+(283.3-533.8)+(0+(0-0))+0-0-0</f>
        <v>919.3</v>
      </c>
      <c r="K232" s="3">
        <f>1179.9+(271.2-520.1)+(0.601749+(0.138312-0.265251))+0-0-0</f>
        <v>931.47481000000005</v>
      </c>
      <c r="L232" s="3">
        <f>1334.6+(268.7-672.2)+(-2.722584+(-0.548148--1.371288))+0-0-0</f>
        <v>929.20055599999989</v>
      </c>
      <c r="M232" s="3">
        <f>1374+(330.3-733.9)+(-2.10222+(-0.505359--1.122867))+0-0-0</f>
        <v>968.91528800000015</v>
      </c>
      <c r="N232" s="3">
        <f>1479.8+(396.9-788.1)+(-2.264094+(-0.607257--1.205793))+0-0-0</f>
        <v>1086.934442</v>
      </c>
      <c r="O232" s="3">
        <f>1493.7+(412-795.2)+(-0.761787+(-0.21012--0.405552))+0-0-0</f>
        <v>1109.9336450000001</v>
      </c>
      <c r="P232" s="3">
        <f>1530.1+(394.5-839)+(0+(0-0))+0-0-0</f>
        <v>1085.5999999999999</v>
      </c>
      <c r="Q232" s="3">
        <f>1616.1+(384.7-876.8)+(-1.648422+(-0.392394--0.894336))+0-0-0</f>
        <v>1122.8535199999999</v>
      </c>
      <c r="R232" s="3">
        <f>1616.9+(377.1-895.4)+(-0.824619+(-0.192321--0.456654))+0-0-0</f>
        <v>1098.0397140000002</v>
      </c>
      <c r="S232" s="3">
        <f>1639.4+(368.8-927.9)+(3.344376+(0.752352-1.892916))+0-0-0</f>
        <v>1082.5038120000002</v>
      </c>
      <c r="T232" s="3">
        <f>1638.1+(379.1-915.5)+(1.670862+(0.386682-0.93381))+0-0-0</f>
        <v>1102.8237339999998</v>
      </c>
      <c r="U232" s="3">
        <f>1614.8+(366.8-889.3)+(-4.11774+(-0.93534--2.267715))+0-0-0</f>
        <v>1089.514635</v>
      </c>
      <c r="V232" s="3">
        <f>1636+(303.4-788.8)+(2.50308+(0.464202-1.206864))+0-0-0</f>
        <v>1152.360418</v>
      </c>
      <c r="W232" s="3">
        <f>1641.4+(396.6-701.9)+(-1.674228+(-0.404532--0.715938))+0-0-0</f>
        <v>1334.7371780000001</v>
      </c>
      <c r="X232" s="3">
        <f>1643.6+(425.4-699)+(-3.352944+(-0.867816--1.42596))+0-0-0</f>
        <v>1367.2052000000001</v>
      </c>
      <c r="Y232" s="3">
        <f>1616.7+(393.1-659)+(-4.947102+(-1.202886--2.01654))+0-0-0</f>
        <v>1346.6665520000001</v>
      </c>
      <c r="Z232" s="3">
        <f>1526.7+(420.7-623.5)+(-4.671702+(-1.287342--1.90791))+0-0-0</f>
        <v>1319.848866</v>
      </c>
      <c r="AA232" s="3">
        <f>1425.8+(392.5-552.4)+(-2.181474+(-0.600525--0.845172))+0-0-0</f>
        <v>1263.9631730000001</v>
      </c>
      <c r="AB232" s="3">
        <f>1309.7+(418.2-521)+(0+(0-0))+0-0-0</f>
        <v>1206.9000000000001</v>
      </c>
      <c r="AC232" s="3">
        <f>1205.1+(424.6-516.9)+(-2.458404+(-0.866184--1.054476))+0-0-0</f>
        <v>1110.529888</v>
      </c>
      <c r="AD232" s="2">
        <v>1355.4999999999998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1092.2+(419.7-482.7)+(-3.899154+(-1.498329--1.723239))+0-0-0</f>
        <v>1025.525756</v>
      </c>
      <c r="G233" s="3">
        <f>1075.8+(375-464.2)+(-3.291948+(-1.1475--1.420452))+0-0-0</f>
        <v>983.58100399999989</v>
      </c>
      <c r="H233" s="3">
        <f>873.2+(402.7-331.5)+(-0.890664+(-0.410754--0.33813))+0-0-0</f>
        <v>943.43671200000006</v>
      </c>
      <c r="I233" s="3">
        <f>866.5+(417.8-359.3)+(0+(0-0))+0-0-0</f>
        <v>925</v>
      </c>
      <c r="J233" s="3">
        <f>836.3+(422.6-340.9)+(0.853026+(0.431052-0.347718))+0-0-0</f>
        <v>918.93636000000004</v>
      </c>
      <c r="K233" s="3">
        <f>821.5+(435.6-323.7)+(-0.418965+(-0.222156--0.165087))+0-0-0</f>
        <v>932.92396600000006</v>
      </c>
      <c r="L233" s="3">
        <f>894.6+(444.1-424.2)+(-0.912492+(-0.452982--0.432684))+0-0-0</f>
        <v>913.56721000000005</v>
      </c>
      <c r="M233" s="3">
        <f>1085.7+(412.3-556.3)+(-1.107414+(-0.420546--0.567426))+0-0-0</f>
        <v>940.73946599999999</v>
      </c>
      <c r="N233" s="3">
        <f>1247.9+(430-645.2)+(-1.272858+(-0.4386--0.658104))+0-0-0</f>
        <v>1031.6466460000001</v>
      </c>
      <c r="O233" s="3">
        <f>1269.8+(421.2-593.6)+(1.942794+(0.644436-0.908208))+0-0-0</f>
        <v>1099.0790219999999</v>
      </c>
      <c r="P233" s="3">
        <f>1338.8+(377.6-606.9)+(-2.731152+(-0.770304--1.238076))+0-0-0</f>
        <v>1107.2366199999999</v>
      </c>
      <c r="Q233" s="3">
        <f>1348.9+(417.5-630.7)+(-2.751756+(-0.8517--1.286628))+0-0-0</f>
        <v>1133.3831720000001</v>
      </c>
      <c r="R233" s="3">
        <f>1350.2+(391.5-625.7)+(-1.377204+(-0.39933--0.638214))+0-0-0</f>
        <v>1114.86168</v>
      </c>
      <c r="S233" s="3">
        <f>1347+(347.6-613.3)+(-2.74788+(-0.709104--1.251132))+0-0-0</f>
        <v>1079.0941480000001</v>
      </c>
      <c r="T233" s="3">
        <f>1347.9+(364.8-627)+(-1.374858+(-0.372096--0.63954))+0-0-0</f>
        <v>1084.592586</v>
      </c>
      <c r="U233" s="3">
        <f>1255.9+(371.7-560.5)+(-1.281018+(-0.379134--0.57171))+0-0-0</f>
        <v>1066.0115580000002</v>
      </c>
      <c r="V233" s="3">
        <f>1283.6+(349.5-529.6)+(0.654636+(0.178245-0.270096))+0-0-0</f>
        <v>1104.0627850000001</v>
      </c>
      <c r="W233" s="3">
        <f>1385.2+(370.8-455.2)+(1.412904+(0.378216-0.464304))+0-0-0</f>
        <v>1302.1268160000002</v>
      </c>
      <c r="X233" s="3">
        <f>1357.8+(347.1-352.8)+(-2.077434+(-0.531063--0.539784))+0-0-0</f>
        <v>1350.031287</v>
      </c>
      <c r="Y233" s="3">
        <f>1278.2+(368.3-315.5)+(-3.25941+(-0.939165--0.804525))+0-0-0</f>
        <v>1327.6059499999999</v>
      </c>
      <c r="Z233" s="3">
        <f>1300.8+(334.9-328)+(0.663408+(0.170799-0.16728))+0-0-0</f>
        <v>1308.3669269999998</v>
      </c>
      <c r="AA233" s="3">
        <f>1241.5+(347.5-320.1)+(-0.633165+(-0.177225--0.163251))+0-0-0</f>
        <v>1268.2528610000002</v>
      </c>
      <c r="AB233" s="3">
        <f>1084.1+(388.6-294.6)+(-2.211564+(-0.792744--0.600984))+0-0-0</f>
        <v>1175.6966759999998</v>
      </c>
      <c r="AC233" s="3">
        <f>1084.1+(305.8-291.7)+(-1.658673+(-0.467874--0.446301))+0-0-0</f>
        <v>1096.5197539999999</v>
      </c>
      <c r="AD233" s="2">
        <v>1331.8000000000002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1016.6+(314.8-298.4)+(-0.518466+(-0.160548--0.152184))+0-0-0</f>
        <v>1032.47317</v>
      </c>
      <c r="G234" s="3">
        <f>973.4+(299.9-299.7)+(-0.496434+(-0.152949--0.152847))+0-0-0</f>
        <v>973.10346399999992</v>
      </c>
      <c r="H234" s="3">
        <f>967+(290.4-313.7)+(-0.98634+(-0.296208--0.319974))+0-0-0</f>
        <v>942.73742600000003</v>
      </c>
      <c r="I234" s="3">
        <f>972.2+(282.9-326.9)+(-0.495822+(-0.144279--0.166719))+0-0-0</f>
        <v>927.72661800000003</v>
      </c>
      <c r="J234" s="3">
        <f>960.8+(277.3-319.1)+(-2.45004+(-0.707115--0.813705))+0-0-0</f>
        <v>916.65655000000004</v>
      </c>
      <c r="K234" s="3">
        <f>980.7+(281.1-332)+(1.000314+(0.286722-0.33864))+0-0-0</f>
        <v>930.74839600000007</v>
      </c>
      <c r="L234" s="3">
        <f>959.5+(281.9-334.4)+(-2.93607+(-0.862614--1.023264))+0-0-0</f>
        <v>904.22457999999995</v>
      </c>
      <c r="M234" s="3">
        <f>1043.8+(280-389.9)+(0+(0-0))+0-0-0</f>
        <v>933.9</v>
      </c>
      <c r="N234" s="3">
        <f>1107.2+(320.7-398.3)+(-1.129344+(-0.327114--0.406266))+0-0-0</f>
        <v>1028.549808</v>
      </c>
      <c r="O234" s="3">
        <f>1151.5+(329.4-392.6)+(0.587265+(0.167994-0.200226))+0-0-0</f>
        <v>1088.855033</v>
      </c>
      <c r="P234" s="3">
        <f>1203.5+(297.1-395.5)+(-1.22757+(-0.303042--0.40341))+0-0-0</f>
        <v>1103.972798</v>
      </c>
      <c r="Q234" s="3">
        <f>1204+(287.3-395.1)+(-1.22808+(-0.293046--0.403002))+0-0-0</f>
        <v>1095.081876</v>
      </c>
      <c r="R234" s="3">
        <f>1192.7+(289.7-391.7)+(-3.041385+(-0.738735--0.998835))+0-0-0</f>
        <v>1087.918715</v>
      </c>
      <c r="S234" s="3">
        <f>1198.7+(272-445.7)+(-1.222674+(-0.27744--0.454614))+0-0-0</f>
        <v>1023.9545000000001</v>
      </c>
      <c r="T234" s="3">
        <f>1204.8+(271.2-444.7)+(0+(0-0))+0-0-0</f>
        <v>1031.3</v>
      </c>
      <c r="U234" s="3">
        <f>1202.8+(239-402.9)+(-1.226856+(-0.24378--0.410958))+0-0-0</f>
        <v>1037.840322</v>
      </c>
      <c r="V234" s="3">
        <f>1207.6+(240.6-371.4)+(0+(0-0))+0-0-0</f>
        <v>1076.8</v>
      </c>
      <c r="W234" s="3">
        <f>1315.8+(279.9-338.1)+(0.671058+(0.142749-0.172431))+0-0-0</f>
        <v>1258.2413759999999</v>
      </c>
      <c r="X234" s="3">
        <f>1359.6+(281.1-348.1)+(-4.160376+(-0.860166--1.065186))+0-0-0</f>
        <v>1288.644644</v>
      </c>
      <c r="Y234" s="3">
        <f>1370.5+(275.2-371.7)+(-4.19373+(-0.842112--1.137402))+0-0-0</f>
        <v>1270.1015600000001</v>
      </c>
      <c r="Z234" s="3">
        <f>1358.7+(282.1-378.8)+(-2.078811+(-0.431613--0.579564))+0-0-0</f>
        <v>1260.0691400000001</v>
      </c>
      <c r="AA234" s="3">
        <f>1198.6+(173.9-198.6)+(-1.833858+(-0.266067--0.303858))+0-0-0</f>
        <v>1172.1039329999999</v>
      </c>
      <c r="AB234" s="3">
        <f>1181.7+(130-185.8)+(-2.410668+(-0.2652--0.379032))+0-0-0</f>
        <v>1123.6031640000001</v>
      </c>
      <c r="AC234" s="3">
        <f>1067.3+(123.4-101.1)+(-0.544323+(-0.062934--0.051561))+0-0-0</f>
        <v>1089.044304</v>
      </c>
      <c r="AD234" s="2">
        <v>1279.5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922.2+(148.8-113.4)+(-2.35161+(-0.37944--0.28917))+0-0-0</f>
        <v>955.15812000000005</v>
      </c>
      <c r="G235" s="3">
        <f>926.2+(121.9-127.7)+(-0.944724+(-0.124338--0.130254))+0-0-0</f>
        <v>919.4611920000001</v>
      </c>
      <c r="H235" s="3">
        <f>922.8+(128.8-161.5)+(-1.411884+(-0.197064--0.247095))+0-0-0</f>
        <v>888.73814699999991</v>
      </c>
      <c r="I235" s="3">
        <f>924.6+(120.3-174.1)+(-0.471546+(-0.061353--0.088791))+0-0-0</f>
        <v>870.35589200000004</v>
      </c>
      <c r="J235" s="3">
        <f>924.4+(118.5-178.7)+(-0.471444+(-0.060435--0.091137))+0-0-0</f>
        <v>863.75925800000005</v>
      </c>
      <c r="K235" s="3">
        <f>925.5+(106.9-173.1)+(0.472005+(0.054519-0.088281))+0-0-0</f>
        <v>859.73824300000001</v>
      </c>
      <c r="L235" s="3">
        <f>921+(108.3-199.1)+(-0.93942+(-0.110466--0.203082))+0-0-0</f>
        <v>829.35319600000003</v>
      </c>
      <c r="M235" s="3">
        <f>925.5+(87.1-208.3)+(0+(0-0))+0-0-0</f>
        <v>804.3</v>
      </c>
      <c r="N235" s="3">
        <f>951.7+(128.5-241.9)+(-0.485367+(-0.065535--0.123369))+0-0-0</f>
        <v>837.87246700000003</v>
      </c>
      <c r="O235" s="3">
        <f>1015.8+(110.5-241.5)+(1.554174+(0.169065-0.369495))+0-0-0</f>
        <v>886.15374399999996</v>
      </c>
      <c r="P235" s="3">
        <f>1013+(102.8-214.6)+(1.54989+(0.157284-0.328338))+0-0-0</f>
        <v>902.57883600000002</v>
      </c>
      <c r="Q235" s="3">
        <f>1004+(106.8-209)+(-1.53612+(-0.163404--0.31977))+0-0-0</f>
        <v>900.42024599999991</v>
      </c>
      <c r="R235" s="3">
        <f>940.6+(112.1-173.7)+(-2.39853+(-0.285855--0.442935))+0-0-0</f>
        <v>876.75855000000001</v>
      </c>
      <c r="S235" s="3">
        <f>911.8+(161.5-191.3)+(-2.32509+(-0.411825--0.487815))+0-0-0</f>
        <v>879.7509</v>
      </c>
      <c r="T235" s="3">
        <f>912.8+(177.3-220.3)+(-2.32764+(-0.452115--0.561765))+0-0-0</f>
        <v>867.58200999999997</v>
      </c>
      <c r="U235" s="3">
        <f>916.7+(210.2-255.9)+(-1.870068+(-0.428808--0.522036))+0-0-0</f>
        <v>869.22316000000001</v>
      </c>
      <c r="V235" s="3">
        <f>917.7+(265.1-262.2)+(-1.404081+(-0.405603--0.401166))+0-0-0</f>
        <v>919.19148200000018</v>
      </c>
      <c r="W235" s="3">
        <f>1200.2+(241.7-300.6)+(-1.224204+(-0.246534--0.306612))+0-0-0</f>
        <v>1140.1358740000001</v>
      </c>
      <c r="X235" s="3">
        <f>1270.7+(236.5-312.9)+(-2.592228+(-0.48246--0.638316))+0-0-0</f>
        <v>1191.8636280000003</v>
      </c>
      <c r="Y235" s="3">
        <f>1286.8+(250.1-348.3)+(0+(0-0))+0-0-0</f>
        <v>1188.5999999999999</v>
      </c>
      <c r="Z235" s="3">
        <f>1282.3+(267.5-379.6)+(-1.307946+(-0.27285--0.387192))+0-0-0</f>
        <v>1169.0063959999998</v>
      </c>
      <c r="AA235" s="3">
        <f>1281.3+(274.4-414.9)+(-1.306926+(-0.279888--0.423198))+0-0-0</f>
        <v>1139.6363839999999</v>
      </c>
      <c r="AB235" s="3">
        <f>1257.8+(270.5-442.1)+(-2.565912+(-0.55182--0.901884))+0-0-0</f>
        <v>1083.9841519999998</v>
      </c>
      <c r="AC235" s="3">
        <f>1158.5+(238.2-397.8)+(-2.954175+(-0.60741--1.01439))+0-0-0</f>
        <v>996.35280499999999</v>
      </c>
      <c r="AD235" s="2">
        <v>1210.6999999999998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938.8+(339.1-337.2)+(-0.957576+(-0.345882--0.343944))+0-0-0</f>
        <v>939.74048600000003</v>
      </c>
      <c r="G236" s="3">
        <f>921.1+(364.2-384.3)+(-1.879044+(-0.742968--0.783972))+0-0-0</f>
        <v>899.16196000000002</v>
      </c>
      <c r="H236" s="3">
        <f>927.7+(317.9-367.4)+(-0.473127+(-0.162129--0.187374))+0-0-0</f>
        <v>877.752118</v>
      </c>
      <c r="I236" s="3">
        <f>925.8+(305.9-360.6)+(-1.888632+(-0.624036--0.735624))+0-0-0</f>
        <v>869.32295599999986</v>
      </c>
      <c r="J236" s="3">
        <f>917.3+(287.6-331.6)+(-2.339115+(-0.73338--0.84558))+0-0-0</f>
        <v>871.07308499999999</v>
      </c>
      <c r="K236" s="3">
        <f>945.6+(270-323.8)+(1.929024+(0.5508-0.660552))+0-0-0</f>
        <v>893.61927199999991</v>
      </c>
      <c r="L236" s="3">
        <f>926.4+(312-321.8)+(-1.417392+(-0.47736--0.492354))+0-0-0</f>
        <v>915.19760199999996</v>
      </c>
      <c r="M236" s="3">
        <f>1164.9+(385.9-600.6)+(-1.188198+(-0.393618--0.612612))+0-0-0</f>
        <v>949.23079600000005</v>
      </c>
      <c r="N236" s="3">
        <f>1271.2+(460.3-675)+(-1.944936+(-0.704259--1.03275))+0-0-0</f>
        <v>1054.8835549999999</v>
      </c>
      <c r="O236" s="3">
        <f>1231.8+(455.4-616.6)+(0+(0-0))+0-0-0</f>
        <v>1070.5999999999999</v>
      </c>
      <c r="P236" s="3">
        <f>1226.5+(431.2-585)+(0+(0-0))+0-0-0</f>
        <v>1072.7</v>
      </c>
      <c r="Q236" s="3">
        <f>1225.4+(418.2-552.3)+(-2.499816+(-0.853128--1.126692))+0-0-0</f>
        <v>1089.0737480000003</v>
      </c>
      <c r="R236" s="3">
        <f>1238.3+(383.2-565.6)+(-3.789198+(-1.172592--1.730736))+0-0-0</f>
        <v>1052.6689459999998</v>
      </c>
      <c r="S236" s="3">
        <f>1238.8+(362.5-553.5)+(-2.527152+(-0.7395--1.12914))+0-0-0</f>
        <v>1045.6624879999999</v>
      </c>
      <c r="T236" s="3">
        <f>1246.2+(351.7-555.9)+(-1.906686+(-0.538101--0.850527))+0-0-0</f>
        <v>1040.4057399999999</v>
      </c>
      <c r="U236" s="3">
        <f>1239+(309.4-529.8)+(-2.52756+(-0.631176--1.080792))+0-0-0</f>
        <v>1016.522056</v>
      </c>
      <c r="V236" s="3">
        <f>1249.7+(247.3-448.3)+(-1.274694+(-0.252246--0.457266))+0-0-0</f>
        <v>1047.630326</v>
      </c>
      <c r="W236" s="3">
        <f>1346.1+(199.9-305.7)+(-2.059533+(-0.305847--0.467721))+0-0-0</f>
        <v>1238.402341</v>
      </c>
      <c r="X236" s="3">
        <f>1379.8+(200.7-309.8)+(-3.51849+(-0.511785--0.78999))+0-0-0</f>
        <v>1267.4597149999997</v>
      </c>
      <c r="Y236" s="3">
        <f>1398.6+(208-347.7)+(-2.139858+(-0.31824--0.531981))+0-0-0</f>
        <v>1256.9738829999999</v>
      </c>
      <c r="Z236" s="3">
        <f>1230.7+(261.2-259.2)+(-1.255314+(-0.266424--0.264384))+0-0-0</f>
        <v>1231.442646</v>
      </c>
      <c r="AA236" s="3">
        <f>1121.3+(308.3-236.4)+(-2.859315+(-0.786165--0.60282))+0-0-0</f>
        <v>1190.15734</v>
      </c>
      <c r="AB236" s="3">
        <f>933+(363.5-173.3)+(0+(0-0))+0-0-0</f>
        <v>1123.2</v>
      </c>
      <c r="AC236" s="3">
        <f>902.8+(343.6-204)+(-2.30214+(-0.87618--0.5202))+0-0-0</f>
        <v>1039.74188</v>
      </c>
      <c r="AD236" s="2">
        <v>1319.3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909.9+(320-269)+(-1.392147+(-0.4896--0.41157))+0-0-0</f>
        <v>959.42982299999994</v>
      </c>
      <c r="G237" s="3">
        <f>923.4+(314.2-328.2)+(-0.941868+(-0.320484--0.334764))+0-0-0</f>
        <v>908.47241199999996</v>
      </c>
      <c r="H237" s="3">
        <f>920.3+(302.1-332.7)+(-0.469353+(-0.154071--0.169677))+0-0-0</f>
        <v>889.24625300000002</v>
      </c>
      <c r="I237" s="3">
        <f>921.9+(311.6-350.2)+(0.470169+(0.158916-0.178602))+0-0-0</f>
        <v>883.75048299999992</v>
      </c>
      <c r="J237" s="3">
        <f>920.6+(288.2-323.5)+(-0.469506+(-0.146982--0.164985))+0-0-0</f>
        <v>884.84849699999995</v>
      </c>
      <c r="K237" s="3">
        <f>927+(261.7-293.2)+(1.41831+(0.400401-0.448596))+0-0-0</f>
        <v>896.87011500000006</v>
      </c>
      <c r="L237" s="3">
        <f>918+(296.8-291.2)+(-1.87272+(-0.605472--0.594048))+0-0-0</f>
        <v>921.71585600000003</v>
      </c>
      <c r="M237" s="3">
        <f>1092.4+(287.5-422.2)+(0+(0-0))+0-0-0</f>
        <v>957.7</v>
      </c>
      <c r="N237" s="3">
        <f>1127.6+(412.3-489.3)+(0.575076+(0.210273-0.249543))+0-0-0</f>
        <v>1051.135806</v>
      </c>
      <c r="O237" s="3">
        <f>1140.3+(463-502.2)+(2.326212+(0.94452-1.024488))+0-0-0</f>
        <v>1103.3462439999998</v>
      </c>
      <c r="P237" s="3">
        <f>1124.6+(484.5-496.8)+(-0.573546+(-0.247095--0.253368))+0-0-0</f>
        <v>1111.7327270000001</v>
      </c>
      <c r="Q237" s="3">
        <f>1118.9+(511.4-510.1)+(-1.141278+(-0.521628--0.520302))+0-0-0</f>
        <v>1119.0573960000002</v>
      </c>
      <c r="R237" s="3">
        <f>1122.1+(456.9-481.7)+(-0.572271+(-0.233019--0.245667))+0-0-0</f>
        <v>1096.7403769999999</v>
      </c>
      <c r="S237" s="3">
        <f>1120.7+(426.5-461.6)+(-1.143114+(-0.43503--0.470832))+0-0-0</f>
        <v>1084.4926879999998</v>
      </c>
      <c r="T237" s="3">
        <f>1137.2+(413.2-471.4)+(1.159944+(0.421464-0.480828))+0-0-0</f>
        <v>1080.10058</v>
      </c>
      <c r="U237" s="3">
        <f>1116.5+(384.3-402.4)+(-1.708245+(-0.587979--0.615672))+0-0-0</f>
        <v>1096.7194480000001</v>
      </c>
      <c r="V237" s="3">
        <f>1155.8+(279.3-261)+(-0.589458+(-0.142443--0.13311))+0-0-0</f>
        <v>1173.501209</v>
      </c>
      <c r="W237" s="3">
        <f>1357.4+(207.8-288.3)+(-0.692274+(-0.105978--0.147033))+0-0-0</f>
        <v>1276.248781</v>
      </c>
      <c r="X237" s="3">
        <f>1400.3+(211.4-405.4)+(-2.142459+(-0.323442--0.620262))+0-0-0</f>
        <v>1204.4543610000001</v>
      </c>
      <c r="Y237" s="3">
        <f>1403.4+(234.8-420.7)+(-3.57867+(-0.59874--1.072785))+0-0-0</f>
        <v>1214.3953750000001</v>
      </c>
      <c r="Z237" s="3">
        <f>1281.7+(302.9-369.2)+(-2.614668+(-0.617916--0.753168))+0-0-0</f>
        <v>1212.9205840000002</v>
      </c>
      <c r="AA237" s="3">
        <f>1212+(305.6-341.8)+(-1.23624+(-0.311712--0.348636))+0-0-0</f>
        <v>1174.600684</v>
      </c>
      <c r="AB237" s="3">
        <f>1131.5+(323.1-328.5)+(-2.885325+(-0.823905--0.837675))+0-0-0</f>
        <v>1123.228445</v>
      </c>
      <c r="AC237" s="3">
        <f>994.9+(335.1-290.7)+(-2.536995+(-0.854505--0.741285))+0-0-0</f>
        <v>1036.6497850000001</v>
      </c>
      <c r="AD237" s="2">
        <v>1197.5999999999999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915.6+(332.4-294.7)+(-1.867824+(-0.678096--0.601188))+0-0-0</f>
        <v>951.35526799999991</v>
      </c>
      <c r="G238" s="3">
        <f>925.1+(327.6-341.7)+(-0.471801+(-0.167076--0.174267))+0-0-0</f>
        <v>910.53539000000001</v>
      </c>
      <c r="H238" s="3">
        <f>924.7+(316.6-355.7)+(-0.943194+(-0.322932--0.362814))+0-0-0</f>
        <v>884.69668800000011</v>
      </c>
      <c r="I238" s="3">
        <f>921.7+(295.9-335.2)+(-0.940134+(-0.301818--0.341904))+0-0-0</f>
        <v>881.49995200000012</v>
      </c>
      <c r="J238" s="3">
        <f>919.1+(253.1-292.5)+(-1.406223+(-0.387243--0.447525))+0-0-0</f>
        <v>878.35405900000001</v>
      </c>
      <c r="K238" s="3">
        <f>924+(268.5-301.1)+(0+(0-0))+0-0-0</f>
        <v>891.4</v>
      </c>
      <c r="L238" s="3">
        <f>924.1+(286.1-290.5)+(-0.471291+(-0.145911--0.148155))+0-0-0</f>
        <v>919.230953</v>
      </c>
      <c r="M238" s="3">
        <f>1065.3+(301.1-392.2)+(-0.543303+(-0.153561--0.200022))+0-0-0</f>
        <v>973.70315800000003</v>
      </c>
      <c r="N238" s="3">
        <f>1143.7+(326.9-408.6)+(-1.166574+(-0.333438--0.416772))+0-0-0</f>
        <v>1060.9167600000001</v>
      </c>
      <c r="O238" s="3">
        <f>1210.9+(356-474.6)+(-0.617559+(-0.18156--0.242046))+3.7-0-0</f>
        <v>1095.4429270000003</v>
      </c>
      <c r="P238" s="3">
        <f>1379.7+(387.8-627.6)+(1.407294+(0.395556-0.640152))+0-0-0</f>
        <v>1141.0626980000002</v>
      </c>
      <c r="Q238" s="3">
        <f>1388.5+(388.7-630.4)+(-0.708135+(-0.198237--0.321504))+0-0-0</f>
        <v>1146.215132</v>
      </c>
      <c r="R238" s="3">
        <f>1382.1+(405.7-663.2)+(-2.819484+(-0.827628--1.352928))+0-0-0</f>
        <v>1122.3058159999998</v>
      </c>
      <c r="S238" s="3">
        <f>1379.7+(340.4-637.2)+(-2.110941+(-0.520812--0.974916))+0-0-0</f>
        <v>1081.2431630000001</v>
      </c>
      <c r="T238" s="3">
        <f>1382.8+(381-667.8)+(0.705228+(0.19431-0.340578))+0-0-0</f>
        <v>1096.5589600000001</v>
      </c>
      <c r="U238" s="3">
        <f>1382.6+(419.1-695)+(-0.705126+(-0.213741--0.35445))+0-0-0</f>
        <v>1106.1355829999998</v>
      </c>
      <c r="V238" s="3">
        <f>1392.4+(357.4-561.9)+(2.130372+(0.546822-0.859707))+0-0-0</f>
        <v>1189.7174870000001</v>
      </c>
      <c r="W238" s="3">
        <f>1601.2+(268.1-561)+(-1.633224+(-0.273462--0.57222))+0-0-0</f>
        <v>1306.9655340000002</v>
      </c>
      <c r="X238" s="3">
        <f>1620.5+(313.6-620.4)+(-3.30582+(-0.639744--1.265616))+0-0-0</f>
        <v>1311.0200520000001</v>
      </c>
      <c r="Y238" s="3">
        <f>1417.4+(333.2-472.8)+(-3.61437+(-0.84966--1.20564))+0-0-0</f>
        <v>1274.5416100000002</v>
      </c>
      <c r="Z238" s="3">
        <f>1286.2+(361.9-403.9)+(-1.967886+(-0.553707--0.617967))+0-0-0</f>
        <v>1242.296374</v>
      </c>
      <c r="AA238" s="3">
        <f>1268.4+(320.6-377.3)+(-1.940652+(-0.490518--0.577269))+0-0-0</f>
        <v>1209.8460990000001</v>
      </c>
      <c r="AB238" s="3">
        <f>1137+(351.8-340)+(-0.57987+(-0.179418--0.1734))+0-0-0</f>
        <v>1148.2141119999999</v>
      </c>
      <c r="AC238" s="3">
        <f>1045.7+(358.5-330.9)+(-1.599921+(-0.548505--0.506277))+0-0-0</f>
        <v>1071.6578510000002</v>
      </c>
      <c r="AD238" s="2">
        <v>1363.9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1047.6+(416.7-436.1)+(-0.534276+(-0.212517--0.222411))+0-0-0</f>
        <v>1027.6756179999998</v>
      </c>
      <c r="G239" s="3">
        <f>1047.1+(417.1-484.7)+(-1.068042+(-0.425442--0.494394))+0-0-0</f>
        <v>978.50090999999998</v>
      </c>
      <c r="H239" s="3">
        <f>1025.2+(386.6-463)+(0+(0-0))+0-0-0</f>
        <v>948.80000000000007</v>
      </c>
      <c r="I239" s="3">
        <f>994.5+(348.4-406.3)+(-1.01439+(-0.355368--0.414426))+0-0-0</f>
        <v>935.64466799999991</v>
      </c>
      <c r="J239" s="3">
        <f>1001+(333.5-402.4)+(0+(0-0))+0-0-0</f>
        <v>932.1</v>
      </c>
      <c r="K239" s="3">
        <f>1002.3+(325-377.5)+(-1.022346+(-0.3315--0.38505))+0-0-0</f>
        <v>948.83120399999996</v>
      </c>
      <c r="L239" s="3">
        <f>1001.2+(422.5-439.1)+(-1.531836+(-0.646425--0.671823))+0-0-0</f>
        <v>983.09356200000002</v>
      </c>
      <c r="M239" s="3">
        <f>1060.5+(410.1-455.7)+(-1.08171+(-0.418302--0.464814))+0-0-0</f>
        <v>1013.8648020000001</v>
      </c>
      <c r="N239" s="3">
        <f>1200.5+(465.6-559.4)+(-2.44902+(-0.949824--1.141176))+0-0-0</f>
        <v>1104.4423320000001</v>
      </c>
      <c r="O239" s="3">
        <f>1310.2+(438-597)+(0+(0-0))+0-0-0</f>
        <v>1151.2</v>
      </c>
      <c r="P239" s="3">
        <f>1494.7+(398.2-705.7)+(-1.524594+(-0.406164--0.719814))+0-0-0</f>
        <v>1185.9890560000001</v>
      </c>
      <c r="Q239" s="3">
        <f>1625.8+(415.9-823.7)+(-0.829158+(-0.212109--0.420087))+0-0-0</f>
        <v>1217.3788199999999</v>
      </c>
      <c r="R239" s="3">
        <f>1572.5+(376.9-743.3)+(-4.009875+(-0.961095--1.895415))+0-0-0</f>
        <v>1203.024445</v>
      </c>
      <c r="S239" s="3">
        <f>1428.5+(382.6-627)+(-0.728535+(-0.195126--0.31977))+0-0-0</f>
        <v>1183.4961089999999</v>
      </c>
      <c r="T239" s="3">
        <f>1424.4+(370.3-629.2)+(-1.452888+(-0.377706--0.641784))+0-0-0</f>
        <v>1164.3111899999999</v>
      </c>
      <c r="U239" s="3">
        <f>1416.1+(369.6-619.8)+(-1.444422+(-0.376992--0.632196))+0-0-0</f>
        <v>1164.7107820000001</v>
      </c>
      <c r="V239" s="3">
        <f>1449.2+(360.5-573.3)+(-2.217276+(-0.551565--0.877149))+0-0-0</f>
        <v>1234.5083080000002</v>
      </c>
      <c r="W239" s="3">
        <f>1713.1+(421.3-778.3)+(-1.747362+(-0.429726--0.793866))+0-0-0</f>
        <v>1354.716778</v>
      </c>
      <c r="X239" s="3">
        <f>1708.9+(449.6-802.7)+(-3.486156+(-0.917184--1.637508))+0-0-0</f>
        <v>1353.0341680000001</v>
      </c>
      <c r="Y239" s="3">
        <f>1708.3+(385.1-760.5)+(-3.484932+(-0.785604--1.55142))+0-0-0</f>
        <v>1330.1808840000001</v>
      </c>
      <c r="Z239" s="3">
        <f>1704.8+(410.7-814.6)+(-4.34724+(-1.047285--2.07723))+0-0-0</f>
        <v>1297.5827049999998</v>
      </c>
      <c r="AA239" s="3">
        <f>1381.2+(438.8-560.3)+(-2.113236+(-0.671364--0.857259))+0-0-0</f>
        <v>1257.772659</v>
      </c>
      <c r="AB239" s="3">
        <f>1208.4+(414.9-429.8)+(-3.08142+(-1.057995--1.09599))+0-0-0</f>
        <v>1190.4565749999999</v>
      </c>
      <c r="AC239" s="3">
        <f>1151+(424.7-469.5)+(-2.34804+(-0.866388--0.95778))+0-0-0</f>
        <v>1103.943352</v>
      </c>
      <c r="AD239" s="2">
        <v>1367.6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1119.8+(382.2-492.8)+(-1.713294+(-0.584766--0.753984))+0-0-0</f>
        <v>1007.6559239999999</v>
      </c>
      <c r="G240" s="3">
        <f>1007.6+(366.1-447.9)+(-1.541628+(-0.560133--0.685287))+0-0-0</f>
        <v>924.38352600000007</v>
      </c>
      <c r="H240" s="3">
        <f>1011+(351.9-462)+(-0.51561+(-0.179469--0.23562))+0-0-0</f>
        <v>900.44054099999994</v>
      </c>
      <c r="I240" s="3">
        <f>1017.5+(350.8-476.4)+(-0.518925+(-0.178908--0.242964))+0-0-0</f>
        <v>891.44513100000006</v>
      </c>
      <c r="J240" s="3">
        <f>1011.7+(346-474.4)+(-1.031934+(-0.35292--0.483888))+0-0-0</f>
        <v>882.39903400000003</v>
      </c>
      <c r="K240" s="3">
        <f>1026.2+(350.2-485.9)+(1.570086+(0.535806-0.743427))+0-0-0</f>
        <v>891.86246500000004</v>
      </c>
      <c r="L240" s="3">
        <f>1010.7+(415.9-500.1)+(-0.515457+(-0.212109--0.255051))+0-0-0</f>
        <v>926.02748499999996</v>
      </c>
      <c r="M240" s="3">
        <f>1277.9+(454.1-738.8)+(1.303458+(0.463182-0.753576))+0-0-0</f>
        <v>994.21306400000014</v>
      </c>
      <c r="N240" s="3">
        <f>1557+(448.1-924)+(1.58814+(0.457062-0.94248))+0-0-0</f>
        <v>1082.202722</v>
      </c>
      <c r="O240" s="3">
        <f>1672.4+(453.9-994.1)+(-1.705848+(-0.462978--1.013982))+0-0-0</f>
        <v>1131.0451560000001</v>
      </c>
      <c r="P240" s="3">
        <f>1642+(470.1-947.6)+(-1.67484+(-0.479502--0.966552))+0-0-0</f>
        <v>1163.3122100000001</v>
      </c>
      <c r="Q240" s="3">
        <f>1678.9+(491.2-985.3)+(1.712478+(0.501024-1.005006))+0-0-0</f>
        <v>1186.0084960000002</v>
      </c>
      <c r="R240" s="3">
        <f>1687.7+(456-950.3)+(-3.442908+(-0.93024--1.938612))+0-0-0</f>
        <v>1190.9654640000001</v>
      </c>
      <c r="S240" s="3">
        <f>1640.2+(438.9-905.7)+(0+(0-0))+0-0-0</f>
        <v>1173.4000000000001</v>
      </c>
      <c r="T240" s="3">
        <f>1638.9+(412-888.4)+(-0.835839+(-0.21012--0.453084))+0-0-0</f>
        <v>1161.907125</v>
      </c>
      <c r="U240" s="3">
        <f>1559.6+(377.2-768.1)+(0+(0-0))+0-0-0</f>
        <v>1168.6999999999998</v>
      </c>
      <c r="V240" s="3">
        <f>1694+(435.7-898)+(0.86394+(0.222207-0.45798))+0-0-0</f>
        <v>1232.3281670000001</v>
      </c>
      <c r="W240" s="3">
        <f>1762.6+(442-845)+(0.898926+(0.22542-0.43095))+0-0-0</f>
        <v>1360.2933959999998</v>
      </c>
      <c r="X240" s="3">
        <f>1745.5+(398.6-780)+(-5.34123+(-1.219716--2.3868))+0-0-0</f>
        <v>1359.9258539999998</v>
      </c>
      <c r="Y240" s="3">
        <f>1707.7+(370.3-740)+(-0.870927+(-0.188853--0.3774))+0-0-0</f>
        <v>1337.31762</v>
      </c>
      <c r="Z240" s="3">
        <f>1697.8+(351-748.8)+(-3.463512+(-0.71604--1.527552))+0-0-0</f>
        <v>1297.348</v>
      </c>
      <c r="AA240" s="3">
        <f>1519.1+(389.8-656.1)+(-2.324223+(-0.596394--1.003833))+0-0-0</f>
        <v>1250.8832159999999</v>
      </c>
      <c r="AB240" s="3">
        <f>1262.9+(430.4-494.8)+(-2.576316+(-0.878016--1.009392))+0-0-0</f>
        <v>1196.0550599999999</v>
      </c>
      <c r="AC240" s="3">
        <f>1156.6+(467.8-501.7)+(-1.769598+(-0.715734--0.767601))+0-0-0</f>
        <v>1120.9822689999999</v>
      </c>
      <c r="AD240" s="2">
        <v>1375.0000000000002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1114.1+(375.2-481.9)+(-2.840955+(-0.95676--1.228845))+0-0-0</f>
        <v>1004.8311299999999</v>
      </c>
      <c r="G241" s="3">
        <f>1056.6+(372.7-485.5)+(-2.69433+(-0.950385--1.238025))+0-0-0</f>
        <v>941.39330999999993</v>
      </c>
      <c r="H241" s="3">
        <f>1058.1+(361.8-504)+(-1.618893+(-0.553554--0.77112))+0-0-0</f>
        <v>914.49867299999983</v>
      </c>
      <c r="I241" s="3">
        <f>1063+(418-575.8)+(0.54213+(0.21318-0.293658))+0-0-0</f>
        <v>905.661652</v>
      </c>
      <c r="J241" s="3">
        <f>1060.9+(395.7-556)+(0+(0-0))+0-0-0</f>
        <v>900.60000000000014</v>
      </c>
      <c r="K241" s="3">
        <f>1060.4+(367.4-516.2)+(0+(0-0))+0-0-0</f>
        <v>911.6</v>
      </c>
      <c r="L241" s="3">
        <f>1055.8+(396.5-525.2)+(-2.153832+(-0.80886--1.071408))+0-0-0</f>
        <v>925.20871599999987</v>
      </c>
      <c r="M241" s="3">
        <f>1277.4+(366-681.9)+(-1.302948+(-0.37332--0.695538))+0-0-0</f>
        <v>960.51927000000012</v>
      </c>
      <c r="N241" s="3">
        <f>1580.2+(344.7-851.3)+(1.611804+(0.351594-0.868326))+0-0-0</f>
        <v>1074.6950720000002</v>
      </c>
      <c r="O241" s="3">
        <f>1776.6+(237.5-859)+(0+(0-0))+0-0-0</f>
        <v>1155.0999999999999</v>
      </c>
      <c r="P241" s="3">
        <f>1861.6+(216.3-882.8)+(-2.848248+(-0.330939--1.350684))+0-0-0</f>
        <v>1193.271497</v>
      </c>
      <c r="Q241" s="3">
        <f>1783.9+(220.4-796.9)+(-3.639156+(-0.449616--1.625676))+0-0-0</f>
        <v>1204.9369040000001</v>
      </c>
      <c r="R241" s="3">
        <f>1684.5+(251.1-721.2)+(-2.577285+(-0.384183--1.103436))+0-0-0</f>
        <v>1212.541968</v>
      </c>
      <c r="S241" s="3">
        <f>1533.7+(230.6-607.4)+(-3.128748+(-0.470424--1.239096))+0-0-0</f>
        <v>1154.5399240000002</v>
      </c>
      <c r="T241" s="3">
        <f>1294.2+(205.5-386.3)+(1.320084+(0.20961-0.394026))+0-0-0</f>
        <v>1114.535668</v>
      </c>
      <c r="U241" s="3">
        <f>1277.9+(245.2-407.3)+(-1.955187+(-0.375156--0.623169))+0-0-0</f>
        <v>1114.0928260000003</v>
      </c>
      <c r="V241" s="3">
        <f>1299.2+(239.9-357.6)+(0+(0-0))+0-0-0</f>
        <v>1181.5</v>
      </c>
      <c r="W241" s="3">
        <f>1560.9+(350.9-588.1)+(-2.388177+(-0.536877--0.899793))+0-0-0</f>
        <v>1321.674739</v>
      </c>
      <c r="X241" s="3">
        <f>1386.1+(400.3-474)+(-1.413822+(-0.408306--0.48348))+0-0-0</f>
        <v>1311.0613519999999</v>
      </c>
      <c r="Y241" s="3">
        <f>1221.4+(413.4-366.6)+(0+(0-0))+0-0-0</f>
        <v>1268.2</v>
      </c>
      <c r="Z241" s="3">
        <f>1094.3+(390.6-247.5)+(0+(0-0))+0-0-0</f>
        <v>1237.4000000000001</v>
      </c>
      <c r="AA241" s="3">
        <f>1073.3+(416.8-267.3)+(-1.642149+(-0.637704--0.408969))+0-0-0</f>
        <v>1220.929116</v>
      </c>
      <c r="AB241" s="3">
        <f>851.1+(443.8-129.5)+(0+(0-0))+0-0-0</f>
        <v>1165.4000000000001</v>
      </c>
      <c r="AC241" s="3">
        <f>699.4+(471.1-82.9)+(-1.426776+(-0.961044--0.169116))+0-0-0</f>
        <v>1085.381296</v>
      </c>
      <c r="AD241" s="2">
        <v>1305.6999999999998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593.5+(474.6-74)+(-0.302685+(-0.242046--0.03774))+0-0-0</f>
        <v>993.59300900000005</v>
      </c>
      <c r="G242" s="3">
        <f>429.8+(561.5-53.6)+(-0.438396+(-0.57273--0.054672))+0-0-0</f>
        <v>936.74354600000004</v>
      </c>
      <c r="H242" s="3">
        <f>407.1+(544.1-48.6)+(-1.038105+(-1.387455--0.12393))+0-0-0</f>
        <v>900.29836999999998</v>
      </c>
      <c r="I242" s="3">
        <f>493.4+(454.2-60.9)+(-0.503268+(-0.463284--0.062118))+0-0-0</f>
        <v>885.79556600000001</v>
      </c>
      <c r="J242" s="3">
        <f>648.9+(370.9-135.1)+(0+(0-0))+0-0-0</f>
        <v>884.69999999999993</v>
      </c>
      <c r="K242" s="3">
        <f>673.6+(342.7-130.4)+(0+(0-0))+0-0-0</f>
        <v>885.9</v>
      </c>
      <c r="L242" s="3">
        <f>691.3+(296.1-138.7)+(-1.762815+(-0.755055--0.353685))+0-0-0</f>
        <v>846.53581500000007</v>
      </c>
      <c r="M242" s="3">
        <f>715.5+(339.5-230.3)+(-0.72981+(-0.34629--0.234906))+0-0-0</f>
        <v>823.85880600000007</v>
      </c>
      <c r="N242" s="3">
        <f>759.4+(324-215.1)+(1.161882+(0.49572-0.329103))+0-0-0</f>
        <v>869.62849899999992</v>
      </c>
      <c r="O242" s="3">
        <f>807.5+(271.7-167.1)+(-0.82365+(-0.277134--0.170442))+0-0-0</f>
        <v>911.16965800000003</v>
      </c>
      <c r="P242" s="3">
        <f>849.5+(279.2-196.2)+(0.86649+(0.284784-0.200124))+0-0-0</f>
        <v>933.45114999999998</v>
      </c>
      <c r="Q242" s="3">
        <f>982.2+(267.9-310.8)+(-2.50461+(-0.683145--0.79254))+0-0-0</f>
        <v>936.90478499999995</v>
      </c>
      <c r="R242" s="3">
        <f>955.3+(295.2-307.6)+(-3.410421+(-1.053864--1.098132))+0-0-0</f>
        <v>939.53384699999981</v>
      </c>
      <c r="S242" s="3">
        <f>967.6+(271.6-323.5)+(-1.480428+(-0.415548--0.494955))+0-0-0</f>
        <v>914.29897900000003</v>
      </c>
      <c r="T242" s="3">
        <f>970.7+(248.2-318.3)+(-1.485171+(-0.379746--0.486999))+0-0-0</f>
        <v>899.222082</v>
      </c>
      <c r="U242" s="3">
        <f>977.8+(249.2-324)+(0+(0-0))+0-0-0</f>
        <v>903</v>
      </c>
      <c r="V242" s="3">
        <f>875.3+(288-191.4)+(-0.892806+(-0.29376--0.195228))+0-0-0</f>
        <v>970.90866199999994</v>
      </c>
      <c r="W242" s="3">
        <f>814.8+(471.1-96.2)+(0+(0-0))+0-0-0</f>
        <v>1189.7</v>
      </c>
      <c r="X242" s="3">
        <f>829.7+(450.1-62.6)+(-1.692588+(-0.918204--0.127704))+0-0-0</f>
        <v>1214.7169120000001</v>
      </c>
      <c r="Y242" s="3">
        <f>834.3+(433.3-67.5)+(0+(0-0))+0-0-0</f>
        <v>1200.0999999999999</v>
      </c>
      <c r="Z242" s="3">
        <f>828.2+(443.6-90.6)+(-1.267146+(-0.678708--0.138618))+0-0-0</f>
        <v>1179.3927639999999</v>
      </c>
      <c r="AA242" s="3">
        <f>832.4+(477.2-136.3)+(0+(0-0))+0-0-0</f>
        <v>1173.3</v>
      </c>
      <c r="AB242" s="3">
        <f>789.7+(434.9-102.9)+(-1.208241+(-0.665397--0.157437))+0-0-0</f>
        <v>1119.9837990000001</v>
      </c>
      <c r="AC242" s="3">
        <f>693.1+(408-70.4)+(-1.413924+(-0.83232--0.143616))+0-0-0</f>
        <v>1028.597372</v>
      </c>
      <c r="AD242" s="2">
        <v>1193.8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485+(456.8-14.3)+(-0.24735+(-0.232968--0.007293))+0-0-0</f>
        <v>927.02697499999999</v>
      </c>
      <c r="G243" s="3">
        <f>460.9+(454.2-32.1)+(-0.470118+(-0.463284--0.032742))+0-0-0</f>
        <v>882.09933999999998</v>
      </c>
      <c r="H243" s="3">
        <f>448.2+(446.1-28.6)+(-1.371492+(-1.365066--0.087516))+0-0-0</f>
        <v>863.05095800000004</v>
      </c>
      <c r="I243" s="3">
        <f>470.3+(406.8-28.7)+(0.479706+(0.414936-0.029274))+0-0-0</f>
        <v>849.26536800000008</v>
      </c>
      <c r="J243" s="3">
        <f>459.4+(407-16.2)+(-0.468588+(-0.41514--0.016524))+0-0-0</f>
        <v>849.33279600000003</v>
      </c>
      <c r="K243" s="3">
        <f>490.5+(414.1-31.6)+(-0.50031+(-0.422382--0.032232))+0-0-0</f>
        <v>872.10954000000004</v>
      </c>
      <c r="L243" s="3">
        <f>614.1+(448.3-146.7)+(-1.565955+(-1.143165--0.374085))+0-0-0</f>
        <v>913.3649650000001</v>
      </c>
      <c r="M243" s="3">
        <f>754.8+(455.3-258.9)+(-0.769896+(-0.464406--0.264078))+0-0-0</f>
        <v>950.22977600000002</v>
      </c>
      <c r="N243" s="3">
        <f>815.4+(489.7-264)+(-1.247562+(-0.749241--0.40392))+0-0-0</f>
        <v>1039.5071169999999</v>
      </c>
      <c r="O243" s="3">
        <f>805.1+(551.2-282.5)+(-1.642404+(-1.124448--0.5763))+0-0-0</f>
        <v>1071.6094480000002</v>
      </c>
      <c r="P243" s="3">
        <f>815.4+(549.8-284.5)+(-0.415854+(-0.280398--0.145095))+0-0-0</f>
        <v>1080.1488429999997</v>
      </c>
      <c r="Q243" s="3">
        <f>817.1+(538.6-265.9)+(-0.416721+(-0.274686--0.135609))+0-0-0</f>
        <v>1089.2442020000001</v>
      </c>
      <c r="R243" s="3">
        <f>801.3+(475.9-207.6)+(-2.043315+(-1.213545--0.52938))+0-0-0</f>
        <v>1066.8725199999999</v>
      </c>
      <c r="S243" s="3">
        <f>818.6+(446.3-213.5)+(0+(0-0))+0-0-0</f>
        <v>1051.4000000000001</v>
      </c>
      <c r="T243" s="3">
        <f>819.2+(468.5-242.4)+(0+(0-0))+0-0-0</f>
        <v>1045.3</v>
      </c>
      <c r="U243" s="3">
        <f>826.2+(411.5-195.3)+(-0.421362+(-0.209865--0.099603))+0-0-0</f>
        <v>1041.8683760000001</v>
      </c>
      <c r="V243" s="3">
        <f>832+(373.9-96.9)+(0+(0-0))+0-0-0</f>
        <v>1109</v>
      </c>
      <c r="W243" s="3">
        <f>850.4+(584.1-121.7)+(0.867408+(0.595782-0.124134))+0-0-0</f>
        <v>1314.139056</v>
      </c>
      <c r="X243" s="3">
        <f>865.5+(585.1-124.7)+(-2.207025+(-1.492005--0.317985))+0-0-0</f>
        <v>1322.518955</v>
      </c>
      <c r="Y243" s="3">
        <f>897.5+(583-185.6)+(-0.91545+(-0.59466--0.189312))+0-0-0</f>
        <v>1293.5792020000001</v>
      </c>
      <c r="Z243" s="3">
        <f>857.1+(583.2-177.2)+(-1.311363+(-0.892296--0.271116))+0-0-0</f>
        <v>1261.1674570000002</v>
      </c>
      <c r="AA243" s="3">
        <f>724.8+(610.1-94.3)+(-1.84824+(-1.555755--0.240465))+0-0-0</f>
        <v>1237.4364699999999</v>
      </c>
      <c r="AB243" s="3">
        <f>644.4+(632.4-80.9)+(0.328644+(0.322524-0.041259))+0-0-0</f>
        <v>1196.5099090000001</v>
      </c>
      <c r="AC243" s="3">
        <f>651.6+(597.1-152.9)+(-1.66158+(-1.522605--0.389895))+0-0-0</f>
        <v>1093.0057100000001</v>
      </c>
      <c r="AD243" s="2">
        <v>1322.3999999999999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657.9+(548.2-221.5)+(-1.006587+(-0.838746--0.338895))+0-0-0</f>
        <v>983.09356200000002</v>
      </c>
      <c r="G244" s="3">
        <f>653.1+(492.5-207.3)+(-1.665405+(-1.255875--0.528615))+0-0-0</f>
        <v>935.90733499999999</v>
      </c>
      <c r="H244" s="3">
        <f>655.6+(479.2-218.3)+(0.668712+(0.488784-0.222666))+0-0-0</f>
        <v>917.43483000000003</v>
      </c>
      <c r="I244" s="3">
        <f>734.6+(461.2-290.8)+(0+(0-0))+0-0-0</f>
        <v>905</v>
      </c>
      <c r="J244" s="3">
        <f>681.8+(445.5-222)+(0.347718+(0.227205-0.11322))+0-0-0</f>
        <v>905.76170300000001</v>
      </c>
      <c r="K244" s="3">
        <f>659.6+(475.7-213.6)+(-1.009188+(-0.727821--0.326808))+0-0-0</f>
        <v>920.28979900000002</v>
      </c>
      <c r="L244" s="3">
        <f>659.6+(475-191.6)+(-0.336396+(-0.24225--0.097716))+0-0-0</f>
        <v>942.51907000000006</v>
      </c>
      <c r="M244" s="3">
        <f>814.3+(459.9-306.5)+(-1.245879+(-0.703647--0.468945))+0-0-0</f>
        <v>966.2194189999999</v>
      </c>
      <c r="N244" s="3">
        <f>929.5+(518.9-398.5)+(-0.94809+(-0.529278--0.40647))+0-0-0</f>
        <v>1048.8291020000001</v>
      </c>
      <c r="O244" s="3">
        <f>930.4+(584.7-444.7)+(-0.949008+(-0.596394--0.453594))+0-0-0</f>
        <v>1069.3081920000002</v>
      </c>
      <c r="P244" s="3">
        <f>994.5+(488.5-401.6)+(-2.535975+(-1.245675--1.02408))+0-0-0</f>
        <v>1078.6424300000001</v>
      </c>
      <c r="Q244" s="3">
        <f>1000.7+(323.9-237.3)+(-2.551785+(-0.825945--0.605115))+0-0-0</f>
        <v>1084.5273849999999</v>
      </c>
      <c r="R244" s="3">
        <f>1006+(352.7-278.7)+(-1.53918+(-0.539631--0.426411))+0-0-0</f>
        <v>1078.3476000000001</v>
      </c>
      <c r="S244" s="3">
        <f>1007.3+(348.9-278.7)+(-1.027446+(-0.355878--0.284274))+0-0-0</f>
        <v>1076.40095</v>
      </c>
      <c r="T244" s="3">
        <f>1008.7+(338.5-282.4)+(0.514437+(0.172635-0.144024))+0-0-0</f>
        <v>1065.3430480000002</v>
      </c>
      <c r="U244" s="3">
        <f>1022.1+(322.1-267.7)+(1.042542+(0.328542-0.273054))+0-0-0</f>
        <v>1077.5980300000001</v>
      </c>
      <c r="V244" s="3">
        <f>1020+(314.7-220.2)+(0+(0-0))+0-0-0</f>
        <v>1114.5</v>
      </c>
      <c r="W244" s="3">
        <f>1053.4+(366.3-108.4)+(-0.537234+(-0.186813--0.055284))+0-0-0</f>
        <v>1310.6312370000003</v>
      </c>
      <c r="X244" s="3">
        <f>1055.9+(343.9-78.3)+(-0.538509+(-0.175389--0.039933))+0-0-0</f>
        <v>1320.826035</v>
      </c>
      <c r="Y244" s="3">
        <f>1054.8+(317.5-81.1)+(-0.537948+(-0.161925--0.041361))+0-0-0</f>
        <v>1290.5414880000001</v>
      </c>
      <c r="Z244" s="3">
        <f>1029.4+(334.2-108.1)+(-1.049988+(-0.340884--0.110262))+0-0-0</f>
        <v>1254.21939</v>
      </c>
      <c r="AA244" s="3">
        <f>943.1+(388.5-106.1)+(-0.480981+(-0.198135--0.054111))+0-0-0</f>
        <v>1224.8749949999999</v>
      </c>
      <c r="AB244" s="3">
        <f>883.6+(406.7-112.2)+(-2.25318+(-1.037085--0.28611))+0-0-0</f>
        <v>1175.0958449999998</v>
      </c>
      <c r="AC244" s="3">
        <f>740.5+(442.2-96.9)+(-1.132965+(-0.676566--0.148257))+0-0-0</f>
        <v>1084.1387259999999</v>
      </c>
      <c r="AD244" s="2">
        <v>1323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656.1+(429.2-96.2)+(-0.669222+(-0.437784--0.098124))+0-0-0</f>
        <v>988.09111800000005</v>
      </c>
      <c r="G245" s="3">
        <f>652.2+(398.4-110.6)+(-1.66311+(-1.01592--0.28203))+0-0-0</f>
        <v>937.60299999999995</v>
      </c>
      <c r="H245" s="3">
        <f>663.1+(368.7-109.3)+(0.338181+(0.188037-0.055743))+0-0-0</f>
        <v>922.97047499999996</v>
      </c>
      <c r="I245" s="3">
        <f>653.9+(323-57.1)+(-1.667445+(-0.82365--0.145605))+0-0-0</f>
        <v>917.45450999999991</v>
      </c>
      <c r="J245" s="3">
        <f>656.9+(332.7-76.2)+(-0.335019+(-0.169677--0.038862))+0-0-0</f>
        <v>912.934166</v>
      </c>
      <c r="K245" s="3">
        <f>658.1+(343.4-75.5)+(-0.335631+(-0.175134--0.038505))+0-0-0</f>
        <v>925.52773999999999</v>
      </c>
      <c r="L245" s="3">
        <f>662.8+(345.5-62.5)+(0.676056+(0.35241-0.06375))+0-0-0</f>
        <v>946.76471599999991</v>
      </c>
      <c r="M245" s="3">
        <f>803.2+(307.5-130.2)+(0.409632+(0.156825-0.066402))+0-0-0</f>
        <v>981.00005499999997</v>
      </c>
      <c r="N245" s="3">
        <f>962.4+(299.2-203.5)+(0+(0-0))+0-0-0</f>
        <v>1058.0999999999999</v>
      </c>
      <c r="O245" s="3">
        <f>1208.7+(289-424.5)+(-2.465748+(-0.58956--0.86598))+0-0-0</f>
        <v>1071.0106720000001</v>
      </c>
      <c r="P245" s="3">
        <f>1313.4+(284-508.5)+(-2.679336+(-0.57936--1.03734))+0-0-0</f>
        <v>1086.6786440000001</v>
      </c>
      <c r="Q245" s="3">
        <f>1468.9+(273.7-643.9)+(-0.749139+(-0.139587--0.328389))+0-0-0</f>
        <v>1098.1396630000002</v>
      </c>
      <c r="R245" s="3">
        <f>1453.9+(267.5-577.6)+(-2.965956+(-0.5457--1.178304))+0-0-0</f>
        <v>1141.4666480000001</v>
      </c>
      <c r="S245" s="3">
        <f>1430.7+(264.9-553.4)+(-0.729657+(-0.135099--0.282234))+0-0-0</f>
        <v>1141.6174780000001</v>
      </c>
      <c r="T245" s="3">
        <f>1423.3+(256.6-625.2)+(-2.177649+(-0.392598--0.956556))+0-0-0</f>
        <v>1053.0863089999998</v>
      </c>
      <c r="U245" s="3">
        <f>1432.9+(254.6-620.6)+(-0.730779+(-0.129846--0.316506))+0-0-0</f>
        <v>1066.3558810000002</v>
      </c>
      <c r="V245" s="3">
        <f>1452+(226.3-527.4)+(2.22156+(0.346239-0.806922))+0-0-0</f>
        <v>1152.660877</v>
      </c>
      <c r="W245" s="3">
        <f>1466.4+(211.4-332)+(-3.73932+(-0.53907--0.8466))+0-0-0</f>
        <v>1342.3682100000001</v>
      </c>
      <c r="X245" s="3">
        <f>1470+(222-339)+(-2.9988+(-0.45288--0.69156))+0-0-0</f>
        <v>1350.2398800000001</v>
      </c>
      <c r="Y245" s="3">
        <f>1447.5+(257.5-394.8)+(-3.691125+(-0.656625--1.00674))+0-0-0</f>
        <v>1306.8589899999999</v>
      </c>
      <c r="Z245" s="3">
        <f>1318.5+(307.4-361.6)+(-2.68974+(-0.627096--0.737664))+0-0-0</f>
        <v>1261.720828</v>
      </c>
      <c r="AA245" s="3">
        <f>1190.8+(389.2-344.2)+(-0.607308+(-0.198492--0.175542))+0-0-0</f>
        <v>1235.169742</v>
      </c>
      <c r="AB245" s="3">
        <f>1148.1+(400.5-353)+(-1.756593+(-0.612765--0.54009))+0-0-0</f>
        <v>1193.770732</v>
      </c>
      <c r="AC245" s="3">
        <f>1074.6+(409.6-372)+(-2.192184+(-0.835584--0.75888))+0-0-0</f>
        <v>1109.9311119999998</v>
      </c>
      <c r="AD245" s="2">
        <v>1395.6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969.7+(428-390.6)+(0.989094+(0.43656-0.398412))+0-0-0</f>
        <v>1008.127242</v>
      </c>
      <c r="G246" s="3">
        <f>917.8+(392.5-358.1)+(-0.936156+(-0.40035--0.365262))+0-0-0</f>
        <v>951.22875599999998</v>
      </c>
      <c r="H246" s="3">
        <f>913.4+(360.2-353.4)+(-0.931668+(-0.367404--0.360468))+0-0-0</f>
        <v>919.26139599999999</v>
      </c>
      <c r="I246" s="3">
        <f>930.2+(340.9-364)+(0.948804+(0.347718-0.37128))+0-0-0</f>
        <v>908.02524200000005</v>
      </c>
      <c r="J246" s="3">
        <f>919.5+(299.4-313.6)+(-0.468945+(-0.152694--0.159936))+0-0-0</f>
        <v>904.83829700000001</v>
      </c>
      <c r="K246" s="3">
        <f>1076.3+(255.1-417.1)+(2.744565+(0.650505-1.063605))+0-0-0</f>
        <v>916.63146499999993</v>
      </c>
      <c r="L246" s="3">
        <f>1271.9+(334.7-650.9)+(0+(0-0))+0-0-0</f>
        <v>955.7</v>
      </c>
      <c r="M246" s="3">
        <f>1403.7+(355.8-777.2)+(1.431774+(0.362916-0.792744))+0-0-0</f>
        <v>983.30194599999993</v>
      </c>
      <c r="N246" s="3">
        <f>1540.1+(416.4-886.4)+(2.356353+(0.637092-1.356192))+0-0-0</f>
        <v>1071.737253</v>
      </c>
      <c r="O246" s="3">
        <f>1623.6+(425.2-933.4)+(-0.828036+(-0.216852--0.476034))+0-0-0</f>
        <v>1114.8311459999998</v>
      </c>
      <c r="P246" s="3">
        <f>1624.8+(404-921.2)+(0+(0-0))+0-0-0</f>
        <v>1107.5999999999999</v>
      </c>
      <c r="Q246" s="3">
        <f>1609.2+(371-918.9)+(-0.820692+(-0.18921--0.468639))+0-0-0</f>
        <v>1060.7587370000001</v>
      </c>
      <c r="R246" s="3">
        <f>1597.1+(394.6-880.2)+(-5.701647+(-1.408722--3.142314))+0-0-0</f>
        <v>1107.531945</v>
      </c>
      <c r="S246" s="3">
        <f>1616.9+(401.9-911.2)+(0.824619+(0.204969-0.464712))+0-0-0</f>
        <v>1108.1648759999998</v>
      </c>
      <c r="T246" s="3">
        <f>1610.9+(395.1-907.9)+(-2.464677+(-0.604503--1.389087))+0-0-0</f>
        <v>1096.4199070000002</v>
      </c>
      <c r="U246" s="3">
        <f>1620.1+(407.2-930.2)+(0.826251+(0.207672-0.474402))+0-0-0</f>
        <v>1097.6595209999998</v>
      </c>
      <c r="V246" s="3">
        <f>1610.5+(393-832.3)+(-2.464065+(-0.60129--1.273419))+0-0-0</f>
        <v>1169.408064</v>
      </c>
      <c r="W246" s="3">
        <f>1638.1+(432.6-751.1)+(-3.341724+(-0.882504--1.532244))+0-0-0</f>
        <v>1316.9080159999999</v>
      </c>
      <c r="X246" s="3">
        <f>1605.3+(431.6-722)+(-3.274812+(-0.880464--1.47288))+0-0-0</f>
        <v>1312.2176040000002</v>
      </c>
      <c r="Y246" s="3">
        <f>1561.3+(436.7-724.2)+(-3.981315+(-1.113585--1.84671))+0-0-0</f>
        <v>1270.5518099999999</v>
      </c>
      <c r="Z246" s="3">
        <f>1565.1+(446.1-782.1)+(-2.394603+(-0.682533--1.196613))+0-0-0</f>
        <v>1227.2194769999999</v>
      </c>
      <c r="AA246" s="3">
        <f>1383.2+(462.9-630.5)+(-1.410864+(-0.472158--0.64311))+0-0-0</f>
        <v>1214.3600879999999</v>
      </c>
      <c r="AB246" s="3">
        <f>1404.9+(445.4-672.8)+(-2.149497+(-0.681462--1.029384))+0-0-0</f>
        <v>1175.698425</v>
      </c>
      <c r="AC246" s="3">
        <f>1372.3+(458.7-727.6)+(0+(0-0))+0-0-0</f>
        <v>1103.3999999999999</v>
      </c>
      <c r="AD246" s="2">
        <v>1343.6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1087.7+(493.9-551.8)+(-2.773635+(-1.259445--1.40709))+0-0-0</f>
        <v>1027.1740100000002</v>
      </c>
      <c r="G247" s="3">
        <f>1070.2+(485.9-592.2)+(0.545802+(0.247809-0.302022))+0-0-0</f>
        <v>964.39158899999995</v>
      </c>
      <c r="H247" s="3">
        <f>1066.3+(483.1-603.4)+(-1.087626+(-0.492762--0.615468))+0-0-0</f>
        <v>945.03507999999999</v>
      </c>
      <c r="I247" s="3">
        <f>1068.7+(468.8-598.6)+(0.545037+(0.239088-0.305286))+0-0-0</f>
        <v>939.37883900000008</v>
      </c>
      <c r="J247" s="3">
        <f>1077.9+(464.2-604.4)+(2.748645+(1.18371-1.54122))+0-0-0</f>
        <v>940.09113500000001</v>
      </c>
      <c r="K247" s="3">
        <f>1151.9+(404.1-606.8)+(1.174938+(0.412182-0.618936))+0-0-0</f>
        <v>950.16818400000011</v>
      </c>
      <c r="L247" s="3">
        <f>1254.4+(414.2-696.1)+(1.919232+(0.633726-1.065033))+0-0-0</f>
        <v>973.98792500000002</v>
      </c>
      <c r="M247" s="3">
        <f>1501.6+(417.9-901.1)+(3.063264+(0.852516-1.838244))+0-0-0</f>
        <v>1020.4775359999999</v>
      </c>
      <c r="N247" s="3">
        <f>1569.6+(425.7-874.1)+(-0.800496+(-0.217107--0.445791))+0-0-0</f>
        <v>1120.6281879999999</v>
      </c>
      <c r="O247" s="3">
        <f>1413.9+(498.6-745.7)+(-1.442178+(-0.508572--0.760614))+0-0-0</f>
        <v>1165.6098640000002</v>
      </c>
      <c r="P247" s="3">
        <f>1412.6+(524.3-750.8)+(-2.161278+(-0.802179--1.148724))+0-0-0</f>
        <v>1184.285267</v>
      </c>
      <c r="Q247" s="3">
        <f>1404.8+(507.9-720.3)+(-3.58224+(-1.295145--1.836765))+0-0-0</f>
        <v>1189.3593800000001</v>
      </c>
      <c r="R247" s="3">
        <f>1418+(506.1-748.9)+(-0.72318+(-0.258111--0.381939))+0-0-0</f>
        <v>1174.6006480000001</v>
      </c>
      <c r="S247" s="3">
        <f>1423.8+(452.1-716.7)+(-3.63069+(-1.152855--1.827585))+0-0-0</f>
        <v>1156.2440399999998</v>
      </c>
      <c r="T247" s="3">
        <f>1446.6+(472.3-765.8)+(0+(0-0))+0-0-0</f>
        <v>1153.0999999999999</v>
      </c>
      <c r="U247" s="3">
        <f>1423.5+(419.4-692.5)+(-3.629925+(-1.06947--1.765875))+0-0-0</f>
        <v>1147.46648</v>
      </c>
      <c r="V247" s="3">
        <f>1450.3+(401.7-617.3)+(-0.739653+(-0.204867--0.314823))+0-0-0</f>
        <v>1234.070303</v>
      </c>
      <c r="W247" s="3">
        <f>1621.6+(424.2-683.5)+(0.827016+(0.216342-0.348585))+0-0-0</f>
        <v>1362.9947729999999</v>
      </c>
      <c r="X247" s="3">
        <f>1743.9+(416.3-810.7)+(-0.889389+(-0.212313--0.413457))+0-0-0</f>
        <v>1348.8117549999999</v>
      </c>
      <c r="Y247" s="3">
        <f>1746.6+(403.1-843.2)+(-3.563064+(-0.822324--1.720128))+0-0-0</f>
        <v>1303.83474</v>
      </c>
      <c r="Z247" s="3">
        <f>1537.6+(473.5-743.1)+(-1.568352+(-0.48297--0.757962))+0-0-0</f>
        <v>1266.7066400000001</v>
      </c>
      <c r="AA247" s="3">
        <f>1299.3+(545.8-603)+(-1.325286+(-0.556716--0.61506))+0-0-0</f>
        <v>1240.8330579999999</v>
      </c>
      <c r="AB247" s="3">
        <f>1281+(530.9-594.8)+(-0.65331+(-0.270759--0.303348))+0-0-0</f>
        <v>1216.4792789999999</v>
      </c>
      <c r="AC247" s="3">
        <f>1219.9+(469.9-543.2)+(-2.488596+(-0.958596--1.108128))+0-0-0</f>
        <v>1144.2609359999999</v>
      </c>
      <c r="AD247" s="2">
        <v>1363.3999999999999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970.7+(455.6-389.2)+(0+(0-0))+0-0-0</f>
        <v>1037.1000000000001</v>
      </c>
      <c r="G248" s="3">
        <f>873.3+(383.3-285.9)+(-1.336149+(-0.586449--0.437427))+0-0-0</f>
        <v>969.21482900000001</v>
      </c>
      <c r="H248" s="3">
        <f>882.2+(375.1-316.2)+(0.449922+(0.191301-0.161262))+0-0-0</f>
        <v>941.57996100000014</v>
      </c>
      <c r="I248" s="3">
        <f>873.9+(360.8-308.6)+(-0.445689+(-0.184008--0.157386))+0-0-0</f>
        <v>925.62768899999992</v>
      </c>
      <c r="J248" s="3">
        <f>888.3+(424.7-382.8)+(1.812132+(0.866388-0.780912))+0-0-0</f>
        <v>932.09760799999992</v>
      </c>
      <c r="K248" s="3">
        <f>884.1+(425.5-371.6)+(0.450891+(0.217005-0.189516))+0-0-0</f>
        <v>938.47838000000002</v>
      </c>
      <c r="L248" s="3">
        <f>978.3+(478.4-507.5)+(-2.494665+(-1.21992--1.294125))+0-0-0</f>
        <v>946.77953999999988</v>
      </c>
      <c r="M248" s="3">
        <f>1137.5+(444.4-598.5)+(0.580125+(0.226644-0.305235))+0-0-0</f>
        <v>983.90153399999997</v>
      </c>
      <c r="N248" s="3">
        <f>1248.2+(456.7-623.5)+(1.273164+(0.465834-0.63597))+0-0-0</f>
        <v>1082.5030280000001</v>
      </c>
      <c r="O248" s="3">
        <f>1238.8+(524.6-617.7)+(-1.263576+(-0.535092--0.630054))+0-0-0</f>
        <v>1144.5313859999999</v>
      </c>
      <c r="P248" s="3">
        <f>1235.8+(522.4-589.3)+(-1.260516+(-0.532848--0.601086))+0-0-0</f>
        <v>1167.7077220000001</v>
      </c>
      <c r="Q248" s="3">
        <f>1237.8+(487.6-570.3)+(-0.631278+(-0.248676--0.290853))+0-0-0</f>
        <v>1154.5108989999999</v>
      </c>
      <c r="R248" s="3">
        <f>1216.8+(454.9-542.8)+(-4.343976+(-1.623993--1.937796))+0-0-0</f>
        <v>1124.869827</v>
      </c>
      <c r="S248" s="3">
        <f>1223.8+(414.2-541.5)+(-1.872414+(-0.633726--0.828495))+0-0-0</f>
        <v>1094.822355</v>
      </c>
      <c r="T248" s="3">
        <f>1222.4+(419.3-562.9)+(-2.493696+(-0.855372--1.148316))+0-0-0</f>
        <v>1076.5992480000002</v>
      </c>
      <c r="U248" s="3">
        <f>1231.9+(392-553.2)+(0+(0-0))+0-0-0</f>
        <v>1070.7</v>
      </c>
      <c r="V248" s="3">
        <f>1245.7+(417-517)+(0+(0-0))+0-0-0</f>
        <v>1145.7</v>
      </c>
      <c r="W248" s="3">
        <f>1259.3+(412.3-387.1)+(0.642243+(0.210273-0.197421))+0-0-0</f>
        <v>1285.1550950000001</v>
      </c>
      <c r="X248" s="3">
        <f>1254.6+(445.6-422.9)+(-1.919538+(-0.681768--0.647037))+0-0-0</f>
        <v>1275.3457309999999</v>
      </c>
      <c r="Y248" s="3">
        <f>1246.2+(421.8-440.8)+(-3.813372+(-1.290708--1.348848))+0-0-0</f>
        <v>1223.4447680000001</v>
      </c>
      <c r="Z248" s="3">
        <f>1253.3+(404.3-471.9)+(-1.917549+(-0.618579--0.722007))+0-0-0</f>
        <v>1183.8858789999999</v>
      </c>
      <c r="AA248" s="3">
        <f>1192.9+(475.7-503.5)+(-1.216758+(-0.485214--0.51357))+0-0-0</f>
        <v>1163.9115980000001</v>
      </c>
      <c r="AB248" s="3">
        <f>1051.7+(476-390.5)+(-0.536367+(-0.24276--0.199155))+0-0-0</f>
        <v>1136.620028</v>
      </c>
      <c r="AC248" s="3">
        <f>1046+(442.5-394.7)+(-1.60038+(-0.677025--0.603891))+0-0-0</f>
        <v>1092.1264859999999</v>
      </c>
      <c r="AD248" s="2">
        <v>1315.5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992.4+(467.8-406.4)+(-2.53062+(-1.19289--1.03632))+0-0-0</f>
        <v>1051.1128099999999</v>
      </c>
      <c r="G249" s="3">
        <f>882.2+(433.7-330.4)+(-0.899844+(-0.442374--0.337008))+0-0-0</f>
        <v>984.49478999999997</v>
      </c>
      <c r="H249" s="3">
        <f>887.4+(409.1-339.4)+(0.452574+(0.208641-0.173094))+0-0-0</f>
        <v>957.588121</v>
      </c>
      <c r="I249" s="3">
        <f>882+(386.8-333.4)+(-1.34946+(-0.591804--0.510102))+0-0-0</f>
        <v>933.96883800000012</v>
      </c>
      <c r="J249" s="3">
        <f>881.5+(393.1-347.8)+(-0.449565+(-0.200481--0.177378))+0-0-0</f>
        <v>926.32733199999996</v>
      </c>
      <c r="K249" s="3">
        <f>883.6+(382.2-338.5)+(-0.450636+(-0.194922--0.172635))+0-0-0</f>
        <v>926.82707699999992</v>
      </c>
      <c r="L249" s="3">
        <f>878.1+(413.4-384)+(-1.791324+(-0.843336--0.78336))+0-0-0</f>
        <v>905.64869999999996</v>
      </c>
      <c r="M249" s="3">
        <f>896+(397-419.1)+(-0.45696+(-0.20247--0.213741))+0-0-0</f>
        <v>873.45431099999996</v>
      </c>
      <c r="N249" s="3">
        <f>1106.5+(454.1-635.1)+(1.692945+(0.694773-0.971703))+0-0-0</f>
        <v>926.91601500000002</v>
      </c>
      <c r="O249" s="3">
        <f>1215.2+(466.7-708.3)+(-0.619752+(-0.238017--0.361233))+0-0-0</f>
        <v>973.10346400000014</v>
      </c>
      <c r="P249" s="3">
        <f>1229.8+(490.2-728.2)+(0.627198+(0.250002-0.371382))+0-0-0</f>
        <v>992.30581799999993</v>
      </c>
      <c r="Q249" s="3">
        <f>1212.2+(461.6-684.5)+(-3.709332+(-1.412496--2.09457))+0-0-0</f>
        <v>986.27274200000011</v>
      </c>
      <c r="R249" s="3">
        <f>1231+(487.8-746.1)+(-0.62781+(-0.248778--0.380511))+0-0-0</f>
        <v>972.20392300000003</v>
      </c>
      <c r="S249" s="3">
        <f>1230.7+(493.3-761.9)+(-3.138285+(-1.257915--1.942845))+0-0-0</f>
        <v>959.64664500000015</v>
      </c>
      <c r="T249" s="3">
        <f>1241.9+(466.4-753.8)+(0.633369+(0.237864-0.384438))+0-0-0</f>
        <v>954.98679500000014</v>
      </c>
      <c r="U249" s="3">
        <f>1233.7+(431.1-707.5)+(-1.258374+(-0.439722--0.72165))+0-0-0</f>
        <v>956.32355400000006</v>
      </c>
      <c r="V249" s="3">
        <f>1228+(333.8-510.7)+(0.62628+(0.170238-0.260457))+0-0-0</f>
        <v>1051.6360609999999</v>
      </c>
      <c r="W249" s="3">
        <f>1248.6+(367.2-411.5)+(-1.273572+(-0.374544--0.41973))+0-0-0</f>
        <v>1203.071614</v>
      </c>
      <c r="X249" s="3">
        <f>1282+(393-470.2)+(-1.30764+(-0.40086--0.479604))+0-0-0</f>
        <v>1203.5711039999999</v>
      </c>
      <c r="Y249" s="3">
        <f>1272.9+(415.5-509.6)+(-1.947537+(-0.635715--0.779688))+0-0-0</f>
        <v>1176.9964360000001</v>
      </c>
      <c r="Z249" s="3">
        <f>1202.1+(415.4-474.1)+(-0.613071+(-0.211854--0.241791))+0-0-0</f>
        <v>1142.8168659999999</v>
      </c>
      <c r="AA249" s="3">
        <f>1206.3+(454.8-531.4)+(0+(0-0))+0-0-0</f>
        <v>1129.7</v>
      </c>
      <c r="AB249" s="3">
        <f>1199.4+(471.1-554)+(-1.223388+(-0.480522--0.56508))+0-0-0</f>
        <v>1115.3611699999999</v>
      </c>
      <c r="AC249" s="3">
        <f>1198.5+(466.3-582.3)+(-1.833705+(-0.713439--0.890919))+0-0-0</f>
        <v>1080.8437750000001</v>
      </c>
      <c r="AD249" s="2">
        <v>1213.1999999999998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1176.6+(474.7-631.2)+(-2.400264+(-0.968388--1.287648))+0-0-0</f>
        <v>1018.0189959999999</v>
      </c>
      <c r="G250" s="3">
        <f>979.6+(454.3-486.9)+(-2.997576+(-1.390158--1.489914))+0-0-0</f>
        <v>944.10217999999998</v>
      </c>
      <c r="H250" s="3">
        <f>885.3+(478.4-450.3)+(-0.451503+(-0.243984--0.229653))+0-0-0</f>
        <v>912.93416599999989</v>
      </c>
      <c r="I250" s="3">
        <f>884.1+(427.4-425)+(-0.901782+(-0.435948--0.4335))+0-0-0</f>
        <v>885.59577000000002</v>
      </c>
      <c r="J250" s="3">
        <f>872.4+(394.3-390.4)+(-0.889848+(-0.402186--0.398208))+0-0-0</f>
        <v>875.40617399999996</v>
      </c>
      <c r="K250" s="3">
        <f>852.3+(398.6-371.3)+(0.434673+(0.203286-0.189363))+0-0-0</f>
        <v>880.04859599999986</v>
      </c>
      <c r="L250" s="3">
        <f>833.7+(333.3-306.6)+(-1.275561+(-0.509949--0.469098))+0-0-0</f>
        <v>859.08358800000008</v>
      </c>
      <c r="M250" s="3">
        <f>821.5+(333.8-334.3)+(-0.418965+(-0.170238--0.170493))+0-0-0</f>
        <v>820.58128999999997</v>
      </c>
      <c r="N250" s="3">
        <f>861.4+(313-315.9)+(-0.878628+(-0.31926--0.322218))+0-0-0</f>
        <v>857.62432999999999</v>
      </c>
      <c r="O250" s="3">
        <f>1071.3+(287.6-460.8)+(-1.092726+(-0.293352--0.470016))+0-0-0</f>
        <v>897.1839379999999</v>
      </c>
      <c r="P250" s="3">
        <f>1113.9+(300.1-503.5)+(-1.704267+(-0.459153--0.770355))+0-0-0</f>
        <v>909.10693500000014</v>
      </c>
      <c r="Q250" s="3">
        <f>1119.3+(270.8-485.1)+(-0.570843+(-0.138108--0.247401))+0-0-0</f>
        <v>904.53845000000001</v>
      </c>
      <c r="R250" s="3">
        <f>1124+(223-463.5)+(0+(0-0))+0-0-0</f>
        <v>883.5</v>
      </c>
      <c r="S250" s="3">
        <f>1023.9+(277.6-441.2)+(0.522189+(0.141576-0.225012))+0-0-0</f>
        <v>860.73875299999997</v>
      </c>
      <c r="T250" s="3">
        <f>1025.3+(275.5-442.6)+(0.522903+(0.140505-0.225726))+0-0-0</f>
        <v>858.63768199999993</v>
      </c>
      <c r="U250" s="3">
        <f>1024.3+(236.9-410.9)+(0.522393+(0.120819-0.209559))+0-0-0</f>
        <v>850.733653</v>
      </c>
      <c r="V250" s="3">
        <f>1123.3+(273.7-463.3)+(0.572883+(0.139587-0.236283))+0-0-0</f>
        <v>934.17618699999991</v>
      </c>
      <c r="W250" s="3">
        <f>1235.8+(335.4-472.4)+(0+(0-0))+0-0-0</f>
        <v>1098.8</v>
      </c>
      <c r="X250" s="3">
        <f>1235.6+(345.8-481)+(0+(0-0))+0-0-0</f>
        <v>1100.3999999999999</v>
      </c>
      <c r="Y250" s="3">
        <f>1226.2+(350.6-502.6)+(-2.501448+(-0.715224--1.025304))+0-0-0</f>
        <v>1072.008632</v>
      </c>
      <c r="Z250" s="3">
        <f>1125.9+(386.6-462.3)+(-1.148418+(-0.394332--0.471546))+0-0-0</f>
        <v>1049.128796</v>
      </c>
      <c r="AA250" s="3">
        <f>1024.3+(405.1-375.9)+(-1.567179+(-0.619803--0.575127))+0-0-0</f>
        <v>1051.8881449999999</v>
      </c>
      <c r="AB250" s="3">
        <f>981.8+(423.6-359.4)+(0.500718+(0.216036-0.183294))+0-0-0</f>
        <v>1046.5334600000001</v>
      </c>
      <c r="AC250" s="3">
        <f>878+(446.2-305.2)+(0+(0-0))+0-0-0</f>
        <v>1019</v>
      </c>
      <c r="AD250" s="2">
        <v>1099.0999999999999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877.6+(465.6-380.4)+(-3.133032+(-1.662192--1.358028))+0-0-0</f>
        <v>959.3628040000001</v>
      </c>
      <c r="G251" s="3">
        <f>881.6+(461.1-436.9)+(-0.899232+(-0.470322--0.445638))+0-0-0</f>
        <v>904.87608400000011</v>
      </c>
      <c r="H251" s="3">
        <f>879.5+(416.4-424.6)+(-1.345635+(-0.637092--0.649638))+0-0-0</f>
        <v>869.96691099999998</v>
      </c>
      <c r="I251" s="3">
        <f>888.1+(418.6-457)+(0.905862+(0.426972-0.46614))+0-0-0</f>
        <v>850.5666940000001</v>
      </c>
      <c r="J251" s="3">
        <f>883.4+(390-429.5)+(-0.450534+(-0.1989--0.219045))+0-0-0</f>
        <v>843.46961099999999</v>
      </c>
      <c r="K251" s="3">
        <f>887.5+(348.5-387.4)+(0.90525+(0.35547-0.395148))+0-0-0</f>
        <v>849.46557200000007</v>
      </c>
      <c r="L251" s="3">
        <f>877.3+(386.6-438.7)+(-3.131961+(-1.380162--1.566159))+0-0-0</f>
        <v>822.25403600000004</v>
      </c>
      <c r="M251" s="3">
        <f>883.3+(308.3-423.8)+(-0.450483+(-0.157233--0.216138))+0-0-0</f>
        <v>767.40842199999997</v>
      </c>
      <c r="N251" s="3">
        <f>885.9+(333.6-439.7)+(1.807236+(0.680544-0.896988))+0-0-0</f>
        <v>781.39079199999992</v>
      </c>
      <c r="O251" s="3">
        <f>875.3+(437.4-539.4)+(-0.892806+(-0.446148--0.550188))+0-0-0</f>
        <v>772.51123399999994</v>
      </c>
      <c r="P251" s="3">
        <f>879.9+(464.3-599.8)+(-3.141243+(-1.657551--2.141286))+0-0-0</f>
        <v>741.74249200000008</v>
      </c>
      <c r="Q251" s="3">
        <f>869.4+(429.7-568.5)+(1.330182+(0.657441-0.869805))+0-0-0</f>
        <v>731.71781799999997</v>
      </c>
      <c r="R251" s="3">
        <f>882.9+(389.8-553.4)+(1.350837+(0.596394-0.846702))+0-0-0</f>
        <v>720.40052900000001</v>
      </c>
      <c r="S251" s="3">
        <f>881+(420.7-571.4)+(0.89862+(0.429114-0.582828))+0-0-0</f>
        <v>731.04490599999997</v>
      </c>
      <c r="T251" s="3">
        <f>874.5+(423.6-535.2)+(-1.78398+(-0.864144--1.091808))+0-0-0</f>
        <v>761.34368399999994</v>
      </c>
      <c r="U251" s="3">
        <f>889.4+(397.3-502.6)+(1.360782+(0.607869-0.768978))+0-0-0</f>
        <v>785.29967299999987</v>
      </c>
      <c r="V251" s="3">
        <f>1017.5+(304-441.7)+(0+(0-0))+0-0-0</f>
        <v>879.8</v>
      </c>
      <c r="W251" s="3">
        <f>1172.3+(320.9-446.6)+(0.597873+(0.163659-0.227766))+0-0-0</f>
        <v>1047.1337659999999</v>
      </c>
      <c r="X251" s="3">
        <f>1218.3+(303.8-456.3)+(-2.485332+(-0.619752--0.930852))+0-0-0</f>
        <v>1063.6257679999999</v>
      </c>
      <c r="Y251" s="3">
        <f>1220+(348.3-495.9)+(-2.4888+(-0.710532--1.011636))+0-0-0</f>
        <v>1070.2123040000001</v>
      </c>
      <c r="Z251" s="3">
        <f>1228.3+(377.1-528.7)+(1.252866+(0.384642-0.539274))+0-0-0</f>
        <v>1077.7982339999999</v>
      </c>
      <c r="AA251" s="3">
        <f>1219.5+(415-540.6)+(-0.621945+(-0.21165--0.275706))+0-0-0</f>
        <v>1093.3421110000002</v>
      </c>
      <c r="AB251" s="3">
        <f>1206.7+(431.7-568.3)+(-3.077085+(-1.100835--1.449165))+0-0-0</f>
        <v>1067.371245</v>
      </c>
      <c r="AC251" s="3">
        <f>1173+(457.3-629.2)+(-2.39292+(-0.932892--1.283568))+0-0-0</f>
        <v>999.05775599999993</v>
      </c>
      <c r="AD251" s="2">
        <v>1066.8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1067.6+(463.7-605)+(-1.633428+(-0.709461--0.92565))+0-0-0</f>
        <v>924.88276099999996</v>
      </c>
      <c r="G252" s="3">
        <f>993.6+(419.8-530.5)+(-0.506736+(-0.214098--0.270555))+0-0-0</f>
        <v>882.44972100000007</v>
      </c>
      <c r="H252" s="3">
        <f>1056.2+(355.4-543.2)+(-1.077324+(-0.362508--0.554064))+0-0-0</f>
        <v>867.51423199999999</v>
      </c>
      <c r="I252" s="3">
        <f>1110+(318.1-565.9)+(0.5661+(0.162231-0.288609))+0-0-0</f>
        <v>862.63972200000001</v>
      </c>
      <c r="J252" s="3">
        <f>1118+(292.7-547.4)+(0.57018+(0.149277-0.279174))+0-0-0</f>
        <v>863.74028299999998</v>
      </c>
      <c r="K252" s="3">
        <f>1128.9+(300.4-555.6)+(2.302956+(0.612816-1.133424))+0-0-0</f>
        <v>875.482348</v>
      </c>
      <c r="L252" s="3">
        <f>1151.9+(357.1-587.5)+(-2.349876+(-0.728484--1.1985))+0-0-0</f>
        <v>919.62014000000011</v>
      </c>
      <c r="M252" s="3">
        <f>1421.2+(389.3-836.3)+(2.899248+(0.794172-1.706052))+0-0-0</f>
        <v>976.18736799999999</v>
      </c>
      <c r="N252" s="3">
        <f>1453.2+(465-853.3)+(2.223396+(0.71145-1.305549))+0-0-0</f>
        <v>1066.529297</v>
      </c>
      <c r="O252" s="3">
        <f>1440.5+(522.8-859.3)+(0.734655+(0.266628-0.438243))+0-0-0</f>
        <v>1104.56304</v>
      </c>
      <c r="P252" s="3">
        <f>1432.4+(518.2-827.4)+(0+(0-0))+0-0-0</f>
        <v>1123.2000000000003</v>
      </c>
      <c r="Q252" s="3">
        <f>1429.5+(509.3-830.3)+(-0.729045+(-0.259743--0.423453))+0-0-0</f>
        <v>1107.934665</v>
      </c>
      <c r="R252" s="3">
        <f>1410.2+(513.7-818.9)+(-5.034414+(-1.833909--2.923473))+0-0-0</f>
        <v>1101.0551499999999</v>
      </c>
      <c r="S252" s="3">
        <f>1428.5+(499.1-832.4)+(0+(0-0))+0-0-0</f>
        <v>1095.2</v>
      </c>
      <c r="T252" s="3">
        <f>1429.2+(497.3-848.4)+(0+(0-0))+0-0-0</f>
        <v>1078.1000000000001</v>
      </c>
      <c r="U252" s="3">
        <f>1463+(475.1-858.1)+(1.49226+(0.484602-0.875262))+0-0-0</f>
        <v>1081.1016</v>
      </c>
      <c r="V252" s="3">
        <f>1643.2+(393.3-833)+(-2.514096+(-0.601749--1.27449))+0-0-0</f>
        <v>1201.658645</v>
      </c>
      <c r="W252" s="3">
        <f>1657.9+(380.6-672.1)+(-2.536587+(-0.582318--1.028313))+0-0-0</f>
        <v>1364.3094080000001</v>
      </c>
      <c r="X252" s="3">
        <f>1675+(385.8-693.7)+(0+(0-0))+0-0-0</f>
        <v>1367.1</v>
      </c>
      <c r="Y252" s="3">
        <f>1686.8+(425.7-768.6)+(3.441072+(0.868428-1.567944))+0-0-0</f>
        <v>1346.6415559999998</v>
      </c>
      <c r="Z252" s="3">
        <f>1685.9+(450.3-818.8)+(2.579427+(0.688959-1.252764))+0-0-0</f>
        <v>1319.415622</v>
      </c>
      <c r="AA252" s="3">
        <f>1629.9+(490.9-834.5)+(2.493747+(0.751077-1.276785))+0-0-0</f>
        <v>1288.2680390000003</v>
      </c>
      <c r="AB252" s="3">
        <f>1605+(495.4-862.5)+(-1.6371+(-0.505308--0.87975))+0-0-0</f>
        <v>1236.637342</v>
      </c>
      <c r="AC252" s="3">
        <f>1529.2+(473.5-864.5)+(-2.339676+(-0.724455--1.322685))+0-0-0</f>
        <v>1136.458554</v>
      </c>
      <c r="AD252" s="2">
        <v>1387.9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1154.8+(467.9-596)+(-1.177896+(-0.477258--0.60792))+0-0-0</f>
        <v>1025.6527659999999</v>
      </c>
      <c r="G253" s="3">
        <f>1095+(363.9-495.4)+(-3.90915+(-1.299123--1.768578))+0-0-0</f>
        <v>960.06030499999997</v>
      </c>
      <c r="H253" s="3">
        <f>891.7+(340.9-290.4)+(0.454767+(0.173859-0.148104))+0-0-0</f>
        <v>942.680522</v>
      </c>
      <c r="I253" s="3">
        <f>699.2+(413.8-205.6)+(0.713184+(0.422076-0.209712))+0-0-0</f>
        <v>908.32554800000014</v>
      </c>
      <c r="J253" s="3">
        <f>692+(424.6-203.8)+(-0.35292+(-0.216546--0.103938))+0-0-0</f>
        <v>912.33447200000001</v>
      </c>
      <c r="K253" s="3">
        <f>766.6+(396.5-228.8)+(0+(0-0))+0-0-0</f>
        <v>934.3</v>
      </c>
      <c r="L253" s="3">
        <f>938.7+(365.3-330.5)+(-1.436211+(-0.558909--0.505665))+0-0-0</f>
        <v>972.01054499999998</v>
      </c>
      <c r="M253" s="3">
        <f>1174.1+(401.6-545)+(-1.197582+(-0.409632--0.5559))+0-0-0</f>
        <v>1029.6486859999998</v>
      </c>
      <c r="N253" s="3">
        <f>1232+(459.1-569.2)+(0+(0-0))+0-0-0</f>
        <v>1121.9000000000001</v>
      </c>
      <c r="O253" s="3">
        <f>1252.2+(524.5-605.6)+(-0.638622+(-0.267495--0.308856))+0-0-0</f>
        <v>1170.502739</v>
      </c>
      <c r="P253" s="3">
        <f>1328.5+(517-636.4)+(-1.35507+(-0.52734--0.649128))+0-0-0</f>
        <v>1207.866718</v>
      </c>
      <c r="Q253" s="3">
        <f>1340.6+(500.5-631.5)+(-2.051118+(-0.765765--0.966195))+0-0-0</f>
        <v>1207.7493119999999</v>
      </c>
      <c r="R253" s="3">
        <f>1361.2+(506.2-661.4)+(-0.694212+(-0.258162--0.337314))+0-0-0</f>
        <v>1205.3849399999999</v>
      </c>
      <c r="S253" s="3">
        <f>1357.2+(467.9-650.2)+(-1.384344+(-0.477258--0.663204))+0-0-0</f>
        <v>1173.7016020000001</v>
      </c>
      <c r="T253" s="3">
        <f>1377.8+(478-691.5)+(1.405356+(0.48756-0.70533))+0-0-0</f>
        <v>1165.487586</v>
      </c>
      <c r="U253" s="3">
        <f>1354.8+(453.6-633)+(-2.072844+(-0.694008--0.96849))+0-0-0</f>
        <v>1173.6016380000001</v>
      </c>
      <c r="V253" s="3">
        <f>1361.6+(393.5-507.4)+(-1.388832+(-0.40137--0.517548))+0-0-0</f>
        <v>1246.4273459999997</v>
      </c>
      <c r="W253" s="3">
        <f>1375.9+(412.4-422.2)+(-2.105127+(-0.630972--0.645966))+0-0-0</f>
        <v>1364.0098670000002</v>
      </c>
      <c r="X253" s="3">
        <f>1362.5+(457.2-457.6)+(-3.474375+(-1.16586--1.16688))+0-0-0</f>
        <v>1358.6266449999998</v>
      </c>
      <c r="Y253" s="3">
        <f>1391.5+(485.7-535.9)+(0.709665+(0.247707-0.273309))+0-0-0</f>
        <v>1341.9840629999999</v>
      </c>
      <c r="Z253" s="3">
        <f>1374.2+(491.7-566.3)+(-2.102526+(-0.752301--0.866439))+0-0-0</f>
        <v>1297.6116120000002</v>
      </c>
      <c r="AA253" s="3">
        <f>1119.4+(511.6-382.3)+(-2.85447+(-1.30458--0.974865))+0-0-0</f>
        <v>1245.515815</v>
      </c>
      <c r="AB253" s="3">
        <f>835.1+(555.8-216.5)+(-0.425901+(-0.283458--0.110415))+0-0-0</f>
        <v>1173.801056</v>
      </c>
      <c r="AC253" s="3">
        <f>802.3+(515.4-238.3)+(-1.227519+(-0.788562--0.364599))+0-0-0</f>
        <v>1077.7485179999999</v>
      </c>
      <c r="AD253" s="2">
        <v>1365.2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802.8+(450.9-255.4)+(-1.637712+(-0.919836--0.521016))+0-0-0</f>
        <v>996.26346799999999</v>
      </c>
      <c r="G254" s="3">
        <f>720.9+(471.1-243.1)+(0+(0-0))+0-0-0</f>
        <v>948.9</v>
      </c>
      <c r="H254" s="3">
        <f>638+(459.8-167.5)+(-1.30152+(-0.937992--0.3417))+0-0-0</f>
        <v>928.40218799999991</v>
      </c>
      <c r="I254" s="3">
        <f>526.9+(493.5-98.9)+(-0.268719+(-0.251685--0.050439))+0-0-0</f>
        <v>921.030035</v>
      </c>
      <c r="J254" s="3">
        <f>454.5+(504.1-57.1)+(0.695385+(0.771273-0.087363))+0-0-0</f>
        <v>902.87929499999996</v>
      </c>
      <c r="K254" s="3">
        <f>453.2+(536.3-68)+(0.924528+(1.094052-0.13872))+0-0-0</f>
        <v>923.37986000000001</v>
      </c>
      <c r="L254" s="3">
        <f>651.5+(503-197.8)+(0.332265+(0.25653-0.100878))+0-0-0</f>
        <v>957.18791700000008</v>
      </c>
      <c r="M254" s="3">
        <f>801.8+(456.4-264.3)+(-0.817836+(-0.465528--0.269586))+0-0-0</f>
        <v>992.88622199999986</v>
      </c>
      <c r="N254" s="3">
        <f>812.4+(500.2-229.3)+(0+(0-0))+0-0-0</f>
        <v>1083.3</v>
      </c>
      <c r="O254" s="3">
        <f>798.4+(469.8-155.3)+(-2.03592+(-1.19799--0.396015))+0-0-0</f>
        <v>1110.0621050000002</v>
      </c>
      <c r="P254" s="3">
        <f>799.2+(474.7-153.7)+(-2.03796+(-1.210485--0.391935))+0-0-0</f>
        <v>1117.34349</v>
      </c>
      <c r="Q254" s="3">
        <f>803.4+(481.1-159.1)+(-1.229202+(-0.736083--0.243423))+0-0-0</f>
        <v>1123.678138</v>
      </c>
      <c r="R254" s="3">
        <f>810.4+(457.2-171.8)+(-0.826608+(-0.466344--0.175236))+0-0-0</f>
        <v>1094.682284</v>
      </c>
      <c r="S254" s="3">
        <f>803.6+(442.5-174.7)+(-0.409836+(-0.225675--0.089097))+0-0-0</f>
        <v>1070.8535860000002</v>
      </c>
      <c r="T254" s="3">
        <f>812.4+(455-149)+(-0.828648+(-0.4641--0.15198))+0-0-0</f>
        <v>1117.2592320000001</v>
      </c>
      <c r="U254" s="3">
        <f>813.4+(473-141)+(-0.829668+(-0.48246--0.14382))+0-0-0</f>
        <v>1144.2316920000001</v>
      </c>
      <c r="V254" s="3">
        <f>806.8+(445.3-134.6)+(0+(0-0))+0-0-0</f>
        <v>1117.5</v>
      </c>
      <c r="W254" s="3">
        <f>841.2+(583-93.5)+(1.287036+(0.89199-0.143055))+0-0-0</f>
        <v>1332.7359710000001</v>
      </c>
      <c r="X254" s="3">
        <f>856.1+(627.7-132.9)+(-0.436611+(-0.320127--0.067779))+0-0-0</f>
        <v>1350.211041</v>
      </c>
      <c r="Y254" s="3">
        <f>855.4+(628.8-161.8)+(0+(0-0))+0-0-0</f>
        <v>1322.3999999999999</v>
      </c>
      <c r="Z254" s="3">
        <f>809.2+(631.1-157.8)+(-0.412692+(-0.321861--0.080478))+0-0-0</f>
        <v>1281.8459250000001</v>
      </c>
      <c r="AA254" s="3">
        <f>784.4+(594.6-138.3)+(-0.800088+(-0.606492--0.141066))+0-0-0</f>
        <v>1239.4344860000001</v>
      </c>
      <c r="AB254" s="3">
        <f>778.9+(476.7-85.1)+(-1.191717+(-0.729351--0.130203))+0-0-0</f>
        <v>1168.7091350000001</v>
      </c>
      <c r="AC254" s="3">
        <f>767.7+(470.8-140.4)+(-1.957635+(-1.20054--0.35802))+0-0-0</f>
        <v>1095.299845</v>
      </c>
      <c r="AD254" s="2">
        <v>1344.6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773.5+(444-198.4)+(-1.57794+(-0.90576--0.404736))+0-0-0</f>
        <v>1017.021036</v>
      </c>
      <c r="G255" s="3">
        <f>727.7+(442-207)+(-0.371127+(-0.22542--0.10557))+0-0-0</f>
        <v>962.209023</v>
      </c>
      <c r="H255" s="3">
        <f>681.5+(452.5-195)+(-1.39026+(-0.9231--0.3978))+0-0-0</f>
        <v>937.08443999999997</v>
      </c>
      <c r="I255" s="3">
        <f>694.6+(433.4-196.5)+(0.354246+(0.221034-0.100215))+0-0-0</f>
        <v>931.97506499999997</v>
      </c>
      <c r="J255" s="3">
        <f>683.1+(431.3-181.5)+(-1.045143+(-0.659889--0.277695))+0-0-0</f>
        <v>931.47266300000013</v>
      </c>
      <c r="K255" s="3">
        <f>696.4+(402.5-161.2)+(1.065492+(0.615825-0.246636))+0-0-0</f>
        <v>939.134681</v>
      </c>
      <c r="L255" s="3">
        <f>683+(396.8-139.7)+(-0.34833+(-0.202368--0.071247))+0-0-0</f>
        <v>939.62054899999998</v>
      </c>
      <c r="M255" s="3">
        <f>769.9+(397.4-203.2)+(1.963245+(1.01337-0.51816))+0-0-0</f>
        <v>966.55845499999987</v>
      </c>
      <c r="N255" s="3">
        <f>816+(465.7-219.5)+(2.0808+(1.187535-0.559725))+0-0-0</f>
        <v>1064.90861</v>
      </c>
      <c r="O255" s="3">
        <f>954.3+(417.1-273.5)+(0.486693+(0.212721-0.139485))+0-0-0</f>
        <v>1098.4599290000001</v>
      </c>
      <c r="P255" s="3">
        <f>972.8+(391.2-259.4)+(0.496128+(0.199512-0.132294))+0-0-0</f>
        <v>1105.1633459999998</v>
      </c>
      <c r="Q255" s="3">
        <f>958.7+(402.7-254.1)+(-0.977874+(-0.410754--0.259182))+0-0-0</f>
        <v>1106.170554</v>
      </c>
      <c r="R255" s="3">
        <f>960+(415-274.2)+(-2.9376+(-1.2699--0.839052))+0-0-0</f>
        <v>1097.431552</v>
      </c>
      <c r="S255" s="3">
        <f>1027.7+(403-351.8)+(-2.620635+(-1.02765--0.89709))+0-0-0</f>
        <v>1076.148805</v>
      </c>
      <c r="T255" s="3">
        <f>1149.5+(399-432.1)+(0.586245+(0.20349-0.220371))+0-0-0</f>
        <v>1116.969364</v>
      </c>
      <c r="U255" s="3">
        <f>1122.9+(358-405.8)+(0.572679+(0.18258-0.206958))+0-0-0</f>
        <v>1075.6483010000002</v>
      </c>
      <c r="V255" s="3">
        <f>1218.8+(332.7-456.1)+(-1.864764+(-0.509031--0.697833))+0-0-0</f>
        <v>1093.7240379999998</v>
      </c>
      <c r="W255" s="3">
        <f>1404.7+(320.3-419.9)+(0.716397+(0.163353-0.214149))+0-0-0</f>
        <v>1305.7656010000001</v>
      </c>
      <c r="X255" s="3">
        <f>1443.3+(319.5-449.8)+(-3.680415+(-0.814725--1.14699))+0-0-0</f>
        <v>1309.65185</v>
      </c>
      <c r="Y255" s="3">
        <f>1444.5+(309.6-460.3)+(-0.736695+(-0.157896--0.234753))+0-0-0</f>
        <v>1293.1401619999999</v>
      </c>
      <c r="Z255" s="3">
        <f>1418.6+(318.2-472.9)+(0+(0-0))+0-0-0</f>
        <v>1263.8999999999999</v>
      </c>
      <c r="AA255" s="3">
        <f>1317.6+(338.2-435)+(-0.671976+(-0.172482--0.22185))+0-0-0</f>
        <v>1220.1773920000001</v>
      </c>
      <c r="AB255" s="3">
        <f>1157.1+(357.3-349.8)+(-2.950605+(-0.911115--0.89199))+0-0-0</f>
        <v>1161.6302699999999</v>
      </c>
      <c r="AC255" s="3">
        <f>1099.9+(374.2-392.9)+(-1.121898+(-0.381684--0.400758))+0-0-0</f>
        <v>1080.097176</v>
      </c>
      <c r="AD255" s="2">
        <v>1325.6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1106.8+(366-461.9)+(1.693404+(0.55998-0.706707))+0-0-0</f>
        <v>1012.446677</v>
      </c>
      <c r="G256" s="3">
        <f>982.9+(380.6-404.8)+(0+(0-0))+0-0-0</f>
        <v>958.7</v>
      </c>
      <c r="H256" s="3">
        <f>873.6+(383-332)+(0.445536+(0.19533-0.16932))+0-0-0</f>
        <v>925.07154600000001</v>
      </c>
      <c r="I256" s="3">
        <f>874.2+(368.7-337.7)+(-0.445842+(-0.188037--0.172227))+0-0-0</f>
        <v>904.73834800000009</v>
      </c>
      <c r="J256" s="3">
        <f>876.5+(360.1-334.5)+(0+(0-0))+0-0-0</f>
        <v>902.1</v>
      </c>
      <c r="K256" s="3">
        <f>892.3+(319.6-313.1)+(0.910146+(0.325992-0.319362))+0-0-0</f>
        <v>899.71677599999998</v>
      </c>
      <c r="L256" s="3">
        <f>957.1+(283.1-355.2)+(-4.393089+(-1.299429--1.630368))+0-0-0</f>
        <v>880.93785000000003</v>
      </c>
      <c r="M256" s="3">
        <f>997.6+(254-407.7)+(1.017552+(0.25908-0.415854))+0-0-0</f>
        <v>844.76077800000007</v>
      </c>
      <c r="N256" s="3">
        <f>912.8+(317.4-354.6)+(-0.931056+(-0.323748--0.361692))+0-0-0</f>
        <v>874.70688799999994</v>
      </c>
      <c r="O256" s="3">
        <f>961.8+(461.2-499.3)+(0.981036+(0.470424-0.509286))+0-0-0</f>
        <v>924.64217399999995</v>
      </c>
      <c r="P256" s="3">
        <f>1018.4+(457.8-530.3)+(0.519384+(0.233478-0.270453))+0-0-0</f>
        <v>946.38240900000005</v>
      </c>
      <c r="Q256" s="3">
        <f>1060.5+(434.6-539.7)+(-1.08171+(-0.443292--0.550494))+0-0-0</f>
        <v>954.42549199999996</v>
      </c>
      <c r="R256" s="3">
        <f>1161.4+(396.1-618.1)+(-2.369256+(-0.808044--1.260924))+0-0-0</f>
        <v>937.48362400000008</v>
      </c>
      <c r="S256" s="3">
        <f>1166.5+(383.6-630.8)+(-1.18983+(-0.391272--0.643416))+0-0-0</f>
        <v>918.36231400000008</v>
      </c>
      <c r="T256" s="3">
        <f>1165.1+(379.9-643.7)+(-2.376804+(-0.774996--1.313148))+0-0-0</f>
        <v>899.46134799999982</v>
      </c>
      <c r="U256" s="3">
        <f>1170.7+(380.1-648.7)+(-1.194114+(-0.387702--0.661674))+0-0-0</f>
        <v>901.17985799999997</v>
      </c>
      <c r="V256" s="3">
        <f>1194.7+(387.7-589.5)+(0+(0-0))+0-0-0</f>
        <v>992.90000000000009</v>
      </c>
      <c r="W256" s="3">
        <f>1225.4+(459.1-479.1)+(0+(0-0))+0-0-0</f>
        <v>1205.4000000000001</v>
      </c>
      <c r="X256" s="3">
        <f>1224.2+(473.5-460.6)+(-2.497368+(-0.96594--0.939624))+0-0-0</f>
        <v>1234.5763159999999</v>
      </c>
      <c r="Y256" s="3">
        <f>1204.8+(470.1-443.9)+(1.843344+(0.719253-0.679167))+0-0-0</f>
        <v>1232.8834300000001</v>
      </c>
      <c r="Z256" s="3">
        <f>1122.8+(491.5-409.8)+(-1.717884+(-0.751995--0.626994))+0-0-0</f>
        <v>1202.657115</v>
      </c>
      <c r="AA256" s="3">
        <f>1128.1+(500-443.9)+(-1.150662+(-0.51--0.452778))+0-0-0</f>
        <v>1182.9921159999999</v>
      </c>
      <c r="AB256" s="3">
        <f>1124.7+(482.3-486.6)+(-1.720791+(-0.737919--0.744498))+0-0-0</f>
        <v>1118.685788</v>
      </c>
      <c r="AC256" s="3">
        <f>1130.9+(458.4-548.1)+(-2.307036+(-0.935136--1.118124))+0-0-0</f>
        <v>1039.0759520000001</v>
      </c>
      <c r="AD256" s="2">
        <v>1237.6999999999998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1045.8+(419.4-522.5)+(-2.66679+(-1.06947--1.332375))+0-0-0</f>
        <v>940.29611499999999</v>
      </c>
      <c r="G257" s="3">
        <f>1024+(398.1-519.3)+(-2.08896+(-0.812124--1.059372))+0-0-0</f>
        <v>900.95828800000004</v>
      </c>
      <c r="H257" s="3">
        <f>953.6+(413.1-498.5)+(-0.972672+(-0.421362--0.50847))+0-0-0</f>
        <v>867.314436</v>
      </c>
      <c r="I257" s="3">
        <f>885+(412.7-437.6)+(-1.35405+(-0.631431--0.669528))+0-0-0</f>
        <v>858.78404699999987</v>
      </c>
      <c r="J257" s="3">
        <f>849.9+(441.3-423.7)+(0+(0-0))+0-0-0</f>
        <v>867.5</v>
      </c>
      <c r="K257" s="3">
        <f>855.1+(428.7-400)+(1.308303+(0.655911-0.612))+0-0-0</f>
        <v>885.15221399999996</v>
      </c>
      <c r="L257" s="3">
        <f>966.9+(418-445.6)+(-0.986238+(-0.42636--0.454512))+0-0-0</f>
        <v>938.34191399999997</v>
      </c>
      <c r="M257" s="3">
        <f>1071.8+(450-551.9)+(2.73309+(1.1475-1.407345))+0-0-0</f>
        <v>972.373245</v>
      </c>
      <c r="N257" s="3">
        <f>1149.9+(480.5-572.7)+(1.172898+(0.49011-0.584154))+0-0-0</f>
        <v>1058.7788540000001</v>
      </c>
      <c r="O257" s="3">
        <f>1179.3+(452.5-538.2)+(1.202886+(0.46155-0.548964))+0-0-0</f>
        <v>1094.7154719999999</v>
      </c>
      <c r="P257" s="3">
        <f>1168.5+(461.9-526.6)+(-0.595935+(-0.235569--0.268566))+0-0-0</f>
        <v>1103.2370619999999</v>
      </c>
      <c r="Q257" s="3">
        <f>1172.7+(462-523.8)+(-1.196154+(-0.47124--0.534276))+0-0-0</f>
        <v>1109.7668820000001</v>
      </c>
      <c r="R257" s="3">
        <f>1162+(454.7-535.8)+(-2.9631+(-1.159485--1.36629))+0-0-0</f>
        <v>1078.1437050000002</v>
      </c>
      <c r="S257" s="3">
        <f>1238.1+(432.3-596.2)+(0.631431+(0.220473-0.304062))+0-0-0</f>
        <v>1074.7478419999998</v>
      </c>
      <c r="T257" s="3">
        <f>1238.7+(424.8-602.4)+(0+(0-0))+0-0-0</f>
        <v>1061.1000000000001</v>
      </c>
      <c r="U257" s="3">
        <f>1111+(419.3-481.1)+(-1.69983+(-0.641529--0.736083))+0-0-0</f>
        <v>1047.594724</v>
      </c>
      <c r="V257" s="3">
        <f>1115.8+(402.4-387.6)+(0.569058+(0.205224-0.197676))+0-0-0</f>
        <v>1131.176606</v>
      </c>
      <c r="W257" s="3">
        <f>1290.7+(369.3-338.6)+(-1.316514+(-0.376686--0.345372))+0-0-0</f>
        <v>1320.0521720000002</v>
      </c>
      <c r="X257" s="3">
        <f>1294.9+(363.9-335.3)+(0.660399+(0.185589-0.171003))+0-0-0</f>
        <v>1324.1749850000001</v>
      </c>
      <c r="Y257" s="3">
        <f>1294.8+(379.4-363.1)+(-1.981044+(-0.580482--0.555543))+0-0-0</f>
        <v>1309.0940169999999</v>
      </c>
      <c r="Z257" s="3">
        <f>1287.5+(375.6-380.8)+(-3.93975+(-1.149336--1.165248))+0-0-0</f>
        <v>1278.376162</v>
      </c>
      <c r="AA257" s="3">
        <f>1260.8+(381.7-401.4)+(-4.501056+(-1.362669--1.432998))+0-0-0</f>
        <v>1236.669273</v>
      </c>
      <c r="AB257" s="3">
        <f>1129.7+(383.3-326.9)+(-2.880735+(-0.977415--0.833595))+0-0-0</f>
        <v>1183.0754450000002</v>
      </c>
      <c r="AC257" s="3">
        <f>1029.8+(372.1-306.7)+(-2.62599+(-0.948855--0.782085))+0-0-0</f>
        <v>1092.40724</v>
      </c>
      <c r="AD257" s="2">
        <v>1335.4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869.3+(413.1-268.8)+(-0.443343+(-0.210681--0.137088))+0-0-0</f>
        <v>1013.0830639999999</v>
      </c>
      <c r="G258" s="3">
        <f>828.8+(413.1-274.6)+(-1.690752+(-0.842724--0.560184))+0-0-0</f>
        <v>965.32670799999994</v>
      </c>
      <c r="H258" s="3">
        <f>840.2+(362.2-254.4)+(0+(0-0))+0-0-0</f>
        <v>948</v>
      </c>
      <c r="I258" s="3">
        <f>848.8+(342.3-263.6)+(1.298664+(0.523719-0.403308))+0-0-0</f>
        <v>928.91907500000002</v>
      </c>
      <c r="J258" s="3">
        <f>858.6+(343.8-275)+(1.751544+(0.701352-0.561))+0-0-0</f>
        <v>929.29189600000007</v>
      </c>
      <c r="K258" s="3">
        <f>1048.9+(299.8-406.9)+(-1.069878+(-0.305796--0.415038))+0-0-0</f>
        <v>940.83936400000016</v>
      </c>
      <c r="L258" s="3">
        <f>1210.5+(289.8-515.5)+(0+(0-0))+0-0-0</f>
        <v>984.8</v>
      </c>
      <c r="M258" s="3">
        <f>1224.3+(303.2-518.6)+(1.873179+(0.463896-0.793458))+0-0-0</f>
        <v>1010.4436169999999</v>
      </c>
      <c r="N258" s="3">
        <f>1204.9+(329.5-454.8)+(0+(0-0))+0-0-0</f>
        <v>1079.6000000000001</v>
      </c>
      <c r="O258" s="3">
        <f>1206.5+(298.2-364.9)+(0+(0-0))+0-0-0</f>
        <v>1139.8</v>
      </c>
      <c r="P258" s="3">
        <f>1212.1+(323.1-446.2)+(0+(0-0))+0-0-0</f>
        <v>1089</v>
      </c>
      <c r="Q258" s="3">
        <f>1198.8+(326.5-406.5)+(-1.834164+(-0.499545--0.621945))+0-0-0</f>
        <v>1117.0882360000001</v>
      </c>
      <c r="R258" s="3">
        <f>1187.2+(324-416)+(-3.02736+(-0.8262--1.0608))+0-0-0</f>
        <v>1092.40724</v>
      </c>
      <c r="S258" s="3">
        <f>1200.6+(301.9-421.1)+(-1.224612+(-0.307938--0.429522))+0-0-0</f>
        <v>1080.2969719999999</v>
      </c>
      <c r="T258" s="3">
        <f>1209.5+(292-434.3)+(-0.616845+(-0.14892--0.221493))+0-0-0</f>
        <v>1066.655728</v>
      </c>
      <c r="U258" s="3">
        <f>1224.4+(310-472.9)+(1.873332+(0.4743-0.723537))+0-0-0</f>
        <v>1063.1240949999999</v>
      </c>
      <c r="V258" s="3">
        <f>1229.4+(331-418.6)+(0.626994+(0.16881-0.213486))+0-0-0</f>
        <v>1142.3823180000002</v>
      </c>
      <c r="W258" s="3">
        <f>1253+(365.5-292)+(1.27806+(0.37281-0.29784))+0-0-0</f>
        <v>1327.85303</v>
      </c>
      <c r="X258" s="3">
        <f>1265.9+(334.1-250.8)+(0+(0-0))+0-0-0</f>
        <v>1349.2</v>
      </c>
      <c r="Y258" s="3">
        <f>1265.7+(382.6-318.5)+(1.291014+(0.390252-0.32487))+0-0-0</f>
        <v>1331.1563960000001</v>
      </c>
      <c r="Z258" s="3">
        <f>1265.8+(393.8-368)+(0+(0-0))+0-0-0</f>
        <v>1291.5999999999999</v>
      </c>
      <c r="AA258" s="3">
        <f>1261.9+(411.1-416.9)+(-1.287138+(-0.419322--0.425238))+0-0-0</f>
        <v>1254.8187780000001</v>
      </c>
      <c r="AB258" s="3">
        <f>1164.8+(392.2-370)+(-2.97024+(-1.00011--0.9435))+0-0-0</f>
        <v>1183.97315</v>
      </c>
      <c r="AC258" s="3">
        <f>1170.8+(349.4-421)+(-2.98554+(-0.89097--1.07355))+0-0-0</f>
        <v>1096.3970399999998</v>
      </c>
      <c r="AD258" s="2">
        <v>1359.3999999999999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1179.8+(276.4-459)+(-1.805094+(-0.422892--0.70227))+0-0-0</f>
        <v>995.67428399999994</v>
      </c>
      <c r="G259" s="3">
        <f>1182.9+(287.8-525)+(-1.206558+(-0.293556--0.5355))+0-0-0</f>
        <v>944.73538600000006</v>
      </c>
      <c r="H259" s="3">
        <f>1188.6+(296.7-559.9)+(-1.212372+(-0.302634--0.571098))+0-0-0</f>
        <v>924.4560919999999</v>
      </c>
      <c r="I259" s="3">
        <f>1180.1+(287.6-556.6)+(-1.805553+(-0.440028--0.851598))+0-0-0</f>
        <v>909.70601699999986</v>
      </c>
      <c r="J259" s="3">
        <f>1200.3+(281.1-565.4)+(0.612153+(0.143361-0.288354))+0-0-0</f>
        <v>916.46716000000004</v>
      </c>
      <c r="K259" s="3">
        <f>1191.3+(286.7-551.2)+(0+(0-0))+0-0-0</f>
        <v>926.8</v>
      </c>
      <c r="L259" s="3">
        <f>1174.8+(284.8-498.2)+(-2.99574+(-0.72624--1.27041))+0-0-0</f>
        <v>958.94843000000003</v>
      </c>
      <c r="M259" s="3">
        <f>1216.3+(322.6-533.1)+(3.101565+(0.82263-1.359405))+0-0-0</f>
        <v>1008.36479</v>
      </c>
      <c r="N259" s="3">
        <f>1203.9+(368.7-512.4)+(1.227978+(0.376074-0.522648))+0-0-0</f>
        <v>1061.2814040000001</v>
      </c>
      <c r="O259" s="3">
        <f>1230.3+(382-522.3)+(1.882359+(0.58446-0.799119))+0-0-0</f>
        <v>1091.6677</v>
      </c>
      <c r="P259" s="3">
        <f>1209.2+(349-462.7)+(-3.08346+(-0.88995--1.179885))+0-0-0</f>
        <v>1092.706475</v>
      </c>
      <c r="Q259" s="3">
        <f>1216.5+(363-480.3)+(-2.48166+(-0.74052--0.979812))+0-0-0</f>
        <v>1096.9576320000001</v>
      </c>
      <c r="R259" s="3">
        <f>1196.3+(378-488.5)+(-4.880904+(-1.54224--1.99308))+0-0-0</f>
        <v>1081.3699360000001</v>
      </c>
      <c r="S259" s="3">
        <f>1213.4+(349.7-496.5)+(-1.856502+(-0.535041--0.759645))+0-0-0</f>
        <v>1064.968102</v>
      </c>
      <c r="T259" s="3">
        <f>1231.3+(336.7-522.9)+(-0.627963+(-0.171717--0.266679))+0-0-0</f>
        <v>1044.5669989999999</v>
      </c>
      <c r="U259" s="3">
        <f>1229.3+(323.1-506.1)+(-0.626943+(-0.164781--0.258111))+0-0-0</f>
        <v>1045.7663869999999</v>
      </c>
      <c r="V259" s="3">
        <f>1232.4+(365.1-480.1)+(0.628524+(0.186201-0.244851))+0-0-0</f>
        <v>1117.9698740000001</v>
      </c>
      <c r="W259" s="3">
        <f>1243.2+(398.3-319.1)+(0+(0-0))+0-0-0</f>
        <v>1322.4</v>
      </c>
      <c r="X259" s="3">
        <f>1214.4+(395.6-277.9)+(-3.09672+(-1.00878--0.708645))+0-0-0</f>
        <v>1328.7031450000002</v>
      </c>
      <c r="Y259" s="3">
        <f>1221.3+(399.2-308.8)+(-2.491452+(-0.814368--0.629952))+0-0-0</f>
        <v>1309.0241319999998</v>
      </c>
      <c r="Z259" s="3">
        <f>1227+(423.2-374.2)+(-1.25154+(-0.431664--0.381684))+0-0-0</f>
        <v>1274.69848</v>
      </c>
      <c r="AA259" s="3">
        <f>1213.6+(412.3-393.7)+(-3.713616+(-1.261638--1.204722))+0-0-0</f>
        <v>1228.4294679999998</v>
      </c>
      <c r="AB259" s="3">
        <f>1213.3+(395.9-439.3)+(-3.093915+(-1.009545--1.120215))+0-0-0</f>
        <v>1166.916755</v>
      </c>
      <c r="AC259" s="3">
        <f>1226.8+(367.9-512.5)+(-1.877004+(-0.562887--0.784125))+0-0-0</f>
        <v>1080.5442339999997</v>
      </c>
      <c r="AD259" s="2">
        <v>1341.3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1239.6+(370.6-608.3)+(0+(0-0))+0-0-0</f>
        <v>1001.9</v>
      </c>
      <c r="G260" s="3">
        <f>1227.6+(281.1-563.8)+(-1.252152+(-0.286722--0.575076))+0-0-0</f>
        <v>943.93620199999998</v>
      </c>
      <c r="H260" s="3">
        <f>1216.6+(285.7-577.5)+(0.620466+(0.145707-0.294525))+0-0-0</f>
        <v>925.27164799999991</v>
      </c>
      <c r="I260" s="3">
        <f>1184.7+(285.9-557.1)+(1.812591+(0.437427-0.852363))+0-0-0</f>
        <v>914.89765499999999</v>
      </c>
      <c r="J260" s="3">
        <f>1164.2+(289.7-546.8)+(0+(0-0))+0-0-0</f>
        <v>907.10000000000014</v>
      </c>
      <c r="K260" s="3">
        <f>1236.6+(295.5-598.8)+(1.261332+(0.30141-0.610776))+0-0-0</f>
        <v>934.25196599999992</v>
      </c>
      <c r="L260" s="3">
        <f>1240.7+(301.4-569.2)+(-1.265514+(-0.307428--0.580584))+0-0-0</f>
        <v>971.90764200000001</v>
      </c>
      <c r="M260" s="3">
        <f>1253+(311.7-570.9)+(1.27806+(0.317934-0.582318))+0-0-0</f>
        <v>994.81367599999999</v>
      </c>
      <c r="N260" s="3">
        <f>1243.6+(341.3-530.8)+(1.268472+(0.348126-0.541416))+0-0-0</f>
        <v>1055.1751819999999</v>
      </c>
      <c r="O260" s="3">
        <f>1214.7+(345.1-475.7)+(-3.716982+(-1.056006--1.455642))+0-0-0</f>
        <v>1080.7826540000001</v>
      </c>
      <c r="P260" s="3">
        <f>1241.2+(329.6-480.6)+(0+(0-0))+0-0-0</f>
        <v>1090.2</v>
      </c>
      <c r="Q260" s="3">
        <f>1252.8+(328-503.9)+(0.638928+(0.16728-0.256989))+0-0-0</f>
        <v>1077.4492190000001</v>
      </c>
      <c r="R260" s="3">
        <f>1238.6+(327.7-485.8)+(-1.263372+(-0.334254--0.495516))+0-0-0</f>
        <v>1079.39789</v>
      </c>
      <c r="S260" s="3">
        <f>1237.1+(318-496.3)+(-1.892763+(-0.48654--0.759339))+0-0-0</f>
        <v>1057.180036</v>
      </c>
      <c r="T260" s="3">
        <f>1238.3+(313.8-501.4)+(1.263066+(0.320076-0.511428))+0-0-0</f>
        <v>1051.771714</v>
      </c>
      <c r="U260" s="3">
        <f>1238.5+(305.4-483.1)+(-1.26327+(-0.311508--0.492762))+0-0-0</f>
        <v>1059.7179839999999</v>
      </c>
      <c r="V260" s="3">
        <f>1240.7+(309.2-395.8)+(-0.632757+(-0.157692--0.201858))+0-0-0</f>
        <v>1153.511409</v>
      </c>
      <c r="W260" s="3">
        <f>1271.9+(393-318.5)+(0.648669+(0.20043-0.162435))+0-0-0</f>
        <v>1347.0866640000002</v>
      </c>
      <c r="X260" s="3">
        <f>1294.5+(397.2-329.6)+(-3.300975+(-1.01286--0.84048))+0-0-0</f>
        <v>1358.6266449999998</v>
      </c>
      <c r="Y260" s="3">
        <f>1295+(400-342.1)+(-2.6418+(-0.816--0.697884))+0-0-0</f>
        <v>1350.1400840000001</v>
      </c>
      <c r="Z260" s="3">
        <f>1283.1+(401.8-374)+(-2.617524+(-0.819672--0.76296))+0-0-0</f>
        <v>1308.2257639999998</v>
      </c>
      <c r="AA260" s="3">
        <f>1244.5+(408.1-384.1)+(-1.904085+(-0.624393--0.587673))+0-0-0</f>
        <v>1266.559195</v>
      </c>
      <c r="AB260" s="3">
        <f>1235.4+(357.8-388)+(-3.15027+(-0.91239--0.9894))+0-0-0</f>
        <v>1202.1267400000002</v>
      </c>
      <c r="AC260" s="3">
        <f>1236.9+(328.5-451.7)+(-2.523276+(-0.67014--0.921468))+0-0-0</f>
        <v>1111.428052</v>
      </c>
      <c r="AD260" s="2">
        <v>1359.3000000000002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1209.4+(279.4-482.9)+(-3.700764+(-0.854964--1.477674))+0-0-0</f>
        <v>1002.8219460000001</v>
      </c>
      <c r="G261" s="3">
        <f>1104.9+(289.7-445.1)+(0.563499+(0.147747-0.227001))+0-0-0</f>
        <v>949.98424499999999</v>
      </c>
      <c r="H261" s="3">
        <f>974.7+(318.5-375.6)+(0+(0-0))+0-0-0</f>
        <v>917.6</v>
      </c>
      <c r="I261" s="3">
        <f>969+(332.2-383.8)+(0+(0-0))+0-0-0</f>
        <v>917.4</v>
      </c>
      <c r="J261" s="3">
        <f>996+(291.8-366.5)+(2.03184+(0.595272-0.74766))+0-0-0</f>
        <v>923.17945199999997</v>
      </c>
      <c r="K261" s="3">
        <f>987.6+(288.7-341)+(2.014704+(0.588948-0.69564))+0-0-0</f>
        <v>937.20801199999994</v>
      </c>
      <c r="L261" s="3">
        <f>1163.9+(260.5-438.4)+(1.187178+(0.26571-0.447168))+0-0-0</f>
        <v>987.00572000000011</v>
      </c>
      <c r="M261" s="3">
        <f>1210+(269.4-471.9)+(-1.2342+(-0.274788--0.481338))+0-0-0</f>
        <v>1006.47235</v>
      </c>
      <c r="N261" s="3">
        <f>1240+(308-469.3)+(1.8972+(0.47124-0.718029))+0-0-0</f>
        <v>1080.3504110000001</v>
      </c>
      <c r="O261" s="3">
        <f>1255.3+(335.1-488)+(0.640203+(0.170901-0.24888))+0-0-0</f>
        <v>1102.9622240000001</v>
      </c>
      <c r="P261" s="3">
        <f>1248+(346.9-480.1)+(-0.63648+(-0.176919--0.244851))+0-0-0</f>
        <v>1114.231452</v>
      </c>
      <c r="Q261" s="3">
        <f>1242.8+(339-461.8)+(-2.535312+(-0.69156--0.942072))+0-0-0</f>
        <v>1117.7152000000001</v>
      </c>
      <c r="R261" s="3">
        <f>1231.6+(351.5-472.1)+(-3.14058+(-0.896325--1.203855))+0-0-0</f>
        <v>1108.16695</v>
      </c>
      <c r="S261" s="3">
        <f>1215.4+(336.1-459.2)+(-4.958832+(-1.371288--1.873536))+0-0-0</f>
        <v>1087.8434160000002</v>
      </c>
      <c r="T261" s="3">
        <f>1254.1+(252.4-422.1)+(0.639591+(0.128724-0.215271))+0-0-0</f>
        <v>1084.9530439999999</v>
      </c>
      <c r="U261" s="3">
        <f>1236.7+(271.8-426.9)+(-1.892151+(-0.415854--0.653157))+0-0-0</f>
        <v>1079.9451520000002</v>
      </c>
      <c r="V261" s="3">
        <f>1205.7+(365.2-415.6)+(-2.459628+(-0.745008--0.847824))+0-0-0</f>
        <v>1152.943188</v>
      </c>
      <c r="W261" s="3">
        <f>1214.3+(445.5-308.4)+(-1.238586+(-0.45441--0.314568))+0-0-0</f>
        <v>1350.0215720000001</v>
      </c>
      <c r="X261" s="3">
        <f>1188.3+(441.3-269.8)+(-3.636198+(-1.350378--0.825588))+0-0-0</f>
        <v>1355.6390119999999</v>
      </c>
      <c r="Y261" s="3">
        <f>1198.6+(434.4-297.3)+(-2.445144+(-0.886176--0.606492))+0-0-0</f>
        <v>1332.9751719999999</v>
      </c>
      <c r="Z261" s="3">
        <f>1194.7+(430.7-311.5)+(-3.046485+(-1.098285--0.794325))+0-0-0</f>
        <v>1310.5495550000001</v>
      </c>
      <c r="AA261" s="3">
        <f>1169.6+(443.5-340.6)+(-1.789488+(-0.678555--0.521118))+0-0-0</f>
        <v>1270.553075</v>
      </c>
      <c r="AB261" s="3">
        <f>1106.9+(421.8-316.1)+(-2.258076+(-0.860472--0.644844))+0-0-0</f>
        <v>1210.1262960000001</v>
      </c>
      <c r="AC261" s="3">
        <f>1042.8+(367.2-283.9)+(-0.531828+(-0.187272--0.144789))+0-0-0</f>
        <v>1125.5256889999998</v>
      </c>
      <c r="AD261" s="2">
        <v>1355.8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903.1+(384.3-251.1)+(-1.842324+(-0.783972--0.512244))+0-0-0</f>
        <v>1034.1859480000001</v>
      </c>
      <c r="G262" s="3">
        <f>682+(404.5-116.7)+(-0.69564+(-0.41259--0.119034))+0-0-0</f>
        <v>968.81080399999996</v>
      </c>
      <c r="H262" s="3">
        <f>686.9+(408-149.3)+(-0.350319+(-0.20808--0.076143))+0-0-0</f>
        <v>945.1177439999999</v>
      </c>
      <c r="I262" s="3">
        <f>691.8+(410.6-167.1)+(0.352818+(0.209406-0.085221))+0-0-0</f>
        <v>935.77700299999992</v>
      </c>
      <c r="J262" s="3">
        <f>837.7+(360.5-257.9)+(-1.708908+(-0.73542--0.526116))+0-0-0</f>
        <v>938.38178800000003</v>
      </c>
      <c r="K262" s="3">
        <f>985.3+(355.4-389.9)+(1.005006+(0.362508-0.397698))+0-0-0</f>
        <v>951.76981599999999</v>
      </c>
      <c r="L262" s="3">
        <f>1091.8+(315.3-436.9)+(-0.556818+(-0.160803--0.222819))+0-0-0</f>
        <v>969.705198</v>
      </c>
      <c r="M262" s="3">
        <f>1144.9+(348.2-496.4)+(-0.583899+(-0.177582--0.253164))+0-0-0</f>
        <v>996.19168300000001</v>
      </c>
      <c r="N262" s="3">
        <f>1229.4+(359.6-489.9)+(1.880982+(0.550188-0.749547))+0-0-0</f>
        <v>1100.7816230000001</v>
      </c>
      <c r="O262" s="3">
        <f>1229.7+(365.4-433)+(0.627147+(0.186354-0.22083))+0-0-0</f>
        <v>1162.692671</v>
      </c>
      <c r="P262" s="3">
        <f>1230.5+(335.3-403.6)+(2.51022+(0.684012-0.823344))+0-0-0</f>
        <v>1164.570888</v>
      </c>
      <c r="Q262" s="3">
        <f>1271.8+(315.6-435.9)+(-1.945854+(-0.482868--0.666927))+0-0-0</f>
        <v>1149.7382050000001</v>
      </c>
      <c r="R262" s="3">
        <f>1279.7+(312.8-461.8)+(-3.915882+(-0.957168--1.413108))+0-0-0</f>
        <v>1127.2400580000001</v>
      </c>
      <c r="S262" s="3">
        <f>1276.8+(313.5-495)+(-1.302336+(-0.31977--0.5049))+0-0-0</f>
        <v>1094.1827940000001</v>
      </c>
      <c r="T262" s="3">
        <f>1270.4+(304.7-510.8)+(-0.647904+(-0.155397--0.260508))+0-0-0</f>
        <v>1063.7572070000001</v>
      </c>
      <c r="U262" s="3">
        <f>1268.4+(311.1-517)+(1.293768+(0.317322-0.52734))+0-0-0</f>
        <v>1063.58375</v>
      </c>
      <c r="V262" s="3">
        <f>1271.7+(318-438.3)+(-2.594268+(-0.64872--0.894132))+0-0-0</f>
        <v>1149.051144</v>
      </c>
      <c r="W262" s="3">
        <f>1291.9+(362.6-347.5)+(0.658869+(0.184926-0.177225))+0-0-0</f>
        <v>1307.6665700000001</v>
      </c>
      <c r="X262" s="3">
        <f>1292.3+(371-332.6)+(-3.954438+(-1.13526--1.017756))+0-0-0</f>
        <v>1326.6280579999998</v>
      </c>
      <c r="Y262" s="3">
        <f>1291.8+(353.6-342)+(-2.635272+(-0.721344--0.69768))+0-0-0</f>
        <v>1300.7410640000001</v>
      </c>
      <c r="Z262" s="3">
        <f>1277.3+(348.4-356.2)+(-2.605692+(-0.710736--0.726648))+0-0-0</f>
        <v>1266.91022</v>
      </c>
      <c r="AA262" s="3">
        <f>1187.1+(404.3-356.8)+(-1.210842+(-0.412386--0.363936))+0-0-0</f>
        <v>1233.3407079999999</v>
      </c>
      <c r="AB262" s="3">
        <f>1182.5+(400.9-406.8)+(-0.603075+(-0.204459--0.207468))+0-0-0</f>
        <v>1175.9999339999999</v>
      </c>
      <c r="AC262" s="3">
        <f>1138+(392.6-421.9)+(-2.9019+(-1.00113--1.075845))+0-0-0</f>
        <v>1105.8728149999999</v>
      </c>
      <c r="AD262" s="2">
        <v>1324.9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845.1+(422.4-245.8)+(0+(0-0))+0-0-0</f>
        <v>1021.7</v>
      </c>
      <c r="G263" s="3">
        <f>684.9+(464.2-185.3)+(-1.047897+(-0.710226--0.283509))+0-0-0</f>
        <v>962.32538599999998</v>
      </c>
      <c r="H263" s="3">
        <f>691.5+(405.5-170.8)+(0+(0-0))+0-0-0</f>
        <v>926.2</v>
      </c>
      <c r="I263" s="3">
        <f>694.1+(394.7-180.6)+(0.707982+(0.402594-0.184212))+0-0-0</f>
        <v>909.12636400000008</v>
      </c>
      <c r="J263" s="3">
        <f>688.6+(369.1-150.5)+(-1.053558+(-0.564723--0.230265))+0-0-0</f>
        <v>905.81198400000005</v>
      </c>
      <c r="K263" s="3">
        <f>694.4+(373.9-158.9)+(1.062432+(0.572067-0.243117))+0-0-0</f>
        <v>910.791382</v>
      </c>
      <c r="L263" s="3">
        <f>689.2+(377-159.2)+(-0.702984+(-0.38454--0.162384))+0-0-0</f>
        <v>906.07485999999994</v>
      </c>
      <c r="M263" s="3">
        <f>712.8+(359.5-206.9)+(-2.181168+(-1.10007--0.633114))+0-0-0</f>
        <v>862.75187599999992</v>
      </c>
      <c r="N263" s="3">
        <f>887.2+(310.8-301.5)+(-1.357416+(-0.475524--0.461295))+0-0-0</f>
        <v>895.12835500000006</v>
      </c>
      <c r="O263" s="3">
        <f>1026.6+(299.3-384.7)+(0+(0-0))+0-0-0</f>
        <v>941.19999999999993</v>
      </c>
      <c r="P263" s="3">
        <f>1219.9+(259.9-520.2)+(0+(0-0))+0-0-0</f>
        <v>959.6</v>
      </c>
      <c r="Q263" s="3">
        <f>1218.1+(269-524.5)+(-1.242462+(-0.27438--0.53499))+0-0-0</f>
        <v>961.61814799999991</v>
      </c>
      <c r="R263" s="3">
        <f>1212.2+(287.3-558)+(-2.472888+(-0.586092--1.13832))+0-0-0</f>
        <v>939.57934</v>
      </c>
      <c r="S263" s="3">
        <f>1227.7+(280.8-585.6)+(-0.626127+(-0.143208--0.298656))+0-0-0</f>
        <v>922.42932100000007</v>
      </c>
      <c r="T263" s="3">
        <f>1200.3+(268.5-557)+(-4.285071+(-0.958545--1.98849))+0-0-0</f>
        <v>908.54487399999994</v>
      </c>
      <c r="U263" s="3">
        <f>1218.3+(279.9-579.2)+(0.621333+(0.142749-0.295392))+0-0-0</f>
        <v>919.46868999999992</v>
      </c>
      <c r="V263" s="3">
        <f>1232.8+(326.1-539.5)+(-0.628728+(-0.166311--0.275145))+0-0-0</f>
        <v>1018.880106</v>
      </c>
      <c r="W263" s="3">
        <f>1238+(373.1-389.9)+(0+(0-0))+0-0-0</f>
        <v>1221.2</v>
      </c>
      <c r="X263" s="3">
        <f>1252.2+(385.8-385.8)+(-1.915866+(-0.590274--0.590274))+0-0-0</f>
        <v>1250.284134</v>
      </c>
      <c r="Y263" s="3">
        <f>1252.1+(390-398.9)+(-1.915713+(-0.5967--0.610317))+0-0-0</f>
        <v>1241.2979039999998</v>
      </c>
      <c r="Z263" s="3">
        <f>1251.7+(397.4-425.1)+(-3.191835+(-1.01337--1.084005))+0-0-0</f>
        <v>1220.8788</v>
      </c>
      <c r="AA263" s="3">
        <f>1250.3+(383.8-447.5)+(0+(0-0))+0-0-0</f>
        <v>1186.5999999999999</v>
      </c>
      <c r="AB263" s="3">
        <f>1203.5+(369.4-452)+(-2.45514+(-0.753576--0.92208))+0-0-0</f>
        <v>1118.613364</v>
      </c>
      <c r="AC263" s="3">
        <f>1062.7+(380.8-405.8)+(-3.793839+(-1.359456--1.448706))+0-0-0</f>
        <v>1033.9954110000001</v>
      </c>
      <c r="AD263" s="2">
        <v>1261.9000000000001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807.3+(380.8-241.2)+(2.058615+(0.97104-0.61506))+0-0-0</f>
        <v>949.31459499999994</v>
      </c>
      <c r="G264" s="3">
        <f>693.9+(401.3-211.5)+(0.707778+(0.409326-0.21573))+0-0-0</f>
        <v>884.60137400000008</v>
      </c>
      <c r="H264" s="3">
        <f>685.2+(382.6-215.8)+(-1.048356+(-0.585378--0.330174))+0-0-0</f>
        <v>850.69644000000005</v>
      </c>
      <c r="I264" s="3">
        <f>689.8+(376.1-224.4)+(0+(0-0))+0-0-0</f>
        <v>841.5</v>
      </c>
      <c r="J264" s="3">
        <f>689.2+(364.1-208.6)+(0.351492+(0.185691-0.106386))+0-0-0</f>
        <v>845.13079700000003</v>
      </c>
      <c r="K264" s="3">
        <f>757.7+(366-255.4)+(1.545708+(0.74664-0.521016))+0-0-0</f>
        <v>870.0713320000001</v>
      </c>
      <c r="L264" s="3">
        <f>930+(343.2-340.5)+(1.4229+(0.525096-0.520965))+0-0-0</f>
        <v>934.1270310000001</v>
      </c>
      <c r="M264" s="3">
        <f>1190.7+(309-534)+(-1.821771+(-0.47277--0.81702))+0-0-0</f>
        <v>964.22247900000002</v>
      </c>
      <c r="N264" s="3">
        <f>1284.9+(317.4-550.5)+(0.655299+(0.161874-0.280755))+0-0-0</f>
        <v>1052.3364180000001</v>
      </c>
      <c r="O264" s="3">
        <f>1261.3+(319.7-485)+(-2.573052+(-0.652188--0.9894))+0-0-0</f>
        <v>1093.7641599999999</v>
      </c>
      <c r="P264" s="3">
        <f>1320.1+(293.5-509.6)+(1.346502+(0.29937-0.519792))+0-0-0</f>
        <v>1105.12608</v>
      </c>
      <c r="Q264" s="3">
        <f>1439+(293.1-618.8)+(-1.46778+(-0.298962--0.631176))+0-0-0</f>
        <v>1112.1644340000003</v>
      </c>
      <c r="R264" s="3">
        <f>1386.3+(306.9-582.7)+(-2.121039+(-0.469557--0.891531))+0-0-0</f>
        <v>1108.800935</v>
      </c>
      <c r="S264" s="3">
        <f>1348+(308-559.8)+(-0.68748+(-0.15708--0.285498))+0-0-0</f>
        <v>1095.640938</v>
      </c>
      <c r="T264" s="3">
        <f>1269.8+(313.9-510.2)+(0.647598+(0.160089-0.260202))+0-0-0</f>
        <v>1074.0474850000001</v>
      </c>
      <c r="U264" s="3">
        <f>1253.8+(305.8-487)+(-0.639438+(-0.155958--0.24837))+0-0-0</f>
        <v>1072.0529739999999</v>
      </c>
      <c r="V264" s="3">
        <f>1347.3+(339.5-528.6)+(0.687123+(0.173145-0.269586))+0-0-0</f>
        <v>1158.7906819999998</v>
      </c>
      <c r="W264" s="3">
        <f>1383.7+(387.4-424.7)+(-1.411374+(-0.395148--0.433194))+0-0-0</f>
        <v>1345.0266720000002</v>
      </c>
      <c r="X264" s="3">
        <f>1380.1+(386.3-407.5)+(-1.407702+(-0.394026--0.41565))+0-0-0</f>
        <v>1357.5139219999999</v>
      </c>
      <c r="Y264" s="3">
        <f>1379.6+(378.7-423.8)+(-2.814384+(-0.772548--0.864552))+0-0-0</f>
        <v>1331.7776200000001</v>
      </c>
      <c r="Z264" s="3">
        <f>1389.7+(373-461)+(0+(0-0))+0-0-0</f>
        <v>1301.7</v>
      </c>
      <c r="AA264" s="3">
        <f>1350+(369.3-458.5)+(-4.8195+(-1.318401--1.636845))+0-0-0</f>
        <v>1256.2989439999999</v>
      </c>
      <c r="AB264" s="3">
        <f>1293.7+(375.5-465.4)+(-1.319574+(-0.38301--0.474708))+0-0-0</f>
        <v>1202.5721240000003</v>
      </c>
      <c r="AC264" s="3">
        <f>1201.3+(371.3-468.2)+(-2.450652+(-0.757452--0.955128))+0-0-0</f>
        <v>1102.1470240000001</v>
      </c>
      <c r="AD264" s="2">
        <v>1355.6999999999998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1053.1+(334.3-392.5)+(-2.148324+(-0.681972--0.8007))+0-0-0</f>
        <v>992.87040399999989</v>
      </c>
      <c r="G265" s="3">
        <f>980.2+(337.6-370.1)+(0+(0-0))+0-0-0</f>
        <v>947.7</v>
      </c>
      <c r="H265" s="3">
        <f>969.3+(331.1-382.9)+(-1.977372+(-0.675444--0.781116))+0-0-0</f>
        <v>915.62829999999997</v>
      </c>
      <c r="I265" s="3">
        <f>991.8+(318.9-410.8)+(2.023272+(0.650556-0.838032))+0-0-0</f>
        <v>901.73579599999982</v>
      </c>
      <c r="J265" s="3">
        <f>978.5+(321.4-394.4)+(0.499035+(0.163914-0.201144))+0-0-0</f>
        <v>905.96180500000003</v>
      </c>
      <c r="K265" s="3">
        <f>1004.4+(317.7-394.9)+(0+(0-0))+0-0-0</f>
        <v>927.2</v>
      </c>
      <c r="L265" s="3">
        <f>1086+(309.2-414.6)+(0+(0-0))+0-0-0</f>
        <v>980.59999999999991</v>
      </c>
      <c r="M265" s="3">
        <f>1196+(312.1-488.2)+(1.21992+(0.318342-0.497964))+0-0-0</f>
        <v>1020.9402980000001</v>
      </c>
      <c r="N265" s="3">
        <f>1280.1+(314.6-497.4)+(-1.305702+(-0.320892--0.507348))+0-0-0</f>
        <v>1096.180754</v>
      </c>
      <c r="O265" s="3">
        <f>1404.1+(315.9-585.3)+(2.148273+(0.483327-0.895509))+0-0-0</f>
        <v>1136.4360909999998</v>
      </c>
      <c r="P265" s="3">
        <f>1395.2+(366.3-610.6)+(-0.711552+(-0.186813--0.311406))+0-0-0</f>
        <v>1150.3130410000001</v>
      </c>
      <c r="Q265" s="3">
        <f>1371.5+(469.1-680.1)+(-4.19679+(-1.435446--2.081106))+0-0-0</f>
        <v>1156.9488699999999</v>
      </c>
      <c r="R265" s="3">
        <f>1315.2+(488.8-663.8)+(1.341504+(0.498576-0.677076))+0-0-0</f>
        <v>1141.363004</v>
      </c>
      <c r="S265" s="3">
        <f>1210+(468.4-631.5)+(0+(0-0))+0-0-0</f>
        <v>1046.9000000000001</v>
      </c>
      <c r="T265" s="3">
        <f>1226.3+(470.6-632.2)+(0+(0-0))+0-0-0</f>
        <v>1064.6999999999998</v>
      </c>
      <c r="U265" s="3">
        <f>1190.6+(462.5-553.6)+(-1.214412+(-0.47175--0.564672))+0-0-0</f>
        <v>1098.37851</v>
      </c>
      <c r="V265" s="3">
        <f>1345.9+(431.4-575.4)+(0+(0-0))+0-0-0</f>
        <v>1201.9000000000001</v>
      </c>
      <c r="W265" s="3">
        <f>1411.1+(380.3-455.3)+(-0.719661+(-0.193953--0.232203))+0-0-0</f>
        <v>1335.4185889999999</v>
      </c>
      <c r="X265" s="3">
        <f>1442.2+(388.9-494.4)+(-3.67761+(-0.991695--1.26072))+0-0-0</f>
        <v>1333.2914150000001</v>
      </c>
      <c r="Y265" s="3">
        <f>1444.1+(407.4-536.4)+(-2.945964+(-0.831096--1.094256))+0-0-0</f>
        <v>1312.4171959999999</v>
      </c>
      <c r="Z265" s="3">
        <f>1364.7+(435.2-519.3)+(-1.391994+(-0.443904--0.529686))+0-0-0</f>
        <v>1279.2937880000002</v>
      </c>
      <c r="AA265" s="3">
        <f>1350.7+(452.1-567.9)+(-1.377714+(-0.461142--0.579258))+0-0-0</f>
        <v>1233.640402</v>
      </c>
      <c r="AB265" s="3">
        <f>1356.6+(469.7-658.2)+(-2.075598+(-0.718641--1.007046))+0-0-0</f>
        <v>1166.312807</v>
      </c>
      <c r="AC265" s="3">
        <f>1293.9+(474.5-692)+(-3.299445+(-1.209975--1.7646))+0-0-0</f>
        <v>1073.6551800000002</v>
      </c>
      <c r="AD265" s="2">
        <v>1364.6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1268.1+(459-707.1)+(1.293462+(0.46818-0.721242))+0-0-0</f>
        <v>1021.0403999999999</v>
      </c>
      <c r="G266" s="3">
        <f>1177.3+(437.9-644.7)+(-1.200846+(-0.446658--0.657594))+0-0-0</f>
        <v>969.51008999999988</v>
      </c>
      <c r="H266" s="3">
        <f>1060+(430.3-547.8)+(-1.0812+(-0.438906--0.558756))+0-0-0</f>
        <v>941.53864999999996</v>
      </c>
      <c r="I266" s="3">
        <f>997.8+(412-483.7)+(1.526634+(0.63036-0.740061))+0-0-0</f>
        <v>927.51693299999988</v>
      </c>
      <c r="J266" s="3">
        <f>989.9+(385.8-450.9)+(0.504849+(0.196758-0.229959))+0-0-0</f>
        <v>925.27164799999991</v>
      </c>
      <c r="K266" s="3">
        <f>1081.2+(243.8-390.9)+(-1.102824+(-0.248676--0.398718))+0-0-0</f>
        <v>933.14721800000018</v>
      </c>
      <c r="L266" s="3">
        <f>1275.3+(297.4-564.6)+(-0.650403+(-0.151674--0.287946))+0-0-0</f>
        <v>1007.5858689999999</v>
      </c>
      <c r="M266" s="3">
        <f>1367+(420.4-739.3)+(-0.69717+(-0.214404--0.377043))+0-0-0</f>
        <v>1047.5654689999999</v>
      </c>
      <c r="N266" s="3">
        <f>1383+(473.7-743)+(0.70533+(0.241587-0.37893))+0-0-0</f>
        <v>1114.2679869999999</v>
      </c>
      <c r="O266" s="3">
        <f>1392.4+(479.6-727.3)+(2.840496+(0.978384-1.483692))+0-0-0</f>
        <v>1147.0351880000003</v>
      </c>
      <c r="P266" s="3">
        <f>1372.4+(474.1-702.4)+(-0.699924+(-0.241791--0.358224))+0-0-0</f>
        <v>1143.516509</v>
      </c>
      <c r="Q266" s="3">
        <f>1363.4+(476.4-683.7)+(-1.390668+(-0.485928--0.697374))+0-0-0</f>
        <v>1154.9207779999999</v>
      </c>
      <c r="R266" s="3">
        <f>1369.3+(466.4-707)+(-1.396686+(-0.475728--0.72114))+0-0-0</f>
        <v>1127.5487259999998</v>
      </c>
      <c r="S266" s="3">
        <f>1374.6+(491.9-754.3)+(0.701046+(0.250869-0.384693))+0-0-0</f>
        <v>1112.7672219999997</v>
      </c>
      <c r="T266" s="3">
        <f>1382.8+(499.2-781.2)+(2.115684+(0.763776-1.195236))+0-0-0</f>
        <v>1102.484224</v>
      </c>
      <c r="U266" s="3">
        <f>1378.8+(496.9-768.9)+(0.703188+(0.253419-0.392139))+0-0-0</f>
        <v>1107.364468</v>
      </c>
      <c r="V266" s="3">
        <f>1385.3+(459.9-667)+(-0.706503+(-0.234549--0.34017))+0-0-0</f>
        <v>1177.5991179999999</v>
      </c>
      <c r="W266" s="3">
        <f>1446.1+(431-517.7)+(-1.475022+(-0.43962--0.528054))+0-0-0</f>
        <v>1358.0134119999998</v>
      </c>
      <c r="X266" s="3">
        <f>1419.5+(428.9-487)+(0.723945+(0.218739-0.24837))+0-0-0</f>
        <v>1362.0943140000002</v>
      </c>
      <c r="Y266" s="3">
        <f>1387.2+(448.9-497.3)+(-0.707472+(-0.228939--0.253623))+0-0-0</f>
        <v>1338.1172119999999</v>
      </c>
      <c r="Z266" s="3">
        <f>1362.5+(467.4-528.6)+(-4.864125+(-1.668618--1.887102))+0-0-0</f>
        <v>1296.6543589999999</v>
      </c>
      <c r="AA266" s="3">
        <f>1369+(489.7-603.3)+(-3.49095+(-1.248735--1.538415))+0-0-0</f>
        <v>1252.1987300000001</v>
      </c>
      <c r="AB266" s="3">
        <f>1395.4+(487.4-691.3)+(0+(0-0))+0-0-0</f>
        <v>1191.5</v>
      </c>
      <c r="AC266" s="3">
        <f>1334.5+(467.5-702.7)+(-2.041785+(-0.715275--1.075131))+0-0-0</f>
        <v>1097.6180709999999</v>
      </c>
      <c r="AD266" s="2">
        <v>1360.7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1220+(441.8-671.3)+(-2.4888+(-0.901272--1.369452))+0-0-0</f>
        <v>988.47937999999999</v>
      </c>
      <c r="G267" s="3">
        <f>945.5+(438.1-448.7)+(-0.96441+(-0.446862--0.457674))+0-0-0</f>
        <v>933.94640200000003</v>
      </c>
      <c r="H267" s="3">
        <f>844.1+(436.8-382.9)+(-1.721964+(-0.891072--0.781116))+0-0-0</f>
        <v>896.16808000000003</v>
      </c>
      <c r="I267" s="3">
        <f>766.1+(427.5-309.5)+(0.390711+(0.218025-0.157845))+0-0-0</f>
        <v>884.55089099999998</v>
      </c>
      <c r="J267" s="3">
        <f>857.9+(405.2-373.2)+(0+(0-0))+0-0-0</f>
        <v>889.9</v>
      </c>
      <c r="K267" s="3">
        <f>871.1+(431.1-391.6)+(1.332783+(0.659583-0.599148))+0-0-0</f>
        <v>911.99321800000007</v>
      </c>
      <c r="L267" s="3">
        <f>1054.1+(376.8-464.4)+(0+(0-0))+0-0-0</f>
        <v>966.5</v>
      </c>
      <c r="M267" s="3">
        <f>1210.9+(436.2-649)+(1.235118+(0.444924-0.66198))+0-0-0</f>
        <v>999.11806200000012</v>
      </c>
      <c r="N267" s="3">
        <f>1351.7+(428.8-710.4)+(1.378734+(0.437376-0.724608))+0-0-0</f>
        <v>1071.1915020000001</v>
      </c>
      <c r="O267" s="3">
        <f>1379+(401.3-676.9)+(0+(0-0))+0-0-0</f>
        <v>1103.4000000000001</v>
      </c>
      <c r="P267" s="3">
        <f>1389+(384.9-664.8)+(0+(0-0))+0-0-0</f>
        <v>1109.0999999999999</v>
      </c>
      <c r="Q267" s="3">
        <f>1374.4+(413-675.5)+(-2.102832+(-0.63189--1.033515))+0-0-0</f>
        <v>1110.198793</v>
      </c>
      <c r="R267" s="3">
        <f>1380.8+(424.5-721.5)+(-0.704208+(-0.216495--0.367965))+0-0-0</f>
        <v>1083.2472619999999</v>
      </c>
      <c r="S267" s="3">
        <f>1365+(438.9-721)+(-2.7846+(-0.895356--1.47084))+0-0-0</f>
        <v>1080.6908840000001</v>
      </c>
      <c r="T267" s="3">
        <f>1375.9+(416.7-721.8)+(-0.701709+(-0.212517--0.368118))+0-0-0</f>
        <v>1070.2538920000002</v>
      </c>
      <c r="U267" s="3">
        <f>1371.2+(335-631.4)+(1.398624+(0.3417-0.644028))+0-0-0</f>
        <v>1075.8962960000001</v>
      </c>
      <c r="V267" s="3">
        <f>1286.8+(284-400.7)+(-1.312536+(-0.28968--0.408714))+0-0-0</f>
        <v>1168.9064979999998</v>
      </c>
      <c r="W267" s="3">
        <f>1408+(313.9-391.4)+(2.15424+(0.480267-0.598842))+0-0-0</f>
        <v>1332.5356650000001</v>
      </c>
      <c r="X267" s="3">
        <f>1385.1+(330.5-374.9)+(-2.825604+(-0.67422--0.764796))+0-0-0</f>
        <v>1337.9649719999998</v>
      </c>
      <c r="Y267" s="3">
        <f>1383.6+(359.3-422.2)+(-2.116908+(-0.549729--0.645966))+0-0-0</f>
        <v>1318.6793289999998</v>
      </c>
      <c r="Z267" s="3">
        <f>1404.7+(431.1-543.1)+(1.432794+(0.439722-0.553962))+0-0-0</f>
        <v>1294.018554</v>
      </c>
      <c r="AA267" s="3">
        <f>1369.9+(460.3-582.8)+(-3.493245+(-1.173765--1.48614))+0-0-0</f>
        <v>1244.2191300000002</v>
      </c>
      <c r="AB267" s="3">
        <f>1354.3+(392.3-578.6)+(-0.690693+(-0.200073--0.295086))+0-0-0</f>
        <v>1167.4043200000001</v>
      </c>
      <c r="AC267" s="3">
        <f>1252.4+(312.6-486.9)+(-3.19362+(-0.79713--1.241595))+0-0-0</f>
        <v>1075.3508450000002</v>
      </c>
      <c r="AD267" s="2">
        <v>1368.9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963.5+(340.1-311.5)+(-1.474155+(-0.520353--0.476595))+0-0-0</f>
        <v>990.582087</v>
      </c>
      <c r="G268" s="3">
        <f>916+(342.7-311.3)+(-1.40148+(-0.524331--0.476289))+0-0-0</f>
        <v>945.95047799999998</v>
      </c>
      <c r="H268" s="3">
        <f>851+(366.3-294.5)+(0.43401+(0.186813-0.150195))+0-0-0</f>
        <v>923.27062799999999</v>
      </c>
      <c r="I268" s="3">
        <f>835.1+(368.5-279)+(-2.129505+(-0.939675--0.71145))+0-0-0</f>
        <v>922.24227000000008</v>
      </c>
      <c r="J268" s="3">
        <f>861.4+(366.8-305.3)+(1.757256+(0.748272-0.622812))+0-0-0</f>
        <v>924.78271599999994</v>
      </c>
      <c r="K268" s="3">
        <f>857.4+(349.9-264.8)+(0.874548+(0.356898-0.270096))+0-0-0</f>
        <v>943.46135000000004</v>
      </c>
      <c r="L268" s="3">
        <f>963.8+(351.1-322.6)+(0.983076+(0.358122-0.329052))+0-0-0</f>
        <v>993.31214599999998</v>
      </c>
      <c r="M268" s="3">
        <f>1249+(284.9-491.9)+(1.27398+(0.290598-0.501738))+0-0-0</f>
        <v>1043.0628400000001</v>
      </c>
      <c r="N268" s="3">
        <f>1351.1+(291.2-528)+(1.378122+(0.297024-0.53856))+0-0-0</f>
        <v>1115.436586</v>
      </c>
      <c r="O268" s="3">
        <f>1415.5+(287.8-515.7)+(0.721905+(0.146778-0.263007))+0-0-0</f>
        <v>1188.2056759999998</v>
      </c>
      <c r="P268" s="3">
        <f>1386.3+(271.6-458.6)+(-3.535065+(-0.69258--1.16943))+0-0-0</f>
        <v>1196.2417849999999</v>
      </c>
      <c r="Q268" s="3">
        <f>1393.7+(274.5-453.4)+(-2.132361+(-0.419985--0.693702))+0-0-0</f>
        <v>1212.9413560000003</v>
      </c>
      <c r="R268" s="3">
        <f>1374.2+(288.2-457.9)+(-3.50421+(-0.73491--1.167645))+0-0-0</f>
        <v>1201.428525</v>
      </c>
      <c r="S268" s="3">
        <f>1389.6+(275.5-473.6)+(-1.417392+(-0.28101--0.483072))+0-0-0</f>
        <v>1190.28467</v>
      </c>
      <c r="T268" s="3">
        <f>1392.4+(280.3-503.5)+(-0.710124+(-0.142953--0.256785))+0-0-0</f>
        <v>1168.6037080000001</v>
      </c>
      <c r="U268" s="3">
        <f>1385.1+(277.3-475.4)+(-1.412802+(-0.282846--0.484908))+0-0-0</f>
        <v>1185.78926</v>
      </c>
      <c r="V268" s="3">
        <f>1391.8+(246.4-411.9)+(-2.129454+(-0.376992--0.630207))+0-0-0</f>
        <v>1224.423761</v>
      </c>
      <c r="W268" s="3">
        <f>1419.3+(284.3-337)+(2.895372+(0.579972-0.68748))+0-0-0</f>
        <v>1369.3878639999998</v>
      </c>
      <c r="X268" s="3">
        <f>1391+(296.5-318.2)+(-3.54705+(-0.756075--0.81141))+0-0-0</f>
        <v>1365.8082849999998</v>
      </c>
      <c r="Y268" s="3">
        <f>1395.5+(338.5-386.9)+(-1.42341+(-0.34527--0.394638))+0-0-0</f>
        <v>1345.725958</v>
      </c>
      <c r="Z268" s="3">
        <f>1402.1+(372.8-466.7)+(-1.430142+(-0.380256--0.476034))+0-0-0</f>
        <v>1306.8656359999998</v>
      </c>
      <c r="AA268" s="3">
        <f>1386.5+(379.3-497.8)+(-2.82846+(-0.773772--1.015512))+0-0-0</f>
        <v>1265.41328</v>
      </c>
      <c r="AB268" s="3">
        <f>1390.7+(331.6-512.9)+(-2.837028+(-0.676464--1.046316))+0-0-0</f>
        <v>1206.932824</v>
      </c>
      <c r="AC268" s="3">
        <f>1366.3+(340.1-579.3)+(-0.696813+(-0.173451--0.295443))+0-0-0</f>
        <v>1126.525179</v>
      </c>
      <c r="AD268" s="2">
        <v>1376.3999999999999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1240.4+(335-536.6)+(-2.530416+(-0.6834--1.094664))+0-0-0</f>
        <v>1036.6808480000002</v>
      </c>
      <c r="G269" s="3">
        <f>1010.6+(391-432.2)+(-1.030812+(-0.39882--0.440844))+0-0-0</f>
        <v>968.41121200000009</v>
      </c>
      <c r="H269" s="3">
        <f>938.5+(390.4-384.7)+(-0.95727+(-0.398208--0.392394))+0-0-0</f>
        <v>943.23691600000006</v>
      </c>
      <c r="I269" s="3">
        <f>933.3+(377-379.6)+(-1.427949+(-0.57681--0.580788))+0-0-0</f>
        <v>929.27602899999988</v>
      </c>
      <c r="J269" s="3">
        <f>937.1+(386.5-394.1)+(-0.477921+(-0.197115--0.200991))+0-0-0</f>
        <v>929.02595499999995</v>
      </c>
      <c r="K269" s="3">
        <f>1065.2+(323.3-442.8)+(2.71626+(0.824415-1.12914))+0-0-0</f>
        <v>948.111535</v>
      </c>
      <c r="L269" s="3">
        <f>1199.9+(255.3-479.7)+(-4.895592+(-1.041624--1.957176))+0-0-0</f>
        <v>971.51996000000008</v>
      </c>
      <c r="M269" s="3">
        <f>1291.1+(196.1-492.8)+(0.658461+(0.100011-0.251328))+0-0-0</f>
        <v>994.9071439999999</v>
      </c>
      <c r="N269" s="3">
        <f>1433.6+(197.4-544.7)+(2.193408+(0.302022-0.833391))+0-0-0</f>
        <v>1087.9620389999998</v>
      </c>
      <c r="O269" s="3">
        <f>1430.9+(192-485.3)+(2.189277+(0.29376-0.742509))+0-0-0</f>
        <v>1139.3405280000002</v>
      </c>
      <c r="P269" s="3">
        <f>1440+(208.7-501.6)+(0+(0-0))+0-0-0</f>
        <v>1147.0999999999999</v>
      </c>
      <c r="Q269" s="3">
        <f>1434.1+(213.1-494.2)+(0.731391+(0.108681-0.252042))+0-0-0</f>
        <v>1153.5880299999999</v>
      </c>
      <c r="R269" s="3">
        <f>1355.3+(221.5-448)+(-2.764812+(-0.45186--0.91392))+0-0-0</f>
        <v>1126.4972479999999</v>
      </c>
      <c r="S269" s="3">
        <f>1369+(221.2-490.3)+(0+(0-0))+0-0-0</f>
        <v>1099.9000000000001</v>
      </c>
      <c r="T269" s="3">
        <f>1391.8+(180.5-504.3)+(2.129454+(0.276165-0.771579))+0-0-0</f>
        <v>1069.6340399999999</v>
      </c>
      <c r="U269" s="3">
        <f>1376.7+(144.8-461.9)+(0.702117+(0.073848-0.235569))+0-0-0</f>
        <v>1060.1403960000002</v>
      </c>
      <c r="V269" s="3">
        <f>1352.6+(174.6-376.9)+(-0.689826+(-0.089046--0.192219))+0-0-0</f>
        <v>1149.7133469999999</v>
      </c>
      <c r="W269" s="3">
        <f>1379.8+(237.9-298.9)+(0.703698+(0.121329-0.152439))+0-0-0</f>
        <v>1319.4725879999999</v>
      </c>
      <c r="X269" s="3">
        <f>1374.1+(246.5-293.4)+(-1.401582+(-0.25143--0.299268))+0-0-0</f>
        <v>1325.8462559999998</v>
      </c>
      <c r="Y269" s="3">
        <f>1362.8+(229.9-300.8)+(-3.47514+(-0.586245--0.76704))+0-0-0</f>
        <v>1288.6056549999998</v>
      </c>
      <c r="Z269" s="3">
        <f>1383.9+(218.9-351.5)+(-0.705789+(-0.111639--0.179265))+0-0-0</f>
        <v>1250.6618370000001</v>
      </c>
      <c r="AA269" s="3">
        <f>1374.3+(214.8-365.4)+(-2.102679+(-0.328644--0.559062))+0-0-0</f>
        <v>1221.8277390000001</v>
      </c>
      <c r="AB269" s="3">
        <f>1378.7+(226.1-422.6)+(-1.406274+(-0.230622--0.431052))+0-0-0</f>
        <v>1180.994156</v>
      </c>
      <c r="AC269" s="3">
        <f>1375.5+(255.3-537.3)+(-2.104515+(-0.390609--0.822069))+0-0-0</f>
        <v>1091.826945</v>
      </c>
      <c r="AD269" s="2">
        <v>1321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1325.2+(233.5-537.2)+(-3.37926+(-0.595425--1.36986))+0-0-0</f>
        <v>1018.895175</v>
      </c>
      <c r="G270" s="3">
        <f>1274.5+(257.7-567.1)+(-1.949985+(-0.394281--0.867663))+0-0-0</f>
        <v>963.62339699999995</v>
      </c>
      <c r="H270" s="3">
        <f>1271.1+(246.5-581.3)+(-3.241305+(-0.628575--1.482315))+0-0-0</f>
        <v>933.91243499999996</v>
      </c>
      <c r="I270" s="3">
        <f>1239+(243.3-564.3)+(-1.26378+(-0.248166--0.575586))+0-0-0</f>
        <v>917.06363999999996</v>
      </c>
      <c r="J270" s="3">
        <f>1162.6+(248.6-500.1)+(0+(0-0))+0-0-0</f>
        <v>911.09999999999991</v>
      </c>
      <c r="K270" s="3">
        <f>1195.5+(237-515.2)+(-2.43882+(-0.48348--1.051008))+0-0-0</f>
        <v>915.42870799999992</v>
      </c>
      <c r="L270" s="3">
        <f>1223.2+(205.7-512)+(-3.11916+(-0.524535--1.3056))+0-0-0</f>
        <v>914.56190500000014</v>
      </c>
      <c r="M270" s="3">
        <f>1233.4+(206.7-561.2)+(-1.258068+(-0.210834--0.572424))+0-0-0</f>
        <v>878.00352200000009</v>
      </c>
      <c r="N270" s="3">
        <f>1263.3+(191.6-540.4)+(1.932849+(0.293148-0.826812))+0-0-0</f>
        <v>915.89918499999999</v>
      </c>
      <c r="O270" s="3">
        <f>1232.6+(188.7-471.8)+(-1.257252+(-0.192474--0.481236))+0-0-0</f>
        <v>948.53150999999991</v>
      </c>
      <c r="P270" s="3">
        <f>1231+(200.8-448)+(-1.88343+(-0.307224--0.68544))+0-0-0</f>
        <v>982.29478599999993</v>
      </c>
      <c r="Q270" s="3">
        <f>1238+(258.8-486.2)+(-1.26276+(-0.263976--0.495924))+0-0-0</f>
        <v>1009.5691880000001</v>
      </c>
      <c r="R270" s="3">
        <f>1229.2+(266-502.3)+(-1.880676+(-0.40698--0.768519))+0-0-0</f>
        <v>991.38086300000009</v>
      </c>
      <c r="S270" s="3">
        <f>1220+(255-495.8)+(-3.111+(-0.65025--1.26429))+0-0-0</f>
        <v>976.7030400000001</v>
      </c>
      <c r="T270" s="3">
        <f>1274.2+(260.2-564.7)+(0.649842+(0.132702-0.287997))+0-0-0</f>
        <v>970.19454700000006</v>
      </c>
      <c r="U270" s="3">
        <f>1346+(233-594.1)+(0+(0-0))+0-0-0</f>
        <v>984.9</v>
      </c>
      <c r="V270" s="3">
        <f>1385.7+(240.5-542.8)+(-0.706707+(-0.122655--0.276828))+0-0-0</f>
        <v>1082.8474660000002</v>
      </c>
      <c r="W270" s="3">
        <f>1404.4+(244.7-409.2)+(-0.716244+(-0.124797--0.208692))+0-0-0</f>
        <v>1239.2676510000001</v>
      </c>
      <c r="X270" s="3">
        <f>1393.5+(254.5-388.9)+(-2.132055+(-0.389385--0.595017))+0-0-0</f>
        <v>1257.173577</v>
      </c>
      <c r="Y270" s="3">
        <f>1389.8+(250.3-395.4)+(-2.835192+(-0.510612--0.806616))+0-0-0</f>
        <v>1242.1608120000001</v>
      </c>
      <c r="Z270" s="3">
        <f>1410.3+(244.7-427.2)+(-0.719253+(-0.124797--0.217872))+0-0-0</f>
        <v>1227.173822</v>
      </c>
      <c r="AA270" s="3">
        <f>1405.4+(246.4-446.2)+(-2.150262+(-0.376992--0.682686))+0-0-0</f>
        <v>1203.7554320000002</v>
      </c>
      <c r="AB270" s="3">
        <f>1395.7+(255.2-508.6)+(-3.559035+(-0.65076--1.29693))+0-0-0</f>
        <v>1139.3871349999999</v>
      </c>
      <c r="AC270" s="3">
        <f>1176.6+(326.2-451.9)+(-2.400264+(-0.665448--0.921876))+0-0-0</f>
        <v>1048.7561639999999</v>
      </c>
      <c r="AD270" s="2">
        <v>1267.6999999999998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969.6+(316.3-327.5)+(-1.483488+(-0.483939--0.501075))+0-0-0</f>
        <v>956.93364800000006</v>
      </c>
      <c r="G271" s="3">
        <f>976+(324.9-380.8)+(-0.99552+(-0.331398--0.388416))+0-0-0</f>
        <v>919.16149799999994</v>
      </c>
      <c r="H271" s="3">
        <f>988.1+(290.1-419.8)+(0+(0-0))+0-0-0</f>
        <v>858.40000000000009</v>
      </c>
      <c r="I271" s="3">
        <f>981.4+(331.2-422.2)+(-0.500514+(-0.168912--0.215322))+0-0-0</f>
        <v>889.94589599999995</v>
      </c>
      <c r="J271" s="3">
        <f>992.4+(328.1-429.5)+(0.506124+(0.167331-0.219045))+0-0-0</f>
        <v>891.45441000000005</v>
      </c>
      <c r="K271" s="3">
        <f>1044.2+(296.9-444.6)+(0+(0-0))+0-0-0</f>
        <v>896.5</v>
      </c>
      <c r="L271" s="3">
        <f>1291.7+(203.9-549.5)+(0.658767+(0.103989-0.280245))+0-0-0</f>
        <v>946.58251100000007</v>
      </c>
      <c r="M271" s="3">
        <f>1355.3+(180-549.2)+(0.691203+(0.0918-0.280092))+0-0-0</f>
        <v>986.60291099999995</v>
      </c>
      <c r="N271" s="3">
        <f>1399.7+(363.5-654.3)+(2.141541+(0.556155-1.001079))+0-0-0</f>
        <v>1110.5966170000002</v>
      </c>
      <c r="O271" s="3">
        <f>1382.4+(432.6-671.2)+(0.705024+(0.220626-0.342312))+0-0-0</f>
        <v>1144.3833380000001</v>
      </c>
      <c r="P271" s="3">
        <f>1407.4+(488.2-693.4)+(2.871096+(0.995928-1.414536))+0-0-0</f>
        <v>1204.6524879999999</v>
      </c>
      <c r="Q271" s="3">
        <f>1369.5+(491.8-631.7)+(-2.095335+(-0.752454--0.966501))+0-0-0</f>
        <v>1227.7187119999999</v>
      </c>
      <c r="R271" s="3">
        <f>1378.6+(481-648.4)+(-2.812344+(-0.98124--1.322736))+0-0-0</f>
        <v>1208.7291519999999</v>
      </c>
      <c r="S271" s="3">
        <f>1392+(484.6-700.5)+(0+(0-0))+0-0-0</f>
        <v>1176.0999999999999</v>
      </c>
      <c r="T271" s="3">
        <f>1397.4+(454.6-656.6)+(0+(0-0))+0-0-0</f>
        <v>1195.4000000000001</v>
      </c>
      <c r="U271" s="3">
        <f>1387.4+(396.5-567.8)+(-0.707574+(-0.202215--0.289578))+0-0-0</f>
        <v>1215.4797890000002</v>
      </c>
      <c r="V271" s="3">
        <f>1424.7+(322.4-518.1)+(-2.179791+(-0.493272--0.792693))+0-0-0</f>
        <v>1227.1196299999999</v>
      </c>
      <c r="W271" s="3">
        <f>1434+(454.6-489.3)+(-1.46268+(-0.463692--0.499086))+0-0-0</f>
        <v>1397.8727139999999</v>
      </c>
      <c r="X271" s="3">
        <f>1431.5+(442.9-491)+(-2.92026+(-0.903516--1.00164))+0-0-0</f>
        <v>1380.5778640000001</v>
      </c>
      <c r="Y271" s="3">
        <f>1424+(411.3-479.5)+(-2.90496+(-0.839052--0.97818))+0-0-0</f>
        <v>1353.0341679999999</v>
      </c>
      <c r="Z271" s="3">
        <f>1419.2+(425.4-532)+(0+(0-0))+0-0-0</f>
        <v>1312.6</v>
      </c>
      <c r="AA271" s="3">
        <f>1392.8+(435.7-560.9)+(-1.420656+(-0.444414--0.572118))+0-0-0</f>
        <v>1266.3070479999999</v>
      </c>
      <c r="AB271" s="3">
        <f>1362.7+(405.9-568)+(-0.694977+(-0.207009--0.28968))+0-0-0</f>
        <v>1199.9876939999999</v>
      </c>
      <c r="AC271" s="3">
        <f>1410.8+(324.8-636.6)+(-2.158524+(-0.496944--0.973998))+0-0-0</f>
        <v>1097.31853</v>
      </c>
      <c r="AD271" s="2">
        <v>1441.5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1399+(274.3-664.9)+(-1.42698+(-0.279786--0.678198))+0-0-0</f>
        <v>1007.3714320000001</v>
      </c>
      <c r="G272" s="3">
        <f>1343.3+(298.1-684.1)+(-3.425415+(-0.760155--1.744455))+0-0-0</f>
        <v>954.85888499999999</v>
      </c>
      <c r="H272" s="3">
        <f>1187.8+(367.4-618.3)+(1.211556+(0.374748-0.630666))+0-0-0</f>
        <v>937.855638</v>
      </c>
      <c r="I272" s="3">
        <f>1053.6+(405.1-538.4)+(0+(0-0))+0-0-0</f>
        <v>920.3</v>
      </c>
      <c r="J272" s="3">
        <f>1110.5+(381.9-573.2)+(1.13271+(0.389538-0.584664))+0-0-0</f>
        <v>920.13758399999995</v>
      </c>
      <c r="K272" s="3">
        <f>1248.9+(319.2-623.2)+(-2.547756+(-0.651168--1.271328))+0-0-0</f>
        <v>942.9724040000001</v>
      </c>
      <c r="L272" s="3">
        <f>1344+(277.2-626.6)+(0+(0-0))+0-0-0</f>
        <v>994.59999999999991</v>
      </c>
      <c r="M272" s="3">
        <f>1356.3+(235.9-548.9)+(-1.383426+(-0.240618--0.559878))+0-0-0</f>
        <v>1042.2358340000001</v>
      </c>
      <c r="N272" s="3">
        <f>1394.4+(227-497.4)+(1.422288+(0.23154-0.507348))+0-0-0</f>
        <v>1125.1464800000001</v>
      </c>
      <c r="O272" s="3">
        <f>1393.3+(263.9-477.3)+(0.710583+(0.134589-0.243423))+0-0-0</f>
        <v>1180.5017489999998</v>
      </c>
      <c r="P272" s="3">
        <f>1381.8+(272.2-443.7)+(0+(0-0))+0-0-0</f>
        <v>1210.3</v>
      </c>
      <c r="Q272" s="3">
        <f>1387.1+(273.5-434.2)+(-2.122263+(-0.418455--0.664326))+0-0-0</f>
        <v>1224.523608</v>
      </c>
      <c r="R272" s="3">
        <f>1368.3+(258.1-423.8)+(-4.186998+(-0.789786--1.296828))+0-0-0</f>
        <v>1198.920044</v>
      </c>
      <c r="S272" s="3">
        <f>1380.2+(265.4-455.8)+(-2.111706+(-0.406062--0.697374))+0-0-0</f>
        <v>1187.9796059999999</v>
      </c>
      <c r="T272" s="3">
        <f>1412.3+(276.2-516.1)+(2.881092+(0.563448-1.052844))+0-0-0</f>
        <v>1174.7916959999998</v>
      </c>
      <c r="U272" s="3">
        <f>1376.9+(271.2-475.5)+(-2.106657+(-0.414936--0.727515))+0-0-0</f>
        <v>1170.8059220000002</v>
      </c>
      <c r="V272" s="3">
        <f>1412.9+(214.4-368.8)+(0.720579+(0.109344-0.188088))+0-0-0</f>
        <v>1259.1418349999999</v>
      </c>
      <c r="W272" s="3">
        <f>1402.4+(236.2-260.1)+(-2.860896+(-0.481848--0.530604))+0-0-0</f>
        <v>1375.68786</v>
      </c>
      <c r="X272" s="3">
        <f>1404.9+(238.8-269.7)+(-1.432998+(-0.243576--0.275094))+0-0-0</f>
        <v>1372.59852</v>
      </c>
      <c r="Y272" s="3">
        <f>1398.6+(224-272)+(-2.853144+(-0.45696--0.55488))+0-0-0</f>
        <v>1347.8447759999999</v>
      </c>
      <c r="Z272" s="3">
        <f>1405.2+(210.6-307.1)+(0.716652+(0.107406-0.156621))+0-0-0</f>
        <v>1309.3674370000001</v>
      </c>
      <c r="AA272" s="3">
        <f>1394.9+(188.2-323)+(-2.845596+(-0.383928--0.65892))+0-0-0</f>
        <v>1257.5293960000001</v>
      </c>
      <c r="AB272" s="3">
        <f>1399+(188.5-394.3)+(-2.14047+(-0.288405--0.603279))+0-0-0</f>
        <v>1191.3744040000001</v>
      </c>
      <c r="AC272" s="3">
        <f>1393.4+(181.4-471.5)+(0.710634+(0.092514-0.240465))+0-0-0</f>
        <v>1103.8626830000003</v>
      </c>
      <c r="AD272" s="2">
        <v>1406.4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1367+(219.8-550.7)+(-3.48585+(-0.56049--1.404285))+0-0-0</f>
        <v>1033.4579449999999</v>
      </c>
      <c r="G273" s="3">
        <f>1134.2+(250.2-403.6)+(0+(0-0))+0-0-0</f>
        <v>980.8</v>
      </c>
      <c r="H273" s="3">
        <f>1088.8+(252.2-390.4)+(-0.555288+(-0.128622--0.199104))+0-0-0</f>
        <v>950.11519399999986</v>
      </c>
      <c r="I273" s="3">
        <f>1091.7+(248-405.8)+(1.113534+(0.25296-0.413916))+0-0-0</f>
        <v>934.85257800000011</v>
      </c>
      <c r="J273" s="3">
        <f>1110.1+(230-410.7)+(0.566151+(0.1173-0.209457))+0-0-0</f>
        <v>929.87399399999981</v>
      </c>
      <c r="K273" s="3">
        <f>1209.3+(185.8-449.9)+(2.466972+(0.379032-0.917796))+0-0-0</f>
        <v>947.12820800000009</v>
      </c>
      <c r="L273" s="3">
        <f>1346.4+(150.4-487.3)+(-2.059992+(-0.230112--0.745569))+0-0-0</f>
        <v>1007.9554650000001</v>
      </c>
      <c r="M273" s="3">
        <f>1307.9+(178.3-434)+(0+(0-0))+0-0-0</f>
        <v>1052.2</v>
      </c>
      <c r="N273" s="3">
        <f>1402+(207.5-479.9)+(2.14506+(0.317475-0.734247))+0-0-0</f>
        <v>1131.3282879999999</v>
      </c>
      <c r="O273" s="3">
        <f>1413.8+(217.1-445.8)+(2.163114+(0.332163-0.682074))+0-0-0</f>
        <v>1186.9132029999998</v>
      </c>
      <c r="P273" s="3">
        <f>1401.6+(202.2-399.2)+(0+(0-0))+0-0-0</f>
        <v>1204.5999999999999</v>
      </c>
      <c r="Q273" s="3">
        <f>1405.1+(213.5-395.2)+(0.716601+(0.108885-0.201552))+0-0-0</f>
        <v>1224.0239339999998</v>
      </c>
      <c r="R273" s="3">
        <f>1376.1+(217.8-386.2)+(-3.509055+(-0.55539--0.98481))+0-0-0</f>
        <v>1204.6203649999998</v>
      </c>
      <c r="S273" s="3">
        <f>1383.8+(232.2-426.6)+(-1.411476+(-0.236844--0.435132))+0-0-0</f>
        <v>1188.1868119999999</v>
      </c>
      <c r="T273" s="3">
        <f>1397.8+(235.7-468.5)+(0+(0-0))+0-0-0</f>
        <v>1165</v>
      </c>
      <c r="U273" s="3">
        <f>1365.5+(254.5-461.6)+(-2.78562+(-0.51918--0.941664))+0-0-0</f>
        <v>1156.0368640000002</v>
      </c>
      <c r="V273" s="3">
        <f>1397.1+(208-377.1)+(1.425042+(0.21216-0.384642))+0-0-0</f>
        <v>1229.2525599999999</v>
      </c>
      <c r="W273" s="3">
        <f>1411.9+(266.7-289.6)+(0+(0-0))+0-0-0</f>
        <v>1389</v>
      </c>
      <c r="X273" s="3">
        <f>1392.9+(272.4-271.6)+(-4.262274+(-0.833544--0.831096))+0-0-0</f>
        <v>1389.4352780000002</v>
      </c>
      <c r="Y273" s="3">
        <f>1410.3+(260.9-303)+(-2.157759+(-0.399177--0.46359))+0-0-0</f>
        <v>1366.1066539999997</v>
      </c>
      <c r="Z273" s="3">
        <f>1403.4+(267.4-344.8)+(-1.431468+(-0.272748--0.351696))+0-0-0</f>
        <v>1324.6474800000001</v>
      </c>
      <c r="AA273" s="3">
        <f>1406+(284.5-413)+(-1.43412+(-0.29019--0.42126))+0-0-0</f>
        <v>1276.19695</v>
      </c>
      <c r="AB273" s="3">
        <f>1398.2+(334.8-510.1)+(-2.852328+(-0.682992--1.040604))+0-0-0</f>
        <v>1220.4052840000002</v>
      </c>
      <c r="AC273" s="3">
        <f>1383.8+(342.6-587.7)+(-1.411476+(-0.349452--0.599454))+0-0-0</f>
        <v>1137.5385259999998</v>
      </c>
      <c r="AD273" s="2">
        <v>1397.7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1294.3+(275.5-551.1)+(-1.980279+(-0.421515--0.843183))+0-0-0</f>
        <v>1017.1413889999999</v>
      </c>
      <c r="G274" s="3">
        <f>1280.5+(251.6-571)+(-3.91833+(-0.769896--1.74726))+0-0-0</f>
        <v>958.15903400000002</v>
      </c>
      <c r="H274" s="3">
        <f>1277.7+(223.6-563.2)+(-2.606508+(-0.456144--1.148928))+0-0-0</f>
        <v>936.18627600000002</v>
      </c>
      <c r="I274" s="3">
        <f>1290.6+(207.2-575.3)+(0+(0-0))+0-0-0</f>
        <v>922.5</v>
      </c>
      <c r="J274" s="3">
        <f>1293.2+(230.9-602.6)+(1.319064+(0.235518-0.614652))+0-0-0</f>
        <v>922.43993</v>
      </c>
      <c r="K274" s="3">
        <f>1279.4+(184.2-528.9)+(0+(0-0))+0-0-0</f>
        <v>934.7</v>
      </c>
      <c r="L274" s="3">
        <f>1275.9+(210.2-496.7)+(-1.301418+(-0.214404--0.506634))+0-0-0</f>
        <v>988.3908120000001</v>
      </c>
      <c r="M274" s="3">
        <f>1320.4+(248.2-553.9)+(1.346808+(0.253164-0.564978))+0-0-0</f>
        <v>1015.734994</v>
      </c>
      <c r="N274" s="3">
        <f>1376.3+(238.7-499.6)+(1.403826+(0.243474-0.509592))+0-0-0</f>
        <v>1116.5377079999998</v>
      </c>
      <c r="O274" s="3">
        <f>1361.6+(233.8-459)+(2.083248+(0.357714-0.70227))+0-0-0</f>
        <v>1138.1386919999998</v>
      </c>
      <c r="P274" s="3">
        <f>1395.2+(220.7-465.7)+(0+(0-0))+0-0-0</f>
        <v>1150.2</v>
      </c>
      <c r="Q274" s="3">
        <f>1399.4+(220.5-454.9)+(0.713694+(0.112455-0.231999))+0-0-0</f>
        <v>1165.5941499999999</v>
      </c>
      <c r="R274" s="3">
        <f>1363.9+(242.9-445.3)+(-4.173534+(-0.743274--1.362618))+0-0-0</f>
        <v>1157.9458099999999</v>
      </c>
      <c r="S274" s="3">
        <f>1382.1+(273-507.1)+(0+(0-0))+0-0-0</f>
        <v>1148</v>
      </c>
      <c r="T274" s="3">
        <f>1387.7+(265.6-523.7)+(0+(0-0))+0-0-0</f>
        <v>1129.5999999999999</v>
      </c>
      <c r="U274" s="3">
        <f>1386.4+(288.3-542.6)+(0+(0-0))+0-0-0</f>
        <v>1132.1000000000001</v>
      </c>
      <c r="V274" s="3">
        <f>1402.4+(259.7-455)+(0+(0-0))+0-0-0</f>
        <v>1207.1000000000001</v>
      </c>
      <c r="W274" s="3">
        <f>1389.4+(345.9-342.9)+(-0.708594+(-0.176409--0.174879))+0-0-0</f>
        <v>1391.6898760000001</v>
      </c>
      <c r="X274" s="3">
        <f>1389.1+(342.5-328.8)+(-1.416882+(-0.34935--0.335376))+0-0-0</f>
        <v>1401.369144</v>
      </c>
      <c r="Y274" s="3">
        <f>1398.3+(305.8-325.6)+(0+(0-0))+0-0-0</f>
        <v>1378.5</v>
      </c>
      <c r="Z274" s="3">
        <f>1392.3+(269.2-333.4)+(-0.710073+(-0.137292--0.170034))+0-0-0</f>
        <v>1327.4226689999998</v>
      </c>
      <c r="AA274" s="3">
        <f>1393.4+(293.6-404.4)+(-1.421268+(-0.299472--0.412488))+0-0-0</f>
        <v>1281.2917480000001</v>
      </c>
      <c r="AB274" s="3">
        <f>1401.1+(272.5-453.6)+(0.714561+(0.138975-0.231336))+0-0-0</f>
        <v>1220.6222</v>
      </c>
      <c r="AC274" s="3">
        <f>1366.9+(284.9-524.9)+(-4.879833+(-1.017093--1.873893))+0-0-0</f>
        <v>1122.8769670000001</v>
      </c>
      <c r="AD274" s="2">
        <v>1391.5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1375.4+(237.4-588.1)+(-3.50727+(-0.60537--1.499655))+0-0-0</f>
        <v>1022.0870150000001</v>
      </c>
      <c r="G275" s="3">
        <f>1344.1+(244-625.5)+(-3.427455+(-0.6222--1.595025))+0-0-0</f>
        <v>960.14536999999996</v>
      </c>
      <c r="H275" s="3">
        <f>1266+(276.5-608)+(0.64566+(0.141015-0.31008))+0-0-0</f>
        <v>934.97659499999997</v>
      </c>
      <c r="I275" s="3">
        <f>1281.3+(255.6-611.1)+(1.960389+(0.391068-0.934983))+0-0-0</f>
        <v>927.21647399999995</v>
      </c>
      <c r="J275" s="3">
        <f>1266.1+(224.2-567.5)+(0+(0-0))+0-0-0</f>
        <v>922.8</v>
      </c>
      <c r="K275" s="3">
        <f>1283.7+(207.8-552.5)+(3.273435+(0.52989-1.408875))+0-0-0</f>
        <v>941.39445000000001</v>
      </c>
      <c r="L275" s="3">
        <f>1334.4+(195.6-530.2)+(1.361088+(0.199512-0.540804))+0-0-0</f>
        <v>1000.8197960000001</v>
      </c>
      <c r="M275" s="3">
        <f>1386.9+(240.1-605)+(0+(0-0))+0-0-0</f>
        <v>1022.0000000000001</v>
      </c>
      <c r="N275" s="3">
        <f>1411+(274-577.8)+(1.43922+(0.27948-0.589356))+0-0-0</f>
        <v>1108.329344</v>
      </c>
      <c r="O275" s="3">
        <f>1503.4+(262.2-612.4)+(1.533468+(0.267444-0.624648))+0-0-0</f>
        <v>1154.376264</v>
      </c>
      <c r="P275" s="3">
        <f>1538.3+(220.3-612.1)+(-3.922665+(-0.561765--1.560855))+0-0-0</f>
        <v>1143.576425</v>
      </c>
      <c r="Q275" s="3">
        <f>1551.8+(202.3-614.2)+(-0.791418+(-0.103173--0.313242))+0-0-0</f>
        <v>1139.3186509999998</v>
      </c>
      <c r="R275" s="3">
        <f>1551.1+(185.3-613.2)+(-3.955305+(-0.472515--1.56366))+0-0-0</f>
        <v>1120.3358399999997</v>
      </c>
      <c r="S275" s="3">
        <f>1548+(191.6-635.8)+(-1.57896+(-0.195432--0.648516))+0-0-0</f>
        <v>1102.6741240000001</v>
      </c>
      <c r="T275" s="3">
        <f>1565.7+(226.7-707.9)+(-3.194028+(-0.462468--1.444116))+0-0-0</f>
        <v>1082.2876200000001</v>
      </c>
      <c r="U275" s="3">
        <f>1400.7+(239-550.9)+(2.143071+(0.36567-0.842877))+0-0-0</f>
        <v>1090.4658640000002</v>
      </c>
      <c r="V275" s="3">
        <f>1365.4+(212.9-419.5)+(0+(0-0))+0-0-0</f>
        <v>1158.8000000000002</v>
      </c>
      <c r="W275" s="3">
        <f>1489.7+(177.8-322.1)+(-0.759747+(-0.090678--0.164271))+0-0-0</f>
        <v>1344.7138460000001</v>
      </c>
      <c r="X275" s="3">
        <f>1561.4+(153.6-351.5)+(-0.796314+(-0.078336--0.179265))+0-0-0</f>
        <v>1362.804615</v>
      </c>
      <c r="Y275" s="3">
        <f>1544.1+(167.7-374.1)+(-4.724946+(-0.513162--1.144746))+0-0-0</f>
        <v>1333.6066379999997</v>
      </c>
      <c r="Z275" s="3">
        <f>1417.6+(215.6-335.7)+(-1.445952+(-0.219912--0.342414))+0-0-0</f>
        <v>1296.1765499999999</v>
      </c>
      <c r="AA275" s="3">
        <f>1383+(213.2-340)+(-3.52665+(-0.54366--0.867))+0-0-0</f>
        <v>1252.9966899999999</v>
      </c>
      <c r="AB275" s="3">
        <f>1408.2+(226.3-426.7)+(0+(0-0))+0-0-0</f>
        <v>1207.8000000000002</v>
      </c>
      <c r="AC275" s="3">
        <f>1401+(215.3-491.3)+(-2.14353+(-0.329409--0.751689))+0-0-0</f>
        <v>1123.2787499999999</v>
      </c>
      <c r="AD275" s="2">
        <v>1393.5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1274.4+(197.9-444)+(-1.949832+(-0.302787--0.67932))+0-0-0</f>
        <v>1026.7267010000003</v>
      </c>
      <c r="G276" s="3">
        <f>1197.7+(209.9-432.4)+(0+(0-0))+0-0-0</f>
        <v>975.2</v>
      </c>
      <c r="H276" s="3">
        <f>936.5+(261.2-262.8)+(-0.477615+(-0.133212--0.134028))+0-0-0</f>
        <v>934.42320099999995</v>
      </c>
      <c r="I276" s="3">
        <f>912.8+(270.1-262.6)+(0.465528+(0.137751-0.133926))+0-0-0</f>
        <v>920.76935299999991</v>
      </c>
      <c r="J276" s="3">
        <f>996.1+(243.3-317.8)+(0.508011+(0.124083-0.162078))+0-0-0</f>
        <v>922.07001600000001</v>
      </c>
      <c r="K276" s="3">
        <f>1102+(207.1-370.3)+(0.56202+(0.105621-0.188853))+0-0-0</f>
        <v>939.27878799999996</v>
      </c>
      <c r="L276" s="3">
        <f>1153.3+(160.5-346.2)+(-2.352732+(-0.32742--0.706248))+0-0-0</f>
        <v>965.62609599999996</v>
      </c>
      <c r="M276" s="3">
        <f>1221.1+(158.7-405)+(1.868283+(0.242811-0.61965))+0-0-0</f>
        <v>976.29144399999996</v>
      </c>
      <c r="N276" s="3">
        <f>1367.1+(145-437.5)+(2.091663+(0.22185-0.669375))+0-0-0</f>
        <v>1076.244138</v>
      </c>
      <c r="O276" s="3">
        <f>1410.1+(146.6-432.8)+(1.438302+(0.149532-0.441456))+0-0-0</f>
        <v>1125.0463779999998</v>
      </c>
      <c r="P276" s="3">
        <f>1400.4+(168.9-434.2)+(0.714204+(0.086139-0.221442))+0-0-0</f>
        <v>1135.6789010000002</v>
      </c>
      <c r="Q276" s="3">
        <f>1396.9+(170.2-432)+(0.712419+(0.086802-0.22032))+0-0-0</f>
        <v>1135.6789010000002</v>
      </c>
      <c r="R276" s="3">
        <f>1379.4+(159.8-427.3)+(-1.406988+(-0.162996--0.435846))+0-0-0</f>
        <v>1110.7658620000002</v>
      </c>
      <c r="S276" s="3">
        <f>1359.4+(169.6-443)+(-3.46647+(-0.43248--1.12965))+0-0-0</f>
        <v>1083.2307000000001</v>
      </c>
      <c r="T276" s="3">
        <f>1393.5+(190.3-518.4)+(3.553425+(0.485265-1.32192))+0-0-0</f>
        <v>1068.1167700000001</v>
      </c>
      <c r="U276" s="3">
        <f>1393.7+(189.8-507.2)+(0+(0-0))+0-0-0</f>
        <v>1076.3000000000002</v>
      </c>
      <c r="V276" s="3">
        <f>1396.4+(169.5-414.6)+(0.712164+(0.086445-0.211446))+0-0-0</f>
        <v>1151.8871630000001</v>
      </c>
      <c r="W276" s="3">
        <f>1395.1+(193.2-300.1)+(-0.711501+(-0.098532--0.153051))+0-0-0</f>
        <v>1287.5430179999998</v>
      </c>
      <c r="X276" s="3">
        <f>1388.1+(182.1-297.3)+(-2.123793+(-0.278613--0.454869))+0-0-0</f>
        <v>1270.9524629999999</v>
      </c>
      <c r="Y276" s="3">
        <f>1309.8+(184.5-282.8)+(-4.007988+(-0.56457--0.865368))+0-0-0</f>
        <v>1207.7928099999999</v>
      </c>
      <c r="Z276" s="3">
        <f>1275.4+(184-311)+(-2.601816+(-0.37536--0.63444))+0-0-0</f>
        <v>1146.057264</v>
      </c>
      <c r="AA276" s="3">
        <f>1297.5+(162-344.1)+(1.985175+(0.24786-0.526473))+0-0-0</f>
        <v>1117.1065620000002</v>
      </c>
      <c r="AB276" s="3">
        <f>1285.1+(166.5-353.7)+(-1.310802+(-0.16983--0.360774))+0-0-0</f>
        <v>1096.7801419999998</v>
      </c>
      <c r="AC276" s="3">
        <f>1276.3+(197.6-413.6)+(-1.952739+(-0.302328--0.632808))+0-0-0</f>
        <v>1058.677741</v>
      </c>
      <c r="AD276" s="2">
        <v>1303.8000000000002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1263.9+(257.7-486.3)+(-2.578356+(-0.525708--0.992052))+0-0-0</f>
        <v>1033.1879880000001</v>
      </c>
      <c r="G277" s="3">
        <f>1168.5+(287.4-476.9)+(1.19187+(0.293148-0.486438))+0-0-0</f>
        <v>979.99857999999995</v>
      </c>
      <c r="H277" s="3">
        <f>1165.2+(257.9-487.3)+(-1.782756+(-0.394587--0.745569))+0-0-0</f>
        <v>934.36822599999994</v>
      </c>
      <c r="I277" s="3">
        <f>1171.6+(241.7-500.1)+(-1.195032+(-0.246534--0.510102))+0-0-0</f>
        <v>912.26853599999981</v>
      </c>
      <c r="J277" s="3">
        <f>1172+(236.8-506.6)+(-0.59772+(-0.120768--0.258366))+0-0-0</f>
        <v>901.73987800000009</v>
      </c>
      <c r="K277" s="3">
        <f>1240+(201.8-531.6)+(-3.162+(-0.51459--1.35558))+0-0-0</f>
        <v>907.87899000000004</v>
      </c>
      <c r="L277" s="3">
        <f>1246.5+(174.5-515.8)+(-2.54286+(-0.35598--1.052232))+0-0-0</f>
        <v>903.3533920000001</v>
      </c>
      <c r="M277" s="3">
        <f>1224.4+(178.1-536.4)+(-1.248888+(-0.181662--0.547128))+0-0-0</f>
        <v>865.21657800000014</v>
      </c>
      <c r="N277" s="3">
        <f>1292.6+(159-581.5)+(-0.659226+(-0.08109--0.296565))+0-0-0</f>
        <v>869.65624899999989</v>
      </c>
      <c r="O277" s="3">
        <f>1309.6+(192.4-562.3)+(1.335792+(0.196248-0.573546))+0-0-0</f>
        <v>940.65849399999991</v>
      </c>
      <c r="P277" s="3">
        <f>1405.3+(194.6-590.5)+(-0.716703+(-0.099246--0.301155))+0-0-0</f>
        <v>1008.8852059999999</v>
      </c>
      <c r="Q277" s="3">
        <f>1405.5+(227.8-577.6)+(-2.150415+(-0.348534--0.883728))+0-0-0</f>
        <v>1054.084779</v>
      </c>
      <c r="R277" s="3">
        <f>1408.6+(221.1-586.2)+(-2.155158+(-0.338283--0.896886))+0-0-0</f>
        <v>1041.9034449999999</v>
      </c>
      <c r="S277" s="3">
        <f>1401.8+(199.9-584.5)+(-2.859672+(-0.407796--1.19238))+0-0-0</f>
        <v>1015.1249119999999</v>
      </c>
      <c r="T277" s="3">
        <f>1413.3+(198.6-614.9)+(-1.441566+(-0.202572--0.627198))+0-0-0</f>
        <v>995.98306000000002</v>
      </c>
      <c r="U277" s="3">
        <f>1412.9+(185.4-605.2)+(-0.720579+(-0.094554--0.308652))+0-0-0</f>
        <v>992.59351900000001</v>
      </c>
      <c r="V277" s="3">
        <f>1400.3+(157.4-505.9)+(-1.428306+(-0.160548--0.516018))+0-0-0</f>
        <v>1050.7271639999999</v>
      </c>
      <c r="W277" s="3">
        <f>1416.5+(184.2-354.5)+(1.44483+(0.187884-0.36159))+0-0-0</f>
        <v>1247.4711240000001</v>
      </c>
      <c r="X277" s="3">
        <f>1409.4+(196.1-345)+(0+(0-0))+0-0-0</f>
        <v>1260.5</v>
      </c>
      <c r="Y277" s="3">
        <f>1391.2+(177.4-322.5)+(-2.838048+(-0.361896--0.6579))+0-0-0</f>
        <v>1243.5579560000001</v>
      </c>
      <c r="Z277" s="3">
        <f>1401.8+(188-362)+(-1.429836+(-0.19176--0.36924))+0-0-0</f>
        <v>1226.547644</v>
      </c>
      <c r="AA277" s="3">
        <f>1405.3+(207.7-424.4)+(0+(0-0))+0-0-0</f>
        <v>1188.5999999999999</v>
      </c>
      <c r="AB277" s="3">
        <f>1394.2+(214.9-477.9)+(-2.844168+(-0.438396--0.974916))+0-0-0</f>
        <v>1128.8923520000001</v>
      </c>
      <c r="AC277" s="3">
        <f>1299.2+(252.6-514.9)+(-3.31296+(-0.64413--1.312995))+0-0-0</f>
        <v>1034.255905</v>
      </c>
      <c r="AD277" s="2">
        <v>1254.1999999999998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1063.8+(277.9-386.5)+(1.085076+(0.283458-0.39423))+0-0-0</f>
        <v>956.17430399999989</v>
      </c>
      <c r="G278" s="3">
        <f>1082.7+(284.5-459.8)+(-2.760885+(-0.725475--1.17249))+0-0-0</f>
        <v>905.08613000000014</v>
      </c>
      <c r="H278" s="3">
        <f>862.7+(298.7-280.4)+(0.439977+(0.152337-0.143004))+0-0-0</f>
        <v>881.44930999999997</v>
      </c>
      <c r="I278" s="3">
        <f>852.9+(290.6-268.3)+(-0.434979+(-0.148206--0.136833))+0-0-0</f>
        <v>874.753648</v>
      </c>
      <c r="J278" s="3">
        <f>849.7+(279.5-255.6)+(-0.433347+(-0.142545--0.130356))+0-0-0</f>
        <v>873.15446400000008</v>
      </c>
      <c r="K278" s="3">
        <f>986+(269.2-358)+(2.01144+(0.549168-0.73032))+0-0-0</f>
        <v>899.03028800000004</v>
      </c>
      <c r="L278" s="3">
        <f>1188.3+(240.8-467.3)+(-1.212066+(-0.245616--0.476646))+0-0-0</f>
        <v>960.81896399999994</v>
      </c>
      <c r="M278" s="3">
        <f>1263.8+(253.9-497.1)+(0.644538+(0.129489-0.253521))+0-0-0</f>
        <v>1021.1205059999999</v>
      </c>
      <c r="N278" s="3">
        <f>1325.5+(286.3-515)+(0+(0-0))+0-0-0</f>
        <v>1096.8</v>
      </c>
      <c r="O278" s="3">
        <f>1353.1+(274.9-493.8)+(0+(0-0))+0-0-0</f>
        <v>1134.1999999999998</v>
      </c>
      <c r="P278" s="3">
        <f>1339.2+(264.6-451.6)+(-2.731968+(-0.539784--0.921264))+0-0-0</f>
        <v>1149.849512</v>
      </c>
      <c r="Q278" s="3">
        <f>1335.7+(270.3-434.2)+(-2.724828+(-0.551412--0.885768))+0-0-0</f>
        <v>1169.4095280000001</v>
      </c>
      <c r="R278" s="3">
        <f>1340.5+(255.8-470.2)+(-2.050965+(-0.391374--0.719406))+0-0-0</f>
        <v>1124.3770669999999</v>
      </c>
      <c r="S278" s="3">
        <f>1347.7+(256-495.1)+(-1.374654+(-0.26112--0.505002))+0-0-0</f>
        <v>1107.4692279999999</v>
      </c>
      <c r="T278" s="3">
        <f>1343+(231.8-479.8)+(-1.36986+(-0.236436--0.489396))+0-0-0</f>
        <v>1093.8831</v>
      </c>
      <c r="U278" s="3">
        <f>1357.1+(221.8-491)+(0+(0-0))+0-0-0</f>
        <v>1087.8999999999999</v>
      </c>
      <c r="V278" s="3">
        <f>1337.7+(219.3-414.3)+(-2.728908+(-0.447372--0.845172))+0-0-0</f>
        <v>1140.368892</v>
      </c>
      <c r="W278" s="3">
        <f>1373.1+(287.5-336.3)+(1.400562+(0.29325-0.343026))+0-0-0</f>
        <v>1325.6507859999999</v>
      </c>
      <c r="X278" s="3">
        <f>1330.8+(304.5-297.4)+(-4.072248+(-0.93177--0.910044))+0-0-0</f>
        <v>1333.8060260000002</v>
      </c>
      <c r="Y278" s="3">
        <f>1362.9+(296.4-334.4)+(0.695079+(0.151164-0.170544))+0-0-0</f>
        <v>1325.575699</v>
      </c>
      <c r="Z278" s="3">
        <f>1345+(291.1-341.4)+(-2.7438+(-0.593844--0.696456))+0-0-0</f>
        <v>1292.058812</v>
      </c>
      <c r="AA278" s="3">
        <f>1347.7+(281-372.2)+(-2.061981+(-0.42993--0.569466))+0-0-0</f>
        <v>1254.5775550000001</v>
      </c>
      <c r="AB278" s="3">
        <f>1357.5+(263.7-408.2)+(-0.692325+(-0.134487--0.208182))+0-0-0</f>
        <v>1212.3813700000001</v>
      </c>
      <c r="AC278" s="3">
        <f>1325.3+(294.2-506.3)+(-4.055418+(-0.900252--1.549278))+0-0-0</f>
        <v>1109.7936079999997</v>
      </c>
      <c r="AD278" s="2">
        <v>1368.8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1307.8+(282.7-569.2)+(-1.333956+(-0.288354--0.580584))+0-0-0</f>
        <v>1020.2582739999999</v>
      </c>
      <c r="G279" s="3">
        <f>1026.5+(313.4-381.1)+(0.523515+(0.159834-0.194361))+0-0-0</f>
        <v>959.2889879999999</v>
      </c>
      <c r="H279" s="3">
        <f>881.9+(309.3-263.4)+(-0.449769+(-0.157743--0.134334))+0-0-0</f>
        <v>927.32682199999999</v>
      </c>
      <c r="I279" s="3">
        <f>887.8+(327.2-298.3)+(0.452778+(0.166872-0.152133))+0-0-0</f>
        <v>917.16751699999998</v>
      </c>
      <c r="J279" s="3">
        <f>895.4+(325.8-313)+(-0.456654+(-0.166158--0.15963))+0-0-0</f>
        <v>907.73681800000008</v>
      </c>
      <c r="K279" s="3">
        <f>959.8+(305.5-342.5)+(0+(0-0))+0-0-0</f>
        <v>922.8</v>
      </c>
      <c r="L279" s="3">
        <f>1081.6+(275.7-379)+(-2.206464+(-0.562428--0.77316))+0-0-0</f>
        <v>976.30426799999998</v>
      </c>
      <c r="M279" s="3">
        <f>1338.6+(238.7-550.2)+(-2.730744+(-0.486948--1.122408))+0-0-0</f>
        <v>1025.0047159999999</v>
      </c>
      <c r="N279" s="3">
        <f>1371+(224.3-493.8)+(2.09763+(0.343179-0.755514))+0-0-0</f>
        <v>1103.185295</v>
      </c>
      <c r="O279" s="3">
        <f>1344.5+(219.3-424.5)+(-2.057085+(-0.335529--0.649485))+0-0-0</f>
        <v>1137.556871</v>
      </c>
      <c r="P279" s="3">
        <f>1381.1+(265.5-496.5)+(0+(0-0))+0-0-0</f>
        <v>1150.0999999999999</v>
      </c>
      <c r="Q279" s="3">
        <f>1378.9+(295.6-525.6)+(-3.516195+(-0.75378--1.34028))+0-0-0</f>
        <v>1145.9703050000001</v>
      </c>
      <c r="R279" s="3">
        <f>1383.1+(307.6-560)+(-3.526905+(-0.78438--1.428))+0-0-0</f>
        <v>1127.8167149999999</v>
      </c>
      <c r="S279" s="3">
        <f>1391+(283.1-577.9)+(-2.12823+(-0.433143--0.884187))+0-0-0</f>
        <v>1094.5228140000002</v>
      </c>
      <c r="T279" s="3">
        <f>1413+(304.6-632.2)+(-0.72063+(-0.155346--0.322422))+0-0-0</f>
        <v>1084.846446</v>
      </c>
      <c r="U279" s="3">
        <f>1409.2+(274.4-601.6)+(-0.718692+(-0.139944--0.306816))+0-0-0</f>
        <v>1081.4481800000001</v>
      </c>
      <c r="V279" s="3">
        <f>1453.4+(168.1-517.4)+(-0.741234+(-0.085731--0.263874))+0-0-0</f>
        <v>1103.5369090000002</v>
      </c>
      <c r="W279" s="3">
        <f>1729.3+(137.8-548)+(-1.763886+(-0.140556--0.55896))+0-0-0</f>
        <v>1317.754518</v>
      </c>
      <c r="X279" s="3">
        <f>1779.2+(149-562.3)+(-3.629568+(-0.30396--1.147092))+0-0-0</f>
        <v>1363.113564</v>
      </c>
      <c r="Y279" s="3">
        <f>1689.8+(201.6-544.7)+(-2.585394+(-0.308448--0.833391))+0-0-0</f>
        <v>1344.6395489999998</v>
      </c>
      <c r="Z279" s="3">
        <f>1596+(249.3-535.7)+(-2.44188+(-0.381429--0.819621))+0-0-0</f>
        <v>1307.5963119999999</v>
      </c>
      <c r="AA279" s="3">
        <f>1588.5+(331.4-635.7)+(-1.62027+(-0.338028--0.648414))+0-0-0</f>
        <v>1282.8901159999998</v>
      </c>
      <c r="AB279" s="3">
        <f>1607.1+(347.6-728.6)+(-4.098105+(-0.88638--1.85793))+0-0-0</f>
        <v>1222.9734449999999</v>
      </c>
      <c r="AC279" s="3">
        <f>1342.6+(284.2-509.7)+(-4.108356+(-0.869652--1.559682))+0-0-0</f>
        <v>1113.6816739999999</v>
      </c>
      <c r="AD279" s="2">
        <v>1388.8000000000002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1274.1+(319.2-549.2)+(-2.599164+(-0.651168--1.120368))+0-0-0</f>
        <v>1041.9700359999999</v>
      </c>
      <c r="G280" s="3">
        <f>1314+(288.4-607.2)+(-0.67014+(-0.147084--0.309672))+0-0-0</f>
        <v>994.6924479999999</v>
      </c>
      <c r="H280" s="3">
        <f>1331.6+(246.2-610)+(-3.39558+(-0.62781--1.5555))+0-0-0</f>
        <v>965.33210999999994</v>
      </c>
      <c r="I280" s="3">
        <f>1398.8+(248.1-677.1)+(0.713388+(0.126531-0.345321))+0-0-0</f>
        <v>970.29459799999995</v>
      </c>
      <c r="J280" s="3">
        <f>1483.8+(246.6-762.5)+(-0.756738+(-0.125766--0.388875))+0-0-0</f>
        <v>967.40637099999992</v>
      </c>
      <c r="K280" s="3">
        <f>1572+(244.1-831.4)+(0.80172+(0.124491-0.424014))+0-0-0</f>
        <v>985.20219700000007</v>
      </c>
      <c r="L280" s="3">
        <f>1699.3+(221.8-873.7)+(-1.733286+(-0.226236--0.891174))+0-0-0</f>
        <v>1046.3316519999998</v>
      </c>
      <c r="M280" s="3">
        <f>1701.8+(225.8-851.4)+(1.735836+(0.230316-0.868428))+0-0-0</f>
        <v>1077.297724</v>
      </c>
      <c r="N280" s="3">
        <f>1694.7+(266.6-822)+(-3.457188+(-0.543864--1.67688))+0-0-0</f>
        <v>1136.9758280000001</v>
      </c>
      <c r="O280" s="3">
        <f>1719.3+(345-896.3)+(0.876843+(0.17595-0.457113))+0-0-0</f>
        <v>1168.5956799999999</v>
      </c>
      <c r="P280" s="3">
        <f>1736.6+(409.6-965.8)+(-3.542664+(-0.835584--1.970232))+0-0-0</f>
        <v>1177.991984</v>
      </c>
      <c r="Q280" s="3">
        <f>1725.3+(417.8-956.3)+(-3.519612+(-0.852312--1.950852))+0-0-0</f>
        <v>1184.3789279999999</v>
      </c>
      <c r="R280" s="3">
        <f>1632.4+(408.7-888.3)+(-2.497572+(-0.625311--1.359099))+0-0-0</f>
        <v>1151.0362160000002</v>
      </c>
      <c r="S280" s="3">
        <f>1500.1+(392.7-757.5)+(0.765051+(0.200277-0.386325))+0-0-0</f>
        <v>1135.879003</v>
      </c>
      <c r="T280" s="3">
        <f>1478.4+(384.4-745.4)+(-0.753984+(-0.196044--0.380154))+0-0-0</f>
        <v>1116.8301260000001</v>
      </c>
      <c r="U280" s="3">
        <f>1489.9+(367.9-743.2)+(-0.759849+(-0.187629--0.379032))+0-0-0</f>
        <v>1114.0315539999999</v>
      </c>
      <c r="V280" s="3">
        <f>1543+(302-651.9)+(-2.36079+(-0.46206--0.997407))+0-0-0</f>
        <v>1191.274557</v>
      </c>
      <c r="W280" s="3">
        <f>1782.4+(222.7-625.8)+(-1.818048+(-0.227154--0.638316))+0-0-0</f>
        <v>1377.8931140000002</v>
      </c>
      <c r="X280" s="3">
        <f>1730.1+(220.4-561.4)+(-3.529404+(-0.449616--1.145256))+0-0-0</f>
        <v>1386.2662359999999</v>
      </c>
      <c r="Y280" s="3">
        <f>1447.3+(299.3-394.6)+(0+(0-0))+0-0-0</f>
        <v>1352</v>
      </c>
      <c r="Z280" s="3">
        <f>1434.1+(313.3-439)+(1.462782+(0.319566-0.44778))+0-0-0</f>
        <v>1309.7345679999999</v>
      </c>
      <c r="AA280" s="3">
        <f>1425.4+(374.5-520.6)+(-2.180862+(-0.572985--0.796518))+0-0-0</f>
        <v>1277.3426710000001</v>
      </c>
      <c r="AB280" s="3">
        <f>1413.4+(439.5-636.2)+(-0.720834+(-0.224145--0.324462))+0-0-0</f>
        <v>1216.079483</v>
      </c>
      <c r="AC280" s="3">
        <f>1390.7+(406.2-670.7)+(-3.546285+(-1.03581--1.710285))+0-0-0</f>
        <v>1123.3281899999999</v>
      </c>
      <c r="AD280" s="2">
        <v>1388.3000000000002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1300.1+(396.2-652.9)+(-2.652204+(-0.808248--1.331916))+0-0-0</f>
        <v>1041.2714639999999</v>
      </c>
      <c r="G281" s="3">
        <f>1259.5+(387.9-652.3)+(-1.927035+(-0.593487--0.998019))+0-0-0</f>
        <v>993.57749699999999</v>
      </c>
      <c r="H281" s="3">
        <f>1240.8+(373.4-659.3)+(-1.265616+(-0.380868--0.672486))+0-0-0</f>
        <v>953.92600199999993</v>
      </c>
      <c r="I281" s="3">
        <f>1242.9+(352.2-659.2)+(0+(0-0))+0-0-0</f>
        <v>935.90000000000009</v>
      </c>
      <c r="J281" s="3">
        <f>1241.3+(320.8-640)+(0+(0-0))+0-0-0</f>
        <v>922.09999999999991</v>
      </c>
      <c r="K281" s="3">
        <f>1241.5+(349.6-638.3)+(0+(0-0))+0-0-0</f>
        <v>952.80000000000007</v>
      </c>
      <c r="L281" s="3">
        <f>1284.6+(362.6-639.6)+(-1.310292+(-0.369852--0.652392))+0-0-0</f>
        <v>1006.5722479999999</v>
      </c>
      <c r="M281" s="3">
        <f>1389.4+(391.9-700.3)+(-0.708594+(-0.199869--0.357153))+0-0-0</f>
        <v>1080.4486899999999</v>
      </c>
      <c r="N281" s="3">
        <f>1575.7+(421.2-780.1)+(1.607214+(0.429624-0.795702))+0-0-0</f>
        <v>1218.0411360000001</v>
      </c>
      <c r="O281" s="3">
        <f>1592.6+(415-757.7)+(1.624452+(0.4233-0.772854))+0-0-0</f>
        <v>1251.1748979999998</v>
      </c>
      <c r="P281" s="3">
        <f>1588.5+(424.5-729.5)+(2.430405+(0.649485-1.116135))+0-0-0</f>
        <v>1285.463755</v>
      </c>
      <c r="Q281" s="3">
        <f>1591.4+(418.5-722.8)+(0.811614+(0.213435-0.368628))+0-0-0</f>
        <v>1287.756421</v>
      </c>
      <c r="R281" s="3">
        <f>1594.2+(310.4-629.8)+(-2.439126+(-0.474912--0.963594))+0-0-0</f>
        <v>1272.8495560000001</v>
      </c>
      <c r="S281" s="3">
        <f>1592.7+(371.1-724.1)+(-1.624554+(-0.378522--0.738582))+0-0-0</f>
        <v>1238.435506</v>
      </c>
      <c r="T281" s="3">
        <f>1596.5+(351.1-739.8)+(-4.071075+(-0.895305--1.88649))+0-0-0</f>
        <v>1204.7201100000002</v>
      </c>
      <c r="U281" s="3">
        <f>1606.6+(312.5-705.9)+(0.819366+(0.159375-0.360009))+0-0-0</f>
        <v>1213.8187319999997</v>
      </c>
      <c r="V281" s="3">
        <f>1593.5+(259.3-562.4)+(-2.438055+(-0.396729--0.860472))+0-0-0</f>
        <v>1288.425688</v>
      </c>
      <c r="W281" s="3">
        <f>1597.2+(249-419.5)+(-0.814572+(-0.12699--0.213945))+0-0-0</f>
        <v>1425.972383</v>
      </c>
      <c r="X281" s="3">
        <f>1585.9+(248.7-405.4)+(-3.235236+(-0.507348--0.827016))+0-0-0</f>
        <v>1426.2844320000002</v>
      </c>
      <c r="Y281" s="3">
        <f>1593.4+(248.1-452.4)+(-1.625268+(-0.253062--0.461448))+0-0-0</f>
        <v>1387.6831180000001</v>
      </c>
      <c r="Z281" s="3">
        <f>1568+(242.6-470.1)+(0+(0-0))+0-0-0</f>
        <v>1340.5</v>
      </c>
      <c r="AA281" s="3">
        <f>1528.2+(275.3-504.6)+(-2.338146+(-0.421209--0.772038))+0-0-0</f>
        <v>1296.912683</v>
      </c>
      <c r="AB281" s="3">
        <f>1496.3+(352.4-598)+(-3.052452+(-0.718896--1.21992))+0-0-0</f>
        <v>1248.1485719999998</v>
      </c>
      <c r="AC281" s="3">
        <f>1379.9+(333.4-565.9)+(-3.518745+(-0.85017--1.443045))+0-0-0</f>
        <v>1144.4741300000001</v>
      </c>
      <c r="AD281" s="2">
        <v>1435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1278.2+(267.7-489.2)+(-1.955646+(-0.409581--0.748476))+0-0-0</f>
        <v>1055.083249</v>
      </c>
      <c r="G282" s="3">
        <f>1224.3+(263-470.2)+(-1.873179+(-0.40239--0.719406))+0-0-0</f>
        <v>1015.5438369999999</v>
      </c>
      <c r="H282" s="3">
        <f>1237.7+(264.6-514.5)+(-2.524908+(-0.539784--1.04958))+0-0-0</f>
        <v>985.78488800000002</v>
      </c>
      <c r="I282" s="3">
        <f>1196.1+(263.2-486.1)+(0+(0-0))+0-0-0</f>
        <v>973.19999999999982</v>
      </c>
      <c r="J282" s="3">
        <f>1081.2+(307.6-420.2)+(1.102824+(0.313752-0.428604))+0-0-0</f>
        <v>969.58797200000015</v>
      </c>
      <c r="K282" s="3">
        <f>1281.3+(288.9-583.3)+(0+(0-0))+0-0-0</f>
        <v>986.9</v>
      </c>
      <c r="L282" s="3">
        <f>1548.1+(168.8-661.8)+(0+(0-0))+0-0-0</f>
        <v>1055.0999999999999</v>
      </c>
      <c r="M282" s="3">
        <f>1621.1+(220.5-724.9)+(0+(0-0))+0-0-0</f>
        <v>1116.6999999999998</v>
      </c>
      <c r="N282" s="3">
        <f>1802.6+(220.3-809.4)+(-0.919326+(-0.112353--0.412794))+0-0-0</f>
        <v>1212.8811149999999</v>
      </c>
      <c r="O282" s="3">
        <f>2011.5+(200.6-935.4)+(2.05173+(0.204612-0.954108))+0-0-0</f>
        <v>1278.002234</v>
      </c>
      <c r="P282" s="3">
        <f>2025+(191.2-887.4)+(1.03275+(0.097512-0.452574))+0-0-0</f>
        <v>1329.4776879999999</v>
      </c>
      <c r="Q282" s="3">
        <f>2001.1+(204.2-884.1)+(-4.082244+(-0.416568--1.803564))+0-0-0</f>
        <v>1318.5047519999998</v>
      </c>
      <c r="R282" s="3">
        <f>2027+(240.4-962.6)+(1.03377+(0.122604-0.490926))+0-0-0</f>
        <v>1305.4654479999999</v>
      </c>
      <c r="S282" s="3">
        <f>2013.8+(242.1-988.7)+(1.027038+(0.123471-0.504237))+0-0-0</f>
        <v>1267.8462719999998</v>
      </c>
      <c r="T282" s="3">
        <f>1973.8+(263.6-996.6)+(1.006638+(0.134436-0.508266))+0-0-0</f>
        <v>1241.432808</v>
      </c>
      <c r="U282" s="3">
        <f>1949.6+(235.5-946.6)+(-3.977184+(-0.48042--1.931064))+0-0-0</f>
        <v>1235.9734599999999</v>
      </c>
      <c r="V282" s="3">
        <f>1951.5+(174.7-819.8)+(-3.98106+(-0.356388--1.672392))+0-0-0</f>
        <v>1303.734944</v>
      </c>
      <c r="W282" s="3">
        <f>2009.9+(142.8-719.3)+(-3.075147+(-0.218484--1.100529))+0-0-0</f>
        <v>1431.2068980000001</v>
      </c>
      <c r="X282" s="3">
        <f>1948.1+(136.9-656.3)+(0+(0-0))+0-0-0</f>
        <v>1428.6999999999998</v>
      </c>
      <c r="Y282" s="3">
        <f>1913.8+(149.8-671.6)+(-0.976038+(-0.076398--0.342516))+0-0-0</f>
        <v>1391.29008</v>
      </c>
      <c r="Z282" s="3">
        <f>1797.4+(179.2-629.1)+(-2.750022+(-0.274176--0.962523))+0-0-0</f>
        <v>1345.4383250000001</v>
      </c>
      <c r="AA282" s="3">
        <f>1768.7+(186.5-654.3)+(-5.412222+(-0.57069--2.002158))+0-0-0</f>
        <v>1296.9192460000002</v>
      </c>
      <c r="AB282" s="3">
        <f>1784.5+(216-749.8)+(-0.910095+(-0.11016--0.382398))+0-0-0</f>
        <v>1250.0621430000001</v>
      </c>
      <c r="AC282" s="3">
        <f>1700.6+(230.4-771.7)+(-3.469224+(-0.470016--1.574268))+0-0-0</f>
        <v>1156.9350279999996</v>
      </c>
      <c r="AD282" s="2">
        <v>1415.0000000000002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1319.6+(352.4-625.5)+(-2.018988+(-0.539172--0.957015))+0-0-0</f>
        <v>1044.8988549999999</v>
      </c>
      <c r="G283" s="3">
        <f>1157.9+(386.2-556.5)+(-1.771587+(-0.590886--0.851445))+0-0-0</f>
        <v>986.08897200000013</v>
      </c>
      <c r="H283" s="3">
        <f>1226.7+(253.6-521.1)+(-2.502468+(-0.517344--1.063044))+0-0-0</f>
        <v>957.24323200000003</v>
      </c>
      <c r="I283" s="3">
        <f>1252.3+(171.9-486.8)+(-0.638673+(-0.087669--0.248268))+0-0-0</f>
        <v>936.92192599999998</v>
      </c>
      <c r="J283" s="3">
        <f>1252.5+(170.3-483.4)+(-1.27755+(-0.173706--0.493068))+0-0-0</f>
        <v>938.44181200000014</v>
      </c>
      <c r="K283" s="3">
        <f>1244.1+(224.8-521.4)+(1.268982+(0.229296-0.531828))+0-0-0</f>
        <v>948.46645000000001</v>
      </c>
      <c r="L283" s="3">
        <f>1445.3+(211.3-672)+(-2.211309+(-0.323289--1.02816))+0-0-0</f>
        <v>983.09356199999991</v>
      </c>
      <c r="M283" s="3">
        <f>1605.5+(233.4-827)+(0+(0-0))+0-0-0</f>
        <v>1011.9</v>
      </c>
      <c r="N283" s="3">
        <f>1774.3+(228.7-891)+(1.809786+(0.233274-0.90882))+0-0-0</f>
        <v>1113.1342400000001</v>
      </c>
      <c r="O283" s="3">
        <f>1767.5+(251.6-849.8)+(-2.704275+(-0.384948--1.300194))+0-0-0</f>
        <v>1167.5109710000002</v>
      </c>
      <c r="P283" s="3">
        <f>1819.1+(303.3-926.3)+(-1.855482+(-0.309366--0.944826))+0-0-0</f>
        <v>1194.8799779999999</v>
      </c>
      <c r="Q283" s="3">
        <f>1846.3+(313.6-963.4)+(1.883226+(0.319872-0.982668))+0-0-0</f>
        <v>1197.7204300000001</v>
      </c>
      <c r="R283" s="3">
        <f>1792.4+(298.2-918.2)+(-6.398868+(-1.064574--3.277974))+0-0-0</f>
        <v>1168.2145320000002</v>
      </c>
      <c r="S283" s="3">
        <f>1828.5+(296.1-990.7)+(0+(0-0))+0-0-0</f>
        <v>1133.9000000000001</v>
      </c>
      <c r="T283" s="3">
        <f>1814.7+(299.2-1011.8)+(-2.776491+(-0.457776--1.548054))+0-0-0</f>
        <v>1100.4137870000002</v>
      </c>
      <c r="U283" s="3">
        <f>1814.7+(288.2-1015.9)+(-1.850994+(-0.293964--1.036218))+0-0-0</f>
        <v>1085.8912600000001</v>
      </c>
      <c r="V283" s="3">
        <f>1835.7+(168.3-857.4)+(-0.936207+(-0.085833--0.437274))+0-0-0</f>
        <v>1146.0152340000002</v>
      </c>
      <c r="W283" s="3">
        <f>1882.7+(234-772.2)+(2.880531+(0.35802-1.181466))+0-0-0</f>
        <v>1346.5570849999999</v>
      </c>
      <c r="X283" s="3">
        <f>1879.9+(212.5-725.7)+(-2.876247+(-0.325125--1.110321))+0-0-0</f>
        <v>1364.6089489999999</v>
      </c>
      <c r="Y283" s="3">
        <f>1885.7+(204.4-743.9)+(0+(0-0))+0-0-0</f>
        <v>1346.2</v>
      </c>
      <c r="Z283" s="3">
        <f>1866.8+(245.5-801.3)+(-3.808272+(-0.50082--1.634652))+0-0-0</f>
        <v>1308.32556</v>
      </c>
      <c r="AA283" s="3">
        <f>1829.8+(246.4-810.1)+(-1.866396+(-0.251328--0.826302))+0-0-0</f>
        <v>1264.8085779999999</v>
      </c>
      <c r="AB283" s="3">
        <f>1811.1+(268.9-865.9)+(-2.770983+(-0.411417--1.324827))+0-0-0</f>
        <v>1212.2424269999999</v>
      </c>
      <c r="AC283" s="3">
        <f>1799.4+(252.2-916.9)+(0.917694+(0.128622-0.467619))+0-0-0</f>
        <v>1135.278697</v>
      </c>
      <c r="AD283" s="2">
        <v>1367.8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1468.2+(268.4-718)+(-2.246346+(-0.410652--1.09854))+0-0-0</f>
        <v>1017.041542</v>
      </c>
      <c r="G284" s="3">
        <f>1354.7+(265.3-662.3)+(-1.381794+(-0.270606--0.675546))+0-0-0</f>
        <v>956.72314600000004</v>
      </c>
      <c r="H284" s="3">
        <f>1296.8+(284.9-651.1)+(-0.661368+(-0.145299--0.332061))+0-0-0</f>
        <v>930.12539399999991</v>
      </c>
      <c r="I284" s="3">
        <f>1277+(254.1-626.2)+(-4.55889+(-0.907137--2.235534))+0-0-0</f>
        <v>901.66950699999995</v>
      </c>
      <c r="J284" s="3">
        <f>1305.1+(193.9-609.1)+(0.665601+(0.098889-0.310641))+0-0-0</f>
        <v>890.35384899999985</v>
      </c>
      <c r="K284" s="3">
        <f>1293.9+(172.1-571.7)+(-1.979667+(-0.263313--0.874701))+0-0-0</f>
        <v>892.93172100000004</v>
      </c>
      <c r="L284" s="3">
        <f>1289.7+(198.9-594.1)+(-3.288735+(-0.507195--1.514955))+0-0-0</f>
        <v>892.21902499999999</v>
      </c>
      <c r="M284" s="3">
        <f>1216.9+(150.4-533.6)+(0+(0-0))+0-0-0</f>
        <v>833.7</v>
      </c>
      <c r="N284" s="3">
        <f>1208.3+(198.7-556.9)+(0.616233+(0.101337-0.284019))+0-0-0</f>
        <v>850.53355099999987</v>
      </c>
      <c r="O284" s="3">
        <f>1232.9+(346.5-658.8)+(0.628779+(0.176715-0.335988))+0-0-0</f>
        <v>921.06950600000016</v>
      </c>
      <c r="P284" s="3">
        <f>1408.2+(375-803.5)+(-1.436364+(-0.3825--0.81957))+0-0-0</f>
        <v>978.70070600000008</v>
      </c>
      <c r="Q284" s="3">
        <f>1328.6+(278.2-625.1)+(0+(0-0))+0-0-0</f>
        <v>981.69999999999982</v>
      </c>
      <c r="R284" s="3">
        <f>1301.5+(302.9-621.7)+(-2.65506+(-0.617916--1.268268))+0-0-0</f>
        <v>980.69529199999988</v>
      </c>
      <c r="S284" s="3">
        <f>1314+(180.2-544.9)+(-1.34028+(-0.183804--0.555798))+0-0-0</f>
        <v>948.33171399999992</v>
      </c>
      <c r="T284" s="3">
        <f>1303.3+(208.3-582.9)+(-2.658732+(-0.424932--1.189116))+0-0-0</f>
        <v>926.80545200000006</v>
      </c>
      <c r="U284" s="3">
        <f>1319.5+(323.8-713.4)+(0.672945+(0.165138-0.363834))+0-0-0</f>
        <v>930.37424900000008</v>
      </c>
      <c r="V284" s="3">
        <f>1365.5+(274.6-651.9)+(-2.089215+(-0.420138--0.997407))+0-0-0</f>
        <v>986.68805400000008</v>
      </c>
      <c r="W284" s="3">
        <f>1419.2+(160-377.5)+(1.447584+(0.1632-0.38505))+0-0-0</f>
        <v>1202.9257340000001</v>
      </c>
      <c r="X284" s="3">
        <f>1407.3+(164.7-335.7)+(-1.435446+(-0.167994--0.342414))+0-0-0</f>
        <v>1235.0389740000001</v>
      </c>
      <c r="Y284" s="3">
        <f>1425.6+(154.5-355.9)+(2.181168+(0.236385-0.544527))+0-0-0</f>
        <v>1226.0730259999998</v>
      </c>
      <c r="Z284" s="3">
        <f>1422.2+(156.6-373.3)+(2.175966+(0.239598-0.571149))+0-0-0</f>
        <v>1207.344415</v>
      </c>
      <c r="AA284" s="3">
        <f>1417.9+(175.8-412.8)+(1.446258+(0.179316-0.421056))+0-0-0</f>
        <v>1182.1045180000001</v>
      </c>
      <c r="AB284" s="3">
        <f>1396.3+(227.6-497.1)+(-2.848452+(-0.464304--1.014084))+0-0-0</f>
        <v>1124.5013280000001</v>
      </c>
      <c r="AC284" s="3">
        <f>1378.7+(273.9-612.5)+(-4.218822+(-0.838134--1.87425))+0-0-0</f>
        <v>1036.9172939999999</v>
      </c>
      <c r="AD284" s="2">
        <v>1227.0999999999999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1303+(217.1-581)+(0+(0-0))+0-0-0</f>
        <v>939.1</v>
      </c>
      <c r="G285" s="3">
        <f>1120.7+(211.8-446.8)+(0+(0-0))+0-0-0</f>
        <v>885.7</v>
      </c>
      <c r="H285" s="3">
        <f>1095.6+(206.8-430.8)+(-0.558756+(-0.105468--0.219708))+0-0-0</f>
        <v>871.15548399999989</v>
      </c>
      <c r="I285" s="3">
        <f>1114.1+(188.5-449)+(1.704573+(0.288405-0.68697))+0-0-0</f>
        <v>854.90600799999993</v>
      </c>
      <c r="J285" s="3">
        <f>1115.9+(198.1-454.7)+(2.276436+(0.404124-0.927588))+0-0-0</f>
        <v>861.05297200000007</v>
      </c>
      <c r="K285" s="3">
        <f>1161.3+(181.3-468.5)+(2.961315+(0.462315-1.194675))+0-0-0</f>
        <v>876.32895499999995</v>
      </c>
      <c r="L285" s="3">
        <f>1385.7+(149.6-597.8)+(-0.706707+(-0.076296--0.304878))+0-0-0</f>
        <v>937.02187500000014</v>
      </c>
      <c r="M285" s="3">
        <f>1399.7+(161.2-573.4)+(1.427694+(0.164424-0.584868))+0-0-0</f>
        <v>988.50725</v>
      </c>
      <c r="N285" s="3">
        <f>1405.4+(204.2-543.5)+(2.867016+(0.416568-1.10874))+0-0-0</f>
        <v>1068.274844</v>
      </c>
      <c r="O285" s="3">
        <f>1391.4+(234-506.6)+(0.709614+(0.11934-0.258366))+0-0-0</f>
        <v>1119.3705880000002</v>
      </c>
      <c r="P285" s="3">
        <f>1396.1+(248.4-508)+(1.424022+(0.253368-0.51816))+0-0-0</f>
        <v>1137.65923</v>
      </c>
      <c r="Q285" s="3">
        <f>1442.7+(244.3-541.6)+(-2.943108+(-0.498372--1.104864))+0-0-0</f>
        <v>1143.063384</v>
      </c>
      <c r="R285" s="3">
        <f>1445.7+(238.7-556.2)+(-2.211921+(-0.365211--0.850986))+0-0-0</f>
        <v>1126.4738540000001</v>
      </c>
      <c r="S285" s="3">
        <f>1443.7+(221.7-561.2)+(1.472574+(0.226134-0.572424))+0-0-0</f>
        <v>1105.326284</v>
      </c>
      <c r="T285" s="3">
        <f>1431.2+(242.2-590.1)+(0+(0-0))+0-0-0</f>
        <v>1083.3</v>
      </c>
      <c r="U285" s="3">
        <f>1225.2+(268.8-428.7)+(0+(0-0))+0-0-0</f>
        <v>1065.3000000000002</v>
      </c>
      <c r="V285" s="3">
        <f>1335.6+(230.1-443.2)+(0.681156+(0.117351-0.226032))+0-0-0</f>
        <v>1123.0724749999999</v>
      </c>
      <c r="W285" s="3">
        <f>1417.3+(219.3-316.2)+(1.445646+(0.223686-0.322524))+0-0-0</f>
        <v>1321.7468080000001</v>
      </c>
      <c r="X285" s="3">
        <f>1409.8+(224.7-287.8)+(-0.718998+(-0.114597--0.146778))+0-0-0</f>
        <v>1346.0131829999998</v>
      </c>
      <c r="Y285" s="3">
        <f>1388.1+(213.1-284.5)+(-4.247586+(-0.652086--0.87057))+0-0-0</f>
        <v>1312.6708979999999</v>
      </c>
      <c r="Z285" s="3">
        <f>1413.2+(191.7-330.2)+(-1.441464+(-0.195534--0.336804))+0-0-0</f>
        <v>1273.3998060000001</v>
      </c>
      <c r="AA285" s="3">
        <f>1407.9+(191.3-368.3)+(-1.436058+(-0.195126--0.375666))+0-0-0</f>
        <v>1229.6444820000002</v>
      </c>
      <c r="AB285" s="3">
        <f>1412.8+(189.8-432.9)+(-1.441056+(-0.193596--0.441558))+0-0-0</f>
        <v>1168.5069060000001</v>
      </c>
      <c r="AC285" s="3">
        <f>1397.7+(185.7-505.8)+(-4.276962+(-0.568242--1.547748))+0-0-0</f>
        <v>1074.3025439999999</v>
      </c>
      <c r="AD285" s="2">
        <v>1378.8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1288.1+(193.5-497.6)+(1.970793+(0.296055-0.761328))+0-0-0</f>
        <v>985.50551999999993</v>
      </c>
      <c r="G286" s="3">
        <f>1290.6+(188.5-547.5)+(3.29103+(0.480675-1.396125))+0-0-0</f>
        <v>933.97557999999992</v>
      </c>
      <c r="H286" s="3">
        <f>1286.5+(170.2-552)+(2.62446+(0.347208-1.12608))+0-0-0</f>
        <v>906.54558800000007</v>
      </c>
      <c r="I286" s="3">
        <f>1383.6+(164-646.9)+(3.52818+(0.4182-1.649595))+0-0-0</f>
        <v>902.99678499999993</v>
      </c>
      <c r="J286" s="3">
        <f>1360+(175.9-637)+(0+(0-0))+0-0-0</f>
        <v>898.9</v>
      </c>
      <c r="K286" s="3">
        <f>1369.5+(172.3-627.5)+(1.39689+(0.175746-0.64005))+0-0-0</f>
        <v>915.23258599999997</v>
      </c>
      <c r="L286" s="3">
        <f>1358.6+(171.8-569.3)+(-0.692886+(-0.087618--0.290343))+0-0-0</f>
        <v>960.60983899999997</v>
      </c>
      <c r="M286" s="3">
        <f>1364.6+(183.4-550.5)+(0.695946+(0.093534-0.280755))+0-0-0</f>
        <v>998.00872499999991</v>
      </c>
      <c r="N286" s="3">
        <f>1347.1+(250.9-523.5)+(-2.061063+(-0.383877--0.800955))+0-0-0</f>
        <v>1072.8560150000001</v>
      </c>
      <c r="O286" s="3">
        <f>1339.4+(234.4-459.2)+(-3.41547+(-0.59772--1.17096))+0-0-0</f>
        <v>1111.7577700000002</v>
      </c>
      <c r="P286" s="3">
        <f>1338.8+(226-437.4)+(-2.731152+(-0.46104--0.892296))+0-0-0</f>
        <v>1125.1001040000001</v>
      </c>
      <c r="Q286" s="3">
        <f>1332.1+(223.8-431.5)+(-3.396855+(-0.57069--1.100325))+0-0-0</f>
        <v>1121.5327799999998</v>
      </c>
      <c r="R286" s="3">
        <f>1340.3+(190.6-438.5)+(-2.050659+(-0.291618--0.670905))+0-0-0</f>
        <v>1090.7286279999998</v>
      </c>
      <c r="S286" s="3">
        <f>1298.3+(183.3-410.9)+(0+(0-0))+0-0-0</f>
        <v>1070.7</v>
      </c>
      <c r="T286" s="3">
        <f>1264+(208.7-414.6)+(0.64464+(0.106437-0.211446))+0-0-0</f>
        <v>1058.639631</v>
      </c>
      <c r="U286" s="3">
        <f>1281.6+(221.3-438.3)+(1.307232+(0.225726-0.447066))+0-0-0</f>
        <v>1065.685892</v>
      </c>
      <c r="V286" s="3">
        <f>1390.1+(190.8-462.5)+(1.417902+(0.194616-0.47175))+0-0-0</f>
        <v>1119.5407679999998</v>
      </c>
      <c r="W286" s="3">
        <f>1420.8+(196.6-324.5)+(1.449216+(0.200532-0.33099))+0-0-0</f>
        <v>1294.2187579999998</v>
      </c>
      <c r="X286" s="3">
        <f>1415.8+(205.8-299.5)+(-2.166174+(-0.314874--0.458235))+0-0-0</f>
        <v>1320.0771869999999</v>
      </c>
      <c r="Y286" s="3">
        <f>1420.1+(212.5-330)+(-0.724251+(-0.108375--0.1683))+0-0-0</f>
        <v>1301.9356739999998</v>
      </c>
      <c r="Z286" s="3">
        <f>1413.5+(209.6-361.8)+(-1.44177+(-0.213792--0.369036))+0-0-0</f>
        <v>1260.0134739999999</v>
      </c>
      <c r="AA286" s="3">
        <f>1416.4+(188.2-390.3)+(-0.722364+(-0.095982--0.199053))+0-0-0</f>
        <v>1213.6807070000002</v>
      </c>
      <c r="AB286" s="3">
        <f>1404.8+(184.7-436.6)+(-0.716448+(-0.094197--0.222666))+0-0-0</f>
        <v>1152.312021</v>
      </c>
      <c r="AC286" s="3">
        <f>1413.2+(187.3-541.1)+(-1.441464+(-0.191046--0.551922))+0-0-0</f>
        <v>1058.3194120000001</v>
      </c>
      <c r="AD286" s="2">
        <v>1357.9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1419.3+(219.6-642.7)+(0+(0-0))+0-0-0</f>
        <v>996.19999999999993</v>
      </c>
      <c r="G287" s="3">
        <f>1393.5+(193.2-645.1)+(2.132055+(0.295596-0.987003))+0-0-0</f>
        <v>943.04064799999992</v>
      </c>
      <c r="H287" s="3">
        <f>1304.5+(241.4-625)+(2.66118+(0.492456-1.275))+0-0-0</f>
        <v>922.77863600000001</v>
      </c>
      <c r="I287" s="3">
        <f>1243.7+(266.9-599.4)+(0+(0-0))+0-0-0</f>
        <v>911.2</v>
      </c>
      <c r="J287" s="3">
        <f>1238+(243.6-575.3)+(-1.26276+(-0.248472--0.586806))+0-0-0</f>
        <v>905.37557400000003</v>
      </c>
      <c r="K287" s="3">
        <f>1318.8+(172.3-568.1)+(1.345176+(0.175746-0.579462))+0-0-0</f>
        <v>923.94146000000001</v>
      </c>
      <c r="L287" s="3">
        <f>1336.4+(169.7-529.3)+(-3.40782+(-0.432735--1.349715))+0-0-0</f>
        <v>974.30916000000013</v>
      </c>
      <c r="M287" s="3">
        <f>1361.5+(174.4-497)+(-1.38873+(-0.177888--0.50694))+0-0-0</f>
        <v>1037.840322</v>
      </c>
      <c r="N287" s="3">
        <f>1364.2+(168.1-408.1)+(-1.391484+(-0.171462--0.416262))+0-0-0</f>
        <v>1123.053316</v>
      </c>
      <c r="O287" s="3">
        <f>1388.8+(198-397.5)+(2.833152+(0.40392-0.8109))+0-0-0</f>
        <v>1191.7261719999999</v>
      </c>
      <c r="P287" s="3">
        <f>1395.8+(225.9-386.4)+(0.711858+(0.115209-0.197064))+0-0-0</f>
        <v>1235.9300029999999</v>
      </c>
      <c r="Q287" s="3">
        <f>1401.5+(260.8-392)+(-3.573825+(-0.66504--0.9996))+0-0-0</f>
        <v>1267.060735</v>
      </c>
      <c r="R287" s="3">
        <f>1405.7+(272.4-421)+(-2.867628+(-0.555696--0.85884))+0-0-0</f>
        <v>1254.5355159999999</v>
      </c>
      <c r="S287" s="3">
        <f>1420.5+(272.3-463.1)+(0.724455+(0.138873-0.236181))+0-0-0</f>
        <v>1230.327147</v>
      </c>
      <c r="T287" s="3">
        <f>1414.6+(255.6-477)+(0+(0-0))+0-0-0</f>
        <v>1193.1999999999998</v>
      </c>
      <c r="U287" s="3">
        <f>1402.2+(214-434.4)+(-2.860488+(-0.43656--0.886176))+0-0-0</f>
        <v>1179.3891280000003</v>
      </c>
      <c r="V287" s="3">
        <f>1425.1+(192.8-376.1)+(1.453602+(0.196656-0.383622))+0-0-0</f>
        <v>1243.066636</v>
      </c>
      <c r="W287" s="3">
        <f>1427.4+(281-332.6)+(2.183922+(0.42993-0.508878))+0-0-0</f>
        <v>1377.9049740000003</v>
      </c>
      <c r="X287" s="3">
        <f>1398.5+(291.4-307.8)+(-2.85294+(-0.594456--0.627912))+0-0-0</f>
        <v>1379.2805159999998</v>
      </c>
      <c r="Y287" s="3">
        <f>1423+(257.3-338.1)+(1.45146+(0.262446-0.344862))+0-0-0</f>
        <v>1343.5690440000001</v>
      </c>
      <c r="Z287" s="3">
        <f>1415.8+(278.2-399.3)+(0+(0-0))+0-0-0</f>
        <v>1294.6999999999998</v>
      </c>
      <c r="AA287" s="3">
        <f>1410.2+(290.9-452.8)+(-1.438404+(-0.296718--0.461856))+0-0-0</f>
        <v>1247.026734</v>
      </c>
      <c r="AB287" s="3">
        <f>1406+(283.4-504.7)+(-1.43412+(-0.289068--0.514794))+0-0-0</f>
        <v>1183.491606</v>
      </c>
      <c r="AC287" s="3">
        <f>1397.3+(256.8-554.8)+(-2.137869+(-0.392904--0.848844))+0-0-0</f>
        <v>1097.6180709999999</v>
      </c>
      <c r="AD287" s="2">
        <v>1398.8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1159.4+(254.9-433.7)+(-0.591294+(-0.129999--0.221187))+0-0-0</f>
        <v>980.09989400000018</v>
      </c>
      <c r="G288" s="3">
        <f>1078.5+(268-422.8)+(-2.20014+(-0.54672--0.862512))+0-0-0</f>
        <v>921.815652</v>
      </c>
      <c r="H288" s="3">
        <f>1035.9+(278.7-429.1)+(0+(0-0))+0-0-0</f>
        <v>885.5</v>
      </c>
      <c r="I288" s="3">
        <f>884.4+(319.7-332.2)+(-0.451044+(-0.163047--0.169422))+0-0-0</f>
        <v>871.455331</v>
      </c>
      <c r="J288" s="3">
        <f>881+(314.2-321.8)+(-0.44931+(-0.160242--0.164118))+0-0-0</f>
        <v>872.954566</v>
      </c>
      <c r="K288" s="3">
        <f>880.5+(331.6-319.9)+(-1.347165+(-0.507348--0.489447))+0-0-0</f>
        <v>890.83493400000009</v>
      </c>
      <c r="L288" s="3">
        <f>880.5+(331.6-319.9)+(-1.347165+(-0.507348--0.489447))+0-0-0</f>
        <v>890.83493400000009</v>
      </c>
      <c r="M288" s="3">
        <f>1144.7+(281.2-479.7)+(-0.583797+(-0.143412--0.244647))+0-0-0</f>
        <v>945.71743800000002</v>
      </c>
      <c r="N288" s="3">
        <f>1361+(247.8-617.8)+(0+(0-0))+0-0-0</f>
        <v>991</v>
      </c>
      <c r="O288" s="3">
        <f>1360.2+(276-502.4)+(-1.387404+(-0.28152--0.512448))+0-0-0</f>
        <v>1132.6435240000001</v>
      </c>
      <c r="P288" s="3">
        <f>1356.7+(291.2-493)+(-1.383834+(-0.297024--0.50286))+0-0-0</f>
        <v>1153.7220020000002</v>
      </c>
      <c r="Q288" s="3">
        <f>1388.5+(283.2-502.4)+(3.540675+(0.72216-1.28112))+0-0-0</f>
        <v>1172.2817149999998</v>
      </c>
      <c r="R288" s="3">
        <f>1324+(255.7-451.3)+(-4.72668+(-0.912849--1.611141))+0-0-0</f>
        <v>1124.3716120000001</v>
      </c>
      <c r="S288" s="3">
        <f>1327.6+(264-494.8)+(-2.708304+(-0.53856--1.009392))+0-0-0</f>
        <v>1094.5625279999999</v>
      </c>
      <c r="T288" s="3">
        <f>1357.3+(282.2-559.1)+(0.692223+(0.143922-0.285141))+0-0-0</f>
        <v>1080.9510039999998</v>
      </c>
      <c r="U288" s="3">
        <f>1360.1+(248.9-533)+(-0.693651+(-0.126939--0.27183))+0-0-0</f>
        <v>1075.4512400000001</v>
      </c>
      <c r="V288" s="3">
        <f>1366.8+(167.4-398.4)+(0+(0-0))+0-0-0</f>
        <v>1135.8</v>
      </c>
      <c r="W288" s="3">
        <f>1398.4+(213.8-292.2)+(2.139552+(0.327114-0.447066))+0-0-0</f>
        <v>1322.0196000000001</v>
      </c>
      <c r="X288" s="3">
        <f>1450.7+(206.7-301.4)+(-2.959428+(-0.421668--0.614856))+0-0-0</f>
        <v>1353.2337600000001</v>
      </c>
      <c r="Y288" s="3">
        <f>1453.1+(211.7-326.4)+(-1.482162+(-0.215934--0.332928))+0-0-0</f>
        <v>1337.0348319999998</v>
      </c>
      <c r="Z288" s="3">
        <f>1448.5+(235.8-382.5)+(-1.47747+(-0.240516--0.39015))+0-0-0</f>
        <v>1300.472164</v>
      </c>
      <c r="AA288" s="3">
        <f>1448.9+(237.4-429.4)+(0+(0-0))+0-0-0</f>
        <v>1256.9000000000001</v>
      </c>
      <c r="AB288" s="3">
        <f>1439.3+(230.4-465.6)+(-2.202129+(-0.352512--0.712368))+0-0-0</f>
        <v>1202.2577269999999</v>
      </c>
      <c r="AC288" s="3">
        <f>1402.8+(263-556.9)+(-0.715428+(-0.13413--0.284019))+0-0-0</f>
        <v>1108.3344610000001</v>
      </c>
      <c r="AD288" s="2">
        <v>1381.5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1280.2+(271.4-520.4)+(-1.958706+(-0.415242--0.796212))+0-0-0</f>
        <v>1029.6222640000001</v>
      </c>
      <c r="G289" s="3">
        <f>1224.5+(290.6-545.2)+(0+(0-0))+0-0-0</f>
        <v>969.9</v>
      </c>
      <c r="H289" s="3">
        <f>1094+(260.6-407.9)+(0.55794+(0.132906-0.208029))+0-0-0</f>
        <v>947.182817</v>
      </c>
      <c r="I289" s="3">
        <f>1087.4+(264-415.5)+(1.109148+(0.26928-0.42381))+0-0-0</f>
        <v>936.85461800000007</v>
      </c>
      <c r="J289" s="3">
        <f>1095.5+(292.5-455.2)+(2.23482+(0.5967-0.928608))+0-0-0</f>
        <v>934.70291199999997</v>
      </c>
      <c r="K289" s="3">
        <f>1112.1+(285.9-450.7)+(1.134342+(0.291618-0.459714))+0-0-0</f>
        <v>948.26624599999991</v>
      </c>
      <c r="L289" s="3">
        <f>1277.2+(245.5-512.3)+(0+(0-0))+0-0-0</f>
        <v>1010.4000000000001</v>
      </c>
      <c r="M289" s="3">
        <f>1396.1+(225-569.4)+(-1.424022+(-0.2295--0.580788))+0-0-0</f>
        <v>1050.6272659999997</v>
      </c>
      <c r="N289" s="3">
        <f>1409.7+(226-505.6)+(1.437894+(0.23052-0.515712))+0-0-0</f>
        <v>1131.252702</v>
      </c>
      <c r="O289" s="3">
        <f>1400.7+(226.9-452.4)+(-0.714357+(-0.115719--0.230724))+0-0-0</f>
        <v>1174.6006480000001</v>
      </c>
      <c r="P289" s="3">
        <f>1393+(236.1-450.4)+(-1.42086+(-0.240822--0.459408))+0-0-0</f>
        <v>1177.4977260000001</v>
      </c>
      <c r="Q289" s="3">
        <f>1411.3+(254.4-451.7)+(-0.719763+(-0.129744--0.230367))+0-0-0</f>
        <v>1213.38086</v>
      </c>
      <c r="R289" s="3">
        <f>1415.5+(251.2-471.8)+(0+(0-0))+0-0-0</f>
        <v>1194.9000000000001</v>
      </c>
      <c r="S289" s="3">
        <f>1408.3+(260.7-483.5)+(-1.436466+(-0.265914--0.49317))+0-0-0</f>
        <v>1184.29079</v>
      </c>
      <c r="T289" s="3">
        <f>1407.6+(253.9-508.3)+(-0.717876+(-0.129489--0.259233))+0-0-0</f>
        <v>1152.6118679999997</v>
      </c>
      <c r="U289" s="3">
        <f>1415.2+(258.1-511.4)+(0.721752+(0.131631-0.260814))+0-0-0</f>
        <v>1162.492569</v>
      </c>
      <c r="V289" s="3">
        <f>1381.8+(226.7-393.2)+(-4.228308+(-0.693702--1.203192))+0-0-0</f>
        <v>1211.5811819999999</v>
      </c>
      <c r="W289" s="3">
        <f>1420+(255.9-317.8)+(1.4484+(0.261018-0.324156))+0-0-0</f>
        <v>1359.4852619999999</v>
      </c>
      <c r="X289" s="3">
        <f>1412.7+(269.4-313.1)+(-2.161431+(-0.412182--0.479043))+0-0-0</f>
        <v>1366.90543</v>
      </c>
      <c r="Y289" s="3">
        <f>1402.5+(276.8-335.9)+(-2.8611+(-0.564672--0.685236))+0-0-0</f>
        <v>1340.6594640000001</v>
      </c>
      <c r="Z289" s="3">
        <f>1409.9+(262.8-381.7)+(-2.157147+(-0.402084--0.584001))+0-0-0</f>
        <v>1289.02477</v>
      </c>
      <c r="AA289" s="3">
        <f>1410.1+(258.9-408.8)+(-2.157453+(-0.396117--0.625464))+0-0-0</f>
        <v>1258.2718939999997</v>
      </c>
      <c r="AB289" s="3">
        <f>1402+(267.2-456.6)+(0+(0-0))+0-0-0</f>
        <v>1212.5999999999999</v>
      </c>
      <c r="AC289" s="3">
        <f>1383.6+(258.2-516.4)+(-2.822544+(-0.526728--1.053456))+0-0-0</f>
        <v>1123.1041839999998</v>
      </c>
      <c r="AD289" s="2">
        <v>1368.9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1403.2+(258.7-621.9)+(0+(0-0))+0-0-0</f>
        <v>1040</v>
      </c>
      <c r="G290" s="3">
        <f>1413.8+(260-687.7)+(2.163114+(0.3978-1.052181))+0-0-0</f>
        <v>987.60873299999992</v>
      </c>
      <c r="H290" s="3">
        <f>1403.7+(264-709.1)+(0.715887+(0.13464-0.361641))+0-0-0</f>
        <v>959.088886</v>
      </c>
      <c r="I290" s="3">
        <f>1252.5+(282.9-602.2)+(1.916325+(0.432837-0.921366))+0-0-0</f>
        <v>934.62779599999988</v>
      </c>
      <c r="J290" s="3">
        <f>1245.3+(240.2-559.8)+(1.270206+(0.245004-0.570996))+0-0-0</f>
        <v>926.64421400000003</v>
      </c>
      <c r="K290" s="3">
        <f>1267.4+(190.9-525.7)+(1.292748+(0.194718-0.536214))+0-0-0</f>
        <v>933.55125199999998</v>
      </c>
      <c r="L290" s="3">
        <f>1275.1+(138.4-478.1)+(-5.202408+(-0.564672--1.950648))+0-0-0</f>
        <v>931.5835679999999</v>
      </c>
      <c r="M290" s="3">
        <f>1259.7+(127.3-475.6)+(3.854682+(0.389538-1.455336))+0-0-0</f>
        <v>914.18888400000014</v>
      </c>
      <c r="N290" s="3">
        <f>1258.9+(158.2-476.9)+(2.568156+(0.322728-0.972876))+0-0-0</f>
        <v>942.11800800000003</v>
      </c>
      <c r="O290" s="3">
        <f>1249.6+(179-438.3)+(1.911888+(0.27387-0.670599))+0-0-0</f>
        <v>991.81515899999999</v>
      </c>
      <c r="P290" s="3">
        <f>1219.2+(217.8-420.3)+(-2.487168+(-0.444312--0.857412))+0-0-0</f>
        <v>1014.625932</v>
      </c>
      <c r="Q290" s="3">
        <f>1224.8+(221.1-424.7)+(-1.873944+(-0.338283--0.649791))+0-0-0</f>
        <v>1019.6375639999999</v>
      </c>
      <c r="R290" s="3">
        <f>1233.8+(209.1-437.3)+(-1.258476+(-0.213282--0.446046))+0-0-0</f>
        <v>1004.5742879999999</v>
      </c>
      <c r="S290" s="3">
        <f>1235.8+(234.4-488)+(-0.630258+(-0.119544--0.24888))+0-0-0</f>
        <v>981.69907799999999</v>
      </c>
      <c r="T290" s="3">
        <f>1238.5+(215.7-484.6)+(-0.631635+(-0.110007--0.247146))+0-0-0</f>
        <v>969.10550399999988</v>
      </c>
      <c r="U290" s="3">
        <f>1218.7+(177.3-428.9)+(-2.486148+(-0.361692--0.874956))+0-0-0</f>
        <v>965.12711600000011</v>
      </c>
      <c r="V290" s="3">
        <f>1327+(190.9-487.6)+(0.67677+(0.097359-0.248676))+0-0-0</f>
        <v>1030.8254529999999</v>
      </c>
      <c r="W290" s="3">
        <f>1411.3+(257.6-440.5)+(-0.719763+(-0.131376--0.224655))+0-0-0</f>
        <v>1227.7735160000002</v>
      </c>
      <c r="X290" s="3">
        <f>1410.7+(248.2-401.5)+(-0.719457+(-0.126582--0.204765))+0-0-0</f>
        <v>1256.758726</v>
      </c>
      <c r="Y290" s="3">
        <f>1409.4+(237.3-397.6)+(-0.718794+(-0.121023--0.202776))+0-0-0</f>
        <v>1248.4629590000002</v>
      </c>
      <c r="Z290" s="3">
        <f>1412.2+(216.4-422.9)+(-0.720222+(-0.110364--0.215679))+0-0-0</f>
        <v>1205.0850930000001</v>
      </c>
      <c r="AA290" s="3">
        <f>1428.8+(211.3-464.3)+(2.186064+(0.323289-0.710379))+0-0-0</f>
        <v>1177.598974</v>
      </c>
      <c r="AB290" s="3">
        <f>1401.5+(210.1-473.4)+(0+(0-0))+0-0-0</f>
        <v>1138.2</v>
      </c>
      <c r="AC290" s="3">
        <f>1341.1+(228.8-508.5)+(-1.367922+(-0.233376--0.51867))+0-0-0</f>
        <v>1060.3173719999998</v>
      </c>
      <c r="AD290" s="2">
        <v>1242.9000000000001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1329.3+(243.7-586.5)+(-2.033829+(-0.372861--0.897345))+0-0-0</f>
        <v>984.99065499999995</v>
      </c>
      <c r="G291" s="3">
        <f>1220.6+(264.4-560.3)+(0+(0-0))+0-0-0</f>
        <v>924.69999999999993</v>
      </c>
      <c r="H291" s="3">
        <f>1232.9+(258.9-599)+(0.628779+(0.132039-0.30549))+0-0-0</f>
        <v>893.25532800000008</v>
      </c>
      <c r="I291" s="3">
        <f>1028.9+(288.5-444.4)+(0.524739+(0.147135-0.226644))+0-0-0</f>
        <v>873.44523000000015</v>
      </c>
      <c r="J291" s="3">
        <f>998+(291.7-423.4)+(-0.50898+(-0.148767--0.215934))+0-0-0</f>
        <v>865.85818699999993</v>
      </c>
      <c r="K291" s="3">
        <f>1011.4+(260.2-399.2)+(1.547442+(0.398106-0.610776))+0-0-0</f>
        <v>873.73477200000002</v>
      </c>
      <c r="L291" s="3">
        <f>1036.4+(179.3-336.6)+(1.585692+(0.274329-0.514998))+0-0-0</f>
        <v>880.44502300000011</v>
      </c>
      <c r="M291" s="3">
        <f>1097.1+(135.1-392.4)+(-0.559521+(-0.068901--0.200124))+0-0-0</f>
        <v>839.37170199999991</v>
      </c>
      <c r="N291" s="3">
        <f>1110.4+(149.2-394.9)+(0.566304+(0.076092-0.201399))+0-0-0</f>
        <v>865.14099700000008</v>
      </c>
      <c r="O291" s="3">
        <f>1116.4+(178.9-382.8)+(0.569364+(0.091239-0.195228))+0-0-0</f>
        <v>912.96537500000011</v>
      </c>
      <c r="P291" s="3">
        <f>1118.9+(177-352.2)+(-0.570639+(-0.09027--0.179622))+0-0-0</f>
        <v>943.21871300000009</v>
      </c>
      <c r="Q291" s="3">
        <f>1244.1+(175.6-459.9)+(-1.903473+(-0.268668--0.703647))+0-0-0</f>
        <v>958.33150599999999</v>
      </c>
      <c r="R291" s="3">
        <f>1246.9+(229.9-523)+(-1.271838+(-0.234498--0.53346))+0-0-0</f>
        <v>952.82712400000003</v>
      </c>
      <c r="S291" s="3">
        <f>1247.7+(236-548.4)+(-1.272654+(-0.24072--0.559368))+0-0-0</f>
        <v>934.34599400000002</v>
      </c>
      <c r="T291" s="3">
        <f>1241.5+(252.6-569.2)+(-2.53266+(-0.515304--1.161168))+0-0-0</f>
        <v>923.01320399999997</v>
      </c>
      <c r="U291" s="3">
        <f>1279.1+(197.6-558.8)+(3.261705+(0.50388-1.42494))+0-0-0</f>
        <v>920.24064499999997</v>
      </c>
      <c r="V291" s="3">
        <f>1307.7+(186.4-512.1)+(0+(0-0))+0-0-0</f>
        <v>982</v>
      </c>
      <c r="W291" s="3">
        <f>1422.2+(222.6-432.2)+(1.450644+(0.227052-0.440844))+0-0-0</f>
        <v>1213.8368520000001</v>
      </c>
      <c r="X291" s="3">
        <f>1403.9+(238.9-377.7)+(-2.147967+(-0.365517--0.577881))+0-0-0</f>
        <v>1263.1643970000002</v>
      </c>
      <c r="Y291" s="3">
        <f>1419.6+(224.9-378.2)+(0.723996+(0.114699-0.192882))+0-0-0</f>
        <v>1266.945813</v>
      </c>
      <c r="Z291" s="3">
        <f>1419+(242.7-421.1)+(0.72369+(0.123777-0.214761))+0-0-0</f>
        <v>1241.232706</v>
      </c>
      <c r="AA291" s="3">
        <f>1388.6+(311-493.5)+(1.416372+(0.31722-0.50337))+0-0-0</f>
        <v>1207.3302219999998</v>
      </c>
      <c r="AB291" s="3">
        <f>1347.3+(272.3-467.7)+(-1.374246+(-0.277746--0.477054))+0-0-0</f>
        <v>1150.725062</v>
      </c>
      <c r="AC291" s="3">
        <f>1339.5+(278.8-557.2)+(-3.415725+(-0.71094--1.42086))+0-0-0</f>
        <v>1058.3941949999999</v>
      </c>
      <c r="AD291" s="2">
        <v>1268.9000000000001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1066.6+(272.5-379.2)+(-1.631898+(-0.416925--0.580176))+0-0-0</f>
        <v>958.43135299999983</v>
      </c>
      <c r="G292" s="3">
        <f>840.1+(305.5-244.5)+(0+(0-0))+0-0-0</f>
        <v>901.1</v>
      </c>
      <c r="H292" s="3">
        <f>716.4+(325-173)+(0.365364+(0.16575-0.08823))+0-0-0</f>
        <v>868.84288400000003</v>
      </c>
      <c r="I292" s="3">
        <f>713.1+(314.8-164.2)+(1.091043+(0.481644-0.251226))+0-0-0</f>
        <v>865.02146100000004</v>
      </c>
      <c r="J292" s="3">
        <f>720.4+(218.1-86.1)+(1.83702+(0.556155-0.219555))+0-0-0</f>
        <v>854.57362000000001</v>
      </c>
      <c r="K292" s="3">
        <f>720+(209.6-83.2)+(0.7344+(0.213792-0.084864))+0-0-0</f>
        <v>847.263328</v>
      </c>
      <c r="L292" s="3">
        <f>1119.8+(107.4-285.1)+(-3.426588+(-0.328644--0.872406))+0-0-0</f>
        <v>939.21717399999989</v>
      </c>
      <c r="M292" s="3">
        <f>1356+(65.3-423.5)+(2.07468+(0.099909-0.647955))+0-0-0</f>
        <v>999.3266339999999</v>
      </c>
      <c r="N292" s="3">
        <f>1413+(123.3-449)+(0+(0-0))+0-0-0</f>
        <v>1087.3</v>
      </c>
      <c r="O292" s="3">
        <f>1393.7+(119.1-377.4)+(-2.843148+(-0.242964--0.769896))+0-0-0</f>
        <v>1133.0837840000002</v>
      </c>
      <c r="P292" s="3">
        <f>1412.9+(207-466.6)+(1.441158+(0.21114-0.475932))+0-0-0</f>
        <v>1154.4763660000001</v>
      </c>
      <c r="Q292" s="3">
        <f>1402.3+(218.2-463.3)+(0+(0-0))+0-0-0</f>
        <v>1157.1999999999998</v>
      </c>
      <c r="R292" s="3">
        <f>1388.7+(205.2-472)+(-2.124711+(-0.313956--0.72216))+0-0-0</f>
        <v>1120.183493</v>
      </c>
      <c r="S292" s="3">
        <f>1397+(247.8-540.9)+(-1.42494+(-0.252756--0.551718))+0-0-0</f>
        <v>1102.7740220000001</v>
      </c>
      <c r="T292" s="3">
        <f>1385.8+(255.5-563.4)+(0.706758+(0.130305-0.287334))+0-0-0</f>
        <v>1078.4497290000002</v>
      </c>
      <c r="U292" s="3">
        <f>1397.8+(263.5-584.1)+(2.138634+(0.403155-0.893673))+0-0-0</f>
        <v>1078.8481159999999</v>
      </c>
      <c r="V292" s="3">
        <f>1400.9+(178.8-457.8)+(0.714459+(0.091188-0.233478))+0-0-0</f>
        <v>1122.4721690000001</v>
      </c>
      <c r="W292" s="3">
        <f>1401.1+(225.2-310.4)+(0+(0-0))+0-0-0</f>
        <v>1315.8999999999999</v>
      </c>
      <c r="X292" s="3">
        <f>1394.3+(242.3-278.3)+(-0.711093+(-0.123573--0.141933))+0-0-0</f>
        <v>1357.6072669999999</v>
      </c>
      <c r="Y292" s="3">
        <f>1381.4+(245.1-292)+(-2.818056+(-0.500004--0.59568))+0-0-0</f>
        <v>1331.7776200000001</v>
      </c>
      <c r="Z292" s="3">
        <f>1395.3+(239.2-340.7)+(-0.711603+(-0.121992--0.173757))+0-0-0</f>
        <v>1293.1401619999999</v>
      </c>
      <c r="AA292" s="3">
        <f>1401.4+(242.5-377.2)+(0+(0-0))+0-0-0</f>
        <v>1266.7</v>
      </c>
      <c r="AB292" s="3">
        <f>1382.5+(210.5-401.6)+(-2.115225+(-0.322065--0.614448))+0-0-0</f>
        <v>1189.5771580000001</v>
      </c>
      <c r="AC292" s="3">
        <f>1377.3+(217.7-498.9)+(-0.702423+(-0.111027--0.254439))+0-0-0</f>
        <v>1095.5409889999999</v>
      </c>
      <c r="AD292" s="2">
        <v>1377.1999999999998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1371.2+(254.8-587.1)+(-1.398624+(-0.259896--0.598842))+0-0-0</f>
        <v>1037.840322</v>
      </c>
      <c r="G293" s="3">
        <f>1344.8+(266.1-631.9)+(0.685848+(0.135711-0.322269))+0-0-0</f>
        <v>979.49928999999997</v>
      </c>
      <c r="H293" s="3">
        <f>1326.1+(256.6-624.1)+(-1.352622+(-0.261732--0.636582))+0-0-0</f>
        <v>957.62222799999995</v>
      </c>
      <c r="I293" s="3">
        <f>1239.9+(269.2-571)+(0.632349+(0.137292-0.29121))+0-0-0</f>
        <v>938.57843100000014</v>
      </c>
      <c r="J293" s="3">
        <f>1183.3+(251.8-497.7)+(2.413932+(0.513672-1.015308))+0-0-0</f>
        <v>939.31229599999995</v>
      </c>
      <c r="K293" s="3">
        <f>1178.8+(208.3-437.4)+(1.202376+(0.212466-0.446148))+0-0-0</f>
        <v>950.66869400000007</v>
      </c>
      <c r="L293" s="3">
        <f>1267.7+(195.3-455.7)+(1.293054+(0.199206-0.464814))+0-0-0</f>
        <v>1008.3274460000001</v>
      </c>
      <c r="M293" s="3">
        <f>1263.6+(212.6-428.3)+(-1.288872+(-0.216852--0.436866))+0-0-0</f>
        <v>1046.8311419999998</v>
      </c>
      <c r="N293" s="3">
        <f>1342.3+(204.1-403.4)+(1.369146+(0.208182-0.411468))+0-0-0</f>
        <v>1144.1658600000001</v>
      </c>
      <c r="O293" s="3">
        <f>1372.2+(193.4-415.9)+(1.399644+(0.197268-0.424218))+0-0-0</f>
        <v>1150.8726940000001</v>
      </c>
      <c r="P293" s="3">
        <f>1367.7+(198-416.4)+(0.697527+(0.10098-0.212364))+0-0-0</f>
        <v>1149.8861430000002</v>
      </c>
      <c r="Q293" s="3">
        <f>1378.3+(209.2-434.7)+(-0.702933+(-0.106692--0.221697))+0-0-0</f>
        <v>1152.212072</v>
      </c>
      <c r="R293" s="3">
        <f>1356.5+(230.1-456)+(-2.76726+(-0.469404--0.93024))+0-0-0</f>
        <v>1128.2935759999998</v>
      </c>
      <c r="S293" s="3">
        <f>1349.2+(248.8-492.8)+(-2.064276+(-0.380664--0.753984))+0-0-0</f>
        <v>1103.5090440000001</v>
      </c>
      <c r="T293" s="3">
        <f>1357.4+(262.7-524.7)+(-4.153644+(-0.803862--1.605582))+0-0-0</f>
        <v>1092.048076</v>
      </c>
      <c r="U293" s="3">
        <f>1378.5+(224.1-515.7)+(2.109105+(0.342873-0.789021))+0-0-0</f>
        <v>1088.5629570000001</v>
      </c>
      <c r="V293" s="3">
        <f>1384.6+(195.8-447.8)+(0+(0-0))+0-0-0</f>
        <v>1132.5999999999999</v>
      </c>
      <c r="W293" s="3">
        <f>1417.2+(212.1-303.5)+(0.722772+(0.108171-0.154785))+0-0-0</f>
        <v>1326.4761579999999</v>
      </c>
      <c r="X293" s="3">
        <f>1392.4+(241.1-264.8)+(-3.55062+(-0.614805--0.67524))+0-0-0</f>
        <v>1365.2098149999999</v>
      </c>
      <c r="Y293" s="3">
        <f>1406.8+(232.1-293.5)+(-1.434936+(-0.236742--0.29937))+0-0-0</f>
        <v>1344.0276919999999</v>
      </c>
      <c r="Z293" s="3">
        <f>1411.3+(238-334.9)+(-0.719763+(-0.12138--0.170799))+0-0-0</f>
        <v>1313.729656</v>
      </c>
      <c r="AA293" s="3">
        <f>1397.6+(222.8-341.5)+(-2.851104+(-0.454512--0.69666))+0-0-0</f>
        <v>1276.2910439999998</v>
      </c>
      <c r="AB293" s="3">
        <f>1402.9+(256.6-435)+(-0.715479+(-0.130866--0.22185))+0-0-0</f>
        <v>1223.875505</v>
      </c>
      <c r="AC293" s="3">
        <f>1390.8+(302.2-562.3)+(-3.54654+(-0.77061--1.433865))+0-0-0</f>
        <v>1127.8167150000002</v>
      </c>
      <c r="AD293" s="2">
        <v>1375.8000000000002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1347.9+(261.8-592.6)+(-3.437145+(-0.66759--1.51113))+0-0-0</f>
        <v>1014.5063950000001</v>
      </c>
      <c r="G294" s="3">
        <f>1299.7+(267.5-598.8)+(-3.314235+(-0.682125--1.52694))+0-0-0</f>
        <v>965.93058000000008</v>
      </c>
      <c r="H294" s="3">
        <f>1328.9+(228.5-605.5)+(1.355478+(0.23307-0.61761))+0-0-0</f>
        <v>952.87093800000014</v>
      </c>
      <c r="I294" s="3">
        <f>1175.1+(246.3-494.6)+(0.599301+(0.125613-0.252246))+0-0-0</f>
        <v>927.27266799999995</v>
      </c>
      <c r="J294" s="3">
        <f>1132.5+(245.2-451.9)+(-1.15515+(-0.250104--0.460938))+0-0-0</f>
        <v>924.855684</v>
      </c>
      <c r="K294" s="3">
        <f>1146.9+(203.1-416.8)+(1.169838+(0.207162-0.425136))+0-0-0</f>
        <v>934.15186400000005</v>
      </c>
      <c r="L294" s="3">
        <f>1327.5+(156.3-502)+(2.7081+(0.318852-1.02408))+0-0-0</f>
        <v>983.80287199999998</v>
      </c>
      <c r="M294" s="3">
        <f>1294.2+(165.2-436.7)+(-1.320084+(-0.168504--0.445434))+0-0-0</f>
        <v>1021.6568460000001</v>
      </c>
      <c r="N294" s="3">
        <f>1280.8+(192.9-401.1)+(-0.653208+(-0.098379--0.204561))+0-0-0</f>
        <v>1072.0529739999999</v>
      </c>
      <c r="O294" s="3">
        <f>1295.8+(191.2-378.1)+(-1.321716+(-0.195024--0.385662))+0-0-0</f>
        <v>1107.768922</v>
      </c>
      <c r="P294" s="3">
        <f>1282.6+(205.8-344.6)+(-1.308252+(-0.209916--0.351492))+0-0-0</f>
        <v>1142.6333239999999</v>
      </c>
      <c r="Q294" s="3">
        <f>1317.4+(251.8-429.5)+(-1.343748+(-0.256836--0.43809))+0-0-0</f>
        <v>1138.5375060000001</v>
      </c>
      <c r="R294" s="3">
        <f>1357.3+(287.2-509.1)+(-2.768892+(-0.585888--1.038564))+0-0-0</f>
        <v>1133.0837839999999</v>
      </c>
      <c r="S294" s="3">
        <f>1377.5+(280.1-540.2)+(0.702525+(0.142851-0.275502))+0-0-0</f>
        <v>1117.9698740000001</v>
      </c>
      <c r="T294" s="3">
        <f>1374.6+(281.7-567.9)+(-0.701046+(-0.143667--0.289629))+0-0-0</f>
        <v>1087.8449159999998</v>
      </c>
      <c r="U294" s="3">
        <f>1356.5+(254.9-540.2)+(-1.38363+(-0.259998--0.551004))+0-0-0</f>
        <v>1070.1073759999999</v>
      </c>
      <c r="V294" s="3">
        <f>1356.3+(190.9-420.5)+(-1.383426+(-0.194718--0.42891))+0-0-0</f>
        <v>1125.5507660000001</v>
      </c>
      <c r="W294" s="3">
        <f>1416.1+(241.8-340.7)+(0.722211+(0.123318-0.173757))+0-0-0</f>
        <v>1317.8717719999997</v>
      </c>
      <c r="X294" s="3">
        <f>1388.8+(269.9-302.3)+(-2.124864+(-0.412947--0.462519))+0-0-0</f>
        <v>1354.3247079999999</v>
      </c>
      <c r="Y294" s="3">
        <f>1413.9+(261.6-333.8)+(0.721089+(0.133416-0.170238))+0-0-0</f>
        <v>1342.3842670000001</v>
      </c>
      <c r="Z294" s="3">
        <f>1408.7+(297.3-387.8)+(-0.718437+(-0.151623--0.197778))+0-0-0</f>
        <v>1317.527718</v>
      </c>
      <c r="AA294" s="3">
        <f>1404.7+(291.8-422.1)+(-1.432794+(-0.297636--0.430542))+0-0-0</f>
        <v>1273.1001120000001</v>
      </c>
      <c r="AB294" s="3">
        <f>1393.3+(270-440.5)+(-2.842332+(-0.5508--0.89862))+0-0-0</f>
        <v>1220.305488</v>
      </c>
      <c r="AC294" s="3">
        <f>1387.7+(281-538.7)+(-3.538635+(-0.71655--1.373685))+0-0-0</f>
        <v>1127.1185</v>
      </c>
      <c r="AD294" s="2">
        <v>1362.4999999999998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1408.6+(291.6-675.5)+(-0.718386+(-0.148716--0.344505))+0-0-0</f>
        <v>1024.1774029999999</v>
      </c>
      <c r="G295" s="3">
        <f>1379.2+(225.3-643.1)+(-2.813568+(-0.459612--1.311924))+0-0-0</f>
        <v>959.43874400000004</v>
      </c>
      <c r="H295" s="3">
        <f>1156.7+(251.4-479.8)+(0.589917+(0.128214-0.244698))+0-0-0</f>
        <v>928.77343300000007</v>
      </c>
      <c r="I295" s="3">
        <f>1101.1+(262.8-450.9)+(-1.684683+(-0.402084--0.689877))+0-0-0</f>
        <v>911.60311000000002</v>
      </c>
      <c r="J295" s="3">
        <f>1123.4+(243.8-458.8)+(0.572934+(0.124338-0.233988))+0-0-0</f>
        <v>908.86328400000014</v>
      </c>
      <c r="K295" s="3">
        <f>1124+(233.4-431)+(0.57324+(0.119034-0.21981))+0-0-0</f>
        <v>926.87246399999992</v>
      </c>
      <c r="L295" s="3">
        <f>1112.5+(219.6-351.1)+(-2.836875+(-0.55998--0.895305))+0-0-0</f>
        <v>978.49845000000005</v>
      </c>
      <c r="M295" s="3">
        <f>1238.9+(178.9-408.2)+(-1.895517+(-0.273717--0.624546))+0-0-0</f>
        <v>1008.0553120000002</v>
      </c>
      <c r="N295" s="3">
        <f>1408.6+(205.4-532.1)+(1.436772+(0.209508-0.542742))+0-0-0</f>
        <v>1083.0035379999999</v>
      </c>
      <c r="O295" s="3">
        <f>1396.8+(221-557.5)+(-0.712368+(-0.11271--0.284325))+0-0-0</f>
        <v>1059.759247</v>
      </c>
      <c r="P295" s="3">
        <f>1415.6+(202-543.6)+(2.165868+(0.30906-0.831708))+0-0-0</f>
        <v>1075.6432199999999</v>
      </c>
      <c r="Q295" s="3">
        <f>1398+(216-523.9)+(0+(0-0))+0-0-0</f>
        <v>1090.0999999999999</v>
      </c>
      <c r="R295" s="3">
        <f>1389.4+(218-537.8)+(-0.708594+(-0.11118--0.274278))+0-0-0</f>
        <v>1069.0545040000002</v>
      </c>
      <c r="S295" s="3">
        <f>1390.8+(235.2-550.2)+(-0.709308+(-0.119952--0.280602))+0-0-0</f>
        <v>1075.251342</v>
      </c>
      <c r="T295" s="3">
        <f>1386.9+(260.6-578.9)+(-0.707319+(-0.132906--0.295239))+0-0-0</f>
        <v>1068.055014</v>
      </c>
      <c r="U295" s="3">
        <f>1389.7+(251.2-568.4)+(0+(0-0))+0-0-0</f>
        <v>1072.5</v>
      </c>
      <c r="V295" s="3">
        <f>1391.2+(226.5-506.1)+(-0.709512+(-0.115515--0.258111))+0-0-0</f>
        <v>1111.0330839999999</v>
      </c>
      <c r="W295" s="3">
        <f>1390.4+(261.6-364.7)+(0.709104+(0.133416-0.185997))+0-0-0</f>
        <v>1287.9565230000003</v>
      </c>
      <c r="X295" s="3">
        <f>1377.1+(284-326.1)+(-2.809284+(-0.57936--0.665244))+0-0-0</f>
        <v>1332.2765999999999</v>
      </c>
      <c r="Y295" s="3">
        <f>1399.8+(305.1-390)+(-0.713898+(-0.155601--0.1989))+0-0-0</f>
        <v>1314.2294010000001</v>
      </c>
      <c r="Z295" s="3">
        <f>1400.6+(315.2-431.4)+(-1.428612+(-0.321504--0.440028))+0-0-0</f>
        <v>1283.0899119999999</v>
      </c>
      <c r="AA295" s="3">
        <f>1400.9+(292.6-445.8)+(0+(0-0))+0-0-0</f>
        <v>1247.7</v>
      </c>
      <c r="AB295" s="3">
        <f>1312.8+(283.1-401.1)+(-2.008584+(-0.433143--0.613683))+0-0-0</f>
        <v>1192.9719559999999</v>
      </c>
      <c r="AC295" s="3">
        <f>1184.4+(284.7-369.3)+(-1.208088+(-0.290394--0.376686))+0-0-0</f>
        <v>1098.6782040000003</v>
      </c>
      <c r="AD295" s="2">
        <v>1360.2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1168.6+(302-439.2)+(-2.97993+(-0.7701--1.11996))+0-0-0</f>
        <v>1028.7699299999999</v>
      </c>
      <c r="G296" s="3">
        <f>1192.2+(290.2-501.5)+(0+(0-0))+0-0-0</f>
        <v>980.90000000000009</v>
      </c>
      <c r="H296" s="3">
        <f>1184.1+(287-511.3)+(-1.207782+(-0.29274--0.521526))+0-0-0</f>
        <v>958.8210039999999</v>
      </c>
      <c r="I296" s="3">
        <f>1104.5+(268-432.8)+(-1.12659+(-0.27336--0.441456))+0-0-0</f>
        <v>938.74150600000007</v>
      </c>
      <c r="J296" s="3">
        <f>1076.1+(265.6-401.1)+(0+(0-0))+0-0-0</f>
        <v>940.59999999999991</v>
      </c>
      <c r="K296" s="3">
        <f>1123+(259.7-426.5)+(-0.57273+(-0.132447--0.217515))+0-0-0</f>
        <v>955.71233800000005</v>
      </c>
      <c r="L296" s="3">
        <f>1201.8+(237.9-421.7)+(0+(0-0))+0-0-0</f>
        <v>1018</v>
      </c>
      <c r="M296" s="3">
        <f>1205.2+(242.2-388.7)+(1.229304+(0.247044-0.396474))+0-0-0</f>
        <v>1059.7798740000001</v>
      </c>
      <c r="N296" s="3">
        <f>1201.6+(245.2-330.4)+(1.225632+(0.250104-0.337008))+0-0-0</f>
        <v>1117.5387279999998</v>
      </c>
      <c r="O296" s="3">
        <f>1196.7+(243-319.3)+(0+(0-0))+0-0-0</f>
        <v>1120.4000000000001</v>
      </c>
      <c r="P296" s="3">
        <f>1209.5+(259.1-313)+(1.850535+(0.396423-0.47889))+0-0-0</f>
        <v>1157.368068</v>
      </c>
      <c r="Q296" s="3">
        <f>1228+(247-317.2)+(-1.25256+(-0.25194--0.323544))+0-0-0</f>
        <v>1156.619044</v>
      </c>
      <c r="R296" s="3">
        <f>1231.6+(244.4-336)+(-3.14058+(-0.62322--0.8568))+0-0-0</f>
        <v>1137.0930000000001</v>
      </c>
      <c r="S296" s="3">
        <f>1247.9+(247.4-381)+(-0.636429+(-0.126174--0.19431))+0-0-0</f>
        <v>1113.7317070000001</v>
      </c>
      <c r="T296" s="3">
        <f>1246.7+(259.9-411.5)+(-0.635817+(-0.132549--0.209865))+0-0-0</f>
        <v>1094.5414989999999</v>
      </c>
      <c r="U296" s="3">
        <f>1250.4+(219-375.9)+(0.637704+(0.11169-0.191709))+0-0-0</f>
        <v>1094.057685</v>
      </c>
      <c r="V296" s="3">
        <f>1244.1+(222.6-341.5)+(0+(0-0))+0-0-0</f>
        <v>1125.1999999999998</v>
      </c>
      <c r="W296" s="3">
        <f>1258+(258-266.2)+(0.64158+(0.13158-0.135762))+0-0-0</f>
        <v>1250.437398</v>
      </c>
      <c r="X296" s="3">
        <f>1237.6+(277-228.3)+(-3.15588+(-0.70635--0.582165))+0-0-0</f>
        <v>1283.019935</v>
      </c>
      <c r="Y296" s="3">
        <f>1242.6+(317-239.8)+(-2.534904+(-0.64668--0.489192))+0-0-0</f>
        <v>1317.107608</v>
      </c>
      <c r="Z296" s="3">
        <f>1235.5+(349.2-283.1)+(-3.150525+(-0.89046--0.721905))+0-0-0</f>
        <v>1298.2809199999999</v>
      </c>
      <c r="AA296" s="3">
        <f>1251.4+(340.7-304.1)+(-1.276428+(-0.347514--0.310182))+0-0-0</f>
        <v>1286.68624</v>
      </c>
      <c r="AB296" s="3">
        <f>1242.4+(328.9-332.5)+(-1.900872+(-0.503217--0.508725))+0-0-0</f>
        <v>1236.9046360000002</v>
      </c>
      <c r="AC296" s="3">
        <f>1221.8+(331.8-394.2)+(-1.246236+(-0.338436--0.402084))+0-0-0</f>
        <v>1158.2174120000002</v>
      </c>
      <c r="AD296" s="2">
        <v>1369.7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1048.8+(334.1-347.2)+(-0.534888+(-0.170391--0.177072))+0-0-0</f>
        <v>1035.171793</v>
      </c>
      <c r="G297" s="3">
        <f>1058.1+(290.9-360.6)+(1.618893+(0.445077-0.551718))+0-0-0</f>
        <v>989.91225199999985</v>
      </c>
      <c r="H297" s="3">
        <f>1046.1+(296.8-372.7)+(-0.533511+(-0.151368--0.190077))+0-0-0</f>
        <v>969.70519799999988</v>
      </c>
      <c r="I297" s="3">
        <f>1065.8+(289-395.8)+(1.630674+(0.44217-0.605574))+0-0-0</f>
        <v>960.46726999999998</v>
      </c>
      <c r="J297" s="3">
        <f>1059.9+(280.1-386.3)+(0+(0-0))+0-0-0</f>
        <v>953.7</v>
      </c>
      <c r="K297" s="3">
        <f>1076.8+(267-375.6)+(2.196672+(0.54468-0.766224))+0-0-0</f>
        <v>970.17512799999997</v>
      </c>
      <c r="L297" s="3">
        <f>1162.3+(248.5-410.9)+(-2.371092+(-0.50694--0.838236))+0-0-0</f>
        <v>997.86020399999995</v>
      </c>
      <c r="M297" s="3">
        <f>1191.2+(273.2-429.1)+(-0.607512+(-0.139332--0.218841))+0-0-0</f>
        <v>1034.7719970000001</v>
      </c>
      <c r="N297" s="3">
        <f>1196.9+(326.3-415)+(-0.610419+(-0.166413--0.21165))+0-0-0</f>
        <v>1107.634818</v>
      </c>
      <c r="O297" s="3">
        <f>1217.1+(345.1-375.4)+(1.241442+(0.352002-0.382908))+0-0-0</f>
        <v>1188.010536</v>
      </c>
      <c r="P297" s="3">
        <f>1248.4+(345.8-409.3)+(-0.636684+(-0.176358--0.208743))+0-0-0</f>
        <v>1184.295701</v>
      </c>
      <c r="Q297" s="3">
        <f>1254.5+(319.5-378)+(0+(0-0))+0-0-0</f>
        <v>1196</v>
      </c>
      <c r="R297" s="3">
        <f>1247.4+(282.5-352.9)+(-1.908522+(-0.432225--0.539937))+0-0-0</f>
        <v>1175.19919</v>
      </c>
      <c r="S297" s="3">
        <f>1248.7+(271.9-355.9)+(0+(0-0))+0-0-0</f>
        <v>1164.7</v>
      </c>
      <c r="T297" s="3">
        <f>1233.5+(253.6-333.3)+(-3.145425+(-0.64668--0.849915))+0-0-0</f>
        <v>1150.85781</v>
      </c>
      <c r="U297" s="3">
        <f>1241.9+(258-329.4)+(-1.900107+(-0.39474--0.503982))+0-0-0</f>
        <v>1168.7091350000001</v>
      </c>
      <c r="V297" s="3">
        <f>1242.2+(268.5-277.7)+(-1.900566+(-0.410805--0.424881))+0-0-0</f>
        <v>1231.1135099999999</v>
      </c>
      <c r="W297" s="3">
        <f>1255.5+(249.1-168.6)+(0.640305+(0.127041-0.085986))+0-0-0</f>
        <v>1336.68136</v>
      </c>
      <c r="X297" s="3">
        <f>1239.2+(286.2-171.3)+(-1.263984+(-0.291924--0.174726))+0-0-0</f>
        <v>1352.7188179999998</v>
      </c>
      <c r="Y297" s="3">
        <f>1237.3+(300.7-207.9)+(-1.262046+(-0.306714--0.212058))+0-0-0</f>
        <v>1328.7432979999999</v>
      </c>
      <c r="Z297" s="3">
        <f>1232.5+(296.9-239.7)+(-3.142875+(-0.757095--0.611235))+0-0-0</f>
        <v>1286.411265</v>
      </c>
      <c r="AA297" s="3">
        <f>1245.7+(315.5-297.2)+(0+(0-0))+0-0-0</f>
        <v>1264</v>
      </c>
      <c r="AB297" s="3">
        <f>1206.3+(305.2-284.7)+(-3.076065+(-0.77826--0.725985))+0-0-0</f>
        <v>1223.67166</v>
      </c>
      <c r="AC297" s="3">
        <f>1065.3+(329.3-221.8)+(-1.086606+(-0.335886--0.226236))+0-0-0</f>
        <v>1171.603744</v>
      </c>
      <c r="AD297" s="2">
        <v>1355.2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934.7+(342.2-177.5)+(-0.953394+(-0.349044--0.18105))+0-0-0</f>
        <v>1098.2786120000001</v>
      </c>
      <c r="G298" s="3">
        <f>696.5+(399.8-84.6)+(0+(0-0))+0-0-0</f>
        <v>1011.7</v>
      </c>
      <c r="H298" s="3">
        <f>702.2+(379.8-112.9)+(-0.358122+(-0.193698--0.057579))+0-0-0</f>
        <v>968.60575900000003</v>
      </c>
      <c r="I298" s="3">
        <f>720.8+(344.6-114.6)+(1.102824+(0.527238-0.175338))+0-0-0</f>
        <v>952.25472400000001</v>
      </c>
      <c r="J298" s="3">
        <f>689.6+(361.2-119.2)+(-1.75848+(-0.92106--0.30396))+0-0-0</f>
        <v>929.22442000000001</v>
      </c>
      <c r="K298" s="3">
        <f>712+(330.9-108)+(0.36312+(0.168759-0.05508))+0-0-0</f>
        <v>935.37679900000001</v>
      </c>
      <c r="L298" s="3">
        <f>691.6+(325.4-86.5)+(-1.76358+(-0.82977--0.220575))+0-0-0</f>
        <v>928.12722499999995</v>
      </c>
      <c r="M298" s="3">
        <f>681.6+(325.5-91.2)+(-2.780928+(-1.32804--0.372096))+0-0-0</f>
        <v>912.16312800000014</v>
      </c>
      <c r="N298" s="3">
        <f>822.3+(326.2-200.1)+(-0.419373+(-0.166362--0.102051))+0-0-0</f>
        <v>947.91631599999994</v>
      </c>
      <c r="O298" s="3">
        <f>929.2+(356.7-263.9)+(-0.947784+(-0.363834--0.269178))+0-0-0</f>
        <v>1020.9575599999999</v>
      </c>
      <c r="P298" s="3">
        <f>1089.6+(332.7-341)+(1.667088+(0.509031-0.52173))+0-0-0</f>
        <v>1082.954389</v>
      </c>
      <c r="Q298" s="3">
        <f>1052.8+(327.5-299.7)+(-2.68464+(-0.835125--0.764235))+0-0-0</f>
        <v>1077.84447</v>
      </c>
      <c r="R298" s="3">
        <f>1051+(300.3-353.9)+(-2.68005+(-0.765765--0.902445))+0-0-0</f>
        <v>994.85663000000011</v>
      </c>
      <c r="S298" s="3">
        <f>1071.5+(322.6-402.8)+(0+(0-0))+0-0-0</f>
        <v>991.3</v>
      </c>
      <c r="T298" s="3">
        <f>1067.6+(315-414.7)+(-1.088952+(-0.3213--0.422994))+0-0-0</f>
        <v>966.91274199999987</v>
      </c>
      <c r="U298" s="3">
        <f>1073.8+(324.8-440.7)+(0+(0-0))+0-0-0</f>
        <v>957.9</v>
      </c>
      <c r="V298" s="3">
        <f>1138.9+(250.8-376.1)+(0.580839+(0.127908-0.191811))+0-0-0</f>
        <v>1014.1169360000001</v>
      </c>
      <c r="W298" s="3">
        <f>1249.9+(239.4-300.8)+(-0.637449+(-0.122094--0.153408))+0-0-0</f>
        <v>1187.893865</v>
      </c>
      <c r="X298" s="3">
        <f>1256.4+(255.1-257.3)+(-0.640764+(-0.130101--0.131223))+0-0-0</f>
        <v>1253.560358</v>
      </c>
      <c r="Y298" s="3">
        <f>1250.6+(256.8-264.1)+(0+(0-0))+0-0-0</f>
        <v>1243.3</v>
      </c>
      <c r="Z298" s="3">
        <f>1265.5+(260.4-304.1)+(0.645405+(0.132804-0.155091))+0-0-0</f>
        <v>1222.4231179999999</v>
      </c>
      <c r="AA298" s="3">
        <f>1271.4+(285.6-369.5)+(2.593656+(0.582624-0.75378))+0-0-0</f>
        <v>1189.9224999999999</v>
      </c>
      <c r="AB298" s="3">
        <f>1257.1+(293.6-398.2)+(0+(0-0))+0-0-0</f>
        <v>1152.5</v>
      </c>
      <c r="AC298" s="3">
        <f>1233.5+(284.7-418.4)+(-4.403595+(-1.016379--1.493688))+0-0-0</f>
        <v>1095.8737140000001</v>
      </c>
      <c r="AD298" s="2">
        <v>1253.2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1073.6+(278-347.3)+(-2.190144+(-0.56712--0.708492))+0-0-0</f>
        <v>1002.251228</v>
      </c>
      <c r="G299" s="3">
        <f>788.4+(349-183.9)+(-1.608336+(-0.71196--0.375156))+0-0-0</f>
        <v>951.55485999999996</v>
      </c>
      <c r="H299" s="3">
        <f>689.2+(367.3-142.5)+(-1.054476+(-0.561969--0.218025))+0-0-0</f>
        <v>912.60158000000001</v>
      </c>
      <c r="I299" s="3">
        <f>694.2+(367.2-165.2)+(-1.062126+(-0.561816--0.252756))+0-0-0</f>
        <v>894.82881400000008</v>
      </c>
      <c r="J299" s="3">
        <f>707+(368.9-176.6)+(0.72114+(0.376278-0.180132))+0-0-0</f>
        <v>900.21728599999994</v>
      </c>
      <c r="K299" s="3">
        <f>709.5+(354.5-156.3)+(1.44738+(0.72318-0.318852))+0-0-0</f>
        <v>909.55170800000008</v>
      </c>
      <c r="L299" s="3">
        <f>689.4+(341.6-114.7)+(-1.406376+(-0.696864--0.233988))+0-0-0</f>
        <v>914.43074799999999</v>
      </c>
      <c r="M299" s="3">
        <f>709+(348.5-156.4)+(0.36159+(0.177735-0.079764))+0-0-0</f>
        <v>901.55956100000003</v>
      </c>
      <c r="N299" s="3">
        <f>692.6+(378.8-136.4)+(-1.059678+(-0.579564--0.208692))+0-0-0</f>
        <v>933.56944999999996</v>
      </c>
      <c r="O299" s="3">
        <f>848.1+(348.8-208.4)+(-0.432531+(-0.177888--0.106284))+0-0-0</f>
        <v>987.99586499999998</v>
      </c>
      <c r="P299" s="3">
        <f>878.2+(372-217.7)+(-1.791528+(-0.75888--0.444108))+0-0-0</f>
        <v>1030.3937000000001</v>
      </c>
      <c r="Q299" s="3">
        <f>891.9+(373.2-225.9)+(-0.454869+(-0.190332--0.115209))+0-0-0</f>
        <v>1038.6700080000001</v>
      </c>
      <c r="R299" s="3">
        <f>1038.3+(330.7-336.9)+(-3.706731+(-1.180599--1.202733))+0-0-0</f>
        <v>1028.415403</v>
      </c>
      <c r="S299" s="3">
        <f>1086+(293.1-367.5)+(0+(0-0))+0-0-0</f>
        <v>1011.6</v>
      </c>
      <c r="T299" s="3">
        <f>1075.9+(263.7-348)+(-1.097418+(-0.268974--0.35496))+0-0-0</f>
        <v>990.58856800000012</v>
      </c>
      <c r="U299" s="3">
        <f>1083.7+(254.9-352)+(0+(0-0))+0-0-0</f>
        <v>986.6</v>
      </c>
      <c r="V299" s="3">
        <f>1146.8+(233.8-352.3)+(-0.584868+(-0.119238--0.179673))+0-0-0</f>
        <v>1027.7755669999999</v>
      </c>
      <c r="W299" s="3">
        <f>1260.5+(239.4-283.4)+(0.642855+(0.122094-0.144534))+0-0-0</f>
        <v>1217.1204150000001</v>
      </c>
      <c r="X299" s="3">
        <f>1283.1+(255.2-247.2)+(-1.963143+(-0.390456--0.378216))+0-0-0</f>
        <v>1289.1246169999999</v>
      </c>
      <c r="Y299" s="3">
        <f>1281.8+(274.2-281.2)+(-1.961154+(-0.419526--0.430236))+0-0-0</f>
        <v>1272.8495559999999</v>
      </c>
      <c r="Z299" s="3">
        <f>1281.7+(278.3-298.6)+(-0.653667+(-0.141933--0.152286))+0-0-0</f>
        <v>1260.7566860000002</v>
      </c>
      <c r="AA299" s="3">
        <f>1230.2+(277.6-273.3)+(-0.627402+(-0.141576--0.139383))+0-0-0</f>
        <v>1233.8704049999999</v>
      </c>
      <c r="AB299" s="3">
        <f>1192.4+(269.4-282.7)+(-2.432496+(-0.549576--0.576708))+0-0-0</f>
        <v>1176.6946360000002</v>
      </c>
      <c r="AC299" s="3">
        <f>1192.1+(279.8-388.1)+(-1.823913+(-0.428094--0.593793))+0-0-0</f>
        <v>1082.1417859999999</v>
      </c>
      <c r="AD299" s="2">
        <v>1261.8999999999999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1216.8+(362.1-556.9)+(0.620568+(0.184671-0.284019))+0-0-0</f>
        <v>1022.52122</v>
      </c>
      <c r="G300" s="3">
        <f>1218.8+(307.6-554.6)+(1.243176+(0.313752-0.565692))+0-0-0</f>
        <v>972.79123599999991</v>
      </c>
      <c r="H300" s="3">
        <f>1219.9+(253.4-539)+(0.622149+(0.129234-0.27489))+0-0-0</f>
        <v>934.77649300000007</v>
      </c>
      <c r="I300" s="3">
        <f>1222.7+(244.9-540.6)+(1.870731+(0.374697-0.827118))+0-0-0</f>
        <v>928.41831000000002</v>
      </c>
      <c r="J300" s="3">
        <f>1232.4+(259.2-558.1)+(2.514096+(0.528768-1.138524))+0-0-0</f>
        <v>935.40434000000005</v>
      </c>
      <c r="K300" s="3">
        <f>1212.6+(287.9-544.4)+(0+(0-0))+0-0-0</f>
        <v>956.09999999999991</v>
      </c>
      <c r="L300" s="3">
        <f>1218.3+(316.7-525.6)+(1.242666+(0.323034-0.536112))+0-0-0</f>
        <v>1010.4295879999999</v>
      </c>
      <c r="M300" s="3">
        <f>1223.3+(361.2-525.8)+(1.871649+(0.552636-0.804474))+0-0-0</f>
        <v>1060.3198110000001</v>
      </c>
      <c r="N300" s="3">
        <f>1227.2+(319-414.1)+(1.877616+(0.48807-0.633573))+0-0-0</f>
        <v>1133.8321129999999</v>
      </c>
      <c r="O300" s="3">
        <f>1241.7+(314.1-360.3)+(3.166335+(0.800955-0.918765))+0-0-0</f>
        <v>1198.5485249999999</v>
      </c>
      <c r="P300" s="3">
        <f>1246.2+(265.2-313.6)+(1.271124+(0.270504-0.319872))+0-0-0</f>
        <v>1199.0217559999999</v>
      </c>
      <c r="Q300" s="3">
        <f>1443.3+(232.9-467.3)+(2.944332+(0.475116-0.953292))+0-0-0</f>
        <v>1211.3661559999998</v>
      </c>
      <c r="R300" s="3">
        <f>1438.9+(229.5-489.9)+(-1.467678+(-0.23409--0.499698))+0-0-0</f>
        <v>1177.29793</v>
      </c>
      <c r="S300" s="3">
        <f>1461.7+(233.4-533.5)+(0.745467+(0.119034-0.272085))+0-0-0</f>
        <v>1162.1924159999999</v>
      </c>
      <c r="T300" s="3">
        <f>1501+(262.2-595.1)+(0+(0-0))+0-0-0</f>
        <v>1168.0999999999999</v>
      </c>
      <c r="U300" s="3">
        <f>1479.1+(255.8-593.4)+(-1.508682+(-0.260916--0.605268))+0-0-0</f>
        <v>1140.3356699999999</v>
      </c>
      <c r="V300" s="3">
        <f>1525.9+(192.9-540)+(0+(0-0))+0-0-0</f>
        <v>1178.8000000000002</v>
      </c>
      <c r="W300" s="3">
        <f>1669.6+(244.9-545.9)+(0+(0-0))+0-0-0</f>
        <v>1368.6</v>
      </c>
      <c r="X300" s="3">
        <f>1668.1+(294.7-546.1)+(-2.552193+(-0.450891--0.835533))+0-0-0</f>
        <v>1414.5324489999998</v>
      </c>
      <c r="Y300" s="3">
        <f>1650.7+(290.3-551)+(-1.683714+(-0.296106--0.56202))+0-0-0</f>
        <v>1388.5822000000001</v>
      </c>
      <c r="Z300" s="3">
        <f>1650.7+(288-579.5)+(-1.683714+(-0.29376--0.59109))+0-0-0</f>
        <v>1357.8136160000001</v>
      </c>
      <c r="AA300" s="3">
        <f>1655.5+(275.2-606.8)+(-0.844305+(-0.140352--0.309468))+0-0-0</f>
        <v>1323.224811</v>
      </c>
      <c r="AB300" s="3">
        <f>1641+(262.4-654)+(-2.51073+(-0.401472--1.00062))+0-0-0</f>
        <v>1247.4884180000001</v>
      </c>
      <c r="AC300" s="3">
        <f>1628.1+(261.4-738.8)+(-3.321324+(-0.533256--1.507152))+0-0-0</f>
        <v>1148.3525719999998</v>
      </c>
      <c r="AD300" s="2">
        <v>1407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1593.1+(215.1-753.7)+(-4.062405+(-0.548505--1.921935))+0-0-0</f>
        <v>1051.811025</v>
      </c>
      <c r="G301" s="3">
        <f>1563.4+(208.4-782.9)+(-3.98667+(-0.53142--1.996395))+0-0-0</f>
        <v>986.37830500000007</v>
      </c>
      <c r="H301" s="3">
        <f>1520.3+(220.3-769.7)+(-3.101412+(-0.449412--1.570188))+0-0-0</f>
        <v>968.91936399999986</v>
      </c>
      <c r="I301" s="3">
        <f>1497.5+(223.2-762.8)+(-0.763725+(-0.113832--0.389028))+0-0-0</f>
        <v>957.41147100000012</v>
      </c>
      <c r="J301" s="3">
        <f>1474.6+(229.2-744.6)+(-3.008184+(-0.467568--1.518984))+0-0-0</f>
        <v>957.24323199999981</v>
      </c>
      <c r="K301" s="3">
        <f>1593.2+(197.2-813.9)+(4.06266+(0.50286-2.075445))+0-0-0</f>
        <v>978.99007500000005</v>
      </c>
      <c r="L301" s="3">
        <f>1618.1+(196.5-772.4)+(0+(0-0))+0-0-0</f>
        <v>1042.1999999999998</v>
      </c>
      <c r="M301" s="3">
        <f>1618+(171.6-702.2)+(-0.82518+(-0.087516--0.358122))+0-0-0</f>
        <v>1086.8454260000001</v>
      </c>
      <c r="N301" s="3">
        <f>1608.6+(74.8-536.4)+(-1.640772+(-0.076296--0.547128))+0-0-0</f>
        <v>1145.83006</v>
      </c>
      <c r="O301" s="3">
        <f>1623.6+(62.5-493.4)+(0.828036+(0.031875-0.251634))+0-0-0</f>
        <v>1193.3082769999999</v>
      </c>
      <c r="P301" s="3">
        <f>1615.5+(54.4-466)+(-0.823905+(-0.027744--0.23766))+0-0-0</f>
        <v>1203.2860110000001</v>
      </c>
      <c r="Q301" s="3">
        <f>1606.9+(58-484.4)+(-2.458557+(-0.08874--0.741132))+0-0-0</f>
        <v>1178.693835</v>
      </c>
      <c r="R301" s="3">
        <f>1589.5+(63.7-473.7)+(-4.053225+(-0.162435--1.207935))+0-0-0</f>
        <v>1176.4922750000001</v>
      </c>
      <c r="S301" s="3">
        <f>1614+(185.2-548.2)+(-0.82314+(-0.094452--0.279582))+0-0-0</f>
        <v>1250.3619900000001</v>
      </c>
      <c r="T301" s="3">
        <f>1628.1+(214.2-694.4)+(0.830331+(0.109242-0.354144))+0-0-0</f>
        <v>1148.4854289999998</v>
      </c>
      <c r="U301" s="3">
        <f>1628.1+(200.6-678.8)+(0.830331+(0.102306-0.346188))+0-0-0</f>
        <v>1150.486449</v>
      </c>
      <c r="V301" s="3">
        <f>1666.2+(185.5-645.7)+(0.849762+(0.094605-0.329307))+0-0-0</f>
        <v>1206.6150600000001</v>
      </c>
      <c r="W301" s="3">
        <f>1714.1+(216.9-553.6)+(0.874191+(0.110619-0.282336))+0-0-0</f>
        <v>1378.1024739999998</v>
      </c>
      <c r="X301" s="3">
        <f>1716.9+(239.8-525.6)+(-1.751238+(-0.244596--0.536112))+0-0-0</f>
        <v>1429.6402780000001</v>
      </c>
      <c r="Y301" s="3">
        <f>1614.7+(250.9-462.4)+(-1.646994+(-0.255918--0.471648))+0-0-0</f>
        <v>1401.768736</v>
      </c>
      <c r="Z301" s="3">
        <f>1311.9+(311.3-281.5)+(0.669069+(0.158763-0.143565))+0-0-0</f>
        <v>1342.3842670000001</v>
      </c>
      <c r="AA301" s="3">
        <f>1257.6+(324.2-282.3)+(0.641376+(0.165342-0.143973))+0-0-0</f>
        <v>1300.1627450000001</v>
      </c>
      <c r="AB301" s="3">
        <f>1239.4+(323.9-320.9)+(-0.632094+(-0.165189--0.163659))+0-0-0</f>
        <v>1241.766376</v>
      </c>
      <c r="AC301" s="3">
        <f>1245.4+(293.2-394.6)+(-0.635154+(-0.149532--0.201246))+0-0-0</f>
        <v>1143.4165599999999</v>
      </c>
      <c r="AD301" s="2">
        <v>1438.4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1229.6+(253.9-437.9)+(-1.254192+(-0.258978--0.446658))+0-0-0</f>
        <v>1044.5334879999998</v>
      </c>
      <c r="G302" s="3">
        <f>1240.9+(264.3-506.2)+(-0.632859+(-0.134793--0.258162))+0-0-0</f>
        <v>998.49051000000009</v>
      </c>
      <c r="H302" s="3">
        <f>1247.4+(253.6-526.4)+(1.272348+(0.258672-0.536928))+0-0-0</f>
        <v>975.59409200000016</v>
      </c>
      <c r="I302" s="3">
        <f>1227.2+(258.2-522.6)+(-1.877616+(-0.395046--0.799578))+0-0-0</f>
        <v>961.32691599999998</v>
      </c>
      <c r="J302" s="3">
        <f>1239.6+(236.1-514)+(0+(0-0))+0-0-0</f>
        <v>961.69999999999993</v>
      </c>
      <c r="K302" s="3">
        <f>1247.8+(230.4-512.5)+(0.636378+(0.117504-0.261375))+0-0-0</f>
        <v>966.19250699999998</v>
      </c>
      <c r="L302" s="3">
        <f>1241.1+(240.1-468.7)+(-0.632961+(-0.122451--0.239037))+0-0-0</f>
        <v>1011.9836249999998</v>
      </c>
      <c r="M302" s="3">
        <f>1242.7+(257.2-415.1)+(0.633777+(0.131172-0.211701))+0-0-0</f>
        <v>1085.3532479999999</v>
      </c>
      <c r="N302" s="3">
        <f>1243.3+(286.6-353.4)+(0+(0-0))+0-0-0</f>
        <v>1176.5</v>
      </c>
      <c r="O302" s="3">
        <f>1248.9+(291.1-292.9)+(0.636939+(0.148461-0.149379))+0-0-0</f>
        <v>1247.7360210000002</v>
      </c>
      <c r="P302" s="3">
        <f>1243.5+(311.1-264.7)+(0+(0-0))+0-0-0</f>
        <v>1289.9000000000001</v>
      </c>
      <c r="Q302" s="3">
        <f>1222.6+(313.6-223.3)+(-1.870578+(-0.479808--0.341649))+0-0-0</f>
        <v>1310.8912629999998</v>
      </c>
      <c r="R302" s="3">
        <f>1229.3+(308.7-257.2)+(0.626943+(0.157437-0.131172))+0-0-0</f>
        <v>1281.4532079999999</v>
      </c>
      <c r="S302" s="3">
        <f>1230.2+(294.3-281.2)+(1.254804+(0.300186-0.286824))+0-0-0</f>
        <v>1244.5681660000002</v>
      </c>
      <c r="T302" s="3">
        <f>1233.3+(275.3-315)+(0+(0-0))+0-0-0</f>
        <v>1193.5999999999999</v>
      </c>
      <c r="U302" s="3">
        <f>1218.3+(270.5-303.2)+(-2.485332+(-0.55182--0.618528))+0-0-0</f>
        <v>1183.181376</v>
      </c>
      <c r="V302" s="3">
        <f>1215.1+(264.9-258.4)+(-1.859103+(-0.405297--0.395352))+0-0-0</f>
        <v>1219.7309519999999</v>
      </c>
      <c r="W302" s="3">
        <f>1257.1+(304.9-202.2)+(3.205605+(0.777495-0.51561))+0-0-0</f>
        <v>1363.26749</v>
      </c>
      <c r="X302" s="3">
        <f>1239.2+(308-153.6)+(-1.895976+(-0.47124--0.235008))+0-0-0</f>
        <v>1391.4677920000001</v>
      </c>
      <c r="Y302" s="3">
        <f>1235.4+(306.4-171.2)+(-1.890162+(-0.468792--0.261936))+0-0-0</f>
        <v>1368.5029820000002</v>
      </c>
      <c r="Z302" s="3">
        <f>1241.6+(315.8-223.1)+(-1.266432+(-0.322116--0.227562))+0-0-0</f>
        <v>1332.939014</v>
      </c>
      <c r="AA302" s="3">
        <f>1245.7+(302.7-265.1)+(0.635307+(0.154377-0.135201))+0-0-0</f>
        <v>1283.954483</v>
      </c>
      <c r="AB302" s="3">
        <f>1243.3+(292-318.4)+(0+(0-0))+0-0-0</f>
        <v>1216.9000000000001</v>
      </c>
      <c r="AC302" s="3">
        <f>1241.1+(292-407)+(0.632961+(0.14892-0.20757))+0-0-0</f>
        <v>1126.674311</v>
      </c>
      <c r="AD302" s="2">
        <v>1410.3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1230.1+(301.8-468.8)+(-0.627351+(-0.153918--0.239088))+0-0-0</f>
        <v>1062.5578189999999</v>
      </c>
      <c r="G303" s="3">
        <f>1228.2+(290.6-509.4)+(-1.879146+(-0.444618--0.779382))+0-0-0</f>
        <v>1007.855618</v>
      </c>
      <c r="H303" s="3">
        <f>1224.6+(287.6-528.1)+(-1.873638+(-0.440028--0.807993))+0-0-0</f>
        <v>982.59432699999991</v>
      </c>
      <c r="I303" s="3">
        <f>1238.6+(269-540.9)+(0.631686+(0.13719-0.275859))+0-0-0</f>
        <v>967.19301699999994</v>
      </c>
      <c r="J303" s="3">
        <f>1234.8+(256.9-533.8)+(0+(0-0))+0-0-0</f>
        <v>957.9</v>
      </c>
      <c r="K303" s="3">
        <f>1231.8+(245.5-504.2)+(0+(0-0))+0-0-0</f>
        <v>973.09999999999991</v>
      </c>
      <c r="L303" s="3">
        <f>1215.6+(263.9-454.1)+(-1.239912+(-0.269178--0.463182))+0-0-0</f>
        <v>1024.3540919999998</v>
      </c>
      <c r="M303" s="3">
        <f>1219.8+(271.8-429.2)+(0.622098+(0.138618-0.218892))+0-0-0</f>
        <v>1062.941824</v>
      </c>
      <c r="N303" s="3">
        <f>1231.5+(276.5-362.7)+(1.25613+(0.28203-0.369954))+0-0-0</f>
        <v>1146.468206</v>
      </c>
      <c r="O303" s="3">
        <f>1230+(296.7-325.7)+(1.8819+(0.453951-0.498321))+0-0-0</f>
        <v>1202.83753</v>
      </c>
      <c r="P303" s="3">
        <f>1215.9+(318-319.4)+(-1.240218+(-0.32436--0.325788))+0-0-0</f>
        <v>1213.2612099999999</v>
      </c>
      <c r="Q303" s="3">
        <f>1219.7+(309.8-304.8)+(1.244094+(0.315996-0.310896))+0-0-0</f>
        <v>1225.949194</v>
      </c>
      <c r="R303" s="3">
        <f>1201+(308.8-305.4)+(-1.83753+(-0.472464--0.467262))+0-0-0</f>
        <v>1202.557268</v>
      </c>
      <c r="S303" s="3">
        <f>1234+(291.8-353)+(0.62934+(0.148818-0.18003))+0-0-0</f>
        <v>1173.398128</v>
      </c>
      <c r="T303" s="3">
        <f>1393.5+(246.9-482.8)+(-2.132055+(-0.377757--0.738684))+0-0-0</f>
        <v>1155.8288719999998</v>
      </c>
      <c r="U303" s="3">
        <f>1452.3+(217.2-529.8)+(-1.481346+(-0.221544--0.540396))+0-0-0</f>
        <v>1138.5375060000001</v>
      </c>
      <c r="V303" s="3">
        <f>1538+(236.5-592.7)+(-0.78438+(-0.120615--0.302277))+0-0-0</f>
        <v>1181.1972819999999</v>
      </c>
      <c r="W303" s="3">
        <f>1601.8+(231.4-478.6)+(0+(0-0))+0-0-0</f>
        <v>1354.6</v>
      </c>
      <c r="X303" s="3">
        <f>1659.8+(210.9-434.2)+(-2.539494+(-0.322677--0.664326))+0-0-0</f>
        <v>1434.3021550000001</v>
      </c>
      <c r="Y303" s="3">
        <f>1606.3+(232.5-430.2)+(-2.457639+(-0.355725--0.658206))+0-0-0</f>
        <v>1406.4448419999999</v>
      </c>
      <c r="Z303" s="3">
        <f>1613.1+(248-497.6)+(-1.645362+(-0.25296--0.507552))+0-0-0</f>
        <v>1362.10923</v>
      </c>
      <c r="AA303" s="3">
        <f>1513.7+(305.1-498.3)+(-1.543974+(-0.311202--0.508266))+0-0-0</f>
        <v>1319.15309</v>
      </c>
      <c r="AB303" s="3">
        <f>1355.7+(337.9-429.7)+(-2.074221+(-0.516987--0.657441))+0-0-0</f>
        <v>1261.9662330000001</v>
      </c>
      <c r="AC303" s="3">
        <f>1141.5+(362.1-334.9)+(-1.746495+(-0.554013--0.512397))+0-0-0</f>
        <v>1166.911889</v>
      </c>
      <c r="AD303" s="2">
        <v>1431.7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1044+(356.2-343.1)+(-2.12976+(-0.726648--0.699924))+0-0-0</f>
        <v>1054.9435159999998</v>
      </c>
      <c r="G304" s="3">
        <f>1015.5+(306.6-345.2)+(0+(0-0))+0-0-0</f>
        <v>976.90000000000009</v>
      </c>
      <c r="H304" s="3">
        <f>992.3+(306.6-354.2)+(-2.530365+(-0.78183--0.90321))+0-0-0</f>
        <v>942.29101500000002</v>
      </c>
      <c r="I304" s="3">
        <f>997.7+(315-370.7)+(-1.526481+(-0.48195--0.567171))+0-0-0</f>
        <v>940.55873999999994</v>
      </c>
      <c r="J304" s="3">
        <f>1017.2+(304.4-385.8)+(0.518772+(0.155244-0.196758))+0-0-0</f>
        <v>936.27725799999996</v>
      </c>
      <c r="K304" s="3">
        <f>1032.3+(287-368.5)+(2.105892+(0.58548-0.75174))+0-0-0</f>
        <v>952.73963199999992</v>
      </c>
      <c r="L304" s="3">
        <f>1067.7+(265.3-345.2)+(-1.089054+(-0.270606--0.352104))+0-0-0</f>
        <v>986.79244400000005</v>
      </c>
      <c r="M304" s="3">
        <f>1182.5+(259.2-431.1)+(-0.603075+(-0.132192--0.219861))+0-0-0</f>
        <v>1010.0845939999999</v>
      </c>
      <c r="N304" s="3">
        <f>1258.8+(292.1-444.1)+(0+(0-0))+0-0-0</f>
        <v>1106.8</v>
      </c>
      <c r="O304" s="3">
        <f>1262.5+(313.1-401.4)+(0.643875+(0.159681-0.204714))+0-0-0</f>
        <v>1174.7988420000001</v>
      </c>
      <c r="P304" s="3">
        <f>1266.2+(329.3-396.1)+(1.937286+(0.503829-0.606033))+0-0-0</f>
        <v>1201.2350820000001</v>
      </c>
      <c r="Q304" s="3">
        <f>1236+(347.5-394.6)+(-1.26072+(-0.35445--0.402492))+0-0-0</f>
        <v>1187.687322</v>
      </c>
      <c r="R304" s="3">
        <f>1236.9+(353.2-417.2)+(-1.261638+(-0.360264--0.425544))+0-0-0</f>
        <v>1171.7036420000002</v>
      </c>
      <c r="S304" s="3">
        <f>1236.5+(324.9-426.1)+(-0.630615+(-0.165699--0.217311))+0-0-0</f>
        <v>1134.7209969999999</v>
      </c>
      <c r="T304" s="3">
        <f>1246.8+(302-447.4)+(0+(0-0))+0-0-0</f>
        <v>1101.4000000000001</v>
      </c>
      <c r="U304" s="3">
        <f>1233+(301-441.5)+(-1.25766+(-0.30702--0.45033))+0-0-0</f>
        <v>1091.3856499999999</v>
      </c>
      <c r="V304" s="3">
        <f>1243.1+(293.5-390.5)+(0+(0-0))+0-0-0</f>
        <v>1146.0999999999999</v>
      </c>
      <c r="W304" s="3">
        <f>1237.7+(297.9-220.4)+(-0.631227+(-0.151929--0.112404))+0-0-0</f>
        <v>1314.5292480000001</v>
      </c>
      <c r="X304" s="3">
        <f>1225.9+(305.4-169.3)+(-1.875627+(-0.467262--0.259029))+0-0-0</f>
        <v>1359.91614</v>
      </c>
      <c r="Y304" s="3">
        <f>1233.4+(294.5-193)+(-1.258068+(-0.30039--0.19686))+0-0-0</f>
        <v>1333.5384020000001</v>
      </c>
      <c r="Z304" s="3">
        <f>1249.6+(304.2-256.6)+(0.637296+(0.155142-0.130866))+0-0-0</f>
        <v>1297.8615719999998</v>
      </c>
      <c r="AA304" s="3">
        <f>1239.3+(319.1-309)+(-0.632043+(-0.162741--0.15759))+0-0-0</f>
        <v>1248.7628060000002</v>
      </c>
      <c r="AB304" s="3">
        <f>1219+(336-356.8)+(-3.10845+(-0.8568--0.90984))+0-0-0</f>
        <v>1195.1445900000001</v>
      </c>
      <c r="AC304" s="3">
        <f>1219.7+(320.9-408.1)+(-3.110235+(-0.818295--1.040655))+0-0-0</f>
        <v>1129.6121250000001</v>
      </c>
      <c r="AD304" s="2">
        <v>1366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1223.1+(284.5-454)+(-2.495124+(-0.58038--0.92616))+0-0-0</f>
        <v>1051.450656</v>
      </c>
      <c r="G305" s="3">
        <f>1221.2+(274.9-493.4)+(-3.11406+(-0.700995--1.25817))+0-0-0</f>
        <v>1000.1431150000001</v>
      </c>
      <c r="H305" s="3">
        <f>1219+(259.1-507.1)+(-2.48676+(-0.528564--1.034484))+0-0-0</f>
        <v>969.01916000000006</v>
      </c>
      <c r="I305" s="3">
        <f>1242.6+(262.4-552.3)+(0.633726+(0.133824-0.281673))+0-0-0</f>
        <v>953.18587699999989</v>
      </c>
      <c r="J305" s="3">
        <f>1236.5+(257.9-549.8)+(-0.630615+(-0.131529--0.280398))+0-0-0</f>
        <v>944.11825399999998</v>
      </c>
      <c r="K305" s="3">
        <f>1246+(236.4-534)+(1.27092+(0.241128-0.54468))+0-0-0</f>
        <v>949.36736799999994</v>
      </c>
      <c r="L305" s="3">
        <f>1227.6+(221.9-493.7)+(-1.252152+(-0.226338--0.503574))+0-0-0</f>
        <v>954.82508399999995</v>
      </c>
      <c r="M305" s="3">
        <f>1220.8+(205.8-517.5)+(-1.867824+(-0.314874--0.791775))+0-0-0</f>
        <v>907.70907699999987</v>
      </c>
      <c r="N305" s="3">
        <f>1234.1+(210.8-500.5)+(-0.629391+(-0.107508--0.255255))+0-0-0</f>
        <v>943.9183559999999</v>
      </c>
      <c r="O305" s="3">
        <f>1243.4+(222.6-470.4)+(1.268268+(0.227052-0.479808))+0-0-0</f>
        <v>996.61551200000008</v>
      </c>
      <c r="P305" s="3">
        <f>1237.6+(240.1-445.4)+(0+(0-0))+0-0-0</f>
        <v>1032.3</v>
      </c>
      <c r="Q305" s="3">
        <f>1220.6+(249.2-440.8)+(-1.867518+(-0.381276--0.674424))+0-0-0</f>
        <v>1027.42563</v>
      </c>
      <c r="R305" s="3">
        <f>1235.9+(235.6-462.8)+(0+(0-0))+0-0-0</f>
        <v>1008.7</v>
      </c>
      <c r="S305" s="3">
        <f>1226.9+(248.1-486.9)+(-0.625719+(-0.126531--0.248319))+0-0-0</f>
        <v>987.59606900000017</v>
      </c>
      <c r="T305" s="3">
        <f>1243.3+(235.3-502.9)+(1.268166+(0.240006-0.512958))+0-0-0</f>
        <v>976.69521400000008</v>
      </c>
      <c r="U305" s="3">
        <f>1224.6+(220.3-471.5)+(-1.249092+(-0.224706--0.48093))+0-0-0</f>
        <v>972.40713199999982</v>
      </c>
      <c r="V305" s="3">
        <f>1237.5+(228.1-454.9)+(-0.631125+(-0.116331--0.231999))+0-0-0</f>
        <v>1010.1845430000001</v>
      </c>
      <c r="W305" s="3">
        <f>1243.7+(271.7-319.4)+(0.634287+(0.138567-0.162894))+0-0-0</f>
        <v>1196.60996</v>
      </c>
      <c r="X305" s="3">
        <f>1288.7+(302.4-302.2)+(-1.314474+(-0.308448--0.308244))+0-0-0</f>
        <v>1287.5853220000001</v>
      </c>
      <c r="Y305" s="3">
        <f>1290.2+(309.7-316.9)+(0+(0-0))+0-0-0</f>
        <v>1283</v>
      </c>
      <c r="Z305" s="3">
        <f>1285.1+(307.1-317.1)+(-1.310802+(-0.313242--0.323442))+0-0-0</f>
        <v>1273.7993979999999</v>
      </c>
      <c r="AA305" s="3">
        <f>1241.2+(339.5-325.8)+(0.633012+(0.173145-0.166158))+0-0-0</f>
        <v>1255.5399990000001</v>
      </c>
      <c r="AB305" s="3">
        <f>1240.3+(332.7-375.5)+(1.265106+(0.339354-0.38301))+0-0-0</f>
        <v>1198.72145</v>
      </c>
      <c r="AC305" s="3">
        <f>1231.3+(312.2-426.6)+(-1.255926+(-0.318444--0.435132))+0-0-0</f>
        <v>1115.7607619999999</v>
      </c>
      <c r="AD305" s="2">
        <v>1304.2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1230.5+(310-497)+(0+(0-0))+0-0-0</f>
        <v>1043.5</v>
      </c>
      <c r="G306" s="3">
        <f>1235.7+(288.3-534.5)+(0.630207+(0.147033-0.272595))+0-0-0</f>
        <v>990.00464499999998</v>
      </c>
      <c r="H306" s="3">
        <f>1198.1+(292.3-525.3)+(-1.833093+(-0.447219--0.803709))+0-0-0</f>
        <v>963.62339699999995</v>
      </c>
      <c r="I306" s="3">
        <f>1221.4+(272.4-544)+(1.245828+(0.277848-0.55488))+0-0-0</f>
        <v>950.76879600000007</v>
      </c>
      <c r="J306" s="3">
        <f>1222.2+(275.7-549)+(1.246644+(0.281214-0.55998))+0-0-0</f>
        <v>949.86787800000013</v>
      </c>
      <c r="K306" s="3">
        <f>1225+(229-490.2)+(1.2495+(0.23358-0.500004))+0-0-0</f>
        <v>964.78307599999994</v>
      </c>
      <c r="L306" s="3">
        <f>1242+(225.4-438.6)+(0+(0-0))+0-0-0</f>
        <v>1028.8</v>
      </c>
      <c r="M306" s="3">
        <f>1401.7+(251.2-586.7)+(-0.714867+(-0.128112--0.299217))+0-0-0</f>
        <v>1065.656238</v>
      </c>
      <c r="N306" s="3">
        <f>1439+(318.2-613.5)+(0.73389+(0.162282-0.312885))+0-0-0</f>
        <v>1144.283287</v>
      </c>
      <c r="O306" s="3">
        <f>1619.6+(299.7-731.4)+(0+(0-0))+0-0-0</f>
        <v>1187.8999999999999</v>
      </c>
      <c r="P306" s="3">
        <f>1873+(290.3-954.1)+(0+(0-0))+0-0-0</f>
        <v>1209.2</v>
      </c>
      <c r="Q306" s="3">
        <f>1951+(297.2-1041.1)+(-0.99501+(-0.151572--0.530961))+0-0-0</f>
        <v>1206.4843790000002</v>
      </c>
      <c r="R306" s="3">
        <f>1942.2+(316.2-1086.5)+(-2.971566+(-0.483786--1.662345))+0-0-0</f>
        <v>1170.1069930000001</v>
      </c>
      <c r="S306" s="3">
        <f>1948.6+(346-1141.1)+(-0.993786+(-0.17646--0.581961))+0-0-0</f>
        <v>1152.911715</v>
      </c>
      <c r="T306" s="3">
        <f>1867.8+(355.4-1095.4)+(-1.905156+(-0.362508--1.117308))+0-0-0</f>
        <v>1126.6496439999996</v>
      </c>
      <c r="U306" s="3">
        <f>1890.7+(297.3-1071.7)+(1.928514+(0.303246-1.093134))+0-0-0</f>
        <v>1117.4386259999999</v>
      </c>
      <c r="V306" s="3">
        <f>1924.5+(227.6-1014.1)+(-0.981495+(-0.116076--0.517191))+0-0-0</f>
        <v>1137.4196199999999</v>
      </c>
      <c r="W306" s="3">
        <f>1927.8+(203.1-805.9)+(0+(0-0))+0-0-0</f>
        <v>1325</v>
      </c>
      <c r="X306" s="3">
        <f>1930.9+(166.7-697.8)+(-0.984759+(-0.085017--0.355878))+0-0-0</f>
        <v>1399.0861020000002</v>
      </c>
      <c r="Y306" s="3">
        <f>1907.3+(156.6-681)+(-2.918169+(-0.239598--1.04193))+0-0-0</f>
        <v>1380.784163</v>
      </c>
      <c r="Z306" s="3">
        <f>1931.3+(181.3-760.2)+(0+(0-0))+0-0-0</f>
        <v>1352.3999999999999</v>
      </c>
      <c r="AA306" s="3">
        <f>1936.1+(215.5-839.4)+(0+(0-0))+0-0-0</f>
        <v>1312.1999999999998</v>
      </c>
      <c r="AB306" s="3">
        <f>1826.3+(262.8-851)+(-3.725652+(-0.536112--1.73604))+0-0-0</f>
        <v>1235.5742759999998</v>
      </c>
      <c r="AC306" s="3">
        <f>1673.2+(293.2-825)+(-4.26666+(-0.74766--2.10375))+0-0-0</f>
        <v>1138.4894300000001</v>
      </c>
      <c r="AD306" s="2">
        <v>1423.9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1640.9+(240.7-827.4)+(0+(0-0))+0-0-0</f>
        <v>1054.2</v>
      </c>
      <c r="G307" s="3">
        <f>1554.5+(252.2-806.3)+(0.792795+(0.128622-0.411213))+0-0-0</f>
        <v>1000.9102040000001</v>
      </c>
      <c r="H307" s="3">
        <f>1435+(274.3-737.3)+(0+(0-0))+0-0-0</f>
        <v>972</v>
      </c>
      <c r="I307" s="3">
        <f>1372.8+(274.6-692.4)+(-2.100384+(-0.420138--1.059372))+0-0-0</f>
        <v>953.53885000000002</v>
      </c>
      <c r="J307" s="3">
        <f>1371.2+(256.8-678.8)+(-2.797248+(-0.523872--1.384752))+0-0-0</f>
        <v>947.26363200000003</v>
      </c>
      <c r="K307" s="3">
        <f>1421+(276.5-722)+(2.89884+(0.56406-1.47288))+0-0-0</f>
        <v>977.49001999999996</v>
      </c>
      <c r="L307" s="3">
        <f>1673.8+(189-817)+(-0.853638+(-0.09639--0.41667))+0-0-0</f>
        <v>1045.266642</v>
      </c>
      <c r="M307" s="3">
        <f>1800.1+(158.4-888.3)+(-1.836102+(-0.161568--0.906066))+0-0-0</f>
        <v>1069.1083959999999</v>
      </c>
      <c r="N307" s="3">
        <f>1820.1+(174.5-854.9)+(-0.928251+(-0.088995--0.435999))+0-0-0</f>
        <v>1139.1187529999997</v>
      </c>
      <c r="O307" s="3">
        <f>1837.5+(207-870.2)+(2.811375+(0.31671-1.331406))+0-0-0</f>
        <v>1176.096679</v>
      </c>
      <c r="P307" s="3">
        <f>1800.5+(238.2-860.2)+(1.83651+(0.242964-0.877404))+0-0-0</f>
        <v>1179.70207</v>
      </c>
      <c r="Q307" s="3">
        <f>1804.2+(293.1-923.3)+(-1.840284+(-0.298962--0.941766))+0-0-0</f>
        <v>1172.80252</v>
      </c>
      <c r="R307" s="3">
        <f>1797.6+(320.2-964.1)+(-3.667104+(-0.653208--1.966764))+0-0-0</f>
        <v>1151.3464519999998</v>
      </c>
      <c r="S307" s="3">
        <f>1767.8+(382.3-1046.7)+(1.803156+(0.389946-1.067634))+0-0-0</f>
        <v>1104.5254679999998</v>
      </c>
      <c r="T307" s="3">
        <f>1735.3+(402.9-1035)+(0.885003+(0.205479-0.52785))+0-0-0</f>
        <v>1103.7626319999997</v>
      </c>
      <c r="U307" s="3">
        <f>1736+(401.7-1018.5)+(-4.4268+(-1.024335--2.597175))+0-0-0</f>
        <v>1116.3460400000001</v>
      </c>
      <c r="V307" s="3">
        <f>1770.2+(279-899.4)+(0.902802+(0.14229-0.458694))+0-0-0</f>
        <v>1150.3863980000001</v>
      </c>
      <c r="W307" s="3">
        <f>1786.4+(160.2-623)+(2.733192+(0.245106-0.95319))+0-0-0</f>
        <v>1325.6251080000002</v>
      </c>
      <c r="X307" s="3">
        <f>1857+(131.4-596.2)+(-0.94707+(-0.067014--0.304062))+0-0-0</f>
        <v>1391.4899779999998</v>
      </c>
      <c r="Y307" s="3">
        <f>1876.7+(147.5-641.8)+(-2.871351+(-0.225675--0.981954))+0-0-0</f>
        <v>1380.284928</v>
      </c>
      <c r="Z307" s="3">
        <f>1873.8+(173.5-701)+(-2.866914+(-0.265455--1.07253))+0-0-0</f>
        <v>1344.2401609999999</v>
      </c>
      <c r="AA307" s="3">
        <f>1873.7+(236.1-798.6)+(-3.822348+(-0.481644--1.629144))+0-0-0</f>
        <v>1308.5251519999999</v>
      </c>
      <c r="AB307" s="3">
        <f>1840.3+(293.1-882.4)+(-2.815659+(-0.448443--1.350072))+0-0-0</f>
        <v>1249.0859700000001</v>
      </c>
      <c r="AC307" s="3">
        <f>1791.1+(321.4-960.3)+(-0.913461+(-0.163914--0.489753))+0-0-0</f>
        <v>1151.6123779999998</v>
      </c>
      <c r="AD307" s="2">
        <v>1413.5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1583.1+(237.5-797.5)+(0+(0-0))+0-0-0</f>
        <v>1023.0999999999999</v>
      </c>
      <c r="G308" s="3">
        <f>1432.2+(239.1-714.2)+(-2.921688+(-0.487764--1.456968))+0-0-0</f>
        <v>955.147516</v>
      </c>
      <c r="H308" s="3">
        <f>1458.9+(249.7-770.1)+(1.488078+(0.254694-0.785502))+0-0-0</f>
        <v>939.45726999999999</v>
      </c>
      <c r="I308" s="3">
        <f>1460.4+(253.9-775.7)+(0.744804+(0.129489-0.395607))+0-0-0</f>
        <v>939.07868600000006</v>
      </c>
      <c r="J308" s="3">
        <f>1445.9+(245.1-760.5)+(-0.737409+(-0.125001--0.387855))+0-0-0</f>
        <v>930.0254450000001</v>
      </c>
      <c r="K308" s="3">
        <f>1456.2+(270.7-777.8)+(0.742662+(0.138057-0.396678))+0-0-0</f>
        <v>949.58404100000018</v>
      </c>
      <c r="L308" s="3">
        <f>1593.6+(237-819.5)+(0+(0-0))+0-0-0</f>
        <v>1011.0999999999999</v>
      </c>
      <c r="M308" s="3">
        <f>1723.9+(236.2-907.3)+(3.516756+(0.481848-1.850892))+0-0-0</f>
        <v>1054.9477120000001</v>
      </c>
      <c r="N308" s="3">
        <f>1784.6+(231.3-904.3)+(1.820292+(0.235926-0.922386))+0-0-0</f>
        <v>1112.7338319999999</v>
      </c>
      <c r="O308" s="3">
        <f>1783.2+(289.5-916.4)+(-1.818864+(-0.29529--0.934728))+0-0-0</f>
        <v>1155.1205740000003</v>
      </c>
      <c r="P308" s="3">
        <f>1801.5+(297.2-934.9)+(0.918765+(0.151572-0.476799))+0-0-0</f>
        <v>1164.393538</v>
      </c>
      <c r="Q308" s="3">
        <f>1782+(304.2-929.8)+(-0.90882+(-0.155142--0.474198))+0-0-0</f>
        <v>1155.810236</v>
      </c>
      <c r="R308" s="3">
        <f>1745+(295.9-898.3)+(-3.5598+(-0.603636--1.832532))+0-0-0</f>
        <v>1140.269096</v>
      </c>
      <c r="S308" s="3">
        <f>1750.4+(294.6-919.3)+(-3.570816+(-0.600984--1.875372))+0-0-0</f>
        <v>1123.4035720000002</v>
      </c>
      <c r="T308" s="3">
        <f>1765.8+(311-961.5)+(-1.801116+(-0.31722--0.98073))+0-0-0</f>
        <v>1114.1623939999999</v>
      </c>
      <c r="U308" s="3">
        <f>1780.7+(304.8-978)+(-1.816314+(-0.310896--0.99756))+0-0-0</f>
        <v>1106.3703499999999</v>
      </c>
      <c r="V308" s="3">
        <f>1795.4+(214.3-888.3)+(0+(0-0))+0-0-0</f>
        <v>1121.4000000000001</v>
      </c>
      <c r="W308" s="3">
        <f>1842+(154.4-723)+(1.87884+(0.157488-0.73746))+0-0-0</f>
        <v>1274.6988680000002</v>
      </c>
      <c r="X308" s="3">
        <f>1874.4+(160.6-675.2)+(0+(0-0))+0-0-0</f>
        <v>1359.8000000000002</v>
      </c>
      <c r="Y308" s="3">
        <f>1874.5+(169.5-696.9)+(-1.91199+(-0.17289--0.710838))+0-0-0</f>
        <v>1345.725958</v>
      </c>
      <c r="Z308" s="3">
        <f>1877.2+(205.4-772.5)+(-4.78686+(-0.52377--1.969875))+0-0-0</f>
        <v>1306.759245</v>
      </c>
      <c r="AA308" s="3">
        <f>1877.3+(263.4-861.2)+(-0.957423+(-0.134334--0.439212))+0-0-0</f>
        <v>1278.8474550000001</v>
      </c>
      <c r="AB308" s="3">
        <f>1825.2+(301.3-913.7)+(-2.792556+(-0.460989--1.397961))+0-0-0</f>
        <v>1210.944416</v>
      </c>
      <c r="AC308" s="3">
        <f>1622.5+(306.8-813.6)+(-1.65495+(-0.312936--0.829872))+0-0-0</f>
        <v>1114.5619859999999</v>
      </c>
      <c r="AD308" s="2">
        <v>1392.6999999999998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1443.1+(273.5-708)+(-2.943924+(-0.55794--1.44432))+0-0-0</f>
        <v>1006.5424559999999</v>
      </c>
      <c r="G309" s="3">
        <f>1182.7+(325.8-553.5)+(-1.809531+(-0.498474--0.846855))+0-0-0</f>
        <v>953.53885000000002</v>
      </c>
      <c r="H309" s="3">
        <f>1075.4+(340.4-488.8)+(-0.548454+(-0.173604--0.249288))+0-0-0</f>
        <v>926.52723000000003</v>
      </c>
      <c r="I309" s="3">
        <f>1071.7+(348.6-508.9)+(-0.546567+(-0.177786--0.259539))+0-0-0</f>
        <v>910.93518600000004</v>
      </c>
      <c r="J309" s="3">
        <f>1065.1+(310.4-469.3)+(-1.086402+(-0.316608--0.478686))+0-0-0</f>
        <v>905.27567599999986</v>
      </c>
      <c r="K309" s="3">
        <f>1076+(279.6-432.8)+(1.09752+(0.285192-0.441456))+0-0-0</f>
        <v>923.74125599999991</v>
      </c>
      <c r="L309" s="3">
        <f>1286.2+(207.6-511)+(-1.311924+(-0.211752--0.52122))+0-0-0</f>
        <v>981.79754400000002</v>
      </c>
      <c r="M309" s="3">
        <f>1540.8+(305.9-816.8)+(2.357424+(0.468027-1.249704))+0-0-0</f>
        <v>1031.4757470000002</v>
      </c>
      <c r="N309" s="3">
        <f>1764+(312.8-966)+(2.69892+(0.478584-1.47798))+0-0-0</f>
        <v>1112.4995240000001</v>
      </c>
      <c r="O309" s="3">
        <f>1971.2+(287.3-1104.3)+(1.005312+(0.146523-0.563193))+0-0-0</f>
        <v>1154.788642</v>
      </c>
      <c r="P309" s="3">
        <f>1962.1+(276.6-1094.1)+(1.000671+(0.141066-0.557991))+0-0-0</f>
        <v>1145.1837459999999</v>
      </c>
      <c r="Q309" s="3">
        <f>1910.5+(291.4-1063.2)+(-6.820485+(-1.040298--3.795624))+0-0-0</f>
        <v>1134.6348409999998</v>
      </c>
      <c r="R309" s="3">
        <f>1970.7+(282.5-1126.5)+(-3.015171+(-0.432225--1.723545))+0-0-0</f>
        <v>1124.9761490000001</v>
      </c>
      <c r="S309" s="3">
        <f>1968.5+(271.5-1137)+(-6.02361+(-0.83079--3.47922))+0-0-0</f>
        <v>1099.62482</v>
      </c>
      <c r="T309" s="3">
        <f>2000.5+(268.6-1178)+(0+(0-0))+0-0-0</f>
        <v>1091.0999999999999</v>
      </c>
      <c r="U309" s="3">
        <f>2017+(253-1183.4)+(-2.05734+(-0.25806--1.207068))+0-0-0</f>
        <v>1085.4916679999999</v>
      </c>
      <c r="V309" s="3">
        <f>2064.1+(200.4-1150.8)+(0+(0-0))+0-0-0</f>
        <v>1113.6999999999998</v>
      </c>
      <c r="W309" s="3">
        <f>2163.2+(66.8-956.6)+(1.103232+(0.034068-0.487866))+0-0-0</f>
        <v>1274.0494339999996</v>
      </c>
      <c r="X309" s="3">
        <f>2210.5+(45-890.6)+(0+(0-0))+0-0-0</f>
        <v>1364.9</v>
      </c>
      <c r="Y309" s="3">
        <f>2191.2+(80.6-917.4)+(-4.470048+(-0.164424--1.871496))+0-0-0</f>
        <v>1351.6370239999999</v>
      </c>
      <c r="Z309" s="3">
        <f>2204.9+(129.3-1014.3)+(-2.248998+(-0.131886--1.034586))+0-0-0</f>
        <v>1318.5537020000002</v>
      </c>
      <c r="AA309" s="3">
        <f>2185+(204.5-1100.7)+(-6.6861+(-0.62577--3.368142))+0-0-0</f>
        <v>1284.856272</v>
      </c>
      <c r="AB309" s="3">
        <f>1936.8+(266-986.1)+(-3.951072+(-0.54264--2.011644))+0-0-0</f>
        <v>1214.2179319999998</v>
      </c>
      <c r="AC309" s="3">
        <f>1571.8+(269.9-743.1)+(-4.00809+(-0.688245--1.894905))+0-0-0</f>
        <v>1095.7985699999999</v>
      </c>
      <c r="AD309" s="2">
        <v>1396.5999999999997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1498.3+(289.6-759.6)+(-3.820665+(-0.73848--1.93698))+0-0-0</f>
        <v>1025.677835</v>
      </c>
      <c r="G310" s="3">
        <f>1504.8+(233-752.2)+(-1.534896+(-0.23766--0.767244))+0-0-0</f>
        <v>984.59468799999991</v>
      </c>
      <c r="H310" s="3">
        <f>1470.2+(249.1-751)+(-3.74901+(-0.635205--1.91505))+0-0-0</f>
        <v>965.83083500000009</v>
      </c>
      <c r="I310" s="3">
        <f>1457.6+(216.6-725.4)+(2.230128+(0.331398-1.109862))+0-0-0</f>
        <v>950.25166400000001</v>
      </c>
      <c r="J310" s="3">
        <f>1458.7+(219-736)+(2.231811+(0.33507-1.12608))+0-0-0</f>
        <v>943.14080100000001</v>
      </c>
      <c r="K310" s="3">
        <f>1469+(232-740.1)+(0+(0-0))+0-0-0</f>
        <v>960.9</v>
      </c>
      <c r="L310" s="3">
        <f>1725.5+(257.5-964.4)+(0+(0-0))+0-0-0</f>
        <v>1018.6</v>
      </c>
      <c r="M310" s="3">
        <f>1817.8+(280.8-1056.2)+(-0.927078+(-0.143208--0.538662))+0-0-0</f>
        <v>1041.8683759999999</v>
      </c>
      <c r="N310" s="3">
        <f>1890.2+(235-1017)+(-0.964002+(-0.11985--0.51867))+0-0-0</f>
        <v>1107.634818</v>
      </c>
      <c r="O310" s="3">
        <f>2041.3+(210.3-1100.8)+(-1.041063+(-0.107253--0.561408))+0-0-0</f>
        <v>1150.213092</v>
      </c>
      <c r="P310" s="3">
        <f>2216.7+(198.4-1250.5)+(2.261034+(0.202368-1.27551))+0-0-0</f>
        <v>1165.7878919999998</v>
      </c>
      <c r="Q310" s="3">
        <f>2212+(215.1-1266.8)+(-1.12812+(-0.109701--0.646068))+0-0-0</f>
        <v>1159.708247</v>
      </c>
      <c r="R310" s="3">
        <f>2168.5+(182.5-1206.5)+(-4.42374+(-0.3723--2.46126))+0-0-0</f>
        <v>1142.1652200000001</v>
      </c>
      <c r="S310" s="3">
        <f>2138.2+(214.7-1222.2)+(0+(0-0))+0-0-0</f>
        <v>1130.6999999999998</v>
      </c>
      <c r="T310" s="3">
        <f>2156.1+(210-1246.3)+(1.099611+(0.1071-0.635613))+0-0-0</f>
        <v>1120.3710979999998</v>
      </c>
      <c r="U310" s="3">
        <f>2117.2+(206.3-1219.3)+(-5.39886+(-0.526065--3.109215))+0-0-0</f>
        <v>1101.3842899999997</v>
      </c>
      <c r="V310" s="3">
        <f>2130.6+(179-1177.8)+(-2.173212+(-0.18258--1.201356))+0-0-0</f>
        <v>1130.6455639999999</v>
      </c>
      <c r="W310" s="3">
        <f>2242.1+(199.9-1136)+(3.430413+(0.305847-1.73808))+0-0-0</f>
        <v>1307.99818</v>
      </c>
      <c r="X310" s="3">
        <f>2221.9+(193.3-1010.6)+(-1.133169+(-0.098583--0.515406))+0-0-0</f>
        <v>1403.8836540000002</v>
      </c>
      <c r="Y310" s="3">
        <f>2229.9+(201-1050.6)+(-1.137249+(-0.10251--0.535806))+0-0-0</f>
        <v>1379.5960470000002</v>
      </c>
      <c r="Z310" s="3">
        <f>2231.2+(210.2-1090.5)+(-1.137912+(-0.107202--0.556155))+0-0-0</f>
        <v>1350.2110409999998</v>
      </c>
      <c r="AA310" s="3">
        <f>2218.5+(212.1-1125.1)+(-3.394305+(-0.324513--1.721403))+0-0-0</f>
        <v>1303.502585</v>
      </c>
      <c r="AB310" s="3">
        <f>2203.1+(215.5-1169.9)+(-5.617905+(-0.549525--2.983245))+0-0-0</f>
        <v>1245.5158149999997</v>
      </c>
      <c r="AC310" s="3">
        <f>2005.1+(242.4-1083.6)+(-5.113005+(-0.61812--2.76318))+0-0-0</f>
        <v>1160.932055</v>
      </c>
      <c r="AD310" s="2">
        <v>1417.3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1455.6+(290.4-704.5)+(-0.742356+(-0.148104--0.359295))+0-0-0</f>
        <v>1040.9688349999999</v>
      </c>
      <c r="G311" s="3">
        <f>1337.3+(299.1-651.5)+(-2.728092+(-0.610164--1.32906))+0-0-0</f>
        <v>982.890804</v>
      </c>
      <c r="H311" s="3">
        <f>1349.4+(279.2-675.6)+(0+(0-0))+0-0-0</f>
        <v>953</v>
      </c>
      <c r="I311" s="3">
        <f>1341.4+(239-643.8)+(-2.052342+(-0.36567--0.985014))+0-0-0</f>
        <v>935.16700200000014</v>
      </c>
      <c r="J311" s="3">
        <f>1361.7+(209.6-637.6)+(0.694467+(0.106896-0.325176))+0-0-0</f>
        <v>934.17618700000003</v>
      </c>
      <c r="K311" s="3">
        <f>1387+(226.9-664.3)+(1.41474+(0.231438-0.677586))+0-0-0</f>
        <v>950.56859199999997</v>
      </c>
      <c r="L311" s="3">
        <f>1480.2+(204.9-704.5)+(0+(0-0))+0-0-0</f>
        <v>980.6</v>
      </c>
      <c r="M311" s="3">
        <f>1673.2+(238.9-909.1)+(1.706664+(0.243678-0.927282))+0-0-0</f>
        <v>1004.02306</v>
      </c>
      <c r="N311" s="3">
        <f>1728.9+(252.6-896.2)+(0.881739+(0.128826-0.457062))+0-0-0</f>
        <v>1085.8535030000003</v>
      </c>
      <c r="O311" s="3">
        <f>1861+(230.1-956.1)+(0+(0-0))+0-0-0</f>
        <v>1135</v>
      </c>
      <c r="P311" s="3">
        <f>1857.1+(215.9-923.8)+(0.947121+(0.110109-0.471138))+0-0-0</f>
        <v>1149.7860919999998</v>
      </c>
      <c r="Q311" s="3">
        <f>1850.8+(220.9-918.7)+(-2.831724+(-0.337977--1.405611))+0-0-0</f>
        <v>1151.2359100000001</v>
      </c>
      <c r="R311" s="3">
        <f>1858.1+(236.1-938.8)+(-3.790524+(-0.481644--1.915152))+0-0-0</f>
        <v>1153.0429840000002</v>
      </c>
      <c r="S311" s="3">
        <f>1863.3+(233.8-972.8)+(-0.950283+(-0.119238--0.496128))+0-0-0</f>
        <v>1123.7266070000001</v>
      </c>
      <c r="T311" s="3">
        <f>1859.6+(226.7-998.3)+(-3.793584+(-0.462468--2.036532))+0-0-0</f>
        <v>1085.7804799999999</v>
      </c>
      <c r="U311" s="3">
        <f>1838.8+(234.7-1005.4)+(-5.626728+(-0.718182--3.076524))+0-0-0</f>
        <v>1064.8316139999999</v>
      </c>
      <c r="V311" s="3">
        <f>1868.6+(217.2-987.3)+(0.952986+(0.110772-0.503523))+0-0-0</f>
        <v>1099.0602349999999</v>
      </c>
      <c r="W311" s="3">
        <f>1879.8+(167.3-799.1)+(1.917396+(0.170646-0.815082))+0-0-0</f>
        <v>1249.27296</v>
      </c>
      <c r="X311" s="3">
        <f>1887.8+(179.9-718.6)+(0.962778+(0.091749-0.366486))+0-0-0</f>
        <v>1349.788041</v>
      </c>
      <c r="Y311" s="3">
        <f>1858+(184.5-717.4)+(-4.7379+(-0.470475--1.82937))+0-0-0</f>
        <v>1321.7209949999999</v>
      </c>
      <c r="Z311" s="3">
        <f>1857.8+(197.5-765.7)+(-3.789912+(-0.4029--1.562028))+0-0-0</f>
        <v>1286.969216</v>
      </c>
      <c r="AA311" s="3">
        <f>1896.9+(223.2-856)+(1.934838+(0.227664-0.87312))+0-0-0</f>
        <v>1265.3893820000001</v>
      </c>
      <c r="AB311" s="3">
        <f>1868.9+(252.4-902.1)+(-2.859417+(-0.386172--1.380213))+0-0-0</f>
        <v>1217.3346240000001</v>
      </c>
      <c r="AC311" s="3">
        <f>1873.2+(264.1-987.8)+(0+(0-0))+0-0-0</f>
        <v>1149.5</v>
      </c>
      <c r="AD311" s="2">
        <v>1351.5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1729.9+(216.6-889.6)+(-1.764498+(-0.220932--0.907392))+0-0-0</f>
        <v>1055.821962</v>
      </c>
      <c r="G312" s="3">
        <f>1637+(100.5-745.1)+(-3.33948+(-0.20502--1.520004))+0-0-0</f>
        <v>990.37550399999998</v>
      </c>
      <c r="H312" s="3">
        <f>1474.5+(28.7-554.4)+(-3.00798+(-0.058548--1.130976))+0-0-0</f>
        <v>946.86444800000004</v>
      </c>
      <c r="I312" s="3">
        <f>1305.4+(58.6-436)+(-0.665754+(-0.029886--0.22236))+0-0-0</f>
        <v>927.52672000000007</v>
      </c>
      <c r="J312" s="3">
        <f>1285.4+(63.7-434.1)+(0+(0-0))+0-0-0</f>
        <v>915</v>
      </c>
      <c r="K312" s="3">
        <f>1291.8+(69.4-439.1)+(1.976454+(0.106182-0.671823))+0-0-0</f>
        <v>923.51081299999987</v>
      </c>
      <c r="L312" s="3">
        <f>1327+(64.6-467.4)+(-3.38385+(-0.16473--1.19187))+0-0-0</f>
        <v>921.84329000000002</v>
      </c>
      <c r="M312" s="3">
        <f>1508.3+(25-651.9)+(-3.846165+(-0.06375--1.662345))+0-0-0</f>
        <v>879.15242999999998</v>
      </c>
      <c r="N312" s="3">
        <f>1550.3+(32.8-667.9)+(0.790653+(0.016728-0.340629))+0-0-0</f>
        <v>915.66675199999997</v>
      </c>
      <c r="O312" s="3">
        <f>1523.5+(36.8-606.6)+(-2.330955+(-0.056304--0.928098))+0-0-0</f>
        <v>952.24083899999994</v>
      </c>
      <c r="P312" s="3">
        <f>1565+(24.7-605)+(0+(0-0))+0-0-0</f>
        <v>984.7</v>
      </c>
      <c r="Q312" s="3">
        <f>1613.4+(24-637.2)+(-0.822834+(-0.01224--0.324972))+0-0-0</f>
        <v>999.68989800000008</v>
      </c>
      <c r="R312" s="3">
        <f>1676.2+(20.7-712.6)+(-1.709724+(-0.021114--0.726852))+0-0-0</f>
        <v>983.29601400000001</v>
      </c>
      <c r="S312" s="3">
        <f>1719.4+(20.7-771.6)+(-1.753788+(-0.021114--0.787032))+0-0-0</f>
        <v>967.51213000000007</v>
      </c>
      <c r="T312" s="3">
        <f>1743.9+(21.9-816.6)+(-0.889389+(-0.011169--0.416466))+0-0-0</f>
        <v>948.71590800000001</v>
      </c>
      <c r="U312" s="3">
        <f>1733.7+(39.8-826.9)+(-2.652561+(-0.060894--1.265157))+0-0-0</f>
        <v>945.151702</v>
      </c>
      <c r="V312" s="3">
        <f>1819.3+(40.9-868.4)+(-0.927843+(-0.020859--0.442884))+0-0-0</f>
        <v>991.29418199999998</v>
      </c>
      <c r="W312" s="3">
        <f>2065.8+(48.4-892.7)+(0+(0-0))+0-0-0</f>
        <v>1221.5</v>
      </c>
      <c r="X312" s="3">
        <f>2067.9+(64.9-855.3)+(-2.109258+(-0.066198--0.872406))+0-0-0</f>
        <v>1276.19695</v>
      </c>
      <c r="Y312" s="3">
        <f>2058.7+(67.4-842)+(-6.299622+(-0.206244--2.57652))+0-0-0</f>
        <v>1280.170654</v>
      </c>
      <c r="Z312" s="3">
        <f>2060.1+(61-859.1)+(-5.253255+(-0.15555--2.190705))+0-0-0</f>
        <v>1258.7819</v>
      </c>
      <c r="AA312" s="3">
        <f>1983.5+(50.5-809.1)+(-4.04634+(-0.10302--1.650564))+0-0-0</f>
        <v>1222.401204</v>
      </c>
      <c r="AB312" s="3">
        <f>1679.8+(72-582.5)+(-1.713396+(-0.07344--0.59415))+0-0-0</f>
        <v>1168.1073139999999</v>
      </c>
      <c r="AC312" s="3">
        <f>1369.4+(101.7-412.5)+(-2.793576+(-0.207468--0.8415))+0-0-0</f>
        <v>1056.440456</v>
      </c>
      <c r="AD312" s="2">
        <v>1260.3000000000002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1252.6+(65.5-356)+(-0.638826+(-0.033405--0.18156))+0-0-0</f>
        <v>961.60932899999989</v>
      </c>
      <c r="G313" s="3">
        <f>1136.4+(88.4-311.1)+(-1.738692+(-0.135252--0.475983))+0-0-0</f>
        <v>912.30203900000004</v>
      </c>
      <c r="H313" s="3">
        <f>1135.6+(82.1-320.9)+(-1.158312+(-0.083742--0.327318))+0-0-0</f>
        <v>895.88526400000001</v>
      </c>
      <c r="I313" s="3">
        <f>1128.8+(82.7-325.1)+(-2.302752+(-0.168708--0.663204))+0-0-0</f>
        <v>884.59174399999984</v>
      </c>
      <c r="J313" s="3">
        <f>1184.7+(72.3-365.2)+(-0.604197+(-0.036873--0.186252))+0-0-0</f>
        <v>891.34518200000002</v>
      </c>
      <c r="K313" s="3">
        <f>1247.7+(69.7-411.6)+(2.545308+(0.142188-0.839664))+0-0-0</f>
        <v>907.64783199999999</v>
      </c>
      <c r="L313" s="3">
        <f>1610.9+(32.6-663.3)+(0+(0-0))+0-0-0</f>
        <v>980.20000000000016</v>
      </c>
      <c r="M313" s="3">
        <f>2001.3+(8.5-977.8)+(-1.020663+(-0.004335--0.498678))+0-0-0</f>
        <v>1031.4736800000001</v>
      </c>
      <c r="N313" s="3">
        <f>2084+(25.8-1008.1)+(-1.06284+(-0.013158--0.514131))+0-0-0</f>
        <v>1101.1381329999999</v>
      </c>
      <c r="O313" s="3">
        <f>2078.1+(28.5-958)+(0+(0-0))+0-0-0</f>
        <v>1148.5999999999999</v>
      </c>
      <c r="P313" s="3">
        <f>2089.2+(28-962.1)+(1.065492+(0.01428-0.490671))+0-0-0</f>
        <v>1155.6891009999999</v>
      </c>
      <c r="Q313" s="3">
        <f>2068.3+(29.1-931.2)+(-2.109666+(-0.029682--0.949824))+0-0-0</f>
        <v>1165.0104760000004</v>
      </c>
      <c r="R313" s="3">
        <f>2048.6+(25.4-946.8)+(-6.268716+(-0.077724--2.897208))+0-0-0</f>
        <v>1123.7507679999999</v>
      </c>
      <c r="S313" s="3">
        <f>2046.2+(129.7-1067.6)+(-5.21781+(-0.330735--2.72238))+0-0-0</f>
        <v>1105.4738350000002</v>
      </c>
      <c r="T313" s="3">
        <f>2069.8+(178.1-1154.2)+(0+(0-0))+0-0-0</f>
        <v>1093.7000000000003</v>
      </c>
      <c r="U313" s="3">
        <f>2053.6+(209.3-1170.6)+(-3.142008+(-0.320229--1.791018))+0-0-0</f>
        <v>1090.6287809999999</v>
      </c>
      <c r="V313" s="3">
        <f>2076.2+(202.9-1172.6)+(3.176586+(0.310437-1.794078))+0-0-0</f>
        <v>1108.192945</v>
      </c>
      <c r="W313" s="3">
        <f>2093.9+(162-1017.4)+(4.271556+(0.33048-2.075496))+0-0-0</f>
        <v>1241.0265400000001</v>
      </c>
      <c r="X313" s="3">
        <f>2132.7+(152.5-931.9)+(-3.263031+(-0.233325--1.425807))+0-0-0</f>
        <v>1351.2294509999997</v>
      </c>
      <c r="Y313" s="3">
        <f>2132.9+(159.5-946.8)+(0+(0-0))+0-0-0</f>
        <v>1345.6000000000001</v>
      </c>
      <c r="Z313" s="3">
        <f>2136.9+(177-990.9)+(-2.179638+(-0.18054--1.010718))+0-0-0</f>
        <v>1321.6505400000001</v>
      </c>
      <c r="AA313" s="3">
        <f>2137.3+(176.6-1024.8)+(-3.270069+(-0.270198--1.567944))+0-0-0</f>
        <v>1287.1276770000004</v>
      </c>
      <c r="AB313" s="3">
        <f>1941.8+(198.5-918.3)+(-1.980636+(-0.20247--0.936666))+0-0-0</f>
        <v>1220.7535600000001</v>
      </c>
      <c r="AC313" s="3">
        <f>1765.3+(211-858.7)+(-3.601212+(-0.43044--1.751748))+0-0-0</f>
        <v>1115.3200959999999</v>
      </c>
      <c r="AD313" s="2">
        <v>1378.0999999999997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1468.4+(231.8-663)+(-2.995536+(-0.472872--1.35252))+0-0-0</f>
        <v>1035.084112</v>
      </c>
      <c r="G314" s="3">
        <f>1337.5+(236.1-590.4)+(-1.36425+(-0.240822--0.602208))+0-0-0</f>
        <v>982.197136</v>
      </c>
      <c r="H314" s="3">
        <f>1342.9+(250.6-637.3)+(-0.684879+(-0.127806--0.325023))+0-0-0</f>
        <v>955.71233800000016</v>
      </c>
      <c r="I314" s="3">
        <f>1347+(249.5-648)+(1.37394+(0.25449-0.66096))+0-0-0</f>
        <v>949.46747000000005</v>
      </c>
      <c r="J314" s="3">
        <f>1337.9+(254.2-647.6)+(-3.411645+(-0.64821--1.65138))+0-0-0</f>
        <v>942.09152500000005</v>
      </c>
      <c r="K314" s="3">
        <f>1352.6+(259.1-649.7)+(3.44913+(0.660705-1.656735))+0-0-0</f>
        <v>964.45309999999984</v>
      </c>
      <c r="L314" s="3">
        <f>1475.8+(249.7-705.6)+(0+(0-0))+0-0-0</f>
        <v>1019.8999999999999</v>
      </c>
      <c r="M314" s="3">
        <f>1619.7+(268.8-847.5)+(-2.478141+(-0.411264--1.296675))+0-0-0</f>
        <v>1039.4072699999999</v>
      </c>
      <c r="N314" s="3">
        <f>1969.6+(256.1-1102.5)+(-2.008992+(-0.261222--1.12455))+0-0-0</f>
        <v>1122.0543359999999</v>
      </c>
      <c r="O314" s="3">
        <f>2052.7+(254.1-1144.8)+(-3.140631+(-0.388773--1.751544))+0-0-0</f>
        <v>1160.2221400000001</v>
      </c>
      <c r="P314" s="3">
        <f>2070.8+(247.6-1145.6)+(-2.112216+(-0.252552--1.168512))+0-0-0</f>
        <v>1171.6037440000002</v>
      </c>
      <c r="Q314" s="3">
        <f>2041.4+(235.9-1106.3)+(-5.20557+(-0.601545--2.821065))+0-0-0</f>
        <v>1168.01395</v>
      </c>
      <c r="R314" s="3">
        <f>2040.3+(210.2-1110.2)+(-4.162212+(-0.428808--2.264808))+0-0-0</f>
        <v>1137.973788</v>
      </c>
      <c r="S314" s="3">
        <f>2045.9+(207-1104.4)+(-4.173636+(-0.42228--2.252976))+0-0-0</f>
        <v>1146.15706</v>
      </c>
      <c r="T314" s="3">
        <f>2058.7+(203.6-1133.6)+(-2.099874+(-0.207672--1.156272))+0-0-0</f>
        <v>1127.5487259999998</v>
      </c>
      <c r="U314" s="3">
        <f>2073.1+(190.6-1144.3)+(2.114562+(0.194412-1.167186))+0-0-0</f>
        <v>1120.541788</v>
      </c>
      <c r="V314" s="3">
        <f>2077.8+(197.7-1130.1)+(1.059678+(0.100827-0.576351))+0-0-0</f>
        <v>1145.9841540000002</v>
      </c>
      <c r="W314" s="3">
        <f>2105.7+(234.2-1034)+(2.147814+(0.238884-1.05468))+0-0-0</f>
        <v>1307.2320179999999</v>
      </c>
      <c r="X314" s="3">
        <f>2140.2+(235.8-960.3)+(-6.549012+(-0.721548--2.938518))+0-0-0</f>
        <v>1411.3679579999998</v>
      </c>
      <c r="Y314" s="3">
        <f>2143.1+(233.5-968.9)+(-5.464905+(-0.595425--2.470695))+0-0-0</f>
        <v>1404.1103649999998</v>
      </c>
      <c r="Z314" s="3">
        <f>2145.8+(249.1-1019.8)+(-3.283074+(-0.381123--1.560294))+0-0-0</f>
        <v>1372.9960970000004</v>
      </c>
      <c r="AA314" s="3">
        <f>2138.8+(231.2-1042.2)+(-1.090788+(-0.117912--0.531522))+0-0-0</f>
        <v>1327.1228220000003</v>
      </c>
      <c r="AB314" s="3">
        <f>1984+(214.9-934.1)+(-2.02368+(-0.219198--0.952782))+0-0-0</f>
        <v>1263.509904</v>
      </c>
      <c r="AC314" s="3">
        <f>1569.2+(225.1-660.5)+(-4.00146+(-0.574005--1.684275))+0-0-0</f>
        <v>1130.9088100000001</v>
      </c>
      <c r="AD314" s="2">
        <v>1412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1335.1+(252.1-551.7)+(-1.361802+(-0.257142--0.562734))+0-0-0</f>
        <v>1034.44379</v>
      </c>
      <c r="G315" s="3">
        <f>1332.8+(235.7-587.3)+(-2.039184+(-0.360621--0.898569))+0-0-0</f>
        <v>979.6987640000001</v>
      </c>
      <c r="H315" s="3">
        <f>1343.2+(223-603.7)+(0+(0-0))+0-0-0</f>
        <v>962.5</v>
      </c>
      <c r="I315" s="3">
        <f>1343.9+(222.3-610.6)+(-1.370778+(-0.226746--0.622812))+0-0-0</f>
        <v>954.62528800000018</v>
      </c>
      <c r="J315" s="3">
        <f>1350.9+(233.1-628.1)+(0.688959+(0.118881-0.320331))+0-0-0</f>
        <v>956.38750900000014</v>
      </c>
      <c r="K315" s="3">
        <f>1347+(248-621.3)+(-0.68697+(-0.12648--0.316863))+0-0-0</f>
        <v>973.20341300000007</v>
      </c>
      <c r="L315" s="3">
        <f>1454.3+(232.3-656.8)+(-0.741693+(-0.118473--0.334968))+0-0-0</f>
        <v>1029.2748019999999</v>
      </c>
      <c r="M315" s="3">
        <f>1825.4+(230.3-971.7)+(0+(0-0))+0-0-0</f>
        <v>1084</v>
      </c>
      <c r="N315" s="3">
        <f>2020.3+(223.8-1083.1)+(0+(0-0))+0-0-0</f>
        <v>1161</v>
      </c>
      <c r="O315" s="3">
        <f>2003.2+(229.2-1023.7)+(-2.043264+(-0.233784--1.044174))+0-0-0</f>
        <v>1207.467126</v>
      </c>
      <c r="P315" s="3">
        <f>2018.4+(224-1003.7)+(0+(0-0))+0-0-0</f>
        <v>1238.7</v>
      </c>
      <c r="Q315" s="3">
        <f>2017.7+(223.5-999.1)+(-1.029027+(-0.113985--0.509541))+0-0-0</f>
        <v>1241.4665289999998</v>
      </c>
      <c r="R315" s="3">
        <f>1978.3+(226.3-1002.4)+(-5.044665+(-0.577065--2.55612))+0-0-0</f>
        <v>1199.1343899999999</v>
      </c>
      <c r="S315" s="3">
        <f>2025.3+(226.7-1043.9)+(0+(0-0))+0-0-0</f>
        <v>1208.0999999999999</v>
      </c>
      <c r="T315" s="3">
        <f>2020+(232-1068.1)+(-1.0302+(-0.11832--0.544731))+0-0-0</f>
        <v>1183.2962110000001</v>
      </c>
      <c r="U315" s="3">
        <f>2006.5+(223.5-1060.7)+(-2.04663+(-0.22797--1.081914))+0-0-0</f>
        <v>1168.1073139999999</v>
      </c>
      <c r="V315" s="3">
        <f>2035.8+(227.5-1061.2)+(1.038258+(0.116025-0.541212))+0-0-0</f>
        <v>1202.7130709999999</v>
      </c>
      <c r="W315" s="3">
        <f>2064.6+(224.5-955.1)+(1.052946+(0.114495-0.487101))+0-0-0</f>
        <v>1334.6803399999999</v>
      </c>
      <c r="X315" s="3">
        <f>2071.5+(241.4-899.6)+(-4.22586+(-0.492456--1.835184))+0-0-0</f>
        <v>1410.416868</v>
      </c>
      <c r="Y315" s="3">
        <f>2046.5+(242-891.8)+(-4.17486+(-0.49368--1.819272))+0-0-0</f>
        <v>1393.8507320000001</v>
      </c>
      <c r="Z315" s="3">
        <f>1916+(271.4-836)+(-1.95432+(-0.276828--0.85272))+0-0-0</f>
        <v>1350.0215720000001</v>
      </c>
      <c r="AA315" s="3">
        <f>1850+(275.4-822)+(-1.887+(-0.280908--0.83844))+0-0-0</f>
        <v>1302.0705320000002</v>
      </c>
      <c r="AB315" s="3">
        <f>1831.8+(241.9-837.3)+(-2.802654+(-0.370107--1.281069))+0-0-0</f>
        <v>1234.5083080000002</v>
      </c>
      <c r="AC315" s="3">
        <f>1522.3+(267.2-641.3)+(-1.552746+(-0.272544--0.654126))+0-0-0</f>
        <v>1147.028836</v>
      </c>
      <c r="AD315" s="2">
        <v>1427.4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1361.2+(245.3-566.2)+(-3.47106+(-0.625515--1.44381))+0-0-0</f>
        <v>1037.6472349999999</v>
      </c>
      <c r="G316" s="3">
        <f>1302+(239.5-558.7)+(0+(0-0))+0-0-0</f>
        <v>982.8</v>
      </c>
      <c r="H316" s="3">
        <f>1143.3+(279-474)+(-2.915415+(-0.71145--1.2087))+0-0-0</f>
        <v>945.88183499999991</v>
      </c>
      <c r="I316" s="3">
        <f>1118.1+(284.7-470.9)+(-0.570231+(-0.145197--0.240159))+0-0-0</f>
        <v>931.42473099999984</v>
      </c>
      <c r="J316" s="3">
        <f>1127.9+(276.7-473.8)+(1.150458+(0.282234-0.483276))+0-0-0</f>
        <v>931.74941600000011</v>
      </c>
      <c r="K316" s="3">
        <f>1126.3+(281.8-472.5)+(1.148826+(0.287436-0.48195))+0-0-0</f>
        <v>936.55431199999987</v>
      </c>
      <c r="L316" s="3">
        <f>1120+(280.6-454)+(-1.7136+(-0.429318--0.69462))+0-0-0</f>
        <v>945.151702</v>
      </c>
      <c r="M316" s="3">
        <f>1192+(285.8-529.6)+(-1.21584+(-0.291516--0.540192))+0-0-0</f>
        <v>947.23283600000002</v>
      </c>
      <c r="N316" s="3">
        <f>1339.6+(297.1-620.6)+(-0.683196+(-0.151521--0.316506))+0-0-0</f>
        <v>1015.581789</v>
      </c>
      <c r="O316" s="3">
        <f>1475+(271.9-658.5)+(2.25675+(0.416007-1.007505))+0-0-0</f>
        <v>1090.0652520000001</v>
      </c>
      <c r="P316" s="3">
        <f>1610+(270.2-726.5)+(3.2844+(0.551208-1.48206))+0-0-0</f>
        <v>1156.0535480000001</v>
      </c>
      <c r="Q316" s="3">
        <f>1629.3+(256.7-716.8)+(-0.830943+(-0.130917--0.365568))+0-0-0</f>
        <v>1168.6037080000001</v>
      </c>
      <c r="R316" s="3">
        <f>1608.7+(268.2-706.6)+(-3.281748+(-0.547128--1.441464))+0-0-0</f>
        <v>1167.9125879999999</v>
      </c>
      <c r="S316" s="3">
        <f>1603.9+(263.3-738)+(-3.271956+(-0.537132--1.50552))+0-0-0</f>
        <v>1126.896432</v>
      </c>
      <c r="T316" s="3">
        <f>1628.2+(256.6-772)+(0+(0-0))+0-0-0</f>
        <v>1112.8000000000002</v>
      </c>
      <c r="U316" s="3">
        <f>1595+(259.7-735.6)+(-4.8807+(-0.794682--2.250936))+0-0-0</f>
        <v>1115.6755539999999</v>
      </c>
      <c r="V316" s="3">
        <f>1647.3+(252.4-722.5)+(0+(0-0))+0-0-0</f>
        <v>1177.1999999999998</v>
      </c>
      <c r="W316" s="3">
        <f>1664.9+(278.2-622.3)+(0+(0-0))+0-0-0</f>
        <v>1320.8000000000002</v>
      </c>
      <c r="X316" s="3">
        <f>1647.9+(298.3-564.8)+(-4.202145+(-0.760665--1.44024))+0-0-0</f>
        <v>1377.87743</v>
      </c>
      <c r="Y316" s="3">
        <f>1642.1+(300.5-587.4)+(-4.187355+(-0.766275--1.49787))+0-0-0</f>
        <v>1351.7442399999998</v>
      </c>
      <c r="Z316" s="3">
        <f>1661.1+(297.5-633.2)+(-1.694322+(-0.30345--0.645864))+0-0-0</f>
        <v>1324.0480919999998</v>
      </c>
      <c r="AA316" s="3">
        <f>1649.9+(288-640.6)+(-3.365796+(-0.58752--1.306824))+0-0-0</f>
        <v>1294.6535080000001</v>
      </c>
      <c r="AB316" s="3">
        <f>1631.9+(272.1-645)+(-0.832269+(-0.138771--0.32895))+0-0-0</f>
        <v>1258.3579099999999</v>
      </c>
      <c r="AC316" s="3">
        <f>1362.4+(283.6-486.3)+(-2.779296+(-0.578544--0.992052))+0-0-0</f>
        <v>1157.334212</v>
      </c>
      <c r="AD316" s="2">
        <v>1381.7000000000003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1231.1+(282.1-449.8)+(-0.627861+(-0.143871--0.229398))+0-0-0</f>
        <v>1062.8576659999999</v>
      </c>
      <c r="G317" s="3">
        <f>1184+(278.2-454.6)+(-0.60384+(-0.141882--0.231846))+0-0-0</f>
        <v>1007.0861239999999</v>
      </c>
      <c r="H317" s="3">
        <f>1331.7+(223-575.5)+(0+(0-0))+0-0-0</f>
        <v>979.2</v>
      </c>
      <c r="I317" s="3">
        <f>1352.1+(233.7-619.7)+(-0.689571+(-0.119187--0.316047))+0-0-0</f>
        <v>965.60728899999992</v>
      </c>
      <c r="J317" s="3">
        <f>1352.1+(236.8-623)+(-2.068713+(-0.362304--0.95319))+0-0-0</f>
        <v>964.42217299999982</v>
      </c>
      <c r="K317" s="3">
        <f>1448.3+(217.1-685)+(0.738633+(0.110721-0.34935))+0-0-0</f>
        <v>980.90000399999997</v>
      </c>
      <c r="L317" s="3">
        <f>1599.6+(209.7-779.6)+(-1.631592+(-0.213894--0.795192))+0-0-0</f>
        <v>1028.6497059999999</v>
      </c>
      <c r="M317" s="3">
        <f>1808.9+(230.3-945.2)+(-2.767617+(-0.352359--1.446156))+0-0-0</f>
        <v>1092.32618</v>
      </c>
      <c r="N317" s="3">
        <f>1935.8+(261.5-1015)+(-1.974516+(-0.26673--1.0353))+0-0-0</f>
        <v>1181.0940539999999</v>
      </c>
      <c r="O317" s="3">
        <f>2074+(262.6-1089.9)+(-1.05774+(-0.133926--0.555849))+0-0-0</f>
        <v>1246.0641829999997</v>
      </c>
      <c r="P317" s="3">
        <f>2064.7+(272.8-1078.2)+(-3.158991+(-0.417384--1.649646))+0-0-0</f>
        <v>1257.3732709999997</v>
      </c>
      <c r="Q317" s="3">
        <f>2083+(273.5-1073.9)+(0+(0-0))+0-0-0</f>
        <v>1282.5999999999999</v>
      </c>
      <c r="R317" s="3">
        <f>2057.5+(273-1064.4)+(-4.1973+(-0.55692--2.171376))+0-0-0</f>
        <v>1263.5171559999999</v>
      </c>
      <c r="S317" s="3">
        <f>2055.3+(264.1-1081.4)+(-4.192812+(-0.538764--2.206056))+0-0-0</f>
        <v>1235.4744800000001</v>
      </c>
      <c r="T317" s="3">
        <f>2077.9+(255.8-1120.8)+(1.059729+(0.130458-0.571608))+0-0-0</f>
        <v>1213.518579</v>
      </c>
      <c r="U317" s="3">
        <f>2060.7+(263.1-1117.2)+(-4.203828+(-0.536724--2.279088))+0-0-0</f>
        <v>1204.1385359999999</v>
      </c>
      <c r="V317" s="3">
        <f>2068.8+(262.3-1095.6)+(-1.055088+(-0.133773--0.558756))+0-0-0</f>
        <v>1234.8698950000003</v>
      </c>
      <c r="W317" s="3">
        <f>2089.2+(252.8-1037.3)+(2.130984+(0.257856-1.058046))+0-0-0</f>
        <v>1306.0307939999998</v>
      </c>
      <c r="X317" s="3">
        <f>2097.5+(257.8-908.1)+(-1.069725+(-0.131478--0.463131))+0-0-0</f>
        <v>1446.4619279999999</v>
      </c>
      <c r="Y317" s="3">
        <f>2085.7+(260.7-917.8)+(-3.191121+(-0.398871--1.404234))+0-0-0</f>
        <v>1426.4142419999998</v>
      </c>
      <c r="Z317" s="3">
        <f>2108.2+(249.7-976.3)+(1.075182+(0.127347-0.497913))+0-0-0</f>
        <v>1382.3046159999999</v>
      </c>
      <c r="AA317" s="3">
        <f>2086.7+(251.3-994.2)+(-3.192651+(-0.384489--1.521126))+0-0-0</f>
        <v>1341.7439859999997</v>
      </c>
      <c r="AB317" s="3">
        <f>2051.1+(235.2-993.6)+(-5.230305+(-0.59976--2.53368))+0-0-0</f>
        <v>1289.4036149999997</v>
      </c>
      <c r="AC317" s="3">
        <f>1744.7+(232.6-783.6)+(-1.779594+(-0.237252--0.799272))+0-0-0</f>
        <v>1192.482426</v>
      </c>
      <c r="AD317" s="2">
        <v>1451.1999999999998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1509.3+(221.4-653.2)+(-3.078972+(-0.451656--1.332528))+0-0-0</f>
        <v>1075.3018999999999</v>
      </c>
      <c r="G318" s="3">
        <f>1414.1+(208.9-625.5)+(-1.442382+(-0.213078--0.63801))+0-0-0</f>
        <v>996.48254999999983</v>
      </c>
      <c r="H318" s="3">
        <f>1354.5+(235.2-633.7)+(0+(0-0))+0-0-0</f>
        <v>956</v>
      </c>
      <c r="I318" s="3">
        <f>1355.5+(232.7-646.4)+(-0.691305+(-0.118677--0.329664))+0-0-0</f>
        <v>941.31968199999994</v>
      </c>
      <c r="J318" s="3">
        <f>1356.4+(222.2-641.8)+(0+(0-0))+0-0-0</f>
        <v>936.80000000000018</v>
      </c>
      <c r="K318" s="3">
        <f>1415+(194.4-665.3)+(0.72165+(0.099144-0.339303))+0-0-0</f>
        <v>944.58149100000003</v>
      </c>
      <c r="L318" s="3">
        <f>1662.9+(206.4-893.7)+(-1.696158+(-0.210528--0.911574))+0-0-0</f>
        <v>974.60488800000007</v>
      </c>
      <c r="M318" s="3">
        <f>1794.1+(208.5-992.9)+(2.744973+(0.319005-1.519137))+0-0-0</f>
        <v>1011.244841</v>
      </c>
      <c r="N318" s="3">
        <f>1968.1+(223.9-1073.4)+(0+(0-0))+0-0-0</f>
        <v>1118.5999999999999</v>
      </c>
      <c r="O318" s="3">
        <f>2051.1+(224.5-1090.9)+(1.046061+(0.114495-0.556359))+0-0-0</f>
        <v>1185.3041969999999</v>
      </c>
      <c r="P318" s="3">
        <f>2056.2+(220.2-1075.3)+(0+(0-0))+0-0-0</f>
        <v>1201.0999999999999</v>
      </c>
      <c r="Q318" s="3">
        <f>2037.8+(221-1059.2)+(-2.078556+(-0.22542--1.080384))+0-0-0</f>
        <v>1198.3764079999999</v>
      </c>
      <c r="R318" s="3">
        <f>2025.4+(214.1-1073.7)+(-4.131816+(-0.436764--2.190348))+0-0-0</f>
        <v>1163.4217680000002</v>
      </c>
      <c r="S318" s="3">
        <f>2062+(204.9-1143.9)+(2.10324+(0.208998-1.166778))+0-0-0</f>
        <v>1124.14546</v>
      </c>
      <c r="T318" s="3">
        <f>2048.6+(194.1-1146)+(-2.089572+(-0.197982--1.16892))+0-0-0</f>
        <v>1095.5813659999999</v>
      </c>
      <c r="U318" s="3">
        <f>2069.8+(206.6-1180.5)+(4.222392+(0.421464-2.40822))+0-0-0</f>
        <v>1098.1356360000002</v>
      </c>
      <c r="V318" s="3">
        <f>2051.8+(207.2-1128.3)+(0+(0-0))+0-0-0</f>
        <v>1130.7000000000003</v>
      </c>
      <c r="W318" s="3">
        <f>2095.4+(181-1006.4)+(-1.068654+(-0.09231--0.513264))+0-0-0</f>
        <v>1269.3523</v>
      </c>
      <c r="X318" s="3">
        <f>2091.6+(167.8-921.1)+(-2.133432+(-0.171156--0.939522))+0-0-0</f>
        <v>1336.9349339999999</v>
      </c>
      <c r="Y318" s="3">
        <f>2067.5+(176.8-926)+(-6.32655+(-0.541008--2.83356))+0-0-0</f>
        <v>1314.2660019999998</v>
      </c>
      <c r="Z318" s="3">
        <f>2108.9+(192.6-1005.4)+(2.151078+(0.196452-1.025508))+0-0-0</f>
        <v>1297.4220220000002</v>
      </c>
      <c r="AA318" s="3">
        <f>2014.8+(207.9-969.9)+(-5.13774+(-0.530145--2.473245))+0-0-0</f>
        <v>1249.60536</v>
      </c>
      <c r="AB318" s="3">
        <f>1855.2+(212.9-862.2)+(-3.784608+(-0.434316--1.758888))+0-0-0</f>
        <v>1203.4399640000001</v>
      </c>
      <c r="AC318" s="3">
        <f>1687.1+(202.7-764.9)+(-3.441684+(-0.413508--1.560396))+0-0-0</f>
        <v>1122.605204</v>
      </c>
      <c r="AD318" s="2">
        <v>1328.3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1434.3+(233-605.2)+(-2.194479+(-0.35649--0.925956))+0-0-0</f>
        <v>1060.4749869999998</v>
      </c>
      <c r="G319" s="3">
        <f>1337.5+(245.7-585.2)+(-3.410625+(-0.626535--1.49226))+0-0-0</f>
        <v>995.45510000000002</v>
      </c>
      <c r="H319" s="3">
        <f>1200.2+(260.1-496.6)+(1.224204+(0.265302-0.506532))+0-0-0</f>
        <v>964.68297400000006</v>
      </c>
      <c r="I319" s="3">
        <f>1117.4+(265.9-443)+(-0.569874+(-0.135609--0.22593))+0-0-0</f>
        <v>939.82044700000006</v>
      </c>
      <c r="J319" s="3">
        <f>1078.3+(268.8-422.1)+(-0.549933+(-0.137088--0.215271))+0-0-0</f>
        <v>924.52824999999996</v>
      </c>
      <c r="K319" s="3">
        <f>1129.7+(251.3-448.7)+(1.152294+(0.256326-0.457674))+0-0-0</f>
        <v>933.25094600000011</v>
      </c>
      <c r="L319" s="3">
        <f>1234.6+(241.7-537.5)+(-1.259292+(-0.246534--0.54825))+0-0-0</f>
        <v>937.84242399999994</v>
      </c>
      <c r="M319" s="3">
        <f>1262.7+(231.8-575.6)+(0+(0-0))+0-0-0</f>
        <v>918.90000000000009</v>
      </c>
      <c r="N319" s="3">
        <f>1401+(223.7-671.7)+(0.71451+(0.114087-0.342567))+0-0-0</f>
        <v>953.48603000000003</v>
      </c>
      <c r="O319" s="3">
        <f>1420+(224.9-624.9)+(0.7242+(0.114699-0.318699))+0-0-0</f>
        <v>1020.5202</v>
      </c>
      <c r="P319" s="3">
        <f>1390.9+(239.7-540.8)+(-2.128077+(-0.366741--0.827424))+0-0-0</f>
        <v>1088.1326060000001</v>
      </c>
      <c r="Q319" s="3">
        <f>1417.9+(245.5-548.2)+(-2.892516+(-0.50082--1.118328))+0-0-0</f>
        <v>1112.924992</v>
      </c>
      <c r="R319" s="3">
        <f>1436.3+(240.2-578.3)+(-0.732513+(-0.122502--0.294933))+0-0-0</f>
        <v>1097.6399180000001</v>
      </c>
      <c r="S319" s="3">
        <f>1458+(228.8-614.7)+(-2.97432+(-0.466752--1.253988))+0-0-0</f>
        <v>1069.912916</v>
      </c>
      <c r="T319" s="3">
        <f>1465.7+(214.5-633.6)+(-2.242521+(-0.328185--0.969408))+0-0-0</f>
        <v>1044.9987019999999</v>
      </c>
      <c r="U319" s="3">
        <f>1490.6+(216.5-670.5)+(2.280618+(0.331245-1.025865))+0-0-0</f>
        <v>1038.1859979999999</v>
      </c>
      <c r="V319" s="3">
        <f>1471.4+(256-668.9)+(-1.500828+(-0.26112--0.682278))+0-0-0</f>
        <v>1057.4203299999999</v>
      </c>
      <c r="W319" s="3">
        <f>1486.8+(229-542.6)+(-3.79134+(-0.58395--1.38363))+0-0-0</f>
        <v>1170.2083399999999</v>
      </c>
      <c r="X319" s="3">
        <f>1672.9+(220.7-607.1)+(-2.559537+(-0.337671--0.928863))+0-0-0</f>
        <v>1284.531655</v>
      </c>
      <c r="Y319" s="3">
        <f>1678+(222.5-618.5)+(-0.85578+(-0.113475--0.315435))+0-0-0</f>
        <v>1281.34618</v>
      </c>
      <c r="Z319" s="3">
        <f>1675.8+(235.2-642.2)+(-0.854658+(-0.119952--0.327522))+0-0-0</f>
        <v>1268.152912</v>
      </c>
      <c r="AA319" s="3">
        <f>1687.2+(279.9-726.4)+(0.860472+(0.142749-0.370464))+0-0-0</f>
        <v>1241.3327570000001</v>
      </c>
      <c r="AB319" s="3">
        <f>1591.2+(270.3-674.4)+(-2.434536+(-0.413559--1.031832))+0-0-0</f>
        <v>1185.2837370000002</v>
      </c>
      <c r="AC319" s="3">
        <f>1177.2+(316.7-399.5)+(-2.401488+(-0.646068--0.81498))+0-0-0</f>
        <v>1092.167424</v>
      </c>
      <c r="AD319" s="2">
        <v>1288.6999999999998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1108.7+(311.4-414.6)+(-2.261748+(-0.635256--0.845784))+0-0-0</f>
        <v>1003.4487800000001</v>
      </c>
      <c r="G320" s="3">
        <f>1113.1+(294-453.7)+(-0.567681+(-0.14994--0.231387))+0-0-0</f>
        <v>952.9137659999999</v>
      </c>
      <c r="H320" s="3">
        <f>1107.8+(280.8-465.8)+(-2.259912+(-0.572832--0.950232))+0-0-0</f>
        <v>920.91748799999993</v>
      </c>
      <c r="I320" s="3">
        <f>1084.6+(285.4-461.3)+(-0.553146+(-0.145554--0.235263))+0-0-0</f>
        <v>908.23656299999982</v>
      </c>
      <c r="J320" s="3">
        <f>1074.5+(277-449.5)+(2.739975+(0.70635-1.146225))+0-0-0</f>
        <v>904.30010000000004</v>
      </c>
      <c r="K320" s="3">
        <f>1072.7+(281.2-437)+(1.641231+(0.430236-0.66861))+0-0-0</f>
        <v>918.30285700000013</v>
      </c>
      <c r="L320" s="3">
        <f>1259.8+(274.5-561.2)+(1.927494+(0.419985-0.858636))+0-0-0</f>
        <v>974.58884299999988</v>
      </c>
      <c r="M320" s="3">
        <f>1517+(259.5-747.2)+(-2.32101+(-0.397035--1.143216))+0-0-0</f>
        <v>1027.725171</v>
      </c>
      <c r="N320" s="3">
        <f>1789.2+(273.5-924.6)+(1.824984+(0.27897-0.943092))+0-0-0</f>
        <v>1139.2608619999999</v>
      </c>
      <c r="O320" s="3">
        <f>1780+(264.4-865.1)+(0+(0-0))+0-0-0</f>
        <v>1179.3</v>
      </c>
      <c r="P320" s="3">
        <f>1794.8+(260.8-848.5)+(1.830696+(0.266016-0.86547))+0-0-0</f>
        <v>1208.331242</v>
      </c>
      <c r="Q320" s="3">
        <f>1812+(267.3-868.4)+(-1.84824+(-0.272646--0.885768))+0-0-0</f>
        <v>1209.664882</v>
      </c>
      <c r="R320" s="3">
        <f>1803.4+(272.9-892.7)+(-4.59867+(-0.695895--2.276385))+0-0-0</f>
        <v>1180.5818199999999</v>
      </c>
      <c r="S320" s="3">
        <f>1809.5+(272.8-904.3)+(-0.922845+(-0.139128--0.461193))+0-0-0</f>
        <v>1177.39922</v>
      </c>
      <c r="T320" s="3">
        <f>1799+(269.6-912.3)+(-4.58745+(-0.68748--2.326365))+0-0-0</f>
        <v>1153.3514350000003</v>
      </c>
      <c r="U320" s="3">
        <f>1788.6+(274.6-917.5)+(-1.824372+(-0.280092--0.93585))+0-0-0</f>
        <v>1144.5313859999999</v>
      </c>
      <c r="V320" s="3">
        <f>1808.2+(257.4-898.2)+(0.922182+(0.131274-0.458082))+0-0-0</f>
        <v>1167.9953740000001</v>
      </c>
      <c r="W320" s="3">
        <f>1808.5+(213.5-729)+(0+(0-0))+0-0-0</f>
        <v>1293</v>
      </c>
      <c r="X320" s="3">
        <f>1808.1+(264-670.1)+(-0.922131+(-0.13464--0.341751))+0-0-0</f>
        <v>1401.2849799999999</v>
      </c>
      <c r="Y320" s="3">
        <f>1790.4+(256.9-659)+(-5.478624+(-0.786114--2.01654))+0-0-0</f>
        <v>1384.0518020000002</v>
      </c>
      <c r="Z320" s="3">
        <f>1793.2+(260.5-696.1)+(-3.658128+(-0.53142--1.420044))+0-0-0</f>
        <v>1354.8304959999998</v>
      </c>
      <c r="AA320" s="3">
        <f>1800.3+(257.6-741.3)+(-0.918153+(-0.131376--0.378063))+0-0-0</f>
        <v>1315.9285339999999</v>
      </c>
      <c r="AB320" s="3">
        <f>1787.9+(246-770.2)+(-3.647316+(-0.50184--1.571208))+0-0-0</f>
        <v>1261.1220519999999</v>
      </c>
      <c r="AC320" s="3">
        <f>1777.3+(226.2-845.8)+(-2.719269+(-0.346086--1.294074))+0-0-0</f>
        <v>1155.928719</v>
      </c>
      <c r="AD320" s="2">
        <v>1406.6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1579.6+(208.4-734.2)+(-3.222384+(-0.425136--1.497768))+0-0-0</f>
        <v>1051.6502479999997</v>
      </c>
      <c r="G321" s="3">
        <f>1357.7+(240.1-605.2)+(-2.077281+(-0.367353--0.925956))+0-0-0</f>
        <v>991.081322</v>
      </c>
      <c r="H321" s="3">
        <f>1189.3+(290.9-522.8)+(0+(0-0))+0-0-0</f>
        <v>957.4</v>
      </c>
      <c r="I321" s="3">
        <f>1187+(288.1-556.5)+(-0.60537+(-0.146931--0.283815))+0-0-0</f>
        <v>918.13151400000004</v>
      </c>
      <c r="J321" s="3">
        <f>1188.9+(240.3-605.1)+(0.606339+(0.122553-0.308601))+0-0-0</f>
        <v>824.52029100000016</v>
      </c>
      <c r="K321" s="3">
        <f>1186.9+(237-625.4)+(1.210638+(0.24174-0.637908))+0-0-0</f>
        <v>799.31447000000014</v>
      </c>
      <c r="L321" s="3">
        <f>1299.2+(251.7-626.4)+(1.325184+(0.256734-0.638928))+0-0-0</f>
        <v>925.44299000000001</v>
      </c>
      <c r="M321" s="3">
        <f>1626.5+(242.1-785)+(0.829515+(0.123471-0.40035))+0-0-0</f>
        <v>1084.1526359999998</v>
      </c>
      <c r="N321" s="3">
        <f>1762.7+(254.5-910.9)+(-3.595908+(-0.51918--1.858236))+0-0-0</f>
        <v>1104.0431480000002</v>
      </c>
      <c r="O321" s="3">
        <f>1799.1+(252.2-853.9)+(2.752623+(0.385866-1.306467))+0-0-0</f>
        <v>1199.2320219999999</v>
      </c>
      <c r="P321" s="3">
        <f>1773.8+(246.5-792.5)+(-1.809276+(-0.25143--0.80835))+0-0-0</f>
        <v>1226.547644</v>
      </c>
      <c r="Q321" s="3">
        <f>1754.2+(261.1-755.3)+(-3.578568+(-0.532644--1.540812))+0-0-0</f>
        <v>1257.4295999999999</v>
      </c>
      <c r="R321" s="3">
        <f>1757.7+(264.9-795.7)+(-4.482135+(-0.675495--2.029035))+0-0-0</f>
        <v>1223.7714050000002</v>
      </c>
      <c r="S321" s="3">
        <f>1782.9+(262.9-833.1)+(0.909279+(0.134079-0.424881))+0-0-0</f>
        <v>1213.318477</v>
      </c>
      <c r="T321" s="3">
        <f>1777.1+(252-852.5)+(-1.812642+(-0.25704--0.86955))+0-0-0</f>
        <v>1175.399868</v>
      </c>
      <c r="U321" s="3">
        <f>1755.4+(227.4-815.6)+(-0.895254+(-0.115974--0.415956))+0-0-0</f>
        <v>1166.604728</v>
      </c>
      <c r="V321" s="3">
        <f>1741.2+(191.2-751.8)+(0+(0-0))+0-0-0</f>
        <v>1180.6000000000001</v>
      </c>
      <c r="W321" s="3">
        <f>1788.6+(205.7-719.9)+(0+(0-0))+0-0-0</f>
        <v>1274.3999999999999</v>
      </c>
      <c r="X321" s="3">
        <f>1799.3+(240.8-645.1)+(0.917643+(0.122808-0.329001))+0-0-0</f>
        <v>1395.71145</v>
      </c>
      <c r="Y321" s="3">
        <f>1777.4+(243.5-635.4)+(-2.719422+(-0.372555--0.972162))+0-0-0</f>
        <v>1383.380185</v>
      </c>
      <c r="Z321" s="3">
        <f>1786.4+(238.7-678.2)+(-1.822128+(-0.243474--0.691764))+0-0-0</f>
        <v>1345.5261620000001</v>
      </c>
      <c r="AA321" s="3">
        <f>1780.7+(237.3-706.1)+(-2.724471+(-0.363069--1.080333))+0-0-0</f>
        <v>1309.892793</v>
      </c>
      <c r="AB321" s="3">
        <f>1784.6+(273.3-799.5)+(-1.820292+(-0.278766--0.81549))+0-0-0</f>
        <v>1257.1164319999998</v>
      </c>
      <c r="AC321" s="3">
        <f>1746.2+(280.3-877.3)+(-4.45281+(-0.714765--2.237115))+0-0-0</f>
        <v>1146.26954</v>
      </c>
      <c r="AD321" s="2">
        <v>1409.2999999999997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1482+(325.9-755.2)+(-0.75582+(-0.166209--0.385152))+0-0-0</f>
        <v>1052.1631229999998</v>
      </c>
      <c r="G322" s="3">
        <f>1292+(340.1-644.2)+(0+(0-0))+0-0-0</f>
        <v>987.9</v>
      </c>
      <c r="H322" s="3">
        <f>1201.8+(317.6-565.1)+(0+(0-0))+0-0-0</f>
        <v>954.3</v>
      </c>
      <c r="I322" s="3">
        <f>1202.7+(279.9-531.5)+(0+(0-0))+0-0-0</f>
        <v>951.1</v>
      </c>
      <c r="J322" s="3">
        <f>1206+(278.3-542.7)+(2.46024+(0.567732-1.107108))+0-0-0</f>
        <v>943.52086399999996</v>
      </c>
      <c r="K322" s="3">
        <f>1230+(284.2-560.6)+(1.8819+(0.434826-0.857718))+0-0-0</f>
        <v>955.05900799999995</v>
      </c>
      <c r="L322" s="3">
        <f>1416.5+(265.8-669)+(1.44483+(0.271116-0.68238))+0-0-0</f>
        <v>1014.3335659999999</v>
      </c>
      <c r="M322" s="3">
        <f>1647.8+(236.1-829.6)+(-1.680756+(-0.240822--0.846192))+0-0-0</f>
        <v>1053.224614</v>
      </c>
      <c r="N322" s="3">
        <f>1864.9+(272-988.5)+(-2.853297+(-0.41616--1.512405))+0-0-0</f>
        <v>1146.6429480000002</v>
      </c>
      <c r="O322" s="3">
        <f>1971.9+(308.4-1098.2)+(1.005669+(0.157284-0.560082))+0-0-0</f>
        <v>1182.702871</v>
      </c>
      <c r="P322" s="3">
        <f>1962.6+(304.4-1075.5)+(0+(0-0))+0-0-0</f>
        <v>1191.5</v>
      </c>
      <c r="Q322" s="3">
        <f>1965.4+(351-1116.9)+(1.002354+(0.17901-0.569619))+0-0-0</f>
        <v>1200.1117449999999</v>
      </c>
      <c r="R322" s="3">
        <f>1945+(361.5-1159.6)+(-4.95975+(-0.921825--2.95698))+0-0-0</f>
        <v>1143.9754050000001</v>
      </c>
      <c r="S322" s="3">
        <f>1960.4+(343.4-1173.5)+(0+(0-0))+0-0-0</f>
        <v>1130.3000000000002</v>
      </c>
      <c r="T322" s="3">
        <f>1961.3+(329.8-1168.3)+(-1.000263+(-0.168198--0.595833))+0-0-0</f>
        <v>1122.2273720000001</v>
      </c>
      <c r="U322" s="3">
        <f>1951.6+(318.7-1145.1)+(-4.97658+(-0.812685--2.920005))+0-0-0</f>
        <v>1122.3307400000001</v>
      </c>
      <c r="V322" s="3">
        <f>1951.5+(275.4-1101.3)+(-2.985795+(-0.421362--1.684989))+0-0-0</f>
        <v>1123.8778319999999</v>
      </c>
      <c r="W322" s="3">
        <f>1948.6+(172.4-898.4)+(-0.993786+(-0.087924--0.458184))+0-0-0</f>
        <v>1221.9764739999998</v>
      </c>
      <c r="X322" s="3">
        <f>1950.4+(168.8-745.4)+(-2.984112+(-0.258264--1.140462))+0-0-0</f>
        <v>1371.6980860000001</v>
      </c>
      <c r="Y322" s="3">
        <f>1867.3+(194.5-746)+(-5.713938+(-0.59517--2.28276))+0-0-0</f>
        <v>1311.7736519999999</v>
      </c>
      <c r="Z322" s="3">
        <f>1919.9+(242-839.5)+(-2.937447+(-0.37026--1.284435))+0-0-0</f>
        <v>1320.3767280000002</v>
      </c>
      <c r="AA322" s="3">
        <f>1938.1+(316.1-961.6)+(-3.953724+(-0.644844--1.961664))+0-0-0</f>
        <v>1289.963096</v>
      </c>
      <c r="AB322" s="3">
        <f>1830.4+(319.8-908.2)+(-4.66752+(-0.81549--2.31591))+0-0-0</f>
        <v>1238.8329000000001</v>
      </c>
      <c r="AC322" s="3">
        <f>1707.4+(273.5-842.5)+(-1.741548+(-0.27897--0.85935))+0-0-0</f>
        <v>1137.238832</v>
      </c>
      <c r="AD322" s="2">
        <v>1422.8999999999999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1516.4+(335.3-798.1)+(-3.093456+(-0.684012--1.628124))+0-0-0</f>
        <v>1051.4506560000002</v>
      </c>
      <c r="G323" s="3">
        <f>1460.8+(323.1-772)+(-0.745008+(-0.164781--0.39372))+0-0-0</f>
        <v>1011.383931</v>
      </c>
      <c r="H323" s="3">
        <f>1459.3+(298.3-772.4)+(0+(0-0))+0-0-0</f>
        <v>985.2</v>
      </c>
      <c r="I323" s="3">
        <f>1456.6+(288.8-772.5)+(0+(0-0))+0-0-0</f>
        <v>972.89999999999986</v>
      </c>
      <c r="J323" s="3">
        <f>1456+(271.5-761.9)+(2.22768+(0.415395-1.165707))+0-0-0</f>
        <v>967.07736799999998</v>
      </c>
      <c r="K323" s="3">
        <f>1620.9+(227.1-848.8)+(-2.479977+(-0.347463--1.298664))+0-0-0</f>
        <v>997.67122400000017</v>
      </c>
      <c r="L323" s="3">
        <f>1745.6+(270.9-987)+(0+(0-0))+0-0-0</f>
        <v>1029.5</v>
      </c>
      <c r="M323" s="3">
        <f>1855.2+(326.2-1146.3)+(0+(0-0))+0-0-0</f>
        <v>1035.1000000000001</v>
      </c>
      <c r="N323" s="3">
        <f>1942.4+(347.2-1147.5)+(0+(0-0))+0-0-0</f>
        <v>1142.1000000000001</v>
      </c>
      <c r="O323" s="3">
        <f>1898+(376-1128.2)+(0+(0-0))+0-0-0</f>
        <v>1145.8</v>
      </c>
      <c r="P323" s="3">
        <f>1914.6+(377-1110.6)+(-2.929338+(-0.57681--1.699218))+0-0-0</f>
        <v>1179.19307</v>
      </c>
      <c r="Q323" s="3">
        <f>1912.2+(384.1-1107.8)+(-1.950444+(-0.391782--1.129956))+0-0-0</f>
        <v>1187.28773</v>
      </c>
      <c r="R323" s="3">
        <f>1913.6+(367.9-1119.9)+(-2.927808+(-0.562887--1.713447))+0-0-0</f>
        <v>1159.8227519999998</v>
      </c>
      <c r="S323" s="3">
        <f>1904.7+(363.1-1125.4)+(-2.914191+(-0.555543--1.721862))+0-0-0</f>
        <v>1140.6521280000002</v>
      </c>
      <c r="T323" s="3">
        <f>1915.5+(374.1-1160)+(-0.976905+(-0.190791--0.5916))+0-0-0</f>
        <v>1129.0239039999999</v>
      </c>
      <c r="U323" s="3">
        <f>1908.5+(367.8-1155.2)+(-1.94667+(-0.375156--1.178304))+0-0-0</f>
        <v>1119.9564779999998</v>
      </c>
      <c r="V323" s="3">
        <f>1909.7+(360.8-1135.1)+(-2.921841+(-0.552024--1.736703))+0-0-0</f>
        <v>1133.6628380000002</v>
      </c>
      <c r="W323" s="3">
        <f>1929.4+(191.3-865.2)+(0+(0-0))+0-0-0</f>
        <v>1255.5</v>
      </c>
      <c r="X323" s="3">
        <f>1950.5+(153-717.7)+(0+(0-0))+0-0-0</f>
        <v>1385.8</v>
      </c>
      <c r="Y323" s="3">
        <f>2023.7+(155.2-777.8)+(-6.192522+(-0.474912--2.380068))+0-0-0</f>
        <v>1396.8126340000001</v>
      </c>
      <c r="Z323" s="3">
        <f>2004.8+(192.1-832.6)+(0+(0-0))+0-0-0</f>
        <v>1364.3</v>
      </c>
      <c r="AA323" s="3">
        <f>1900.2+(287.5-869)+(-0.969102+(-0.146625--0.44319))+0-0-0</f>
        <v>1318.0274630000001</v>
      </c>
      <c r="AB323" s="3">
        <f>1781.5+(355.5-881.4)+(-1.81713+(-0.36261--0.899028))+0-0-0</f>
        <v>1254.3192879999999</v>
      </c>
      <c r="AC323" s="3">
        <f>1778.2+(329.1-949)+(-2.720646+(-0.503523--1.45197))+0-0-0</f>
        <v>1156.5278010000002</v>
      </c>
      <c r="AD323" s="2">
        <v>1391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1557.5+(279.4-781.4)+(-3.971625+(-0.71247--1.99257))+0-0-0</f>
        <v>1052.808475</v>
      </c>
      <c r="G324" s="3">
        <f>1315.8+(295.4-617.2)+(-2.684232+(-0.602616--1.259088))+0-0-0</f>
        <v>991.97223999999994</v>
      </c>
      <c r="H324" s="3">
        <f>1247.3+(319.9-608.3)+(-0.636123+(-0.163149--0.310233))+0-0-0</f>
        <v>958.41096099999993</v>
      </c>
      <c r="I324" s="3">
        <f>1247.6+(309.1-609.2)+(0+(0-0))+0-0-0</f>
        <v>947.49999999999989</v>
      </c>
      <c r="J324" s="3">
        <f>1246.2+(294.9-593)+(0+(0-0))+0-0-0</f>
        <v>948.1</v>
      </c>
      <c r="K324" s="3">
        <f>1261.5+(267.5-566.5)+(1.930095+(0.409275-0.866745))+0-0-0</f>
        <v>963.97262499999999</v>
      </c>
      <c r="L324" s="3">
        <f>1498.5+(216.1-701.7)+(0+(0-0))+0-0-0</f>
        <v>1012.9</v>
      </c>
      <c r="M324" s="3">
        <f>1800.7+(210.1-956.8)+(3.673428+(0.428604-1.951872))+0-0-0</f>
        <v>1056.1501599999999</v>
      </c>
      <c r="N324" s="3">
        <f>1981.2+(298.2-1142.7)+(0+(0-0))+0-0-0</f>
        <v>1136.7</v>
      </c>
      <c r="O324" s="3">
        <f>1998.5+(339-1159.3)+(0+(0-0))+0-0-0</f>
        <v>1178.2</v>
      </c>
      <c r="P324" s="3">
        <f>1983.2+(325.9-1117.7)+(-2.022864+(-0.332418--1.140054))+0-0-0</f>
        <v>1190.1847720000001</v>
      </c>
      <c r="Q324" s="3">
        <f>1979.9+(310.6-1088.9)+(-2.019498+(-0.316812--1.110678))+0-0-0</f>
        <v>1200.374368</v>
      </c>
      <c r="R324" s="3">
        <f>1964.2+(324.6-1102.7)+(-6.010452+(-0.993276--3.374262))+0-0-0</f>
        <v>1182.4705339999998</v>
      </c>
      <c r="S324" s="3">
        <f>1968.9+(311.9-1116.6)+(-3.012417+(-0.477207--1.708398))+0-0-0</f>
        <v>1162.4187740000002</v>
      </c>
      <c r="T324" s="3">
        <f>1947.8+(316-1109.5)+(-4.96689+(-0.8058--2.829225))+0-0-0</f>
        <v>1151.3565349999999</v>
      </c>
      <c r="U324" s="3">
        <f>1978.9+(316.6-1125.2)+(-1.009239+(-0.161466--0.573852))+0-0-0</f>
        <v>1169.7031470000002</v>
      </c>
      <c r="V324" s="3">
        <f>1971.6+(293.5-1060)+(-1.005516+(-0.149685--0.5406))+0-0-0</f>
        <v>1204.4853989999999</v>
      </c>
      <c r="W324" s="3">
        <f>1974.1+(195.1-852.3)+(-3.020373+(-0.298503--1.304019))+0-0-0</f>
        <v>1314.8851430000002</v>
      </c>
      <c r="X324" s="3">
        <f>1968.6+(189.7-748.7)+(-4.015944+(-0.386988--1.527348))+0-0-0</f>
        <v>1406.724416</v>
      </c>
      <c r="Y324" s="3">
        <f>1969.2+(191.8-764)+(-3.012876+(-0.293454--1.16892))+0-0-0</f>
        <v>1394.86259</v>
      </c>
      <c r="Z324" s="3">
        <f>1861.4+(221.9-727.8)+(-1.898628+(-0.226338--0.742356))+0-0-0</f>
        <v>1354.1173899999999</v>
      </c>
      <c r="AA324" s="3">
        <f>1547.1+(301.4-550.3)+(-1.578042+(-0.307428--0.561306))+0-0-0</f>
        <v>1296.8758359999997</v>
      </c>
      <c r="AB324" s="3">
        <f>1534.7+(330-611.8)+(-2.348091+(-0.5049--0.936054))+0-0-0</f>
        <v>1250.9830630000001</v>
      </c>
      <c r="AC324" s="3">
        <f>1463.8+(292-589.3)+(-2.986152+(-0.59568--1.202172))+0-0-0</f>
        <v>1164.1203399999999</v>
      </c>
      <c r="AD324" s="2">
        <v>1415.2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1258.9+(313-508.3)+(-1.926117+(-0.47889--0.777699))+0-0-0</f>
        <v>1061.9726920000001</v>
      </c>
      <c r="G325" s="3">
        <f>1058.7+(319.3-376.5)+(-2.699685+(-0.814215--0.960075))+0-0-0</f>
        <v>998.94617500000004</v>
      </c>
      <c r="H325" s="3">
        <f>1050.5+(283.1-366.2)+(-1.607265+(-0.433143--0.560286))+0-0-0</f>
        <v>965.91987800000004</v>
      </c>
      <c r="I325" s="3">
        <f>1046.5+(294.7-393.8)+(-1.601145+(-0.450891--0.602514))+0-0-0</f>
        <v>945.95047799999998</v>
      </c>
      <c r="J325" s="3">
        <f>1046.6+(290.2-389.6)+(-0.533766+(-0.148002--0.198696))+0-0-0</f>
        <v>946.71692799999983</v>
      </c>
      <c r="K325" s="3">
        <f>1045.8+(290-378.3)+(1.066716+(0.2958-0.385866))+0-0-0</f>
        <v>958.47664999999995</v>
      </c>
      <c r="L325" s="3">
        <f>1125.3+(307.7-446.9)+(-1.721709+(-0.470781--0.683757))+0-0-0</f>
        <v>984.5912669999999</v>
      </c>
      <c r="M325" s="3">
        <f>1335.8+(302.9-609.9)+(-0.681258+(-0.154479--0.311049))+0-0-0</f>
        <v>1028.275312</v>
      </c>
      <c r="N325" s="3">
        <f>1645.7+(263.1-771.4)+(0+(0-0))+0-0-0</f>
        <v>1137.4000000000001</v>
      </c>
      <c r="O325" s="3">
        <f>1791.3+(238.4-823)+(1.827126+(0.243168-0.83946))+0-0-0</f>
        <v>1207.9308339999998</v>
      </c>
      <c r="P325" s="3">
        <f>1781.9+(271.8-813.8)+(0.908769+(0.138618-0.415038))+0-0-0</f>
        <v>1240.5323490000001</v>
      </c>
      <c r="Q325" s="3">
        <f>1771.4+(268.3-789.6)+(-1.806828+(-0.273666--0.805392))+0-0-0</f>
        <v>1248.8248980000001</v>
      </c>
      <c r="R325" s="3">
        <f>1754.2+(291.8-816.1)+(-5.367852+(-0.892908--2.497266))+0-0-0</f>
        <v>1226.1365060000001</v>
      </c>
      <c r="S325" s="3">
        <f>1767+(297.8-874.7)+(-3.60468+(-0.607512--1.784388))+0-0-0</f>
        <v>1187.672196</v>
      </c>
      <c r="T325" s="3">
        <f>1784.1+(287.1-907.7)+(0+(0-0))+0-0-0</f>
        <v>1163.5</v>
      </c>
      <c r="U325" s="3">
        <f>1759.6+(282.3-896.8)+(-2.692188+(-0.431919--1.372104))+0-0-0</f>
        <v>1143.3479969999999</v>
      </c>
      <c r="V325" s="3">
        <f>1768.7+(253.5-881.2)+(-1.804074+(-0.25857--0.898824))+0-0-0</f>
        <v>1139.83618</v>
      </c>
      <c r="W325" s="3">
        <f>1786.6+(183.2-752.4)+(2.733498+(0.280296-1.151172))+0-0-0</f>
        <v>1219.262622</v>
      </c>
      <c r="X325" s="3">
        <f>1782.9+(178.3-596.2)+(-1.818558+(-0.181866--0.608124))+0-0-0</f>
        <v>1363.6077</v>
      </c>
      <c r="Y325" s="3">
        <f>1784.2+(235.4-662.7)+(-1.819884+(-0.240108--0.675954))+0-0-0</f>
        <v>1355.5159620000002</v>
      </c>
      <c r="Z325" s="3">
        <f>1778.7+(295.1-744.1)+(-2.721411+(-0.451503--1.138473))+0-0-0</f>
        <v>1327.665559</v>
      </c>
      <c r="AA325" s="3">
        <f>1770.6+(343.4-824.7)+(-2.709018+(-0.525402--1.261791))+0-0-0</f>
        <v>1287.3273709999996</v>
      </c>
      <c r="AB325" s="3">
        <f>1750.9+(388.3-895.5)+(0.892959+(0.198033-0.456705))+0-0-0</f>
        <v>1244.3342870000001</v>
      </c>
      <c r="AC325" s="3">
        <f>1562.7+(411.6-808.4)+(-1.593954+(-0.419832--0.824568))+0-0-0</f>
        <v>1164.7107820000001</v>
      </c>
      <c r="AD325" s="2">
        <v>1369.7999999999997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1551.4+(288.9-782.5)+(-0.791214+(-0.147339--0.399075))+0-0-0</f>
        <v>1057.2605220000003</v>
      </c>
      <c r="G326" s="3">
        <f>1512.6+(281.7-798.1)+(-0.771426+(-0.143667--0.407031))+0-0-0</f>
        <v>995.69193799999982</v>
      </c>
      <c r="H326" s="3">
        <f>1372.5+(274.2-693.6)+(-0.699975+(-0.139842--0.353736))+0-0-0</f>
        <v>952.6139189999999</v>
      </c>
      <c r="I326" s="3">
        <f>1187.1+(284.7-537.6)+(0.605421+(0.145197-0.274176))+0-0-0</f>
        <v>934.67644199999984</v>
      </c>
      <c r="J326" s="3">
        <f>1039.5+(248-366.5)+(-1.590435+(-0.37944--0.560745))+0-0-0</f>
        <v>919.59087</v>
      </c>
      <c r="K326" s="3">
        <f>1146.5+(253.2-468.5)+(0+(0-0))+0-0-0</f>
        <v>931.2</v>
      </c>
      <c r="L326" s="3">
        <f>1335.9+(268.4-674.4)+(-4.087854+(-0.821304--2.063664))+0-0-0</f>
        <v>927.05450600000006</v>
      </c>
      <c r="M326" s="3">
        <f>1374.5+(218-696.6)+(-1.40199+(-0.22236--0.710532))+0-0-0</f>
        <v>894.98618199999999</v>
      </c>
      <c r="N326" s="3">
        <f>1427.9+(231.2-717.3)+(1.456458+(0.235824-0.731646))+0-0-0</f>
        <v>942.7606360000002</v>
      </c>
      <c r="O326" s="3">
        <f>1441.5+(234.9-678.7)+(3.675825+(0.598995-1.730685))+0-0-0</f>
        <v>1000.2441349999999</v>
      </c>
      <c r="P326" s="3">
        <f>1428.4+(241.9-638.5)+(1.456968+(0.246738-0.65127))+0-0-0</f>
        <v>1032.8524360000001</v>
      </c>
      <c r="Q326" s="3">
        <f>1402.9+(236.6-598.5)+(-2.861916+(-0.482664--1.22094))+0-0-0</f>
        <v>1038.87636</v>
      </c>
      <c r="R326" s="3">
        <f>1428.3+(251.6-663.7)+(0+(0-0))+0-0-0</f>
        <v>1016.1999999999999</v>
      </c>
      <c r="S326" s="3">
        <f>1418.4+(227.4-652.5)+(-1.446768+(-0.231948--0.66555))+0-0-0</f>
        <v>992.28683400000011</v>
      </c>
      <c r="T326" s="3">
        <f>1445.7+(205.8-666.2)+(2.211921+(0.314874-1.019286))+0-0-0</f>
        <v>986.80750899999998</v>
      </c>
      <c r="U326" s="3">
        <f>1406.2+(187.6-606.9)+(-1.434324+(-0.191352--0.619038))+0-0-0</f>
        <v>985.89336200000014</v>
      </c>
      <c r="V326" s="3">
        <f>1462+(202.8-639.1)+(0.74562+(0.103428-0.325941))+0-0-0</f>
        <v>1026.223107</v>
      </c>
      <c r="W326" s="3">
        <f>1482.7+(195.3-519)+(-1.512354+(-0.199206--0.52938))+0-0-0</f>
        <v>1157.81782</v>
      </c>
      <c r="X326" s="3">
        <f>1491.1+(256.3-448.4)+(1.520922+(0.261426-0.457368))+0-0-0</f>
        <v>1300.3249800000001</v>
      </c>
      <c r="Y326" s="3">
        <f>1472.2+(274.5-455.5)+(-2.252466+(-0.419985--0.696915))+0-0-0</f>
        <v>1289.2244640000001</v>
      </c>
      <c r="Z326" s="3">
        <f>1471.9+(327.8-524.3)+(-2.252007+(-0.501534--0.802179))+0-0-0</f>
        <v>1273.4486380000001</v>
      </c>
      <c r="AA326" s="3">
        <f>1464.6+(369.5-580.6)+(-3.73473+(-0.942225--1.48053))+0-0-0</f>
        <v>1250.3035749999999</v>
      </c>
      <c r="AB326" s="3">
        <f>1472.5+(293.5-570.9)+(-0.750975+(-0.149685--0.291159))+0-0-0</f>
        <v>1194.490499</v>
      </c>
      <c r="AC326" s="3">
        <f>1401.2+(248.6-542.5)+(-3.57306+(-0.63393--1.383375))+0-0-0</f>
        <v>1104.4763850000002</v>
      </c>
      <c r="AD326" s="2">
        <v>1325.4999999999998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1278.8+(290-525.3)+(-1.956564+(-0.4437--0.803709))+0-0-0</f>
        <v>1041.9034449999999</v>
      </c>
      <c r="G327" s="3">
        <f>1108.9+(251.4-377.2)+(-2.827695+(-0.64107--0.96186))+0-0-0</f>
        <v>980.59309500000018</v>
      </c>
      <c r="H327" s="3">
        <f>1122+(240.4-428.8)+(-0.57222+(-0.122604--0.218688))+0-0-0</f>
        <v>933.12386400000003</v>
      </c>
      <c r="I327" s="3">
        <f>1125.6+(238.2-429.5)+(-0.574056+(-0.121482--0.219045))+0-0-0</f>
        <v>933.82350699999995</v>
      </c>
      <c r="J327" s="3">
        <f>1117+(233.1-408.1)+(-1.13934+(-0.237762--0.416262))+0-0-0</f>
        <v>941.03916000000004</v>
      </c>
      <c r="K327" s="3">
        <f>1148.1+(235.6-437.6)+(2.342124+(0.480624-0.892704))+0-0-0</f>
        <v>948.03004399999986</v>
      </c>
      <c r="L327" s="3">
        <f>1353.2+(291.9-641.7)+(-0.690132+(-0.148869--0.327267))+0-0-0</f>
        <v>1002.8882659999999</v>
      </c>
      <c r="M327" s="3">
        <f>1534.8+(333.8-803.9)+(0.782748+(0.170238-0.409989))+0-0-0</f>
        <v>1065.2429970000001</v>
      </c>
      <c r="N327" s="3">
        <f>1794.9+(384.5-1004.4)+(-1.830798+(-0.39219--1.024488))+0-0-0</f>
        <v>1173.8015</v>
      </c>
      <c r="O327" s="3">
        <f>1798.7+(401.2-974.8)+(1.834674+(0.409224-0.994296))+0-0-0</f>
        <v>1226.3496020000002</v>
      </c>
      <c r="P327" s="3">
        <f>1788.2+(402.9-935.5)+(-4.55991+(-1.027395--2.385525))+0-0-0</f>
        <v>1252.3982199999998</v>
      </c>
      <c r="Q327" s="3">
        <f>1758.2+(370-865.8)+(0.896682+(0.1887-0.441558))+0-0-0</f>
        <v>1263.0438240000001</v>
      </c>
      <c r="R327" s="3">
        <f>1709.2+(324.1-796.5)+(-0.871692+(-0.165291--0.406215))+0-0-0</f>
        <v>1236.1692320000002</v>
      </c>
      <c r="S327" s="3">
        <f>1484.6+(319.3-604.9)+(0.757146+(0.162843-0.308499))+0-0-0</f>
        <v>1199.61149</v>
      </c>
      <c r="T327" s="3">
        <f>1463.6+(402.9-680.4)+(0+(0-0))+0-0-0</f>
        <v>1186.0999999999999</v>
      </c>
      <c r="U327" s="3">
        <f>1439.3+(415.4-670.3)+(0+(0-0))+0-0-0</f>
        <v>1184.4000000000001</v>
      </c>
      <c r="V327" s="3">
        <f>1676.5+(403.7-862.2)+(-0.855015+(-0.205887--0.439722))+0-0-0</f>
        <v>1217.3788199999999</v>
      </c>
      <c r="W327" s="3">
        <f>1781.6+(301.6-755.6)+(2.725848+(0.461448-1.156068))+0-0-0</f>
        <v>1329.631228</v>
      </c>
      <c r="X327" s="3">
        <f>1753.5+(257.7-591.3)+(-2.682855+(-0.394281--0.904689))+0-0-0</f>
        <v>1417.7275530000002</v>
      </c>
      <c r="Y327" s="3">
        <f>1684.2+(281.1-567)+(-3.435768+(-0.573444--1.15668))+0-0-0</f>
        <v>1395.4474680000001</v>
      </c>
      <c r="Z327" s="3">
        <f>1651.8+(309-598)+(-1.684836+(-0.31518--0.60996))+0-0-0</f>
        <v>1361.409944</v>
      </c>
      <c r="AA327" s="3">
        <f>1654.5+(322-662.6)+(-1.68759+(-0.32844--0.675852))+0-0-0</f>
        <v>1312.5598220000002</v>
      </c>
      <c r="AB327" s="3">
        <f>1650.1+(304.1-694.1)+(-0.841551+(-0.155091--0.353991))+0-0-0</f>
        <v>1259.457349</v>
      </c>
      <c r="AC327" s="3">
        <f>1623+(247.4-686)+(-4.13865+(-0.63087--1.7493))+0-0-0</f>
        <v>1181.37978</v>
      </c>
      <c r="AD327" s="2">
        <v>1411.1000000000001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1172.1+(192.3-298)+(-2.391084+(-0.392292--0.60792))+0-0-0</f>
        <v>1064.2245439999999</v>
      </c>
      <c r="G328" s="3">
        <f>918.4+(229.9-151.1)+(0.936768+(0.234498-0.154122))+0-0-0</f>
        <v>998.21714400000008</v>
      </c>
      <c r="H328" s="3">
        <f>920.7+(212.1-175.4)+(-0.469557+(-0.108171--0.089454))+0-0-0</f>
        <v>956.91172600000004</v>
      </c>
      <c r="I328" s="3">
        <f>921.8+(217.2-194.4)+(0.470118+(0.110772-0.099144))+0-0-0</f>
        <v>945.08174599999995</v>
      </c>
      <c r="J328" s="3">
        <f>922.7+(208.1-194.3)+(-0.470577+(-0.106131--0.099093))+0-0-0</f>
        <v>936.02238499999999</v>
      </c>
      <c r="K328" s="3">
        <f>922.3+(205.8-182.3)+(1.411119+(0.314874-0.278919))+0-0-0</f>
        <v>947.247074</v>
      </c>
      <c r="L328" s="3">
        <f>970.3+(188.3-204.4)+(0+(0-0))+0-0-0</f>
        <v>954.19999999999993</v>
      </c>
      <c r="M328" s="3">
        <f>1019.4+(176.1-254.4)+(0.519894+(0.089811-0.129744))+0-0-0</f>
        <v>941.57996099999991</v>
      </c>
      <c r="N328" s="3">
        <f>1128.6+(160.2-288.5)+(0.575586+(0.081702-0.147135))+0-0-0</f>
        <v>1000.8101529999999</v>
      </c>
      <c r="O328" s="3">
        <f>1336.9+(160.6-426.5)+(0+(0-0))+0-0-0</f>
        <v>1071</v>
      </c>
      <c r="P328" s="3">
        <f>1418.7+(174-480.2)+(-0.723537+(-0.08874--0.244902))+0-0-0</f>
        <v>1111.9326249999999</v>
      </c>
      <c r="Q328" s="3">
        <f>1466.5+(191.1-514)+(-0.747915+(-0.097461--0.26214))+0-0-0</f>
        <v>1143.016764</v>
      </c>
      <c r="R328" s="3">
        <f>1469.4+(223.3-535.4)+(-0.749394+(-0.113883--0.273054))+0-0-0</f>
        <v>1156.7097770000003</v>
      </c>
      <c r="S328" s="3">
        <f>1491+(225.6-590.5)+(0.76041+(0.115056-0.301155))+0-0-0</f>
        <v>1126.674311</v>
      </c>
      <c r="T328" s="3">
        <f>1552.7+(225.9-665.7)+(0.791877+(0.115209-0.339507))+0-0-0</f>
        <v>1113.4675790000001</v>
      </c>
      <c r="U328" s="3">
        <f>1646.5+(216-745)+(-3.35886+(-0.44064--1.5198))+0-0-0</f>
        <v>1115.2203</v>
      </c>
      <c r="V328" s="3">
        <f>1690.5+(188.7-739.2)+(2.586465+(0.288711-1.130976))+0-0-0</f>
        <v>1141.7442000000001</v>
      </c>
      <c r="W328" s="3">
        <f>1683.9+(166-607.7)+(0.858789+(0.08466-0.309927))+0-0-0</f>
        <v>1242.8335220000001</v>
      </c>
      <c r="X328" s="3">
        <f>1683.1+(148.7-472.5)+(0+(0-0))+0-0-0</f>
        <v>1359.3</v>
      </c>
      <c r="Y328" s="3">
        <f>1673.6+(147.7-473.7)+(-2.560608+(-0.225981--0.724761))+0-0-0</f>
        <v>1345.5381719999998</v>
      </c>
      <c r="Z328" s="3">
        <f>1668+(171.9-528)+(-3.40272+(-0.350676--1.07712))+0-0-0</f>
        <v>1309.2237240000002</v>
      </c>
      <c r="AA328" s="3">
        <f>1659.9+(210.6-605)+(-4.232745+(-0.53703--1.54275))+0-0-0</f>
        <v>1262.2729750000001</v>
      </c>
      <c r="AB328" s="3">
        <f>1598.7+(226.8-593.6)+(-0.815337+(-0.115668--0.302736))+0-0-0</f>
        <v>1231.271731</v>
      </c>
      <c r="AC328" s="3">
        <f>1389.3+(232.5-480.9)+(-2.125629+(-0.355725--0.735777))+0-0-0</f>
        <v>1139.1544230000002</v>
      </c>
      <c r="AD328" s="2">
        <v>1358.3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1142.6+(225.4-325.2)+(0+(0-0))+0-0-0</f>
        <v>1042.8</v>
      </c>
      <c r="G329" s="3">
        <f>1121.5+(226.8-367)+(-0.571965+(-0.115668--0.18717))+0-0-0</f>
        <v>980.79953699999999</v>
      </c>
      <c r="H329" s="3">
        <f>1120.9+(226.6-397.9)+(0+(0-0))+0-0-0</f>
        <v>949.60000000000014</v>
      </c>
      <c r="I329" s="3">
        <f>1122.7+(221.7-409.3)+(-0.572577+(-0.113067--0.208743))+0-0-0</f>
        <v>934.62309900000002</v>
      </c>
      <c r="J329" s="3">
        <f>1123.1+(217.2-412.4)+(0+(0-0))+0-0-0</f>
        <v>927.89999999999986</v>
      </c>
      <c r="K329" s="3">
        <f>1145.6+(202.2-411.3)+(1.168512+(0.206244-0.419526))+0-0-0</f>
        <v>937.45522999999991</v>
      </c>
      <c r="L329" s="3">
        <f>1458.9+(198.4-663.1)+(-1.488078+(-0.202368--0.676362))+0-0-0</f>
        <v>993.18591600000002</v>
      </c>
      <c r="M329" s="3">
        <f>1493.1+(215.8-666)+(-0.761481+(-0.110058--0.33966))+0-0-0</f>
        <v>1042.368121</v>
      </c>
      <c r="N329" s="3">
        <f>1654.3+(230.2-749.3)+(-1.687386+(-0.234804--0.764286))+0-0-0</f>
        <v>1134.0420960000001</v>
      </c>
      <c r="O329" s="3">
        <f>1780.2+(292.4-879.7)+(-4.53951+(-0.74562--2.243235))+0-0-0</f>
        <v>1189.858105</v>
      </c>
      <c r="P329" s="3">
        <f>1803.5+(305.5-882.8)+(-2.759355+(-0.467415--1.350684))+0-0-0</f>
        <v>1224.3239140000001</v>
      </c>
      <c r="Q329" s="3">
        <f>1771.6+(322.8-851.9)+(-4.51758+(-0.82314--2.172345))+0-0-0</f>
        <v>1239.331625</v>
      </c>
      <c r="R329" s="3">
        <f>1784.6+(323.3-884.3)+(-1.820292+(-0.329766--0.901986))+0-0-0</f>
        <v>1222.3519279999998</v>
      </c>
      <c r="S329" s="3">
        <f>1775.4+(309.6-889.9)+(-4.52727+(-0.78948--2.269245))+0-0-0</f>
        <v>1192.0524950000001</v>
      </c>
      <c r="T329" s="3">
        <f>1799.5+(332.6-959.4)+(-0.917745+(-0.169626--0.489294))+0-0-0</f>
        <v>1172.1019229999999</v>
      </c>
      <c r="U329" s="3">
        <f>1803+(322-957.5)+(0.91953+(0.16422-0.488325))+0-0-0</f>
        <v>1168.095425</v>
      </c>
      <c r="V329" s="3">
        <f>1801.1+(318.2-923)+(-1.837122+(-0.324564--0.94146))+0-0-0</f>
        <v>1195.079774</v>
      </c>
      <c r="W329" s="3">
        <f>1807.4+(199.1-714)+(-0.921774+(-0.101541--0.36414))+0-0-0</f>
        <v>1291.840825</v>
      </c>
      <c r="X329" s="3">
        <f>1849.8+(180.1-605.8)+(0+(0-0))+0-0-0</f>
        <v>1424.1</v>
      </c>
      <c r="Y329" s="3">
        <f>1853+(177.3-625.7)+(-0.94503+(-0.090423--0.319107))+0-0-0</f>
        <v>1403.883654</v>
      </c>
      <c r="Z329" s="3">
        <f>1856.4+(188.7-676.1)+(0+(0-0))+0-0-0</f>
        <v>1369</v>
      </c>
      <c r="AA329" s="3">
        <f>1846.4+(219.6-749.6)+(-2.824992+(-0.335988--1.146888))+0-0-0</f>
        <v>1314.3859080000002</v>
      </c>
      <c r="AB329" s="3">
        <f>1835.6+(255.5-824.2)+(-3.744624+(-0.52122--1.681368))+0-0-0</f>
        <v>1264.3155239999999</v>
      </c>
      <c r="AC329" s="3">
        <f>1809.6+(243.8-884.9)+(-4.61448+(-0.62169--2.256495))+0-0-0</f>
        <v>1165.520325</v>
      </c>
      <c r="AD329" s="2">
        <v>1418.4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1555.6+(270.8-711.9)+(-0.793356+(-0.138108--0.363069))+0-0-0</f>
        <v>1113.931605</v>
      </c>
      <c r="G330" s="3">
        <f>1194.6+(296.9-492.5)+(-1.218492+(-0.302838--0.50235))+0-0-0</f>
        <v>997.98101999999983</v>
      </c>
      <c r="H330" s="3">
        <f>1123.1+(283.6-444.9)+(0.572781+(0.144636-0.226899))+0-0-0</f>
        <v>962.29051799999991</v>
      </c>
      <c r="I330" s="3">
        <f>1121.7+(225.1-389.5)+(-1.144134+(-0.229602--0.39729))+0-0-0</f>
        <v>956.32355400000006</v>
      </c>
      <c r="J330" s="3">
        <f>1120.5+(208.5-374.6)+(-1.14291+(-0.21267--0.382092))+0-0-0</f>
        <v>953.426512</v>
      </c>
      <c r="K330" s="3">
        <f>1120.6+(250.3-405.2)+(-1.714518+(-0.382959--0.619956))+0-0-0</f>
        <v>964.22247899999991</v>
      </c>
      <c r="L330" s="3">
        <f>1332.4+(268.4-582)+(-2.038572+(-0.410652--0.89046))+0-0-0</f>
        <v>1017.2412360000001</v>
      </c>
      <c r="M330" s="3">
        <f>1599.2+(321.6-836.7)+(-2.446776+(-0.492048--1.280151))+0-0-0</f>
        <v>1082.441327</v>
      </c>
      <c r="N330" s="3">
        <f>1684.7+(364.4-875.3)+(0+(0-0))+0-0-0</f>
        <v>1173.8000000000002</v>
      </c>
      <c r="O330" s="3">
        <f>1654.4+(363.3-796.8)+(-1.687488+(-0.370566--0.812736))+0-0-0</f>
        <v>1219.6546820000001</v>
      </c>
      <c r="P330" s="3">
        <f>1519.3+(385.6-659.6)+(-0.774843+(-0.196656--0.336396))+0-0-0</f>
        <v>1244.6648969999999</v>
      </c>
      <c r="Q330" s="3">
        <f>1635+(377.6-745.4)+(-1.6677+(-0.385152--0.760308))+0-0-0</f>
        <v>1265.9074560000001</v>
      </c>
      <c r="R330" s="3">
        <f>1665.1+(320.5-744)+(-3.396804+(-0.65382--1.51776))+0-0-0</f>
        <v>1239.0671359999999</v>
      </c>
      <c r="S330" s="3">
        <f>1679.2+(315.6-774.4)+(0+(0-0))+0-0-0</f>
        <v>1220.4000000000001</v>
      </c>
      <c r="T330" s="3">
        <f>1684.1+(234.6-718.7)+(1.717782+(0.239292-0.733074))+0-0-0</f>
        <v>1201.2239999999999</v>
      </c>
      <c r="U330" s="3">
        <f>1673.4+(249.1-733.9)+(-0.853434+(-0.127041--0.374289))+0-0-0</f>
        <v>1187.9938140000002</v>
      </c>
      <c r="V330" s="3">
        <f>1679.3+(308.1-783)+(-1.712886+(-0.314262--0.79866))+0-0-0</f>
        <v>1203.1715120000001</v>
      </c>
      <c r="W330" s="3">
        <f>1697.1+(204.4-608.3)+(2.596563+(0.312732-0.930699))+0-0-0</f>
        <v>1295.1785959999997</v>
      </c>
      <c r="X330" s="3">
        <f>1791.3+(183.3-557.7)+(-1.827126+(-0.186966--0.568854))+0-0-0</f>
        <v>1415.4547619999998</v>
      </c>
      <c r="Y330" s="3">
        <f>1886.8+(214.6-696.4)+(-0.962268+(-0.109446--0.355164))+0-0-0</f>
        <v>1404.2834499999999</v>
      </c>
      <c r="Z330" s="3">
        <f>1798.8+(253.4-688.1)+(0+(0-0))+0-0-0</f>
        <v>1364.1</v>
      </c>
      <c r="AA330" s="3">
        <f>1663.5+(287.4-637.4)+(0+(0-0))+0-0-0</f>
        <v>1313.5</v>
      </c>
      <c r="AB330" s="3">
        <f>1550.7+(253.9-548.4)+(-5.535999+(-0.906423--1.957788))+0-0-0</f>
        <v>1251.7153660000001</v>
      </c>
      <c r="AC330" s="3">
        <f>1451.8+(240.7-539.7)+(-5.182926+(-0.859299--1.926729))+0-0-0</f>
        <v>1148.6845040000001</v>
      </c>
      <c r="AD330" s="2">
        <v>1432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1221.7+(268.9-440.2)+(0+(0-0))+0-0-0</f>
        <v>1050.4000000000001</v>
      </c>
      <c r="G331" s="3">
        <f>1126.5+(237.7-376.7)+(0+(0-0))+0-0-0</f>
        <v>987.5</v>
      </c>
      <c r="H331" s="3">
        <f>1126.8+(200.9-368.1)+(0.574668+(0.102459-0.187731))+0-0-0</f>
        <v>960.08939599999997</v>
      </c>
      <c r="I331" s="3">
        <f>1128.5+(215.3-387.5)+(0+(0-0))+0-0-0</f>
        <v>956.3</v>
      </c>
      <c r="J331" s="3">
        <f>1232.1+(295.8-571.6)+(0+(0-0))+0-0-0</f>
        <v>956.3</v>
      </c>
      <c r="K331" s="3">
        <f>1359.3+(269.8-661.9)+(1.386486+(0.275196-0.675138))+0-0-0</f>
        <v>968.18654400000003</v>
      </c>
      <c r="L331" s="3">
        <f>1460.1+(324.9-768.8)+(0+(0-0))+0-0-0</f>
        <v>1016.1999999999999</v>
      </c>
      <c r="M331" s="3">
        <f>1561.2+(344.2-821.8)+(-1.592424+(-0.351084--0.838236))+0-0-0</f>
        <v>1082.4947280000001</v>
      </c>
      <c r="N331" s="3">
        <f>1660+(332.2-813.3)+(1.6932+(0.338844-0.829566))+0-0-0</f>
        <v>1180.102478</v>
      </c>
      <c r="O331" s="3">
        <f>1631.6+(325.1-724.9)+(-4.16058+(-0.829005--1.848495))+0-0-0</f>
        <v>1228.6589099999999</v>
      </c>
      <c r="P331" s="3">
        <f>1646.2+(336.5-703.6)+(-0.839562+(-0.171615--0.358836))+0-0-0</f>
        <v>1278.4476589999999</v>
      </c>
      <c r="Q331" s="3">
        <f>1638.2+(306.6-648.5)+(-2.506446+(-0.469098--0.992205))+0-0-0</f>
        <v>1294.3166610000003</v>
      </c>
      <c r="R331" s="3">
        <f>1612.5+(278.5-594)+(-0.822375+(-0.142035--0.30294))+0-0-0</f>
        <v>1296.33853</v>
      </c>
      <c r="S331" s="3">
        <f>1605.9+(234.3-566.6)+(-1.638018+(-0.238986--0.577932))+0-0-0</f>
        <v>1272.3009280000001</v>
      </c>
      <c r="T331" s="3">
        <f>1624.9+(239-616.4)+(1.657398+(0.24378-0.628728))+0-0-0</f>
        <v>1248.7724499999999</v>
      </c>
      <c r="U331" s="3">
        <f>1615.8+(235.3-613.1)+(-0.824058+(-0.120003--0.312681))+0-0-0</f>
        <v>1237.36862</v>
      </c>
      <c r="V331" s="3">
        <f>1625.6+(295.3-617.1)+(-4.14528+(-0.753015--1.573605))+0-0-0</f>
        <v>1300.47531</v>
      </c>
      <c r="W331" s="3">
        <f>1647.5+(183.5-479.1)+(2.520675+(0.280755-0.733023))+0-0-0</f>
        <v>1353.9684070000001</v>
      </c>
      <c r="X331" s="3">
        <f>1637.6+(197.7-397)+(0+(0-0))+0-0-0</f>
        <v>1438.3</v>
      </c>
      <c r="Y331" s="3">
        <f>1612+(225.1-424.1)+(-3.28848+(-0.459204--0.865164))+0-0-0</f>
        <v>1410.1174799999999</v>
      </c>
      <c r="Z331" s="3">
        <f>1615.9+(274.7-521.3)+(-3.296436+(-0.560388--1.063452))+0-0-0</f>
        <v>1366.5066280000001</v>
      </c>
      <c r="AA331" s="3">
        <f>1583.5+(340.1-612.2)+(-0.807585+(-0.173451--0.312222))+0-0-0</f>
        <v>1310.731186</v>
      </c>
      <c r="AB331" s="3">
        <f>1538.1+(344.8-625.8)+(-3.137724+(-0.703392--1.276632))+0-0-0</f>
        <v>1254.5355159999999</v>
      </c>
      <c r="AC331" s="3">
        <f>1539.7+(308.2-666.4)+(-3.140988+(-0.628728--1.359456))+0-0-0</f>
        <v>1179.0897399999999</v>
      </c>
      <c r="AD331" s="2">
        <v>1443.5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1405.4+(289.9-600.3)+(-2.867016+(-0.591396--1.224612))+0-0-0</f>
        <v>1092.7662</v>
      </c>
      <c r="G332" s="3">
        <f>1145.2+(263.7-392.4)+(-0.584052+(-0.134487--0.200124))+0-0-0</f>
        <v>1015.981585</v>
      </c>
      <c r="H332" s="3">
        <f>1114+(225.6-361)+(-1.13628+(-0.230112--0.36822))+0-0-0</f>
        <v>977.60182800000007</v>
      </c>
      <c r="I332" s="3">
        <f>1089.5+(127-272.3)+(-1.11129+(-0.12954--0.277746))+0-0-0</f>
        <v>943.23691600000006</v>
      </c>
      <c r="J332" s="3">
        <f>1083.2+(126-262.1)+(0.552432+(0.06426-0.133671))+0-0-0</f>
        <v>947.58302100000003</v>
      </c>
      <c r="K332" s="3">
        <f>1140.5+(120.1-296.1)+(-0.581655+(-0.061251--0.151011))+0-0-0</f>
        <v>964.008105</v>
      </c>
      <c r="L332" s="3">
        <f>1366.8+(90.9-477.4)+(-2.788272+(-0.185436--0.973896))+0-0-0</f>
        <v>978.30018799999993</v>
      </c>
      <c r="M332" s="3">
        <f>1419.8+(112.5-500.6)+(1.448196+(0.11475-0.510612))+0-0-0</f>
        <v>1032.7523339999998</v>
      </c>
      <c r="N332" s="3">
        <f>1425.2+(157.6-439.5)+(-1.453704+(-0.160752--0.44829))+0-0-0</f>
        <v>1142.1338340000002</v>
      </c>
      <c r="O332" s="3">
        <f>1462.1+(199.9-433)+(3.728355+(0.509745-1.10415))+0-0-0</f>
        <v>1232.1339499999999</v>
      </c>
      <c r="P332" s="3">
        <f>1443.4+(192.1-368.1)+(-2.208402+(-0.293913--0.563193))+0-0-0</f>
        <v>1265.4608780000001</v>
      </c>
      <c r="Q332" s="3">
        <f>1448+(211.6-379.7)+(-1.47696+(-0.215832--0.387294))+0-0-0</f>
        <v>1278.5945020000001</v>
      </c>
      <c r="R332" s="3">
        <f>1431.4+(211-394.6)+(-5.110098+(-0.75327--1.408722))+0-0-0</f>
        <v>1243.3453540000003</v>
      </c>
      <c r="S332" s="3">
        <f>1442.7+(165.8-414.9)+(-0.735777+(-0.084558--0.211599))+0-0-0</f>
        <v>1192.9912640000002</v>
      </c>
      <c r="T332" s="3">
        <f>1466.5+(146.6-448.6)+(-0.747915+(-0.074766--0.228786))+0-0-0</f>
        <v>1163.906105</v>
      </c>
      <c r="U332" s="3">
        <f>1470+(149.2-479.4)+(-1.4994+(-0.152184--0.488988))+0-0-0</f>
        <v>1138.6374040000001</v>
      </c>
      <c r="V332" s="3">
        <f>1298.7+(321.1-464.7)+(1.324674+(0.327522-0.473994))+0-0-0</f>
        <v>1156.2782020000002</v>
      </c>
      <c r="W332" s="3">
        <f>1271.8+(273.9-298.7)+(1.297236+(0.279378-0.304674))+0-0-0</f>
        <v>1248.2719400000001</v>
      </c>
      <c r="X332" s="3">
        <f>1329.8+(337.2-281.5)+(-2.034594+(-0.515916--0.430695))+0-0-0</f>
        <v>1383.380185</v>
      </c>
      <c r="Y332" s="3">
        <f>1341.5+(293.4-251.8)+(0.684165+(0.149634-0.128418))+0-0-0</f>
        <v>1383.8053809999999</v>
      </c>
      <c r="Z332" s="3">
        <f>1333.1+(323.8-305.1)+(-1.359762+(-0.330276--0.311202))+0-0-0</f>
        <v>1350.4211639999999</v>
      </c>
      <c r="AA332" s="3">
        <f>1331+(364.4-392.1)+(0+(0-0))+0-0-0</f>
        <v>1303.3</v>
      </c>
      <c r="AB332" s="3">
        <f>1233.1+(402.3-382)+(-1.257762+(-0.410346--0.38964))+0-0-0</f>
        <v>1252.1215319999999</v>
      </c>
      <c r="AC332" s="3">
        <f>1049.6+(380.8-268)+(0.535296+(0.194208-0.13668))+0-0-0</f>
        <v>1162.9928239999999</v>
      </c>
      <c r="AD332" s="2">
        <v>1378.8000000000002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880+(401.2-207)+(0.4488+(0.204612-0.10557))+0-0-0</f>
        <v>1074.747842</v>
      </c>
      <c r="G333" s="3">
        <f>876.9+(383.4-251.8)+(0.447219+(0.195534-0.128418))+0-0-0</f>
        <v>1009.014335</v>
      </c>
      <c r="H333" s="3">
        <f>873.9+(333.3-231.3)+(0+(0-0))+0-0-0</f>
        <v>975.9</v>
      </c>
      <c r="I333" s="3">
        <f>876+(324.7-245.3)+(-0.44676+(-0.165597--0.125103))+0-0-0</f>
        <v>954.91274599999997</v>
      </c>
      <c r="J333" s="3">
        <f>875.7+(295.1-229.8)+(-0.893214+(-0.301002--0.234396))+0-0-0</f>
        <v>940.04017999999996</v>
      </c>
      <c r="K333" s="3">
        <f>884.6+(291.4-225.3)+(1.353438+(0.445842-0.344709))+0-0-0</f>
        <v>952.15457100000003</v>
      </c>
      <c r="L333" s="3">
        <f>901.1+(286.3-253.5)+(-0.459561+(-0.146013--0.129285))+0-0-0</f>
        <v>933.42371100000014</v>
      </c>
      <c r="M333" s="3">
        <f>988.8+(280.3-385.7)+(1.008576+(0.285906-0.393414))+0-0-0</f>
        <v>884.30106799999999</v>
      </c>
      <c r="N333" s="3">
        <f>982+(325.1-380.4)+(-0.50082+(-0.165801--0.194004))+0-0-0</f>
        <v>926.22738300000003</v>
      </c>
      <c r="O333" s="3">
        <f>981+(338.4-330.7)+(-0.50031+(-0.172584--0.168657))+0-0-0</f>
        <v>988.19576300000006</v>
      </c>
      <c r="P333" s="3">
        <f>969.5+(319.8-270.8)+(-1.97778+(-0.652392--0.552432))+0-0-0</f>
        <v>1016.4222600000001</v>
      </c>
      <c r="Q333" s="3">
        <f>972.3+(312.1-255.4)+(-1.487619+(-0.477513--0.390762))+0-0-0</f>
        <v>1027.42563</v>
      </c>
      <c r="R333" s="3">
        <f>961.1+(314.8-261.9)+(-3.431127+(-1.123836--0.934983))+0-0-0</f>
        <v>1010.3800199999999</v>
      </c>
      <c r="S333" s="3">
        <f>978.7+(296-284.2)+(-0.998274+(-0.30192--0.289884))+0-0-0</f>
        <v>989.48969</v>
      </c>
      <c r="T333" s="3">
        <f>984.1+(290-303.5)+(-0.501891+(-0.1479--0.154785))+0-0-0</f>
        <v>970.10499400000003</v>
      </c>
      <c r="U333" s="3">
        <f>1000.8+(261.4-281.6)+(0.510408+(0.133314-0.143616))+0-0-0</f>
        <v>981.10010599999987</v>
      </c>
      <c r="V333" s="3">
        <f>997.9+(268.9-268.7)+(0+(0-0))+0-0-0</f>
        <v>998.09999999999991</v>
      </c>
      <c r="W333" s="3">
        <f>1162+(276.5-318.7)+(0+(0-0))+0-0-0</f>
        <v>1119.8</v>
      </c>
      <c r="X333" s="3">
        <f>1212.9+(291.9-211)+(-0.618579+(-0.148869--0.10761))+0-0-0</f>
        <v>1293.1401620000001</v>
      </c>
      <c r="Y333" s="3">
        <f>1198.5+(294-196.3)+(-2.44494+(-0.59976--0.400452))+0-0-0</f>
        <v>1293.555752</v>
      </c>
      <c r="Z333" s="3">
        <f>1216.2+(307.3-248.9)+(-0.620262+(-0.156723--0.126939))+0-0-0</f>
        <v>1273.9499540000002</v>
      </c>
      <c r="AA333" s="3">
        <f>1197.4+(311.5-260.5)+(-2.442696+(-0.63546--0.53142))+0-0-0</f>
        <v>1245.8532640000001</v>
      </c>
      <c r="AB333" s="3">
        <f>1183.7+(303.6-301.1)+(-3.018435+(-0.77418--0.767805))+0-0-0</f>
        <v>1183.1751900000002</v>
      </c>
      <c r="AC333" s="3">
        <f>917.9+(326.7-151.5)+(-3.276903+(-1.166319--0.540855))+0-0-0</f>
        <v>1089.197633</v>
      </c>
      <c r="AD333" s="2">
        <v>1285.3000000000002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813.4+(347.2-157.4)+(-2.07417+(-0.88536--0.40137))+0-0-0</f>
        <v>1000.6418399999999</v>
      </c>
      <c r="G334" s="3">
        <f>681.8+(391-135)+(-1.73859+(-0.99705--0.34425))+0-0-0</f>
        <v>935.40860999999995</v>
      </c>
      <c r="H334" s="3">
        <f>688.8+(349-123.1)+(-1.405152+(-0.71196--0.251124))+0-0-0</f>
        <v>912.83401199999992</v>
      </c>
      <c r="I334" s="3">
        <f>695+(342-136.6)+(0.35445+(0.17442-0.069666))+0-0-0</f>
        <v>900.85920399999998</v>
      </c>
      <c r="J334" s="3">
        <f>687.6+(346.8-137.2)+(-0.350676+(-0.176868--0.069972))+0-0-0</f>
        <v>896.74242800000002</v>
      </c>
      <c r="K334" s="3">
        <f>708.9+(350.9-144.6)+(-0.723078+(-0.357918--0.147492))+0-0-0</f>
        <v>914.26649599999996</v>
      </c>
      <c r="L334" s="3">
        <f>934.5+(318.1-276.9)+(-1.90638+(-0.648924--0.564876))+0-0-0</f>
        <v>973.70957200000009</v>
      </c>
      <c r="M334" s="3">
        <f>1084.6+(333-393.1)+(-0.553146+(-0.16983--0.200481))+0-0-0</f>
        <v>1023.977505</v>
      </c>
      <c r="N334" s="3">
        <f>1170.3+(356-412.1)+(0.596853+(0.18156-0.210171))+0-0-0</f>
        <v>1114.7682419999999</v>
      </c>
      <c r="O334" s="3">
        <f>1211.4+(382.6-434.1)+(2.471256+(0.780504-0.885564))+0-0-0</f>
        <v>1162.266196</v>
      </c>
      <c r="P334" s="3">
        <f>1197.2+(365.5-384.8)+(-1.221144+(-0.37281--0.392496))+0-0-0</f>
        <v>1176.6985420000001</v>
      </c>
      <c r="Q334" s="3">
        <f>1205.5+(374.8-386)+(0+(0-0))+0-0-0</f>
        <v>1194.3</v>
      </c>
      <c r="R334" s="3">
        <f>1180.5+(357.9-367.9)+(-3.010275+(-0.912645--0.938145))+0-0-0</f>
        <v>1167.5152250000001</v>
      </c>
      <c r="S334" s="3">
        <f>1205.8+(331.7-400.2)+(0.614958+(0.169167-0.204102))+0-0-0</f>
        <v>1137.8800229999999</v>
      </c>
      <c r="T334" s="3">
        <f>1208.3+(337.4-431.2)+(0+(0-0))+0-0-0</f>
        <v>1114.5</v>
      </c>
      <c r="U334" s="3">
        <f>1201.8+(329.7-427.8)+(0+(0-0))+0-0-0</f>
        <v>1103.6999999999998</v>
      </c>
      <c r="V334" s="3">
        <f>1238.9+(322.6-437.8)+(1.895517+(0.493578-0.669834))+0-0-0</f>
        <v>1125.419261</v>
      </c>
      <c r="W334" s="3">
        <f>1274+(298.7-334.8)+(1.94922+(0.457011-0.512244))+0-0-0</f>
        <v>1239.793987</v>
      </c>
      <c r="X334" s="3">
        <f>1274.6+(288.4-185.1)+(1.950138+(0.441252-0.283203))+0-0-0</f>
        <v>1380.0081869999999</v>
      </c>
      <c r="Y334" s="3">
        <f>1255.3+(294.8-171.1)+(-1.920609+(-0.451044--0.261783))+0-0-0</f>
        <v>1376.89013</v>
      </c>
      <c r="Z334" s="3">
        <f>1259.5+(294.3-194.9)+(-1.28469+(-0.300186--0.198798))+0-0-0</f>
        <v>1357.5139220000001</v>
      </c>
      <c r="AA334" s="3">
        <f>1257.8+(305.9-252.7)+(-1.282956+(-0.312018--0.257754))+0-0-0</f>
        <v>1309.6627800000001</v>
      </c>
      <c r="AB334" s="3">
        <f>1226+(333.2-319.4)+(-4.37682+(-1.189524--1.140258))+0-0-0</f>
        <v>1235.373914</v>
      </c>
      <c r="AC334" s="3">
        <f>1073.9+(361.5-302.6)+(-2.190756+(-0.73746--0.617304))+0-0-0</f>
        <v>1130.4890880000003</v>
      </c>
      <c r="AD334" s="2">
        <v>1385.2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755.7+(406.6-131.6)+(-0.770814+(-0.414732--0.134232))+0-0-0</f>
        <v>1029.648686</v>
      </c>
      <c r="G335" s="3">
        <f>690.5+(380.4-96.5)+(-1.40862+(-0.776016--0.19686))+0-0-0</f>
        <v>972.41222399999992</v>
      </c>
      <c r="H335" s="3">
        <f>691.9+(360.8-100.1)+(0+(0-0))+0-0-0</f>
        <v>952.6</v>
      </c>
      <c r="I335" s="3">
        <f>690.4+(351.1-104)+(-1.056312+(-0.537183--0.15912))+0-0-0</f>
        <v>936.06562499999995</v>
      </c>
      <c r="J335" s="3">
        <f>689.9+(367.5-117.6)+(0.351849+(0.187425-0.059976))+0-0-0</f>
        <v>940.27929799999993</v>
      </c>
      <c r="K335" s="3">
        <f>727.5+(351.2-128.6)+(0+(0-0))+0-0-0</f>
        <v>950.1</v>
      </c>
      <c r="L335" s="3">
        <f>1025.5+(305.6-341.2)+(-1.04601+(-0.311712--0.348024))+0-0-0</f>
        <v>988.89030200000013</v>
      </c>
      <c r="M335" s="3">
        <f>1140.6+(294.2-402.9)+(0+(0-0))+0-0-0</f>
        <v>1031.8999999999999</v>
      </c>
      <c r="N335" s="3">
        <f>1155.3+(366.9-398.2)+(-0.589203+(-0.187119--0.203082))+0-0-0</f>
        <v>1123.4267600000001</v>
      </c>
      <c r="O335" s="3">
        <f>1178.2+(379.3-373.5)+(1.802646+(0.580329-0.571455))+0-0-0</f>
        <v>1185.81152</v>
      </c>
      <c r="P335" s="3">
        <f>1179.6+(378.9-342.3)+(1.203192+(0.386478-0.349146))+0-0-0</f>
        <v>1217.4405239999999</v>
      </c>
      <c r="Q335" s="3">
        <f>1170.1+(391.1-337.9)+(-0.596751+(-0.199461--0.172329))+0-0-0</f>
        <v>1222.676117</v>
      </c>
      <c r="R335" s="3">
        <f>1197+(398.3-391.4)+(0+(0-0))+0-0-0</f>
        <v>1203.9000000000001</v>
      </c>
      <c r="S335" s="3">
        <f>1183.6+(396.7-393.7)+(-2.414544+(-0.809268--0.803148))+0-0-0</f>
        <v>1184.1793359999999</v>
      </c>
      <c r="T335" s="3">
        <f>1195.6+(404.7-436.2)+(-0.609756+(-0.206397--0.222462))+0-0-0</f>
        <v>1163.5063089999999</v>
      </c>
      <c r="U335" s="3">
        <f>1191.5+(392.6-428)+(-1.21533+(-0.400452--0.43656))+0-0-0</f>
        <v>1154.9207779999999</v>
      </c>
      <c r="V335" s="3">
        <f>1209+(383.4-420.9)+(-0.61659+(-0.195534--0.214659))+0-0-0</f>
        <v>1170.9025349999999</v>
      </c>
      <c r="W335" s="3">
        <f>1219.4+(287.6-256.1)+(0.621894+(0.146676-0.130611))+0-0-0</f>
        <v>1251.537959</v>
      </c>
      <c r="X335" s="3">
        <f>1256.1+(279.7-129.3)+(0.640611+(0.142647-0.065943))+0-0-0</f>
        <v>1407.2173150000001</v>
      </c>
      <c r="Y335" s="3">
        <f>1246.1+(329.5-176.9)+(-2.542044+(-0.67218--0.360876))+0-0-0</f>
        <v>1395.8466519999997</v>
      </c>
      <c r="Z335" s="3">
        <f>1255.3+(365.8-263.6)+(-1.280406+(-0.373116--0.268872))+0-0-0</f>
        <v>1356.11535</v>
      </c>
      <c r="AA335" s="3">
        <f>1257.2+(402.6-352.7)+(0+(0-0))+0-0-0</f>
        <v>1307.1000000000001</v>
      </c>
      <c r="AB335" s="3">
        <f>1245.1+(389.4-390.5)+(0+(0-0))+0-0-0</f>
        <v>1244</v>
      </c>
      <c r="AC335" s="3">
        <f>1213.7+(361.8-425.9)+(-3.094935+(-0.92259--1.086045))+0-0-0</f>
        <v>1146.6685200000002</v>
      </c>
      <c r="AD335" s="2">
        <v>1412.3000000000002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1032.1+(320.5-327.2)+(-1.052742+(-0.32691--0.333744))+0-0-0</f>
        <v>1024.3540919999998</v>
      </c>
      <c r="G336" s="3">
        <f>796.6+(321.8-153.9)+(1.218798+(0.492354-0.235467))+0-0-0</f>
        <v>965.975685</v>
      </c>
      <c r="H336" s="3">
        <f>760.2+(295.4-123.8)+(0+(0-0))+0-0-0</f>
        <v>931.8</v>
      </c>
      <c r="I336" s="3">
        <f>759.7+(281.2-117.3)+(0+(0-0))+0-0-0</f>
        <v>923.6</v>
      </c>
      <c r="J336" s="3">
        <f>760.4+(280.1-120.8)+(0+(0-0))+0-0-0</f>
        <v>919.7</v>
      </c>
      <c r="K336" s="3">
        <f>898+(251.1-214)+(1.83192+(0.512244-0.43656))+0-0-0</f>
        <v>937.00760400000001</v>
      </c>
      <c r="L336" s="3">
        <f>1030+(289-343.9)+(-2.6265+(-0.73695--0.876945))+0-0-0</f>
        <v>972.61349500000006</v>
      </c>
      <c r="M336" s="3">
        <f>1114.9+(328.6-412.1)+(0.568599+(0.167586-0.210171))+0-0-0</f>
        <v>1031.9260140000001</v>
      </c>
      <c r="N336" s="3">
        <f>1239.3+(302-410.8)+(-0.632043+(-0.15402--0.209508))+0-0-0</f>
        <v>1129.9234449999999</v>
      </c>
      <c r="O336" s="3">
        <f>1256.9+(169.9-250.1)+(1.923057+(0.259947-0.382653))+0-0-0</f>
        <v>1178.5003510000001</v>
      </c>
      <c r="P336" s="3">
        <f>1239.1+(156.6-196.6)+(-0.631941+(-0.079866--0.100266))+0-0-0</f>
        <v>1198.4884589999999</v>
      </c>
      <c r="Q336" s="3">
        <f>1251.4+(165.2-200.9)+(1.914642+(0.252756-0.307377))+0-0-0</f>
        <v>1217.560021</v>
      </c>
      <c r="R336" s="3">
        <f>1210+(168.2-182.4)+(-3.7026+(-0.514692--0.558144))+0-0-0</f>
        <v>1192.140852</v>
      </c>
      <c r="S336" s="3">
        <f>1222+(164.3-225.7)+(-1.86966+(-0.251379--0.345321))+0-0-0</f>
        <v>1158.8242819999998</v>
      </c>
      <c r="T336" s="3">
        <f>1239.7+(214.2-318.2)+(0.632247+(0.109242-0.162282))+0-0-0</f>
        <v>1136.279207</v>
      </c>
      <c r="U336" s="3">
        <f>1237.9+(312-412.6)+(0+(0-0))+0-0-0</f>
        <v>1137.3000000000002</v>
      </c>
      <c r="V336" s="3">
        <f>1222.5+(271.3-339)+(-1.24695+(-0.276726--0.34578))+0-0-0</f>
        <v>1153.622104</v>
      </c>
      <c r="W336" s="3">
        <f>1219.1+(248.8-240.2)+(-2.486964+(-0.507552--0.490008))+0-0-0</f>
        <v>1225.1954919999998</v>
      </c>
      <c r="X336" s="3">
        <f>1239+(280.2-158.1)+(-0.63189+(-0.142902--0.080631))+0-0-0</f>
        <v>1360.405839</v>
      </c>
      <c r="Y336" s="3">
        <f>1226.4+(284-155.5)+(-1.876392+(-0.43452--0.237915))+0-0-0</f>
        <v>1352.8270030000001</v>
      </c>
      <c r="Z336" s="3">
        <f>1228.7+(280.5-185.1)+(-1.879911+(-0.429165--0.283203))+0-0-0</f>
        <v>1322.0741270000001</v>
      </c>
      <c r="AA336" s="3">
        <f>1214.6+(345.6-283.5)+(-3.09723+(-0.88128--0.722925))+0-0-0</f>
        <v>1273.4444149999997</v>
      </c>
      <c r="AB336" s="3">
        <f>1141.2+(407.1-332.8)+(-1.746036+(-0.622863--0.509184))+0-0-0</f>
        <v>1213.6402849999999</v>
      </c>
      <c r="AC336" s="3">
        <f>979.2+(349.1-201)+(-2.49696+(-0.890205--0.51255))+0-0-0</f>
        <v>1124.4253850000002</v>
      </c>
      <c r="AD336" s="2">
        <v>1392.9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874.8+(356.5-200.5)+(-0.892296+(-0.36363--0.20451))+0-0-0</f>
        <v>1029.7485839999999</v>
      </c>
      <c r="G337" s="3">
        <f>877.9+(312.9-210.3)+(0.447729+(0.159579-0.107253))+0-0-0</f>
        <v>981.00005499999997</v>
      </c>
      <c r="H337" s="3">
        <f>880+(311.4-244.3)+(1.7952+(0.635256-0.498372))+0-0-0</f>
        <v>949.03208399999994</v>
      </c>
      <c r="I337" s="3">
        <f>863.5+(308.6-236.1)+(0+(0-0))+0-0-0</f>
        <v>936</v>
      </c>
      <c r="J337" s="3">
        <f>856.5+(289.3-219.1)+(-0.436815+(-0.147543--0.111741))+0-0-0</f>
        <v>926.22738300000003</v>
      </c>
      <c r="K337" s="3">
        <f>912.7+(298.9-270)+(-2.327385+(-0.762195--0.6885))+0-0-0</f>
        <v>939.19892000000004</v>
      </c>
      <c r="L337" s="3">
        <f>1156.3+(293.9-474.4)+(-1.179426+(-0.299778--0.483888))+0-0-0</f>
        <v>974.80468399999995</v>
      </c>
      <c r="M337" s="3">
        <f>1223.7+(281.9-484.3)+(-0.624087+(-0.143769--0.246993))+0-0-0</f>
        <v>1020.779137</v>
      </c>
      <c r="N337" s="3">
        <f>1231.2+(260-377.1)+(0+(0-0))+0-0-0</f>
        <v>1114.0999999999999</v>
      </c>
      <c r="O337" s="3">
        <f>1218.6+(263.9-335.9)+(0+(0-0))+0-0-0</f>
        <v>1146.5999999999999</v>
      </c>
      <c r="P337" s="3">
        <f>1221.4+(258.7-323.6)+(0+(0-0))+0-0-0</f>
        <v>1156.5</v>
      </c>
      <c r="Q337" s="3">
        <f>1203.3+(268.5-325.4)+(-1.841049+(-0.410805--0.497862))+0-0-0</f>
        <v>1144.6460080000002</v>
      </c>
      <c r="R337" s="3">
        <f>1208.2+(281.1-339.6)+(-1.232364+(-0.286722--0.346392))+0-0-0</f>
        <v>1148.527306</v>
      </c>
      <c r="S337" s="3">
        <f>1169.3+(219.5-251.5)+(1.192686+(0.22389-0.25653))+0-0-0</f>
        <v>1138.4600459999999</v>
      </c>
      <c r="T337" s="3">
        <f>1121.2+(254.9-249.9)+(0.571812+(0.129999-0.127449))+0-0-0</f>
        <v>1126.7743620000001</v>
      </c>
      <c r="U337" s="3">
        <f>1108.9+(387.8-349.6)+(-0.565539+(-0.197778--0.178296))+0-0-0</f>
        <v>1146.514979</v>
      </c>
      <c r="V337" s="3">
        <f>1121.1+(395.7-354.8)+(0+(0-0))+0-0-0</f>
        <v>1162</v>
      </c>
      <c r="W337" s="3">
        <f>1204.1+(309.5-281.8)+(1.842273+(0.473535-0.431154))+0-0-0</f>
        <v>1233.6846539999999</v>
      </c>
      <c r="X337" s="3">
        <f>1247+(321.7-175.5)+(-1.27194+(-0.328134--0.17901))+0-0-0</f>
        <v>1391.7789360000002</v>
      </c>
      <c r="Y337" s="3">
        <f>1237.9+(320.6-168.7)+(1.262658+(0.327012-0.172074))+0-0-0</f>
        <v>1391.2175960000002</v>
      </c>
      <c r="Z337" s="3">
        <f>1210+(361.8-224.5)+(0+(0-0))+0-0-0</f>
        <v>1347.3</v>
      </c>
      <c r="AA337" s="3">
        <f>1202+(372.9-281.4)+(-0.61302+(-0.190179--0.143514))+0-0-0</f>
        <v>1292.8403149999999</v>
      </c>
      <c r="AB337" s="3">
        <f>1177.8+(407.3-346.1)+(-3.00339+(-1.038615--0.882555))+0-0-0</f>
        <v>1235.8405499999999</v>
      </c>
      <c r="AC337" s="3">
        <f>1186.2+(399.8-439.3)+(-1.814886+(-0.611694--0.672129))+0-0-0</f>
        <v>1144.945549</v>
      </c>
      <c r="AD337" s="2">
        <v>1395.3999999999999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1103.7+(361.2-419.1)+(-1.125774+(-0.368424--0.427482))+0-0-0</f>
        <v>1044.7332839999999</v>
      </c>
      <c r="G338" s="3">
        <f>1009.9+(308.4-337.6)+(-2.060196+(-0.629136--0.688704))+0-0-0</f>
        <v>978.69937199999993</v>
      </c>
      <c r="H338" s="3">
        <f>1022.9+(284-358.4)+(0+(0-0))+0-0-0</f>
        <v>948.5</v>
      </c>
      <c r="I338" s="3">
        <f>1025.4+(276.4-371.1)+(0+(0-0))+0-0-0</f>
        <v>930.7</v>
      </c>
      <c r="J338" s="3">
        <f>1028.5+(279.6-377.7)+(0.524535+(0.142596-0.192627))+0-0-0</f>
        <v>930.87450400000012</v>
      </c>
      <c r="K338" s="3">
        <f>1048.4+(286.9-385.2)+(1.069368+(0.292638-0.392904))+0-0-0</f>
        <v>951.06910200000016</v>
      </c>
      <c r="L338" s="3">
        <f>1172.6+(282.5-465.5)+(0.598026+(0.144075-0.237405))+0-0-0</f>
        <v>990.10469599999988</v>
      </c>
      <c r="M338" s="3">
        <f>1198+(320.5-490.6)+(0+(0-0))+0-0-0</f>
        <v>1027.9000000000001</v>
      </c>
      <c r="N338" s="3">
        <f>1193.5+(361.8-424.6)+(-0.608685+(-0.184518--0.216546))+0-0-0</f>
        <v>1130.123343</v>
      </c>
      <c r="O338" s="3">
        <f>1209.6+(356.4-396.7)+(1.233792+(0.363528-0.404634))+0-0-0</f>
        <v>1170.492686</v>
      </c>
      <c r="P338" s="3">
        <f>1202.2+(336.8-355.4)+(0+(0-0))+0-0-0</f>
        <v>1183.6000000000001</v>
      </c>
      <c r="Q338" s="3">
        <f>1187.4+(372-360.5)+(-1.816722+(-0.56916--0.551565))+0-0-0</f>
        <v>1197.065683</v>
      </c>
      <c r="R338" s="3">
        <f>1177.1+(360.5-348.8)+(-2.401284+(-0.73542--0.711552))+0-0-0</f>
        <v>1186.3748479999999</v>
      </c>
      <c r="S338" s="3">
        <f>1207.1+(340.8-372.3)+(1.231242+(0.347616-0.379746))+0-0-0</f>
        <v>1176.7991119999999</v>
      </c>
      <c r="T338" s="3">
        <f>1194.3+(355.4-387.6)+(-0.609093+(-0.181254--0.197676))+0-0-0</f>
        <v>1161.5073289999998</v>
      </c>
      <c r="U338" s="3">
        <f>1208.9+(330.6-387.6)+(1.233078+(0.337212-0.395352))+0-0-0</f>
        <v>1153.0749380000002</v>
      </c>
      <c r="V338" s="3">
        <f>1201.8+(288.4-320.8)+(-0.612918+(-0.147084--0.163608))+0-0-0</f>
        <v>1168.8036059999999</v>
      </c>
      <c r="W338" s="3">
        <f>1253.3+(247.3-259.8)+(-1.917549+(-0.378369--0.397494))+0-0-0</f>
        <v>1238.901576</v>
      </c>
      <c r="X338" s="3">
        <f>1268.6+(258.3-140.2)+(0.646986+(0.131733-0.071502))+0-0-0</f>
        <v>1387.4072169999997</v>
      </c>
      <c r="Y338" s="3">
        <f>1242.3+(275.2-128.8)+(-3.167865+(-0.70176--0.32844))+0-0-0</f>
        <v>1385.1588149999998</v>
      </c>
      <c r="Z338" s="3">
        <f>1153.5+(309.1-115.2)+(-0.588285+(-0.157641--0.058752))+0-0-0</f>
        <v>1346.7128260000002</v>
      </c>
      <c r="AA338" s="3">
        <f>1143+(340.4-180.4)+(-1.74879+(-0.520812--0.276012))+0-0-0</f>
        <v>1301.00641</v>
      </c>
      <c r="AB338" s="3">
        <f>1143.4+(386-275.8)+(-1.749402+(-0.59058--0.421974))+0-0-0</f>
        <v>1251.681992</v>
      </c>
      <c r="AC338" s="3">
        <f>1129.1+(371.9-324.9)+(-2.879205+(-0.948345--0.828495))+0-0-0</f>
        <v>1173.1009449999999</v>
      </c>
      <c r="AD338" s="2">
        <v>1395.3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1024.6+(375.2-319.3)+(-1.567638+(-0.574056--0.488529))+0-0-0</f>
        <v>1078.8468350000001</v>
      </c>
      <c r="G339" s="3">
        <f>1016.1+(335.5-344.4)+(0+(0-0))+0-0-0</f>
        <v>1007.2</v>
      </c>
      <c r="H339" s="3">
        <f>926.5+(305-261.6)+(1.417545+(0.46665-0.400248))+0-0-0</f>
        <v>971.38394699999992</v>
      </c>
      <c r="I339" s="3">
        <f>839.6+(310.4-190.8)+(-0.856392+(-0.316608--0.194616))+0-0-0</f>
        <v>958.22161600000004</v>
      </c>
      <c r="J339" s="3">
        <f>853.2+(302.6-199.6)+(1.305396+(0.462978-0.305388))+0-0-0</f>
        <v>957.66298600000005</v>
      </c>
      <c r="K339" s="3">
        <f>857.9+(275.2-157.9)+(0+(0-0))+0-0-0</f>
        <v>975.19999999999993</v>
      </c>
      <c r="L339" s="3">
        <f>980.6+(229-235.5)+(-2.000424+(-0.46716--0.48042))+0-0-0</f>
        <v>972.11283600000002</v>
      </c>
      <c r="M339" s="3">
        <f>1013.4+(257.5-276.8)+(0.516834+(0.131325-0.141168))+0-0-0</f>
        <v>994.60699099999988</v>
      </c>
      <c r="N339" s="3">
        <f>1133.2+(304.2-341.5)+(1.155864+(0.310284-0.34833))+0-0-0</f>
        <v>1097.017818</v>
      </c>
      <c r="O339" s="3">
        <f>1257.5+(246.2-347.3)+(1.923975+(0.376686-0.531369))+0-0-0</f>
        <v>1158.169292</v>
      </c>
      <c r="P339" s="3">
        <f>1239.8+(251-315.2)+(0+(0-0))+0-0-0</f>
        <v>1175.5999999999999</v>
      </c>
      <c r="Q339" s="3">
        <f>1237.6+(256.8-324.1)+(0+(0-0))+0-0-0</f>
        <v>1170.3</v>
      </c>
      <c r="R339" s="3">
        <f>1233.4+(255.7-344.3)+(-1.258068+(-0.260814--0.351186))+0-0-0</f>
        <v>1143.6323040000002</v>
      </c>
      <c r="S339" s="3">
        <f>1239.9+(276.6-402.4)+(0.632349+(0.141066-0.205224))+0-0-0</f>
        <v>1114.6681910000002</v>
      </c>
      <c r="T339" s="3">
        <f>1229.1+(287.7-424.3)+(-1.253682+(-0.293454--0.432786))+0-0-0</f>
        <v>1091.3856499999999</v>
      </c>
      <c r="U339" s="3">
        <f>1224.7+(273.4-422.5)+(-1.249194+(-0.278868--0.43095))+0-0-0</f>
        <v>1074.502888</v>
      </c>
      <c r="V339" s="3">
        <f>1253.7+(241.9-411.4)+(1.918161+(0.370107-0.629442))+0-0-0</f>
        <v>1085.8588260000001</v>
      </c>
      <c r="W339" s="3">
        <f>1230.4+(201.2-276.3)+(-1.882512+(-0.307836--0.422739))+0-0-0</f>
        <v>1153.5323910000002</v>
      </c>
      <c r="X339" s="3">
        <f>1267.5+(235.6-162.8)+(0+(0-0))+0-0-0</f>
        <v>1340.3</v>
      </c>
      <c r="Y339" s="3">
        <f>1244.2+(225.1-131.6)+(-3.807252+(-0.688806--0.402696))+0-0-0</f>
        <v>1333.606638</v>
      </c>
      <c r="Z339" s="3">
        <f>1270.9+(234.9-201.6)+(1.296318+(0.239598-0.205632))+0-0-0</f>
        <v>1305.5302839999999</v>
      </c>
      <c r="AA339" s="3">
        <f>1252.9+(296.8-278.4)+(-0.638979+(-0.151368--0.141984))+0-0-0</f>
        <v>1270.6516370000002</v>
      </c>
      <c r="AB339" s="3">
        <f>1254+(345.1-390)+(0+(0-0))+0-0-0</f>
        <v>1209.0999999999999</v>
      </c>
      <c r="AC339" s="3">
        <f>1239.6+(366.1-463.7)+(-1.896588+(-0.560133--0.709461))+0-0-0</f>
        <v>1140.2527399999999</v>
      </c>
      <c r="AD339" s="2">
        <v>1356.4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1238.9+(370-549.6)+(-1.895517+(-0.5661--0.840888))+0-0-0</f>
        <v>1057.6792710000002</v>
      </c>
      <c r="G340" s="3">
        <f>1118+(387.1-509.8)+(-2.8509+(-0.987105--1.29999))+0-0-0</f>
        <v>992.76198499999998</v>
      </c>
      <c r="H340" s="3">
        <f>1025.6+(337.5-411.6)+(-0.523056+(-0.172125--0.209916))+0-0-0</f>
        <v>951.01473499999986</v>
      </c>
      <c r="I340" s="3">
        <f>1024.2+(320.8-405.5)+(0.522342+(0.163608-0.206805))+0-0-0</f>
        <v>939.97914500000002</v>
      </c>
      <c r="J340" s="3">
        <f>1024.1+(337-429.9)+(0.522291+(0.17187-0.219249))+0-0-0</f>
        <v>931.67491199999995</v>
      </c>
      <c r="K340" s="3">
        <f>1037.2+(293.5-401.9)+(2.115888+(0.59874-0.819876))+0-0-0</f>
        <v>930.69475200000011</v>
      </c>
      <c r="L340" s="3">
        <f>1139.4+(250.8-481.9)+(-1.162188+(-0.255816--0.491538))+0-0-0</f>
        <v>907.37353400000018</v>
      </c>
      <c r="M340" s="3">
        <f>1182.1+(243.4-547.4)+(-0.602871+(-0.124134--0.279174))+0-0-0</f>
        <v>877.65216899999996</v>
      </c>
      <c r="N340" s="3">
        <f>1181.4+(252.3-500.9)+(-1.205028+(-0.257346--0.510918))+0.4-0-0</f>
        <v>932.24854400000015</v>
      </c>
      <c r="O340" s="3">
        <f>1190.4+(274.1-477.2)+(1.214208+(0.279582-0.486744))+11-0-0</f>
        <v>999.30704600000013</v>
      </c>
      <c r="P340" s="3">
        <f>1227.7+(293.9-488.5)+(0+(0-0))+11-0-0</f>
        <v>1044.0999999999999</v>
      </c>
      <c r="Q340" s="3">
        <f>1252.6+(329.8-521.3)+(0+(0-0))+0.4-0-0</f>
        <v>1061.5</v>
      </c>
      <c r="R340" s="3">
        <f>1242.7+(341.9-537.5)+(-1.901331+(-0.523107--0.822375))+0-0-0</f>
        <v>1045.4979369999999</v>
      </c>
      <c r="S340" s="3">
        <f>1243.9+(350.2-576)+(-0.634389+(-0.178602--0.29376))+0-0-0</f>
        <v>1017.5807690000001</v>
      </c>
      <c r="T340" s="3">
        <f>1239.5+(356.9-596.1)+(-1.26429+(-0.364038--0.608022))+0-0-0</f>
        <v>999.27969399999995</v>
      </c>
      <c r="U340" s="3">
        <f>1234.2+(331-576.7)+(-1.258884+(-0.33762--0.588234))+0-0-0</f>
        <v>987.49172999999996</v>
      </c>
      <c r="V340" s="3">
        <f>1256.6+(268.5-513.6)+(0+(0-0))+0-0-0</f>
        <v>1011.4999999999999</v>
      </c>
      <c r="W340" s="3">
        <f>1286.4+(257.2-450.4)+(-0.656064+(-0.131172--0.229704))+0-0-0</f>
        <v>1092.642468</v>
      </c>
      <c r="X340" s="3">
        <f>1414.5+(280.8-416.2)+(-0.721395+(-0.143208--0.212262))+0-0-0</f>
        <v>1278.4476589999999</v>
      </c>
      <c r="Y340" s="3">
        <f>1418.6+(310.7-441.2)+(0+(0-0))+0-0-0</f>
        <v>1288.0999999999999</v>
      </c>
      <c r="Z340" s="3">
        <f>1410.3+(315.2-463)+(-1.438506+(-0.321504--0.47226))+0-0-0</f>
        <v>1261.21225</v>
      </c>
      <c r="AA340" s="3">
        <f>1415.4+(331.2-512.5)+(-0.721854+(-0.168912--0.261375))+0-0-0</f>
        <v>1233.4706090000002</v>
      </c>
      <c r="AB340" s="3">
        <f>1256.3+(373.5-456.2)+(-3.203565+(-0.952425--1.16331))+0-0-0</f>
        <v>1170.6073199999998</v>
      </c>
      <c r="AC340" s="3">
        <f>1208.2+(413.5-523.6)+(-3.08091+(-1.054425--1.33518))+0-0-0</f>
        <v>1095.299845</v>
      </c>
      <c r="AD340" s="2">
        <v>1310.0999999999999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1155.1+(386.7-533.3)+(-1.178202+(-0.394434--0.543966))+0-0-0</f>
        <v>1007.47133</v>
      </c>
      <c r="G341" s="3">
        <f>1106.9+(305.5-462.6)+(1.129038+(0.31161-0.471852))+0-0-0</f>
        <v>950.76879600000007</v>
      </c>
      <c r="H341" s="3">
        <f>956.7+(340.3-371.1)+(0.975834+(0.347106-0.378522))+0-0-0</f>
        <v>926.84441800000013</v>
      </c>
      <c r="I341" s="3">
        <f>950.2+(312-347)+(0.484602+(0.15912-0.17697))+0-0-0</f>
        <v>915.66675200000009</v>
      </c>
      <c r="J341" s="3">
        <f>949.6+(330.8-363.5)+(-0.484296+(-0.168708--0.185385))+0-0-0</f>
        <v>916.43238100000008</v>
      </c>
      <c r="K341" s="3">
        <f>972.2+(294.1-336.7)+(0.991644+(0.299982-0.343434))+0-0-0</f>
        <v>930.54819200000009</v>
      </c>
      <c r="L341" s="3">
        <f>1165+(254.4-444.9)+(0.59415+(0.129744-0.226899))+0-0-0</f>
        <v>974.99699499999997</v>
      </c>
      <c r="M341" s="3">
        <f>1239+(209.6-423.4)+(0.63189+(0.106896-0.215934))+0-0-0</f>
        <v>1025.7228520000001</v>
      </c>
      <c r="N341" s="3">
        <f>1239.7+(284.7-396.3)+(1.264494+(0.290394-0.404226))+0-0-0</f>
        <v>1129.2506619999999</v>
      </c>
      <c r="O341" s="3">
        <f>1249.7+(323.7-399.6)+(2.549388+(0.660348-0.815184))+0-0-0</f>
        <v>1176.1945519999999</v>
      </c>
      <c r="P341" s="3">
        <f>1235.1+(318.5-372.3)+(0+(0-0))+0-0-0</f>
        <v>1181.3</v>
      </c>
      <c r="Q341" s="3">
        <f>1233+(325.7-365)+(0+(0-0))+0-0-0</f>
        <v>1193.7</v>
      </c>
      <c r="R341" s="3">
        <f>1225.9+(323-382.7)+(-1.250418+(-0.32946--0.390354))+0-0-0</f>
        <v>1165.0104760000002</v>
      </c>
      <c r="S341" s="3">
        <f>1211.8+(313-383.3)+(-2.472072+(-0.63852--0.781932))+0-0-0</f>
        <v>1139.1713400000001</v>
      </c>
      <c r="T341" s="3">
        <f>1233.3+(342.2-444.8)+(0+(0-0))+0-0-0</f>
        <v>1130.6999999999998</v>
      </c>
      <c r="U341" s="3">
        <f>1227.2+(354.4-451.4)+(0.625872+(0.180744-0.230214))+0-0-0</f>
        <v>1130.776402</v>
      </c>
      <c r="V341" s="3">
        <f>1227.9+(393.5-461.2)+(0+(0-0))+0-0-0</f>
        <v>1160.2</v>
      </c>
      <c r="W341" s="3">
        <f>1248.9+(323.8-334.3)+(-1.273878+(-0.330276--0.340986))+0-0-0</f>
        <v>1237.1368320000001</v>
      </c>
      <c r="X341" s="3">
        <f>1284.1+(329.1-214.5)+(-1.964673+(-0.503523--0.328185))+0-0-0</f>
        <v>1396.5599889999999</v>
      </c>
      <c r="Y341" s="3">
        <f>1287+(343.6-224)+(-1.31274+(-0.350472--0.22848))+0-0-0</f>
        <v>1405.165268</v>
      </c>
      <c r="Z341" s="3">
        <f>1257.7+(369.4-251.6)+(0.641427+(0.188394-0.128316))+0-0-0</f>
        <v>1376.201505</v>
      </c>
      <c r="AA341" s="3">
        <f>1194.5+(418.2-293.1)+(-1.21839+(-0.426564--0.298962))+0-0-0</f>
        <v>1318.2540079999999</v>
      </c>
      <c r="AB341" s="3">
        <f>1191.6+(475-406.8)+(-1.215432+(-0.4845--0.414936))+0-0-0</f>
        <v>1258.5150039999999</v>
      </c>
      <c r="AC341" s="3">
        <f>1037.9+(451.4-328)+(-0.529329+(-0.230214--0.16728))+0-0-0</f>
        <v>1160.7077370000002</v>
      </c>
      <c r="AD341" s="2">
        <v>1400.8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876.1+(446.3-275.5)+(-2.234055+(-1.138065--0.702525))+0-0-0</f>
        <v>1044.230405</v>
      </c>
      <c r="G342" s="3">
        <f>714.7+(449.3-169.4)+(-0.364497+(-0.229143--0.086394))+0-0-0</f>
        <v>994.09275400000001</v>
      </c>
      <c r="H342" s="3">
        <f>706.6+(418-159.6)+(-0.720732+(-0.42636--0.162792))+0-0-0</f>
        <v>964.01570000000004</v>
      </c>
      <c r="I342" s="3">
        <f>698.7+(402.8-150.3)+(-1.069011+(-0.616284--0.229959))+0-0-0</f>
        <v>949.74466400000006</v>
      </c>
      <c r="J342" s="3">
        <f>717.3+(370.4-140.8)+(0.365823+(0.188904-0.071808))+0-0-0</f>
        <v>947.3829189999999</v>
      </c>
      <c r="K342" s="3">
        <f>711+(428.4-181.5)+(-0.36261+(-0.218484--0.092565))+0-0-0</f>
        <v>957.41147100000001</v>
      </c>
      <c r="L342" s="3">
        <f>760.3+(446.2-219.6)+(-0.387753+(-0.227562--0.111996))+0-0-0</f>
        <v>986.39668099999994</v>
      </c>
      <c r="M342" s="3">
        <f>1030.7+(410.5-401.3)+(0.525657+(0.209355-0.204663))+0-0-0</f>
        <v>1040.430349</v>
      </c>
      <c r="N342" s="3">
        <f>1128.2+(444.7-440.4)+(0.575382+(0.226797-0.224604))+0-0-0</f>
        <v>1133.077575</v>
      </c>
      <c r="O342" s="3">
        <f>1171.6+(472.5-459.3)+(0+(0-0))+0-0-0</f>
        <v>1184.8</v>
      </c>
      <c r="P342" s="3">
        <f>1165.4+(507.1-463.6)+(0+(0-0))+0-0-0</f>
        <v>1208.9000000000001</v>
      </c>
      <c r="Q342" s="3">
        <f>1180.8+(490.3-444.7)+(-0.602208+(-0.250053--0.226797))+0-0-0</f>
        <v>1225.7745360000001</v>
      </c>
      <c r="R342" s="3">
        <f>1158.1+(478.9-434.6)+(-2.362524+(-0.976956--0.886584))+0-0-0</f>
        <v>1199.9471039999999</v>
      </c>
      <c r="S342" s="3">
        <f>1089.1+(480.2-377.4)+(1.110882+(0.489804-0.384948))+0-0-0</f>
        <v>1193.115738</v>
      </c>
      <c r="T342" s="3">
        <f>1009.4+(506-333)+(0.514794+(0.25806-0.16983))+0-0-0</f>
        <v>1183.0030240000001</v>
      </c>
      <c r="U342" s="3">
        <f>1012.2+(533-356.8)+(1.032444+(0.54366-0.363936))+0-0-0</f>
        <v>1189.6121680000001</v>
      </c>
      <c r="V342" s="3">
        <f>1017.3+(518.1-321)+(1.037646+(0.528462-0.32742))+0-0-0</f>
        <v>1215.638688</v>
      </c>
      <c r="W342" s="3">
        <f>1081.7+(427.1-209.3)+(-2.206668+(-0.871284--0.426972))+0-0-0</f>
        <v>1296.8490200000001</v>
      </c>
      <c r="X342" s="3">
        <f>1225.1+(363.9-175.3)+(-0.624801+(-0.185589--0.089403))+0-0-0</f>
        <v>1412.9790129999999</v>
      </c>
      <c r="Y342" s="3">
        <f>1182.8+(387.7-171.5)+(-2.412912+(-0.790908--0.34986))+0-0-0</f>
        <v>1396.1460400000001</v>
      </c>
      <c r="Z342" s="3">
        <f>985.7+(443.6-67.8)+(-2.513535+(-1.13118--0.17289))+0-0-0</f>
        <v>1358.0281749999999</v>
      </c>
      <c r="AA342" s="3">
        <f>809.1+(553.4-53.1)+(0+(0-0))+0-0-0</f>
        <v>1309.4000000000001</v>
      </c>
      <c r="AB342" s="3">
        <f>802.3+(568.6-139)+(-0.409173+(-0.289986--0.07089))+0-0-0</f>
        <v>1231.271731</v>
      </c>
      <c r="AC342" s="3">
        <f>800.7+(527.2-193.2)+(-1.225071+(-0.806616--0.295596))+0-0-0</f>
        <v>1132.9639090000001</v>
      </c>
      <c r="AD342" s="2">
        <v>1424.9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794.8+(508.1-249.2)+(-0.810696+(-0.518262--0.254184))+0-0-0</f>
        <v>1052.6252260000001</v>
      </c>
      <c r="G343" s="3">
        <f>730.2+(444.4-176.4)+(0.372402+(0.226644-0.089964))+0-0-0</f>
        <v>998.70908200000008</v>
      </c>
      <c r="H343" s="3">
        <f>560+(500-87.8)+(-0.5712+(-0.51--0.089556))+0-0-0</f>
        <v>971.20835600000009</v>
      </c>
      <c r="I343" s="3">
        <f>564.3+(475.7-74.1)+(0.287793+(0.242607-0.037791))+0-0-0</f>
        <v>966.39260899999999</v>
      </c>
      <c r="J343" s="3">
        <f>563.3+(452.4-51.3)+(0+(0-0))+0-0-0</f>
        <v>964.39999999999986</v>
      </c>
      <c r="K343" s="3">
        <f>629.8+(439.6-100.5)+(-0.963594+(-0.672588--0.153765))+0-0-0</f>
        <v>967.41758299999992</v>
      </c>
      <c r="L343" s="3">
        <f>808.7+(437.6-238.2)+(0+(0-0))+0-0-0</f>
        <v>1008.1000000000001</v>
      </c>
      <c r="M343" s="3">
        <f>811.8+(501.8-243.3)+(0.414018+(0.255918-0.124083))+0-0-0</f>
        <v>1070.845853</v>
      </c>
      <c r="N343" s="3">
        <f>810.2+(561.8-202.8)+(-0.413202+(-0.286518--0.103428))+0-0-0</f>
        <v>1168.6037080000001</v>
      </c>
      <c r="O343" s="3">
        <f>878.4+(540-191.9)+(-1.343952+(-0.8262--0.293607))+0-0-0</f>
        <v>1224.6234549999999</v>
      </c>
      <c r="P343" s="3">
        <f>962.5+(483.5-185.1)+(-1.472625+(-0.739755--0.283203))+0-0-0</f>
        <v>1258.9708230000001</v>
      </c>
      <c r="Q343" s="3">
        <f>993.6+(470.7-181.8)+(-2.026944+(-0.960228--0.370872))+0-0-0</f>
        <v>1279.8837000000001</v>
      </c>
      <c r="R343" s="3">
        <f>1061.2+(497.8-285)+(0+(0-0))+0-0-0</f>
        <v>1274</v>
      </c>
      <c r="S343" s="3">
        <f>1073.3+(519.6-346.7)+(-1.642149+(-0.794988--0.530451))+0-0-0</f>
        <v>1244.293314</v>
      </c>
      <c r="T343" s="3">
        <f>1139.6+(504.3-421.2)+(1.162392+(0.514386-0.429624))+0-0-0</f>
        <v>1223.9471539999997</v>
      </c>
      <c r="U343" s="3">
        <f>1157.8+(474.6-429)+(-0.590478+(-0.242046--0.21879))+0-0-0</f>
        <v>1202.7862660000001</v>
      </c>
      <c r="V343" s="3">
        <f>1219.8+(442.3-420.3)+(0+(0-0))+0-0-0</f>
        <v>1241.8</v>
      </c>
      <c r="W343" s="3">
        <f>1244.7+(355.8-293)+(-1.269594+(-0.362916--0.29886))+0-0-0</f>
        <v>1306.16635</v>
      </c>
      <c r="X343" s="3">
        <f>1253.9+(380.9-203.4)+(-0.639489+(-0.194259--0.103734))+0-0-0</f>
        <v>1430.6699860000001</v>
      </c>
      <c r="Y343" s="3">
        <f>1194.7+(402.8-178.5)+(-3.046485+(-1.02714--0.455175))+0-0-0</f>
        <v>1415.3815500000001</v>
      </c>
      <c r="Z343" s="3">
        <f>1163.1+(434.7-217.6)+(0+(0-0))+0-0-0</f>
        <v>1380.1999999999998</v>
      </c>
      <c r="AA343" s="3">
        <f>1161.3+(468.5-307.6)+(-1.184526+(-0.47787--0.313752))+0-0-0</f>
        <v>1320.8513559999999</v>
      </c>
      <c r="AB343" s="3">
        <f>1117.2+(504.1-356.9)+(-1.139544+(-0.514182--0.364038))+0-0-0</f>
        <v>1263.110312</v>
      </c>
      <c r="AC343" s="3">
        <f>1028.6+(438.7-299.4)+(-2.62293+(-1.118685--0.76347))+0-0-0</f>
        <v>1164.9218549999998</v>
      </c>
      <c r="AD343" s="2">
        <v>1433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859.5+(324.2-134.2)+(-1.315035+(-0.496026--0.205326))+0-0-0</f>
        <v>1047.8942649999999</v>
      </c>
      <c r="G344" s="3">
        <f>692.5+(336.5-50.2)+(-1.059525+(-0.514845--0.076806))+0-0-0</f>
        <v>977.30243599999994</v>
      </c>
      <c r="H344" s="3">
        <f>694.6+(333.4-77.7)+(-0.354246+(-0.170034--0.039627))+0-0-0</f>
        <v>949.81534699999997</v>
      </c>
      <c r="I344" s="3">
        <f>692.5+(322.5-80.3)+(-0.70635+(-0.32895--0.081906))+0-0-0</f>
        <v>933.74660600000004</v>
      </c>
      <c r="J344" s="3">
        <f>692.6+(328.5-84.7)+(0.353226+(0.167535-0.043197))+0-0-0</f>
        <v>936.87756400000012</v>
      </c>
      <c r="K344" s="3">
        <f>699.2+(320-73.7)+(1.426368+(0.6528-0.150348))+0-0-0</f>
        <v>947.42881999999997</v>
      </c>
      <c r="L344" s="3">
        <f>738.9+(282.3-47.2)+(-0.376839+(-0.143973--0.024072))+0-0-0</f>
        <v>973.50325999999995</v>
      </c>
      <c r="M344" s="3">
        <f>984.9+(268.4-226.9)+(-0.502299+(-0.136884--0.115719))+0-0-0</f>
        <v>1025.8765359999998</v>
      </c>
      <c r="N344" s="3">
        <f>1250.6+(266.9-388.8)+(-0.637806+(-0.136119--0.198288))+0-0-0</f>
        <v>1128.1243629999999</v>
      </c>
      <c r="O344" s="3">
        <f>1248.3+(282.2-363.1)+(-2.546532+(-0.575688--0.740724))+0-0-0</f>
        <v>1165.0185039999999</v>
      </c>
      <c r="P344" s="3">
        <f>1319.6+(254.7-388.7)+(-0.672996+(-0.129897--0.198237))+0-0-0</f>
        <v>1184.9953439999999</v>
      </c>
      <c r="Q344" s="3">
        <f>1353.1+(246.4-397.5)+(-1.380162+(-0.251328--0.40545))+0-0-0</f>
        <v>1200.77396</v>
      </c>
      <c r="R344" s="3">
        <f>1258.2+(264.3-311.8)+(-2.566728+(-0.539172--0.636072))+0-0-0</f>
        <v>1208.230172</v>
      </c>
      <c r="S344" s="3">
        <f>1187.8+(265.7-261.1)+(-1.817334+(-0.406521--0.399483))+0-0-0</f>
        <v>1190.5756279999998</v>
      </c>
      <c r="T344" s="3">
        <f>1197.5+(302-314.8)+(0.610725+(0.15402-0.160548))+0-0-0</f>
        <v>1185.3041970000002</v>
      </c>
      <c r="U344" s="3">
        <f>1203.7+(295.9-336.8)+(1.227774+(0.301818-0.343536))+0-0-0</f>
        <v>1163.986056</v>
      </c>
      <c r="V344" s="3">
        <f>1200.4+(281.8-303.3)+(0.612204+(0.143718-0.154683))+0-0-0</f>
        <v>1179.5012390000002</v>
      </c>
      <c r="W344" s="3">
        <f>1215.4+(292.8-264.2)+(0.619854+(0.149328-0.134742))+0-0-0</f>
        <v>1244.63444</v>
      </c>
      <c r="X344" s="3">
        <f>1214.8+(307.4-123.5)+(0+(0-0))+0-0-0</f>
        <v>1398.6999999999998</v>
      </c>
      <c r="Y344" s="3">
        <f>1192.7+(305.9-96.7)+(0+(0-0))+0-0-0</f>
        <v>1401.9</v>
      </c>
      <c r="Z344" s="3">
        <f>1160.7+(310.5-105.8)+(-0.591957+(-0.158355--0.053958))+0-0-0</f>
        <v>1364.7036460000002</v>
      </c>
      <c r="AA344" s="3">
        <f>1166.2+(323.4-162.4)+(0+(0-0))+0-0-0</f>
        <v>1327.2</v>
      </c>
      <c r="AB344" s="3">
        <f>1117.3+(338.9-201.9)+(-2.279292+(-0.691356--0.411876))+0-0-0</f>
        <v>1251.7412279999999</v>
      </c>
      <c r="AC344" s="3">
        <f>914.7+(407.3-163.2)+(-0.466497+(-0.207723--0.083232))+0-0-0</f>
        <v>1158.2090120000003</v>
      </c>
      <c r="AD344" s="2">
        <v>1412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774.6+(458.5-182.3)+(-1.97523+(-1.169175--0.464865))+0-0-0</f>
        <v>1048.1204599999999</v>
      </c>
      <c r="G345" s="3">
        <f>687.1+(498.1-187.6)+(-1.051263+(-0.762093--0.287028))+0-0-0</f>
        <v>996.07367199999999</v>
      </c>
      <c r="H345" s="3">
        <f>691.6+(496.9-232)+(0+(0-0))+0-0-0</f>
        <v>956.5</v>
      </c>
      <c r="I345" s="3">
        <f>693.6+(487.5-235)+(0.353736+(0.248625-0.11985))+0-0-0</f>
        <v>946.58251100000007</v>
      </c>
      <c r="J345" s="3">
        <f>684.6+(509-256.5)+(-1.396584+(-1.03836--0.52326))+0-0-0</f>
        <v>935.18831599999999</v>
      </c>
      <c r="K345" s="3">
        <f>694+(453.5-195.8)+(0.35394+(0.231285-0.099858))+0-0-0</f>
        <v>952.18536700000004</v>
      </c>
      <c r="L345" s="3">
        <f>689.4+(406.6-125.5)+(0.351594+(0.207366-0.064005))+0-0-0</f>
        <v>970.994955</v>
      </c>
      <c r="M345" s="3">
        <f>870.4+(358.7-210.1)+(-0.443904+(-0.182937--0.107151))+0-0-0</f>
        <v>1018.48031</v>
      </c>
      <c r="N345" s="3">
        <f>1076.7+(359.9-311.6)+(0+(0-0))+0-0-0</f>
        <v>1125</v>
      </c>
      <c r="O345" s="3">
        <f>1227+(338.3-396.3)+(-0.62577+(-0.172533--0.202113))+0-0-0</f>
        <v>1168.40381</v>
      </c>
      <c r="P345" s="3">
        <f>1218.6+(326.3-366.5)+(-1.864458+(-0.499239--0.560745))+0-0-0</f>
        <v>1176.5970479999999</v>
      </c>
      <c r="Q345" s="3">
        <f>1225+(319.5-358.3)+(-0.62475+(-0.162945--0.182733))+0-0-0</f>
        <v>1185.5950380000002</v>
      </c>
      <c r="R345" s="3">
        <f>1222.3+(303.7-370.1)+(-0.623373+(-0.154887--0.188751))+0-0-0</f>
        <v>1155.310491</v>
      </c>
      <c r="S345" s="3">
        <f>1216.8+(282.3-364.2)+(1.861704+(0.431919-0.557226))+0-0-0</f>
        <v>1136.636397</v>
      </c>
      <c r="T345" s="3">
        <f>1212.2+(283.9-381.9)+(1.236444+(0.289578-0.389538))+0-0-0</f>
        <v>1115.3364840000002</v>
      </c>
      <c r="U345" s="3">
        <f>1196+(285.2-380.8)+(-1.21992+(-0.290904--0.388416))+0-0-0</f>
        <v>1099.2775920000001</v>
      </c>
      <c r="V345" s="3">
        <f>1204.7+(285.3-380.1)+(0.614397+(0.145503-0.193851))+0-0-0</f>
        <v>1110.4660490000001</v>
      </c>
      <c r="W345" s="3">
        <f>1222+(284.8-346.2)+(0.62322+(0.145248-0.176562))+0-0-0</f>
        <v>1161.191906</v>
      </c>
      <c r="X345" s="3">
        <f>1254.6+(373.7-272.7)+(-0.639846+(-0.190587--0.139077))+0-0-0</f>
        <v>1354.9086439999999</v>
      </c>
      <c r="Y345" s="3">
        <f>1232.5+(369-230.7)+(-3.142875+(-0.94095--0.588285))+0-0-0</f>
        <v>1367.3044600000001</v>
      </c>
      <c r="Z345" s="3">
        <f>1238.2+(344.5-237.9)+(-2.525928+(-0.70278--0.485316))+0-0-0</f>
        <v>1342.0566079999999</v>
      </c>
      <c r="AA345" s="3">
        <f>1231.4+(332.1-263.6)+(-3.14007+(-0.846855--0.67218))+0-0-0</f>
        <v>1296.5852550000002</v>
      </c>
      <c r="AB345" s="3">
        <f>1192.8+(313-288.3)+(-0.608328+(-0.15963--0.147033))+0-0-0</f>
        <v>1216.8790750000001</v>
      </c>
      <c r="AC345" s="3">
        <f>1037.9+(338.8-235.3)+(-1.587987+(-0.518364--0.360009))+0-0-0</f>
        <v>1139.6536580000002</v>
      </c>
      <c r="AD345" s="2">
        <v>1524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778.5+(378.9-106.7)+(-0.397035+(-0.193239--0.054417))+0-0-0</f>
        <v>1050.164143</v>
      </c>
      <c r="G346" s="3">
        <f>774.6+(372.1-170.6)+(-0.395046+(-0.189771--0.087006))+0-0-0</f>
        <v>975.60218900000007</v>
      </c>
      <c r="H346" s="3">
        <f>781.9+(364.3-194.9)+(0.398769+(0.185793-0.099399))+0-0-0</f>
        <v>951.78516300000001</v>
      </c>
      <c r="I346" s="3">
        <f>780.8+(367.3-207.6)+(-0.796416+(-0.374646--0.211752))+0-0-0</f>
        <v>939.54069000000004</v>
      </c>
      <c r="J346" s="3">
        <f>784.3+(384.5-224.8)+(0.799986+(0.39219-0.229296))+0-0-0</f>
        <v>944.96288000000004</v>
      </c>
      <c r="K346" s="3">
        <f>785+(381.6-209.4)+(0.40035+(0.194616-0.106794))+0-0-0</f>
        <v>957.68817200000001</v>
      </c>
      <c r="L346" s="3">
        <f>937.8+(342.3-323.6)+(-2.869668+(-1.047438--0.990216))+0-0-0</f>
        <v>953.57311000000004</v>
      </c>
      <c r="M346" s="3">
        <f>982.4+(354.7-332.6)+(0.501024+(0.180897-0.169626))+0-0-0</f>
        <v>1005.012295</v>
      </c>
      <c r="N346" s="3">
        <f>1173.3+(353.6-424.8)+(0+(0-0))+0-0-0</f>
        <v>1102.0999999999999</v>
      </c>
      <c r="O346" s="3">
        <f>1197.6+(364.8-403)+(-1.221552+(-0.372096--0.41106))+0-0-0</f>
        <v>1158.217412</v>
      </c>
      <c r="P346" s="3">
        <f>1257.1+(414.5-489)+(0.641121+(0.211395-0.24939))+0-0-0</f>
        <v>1183.2031259999999</v>
      </c>
      <c r="Q346" s="3">
        <f>1250.2+(429.5-508)+(-2.550408+(-0.87618--1.03632))+0-0-0</f>
        <v>1169.3097319999999</v>
      </c>
      <c r="R346" s="3">
        <f>1251.5+(461.4-562)+(-1.27653+(-0.470628--0.57324))+0-0-0</f>
        <v>1149.7260820000001</v>
      </c>
      <c r="S346" s="3">
        <f>1229.7+(395.2-506.8)+(-3.135735+(-1.00776--1.29234))+0-0-0</f>
        <v>1115.2488449999998</v>
      </c>
      <c r="T346" s="3">
        <f>1247.8+(294.2-436.5)+(-1.272756+(-0.300084--0.44523))+0-0-0</f>
        <v>1104.37239</v>
      </c>
      <c r="U346" s="3">
        <f>1227.5+(310.5-436.2)+(-3.75615+(-0.95013--1.334772))+0-0-0</f>
        <v>1098.428492</v>
      </c>
      <c r="V346" s="3">
        <f>1250.9+(338.4-472)+(0+(0-0))+0-0-0</f>
        <v>1117.3000000000002</v>
      </c>
      <c r="W346" s="3">
        <f>1245.2+(317.2-403.5)+(-1.270104+(-0.323544--0.41157))+0-0-0</f>
        <v>1157.717922</v>
      </c>
      <c r="X346" s="3">
        <f>1263.2+(350-288.6)+(1.288464+(0.357-0.294372))+0-0-0</f>
        <v>1325.951092</v>
      </c>
      <c r="Y346" s="3">
        <f>1240.4+(370.7-291.3)+(-1.897812+(-0.567171--0.445689))+0-0-0</f>
        <v>1317.7807060000002</v>
      </c>
      <c r="Z346" s="3">
        <f>1236.8+(346.2-303.7)+(-2.523072+(-0.706248--0.619548))+0-0-0</f>
        <v>1276.6902279999999</v>
      </c>
      <c r="AA346" s="3">
        <f>1251.3+(357.2-356.7)+(-0.638163+(-0.182172--0.181917))+0-0-0</f>
        <v>1251.161582</v>
      </c>
      <c r="AB346" s="3">
        <f>1242.9+(348.1-390.9)+(-1.267758+(-0.355062--0.398718))+0-0-0</f>
        <v>1198.8758980000002</v>
      </c>
      <c r="AC346" s="3">
        <f>1235.9+(359.6-466.6)+(-0.630309+(-0.183396--0.237966))+0-0-0</f>
        <v>1128.324261</v>
      </c>
      <c r="AD346" s="2">
        <v>1431.8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1093.8+(389.5-420.9)+(-1.115676+(-0.39729--0.429318))+0-0-0</f>
        <v>1061.3163520000001</v>
      </c>
      <c r="G347" s="3">
        <f>1034.1+(372.8-393.2)+(-0.527391+(-0.190128--0.200532))+0-0-0</f>
        <v>1013.183013</v>
      </c>
      <c r="H347" s="3">
        <f>1026.5+(370.6-417.9)+(-1.04703+(-0.378012--0.426258))+0-0-0</f>
        <v>978.20121600000004</v>
      </c>
      <c r="I347" s="3">
        <f>1095+(367.3-491.9)+(0.55845+(0.187323-0.250869))+0-0-0</f>
        <v>970.89490400000011</v>
      </c>
      <c r="J347" s="3">
        <f>1121.9+(365.2-521.3)+(-2.288676+(-0.745008--1.063452))+0-0-0</f>
        <v>963.82976800000017</v>
      </c>
      <c r="K347" s="3">
        <f>1147.7+(355.3-532)+(0.585327+(0.181203-0.27132))+0-0-0</f>
        <v>971.49521000000004</v>
      </c>
      <c r="L347" s="3">
        <f>1109.6+(345.5-519.3)+(-3.395376+(-1.05723--1.589058))+0-0-0</f>
        <v>932.93645199999992</v>
      </c>
      <c r="M347" s="3">
        <f>1137.3+(329.2-549)+(-1.740069+(-0.503676--0.83997))+0-0-0</f>
        <v>916.096225</v>
      </c>
      <c r="N347" s="3">
        <f>1199.6+(303.6-528.3)+(-0.611796+(-0.154836--0.269433))+0-0-0</f>
        <v>974.40280099999995</v>
      </c>
      <c r="O347" s="3">
        <f>1193.7+(299.5-478.7)+(-0.608787+(-0.152745--0.244137))+0-0-0</f>
        <v>1013.982605</v>
      </c>
      <c r="P347" s="3">
        <f>1197.1+(312-459.1)+(-0.610521+(-0.15912--0.234141))+0-0-0</f>
        <v>1049.4645</v>
      </c>
      <c r="Q347" s="3">
        <f>1148+(328-411.9)+(0+(0-0))+0-0-0</f>
        <v>1064.0999999999999</v>
      </c>
      <c r="R347" s="3">
        <f>1000.5+(421.8-308)+(-1.530765+(-0.645354--0.47124))+0-0-0</f>
        <v>1112.5951210000001</v>
      </c>
      <c r="S347" s="3">
        <f>1015.6+(390.9-333.6)+(1.035912+(0.398718-0.340272))+0-0-0</f>
        <v>1073.9943580000001</v>
      </c>
      <c r="T347" s="3">
        <f>1014.6+(381.6-350.6)+(0+(0-0))+0-0-0</f>
        <v>1045.5999999999999</v>
      </c>
      <c r="U347" s="3">
        <f>1000.6+(382-344.8)+(-1.530918+(-0.58446--0.527544))+0-0-0</f>
        <v>1036.212166</v>
      </c>
      <c r="V347" s="3">
        <f>1016.7+(419.3-370.3)+(1.037034+(0.427686-0.377706))+0-0-0</f>
        <v>1066.787014</v>
      </c>
      <c r="W347" s="3">
        <f>1012.3+(549.3-373.5)+(0.516273+(0.280143-0.190485))+0-0-0</f>
        <v>1188.705931</v>
      </c>
      <c r="X347" s="3">
        <f>1012.1+(731.3-290.3)+(0+(0-0))+0-0-0</f>
        <v>1453.1</v>
      </c>
      <c r="Y347" s="3">
        <f>1072.3+(629.1-242.5)+(-0.546873+(-0.320841--0.123675))+0-0-0</f>
        <v>1458.1559610000002</v>
      </c>
      <c r="Z347" s="3">
        <f>1070.6+(594.3-236.7)+(-0.546006+(-0.303093--0.120717))+0-0-0</f>
        <v>1427.4716179999998</v>
      </c>
      <c r="AA347" s="3">
        <f>1078.4+(563.4-255.3)+(-0.549984+(-0.287334--0.130203))+0-0-0</f>
        <v>1385.7928850000001</v>
      </c>
      <c r="AB347" s="3">
        <f>1066.5+(517.1-295.9)+(-1.08783+(-0.527442--0.301818))+0-0-0</f>
        <v>1286.386546</v>
      </c>
      <c r="AC347" s="3">
        <f>990.2+(488.2-284.8)+(0.505002+(0.248982-0.145248))+0-0-0</f>
        <v>1194.2087359999998</v>
      </c>
      <c r="AD347" s="2">
        <v>1470.4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958.6+(433.4-336.1)+(-2.44443+(-1.10517--0.857055))+0-0-0</f>
        <v>1053.207455</v>
      </c>
      <c r="G348" s="3">
        <f>713.6+(547-208.1)+(0.727872+(0.55794-0.212262))+0-0-0</f>
        <v>1053.5735500000001</v>
      </c>
      <c r="H348" s="3">
        <f>668.6+(565.4-202.2)+(-1.363944+(-1.153416--0.412488))+0-0-0</f>
        <v>1029.6951279999998</v>
      </c>
      <c r="I348" s="3">
        <f>692.6+(547.6-222.4)+(-0.706452+(-0.558552--0.226848))+0-0-0</f>
        <v>1016.7618440000001</v>
      </c>
      <c r="J348" s="3">
        <f>697.4+(533.1-217.4)+(0.355674+(0.271881-0.110874))+0-0-0</f>
        <v>1013.616681</v>
      </c>
      <c r="K348" s="3">
        <f>699.3+(544.4-209.2)+(0+(0-0))+0-0-0</f>
        <v>1034.5</v>
      </c>
      <c r="L348" s="3">
        <f>1003.5+(430.6-415.3)+(-0.511785+(-0.219606--0.211803))+0-0-0</f>
        <v>1018.280412</v>
      </c>
      <c r="M348" s="3">
        <f>1097.5+(432.2-443.7)+(1.11945+(0.440844-0.452574))+0-0-0</f>
        <v>1087.10772</v>
      </c>
      <c r="N348" s="3">
        <f>1234.6+(392.7-438)+(0+(0-0))+0-0-0</f>
        <v>1189.3</v>
      </c>
      <c r="O348" s="3">
        <f>1257.2+(338.9-368.3)+(1.923516+(0.518517-0.563499))+0-0-0</f>
        <v>1229.6785339999999</v>
      </c>
      <c r="P348" s="3">
        <f>1250.1+(341.7-362.7)+(0.637551+(0.174267-0.184977))+0-0-0</f>
        <v>1229.7268409999999</v>
      </c>
      <c r="Q348" s="3">
        <f>1245.1+(389.6-422.7)+(0+(0-0))+0-0-0</f>
        <v>1212</v>
      </c>
      <c r="R348" s="3">
        <f>1238.5+(419.5-436.1)+(-0.631635+(-0.213945--0.222411))+0-0-0</f>
        <v>1221.2768310000001</v>
      </c>
      <c r="S348" s="3">
        <f>1233.6+(441.9-497.9)+(-1.258272+(-0.450738--0.507858))+0-0-0</f>
        <v>1176.3988479999998</v>
      </c>
      <c r="T348" s="3">
        <f>1236.4+(442.4-516.5)+(-1.261128+(-0.451248--0.52683))+0-0-0</f>
        <v>1161.1144540000003</v>
      </c>
      <c r="U348" s="3">
        <f>1243.1+(393.2-466.1)+(-0.633981+(-0.200532--0.237711))+0-0-0</f>
        <v>1169.6031979999998</v>
      </c>
      <c r="V348" s="3">
        <f>1240.7+(395.3-412)+(-0.632757+(-0.201603--0.21012))+0-0-0</f>
        <v>1223.3757599999999</v>
      </c>
      <c r="W348" s="3">
        <f>1264+(375.4-313.6)+(-0.64464+(-0.191454--0.159936))+0-0-0</f>
        <v>1325.123842</v>
      </c>
      <c r="X348" s="3">
        <f>1290.5+(478.1-251.3)+(1.31631+(0.487662-0.256326))+0-0-0</f>
        <v>1518.8476459999999</v>
      </c>
      <c r="Y348" s="3">
        <f>1292.3+(457.6-225.6)+(-3.295365+(-1.16688--0.57528))+0-0-0</f>
        <v>1520.413035</v>
      </c>
      <c r="Z348" s="3">
        <f>1185.1+(510.5-208.2)+(-1.208802+(-0.52071--0.212364))+0-0-0</f>
        <v>1485.882852</v>
      </c>
      <c r="AA348" s="3">
        <f>1167.2+(519.6-273.1)+(-2.97636+(-1.32498--0.696405))+0-0-0</f>
        <v>1410.095065</v>
      </c>
      <c r="AB348" s="3">
        <f>1162.7+(495.5-336.3)+(-2.964885+(-1.263525--0.857565))+0-0-0</f>
        <v>1318.5291550000002</v>
      </c>
      <c r="AC348" s="3">
        <f>1049.3+(468.9-275.7)+(-0.535143+(-0.239139--0.140607))+0-0-0</f>
        <v>1241.866325</v>
      </c>
      <c r="AD348" s="2">
        <v>1537.7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970.3+(335.9-255.2)+(-1.979412+(-0.685236--0.520608))+0-0-0</f>
        <v>1048.8559600000001</v>
      </c>
      <c r="G349" s="3">
        <f>976.4+(255.8-247.4)+(-0.995928+(-0.260916--0.252348))+0-0-0</f>
        <v>983.79550399999994</v>
      </c>
      <c r="H349" s="3">
        <f>979.7+(165-215.8)+(-1.498941+(-0.25245--0.330174))+0-0-0</f>
        <v>927.47878300000013</v>
      </c>
      <c r="I349" s="3">
        <f>974.5+(167.7-202)+(-1.98798+(-0.342108--0.41208))+0-0-0</f>
        <v>938.28199200000006</v>
      </c>
      <c r="J349" s="3">
        <f>993.6+(161.6-214.8)+(0.506736+(0.082416-0.109548))+0-0-0</f>
        <v>940.87960399999997</v>
      </c>
      <c r="K349" s="3">
        <f>1007.9+(178.7-227)+(1.542087+(0.273411-0.34731))+0-0-0</f>
        <v>961.06818799999996</v>
      </c>
      <c r="L349" s="3">
        <f>1005.2+(169.3-199.7)+(1.537956+(0.259029-0.305541))+0-0-0</f>
        <v>976.29144400000007</v>
      </c>
      <c r="M349" s="3">
        <f>1162.7+(152-290.2)+(1.185954+(0.15504-0.296004))+0-0-0</f>
        <v>1025.5449900000001</v>
      </c>
      <c r="N349" s="3">
        <f>1209+(189-293.6)+(0+(0-0))+0-0-0</f>
        <v>1104.4000000000001</v>
      </c>
      <c r="O349" s="3">
        <f>1219.2+(260.6-385.2)+(-1.865376+(-0.398718--0.589356))+0-0-0</f>
        <v>1092.9252620000002</v>
      </c>
      <c r="P349" s="3">
        <f>1205.6+(169-243)+(0+(0-0))+0-0-0</f>
        <v>1131.5999999999999</v>
      </c>
      <c r="Q349" s="3">
        <f>1181.4+(191.8-217.6)+(-3.01257+(-0.48909--0.55488))+0-0-0</f>
        <v>1152.6532200000001</v>
      </c>
      <c r="R349" s="3">
        <f>1192.8+(287.2-340)+(-1.216656+(-0.292944--0.3468))+0-0-0</f>
        <v>1138.8371999999999</v>
      </c>
      <c r="S349" s="3">
        <f>1221.6+(301.4-391.7)+(1.246032+(0.307428-0.399534))+0-0-0</f>
        <v>1132.4539259999999</v>
      </c>
      <c r="T349" s="3">
        <f>1185.4+(311.1-380.6)+(-2.418216+(-0.634644--0.776424))+0-0-0</f>
        <v>1113.623564</v>
      </c>
      <c r="U349" s="3">
        <f>1203.9+(260.2-373.9)+(0+(0-0))+0-0-0</f>
        <v>1090.2</v>
      </c>
      <c r="V349" s="3">
        <f>1203.5+(267.5-380.3)+(-0.613785+(-0.136425--0.193953))+0-0-0</f>
        <v>1090.1437430000001</v>
      </c>
      <c r="W349" s="3">
        <f>1229.1+(302.5-387.3)+(0+(0-0))+0-0-0</f>
        <v>1144.3</v>
      </c>
      <c r="X349" s="3">
        <f>1258.6+(357.2-253.7)+(0+(0-0))+0-0-0</f>
        <v>1362.1</v>
      </c>
      <c r="Y349" s="3">
        <f>1255.2+(325.4-192.5)+(-0.640152+(-0.165954--0.098175))+0-0-0</f>
        <v>1387.392069</v>
      </c>
      <c r="Z349" s="3">
        <f>1228.9+(321-191.8)+(-3.133695+(-0.81855--0.48909))+0-0-0</f>
        <v>1354.6368450000002</v>
      </c>
      <c r="AA349" s="3">
        <f>1259.1+(309.9-252.9)+(0+(0-0))+0-0-0</f>
        <v>1316.1</v>
      </c>
      <c r="AB349" s="3">
        <f>1177.8+(364.8-299.8)+(-3.00339+(-0.93024--0.76449))+0-0-0</f>
        <v>1239.63086</v>
      </c>
      <c r="AC349" s="3">
        <f>891.9+(398.4-157.4)+(-2.274345+(-1.01592--0.40137))+0-0-0</f>
        <v>1130.0111049999998</v>
      </c>
      <c r="AD349" s="2">
        <v>1542.7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685.8+(547.2-106)+(-0.699516+(-0.558144--0.10812))+0-0-0</f>
        <v>1125.8504600000001</v>
      </c>
      <c r="G350" s="3">
        <f>690.7+(512.4-127.3)+(0.352257+(0.261324-0.064923))+0-0-0</f>
        <v>1076.3486579999999</v>
      </c>
      <c r="H350" s="3">
        <f>689+(515.1-148.4)+(0+(0-0))+0-0-0</f>
        <v>1055.7</v>
      </c>
      <c r="I350" s="3">
        <f>686.2+(534.1-198.5)+(-1.049886+(-0.817173--0.303705))+0-0-0</f>
        <v>1020.2366460000001</v>
      </c>
      <c r="J350" s="3">
        <f>689.8+(512-158.3)+(0.703596+(0.52224-0.161466))+0-0-0</f>
        <v>1044.5643700000001</v>
      </c>
      <c r="K350" s="3">
        <f>688.3+(522.4-145)+(-0.702066+(-0.532848--0.1479))+0-0-0</f>
        <v>1064.6129859999999</v>
      </c>
      <c r="L350" s="3">
        <f>773.5+(516.4-234.7)+(-0.78897+(-0.526728--0.239394))+0-0-0</f>
        <v>1054.1236960000001</v>
      </c>
      <c r="M350" s="3">
        <f>1089+(416.5-440.6)+(1.11078+(0.42483-0.449412))+0-0-0</f>
        <v>1065.9861980000001</v>
      </c>
      <c r="N350" s="3">
        <f>1255.2+(395-480.2)+(0+(0-0))+0-0-0</f>
        <v>1170</v>
      </c>
      <c r="O350" s="3">
        <f>1261.8+(402.6-445.3)+(0+(0-0))+0-0-0</f>
        <v>1219.0999999999999</v>
      </c>
      <c r="P350" s="3">
        <f>1272+(393.5-434.5)+(0.64872+(0.200685-0.221595))+0-0-0</f>
        <v>1231.62781</v>
      </c>
      <c r="Q350" s="3">
        <f>1294+(395.3-447.6)+(1.97982+(0.604809-0.684828))+0-0-0</f>
        <v>1243.5998010000001</v>
      </c>
      <c r="R350" s="3">
        <f>1317.4+(376.7-481.9)+(-2.687496+(-0.768468--0.983076))+0-0-0</f>
        <v>1209.727112</v>
      </c>
      <c r="S350" s="3">
        <f>1371.2+(381.6-579.7)+(-1.398624+(-0.389232--0.591294))+0-0-0</f>
        <v>1171.9034379999998</v>
      </c>
      <c r="T350" s="3">
        <f>1379.2+(364.4-590.6)+(0+(0-0))+0-0-0</f>
        <v>1153</v>
      </c>
      <c r="U350" s="3">
        <f>1356+(359.4-554.3)+(0.69156+(0.183294-0.282693))+0-0-0</f>
        <v>1161.6921609999999</v>
      </c>
      <c r="V350" s="3">
        <f>1381.2+(339.7-522.6)+(-0.704412+(-0.173247--0.266526))+0-0-0</f>
        <v>1197.6888669999998</v>
      </c>
      <c r="W350" s="3">
        <f>1450.5+(280.8-450.3)+(-0.739755+(-0.143208--0.229653))+0-0-0</f>
        <v>1280.3466900000001</v>
      </c>
      <c r="X350" s="3">
        <f>1596.8+(293.6-436.4)+(-1.628736+(-0.299472--0.445128))+0-0-0</f>
        <v>1452.51692</v>
      </c>
      <c r="Y350" s="3">
        <f>1646.3+(246.1-449.6)+(-2.518839+(-0.376533--0.687888))+0-0-0</f>
        <v>1440.5925159999999</v>
      </c>
      <c r="Z350" s="3">
        <f>1649.6+(237.5-491.5)+(0+(0-0))+0-0-0</f>
        <v>1395.6</v>
      </c>
      <c r="AA350" s="3">
        <f>1660.8+(288.9-617.8)+(0+(0-0))+0-0-0</f>
        <v>1331.9</v>
      </c>
      <c r="AB350" s="3">
        <f>1635.6+(272.6-681.6)+(-4.17078+(-0.69513--1.73808))+0-0-0</f>
        <v>1223.47217</v>
      </c>
      <c r="AC350" s="3">
        <f>1548.8+(339.8-776.7)+(-6.319104+(-1.386384--3.168936))+0-0-0</f>
        <v>1107.3634479999998</v>
      </c>
      <c r="AD350" s="2">
        <v>1476.4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1333.1+(327-628.5)+(-2.719524+(-0.66708--1.28214))+0-0-0</f>
        <v>1029.4955359999999</v>
      </c>
      <c r="G351" s="3">
        <f>1267.4+(270.9-561.9)+(-1.939122+(-0.414477--0.859707))+0-0-0</f>
        <v>974.90610800000013</v>
      </c>
      <c r="H351" s="3">
        <f>1269.5+(234.8-553.5)+(-2.58978+(-0.478992--1.12914))+0-0-0</f>
        <v>948.86036799999999</v>
      </c>
      <c r="I351" s="3">
        <f>1277.8+(215.4-540.7)+(-1.303356+(-0.219708--0.551514))+0-0-0</f>
        <v>951.52844999999991</v>
      </c>
      <c r="J351" s="3">
        <f>1315.3+(203.4-566.3)+(2.683212+(0.414936-1.155252))+0-0-0</f>
        <v>954.342896</v>
      </c>
      <c r="K351" s="3">
        <f>1296.2+(177.6-532.6)+(0+(0-0))+0-0-0</f>
        <v>941.2</v>
      </c>
      <c r="L351" s="3">
        <f>1309.5+(199.3-559.6)+(2.003535+(0.304929-0.856188))+0-0-0</f>
        <v>950.65227600000003</v>
      </c>
      <c r="M351" s="3">
        <f>1512.7+(270.6-773)+(0.771477+(0.138006-0.39423))+0-0-0</f>
        <v>1010.8152530000001</v>
      </c>
      <c r="N351" s="3">
        <f>1595+(274.1-729.4)+(0.81345+(0.139791-0.371994))+0-0-0</f>
        <v>1140.2812470000001</v>
      </c>
      <c r="O351" s="3">
        <f>1601.3+(282-667.7)+(1.633326+(0.28764-0.681054))+0-0-0</f>
        <v>1216.8399119999999</v>
      </c>
      <c r="P351" s="3">
        <f>1584.4+(279.2-619.4)+(0+(0-0))+0-0-0</f>
        <v>1244.2</v>
      </c>
      <c r="Q351" s="3">
        <f>1591.6+(300.7-626.6)+(-2.435148+(-0.460071--0.958698))+0-0-0</f>
        <v>1263.7634789999997</v>
      </c>
      <c r="R351" s="3">
        <f>1588.8+(310.9-662)+(-4.861728+(-0.951354--2.02572))+0-0-0</f>
        <v>1233.9126379999998</v>
      </c>
      <c r="S351" s="3">
        <f>1622.7+(319.8-754.9)+(1.655154+(0.326196-0.769998))+0-0-0</f>
        <v>1188.8113520000002</v>
      </c>
      <c r="T351" s="3">
        <f>1620.8+(360.3-816.3)+(0+(0-0))+0-0-0</f>
        <v>1164.8</v>
      </c>
      <c r="U351" s="3">
        <f>1614.8+(407.8-843.6)+(-0.823548+(-0.207978--0.430236))+0-0-0</f>
        <v>1178.3987099999999</v>
      </c>
      <c r="V351" s="3">
        <f>1621.7+(399.2-765.6)+(-0.827067+(-0.203592--0.390456))+0-0-0</f>
        <v>1254.659797</v>
      </c>
      <c r="W351" s="3">
        <f>1624.1+(302.8-583.2)+(-0.828291+(-0.154428--0.297432))+0-0-0</f>
        <v>1343.0147129999998</v>
      </c>
      <c r="X351" s="3">
        <f>1674.5+(277.8-489.9)+(-0.853995+(-0.141678--0.249849))+0-0-0</f>
        <v>1461.654176</v>
      </c>
      <c r="Y351" s="3">
        <f>1583.8+(363.9-489)+(-0.807738+(-0.185589--0.24939))+0-0-0</f>
        <v>1457.9560629999999</v>
      </c>
      <c r="Z351" s="3">
        <f>1224.4+(489.5-306.3)+(-1.873332+(-0.748935--0.468639))+0-0-0</f>
        <v>1405.4463720000001</v>
      </c>
      <c r="AA351" s="3">
        <f>1186.6+(494.9-326.2)+(-2.420664+(-1.009596--0.665448))+0-0-0</f>
        <v>1352.5351880000001</v>
      </c>
      <c r="AB351" s="3">
        <f>1178.5+(457.4-358.8)+(-3.005175+(-1.16637--0.91494))+0-0-0</f>
        <v>1273.8433949999999</v>
      </c>
      <c r="AC351" s="3">
        <f>1197.2+(437-453.6)+(-1.831716+(-0.66861--0.694008))+0-0-0</f>
        <v>1178.793682</v>
      </c>
      <c r="AD351" s="2">
        <v>1475.5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1171.1+(432.9-518.7)+(-1.194522+(-0.441558--0.529074))+0-0-0</f>
        <v>1084.1929939999998</v>
      </c>
      <c r="G352" s="3">
        <f>936.5+(444.7-347.3)+(-1.91046+(-0.907188--0.708492))+0-0-0</f>
        <v>1031.7908440000001</v>
      </c>
      <c r="H352" s="3">
        <f>704.8+(536-203.2)+(1.078344+(0.82008-0.310896))+0-0-0</f>
        <v>1039.1875279999999</v>
      </c>
      <c r="I352" s="3">
        <f>702.6+(539.4-225.5)+(0.358326+(0.275094-0.115005))+0-0-0</f>
        <v>1017.018415</v>
      </c>
      <c r="J352" s="3">
        <f>710+(539.6-228)+(1.4484+(1.100784-0.46512))+0-0-0</f>
        <v>1023.684064</v>
      </c>
      <c r="K352" s="3">
        <f>696.5+(523.9-182)+(-1.776075+(-1.335945--0.4641))+0-0-0</f>
        <v>1035.75208</v>
      </c>
      <c r="L352" s="3">
        <f>830.9+(474.4-269.7)+(0+(0-0))+0-0-0</f>
        <v>1035.5999999999999</v>
      </c>
      <c r="M352" s="3">
        <f>1052.1+(447.7-442.8)+(0+(0-0))+0-0-0</f>
        <v>1057</v>
      </c>
      <c r="N352" s="3">
        <f>1214.6+(466-514.6)+(1.858338+(0.71298-0.787338))+0-0-0</f>
        <v>1167.7839799999999</v>
      </c>
      <c r="O352" s="3">
        <f>1204.7+(477.5-426.4)+(1.843191+(0.730575-0.652392))+0-0-0</f>
        <v>1257.7213740000002</v>
      </c>
      <c r="P352" s="3">
        <f>1251.2+(513.8-468.9)+(0.638112+(0.262038-0.239139))+0-0-0</f>
        <v>1296.7610109999998</v>
      </c>
      <c r="Q352" s="3">
        <f>1246.4+(523.8-469.2)+(-1.906992+(-0.801414--0.717876))+0-0-0</f>
        <v>1299.00947</v>
      </c>
      <c r="R352" s="3">
        <f>1267.4+(476.4-456.2)+(-1.939122+(-0.728892--0.697986))+0-0-0</f>
        <v>1285.6299720000002</v>
      </c>
      <c r="S352" s="3">
        <f>1231.7+(476.4-458.7)+(-1.884501+(-0.728892--0.701811))+0-0-0</f>
        <v>1247.4884180000001</v>
      </c>
      <c r="T352" s="3">
        <f>1241.1+(495.8-536.5)+(-0.632961+(-0.252858--0.273615))+0-0-0</f>
        <v>1199.7877959999998</v>
      </c>
      <c r="U352" s="3">
        <f>1236.5+(498.5-536.5)+(-1.26123+(-0.50847--0.54723))+0-0-0</f>
        <v>1197.2775300000001</v>
      </c>
      <c r="V352" s="3">
        <f>1244.7+(455.8-440.6)+(0+(0-0))+0-0-0</f>
        <v>1259.9000000000001</v>
      </c>
      <c r="W352" s="3">
        <f>1245.9+(465.7-353.9)+(0+(0-0))+0-0-0</f>
        <v>1357.7</v>
      </c>
      <c r="X352" s="3">
        <f>1345.1+(457.2-317.3)+(-1.372002+(-0.466344--0.323646))+0-0-0</f>
        <v>1483.4853000000001</v>
      </c>
      <c r="Y352" s="3">
        <f>1381.4+(414.7-323.7)+(-4.931598+(-1.480479--1.155609))+0-0-0</f>
        <v>1467.1435320000001</v>
      </c>
      <c r="Z352" s="3">
        <f>1408+(400.8-408.3)+(0+(0-0))+0-0-0</f>
        <v>1400.5</v>
      </c>
      <c r="AA352" s="3">
        <f>1386.1+(397.1-428)+(-4.241466+(-1.215126--1.30968))+0-0-0</f>
        <v>1351.0530879999999</v>
      </c>
      <c r="AB352" s="3">
        <f>1373.4+(443.4-541.5)+(-5.603472+(-1.809072--2.20932))+0-0-0</f>
        <v>1270.0967760000001</v>
      </c>
      <c r="AC352" s="3">
        <f>1228.6+(480.5-527)+(-2.506344+(-0.98022--1.07508))+0-0-0</f>
        <v>1179.6885159999999</v>
      </c>
      <c r="AD352" s="2">
        <v>1495.9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1093.2+(469.4-460.6)+(-0.557532+(-0.239394--0.234906))+0-0-0</f>
        <v>1101.4379799999999</v>
      </c>
      <c r="G353" s="3">
        <f>1011.4+(384.3-370.4)+(-1.031628+(-0.391986--0.377808))+0-0-0</f>
        <v>1024.2541939999999</v>
      </c>
      <c r="H353" s="3">
        <f>983.9+(302.1-304.7)+(0.501789+(0.154071-0.155397))+0-0-0</f>
        <v>981.80046299999992</v>
      </c>
      <c r="I353" s="3">
        <f>986.1+(302.6-322.3)+(0.502911+(0.154326-0.164373))+0-0-0</f>
        <v>966.89286400000015</v>
      </c>
      <c r="J353" s="3">
        <f>990.9+(289.8-322.5)+(1.516077+(0.443394-0.493425))+0-0-0</f>
        <v>959.66604600000005</v>
      </c>
      <c r="K353" s="3">
        <f>1059+(305.1-392.9)+(-1.62027+(-0.466803--0.601137))+0-0-0</f>
        <v>969.71406400000001</v>
      </c>
      <c r="L353" s="3">
        <f>1188.5+(272.8-482.5)+(-0.606135+(-0.139128--0.246075))+0-0-0</f>
        <v>978.30081199999995</v>
      </c>
      <c r="M353" s="3">
        <f>1214.3+(319.4-502.5)+(1.238586+(0.325788-0.51255))+0-0-0</f>
        <v>1032.2518239999997</v>
      </c>
      <c r="N353" s="3">
        <f>1361.4+(423.4-624.8)+(0.694314+(0.215934-0.318648))+0-0-0</f>
        <v>1160.5916</v>
      </c>
      <c r="O353" s="3">
        <f>1355.4+(404.6-529)+(0+(0-0))+0-0-0</f>
        <v>1231</v>
      </c>
      <c r="P353" s="3">
        <f>1354.9+(394.4-484.6)+(0+(0-0))+0-0-0</f>
        <v>1264.7</v>
      </c>
      <c r="Q353" s="3">
        <f>1360.8+(454.3-542.7)+(-0.694008+(-0.231693--0.276777))+0-0-0</f>
        <v>1271.7510759999998</v>
      </c>
      <c r="R353" s="3">
        <f>1385.8+(426.8-599.1)+(-2.827032+(-0.870672--1.222164))+0-0-0</f>
        <v>1211.0244600000001</v>
      </c>
      <c r="S353" s="3">
        <f>1393.9+(408.2-659.3)+(-0.710889+(-0.208182--0.336243))+0-0-0</f>
        <v>1142.2171720000001</v>
      </c>
      <c r="T353" s="3">
        <f>1405.1+(393.8-696.9)+(0.716601+(0.200838-0.355419))+0-0-0</f>
        <v>1102.5620200000001</v>
      </c>
      <c r="U353" s="3">
        <f>1412.3+(366.7-674.1)+(1.440546+(0.374034-0.687582))+0-0-0</f>
        <v>1106.0269979999998</v>
      </c>
      <c r="V353" s="3">
        <f>1389.3+(338.2-577.3)+(-2.125629+(-0.517446--0.883269))+0-0-0</f>
        <v>1148.440194</v>
      </c>
      <c r="W353" s="3">
        <f>1416.6+(328-536.3)+(2.889864+(0.66912-1.094052))+0-0-0</f>
        <v>1210.764932</v>
      </c>
      <c r="X353" s="3">
        <f>1396.9+(400-372)+(-1.424838+(-0.408--0.37944))+0-0-0</f>
        <v>1423.446602</v>
      </c>
      <c r="Y353" s="3">
        <f>1313.8+(421.2-291.3)+(-2.680152+(-0.859248--0.594252))+0-0-0</f>
        <v>1440.7548519999998</v>
      </c>
      <c r="Z353" s="3">
        <f>1278.2+(415.1-289)+(-2.607528+(-0.846804--0.58956))+0-0-0</f>
        <v>1401.4352280000003</v>
      </c>
      <c r="AA353" s="3">
        <f>1302.9+(408.9-371)+(1.993437+(0.625617-0.56763))+0-0-0</f>
        <v>1342.8514240000002</v>
      </c>
      <c r="AB353" s="3">
        <f>1262+(406.8-393.8)+(-3.2181+(-1.03734--1.00419))+0-0-0</f>
        <v>1271.74875</v>
      </c>
      <c r="AC353" s="3">
        <f>1229.8+(413.6-454)+(0+(0-0))+0-0-0</f>
        <v>1189.4000000000001</v>
      </c>
      <c r="AD353" s="2">
        <v>1401.5000000000002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1206.7+(367.5-507.7)+(-1.230834+(-0.37485--0.517854))+0-0-0</f>
        <v>1065.4121700000001</v>
      </c>
      <c r="G354" s="3">
        <f>1204.3+(330-544.2)+(0+(0-0))+0-0-0</f>
        <v>990.09999999999991</v>
      </c>
      <c r="H354" s="3">
        <f>1101.6+(285.9-450.6)+(0+(0-0))+0-0-0</f>
        <v>936.89999999999986</v>
      </c>
      <c r="I354" s="3">
        <f>1092+(300.1-465.6)+(-2.7846+(-0.765255--1.18728))+0-0-0</f>
        <v>924.13742500000001</v>
      </c>
      <c r="J354" s="3">
        <f>1104.5+(286.5-467.5)+(-0.563295+(-0.146115--0.238425))+0-0-0</f>
        <v>923.02901499999996</v>
      </c>
      <c r="K354" s="3">
        <f>1103.7+(295.7-464.4)+(0+(0-0))+0-0-0</f>
        <v>935</v>
      </c>
      <c r="L354" s="3">
        <f>1099.9+(302.4-515.1)+(-1.121898+(-0.308448--0.525402))+0-0-0</f>
        <v>886.29505600000005</v>
      </c>
      <c r="M354" s="3">
        <f>1124.9+(314.6-558.2)+(0.573699+(0.160446-0.284682))+0-0-0</f>
        <v>881.74946300000011</v>
      </c>
      <c r="N354" s="3">
        <f>1147.8+(374-591)+(-1.756134+(-0.57222--0.90423))+0-0-0</f>
        <v>929.37587599999995</v>
      </c>
      <c r="O354" s="3">
        <f>1226.9+(410.1-636.7)+(1.877157+(0.627453-0.974151))+0-0-0</f>
        <v>1001.830459</v>
      </c>
      <c r="P354" s="3">
        <f>1255.7+(398-616.2)+(0+(0-0))+0-0-0</f>
        <v>1037.5</v>
      </c>
      <c r="Q354" s="3">
        <f>1268.1+(374.1-599.5)+(1.293462+(0.381582-0.61149))+0-0-0</f>
        <v>1043.7635539999999</v>
      </c>
      <c r="R354" s="3">
        <f>1253.7+(418.6-688.8)+(-0.639387+(-0.213486--0.351288))+0-0-0</f>
        <v>982.99841500000014</v>
      </c>
      <c r="S354" s="3">
        <f>1238.8+(442.1-728.9)+(-2.527152+(-0.901884--1.486956))+0-0-0</f>
        <v>950.05791999999997</v>
      </c>
      <c r="T354" s="3">
        <f>1248.9+(470.2-804.1)+(-1.273878+(-0.479604--0.820182))+0-0-0</f>
        <v>914.06669999999997</v>
      </c>
      <c r="U354" s="3">
        <f>1252.2+(437.5-779.4)+(-0.638622+(-0.223125--0.397494))+0-0-0</f>
        <v>909.83574700000008</v>
      </c>
      <c r="V354" s="3">
        <f>1246.4+(441.6-750.7)+(-1.271328+(-0.450432--0.765714))+0-0-0</f>
        <v>936.34395400000005</v>
      </c>
      <c r="W354" s="3">
        <f>1246.4+(359.1-560.3)+(-1.906992+(-0.549423--0.857259))+0-0-0</f>
        <v>1043.6008440000003</v>
      </c>
      <c r="X354" s="3">
        <f>1270.1+(422.9-359)+(1.943253+(0.647037-0.54927))+0-0-0</f>
        <v>1336.0410199999999</v>
      </c>
      <c r="Y354" s="3">
        <f>1246+(446-309.5)+(-1.27092+(-0.45492--0.31569))+0-0-0</f>
        <v>1381.0898500000001</v>
      </c>
      <c r="Z354" s="3">
        <f>1242.9+(441.5-346.6)+(-2.535516+(-0.90066--0.707064))+0-0-0</f>
        <v>1335.0708880000002</v>
      </c>
      <c r="AA354" s="3">
        <f>1240.7+(441-393.5)+(-2.531028+(-0.89964--0.80274))+0-0-0</f>
        <v>1285.5720719999999</v>
      </c>
      <c r="AB354" s="3">
        <f>1232.9+(424.8-451.8)+(-3.772674+(-1.299888--1.382508))+0-0-0</f>
        <v>1202.2099460000002</v>
      </c>
      <c r="AC354" s="3">
        <f>1235.2+(402.9-526.2)+(-2.519808+(-0.821916--1.073448))+0-0-0</f>
        <v>1109.6317240000001</v>
      </c>
      <c r="AD354" s="2">
        <v>1397.2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1246.7+(379.2-613.4)+(-1.907451+(-0.580176--0.938502))+0-0-0</f>
        <v>1010.950875</v>
      </c>
      <c r="G355" s="3">
        <f>1250.6+(401.5-695.7)+(0+(0-0))+0-0-0</f>
        <v>956.39999999999986</v>
      </c>
      <c r="H355" s="3">
        <f>1248.4+(380.2-701.4)+(-1.910052+(-0.581706--1.073142))+0-0-0</f>
        <v>925.781384</v>
      </c>
      <c r="I355" s="3">
        <f>1255.8+(366.6-704.4)+(0.640458+(0.186966-0.359244))+0-0-0</f>
        <v>918.46817999999996</v>
      </c>
      <c r="J355" s="3">
        <f>1268.3+(342.8-695.4)+(3.234165+(0.87414-1.77327))+0-0-0</f>
        <v>918.03503499999999</v>
      </c>
      <c r="K355" s="3">
        <f>1305.9+(332.3-703.4)+(1.998027+(0.508419-1.076202))+0-0-0</f>
        <v>936.2302440000002</v>
      </c>
      <c r="L355" s="3">
        <f>1436.3+(345.5-842.4)+(-0.732513+(-0.176205--0.429624))+0-0-0</f>
        <v>938.92090599999995</v>
      </c>
      <c r="M355" s="3">
        <f>1481.8+(345.9-823.1)+(1.511436+(0.352818-0.839562))+0-0-0</f>
        <v>1005.6246919999999</v>
      </c>
      <c r="N355" s="3">
        <f>1600.5+(365-859)+(0.816255+(0.18615-0.43809))+0-0-0</f>
        <v>1107.0643150000001</v>
      </c>
      <c r="O355" s="3">
        <f>1729.8+(336.9-899.8)+(2.646594+(0.515457-1.376694))+0-0-0</f>
        <v>1168.6853570000001</v>
      </c>
      <c r="P355" s="3">
        <f>1721.3+(324.6-850.3)+(2.633589+(0.496638-1.300959))+0-0-0</f>
        <v>1197.4292679999999</v>
      </c>
      <c r="Q355" s="3">
        <f>1755.4+(335-847.4)+(-4.47627+(-0.85425--2.16087))+0-0-0</f>
        <v>1239.83035</v>
      </c>
      <c r="R355" s="3">
        <f>1890.8+(264.3-931.7)+(0+(0-0))+0-0-0</f>
        <v>1223.3999999999999</v>
      </c>
      <c r="S355" s="3">
        <f>1804+(247.5-847.1)+(0+(0-0))+0-0-0</f>
        <v>1204.4000000000001</v>
      </c>
      <c r="T355" s="3">
        <f>1663.9+(320.6-816.8)+(0+(0-0))+0-0-0</f>
        <v>1167.7000000000003</v>
      </c>
      <c r="U355" s="3">
        <f>1643.7+(337.6-821.3)+(1.676574+(0.344352-0.837726))+0-0-0</f>
        <v>1161.1831999999999</v>
      </c>
      <c r="V355" s="3">
        <f>1662.1+(299-774.5)+(2.543013+(0.45747-1.184985))+0-0-0</f>
        <v>1188.4154979999998</v>
      </c>
      <c r="W355" s="3">
        <f>1735.1+(197.6-716.8)+(1.769802+(0.201552-0.731136))+0-0-0</f>
        <v>1217.140218</v>
      </c>
      <c r="X355" s="3">
        <f>1753.2+(143.2-528.6)+(1.788264+(0.146064-0.539172))+0-0-0</f>
        <v>1369.195156</v>
      </c>
      <c r="Y355" s="3">
        <f>1653.6+(149.3-422.7)+(0+(0-0))+0-0-0</f>
        <v>1380.1999999999998</v>
      </c>
      <c r="Z355" s="3">
        <f>1672.9+(167.4-481)+(0+(0-0))+0-0-0</f>
        <v>1359.3000000000002</v>
      </c>
      <c r="AA355" s="3">
        <f>1766.6+(194.5-646.8)+(0.900966+(0.099195-0.329868))+0-0-0</f>
        <v>1314.9702929999999</v>
      </c>
      <c r="AB355" s="3">
        <f>1826+(216.1-805.4)+(-2.79378+(-0.330633--1.232262))+0-0-0</f>
        <v>1234.807849</v>
      </c>
      <c r="AC355" s="3">
        <f>1729+(242.4-828.5)+(2.64537+(0.370872-1.267605))+0-0-0</f>
        <v>1144.648637</v>
      </c>
      <c r="AD355" s="2">
        <v>1395.8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1631.5+(305-885.1)+(-3.32826+(-0.6222--1.805604))+0-0-0</f>
        <v>1049.2551440000002</v>
      </c>
      <c r="G356" s="3">
        <f>1617.7+(275.3-908.2)+(-3.300108+(-0.561612--1.852728))+0-0-0</f>
        <v>982.79100799999992</v>
      </c>
      <c r="H356" s="3">
        <f>1622.2+(203.6-870.5)+(-2.481966+(-0.311508--1.331865))+0-0-0</f>
        <v>953.83839100000012</v>
      </c>
      <c r="I356" s="3">
        <f>1622.5+(208.3-884.4)+(-1.65495+(-0.212466--0.902088))+0-0-0</f>
        <v>945.43467200000009</v>
      </c>
      <c r="J356" s="3">
        <f>1629.2+(215.1-896.5)+(-0.830892+(-0.109701--0.457215))+0-0-0</f>
        <v>947.31662200000005</v>
      </c>
      <c r="K356" s="3">
        <f>1636.5+(237.9-909.5)+(-1.66923+(-0.242658--0.92769))+0-0-0</f>
        <v>963.91580199999999</v>
      </c>
      <c r="L356" s="3">
        <f>1630+(267.7-936.7)+(-1.6626+(-0.273054--0.955434))+0-0-0</f>
        <v>960.01977999999997</v>
      </c>
      <c r="M356" s="3">
        <f>1647+(266.2-890)+(0+(0-0))+0-0-0</f>
        <v>1023.2</v>
      </c>
      <c r="N356" s="3">
        <f>1739.1+(251.4-870.6)+(4.434705+(0.64107-2.22003))+0-0-0</f>
        <v>1122.7557449999999</v>
      </c>
      <c r="O356" s="3">
        <f>1757.2+(206.1-814.4)+(0+(0-0))+0-0-0</f>
        <v>1148.9000000000001</v>
      </c>
      <c r="P356" s="3">
        <f>1754.4+(214.4-811.5)+(0+(0-0))+0-0-0</f>
        <v>1157.3000000000002</v>
      </c>
      <c r="Q356" s="3">
        <f>1746.3+(221.9-788.3)+(-0.890613+(-0.113169--0.402033))+0-0-0</f>
        <v>1179.2982510000002</v>
      </c>
      <c r="R356" s="3">
        <f>1681.7+(239.5-771.1)+(-5.146002+(-0.73287--2.359566))+0-0-0</f>
        <v>1146.580694</v>
      </c>
      <c r="S356" s="3">
        <f>1714+(256.6-837.6)+(-0.87414+(-0.130866--0.427176))+0-0-0</f>
        <v>1132.4221700000001</v>
      </c>
      <c r="T356" s="3">
        <f>1690+(259.1-836.2)+(-5.1714+(-0.792846--2.558772))+0-0-0</f>
        <v>1109.4945260000002</v>
      </c>
      <c r="U356" s="3">
        <f>1718.7+(256.8-875)+(0.876537+(0.130968-0.44625))+0-0-0</f>
        <v>1101.0612550000001</v>
      </c>
      <c r="V356" s="3">
        <f>1728.7+(252.1-853.8)+(1.763274+(0.257142-0.870876))+0-0-0</f>
        <v>1128.1495399999999</v>
      </c>
      <c r="W356" s="3">
        <f>1777.8+(225.8-806.9)+(1.813356+(0.230316-0.823038))+0-0-0</f>
        <v>1197.9206340000001</v>
      </c>
      <c r="X356" s="3">
        <f>1827.3+(183.7-646.7)+(0+(0-0))+0-0-0</f>
        <v>1364.3</v>
      </c>
      <c r="Y356" s="3">
        <f>1834.7+(171-617.9)+(0+(0-0))+0-0-0</f>
        <v>1387.8000000000002</v>
      </c>
      <c r="Z356" s="3">
        <f>1814.7+(182-635.8)+(-3.701988+(-0.37128--1.297032))+0-0-0</f>
        <v>1358.1237640000002</v>
      </c>
      <c r="AA356" s="3">
        <f>1748.6+(211.7-638.8)+(-2.675358+(-0.323901--0.977364))+0-0-0</f>
        <v>1319.4781049999999</v>
      </c>
      <c r="AB356" s="3">
        <f>1584+(272-607.8)+(-1.61568+(-0.27744--0.619956))+0-0-0</f>
        <v>1246.9268360000001</v>
      </c>
      <c r="AC356" s="3">
        <f>1563.2+(276.8-687.7)+(-3.98616+(-0.70584--1.753635))+0-0-0</f>
        <v>1149.361635</v>
      </c>
      <c r="AD356" s="2">
        <v>1426.1000000000001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1583+(259.3-801.3)+(-1.61466+(-0.264486--0.817326))+0-0-0</f>
        <v>1039.9381800000001</v>
      </c>
      <c r="G357" s="3">
        <f>1428.9+(251.6-691.4)+(-1.457478+(-0.256632--0.705228))+0-0-0</f>
        <v>988.09111800000017</v>
      </c>
      <c r="H357" s="3">
        <f>1408.3+(256.3-695.6)+(0+(0-0))+0-0-0</f>
        <v>969</v>
      </c>
      <c r="I357" s="3">
        <f>1415.1+(254.3-725.7)+(2.165103+(0.389079-1.110321))+0-0-0</f>
        <v>945.14386099999979</v>
      </c>
      <c r="J357" s="3">
        <f>1402.1+(256.3-716.9)+(-0.715071+(-0.130713--0.365619))+0-0-0</f>
        <v>941.01983499999994</v>
      </c>
      <c r="K357" s="3">
        <f>1409.5+(248.6-698.5)+(0.718845+(0.126786-0.356235))+0-0-0</f>
        <v>960.08939600000008</v>
      </c>
      <c r="L357" s="3">
        <f>1567.8+(269.9-901.2)+(0+(0-0))+0-0-0</f>
        <v>936.49999999999989</v>
      </c>
      <c r="M357" s="3">
        <f>1661.3+(276.9-927)+(1.694526+(0.282438-0.94554))+0-0-0</f>
        <v>1012.2314239999999</v>
      </c>
      <c r="N357" s="3">
        <f>1689+(272.6-871.1)+(0.86139+(0.139026-0.444261))+0-0-0</f>
        <v>1091.056155</v>
      </c>
      <c r="O357" s="3">
        <f>1698.9+(254.4-789.8)+(1.732878+(0.259488-0.805596))+0-0-0</f>
        <v>1164.68677</v>
      </c>
      <c r="P357" s="3">
        <f>1691.5+(250.3-734.7)+(-0.862665+(-0.127653--0.374697))+0-0-0</f>
        <v>1206.484379</v>
      </c>
      <c r="Q357" s="3">
        <f>1658.3+(264.6-678.1)+(-4.228665+(-0.67473--1.729155))+0-0-0</f>
        <v>1241.6257599999999</v>
      </c>
      <c r="R357" s="3">
        <f>1630.1+(262.4-711.8)+(-3.325404+(-0.535296--1.452072))+0-0-0</f>
        <v>1178.2913719999999</v>
      </c>
      <c r="S357" s="3">
        <f>1668.9+(239.9-754.5)+(0+(0-0))+0-0-0</f>
        <v>1154.3000000000002</v>
      </c>
      <c r="T357" s="3">
        <f>1665.7+(242.5-768.1)+(-0.849507+(-0.123675--0.391731))+0-0-0</f>
        <v>1139.5185489999999</v>
      </c>
      <c r="U357" s="3">
        <f>1674.4+(234.4-780)+(0+(0-0))+0-0-0</f>
        <v>1128.8000000000002</v>
      </c>
      <c r="V357" s="3">
        <f>1655.1+(233.1-756)+(-3.376404+(-0.475524--1.54224))+0-0-0</f>
        <v>1129.8903119999998</v>
      </c>
      <c r="W357" s="3">
        <f>1688.6+(219.8-730.9)+(0+(0-0))+0-0-0</f>
        <v>1177.5</v>
      </c>
      <c r="X357" s="3">
        <f>1686.2+(231-538)+(-0.859962+(-0.11781--0.27438))+0-0-0</f>
        <v>1378.4966080000002</v>
      </c>
      <c r="Y357" s="3">
        <f>1690.8+(225-485.2)+(-1.724616+(-0.2295--0.494904))+0-0-0</f>
        <v>1429.1407879999999</v>
      </c>
      <c r="Z357" s="3">
        <f>1686.1+(242.4-513.8)+(-1.719822+(-0.247248--0.524076))+0-0-0</f>
        <v>1413.2570059999998</v>
      </c>
      <c r="AA357" s="3">
        <f>1680+(272.9-586.7)+(-4.284+(-0.695895--1.496085))+0-0-0</f>
        <v>1362.7161899999999</v>
      </c>
      <c r="AB357" s="3">
        <f>1652.4+(296.1-655.8)+(-2.528172+(-0.453033--1.003374))+0-0-0</f>
        <v>1290.7221690000003</v>
      </c>
      <c r="AC357" s="3">
        <f>1592.2+(265.2-686.5)+(-2.436066+(-0.405756--1.050345))+0-0-0</f>
        <v>1169.1085230000001</v>
      </c>
      <c r="AD357" s="2">
        <v>1427.7999999999997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1420.7+(242.9-630.2)+(0.724557+(0.123879-0.321402))+0-0-0</f>
        <v>1033.927034</v>
      </c>
      <c r="G358" s="3">
        <f>1302.7+(252-597.2)+(-1.993131+(-0.38556--0.913716))+0-0-0</f>
        <v>956.03502500000002</v>
      </c>
      <c r="H358" s="3">
        <f>1131+(283.5-476.5)+(0+(0-0))+0-0-0</f>
        <v>938</v>
      </c>
      <c r="I358" s="3">
        <f>1117.3+(278.2-476.6)+(-2.849115+(-0.70941--1.21533))+0-0-0</f>
        <v>916.55680499999983</v>
      </c>
      <c r="J358" s="3">
        <f>1132.1+(262.1-471.9)+(0+(0-0))+0-0-0</f>
        <v>922.3</v>
      </c>
      <c r="K358" s="3">
        <f>1171.2+(261.6-495.6)+(1.194624+(0.266832-0.505512))+0-0-0</f>
        <v>938.15594400000009</v>
      </c>
      <c r="L358" s="3">
        <f>1349.2+(235.7-649.3)+(-1.376184+(-0.240414--0.662286))+0-0-0</f>
        <v>934.64568800000018</v>
      </c>
      <c r="M358" s="3">
        <f>1393.1+(226.8-626.8)+(1.420962+(0.231336-0.639336))+0-0-0</f>
        <v>994.11296199999992</v>
      </c>
      <c r="N358" s="3">
        <f>1542.7+(228.4-696.9)+(-0.786777+(-0.116484--0.355419))+0-0-0</f>
        <v>1073.6521580000001</v>
      </c>
      <c r="O358" s="3">
        <f>1610.6+(252.2-749.8)+(0.821406+(0.128622-0.382398))+0-0-0</f>
        <v>1113.56763</v>
      </c>
      <c r="P358" s="3">
        <f>1605.4+(310.3-774.7)+(-2.456262+(-0.474759--1.185291))+0-0-0</f>
        <v>1139.2542699999999</v>
      </c>
      <c r="Q358" s="3">
        <f>1609.3+(286.5-754.3)+(0+(0-0))+0-0-0</f>
        <v>1141.5</v>
      </c>
      <c r="R358" s="3">
        <f>1553+(279.3-680.1)+(-1.58406+(-0.284886--0.693702))+0-0-0</f>
        <v>1151.024756</v>
      </c>
      <c r="S358" s="3">
        <f>1375.5+(268.3-509.8)+(-1.40301+(-0.273666--0.519996))+0-0-0</f>
        <v>1132.8433199999999</v>
      </c>
      <c r="T358" s="3">
        <f>1371+(270.2-537.6)+(1.39842+(0.275604-0.548352))+0-0-0</f>
        <v>1104.7256719999998</v>
      </c>
      <c r="U358" s="3">
        <f>1374.5+(279.8-556.5)+(0.700995+(0.142698-0.283815))+0-0-0</f>
        <v>1098.359878</v>
      </c>
      <c r="V358" s="3">
        <f>1369.5+(279.5-556)+(0+(0-0))+0-0-0</f>
        <v>1093</v>
      </c>
      <c r="W358" s="3">
        <f>1397.5+(283.5-556.9)+(0.712725+(0.144585-0.284019))+0-0-0</f>
        <v>1124.6732909999998</v>
      </c>
      <c r="X358" s="3">
        <f>1639.7+(272.3-580.6)+(0+(0-0))+0-0-0</f>
        <v>1331.4</v>
      </c>
      <c r="Y358" s="3">
        <f>1737.4+(250.2-593.7)+(-5.316444+(-0.765612--1.816722))+0-0-0</f>
        <v>1389.6346660000002</v>
      </c>
      <c r="Z358" s="3">
        <f>1741.9+(250.7-625.3)+(-1.776738+(-0.255714--0.637806))+0-0-0</f>
        <v>1365.9053540000002</v>
      </c>
      <c r="AA358" s="3">
        <f>1711.2+(280.4-662.5)+(-3.490848+(-0.572016--1.3515))+0-0-0</f>
        <v>1326.3886359999999</v>
      </c>
      <c r="AB358" s="3">
        <f>1534.7+(312.3-595)+(-3.130788+(-0.637092--1.2138))+0-0-0</f>
        <v>1249.4459199999999</v>
      </c>
      <c r="AC358" s="3">
        <f>1297.3+(316.5-455.6)+(-3.308115+(-0.807075--1.16178))+0-0-0</f>
        <v>1155.2465899999997</v>
      </c>
      <c r="AD358" s="2">
        <v>1446.1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902.7+(408.8-271.9)+(-2.301885+(-1.04244--0.693345))+0-0-0</f>
        <v>1036.9490200000002</v>
      </c>
      <c r="G359" s="3">
        <f>854.3+(368.8-248.4)+(-2.178465+(-0.94044--0.63342))+0-0-0</f>
        <v>972.21451499999989</v>
      </c>
      <c r="H359" s="3">
        <f>869.3+(327.4-256.3)+(-0.443343+(-0.166974--0.130713))+0-0-0</f>
        <v>939.92039599999987</v>
      </c>
      <c r="I359" s="3">
        <f>909+(315.8-308.5)+(-0.46359+(-0.161058--0.157335))+0-0-0</f>
        <v>915.83268699999996</v>
      </c>
      <c r="J359" s="3">
        <f>916.3+(306.1-308.3)+(-2.336565+(-0.780555--0.786165))+0-0-0</f>
        <v>911.76904499999989</v>
      </c>
      <c r="K359" s="3">
        <f>916+(310.6-298.9)+(-0.46716+(-0.158406--0.152439))+0-0-0</f>
        <v>927.22687300000007</v>
      </c>
      <c r="L359" s="3">
        <f>923.6+(332.9-332)+(-1.413108+(-0.509337--0.50796))+0-0-0</f>
        <v>923.08551499999999</v>
      </c>
      <c r="M359" s="3">
        <f>1375.7+(89.7-472.3)+(0+(0-0))+0-0-0</f>
        <v>993.1</v>
      </c>
      <c r="N359" s="3">
        <f>1536.9+(90.7-537.6)+(0.783819+(0.046257-0.274176))+0-0-0</f>
        <v>1090.5559000000001</v>
      </c>
      <c r="O359" s="3">
        <f>1579.3+(71.1-523.2)+(-3.221772+(-0.145044--1.067328))+0-0-0</f>
        <v>1124.9005119999997</v>
      </c>
      <c r="P359" s="3">
        <f>1581.7+(58.1-503.7)+(-1.613334+(-0.059262--0.513774))+0-0-0</f>
        <v>1134.941178</v>
      </c>
      <c r="Q359" s="3">
        <f>1619.7+(41.4-515.7)+(0+(0-0))+0-0-0</f>
        <v>1145.4000000000001</v>
      </c>
      <c r="R359" s="3">
        <f>1640.1+(44.3-537.9)+(-3.345804+(-0.090372--1.097316))+0-0-0</f>
        <v>1144.1611399999999</v>
      </c>
      <c r="S359" s="3">
        <f>1701.2+(48.3-617.5)+(-0.867612+(-0.024633--0.314925))+0-0-0</f>
        <v>1131.4226799999999</v>
      </c>
      <c r="T359" s="3">
        <f>1728.7+(60.2-665.5)+(0+(0-0))+0-0-0</f>
        <v>1123.4000000000001</v>
      </c>
      <c r="U359" s="3">
        <f>1704.7+(57.6-635.2)+(1.738794+(0.058752-0.647904))+0-0-0</f>
        <v>1128.249642</v>
      </c>
      <c r="V359" s="3">
        <f>1698.1+(205.3-747)+(-4.330155+(-0.523515--1.90485))+0-0-0</f>
        <v>1153.4511799999998</v>
      </c>
      <c r="W359" s="3">
        <f>1722.8+(235.1-765.9)+(0+(0-0))+0-0-0</f>
        <v>1192</v>
      </c>
      <c r="X359" s="3">
        <f>1801.6+(220.5-646)+(-1.837632+(-0.22491--0.65892))+0-0-0</f>
        <v>1374.6963779999999</v>
      </c>
      <c r="Y359" s="3">
        <f>1789.3+(213-583.5)+(-4.562715+(-0.54315--1.487925))+0-0-0</f>
        <v>1415.1820599999999</v>
      </c>
      <c r="Z359" s="3">
        <f>1799.9+(214.8-621.6)+(-3.671796+(-0.438192--1.268064))+0-0-0</f>
        <v>1390.2580760000001</v>
      </c>
      <c r="AA359" s="3">
        <f>1783.1+(256.2-699.4)+(-6.365667+(-0.914634--2.496858))+0-0-0</f>
        <v>1335.1165569999998</v>
      </c>
      <c r="AB359" s="3">
        <f>1746.5+(255.9-755.7)+(-3.56286+(-0.522036--1.541628))+0-0-0</f>
        <v>1244.1567319999999</v>
      </c>
      <c r="AC359" s="3">
        <f>1680+(260-776.3)+(-1.7136+(-0.2652--0.791826))+0-0-0</f>
        <v>1162.5130260000001</v>
      </c>
      <c r="AD359" s="2">
        <v>1430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1365.8+(236.4-549.1)+(-4.179348+(-0.723384--1.680246))+0-0-0</f>
        <v>1049.877514</v>
      </c>
      <c r="G360" s="3">
        <f>1208.2+(252.1-485.9)+(-1.848546+(-0.385713--0.743427))+0-0-0</f>
        <v>972.90916800000014</v>
      </c>
      <c r="H360" s="3">
        <f>1193.1+(253.7-517.2)+(-1.825443+(-0.388161--0.791316))+0-0-0</f>
        <v>928.17771199999993</v>
      </c>
      <c r="I360" s="3">
        <f>1107.6+(248.2-443.7)+(-0.564876+(-0.126582--0.226287))+0-0-0</f>
        <v>911.63482899999985</v>
      </c>
      <c r="J360" s="3">
        <f>1107.5+(244.1-445.3)+(-1.12965+(-0.248982--0.454206))+0-0-0</f>
        <v>905.37557399999992</v>
      </c>
      <c r="K360" s="3">
        <f>1115.2+(218.6-422)+(1.137504+(0.222972-0.43044))+0-0-0</f>
        <v>912.73003600000004</v>
      </c>
      <c r="L360" s="3">
        <f>1251.6+(198.9-557.6)+(-2.553264+(-0.405756--1.137504))+0-0-0</f>
        <v>891.07848399999989</v>
      </c>
      <c r="M360" s="3">
        <f>1310.5+(118.2-477.8)+(0.668355+(0.060282-0.243678))+0-0-0</f>
        <v>951.38495899999998</v>
      </c>
      <c r="N360" s="3">
        <f>1393.4+(103.5-440.2)+(0.710634+(0.052785-0.224502))+0-0-0</f>
        <v>1057.2389170000001</v>
      </c>
      <c r="O360" s="3">
        <f>1397.3+(107.4-398.7)+(2.850492+(0.219096-0.813348))+0-0-0</f>
        <v>1108.2562399999999</v>
      </c>
      <c r="P360" s="3">
        <f>1381.9+(104.5-361)+(-1.409538+(-0.10659--0.36822))+0-0-0</f>
        <v>1124.2520920000002</v>
      </c>
      <c r="Q360" s="3">
        <f>1376.6+(111.7-350.8)+(-3.51033+(-0.284835--0.89454))+0-0-0</f>
        <v>1134.599375</v>
      </c>
      <c r="R360" s="3">
        <f>1374.7+(113.1-358.3)+(-3.505485+(-0.288405--0.913665))+0-0-0</f>
        <v>1126.6197749999999</v>
      </c>
      <c r="S360" s="3">
        <f>1383.2+(134.3-409.7)+(-2.821728+(-0.273972--0.835788))+0-0-0</f>
        <v>1105.5400880000002</v>
      </c>
      <c r="T360" s="3">
        <f>1400+(242.6-557.6)+(1.428+(0.247452-0.568752))+0-0-0</f>
        <v>1086.1067</v>
      </c>
      <c r="U360" s="3">
        <f>1400+(225-549)+(0+(0-0))+0-0-0</f>
        <v>1076</v>
      </c>
      <c r="V360" s="3">
        <f>1383.5+(234.1-545.6)+(-2.116755+(-0.358173--0.834768))+0-0-0</f>
        <v>1070.3598400000001</v>
      </c>
      <c r="W360" s="3">
        <f>1404+(270.8-572)+(1.43208+(0.276216-0.58344))+0-0-0</f>
        <v>1103.9248559999999</v>
      </c>
      <c r="X360" s="3">
        <f>1404.8+(335.6-457.6)+(1.432896+(0.342312-0.466752))+0-0-0</f>
        <v>1284.1084559999999</v>
      </c>
      <c r="Y360" s="3">
        <f>1389.2+(339.3-393.7)+(-2.125476+(-0.519129--0.602361))+0-0-0</f>
        <v>1332.7577560000002</v>
      </c>
      <c r="Z360" s="3">
        <f>1387.1+(340.1-423.2)+(-2.122263+(-0.520353--0.647496))+0-0-0</f>
        <v>1302.00488</v>
      </c>
      <c r="AA360" s="3">
        <f>1394.6+(336-460.5)+(-0.711246+(-0.17136--0.234855))+0-0-0</f>
        <v>1269.4522489999999</v>
      </c>
      <c r="AB360" s="3">
        <f>1384.6+(304-481.2)+(-3.53073+(-0.7752--1.22706))+0-0-0</f>
        <v>1204.3211299999998</v>
      </c>
      <c r="AC360" s="3">
        <f>1365.4+(286.6-511.1)+(-2.089062+(-0.438498--0.781983))+0-0-0</f>
        <v>1139.1544230000002</v>
      </c>
      <c r="AD360" s="2">
        <v>1484.6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1280.3+(308.9-527.1)+(-2.611812+(-0.630156--1.075284))+0-0-0</f>
        <v>1059.9333159999999</v>
      </c>
      <c r="G361" s="3">
        <f>1278.7+(269.7-554)+(-2.608548+(-0.550188--1.13016))+0-0-0</f>
        <v>992.37142400000005</v>
      </c>
      <c r="H361" s="3">
        <f>1099.1+(279.5-424.8)+(-1.121082+(-0.28509--0.433296))+0-0-0</f>
        <v>952.82712399999991</v>
      </c>
      <c r="I361" s="3">
        <f>967.2+(397.6-441.6)+(1.479816+(0.608328-0.675648))+0-0-0</f>
        <v>924.61249600000008</v>
      </c>
      <c r="J361" s="3">
        <f>959.1+(297.6-338)+(-1.956564+(-0.607104--0.68952))+0-0-0</f>
        <v>916.82585200000005</v>
      </c>
      <c r="K361" s="3">
        <f>959.4+(318.3-350.8)+(-0.978588+(-0.324666--0.357816))+0-0-0</f>
        <v>925.95456200000001</v>
      </c>
      <c r="L361" s="3">
        <f>956.4+(315.5-401.2)+(-0.487764+(-0.160905--0.204612))+0-0-0</f>
        <v>870.255943</v>
      </c>
      <c r="M361" s="3">
        <f>1075.8+(288.1-483.2)+(0.548658+(0.146931-0.246432))+0-0-0</f>
        <v>881.14915700000006</v>
      </c>
      <c r="N361" s="3">
        <f>1219.1+(263.5-533.4)+(-0.621741+(-0.134385--0.272034))+0-0-0</f>
        <v>948.7159079999999</v>
      </c>
      <c r="O361" s="3">
        <f>1281.3+(263.3-537.5)+(-0.653463+(-0.134283--0.274125))+0-0-0</f>
        <v>1006.586379</v>
      </c>
      <c r="P361" s="3">
        <f>1368.7+(246.7-588.1)+(2.094111+(0.377451-0.899793))+0-0-0</f>
        <v>1028.8717689999999</v>
      </c>
      <c r="Q361" s="3">
        <f>1405.5+(247.1-613.5)+(-2.86722+(-0.504084--1.25154))+0-0-0</f>
        <v>1036.9802359999999</v>
      </c>
      <c r="R361" s="3">
        <f>1413.4+(239.9-654.3)+(-1.441668+(-0.244698--0.667386))+0-0-0</f>
        <v>997.98102000000006</v>
      </c>
      <c r="S361" s="3">
        <f>1404.4+(236.5-668.3)+(-2.864976+(-0.48246--1.363332))+0-0-0</f>
        <v>970.61589600000013</v>
      </c>
      <c r="T361" s="3">
        <f>1419+(251.7-713.9)+(1.44738+(0.256734-0.728178))+0-0-0</f>
        <v>957.775936</v>
      </c>
      <c r="U361" s="3">
        <f>1415.1+(241.1-713.1)+(0.721701+(0.122961-0.363681))+0-0-0</f>
        <v>943.58098099999995</v>
      </c>
      <c r="V361" s="3">
        <f>1408.3+(240.8-687.2)+(1.436466+(0.245616-0.700944))+0-0-0</f>
        <v>962.88113799999985</v>
      </c>
      <c r="W361" s="3">
        <f>1396.5+(288.1-644.9)+(0+(0-0))+0-0-0</f>
        <v>1039.7</v>
      </c>
      <c r="X361" s="3">
        <f>1426.8+(438.2-525)+(1.455336+(0.446964-0.5355))+0-0-0</f>
        <v>1341.3668</v>
      </c>
      <c r="Y361" s="3">
        <f>1426.9+(454.2-452.3)+(-0.727719+(-0.231642--0.230673))+0-0-0</f>
        <v>1428.0713120000003</v>
      </c>
      <c r="Z361" s="3">
        <f>1423.1+(446.8-476.6)+(-1.451562+(-0.455736--0.486132))+0-0-0</f>
        <v>1391.8788339999999</v>
      </c>
      <c r="AA361" s="3">
        <f>1424.4+(431.1-510.3)+(-1.452888+(-0.439722--0.520506))+0-0-0</f>
        <v>1343.827896</v>
      </c>
      <c r="AB361" s="3">
        <f>1416+(383.5-542.2)+(-3.6108+(-0.977925--1.38261))+0-0-0</f>
        <v>1254.093885</v>
      </c>
      <c r="AC361" s="3">
        <f>1420+(320-592)+(-2.1726+(-0.4896--0.90576))+0-0-0</f>
        <v>1146.2435599999999</v>
      </c>
      <c r="AD361" s="2">
        <v>1330.4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1296.6+(328.6-568.7)+(-3.967596+(-1.005516--1.740222))+0-0-0</f>
        <v>1053.26711</v>
      </c>
      <c r="G362" s="3">
        <f>1046.9+(397.6-430.8)+(-2.669595+(-1.01388--1.09854))+0-0-0</f>
        <v>1011.1150650000001</v>
      </c>
      <c r="H362" s="3">
        <f>1060.5+(387.7-472.9)+(-2.16342+(-0.790908--0.964716))+0-0-0</f>
        <v>973.31038799999999</v>
      </c>
      <c r="I362" s="3">
        <f>1043.3+(371.3-439)+(0+(0-0))+0-0-0</f>
        <v>975.59999999999991</v>
      </c>
      <c r="J362" s="3">
        <f>969.5+(394.8-371.9)+(1.483335+(0.604044-0.569007))+0-0-0</f>
        <v>993.91837200000009</v>
      </c>
      <c r="K362" s="3">
        <f>1048.3+(365.6-420.7)+(0+(0-0))+0-0-0</f>
        <v>993.2</v>
      </c>
      <c r="L362" s="3">
        <f>1146.1+(255.8-467.3)+(-0.584511+(-0.130458--0.238323))+0-0-0</f>
        <v>934.12335399999995</v>
      </c>
      <c r="M362" s="3">
        <f>1268.3+(260.1-544.8)+(0+(0-0))+0-0-0</f>
        <v>983.6</v>
      </c>
      <c r="N362" s="3">
        <f>1330.4+(276.8-507.5)+(-0.678504+(-0.141168--0.258825))+0-0-0</f>
        <v>1099.1391530000001</v>
      </c>
      <c r="O362" s="3">
        <f>1367.9+(300.8-490.6)+(-0.697629+(-0.153408--0.250206))+0-0-0</f>
        <v>1177.4991690000002</v>
      </c>
      <c r="P362" s="3">
        <f>1370.2+(288.4-477.8)+(0.698802+(0.147084-0.243678))+0-0-0</f>
        <v>1181.402208</v>
      </c>
      <c r="Q362" s="3">
        <f>1364.7+(287.2-467.4)+(0+(0-0))+0-0-0</f>
        <v>1184.5</v>
      </c>
      <c r="R362" s="3">
        <f>1350.5+(290.8-487.5)+(-2.066265+(-0.444924--0.745875))+0-0-0</f>
        <v>1152.034686</v>
      </c>
      <c r="S362" s="3">
        <f>1363.1+(302.6-537.8)+(0.695181+(0.154326-0.274278))+0-0-0</f>
        <v>1128.4752290000001</v>
      </c>
      <c r="T362" s="3">
        <f>1354.7+(310.5-576.2)+(-1.381794+(-0.31671--0.587724))+0-0-0</f>
        <v>1087.88922</v>
      </c>
      <c r="U362" s="3">
        <f>1344.9+(314.8-582.1)+(-2.743596+(-0.642192--1.187484))+0-0-0</f>
        <v>1075.4016960000001</v>
      </c>
      <c r="V362" s="3">
        <f>1341.8+(317.5-556.9)+(-4.105908+(-0.97155--1.704114))+0-0-0</f>
        <v>1099.026656</v>
      </c>
      <c r="W362" s="3">
        <f>1336.5+(327.1-494.4)+(-5.45292+(-1.334568--2.017152))+0-0-0</f>
        <v>1164.429664</v>
      </c>
      <c r="X362" s="3">
        <f>1395.4+(442.7-415.6)+(0+(0-0))+0-0-0</f>
        <v>1422.5</v>
      </c>
      <c r="Y362" s="3">
        <f>1405.8+(460.5-383)+(-3.58479+(-1.174275--0.97665))+0-0-0</f>
        <v>1479.5175850000001</v>
      </c>
      <c r="Z362" s="3">
        <f>1340.2+(474.3-359)+(-3.41751+(-1.209465--0.91545))+0-0-0</f>
        <v>1451.7884750000001</v>
      </c>
      <c r="AA362" s="3">
        <f>1306.3+(507.8-389.5)+(-2.664852+(-1.035912--0.79458))+0-0-0</f>
        <v>1421.693816</v>
      </c>
      <c r="AB362" s="3">
        <f>1206.6+(522.3-356.9)+(-0.615366+(-0.266373--0.182019))+0-0-0</f>
        <v>1371.3002799999999</v>
      </c>
      <c r="AC362" s="3">
        <f>975.5+(548.6-263.6)+(-2.487525+(-1.39893--0.67218))+0-0-0</f>
        <v>1257.285725</v>
      </c>
      <c r="AD362" s="2">
        <v>1399.9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948.1+(405.6-305.6)+(-2.901186+(-1.241136--0.935136))+0-0-0</f>
        <v>1044.8928139999998</v>
      </c>
      <c r="G363" s="3">
        <f>937.1+(382.2-334.3)+(-2.389605+(-0.97461--0.852465))+0-0-0</f>
        <v>982.48824999999999</v>
      </c>
      <c r="H363" s="3">
        <f>938.2+(372.7-370.1)+(-1.913928+(-0.760308--0.755004))+0-0-0</f>
        <v>938.88076799999999</v>
      </c>
      <c r="I363" s="3">
        <f>935.1+(368.5-375.7)+(-2.861406+(-1.12761--1.149642))+0-0-0</f>
        <v>925.06062600000007</v>
      </c>
      <c r="J363" s="3">
        <f>940.3+(371.8-382.9)+(-1.438659+(-0.568854--0.585837))+0-0-0</f>
        <v>927.778324</v>
      </c>
      <c r="K363" s="3">
        <f>1059.1+(345.7-464.8)+(-0.540141+(-0.176307--0.237048))+0-0-0</f>
        <v>939.52059999999983</v>
      </c>
      <c r="L363" s="3">
        <f>1135.4+(322.1-526.2)+(0+(0-0))+0-0-0</f>
        <v>931.30000000000007</v>
      </c>
      <c r="M363" s="3">
        <f>1288.7+(300.8-592.3)+(1.314474+(0.306816-0.604146))+0-0-0</f>
        <v>998.21714400000008</v>
      </c>
      <c r="N363" s="3">
        <f>1289.1+(331.9-525.9)+(-0.657441+(-0.169269--0.268209))+0-0-0</f>
        <v>1094.5414989999999</v>
      </c>
      <c r="O363" s="3">
        <f>1353.4+(348-559)+(0+(0-0))+0-0-0</f>
        <v>1142.4000000000001</v>
      </c>
      <c r="P363" s="3">
        <f>1367.3+(337-542.8)+(-3.486615+(-0.85935--1.38414))+0-0-0</f>
        <v>1158.5381749999999</v>
      </c>
      <c r="Q363" s="3">
        <f>1373.8+(333.8-524.9)+(-0.700638+(-0.170238--0.267699))+0-0-0</f>
        <v>1182.0968230000001</v>
      </c>
      <c r="R363" s="3">
        <f>1361+(351.6-528.8)+(-4.16466+(-1.075896--1.618128))+0-0-0</f>
        <v>1180.1775720000003</v>
      </c>
      <c r="S363" s="3">
        <f>1310.4+(340-507.9)+(0.668304+(0.1734-0.259029))+0-0-0</f>
        <v>1143.0826750000001</v>
      </c>
      <c r="T363" s="3">
        <f>1277.8+(345.1-496.7)+(-2.606712+(-0.704004--1.013268))+0-0-0</f>
        <v>1123.902552</v>
      </c>
      <c r="U363" s="3">
        <f>1277.2+(336.2-491.5)+(-1.954116+(-0.514386--0.751995))+0-0-0</f>
        <v>1120.183493</v>
      </c>
      <c r="V363" s="3">
        <f>1286.5+(342.3-503.5)+(0+(0-0))+0-0-0</f>
        <v>1125.3</v>
      </c>
      <c r="W363" s="3">
        <f>1375.5+(340.5-476)+(0+(0-0))+0-0-0</f>
        <v>1240</v>
      </c>
      <c r="X363" s="3">
        <f>1400.6+(345.5-312)+(0.714306+(0.176205-0.15912))+0-0-0</f>
        <v>1434.8313909999999</v>
      </c>
      <c r="Y363" s="3">
        <f>1402.6+(345.5-305)+(-0.715326+(-0.176205--0.15555))+0-0-0</f>
        <v>1442.3640189999999</v>
      </c>
      <c r="Z363" s="3">
        <f>1394.2+(427.7-444.6)+(-0.711042+(-0.218127--0.226746))+0-0-0</f>
        <v>1376.597577</v>
      </c>
      <c r="AA363" s="3">
        <f>1399.5+(412.4-463)+(-0.713745+(-0.210324--0.23613))+0-0-0</f>
        <v>1348.2120610000002</v>
      </c>
      <c r="AB363" s="3">
        <f>1319.4+(395.7-436.2)+(-3.36447+(-1.009035--1.11231))+0-0-0</f>
        <v>1275.638805</v>
      </c>
      <c r="AC363" s="3">
        <f>1195.7+(389.1-403.7)+(-2.439228+(-0.793764--0.823548))+0-0-0</f>
        <v>1178.6905560000002</v>
      </c>
      <c r="AD363" s="2">
        <v>1422.4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1118.9+(357.4-417.4)+(-2.282556+(-0.729096--0.851496))+0-0-0</f>
        <v>1056.7398440000002</v>
      </c>
      <c r="G364" s="3">
        <f>929.4+(384.7-328.1)+(-1.421982+(-0.588591--0.501993))+0-0-0</f>
        <v>984.49141999999995</v>
      </c>
      <c r="H364" s="3">
        <f>936.8+(364.3-359.1)+(-2.38884+(-0.928965--0.915705))+0-0-0</f>
        <v>939.59789999999998</v>
      </c>
      <c r="I364" s="3">
        <f>947.6+(370.4-390.9)+(0.483276+(0.188904-0.199359))+0-0-0</f>
        <v>927.57282099999998</v>
      </c>
      <c r="J364" s="3">
        <f>940.6+(369.1-386.5)+(-1.918824+(-0.752964--0.78846))+0-0-0</f>
        <v>921.31667200000004</v>
      </c>
      <c r="K364" s="3">
        <f>943.6+(370.5-387.6)+(-0.962472+(-0.37791--0.395352))+0-0-0</f>
        <v>925.55497000000003</v>
      </c>
      <c r="L364" s="3">
        <f>946.6+(366.8-396.6)+(0+(0-0))+0-0-0</f>
        <v>916.8</v>
      </c>
      <c r="M364" s="3">
        <f>1112.3+(340.4-472.4)+(-1.701819+(-0.520812--0.722772))+0-0-0</f>
        <v>978.80014099999994</v>
      </c>
      <c r="N364" s="3">
        <f>1329.9+(342.1-587.6)+(-0.678249+(-0.174471--0.299676))+0-0-0</f>
        <v>1083.8469560000001</v>
      </c>
      <c r="O364" s="3">
        <f>1368.1+(354.9-581.2)+(-3.488655+(-0.904995--1.48206))+0-0-0</f>
        <v>1138.8884099999998</v>
      </c>
      <c r="P364" s="3">
        <f>1379.4+(362.1-582.9)+(0.703494+(0.184671-0.297279))+0-0-0</f>
        <v>1159.1908860000001</v>
      </c>
      <c r="Q364" s="3">
        <f>1373.8+(372.2-588.7)+(0.700638+(0.189822-0.300237))+0-0-0</f>
        <v>1157.8902229999999</v>
      </c>
      <c r="R364" s="3">
        <f>1355+(369.5-589.1)+(-4.1463+(-1.13067--1.802646))+0-0-0</f>
        <v>1131.9256760000001</v>
      </c>
      <c r="S364" s="3">
        <f>1359.6+(343.9-594.5)+(-2.773584+(-0.701556--1.21278))+0-0-0</f>
        <v>1106.7376400000001</v>
      </c>
      <c r="T364" s="3">
        <f>1364.5+(328.2-602.8)+(-1.39179+(-0.334764--0.614856))+0-0-0</f>
        <v>1088.7883020000002</v>
      </c>
      <c r="U364" s="3">
        <f>1370.5+(326-607.2)+(-0.698955+(-0.16626--0.309672))+0-0-0</f>
        <v>1088.744457</v>
      </c>
      <c r="V364" s="3">
        <f>1361.8+(335.2-595.7)+(-2.083554+(-0.512856--0.911421))+0-0-0</f>
        <v>1099.6150109999999</v>
      </c>
      <c r="W364" s="3">
        <f>1388.7+(336.2-593)+(1.416474+(0.342924-0.60486))+0-0-0</f>
        <v>1133.0545380000001</v>
      </c>
      <c r="X364" s="3">
        <f>1424.4+(401.9-526.7)+(1.452888+(0.409938-0.537234))+0-0-0</f>
        <v>1300.9255919999998</v>
      </c>
      <c r="Y364" s="3">
        <f>1416.7+(384.7-463)+(-0.722517+(-0.196197--0.23613))+0-0-0</f>
        <v>1337.7174160000002</v>
      </c>
      <c r="Z364" s="3">
        <f>1402.2+(389-473.4)+(-3.57561+(-0.99195--1.20717))+0-0-0</f>
        <v>1314.4396100000001</v>
      </c>
      <c r="AA364" s="3">
        <f>1422.3+(368.9-490.7)+(0+(0-0))+0-0-0</f>
        <v>1300.5</v>
      </c>
      <c r="AB364" s="3">
        <f>1404.1+(339.6-499)+(-2.864364+(-0.692784--1.01796))+0-0-0</f>
        <v>1242.1608119999999</v>
      </c>
      <c r="AC364" s="3">
        <f>1101.7+(349.7-298.7)+(-2.809335+(-0.891735--0.761685))+0-0-0</f>
        <v>1149.7606150000001</v>
      </c>
      <c r="AD364" s="2">
        <v>1375.9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888.3+(382-209)+(0+(0-0))+0-0-0</f>
        <v>1061.3</v>
      </c>
      <c r="G365" s="3">
        <f>887.5+(353.2-252.1)+(-1.8105+(-0.720528--0.514284))+0-0-0</f>
        <v>986.58325600000001</v>
      </c>
      <c r="H365" s="3">
        <f>890.1+(334.7-283.9)+(-2.723706+(-1.024182--0.868734))+0-0-0</f>
        <v>938.02084600000012</v>
      </c>
      <c r="I365" s="3">
        <f>891.7+(312.5-279.4)+(-0.909534+(-0.31875--0.284988))+0-0-0</f>
        <v>923.85670400000004</v>
      </c>
      <c r="J365" s="3">
        <f>892.7+(285.2-271.8)+(-0.910554+(-0.290904--0.277236))+0-0-0</f>
        <v>905.17577800000004</v>
      </c>
      <c r="K365" s="3">
        <f>895.9+(297.5-286)+(0.913818+(0.30345-0.29172))+0-0-0</f>
        <v>908.32554800000003</v>
      </c>
      <c r="L365" s="3">
        <f>891.8+(299.6-301.5)+(-0.909636+(-0.305592--0.30753))+0-0-0</f>
        <v>888.992302</v>
      </c>
      <c r="M365" s="3">
        <f>898+(311.4-298.4)+(0.91596+(0.317628-0.304368))+0-0-0</f>
        <v>911.92921999999999</v>
      </c>
      <c r="N365" s="3">
        <f>985.7+(339.1-321.9)+(-0.502707+(-0.172941--0.164169))+0-0-0</f>
        <v>1002.3885210000001</v>
      </c>
      <c r="O365" s="3">
        <f>1158+(336-393.4)+(0+(0-0))+0-0-0</f>
        <v>1100.5999999999999</v>
      </c>
      <c r="P365" s="3">
        <f>1171.3+(358.4-376.3)+(-0.597363+(-0.182784--0.191913))+0-0-0</f>
        <v>1152.8117659999998</v>
      </c>
      <c r="Q365" s="3">
        <f>1186.6+(349.9-368.1)+(2.420664+(0.713796-0.750924))+0-0-0</f>
        <v>1170.7835359999999</v>
      </c>
      <c r="R365" s="3">
        <f>1164.8+(357.1-363.6)+(-2.376192+(-0.728484--0.741744))+0-0-0</f>
        <v>1155.937068</v>
      </c>
      <c r="S365" s="3">
        <f>1169.6+(344.2-387.8)+(-1.192992+(-0.351084--0.395556))+0-0-0</f>
        <v>1124.85148</v>
      </c>
      <c r="T365" s="3">
        <f>1161.7+(333.3-386.9)+(-2.369868+(-0.679932--0.789276))+0-0-0</f>
        <v>1105.8394760000001</v>
      </c>
      <c r="U365" s="3">
        <f>1165.7+(320.6-379.7)+(-1.783521+(-0.490518--0.580941))+0-0-0</f>
        <v>1104.9069020000002</v>
      </c>
      <c r="V365" s="3">
        <f>1182+(312.4-380.1)+(2.41128+(0.637296-0.775404))+0-0-0</f>
        <v>1116.5731719999999</v>
      </c>
      <c r="W365" s="3">
        <f>1248.5+(343.6-443.8)+(-2.54694+(-0.700944--0.905352))+0-0-0</f>
        <v>1145.9574680000001</v>
      </c>
      <c r="X365" s="3">
        <f>1276+(389.8-375.9)+(1.30152+(0.397596-0.383418))+0-0-0</f>
        <v>1291.2156980000002</v>
      </c>
      <c r="Y365" s="3">
        <f>1251.9+(392.3-314.4)+(-1.915407+(-0.600219--0.481032))+0-0-0</f>
        <v>1327.7654060000002</v>
      </c>
      <c r="Z365" s="3">
        <f>924.3+(501-130.5)+(0.942786+(0.51102-0.13311))+0-0-0</f>
        <v>1296.120696</v>
      </c>
      <c r="AA365" s="3">
        <f>655.9+(616.2-9.7)+(0.669018+(0.628524-0.009894))+0-0-0</f>
        <v>1263.6876480000001</v>
      </c>
      <c r="AB365" s="3">
        <f>561.3+(655.8-5.4)+(-0.858789+(-1.003374--0.008262))+0-0-0</f>
        <v>1209.8460989999999</v>
      </c>
      <c r="AC365" s="3">
        <f>558.7+(621.2-37.5)+(-0.569874+(-0.633624--0.03825))+0-0-0</f>
        <v>1141.2347520000001</v>
      </c>
      <c r="AD365" s="2">
        <v>1470.5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1038.1400160000001</v>
      </c>
      <c r="G366" s="1">
        <v>943.87056800000005</v>
      </c>
      <c r="H366" s="1">
        <v>893.24421299999995</v>
      </c>
      <c r="I366" s="1">
        <v>855.95029199999988</v>
      </c>
      <c r="J366" s="1">
        <v>847.93222500000002</v>
      </c>
      <c r="K366" s="1">
        <v>837.77251799999988</v>
      </c>
      <c r="L366" s="1">
        <v>784.59889199999998</v>
      </c>
      <c r="M366" s="1">
        <v>830.8</v>
      </c>
      <c r="N366" s="1">
        <v>922.50000000000011</v>
      </c>
      <c r="O366" s="1">
        <v>992.90000000000009</v>
      </c>
      <c r="P366" s="1">
        <v>1019.9</v>
      </c>
      <c r="Q366" s="1">
        <v>1011.8157629999999</v>
      </c>
      <c r="R366" s="1">
        <v>988.08591200000001</v>
      </c>
      <c r="S366" s="1">
        <v>971.91324399999985</v>
      </c>
      <c r="T366" s="1">
        <v>926.83054000000004</v>
      </c>
      <c r="U366" s="1">
        <v>857.906745</v>
      </c>
      <c r="V366" s="1">
        <v>834.82076700000005</v>
      </c>
      <c r="W366" s="1">
        <v>834.12183800000014</v>
      </c>
      <c r="X366" s="1">
        <v>1020.579239</v>
      </c>
      <c r="Y366" s="1">
        <v>1112.43237</v>
      </c>
      <c r="Z366" s="1">
        <v>1096.3970400000001</v>
      </c>
      <c r="AA366" s="1">
        <v>1096.1975500000001</v>
      </c>
      <c r="AB366" s="1">
        <v>1075.2511</v>
      </c>
      <c r="AC366" s="1">
        <v>1021.934045</v>
      </c>
      <c r="AD366" s="1">
        <v>1136.5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751.9+(118.3-398.7)+(-0.766938+(-0.120666--0.406674))+0-0-0</f>
        <v>471.01907</v>
      </c>
      <c r="G1" s="3">
        <f>746.6+(82.2-380.3)+(-1.523064+(-0.167688--0.775812))+0-0-0</f>
        <v>447.58506</v>
      </c>
      <c r="H1" s="3">
        <f>744.6+(40-388.8)+(-1.89873+(-0.102--0.99144))+0-0-0</f>
        <v>394.79070999999999</v>
      </c>
      <c r="I1" s="3">
        <f>743.6+(15.5-391.2)+(-1.137708+(-0.023715--0.598536))+0-0-0</f>
        <v>367.33711300000004</v>
      </c>
      <c r="J1" s="3">
        <f>748.3+(8.7-397.1)+(-0.381633+(-0.004437--0.202521))+0-0-0</f>
        <v>359.71645099999989</v>
      </c>
      <c r="K1" s="3">
        <f>747.4+(7.3-401)+(0+(0-0))+0-0-0</f>
        <v>353.7</v>
      </c>
      <c r="L1" s="3">
        <f>780.9+(5.8-412.2)+(-0.398259+(-0.002958--0.210222))+0-0-0</f>
        <v>374.30900500000001</v>
      </c>
      <c r="M1" s="3">
        <f>788.7+(52.7-417.4)+(0+(0-0))+0-0-0</f>
        <v>424.00000000000006</v>
      </c>
      <c r="N1" s="3">
        <f>789.5+(93.1-407)+(-0.80529+(-0.094962--0.41514))+0-0-0</f>
        <v>475.11488800000001</v>
      </c>
      <c r="O1" s="3">
        <f>786.1+(97.1-425.6)+(-1.202733+(-0.148563--0.651168))+0-0-0</f>
        <v>456.89987200000002</v>
      </c>
      <c r="P1" s="3">
        <f>789.4+(87.2-430.7)+(-1.207782+(-0.133416--0.658971))+0-0-0</f>
        <v>445.21777299999997</v>
      </c>
      <c r="Q1" s="3">
        <f>788.3+(67.4-427.3)+(-0.402033+(-0.034374--0.217923))+0-0-0</f>
        <v>428.18151599999999</v>
      </c>
      <c r="R1" s="3">
        <f>798.3+(39-435.5)+(0+(0-0))+0-0-0</f>
        <v>401.79999999999995</v>
      </c>
      <c r="S1" s="3">
        <f>795.7+(32-440.7)+(0.405807+(0.01632-0.224757))+0-0-0</f>
        <v>387.19737000000003</v>
      </c>
      <c r="T1" s="3">
        <f>788.4+(34.8-443.1)+(-2.01042+(-0.08874--1.129905))+0-0-0</f>
        <v>379.13074499999999</v>
      </c>
      <c r="U1" s="3">
        <f>792+(26.2-443.6)+(-1.21176+(-0.040086--0.678708))+0-0-0</f>
        <v>374.02686199999999</v>
      </c>
      <c r="V1" s="3">
        <f>797.2+(22.2-452)+(-1.219716+(-0.033966--0.69156))+0-0-0</f>
        <v>366.83787800000005</v>
      </c>
      <c r="W1" s="3">
        <f>738.8+(26-384.4)+(-0.753576+(-0.02652--0.392088))+0-0-0</f>
        <v>380.01199199999996</v>
      </c>
      <c r="X1" s="3">
        <f>792.5+(33-379.6)+(-0.80835+(-0.03366--0.387192))+0-0-0</f>
        <v>445.44518199999999</v>
      </c>
      <c r="Y1" s="3">
        <f>877.4+(100.6-445.3)+(-0.894948+(-0.102612--0.454206))+0-0-0</f>
        <v>532.15664599999991</v>
      </c>
      <c r="Z1" s="3">
        <f>863+(107.3-423.8)+(-1.32039+(-0.164169--0.648414))+0-0-0</f>
        <v>545.66385500000001</v>
      </c>
      <c r="AA1" s="3">
        <f>790.5+(132.4-391.5)+(-1.209465+(-0.202572--0.598995))+0-0-0</f>
        <v>530.58695799999998</v>
      </c>
      <c r="AB1" s="3">
        <f>682.1+(168.5-335.6)+(-1.043613+(-0.257805--0.513468))+0-0-0</f>
        <v>514.21204999999998</v>
      </c>
      <c r="AC1" s="3">
        <f>672.6+(128.5-318.2)+(-2.401182+(-0.458745--1.135974))+0-0-0</f>
        <v>481.17604700000004</v>
      </c>
      <c r="AD1" s="2">
        <v>543.5</v>
      </c>
      <c r="AE1" s="3">
        <f>866+(107.3-429.8)+(0+(0-0))+0-0-0</f>
        <v>543.5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493.48802350000005</v>
      </c>
      <c r="G2" s="3">
        <f>676+(115.8-286)+(0+(0-0))+0-0-0</f>
        <v>505.8</v>
      </c>
      <c r="H2" s="3">
        <f>676.3+(52.2-332.1)+(-1.034739+(-0.079866--0.508113))+0-0-0</f>
        <v>395.79350799999992</v>
      </c>
      <c r="I2" s="3">
        <f>672.3+(30.9-342.3)+(-1.028619+(-0.047277--0.523719))+0-0-0</f>
        <v>360.34782299999995</v>
      </c>
      <c r="J2" s="3">
        <f>652.8+(40.6-340.1)+(-0.998784+(-0.062118--0.520353))+0-0-0</f>
        <v>352.75945099999996</v>
      </c>
      <c r="K2" s="3">
        <f>661.3+(40.3-349.2)+(1.011789+(0.061659-0.534276))+0-0-0</f>
        <v>352.93917199999999</v>
      </c>
      <c r="L2" s="3">
        <f>651.1+(45.2-346)+(-0.996183+(-0.069156--0.52938))+0-0-0</f>
        <v>349.76404100000002</v>
      </c>
      <c r="M2" s="3">
        <f>658.4+(33-365.9)+(0.335784+(0.01683-0.186609))+0-0-0</f>
        <v>325.66600499999998</v>
      </c>
      <c r="N2" s="3">
        <f>665.7+(25.5-357.1)+(0.339507+(0.013005-0.182121))+0-0-0</f>
        <v>334.27039100000002</v>
      </c>
      <c r="O2" s="3">
        <f>822.1+(3.6-451)+(0.419271+(0.001836-0.23001))+0-0-0</f>
        <v>374.89109700000006</v>
      </c>
      <c r="P2" s="3">
        <f>837.6+(33.9-444.1)+(0+(0-0))+0-0-0</f>
        <v>427.4</v>
      </c>
      <c r="Q2" s="3">
        <f>819+(34-442.7)+(-0.83538+(-0.03468--0.451554))+0-0-0</f>
        <v>409.88149400000003</v>
      </c>
      <c r="R2" s="3">
        <f>811+(51.6-446.7)+(0+(0-0))+0-0-0</f>
        <v>415.90000000000003</v>
      </c>
      <c r="S2" s="3">
        <f>739.3+(67-386.3)+(0+(0-0))+0-0-0</f>
        <v>419.99999999999994</v>
      </c>
      <c r="T2" s="3">
        <f>688.8+(71.8-364.7)+(-0.702576+(-0.073236--0.371994))+0-0-0</f>
        <v>395.49618199999998</v>
      </c>
      <c r="U2" s="3">
        <f>680.3+(65.2-376)+(-1.387812+(-0.133008--0.76704))+0-0-0</f>
        <v>368.74621999999994</v>
      </c>
      <c r="V2" s="3">
        <f>692+(43.5-376.9)+(0.70584+(0.04437-0.384438))+0-0-0</f>
        <v>358.96577200000002</v>
      </c>
      <c r="W2" s="3">
        <f>684.8+(28.5-347.4)+(-0.698496+(-0.02907--0.354348))+0-0-0</f>
        <v>365.52678199999997</v>
      </c>
      <c r="X2" s="3">
        <f>683.9+(32.2-334.3)+(-0.697578+(-0.032844--0.340986))+0-0-0</f>
        <v>381.41056399999997</v>
      </c>
      <c r="Y2" s="3">
        <f>812.6+(21.9-375.8)+(0+(0-0))+0-0-0</f>
        <v>458.7</v>
      </c>
      <c r="Z2" s="3">
        <f>871.5+(63.6-391.3)+(-1.333395+(-0.097308--0.598689))+0-0-0</f>
        <v>542.967986</v>
      </c>
      <c r="AA2" s="3">
        <f>862.9+(92.8-405.2)+(-0.880158+(-0.094656--0.413304))+0-0-0</f>
        <v>549.93849</v>
      </c>
      <c r="AB2" s="3">
        <f>867.9+(118.1-441.9)+(0.885258+(0.120462-0.450738))+0-0-0</f>
        <v>544.65498200000002</v>
      </c>
      <c r="AC2" s="3">
        <f>859.1+(105.3-442)+(-0.438141+(-0.053703--0.22542))+0-0-0</f>
        <v>522.13357600000006</v>
      </c>
      <c r="AD2" s="2">
        <v>529.20000000000005</v>
      </c>
      <c r="AE2" s="3">
        <f>868+(51.4-390.2)+(0+(0-0))+0-0-0</f>
        <v>529.20000000000005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850.7+(96.3-430.3)+(-1.301571+(-0.147339--0.658359))+0-0-0</f>
        <v>515.909449</v>
      </c>
      <c r="G3" s="3">
        <f>689+(77.1-296.8)+(-0.35139+(-0.039321--0.151368))+0-0-0</f>
        <v>469.06065699999994</v>
      </c>
      <c r="H3" s="3">
        <f>673.9+(55-312.8)+(-0.343689+(-0.02805--0.159528))+0-0-0</f>
        <v>415.88778899999994</v>
      </c>
      <c r="I3" s="3">
        <f>688.1+(39.4-334.6)+(1.403724+(0.080376-0.682584))+0-0-0</f>
        <v>393.70151599999997</v>
      </c>
      <c r="J3" s="3">
        <f>656+(51.3-326.5)+(0+(0-0))+0-0-0</f>
        <v>380.8</v>
      </c>
      <c r="K3" s="3">
        <f>620.3+(62.9-297.8)+(0.316353+(0.032079-0.151878))+0-0-0</f>
        <v>385.59655399999997</v>
      </c>
      <c r="L3" s="3">
        <f>618.6+(59.1-295.2)+(0.315486+(0.030141-0.150552))+0-0-0</f>
        <v>382.69507499999997</v>
      </c>
      <c r="M3" s="3">
        <f>636.6+(37.3-321.5)+(-1.298664+(-0.076092--0.65586))+0-0-0</f>
        <v>351.68110400000006</v>
      </c>
      <c r="N3" s="3">
        <f>673.4+(42.8-347.4)+(-0.343434+(-0.021828--0.177174))+0-0-0</f>
        <v>368.61191200000002</v>
      </c>
      <c r="O3" s="3">
        <f>758.6+(46.9-398.4)+(0.386886+(0.023919-0.203184))+0-0-0</f>
        <v>407.30762100000004</v>
      </c>
      <c r="P3" s="3">
        <f>957.9+(15.7-518.3)+(-0.488529+(-0.008007--0.264333))+0-0-0</f>
        <v>455.06779699999998</v>
      </c>
      <c r="Q3" s="3">
        <f>965.5+(45.9-524.8)+(0+(0-0))+0-0-0</f>
        <v>486.6</v>
      </c>
      <c r="R3" s="3">
        <f>955.5+(46.8-551.1)+(-2.436525+(-0.11934--1.405305))+0-0-0</f>
        <v>450.04944</v>
      </c>
      <c r="S3" s="3">
        <f>971.8+(35.8-560.7)+(0.991236+(0.036516-0.571914))+0-0-0</f>
        <v>447.35583799999984</v>
      </c>
      <c r="T3" s="3">
        <f>959.6+(21-565.6)+(-0.978792+(-0.02142--0.576912))+0-0-0</f>
        <v>414.57670000000002</v>
      </c>
      <c r="U3" s="3">
        <f>956+(17.8-582.4)+(-1.95024+(-0.036312--1.188096))+0-0-0</f>
        <v>390.60154399999999</v>
      </c>
      <c r="V3" s="3">
        <f>895.9+(37.4-548)+(0+(0-0))+0-0-0</f>
        <v>385.29999999999995</v>
      </c>
      <c r="W3" s="3">
        <f>814.3+(49.1-484.9)+(0.415293+(0.025041-0.247299))+0-0-0</f>
        <v>378.69303500000001</v>
      </c>
      <c r="X3" s="3">
        <f>803.4+(44.1-449.7)+(-1.229202+(-0.067473--0.688041))+0-0-0</f>
        <v>397.19136600000002</v>
      </c>
      <c r="Y3" s="3">
        <f>880.7+(40.3-445.2)+(0+(0-0))+0-0-0</f>
        <v>475.80000000000007</v>
      </c>
      <c r="Z3" s="3">
        <f>983.2+(50.5-470.9)+(-3.008592+(-0.15453--1.440954))+0-0-0</f>
        <v>561.07783200000006</v>
      </c>
      <c r="AA3" s="3">
        <f>985.8+(80.3-502.5)+(-0.502758+(-0.040953--0.256275))+0-0-0</f>
        <v>563.31256399999995</v>
      </c>
      <c r="AB3" s="3">
        <f>959.3+(98.1-503.7)+(-0.978486+(-0.100062--0.513774))+0-0-0</f>
        <v>553.13522599999988</v>
      </c>
      <c r="AC3" s="3">
        <f>793.1+(134.1-416.1)+(-1.213443+(-0.205173--0.636633))+0-0-0</f>
        <v>510.318017</v>
      </c>
      <c r="AD3" s="2">
        <v>542.79999999999995</v>
      </c>
      <c r="AE3" s="3">
        <f>988+(44.6-489.8)+(0+(0-0))+0-0-0</f>
        <v>542.79999999999995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758.1+(106.9-393.1)+(-0.773262+(-0.109038--0.400962))+0-0-0</f>
        <v>471.41866199999998</v>
      </c>
      <c r="G4" s="3">
        <f>653.5+(96.3-330.9)+(-0.999855+(-0.147339--0.506277))+0-0-0</f>
        <v>418.25908300000003</v>
      </c>
      <c r="H4" s="3">
        <f>657.1+(62.9-344.8)+(-0.335121+(-0.032079--0.175848))+0-0-0</f>
        <v>375.00864799999999</v>
      </c>
      <c r="I4" s="3">
        <f>658.4+(50.2-360.8)+(0+(0-0))+0-0-0</f>
        <v>347.79999999999995</v>
      </c>
      <c r="J4" s="3">
        <f>654.1+(43.7-361.7)+(-1.000773+(-0.066861--0.553401))+0-0-0</f>
        <v>335.58576700000003</v>
      </c>
      <c r="K4" s="3">
        <f>660.4+(37.8-365.7)+(-0.336804+(-0.019278--0.186507))+0-0-0</f>
        <v>332.33042499999999</v>
      </c>
      <c r="L4" s="3">
        <f>654.3+(45.9-363.2)+(-1.334772+(-0.093636--0.740928))+0-0-0</f>
        <v>336.31251999999995</v>
      </c>
      <c r="M4" s="3">
        <f>648.2+(47.6-379.7)+(-1.983492+(-0.145656--1.161882))+0-0-0</f>
        <v>315.13273400000008</v>
      </c>
      <c r="N4" s="3">
        <f>660.7+(48.8-395.8)+(0.673914+(0.049776-0.403716))+0-0-0</f>
        <v>314.01997400000005</v>
      </c>
      <c r="O4" s="3">
        <f>657.6+(90.3-393.9)+(0.335376+(0.046053-0.200889))+0-0-0</f>
        <v>354.18054000000006</v>
      </c>
      <c r="P4" s="3">
        <f>762+(94.6-461.4)+(0.77724+(0.096492-0.470628))+0-0-0</f>
        <v>395.60310400000003</v>
      </c>
      <c r="Q4" s="3">
        <f>784.1+(106-463.1)+(0+(0-0))+0-0-0</f>
        <v>427</v>
      </c>
      <c r="R4" s="3">
        <f>796.8+(103.6-465.1)+(-2.03184+(-0.26418--1.186005))+0-0-0</f>
        <v>434.18998499999998</v>
      </c>
      <c r="S4" s="3">
        <f>828.2+(93.6-486.9)+(-1.689528+(-0.190944--0.993276))+0-0-0</f>
        <v>434.01280400000007</v>
      </c>
      <c r="T4" s="3">
        <f>868.6+(66.5-514.8)+(-0.885972+(-0.06783--0.525096))+0-0-0</f>
        <v>419.87129400000009</v>
      </c>
      <c r="U4" s="3">
        <f>946.9+(31.3-569.3)+(-1.448757+(-0.047889--0.871029))+0-0-0</f>
        <v>408.274383</v>
      </c>
      <c r="V4" s="3">
        <f>920.4+(38.8-525.8)+(0.469404+(0.019788-0.268158))+0-0-0</f>
        <v>433.62103400000001</v>
      </c>
      <c r="W4" s="3">
        <f>925.6+(23.7-511.1)+(1.888224+(0.048348-1.042644))+0-0-0</f>
        <v>439.09392800000001</v>
      </c>
      <c r="X4" s="3">
        <f>963.6+(21-528.9)+(-0.491436+(-0.01071--0.269739))+0-0-0</f>
        <v>455.46759300000002</v>
      </c>
      <c r="Y4" s="3">
        <f>989.7+(42.8-518.6)+(0+(0-0))+0-0-0</f>
        <v>513.90000000000009</v>
      </c>
      <c r="Z4" s="3">
        <f>893.8+(79.6-412.2)+(-2.27919+(-0.20298--1.05111))+0-0-0</f>
        <v>559.76893999999993</v>
      </c>
      <c r="AA4" s="3">
        <f>795.5+(121.3-365.5)+(-1.62282+(-0.247452--0.74562))+0-0-0</f>
        <v>550.17534799999999</v>
      </c>
      <c r="AB4" s="3">
        <f>807.8+(101.5-357.6)+(0+(0-0))+0-0-0</f>
        <v>551.69999999999993</v>
      </c>
      <c r="AC4" s="3">
        <f>846.8+(72.6-378.9)+(0.431868+(0.037026-0.193239))+0-0-0</f>
        <v>540.77565500000003</v>
      </c>
      <c r="AD4" s="2">
        <v>568.40000000000009</v>
      </c>
      <c r="AE4" s="3">
        <f>818+(107.1-356.7)+(0+(0-0))+0-0-0</f>
        <v>568.4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831.9+(48.9-353.2)+(-2.121345+(-0.124695--0.90066))+0-0-0</f>
        <v>526.25461999999993</v>
      </c>
      <c r="G5" s="3">
        <f>834.4+(45.6-403.2)+(-1.702176+(-0.093024--0.822528))+0-0-0</f>
        <v>475.82732800000002</v>
      </c>
      <c r="H5" s="3">
        <f>844.6+(35.8-448.3)+(0.430746+(0.018258-0.228633))+0-0-0</f>
        <v>432.32037100000002</v>
      </c>
      <c r="I5" s="3">
        <f>827.4+(36.1-452.4)+(-2.531844+(-0.110466--1.384344))+0-0-0</f>
        <v>409.84203400000001</v>
      </c>
      <c r="J5" s="3">
        <f>836+(38.4-470.4)+(-0.85272+(-0.039168--0.479808))+0-0-0</f>
        <v>403.58792</v>
      </c>
      <c r="K5" s="3">
        <f>835.5+(39.4-478.5)+(0.85221+(0.040188-0.48807))+0-0-0</f>
        <v>396.804328</v>
      </c>
      <c r="L5" s="3">
        <f>837+(33.8-467.1)+(-1.28061+(-0.051714--0.714663))+0-0-0</f>
        <v>403.08233899999999</v>
      </c>
      <c r="M5" s="3">
        <f>843.6+(32.8-484.8)+(-0.430236+(-0.016728--0.247248))+0-0-0</f>
        <v>391.400284</v>
      </c>
      <c r="N5" s="3">
        <f>844.1+(36.9-458.8)+(0.430491+(0.018819-0.233988))+0-0-0</f>
        <v>422.415322</v>
      </c>
      <c r="O5" s="3">
        <f>909.2+(50.2-496.7)+(0.463692+(0.025602-0.253317))+0-0-0</f>
        <v>462.93597700000004</v>
      </c>
      <c r="P5" s="3">
        <f>972.3+(43.9-515.3)+(0+(0-0))+0-0-0</f>
        <v>500.9</v>
      </c>
      <c r="Q5" s="3">
        <f>978.2+(33.4-490.1)+(0.498882+(0.017034-0.249951))+0-0-0</f>
        <v>521.76596500000005</v>
      </c>
      <c r="R5" s="3">
        <f>1041.7+(29-505.5)+(-2.125068+(-0.05916--1.03122))+0-0-0</f>
        <v>564.04699200000005</v>
      </c>
      <c r="S5" s="3">
        <f>1079.6+(0-556.4)+(-1.651788+(0--0.851292))+0-0-0</f>
        <v>522.39950399999998</v>
      </c>
      <c r="T5" s="3">
        <f>1039.4+(0-561.8)+(-0.530094+(0--0.286518))+0-0-0</f>
        <v>477.35642400000012</v>
      </c>
      <c r="U5" s="3">
        <f>1058+(6.4-547.2)+(-2.6979+(-0.01632--1.39536))+0-0-0</f>
        <v>515.88113999999996</v>
      </c>
      <c r="V5" s="3">
        <f>819.1+(25.1-375.8)+(0+(0-0))+0-0-0</f>
        <v>468.40000000000003</v>
      </c>
      <c r="W5" s="3">
        <f>710.5+(85.2-318.9)+(0.362355+(0.043452-0.162639))+0-0-0</f>
        <v>477.04316800000004</v>
      </c>
      <c r="X5" s="3">
        <f>712.7+(97.1-314.1)+(0+(0-0))+0-0-0</f>
        <v>495.70000000000005</v>
      </c>
      <c r="Y5" s="3">
        <f>832.6+(91.4-351.4)+(0.849252+(0.093228-0.358428))+0-0-0</f>
        <v>573.18405200000007</v>
      </c>
      <c r="Z5" s="3">
        <f>987.6+(86.9-420)+(-1.007352+(-0.088638--0.4284))+0-0-0</f>
        <v>653.83240999999998</v>
      </c>
      <c r="AA5" s="3">
        <f>984.9+(90.2-426.2)+(-1.506897+(-0.138006--0.652086))+0-0-0</f>
        <v>647.90718300000003</v>
      </c>
      <c r="AB5" s="3">
        <f>987.7+(77.4-428.9)+(0.503727+(0.039474-0.218739))+0-0-0</f>
        <v>636.52446200000009</v>
      </c>
      <c r="AC5" s="3">
        <f>973.6+(56.4-424.7)+(-1.986144+(-0.115056--0.866388))+0-0-0</f>
        <v>604.06518799999992</v>
      </c>
      <c r="AD5" s="2">
        <v>626.79999999999995</v>
      </c>
      <c r="AE5" s="3">
        <f>989+(90-452.2)+(0+(0-0))+0-0-0</f>
        <v>626.79999999999995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973.2+(44.2-463.2)+(-1.488996+(-0.067626--0.708696))+0-0-0</f>
        <v>553.35207400000002</v>
      </c>
      <c r="G6" s="3">
        <f>904.9+(53.2-457.4)+(-2.307495+(-0.13566--1.16637))+0-0-0</f>
        <v>499.42321499999997</v>
      </c>
      <c r="H6" s="3">
        <f>836+(59.2-443.8)+(-1.27908+(-0.090576--0.679014))+0-0-0</f>
        <v>450.70935799999995</v>
      </c>
      <c r="I6" s="3">
        <f>844.1+(68.5-485.4)+(0+(0-0))+0-0-0</f>
        <v>427.20000000000005</v>
      </c>
      <c r="J6" s="3">
        <f>841.6+(59.7-486.6)+(0+(0-0))+0-0-0</f>
        <v>414.7</v>
      </c>
      <c r="K6" s="3">
        <f>842.9+(61-493.7)+(0.429879+(0.03111-0.251787))+0-0-0</f>
        <v>410.40920199999999</v>
      </c>
      <c r="L6" s="3">
        <f>839.6+(51.4-478.9)+(-0.428196+(-0.026214--0.244239))+0-0-0</f>
        <v>411.88982900000002</v>
      </c>
      <c r="M6" s="3">
        <f>842.9+(48.5-504.3)+(0+(0-0))+0-0-0</f>
        <v>387.09999999999997</v>
      </c>
      <c r="N6" s="3">
        <f>942.8+(40.9-562.4)+(0+(0-0))+0-0-0</f>
        <v>421.29999999999995</v>
      </c>
      <c r="O6" s="3">
        <f>972.6+(32.5-546.4)+(1.984104+(0.0663-1.114656))+0-0-0</f>
        <v>459.63574800000004</v>
      </c>
      <c r="P6" s="3">
        <f>980+(45.1-521.8)+(0.9996+(0.046002-0.532236))+0-0-0</f>
        <v>503.81336600000009</v>
      </c>
      <c r="Q6" s="3">
        <f>999.7+(38.1-495.7)+(-2.039388+(-0.077724--1.011228))+0-0-0</f>
        <v>540.99411600000019</v>
      </c>
      <c r="R6" s="3">
        <f>1033.8+(20.8-552.8)+(-1.054476+(-0.021216--0.563856))+0-0-0</f>
        <v>501.28816399999994</v>
      </c>
      <c r="S6" s="3">
        <f>968.4+(40.2-556.7)+(-1.975536+(-0.082008--1.135668))+0-0-0</f>
        <v>450.97812399999998</v>
      </c>
      <c r="T6" s="3">
        <f>970.9+(39-559.1)+(0.495159+(0.01989-0.285141))+0-0-0</f>
        <v>451.02990799999998</v>
      </c>
      <c r="U6" s="3">
        <f>965.3+(35.9-572.3)+(-1.476909+(-0.054927--0.875619))+0-0-0</f>
        <v>428.24378299999995</v>
      </c>
      <c r="V6" s="3">
        <f>970.7+(34.8-577.3)+(-0.990114+(-0.035496--0.588846))+0-0-0</f>
        <v>427.76323600000006</v>
      </c>
      <c r="W6" s="3">
        <f>958.8+(46.2-571.2)+(-3.422916+(-0.164934--2.039184))+0-0-0</f>
        <v>432.25133399999993</v>
      </c>
      <c r="X6" s="3">
        <f>969.7+(48.3-568.9)+(-0.494547+(-0.024633--0.290139))+0-0-0</f>
        <v>448.87095900000003</v>
      </c>
      <c r="Y6" s="3">
        <f>987.8+(46.1-500.2)+(1.007556+(0.047022-0.510204))+0-0-0</f>
        <v>534.24437399999999</v>
      </c>
      <c r="Z6" s="3">
        <f>991.7+(95.2-479.9)+(-1.517301+(-0.145656--0.734247))+0-0-0</f>
        <v>606.07128999999998</v>
      </c>
      <c r="AA6" s="3">
        <f>935.1+(121.5-459.3)+(-0.953802+(-0.12393--0.468486))+0-0-0</f>
        <v>596.69075399999997</v>
      </c>
      <c r="AB6" s="3">
        <f>867.2+(135.8-424.8)+(-0.442272+(-0.069258--0.216648))+0-0-0</f>
        <v>577.90511800000002</v>
      </c>
      <c r="AC6" s="3">
        <f>873.6+(113.9-428)+(0+(0-0))+0-0-0</f>
        <v>559.5</v>
      </c>
      <c r="AD6" s="2">
        <v>596.59999999999991</v>
      </c>
      <c r="AE6" s="3">
        <f>992+(93.3-488.7)+(0+(0-0))+0-0-0</f>
        <v>596.6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873.8+(75.5-431.9)+(-0.891276+(-0.07701--0.440538))+0-0-0</f>
        <v>516.872252</v>
      </c>
      <c r="G7" s="3">
        <f>851.7+(59.5-447.5)+(-0.868734+(-0.06069--0.45645))+0-0-0</f>
        <v>463.22702600000002</v>
      </c>
      <c r="H7" s="3">
        <f>832.5+(58.1-464.2)+(-0.84915+(-0.059262--0.473484))+0-0-0</f>
        <v>425.96507200000002</v>
      </c>
      <c r="I7" s="3">
        <f>840.3+(47-473.6)+(0.428553+(0.02397-0.241536))+0-0-0</f>
        <v>413.91098699999992</v>
      </c>
      <c r="J7" s="3">
        <f>833.9+(44.7-469)+(-0.850578+(-0.045594--0.47838))+0-0-0</f>
        <v>409.18220799999995</v>
      </c>
      <c r="K7" s="3">
        <f>844.6+(38.7-473.1)+(2.15373+(0.098685-1.206405))+0-0-0</f>
        <v>411.24601000000001</v>
      </c>
      <c r="L7" s="3">
        <f>838.1+(50.9-478.4)+(0.427431+(0.025959-0.243984))+0-0-0</f>
        <v>410.80940600000002</v>
      </c>
      <c r="M7" s="3">
        <f>813.4+(57.7-476.9)+(0+(0-0))+0-0-0</f>
        <v>394.2</v>
      </c>
      <c r="N7" s="3">
        <f>927.3+(33.5-533.7)+(-1.418769+(-0.051255--0.816561))+0-0-0</f>
        <v>426.44653699999992</v>
      </c>
      <c r="O7" s="3">
        <f>988.8+(37.5-560.8)+(-1.008576+(-0.03825--0.572016))+0-0-0</f>
        <v>465.02519000000001</v>
      </c>
      <c r="P7" s="3">
        <f>1022.9+(23.3-540.8)+(1.043358+(0.023766-0.551616))+0-0-0</f>
        <v>505.91550799999999</v>
      </c>
      <c r="Q7" s="3">
        <f>1019.3+(31-521.5)+(-2.079372+(-0.06324--1.06386))+0-0-0</f>
        <v>527.72124799999995</v>
      </c>
      <c r="R7" s="3">
        <f>1089.7+(3.8-566.6)+(-1.667241+(-0.005814--0.866898))+0-0-0</f>
        <v>526.09384299999999</v>
      </c>
      <c r="S7" s="3">
        <f>1044.5+(6.6-534.1)+(-2.13078+(-0.013464--1.089564))+0-0-0</f>
        <v>515.94532000000004</v>
      </c>
      <c r="T7" s="3">
        <f>950.7+(33.4-495)+(-1.939428+(-0.068136--1.0098))+0-0-0</f>
        <v>488.102236</v>
      </c>
      <c r="U7" s="3">
        <f>952.8+(30.5-504.4)+(0+(0-0))+0-0-0</f>
        <v>478.9</v>
      </c>
      <c r="V7" s="3">
        <f>947.9+(30.7-507.4)+(-1.450287+(-0.046971--0.776322))+0-0-0</f>
        <v>470.47906399999999</v>
      </c>
      <c r="W7" s="3">
        <f>963.9+(20.3-522.6)+(0.983178+(0.020706-0.533052))+0-0-0</f>
        <v>462.07083199999994</v>
      </c>
      <c r="X7" s="3">
        <f>949+(35.8-499.5)+(-2.41995+(-0.09129--1.273725))+0-0-0</f>
        <v>484.06248500000004</v>
      </c>
      <c r="Y7" s="3">
        <f>975.7+(57.4-466.9)+(0.497607+(0.029274-0.238119))+0-0-0</f>
        <v>566.48876200000007</v>
      </c>
      <c r="Z7" s="3">
        <f>991.2+(92.3-440.1)+(-1.011024+(-0.094146--0.448902))+0-0-0</f>
        <v>642.74373200000014</v>
      </c>
      <c r="AA7" s="3">
        <f>983.6+(98.5-456.9)+(-2.50818+(-0.251175--1.165095))+0-0-0</f>
        <v>623.60574000000008</v>
      </c>
      <c r="AB7" s="3">
        <f>981+(88-473.4)+(-2.50155+(-0.2244--1.20717))+0-0-0</f>
        <v>594.08122000000003</v>
      </c>
      <c r="AC7" s="3">
        <f>919.1+(94-443.1)+(0.937482+(0.09588-0.451962))+0-0-0</f>
        <v>570.58140000000003</v>
      </c>
      <c r="AD7" s="2">
        <v>637.9</v>
      </c>
      <c r="AE7" s="3">
        <f>983+(91.5-436.6)+(0+(0-0))+0-0-0</f>
        <v>637.9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901.5+(74.5-444.5)+(-1.83906+(-0.15198--0.90678))+0-0-0</f>
        <v>530.41574000000003</v>
      </c>
      <c r="G8" s="3">
        <f>865.9+(47.1-438.5)+(-1.766436+(-0.096084--0.89454))+0-0-0</f>
        <v>473.53201999999999</v>
      </c>
      <c r="H8" s="3">
        <f>839+(44.9-459.7)+(1.71156+(0.091596-0.937788))+0-0-0</f>
        <v>425.06536799999998</v>
      </c>
      <c r="I8" s="3">
        <f>840.2+(40.9-475.5)+(0.857004+(0.041718-0.48501))+0-0-0</f>
        <v>406.013712</v>
      </c>
      <c r="J8" s="3">
        <f>818.3+(45.7-464.3)+(-2.086665+(-0.116535--1.183965))+0-0-0</f>
        <v>398.68076499999995</v>
      </c>
      <c r="K8" s="3">
        <f>824.1+(45.7-476.2)+(-0.840582+(-0.046614--0.485724))+0-0-0</f>
        <v>393.19852800000001</v>
      </c>
      <c r="L8" s="3">
        <f>838.8+(39-480.2)+(2.13894+(0.09945-1.22451))+0-0-0</f>
        <v>398.61387999999994</v>
      </c>
      <c r="M8" s="3">
        <f>824.1+(42.7-480.4)+(-1.260873+(-0.065331--0.735012))+0-0-0</f>
        <v>385.80880800000006</v>
      </c>
      <c r="N8" s="3">
        <f>842.7+(54.6-481.4)+(0.859554+(0.055692-0.491028))+0-0-0</f>
        <v>416.32421800000009</v>
      </c>
      <c r="O8" s="3">
        <f>948.4+(37.7-518.4)+(0.967368+(0.038454-0.528768))+0-0-0</f>
        <v>468.177054</v>
      </c>
      <c r="P8" s="3">
        <f>1109.5+(0-595.2)+(1.13169+(0-0.607104))+0-0-0</f>
        <v>514.82458599999995</v>
      </c>
      <c r="Q8" s="3">
        <f>1067.4+(4.4-534.9)+(0.544374+(0.002244-0.272799))+0-0-0</f>
        <v>537.17381900000009</v>
      </c>
      <c r="R8" s="3">
        <f>982.8+(12.1-531.5)+(0+(0-0))+0-0-0</f>
        <v>463.4</v>
      </c>
      <c r="S8" s="3">
        <f>913.7+(50.9-446.9)+(-1.863948+(-0.103836--0.911676))+0-0-0</f>
        <v>516.64389200000005</v>
      </c>
      <c r="T8" s="3">
        <f>916.8+(48-455.7)+(-1.402704+(-0.07344--0.697221))+0-0-0</f>
        <v>508.32107699999995</v>
      </c>
      <c r="U8" s="3">
        <f>885.8+(63.2-446.4)+(-0.903516+(-0.064464--0.455328))+0-0-0</f>
        <v>502.08734799999996</v>
      </c>
      <c r="V8" s="3">
        <f>731+(126.1-344.4)+(-1.11843+(-0.192933--0.526932))+0-0-0</f>
        <v>511.91556900000006</v>
      </c>
      <c r="W8" s="3">
        <f>727.5+(117.1-340)+(-0.74205+(-0.119442--0.3468))+0-0-0</f>
        <v>504.085308</v>
      </c>
      <c r="X8" s="3">
        <f>733.9+(124-323)+(0.374289+(0.06324-0.16473))+0-0-0</f>
        <v>535.17279899999994</v>
      </c>
      <c r="Y8" s="3">
        <f>842.4+(107.9-363.4)+(0.859248+(0.110058-0.370668))+0-0-0</f>
        <v>587.49863800000003</v>
      </c>
      <c r="Z8" s="3">
        <f>984.6+(82.3-449.9)+(-1.506438+(-0.125919--0.688347))+0-0-0</f>
        <v>616.05598999999995</v>
      </c>
      <c r="AA8" s="3">
        <f>988.3+(82.2-471.4)+(-0.504033+(-0.041922--0.240414))+0-0-0</f>
        <v>598.79445899999996</v>
      </c>
      <c r="AB8" s="3">
        <f>984.4+(73.3-473.3)+(0+(0-0))+0-0-0</f>
        <v>584.4</v>
      </c>
      <c r="AC8" s="3">
        <f>979.1+(56.2-469.6)+(-0.499341+(-0.028662--0.239496))+0-0-0</f>
        <v>565.41149300000006</v>
      </c>
      <c r="AD8" s="2">
        <v>602.40000000000009</v>
      </c>
      <c r="AE8" s="3">
        <f>949+(87.2-433.8)+(0+(0-0))+0-0-0</f>
        <v>602.4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974.8+(46.1-513.1)+(-0.994296+(-0.047022--0.523362))+0-0-0</f>
        <v>507.28204399999993</v>
      </c>
      <c r="G9" s="3">
        <f>880.1+(80.9-516.1)+(-1.346553+(-0.123777--0.789633))+0-0-0</f>
        <v>444.21930299999997</v>
      </c>
      <c r="H9" s="3">
        <f>799.9+(57.1-458.8)+(-0.407949+(-0.029121--0.233988))+0-0-0</f>
        <v>397.99691799999999</v>
      </c>
      <c r="I9" s="3">
        <f>799.2+(36.2-455.4)+(-0.815184+(-0.036924--0.464508))+0-0-0</f>
        <v>379.61240000000004</v>
      </c>
      <c r="J9" s="3">
        <f>794.7+(47-467.5)+(-0.810594+(-0.04794--0.47685))+0-0-0</f>
        <v>373.81831600000004</v>
      </c>
      <c r="K9" s="3">
        <f>805.3+(45.9-466.1)+(0.410703+(0.023409-0.237711))+0-0-0</f>
        <v>385.29640099999989</v>
      </c>
      <c r="L9" s="3">
        <f>806.8+(41.2-470.7)+(0.822936+(0.042024-0.480114))+0-0-0</f>
        <v>377.68484599999994</v>
      </c>
      <c r="M9" s="3">
        <f>799.2+(35-482.6)+(-0.407592+(-0.01785--0.246126))+0-0-0</f>
        <v>351.42068400000005</v>
      </c>
      <c r="N9" s="3">
        <f>801.7+(32.6-451.7)+(-0.408867+(-0.016626--0.230367))+0-0-0</f>
        <v>382.40487400000006</v>
      </c>
      <c r="O9" s="3">
        <f>802.8+(46.6-417.1)+(-0.409428+(-0.023766--0.212721))+0-0-0</f>
        <v>432.07952699999993</v>
      </c>
      <c r="P9" s="3">
        <f>846.4+(58.9-412.6)+(0+(0-0))+0-0-0</f>
        <v>492.69999999999993</v>
      </c>
      <c r="Q9" s="3">
        <f>1003+(25.8-523.4)+(1.02306+(0.026316-0.533868))+0-0-0</f>
        <v>505.91550800000005</v>
      </c>
      <c r="R9" s="3">
        <f>1110.1+(37.2-612.6)+(0+(0-0))+0-0-0</f>
        <v>534.69999999999993</v>
      </c>
      <c r="S9" s="3">
        <f>1080.1+(24-584)+(-2.754255+(-0.0612--1.4892))+0-0-0</f>
        <v>518.77374499999996</v>
      </c>
      <c r="T9" s="3">
        <f>1039.2+(8.1-558)+(-1.059984+(-0.008262--0.56916))+0-0-0</f>
        <v>488.80091400000009</v>
      </c>
      <c r="U9" s="3">
        <f>1078+(13.8-616)+(-1.64934+(-0.021114--0.94248))+0-0-0</f>
        <v>475.07202599999994</v>
      </c>
      <c r="V9" s="3">
        <f>1226+(4.6-741.3)+(0+(0-0))+0-0-0</f>
        <v>489.30000000000007</v>
      </c>
      <c r="W9" s="3">
        <f>1140.3+(23.3-663.9)+(2.907765+(0.059415-1.692945))+0-0-0</f>
        <v>500.97423499999991</v>
      </c>
      <c r="X9" s="3">
        <f>1122+(29.7-626.6)+(2.28888+(0.060588-1.278264))+0-0-0</f>
        <v>526.17120399999999</v>
      </c>
      <c r="Y9" s="3">
        <f>1133.4+(57.9-603)+(1.156068+(0.059058-0.61506))+0-0-0</f>
        <v>588.90006600000004</v>
      </c>
      <c r="Z9" s="3">
        <f>1139.3+(27.1-526.3)+(0.581043+(0.013821-0.268413))+0-0-0</f>
        <v>640.42645100000004</v>
      </c>
      <c r="AA9" s="3">
        <f>1141.1+(19.9-531.5)+(0+(0-0))+0-0-0</f>
        <v>629.49999999999989</v>
      </c>
      <c r="AB9" s="3">
        <f>1116+(22.1-516.7)+(-1.70748+(-0.033813--0.790551))+0-0-0</f>
        <v>620.44925799999999</v>
      </c>
      <c r="AC9" s="3">
        <f>1024+(37-478.3)+(-0.52224+(-0.01887--0.243933))+0-0-0</f>
        <v>582.40282300000001</v>
      </c>
      <c r="AD9" s="2">
        <v>627.5</v>
      </c>
      <c r="AE9" s="3">
        <f>1144+(25-541.5)+(0+(0-0))+0-0-0</f>
        <v>627.5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1001.9+(39.4-500.5)+(-1.532907+(-0.060282--0.765765))+0-0-0</f>
        <v>539.972576</v>
      </c>
      <c r="G10" s="3">
        <f>969.2+(29.3-508.3)+(0+(0-0))+0-0-0</f>
        <v>490.20000000000005</v>
      </c>
      <c r="H10" s="3">
        <f>813.1+(48.9-425.3)+(-1.244043+(-0.074817--0.650709))+0-0-0</f>
        <v>436.03184899999997</v>
      </c>
      <c r="I10" s="3">
        <f>824.2+(65.3-472.7)+(-1.261026+(-0.099909--0.723231))+0-0-0</f>
        <v>416.16229600000008</v>
      </c>
      <c r="J10" s="3">
        <f>812.9+(74.8-484.4)+(-1.243737+(-0.114444--0.741132))+0-0-0</f>
        <v>402.682951</v>
      </c>
      <c r="K10" s="3">
        <f>815.2+(79.3-496.9)+(0+(0-0))+0-0-0</f>
        <v>397.60000000000008</v>
      </c>
      <c r="L10" s="3">
        <f>817.9+(72.1-493.9)+(0+(0-0))+0-0-0</f>
        <v>396.1</v>
      </c>
      <c r="M10" s="3">
        <f>816+(53-490.7)+(-0.41616+(-0.02703--0.250257))+0-0-0</f>
        <v>378.10706700000003</v>
      </c>
      <c r="N10" s="3">
        <f>811.7+(20.7-424.2)+(0+(0-0))+0-0-0</f>
        <v>408.20000000000005</v>
      </c>
      <c r="O10" s="3">
        <f>984.4+(47.3-582.5)+(-1.004088+(-0.048246--0.59415))+0-0-0</f>
        <v>448.74181599999991</v>
      </c>
      <c r="P10" s="3">
        <f>990.3+(51.2-550.6)+(-0.505053+(-0.026112--0.280806))+0-0-0</f>
        <v>490.64964099999992</v>
      </c>
      <c r="Q10" s="3">
        <f>983.1+(42.9-516.9)+(-1.002762+(-0.043758--0.527238))+0-0-0</f>
        <v>508.58071800000005</v>
      </c>
      <c r="R10" s="3">
        <f>1007.3+(42.2-535.4)+(-0.513723+(-0.021522--0.273054))+0-0-0</f>
        <v>513.83780899999988</v>
      </c>
      <c r="S10" s="3">
        <f>997.6+(27.8-527.5)+(-2.035104+(-0.056712--1.0761))+0-0-0</f>
        <v>496.88428400000004</v>
      </c>
      <c r="T10" s="3">
        <f>1013.7+(24.7-558)+(0.516987+(0.012597-0.28458))+0-0-0</f>
        <v>480.64500400000009</v>
      </c>
      <c r="U10" s="3">
        <f>1005.6+(13.4-558.8)+(-1.025712+(-0.013668--0.569976))+0-0-0</f>
        <v>459.73059600000005</v>
      </c>
      <c r="V10" s="3">
        <f>1009.1+(4-563.5)+(-0.514641+(-0.00204--0.287385))+0-0-0</f>
        <v>449.37070400000005</v>
      </c>
      <c r="W10" s="3">
        <f>999.9+(6.2-558.3)+(-1.529847+(-0.009486--0.854199))+0-0-0</f>
        <v>447.11486600000006</v>
      </c>
      <c r="X10" s="3">
        <f>1000.6+(6.5-542.6)+(-1.020612+(-0.00663--0.553452))+0-0-0</f>
        <v>464.02620999999999</v>
      </c>
      <c r="Y10" s="3">
        <f>1019.9+(25.2-519.2)+(1.040298+(0.025704-0.529584))+0-0-0</f>
        <v>526.43641799999989</v>
      </c>
      <c r="Z10" s="3">
        <f>1003.6+(117-516.6)+(-3.071016+(-0.35802--1.580796))+0-0-0</f>
        <v>602.15175999999997</v>
      </c>
      <c r="AA10" s="3">
        <f>1015.6+(104.4-519.1)+(0+(0-0))+0-0-0</f>
        <v>600.9</v>
      </c>
      <c r="AB10" s="3">
        <f>1016.5+(105.9-522.2)+(-0.518415+(-0.054009--0.266322))+0-0-0</f>
        <v>599.89389799999992</v>
      </c>
      <c r="AC10" s="3">
        <f>998+(99.3-526.1)+(-2.03592+(-0.202572--1.073244))+0-0-0</f>
        <v>570.03475200000003</v>
      </c>
      <c r="AD10" s="2">
        <v>592.29999999999995</v>
      </c>
      <c r="AE10" s="3">
        <f>1000+(115.8-523.5)+(0+(0-0))+0-0-0</f>
        <v>592.29999999999995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998.3+(62.2-538.1)+(-1.018266+(-0.063444--0.548862))+0-0-0</f>
        <v>521.86715199999992</v>
      </c>
      <c r="G11" s="3">
        <f>993.5+(0-523.2)+(-1.520055+(0--0.800496))+0-0-0</f>
        <v>469.58044099999995</v>
      </c>
      <c r="H11" s="3">
        <f>989.9+(9.7-574)+(-1.514547+(-0.014841--0.87822))+0-0-0</f>
        <v>424.94883200000004</v>
      </c>
      <c r="I11" s="3">
        <f>956.1+(8.6-550.5)+(-0.487611+(-0.004386--0.280755))+0-0-0</f>
        <v>413.98875800000002</v>
      </c>
      <c r="J11" s="3">
        <f>823.3+(13.1-448.6)+(0.839766+(0.013362-0.457572))+0-0-0</f>
        <v>388.19555599999995</v>
      </c>
      <c r="K11" s="3">
        <f>817.4+(15.1-455.4)+(0+(0-0))+0-0-0</f>
        <v>377.1</v>
      </c>
      <c r="L11" s="3">
        <f>810.8+(14.2-457.4)+(-1.654032+(-0.028968--0.933096))+0-0-0</f>
        <v>366.85009599999995</v>
      </c>
      <c r="M11" s="3">
        <f>816.9+(7.8-478.4)+(-0.416619+(-0.003978--0.243984))+0-0-0</f>
        <v>346.12338700000004</v>
      </c>
      <c r="N11" s="3">
        <f>817.3+(11.9-467)+(-0.833646+(-0.012138--0.47634))+0-0-0</f>
        <v>361.83055599999994</v>
      </c>
      <c r="O11" s="3">
        <f>902.9+(13.9-519.9)+(-0.460479+(-0.007089--0.265149))+0-0-0</f>
        <v>396.69758099999996</v>
      </c>
      <c r="P11" s="3">
        <f>958.5+(12.3-521.6)+(-0.97767+(-0.012546--0.532032))+0-0-0</f>
        <v>448.74181599999997</v>
      </c>
      <c r="Q11" s="3">
        <f>961.1+(21.5-493.5)+(-1.470483+(-0.032895--0.755055))+0-0-0</f>
        <v>488.351677</v>
      </c>
      <c r="R11" s="3">
        <f>960.7+(21.8-471.8)+(-0.979914+(-0.022236--0.481236))+0-0-0</f>
        <v>510.17908600000004</v>
      </c>
      <c r="S11" s="3">
        <f>961.9+(15.5-479.4)+(-1.471707+(-0.023715--0.733482))+0-0-0</f>
        <v>497.23806000000002</v>
      </c>
      <c r="T11" s="3">
        <f>964.7+(5.9-486.8)+(-1.475991+(-0.009027--0.744804))+0-0-0</f>
        <v>483.05978600000003</v>
      </c>
      <c r="U11" s="3">
        <f>963.1+(19-515.3)+(-1.473543+(-0.02907--0.788409))+0-0-0</f>
        <v>466.08579600000007</v>
      </c>
      <c r="V11" s="3">
        <f>960.2+(31.1-522.2)+(-2.938212+(-0.095166--1.597932))+0-0-0</f>
        <v>467.66455400000001</v>
      </c>
      <c r="W11" s="3">
        <f>965.8+(57.9-555.2)+(-0.985116+(-0.059058--0.566304))+0-0-0</f>
        <v>468.02212999999989</v>
      </c>
      <c r="X11" s="3">
        <f>972.8+(58.6-562.6)+(0.496128+(0.029886-0.286926))+0-0-0</f>
        <v>469.03908799999994</v>
      </c>
      <c r="Y11" s="3">
        <f>968.5+(54.7-509.6)+(0+(0-0))+0-0-0</f>
        <v>513.59999999999991</v>
      </c>
      <c r="Z11" s="3">
        <f>984.5+(25.5-414)+(-2.00838+(-0.05202--0.84456))+0-0-0</f>
        <v>594.78416000000004</v>
      </c>
      <c r="AA11" s="3">
        <f>1004.3+(26.8-439.9)+(-1.024386+(-0.027336--0.448698))+0-0-0</f>
        <v>590.59697600000004</v>
      </c>
      <c r="AB11" s="3">
        <f>1001.2+(24.7-443.7)+(-0.510612+(-0.012597--0.226287))+0-0-0</f>
        <v>581.90307800000005</v>
      </c>
      <c r="AC11" s="3">
        <f>998.4+(22.1-472.3)+(-1.527552+(-0.033813--0.722619))+0-0-0</f>
        <v>547.36125400000003</v>
      </c>
      <c r="AD11" s="2">
        <v>593.40000000000009</v>
      </c>
      <c r="AE11" s="3">
        <f>972+(26.1-404.7)+(0+(0-0))+0-0-0</f>
        <v>593.40000000000009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997.5+(19.8-495.3)+(-1.526175+(-0.030294--0.757809))+0-0-0</f>
        <v>521.20133999999996</v>
      </c>
      <c r="G12" s="3">
        <f>996.7+(39.7-568.9)+(-1.016634+(-0.040494--0.580278))+0-0-0</f>
        <v>467.0231500000001</v>
      </c>
      <c r="H12" s="3">
        <f>992.2+(42-606)+(1.012044+(0.04284-0.61812))+0-0-0</f>
        <v>428.63676400000003</v>
      </c>
      <c r="I12" s="3">
        <f>971.7+(30.5-597)+(1.486701+(0.046665-0.91341))+0-0-0</f>
        <v>405.81995600000005</v>
      </c>
      <c r="J12" s="3">
        <f>968.6+(32.7-610.9)+(0.493986+(0.016677-0.311559))+0-0-0</f>
        <v>390.59910400000007</v>
      </c>
      <c r="K12" s="3">
        <f>969.2+(38.1-615.4)+(1.482876+(0.058293-0.941562))+0-0-0</f>
        <v>392.49960700000008</v>
      </c>
      <c r="L12" s="3">
        <f>959.5+(33.9-613.6)+(-1.468035+(-0.051867--0.938808))+0-0-0</f>
        <v>379.21890599999995</v>
      </c>
      <c r="M12" s="3">
        <f>925.7+(32-608.5)+(-0.944214+(-0.03264--0.62067))+0-0-0</f>
        <v>348.84381600000006</v>
      </c>
      <c r="N12" s="3">
        <f>912.7+(57.1-600)+(-0.465477+(-0.029121--0.306))+0-0-0</f>
        <v>369.61140200000006</v>
      </c>
      <c r="O12" s="3">
        <f>967.6+(46.5-610.6)+(0.986952+(0.04743-0.622812))+0-0-0</f>
        <v>403.91156999999998</v>
      </c>
      <c r="P12" s="3">
        <f>962.3+(34.9-574.8)+(1.472319+(0.053397-0.879444))+0-0-0</f>
        <v>423.04627199999999</v>
      </c>
      <c r="Q12" s="3">
        <f>951.1+(35.3-547.6)+(-0.485061+(-0.018003--0.279276))+0-0-0</f>
        <v>438.57621199999994</v>
      </c>
      <c r="R12" s="3">
        <f>952.2+(32.6-533.3)+(-0.971244+(-0.033252--0.543966))+0-0-0</f>
        <v>451.03947000000011</v>
      </c>
      <c r="S12" s="3">
        <f>944.3+(11.5-519.2)+(0+(0-0))+0-0-0</f>
        <v>436.59999999999991</v>
      </c>
      <c r="T12" s="3">
        <f>940.9+(5.9-526.3)+(0.479859+(0.003009-0.268413))+0-0-0</f>
        <v>420.71445499999999</v>
      </c>
      <c r="U12" s="3">
        <f>936.1+(3.8-547.3)+(-0.477411+(-0.001938--0.279123))+0-0-0</f>
        <v>392.39977400000004</v>
      </c>
      <c r="V12" s="3">
        <f>936+(4.6-544.9)+(1.43208+(0.007038-0.833697))+0-0-0</f>
        <v>396.30542100000002</v>
      </c>
      <c r="W12" s="3">
        <f>916.1+(7-526.3)+(-0.934422+(-0.00714--0.536826))+0-0-0</f>
        <v>396.39526400000005</v>
      </c>
      <c r="X12" s="3">
        <f>919.8+(4.2-519.2)+(-0.469098+(-0.002142--0.264792))+0-0-0</f>
        <v>404.59355199999993</v>
      </c>
      <c r="Y12" s="3">
        <f>934+(26.4-489.5)+(0.95268+(0.026928-0.49929))+0-0-0</f>
        <v>471.38031799999999</v>
      </c>
      <c r="Z12" s="3">
        <f>967.3+(36-440.8)+(0.493323+(0.01836-0.224808))+0-0-0</f>
        <v>562.78687500000001</v>
      </c>
      <c r="AA12" s="3">
        <f>956.9+(34.8-435.3)+(0.488019+(0.017748-0.222003))+0-0-0</f>
        <v>556.683764</v>
      </c>
      <c r="AB12" s="3">
        <f>948.7+(33-440.7)+(-0.967674+(-0.03366--0.449514))+0-0-0</f>
        <v>540.44817999999998</v>
      </c>
      <c r="AC12" s="3">
        <f>949.2+(22-452.4)+(-0.484092+(-0.01122--0.230724))+0-0-0</f>
        <v>518.53541200000006</v>
      </c>
      <c r="AD12" s="2">
        <v>548.29999999999995</v>
      </c>
      <c r="AE12" s="3">
        <f>948+(39.9-439.6)+(0+(0-0))+0-0-0</f>
        <v>548.29999999999995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947.9+(9.2-472.5)+(-0.483429+(-0.004692--0.240975))+0-0-0</f>
        <v>484.35285399999998</v>
      </c>
      <c r="G13" s="3">
        <f>895+(2.2-454.3)+(-0.9129+(-0.002244--0.463386))+0-0-0</f>
        <v>442.44824199999999</v>
      </c>
      <c r="H13" s="3">
        <f>768.6+(25.7-389.6)+(-0.783972+(-0.026214--0.397392))+0-0-0</f>
        <v>404.28720599999997</v>
      </c>
      <c r="I13" s="3">
        <f>757.6+(15.2-403)+(0+(0-0))+0-0-0</f>
        <v>369.8</v>
      </c>
      <c r="J13" s="3">
        <f>755.1+(7.8-408.7)+(0.385101+(0.003978-0.208437))+0-0-0</f>
        <v>354.38064200000002</v>
      </c>
      <c r="K13" s="3">
        <f>759.8+(7.7-397.7)+(0.774996+(0.007854-0.405654))+0-0-0</f>
        <v>370.17719599999998</v>
      </c>
      <c r="L13" s="3">
        <f>752.3+(9.5-410.7)+(0+(0-0))+0-0-0</f>
        <v>351.09999999999997</v>
      </c>
      <c r="M13" s="3">
        <f>749.7+(0-415.2)+(-0.382347+(0--0.211752))+0-0-0</f>
        <v>334.32940500000007</v>
      </c>
      <c r="N13" s="3">
        <f>733.5+(3.1-398.7)+(0.74817+(0.003162-0.406674))+0-0-0</f>
        <v>338.24465800000002</v>
      </c>
      <c r="O13" s="3">
        <f>727.1+(14.7-387.4)+(-0.370821+(-0.007497--0.197574))+0-0-0</f>
        <v>354.21925600000003</v>
      </c>
      <c r="P13" s="3">
        <f>718.4+(16.4-377.3)+(-1.83192+(-0.04182--0.962115))+0-0-0</f>
        <v>356.58837499999993</v>
      </c>
      <c r="Q13" s="3">
        <f>729.3+(3.5-388.2)+(-0.371943+(-0.001785--0.197982))+0-0-0</f>
        <v>344.42425399999996</v>
      </c>
      <c r="R13" s="3">
        <f>731.8+(6.3-398.4)+(0+(0-0))+0-0-0</f>
        <v>339.7</v>
      </c>
      <c r="S13" s="3">
        <f>730.8+(0-400.4)+(0+(0-0))+0-0-0</f>
        <v>330.4</v>
      </c>
      <c r="T13" s="3">
        <f>729.7+(0-403.9)+(-0.744294+(0--0.411978))+0-0-0</f>
        <v>325.46768400000008</v>
      </c>
      <c r="U13" s="3">
        <f>732.8+(0-414.6)+(-0.373728+(0--0.211446))+0-0-0</f>
        <v>318.03771799999993</v>
      </c>
      <c r="V13" s="3">
        <f>736.5+(0-418.1)+(0.375615+(0-0.213231))+0-0-0</f>
        <v>318.56238399999995</v>
      </c>
      <c r="W13" s="3">
        <f>731.8+(0-405.6)+(-0.373218+(0--0.206856))+0-0-0</f>
        <v>326.03363799999994</v>
      </c>
      <c r="X13" s="3">
        <f>784.7+(0-449.4)+(-0.800394+(0--0.458388))+0-0-0</f>
        <v>334.95799400000004</v>
      </c>
      <c r="Y13" s="3">
        <f>975.1+(0-554.1)+(0.497301+(0-0.282591))+0-0-0</f>
        <v>421.21471000000003</v>
      </c>
      <c r="Z13" s="3">
        <f>1003.4+(30.4-507.1)+(-1.023468+(-0.031008--0.517242))+0-0-0</f>
        <v>526.16276599999992</v>
      </c>
      <c r="AA13" s="3">
        <f>1039.5+(38.9-530.7)+(-0.530145+(-0.019839--0.270657))+0-0-0</f>
        <v>547.42067299999997</v>
      </c>
      <c r="AB13" s="3">
        <f>1067.2+(26.4-553.5)+(-1.088544+(-0.026928--0.56457))+0-0-0</f>
        <v>539.54909800000007</v>
      </c>
      <c r="AC13" s="3">
        <f>1066.4+(0-564.5)+(-0.543864+(0--0.287895))+0-0-0</f>
        <v>501.6440310000001</v>
      </c>
      <c r="AD13" s="2">
        <v>523.5</v>
      </c>
      <c r="AE13" s="3">
        <f>990+(33.9-500.4)+(0+(0-0))+0-0-0</f>
        <v>523.5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1061.5+(0-613.2)+(-1.08273+(0--0.625464))+0-0-0</f>
        <v>447.84273399999995</v>
      </c>
      <c r="G14" s="3">
        <f>1057+(0-659.6)+(-1.07814+(0--0.672792))+0-0-0</f>
        <v>396.99465199999997</v>
      </c>
      <c r="H14" s="3">
        <f>1028.9+(0-658)+(-1.049478+(0--0.67116))+0-0-0</f>
        <v>370.52168200000011</v>
      </c>
      <c r="I14" s="3">
        <f>902.9+(0-539.9)+(-0.920958+(0--0.550698))+0-0-0</f>
        <v>362.62974000000003</v>
      </c>
      <c r="J14" s="3">
        <f>901.8+(12.9-552.3)+(-0.919836+(-0.013158--0.563346))+0-0-0</f>
        <v>362.03035199999999</v>
      </c>
      <c r="K14" s="3">
        <f>935.8+(10.9-576.8)+(0.477258+(0.005559-0.294168))+0-0-0</f>
        <v>370.08864899999998</v>
      </c>
      <c r="L14" s="3">
        <f>988.9+(9.9-626.4)+(0+(0-0))+0-0-0</f>
        <v>372.4</v>
      </c>
      <c r="M14" s="3">
        <f>1094.6+(0-713.6)+(0.558246+(0-0.363936))+0-0-0</f>
        <v>381.19430999999986</v>
      </c>
      <c r="N14" s="3">
        <f>1265.5+(0-833.3)+(-0.645405+(0--0.424983))+0-0-0</f>
        <v>431.97957800000006</v>
      </c>
      <c r="O14" s="3">
        <f>1242+(0-764.9)+(0+(0-0))+0-0-0</f>
        <v>477.1</v>
      </c>
      <c r="P14" s="3">
        <f>1237+(13.7-743.4)+(0+(0-0))+0-0-0</f>
        <v>507.30000000000007</v>
      </c>
      <c r="Q14" s="3">
        <f>1212.8+(50-732)+(-0.618528+(-0.0255--0.37332))+0-0-0</f>
        <v>530.52929199999994</v>
      </c>
      <c r="R14" s="3">
        <f>1289.5+(27.4-776.1)+(-1.31529+(-0.027948--0.791622))+0-0-0</f>
        <v>540.24838399999999</v>
      </c>
      <c r="S14" s="3">
        <f>1292+(10.9-778.3)+(-2.63568+(-0.022236--1.587732))+0-0-0</f>
        <v>523.52981599999998</v>
      </c>
      <c r="T14" s="3">
        <f>1301.9+(0-796.9)+(-1.991907+(0--1.219257))+0-0-0</f>
        <v>504.22735000000011</v>
      </c>
      <c r="U14" s="3">
        <f>1361.9+(0-865.2)+(-1.389138+(0--0.882504))+0-0-0</f>
        <v>496.19336600000003</v>
      </c>
      <c r="V14" s="3">
        <f>1387.5+(0-884.8)+(0+(0-0))+0-0-0</f>
        <v>502.70000000000005</v>
      </c>
      <c r="W14" s="3">
        <f>1352.2+(0-844.5)+(-0.689622+(0--0.430695))+0-0-0</f>
        <v>507.44107300000002</v>
      </c>
      <c r="X14" s="3">
        <f>1382.9+(0-860.9)+(-0.705279+(0--0.439059))+0-0-0</f>
        <v>521.73378000000014</v>
      </c>
      <c r="Y14" s="3">
        <f>1399.2+(3.6-826.2)+(0.713592+(0.001836-0.421362))+0-0-0</f>
        <v>576.89406600000007</v>
      </c>
      <c r="Z14" s="3">
        <f>1465.1+(44.7-854.2)+(-4.483206+(-0.136782--2.613852))+0-0-0</f>
        <v>653.59386399999994</v>
      </c>
      <c r="AA14" s="3">
        <f>1460.1+(50.3-851.7)+(-2.233953+(-0.076959--1.303101))+0-0-0</f>
        <v>657.69218899999987</v>
      </c>
      <c r="AB14" s="3">
        <f>1415+(52.4-840.6)+(-0.72165+(-0.026724--0.428706))+0-0-0</f>
        <v>626.48033199999998</v>
      </c>
      <c r="AC14" s="3">
        <f>1284+(64.3-768.6)+(-1.96452+(-0.098379--1.175958))+0-0-0</f>
        <v>578.81305899999995</v>
      </c>
      <c r="AD14" s="2">
        <v>633.89999999999986</v>
      </c>
      <c r="AE14" s="3">
        <f>1441+(40.6-847.7)+(0+(0-0))+0-0-0</f>
        <v>633.9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1248.4+(17.6-759.2)+(-2.546736+(-0.035904--1.548768))+0-0-0</f>
        <v>505.76612800000009</v>
      </c>
      <c r="G15" s="3">
        <f>1234.9+(0-780.5)+(-3.148995+(0--1.990275))+0-0-0</f>
        <v>453.24128000000007</v>
      </c>
      <c r="H15" s="3">
        <f>1235.2+(0-815.5)+(-3.14976+(0--2.079525))+0-0-0</f>
        <v>418.62976500000002</v>
      </c>
      <c r="I15" s="3">
        <f>1242.5+(0-834.9)+(-1.26735+(0--0.851598))+0-0-0</f>
        <v>407.18424800000003</v>
      </c>
      <c r="J15" s="3">
        <f>1248.2+(0-844.7)+(0.636582+(0-0.430797))+0-0-0</f>
        <v>403.70578499999999</v>
      </c>
      <c r="K15" s="3">
        <f>1241.5+(0-844.8)+(-0.633165+(0--0.430848))+0-0-0</f>
        <v>396.49768300000005</v>
      </c>
      <c r="L15" s="3">
        <f>1247.1+(0-856.6)+(0.636021+(0-0.436866))+0-0-0</f>
        <v>390.69915499999991</v>
      </c>
      <c r="M15" s="3">
        <f>1236.5+(0-837.9)+(-0.630615+(0--0.427329))+0-0-0</f>
        <v>398.39671400000003</v>
      </c>
      <c r="N15" s="3">
        <f>1387.3+(0-957.7)+(0+(0-0))+0-0-0</f>
        <v>429.59999999999991</v>
      </c>
      <c r="O15" s="3">
        <f>1461.4+(0-985)+(-1.490628+(0--1.0047))+0-0-0</f>
        <v>475.91407200000009</v>
      </c>
      <c r="P15" s="3">
        <f>1489.6+(0-971.2)+(-0.759696+(0--0.495312))+0-0-0</f>
        <v>518.13561599999991</v>
      </c>
      <c r="Q15" s="3">
        <f>1488.5+(0-975.5)+(-3.795675+(0--2.487525))+0-0-0</f>
        <v>511.69184999999999</v>
      </c>
      <c r="R15" s="3">
        <f>1497.1+(0-927.4)+(-1.527042+(0--0.945948))+0-0-0</f>
        <v>569.11890599999992</v>
      </c>
      <c r="S15" s="3">
        <f>1483.1+(0-947)+(-3.781905+(0--2.41485))+0-0-0</f>
        <v>534.73294499999986</v>
      </c>
      <c r="T15" s="3">
        <f>1489.1+(0-965.5)+(-3.797205+(0--2.462025))+0-0-0</f>
        <v>522.26481999999987</v>
      </c>
      <c r="U15" s="3">
        <f>1504.2+(0-1008.2)+(-1.534284+(0--1.028364))+0-0-0</f>
        <v>495.49408</v>
      </c>
      <c r="V15" s="3">
        <f>1521.4+(0-1053.4)+(-3.103656+(0--2.148936))+0-0-0</f>
        <v>467.04527999999999</v>
      </c>
      <c r="W15" s="3">
        <f>1524.1+(0-1013.1)+(-0.777291+(0--0.516681))+0-0-0</f>
        <v>510.7393899999999</v>
      </c>
      <c r="X15" s="3">
        <f>1533.2+(2.4-1009)+(0+(0-0))+0-0-0</f>
        <v>526.6</v>
      </c>
      <c r="Y15" s="3">
        <f>1554.2+(37.1-935)+(0.792642+(0.018921-0.47685))+0-0-0</f>
        <v>656.63471300000003</v>
      </c>
      <c r="Z15" s="3">
        <f>1554.2+(19.6-911.6)+(1.585284+(0.019992-0.929832))+0-0-0</f>
        <v>662.87544400000002</v>
      </c>
      <c r="AA15" s="3">
        <f>1538.2+(18.6-900.4)+(-2.353446+(-0.028458--1.377612))+0-0-0</f>
        <v>655.39570800000013</v>
      </c>
      <c r="AB15" s="3">
        <f>1544.2+(20.9-919)+(0+(0-0))+0-0-0</f>
        <v>646.1</v>
      </c>
      <c r="AC15" s="3">
        <f>1527.2+(9.1-971.7)+(-1.557744+(-0.009282--0.991134))+0-0-0</f>
        <v>564.02410800000007</v>
      </c>
      <c r="AD15" s="2">
        <v>626.29999999999995</v>
      </c>
      <c r="AE15" s="3">
        <f>1543+(17.3-934)+(0+(0-0))+0-0-0</f>
        <v>626.29999999999995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1378+(5-904.1)+(0+(0-0))+0-0-0</f>
        <v>478.9</v>
      </c>
      <c r="G16" s="3">
        <f>1222+(7-762.4)+(0+(0-0))+0-0-0</f>
        <v>466.6</v>
      </c>
      <c r="H16" s="3">
        <f>1128+(8-694.4)+(0+(0-0))+0-0-0</f>
        <v>441.6</v>
      </c>
      <c r="I16" s="3">
        <f>1128+(10-700.1)+(0+(0-0))+0-0-0</f>
        <v>437.9</v>
      </c>
      <c r="J16" s="3">
        <f>1127+(7-698.1)+(0+(0-0))+0-0-0</f>
        <v>435.9</v>
      </c>
      <c r="K16" s="3">
        <f>1125+(4-721.5)+(0+(0-0))+0-0-0</f>
        <v>407.5</v>
      </c>
      <c r="L16" s="3">
        <f>1128.4+(5-706.5)+(0.575484+(0.00255-0.360315))+0-0-0</f>
        <v>427.11771900000008</v>
      </c>
      <c r="M16" s="3">
        <f>1133.9+(10-713.9)+(1.734867+(0.0153-1.092267))+0-0-0</f>
        <v>430.6579000000001</v>
      </c>
      <c r="N16" s="3">
        <f>1388.6+(27.2-945.4)+(-1.416372+(-0.027744--0.964308))+0-0-0</f>
        <v>469.92019199999999</v>
      </c>
      <c r="O16" s="3">
        <f>1497.2+(30.8-1013.3)+(-1.527144+(-0.031416--1.033566))+0-0-0</f>
        <v>514.17500600000005</v>
      </c>
      <c r="P16" s="3">
        <f>1492.7+(15-970.7)+(-2.283831+(-0.02295--1.485171))+0-0-0</f>
        <v>536.17839000000004</v>
      </c>
      <c r="Q16" s="3">
        <f>1451.2+(12-911.7)+(0+(0-0))+0-0-0</f>
        <v>551.5</v>
      </c>
      <c r="R16" s="3">
        <f>1459.3+(16.4-917.4)+(-4.465458+(-0.050184--2.807244))+0-0-0</f>
        <v>556.59160199999997</v>
      </c>
      <c r="S16" s="3">
        <f>1467.1+(14-948)+(0.748221+(0.00714-0.48348))+0-0-0</f>
        <v>533.37188099999992</v>
      </c>
      <c r="T16" s="3">
        <f>1463.5+(15-956.5)+(-1.49277+(-0.0153--0.97563))+0-0-0</f>
        <v>521.46756000000005</v>
      </c>
      <c r="U16" s="3">
        <f>1463.6+(16-967.9)+(-0.746436+(-0.00816--0.493629))+0-0-0</f>
        <v>511.43903299999994</v>
      </c>
      <c r="V16" s="3">
        <f>1444+(17-960.3)+(-1.47288+(-0.01734--0.979506))+0-0-0</f>
        <v>500.18928600000004</v>
      </c>
      <c r="W16" s="3">
        <f>1444.1+(17.6-975.8)+(0+(0-0))+0-0-0</f>
        <v>485.9</v>
      </c>
      <c r="X16" s="3">
        <f>1446.3+(29.6-985.9)+(-0.737613+(-0.015096--0.502809))+0-0-0</f>
        <v>489.75009999999997</v>
      </c>
      <c r="Y16" s="3">
        <f>1517.8+(34.4-1009.8)+(0.774078+(0.017544-0.514998))+0-0-0</f>
        <v>542.67662399999995</v>
      </c>
      <c r="Z16" s="3">
        <f>1510.7+(21.1-885.8)+(-2.311371+(-0.032283--1.355274))+0-0-0</f>
        <v>645.01162000000011</v>
      </c>
      <c r="AA16" s="3">
        <f>1497.4+(18.6-865.3)+(-4.582044+(-0.056916--2.647818))+0-0-0</f>
        <v>648.70885800000019</v>
      </c>
      <c r="AB16" s="3">
        <f>1498.6+(18.7-883.6)+(-3.82143+(-0.047685--2.25318))+0-0-0</f>
        <v>632.0840649999999</v>
      </c>
      <c r="AC16" s="3">
        <f>1503+(10.8-930.3)+(-3.06612+(-0.022032--1.897812))+0-0-0</f>
        <v>582.30966000000001</v>
      </c>
      <c r="AD16" s="2">
        <v>635.20000000000005</v>
      </c>
      <c r="AE16" s="3">
        <f>1510+(19-893.8)+(0+(0-0))+0-0-0</f>
        <v>635.20000000000005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1364.7+(23.4-869)+(-0.695997+(-0.011934--0.44319))+0-0-0</f>
        <v>518.83525900000006</v>
      </c>
      <c r="G17" s="3">
        <f>1235.6+(44.9-806.3)+(-1.890468+(-0.068697--1.233639))+0-0-0</f>
        <v>473.47447399999993</v>
      </c>
      <c r="H17" s="3">
        <f>1178.2+(47.7-785)+(1.201764+(0.048654-0.8007))+0-0-0</f>
        <v>441.34971800000011</v>
      </c>
      <c r="I17" s="3">
        <f>1165.2+(52.6-794.7)+(1.188504+(0.053652-0.810594))+0-0-0</f>
        <v>423.53156200000001</v>
      </c>
      <c r="J17" s="3">
        <f>1156.1+(52.8-790.4)+(-1.179222+(-0.053856--0.806208))+0-0-0</f>
        <v>418.07312999999988</v>
      </c>
      <c r="K17" s="3">
        <f>1166.3+(23.2-770.4)+(0.594813+(0.011832-0.392904))+0-0-0</f>
        <v>419.31374100000005</v>
      </c>
      <c r="L17" s="3">
        <f>1155.3+(14.6-751.2)+(-1.178406+(-0.014892--0.766224))+0-0-0</f>
        <v>418.27292599999993</v>
      </c>
      <c r="M17" s="3">
        <f>1166.9+(14.6-760.7)+(1.190238+(0.014892-0.775914))+0-0-0</f>
        <v>421.22921600000006</v>
      </c>
      <c r="N17" s="3">
        <f>1428.9+(15.3-974.9)+(1.457478+(0.015606-0.994398))+0-0-0</f>
        <v>469.77868600000005</v>
      </c>
      <c r="O17" s="3">
        <f>1449.1+(29.9-968.9)+(2.217123+(0.045747-1.482417))+0-0-0</f>
        <v>510.88045299999993</v>
      </c>
      <c r="P17" s="3">
        <f>1454.9+(45.7-953.8)+(2.225997+(0.069921-1.459314))+0-0-0</f>
        <v>547.63660400000015</v>
      </c>
      <c r="Q17" s="3">
        <f>1454.6+(51.9-946.7)+(0+(0-0))+0-0-0</f>
        <v>559.79999999999984</v>
      </c>
      <c r="R17" s="3">
        <f>1452+(51.1-952.6)+(0+(0-0))+0-0-0</f>
        <v>550.5</v>
      </c>
      <c r="S17" s="3">
        <f>1482.9+(50.7-996.9)+(-4.537674+(-0.155142--3.050514))+0-0-0</f>
        <v>535.05769800000019</v>
      </c>
      <c r="T17" s="3">
        <f>1558.1+(37.1-1097.6)+(0+(0-0))+0-0-0</f>
        <v>497.59999999999991</v>
      </c>
      <c r="U17" s="3">
        <f>1525.5+(51.3-1090.1)+(0+(0-0))+0-0-0</f>
        <v>486.70000000000005</v>
      </c>
      <c r="V17" s="3">
        <f>1453.4+(45.8-1026.3)+(-1.482468+(-0.046716--1.046826))+0-0-0</f>
        <v>472.41764200000011</v>
      </c>
      <c r="W17" s="3">
        <f>1447+(14.3-989.5)+(-2.21391+(-0.021879--1.513935))+0-0-0</f>
        <v>471.07814599999995</v>
      </c>
      <c r="X17" s="3">
        <f>1456.9+(0-976.1)+(-0.743019+(0--0.497811))+0-0-0</f>
        <v>480.55479200000008</v>
      </c>
      <c r="Y17" s="3">
        <f>1494.4+(9.9-955.8)+(2.286432+(0.015147-1.462374))+0-0-0</f>
        <v>549.33920500000011</v>
      </c>
      <c r="Z17" s="3">
        <f>1562.2+(18.8-933.1)+(0+(0-0))+0-0-0</f>
        <v>647.9</v>
      </c>
      <c r="AA17" s="3">
        <f>1674.7+(0-1029.1)+(-2.562291+(0--1.574523))+0-0-0</f>
        <v>644.61223200000018</v>
      </c>
      <c r="AB17" s="3">
        <f>1661.9+(0-1051.9)+(-3.390276+(0--2.145876))+0-0-0</f>
        <v>608.75559999999996</v>
      </c>
      <c r="AC17" s="3">
        <f>1609.6+(3.9-1025.5)+(-4.10448+(-0.009945--2.615025))+0-0-0</f>
        <v>586.50059999999985</v>
      </c>
      <c r="AD17" s="2">
        <v>630.6</v>
      </c>
      <c r="AE17" s="3">
        <f>1515+(25-909.4)+(0+(0-0))+0-0-0</f>
        <v>630.6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1473.2+(0-943.9)+(2.253996+(0-1.444167))+0-0-0</f>
        <v>530.1098290000001</v>
      </c>
      <c r="G18" s="3">
        <f>1377.8+(0-894.5)+(-2.108034+(0--1.368585))+0-0-0</f>
        <v>482.56055099999998</v>
      </c>
      <c r="H18" s="3">
        <f>1298.1+(0-851.5)+(-0.662031+(0--0.434265))+0-0-0</f>
        <v>446.37223399999993</v>
      </c>
      <c r="I18" s="3">
        <f>1088+(37.8-700.7)+(-2.7744+(-0.09639--1.786785))+0-0-0</f>
        <v>424.01599499999992</v>
      </c>
      <c r="J18" s="3">
        <f>1077.8+(42.3-707.2)+(2.198712+(0.086292-1.442688))+0-0-0</f>
        <v>413.74231599999985</v>
      </c>
      <c r="K18" s="3">
        <f>1066.5+(28.9-681.2)+(-0.543915+(-0.014739--0.347412))+0-0-0</f>
        <v>413.9887579999999</v>
      </c>
      <c r="L18" s="3">
        <f>1060.9+(18.3-682.9)+(-2.164236+(-0.037332--1.393116))+0-0-0</f>
        <v>395.49154800000008</v>
      </c>
      <c r="M18" s="3">
        <f>1056+(0-683.2)+(-1.61568+(0--1.045296))+0-0-0</f>
        <v>372.22961599999996</v>
      </c>
      <c r="N18" s="3">
        <f>1173.3+(0-781.4)+(-0.598383+(0--0.398514))+0-0-0</f>
        <v>391.700131</v>
      </c>
      <c r="O18" s="3">
        <f>1338.5+(0-913.1)+(0+(0-0))+0-0-0</f>
        <v>425.4</v>
      </c>
      <c r="P18" s="3">
        <f>1428.5+(0-958.5)+(0+(0-0))+0-0-0</f>
        <v>470</v>
      </c>
      <c r="Q18" s="3">
        <f>1429.4+(0-933.7)+(0.728994+(0-0.476187))+0-0-0</f>
        <v>495.95280700000006</v>
      </c>
      <c r="R18" s="3">
        <f>1425.9+(0-935.7)+(-0.727209+(0--0.477207))+0-0-0</f>
        <v>489.94999800000005</v>
      </c>
      <c r="S18" s="3">
        <f>1428.2+(0-944.4)+(-1.456764+(0--0.963288))+0-0-0</f>
        <v>483.30652400000008</v>
      </c>
      <c r="T18" s="3">
        <f>1432.8+(0-979.1)+(-0.730728+(0--0.499341))+0-0-0</f>
        <v>453.46861299999995</v>
      </c>
      <c r="U18" s="3">
        <f>1422.2+(0-1000.1)+(-3.62661+(0--2.550255))+0-0-0</f>
        <v>421.02364500000004</v>
      </c>
      <c r="V18" s="3">
        <f>1430.9+(0-1021.5)+(0+(0-0))+0-0-0</f>
        <v>409.40000000000009</v>
      </c>
      <c r="W18" s="3">
        <f>1405.6+(0-999.6)+(-3.58428+(0--2.54898))+0-0-0</f>
        <v>404.96469999999988</v>
      </c>
      <c r="X18" s="3">
        <f>1419.9+(0-992.3)+(-0.724149+(0--0.506073))+0-0-0</f>
        <v>427.38192400000014</v>
      </c>
      <c r="Y18" s="3">
        <f>1421.4+(0-929.1)+(-0.724914+(0--0.473841))+0-0-0</f>
        <v>492.04892700000005</v>
      </c>
      <c r="Z18" s="3">
        <f>1458.3+(10.7-882.4)+(-2.231199+(-0.016371--1.350072))+0-0-0</f>
        <v>585.70250199999998</v>
      </c>
      <c r="AA18" s="3">
        <f>1463.3+(26-886)+(-2.985132+(-0.05304--1.80744))+0-0-0</f>
        <v>602.06926799999997</v>
      </c>
      <c r="AB18" s="3">
        <f>1465.5+(16.4-882.1)+(-0.747405+(-0.008364--0.449871))+0-0-0</f>
        <v>599.494102</v>
      </c>
      <c r="AC18" s="3">
        <f>1460.5+(0-905.1)+(0.744855+(0-0.461601))+0-0-0</f>
        <v>555.68325400000003</v>
      </c>
      <c r="AD18" s="2">
        <v>568.49999999999989</v>
      </c>
      <c r="AE18" s="3">
        <f>1462+(13.6-907.1)+(0+(0-0))+0-0-0</f>
        <v>568.5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1439.9+(0-940.4)+(-3.671745+(0--2.39802))+0-0-0</f>
        <v>498.2262750000001</v>
      </c>
      <c r="G19" s="3">
        <f>1439+(0-983.5)+(-3.66945+(0--2.507925))+0-0-0</f>
        <v>454.33847500000002</v>
      </c>
      <c r="H19" s="3">
        <f>1288.9+(0-863.3)+(1.972017+(0-1.320849))+0-0-0</f>
        <v>426.25116800000012</v>
      </c>
      <c r="I19" s="3">
        <f>1234.3+(0-827.7)+(3.147465+(0-2.110635))+0-0-0</f>
        <v>407.63682999999992</v>
      </c>
      <c r="J19" s="3">
        <f>1211.9+(0-795.8)+(-3.090345+(0--2.02929))+0-0-0</f>
        <v>415.03894500000013</v>
      </c>
      <c r="K19" s="3">
        <f>1225.4+(0-801)+(0+(0-0))+0-0-0</f>
        <v>424.40000000000009</v>
      </c>
      <c r="L19" s="3">
        <f>1212.7+(0-786.7)+(-2.473908+(0--1.604868))+0-0-0</f>
        <v>425.13096000000002</v>
      </c>
      <c r="M19" s="3">
        <f>1221.1+(0-767.8)+(0.622761+(0-0.391578))+0-0-0</f>
        <v>453.53118299999994</v>
      </c>
      <c r="N19" s="3">
        <f>1227+(42-769.2)+(1.25154+(0.04284-0.784584))+0-0-0</f>
        <v>500.30979599999995</v>
      </c>
      <c r="O19" s="3">
        <f>1240.4+(63-752.8)+(0+(0-0))+0-0-0</f>
        <v>550.60000000000014</v>
      </c>
      <c r="P19" s="3">
        <f>1434.3+(0-895)+(-0.731493+(0--0.45645))+0-0-0</f>
        <v>539.02495699999997</v>
      </c>
      <c r="Q19" s="3">
        <f>1448.3+(0-881.5)+(-2.954532+(0--1.79826))+0-0-0</f>
        <v>565.64372800000001</v>
      </c>
      <c r="R19" s="3">
        <f>1460.5+(0-900.7)+(1.48971+(0-0.918714))+0-0-0</f>
        <v>560.37099599999999</v>
      </c>
      <c r="S19" s="3">
        <f>1445.5+(0-893.2)+(-2.211615+(0--1.366596))+0-0-0</f>
        <v>551.45498099999998</v>
      </c>
      <c r="T19" s="3">
        <f>1430.4+(0-899.2)+(-0.729504+(0--0.458592))+0-0-0</f>
        <v>530.92908800000009</v>
      </c>
      <c r="U19" s="3">
        <f>1421.7+(0-907.4)+(-2.175201+(0--1.388322))+0-0-0</f>
        <v>513.51312100000007</v>
      </c>
      <c r="V19" s="3">
        <f>1425.9+(0-912.2)+(0.727209+(0-0.465222))+0-0-0</f>
        <v>513.96198700000002</v>
      </c>
      <c r="W19" s="3">
        <f>1405.5+(0-896.1)+(-1.43361+(0--0.914022))+0-0-0</f>
        <v>508.88041199999998</v>
      </c>
      <c r="X19" s="3">
        <f>1283.5+(0-769.6)+(-2.61834+(0--1.569984))+0-0-0</f>
        <v>512.85164399999996</v>
      </c>
      <c r="Y19" s="3">
        <f>1335.4+(0-764.1)+(0.681054+(0-0.389691))+0-0-0</f>
        <v>571.59136300000011</v>
      </c>
      <c r="Z19" s="3">
        <f>1462.1+(30.8-825.9)+(-2.237013+(-0.047124--1.263627))+0-0-0</f>
        <v>665.97948999999994</v>
      </c>
      <c r="AA19" s="3">
        <f>1312.6+(112.3-747.5)+(-3.34713+(-0.286365--1.906125))+0-0-0</f>
        <v>675.67262999999991</v>
      </c>
      <c r="AB19" s="3">
        <f>1246.1+(121.1-726)+(-2.542044+(-0.247044--1.48104))+0-0-0</f>
        <v>639.89195199999995</v>
      </c>
      <c r="AC19" s="3">
        <f>1242.2+(95.3-753)+(-2.534088+(-0.194412--1.53612))+0-0-0</f>
        <v>583.30762000000004</v>
      </c>
      <c r="AD19" s="2">
        <v>653.80000000000007</v>
      </c>
      <c r="AE19" s="3">
        <f>1456+(37.2-839.4)+(0+(0-0))+0-0-0</f>
        <v>653.80000000000007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1244.4+(48.7-749.8)+(0+(0-0))+0-0-0</f>
        <v>543.30000000000018</v>
      </c>
      <c r="G20" s="3">
        <f>1229.5+(0-736.7)+(-2.50818+(0--1.502868))+0-0-0</f>
        <v>491.79468799999995</v>
      </c>
      <c r="H20" s="3">
        <f>1195.6+(11.7-751.5)+(-2.439024+(-0.023868--1.53306))+0-0-0</f>
        <v>454.87016799999998</v>
      </c>
      <c r="I20" s="3">
        <f>1204.5+(0-761.4)+(-1.22859+(0--0.776628))+0-0-0</f>
        <v>442.64803800000004</v>
      </c>
      <c r="J20" s="3">
        <f>1203.1+(0-767.8)+(-1.840743+(0--1.174734))+0-0-0</f>
        <v>434.63399099999998</v>
      </c>
      <c r="K20" s="3">
        <f>1211.8+(0-767.9)+(0.618018+(0-0.391629))+0-0-0</f>
        <v>444.12638899999996</v>
      </c>
      <c r="L20" s="3">
        <f>1205.2+(0-753.5)+(0+(0-0))+0-0-0</f>
        <v>451.70000000000005</v>
      </c>
      <c r="M20" s="3">
        <f>1222+(0-756.1)+(-0.62322+(0--0.385611))+0-0-0</f>
        <v>465.66239099999996</v>
      </c>
      <c r="N20" s="3">
        <f>1443.9+(0-945.1)+(-2.209167+(0--1.446003))+0-0-0</f>
        <v>498.03683600000005</v>
      </c>
      <c r="O20" s="3">
        <f>1463.1+(0-920.1)+(0.746181+(0-0.469251))+0-0-0</f>
        <v>543.27692999999988</v>
      </c>
      <c r="P20" s="3">
        <f>1453.1+(0-882)+(0+(0-0))+0-0-0</f>
        <v>571.09999999999991</v>
      </c>
      <c r="Q20" s="3">
        <f>1447.1+(0-862.8)+(1.476042+(0-0.880056))+0-0-0</f>
        <v>584.89598599999999</v>
      </c>
      <c r="R20" s="3">
        <f>1430.1+(0-871.4)+(0.729351+(0-0.444414))+0-0-0</f>
        <v>558.98493699999995</v>
      </c>
      <c r="S20" s="3">
        <f>1403.1+(0-849.2)+(-4.293486+(0--2.598552))+0-0-0</f>
        <v>552.20506599999987</v>
      </c>
      <c r="T20" s="3">
        <f>1385.1+(0-842.7)+(-1.412802+(0--0.859554))+0-0-0</f>
        <v>541.84675199999981</v>
      </c>
      <c r="U20" s="3">
        <f>1380.3+(0-850.6)+(-2.111859+(0--1.301418))+0-0-0</f>
        <v>528.88955899999996</v>
      </c>
      <c r="V20" s="3">
        <f>1403.8+(0-879.2)+(-0.715938+(0--0.448392))+0-0-0</f>
        <v>524.33245399999987</v>
      </c>
      <c r="W20" s="3">
        <f>1417.3+(0-878.6)+(0.722823+(0-0.448086))+0-0-0</f>
        <v>538.97473699999989</v>
      </c>
      <c r="X20" s="3">
        <f>1417.2+(0-868.2)+(-2.168316+(0--1.328346))+0-0-0</f>
        <v>548.16003000000001</v>
      </c>
      <c r="Y20" s="3">
        <f>1427.8+(21.8-858.3)+(-1.456356+(-0.022236--0.875466))+0-0-0</f>
        <v>590.69687399999998</v>
      </c>
      <c r="Z20" s="3">
        <f>1439.1+(84.2-858)+(-3.669705+(-0.21471--2.1879))+0-0-0</f>
        <v>663.60348499999998</v>
      </c>
      <c r="AA20" s="3">
        <f>1435.6+(86.6-870.5)+(-2.928624+(-0.176664--1.77582))+0-0-0</f>
        <v>650.37053199999991</v>
      </c>
      <c r="AB20" s="3">
        <f>1413.2+(92.9-871.1)+(-1.441464+(-0.094758--0.888522))+0-0-0</f>
        <v>634.35230000000001</v>
      </c>
      <c r="AC20" s="3">
        <f>1397.6+(61.7-869.2)+(-2.138328+(-0.094401--1.329876))+0-0-0</f>
        <v>589.19714699999986</v>
      </c>
      <c r="AD20" s="2">
        <v>656.3</v>
      </c>
      <c r="AE20" s="3">
        <f>1423+(92.1-858.8)+(0+(0-0))+0-0-0</f>
        <v>656.30000000000007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1386.3+(18.9-891.2)+(-2.121039+(-0.028917--1.363536))+0-0-0</f>
        <v>513.21357999999987</v>
      </c>
      <c r="G21" s="3">
        <f>1381.9+(0-902.7)+(-2.819076+(0--1.841508))+0-0-0</f>
        <v>478.22243200000003</v>
      </c>
      <c r="H21" s="3">
        <f>1362.7+(0-919.7)+(-1.389954+(0--0.938094))+0-0-0</f>
        <v>442.54813999999999</v>
      </c>
      <c r="I21" s="3">
        <f>1268.2+(0-834.8)+(-1.940346+(0--1.277244))+0-0-0</f>
        <v>432.73689800000011</v>
      </c>
      <c r="J21" s="3">
        <f>1098.7+(0-665.8)+(-0.560337+(0--0.339558))+0-0-0</f>
        <v>432.6792210000001</v>
      </c>
      <c r="K21" s="3">
        <f>1076.9+(0-650.1)+(0.549219+(0-0.331551))+0-0-0</f>
        <v>427.01766800000007</v>
      </c>
      <c r="L21" s="3">
        <f>1147.1+(0-696.6)+(-4.095147+(0--2.486862))+0-0-0</f>
        <v>448.89171499999986</v>
      </c>
      <c r="M21" s="3">
        <f>1157.3+(0-714.1)+(0+(0-0))+0-0-0</f>
        <v>443.19999999999993</v>
      </c>
      <c r="N21" s="3">
        <f>1172+(1.6-691)+(0.59772+(0.000816-0.35241))+0-0-0</f>
        <v>482.84612600000003</v>
      </c>
      <c r="O21" s="3">
        <f>1251.8+(0-727.3)+(-1.276836+(0--0.741846))+0-0-0</f>
        <v>523.96501000000001</v>
      </c>
      <c r="P21" s="3">
        <f>1325.5+(0-773.6)+(0.676005+(0-0.394536))+0-0-0</f>
        <v>552.18146899999999</v>
      </c>
      <c r="Q21" s="3">
        <f>1328.4+(0-758.5)+(0+(0-0))+0-0-0</f>
        <v>569.90000000000009</v>
      </c>
      <c r="R21" s="3">
        <f>1324.9+(0-753.8)+(0+(0-0))+0-0-0</f>
        <v>571.10000000000014</v>
      </c>
      <c r="S21" s="3">
        <f>1330.3+(0-768.6)+(-3.392265+(0--1.95993))+0-0-0</f>
        <v>560.26766499999997</v>
      </c>
      <c r="T21" s="3">
        <f>1337.8+(0-796.3)+(0+(0-0))+0-0-0</f>
        <v>541.5</v>
      </c>
      <c r="U21" s="3">
        <f>1338.7+(0-807.6)+(-1.365474+(0--0.823752))+0-0-0</f>
        <v>530.55827799999997</v>
      </c>
      <c r="V21" s="3">
        <f>1339+(0-811.5)+(-2.04867+(0--1.241595))+0-0-0</f>
        <v>526.69292499999995</v>
      </c>
      <c r="W21" s="3">
        <f>1344.7+(0-818.8)+(-0.685797+(0--0.417588))+0-0-0</f>
        <v>525.63179100000013</v>
      </c>
      <c r="X21" s="3">
        <f>1339.5+(0-805.5)+(-2.049435+(0--1.232415))+0-0-0</f>
        <v>533.18298000000004</v>
      </c>
      <c r="Y21" s="3">
        <f>1373.2+(0-807.8)+(-0.700332+(0--0.411978))+0-0-0</f>
        <v>565.11164600000006</v>
      </c>
      <c r="Z21" s="3">
        <f>1384+(0-709.3)+(-1.41168+(0--0.723486))+0-0-0</f>
        <v>674.01180600000009</v>
      </c>
      <c r="AA21" s="3">
        <f>1415.9+(0-746.7)+(-0.722109+(0--0.380817))+0-0-0</f>
        <v>668.85870800000009</v>
      </c>
      <c r="AB21" s="3">
        <f>1389.1+(0-753.1)+(-2.833764+(0--1.536324))+0-0-0</f>
        <v>634.70255999999983</v>
      </c>
      <c r="AC21" s="3">
        <f>1392.3+(0-799.4)+(0.710073+(0-0.407694))+0-0-0</f>
        <v>593.20237899999995</v>
      </c>
      <c r="AD21" s="2">
        <v>676.8</v>
      </c>
      <c r="AE21" s="3">
        <f>1380+(0-703.2)+(0+(0-0))+0-0-0</f>
        <v>676.8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1389+(0-834.2)+(0.70839+(0-0.425442))+0-0-0</f>
        <v>555.08294799999999</v>
      </c>
      <c r="G22" s="3">
        <f>1318.5+(0-808.5)+(-0.672435+(0--0.412335))+0-0-0</f>
        <v>509.73989999999998</v>
      </c>
      <c r="H22" s="3">
        <f>1244.6+(0-774.4)+(-0.634746+(0--0.394944))+0-0-0</f>
        <v>469.96019799999993</v>
      </c>
      <c r="I22" s="3">
        <f>1247+(0-785.5)+(0+(0-0))+0-0-0</f>
        <v>461.5</v>
      </c>
      <c r="J22" s="3">
        <f>1244.9+(0-787.4)+(0+(0-0))+0-0-0</f>
        <v>457.50000000000011</v>
      </c>
      <c r="K22" s="3">
        <f>1237.6+(0-783.9)+(-1.893528+(0--1.199367))+0-0-0</f>
        <v>453.00583899999992</v>
      </c>
      <c r="L22" s="3">
        <f>1237.2+(0-777.4)+(-1.261944+(0--0.792948))+0-0-0</f>
        <v>459.33100400000006</v>
      </c>
      <c r="M22" s="3">
        <f>1249.1+(0-770.3)+(1.274082+(0-0.785706))+0-0-0</f>
        <v>479.28837599999997</v>
      </c>
      <c r="N22" s="3">
        <f>1346+(0-835.2)+(2.74584+(0-1.703808))+0-0-0</f>
        <v>511.84203199999996</v>
      </c>
      <c r="O22" s="3">
        <f>1329.3+(0-772.2)+(-1.355886+(0--0.787644))+0-0-0</f>
        <v>556.53175799999985</v>
      </c>
      <c r="P22" s="3">
        <f>1332+(0-759.9)+(-0.67932+(0--0.387549))+0-0-0</f>
        <v>571.80822899999998</v>
      </c>
      <c r="Q22" s="3">
        <f>1332.2+(0-750.9)+(1.358844+(0-0.765918))+0-0-0</f>
        <v>581.8929260000001</v>
      </c>
      <c r="R22" s="3">
        <f>1410.3+(0-780.6)+(0+(0-0))+0-0-0</f>
        <v>629.69999999999993</v>
      </c>
      <c r="S22" s="3">
        <f>1408+(0-782.7)+(-2.87232+(0--1.596708))+0-0-0</f>
        <v>624.02438799999993</v>
      </c>
      <c r="T22" s="3">
        <f>1385.6+(0-803.5)+(1.413312+(0-0.81957))+0-0-0</f>
        <v>582.69374199999993</v>
      </c>
      <c r="U22" s="3">
        <f>1375.2+(0-804.7)+(1.402704+(0-0.820794))+0-0-0</f>
        <v>571.08190999999999</v>
      </c>
      <c r="V22" s="3">
        <f>1379.5+(0-756.9)+(-2.110635+(0--1.158057))+0-0-0</f>
        <v>621.64742200000001</v>
      </c>
      <c r="W22" s="3">
        <f>1281.6+(3.4-708.5)+(-0.653616+(-0.001734--0.361335))+0-0-0</f>
        <v>576.20598499999994</v>
      </c>
      <c r="X22" s="3">
        <f>1282.2+(0-715.8)+(-3.26961+(0--1.82529))+0-0-0</f>
        <v>564.95568000000014</v>
      </c>
      <c r="Y22" s="3">
        <f>1345.5+(0-716.8)+(1.37241+(0-0.731136))+0-0-0</f>
        <v>629.341274</v>
      </c>
      <c r="Z22" s="3">
        <f>1394.5+(19.1-693.1)+(-0.711195+(-0.009741--0.353481))+0-0-0</f>
        <v>720.13254500000005</v>
      </c>
      <c r="AA22" s="3">
        <f>1391.7+(30.3-712)+(-2.839068+(-0.061812--1.45248))+0-0-0</f>
        <v>708.55160000000001</v>
      </c>
      <c r="AB22" s="3">
        <f>1403.3+(29.4-746.1)+(-1.431366+(-0.029988--0.761022))+0-0-0</f>
        <v>685.89966799999991</v>
      </c>
      <c r="AC22" s="3">
        <f>1394.7+(0-759.4)+(-2.845188+(0--1.549176))+0-0-0</f>
        <v>634.00398800000005</v>
      </c>
      <c r="AD22" s="2">
        <v>689.69999999999993</v>
      </c>
      <c r="AE22" s="3">
        <f>1403+(27.1-740.4)+(0+(0-0))+0-0-0</f>
        <v>689.7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1399.6+(0-838.1)+(-0.713796+(0--0.427431))+0-0-0</f>
        <v>561.21363499999984</v>
      </c>
      <c r="G23" s="3">
        <f>1384.3+(0-870.9)+(-2.117979+(0--1.332477))+0-0-0</f>
        <v>512.61449800000003</v>
      </c>
      <c r="H23" s="3">
        <f>1254.5+(0-773.6)+(0+(0-0))+0-0-0</f>
        <v>480.9</v>
      </c>
      <c r="I23" s="3">
        <f>1234.2+(0-772.5)+(-3.14721+(0--1.969875))+0-0-0</f>
        <v>460.52266500000002</v>
      </c>
      <c r="J23" s="3">
        <f>1251+(0-794.9)+(1.27602+(0-0.810798))+0-0-0</f>
        <v>456.56522200000001</v>
      </c>
      <c r="K23" s="3">
        <f>1238.4+(0-785.8)+(-0.631584+(0--0.400758))+0-0-0</f>
        <v>452.36917400000016</v>
      </c>
      <c r="L23" s="3">
        <f>1230+(0-782.7)+(-3.1365+(0--1.995885))+0-0-0</f>
        <v>446.15938499999993</v>
      </c>
      <c r="M23" s="3">
        <f>1267.3+(0-801.6)+(-0.646323+(0--0.408816))+0-0-0</f>
        <v>465.46249299999994</v>
      </c>
      <c r="N23" s="3">
        <f>1387.1+(0-893.1)+(-0.707421+(0--0.455481))+0-0-0</f>
        <v>493.7480599999999</v>
      </c>
      <c r="O23" s="3">
        <f>1387.8+(0-865.6)+(0.707778+(0-0.441456))+0-0-0</f>
        <v>522.46632199999988</v>
      </c>
      <c r="P23" s="3">
        <f>1374.5+(0-824.4)+(1.40199+(0-0.840888))+0-0-0</f>
        <v>550.66110200000003</v>
      </c>
      <c r="Q23" s="3">
        <f>1364.8+(19.5-807.9)+(0+(0-0))+0-0-0</f>
        <v>576.4</v>
      </c>
      <c r="R23" s="3">
        <f>1353.5+(7.3-779.7)+(-1.38057+(-0.007446--0.795294))+0-0-0</f>
        <v>580.50727799999993</v>
      </c>
      <c r="S23" s="3">
        <f>1353.5+(0-780)+(-0.690285+(0--0.3978))+0-0-0</f>
        <v>573.20751499999994</v>
      </c>
      <c r="T23" s="3">
        <f>1347.4+(0-791.9)+(-2.748696+(0--1.615476))+0-0-0</f>
        <v>554.36678000000006</v>
      </c>
      <c r="U23" s="3">
        <f>1354.1+(0-806.5)+(0+(0-0))+0-0-0</f>
        <v>547.59999999999991</v>
      </c>
      <c r="V23" s="3">
        <f>1347.2+(0-796.5)+(-2.061216+(0--1.218645))+0-0-0</f>
        <v>549.85742900000002</v>
      </c>
      <c r="W23" s="3">
        <f>1351.2+(0-802.5)+(-0.689112+(0--0.409275))+0-0-0</f>
        <v>548.420163</v>
      </c>
      <c r="X23" s="3">
        <f>1342.9+(0-807.8)+(-2.739516+(0--1.647912))+0-0-0</f>
        <v>534.00839600000018</v>
      </c>
      <c r="Y23" s="3">
        <f>1381+(8.5-819.5)+(0.70431+(0.004335-0.417945))+0-0-0</f>
        <v>570.29070000000002</v>
      </c>
      <c r="Z23" s="3">
        <f>1395.5+(7.7-727.5)+(-0.711705+(-0.003927--0.371025))+0-0-0</f>
        <v>675.35539300000005</v>
      </c>
      <c r="AA23" s="3">
        <f>1405.4+(5.8-725.4)+(-1.433508+(-0.005916--0.739908))+0-0-0</f>
        <v>685.10048400000005</v>
      </c>
      <c r="AB23" s="3">
        <f>1405.7+(8.3-774.1)+(0+(0-0))+0-0-0</f>
        <v>639.9</v>
      </c>
      <c r="AC23" s="3">
        <f>1391.1+(14.6-804.4)+(-2.837844+(-0.029784--1.640976))+0-0-0</f>
        <v>600.07334800000001</v>
      </c>
      <c r="AD23" s="2">
        <v>670.4</v>
      </c>
      <c r="AE23" s="3">
        <f>1423+(7.3-759.9)+(0+(0-0))+0-0-0</f>
        <v>670.4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1400+(38.7-884.3)+(-1.428+(-0.039474--0.901986))+0-0-0</f>
        <v>553.83451200000013</v>
      </c>
      <c r="G24" s="3">
        <f>1404.8+(58-952.8)+(-1.432896+(-0.05916--0.971856))+0-0-0</f>
        <v>509.47980000000001</v>
      </c>
      <c r="H24" s="3">
        <f>1393.8+(36.7-956.9)+(-3.55419+(-0.093585--2.440095))+0-0-0</f>
        <v>472.39232000000004</v>
      </c>
      <c r="I24" s="3">
        <f>1386.9+(26.2-953.9)+(-1.414638+(-0.026724--0.972978))+0-0-0</f>
        <v>458.73161600000014</v>
      </c>
      <c r="J24" s="3">
        <f>1254+(42.4-828.3)+(0.63954+(0.021624-0.422433))+0-0-0</f>
        <v>468.338731</v>
      </c>
      <c r="K24" s="3">
        <f>1244+(38.5-821.7)+(0.63444+(0.019635-0.419067))+0-0-0</f>
        <v>461.03500799999995</v>
      </c>
      <c r="L24" s="3">
        <f>1242.2+(34.2-828.5)+(-1.267044+(-0.034884--0.84507))+0-0-0</f>
        <v>447.44314200000008</v>
      </c>
      <c r="M24" s="3">
        <f>1248.4+(37-828.2)+(1.273368+(0.03774-0.844764))+0-0-0</f>
        <v>457.66634400000004</v>
      </c>
      <c r="N24" s="3">
        <f>1253.4+(16.4-767.6)+(2.556936+(0.033456-1.565904))+0-0-0</f>
        <v>503.22448800000006</v>
      </c>
      <c r="O24" s="3">
        <f>1391.2+(0-831.6)+(0.709512+(0-0.424116))+0-0-0</f>
        <v>559.88539600000001</v>
      </c>
      <c r="P24" s="3">
        <f>1392.4+(10.4-815.4)+(0+(0-0))+0-0-0</f>
        <v>587.40000000000009</v>
      </c>
      <c r="Q24" s="3">
        <f>1374+(10.4-786.2)+(-0.70074+(-0.005304--0.400962))+0-0-0</f>
        <v>597.89491799999996</v>
      </c>
      <c r="R24" s="3">
        <f>1357+(16.2-787.1)+(-1.38414+(-0.016524--0.802842))+0-0-0</f>
        <v>585.50217800000007</v>
      </c>
      <c r="S24" s="3">
        <f>1350.5+(31.7-797.2)+(-1.37751+(-0.032334--0.813144))+0-0-0</f>
        <v>584.40329999999994</v>
      </c>
      <c r="T24" s="3">
        <f>1344.2+(44-821.5)+(-1.371084+(-0.04488--0.83793))+0-0-0</f>
        <v>566.12196600000004</v>
      </c>
      <c r="U24" s="3">
        <f>1346.2+(48.4-839.5)+(-0.686562+(-0.024684--0.428145))+0-0-0</f>
        <v>554.81689900000003</v>
      </c>
      <c r="V24" s="3">
        <f>1339.5+(48.2-842.9)+(0+(0-0))+0-0-0</f>
        <v>544.80000000000007</v>
      </c>
      <c r="W24" s="3">
        <f>1336.9+(44.7-846.2)+(-1.363638+(-0.045594--0.863124))+0-0-0</f>
        <v>534.85389200000009</v>
      </c>
      <c r="X24" s="3">
        <f>1369.7+(31.8-863.3)+(1.397094+(0.032436-0.880566))+0-0-0</f>
        <v>538.748964</v>
      </c>
      <c r="Y24" s="3">
        <f>1461.8+(7.5-902.6)+(0+(0-0))+0-0-0</f>
        <v>566.69999999999993</v>
      </c>
      <c r="Z24" s="3">
        <f>1392.5+(13.1-743.7)+(-2.8407+(-0.026724--1.517148))+0-0-0</f>
        <v>660.54972399999997</v>
      </c>
      <c r="AA24" s="3">
        <f>1407.1+(0-740.5)+(-1.435242+(0--0.75531))+0-0-0</f>
        <v>665.9200679999999</v>
      </c>
      <c r="AB24" s="3">
        <f>1389.2+(0-750.8)+(-2.833968+(0--1.531632))+0-0-0</f>
        <v>637.09766400000012</v>
      </c>
      <c r="AC24" s="3">
        <f>1387.5+(0-794.6)+(-2.122875+(0--1.215738))+0-0-0</f>
        <v>591.99286299999994</v>
      </c>
      <c r="AD24" s="2">
        <v>646.70000000000005</v>
      </c>
      <c r="AE24" s="3">
        <f>1391+(13.7-758)+(0+(0-0))+0-0-0</f>
        <v>646.70000000000005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1387.1+(0-837.8)+(-1.414842+(0--0.854556))+0-0-0</f>
        <v>548.73971399999994</v>
      </c>
      <c r="G25" s="3">
        <f>1310.8+(0-821.4)+(-2.005524+(0--1.256742))+0-0-0</f>
        <v>488.65121799999997</v>
      </c>
      <c r="H25" s="3">
        <f>1071.7+(0-629.2)+(-1.093134+(0--0.641784))+0-0-0</f>
        <v>442.04865000000001</v>
      </c>
      <c r="I25" s="3">
        <f>1031.1+(5.9-618.8)+(-1.051722+(-0.006018--0.631176))+0-0-0</f>
        <v>417.77343599999995</v>
      </c>
      <c r="J25" s="3">
        <f>1037.4+(5.8-639.6)+(1.058148+(0.005916-0.652392))+0-0-0</f>
        <v>404.01167200000003</v>
      </c>
      <c r="K25" s="3">
        <f>1027.7+(5.8-624.7)+(-0.524127+(-0.002958--0.318597))+0-0-0</f>
        <v>408.59151199999997</v>
      </c>
      <c r="L25" s="3">
        <f>965.7+(4.1-580.3)+(-2.955042+(-0.012546--1.775718))+0-0-0</f>
        <v>388.30813000000012</v>
      </c>
      <c r="M25" s="3">
        <f>967.5+(0-605.4)+(-0.493425+(0--0.308754))+0-0-0</f>
        <v>361.91532900000004</v>
      </c>
      <c r="N25" s="3">
        <f>1242.2+(0-852.3)+(0.633522+(0-0.434673))+0-0-0</f>
        <v>390.09884900000009</v>
      </c>
      <c r="O25" s="3">
        <f>1341.8+(0-849.4)+(-0.684318+(0--0.433194))+0-0-0</f>
        <v>492.14887599999997</v>
      </c>
      <c r="P25" s="3">
        <f>1351.4+(0-874.2)+(0.689214+(0-0.445842))+0-0-0</f>
        <v>477.44337200000007</v>
      </c>
      <c r="Q25" s="3">
        <f>1344+(0-835.8)+(-1.37088+(0--0.852516))+0-0-0</f>
        <v>507.68163600000003</v>
      </c>
      <c r="R25" s="3">
        <f>1397.8+(0-882.9)+(0.712878+(0-0.450279))+0-0-0</f>
        <v>515.162599</v>
      </c>
      <c r="S25" s="3">
        <f>1421.2+(0-921.2)+(0.724812+(0-0.469812))+0-0-0</f>
        <v>500.255</v>
      </c>
      <c r="T25" s="3">
        <f>1423.6+(0-973.6)+(0.726036+(0-0.496536))+0-0-0</f>
        <v>450.22949999999986</v>
      </c>
      <c r="U25" s="3">
        <f>1416+(0-955.8)+(-1.44432+(0--0.974916))+0-0-0</f>
        <v>459.73059600000005</v>
      </c>
      <c r="V25" s="3">
        <f>1425.2+(0-898)+(1.453704+(0-0.91596))+0-0-0</f>
        <v>527.73774400000002</v>
      </c>
      <c r="W25" s="3">
        <f>1430.3+(0-875.1)+(2.188359+(0-1.338903))+0-0-0</f>
        <v>556.04945599999996</v>
      </c>
      <c r="X25" s="3">
        <f>1421.6+(0-835.2)+(-2.175048+(0--1.277856))+0-0-0</f>
        <v>585.50280799999985</v>
      </c>
      <c r="Y25" s="3">
        <f>1442.8+(0-877.4)+(0.735828+(0-0.447474))+0-0-0</f>
        <v>565.688354</v>
      </c>
      <c r="Z25" s="3">
        <f>1451.3+(0-838.4)+(-2.220489+(0--1.282752))+0-0-0</f>
        <v>611.96226300000001</v>
      </c>
      <c r="AA25" s="3">
        <f>1454+(0-847.4)+(-3.7077+(0--2.16087))+0-0-0</f>
        <v>605.05317000000002</v>
      </c>
      <c r="AB25" s="3">
        <f>1512.8+(0-940)+(-1.543056+(0--0.9588))+0-0-0</f>
        <v>572.21574399999997</v>
      </c>
      <c r="AC25" s="3">
        <f>1498.4+(0-946.2)+(-0.764184+(0--0.482562))+0-0-0</f>
        <v>551.91837800000008</v>
      </c>
      <c r="AD25" s="2">
        <v>596.4</v>
      </c>
      <c r="AE25" s="3">
        <f>1437+(0-840.6)+(0+(0-0))+0-0-0</f>
        <v>596.4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1405+(0-898.3)+(-0.71655+(0--0.458133))+0-0-0</f>
        <v>506.44158300000004</v>
      </c>
      <c r="G26" s="3">
        <f>1409+(6.7-953.6)+(0.71859+(0.003417-0.486336))+0-0-0</f>
        <v>462.33567100000005</v>
      </c>
      <c r="H26" s="3">
        <f>1403.6+(0-975.2)+(-0.715836+(0--0.497352))+0-0-0</f>
        <v>428.18151599999987</v>
      </c>
      <c r="I26" s="3">
        <f>1374.9+(0-947.8)+(-1.402398+(0--0.966756))+0-0-0</f>
        <v>426.66435800000016</v>
      </c>
      <c r="J26" s="3">
        <f>1288.3+(0-894.4)+(2.628132+(0-1.824576))+0-0-0</f>
        <v>394.70355599999999</v>
      </c>
      <c r="K26" s="3">
        <f>1280.2+(0-870.5)+(-1.305804+(0--0.88791))+0-0-0</f>
        <v>409.28210600000006</v>
      </c>
      <c r="L26" s="3">
        <f>1293.5+(0-867)+(1.979055+(0-1.32651))+0-0-0</f>
        <v>427.15254499999998</v>
      </c>
      <c r="M26" s="3">
        <f>1283.5+(0-843.6)+(-0.654585+(0--0.430236))+0-0-0</f>
        <v>439.67565099999996</v>
      </c>
      <c r="N26" s="3">
        <f>1284+(0-802.5)+(-0.65484+(0--0.409275))+0-0-0</f>
        <v>481.254435</v>
      </c>
      <c r="O26" s="3">
        <f>1280.5+(0-766.2)+(-1.30611+(0--0.781524))+0-0-0</f>
        <v>513.77541399999996</v>
      </c>
      <c r="P26" s="3">
        <f>1536.7+(0-995.9)+(-2.351151+(0--1.523727))+0-0-0</f>
        <v>539.97257600000012</v>
      </c>
      <c r="Q26" s="3">
        <f>1675.6+(0-1092)+(-3.418224+(0--2.22768))+0-0-0</f>
        <v>582.40945599999986</v>
      </c>
      <c r="R26" s="3">
        <f>1601.1+(0-1014)+(-2.449683+(0--1.55142))+0-0-0</f>
        <v>586.20173699999987</v>
      </c>
      <c r="S26" s="3">
        <f>1417.3+(0-863.5)+(-2.891292+(0--1.76154))+0-0-0</f>
        <v>552.6702479999999</v>
      </c>
      <c r="T26" s="3">
        <f>1311.6+(0-775.9)+(-2.006748+(0--1.187127))+0-0-0</f>
        <v>534.88037899999995</v>
      </c>
      <c r="U26" s="3">
        <f>1301.6+(0-759.9)+(-3.982896+(0--2.325294))+0-0-0</f>
        <v>540.04239799999993</v>
      </c>
      <c r="V26" s="3">
        <f>1315.7+(0-776.3)+(-0.671007+(0--0.395913))+0-0-0</f>
        <v>539.12490600000012</v>
      </c>
      <c r="W26" s="3">
        <f>1304.8+(0-757.9)+(-3.32724+(0--1.932645))+0-0-0</f>
        <v>545.505405</v>
      </c>
      <c r="X26" s="3">
        <f>1316.1+(0-766.1)+(-0.671211+(0--0.390711))+0-0-0</f>
        <v>549.71949999999993</v>
      </c>
      <c r="Y26" s="3">
        <f>1442.4+(0-862.1)+(0.735624+(0-0.439671))+0-0-0</f>
        <v>580.59595300000012</v>
      </c>
      <c r="Z26" s="3">
        <f>1551.6+(5.2-859)+(-3.95658+(-0.01326--2.19045))+0-0-0</f>
        <v>696.02060999999992</v>
      </c>
      <c r="AA26" s="3">
        <f>1411.1+(0-699.1)+(-3.598305+(0--1.782705))+0-0-0</f>
        <v>710.18439999999987</v>
      </c>
      <c r="AB26" s="3">
        <f>1234.3+(16.2-595)+(-0.629493+(-0.008262--0.30345))+0-0-0</f>
        <v>655.16569500000003</v>
      </c>
      <c r="AC26" s="3">
        <f>1218.5+(7-626.3)+(-2.48574+(-0.01428--1.277652))+0-0-0</f>
        <v>597.97763200000009</v>
      </c>
      <c r="AD26" s="2">
        <v>666.7</v>
      </c>
      <c r="AE26" s="3">
        <f>1554+(2.5-889.8)+(0+(0-0))+0-0-0</f>
        <v>666.7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1227.9+(0-683.2)+(-2.504916+(0--1.393728))+0-0-0</f>
        <v>543.58881200000008</v>
      </c>
      <c r="G27" s="3">
        <f>1220.6+(0-734.9)+(-1.867518+(0--1.124397))+0-0-0</f>
        <v>484.95687899999996</v>
      </c>
      <c r="H27" s="3">
        <f>1222.5+(3.3-759.4)+(0+(0-0))+0-0-0</f>
        <v>466.4</v>
      </c>
      <c r="I27" s="3">
        <f>1224.2+(5.1-770.2)+(-1.248684+(-0.005202--0.785604))+0-0-0</f>
        <v>458.63171800000003</v>
      </c>
      <c r="J27" s="3">
        <f>1224.8+(5.5-779.1)+(0+(0-0))+0-0-0</f>
        <v>451.19999999999993</v>
      </c>
      <c r="K27" s="3">
        <f>1230.9+(7.2-780.3)+(0+(0-0))+0-0-0</f>
        <v>457.80000000000018</v>
      </c>
      <c r="L27" s="3">
        <f>1236.1+(11.5-796.7)+(1.891233+(0.017595-1.218951))+0-0-0</f>
        <v>451.58987699999989</v>
      </c>
      <c r="M27" s="3">
        <f>1452.4+(3-983.6)+(-1.481448+(-0.00306--1.003272))+0-0-0</f>
        <v>471.31876400000004</v>
      </c>
      <c r="N27" s="3">
        <f>1561.1+(0-1099.6)+(-0.796161+(0--0.560796))+0-0-0</f>
        <v>461.264635</v>
      </c>
      <c r="O27" s="3">
        <f>1556.4+(0-1089.2)+(0+(0-0))+0-0-0</f>
        <v>467.20000000000005</v>
      </c>
      <c r="P27" s="3">
        <f>1556.1+(0-1073.8)+(-1.587222+(0--1.095276))+0-0-0</f>
        <v>481.80805399999997</v>
      </c>
      <c r="Q27" s="3">
        <f>1547.4+(0-1063.2)+(-2.367522+(0--1.626696))+0-0-0</f>
        <v>483.45917400000002</v>
      </c>
      <c r="R27" s="3">
        <f>1626.9+(0-1043.5)+(-1.659438+(0--1.06437))+0-0-0</f>
        <v>582.80493200000012</v>
      </c>
      <c r="S27" s="3">
        <f>1619.8+(0-1051.4)+(-3.304392+(0--2.144856))+0-0-0</f>
        <v>567.24046399999986</v>
      </c>
      <c r="T27" s="3">
        <f>1619+(0-1059.2)+(-0.82569+(0--0.540192))+0-0-0</f>
        <v>559.51450199999999</v>
      </c>
      <c r="U27" s="3">
        <f>1604.3+(0-1065.6)+(-4.090965+(0--2.71728))+0-0-0</f>
        <v>537.32631500000002</v>
      </c>
      <c r="V27" s="3">
        <f>1599.3+(0-1069.3)+(-4.893858+(0--3.272058))+0-0-0</f>
        <v>528.37819999999999</v>
      </c>
      <c r="W27" s="3">
        <f>1587.9+(0-1053.5)+(-2.429487+(0--1.611855))+0-0-0</f>
        <v>533.58236800000009</v>
      </c>
      <c r="X27" s="3">
        <f>1538.3+(0-1011.7)+(-1.569066+(0--1.031934))+0-0-0</f>
        <v>526.06286799999987</v>
      </c>
      <c r="Y27" s="3">
        <f>1542.6+(0-983.8)+(0.786726+(0-0.501738))+0-0-0</f>
        <v>559.08498799999995</v>
      </c>
      <c r="Z27" s="3">
        <f>1619.4+(0-928.1)+(-2.477682+(0--1.419993))+0-0-0</f>
        <v>690.24231100000009</v>
      </c>
      <c r="AA27" s="3">
        <f>1601.6+(0-904.5)+(-2.450448+(0--1.383885))+0-0-0</f>
        <v>696.03343699999994</v>
      </c>
      <c r="AB27" s="3">
        <f>1563+(0-892.9)+(-1.59426+(0--0.910758))+0-0-0</f>
        <v>669.41649800000005</v>
      </c>
      <c r="AC27" s="3">
        <f>1563.5+(0-943.3)+(0+(0-0))+0-0-0</f>
        <v>620.20000000000005</v>
      </c>
      <c r="AD27" s="2">
        <v>669.7</v>
      </c>
      <c r="AE27" s="3">
        <f>1615+(0-945.3)+(0+(0-0))+0-0-0</f>
        <v>669.7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1498.1+(0-965.7)+(-2.292093+(0--1.477521))+0-0-0</f>
        <v>531.58542799999987</v>
      </c>
      <c r="G28" s="3">
        <f>1242.9+(0-784.6)+(-1.901637+(0--1.200438))+0-0-0</f>
        <v>457.59880100000009</v>
      </c>
      <c r="H28" s="3">
        <f>1241.9+(0-808.8)+(-1.900107+(0--1.237464))+0-0-0</f>
        <v>432.43735700000013</v>
      </c>
      <c r="I28" s="3">
        <f>1244.4+(0-821.2)+(0+(0-0))+0-0-0</f>
        <v>423.20000000000005</v>
      </c>
      <c r="J28" s="3">
        <f>1249.4+(0-830.3)+(1.274388+(0-0.846906))+0-0-0</f>
        <v>419.52748200000013</v>
      </c>
      <c r="K28" s="3">
        <f>1245+(0-811.2)+(0+(0-0))+0-0-0</f>
        <v>433.79999999999995</v>
      </c>
      <c r="L28" s="3">
        <f>1328.8+(0-907.2)+(-2.033064+(0--1.388016))+0-0-0</f>
        <v>420.95495199999993</v>
      </c>
      <c r="M28" s="3">
        <f>1453.8+(0-1003.1)+(0+(0-0))+0-0-0</f>
        <v>450.69999999999993</v>
      </c>
      <c r="N28" s="3">
        <f>1608.9+(0-1110.1)+(-0.820539+(0--0.566151))+0-0-0</f>
        <v>498.54561200000018</v>
      </c>
      <c r="O28" s="3">
        <f>1608.1+(0-1086.7)+(-1.640262+(0--1.108434))+0-0-0</f>
        <v>520.86817199999984</v>
      </c>
      <c r="P28" s="3">
        <f>1605.5+(0-1065.2)+(0.818805+(0-0.543252))+0-0-0</f>
        <v>540.5755529999999</v>
      </c>
      <c r="Q28" s="3">
        <f>1616.6+(0-1057.2)+(0.824466+(0-0.539172))+0-0-0</f>
        <v>559.68529399999989</v>
      </c>
      <c r="R28" s="3">
        <f>1610.3+(0-1043.4)+(0.821253+(0-0.532134))+0-0-0</f>
        <v>567.18911899999989</v>
      </c>
      <c r="S28" s="3">
        <f>1612+(0-1054.9)+(0.82212+(0-0.537999))+0-0-0</f>
        <v>557.38412099999994</v>
      </c>
      <c r="T28" s="3">
        <f>1604.7+(0-1072.7)+(2.455191+(0-1.641231))+0-0-0</f>
        <v>532.81395999999995</v>
      </c>
      <c r="U28" s="3">
        <f>1577.4+(0-1051.7)+(-1.608948+(0--1.072734))+0-0-0</f>
        <v>525.16378600000007</v>
      </c>
      <c r="V28" s="3">
        <f>1581.1+(0-1033.6)+(-0.806361+(0--0.527136))+0-0-0</f>
        <v>547.220775</v>
      </c>
      <c r="W28" s="3">
        <f>1568.8+(0-1020.2)+(-0.800088+(0--0.520302))+0-0-0</f>
        <v>548.32021399999996</v>
      </c>
      <c r="X28" s="3">
        <f>1561.7+(0-1022.7)+(-3.185868+(0--2.086308))+0-0-0</f>
        <v>537.90044</v>
      </c>
      <c r="Y28" s="3">
        <f>1616.9+(0-1033.4)+(2.473857+(0-1.581102))+0-0-0</f>
        <v>584.39275499999997</v>
      </c>
      <c r="Z28" s="3">
        <f>1625.3+(0-954.1)+(-0.828903+(0--0.486591))+0-0-0</f>
        <v>670.85768799999994</v>
      </c>
      <c r="AA28" s="3">
        <f>1627.5+(0-942.2)+(-2.490075+(0--1.441566))+0-0-0</f>
        <v>684.25149099999999</v>
      </c>
      <c r="AB28" s="3">
        <f>1611+(0-961.4)+(-4.10805+(0--2.45157))+0-0-0</f>
        <v>647.94352000000003</v>
      </c>
      <c r="AC28" s="3">
        <f>1637.8+(0-1035.2)+(0.835278+(0-0.527952))+0-0-0</f>
        <v>602.9073259999999</v>
      </c>
      <c r="AD28" s="2">
        <v>665.7</v>
      </c>
      <c r="AE28" s="3">
        <f>1621+(0-955.3)+(0+(0-0))+0-0-0</f>
        <v>665.7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1566.6+(0-1087.1)+(-1.597932+(0--1.108842))+0-0-0</f>
        <v>479.01091000000002</v>
      </c>
      <c r="G29" s="3">
        <f>1529.9+(0-1113.5)+(-3.120996+(0--2.27154))+0-0-0</f>
        <v>415.55054400000012</v>
      </c>
      <c r="H29" s="3">
        <f>1489.4+(0-1076.8)+(-0.759594+(0--0.549168))+0-0-0</f>
        <v>412.38957400000015</v>
      </c>
      <c r="I29" s="3">
        <f>1318.9+(11.4-900.1)+(0.672639+(0.005814-0.459051))+0-0-0</f>
        <v>430.41940200000005</v>
      </c>
      <c r="J29" s="3">
        <f>1322+(0-896.1)+(-0.67422+(0--0.457011))+0-0-0</f>
        <v>425.68279099999995</v>
      </c>
      <c r="K29" s="3">
        <f>1325.8+(0-878.2)+(0.676158+(0-0.447882))+0-0-0</f>
        <v>447.8282759999999</v>
      </c>
      <c r="L29" s="3">
        <f>1327.4+(0-868.5)+(-1.353948+(0--0.88587))+0-0-0</f>
        <v>458.4319220000001</v>
      </c>
      <c r="M29" s="3">
        <f>1491+(0-994.8)+(1.52082+(0-1.014696))+0-0-0</f>
        <v>496.70612400000005</v>
      </c>
      <c r="N29" s="3">
        <f>1605.9+(0-1099.4)+(1.638018+(0-1.121388))+0-0-0</f>
        <v>507.01663000000002</v>
      </c>
      <c r="O29" s="3">
        <f>1602.9+(0-1062)+(1.634958+(0-1.08324))+0-0-0</f>
        <v>541.45171800000014</v>
      </c>
      <c r="P29" s="3">
        <f>1581.2+(0-1017.7)+(1.612824+(0-1.038054))+0-0-0</f>
        <v>564.07476999999994</v>
      </c>
      <c r="Q29" s="3">
        <f>1549+(0-999.5)+(-4.73994+(0--3.05847))+0-0-0</f>
        <v>547.81853000000001</v>
      </c>
      <c r="R29" s="3">
        <f>1573.8+(0-1023.2)+(1.605276+(0-1.043664))+0-0-0</f>
        <v>551.16161199999988</v>
      </c>
      <c r="S29" s="3">
        <f>1552.8+(0-1025.6)+(-1.583856+(0--1.046112))+0-0-0</f>
        <v>526.66225600000007</v>
      </c>
      <c r="T29" s="3">
        <f>1542.3+(0-1009.9)+(-4.719438+(0--3.090294))+0-0-0</f>
        <v>530.77085599999998</v>
      </c>
      <c r="U29" s="3">
        <f>1545.6+(0-1030.3)+(-3.153024+(0--2.101812))+0-0-0</f>
        <v>514.24878799999999</v>
      </c>
      <c r="V29" s="3">
        <f>1341.1+(0-803.5)+(-0.683961+(0--0.409785))+0-0-0</f>
        <v>537.3258239999999</v>
      </c>
      <c r="W29" s="3">
        <f>1293.9+(0-744.9)+(2.639556+(0-1.519596))+0-0-0</f>
        <v>550.11996000000011</v>
      </c>
      <c r="X29" s="3">
        <f>1284.3+(0-790.3)+(-1.309986+(0--0.806106))+0-0-0</f>
        <v>493.49612000000002</v>
      </c>
      <c r="Y29" s="3">
        <f>1500.4+(0-961.3)+(-1.530408+(0--0.980526))+0-0-0</f>
        <v>538.55011800000011</v>
      </c>
      <c r="Z29" s="3">
        <f>1634.3+(0-967.9)+(-2.500479+(0--1.480887))+0-0-0</f>
        <v>665.38040799999999</v>
      </c>
      <c r="AA29" s="3">
        <f>1629+(0-959.5)+(-1.66158+(0--0.97869))+0-0-0</f>
        <v>668.81710999999996</v>
      </c>
      <c r="AB29" s="3">
        <f>1619.2+(0-987.2)+(-1.651584+(0--1.006944))+0-0-0</f>
        <v>631.35536000000002</v>
      </c>
      <c r="AC29" s="3">
        <f>1621.5+(0-1037.1)+(-1.65393+(0--1.057842))+0-0-0</f>
        <v>583.80391200000008</v>
      </c>
      <c r="AD29" s="2">
        <v>674.3</v>
      </c>
      <c r="AE29" s="3">
        <f>1636+(0-961.7)+(0+(0-0))+0-0-0</f>
        <v>674.3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1612.2+(0-1096.1)+(-2.466666+(0--1.677033))+0-0-0</f>
        <v>515.31036700000016</v>
      </c>
      <c r="G30" s="3">
        <f>1490.8+(0-1025.2)+(-0.760308+(0--0.522852))+0-0-0</f>
        <v>465.3625439999999</v>
      </c>
      <c r="H30" s="3">
        <f>1409+(9-978.9)+(2.15577+(0.01377-1.497717))+0-0-0</f>
        <v>439.77182300000004</v>
      </c>
      <c r="I30" s="3">
        <f>1393.1+(14.6-967)+(-1.420962+(-0.014892--0.98634))+0-0-0</f>
        <v>440.25048599999991</v>
      </c>
      <c r="J30" s="3">
        <f>1394.5+(12.8-973)+(-1.42239+(-0.013056--0.99246))+0-0-0</f>
        <v>433.85701399999994</v>
      </c>
      <c r="K30" s="3">
        <f>1388.3+(7-972.7)+(-2.832132+(-0.01428--1.984308))+0-0-0</f>
        <v>421.73789599999992</v>
      </c>
      <c r="L30" s="3">
        <f>1387.8+(0-956.7)+(-2.831112+(0--1.951668))+0-0-0</f>
        <v>430.22055599999993</v>
      </c>
      <c r="M30" s="3">
        <f>1400.1+(0-943.6)+(0.714051+(0-0.481236))+0-0-0</f>
        <v>456.7328149999999</v>
      </c>
      <c r="N30" s="3">
        <f>1450.8+(0-961.6)+(0.739908+(0-0.490416))+0-0-0</f>
        <v>489.44949199999991</v>
      </c>
      <c r="O30" s="3">
        <f>1639.6+(0-1100.3)+(0.836196+(0-0.561153))+0-0-0</f>
        <v>539.57504299999994</v>
      </c>
      <c r="P30" s="3">
        <f>1636.9+(0-1079.7)+(0.834819+(0-0.550647))+0-0-0</f>
        <v>557.48417200000006</v>
      </c>
      <c r="Q30" s="3">
        <f>1629.2+(0-1060.4)+(-0.830892+(0--0.540804))+0-0-0</f>
        <v>568.50991199999999</v>
      </c>
      <c r="R30" s="3">
        <f>1639.8+(0-1060.6)+(0.836298+(0-0.540906))+0-0-0</f>
        <v>579.49539200000004</v>
      </c>
      <c r="S30" s="3">
        <f>1621.9+(0-1058.1)+(-4.135845+(0--2.698155))+0-0-0</f>
        <v>562.36231000000021</v>
      </c>
      <c r="T30" s="3">
        <f>1633.4+(0-1098.2)+(-0.833034+(0--0.560082))+0-0-0</f>
        <v>534.92704800000001</v>
      </c>
      <c r="U30" s="3">
        <f>1619.4+(0-1109.2)+(-3.303576+(0--2.262768))+0-0-0</f>
        <v>509.15919200000002</v>
      </c>
      <c r="V30" s="3">
        <f>1629.5+(0-1140.1)+(-0.831045+(0--0.581451))+0-0-0</f>
        <v>489.15040600000009</v>
      </c>
      <c r="W30" s="3">
        <f>1627.1+(0-1130.2)+(-3.319284+(0--2.305608))+0-0-0</f>
        <v>495.88632399999989</v>
      </c>
      <c r="X30" s="3">
        <f>1636.7+(0-1136.3)+(-2.504151+(0--1.738539))+0-0-0</f>
        <v>499.63438800000011</v>
      </c>
      <c r="Y30" s="3">
        <f>1636.2+(0-1110.8)+(-4.17231+(0--2.83254))+0-0-0</f>
        <v>524.06023000000005</v>
      </c>
      <c r="Z30" s="3">
        <f>1659.6+(0-1000.1)+(-2.539188+(0--1.530153))+0-0-0</f>
        <v>658.49096499999985</v>
      </c>
      <c r="AA30" s="3">
        <f>1593.7+(0-920.6)+(-4.063935+(0--2.34753))+0-0-0</f>
        <v>671.38359500000001</v>
      </c>
      <c r="AB30" s="3">
        <f>1562.4+(0-927.4)+(-2.390472+(0--1.418922))+0-0-0</f>
        <v>634.02845000000013</v>
      </c>
      <c r="AC30" s="3">
        <f>1456.5+(0-861.5)+(-2.97126+(0--1.75746))+0-0-0</f>
        <v>593.78620000000001</v>
      </c>
      <c r="AD30" s="2">
        <v>652.1</v>
      </c>
      <c r="AE30" s="3">
        <f>1654+(0-1001.9)+(0+(0-0))+0-0-0</f>
        <v>652.1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1309.4+(0-766.1)+(-2.671176+(0--1.562844))+0-0-0</f>
        <v>542.19166800000005</v>
      </c>
      <c r="G31" s="3">
        <f>1312.3+(3.2-829.7)+(-2.007819+(-0.004896--1.269441))+0-0-0</f>
        <v>485.05672599999997</v>
      </c>
      <c r="H31" s="3">
        <f>1306.8+(0-851.7)+(-3.33234+(0--2.171835))+0-0-0</f>
        <v>453.93949499999991</v>
      </c>
      <c r="I31" s="3">
        <f>1240+(0-790.4)+(0+(0-0))+0-0-0</f>
        <v>449.6</v>
      </c>
      <c r="J31" s="3">
        <f>1197+(0-755.1)+(-0.61047+(0--0.385101))+0-0-0</f>
        <v>441.67463099999998</v>
      </c>
      <c r="K31" s="3">
        <f>1201.8+(0-764)+(0.612918+(0-0.38964))+0-0-0</f>
        <v>438.02327799999995</v>
      </c>
      <c r="L31" s="3">
        <f>1183.6+(0-757.9)+(-0.603636+(0--0.386529))+0-0-0</f>
        <v>425.48289299999993</v>
      </c>
      <c r="M31" s="3">
        <f>1165.4+(0-734.3)+(0.594354+(0-0.374493))+0-0-0</f>
        <v>431.31986100000012</v>
      </c>
      <c r="N31" s="3">
        <f>1207.5+(0-732.2)+(-0.615825+(0--0.373422))+0-0-0</f>
        <v>475.05759699999993</v>
      </c>
      <c r="O31" s="3">
        <f>1346.8+(0-828)+(-1.373736+(0--0.84456))+0-0-0</f>
        <v>518.27082399999995</v>
      </c>
      <c r="P31" s="3">
        <f>1352.2+(0-800.5)+(0.689622+(0-0.408255))+0-0-0</f>
        <v>551.98136700000009</v>
      </c>
      <c r="Q31" s="3">
        <f>1325.5+(0-755.1)+(-4.05603+(0--2.310606))+0-0-0</f>
        <v>568.65457600000002</v>
      </c>
      <c r="R31" s="3">
        <f>1356.6+(0-789.5)+(-2.767464+(0--1.61058))+0-0-0</f>
        <v>565.94311599999992</v>
      </c>
      <c r="S31" s="3">
        <f>1423.7+(0-868.4)+(-3.630435+(0--2.21442))+0-0-0</f>
        <v>553.88398500000005</v>
      </c>
      <c r="T31" s="3">
        <f>1372.5+(0-824)+(0+(0-0))+0-0-0</f>
        <v>548.5</v>
      </c>
      <c r="U31" s="3">
        <f>1228.1+(0-683.5)+(-1.252662+(0--0.69717))+0-0-0</f>
        <v>544.04450799999995</v>
      </c>
      <c r="V31" s="3">
        <f>1104.9+(17.3-591.5)+(-0.563499+(-0.008823--0.301665))+0-0-0</f>
        <v>530.42934300000002</v>
      </c>
      <c r="W31" s="3">
        <f>1172.5+(0-636.7)+(-1.19595+(0--0.649434))+0-0-0</f>
        <v>535.25348399999996</v>
      </c>
      <c r="X31" s="3">
        <f>1226.1+(0-688.9)+(1.250622+(0-0.702678))+0-0-0</f>
        <v>537.74794399999996</v>
      </c>
      <c r="Y31" s="3">
        <f>1446.1+(0-898.1)+(0.737511+(0-0.458031))+0-0-0</f>
        <v>548.27947999999992</v>
      </c>
      <c r="Z31" s="3">
        <f>1587.9+(0-912.7)+(-2.429487+(0--1.396431))+0-0-0</f>
        <v>674.16694400000006</v>
      </c>
      <c r="AA31" s="3">
        <f>1594.8+(0-909.1)+(-2.440044+(0--1.390923))+0-0-0</f>
        <v>684.65087899999992</v>
      </c>
      <c r="AB31" s="3">
        <f>1597.6+(0-949.2)+(-2.444328+(0--1.452276))+0-0-0</f>
        <v>647.40794799999992</v>
      </c>
      <c r="AC31" s="3">
        <f>1599.5+(0-998.4)+(-1.63149+(0--1.018368))+0-0-0</f>
        <v>600.48687800000005</v>
      </c>
      <c r="AD31" s="2">
        <v>645.29999999999995</v>
      </c>
      <c r="AE31" s="3">
        <f>1581+(0-935.7)+(0+(0-0))+0-0-0</f>
        <v>645.29999999999995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1562.6+(0-1023.8)+(-0.796926+(0--0.522138))+0-0-0</f>
        <v>538.52521200000001</v>
      </c>
      <c r="G32" s="3">
        <f>1424.3+(0-920.5)+(-1.452786+(0--0.93891))+0-0-0</f>
        <v>503.28612399999997</v>
      </c>
      <c r="H32" s="3">
        <f>1246+(0-791)+(-1.27092+(0--0.80682))+0-0-0</f>
        <v>454.53590000000003</v>
      </c>
      <c r="I32" s="3">
        <f>1246+(0-808)+(0+(0-0))+0-0-0</f>
        <v>438</v>
      </c>
      <c r="J32" s="3">
        <f>1250.9+(0-815.4)+(0+(0-0))+0-0-0</f>
        <v>435.50000000000011</v>
      </c>
      <c r="K32" s="3">
        <f>1243.3+(0-809.7)+(-1.268166+(0--0.825894))+0-0-0</f>
        <v>433.15772799999991</v>
      </c>
      <c r="L32" s="3">
        <f>1246.5+(0-847.1)+(0+(0-0))+0-0-0</f>
        <v>399.4</v>
      </c>
      <c r="M32" s="3">
        <f>1244.3+(0-859.6)+(0+(0-0))+0-0-0</f>
        <v>384.69999999999993</v>
      </c>
      <c r="N32" s="3">
        <f>1467.9+(0-1057.8)+(1.497258+(0-1.078956))+0-0-0</f>
        <v>410.51830200000012</v>
      </c>
      <c r="O32" s="3">
        <f>1581.9+(0-1128.5)+(1.613538+(0-1.15107))+0-0-0</f>
        <v>453.86246800000009</v>
      </c>
      <c r="P32" s="3">
        <f>1573.8+(0-1089.9)+(0+(0-0))+0-0-0</f>
        <v>483.89999999999986</v>
      </c>
      <c r="Q32" s="3">
        <f>1560.2+(0-1053.5)+(-2.387106+(0--1.611855))+0-0-0</f>
        <v>505.92474900000002</v>
      </c>
      <c r="R32" s="3">
        <f>1562.2+(0-1070.3)+(0+(0-0))+0-0-0</f>
        <v>491.90000000000009</v>
      </c>
      <c r="S32" s="3">
        <f>1548.5+(0-1074.6)+(-3.15894+(0--2.192184))+0-0-0</f>
        <v>472.93324400000012</v>
      </c>
      <c r="T32" s="3">
        <f>1621.4+(0-1173.7)+(0+(0-0))+0-0-0</f>
        <v>447.70000000000005</v>
      </c>
      <c r="U32" s="3">
        <f>1645.2+(0-1211.3)+(-5.034312+(0--3.706578))+0-0-0</f>
        <v>432.57226600000007</v>
      </c>
      <c r="V32" s="3">
        <f>1395.8+(0-980.5)+(0.711858+(0-0.500055))+0-0-0</f>
        <v>415.51180299999993</v>
      </c>
      <c r="W32" s="3">
        <f>1340.6+(0-931.5)+(-0.683706+(0--0.475065))+0-0-0</f>
        <v>408.89135899999991</v>
      </c>
      <c r="X32" s="3">
        <f>1346.6+(0-919.2)+(0+(0-0))+0-0-0</f>
        <v>427.39999999999986</v>
      </c>
      <c r="Y32" s="3">
        <f>1363.3+(0-909.8)+(0+(0-0))+0-0-0</f>
        <v>453.5</v>
      </c>
      <c r="Z32" s="3">
        <f>1637.2+(0-1064.1)+(-1.669944+(0--1.085382))+0-0-0</f>
        <v>572.51543800000013</v>
      </c>
      <c r="AA32" s="3">
        <f>1613.6+(0-1023.2)+(-2.468808+(0--1.565496))+0-0-0</f>
        <v>589.49668799999984</v>
      </c>
      <c r="AB32" s="3">
        <f>1519.2+(0-965.8)+(-3.099168+(0--1.970232))+0-0-0</f>
        <v>552.27106400000014</v>
      </c>
      <c r="AC32" s="3">
        <f>1331.1+(0-821.7)+(-0.678861+(0--0.419067))+0-0-0</f>
        <v>509.14020599999986</v>
      </c>
      <c r="AD32" s="2">
        <v>582.20000000000005</v>
      </c>
      <c r="AE32" s="3">
        <f>1621+(0-1038.8)+(0+(0-0))+0-0-0</f>
        <v>582.20000000000005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1310.9+(0-837.6)+(-1.337118+(0--0.854352))+0-0-0</f>
        <v>472.81723400000004</v>
      </c>
      <c r="G33" s="3">
        <f>1312.1+(0-869.6)+(-1.338342+(0--0.886992))+0-0-0</f>
        <v>442.0486499999999</v>
      </c>
      <c r="H33" s="3">
        <f>1299+(0-859)+(-3.31245+(0--2.19045))+0-0-0</f>
        <v>438.87799999999999</v>
      </c>
      <c r="I33" s="3">
        <f>1323.7+(0-881.6)+(1.350174+(0-0.899232))+0-0-0</f>
        <v>442.55094200000002</v>
      </c>
      <c r="J33" s="3">
        <f>1320.8+(0-885.6)+(1.347216+(0-0.903312))+0-0-0</f>
        <v>435.64390399999991</v>
      </c>
      <c r="K33" s="3">
        <f>1319.3+(0-877.2)+(0.672843+(0-0.447372))+0-0-0</f>
        <v>442.32547099999994</v>
      </c>
      <c r="L33" s="3">
        <f>1324.2+(0-886)+(-0.675342+(0--0.45186))+0-0-0</f>
        <v>437.97651800000006</v>
      </c>
      <c r="M33" s="3">
        <f>1540.8+(0-1072.7)+(0.785808+(0-0.547077))+0-0-0</f>
        <v>468.33873099999988</v>
      </c>
      <c r="N33" s="3">
        <f>1550+(0-1024.2)+(0+(0-0))+0-0-0</f>
        <v>525.79999999999995</v>
      </c>
      <c r="O33" s="3">
        <f>1552.2+(0-1002.1)+(0.791622+(0-0.511071))+0-0-0</f>
        <v>550.38055099999997</v>
      </c>
      <c r="P33" s="3">
        <f>1614.7+(19.8-1060.2)+(1.646994+(0.020196-1.081404))+0-0-0</f>
        <v>574.88578599999994</v>
      </c>
      <c r="Q33" s="3">
        <f>1601.2+(20.8-1035)+(-0.816612+(-0.010608--0.52785))+0-0-0</f>
        <v>586.70063000000005</v>
      </c>
      <c r="R33" s="3">
        <f>1586+(20.7-1048.7)+(-3.23544+(-0.042228--2.139348))+0-0-0</f>
        <v>556.86167999999998</v>
      </c>
      <c r="S33" s="3">
        <f>1588.8+(19.7-1069.2)+(-4.05144+(-0.050235--2.72646))+0-0-0</f>
        <v>537.92478499999993</v>
      </c>
      <c r="T33" s="3">
        <f>1589.3+(19.2-1093.6)+(-1.621086+(-0.019584--1.115472))+0-0-0</f>
        <v>514.37480200000005</v>
      </c>
      <c r="U33" s="3">
        <f>1600.1+(18.6-1110.7)+(1.632102+(0.018972-1.132914))+0-0-0</f>
        <v>508.5181599999998</v>
      </c>
      <c r="V33" s="3">
        <f>1583.4+(3.2-1085.9)+(-2.422602+(-0.004896--1.661427))+0-0-0</f>
        <v>499.93392900000003</v>
      </c>
      <c r="W33" s="3">
        <f>1589.5+(0-1087.8)+(-0.810645+(0--0.554778))+0-0-0</f>
        <v>501.44413300000002</v>
      </c>
      <c r="X33" s="3">
        <f>1395.5+(0-896.5)+(-3.558525+(0--2.286075))+0-0-0</f>
        <v>497.72755000000001</v>
      </c>
      <c r="Y33" s="3">
        <f>1269+(0-884.1)+(0.64719+(0-0.450891))+0-0-0</f>
        <v>385.09629899999999</v>
      </c>
      <c r="Z33" s="3">
        <f>1582+(0-933.8)+(-3.22728+(0--1.904952))+0-0-0</f>
        <v>646.87767200000008</v>
      </c>
      <c r="AA33" s="3">
        <f>1526.9+(0-855)+(-3.893595+(0--2.18025))+0-0-0</f>
        <v>670.18665500000009</v>
      </c>
      <c r="AB33" s="3">
        <f>1504+(0-866.5)+(-3.8352+(0--2.209575))+0-0-0</f>
        <v>635.87437499999999</v>
      </c>
      <c r="AC33" s="3">
        <f>1504.1+(0-914.7)+(-2.301273+(0--1.399491))+0-0-0</f>
        <v>588.49821799999984</v>
      </c>
      <c r="AD33" s="2">
        <v>674.4</v>
      </c>
      <c r="AE33" s="3">
        <f>1616+(0-941.6)+(0+(0-0))+0-0-0</f>
        <v>674.4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1508.4+(0-978.5)+(-1.538568+(0--0.99807))+0-0-0</f>
        <v>529.35950200000013</v>
      </c>
      <c r="G34" s="3">
        <f>1442.5+(0-963.7)+(-1.47135+(0--0.982974))+0-0-0</f>
        <v>478.31162399999994</v>
      </c>
      <c r="H34" s="3">
        <f>1381.6+(0-932.6)+(-1.409232+(0--0.951252))+0-0-0</f>
        <v>448.54201999999987</v>
      </c>
      <c r="I34" s="3">
        <f>1380.1+(0-945.5)+(-0.703851+(0--0.482205))+0-0-0</f>
        <v>434.37835399999989</v>
      </c>
      <c r="J34" s="3">
        <f>1375.4+(0-945.9)+(-2.805816+(0--1.929636))+0-0-0</f>
        <v>428.62382000000014</v>
      </c>
      <c r="K34" s="3">
        <f>1393.3+(0-960.7)+(1.421166+(0-0.979914))+0-0-0</f>
        <v>433.04125199999993</v>
      </c>
      <c r="L34" s="3">
        <f>1364.1+(0-930.9)+(-0.695691+(0--0.474759))+0-0-0</f>
        <v>432.97906799999993</v>
      </c>
      <c r="M34" s="3">
        <f>1305.8+(0-852.9)+(1.997874+(0-1.304937))+0-0-0</f>
        <v>453.59293699999995</v>
      </c>
      <c r="N34" s="3">
        <f>1592.5+(0-1098)+(1.62435+(0-1.11996))+0-0-0</f>
        <v>495.00439</v>
      </c>
      <c r="O34" s="3">
        <f>1625.9+(0-1099.4)+(-0.829209+(0--0.560694))+0-0-0</f>
        <v>526.23148500000002</v>
      </c>
      <c r="P34" s="3">
        <f>1626.6+(16-1100.3)+(-0.829566+(-0.00816--0.561153))+0-0-0</f>
        <v>542.02342699999997</v>
      </c>
      <c r="Q34" s="3">
        <f>1557.9+(16-996.8)+(-2.383587+(-0.02448--1.525104))+0-0-0</f>
        <v>576.21703700000012</v>
      </c>
      <c r="R34" s="3">
        <f>1398.4+(37.5-874.5)+(0+(0-0))+0-0-0</f>
        <v>561.40000000000009</v>
      </c>
      <c r="S34" s="3">
        <f>1300.9+(58.9-806.6)+(-3.317295+(-0.150195--2.05683))+0-0-0</f>
        <v>551.78934000000004</v>
      </c>
      <c r="T34" s="3">
        <f>1316.1+(21.5-805.8)+(1.342422+(0.02193-0.821916))+0-0-0</f>
        <v>532.34243599999991</v>
      </c>
      <c r="U34" s="3">
        <f>1293.5+(18.8-804.5)+(-1.979055+(-0.028764--1.230885))+0-0-0</f>
        <v>507.02306599999997</v>
      </c>
      <c r="V34" s="3">
        <f>1304.3+(0-795.2)+(-0.665193+(0--0.405552))+0-0-0</f>
        <v>508.84035899999992</v>
      </c>
      <c r="W34" s="3">
        <f>1299.7+(0-790.2)+(-1.988541+(0--1.209006))+0-0-0</f>
        <v>508.72046499999999</v>
      </c>
      <c r="X34" s="3">
        <f>1268.3+(0-773.9)+(-0.646833+(0--0.394689))+0-0-0</f>
        <v>494.14785599999999</v>
      </c>
      <c r="Y34" s="3">
        <f>1296.7+(0-793.9)+(0+(0-0))+0-0-0</f>
        <v>502.80000000000007</v>
      </c>
      <c r="Z34" s="3">
        <f>1542.1+(0-899.2)+(0+(0-0))+0-0-0</f>
        <v>642.89999999999986</v>
      </c>
      <c r="AA34" s="3">
        <f>1630.7+(0-959)+(-3.326628+(0--1.95636))+0-0-0</f>
        <v>670.32973200000004</v>
      </c>
      <c r="AB34" s="3">
        <f>1619+(0-983.8)+(-1.65138+(0--1.003476))+0-0-0</f>
        <v>634.55209600000001</v>
      </c>
      <c r="AC34" s="3">
        <f>1443.1+(0-835.8)+(-0.735981+(0--0.426258))+0-0-0</f>
        <v>606.99027699999999</v>
      </c>
      <c r="AD34" s="2">
        <v>724.60000000000014</v>
      </c>
      <c r="AE34" s="3">
        <f>1629+(9.4-913.8)+(0+(0-0))+0-0-0</f>
        <v>724.6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1401.1+(0-861.9)+(-2.858244+(0--1.758276))+0-0-0</f>
        <v>538.10003199999994</v>
      </c>
      <c r="G35" s="3">
        <f>1404+(0-915.9)+(-0.71604+(0--0.467109))+0-0-0</f>
        <v>487.851069</v>
      </c>
      <c r="H35" s="3">
        <f>1356.7+(0-892.1)+(-0.691917+(0--0.454971))+0-0-0</f>
        <v>464.36305400000003</v>
      </c>
      <c r="I35" s="3">
        <f>1326.1+(0-867.2)+(2.028933+(0-1.326816))+0-0-0</f>
        <v>459.60211699999985</v>
      </c>
      <c r="J35" s="3">
        <f>1306.1+(0-855.5)+(-1.998333+(0--1.308915))+0-0-0</f>
        <v>449.91058199999992</v>
      </c>
      <c r="K35" s="3">
        <f>1314.9+(0-867.2)+(-0.670599+(0--0.442272))+0-0-0</f>
        <v>447.47167300000007</v>
      </c>
      <c r="L35" s="3">
        <f>1223.3+(0-786)+(-2.495532+(0--1.60344))+0-0-0</f>
        <v>436.40790799999996</v>
      </c>
      <c r="M35" s="3">
        <f>1253.8+(0-804.4)+(2.557752+(0-1.640976))+0-0-0</f>
        <v>450.316776</v>
      </c>
      <c r="N35" s="3">
        <f>1614.8+(0-1100.1)+(0.823548+(0-0.561051))+0-0-0</f>
        <v>514.9624970000001</v>
      </c>
      <c r="O35" s="3">
        <f>1619.3+(0-1080.4)+(0.825843+(0-0.551004))+0-0-0</f>
        <v>539.17483899999991</v>
      </c>
      <c r="P35" s="3">
        <f>1611.8+(19.6-1076.9)+(-0.822018+(-0.009996--0.549219))+0-0-0</f>
        <v>554.21720499999981</v>
      </c>
      <c r="Q35" s="3">
        <f>1615.6+(18-1085.9)+(1.647912+(0.01836-1.107618))+0-0-0</f>
        <v>548.25865399999986</v>
      </c>
      <c r="R35" s="3">
        <f>1616.9+(20.6-1088.9)+(-1.649238+(-0.021012--1.110678))+0-0-0</f>
        <v>548.04042799999991</v>
      </c>
      <c r="S35" s="3">
        <f>1620.6+(20-1108.7)+(1.653012+(0.0204-1.130874))+0-0-0</f>
        <v>532.4425379999999</v>
      </c>
      <c r="T35" s="3">
        <f>1617.1+(18.4-1118.4)+(1.649442+(0.018768-1.140768))+0-0-0</f>
        <v>517.62744199999986</v>
      </c>
      <c r="U35" s="3">
        <f>1605+(17.2-1116.9)+(-0.81855+(-0.008772--0.569619))+0-0-0</f>
        <v>505.04229699999996</v>
      </c>
      <c r="V35" s="3">
        <f>1596.1+(0-1076)+(-3.256044+(0--2.19504))+0-0-0</f>
        <v>519.03899599999988</v>
      </c>
      <c r="W35" s="3">
        <f>1598.3+(5-1088.6)+(-4.075665+(-0.01275--2.77593))+0-0-0</f>
        <v>513.38751500000001</v>
      </c>
      <c r="X35" s="3">
        <f>1444.4+(0-935.4)+(-5.156508+(0--3.339378))+0-0-0</f>
        <v>507.18287000000009</v>
      </c>
      <c r="Y35" s="3">
        <f>1474.3+(0-935.3)+(0.751893+(0-0.477003))+0-0-0</f>
        <v>539.27489000000003</v>
      </c>
      <c r="Z35" s="3">
        <f>1643.9+(4.4-1007.4)+(-0.838389+(-0.002244--0.513774))+0-0-0</f>
        <v>640.57314100000008</v>
      </c>
      <c r="AA35" s="3">
        <f>1632.2+(0-985.5)+(-6.659376+(0--4.02084))+0-0-0</f>
        <v>644.061464</v>
      </c>
      <c r="AB35" s="3">
        <f>1624.8+(0-1006.4)+(-4.14324+(0--2.56632))+0-0-0</f>
        <v>616.82308</v>
      </c>
      <c r="AC35" s="3">
        <f>1638.3+(0-1067.8)+(-2.506599+(0--1.633734))+0-0-0</f>
        <v>569.62713499999995</v>
      </c>
      <c r="AD35" s="2">
        <v>654.4</v>
      </c>
      <c r="AE35" s="3">
        <f>1650+(0-995.6)+(0+(0-0))+0-0-0</f>
        <v>654.4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1626.9+(0-1131.9)+(-3.318876+(0--2.309076))+0-0-0</f>
        <v>493.99020000000002</v>
      </c>
      <c r="G36" s="3">
        <f>1565.9+(0-1111.2)+(-3.194436+(0--2.266848))+0-0-0</f>
        <v>453.77241200000003</v>
      </c>
      <c r="H36" s="3">
        <f>1534.5+(0-1095.7)+(-3.912975+(0--2.794035))+0-0-0</f>
        <v>437.68105999999995</v>
      </c>
      <c r="I36" s="3">
        <f>1364.2+(0-934.3)+(1.391484+(0-0.952986))+0-0-0</f>
        <v>430.33849800000007</v>
      </c>
      <c r="J36" s="3">
        <f>1312.8+(0-890.2)+(-0.669528+(0--0.454002))+0-0-0</f>
        <v>422.3844739999999</v>
      </c>
      <c r="K36" s="3">
        <f>1315.6+(0-895.2)+(0+(0-0))+0-0-0</f>
        <v>420.39999999999986</v>
      </c>
      <c r="L36" s="3">
        <f>1309.3+(0-890.5)+(-0.667743+(0--0.454155))+0-0-0</f>
        <v>418.58641199999994</v>
      </c>
      <c r="M36" s="3">
        <f>1388.4+(0-929.3)+(1.416168+(0-0.947886))+0-0-0</f>
        <v>459.56828200000012</v>
      </c>
      <c r="N36" s="3">
        <f>1477.7+(0-977.5)+(0.753627+(0-0.498525))+0-0-0</f>
        <v>500.45510200000007</v>
      </c>
      <c r="O36" s="3">
        <f>1625.4+(0-1070.7)+(0.828954+(0-0.546057))+0-0-0</f>
        <v>554.98289700000009</v>
      </c>
      <c r="P36" s="3">
        <f>1670+(18.5-1083.9)+(-2.5551+(-0.028305--1.658367))+0-0-0</f>
        <v>603.67496199999994</v>
      </c>
      <c r="Q36" s="3">
        <f>1686.3+(41.8-1162.1)+(-0.860013+(-0.021318--0.592671))+0-0-0</f>
        <v>565.71133999999995</v>
      </c>
      <c r="R36" s="3">
        <f>1664.6+(0-1123.9)+(-3.395784+(0--2.292756))+0-0-0</f>
        <v>539.59697199999982</v>
      </c>
      <c r="S36" s="3">
        <f>1590.5+(0-1071.1)+(-1.62231+(0--1.092522))+0-0-0</f>
        <v>518.87021200000004</v>
      </c>
      <c r="T36" s="3">
        <f>1591.5+(0-1074.7)+(1.62333+(0-1.096194))+0-0-0</f>
        <v>517.327136</v>
      </c>
      <c r="U36" s="3">
        <f>1583.6+(0-1077.5)+(-2.422908+(0--1.648575))+0-0-0</f>
        <v>505.3256669999999</v>
      </c>
      <c r="V36" s="3">
        <f>1537.7+(0-1027.6)+(-2.352681+(0--1.572228))+0-0-0</f>
        <v>509.31954700000011</v>
      </c>
      <c r="W36" s="3">
        <f>1564.5+(0-1048.3)+(-4.78737+(0--3.207798))+0-0-0</f>
        <v>514.62042800000006</v>
      </c>
      <c r="X36" s="3">
        <f>1456.5+(0-946.4)+(-2.97126+(0--1.930656))+0-0-0</f>
        <v>509.05939600000005</v>
      </c>
      <c r="Y36" s="3">
        <f>1468+(0-936.4)+(0+(0-0))+0-0-0</f>
        <v>531.6</v>
      </c>
      <c r="Z36" s="3">
        <f>1473.2+(2.3-835)+(-2.253996+(-0.003519--1.27755))+0-0-0</f>
        <v>639.52003500000001</v>
      </c>
      <c r="AA36" s="3">
        <f>1487.9+(7.9-846.3)+(-3.035316+(-0.016116--1.726452))+0-0-0</f>
        <v>648.17502000000013</v>
      </c>
      <c r="AB36" s="3">
        <f>1497.5+(14-879.5)+(0+(0-0))+0-0-0</f>
        <v>632</v>
      </c>
      <c r="AC36" s="3">
        <f>1493.3+(0-898.4)+(-1.523166+(0--0.916368))+0-0-0</f>
        <v>594.29320199999995</v>
      </c>
      <c r="AD36" s="2">
        <v>625</v>
      </c>
      <c r="AE36" s="3">
        <f>1469+(10.3-854.3)+(0+(0-0))+0-0-0</f>
        <v>625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1492.3+(3.4-953.8)+(-1.522146+(-0.003468--0.972876))+0-0-0</f>
        <v>541.347262</v>
      </c>
      <c r="G37" s="3">
        <f>1489.9+(11.6-1009.9)+(-1.519698+(-0.011832--1.030098))+0-0-0</f>
        <v>491.09856800000011</v>
      </c>
      <c r="H37" s="3">
        <f>1483.2+(22.3-1047)+(-1.512864+(-0.022746--1.06794))+0-0-0</f>
        <v>458.03233</v>
      </c>
      <c r="I37" s="3">
        <f>1451.7+(27.1-1017.8)+(0+(0-0))+0-0-0</f>
        <v>461.00000000000011</v>
      </c>
      <c r="J37" s="3">
        <f>1355.1+(15.5-920.8)+(-1.382202+(-0.01581--0.939216))+0-0-0</f>
        <v>449.34120399999995</v>
      </c>
      <c r="K37" s="3">
        <f>1196.5+(11.6-751.7)+(-1.830645+(-0.017748--1.150101))+0-0-0</f>
        <v>455.701708</v>
      </c>
      <c r="L37" s="3">
        <f>1148+(10.4-751.2)+(-2.9274+(-0.02652--1.91556))+0-0-0</f>
        <v>406.16163999999992</v>
      </c>
      <c r="M37" s="3">
        <f>1204.3+(1.1-801.3)+(0+(0-0))+0-0-0</f>
        <v>404.1</v>
      </c>
      <c r="N37" s="3">
        <f>1455.2+(0-1009.2)+(0+(0-0))+0-0-0</f>
        <v>446</v>
      </c>
      <c r="O37" s="3">
        <f>1453.5+(0-971.3)+(0+(0-0))+0-0-0</f>
        <v>482.20000000000005</v>
      </c>
      <c r="P37" s="3">
        <f>1441.2+(0-947.8)+(-2.940048+(0--1.933512))+0-0-0</f>
        <v>492.39346400000011</v>
      </c>
      <c r="Q37" s="3">
        <f>1452.2+(0-936.9)+(0.740622+(0-0.477819))+0-0-0</f>
        <v>515.56280300000003</v>
      </c>
      <c r="R37" s="3">
        <f>1449.4+(0-937)+(-2.956776+(0--1.91148))+0-0-0</f>
        <v>511.35470400000008</v>
      </c>
      <c r="S37" s="3">
        <f>1481.9+(0-990.5)+(0+(0-0))+0-0-0</f>
        <v>491.40000000000009</v>
      </c>
      <c r="T37" s="3">
        <f>1571.1+(0-1096)+(-0.801261+(0--0.55896))+0-0-0</f>
        <v>474.85769899999991</v>
      </c>
      <c r="U37" s="3">
        <f>1580.6+(0-1108.6)+(-3.224424+(0--2.261544))+0-0-0</f>
        <v>471.03712000000002</v>
      </c>
      <c r="V37" s="3">
        <f>1597.2+(0-1124.2)+(-0.814572+(0--0.573342))+0-0-0</f>
        <v>472.75877000000003</v>
      </c>
      <c r="W37" s="3">
        <f>1504.5+(0-1020.7)+(-3.06918+(0--2.082228))+0-0-0</f>
        <v>482.81304799999998</v>
      </c>
      <c r="X37" s="3">
        <f>1401.8+(0-934.7)+(-2.859672+(0--1.906788))+0-0-0</f>
        <v>466.14711599999993</v>
      </c>
      <c r="Y37" s="3">
        <f>1421.1+(0-930.7)+(-0.724761+(0--0.474657))+0-0-0</f>
        <v>490.14989599999984</v>
      </c>
      <c r="Z37" s="3">
        <f>1616.1+(0-1002.3)+(-2.472633+(0--1.533519))+0-0-0</f>
        <v>612.86088599999994</v>
      </c>
      <c r="AA37" s="3">
        <f>1542+(0-906.8)+(-2.35926+(0--1.387404))+0-0-0</f>
        <v>634.22814400000004</v>
      </c>
      <c r="AB37" s="3">
        <f>1495.4+(0-885.1)+(-0.762654+(0--0.451401))+0-0-0</f>
        <v>609.9887470000001</v>
      </c>
      <c r="AC37" s="3">
        <f>1469.8+(0-891.2)+(-0.749598+(0--0.454512))+0-0-0</f>
        <v>578.30491399999994</v>
      </c>
      <c r="AD37" s="2">
        <v>632.6</v>
      </c>
      <c r="AE37" s="3">
        <f>1643+(0-1010.4)+(0+(0-0))+0-0-0</f>
        <v>632.6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1334+(0-799.2)+(-0.68034+(0--0.407592))+0-0-0</f>
        <v>534.52725199999998</v>
      </c>
      <c r="G38" s="3">
        <f>1324+(0-825.4)+(-2.70096+(0--1.683816))+0-0-0</f>
        <v>497.58285600000005</v>
      </c>
      <c r="H38" s="3">
        <f>1178.6+(7.7-719.6)+(-0.601086+(-0.003927--0.366996))+0-0-0</f>
        <v>466.46198299999992</v>
      </c>
      <c r="I38" s="3">
        <f>1164.5+(10.1-724)+(-0.593895+(-0.005151--0.36924))+0-0-0</f>
        <v>450.37019400000003</v>
      </c>
      <c r="J38" s="3">
        <f>1159.1+(11.9-727.3)+(-1.182282+(-0.012138--0.741846))+0-0-0</f>
        <v>443.2474259999999</v>
      </c>
      <c r="K38" s="3">
        <f>1158.5+(15.7-730.5)+(-1.18167+(-0.016014--0.74511))+0-0-0</f>
        <v>443.24742600000002</v>
      </c>
      <c r="L38" s="3">
        <f>1151.5+(11.8-745.3)+(-2.34906+(-0.024072--1.520412))+0-0-0</f>
        <v>417.14728000000002</v>
      </c>
      <c r="M38" s="3">
        <f>1170.9+(14.2-744.9)+(0.597159+(0.007242-0.379899))+0-0-0</f>
        <v>440.42450200000013</v>
      </c>
      <c r="N38" s="3">
        <f>1164.5+(17.7-706.4)+(0.593895+(0.009027-0.360264))+0-0-0</f>
        <v>476.04265800000007</v>
      </c>
      <c r="O38" s="3">
        <f>1336.7+(0-823.3)+(-0.681717+(0--0.419883))+0-0-0</f>
        <v>513.13816600000007</v>
      </c>
      <c r="P38" s="3">
        <f>1578.5+(0-1028)+(1.61007+(0-1.04856))+0-0-0</f>
        <v>551.06151</v>
      </c>
      <c r="Q38" s="3">
        <f>1576.6+(0-1009.3)+(0+(0-0))+0-0-0</f>
        <v>567.29999999999995</v>
      </c>
      <c r="R38" s="3">
        <f>1500+(0-953.1)+(-1.53+(0--0.972162))+0-0-0</f>
        <v>546.34216200000003</v>
      </c>
      <c r="S38" s="3">
        <f>1421+(7.3-911.7)+(-0.72471+(-0.003723--0.464967))+0-0-0</f>
        <v>516.33653399999992</v>
      </c>
      <c r="T38" s="3">
        <f>1428.2+(9.5-937.5)+(-1.456764+(-0.00969--0.95625))+0-0-0</f>
        <v>499.68979600000006</v>
      </c>
      <c r="U38" s="3">
        <f>1470.5+(1.7-986.6)+(-2.249865+(-0.002601--1.509498))+0-0-0</f>
        <v>484.857032</v>
      </c>
      <c r="V38" s="3">
        <f>1487.7+(1.9-1000)+(0+(0-0))+0-0-0</f>
        <v>489.6</v>
      </c>
      <c r="W38" s="3">
        <f>1481.3+(2.3-991.3)+(-0.755463+(-0.001173--0.505563))+0-0-0</f>
        <v>492.04892699999994</v>
      </c>
      <c r="X38" s="3">
        <f>1410.3+(0-914.7)+(-2.157759+(0--1.399491))+0-0-0</f>
        <v>494.84173199999992</v>
      </c>
      <c r="Y38" s="3">
        <f>1313.2+(0-801.8)+(-0.669732+(0--0.408918))+0-0-0</f>
        <v>511.13918600000011</v>
      </c>
      <c r="Z38" s="3">
        <f>1542.7+(0-920.3)+(-1.573554+(0--0.938706))+0-0-0</f>
        <v>621.76515200000006</v>
      </c>
      <c r="AA38" s="3">
        <f>1625.6+(0-982.5)+(-2.487168+(0--1.503225))+0-0-0</f>
        <v>642.11605699999996</v>
      </c>
      <c r="AB38" s="3">
        <f>1503.7+(0-874.5)+(-1.533774+(0--0.89199))+0-0-0</f>
        <v>628.55821600000002</v>
      </c>
      <c r="AC38" s="3">
        <f>1265.5+(28.4-705.8)+(1.936215+(0.043452-1.079874))+0-0-0</f>
        <v>588.99979300000007</v>
      </c>
      <c r="AD38" s="2">
        <v>631.20000000000005</v>
      </c>
      <c r="AE38" s="3">
        <f>1532+(3.2-904)+(0+(0-0))+0-0-0</f>
        <v>631.20000000000005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1257.8+(27.1-743.9)+(0+(0-0))+0-0-0</f>
        <v>541</v>
      </c>
      <c r="G39" s="3">
        <f>1249.1+(48.3-794.1)+(-0.637041+(-0.024633--0.404991))+0-0-0</f>
        <v>503.04331699999983</v>
      </c>
      <c r="H39" s="3">
        <f>1259.2+(39.3-825.7)+(1.926576+(0.060129-1.263321))+0-0-0</f>
        <v>473.52338399999996</v>
      </c>
      <c r="I39" s="3">
        <f>1246.1+(46.9-828.5)+(-2.542044+(-0.095676--1.69014))+0-0-0</f>
        <v>463.55241999999987</v>
      </c>
      <c r="J39" s="3">
        <f>1243.3+(42.7-832.5)+(-1.902249+(-0.065331--1.273725))+0-0-0</f>
        <v>452.80614500000001</v>
      </c>
      <c r="K39" s="3">
        <f>1248.6+(12-806.2)+(-1.273572+(-0.01224--0.822324))+0-0-0</f>
        <v>453.93651199999988</v>
      </c>
      <c r="L39" s="3">
        <f>1128.9+(12.8-717.1)+(-4.030173+(-0.045696--2.560047))+0-0-0</f>
        <v>423.08417800000001</v>
      </c>
      <c r="M39" s="3">
        <f>1136+(11.1-734.4)+(0.57936+(0.005661-0.374544))+0-0-0</f>
        <v>412.91047700000007</v>
      </c>
      <c r="N39" s="3">
        <f>1135.8+(10-715.2)+(0.579258+(0.0051-0.364752))+0-0-0</f>
        <v>430.81960599999991</v>
      </c>
      <c r="O39" s="3">
        <f>1126.7+(3.2-675.6)+(-1.149234+(-0.003264--0.689112))+0-0-0</f>
        <v>453.83661400000005</v>
      </c>
      <c r="P39" s="3">
        <f>1307.2+(0-833.2)+(-2.000016+(0--1.274796))+0-0-0</f>
        <v>473.27478000000002</v>
      </c>
      <c r="Q39" s="3">
        <f>1518.5+(5.1-1016.9)+(-3.09774+(-0.010404--2.074476))+0-0-0</f>
        <v>505.66633200000007</v>
      </c>
      <c r="R39" s="3">
        <f>1516.4+(7.4-1039.1)+(0+(0-0))+0-0-0</f>
        <v>484.70000000000027</v>
      </c>
      <c r="S39" s="3">
        <f>1546.6+(2.9-1079)+(-2.366298+(-0.004437--1.65087))+0-0-0</f>
        <v>469.78013499999997</v>
      </c>
      <c r="T39" s="3">
        <f>1497+(0-1054.5)+(-0.76347+(0--0.537795))+0-0-0</f>
        <v>442.27432499999998</v>
      </c>
      <c r="U39" s="3">
        <f>1465.4+(0-1040.8)+(-1.494708+(0--1.061616))+0-0-0</f>
        <v>424.16690800000015</v>
      </c>
      <c r="V39" s="3">
        <f>1329.3+(0-896.2)+(-1.355886+(0--0.914124))+0-0-0</f>
        <v>432.65823799999993</v>
      </c>
      <c r="W39" s="3">
        <f>1328.5+(0-889.9)+(-2.032605+(0--1.361547))+0-0-0</f>
        <v>437.92894200000001</v>
      </c>
      <c r="X39" s="3">
        <f>1324.8+(0-886.3)+(-2.026944+(0--1.356039))+0-0-0</f>
        <v>437.829095</v>
      </c>
      <c r="Y39" s="3">
        <f>1351+(0-891.2)+(-1.37802+(0--0.909024))+0-0-0</f>
        <v>459.33100399999995</v>
      </c>
      <c r="Z39" s="3">
        <f>1467.5+(31.8-920.3)+(-0.748425+(-0.016218--0.469353))+0-0-0</f>
        <v>578.70470999999998</v>
      </c>
      <c r="AA39" s="3">
        <f>1469.8+(23.5-883.5)+(-1.499196+(-0.02397--0.90117))+0-0-0</f>
        <v>609.17800399999999</v>
      </c>
      <c r="AB39" s="3">
        <f>1483.5+(24.2-894.2)+(0.756585+(0.012342-0.456042))+0-0-0</f>
        <v>613.81288500000005</v>
      </c>
      <c r="AC39" s="3">
        <f>1466.2+(22.1-934.1)+(-2.243286+(-0.033813--1.429173))+0-0-0</f>
        <v>553.35207400000002</v>
      </c>
      <c r="AD39" s="2">
        <v>617.5</v>
      </c>
      <c r="AE39" s="3">
        <f>1484+(22-888.5)+(0+(0-0))+0-0-0</f>
        <v>617.5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1465.5+(11.1-979.6)+(-0.747405+(-0.005661--0.499596))+0-0-0</f>
        <v>496.74653000000001</v>
      </c>
      <c r="G40" s="3">
        <f>1285.2+(38.5-855.3)+(-1.966356+(-0.058905--1.308609))+0-0-0</f>
        <v>467.68334800000008</v>
      </c>
      <c r="H40" s="3">
        <f>1254.2+(77.1-899.9)+(1.279284+(0.078642-0.917898))+0-0-0</f>
        <v>431.84002800000007</v>
      </c>
      <c r="I40" s="3">
        <f>1254.5+(57.3-882.7)+(0.639795+(0.029223-0.450177))+0-0-0</f>
        <v>429.31884099999991</v>
      </c>
      <c r="J40" s="3">
        <f>1252.2+(57.4-881.8)+(0+(0-0))+0-0-0</f>
        <v>427.80000000000007</v>
      </c>
      <c r="K40" s="3">
        <f>1244+(19.7-837.5)+(-1.90332+(-0.030141--1.281375))+0-0-0</f>
        <v>425.54791400000005</v>
      </c>
      <c r="L40" s="3">
        <f>1248.8+(14.4-850.1)+(-0.636888+(-0.007344--0.433551))+0-0-0</f>
        <v>412.88931899999989</v>
      </c>
      <c r="M40" s="3">
        <f>1260.2+(12.5-824.5)+(0.642702+(0.006375-0.420495))+0-0-0</f>
        <v>448.42858200000006</v>
      </c>
      <c r="N40" s="3">
        <f>1450.8+(18.1-980.4)+(0.739908+(0.009231-0.500004))+0-0-0</f>
        <v>488.74913500000002</v>
      </c>
      <c r="O40" s="3">
        <f>1459.4+(13.1-942.8)+(0+(0-0))+0-0-0</f>
        <v>529.70000000000016</v>
      </c>
      <c r="P40" s="3">
        <f>1461.4+(7.9-905)+(0+(0-0))+0-0-0</f>
        <v>564.30000000000007</v>
      </c>
      <c r="Q40" s="3">
        <f>1453.2+(9.4-894.3)+(-2.223396+(-0.014382--1.368279))+0-0-0</f>
        <v>567.43050100000005</v>
      </c>
      <c r="R40" s="3">
        <f>1450.2+(13.4-912.8)+(-2.958408+(-0.027336--1.862112))+0-0-0</f>
        <v>549.67636800000002</v>
      </c>
      <c r="S40" s="3">
        <f>1451.6+(16-939.5)+(-1.480632+(-0.01632--0.95829))+0-0-0</f>
        <v>527.56133799999986</v>
      </c>
      <c r="T40" s="3">
        <f>1451.6+(15.7-943)+(0+(0-0))+0-0-0</f>
        <v>524.29999999999995</v>
      </c>
      <c r="U40" s="3">
        <f>1419.7+(19.6-945.2)+(-1.448094+(-0.019992--0.964104))+0-0-0</f>
        <v>493.59601800000002</v>
      </c>
      <c r="V40" s="3">
        <f>1417.5+(20.3-947.1)+(-1.44585+(-0.020706--0.966042))+0-0-0</f>
        <v>490.19948599999992</v>
      </c>
      <c r="W40" s="3">
        <f>1416.5+(20.3-946.3)+(-1.44483+(-0.020706--0.965226))+0-0-0</f>
        <v>489.99968999999999</v>
      </c>
      <c r="X40" s="3">
        <f>1423+(0-939.5)+(-2.17719+(0--1.437435))+0-0-0</f>
        <v>482.760245</v>
      </c>
      <c r="Y40" s="3">
        <f>1428.1+(0-911.6)+(-2.184993+(0--1.394748))+0-0-0</f>
        <v>515.70975499999986</v>
      </c>
      <c r="Z40" s="3">
        <f>1585.3+(7.9-951.7)+(-3.234012+(-0.016116--1.941468))+0-0-0</f>
        <v>640.19133999999985</v>
      </c>
      <c r="AA40" s="3">
        <f>1637.7+(1-980)+(-1.670454+(-0.00102--0.9996))+0-0-0</f>
        <v>658.02812600000004</v>
      </c>
      <c r="AB40" s="3">
        <f>1625+(1.3-1000.3)+(-2.48625+(-0.001989--1.530459))+0-0-0</f>
        <v>625.04222000000004</v>
      </c>
      <c r="AC40" s="3">
        <f>1622.4+(3.4-1051.7)+(-3.309696+(-0.006936--2.145468))+0-0-0</f>
        <v>572.92883600000016</v>
      </c>
      <c r="AD40" s="2">
        <v>671.3</v>
      </c>
      <c r="AE40" s="3">
        <f>1620+(2.1-950.8)+(0+(0-0))+0-0-0</f>
        <v>671.30000000000007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1564.8+(0-1049.9)+(-2.394144+(0--1.606347))+0-0-0</f>
        <v>514.11220299999991</v>
      </c>
      <c r="G41" s="3">
        <f>1312.5+(0-841.3)+(-2.008125+(0--1.287189))+0-0-0</f>
        <v>470.47906400000005</v>
      </c>
      <c r="H41" s="3">
        <f>1291.8+(0-848.6)+(0.658818+(0-0.432786))+0-0-0</f>
        <v>443.42603199999991</v>
      </c>
      <c r="I41" s="3">
        <f>1288.4+(0-851.9)+(1.314168+(0-0.868938))+0-0-0</f>
        <v>436.94523000000009</v>
      </c>
      <c r="J41" s="3">
        <f>1284.5+(0-840.1)+(-0.655095+(0--0.428451))+0-0-0</f>
        <v>444.17335599999996</v>
      </c>
      <c r="K41" s="3">
        <f>1274.3+(0-833.8)+(-2.599572+(0--1.700952))+0-0-0</f>
        <v>439.60138000000001</v>
      </c>
      <c r="L41" s="3">
        <f>1227+(0-802.4)+(-1.87731+(0--1.227672))+0-0-0</f>
        <v>423.95036200000004</v>
      </c>
      <c r="M41" s="3">
        <f>1288.5+(0-827)+(0+(0-0))+0-0-0</f>
        <v>461.5</v>
      </c>
      <c r="N41" s="3">
        <f>1491.9+(0-1008.9)+(0.760869+(0-0.514539))+0-0-0</f>
        <v>483.24633000000011</v>
      </c>
      <c r="O41" s="3">
        <f>1619.7+(0-1083.7)+(0.826047+(0-0.552687))+0-0-0</f>
        <v>536.27336000000003</v>
      </c>
      <c r="P41" s="3">
        <f>1610.6+(0-1051.5)+(-0.821406+(0--0.536265))+0-0-0</f>
        <v>558.81485899999996</v>
      </c>
      <c r="Q41" s="3">
        <f>1606.6+(39.4-1075)+(-2.458098+(-0.060282--1.64475))+0-0-0</f>
        <v>570.12636999999995</v>
      </c>
      <c r="R41" s="3">
        <f>1597.3+(50.2-1109.9)+(-1.629246+(-0.051204--1.132098))+0-0-0</f>
        <v>537.05164799999989</v>
      </c>
      <c r="S41" s="3">
        <f>1591+(55.1-1117.4)+(-3.24564+(-0.112404--2.279496))+0-0-0</f>
        <v>527.62145199999986</v>
      </c>
      <c r="T41" s="3">
        <f>1593.9+(61.6-1147.4)+(-0.812889+(-0.031416--0.585174))+0-0-0</f>
        <v>507.84086899999988</v>
      </c>
      <c r="U41" s="3">
        <f>1577.4+(61.9-1137.5)+(-3.217896+(-0.126276--2.3205))+0-0-0</f>
        <v>500.77632800000021</v>
      </c>
      <c r="V41" s="3">
        <f>1618.4+(62.2-1178.4)+(-1.650768+(-0.063444--1.201968))+0-0-0</f>
        <v>501.68775600000004</v>
      </c>
      <c r="W41" s="3">
        <f>1622.7+(66.9-1178.7)+(-4.137885+(-0.170595--3.005685))+0-0-0</f>
        <v>509.59720500000009</v>
      </c>
      <c r="X41" s="3">
        <f>1560+(32.7-1095.4)+(-7.1604+(-0.150093--5.027886))+0-0-0</f>
        <v>495.01739299999997</v>
      </c>
      <c r="Y41" s="3">
        <f>1581.6+(12-1080.8)+(0+(0-0))+0-0-0</f>
        <v>512.79999999999995</v>
      </c>
      <c r="Z41" s="3">
        <f>1568.5+(102.9-1046.2)+(-0.799935+(-0.052479--0.533562))+0-0-0</f>
        <v>624.88114799999994</v>
      </c>
      <c r="AA41" s="3">
        <f>1512.5+(87.6-957.5)+(-4.62825+(-0.268056--2.92995))+0-0-0</f>
        <v>640.633644</v>
      </c>
      <c r="AB41" s="3">
        <f>1482.7+(118.8-971.8)+(0+(0-0))+0-0-0</f>
        <v>629.70000000000005</v>
      </c>
      <c r="AC41" s="3">
        <f>1449.9+(144.1-999.9)+(0+(0-0))+0-0-0</f>
        <v>594.10000000000014</v>
      </c>
      <c r="AD41" s="2">
        <v>652.20000000000005</v>
      </c>
      <c r="AE41" s="3">
        <f>1567+(82.9-997.7)+(0+(0-0))+0-0-0</f>
        <v>652.19999999999993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1253.2+(160.7-883)+(-1.278264+(-0.163914--0.90066))+0-0-0</f>
        <v>530.35848200000009</v>
      </c>
      <c r="G42" s="3">
        <f>1241.3+(189.8-949.6)+(-1.266126+(-0.193596--0.968592))+0-0-0</f>
        <v>481.00887</v>
      </c>
      <c r="H42" s="3">
        <f>1251.4+(147.7-937.5)+(0+(0-0))+0-0-0</f>
        <v>461.60000000000014</v>
      </c>
      <c r="I42" s="3">
        <f>1252.2+(121.2-928.2)+(1.277244+(0.123624-0.946764))+0-0-0</f>
        <v>445.65410400000002</v>
      </c>
      <c r="J42" s="3">
        <f>1246.5+(94.7-881.4)+(-1.27143+(-0.096594--0.899028))+0-0-0</f>
        <v>459.33100400000006</v>
      </c>
      <c r="K42" s="3">
        <f>1250.4+(74.8-873.3)+(-0.637704+(-0.038148--0.445383))+0-0-0</f>
        <v>451.66953100000006</v>
      </c>
      <c r="L42" s="3">
        <f>1129.3+(68.5-753.1)+(-2.879715+(-0.174675--1.920405))+0-0-0</f>
        <v>443.56601499999994</v>
      </c>
      <c r="M42" s="3">
        <f>1122.9+(50.5-706.9)+(1.718037+(0.077265-1.081557))+0-0-0</f>
        <v>467.21374500000013</v>
      </c>
      <c r="N42" s="3">
        <f>1113.3+(61.5-679.5)+(0+(0-0))+0-0-0</f>
        <v>495.29999999999995</v>
      </c>
      <c r="O42" s="3">
        <f>1354.4+(84.8-905.5)+(0.690744+(0.043248-0.461805))+0-0-0</f>
        <v>533.97218700000008</v>
      </c>
      <c r="P42" s="3">
        <f>1390.7+(135.1-987.4)+(-0.709257+(-0.068901--0.503574))+0-0-0</f>
        <v>538.12541600000009</v>
      </c>
      <c r="Q42" s="3">
        <f>1430.9+(101.7-985.3)+(-3.648795+(-0.259335--2.512515))+0-0-0</f>
        <v>545.90438500000016</v>
      </c>
      <c r="R42" s="3">
        <f>1479+(93.8-1014.8)+(-3.01716+(-0.191352--2.070192))+0-0-0</f>
        <v>556.86167999999998</v>
      </c>
      <c r="S42" s="3">
        <f>1574.9+(54.7-1074.8)+(-2.409597+(-0.083691--1.644444))+0-0-0</f>
        <v>553.9511560000002</v>
      </c>
      <c r="T42" s="3">
        <f>1598.4+(59.1-1115.9)+(2.445552+(0.090423-1.707327))+0-0-0</f>
        <v>542.42864799999995</v>
      </c>
      <c r="U42" s="3">
        <f>1614+(58.8-1136.9)+(-4.1157+(-0.14994--2.899095))+0-0-0</f>
        <v>534.53345499999989</v>
      </c>
      <c r="V42" s="3">
        <f>1632.5+(53.9-1153.5)+(-1.66515+(-0.054978--1.17657))+0-0-0</f>
        <v>532.35644200000013</v>
      </c>
      <c r="W42" s="3">
        <f>1621.8+(51.8-1134.6)+(-4.13559+(-0.13209--2.89323))+0-0-0</f>
        <v>537.62554999999998</v>
      </c>
      <c r="X42" s="3">
        <f>1621.8+(51.8-1134.6)+(-4.13559+(-0.13209--2.89323))+0-0-0</f>
        <v>537.62554999999998</v>
      </c>
      <c r="Y42" s="3">
        <f>1616.8+(18-1099.3)+(-4.12284+(-0.0459--2.803215))+0-0-0</f>
        <v>534.13447499999995</v>
      </c>
      <c r="Z42" s="3">
        <f>1710.1+(85.2-1111)+(-2.616453+(-0.130356--1.69983))+0-0-0</f>
        <v>683.25302099999999</v>
      </c>
      <c r="AA42" s="3">
        <f>1727.6+(40.6-1075.6)+(-2.643228+(-0.062118--1.645668))+0-0-0</f>
        <v>691.54032199999995</v>
      </c>
      <c r="AB42" s="3">
        <f>1700.4+(16.5-1061.1)+(2.601612+(0.025245-1.623483))+0-0-0</f>
        <v>656.80337400000019</v>
      </c>
      <c r="AC42" s="3">
        <f>1617.1+(36.6-1047.7)+(-4.123605+(-0.09333--2.671635))+0-0-0</f>
        <v>604.45469999999989</v>
      </c>
      <c r="AD42" s="2">
        <v>665.89999999999986</v>
      </c>
      <c r="AE42" s="3">
        <f>1734+(63.3-1131.4)+(0+(0-0))+0-0-0</f>
        <v>665.89999999999986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1618.2+(33.8-1115.9)+(-2.475846+(-0.051714--1.707327))+0-0-0</f>
        <v>535.27976699999988</v>
      </c>
      <c r="G43" s="3">
        <f>1492.9+(79-1060.6)+(-3.045516+(-0.16116--2.163624))+0-0-0</f>
        <v>510.25694800000019</v>
      </c>
      <c r="H43" s="3">
        <f>1343.6+(90.6-958.8)+(-2.055708+(-0.138618--1.466964))+0-0-0</f>
        <v>474.67263799999995</v>
      </c>
      <c r="I43" s="3">
        <f>1239.7+(94.8-870)+(-3.161235+(-0.24174--2.2185))+0-0-0</f>
        <v>463.31552499999998</v>
      </c>
      <c r="J43" s="3">
        <f>1232.6+(58-834.7)+(0.628626+(0.02958-0.425697))+0-0-0</f>
        <v>456.13250899999986</v>
      </c>
      <c r="K43" s="3">
        <f>1219.8+(54.4-810.8)+(-2.488392+(-0.110976--1.654032))+0-0-0</f>
        <v>462.45466399999998</v>
      </c>
      <c r="L43" s="3">
        <f>1224.1+(53-794.4)+(1.248582+(0.05406-0.810288))+0-0-0</f>
        <v>483.19235399999991</v>
      </c>
      <c r="M43" s="3">
        <f>1225.4+(67.7-793)+(0+(0-0))+0-0-0</f>
        <v>500.10000000000014</v>
      </c>
      <c r="N43" s="3">
        <f>1411.7+(87.9-946.5)+(1.439934+(0.089658-0.96543))+0-0-0</f>
        <v>553.66416200000003</v>
      </c>
      <c r="O43" s="3">
        <f>1536.4+(120.8-1147)+(0+(0-0))+0-0-0</f>
        <v>510.20000000000005</v>
      </c>
      <c r="P43" s="3">
        <f>1567.4+(90.3-1106.9)+(-0.799374+(-0.046053--0.564519))+0-0-0</f>
        <v>550.519092</v>
      </c>
      <c r="Q43" s="3">
        <f>1568.4+(71.2-1108)+(0.799884+(0.036312-0.56508))+0-0-0</f>
        <v>531.87111600000014</v>
      </c>
      <c r="R43" s="3">
        <f>1559+(94.7-1074.5)+(-3.18036+(-0.193188--2.19198))+0-0-0</f>
        <v>578.01843200000008</v>
      </c>
      <c r="S43" s="3">
        <f>1552.6+(99.8-1058.1)+(-1.583652+(-0.101796--1.079262))+0-0-0</f>
        <v>593.69381399999997</v>
      </c>
      <c r="T43" s="3">
        <f>1546.3+(105.4-1064)+(-1.577226+(-0.107508--1.08528))+0-0-0</f>
        <v>587.10054599999989</v>
      </c>
      <c r="U43" s="3">
        <f>1536.6+(94.4-1070.3)+(-4.701996+(-0.288864--3.275118))+0-0-0</f>
        <v>558.98425799999995</v>
      </c>
      <c r="V43" s="3">
        <f>1529.5+(70.4-1063.1)+(-3.12018+(-0.143616--2.168724))+0-0-0</f>
        <v>535.70492800000011</v>
      </c>
      <c r="W43" s="3">
        <f>1382+(103.5-962)+(-2.11446+(-0.158355--1.47186))+0-0-0</f>
        <v>522.69904499999996</v>
      </c>
      <c r="X43" s="3">
        <f>1274.5+(129-861.2)+(-2.59998+(-0.26316--1.756848))+0-0-0</f>
        <v>541.1937079999999</v>
      </c>
      <c r="Y43" s="3">
        <f>1268.2+(156.9-877.4)+(-0.646782+(-0.080019--0.447474))+0-0-0</f>
        <v>547.42067300000008</v>
      </c>
      <c r="Z43" s="3">
        <f>1442.8+(144.1-931.6)+(-1.471656+(-0.146982--0.950232))+0-0-0</f>
        <v>654.63159399999995</v>
      </c>
      <c r="AA43" s="3">
        <f>1467.8+(112.1-897.5)+(-2.994312+(-0.228684--1.8309))+0-0-0</f>
        <v>681.00790399999994</v>
      </c>
      <c r="AB43" s="3">
        <f>1467.1+(116.9-920.2)+(-2.244663+(-0.178857--1.407906))+0-0-0</f>
        <v>662.78438599999981</v>
      </c>
      <c r="AC43" s="3">
        <f>1441.7+(61.9-902.1)+(-3.676335+(-0.157845--2.300355))+0-0-0</f>
        <v>599.96617500000002</v>
      </c>
      <c r="AD43" s="2">
        <v>662.7</v>
      </c>
      <c r="AE43" s="3">
        <f>1460+(111.2-908.5)+(0+(0-0))+0-0-0</f>
        <v>662.7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1392.6+(50.1-892.5)+(-1.420452+(-0.051102--0.91035))+0-0-0</f>
        <v>549.63879599999996</v>
      </c>
      <c r="G44" s="3">
        <f>1200.1+(90.9-800.5)+(0+(0-0))+0-0-0</f>
        <v>490.49999999999989</v>
      </c>
      <c r="H44" s="3">
        <f>1176.1+(107.3-817.2)+(-2.999055+(-0.273615--2.08386))+0-0-0</f>
        <v>465.01118999999983</v>
      </c>
      <c r="I44" s="3">
        <f>1190.2+(113.9-839.2)+(0+(0-0))+0-0-0</f>
        <v>464.9</v>
      </c>
      <c r="J44" s="3">
        <f>1173.6+(115.2-826.9)+(-2.394144+(-0.235008--1.686876))+0-0-0</f>
        <v>460.95772399999998</v>
      </c>
      <c r="K44" s="3">
        <f>1176.4+(115.2-841.1)+(-2.99982+(-0.29376--2.144805))+0-0-0</f>
        <v>449.35122500000011</v>
      </c>
      <c r="L44" s="3">
        <f>1176.4+(115.2-840.1)+(-2.99982+(-0.29376--2.142255))+0-0-0</f>
        <v>450.34867500000013</v>
      </c>
      <c r="M44" s="3">
        <f>1166.4+(117.4-854.5)+(-4.164048+(-0.419118--3.050565))+0-0-0</f>
        <v>427.76739900000007</v>
      </c>
      <c r="N44" s="3">
        <f>1189.7+(109.6-842.5)+(0.606747+(0.055896-0.429675))+0-0-0</f>
        <v>457.0329680000001</v>
      </c>
      <c r="O44" s="3">
        <f>1226.1+(139.4-849.8)+(0.625311+(0.071094-0.433398))+0-0-0</f>
        <v>515.96300699999995</v>
      </c>
      <c r="P44" s="3">
        <f>1261+(105.1-840.9)+(0+(0-0))+0-0-0</f>
        <v>525.20000000000005</v>
      </c>
      <c r="Q44" s="3">
        <f>1251.9+(154.3-817.6)+(0.638469+(0.078693-0.416976))+0-0-0</f>
        <v>588.90018600000019</v>
      </c>
      <c r="R44" s="3">
        <f>1243.3+(159-794.8)+(-1.902249+(-0.24327--1.216044))+0-0-0</f>
        <v>606.57052499999998</v>
      </c>
      <c r="S44" s="3">
        <f>1232.6+(168.7-821.7)+(0+(0-0))+0-0-0</f>
        <v>579.59999999999991</v>
      </c>
      <c r="T44" s="3">
        <f>1230.8+(170.4-825)+(-2.510832+(-0.347616--1.683))+0-0-0</f>
        <v>575.02455199999997</v>
      </c>
      <c r="U44" s="3">
        <f>1233.6+(162.6-842.1)+(-2.516544+(-0.331704--1.717884))+0-0-0</f>
        <v>552.96963599999992</v>
      </c>
      <c r="V44" s="3">
        <f>1236.9+(160.4-848.4)+(-2.523276+(-0.327216--1.730736))+0-0-0</f>
        <v>547.78024400000004</v>
      </c>
      <c r="W44" s="3">
        <f>1306.9+(150.6-906.3)+(-5.332152+(-0.614448--3.697704))+0-0-0</f>
        <v>548.95110400000021</v>
      </c>
      <c r="X44" s="3">
        <f>1395.5+(140-987)+(-6.405345+(-0.6426--4.53033))+0-0-0</f>
        <v>545.98238500000002</v>
      </c>
      <c r="Y44" s="3">
        <f>1426.4+(60.8-904.5)+(0+(0-0))+0-0-0</f>
        <v>582.70000000000005</v>
      </c>
      <c r="Z44" s="3">
        <f>1455+(148.2-914.6)+(1.4841+(0.151164-0.932892))+0-0-0</f>
        <v>689.30237199999988</v>
      </c>
      <c r="AA44" s="3">
        <f>1451+(124.9-877.9)+(-5.18007+(-0.445893--3.134103))+0-0-0</f>
        <v>695.50814000000003</v>
      </c>
      <c r="AB44" s="3">
        <f>1446.7+(129.8-916.1)+(-1.475634+(-0.132396--0.934422))+0-0-0</f>
        <v>659.72639200000015</v>
      </c>
      <c r="AC44" s="3">
        <f>1439.4+(106.4-945.3)+(-2.936376+(-0.217056--1.928412))+0-0-0</f>
        <v>599.27498000000014</v>
      </c>
      <c r="AD44" s="2">
        <v>696.90000000000009</v>
      </c>
      <c r="AE44" s="3">
        <f>1457+(127.2-887.3)+(0+(0-0))+0-0-0</f>
        <v>696.90000000000009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1423+(45.7-919.9)+(-0.72573+(-0.023307--0.469149))+0-0-0</f>
        <v>548.52011200000004</v>
      </c>
      <c r="G45" s="3">
        <f>1265.4+(58.8-824.7)+(-1.290708+(-0.059976--0.841194))+0-0-0</f>
        <v>498.99050999999997</v>
      </c>
      <c r="H45" s="3">
        <f>1098.9+(80.4-711.6)+(-2.802195+(-0.20502--1.81458))+0-0-0</f>
        <v>466.50736500000005</v>
      </c>
      <c r="I45" s="3">
        <f>1113.2+(47.4-683.7)+(-0.567732+(-0.024174--0.348687))+0-0-0</f>
        <v>476.65678099999997</v>
      </c>
      <c r="J45" s="3">
        <f>1106.6+(47.6-684.4)+(-1.128732+(-0.048552--0.698088))+0-0-0</f>
        <v>469.32080399999995</v>
      </c>
      <c r="K45" s="3">
        <f>1099.5+(44.2-693.4)+(-2.24298+(-0.090168--1.414536))+0-0-0</f>
        <v>449.38138800000007</v>
      </c>
      <c r="L45" s="3">
        <f>1105.7+(47.6-703.3)+(-1.127814+(-0.048552--0.717366))+0-0-0</f>
        <v>449.54100000000011</v>
      </c>
      <c r="M45" s="3">
        <f>1113+(65.6-694.6)+(-0.56763+(-0.033456--0.354246))+0-0-0</f>
        <v>483.75315999999998</v>
      </c>
      <c r="N45" s="3">
        <f>1152+(42.2-770.8)+(0+(0-0))+0-0-0</f>
        <v>423.40000000000009</v>
      </c>
      <c r="O45" s="3">
        <f>1372.3+(29.1-828.5)+(0.699873+(0.014841-0.422535))+0-0-0</f>
        <v>573.19217900000001</v>
      </c>
      <c r="P45" s="3">
        <f>1368.1+(42.4-822)+(2.093193+(0.064872-1.25766))+0-0-0</f>
        <v>589.40040499999986</v>
      </c>
      <c r="Q45" s="3">
        <f>1329.5+(43.8-792.9)+(-0.678045+(-0.022338--0.404379))+0-0-0</f>
        <v>580.10399599999994</v>
      </c>
      <c r="R45" s="3">
        <f>1333.3+(81.3-823.6)+(-1.359966+(-0.082926--0.840072))+0-0-0</f>
        <v>590.39717999999993</v>
      </c>
      <c r="S45" s="3">
        <f>1331.6+(116.8-878.3)+(-2.037348+(-0.178704--1.343799))+0-0-0</f>
        <v>569.22774699999991</v>
      </c>
      <c r="T45" s="3">
        <f>1402.9+(121.7-940.9)+(-2.146437+(-0.186201--1.439577))+0-0-0</f>
        <v>582.80693900000017</v>
      </c>
      <c r="U45" s="3">
        <f>1400.6+(127.3-975.4)+(-1.428612+(-0.129846--0.994908))+0-0-0</f>
        <v>551.93644999999992</v>
      </c>
      <c r="V45" s="3">
        <f>1400.1+(123.5-965.3)+(-4.284306+(-0.37791--2.953818))+0-0-0</f>
        <v>556.59160199999997</v>
      </c>
      <c r="W45" s="3">
        <f>1408.5+(67.1-894.3)+(-2.155005+(-0.102663--1.368279))+0-0-0</f>
        <v>580.41061100000002</v>
      </c>
      <c r="X45" s="3">
        <f>1421.8+(46.9-847.2)+(-0.725118+(-0.023919--0.432072))+0-0-0</f>
        <v>621.1830349999999</v>
      </c>
      <c r="Y45" s="3">
        <f>1444+(54.5-858.9)+(0.73644+(0.027795-0.438039))+0-0-0</f>
        <v>639.926196</v>
      </c>
      <c r="Z45" s="3">
        <f>1458.9+(100.7-836.7)+(-1.488078+(-0.102714--0.853434))+0-0-0</f>
        <v>722.16264200000012</v>
      </c>
      <c r="AA45" s="3">
        <f>1474.1+(84.6-833.3)+(-2.255373+(-0.129438--1.274949))+0-0-0</f>
        <v>724.29013799999996</v>
      </c>
      <c r="AB45" s="3">
        <f>1452.2+(46.4-832.9)+(-4.443732+(-0.141984--2.548674))+0-0-0</f>
        <v>663.662958</v>
      </c>
      <c r="AC45" s="3">
        <f>1420.5+(15.5-826.8)+(-1.44891+(-0.01581--0.843336))+0-0-0</f>
        <v>608.57861600000001</v>
      </c>
      <c r="AD45" s="2">
        <v>687.9</v>
      </c>
      <c r="AE45" s="3">
        <f>1475+(82.5-869.6)+(0+(0-0))+0-0-0</f>
        <v>687.9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1382.8+(17.6-855.3)+(-2.820912+(-0.035904--1.744812))+0-0-0</f>
        <v>543.98799600000007</v>
      </c>
      <c r="G46" s="3">
        <f>1250.9+(31.6-803.6)+(-1.275918+(-0.032232--0.819672))+0-0-0</f>
        <v>478.4115220000001</v>
      </c>
      <c r="H46" s="3">
        <f>1206+(29.3-782.1)+(-0.61506+(-0.014943--0.398871))+0-0-0</f>
        <v>452.96886799999993</v>
      </c>
      <c r="I46" s="3">
        <f>1080.8+(31.3-673.3)+(2.204832+(0.063852-1.373532))+0-0-0</f>
        <v>439.69515199999995</v>
      </c>
      <c r="J46" s="3">
        <f>1068.2+(31.2-665.9)+(0+(0-0))+0-0-0</f>
        <v>433.50000000000011</v>
      </c>
      <c r="K46" s="3">
        <f>1063.3+(30.1-664.1)+(-1.626849+(-0.046053--1.016073))+0-0-0</f>
        <v>428.64317099999994</v>
      </c>
      <c r="L46" s="3">
        <f>1067.4+(28-705.2)+(-1.088748+(-0.02856--0.719304))+0-0-0</f>
        <v>389.80199600000003</v>
      </c>
      <c r="M46" s="3">
        <f>1069.5+(29.6-717.8)+(-1.09089+(-0.030192--0.732156))+0-0-0</f>
        <v>380.91107400000004</v>
      </c>
      <c r="N46" s="3">
        <f>1069.5+(18.4-659.7)+(-0.545445+(-0.009384--0.336447))+0-0-0</f>
        <v>427.98161799999991</v>
      </c>
      <c r="O46" s="3">
        <f>1072.6+(19.1-656.8)+(0+(0-0))+0-0-0</f>
        <v>434.9</v>
      </c>
      <c r="P46" s="3">
        <f>1072.9+(14.7-622.3)+(0+(0-0))+0-0-0</f>
        <v>465.30000000000018</v>
      </c>
      <c r="Q46" s="3">
        <f>1115.1+(11.3-649.6)+(-1.706103+(-0.017289--0.993888))+0-0-0</f>
        <v>476.07049599999982</v>
      </c>
      <c r="R46" s="3">
        <f>1223+(8.2-733.6)+(-0.62373+(-0.004182--0.374136))+0-0-0</f>
        <v>497.34622400000001</v>
      </c>
      <c r="S46" s="3">
        <f>1206.3+(11.9-713.5)+(0+(0-0))+0-0-0</f>
        <v>504.69999999999993</v>
      </c>
      <c r="T46" s="3">
        <f>1312.7+(15.5-836.4)+(-3.347385+(-0.039525--2.13282))+0-0-0</f>
        <v>490.54591000000005</v>
      </c>
      <c r="U46" s="3">
        <f>1343.2+(15.3-882.1)+(-2.055096+(-0.023409--1.349613))+0-0-0</f>
        <v>475.671108</v>
      </c>
      <c r="V46" s="3">
        <f>1341+(10.7-883.8)+(-3.41955+(-0.027285--2.25369))+0-0-0</f>
        <v>466.70685500000008</v>
      </c>
      <c r="W46" s="3">
        <f>1149.3+(15.5-679.6)+(-1.172286+(-0.01581--0.693192))+0-0-0</f>
        <v>484.70509599999991</v>
      </c>
      <c r="X46" s="3">
        <f>1118.1+(14.9-640.3)+(-1.710693+(-0.022797--0.979659))+0-0-0</f>
        <v>491.94616899999994</v>
      </c>
      <c r="Y46" s="3">
        <f>1179.7+(17.7-707.3)+(-0.601647+(-0.009027--0.360723))+0-0-0</f>
        <v>489.85004900000013</v>
      </c>
      <c r="Z46" s="3">
        <f>1422.6+(19.6-826.6)+(0+(0-0))+0-0-0</f>
        <v>615.59999999999991</v>
      </c>
      <c r="AA46" s="3">
        <f>1411.7+(15.1-776)+(-2.879868+(-0.030804--1.58304))+0-0-0</f>
        <v>649.47236800000007</v>
      </c>
      <c r="AB46" s="3">
        <f>1411.2+(17.7-789.1)+(-2.878848+(-0.036108--1.609764))+0-0-0</f>
        <v>638.49480800000003</v>
      </c>
      <c r="AC46" s="3">
        <f>1414.9+(20.6-841.9)+(-2.164797+(-0.031518--1.288107))+0-0-0</f>
        <v>592.69179200000019</v>
      </c>
      <c r="AD46" s="2">
        <v>656.80000000000007</v>
      </c>
      <c r="AE46" s="3">
        <f>1420+(13.7-776.9)+(0+(0-0))+0-0-0</f>
        <v>656.80000000000007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1291.6+(36.2-795.6)+(-0.658716+(-0.018462--0.405756))+0-0-0</f>
        <v>531.9285779999999</v>
      </c>
      <c r="G47" s="3">
        <f>1168.2+(36.4-725.4)+(-1.787346+(-0.055692--1.109862))+0-0-0</f>
        <v>478.46682400000003</v>
      </c>
      <c r="H47" s="3">
        <f>1163.8+(39.7-749)+(-1.187076+(-0.040494--0.76398))+0-0-0</f>
        <v>454.03640999999999</v>
      </c>
      <c r="I47" s="3">
        <f>1157+(32.1-743.9)+(-2.95035+(-0.081855--1.896945))+0-0-0</f>
        <v>444.06474000000003</v>
      </c>
      <c r="J47" s="3">
        <f>1156.6+(33-751.9)+(-2.94933+(-0.08415--1.917345))+0-0-0</f>
        <v>436.58386499999995</v>
      </c>
      <c r="K47" s="3">
        <f>1159.3+(31.3-753.8)+(-1.773729+(-0.047889--1.153314))+0-0-0</f>
        <v>436.13169599999998</v>
      </c>
      <c r="L47" s="3">
        <f>1153.7+(27.7-748.8)+(-3.530322+(-0.084762--2.291328))+0-0-0</f>
        <v>431.27624400000013</v>
      </c>
      <c r="M47" s="3">
        <f>1223.7+(33.3-795.6)+(-0.624087+(-0.016983--0.405756))+0-0-0</f>
        <v>461.16468599999996</v>
      </c>
      <c r="N47" s="3">
        <f>1443.1+(74-988.5)+(3.679905+(0.1887-2.520675))+0-0-0</f>
        <v>529.94792999999993</v>
      </c>
      <c r="O47" s="3">
        <f>1424.2+(60.1-915.7)+(-1.452684+(-0.061302--0.934014))+0-0-0</f>
        <v>568.02002800000002</v>
      </c>
      <c r="P47" s="3">
        <f>1426.7+(58.6-885.6)+(-1.455234+(-0.059772--0.903312))+0-0-0</f>
        <v>599.0883060000001</v>
      </c>
      <c r="Q47" s="3">
        <f>1423.7+(57.1-848.8)+(-2.904348+(-0.116484--1.731552))+0-0-0</f>
        <v>630.71072000000015</v>
      </c>
      <c r="R47" s="3">
        <f>1371.7+(55.7-811.1)+(0.699567+(0.028407-0.413661))+0-0-0</f>
        <v>616.61431300000004</v>
      </c>
      <c r="S47" s="3">
        <f>1367.9+(55-829.4)+(-2.092887+(-0.08415--1.268982))+0-0-0</f>
        <v>592.59194500000012</v>
      </c>
      <c r="T47" s="3">
        <f>1403.6+(52.5-883.3)+(0.715836+(0.026775-0.450483))+0-0-0</f>
        <v>573.092128</v>
      </c>
      <c r="U47" s="3">
        <f>1375.1+(56.3-879.9)+(0.701301+(0.028713-0.448749))+0-0-0</f>
        <v>551.78126499999985</v>
      </c>
      <c r="V47" s="3">
        <f>1352.6+(46.9-863.8)+(-2.759304+(-0.095676--1.762152))+0-0-0</f>
        <v>534.60717199999988</v>
      </c>
      <c r="W47" s="3">
        <f>1395.5+(51.2-900.9)+(-4.27023+(-0.156672--2.756754))+0-0-0</f>
        <v>544.12985200000003</v>
      </c>
      <c r="X47" s="3">
        <f>1391.6+(21.5-858.7)+(-4.968012+(-0.076755--3.065559))+0-0-0</f>
        <v>552.42079199999989</v>
      </c>
      <c r="Y47" s="3">
        <f>1442.6+(7.7-881.3)+(-2.942904+(-0.015708--1.797852))+0-0-0</f>
        <v>567.83924000000002</v>
      </c>
      <c r="Z47" s="3">
        <f>1597.6+(17.9-950.1)+(-1.629552+(-0.018258--0.969102))+0-0-0</f>
        <v>664.72129199999983</v>
      </c>
      <c r="AA47" s="3">
        <f>1633.2+(15.4-971.5)+(-4.997592+(-0.047124--2.97279))+0-0-0</f>
        <v>675.02807400000006</v>
      </c>
      <c r="AB47" s="3">
        <f>1639.2+(17.9-1001)+(-3.343968+(-0.036516--2.04204))+0-0-0</f>
        <v>654.76155600000004</v>
      </c>
      <c r="AC47" s="3">
        <f>1637.7+(21-1047.6)+(-1.670454+(-0.02142--1.068552))+0-0-0</f>
        <v>610.47667800000011</v>
      </c>
      <c r="AD47" s="2">
        <v>670.6</v>
      </c>
      <c r="AE47" s="3">
        <f>1626+(16-971.4)+(0+(0-0))+0-0-0</f>
        <v>670.6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1572.3+(23.9-1029.1)+(-2.405619+(-0.036567--1.574523))+0-0-0</f>
        <v>566.23233700000003</v>
      </c>
      <c r="G48" s="3">
        <f>1357.8+(67.3-903.7)+(-2.077434+(-0.102969--1.382661))+0-0-0</f>
        <v>520.60225799999989</v>
      </c>
      <c r="H48" s="3">
        <f>1224.8+(77.6-811.9)+(0+(0-0))+0-0-0</f>
        <v>490.5</v>
      </c>
      <c r="I48" s="3">
        <f>1223.6+(89.3-829.9)+(-1.248072+(-0.091086--0.846498))+0-0-0</f>
        <v>482.50733999999989</v>
      </c>
      <c r="J48" s="3">
        <f>1216.2+(66.8-817.6)+(-1.860786+(-0.102204--1.250928))+0-0-0</f>
        <v>464.68793799999997</v>
      </c>
      <c r="K48" s="3">
        <f>1213.7+(36.5-786.3)+(-3.094935+(-0.093075--2.005065))+0-0-0</f>
        <v>462.71705500000007</v>
      </c>
      <c r="L48" s="3">
        <f>1232+(13.6-793.5)+(0+(0-0))+0-0-0</f>
        <v>452.1</v>
      </c>
      <c r="M48" s="3">
        <f>1496.1+(0-1000.4)+(-0.763011+(0--0.510204))+0-0-0</f>
        <v>495.44719299999991</v>
      </c>
      <c r="N48" s="3">
        <f>1572.9+(0-1029.3)+(0+(0-0))+0-0-0</f>
        <v>543.60000000000014</v>
      </c>
      <c r="O48" s="3">
        <f>1569.2+(0-982.3)+(-0.800292+(0--0.500973))+0-0-0</f>
        <v>586.60068100000012</v>
      </c>
      <c r="P48" s="3">
        <f>1548+(2.8-938.7)+(-0.78948+(-0.001428--0.478737))+0-0-0</f>
        <v>611.78782899999987</v>
      </c>
      <c r="Q48" s="3">
        <f>1550.3+(7-938)+(-0.790653+(-0.00357--0.47838))+0-0-0</f>
        <v>618.98415699999998</v>
      </c>
      <c r="R48" s="3">
        <f>1546.5+(21.8-955.4)+(0+(0-0))+0-0-0</f>
        <v>612.9</v>
      </c>
      <c r="S48" s="3">
        <f>1534.2+(31.2-961.4)+(-3.129768+(-0.063648--1.961256))+0-0-0</f>
        <v>602.76784000000009</v>
      </c>
      <c r="T48" s="3">
        <f>1481.1+(53.7-948)+(-0.755361+(-0.027387--0.48348))+0-0-0</f>
        <v>586.50073199999997</v>
      </c>
      <c r="U48" s="3">
        <f>1451.2+(32-922.2)+(-1.480224+(-0.03264--0.940644))+0-0-0</f>
        <v>560.42777999999998</v>
      </c>
      <c r="V48" s="3">
        <f>1442.6+(0-879.8)+(-3.67863+(0--2.24349))+0-0-0</f>
        <v>561.36485999999991</v>
      </c>
      <c r="W48" s="3">
        <f>1535.7+(0-962.1)+(-1.566414+(0--0.981342))+0-0-0</f>
        <v>573.01492800000005</v>
      </c>
      <c r="X48" s="3">
        <f>1537.4+(0-962.6)+(-4.704444+(0--2.945556))+0-0-0</f>
        <v>573.04111200000011</v>
      </c>
      <c r="Y48" s="3">
        <f>1554.1+(0-974.7)+(0+(0-0))+0-0-0</f>
        <v>579.39999999999986</v>
      </c>
      <c r="Z48" s="3">
        <f>1602.4+(0-914.8)+(-1.634448+(0--0.933096))+0-0-0</f>
        <v>686.89864800000009</v>
      </c>
      <c r="AA48" s="3">
        <f>1620.9+(0-905.2)+(-4.133295+(0--2.30826))+0-0-0</f>
        <v>713.87496500000009</v>
      </c>
      <c r="AB48" s="3">
        <f>1603.1+(0-918)+(-2.452743+(0--1.40454))+0-0-0</f>
        <v>684.05179699999997</v>
      </c>
      <c r="AC48" s="3">
        <f>1522.1+(0-898.5)+(-3.105084+(0--1.83294))+0-0-0</f>
        <v>622.32785599999988</v>
      </c>
      <c r="AD48" s="2">
        <v>696.4</v>
      </c>
      <c r="AE48" s="3">
        <f>1623+(0-926.6)+(0+(0-0))+0-0-0</f>
        <v>696.4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1542.3+(0-993.4)+(-5.506011+(0--3.546438))+0-0-0</f>
        <v>546.940427</v>
      </c>
      <c r="G49" s="3">
        <f>1598.8+(0-1087.5)+(-5.707716+(0--3.882375))+0-0-0</f>
        <v>509.47465899999997</v>
      </c>
      <c r="H49" s="3">
        <f>1516.7+(0-1037.9)+(-1.547034+(0--1.058658))+0-0-0</f>
        <v>478.31162399999994</v>
      </c>
      <c r="I49" s="3">
        <f>1291.9+(0-830.5)+(-0.658869+(0--0.423555))+0-0-0</f>
        <v>461.16468600000007</v>
      </c>
      <c r="J49" s="3">
        <f>1285+(0-821.2)+(-0.65535+(0--0.418812))+0-0-0</f>
        <v>463.56346199999996</v>
      </c>
      <c r="K49" s="3">
        <f>1285.9+(0-822.5)+(-2.623236+(0--1.6779))+0-0-0</f>
        <v>462.45466400000009</v>
      </c>
      <c r="L49" s="3">
        <f>1280.5+(0-830.9)+(-2.61222+(0--1.695036))+0-0-0</f>
        <v>448.682816</v>
      </c>
      <c r="M49" s="3">
        <f>1367+(0-856)+(3.48585+(0-2.1828))+0-0-0</f>
        <v>512.30304999999998</v>
      </c>
      <c r="N49" s="3">
        <f>1391.5+(0-873.1)+(0.709665+(0-0.445281))+0-0-0</f>
        <v>518.66438399999993</v>
      </c>
      <c r="O49" s="3">
        <f>1589.2+(0-1025.7)+(-0.810492+(0--0.523107))+0-0-0</f>
        <v>563.21261500000003</v>
      </c>
      <c r="P49" s="3">
        <f>1596.2+(0-1011.2)+(-0.814062+(0--0.515712))+0-0-0</f>
        <v>584.70164999999997</v>
      </c>
      <c r="Q49" s="3">
        <f>1583.3+(0-991.8)+(-0.807483+(0--0.505818))+0-0-0</f>
        <v>591.19833500000004</v>
      </c>
      <c r="R49" s="3">
        <f>1570.4+(0-987.1)+(-4.805424+(0--3.020526))+0-0-0</f>
        <v>581.51510200000007</v>
      </c>
      <c r="S49" s="3">
        <f>1567.5+(0-992)+(-2.398275+(0--1.51776))+0-0-0</f>
        <v>574.61948500000005</v>
      </c>
      <c r="T49" s="3">
        <f>1555.1+(0-1005.7)+(0.793101+(0-0.512907))+0-0-0</f>
        <v>549.68019399999991</v>
      </c>
      <c r="U49" s="3">
        <f>1479.1+(6.8-937.9)+(-3.771705+(-0.01734--2.391645))+0-0-0</f>
        <v>546.60259999999994</v>
      </c>
      <c r="V49" s="3">
        <f>1444.9+(14.5-906.1)+(-3.684495+(-0.036975--2.310555))+0-0-0</f>
        <v>551.88908500000002</v>
      </c>
      <c r="W49" s="3">
        <f>1462+(3.8-918.3)+(-3.7281+(-0.00969--2.341665))+0-0-0</f>
        <v>546.10387500000002</v>
      </c>
      <c r="X49" s="3">
        <f>1353.3+(10.4-822.9)+(-1.380366+(-0.010608--0.839358))+0-0-0</f>
        <v>540.24838399999999</v>
      </c>
      <c r="Y49" s="3">
        <f>1253+(18.5-722.6)+(-0.63903+(-0.009435--0.368526))+0-0-0</f>
        <v>548.62006099999996</v>
      </c>
      <c r="Z49" s="3">
        <f>1430.9+(37.6-821)+(-2.189277+(-0.057528--1.25613))+0-0-0</f>
        <v>646.5093250000001</v>
      </c>
      <c r="AA49" s="3">
        <f>1533+(18.1-852)+(-3.90915+(-0.046155--2.1726))+0-0-0</f>
        <v>697.31729500000006</v>
      </c>
      <c r="AB49" s="3">
        <f>1528+(20.8-905.4)+(-2.33784+(-0.031824--1.385262))+0-0-0</f>
        <v>642.41559799999993</v>
      </c>
      <c r="AC49" s="3">
        <f>1414.6+(31.9-847.5)+(-2.164338+(-0.048807--1.296675))+0-0-0</f>
        <v>598.08352999999988</v>
      </c>
      <c r="AD49" s="2">
        <v>655.29999999999995</v>
      </c>
      <c r="AE49" s="3">
        <f>1494+(18.1-856.8)+(0+(0-0))+0-0-0</f>
        <v>655.30000000000007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1394.3+(17.1-895.9)+(-3.555465+(-0.043605--2.284545))+0-0-0</f>
        <v>514.185475</v>
      </c>
      <c r="G50" s="3">
        <f>1400.8+(7.6-932.7)+(-2.143224+(-0.011628--1.427031))+0-0-0</f>
        <v>474.97217899999993</v>
      </c>
      <c r="H50" s="3">
        <f>1281.5+(11.8-836.8)+(-3.267825+(-0.03009--2.13384))+0-0-0</f>
        <v>455.33592499999997</v>
      </c>
      <c r="I50" s="3">
        <f>1223.3+(27.8-801.8)+(-2.495532+(-0.056712--1.635672))+0-0-0</f>
        <v>448.38342799999998</v>
      </c>
      <c r="J50" s="3">
        <f>1226.2+(26.2-793.3)+(-1.876086+(-0.040086--1.213749))+0-0-0</f>
        <v>458.39757700000013</v>
      </c>
      <c r="K50" s="3">
        <f>1230.4+(22.7-787.1)+(-1.255008+(-0.023154--0.802842))+0-0-0</f>
        <v>465.5246800000001</v>
      </c>
      <c r="L50" s="3">
        <f>1234.1+(16.7-791.6)+(-2.517564+(-0.034068--1.614864))+0-0-0</f>
        <v>458.26323199999996</v>
      </c>
      <c r="M50" s="3">
        <f>1396.5+(13.9-919.3)+(1.42443+(0.014178-0.937686))+0-0-0</f>
        <v>491.60092200000003</v>
      </c>
      <c r="N50" s="3">
        <f>1441.3+(13.2-918)+(-1.470126+(-0.013464--0.93636))+0-0-0</f>
        <v>535.95276999999999</v>
      </c>
      <c r="O50" s="3">
        <f>1505+(8.8-934.6)+(0+(0-0))+0-0-0</f>
        <v>579.19999999999993</v>
      </c>
      <c r="P50" s="3">
        <f>1633.9+(0-1017.6)+(0+(0-0))+0-0-0</f>
        <v>616.30000000000007</v>
      </c>
      <c r="Q50" s="3">
        <f>1679.6+(0-1050.6)+(0+(0-0))+0-0-0</f>
        <v>629</v>
      </c>
      <c r="R50" s="3">
        <f>1566+(9-976.8)+(0+(0-0))+0-0-0</f>
        <v>598.20000000000005</v>
      </c>
      <c r="S50" s="3">
        <f>1552+(24.3-988.7)+(-3.9576+(-0.061965--2.521185))+0-0-0</f>
        <v>586.10161999999991</v>
      </c>
      <c r="T50" s="3">
        <f>1552+(41.2-960)+(-3.9576+(-0.10506--2.448))+0-0-0</f>
        <v>631.58534000000009</v>
      </c>
      <c r="U50" s="3">
        <f>1554.1+(44.6-1030.9)+(-2.377773+(-0.068238--1.577277))+0-0-0</f>
        <v>566.93126599999982</v>
      </c>
      <c r="V50" s="3">
        <f>1501.9+(47-984.6)+(-3.063876+(-0.09588--2.008584))+0-0-0</f>
        <v>563.14882800000009</v>
      </c>
      <c r="W50" s="3">
        <f>1386.5+(38.1-860.2)+(-3.535575+(-0.097155--2.19351))+0-0-0</f>
        <v>562.96078</v>
      </c>
      <c r="X50" s="3">
        <f>1392.2+(34.4-860.3)+(-3.55011+(-0.08772--2.193765))+0-0-0</f>
        <v>564.85593500000004</v>
      </c>
      <c r="Y50" s="3">
        <f>1397.4+(35.9-845.5)+(-1.425348+(-0.036618--0.86241))+0-0-0</f>
        <v>587.20044400000006</v>
      </c>
      <c r="Z50" s="3">
        <f>1404.8+(42.9-779.7)+(-2.149344+(-0.065637--1.192941))+0-0-0</f>
        <v>666.97795999999994</v>
      </c>
      <c r="AA50" s="3">
        <f>1609.9+(2.2-930.1)+(-4.926294+(-0.006732--2.846106))+0-0-0</f>
        <v>679.91308000000015</v>
      </c>
      <c r="AB50" s="3">
        <f>1608.4+(0-947.7)+(-0.820284+(0--0.483327))+0-0-0</f>
        <v>660.36304300000006</v>
      </c>
      <c r="AC50" s="3">
        <f>1601.3+(0-996)+(-2.449989+(0--1.52388))+0-0-0</f>
        <v>604.37389099999996</v>
      </c>
      <c r="AD50" s="2">
        <v>693.40000000000009</v>
      </c>
      <c r="AE50" s="3">
        <f>1624+(14.2-944.8)+(0+(0-0))+0-0-0</f>
        <v>693.40000000000009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1533.9+(1.4-990.3)+(-3.911445+(-0.00357--2.525265))+0-0-0</f>
        <v>543.61025000000006</v>
      </c>
      <c r="G51" s="3">
        <f>1482+(8.5-977.7)+(-3.7791+(-0.021675--2.493135))+0-0-0</f>
        <v>511.49235999999996</v>
      </c>
      <c r="H51" s="3">
        <f>1478.4+(28.6-1007.1)+(-3.015936+(-0.058344--2.054484))+0-0-0</f>
        <v>498.88020400000011</v>
      </c>
      <c r="I51" s="3">
        <f>1390+(28.8-925.4)+(-0.7089+(-0.014688--0.471954))+0-0-0</f>
        <v>493.14836599999995</v>
      </c>
      <c r="J51" s="3">
        <f>1191.2+(41.7-754.7)+(1.822536+(0.063801-1.154691))+0-0-0</f>
        <v>478.93164600000006</v>
      </c>
      <c r="K51" s="3">
        <f>1173.3+(34.8-750.3)+(-1.795149+(-0.053244--1.147959))+0-0-0</f>
        <v>457.09956599999998</v>
      </c>
      <c r="L51" s="3">
        <f>1184.1+(4-735.3)+(-0.603891+(-0.00204--0.375003))+0-0-0</f>
        <v>452.56907199999995</v>
      </c>
      <c r="M51" s="3">
        <f>1175.1+(5.2-690.5)+(-2.397204+(-0.010608--1.40862))+0-0-0</f>
        <v>488.80080799999996</v>
      </c>
      <c r="N51" s="3">
        <f>1186.9+(15.7-664.8)+(-1.815957+(-0.024021--1.017144))+0-0-0</f>
        <v>536.97716600000024</v>
      </c>
      <c r="O51" s="3">
        <f>1184.6+(19.6-634.6)+(-1.208292+(-0.019992--0.647292))+0-0-0</f>
        <v>569.01900799999987</v>
      </c>
      <c r="P51" s="3">
        <f>1294.6+(12.6-703.7)+(-1.320492+(-0.012852--0.717774))+0-0-0</f>
        <v>602.88442999999984</v>
      </c>
      <c r="Q51" s="3">
        <f>1475+(7.5-852.9)+(-1.5045+(-0.00765--0.869958))+0-0-0</f>
        <v>628.957808</v>
      </c>
      <c r="R51" s="3">
        <f>1479.3+(16.6-882.3)+(-0.754443+(-0.008466--0.449973))+0-0-0</f>
        <v>613.28706399999999</v>
      </c>
      <c r="S51" s="3">
        <f>1468+(18-888.2)+(-2.99472+(-0.03672--1.811928))+0-0-0</f>
        <v>596.58048799999995</v>
      </c>
      <c r="T51" s="3">
        <f>1468+(18-888.2)+(-2.99472+(-0.03672--1.811928))+0-0-0</f>
        <v>596.58048799999995</v>
      </c>
      <c r="U51" s="3">
        <f>1475.8+(14.8-917.4)+(0+(0-0))+0-0-0</f>
        <v>573.19999999999993</v>
      </c>
      <c r="V51" s="3">
        <f>1460.6+(16.7-913.5)+(-2.979624+(-0.034068--1.86354))+0-0-0</f>
        <v>562.64984799999991</v>
      </c>
      <c r="W51" s="3">
        <f>1460+(19.9-909.3)+(-4.4676+(-0.060894--2.782458))+0-0-0</f>
        <v>568.85396400000002</v>
      </c>
      <c r="X51" s="3">
        <f>1460+(19.9-909.3)+(-4.4676+(-0.060894--2.782458))+0-0-0</f>
        <v>568.85396400000002</v>
      </c>
      <c r="Y51" s="3">
        <f>1341.1+(24.8-795.8)+(-4.787727+(-0.088536--2.841006))+0-0-0</f>
        <v>568.06474299999991</v>
      </c>
      <c r="Z51" s="3">
        <f>1495.2+(33.3-852.7)+(-0.762552+(-0.016983--0.434877))+0-0-0</f>
        <v>675.45534199999997</v>
      </c>
      <c r="AA51" s="3">
        <f>1555.1+(14.3-849.7)+(-4.758606+(-0.043758--2.600082))+0-0-0</f>
        <v>717.49771799999985</v>
      </c>
      <c r="AB51" s="3">
        <f>1578.6+(0-888.5)+(-2.415258+(0--1.359405))+0-0-0</f>
        <v>689.04414699999995</v>
      </c>
      <c r="AC51" s="3">
        <f>1570.4+(3.7-956.3)+(-3.203616+(-0.007548--1.950852))+0-0-0</f>
        <v>616.53968800000018</v>
      </c>
      <c r="AD51" s="2">
        <v>698.8</v>
      </c>
      <c r="AE51" s="3">
        <f>1512+(31.8-845)+(0+(0-0))+0-0-0</f>
        <v>698.8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1424.1+(28-900.4)+(-3.631455+(-0.0714--2.29602))+0-0-0</f>
        <v>550.29316499999993</v>
      </c>
      <c r="G52" s="3">
        <f>1144.2+(70-702.2)+(-2.334168+(-0.1428--1.432488))+0-0-0</f>
        <v>510.95551999999998</v>
      </c>
      <c r="H52" s="3">
        <f>1127.7+(86.3-725.3)+(-1.725381+(-0.132039--1.109709))+0-0-0</f>
        <v>487.95228900000006</v>
      </c>
      <c r="I52" s="3">
        <f>1144.6+(84-765)+(2.91873+(0.2142-1.95075))+0-0-0</f>
        <v>464.78217999999993</v>
      </c>
      <c r="J52" s="3">
        <f>1127.2+(84.5-747.2)+(-1.724616+(-0.129285--1.143216))+0-0-0</f>
        <v>463.78931499999999</v>
      </c>
      <c r="K52" s="3">
        <f>1132.3+(60.2-726.5)+(-0.577473+(-0.030702--0.370515))+0-0-0</f>
        <v>465.76233999999999</v>
      </c>
      <c r="L52" s="3">
        <f>1128.6+(40.4-719.2)+(-1.151172+(-0.041208--0.733584))+0-0-0</f>
        <v>449.34120399999983</v>
      </c>
      <c r="M52" s="3">
        <f>1139+(23.3-682.5)+(0.58089+(0.011883-0.348075))+0-0-0</f>
        <v>480.04469799999998</v>
      </c>
      <c r="N52" s="3">
        <f>1137+(15.6-624.7)+(0+(0-0))+0-0-0</f>
        <v>527.9</v>
      </c>
      <c r="O52" s="3">
        <f>1175.5+(31.4-643.7)+(-1.19901+(-0.032028--0.656574))+0-0-0</f>
        <v>562.6255359999999</v>
      </c>
      <c r="P52" s="3">
        <f>1299.6+(52.7-750.9)+(0.662796+(0.026877-0.382959))+0-0-0</f>
        <v>601.70671400000003</v>
      </c>
      <c r="Q52" s="3">
        <f>1285.8+(49.7-725)+(-0.655758+(-0.025347--0.36975))+0-0-0</f>
        <v>610.18864499999995</v>
      </c>
      <c r="R52" s="3">
        <f>1419+(20.6-836.5)+(1.44738+(0.021012-0.85323))+0-0-0</f>
        <v>603.71516200000008</v>
      </c>
      <c r="S52" s="3">
        <f>1411.5+(36.9-879.5)+(-2.87946+(-0.075276--1.79418))+0-0-0</f>
        <v>567.73944399999993</v>
      </c>
      <c r="T52" s="3">
        <f>1320.1+(56.9-824.3)+(0.673251+(0.029019-0.420393))+0-0-0</f>
        <v>552.98187699999994</v>
      </c>
      <c r="U52" s="3">
        <f>1279.3+(57.8-794.7)+(-1.304886+(-0.058956--0.810594))+0-0-0</f>
        <v>541.84675199999981</v>
      </c>
      <c r="V52" s="3">
        <f>1277.1+(51.8-769)+(-2.605284+(-0.105672--1.56876))+0-0-0</f>
        <v>558.75780399999985</v>
      </c>
      <c r="W52" s="3">
        <f>1285.3+(40.4-778.2)+(0.655503+(0.020604-0.396882))+0-0-0</f>
        <v>547.77922499999988</v>
      </c>
      <c r="X52" s="3">
        <f>1266.5+(19.3-738)+(-4.521405+(-0.068901--2.63466))+0-0-0</f>
        <v>545.84435399999995</v>
      </c>
      <c r="Y52" s="3">
        <f>1284.9+(17-733.6)+(-1.965897+(-0.02601--1.122408))+0-0-0</f>
        <v>567.43050100000005</v>
      </c>
      <c r="Z52" s="3">
        <f>1291.7+(60.5-678)+(-1.317534+(-0.06171--0.69156))+0-0-0</f>
        <v>673.51231600000006</v>
      </c>
      <c r="AA52" s="3">
        <f>1315.1+(41.1-651.9)+(-4.024206+(-0.125766--1.994814))+0-0-0</f>
        <v>702.14484199999993</v>
      </c>
      <c r="AB52" s="3">
        <f>1327.2+(41.9-690.4)+(0+(0-0))+0-0-0</f>
        <v>678.7</v>
      </c>
      <c r="AC52" s="3">
        <f>1323.1+(62.4-753.2)+(-0.674781+(-0.031824--0.384132))+0-0-0</f>
        <v>631.9775269999999</v>
      </c>
      <c r="AD52" s="2">
        <v>676.39999999999986</v>
      </c>
      <c r="AE52" s="3">
        <f>1313+(47.1-683.7)+(0+(0-0))+0-0-0</f>
        <v>676.4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1303.1+(46.6-792.2)+(-3.322905+(-0.11883--2.02011))+0-0-0</f>
        <v>556.07837499999994</v>
      </c>
      <c r="G53" s="3">
        <f>1308.2+(14.8-825)+(-0.667182+(-0.007548--0.42075))+0-0-0</f>
        <v>497.74601999999999</v>
      </c>
      <c r="H53" s="3">
        <f>1304.7+(12.3-859.5)+(-1.996191+(-0.018819--1.315035))+0-0-0</f>
        <v>456.80002500000001</v>
      </c>
      <c r="I53" s="3">
        <f>1229.6+(19.6-784)+(-2.508384+(-0.039984--1.59936))+0-0-0</f>
        <v>464.25099199999994</v>
      </c>
      <c r="J53" s="3">
        <f>1139.3+(26.1-719.3)+(0+(0-0))+0-0-0</f>
        <v>446.1</v>
      </c>
      <c r="K53" s="3">
        <f>1121.3+(25.9-715.1)+(-2.287452+(-0.052836--1.458804))+0-0-0</f>
        <v>431.21851599999991</v>
      </c>
      <c r="L53" s="3">
        <f>1025.9+(31.2-646.4)+(-2.092836+(-0.063648--1.318656))+0-0-0</f>
        <v>409.86217200000016</v>
      </c>
      <c r="M53" s="3">
        <f>1016.3+(28.9-634.5)+(0+(0-0))+0-0-0</f>
        <v>410.69999999999993</v>
      </c>
      <c r="N53" s="3">
        <f>1117+(32.8-716.9)+(-1.13934+(-0.033456--0.731238))+0-0-0</f>
        <v>432.45844199999999</v>
      </c>
      <c r="O53" s="3">
        <f>1135.7+(18.7-686.6)+(0+(0-0))+0-0-0</f>
        <v>467.80000000000007</v>
      </c>
      <c r="P53" s="3">
        <f>1139.8+(19.3-647.4)+(0+(0-0))+0-0-0</f>
        <v>511.69999999999993</v>
      </c>
      <c r="Q53" s="3">
        <f>1136.4+(18.1-619.1)+(-0.579564+(-0.009231--0.315741))+0-0-0</f>
        <v>535.12694600000009</v>
      </c>
      <c r="R53" s="3">
        <f>1134.9+(20.4-628.1)+(-0.578799+(-0.010404--0.320331))+0-0-0</f>
        <v>526.93112800000006</v>
      </c>
      <c r="S53" s="3">
        <f>1135.9+(20.9-658.1)+(-1.158618+(-0.021318--0.671262))+0-0-0</f>
        <v>498.19132600000006</v>
      </c>
      <c r="T53" s="3">
        <f>1125.2+(33.5-680.5)+(-1.721556+(-0.051255--1.041165))+0-0-0</f>
        <v>477.46835400000003</v>
      </c>
      <c r="U53" s="3">
        <f>1131.9+(30.9-697.3)+(-1.154538+(-0.031518--0.711246))+0-0-0</f>
        <v>465.02519000000012</v>
      </c>
      <c r="V53" s="3">
        <f>1158.4+(20.5-711.6)+(0.590784+(0.010455-0.362916))+0-0-0</f>
        <v>467.53832300000005</v>
      </c>
      <c r="W53" s="3">
        <f>1202.3+(6.6-737.9)+(-0.613173+(-0.003366--0.376329))+0-0-0</f>
        <v>470.75979000000001</v>
      </c>
      <c r="X53" s="3">
        <f>1247+(1.8-767.9)+(-3.17985+(-0.00459--1.958145))+0-0-0</f>
        <v>479.67370499999998</v>
      </c>
      <c r="Y53" s="3">
        <f>1296.1+(11.8-789)+(-1.983033+(-0.018054--1.20717))+0-0-0</f>
        <v>518.1060829999999</v>
      </c>
      <c r="Z53" s="3">
        <f>1431.2+(22.1-840.2)+(-2.189736+(-0.033813--1.285506))+0-0-0</f>
        <v>612.16195700000003</v>
      </c>
      <c r="AA53" s="3">
        <f>1449.1+(8.5-827)+(-2.217123+(-0.013005--1.26531))+0-0-0</f>
        <v>629.63518199999987</v>
      </c>
      <c r="AB53" s="3">
        <f>1455.1+(15.1-879.1)+(1.484202+(0.015402-0.896682))+0-0-0</f>
        <v>591.70292199999994</v>
      </c>
      <c r="AC53" s="3">
        <f>1440.7+(15.4-915.5)+(-1.469514+(-0.015708--0.93381))+0-0-0</f>
        <v>540.048588</v>
      </c>
      <c r="AD53" s="2">
        <v>611.5</v>
      </c>
      <c r="AE53" s="3">
        <f>1430+(11.7-830.2)+(0+(0-0))+0-0-0</f>
        <v>611.5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1428.4+(7.6-947.2)+(-0.728484+(-0.003876--0.483072))+0-0-0</f>
        <v>488.55071200000009</v>
      </c>
      <c r="G54" s="3">
        <f>1403.8+(31.1-977.4)+(-3.57969+(-0.079305--2.49237))+0-0-0</f>
        <v>456.33337499999999</v>
      </c>
      <c r="H54" s="3">
        <f>1262.6+(30.3-848.2)+(0+(0-0))+0-0-0</f>
        <v>444.69999999999982</v>
      </c>
      <c r="I54" s="3">
        <f>1143.4+(39.9-752.4)+(-1.749402+(-0.061047--1.151172))+0-0-0</f>
        <v>430.24072300000012</v>
      </c>
      <c r="J54" s="3">
        <f>1140.5+(38.8-756.7)+(1.744965+(0.059364-1.157751))+0-0-0</f>
        <v>423.24657799999989</v>
      </c>
      <c r="K54" s="3">
        <f>1128.6+(37.5-759.9)+(-1.151172+(-0.03825--0.775098))+0-0-0</f>
        <v>405.78567599999991</v>
      </c>
      <c r="L54" s="3">
        <f>1123.9+(41.9-746.4)+(-1.719567+(-0.064107--1.141992))+0-0-0</f>
        <v>418.75831800000009</v>
      </c>
      <c r="M54" s="3">
        <f>1134.4+(87.1-750.9)+(0.578544+(0.044421-0.382959))+0-0-0</f>
        <v>470.84000600000013</v>
      </c>
      <c r="N54" s="3">
        <f>1262.8+(80.7-827.5)+(2.576112+(0.164628-1.6881))+0-0-0</f>
        <v>517.05264</v>
      </c>
      <c r="O54" s="3">
        <f>1471.8+(65.3-978.2)+(-0.750618+(-0.033303--0.498882))+0-0-0</f>
        <v>558.61496099999988</v>
      </c>
      <c r="P54" s="3">
        <f>1478.8+(63.5-960.3)+(0+(0-0))+0-0-0</f>
        <v>582</v>
      </c>
      <c r="Q54" s="3">
        <f>1471.9+(75.4-959.7)+(-1.501338+(-0.076908--0.978894))+0-0-0</f>
        <v>587.00064800000007</v>
      </c>
      <c r="R54" s="3">
        <f>1479.1+(102.1-977.1)+(-0.754341+(-0.052071--0.498321))+0-0-0</f>
        <v>603.79190899999992</v>
      </c>
      <c r="S54" s="3">
        <f>1503.4+(108.6-1016.8)+(-1.533468+(-0.110772--1.037136))+0-0-0</f>
        <v>594.59289600000011</v>
      </c>
      <c r="T54" s="3">
        <f>1558+(103.1-1086.7)+(-0.79458+(-0.052581--0.554217))+0-0-0</f>
        <v>574.10705599999994</v>
      </c>
      <c r="U54" s="3">
        <f>1561.8+(88.8-1082.5)+(-2.389554+(-0.135864--1.656225))+0-0-0</f>
        <v>567.23080699999991</v>
      </c>
      <c r="V54" s="3">
        <f>1450.6+(103.1-1000.4)+(0+(0-0))+0-0-0</f>
        <v>553.29999999999995</v>
      </c>
      <c r="W54" s="3">
        <f>1395.6+(101.7-936.1)+(-2.135268+(-0.155601--1.432233))+0-0-0</f>
        <v>560.34136399999988</v>
      </c>
      <c r="X54" s="3">
        <f>1388.4+(84.9-926.4)+(-3.54042+(-0.216495--2.36232))+0-0-0</f>
        <v>545.50540500000011</v>
      </c>
      <c r="Y54" s="3">
        <f>1393.8+(85.8-923.1)+(-2.132514+(-0.131274--1.412343))+0-0-0</f>
        <v>555.64855499999987</v>
      </c>
      <c r="Z54" s="3">
        <f>1440.7+(120.9-913.6)+(-0.734757+(-0.061659--0.465936))+0-0-0</f>
        <v>647.66952000000003</v>
      </c>
      <c r="AA54" s="3">
        <f>1433.2+(89.8-845.4)+(-2.923728+(-0.183192--1.724616))+0-0-0</f>
        <v>676.21769600000005</v>
      </c>
      <c r="AB54" s="3">
        <f>1437.8+(99.1-890.8)+(-0.733278+(-0.050541--0.454308))+0-0-0</f>
        <v>645.770489</v>
      </c>
      <c r="AC54" s="3">
        <f>1429.6+(93-929.6)+(0.729096+(0.04743-0.474096))+0-0-0</f>
        <v>593.30242999999984</v>
      </c>
      <c r="AD54" s="2">
        <v>677.10000000000014</v>
      </c>
      <c r="AE54" s="3">
        <f>1444+(84.4-851.3)+(0+(0-0))+0-0-0</f>
        <v>677.1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1414.7+(52.1-924.3)+(-1.442994+(-0.053142--0.942786))+0-0-0</f>
        <v>541.94665000000009</v>
      </c>
      <c r="G55" s="3">
        <f>1404.1+(78.7-984.6)+(-3.580455+(-0.200685--2.51073))+0-0-0</f>
        <v>496.92958999999991</v>
      </c>
      <c r="H55" s="3">
        <f>1195.6+(117.6-838.2)+(-1.829268+(-0.179928--1.282446))+0-0-0</f>
        <v>474.2732499999999</v>
      </c>
      <c r="I55" s="3">
        <f>1165.6+(94.4-803.5)+(-1.188912+(-0.096288--0.81957))+0-0-0</f>
        <v>456.03436999999991</v>
      </c>
      <c r="J55" s="3">
        <f>1165.8+(91-789.8)+(-1.189116+(-0.09282--0.805596))+0-0-0</f>
        <v>466.52366000000001</v>
      </c>
      <c r="K55" s="3">
        <f>1149.9+(81.2-770.9)+(-2.932245+(-0.20706--1.965795))+0-0-0</f>
        <v>459.02649000000014</v>
      </c>
      <c r="L55" s="3">
        <f>1159.1+(43.1-766.5)+(-2.364564+(-0.087924--1.56366))+0-0-0</f>
        <v>434.81117199999994</v>
      </c>
      <c r="M55" s="3">
        <f>1274+(44-853.7)+(1.94922+(0.06732-1.306161))+0-0-0</f>
        <v>465.01037899999994</v>
      </c>
      <c r="N55" s="3">
        <f>1431.7+(29.3-931.7)+(1.460334+(0.029886-0.950334))+0-0-0</f>
        <v>529.83988599999998</v>
      </c>
      <c r="O55" s="3">
        <f>1421.2+(50-904.5)+(0+(0-0))+0-0-0</f>
        <v>566.70000000000005</v>
      </c>
      <c r="P55" s="3">
        <f>1422.8+(48.8-880.5)+(0+(0-0))+0-0-0</f>
        <v>591.09999999999991</v>
      </c>
      <c r="Q55" s="3">
        <f>1423.4+(37-849.9)+(0+(0-0))+0-0-0</f>
        <v>610.50000000000011</v>
      </c>
      <c r="R55" s="3">
        <f>1424.4+(42-828.5)+(-0.726444+(-0.02142--0.422535))+0-0-0</f>
        <v>637.57467100000008</v>
      </c>
      <c r="S55" s="3">
        <f>1424.4+(30-880.4)+(-1.452888+(-0.0306--0.898008))+0-0-0</f>
        <v>573.41452000000015</v>
      </c>
      <c r="T55" s="3">
        <f>1424.3+(49-869.6)+(0+(0-0))+0-0-0</f>
        <v>603.69999999999993</v>
      </c>
      <c r="U55" s="3">
        <f>1424.4+(38.7-859.2)+(-2.905776+(-0.078948--1.752768))+0-0-0</f>
        <v>602.66804400000012</v>
      </c>
      <c r="V55" s="3">
        <f>1399.9+(40.2-890.6)+(-3.569745+(-0.10251--2.27103))+0-0-0</f>
        <v>548.09877500000016</v>
      </c>
      <c r="W55" s="3">
        <f>1384.7+(50.8-882.2)+(-4.943379+(-0.181356--3.149454))+0-0-0</f>
        <v>551.32471899999996</v>
      </c>
      <c r="X55" s="3">
        <f>1384.4+(14.5-842)+(-4.942308+(-0.051765--3.00594))+0-0-0</f>
        <v>554.91186700000014</v>
      </c>
      <c r="Y55" s="3">
        <f>1383+(14.9-893.5)+(-0.70533+(-0.007599--0.455685))+0-0-0</f>
        <v>504.14275599999996</v>
      </c>
      <c r="Z55" s="3">
        <f>1384.4+(64.7-814.5)+(0.706044+(0.032997-0.415395))+0-0-0</f>
        <v>634.92364600000019</v>
      </c>
      <c r="AA55" s="3">
        <f>1384+(49.6-764.3)+(-4.23504+(-0.151776--2.338758))+0-0-0</f>
        <v>667.2519420000001</v>
      </c>
      <c r="AB55" s="3">
        <f>1420.8+(56-811.3)+(-3.62304+(-0.1428--2.068815))+0-0-0</f>
        <v>663.80297499999995</v>
      </c>
      <c r="AC55" s="3">
        <f>1378.6+(68.4-836.9)+(-3.51543+(-0.17442--2.134095))+0-0-0</f>
        <v>608.54424499999993</v>
      </c>
      <c r="AD55" s="2">
        <v>691.2</v>
      </c>
      <c r="AE55" s="3">
        <f>1419+(52-779.8)+(0+(0-0))+0-0-0</f>
        <v>691.2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1328.6+(70.2-865.9)+(-1.355172+(-0.071604--0.883218))+0-0-0</f>
        <v>532.35644200000002</v>
      </c>
      <c r="G56" s="3">
        <f>1161.5+(87.2-764.3)+(-0.592365+(-0.044472--0.389793))+0-0-0</f>
        <v>484.15295600000007</v>
      </c>
      <c r="H56" s="3">
        <f>1097.2+(97-738.7)+(-2.238288+(-0.19788--1.506948))+0-0-0</f>
        <v>454.57078000000001</v>
      </c>
      <c r="I56" s="3">
        <f>1067.2+(107.1-732.3)+(-1.632816+(-0.163863--1.120419))+0-0-0</f>
        <v>441.3237400000001</v>
      </c>
      <c r="J56" s="3">
        <f>1067.9+(46.2-669.6)+(0+(0-0))+0-0-0</f>
        <v>444.50000000000011</v>
      </c>
      <c r="K56" s="3">
        <f>1065+(30.3-634.5)+(-2.1726+(-0.061812--1.29438))+0-0-0</f>
        <v>459.85996799999998</v>
      </c>
      <c r="L56" s="3">
        <f>1072.4+(29.2-658.4)+(-0.546924+(-0.014892--0.335784))+0-0-0</f>
        <v>442.97396800000018</v>
      </c>
      <c r="M56" s="3">
        <f>1217.2+(33-770)+(-0.620772+(-0.01683--0.3927))+0-0-0</f>
        <v>479.95509800000002</v>
      </c>
      <c r="N56" s="3">
        <f>1413.9+(23.4-887.3)+(0.721089+(0.011934-0.452523))+0-0-0</f>
        <v>550.28050000000007</v>
      </c>
      <c r="O56" s="3">
        <f>1410.7+(20-836.8)+(0.719457+(0.0102-0.426768))+0-0-0</f>
        <v>594.20288900000014</v>
      </c>
      <c r="P56" s="3">
        <f>1396.3+(33.8-817.6)+(-1.424226+(-0.034476--0.833952))+0-0-0</f>
        <v>611.87524999999994</v>
      </c>
      <c r="Q56" s="3">
        <f>1397.9+(40-806.3)+(0+(0-0))+0-0-0</f>
        <v>631.60000000000014</v>
      </c>
      <c r="R56" s="3">
        <f>1387.3+(51.4-797.8)+(0+(0-0))+0-0-0</f>
        <v>640.9</v>
      </c>
      <c r="S56" s="3">
        <f>1374.7+(66.7-794.2)+(-2.103291+(-0.102051--1.215126))+0-0-0</f>
        <v>646.20978400000001</v>
      </c>
      <c r="T56" s="3">
        <f>1364.8+(70.5-805.4)+(-3.48024+(-0.179775--2.05377))+0-0-0</f>
        <v>628.29375500000003</v>
      </c>
      <c r="U56" s="3">
        <f>1360.3+(65.5-820.5)+(-3.468765+(-0.167025--2.092275))+0-0-0</f>
        <v>603.756485</v>
      </c>
      <c r="V56" s="3">
        <f>1363.6+(60.3-822.8)+(-2.781744+(-0.123012--1.678512))+0-0-0</f>
        <v>599.87375599999996</v>
      </c>
      <c r="W56" s="3">
        <f>1368.5+(59.1-825.4)+(-1.39587+(-0.060282--0.841908))+0-0-0</f>
        <v>601.58575600000006</v>
      </c>
      <c r="X56" s="3">
        <f>1362.6+(54.4-830.4)+(-3.47463+(-0.13872--2.11752))+0-0-0</f>
        <v>585.10416999999995</v>
      </c>
      <c r="Y56" s="3">
        <f>1278.7+(33.7-705)+(0.652137+(0.017187-0.35955))+0-0-0</f>
        <v>607.70977400000004</v>
      </c>
      <c r="Z56" s="3">
        <f>1325.5+(34.6-688.5)+(0+(0-0))+0-0-0</f>
        <v>671.6</v>
      </c>
      <c r="AA56" s="3">
        <f>1413.4+(10-708)+(-4.325004+(-0.0306--2.16648))+0-0-0</f>
        <v>713.2108760000001</v>
      </c>
      <c r="AB56" s="3">
        <f>1411.3+(18.4-749)+(-2.159289+(-0.028152--1.14597))+0-0-0</f>
        <v>679.65852899999993</v>
      </c>
      <c r="AC56" s="3">
        <f>1408.2+(11.6-781.6)+(-2.154546+(-0.017748--1.195848))+0-0-0</f>
        <v>637.22355400000004</v>
      </c>
      <c r="AD56" s="2">
        <v>720.4</v>
      </c>
      <c r="AE56" s="3">
        <f>1423+(7.3-709.9)+(0+(0-0))+0-0-0</f>
        <v>720.4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1361.7+(16.3-787)+(-1.388934+(-0.016626--0.80274))+0-0-0</f>
        <v>590.39718000000005</v>
      </c>
      <c r="G57" s="3">
        <f>1231.6+(31.6-735.3)+(-1.884348+(-0.048348--1.125009))+0-0-0</f>
        <v>527.09231299999999</v>
      </c>
      <c r="H57" s="3">
        <f>1130.7+(49.4-672.7)+(-0.576657+(-0.025194--0.343077))+0-0-0</f>
        <v>507.14122599999996</v>
      </c>
      <c r="I57" s="3">
        <f>1127.8+(51.5-695.7)+(0.575178+(0.026265-0.354807))+0-0-0</f>
        <v>483.84663599999993</v>
      </c>
      <c r="J57" s="3">
        <f>1127.2+(31-681.3)+(0+(0-0))+0-0-0</f>
        <v>476.90000000000009</v>
      </c>
      <c r="K57" s="3">
        <f>1122.6+(28.5-676.4)+(-1.717578+(-0.043605--1.034892))+0-0-0</f>
        <v>473.97370899999993</v>
      </c>
      <c r="L57" s="3">
        <f>1123.8+(34.8-697.5)+(0+(0-0))+0-0-0</f>
        <v>461.09999999999991</v>
      </c>
      <c r="M57" s="3">
        <f>1311.8+(18.9-842.2)+(0+(0-0))+0-0-0</f>
        <v>488.49999999999989</v>
      </c>
      <c r="N57" s="3">
        <f>1400.9+(10.8-871.1)+(-1.428918+(-0.011016--0.888522))+0-0-0</f>
        <v>540.048588</v>
      </c>
      <c r="O57" s="3">
        <f>1430.7+(32.7-865.1)+(-0.729657+(-0.016677--0.441201))+0-0-0</f>
        <v>597.99486700000011</v>
      </c>
      <c r="P57" s="3">
        <f>1459+(41.4-869.6)+(3.72045+(0.10557-2.21748))+0-0-0</f>
        <v>632.4085399999999</v>
      </c>
      <c r="Q57" s="3">
        <f>1460.9+(30.8-847.1)+(0.745059+(0.015708-0.432021))+0-0-0</f>
        <v>644.92874600000005</v>
      </c>
      <c r="R57" s="3">
        <f>1498.5+(32.1-875.5)+(1.52847+(0.032742-0.89301))+0-0-0</f>
        <v>655.76820199999997</v>
      </c>
      <c r="S57" s="3">
        <f>1445.7+(39.3-841.4)+(0+(0-0))+0-0-0</f>
        <v>643.6</v>
      </c>
      <c r="T57" s="3">
        <f>1512.6+(43.3-921)+(1.542852+(0.044166-0.93942))+0-0-0</f>
        <v>635.54759799999988</v>
      </c>
      <c r="U57" s="3">
        <f>1376.8+(79-829.5)+(0+(0-0))+0-0-0</f>
        <v>626.29999999999995</v>
      </c>
      <c r="V57" s="3">
        <f>1352.1+(83.5-798.8)+(-3.447855+(-0.212925--2.03694))+0-0-0</f>
        <v>635.17615999999998</v>
      </c>
      <c r="W57" s="3">
        <f>1358.2+(60.3-800)+(-2.078046+(-0.092259--1.224))+0-0-0</f>
        <v>617.55369499999995</v>
      </c>
      <c r="X57" s="3">
        <f>1348.1+(36.4-783.8)+(-4.812717+(-0.129948--2.798166))+0-0-0</f>
        <v>598.55550099999994</v>
      </c>
      <c r="Y57" s="3">
        <f>1370.8+(22-791.2)+(-0.699108+(-0.01122--0.403512))+0-0-0</f>
        <v>601.29318399999988</v>
      </c>
      <c r="Z57" s="3">
        <f>1401.2+(48.1-749.3)+(-1.429224+(-0.049062--0.764286))+0-0-0</f>
        <v>699.28600000000006</v>
      </c>
      <c r="AA57" s="3">
        <f>1438.6+(55.2-755.4)+(-2.934744+(-0.112608--1.541016))+0-0-0</f>
        <v>736.89366399999994</v>
      </c>
      <c r="AB57" s="3">
        <f>1427.9+(58.9-770.8)+(-4.369374+(-0.180234--2.358648))+0-0-0</f>
        <v>713.8090400000001</v>
      </c>
      <c r="AC57" s="3">
        <f>1418.4+(64-817.8)+(-2.893536+(-0.13056--1.668312))+0-0-0</f>
        <v>663.24421600000016</v>
      </c>
      <c r="AD57" s="2">
        <v>722.3</v>
      </c>
      <c r="AE57" s="3">
        <f>1447+(56.6-781.3)+(0+(0-0))+0-0-0</f>
        <v>722.30000000000007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1224.9+(45.7-667)+(-0.624699+(-0.023307--0.34017))+0-0-0</f>
        <v>603.29216400000018</v>
      </c>
      <c r="G58" s="3">
        <f>1116.3+(54.6-639.4)+(-2.846565+(-0.13923--1.63047))+0-0-0</f>
        <v>530.14467500000001</v>
      </c>
      <c r="H58" s="3">
        <f>1122.7+(62-684.2)+(-2.290308+(-0.12648--1.395768))+0-0-0</f>
        <v>499.47897999999998</v>
      </c>
      <c r="I58" s="3">
        <f>1124.1+(55.7-699)+(-1.719873+(-0.085221--1.06947))+0-0-0</f>
        <v>480.06437599999998</v>
      </c>
      <c r="J58" s="3">
        <f>1119.4+(54.4-688.3)+(-2.85447+(-0.13872--1.755165))+0-0-0</f>
        <v>484.26197500000012</v>
      </c>
      <c r="K58" s="3">
        <f>1114.9+(48.6-693.7)+(-2.842995+(-0.12393--1.768935))+0-0-0</f>
        <v>468.60201000000006</v>
      </c>
      <c r="L58" s="3">
        <f>1130.3+(35.9-704.7)+(0.576453+(0.018309-0.359397))+0-0-0</f>
        <v>461.73536499999989</v>
      </c>
      <c r="M58" s="3">
        <f>1301.1+(32.4-834.4)+(1.990683+(0.049572-1.276632))+0-0-0</f>
        <v>499.8636229999999</v>
      </c>
      <c r="N58" s="3">
        <f>1336.5+(55.9-823.5)+(1.36323+(0.057018-0.83997))+0-0-0</f>
        <v>569.480278</v>
      </c>
      <c r="O58" s="3">
        <f>1322.7+(49.2-758.4)+(-2.023731+(-0.075276--1.160352))+0-0-0</f>
        <v>612.56134500000007</v>
      </c>
      <c r="P58" s="3">
        <f>1328.3+(36.4-716)+(-2.032299+(-0.055692--1.09548))+0-0-0</f>
        <v>647.7074889999999</v>
      </c>
      <c r="Q58" s="3">
        <f>1329.2+(38.7-698.7)+(-2.033676+(-0.059211--1.069011))+0-0-0</f>
        <v>668.17612400000007</v>
      </c>
      <c r="R58" s="3">
        <f>1331.8+(51.2-733.1)+(0+(0-0))+0-0-0</f>
        <v>649.9</v>
      </c>
      <c r="S58" s="3">
        <f>1333.6+(66.3-756.8)+(1.360272+(0.067626-0.771936))+0-0-0</f>
        <v>643.75596199999995</v>
      </c>
      <c r="T58" s="3">
        <f>1303.3+(85-773.3)+(-1.994049+(-0.13005--1.183149))+0-0-0</f>
        <v>614.05904999999996</v>
      </c>
      <c r="U58" s="3">
        <f>1374.9+(125.4-895.4)+(1.402398+(0.127908-0.913308))+0-0-0</f>
        <v>605.51699800000006</v>
      </c>
      <c r="V58" s="3">
        <f>1467.9+(111.8-971.5)+(-0.748629+(-0.057018--0.495465))+0-0-0</f>
        <v>607.88981799999999</v>
      </c>
      <c r="W58" s="3">
        <f>1461.2+(70.6-932.9)+(-3.72606+(-0.18003--2.378895))+0-0-0</f>
        <v>597.37280500000008</v>
      </c>
      <c r="X58" s="3">
        <f>1460.9+(57.7-933.3)+(-3.725295+(-0.147135--2.379915))+0-0-0</f>
        <v>583.80748500000016</v>
      </c>
      <c r="Y58" s="3">
        <f>1490.4+(20.4-923.4)+(-1.520208+(-0.020808--0.941868))+0-0-0</f>
        <v>586.80085200000008</v>
      </c>
      <c r="Z58" s="3">
        <f>1561.3+(36.9-921.4)+(0+(0-0))+0-0-0</f>
        <v>676.8</v>
      </c>
      <c r="AA58" s="3">
        <f>1580.3+(34.6-895.3)+(-4.029765+(-0.08823--2.283015))+0-0-0</f>
        <v>717.76502000000005</v>
      </c>
      <c r="AB58" s="3">
        <f>1588.2+(11.8-889)+(-4.04991+(-0.03009--2.26695))+0-0-0</f>
        <v>709.18695000000002</v>
      </c>
      <c r="AC58" s="3">
        <f>1557.5+(23.1-919.2)+(-0.794325+(-0.011781--0.468792))+0-0-0</f>
        <v>661.06268599999999</v>
      </c>
      <c r="AD58" s="2">
        <v>719.40000000000009</v>
      </c>
      <c r="AE58" s="3">
        <f>1581+(60.2-917.8)+(0+(0-0))+0-0-0</f>
        <v>723.40000000000009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1455.9+(40.5-908.3)+(-5.197563+(-0.144585--3.242631))+0-0-0</f>
        <v>586.00048300000014</v>
      </c>
      <c r="G59" s="3">
        <f>1333.6+(82.6-881.2)+(-0.680136+(-0.042126--0.449412))+0-0-0</f>
        <v>534.72714999999994</v>
      </c>
      <c r="H59" s="3">
        <f>1154.3+(117-776.3)+(0+(0-0))+0-0-0</f>
        <v>495</v>
      </c>
      <c r="I59" s="3">
        <f>1147.9+(73.8-745.2)+(-1.756287+(-0.112914--1.140156))+0-0-0</f>
        <v>475.77095500000001</v>
      </c>
      <c r="J59" s="3">
        <f>1142.4+(59-730.6)+(-2.91312+(-0.15045--1.86303))+0-0-0</f>
        <v>469.59946000000008</v>
      </c>
      <c r="K59" s="3">
        <f>1144.2+(50.2-736.2)+(-2.334168+(-0.102408--1.501848))+0-0-0</f>
        <v>457.26527200000004</v>
      </c>
      <c r="L59" s="3">
        <f>1146.2+(30.6-740)+(-1.753686+(-0.046818--1.1322))+0-0-0</f>
        <v>436.13169600000009</v>
      </c>
      <c r="M59" s="3">
        <f>1152.5+(1-694.2)+(0+(0-0))+0-0-0</f>
        <v>459.29999999999995</v>
      </c>
      <c r="N59" s="3">
        <f>1346.7+(6.6-829.8)+(0.686817+(0.003366-0.423198))+0-0-0</f>
        <v>523.76698500000009</v>
      </c>
      <c r="O59" s="3">
        <f>1376.4+(11-810.1)+(-0.701964+(-0.00561--0.413151))+0-0-0</f>
        <v>577.00557700000002</v>
      </c>
      <c r="P59" s="3">
        <f>1371+(8.5-762)+(0+(0-0))+0-0-0</f>
        <v>617.5</v>
      </c>
      <c r="Q59" s="3">
        <f>1360.9+(12.7-735.4)+(-0.694059+(-0.006477--0.375054))+0-0-0</f>
        <v>637.87451800000019</v>
      </c>
      <c r="R59" s="3">
        <f>1359.3+(13-724.6)+(1.386486+(0.01326-0.739092))+0-0-0</f>
        <v>648.36065399999995</v>
      </c>
      <c r="S59" s="3">
        <f>1341.5+(11-714.6)+(-2.052495+(-0.01683--1.093338))+0-0-0</f>
        <v>636.92401299999995</v>
      </c>
      <c r="T59" s="3">
        <f>1331.4+(24.1-750.7)+(0.679014+(0.012291-0.382857))+0-0-0</f>
        <v>605.10844800000007</v>
      </c>
      <c r="U59" s="3">
        <f>1236.4+(45.9-701.5)+(-3.783384+(-0.140454--2.14659))+0-0-0</f>
        <v>579.02275200000008</v>
      </c>
      <c r="V59" s="3">
        <f>1188.5+(70.1-679.5)+(-2.42454+(-0.143004--1.38618))+0-0-0</f>
        <v>577.91863599999999</v>
      </c>
      <c r="W59" s="3">
        <f>1173+(70.2-669.3)+(-2.99115+(-0.17901--1.706715))+0-0-0</f>
        <v>572.43655500000011</v>
      </c>
      <c r="X59" s="3">
        <f>1168.8+(46.5-658.6)+(-3.576528+(-0.14229--2.015316))+0-0-0</f>
        <v>554.99649799999997</v>
      </c>
      <c r="Y59" s="3">
        <f>1190.1+(51.8-679.6)+(1.213902+(0.052836-0.693192))+0-0-0</f>
        <v>562.87354599999981</v>
      </c>
      <c r="Z59" s="3">
        <f>1209.5+(60.7-620.4)+(-0.616845+(-0.030957--0.316404))+0-0-0</f>
        <v>649.46860200000003</v>
      </c>
      <c r="AA59" s="3">
        <f>1263.5+(55.6-619.6)+(-3.221925+(-0.14178--1.57998))+0-0-0</f>
        <v>697.716275</v>
      </c>
      <c r="AB59" s="3">
        <f>1231+(55.7-612.9)+(-1.88343+(-0.085221--0.937737))+0-0-0</f>
        <v>672.76908600000002</v>
      </c>
      <c r="AC59" s="3">
        <f>1225.5+(68.5-674.7)+(-1.25001+(-0.06987--0.688194))+0-0-0</f>
        <v>618.66831400000001</v>
      </c>
      <c r="AD59" s="2">
        <v>677.40000000000009</v>
      </c>
      <c r="AE59" s="3">
        <f>1232+(56.9-611.5)+(0+(0-0))+0-0-0</f>
        <v>677.4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1215.3+(77.5-751.2)+(-1.239606+(-0.07905--0.766224))+0-0-0</f>
        <v>541.04756799999996</v>
      </c>
      <c r="G60" s="3">
        <f>1076.2+(100.4-696.6)+(1.097724+(0.102408-0.710532))+0-0-0</f>
        <v>480.4896</v>
      </c>
      <c r="H60" s="3">
        <f>991.4+(114.4-655.2)+(-0.505614+(-0.058344--0.334152))+0-0-0</f>
        <v>450.37019399999991</v>
      </c>
      <c r="I60" s="3">
        <f>996+(118-665)+(0+(0-0))+0-0-0</f>
        <v>449</v>
      </c>
      <c r="J60" s="3">
        <f>997.2+(122.9-669.3)+(0+(0-0))+0-0-0</f>
        <v>450.80000000000007</v>
      </c>
      <c r="K60" s="3">
        <f>992.3+(69.3-631.9)+(-1.518219+(-0.106029--0.966807))+0-0-0</f>
        <v>429.04255899999993</v>
      </c>
      <c r="L60" s="3">
        <f>992.5+(31.8-627.7)+(-1.518525+(-0.048654--0.960381))+0-0-0</f>
        <v>395.99320199999988</v>
      </c>
      <c r="M60" s="3">
        <f>1068.4+(17.4-684.2)+(-1.634652+(-0.026622--1.046826))+0-0-0</f>
        <v>400.98555200000004</v>
      </c>
      <c r="N60" s="3">
        <f>1235.5+(22.6-814.4)+(0+(0-0))+0-0-0</f>
        <v>443.70000000000005</v>
      </c>
      <c r="O60" s="3">
        <f>1220.2+(45.2-786.1)+(-0.622302+(-0.023052--0.400911))+0-0-0</f>
        <v>479.05555700000008</v>
      </c>
      <c r="P60" s="3">
        <f>1222.1+(73.8-777.6)+(1.246542+(0.075276-0.793152))+0-0-0</f>
        <v>518.82866599999988</v>
      </c>
      <c r="Q60" s="3">
        <f>1320.1+(65.3-836.6)+(2.019753+(0.099909-1.279998))+0-0-0</f>
        <v>549.63966399999981</v>
      </c>
      <c r="R60" s="3">
        <f>1351.9+(57.6-848.8)+(0+(0-0))+0-0-0</f>
        <v>560.70000000000016</v>
      </c>
      <c r="S60" s="3">
        <f>1338.5+(33.5-828.3)+(-0.682635+(-0.017085--0.422433))+0-0-0</f>
        <v>543.42271300000004</v>
      </c>
      <c r="T60" s="3">
        <f>1238+(51.7-756.1)+(-1.26276+(-0.052734--0.771222))+0-0-0</f>
        <v>533.05572800000004</v>
      </c>
      <c r="U60" s="3">
        <f>1196+(68.8-749.8)+(-1.21992+(-0.070176--0.764796))+0-0-0</f>
        <v>514.47469999999998</v>
      </c>
      <c r="V60" s="3">
        <f>1184.5+(65.2-740)+(-2.41638+(-0.133008--1.5096))+0-0-0</f>
        <v>508.66021200000006</v>
      </c>
      <c r="W60" s="3">
        <f>1308.7+(17.6-816.6)+(-2.669748+(-0.035904--1.665864))+0-0-0</f>
        <v>508.66021200000006</v>
      </c>
      <c r="X60" s="3">
        <f>1342.6+(7.4-847.8)+(-2.054178+(-0.011322--1.297134))+0-0-0</f>
        <v>501.43163399999992</v>
      </c>
      <c r="Y60" s="3">
        <f>1344.3+(1.8-841.6)+(-0.685593+(-0.000918--0.429216))+0-0-0</f>
        <v>504.24270499999989</v>
      </c>
      <c r="Z60" s="3">
        <f>1350.9+(7.5-766.2)+(0+(0-0))+0-0-0</f>
        <v>592.20000000000005</v>
      </c>
      <c r="AA60" s="3">
        <f>1361+(6.2-708.6)+(-2.08233+(-0.009486--1.084158))+0-0-0</f>
        <v>657.59234200000003</v>
      </c>
      <c r="AB60" s="3">
        <f>1352.9+(5.2-714.9)+(-2.759916+(-0.010608--1.458396))+0-0-0</f>
        <v>641.88787200000013</v>
      </c>
      <c r="AC60" s="3">
        <f>1353.4+(10.2-758.3)+(-2.760936+(-0.020808--1.546932))+0-0-0</f>
        <v>604.06518800000015</v>
      </c>
      <c r="AD60" s="2">
        <v>674.60000000000014</v>
      </c>
      <c r="AE60" s="3">
        <f>1362+(3.4-690.8)+(0+(0-0))+0-0-0</f>
        <v>674.6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1359.9+(7.3-796.7)+(-0.693549+(-0.003723--0.406317))+0-0-0</f>
        <v>570.20904499999995</v>
      </c>
      <c r="G61" s="3">
        <f>1349.7+(19.4-839.5)+(-3.441735+(-0.04947--2.140725))+0-0-0</f>
        <v>528.24952000000008</v>
      </c>
      <c r="H61" s="3">
        <f>1348.5+(37.8-886.7)+(-2.75094+(-0.077112--1.808868))+0-0-0</f>
        <v>498.58081599999991</v>
      </c>
      <c r="I61" s="3">
        <f>1350.3+(49-916.1)+(-2.754612+(-0.09996--1.868844))+0-0-0</f>
        <v>482.21427199999994</v>
      </c>
      <c r="J61" s="3">
        <f>1222.7+(63.5-805.5)+(0.623577+(0.032385-0.410805))+0-0-0</f>
        <v>480.94515700000005</v>
      </c>
      <c r="K61" s="3">
        <f>1143.1+(53.9-733.5)+(-2.331924+(-0.109956--1.49634))+0-0-0</f>
        <v>462.55445999999989</v>
      </c>
      <c r="L61" s="3">
        <f>1144.3+(0-703.6)+(-0.583593+(0--0.358836))+0-0-0</f>
        <v>440.47524299999992</v>
      </c>
      <c r="M61" s="3">
        <f>1149.7+(7.6-663)+(1.172694+(0.007752-0.67626))+0-0-0</f>
        <v>494.80418600000007</v>
      </c>
      <c r="N61" s="3">
        <f>1297+(85.1-813.6)+(0+(0-0))+0-0-0</f>
        <v>568.5</v>
      </c>
      <c r="O61" s="3">
        <f>1499.7+(59.1-923.8)+(1.529694+(0.060282-0.942276))+0-0-0</f>
        <v>635.6477000000001</v>
      </c>
      <c r="P61" s="3">
        <f>1464.7+(84.6-869.2)+(0+(0-0))+0-0-0</f>
        <v>680.1</v>
      </c>
      <c r="Q61" s="3">
        <f>1466.8+(116.8-893.5)+(0+(0-0))+0-0-0</f>
        <v>690.09999999999991</v>
      </c>
      <c r="R61" s="3">
        <f>1415.8+(133.2-849.3)+(-0.722058+(-0.067932--0.433143))+0-0-0</f>
        <v>699.34315300000003</v>
      </c>
      <c r="S61" s="3">
        <f>1389.9+(161-853)+(-2.835396+(-0.32844--1.74012))+0-0-0</f>
        <v>696.47628400000008</v>
      </c>
      <c r="T61" s="3">
        <f>1352.2+(183.4-853.4)+(0+(0-0))+0-0-0</f>
        <v>682.2</v>
      </c>
      <c r="U61" s="3">
        <f>1426.5+(171-939.2)+(-2.91006+(-0.34884--1.915968))+0-0-0</f>
        <v>656.95706799999994</v>
      </c>
      <c r="V61" s="3">
        <f>1383.5+(195.3-927.9)+(-3.527925+(-0.498015--2.366145))+0-0-0</f>
        <v>649.24020500000006</v>
      </c>
      <c r="W61" s="3">
        <f>1359.2+(222.7-931.4)+(-2.079576+(-0.340731--1.425042))+0-0-0</f>
        <v>649.50473499999998</v>
      </c>
      <c r="X61" s="3">
        <f>1348.7+(222.8-921.9)+(-4.814859+(-0.795396--3.291183))+0-0-0</f>
        <v>647.28092800000013</v>
      </c>
      <c r="Y61" s="3">
        <f>1235.9+(211.2-803.9)+(-3.151545+(-0.53856--2.049945))+0-0-0</f>
        <v>641.55984000000001</v>
      </c>
      <c r="Z61" s="3">
        <f>1346+(235-854.7)+(-0.68646+(-0.11985--0.435897))+0-0-0</f>
        <v>725.92958699999997</v>
      </c>
      <c r="AA61" s="3">
        <f>1397.3+(195.1-806.6)+(-3.563115+(-0.497505--2.05683))+0-0-0</f>
        <v>783.79620999999997</v>
      </c>
      <c r="AB61" s="3">
        <f>1401.3+(195.6-841.1)+(-2.858652+(-0.399024--1.715844))+0-0-0</f>
        <v>754.25816799999996</v>
      </c>
      <c r="AC61" s="3">
        <f>1305.3+(220.1-816.8)+(-2.662812+(-0.449004--1.666272))+0-0-0</f>
        <v>707.15445599999998</v>
      </c>
      <c r="AD61" s="2">
        <v>738.40000000000009</v>
      </c>
      <c r="AE61" s="3">
        <f>1391+(194.4-847)+(0+(0-0))+0-0-0</f>
        <v>738.4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1232+(182.9-786.4)+(-3.1416+(-0.466395--2.00532))+0-0-0</f>
        <v>626.89732500000002</v>
      </c>
      <c r="G62" s="3">
        <f>1134.6+(122.5-684.7)+(-2.89323+(-0.312375--1.745985))+0-0-0</f>
        <v>570.94037999999989</v>
      </c>
      <c r="H62" s="3">
        <f>1125.6+(108.4-704.4)+(-1.722168+(-0.165852--1.077732))+0-0-0</f>
        <v>528.78971199999989</v>
      </c>
      <c r="I62" s="3">
        <f>1127.2+(74.7-689.6)+(-0.574872+(-0.038097--0.351696))+0-0-0</f>
        <v>512.03872700000011</v>
      </c>
      <c r="J62" s="3">
        <f>1124.2+(75.8-683.3)+(-1.720026+(-0.115974--1.045449))+0-0-0</f>
        <v>515.909449</v>
      </c>
      <c r="K62" s="3">
        <f>1119.3+(72-688.6)+(-2.854215+(-0.1836--1.75593))+0-0-0</f>
        <v>501.41811499999994</v>
      </c>
      <c r="L62" s="3">
        <f>1127+(53.1-677.2)+(-0.57477+(-0.027081--0.345372))+0-0-0</f>
        <v>502.64352099999996</v>
      </c>
      <c r="M62" s="3">
        <f>1124.6+(39.3-635.4)+(-1.147092+(-0.040086--0.648108))+0-0-0</f>
        <v>527.96092999999985</v>
      </c>
      <c r="N62" s="3">
        <f>1135.4+(82.9-625.5)+(0.579054+(0.042279-0.319005))+0-0-0</f>
        <v>593.10232800000006</v>
      </c>
      <c r="O62" s="3">
        <f>1292.2+(187.7-843.1)+(-1.318044+(-0.191454--0.859962))+0-0-0</f>
        <v>636.15046399999994</v>
      </c>
      <c r="P62" s="3">
        <f>1367.7+(226.7-924.2)+(2.092581+(0.346851-1.414026))+0-0-0</f>
        <v>671.22540600000002</v>
      </c>
      <c r="Q62" s="3">
        <f>1378.7+(241.9-929.5)+(2.109411+(0.370107-1.422135))+0-0-0</f>
        <v>692.15738299999998</v>
      </c>
      <c r="R62" s="3">
        <f>1365.9+(243.4-916.3)+(0+(0-0))+0-0-0</f>
        <v>693.00000000000011</v>
      </c>
      <c r="S62" s="3">
        <f>1361.1+(252.4-918.9)+(0+(0-0))+0-0-0</f>
        <v>694.59999999999991</v>
      </c>
      <c r="T62" s="3">
        <f>1350.8+(260.5-933.2)+(-2.066724+(-0.398565--1.427796))+0-0-0</f>
        <v>677.06250699999987</v>
      </c>
      <c r="U62" s="3">
        <f>1348.2+(290.7-976.3)+(-2.750328+(-0.593028--1.991652))+0-0-0</f>
        <v>661.2482960000001</v>
      </c>
      <c r="V62" s="3">
        <f>1346.1+(304.4-995.8)+(-3.432555+(-0.77622--2.53929))+0-0-0</f>
        <v>653.03051499999992</v>
      </c>
      <c r="W62" s="3">
        <f>1358+(286.3-990.8)+(-0.69258+(-0.146013--0.505308))+0-0-0</f>
        <v>653.16671499999995</v>
      </c>
      <c r="X62" s="3">
        <f>1359.9+(198-918.1)+(-2.774196+(-0.40392--1.872924))+0-0-0</f>
        <v>638.49480800000003</v>
      </c>
      <c r="Y62" s="3">
        <f>1392.3+(181.8-914.7)+(-0.710073+(-0.092718--0.466497))+0-0-0</f>
        <v>659.06370599999991</v>
      </c>
      <c r="Z62" s="3">
        <f>1413.2+(213.3-864.1)+(0.720732+(0.108783-0.440691))+0-0-0</f>
        <v>762.78882400000009</v>
      </c>
      <c r="AA62" s="3">
        <f>1419.1+(237.9-861.6)+(-2.894964+(-0.485316--1.757664))+0-0-0</f>
        <v>793.77738399999987</v>
      </c>
      <c r="AB62" s="3">
        <f>1429.4+(231.6-910.9)+(-2.186982+(-0.354348--1.393677))+0-0-0</f>
        <v>748.95234700000015</v>
      </c>
      <c r="AC62" s="3">
        <f>1426.5+(195.2-928.8)+(-2.91006+(-0.398208--1.894752))+0-0-0</f>
        <v>691.48648400000013</v>
      </c>
      <c r="AD62" s="2">
        <v>770.2</v>
      </c>
      <c r="AE62" s="3">
        <f>1418+(245-892.8)+(0+(0-0))+0-0-0</f>
        <v>770.2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1419.4+(145.1-946.5)+(-1.447788+(-0.148002--0.96543))+0-0-0</f>
        <v>617.36964000000012</v>
      </c>
      <c r="G63" s="3">
        <f>1271.4+(117.5-829.6)+(-3.24207+(-0.299625--2.11548))+0-0-0</f>
        <v>557.87378500000011</v>
      </c>
      <c r="H63" s="3">
        <f>1243.5+(128.4-851.5)+(-1.26837+(-0.130968--0.86853))+0-0-0</f>
        <v>519.869192</v>
      </c>
      <c r="I63" s="3">
        <f>1158.2+(135.1-782.7)+(-1.772046+(-0.206703--1.197531))+0-0-0</f>
        <v>509.818782</v>
      </c>
      <c r="J63" s="3">
        <f>1128.8+(139-765.7)+(0+(0-0))+0-0-0</f>
        <v>502.09999999999991</v>
      </c>
      <c r="K63" s="3">
        <f>1121.4+(119.3-765.6)+(-1.715742+(-0.182529--1.171368))+0-0-0</f>
        <v>474.37309700000003</v>
      </c>
      <c r="L63" s="3">
        <f>1122.4+(47.1-713.6)+(-1.144848+(-0.048042--0.727872))+0-0-0</f>
        <v>455.4349820000001</v>
      </c>
      <c r="M63" s="3">
        <f>1119.4+(42.6-671.5)+(-1.712682+(-0.065178--1.027395))+0-0-0</f>
        <v>489.74953500000009</v>
      </c>
      <c r="N63" s="3">
        <f>1251.9+(54.8-747.4)+(-0.638469+(-0.027948--0.381174))+0-0-0</f>
        <v>559.01475700000003</v>
      </c>
      <c r="O63" s="3">
        <f>1393.4+(128.1-893.3)+(0+(0-0))+0-0-0</f>
        <v>628.20000000000016</v>
      </c>
      <c r="P63" s="3">
        <f>1383.3+(180.9-885.5)+(0+(0-0))+0-0-0</f>
        <v>678.69999999999993</v>
      </c>
      <c r="Q63" s="3">
        <f>1377.8+(255.1-931.8)+(0.702678+(0.130101-0.475218))+0-0-0</f>
        <v>701.45756100000006</v>
      </c>
      <c r="R63" s="3">
        <f>1361.6+(272.7-924.9)+(-0.694416+(-0.139077--0.471699))+0-0-0</f>
        <v>709.03820599999983</v>
      </c>
      <c r="S63" s="3">
        <f>1351.4+(297.3-948.8)+(-1.378428+(-0.303246--0.967776))+0-0-0</f>
        <v>699.18610200000012</v>
      </c>
      <c r="T63" s="3">
        <f>1358.4+(295.7-980.8)+(-0.692784+(-0.150807--0.500208))+0-0-0</f>
        <v>672.95661700000016</v>
      </c>
      <c r="U63" s="3">
        <f>1358.7+(312-1016.6)+(-1.385874+(-0.31824--1.036932))+0-0-0</f>
        <v>653.432818</v>
      </c>
      <c r="V63" s="3">
        <f>1351.2+(296.6-985.2)+(-4.134672+(-0.907596--3.014712))+0-0-0</f>
        <v>660.57244400000002</v>
      </c>
      <c r="W63" s="3">
        <f>1358.2+(293-998.4)+(-2.078046+(-0.44829--1.527552))+0-0-0</f>
        <v>651.80121600000007</v>
      </c>
      <c r="X63" s="3">
        <f>1344.8+(278.7-985.3)+(-4.800936+(-0.994959--3.517521))+0-0-0</f>
        <v>635.92162600000006</v>
      </c>
      <c r="Y63" s="3">
        <f>1371+(113.3-868)+(-3.49605+(-0.288915--2.2134))+0-0-0</f>
        <v>614.72843499999999</v>
      </c>
      <c r="Z63" s="3">
        <f>1391.4+(230.6-905.5)+(0.709614+(0.117606-0.461805))+0-0-0</f>
        <v>716.8654150000001</v>
      </c>
      <c r="AA63" s="3">
        <f>1417.3+(241.3-872)+(-2.168469+(-0.369189--1.33416))+0-0-0</f>
        <v>785.39650199999994</v>
      </c>
      <c r="AB63" s="3">
        <f>1413+(195.5-845.6)+(-2.88252+(-0.39882--1.725024))+0-0-0</f>
        <v>761.34368399999994</v>
      </c>
      <c r="AC63" s="3">
        <f>1410.8+(130.6-834.5)+(-1.439016+(-0.133212--0.85119))+0-0-0</f>
        <v>706.17896199999996</v>
      </c>
      <c r="AD63" s="2">
        <v>783.6</v>
      </c>
      <c r="AE63" s="3">
        <f>1430+(246.7-893.1)+(0+(0-0))+0-0-0</f>
        <v>783.59999999999991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1403.5+(106.2-868.7)+(-2.147355+(-0.162486--1.329111))+0-0-0</f>
        <v>640.01927000000001</v>
      </c>
      <c r="G64" s="3">
        <f>1284.5+(123.8-831)+(-2.62038+(-0.252552--1.69524))+0-0-0</f>
        <v>576.12230799999998</v>
      </c>
      <c r="H64" s="3">
        <f>1232.9+(110.4-804.4)+(-3.143895+(-0.28152--2.05122))+0-0-0</f>
        <v>537.5258050000001</v>
      </c>
      <c r="I64" s="3">
        <f>1237.9+(115.4-828.7)+(-1.893987+(-0.176562--1.267911))+0-0-0</f>
        <v>523.79736200000002</v>
      </c>
      <c r="J64" s="3">
        <f>1238.9+(116.9-837)+(-1.895517+(-0.178857--1.28061))+0-0-0</f>
        <v>518.00623600000006</v>
      </c>
      <c r="K64" s="3">
        <f>1231.7+(114.6-844.9)+(-3.769002+(-0.350676--2.585394))+0-0-0</f>
        <v>499.86571600000008</v>
      </c>
      <c r="L64" s="3">
        <f>1246.6+(63.2-839.8)+(0.635766+(0.032232-0.428298))+0-0-0</f>
        <v>470.23970000000003</v>
      </c>
      <c r="M64" s="3">
        <f>1263.8+(46.8-807.3)+(-0.644538+(-0.023868--0.411723))+0-0-0</f>
        <v>503.04331699999994</v>
      </c>
      <c r="N64" s="3">
        <f>1405.3+(21.3-849.1)+(0.716703+(0.010863-0.433041))+0-0-0</f>
        <v>577.79452499999991</v>
      </c>
      <c r="O64" s="3">
        <f>1390.5+(21-778.3)+(0+(0-0))+0-0-0</f>
        <v>633.20000000000005</v>
      </c>
      <c r="P64" s="3">
        <f>1388.2+(63.5-785.4)+(0+(0-0))+0-0-0</f>
        <v>666.30000000000007</v>
      </c>
      <c r="Q64" s="3">
        <f>1378.9+(104.5-810.1)+(0+(0-0))+0-0-0</f>
        <v>673.30000000000007</v>
      </c>
      <c r="R64" s="3">
        <f>1365.1+(105.5-813.4)+(0+(0-0))+0-0-0</f>
        <v>657.19999999999993</v>
      </c>
      <c r="S64" s="3">
        <f>1357.5+(146.7-867.2)+(-2.7693+(-0.299268--1.769088))+0-0-0</f>
        <v>635.70051999999998</v>
      </c>
      <c r="T64" s="3">
        <f>1376+(156.4-931.6)+(-0.70176+(-0.079764--0.475116))+0-0-0</f>
        <v>600.49359199999992</v>
      </c>
      <c r="U64" s="3">
        <f>1379.9+(148.1-950.5)+(-2.814996+(-0.302124--1.93902))+0-0-0</f>
        <v>576.32190000000014</v>
      </c>
      <c r="V64" s="3">
        <f>1375.2+(146.8-934.6)+(-4.909464+(-0.524076--3.336522))+0-0-0</f>
        <v>585.30298200000004</v>
      </c>
      <c r="W64" s="3">
        <f>1322.9+(138.5-871.7)+(-4.048074+(-0.42381--2.667402))+0-0-0</f>
        <v>587.89551800000004</v>
      </c>
      <c r="X64" s="3">
        <f>1246.6+(146.6-794.2)+(-1.271532+(-0.149532--0.810084))+0-0-0</f>
        <v>598.38901999999985</v>
      </c>
      <c r="Y64" s="3">
        <f>1254.6+(147.6-783.7)+(0+(0-0))+0-0-0</f>
        <v>618.49999999999989</v>
      </c>
      <c r="Z64" s="3">
        <f>1374.3+(183.7-883.6)+(-1.401786+(-0.187374--0.901272))+0-0-0</f>
        <v>673.71211199999982</v>
      </c>
      <c r="AA64" s="3">
        <f>1428.8+(190.4-931)+(-3.64344+(-0.48552--2.37405))+0-0-0</f>
        <v>686.44508999999994</v>
      </c>
      <c r="AB64" s="3">
        <f>1352+(187.6-893.5)+(-2.75808+(-0.382704--1.82274))+0-0-0</f>
        <v>644.78195600000004</v>
      </c>
      <c r="AC64" s="3">
        <f>1289.8+(158.3-884.8)+(-4.604586+(-0.565131--3.158736))+0-0-0</f>
        <v>561.28901899999994</v>
      </c>
      <c r="AD64" s="2">
        <v>704.9</v>
      </c>
      <c r="AE64" s="3">
        <f>1424+(191.3-910.4)+(0+(0-0))+0-0-0</f>
        <v>704.90000000000009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1250.1+(147.4-867.3)+(-4.462857+(-0.526218--3.096261))+0-0-0</f>
        <v>528.30718599999989</v>
      </c>
      <c r="G65" s="3">
        <f>1251.9+(74.3-846.2)+(-3.830814+(-0.227358--2.589372))+0-0-0</f>
        <v>478.53120000000001</v>
      </c>
      <c r="H65" s="3">
        <f>1251.3+(66.1-850.1)+(-2.552652+(-0.134844--1.734204))+0-0-0</f>
        <v>466.34670799999998</v>
      </c>
      <c r="I65" s="3">
        <f>1262.4+(68.3-854.3)+(-2.575296+(-0.139332--1.742772))+0-0-0</f>
        <v>475.42814400000009</v>
      </c>
      <c r="J65" s="3">
        <f>1152.8+(67.6-743.3)+(-2.351712+(-0.137904--1.516332))+0-0-0</f>
        <v>476.12671600000004</v>
      </c>
      <c r="K65" s="3">
        <f>1119.9+(67-729.6)+(-1.713447+(-0.10251--1.116288))+0-0-0</f>
        <v>456.6003310000001</v>
      </c>
      <c r="L65" s="3">
        <f>1117.3+(66.4-733.1)+(-2.279292+(-0.135456--1.495524))+0-0-0</f>
        <v>449.68077599999992</v>
      </c>
      <c r="M65" s="3">
        <f>1133.7+(72.9-716.7)+(0.578187+(0.037179-0.365517))+0-0-0</f>
        <v>490.14984899999996</v>
      </c>
      <c r="N65" s="3">
        <f>1360.2+(74.8-893)+(-1.387404+(-0.076296--0.91086))+0-0-0</f>
        <v>541.44716000000005</v>
      </c>
      <c r="O65" s="3">
        <f>1402.5+(50.9-855.6)+(-4.29165+(-0.155754--2.618136))+0-0-0</f>
        <v>595.970732</v>
      </c>
      <c r="P65" s="3">
        <f>1416.9+(68.7-857.9)+(0.722619+(0.035037-0.437529))+0-0-0</f>
        <v>628.02012700000012</v>
      </c>
      <c r="Q65" s="3">
        <f>1412.6+(106.5-855.5)+(0+(0-0))+0-0-0</f>
        <v>663.59999999999991</v>
      </c>
      <c r="R65" s="3">
        <f>1406.2+(108.3-851.8)+(0+(0-0))+0-0-0</f>
        <v>662.7</v>
      </c>
      <c r="S65" s="3">
        <f>1391.6+(110.3-840.4)+(-3.54858+(-0.281265--2.14302))+0-0-0</f>
        <v>659.81317499999989</v>
      </c>
      <c r="T65" s="3">
        <f>1424.3+(96.7-888.3)+(-0.726393+(-0.049317--0.453033))+0-0-0</f>
        <v>632.37732300000005</v>
      </c>
      <c r="U65" s="3">
        <f>1440.6+(78.2-912.7)+(-2.938824+(-0.159528--1.861908))+0-0-0</f>
        <v>604.8635559999999</v>
      </c>
      <c r="V65" s="3">
        <f>1419.1+(22.2-828.4)+(-1.447482+(-0.022644--0.844968))+0-0-0</f>
        <v>612.27484199999992</v>
      </c>
      <c r="W65" s="3">
        <f>1410.3+(5.8-817.9)+(-1.438506+(-0.005916--0.834258))+0-0-0</f>
        <v>597.58983599999988</v>
      </c>
      <c r="X65" s="3">
        <f>1281.1+(0-668)+(-0.653361+(0--0.34068))+0-0-0</f>
        <v>612.78731899999991</v>
      </c>
      <c r="Y65" s="3">
        <f>1226.7+(0-647.9)+(-1.876851+(0--0.991287))+0-0-0</f>
        <v>577.91443600000002</v>
      </c>
      <c r="Z65" s="3">
        <f>1235.4+(50.7-611.9)+(-1.260108+(-0.051714--0.624138))+0-0-0</f>
        <v>673.51231600000017</v>
      </c>
      <c r="AA65" s="3">
        <f>1237.8+(92.9-607.6)+(-1.262556+(-0.094758--0.619752))+0-0-0</f>
        <v>722.36243799999988</v>
      </c>
      <c r="AB65" s="3">
        <f>1224.2+(87.8-621.3)+(-3.12171+(-0.22389--1.584315))+0-0-0</f>
        <v>688.938715</v>
      </c>
      <c r="AC65" s="3">
        <f>1206.3+(63.9-631.8)+(0+(0-0))+0-0-0</f>
        <v>638.4</v>
      </c>
      <c r="AD65" s="2">
        <v>686</v>
      </c>
      <c r="AE65" s="3">
        <f>1244+(90.5-648.5)+(0+(0-0))+0-0-0</f>
        <v>686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1148.7+(71-635.7)+(-1.171674+(-0.07242--0.648414))+0-0-0</f>
        <v>583.40431999999998</v>
      </c>
      <c r="G66" s="3">
        <f>1089.8+(110-679.1)+(-0.555798+(-0.0561--0.346341))+0-0-0</f>
        <v>520.43444299999999</v>
      </c>
      <c r="H66" s="3">
        <f>1086.5+(125.5-723.7)+(1.662345+(0.192015-1.107261))+0-0-0</f>
        <v>489.04709899999995</v>
      </c>
      <c r="I66" s="3">
        <f>1082.2+(127.7-733.5)+(0.551922+(0.065127-0.374085))+0-0-0</f>
        <v>476.64296400000006</v>
      </c>
      <c r="J66" s="3">
        <f>1075.4+(115.7-716.2)+(-1.645362+(-0.177021--1.095786))+0-0-0</f>
        <v>474.17340300000006</v>
      </c>
      <c r="K66" s="3">
        <f>1070.8+(115.7-731.9)+(-2.73054+(-0.295035--1.866345))+0-0-0</f>
        <v>453.44077000000004</v>
      </c>
      <c r="L66" s="3">
        <f>1074.4+(62.3-695.9)+(-1.095888+(-0.063546--0.709818))+0-0-0</f>
        <v>440.35038400000008</v>
      </c>
      <c r="M66" s="3">
        <f>1085.1+(35.2-649.1)+(1.106802+(0.035904-0.662082))+0-0-0</f>
        <v>471.68062399999991</v>
      </c>
      <c r="N66" s="3">
        <f>1070+(21.3-573.2)+(-1.0914+(-0.021726--0.584664))+0-0-0</f>
        <v>517.57153799999992</v>
      </c>
      <c r="O66" s="3">
        <f>1172.9+(3.1-599.7)+(1.196358+(0.003162-0.611694))+0-0-0</f>
        <v>576.88782600000002</v>
      </c>
      <c r="P66" s="3">
        <f>1216.4+(5.8-608.1)+(0+(0-0))+0-0-0</f>
        <v>614.1</v>
      </c>
      <c r="Q66" s="3">
        <f>1210.8+(49.9-626.2)+(0.617508+(0.025449-0.319362))+0-0-0</f>
        <v>634.82359499999984</v>
      </c>
      <c r="R66" s="3">
        <f>1189.9+(58-606.3)+(-2.427396+(-0.11832--1.236852))+0-0-0</f>
        <v>640.29113600000017</v>
      </c>
      <c r="S66" s="3">
        <f>1191.8+(65.3-620.1)+(-1.215636+(-0.066606--0.632502))+0-0-0</f>
        <v>636.35025999999993</v>
      </c>
      <c r="T66" s="3">
        <f>1199.6+(65.7-647.2)+(-0.611796+(-0.033507--0.330072))+0-0-0</f>
        <v>617.78476899999987</v>
      </c>
      <c r="U66" s="3">
        <f>1192.3+(66.1-654)+(-2.432292+(-0.134844--1.33416))+0-0-0</f>
        <v>603.16702399999997</v>
      </c>
      <c r="V66" s="3">
        <f>1188.5+(66-664.8)+(-3.030675+(-0.1683--1.69524))+0-0-0</f>
        <v>588.19626500000004</v>
      </c>
      <c r="W66" s="3">
        <f>1192.1+(64.5-683)+(-2.431884+(-0.13158--1.39332))+0-0-0</f>
        <v>572.42985599999986</v>
      </c>
      <c r="X66" s="3">
        <f>1189.2+(44.8-676.7)+(-3.03246+(-0.11424--1.725585))+0-0-0</f>
        <v>555.87888499999997</v>
      </c>
      <c r="Y66" s="3">
        <f>1194.6+(38.7-678.8)+(-0.609246+(-0.019737--0.346188))+0-0-0</f>
        <v>554.21720500000004</v>
      </c>
      <c r="Z66" s="3">
        <f>1228.4+(54.4-647.2)+(-0.626484+(-0.027744--0.330072))+0-0-0</f>
        <v>635.27584400000001</v>
      </c>
      <c r="AA66" s="3">
        <f>1248.9+(64-617.1)+(-3.184695+(-0.1632--1.573605))+0-0-0</f>
        <v>694.02571000000012</v>
      </c>
      <c r="AB66" s="3">
        <f>1256.5+(56.8-623)+(-3.204075+(-0.14484--1.58865))+0-0-0</f>
        <v>688.53973499999995</v>
      </c>
      <c r="AC66" s="3">
        <f>1263.6+(53.5-665.7)+(-0.644436+(-0.027285--0.339507))+0-0-0</f>
        <v>651.06778599999984</v>
      </c>
      <c r="AD66" s="2">
        <v>656.7</v>
      </c>
      <c r="AE66" s="3">
        <f>1245+(61.5-649.8)+(0+(0-0))+0-0-0</f>
        <v>656.7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1247.7+(41.6-700.4)+(-0.636327+(-0.021216--0.357204))+0-0-0</f>
        <v>588.59966100000008</v>
      </c>
      <c r="G67" s="3">
        <f>1249+(53.3-757)+(-1.27398+(-0.054366--0.77214))+0-0-0</f>
        <v>544.74379399999998</v>
      </c>
      <c r="H67" s="3">
        <f>1112.8+(68.5-685.2)+(-1.702584+(-0.104805--1.048356))+0-0-0</f>
        <v>495.34096699999992</v>
      </c>
      <c r="I67" s="3">
        <f>1083.2+(50.5-659.6)+(-1.104864+(-0.05151--0.672792))+0-0-0</f>
        <v>473.61641800000001</v>
      </c>
      <c r="J67" s="3">
        <f>1069.3+(48.3-638.3)+(1.636029+(0.073899-0.976599))+0-0-0</f>
        <v>480.03332899999998</v>
      </c>
      <c r="K67" s="3">
        <f>1022.7+(38.9-614.8)+(-0.521577+(-0.019839--0.313548))+0-0-0</f>
        <v>446.57213200000007</v>
      </c>
      <c r="L67" s="3">
        <f>1010.9+(40.6-630.1)+(0.515559+(0.020706-0.321351))+0-0-0</f>
        <v>421.614914</v>
      </c>
      <c r="M67" s="3">
        <f>963+(26.8-564.4)+(-0.49113+(-0.013668--0.287844))+0-0-0</f>
        <v>425.18304599999999</v>
      </c>
      <c r="N67" s="3">
        <f>966.2+(25.6-534.8)+(-1.478286+(-0.039168--0.818244))+0-0-0</f>
        <v>456.30079000000012</v>
      </c>
      <c r="O67" s="3">
        <f>1104.1+(13.3-633.1)+(-1.126182+(-0.013566--0.645762))+0-0-0</f>
        <v>483.80601399999983</v>
      </c>
      <c r="P67" s="3">
        <f>1279.7+(1.7-754.5)+(-0.652647+(-0.000867--0.384795))+0-0-0</f>
        <v>526.63128100000006</v>
      </c>
      <c r="Q67" s="3">
        <f>1252.3+(0-696.8)+(-1.277346+(0--0.710736))+0-0-0</f>
        <v>554.93339000000003</v>
      </c>
      <c r="R67" s="3">
        <f>1269.5+(1.8-705.7)+(0.647445+(0.000918-0.359907))+0-0-0</f>
        <v>565.88845599999991</v>
      </c>
      <c r="S67" s="3">
        <f>1253.9+(4.7-679.6)+(-0.639489+(-0.002397--0.346596))+0-0-0</f>
        <v>578.70471000000009</v>
      </c>
      <c r="T67" s="3">
        <f>1222.3+(9.7-667.1)+(-0.623373+(-0.004947--0.340221))+0-0-0</f>
        <v>564.61190099999999</v>
      </c>
      <c r="U67" s="3">
        <f>1254.2+(12.1-715.2)+(3.19821+(0.030855-1.82376))+0-0-0</f>
        <v>552.50530500000002</v>
      </c>
      <c r="V67" s="3">
        <f>1322.7+(25.3-792.3)+(-0.674577+(-0.012903--0.404073))+0-0-0</f>
        <v>555.41659300000003</v>
      </c>
      <c r="W67" s="3">
        <f>1355.9+(54.3-853.4)+(-1.383018+(-0.055386--0.870468))+0-0-0</f>
        <v>556.23206400000004</v>
      </c>
      <c r="X67" s="3">
        <f>1350+(26.7-826.1)+(-4.131+(-0.081702--2.527866))+0-0-0</f>
        <v>548.915164</v>
      </c>
      <c r="Y67" s="3">
        <f>1355.7+(20.5-825.1)+(-2.074221+(-0.031365--1.262403))+0-0-0</f>
        <v>550.25681700000007</v>
      </c>
      <c r="Z67" s="3">
        <f>1380.3+(77.7-837.9)+(-1.407906+(-0.079254--0.854658))+0-0-0</f>
        <v>619.46749799999998</v>
      </c>
      <c r="AA67" s="3">
        <f>1417.9+(58-777.2)+(-2.169387+(-0.08874--1.189116))+0-0-0</f>
        <v>697.630989</v>
      </c>
      <c r="AB67" s="3">
        <f>1419.4+(58.4-795.3)+(-2.171682+(-0.089352--1.216809))+0-0-0</f>
        <v>681.45577500000013</v>
      </c>
      <c r="AC67" s="3">
        <f>1411.1+(71.2-851.5)+(-0.719661+(-0.036312--0.434265))+0-0-0</f>
        <v>630.47829200000001</v>
      </c>
      <c r="AD67" s="2">
        <v>693.5</v>
      </c>
      <c r="AE67" s="3">
        <f>1417+(58.5-782)+(0+(0-0))+0-0-0</f>
        <v>693.5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1404.6+(57.2-858.5)+(-2.865384+(-0.116688--1.75134))+0-0-0</f>
        <v>602.06926799999997</v>
      </c>
      <c r="G68" s="3">
        <f>1399.9+(70.9-923.9)+(-3.569745+(-0.180795--2.355945))+0-0-0</f>
        <v>545.50540500000011</v>
      </c>
      <c r="H68" s="3">
        <f>1369.6+(44.8-902.4)+(-2.793984+(-0.091392--1.840896))+0-0-0</f>
        <v>510.95551999999986</v>
      </c>
      <c r="I68" s="3">
        <f>1244.4+(52-812.4)+(-1.269288+(-0.05304--0.828648))+0-0-0</f>
        <v>483.50632000000013</v>
      </c>
      <c r="J68" s="3">
        <f>1230.8+(52.9-802)+(-1.255416+(-0.053958--0.81804))+0-0-0</f>
        <v>481.20866599999994</v>
      </c>
      <c r="K68" s="3">
        <f>1227.1+(49.1-818.6)+(-3.129105+(-0.125205--2.08743))+0-0-0</f>
        <v>456.43311999999992</v>
      </c>
      <c r="L68" s="3">
        <f>1243.2+(47.8-836.6)+(-0.634032+(-0.024378--0.426666))+0-0-0</f>
        <v>454.16825599999999</v>
      </c>
      <c r="M68" s="3">
        <f>1385.3+(53.1-934)+(1.413006+(0.054162-0.95268))+0-0-0</f>
        <v>504.91448800000001</v>
      </c>
      <c r="N68" s="3">
        <f>1387.4+(67.6-869)+(0.707574+(0.034476-0.44319))+0-0-0</f>
        <v>586.2988600000001</v>
      </c>
      <c r="O68" s="3">
        <f>1390.3+(59.3-818.9)+(0.709053+(0.030243-0.417639))+0-0-0</f>
        <v>631.02165699999989</v>
      </c>
      <c r="P68" s="3">
        <f>1338.7+(64.2-723.7)+(-2.048211+(-0.098226--1.107261))+0-0-0</f>
        <v>678.16082400000005</v>
      </c>
      <c r="Q68" s="3">
        <f>1370+(81-738.3)+(-0.6987+(-0.04131--0.376533))+0-0-0</f>
        <v>712.33652300000006</v>
      </c>
      <c r="R68" s="3">
        <f>1372.3+(82.9-760.3)+(1.399746+(0.084558-0.775506))+0-0-0</f>
        <v>695.60879799999998</v>
      </c>
      <c r="S68" s="3">
        <f>1357.9+(81.6-735.4)+(-1.385058+(-0.083232--0.750108))+0-0-0</f>
        <v>703.38181800000018</v>
      </c>
      <c r="T68" s="3">
        <f>1361.5+(95.5-800.6)+(-0.694365+(-0.048705--0.408306))+0-0-0</f>
        <v>656.06523600000003</v>
      </c>
      <c r="U68" s="3">
        <f>1351.8+(95.1-816.2)+(-3.44709+(-0.242505--2.08131))+0-0-0</f>
        <v>629.09171499999991</v>
      </c>
      <c r="V68" s="3">
        <f>1367.5+(90.5-831.3)+(-0.697425+(-0.046155--0.423963))+0-0-0</f>
        <v>626.38038300000005</v>
      </c>
      <c r="W68" s="3">
        <f>1358.1+(106.4-843.7)+(-2.770524+(-0.217056--1.721148))+0-0-0</f>
        <v>619.53356799999983</v>
      </c>
      <c r="X68" s="3">
        <f>1358+(98.2-852.5)+(-3.4629+(-0.25041--2.173875))+0-0-0</f>
        <v>602.16056500000002</v>
      </c>
      <c r="Y68" s="3">
        <f>1370.9+(64.1-852.3)+(0.699159+(0.032691-0.434673))+0-0-0</f>
        <v>582.99717700000019</v>
      </c>
      <c r="Z68" s="3">
        <f>1406+(136.8-885.7)+(-0.71706+(-0.069768--0.451707))+0-0-0</f>
        <v>656.76487899999995</v>
      </c>
      <c r="AA68" s="3">
        <f>1458.6+(195.9-922.8)+(-2.231658+(-0.299727--1.411884))+0-0-0</f>
        <v>730.58049899999992</v>
      </c>
      <c r="AB68" s="3">
        <f>1428.9+(182.1-892.9)+(-4.372434+(-0.557226--2.732274))+0-0-0</f>
        <v>715.90261400000009</v>
      </c>
      <c r="AC68" s="3">
        <f>1367.5+(135.3-827.8)+(-3.487125+(-0.345015--2.11089))+0-0-0</f>
        <v>673.27874999999995</v>
      </c>
      <c r="AD68" s="2">
        <v>736.30000000000007</v>
      </c>
      <c r="AE68" s="3">
        <f>1453+(191.9-908.6)+(0+(0-0))+0-0-0</f>
        <v>736.3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1254.6+(164.4-794.5)+(0+(0-0))+0-0-0</f>
        <v>624.49999999999989</v>
      </c>
      <c r="G69" s="3">
        <f>1240+(169.5-868.3)+(-1.8972+(-0.259335--1.328499))+0-0-0</f>
        <v>540.37196400000005</v>
      </c>
      <c r="H69" s="3">
        <f>1229.9+(133-858.9)+(-2.508996+(-0.27132--1.752156))+0-0-0</f>
        <v>502.9718400000001</v>
      </c>
      <c r="I69" s="3">
        <f>1192.5+(94.5-803)+(-2.4327+(-0.19278--1.63812))+0-0-0</f>
        <v>483.01263999999998</v>
      </c>
      <c r="J69" s="3">
        <f>1200+(87-804.3)+(-0.612+(-0.04437--0.410193))+0-0-0</f>
        <v>482.45382300000006</v>
      </c>
      <c r="K69" s="3">
        <f>1190.9+(73.8-787.2)+(-2.429436+(-0.150552--1.605888))+0-0-0</f>
        <v>476.52589999999998</v>
      </c>
      <c r="L69" s="3">
        <f>1192.3+(56.8-783.9)+(-3.040365+(-0.14484--1.998945))+0-0-0</f>
        <v>464.01373999999993</v>
      </c>
      <c r="M69" s="3">
        <f>1204.7+(45.6-754)+(0.614397+(0.023256-0.38454))+0-0-0</f>
        <v>496.55311300000005</v>
      </c>
      <c r="N69" s="3">
        <f>1315.7+(80.5-834.8)+(0+(0-0))+0-0-0</f>
        <v>561.40000000000009</v>
      </c>
      <c r="O69" s="3">
        <f>1456+(117.2-967.4)+(-0.74256+(-0.059772--0.493374))+0-0-0</f>
        <v>605.49104200000011</v>
      </c>
      <c r="P69" s="3">
        <f>1443.3+(105.9-916.3)+(0.736083+(0.054009-0.467313))+0-0-0</f>
        <v>633.22277899999995</v>
      </c>
      <c r="Q69" s="3">
        <f>1431.8+(126.7-899.1)+(-1.460436+(-0.129234--0.917082))+0-0-0</f>
        <v>658.72741199999996</v>
      </c>
      <c r="R69" s="3">
        <f>1435.8+(143.1-934)+(0.732258+(0.072981-0.47634))+0-0-0</f>
        <v>645.22889899999996</v>
      </c>
      <c r="S69" s="3">
        <f>1420+(148.4-941.5)+(-0.7242+(-0.075684--0.480165))+0-0-0</f>
        <v>626.58028100000001</v>
      </c>
      <c r="T69" s="3">
        <f>1423.1+(158.7-980.2)+(0+(0-0))+0-0-0</f>
        <v>601.59999999999991</v>
      </c>
      <c r="U69" s="3">
        <f>1426.8+(157.4-992)+(-0.727668+(-0.080274--0.50592))+0-0-0</f>
        <v>591.89797799999997</v>
      </c>
      <c r="V69" s="3">
        <f>1417.5+(142.3-969.8)+(-2.8917+(-0.290292--1.978392))+0-0-0</f>
        <v>588.79639999999995</v>
      </c>
      <c r="W69" s="3">
        <f>1411.2+(119.6-949.8)+(-4.318272+(-0.365976--2.906388))+0-0-0</f>
        <v>579.22214000000008</v>
      </c>
      <c r="X69" s="3">
        <f>1418.3+(60.8-897.9)+(-2.893332+(-0.124032--1.831716))+0-0-0</f>
        <v>580.01435199999992</v>
      </c>
      <c r="Y69" s="3">
        <f>1385.5+(73.4-896.7)+(2.119815+(0.112302-1.371951))+0-0-0</f>
        <v>563.06016599999998</v>
      </c>
      <c r="Z69" s="3">
        <f>1413.5+(81.9-870.6)+(0+(0-0))+0-0-0</f>
        <v>624.79999999999995</v>
      </c>
      <c r="AA69" s="3">
        <f>1431.4+(81-817.1)+(-2.920056+(-0.16524--1.666884))+0-0-0</f>
        <v>693.88158800000008</v>
      </c>
      <c r="AB69" s="3">
        <f>1425.6+(83.2-840.3)+(-2.181168+(-0.127296--1.285659))+0-0-0</f>
        <v>667.47719500000005</v>
      </c>
      <c r="AC69" s="3">
        <f>1392+(108.9-876.9)+(-0.70992+(-0.055539--0.447219))+0-0-0</f>
        <v>623.68176000000005</v>
      </c>
      <c r="AD69" s="2">
        <v>670</v>
      </c>
      <c r="AE69" s="3">
        <f>1426+(81.3-837.3)+(0+(0-0))+0-0-0</f>
        <v>670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1247.9+(116.4-800.9)+(-1.909287+(-0.178092--1.225377))+0-0-0</f>
        <v>562.53799800000013</v>
      </c>
      <c r="G70" s="3">
        <f>1252.3+(121.7-849.1)+(0+(0-0))+0-0-0</f>
        <v>524.9</v>
      </c>
      <c r="H70" s="3">
        <f>1250+(132.3-885)+(0+(0-0))+0-0-0</f>
        <v>497.29999999999995</v>
      </c>
      <c r="I70" s="3">
        <f>1205.6+(135.7-845.8)+(1.229712+(0.138414-0.862716))+0-0-0</f>
        <v>496.00540999999998</v>
      </c>
      <c r="J70" s="3">
        <f>1129.5+(141.7-783.9)+(-0.576045+(-0.072267--0.399789))+0-0-0</f>
        <v>487.05147699999998</v>
      </c>
      <c r="K70" s="3">
        <f>1117.9+(114.3-762.2)+(-2.850645+(-0.291465--1.94361))+0-0-0</f>
        <v>468.80149999999998</v>
      </c>
      <c r="L70" s="3">
        <f>1129.7+(42.5-705.3)+(-1.152294+(-0.04335--0.719406))+0-0-0</f>
        <v>466.42376200000007</v>
      </c>
      <c r="M70" s="3">
        <f>1135.7+(39.4-675.4)+(1.158414+(0.040188-0.688908))+0-0-0</f>
        <v>500.20969400000007</v>
      </c>
      <c r="N70" s="3">
        <f>1302.8+(28-774.3)+(1.993284+(0.04284-1.184679))+0-0-0</f>
        <v>557.35144500000001</v>
      </c>
      <c r="O70" s="3">
        <f>1473.9+(22-881.3)+(1.503378+(0.02244-0.898926))+0-0-0</f>
        <v>615.22689200000013</v>
      </c>
      <c r="P70" s="3">
        <f>1452.6+(28.9-879.2)+(2.222478+(0.044217-1.345176))+0-0-0</f>
        <v>603.22151899999983</v>
      </c>
      <c r="Q70" s="3">
        <f>1465+(54.4-898)+(0+(0-0))+0-0-0</f>
        <v>621.4</v>
      </c>
      <c r="R70" s="3">
        <f>1488.9+(63.7-925.2)+(-0.759339+(-0.032487--0.471852))+0-0-0</f>
        <v>627.08002600000009</v>
      </c>
      <c r="S70" s="3">
        <f>1479.2+(69.9-936.7)+(-2.263176+(-0.106947--1.433151))+0-0-0</f>
        <v>611.46302800000001</v>
      </c>
      <c r="T70" s="3">
        <f>1488.1+(75.9-957.9)+(2.276793+(0.116127-1.465587))+0-0-0</f>
        <v>607.02733299999989</v>
      </c>
      <c r="U70" s="3">
        <f>1465.6+(81-946.2)+(-1.494912+(-0.08262--0.965124))+0-0-0</f>
        <v>599.7875919999999</v>
      </c>
      <c r="V70" s="3">
        <f>1413.2+(50-865.1)+(-3.60366+(-0.1275--2.206005))+0-0-0</f>
        <v>596.57484499999998</v>
      </c>
      <c r="W70" s="3">
        <f>1419.7+(35.1-856.8)+(-2.172141+(-0.053703--1.310904))+0-0-0</f>
        <v>597.08506000000011</v>
      </c>
      <c r="X70" s="3">
        <f>1325.3+(43.6-780.4)+(-3.379515+(-0.11118--1.99002))+0-0-0</f>
        <v>586.999325</v>
      </c>
      <c r="Y70" s="3">
        <f>1309.9+(61.7-790.3)+(-1.336098+(-0.062934--0.806106))+0-0-0</f>
        <v>580.70707400000015</v>
      </c>
      <c r="Z70" s="3">
        <f>1427.4+(119.7-897.6)+(-1.455948+(-0.122094--0.915552))+0-0-0</f>
        <v>648.83751000000007</v>
      </c>
      <c r="AA70" s="3">
        <f>1466.8+(77.8-831)+(-2.244204+(-0.119034--1.27143))+0-0-0</f>
        <v>712.50819199999989</v>
      </c>
      <c r="AB70" s="3">
        <f>1452.7+(78.5-843)+(-3.704385+(-0.200175--2.14965))+0-0-0</f>
        <v>686.44509000000005</v>
      </c>
      <c r="AC70" s="3">
        <f>1464.2+(100.5-922)+(-2.240226+(-0.153765--1.41066))+0-0-0</f>
        <v>641.71666900000002</v>
      </c>
      <c r="AD70" s="2">
        <v>705.8</v>
      </c>
      <c r="AE70" s="3">
        <f>1465+(79.1-838.3)+(0+(0-0))+0-0-0</f>
        <v>705.80000000000007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1445.9+(80.1-939.3)+(-2.212227+(-0.122553--1.437129))+0-0-0</f>
        <v>585.80234900000016</v>
      </c>
      <c r="G71" s="3">
        <f>1291.3+(83.4-825.2)+(-0.658563+(-0.042534--0.420852))+0-0-0</f>
        <v>549.21975499999985</v>
      </c>
      <c r="H71" s="3">
        <f>1131.3+(71.5-692.8)+(-1.153926+(-0.07293--0.706656))+0-0-0</f>
        <v>509.47980000000001</v>
      </c>
      <c r="I71" s="3">
        <f>1125+(77.6-705.5)+(-1.72125+(-0.118728--1.079415))+0-0-0</f>
        <v>496.33943700000003</v>
      </c>
      <c r="J71" s="3">
        <f>1121.8+(70.3-694)+(-2.288472+(-0.143412--1.41576))+0-0-0</f>
        <v>497.08387599999992</v>
      </c>
      <c r="K71" s="3">
        <f>1125.2+(50.1-696.7)+(-1.721556+(-0.076653--1.065951))+0-0-0</f>
        <v>477.86774200000002</v>
      </c>
      <c r="L71" s="3">
        <f>1123.9+(36.2-699.1)+(-2.292756+(-0.073848--1.426164))+0-0-0</f>
        <v>460.05956000000009</v>
      </c>
      <c r="M71" s="3">
        <f>1133.3+(37.3-675)+(0+(0-0))+0-0-0</f>
        <v>495.59999999999991</v>
      </c>
      <c r="N71" s="3">
        <f>1122.4+(87.5-642.3)+(1.144848+(0.08925-0.655146))+0-0-0</f>
        <v>568.17895200000009</v>
      </c>
      <c r="O71" s="3">
        <f>1238.5+(97.4-763)+(2.52654+(0.198696-1.55652))+0-0-0</f>
        <v>574.06871599999999</v>
      </c>
      <c r="P71" s="3">
        <f>1385.5+(74.4-824.3)+(-1.41321+(-0.075888--0.840786))+0-0-0</f>
        <v>634.95168799999999</v>
      </c>
      <c r="Q71" s="3">
        <f>1394.8+(68.2-788.1)+(0+(0-0))+0-0-0</f>
        <v>674.9</v>
      </c>
      <c r="R71" s="3">
        <f>1376.8+(115.5-800.3)+(-2.106504+(-0.176715--1.224459))+0-0-0</f>
        <v>690.94123999999999</v>
      </c>
      <c r="S71" s="3">
        <f>1377.9+(157.2-857.8)+(1.405458+(0.160344-0.874956))+0-0-0</f>
        <v>677.99084600000015</v>
      </c>
      <c r="T71" s="3">
        <f>1421.3+(163.3-917.7)+(1.449726+(0.166566-0.936054))+0-0-0</f>
        <v>667.58023799999989</v>
      </c>
      <c r="U71" s="3">
        <f>1429.6+(161.4-938)+(0+(0-0))+0-0-0</f>
        <v>652.99999999999989</v>
      </c>
      <c r="V71" s="3">
        <f>1420.2+(162.8-940.1)+(-1.448604+(-0.166056--0.958902))+0-0-0</f>
        <v>642.2442420000001</v>
      </c>
      <c r="W71" s="3">
        <f>1415.7+(169.5-935.9)+(-2.888028+(-0.34578--1.909236))+0-0-0</f>
        <v>647.97542800000008</v>
      </c>
      <c r="X71" s="3">
        <f>1325+(135.5-824.8)+(-4.0545+(-0.41463--2.523888))+0-0-0</f>
        <v>633.75475800000004</v>
      </c>
      <c r="Y71" s="3">
        <f>1210.9+(72.3-676.5)+(1.235118+(0.073746-0.69003))+0-0-0</f>
        <v>607.31883400000004</v>
      </c>
      <c r="Z71" s="3">
        <f>1437.6+(166.4-916.1)+(-0.733176+(-0.084864--0.467211))+0-0-0</f>
        <v>687.54917099999989</v>
      </c>
      <c r="AA71" s="3">
        <f>1483.3+(161-886.8)+(-1.512966+(-0.16422--0.904536))+0-0-0</f>
        <v>756.72735</v>
      </c>
      <c r="AB71" s="3">
        <f>1465.9+(143.6-870.8)+(-2.990436+(-0.292944--1.776432))+0-0-0</f>
        <v>737.19305200000019</v>
      </c>
      <c r="AC71" s="3">
        <f>1437.1+(64-809)+(-2.198763+(-0.09792--1.23777))+0-0-0</f>
        <v>691.04108699999995</v>
      </c>
      <c r="AD71" s="2">
        <v>752.09999999999991</v>
      </c>
      <c r="AE71" s="3">
        <f>1487+(159.6-894.5)+(0+(0-0))+0-0-0</f>
        <v>752.1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1432.7+(65.1-839)+(-2.922708+(-0.132804--1.71156))+0-0-0</f>
        <v>657.45604800000012</v>
      </c>
      <c r="G72" s="3">
        <f>1343+(85.7-844.6)+(-2.73972+(-0.174828--1.722984))+0-0-0</f>
        <v>582.90843600000005</v>
      </c>
      <c r="H72" s="3">
        <f>1133.9+(113.1-695.5)+(-1.734867+(-0.173043--1.064115))+0-0-0</f>
        <v>550.65620500000011</v>
      </c>
      <c r="I72" s="3">
        <f>1122.4+(112.1-702.6)+(-3.434544+(-0.343026--2.149956))+0-0-0</f>
        <v>530.2723860000001</v>
      </c>
      <c r="J72" s="3">
        <f>1125.9+(110.5-720.2)+(-2.296836+(-0.22542--1.469208))+0-0-0</f>
        <v>515.14695200000006</v>
      </c>
      <c r="K72" s="3">
        <f>1128.1+(105.2-737.3)+(-2.876655+(-0.26826--1.880115))+0-0-0</f>
        <v>494.73520000000002</v>
      </c>
      <c r="L72" s="3">
        <f>1129.2+(119.1-770)+(-2.303568+(-0.242964--1.5708))+0-0-0</f>
        <v>477.32426800000007</v>
      </c>
      <c r="M72" s="3">
        <f>1151.5+(118.9-752.7)+(3.52359+(0.363834-2.303262))+0-0-0</f>
        <v>519.28416199999992</v>
      </c>
      <c r="N72" s="3">
        <f>1326.5+(119.5-856.7)+(0+(0-0))+0-0-0</f>
        <v>589.29999999999995</v>
      </c>
      <c r="O72" s="3">
        <f>1387.7+(151.2-874.2)+(1.415454+(0.154224-0.891684))+0-0-0</f>
        <v>665.37799400000006</v>
      </c>
      <c r="P72" s="3">
        <f>1380+(174.3-840.1)+(-1.4076+(-0.177786--0.856902))+0-0-0</f>
        <v>713.47151600000007</v>
      </c>
      <c r="Q72" s="3">
        <f>1372+(163.9-789.7)+(0+(0-0))+0-0-0</f>
        <v>746.19999999999993</v>
      </c>
      <c r="R72" s="3">
        <f>1361+(169.4-776.8)+(-0.69411+(-0.086394--0.396168))+0-0-0</f>
        <v>753.21566400000006</v>
      </c>
      <c r="S72" s="3">
        <f>1369.9+(190.2-788.3)+(-1.397298+(-0.194004--0.804066))+0-0-0</f>
        <v>771.01276400000017</v>
      </c>
      <c r="T72" s="3">
        <f>1367+(207.4-857.4)+(0+(0-0))+0-0-0</f>
        <v>717</v>
      </c>
      <c r="U72" s="3">
        <f>1418+(202.4-902.7)+(-1.44636+(-0.206448--0.920754))+0-0-0</f>
        <v>716.96794599999998</v>
      </c>
      <c r="V72" s="3">
        <f>1418+(194.6-932.5)+(-2.16954+(-0.297738--1.426725))+0-0-0</f>
        <v>679.05944699999998</v>
      </c>
      <c r="W72" s="3">
        <f>1399.8+(201.7-880.4)+(-4.283388+(-0.617202--2.694024))+0-0-0</f>
        <v>718.89343399999996</v>
      </c>
      <c r="X72" s="3">
        <f>1418.7+(211-931.1)+(-0.723537+(-0.10761--0.474861))+0-0-0</f>
        <v>698.24371400000007</v>
      </c>
      <c r="Y72" s="3">
        <f>1417.2+(174.7-926.6)+(-1.445544+(-0.178194--0.945132))+0-0-0</f>
        <v>664.62139400000001</v>
      </c>
      <c r="Z72" s="3">
        <f>1438.6+(205.7-907.1)+(0.733686+(0.104907-0.462621))+0-0-0</f>
        <v>737.57597199999987</v>
      </c>
      <c r="AA72" s="3">
        <f>1476+(180.8-847.1)+(-1.50552+(-0.184416--0.864042))+0-0-0</f>
        <v>808.8741060000001</v>
      </c>
      <c r="AB72" s="3">
        <f>1460.2+(185.7-835.5)+(-1.489404+(-0.189414--0.85221))+0-0-0</f>
        <v>809.57339200000013</v>
      </c>
      <c r="AC72" s="3">
        <f>1418.6+(208.9-859.4)+(0.723486+(0.106539-0.438294))+0-0-0</f>
        <v>768.49173099999996</v>
      </c>
      <c r="AD72" s="2">
        <v>801.50000000000011</v>
      </c>
      <c r="AE72" s="3">
        <f>1490+(176.4-864.9)+(0+(0-0))+0-0-0</f>
        <v>801.5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1339.3+(218.2-839.4)+(-2.732172+(-0.445128--1.712376))+0-0-0</f>
        <v>716.63507599999991</v>
      </c>
      <c r="G73" s="3">
        <f>1138.7+(252.9-747.5)+(0+(0-0))+0-0-0</f>
        <v>644.1</v>
      </c>
      <c r="H73" s="3">
        <f>1087.7+(245.8-734)+(-0.554727+(-0.125358--0.37434))+0-0-0</f>
        <v>599.194255</v>
      </c>
      <c r="I73" s="3">
        <f>1096.2+(162.1-692.6)+(1.677186+(0.248013-1.059678))+0-0-0</f>
        <v>566.56552099999999</v>
      </c>
      <c r="J73" s="3">
        <f>1088.5+(115.2-649.4)+(-1.665405+(-0.176256--0.993582))+0-0-0</f>
        <v>553.45192100000008</v>
      </c>
      <c r="K73" s="3">
        <f>1081.7+(96.2-650.8)+(-2.758335+(-0.24531--1.65954))+0-0-0</f>
        <v>525.75589500000012</v>
      </c>
      <c r="L73" s="3">
        <f>1090.3+(85-675.6)+(-1.112106+(-0.0867--0.689112))+0-0-0</f>
        <v>499.19030599999991</v>
      </c>
      <c r="M73" s="3">
        <f>1119+(59.4-650.1)+(-0.57069+(-0.030294--0.331551))+0-0-0</f>
        <v>528.03056699999991</v>
      </c>
      <c r="N73" s="3">
        <f>1231.8+(82.5-708)+(3.14109+(0.210375-1.8054))+0-0-0</f>
        <v>607.84606499999995</v>
      </c>
      <c r="O73" s="3">
        <f>1261.3+(178.9-773.6)+(3.216315+(0.456195-1.97268))+0-0-0</f>
        <v>668.29982999999993</v>
      </c>
      <c r="P73" s="3">
        <f>1271.9+(181.5-742.5)+(2.594676+(0.37026-1.5147))+0-0-0</f>
        <v>712.35023600000011</v>
      </c>
      <c r="Q73" s="3">
        <f>1254.2+(174.5-690.8)+(1.279284+(0.17799-0.704616))+0-0-0</f>
        <v>738.65265800000009</v>
      </c>
      <c r="R73" s="3">
        <f>1251.1+(183.2-705.7)+(0.638061+(0.093432-0.359907))+0-0-0</f>
        <v>728.97158599999989</v>
      </c>
      <c r="S73" s="3">
        <f>1238.7+(196.6-701.4)+(-1.263474+(-0.200532--0.715428))+0-0-0</f>
        <v>733.15142200000014</v>
      </c>
      <c r="T73" s="3">
        <f>1240.5+(210.6-729.1)+(-0.632655+(-0.107406--0.371841))+0-0-0</f>
        <v>721.63178000000005</v>
      </c>
      <c r="U73" s="3">
        <f>1234.9+(192.8-720.2)+(-1.259598+(-0.196656--0.734604))+0-0-0</f>
        <v>706.77835000000005</v>
      </c>
      <c r="V73" s="3">
        <f>1246.3+(193.2-732.7)+(0.635613+(0.098532-0.373677))+0-0-0</f>
        <v>707.16046799999992</v>
      </c>
      <c r="W73" s="3">
        <f>1232.4+(191.4-728.7)+(-1.257048+(-0.195228--0.743274))+0-0-0</f>
        <v>694.39099799999997</v>
      </c>
      <c r="X73" s="3">
        <f>1235.9+(177.2-738.2)+(-1.260618+(-0.180744--0.752964))+0-0-0</f>
        <v>674.21160200000008</v>
      </c>
      <c r="Y73" s="3">
        <f>1242.1+(95.8-687.8)+(-1.266942+(-0.097716--0.701556))+0-0-0</f>
        <v>649.43689799999993</v>
      </c>
      <c r="Z73" s="3">
        <f>1272.4+(182.8-727.5)+(-1.946772+(-0.279684--1.113075))+0-0-0</f>
        <v>726.58661900000004</v>
      </c>
      <c r="AA73" s="3">
        <f>1280.9+(188.9-650.6)+(-2.613036+(-0.385356--1.327224))+0-0-0</f>
        <v>817.52883200000008</v>
      </c>
      <c r="AB73" s="3">
        <f>1279.7+(197.8-673.2)+(-1.957941+(-0.302634--1.029996))+0-0-0</f>
        <v>803.06942099999992</v>
      </c>
      <c r="AC73" s="3">
        <f>1276.6+(217.3-707.2)+(-2.604264+(-0.443292--1.442688))+0-0-0</f>
        <v>785.09513199999981</v>
      </c>
      <c r="AD73" s="2">
        <v>806.7</v>
      </c>
      <c r="AE73" s="3">
        <f>1279+(187.5-659.8)+(0+(0-0))+0-0-0</f>
        <v>806.7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1275.8+(230.1-774.5)+(-1.951974+(-0.352053--1.184985))+0-0-0</f>
        <v>730.28095799999994</v>
      </c>
      <c r="G74" s="3">
        <f>1131.8+(249.7-718.7)+(-0.577218+(-0.127347--0.366537))+0-0-0</f>
        <v>662.46197199999995</v>
      </c>
      <c r="H74" s="3">
        <f>1120.8+(161.5-677.1)+(-1.143216+(-0.16473--0.690642))+0-0-0</f>
        <v>604.58269599999994</v>
      </c>
      <c r="I74" s="3">
        <f>1051.3+(142.3-622.1)+(-0.536163+(-0.072573--0.317271))+0-0-0</f>
        <v>571.20853499999998</v>
      </c>
      <c r="J74" s="3">
        <f>1002.8+(153.9-602.5)+(-3.579996+(-0.549423--2.150925))+0-0-0</f>
        <v>552.22150599999998</v>
      </c>
      <c r="K74" s="3">
        <f>992.6+(106.3-584.7)+(-5.06226+(-0.54213--2.98197))+0-0-0</f>
        <v>511.57758000000007</v>
      </c>
      <c r="L74" s="3">
        <f>1006.9+(78.7-601.1)+(-1.027038+(-0.080274--0.613122))+0-0-0</f>
        <v>484.00581</v>
      </c>
      <c r="M74" s="3">
        <f>1018.1+(74.6-608)+(1.557693+(0.114138-0.93024))+0-0-0</f>
        <v>485.44159100000007</v>
      </c>
      <c r="N74" s="3">
        <f>1016.8+(98.1-600.7)+(2.074272+(0.200124-1.225428))+0-0-0</f>
        <v>515.24896799999988</v>
      </c>
      <c r="O74" s="3">
        <f>1114.9+(149.4-704.3)+(-0.568599+(-0.076194--0.359193))+0-0-0</f>
        <v>559.71440000000007</v>
      </c>
      <c r="P74" s="3">
        <f>1336.9+(80.5-795.8)+(0+(0-0))+0-0-0</f>
        <v>621.60000000000014</v>
      </c>
      <c r="Q74" s="3">
        <f>1349.6+(87-784.3)+(0+(0-0))+0-0-0</f>
        <v>652.29999999999995</v>
      </c>
      <c r="R74" s="3">
        <f>1331.9+(97.7-776.3)+(2.037807+(0.149481-1.187739))+0-0-0</f>
        <v>654.29954900000018</v>
      </c>
      <c r="S74" s="3">
        <f>1257.9+(125.8-746.3)+(-1.283058+(-0.128316--0.761226))+0-0-0</f>
        <v>636.74985200000015</v>
      </c>
      <c r="T74" s="3">
        <f>1301+(135.1-808.2)+(-1.32702+(-0.137802--0.824364))+0-0-0</f>
        <v>627.25954200000001</v>
      </c>
      <c r="U74" s="3">
        <f>1367.6+(134.9-891.3)+(0+(0-0))+0-0-0</f>
        <v>611.19999999999993</v>
      </c>
      <c r="V74" s="3">
        <f>1375.8+(138.3-910.5)+(-0.701658+(-0.070533--0.464355))+0-0-0</f>
        <v>603.29216399999996</v>
      </c>
      <c r="W74" s="3">
        <f>1376.8+(132.4-912)+(-1.404336+(-0.135048--0.93024))+0-0-0</f>
        <v>596.59085599999992</v>
      </c>
      <c r="X74" s="3">
        <f>1378.5+(139.4-921.1)+(-3.515175+(-0.35547--2.348805))+0-0-0</f>
        <v>595.27815999999996</v>
      </c>
      <c r="Y74" s="3">
        <f>1384.6+(82.5-889.5)+(-1.412292+(-0.08415--0.90729))+0-0-0</f>
        <v>577.0108479999999</v>
      </c>
      <c r="Z74" s="3">
        <f>1403.2+(95.3-864.3)+(-0.715632+(-0.048603--0.440793))+0-0-0</f>
        <v>633.87655800000005</v>
      </c>
      <c r="AA74" s="3">
        <f>1420.6+(115.8-789.7)+(-2.898024+(-0.236232--1.610988))+0-0-0</f>
        <v>745.17673199999979</v>
      </c>
      <c r="AB74" s="3">
        <f>1423.6+(111.4-778.5)+(-0.726036+(-0.056814--0.397035))+0-0-0</f>
        <v>756.11418499999991</v>
      </c>
      <c r="AC74" s="3">
        <f>1410.2+(128.1-813.8)+(-3.59601+(-0.326655--2.07519))+0-0-0</f>
        <v>722.65252500000008</v>
      </c>
      <c r="AD74" s="2">
        <v>723.80000000000007</v>
      </c>
      <c r="AE74" s="3">
        <f>1401+(110.9-788.1)+(0+(0-0))+0-0-0</f>
        <v>723.8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1424+(145.2-871.8)+(0.72624+(0.074052-0.444618))+0-0-0</f>
        <v>697.75567400000011</v>
      </c>
      <c r="G75" s="3">
        <f>1430.7+(185.6-956.6)+(0+(0-0))+0-0-0</f>
        <v>659.7</v>
      </c>
      <c r="H75" s="3">
        <f>1434.2+(196.1-1023.1)+(2.925768+(0.400044-2.087124))+0-0-0</f>
        <v>608.43868800000007</v>
      </c>
      <c r="I75" s="3">
        <f>1408.9+(126.1-956.2)+(-4.311234+(-0.385866--2.925972))+0-0-0</f>
        <v>577.02887200000009</v>
      </c>
      <c r="J75" s="3">
        <f>1223.6+(49.1-712.7)+(-0.624036+(-0.025041--0.363477))+0-0-0</f>
        <v>559.71439999999984</v>
      </c>
      <c r="K75" s="3">
        <f>1115.9+(47.1-635.8)+(-3.414654+(-0.144126--1.945548))+0-0-0</f>
        <v>525.58676800000012</v>
      </c>
      <c r="L75" s="3">
        <f>1119.1+(48.5-667.2)+(-2.853705+(-0.123675--1.70136))+0-0-0</f>
        <v>499.12397999999985</v>
      </c>
      <c r="M75" s="3">
        <f>1129.7+(50.5-661.8)+(0+(0-0))+0-0-0</f>
        <v>518.40000000000009</v>
      </c>
      <c r="N75" s="3">
        <f>1147.9+(57.5-634.7)+(0+(0-0))+0-0-0</f>
        <v>570.70000000000005</v>
      </c>
      <c r="O75" s="3">
        <f>1390.9+(107-859.5)+(0+(0-0))+0-0-0</f>
        <v>638.40000000000009</v>
      </c>
      <c r="P75" s="3">
        <f>1394.6+(213.8-915)+(-0.711246+(-0.109038--0.46665))+0-0-0</f>
        <v>693.04636599999981</v>
      </c>
      <c r="Q75" s="3">
        <f>1405.2+(206-907)+(-0.716652+(-0.10506--0.46257))+0-0-0</f>
        <v>703.84085800000003</v>
      </c>
      <c r="R75" s="3">
        <f>1408+(208.3-898.6)+(-0.71808+(-0.106233--0.458286))+0-0-0</f>
        <v>717.33397300000001</v>
      </c>
      <c r="S75" s="3">
        <f>1406.4+(218.9-903.5)+(-0.717264+(-0.111639--0.460785))+0-0-0</f>
        <v>721.43188200000009</v>
      </c>
      <c r="T75" s="3">
        <f>1402.4+(229.1-914.4)+(-1.430448+(-0.233682--0.932688))+0-0-0</f>
        <v>716.36855800000012</v>
      </c>
      <c r="U75" s="3">
        <f>1400.8+(228.1-920.7)+(-1.428816+(-0.232662--0.939114))+0-0-0</f>
        <v>707.47763599999996</v>
      </c>
      <c r="V75" s="3">
        <f>1391.3+(223.2-898.6)+(-2.128689+(-0.341496--1.374858))+0-0-0</f>
        <v>714.80467299999987</v>
      </c>
      <c r="W75" s="3">
        <f>1388.2+(222.8-905.2)+(-2.123946+(-0.340884--1.384956))+0-0-0</f>
        <v>704.72012599999994</v>
      </c>
      <c r="X75" s="3">
        <f>1385.9+(225.1-926.3)+(-3.534045+(-0.574005--2.362065))+0-0-0</f>
        <v>682.95401500000014</v>
      </c>
      <c r="Y75" s="3">
        <f>1391.6+(240.8-973.7)+(-2.838864+(-0.491232--1.986348))+0-0-0</f>
        <v>657.35625199999981</v>
      </c>
      <c r="Z75" s="3">
        <f>1406.7+(266.8-956)+(-1.434834+(-0.272136--0.97512))+0-0-0</f>
        <v>716.76814999999999</v>
      </c>
      <c r="AA75" s="3">
        <f>1445+(214.9-849)+(-3.68475+(-0.547995--2.16495))+0-0-0</f>
        <v>808.83220499999993</v>
      </c>
      <c r="AB75" s="3">
        <f>1461.7+(212.6-864.1)+(-2.981868+(-0.433704--1.762764))+0-0-0</f>
        <v>808.547192</v>
      </c>
      <c r="AC75" s="3">
        <f>1447.9+(224-907.4)+(-0.738429+(-0.11424--0.462774))+0-0-0</f>
        <v>764.11010500000009</v>
      </c>
      <c r="AD75" s="2">
        <v>775</v>
      </c>
      <c r="AE75" s="3">
        <f>1452+(207.8-884.8)+(0+(0-0))+0-0-0</f>
        <v>775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1311.1+(175.1-813.1)+(0+(0-0))+0-0-0</f>
        <v>673.09999999999991</v>
      </c>
      <c r="G76" s="3">
        <f>1087.2+(215.6-700.4)+(-1.108944+(-0.219912--0.714408))+0-0-0</f>
        <v>601.78555200000005</v>
      </c>
      <c r="H76" s="3">
        <f>1094+(182.1-711.8)+(0.55794+(0.092871-0.363018))+0-0-0</f>
        <v>564.58779300000003</v>
      </c>
      <c r="I76" s="3">
        <f>1095.3+(162.5-719.1)+(1.117206+(0.16575-0.733482))+0-0-0</f>
        <v>539.24947399999996</v>
      </c>
      <c r="J76" s="3">
        <f>1090.3+(164.2-741.1)+(-1.112106+(-0.167484--0.755922))+0-0-0</f>
        <v>512.87633199999982</v>
      </c>
      <c r="K76" s="3">
        <f>994.6+(160.4-667)+(-1.014492+(-0.163608--0.68034))+0-0-0</f>
        <v>487.50223999999997</v>
      </c>
      <c r="L76" s="3">
        <f>986.1+(118-657.7)+(-3.017466+(-0.36108--2.012562))+0-0-0</f>
        <v>445.03401599999995</v>
      </c>
      <c r="M76" s="3">
        <f>1002.1+(74.1-630.6)+(2.044284+(0.151164-1.286424))+0-0-0</f>
        <v>446.50902400000001</v>
      </c>
      <c r="N76" s="3">
        <f>992.6+(108.5-622.4)+(0+(0-0))+0-0-0</f>
        <v>478.70000000000005</v>
      </c>
      <c r="O76" s="3">
        <f>1120.6+(104.3-700.4)+(-0.571506+(-0.053193--0.357204))+0-0-0</f>
        <v>524.23250499999983</v>
      </c>
      <c r="P76" s="3">
        <f>1209+(155.1-792.9)+(0+(0-0))+0-0-0</f>
        <v>571.20000000000005</v>
      </c>
      <c r="Q76" s="3">
        <f>1212.8+(155.1-772.5)+(0+(0-0))+0-0-0</f>
        <v>595.4</v>
      </c>
      <c r="R76" s="3">
        <f>1218.9+(154.4-757.4)+(0+(0-0))+0-0-0</f>
        <v>615.90000000000009</v>
      </c>
      <c r="S76" s="3">
        <f>1209.4+(164.2-752.9)+(-2.467176+(-0.334968--1.535916))+0-0-0</f>
        <v>619.43377200000009</v>
      </c>
      <c r="T76" s="3">
        <f>1219.9+(171.8-773)+(0.622149+(0.087618-0.39423))+0-0-0</f>
        <v>619.01553699999999</v>
      </c>
      <c r="U76" s="3">
        <f>1215.4+(169.5-789.8)+(-0.619854+(-0.086445--0.402798))+0-0-0</f>
        <v>594.79649900000015</v>
      </c>
      <c r="V76" s="3">
        <f>1222.2+(170.3-798.8)+(1.246644+(0.173706-0.814776))+0-0-0</f>
        <v>594.30557400000009</v>
      </c>
      <c r="W76" s="3">
        <f>1209.7+(173.2-789.3)+(-1.850841+(-0.264996--1.207629))+0-0-0</f>
        <v>592.69179200000019</v>
      </c>
      <c r="X76" s="3">
        <f>1214.3+(170.5-805.3)+(-1.238586+(-0.17391--0.821406))+0-0-0</f>
        <v>578.90890999999999</v>
      </c>
      <c r="Y76" s="3">
        <f>1218.2+(74.7-728.5)+(-1.242564+(-0.076194--0.74307))+0-0-0</f>
        <v>563.82431200000008</v>
      </c>
      <c r="Z76" s="3">
        <f>1244.2+(122.7-733.6)+(0+(0-0))+0-0-0</f>
        <v>633.30000000000007</v>
      </c>
      <c r="AA76" s="3">
        <f>1262.3+(153.4-691.9)+(-1.931319+(-0.234702--1.058607))+0-0-0</f>
        <v>722.69258600000001</v>
      </c>
      <c r="AB76" s="3">
        <f>1269.3+(151.1-694.4)+(-1.294686+(-0.154122--0.708288))+0-0-0</f>
        <v>725.25948000000005</v>
      </c>
      <c r="AC76" s="3">
        <f>1268.8+(162.6-744.4)+(1.294176+(0.165852-0.759288))+0-0-0</f>
        <v>687.70074</v>
      </c>
      <c r="AD76" s="2">
        <v>730.09999999999991</v>
      </c>
      <c r="AE76" s="3">
        <f>1267+(145.8-682.7)+(0+(0-0))+0-0-0</f>
        <v>730.09999999999991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1254.6+(183.5-804.8)+(-1.279692+(-0.18717--0.820896))+0-0-0</f>
        <v>632.65403399999991</v>
      </c>
      <c r="G77" s="3">
        <f>1267.2+(188.4-872.9)+(1.292544+(0.192168-0.890358))+0-0-0</f>
        <v>583.294354</v>
      </c>
      <c r="H77" s="3">
        <f>1139.3+(199.3-793.9)+(-0.581043+(-0.101643--0.404889))+0-0-0</f>
        <v>544.42220300000008</v>
      </c>
      <c r="I77" s="3">
        <f>1022.6+(210.5-723.5)+(0+(0-0))+0-0-0</f>
        <v>509.6</v>
      </c>
      <c r="J77" s="3">
        <f>1015.1+(201.1-737.7)+(-1.553103+(-0.307683--1.128681))+0-0-0</f>
        <v>477.76789500000001</v>
      </c>
      <c r="K77" s="3">
        <f>1020.1+(167.3-725.4)+(-1.040502+(-0.170646--0.739908))+0-0-0</f>
        <v>461.52876000000009</v>
      </c>
      <c r="L77" s="3">
        <f>1011+(73.5-662.5)+(-2.57805+(-0.187425--1.689375))+0-0-0</f>
        <v>420.9239</v>
      </c>
      <c r="M77" s="3">
        <f>1027.7+(46.2-634.2)+(1.572381+(0.070686-0.970326))+0-0-0</f>
        <v>440.37274100000002</v>
      </c>
      <c r="N77" s="3">
        <f>1026.6+(66-616.8)+(0.523566+(0.03366-0.314568))+0-0-0</f>
        <v>476.04265799999996</v>
      </c>
      <c r="O77" s="3">
        <f>1159.6+(78.5-725.1)+(1.182792+(0.08007-0.739602))+0-0-0</f>
        <v>513.52325999999994</v>
      </c>
      <c r="P77" s="3">
        <f>1353+(60.1-853.8)+(0+(0-0))+0-0-0</f>
        <v>559.30000000000007</v>
      </c>
      <c r="Q77" s="3">
        <f>1314.9+(99-822.5)+(-2.011797+(-0.15147--1.258425))+0-0-0</f>
        <v>590.49515800000006</v>
      </c>
      <c r="R77" s="3">
        <f>1367+(75.9-847)+(0.69717+(0.038709-0.43197))+0-0-0</f>
        <v>596.20390899999995</v>
      </c>
      <c r="S77" s="3">
        <f>1306.9+(80.2-791.4)+(-3.332595+(-0.20451--2.01807))+0-0-0</f>
        <v>594.18096500000013</v>
      </c>
      <c r="T77" s="3">
        <f>1243.7+(93.4-748.8)+(-3.171435+(-0.23817--1.90944))+0-0-0</f>
        <v>586.79983500000003</v>
      </c>
      <c r="U77" s="3">
        <f>1251.8+(106.4-787.8)+(0+(0-0))+0-0-0</f>
        <v>570.4</v>
      </c>
      <c r="V77" s="3">
        <f>1259.6+(143.8-845.9)+(-1.927188+(-0.220014--1.294227))+0-0-0</f>
        <v>556.64702499999999</v>
      </c>
      <c r="W77" s="3">
        <f>1249.6+(90.5-781.2)+(-3.18648+(-0.230775--1.99206))+0-0-0</f>
        <v>557.47480499999983</v>
      </c>
      <c r="X77" s="3">
        <f>1312.8+(44.2-800.8)+(-3.34764+(-0.11271--2.04204))+0-0-0</f>
        <v>554.78169000000003</v>
      </c>
      <c r="Y77" s="3">
        <f>1368.6+(33.5-855.6)+(-2.093958+(-0.051255--1.309068))+0-0-0</f>
        <v>545.6638549999999</v>
      </c>
      <c r="Z77" s="3">
        <f>1447.5+(65.5-896.4)+(1.47645+(0.06681-0.914328))+0-0-0</f>
        <v>617.22893199999999</v>
      </c>
      <c r="AA77" s="3">
        <f>1453.2+(108.3-849.6)+(-0.741132+(-0.055233--0.433296))+0-0-0</f>
        <v>711.53693099999998</v>
      </c>
      <c r="AB77" s="3">
        <f>1456.9+(108.3-851.1)+(-2.229057+(-0.165699--1.302183))+0-0-0</f>
        <v>713.00742700000001</v>
      </c>
      <c r="AC77" s="3">
        <f>1454.2+(118.7-890.7)+(-1.483284+(-0.121074--0.908514))+0-0-0</f>
        <v>681.50415600000008</v>
      </c>
      <c r="AD77" s="2">
        <v>705</v>
      </c>
      <c r="AE77" s="3">
        <f>1455+(99.3-849.3)+(0+(0-0))+0-0-0</f>
        <v>705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1458.7+(137.8-935.5)+(0+(0-0))+0-0-0</f>
        <v>661</v>
      </c>
      <c r="G78" s="3">
        <f>1451.5+(160.2-1005.9)+(-2.96106+(-0.326808--2.052036))+0-0-0</f>
        <v>604.564168</v>
      </c>
      <c r="H78" s="3">
        <f>1163.1+(179.7-771.7)+(-2.965905+(-0.458235--1.967835))+0-0-0</f>
        <v>569.64369499999987</v>
      </c>
      <c r="I78" s="3">
        <f>1132.5+(163.1-759.4)+(-1.15515+(-0.166362--0.774588))+0-0-0</f>
        <v>535.65307600000006</v>
      </c>
      <c r="J78" s="3">
        <f>1132.8+(142.9-753.5)+(-0.577728+(-0.072879--0.384285))+0-0-0</f>
        <v>521.93367799999999</v>
      </c>
      <c r="K78" s="3">
        <f>1131.9+(96.6-729.8)+(-0.577269+(-0.049266--0.372198))+0-0-0</f>
        <v>498.44566300000014</v>
      </c>
      <c r="L78" s="3">
        <f>1133.4+(85.6-736.3)+(0+(0-0))+0-0-0</f>
        <v>482.70000000000016</v>
      </c>
      <c r="M78" s="3">
        <f>1345.2+(77.6-894.2)+(2.058156+(0.118728-1.368126))+0-0-0</f>
        <v>529.40875800000003</v>
      </c>
      <c r="N78" s="3">
        <f>1417.9+(168-979.2)+(-2.169387+(-0.25704--1.498176))+0-0-0</f>
        <v>605.771749</v>
      </c>
      <c r="O78" s="3">
        <f>1409.2+(151.8-893.2)+(0+(0-0))+0-0-0</f>
        <v>667.8</v>
      </c>
      <c r="P78" s="3">
        <f>1380+(111.8-780.9)+(0+(0-0))+0-0-0</f>
        <v>710.9</v>
      </c>
      <c r="Q78" s="3">
        <f>1420.8+(154.5-822)+(0+(0-0))+0-0-0</f>
        <v>753.3</v>
      </c>
      <c r="R78" s="3">
        <f>1379.3+(178.8-807)+(1.406886+(0.182376-0.82314))+0-0-0</f>
        <v>751.8661219999999</v>
      </c>
      <c r="S78" s="3">
        <f>1398.6+(185.6-832.1)+(-0.713286+(-0.094656--0.424371))+0-0-0</f>
        <v>751.71642899999995</v>
      </c>
      <c r="T78" s="3">
        <f>1400.7+(197.4-855.3)+(-0.714357+(-0.100674--0.436203))+0-0-0</f>
        <v>742.42117200000007</v>
      </c>
      <c r="U78" s="3">
        <f>1398.4+(191-858.9)+(0+(0-0))+0-0-0</f>
        <v>730.50000000000011</v>
      </c>
      <c r="V78" s="3">
        <f>1382.5+(187.3-859.7)+(-2.8203+(-0.382092--1.753788))+0-0-0</f>
        <v>708.65139599999986</v>
      </c>
      <c r="W78" s="3">
        <f>1383.1+(183.7-859.5)+(-4.232286+(-0.562122--2.63007))+0-0-0</f>
        <v>705.13566199999991</v>
      </c>
      <c r="X78" s="3">
        <f>1378.3+(184.5-865.4)+(-6.326397+(-0.846855--3.972186))+0-0-0</f>
        <v>694.19893400000001</v>
      </c>
      <c r="Y78" s="3">
        <f>1401.4+(212.5-939.2)+(-3.57357+(-0.541875--2.39496))+0-0-0</f>
        <v>672.97951499999999</v>
      </c>
      <c r="Z78" s="3">
        <f>1426.5+(206.2-891.5)+(-2.182545+(-0.315486--1.363995))+0-0-0</f>
        <v>740.06596400000001</v>
      </c>
      <c r="AA78" s="3">
        <f>1456+(158.5-783)+(-0.74256+(-0.080835--0.39933))+0-0-0</f>
        <v>831.07593499999996</v>
      </c>
      <c r="AB78" s="3">
        <f>1455.5+(158-796.6)+(-3.711525+(-0.4029--2.03133))+0-0-0</f>
        <v>814.81690500000002</v>
      </c>
      <c r="AC78" s="3">
        <f>1439.5+(180.3-848)+(-2.93658+(-0.367812--1.72992))+0-0-0</f>
        <v>770.22552799999994</v>
      </c>
      <c r="AD78" s="2">
        <v>788.7</v>
      </c>
      <c r="AE78" s="3">
        <f>1458+(156.5-825.8)+(0+(0-0))+0-0-0</f>
        <v>788.7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1440.8+(173.2-913.4)+(-0.734808+(-0.088332--0.465834))+0-0-0</f>
        <v>700.24269399999991</v>
      </c>
      <c r="G79" s="3">
        <f>1442.7+(163-965.2)+(0+(0-0))+0-0-0</f>
        <v>640.5</v>
      </c>
      <c r="H79" s="3">
        <f>1374+(140.9-915.4)+(-0.70074+(-0.071859--0.466854))+0-0-0</f>
        <v>599.194255</v>
      </c>
      <c r="I79" s="3">
        <f>1245.8+(152-821.2)+(-1.906074+(-0.23256--1.256436))+0-0-0</f>
        <v>575.71780199999989</v>
      </c>
      <c r="J79" s="3">
        <f>1245.7+(148.3-821)+(-1.905921+(-0.226899--1.25613))+0-0-0</f>
        <v>572.12330999999995</v>
      </c>
      <c r="K79" s="3">
        <f>1242.2+(95-794.1)+(-3.16761+(-0.24225--2.024955))+0-0-0</f>
        <v>541.71509500000002</v>
      </c>
      <c r="L79" s="3">
        <f>1246.7+(101.8-829.1)+(-1.907451+(-0.155754--1.268523))+0-0-0</f>
        <v>518.60531800000001</v>
      </c>
      <c r="M79" s="3">
        <f>1336.1+(129-899.2)+(2.044233+(0.19737-1.375776))+0-0-0</f>
        <v>566.76582699999983</v>
      </c>
      <c r="N79" s="3">
        <f>1450.1+(143-950.5)+(3.697755+(0.36465-2.423775))+0-0-0</f>
        <v>644.23862999999994</v>
      </c>
      <c r="O79" s="3">
        <f>1433.3+(177.7-907.4)+(1.461966+(0.181254-0.925548))+0-0-0</f>
        <v>704.3176719999999</v>
      </c>
      <c r="P79" s="3">
        <f>1416.8+(191.3-878.9)+(-2.167704+(-0.292689--1.344717))+0-0-0</f>
        <v>728.08432400000004</v>
      </c>
      <c r="Q79" s="3">
        <f>1420.9+(184.4-850.4)+(2.173977+(0.282132-1.301112))+0-0-0</f>
        <v>756.05499700000007</v>
      </c>
      <c r="R79" s="3">
        <f>1408+(186.4-810)+(0+(0-0))+0-0-0</f>
        <v>784.4</v>
      </c>
      <c r="S79" s="3">
        <f>1395.6+(197.9-785.9)+(-0.711756+(-0.100929--0.400809))+0-0-0</f>
        <v>807.1881239999999</v>
      </c>
      <c r="T79" s="3">
        <f>1396+(208.6-800.4)+(-0.71196+(-0.106386--0.408204))+0-0-0</f>
        <v>803.78985800000009</v>
      </c>
      <c r="U79" s="3">
        <f>1384.9+(206.1-803.3)+(0.706299+(0.105111-0.409683))+0-0-0</f>
        <v>788.10172700000021</v>
      </c>
      <c r="V79" s="3">
        <f>1348.1+(204.8-772.6)+(-1.375062+(-0.208896--0.788052))+0-0-0</f>
        <v>779.50409400000001</v>
      </c>
      <c r="W79" s="3">
        <f>1348.7+(207.1-787.8)+(-2.751348+(-0.422484--1.607112))+0-0-0</f>
        <v>766.43328000000008</v>
      </c>
      <c r="X79" s="3">
        <f>1355+(201.5-814)+(-1.3821+(-0.20553--0.83028))+0-0-0</f>
        <v>741.74265000000003</v>
      </c>
      <c r="Y79" s="3">
        <f>1349.9+(104.5-745.6)+(-2.753796+(-0.21318--1.521024))+0-0-0</f>
        <v>707.35404800000003</v>
      </c>
      <c r="Z79" s="3">
        <f>1362+(183.6-770)+(-0.69462+(-0.093636--0.3927))+0-0-0</f>
        <v>775.20444399999997</v>
      </c>
      <c r="AA79" s="3">
        <f>1420.1+(162.3-708.3)+(-2.172753+(-0.248319--1.083699))+0-0-0</f>
        <v>872.76262699999995</v>
      </c>
      <c r="AB79" s="3">
        <f>1421.5+(147.3-703.3)+(0+(0-0))+0-0-0</f>
        <v>865.5</v>
      </c>
      <c r="AC79" s="3">
        <f>1406.3+(166.5-743.4)+(-2.151639+(-0.254745--1.137402))+0-0-0</f>
        <v>828.13101799999993</v>
      </c>
      <c r="AD79" s="2">
        <v>831.49999999999989</v>
      </c>
      <c r="AE79" s="3">
        <f>1424+(139.6-732.1)+(0+(0-0))+0-0-0</f>
        <v>831.5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1342.8+(175.4-780)+(-1.369656+(-0.178908--0.7956))+0-0-0</f>
        <v>737.44703599999991</v>
      </c>
      <c r="G80" s="3">
        <f>1100.1+(225.9-671.9)+(-1.122102+(-0.230418--0.685338))+0-0-0</f>
        <v>653.43281799999988</v>
      </c>
      <c r="H80" s="3">
        <f>1048.9+(260.6-700.9)+(0+(0-0))+0-0-0</f>
        <v>608.60000000000014</v>
      </c>
      <c r="I80" s="3">
        <f>1032.7+(209.5-661.7)+(-0.526677+(-0.106845--0.337467))+0-0-0</f>
        <v>580.20394499999998</v>
      </c>
      <c r="J80" s="3">
        <f>1031.8+(164.6-634.9)+(-1.578654+(-0.251838--0.971397))+0-0-0</f>
        <v>560.64090499999998</v>
      </c>
      <c r="K80" s="3">
        <f>1031.2+(102.2-603.2)+(-1.051824+(-0.104244--0.615264))+0-0-0</f>
        <v>529.65919600000007</v>
      </c>
      <c r="L80" s="3">
        <f>1027.5+(101.8-626.2)+(-2.0961+(-0.207672--1.277448))+0-0-0</f>
        <v>502.07367599999992</v>
      </c>
      <c r="M80" s="3">
        <f>1072.4+(118.6-651.9)+(1.640772+(0.181458-0.997407))+0-0-0</f>
        <v>539.92482300000017</v>
      </c>
      <c r="N80" s="3">
        <f>1199.1+(125.8-701.2)+(1.834623+(0.192474-1.072836))+0-0-0</f>
        <v>624.65426099999979</v>
      </c>
      <c r="O80" s="3">
        <f>1181.6+(166.9-677.5)+(0+(0-0))+0-0-0</f>
        <v>670.99999999999989</v>
      </c>
      <c r="P80" s="3">
        <f>1175.6+(195-651.5)+(0.599556+(0.09945-0.332265))+0-0-0</f>
        <v>719.46674099999996</v>
      </c>
      <c r="Q80" s="3">
        <f>1171.3+(195.2-614.3)+(0+(0-0))+0-0-0</f>
        <v>752.2</v>
      </c>
      <c r="R80" s="3">
        <f>1159.8+(204.3-590.4)+(0+(0-0))+0-0-0</f>
        <v>773.7</v>
      </c>
      <c r="S80" s="3">
        <f>1152.1+(207.6-564.4)+(-1.762713+(-0.317628--0.863532))+0-0-0</f>
        <v>794.08319099999994</v>
      </c>
      <c r="T80" s="3">
        <f>1152.1+(209.5-567.2)+(-1.175142+(-0.21369--0.578544))+0-0-0</f>
        <v>793.58971199999985</v>
      </c>
      <c r="U80" s="3">
        <f>1150.2+(199.8-589)+(-2.346408+(-0.407592--1.20156))+0-0-0</f>
        <v>759.44755999999995</v>
      </c>
      <c r="V80" s="3">
        <f>1158.7+(196.1-608.6)+(0.590937+(0.100011-0.310386))+0-0-0</f>
        <v>746.5805620000001</v>
      </c>
      <c r="W80" s="3">
        <f>1165.7+(195.2-621.7)+(0+(0-0))+0-0-0</f>
        <v>739.2</v>
      </c>
      <c r="X80" s="3">
        <f>1161.5+(189.1-642.3)+(-1.18473+(-0.192882--0.655146))+0-0-0</f>
        <v>707.57753400000001</v>
      </c>
      <c r="Y80" s="3">
        <f>1165+(204.6-683.3)+(-0.59415+(-0.104346--0.348483))+0-0-0</f>
        <v>685.94998700000008</v>
      </c>
      <c r="Z80" s="3">
        <f>1186.9+(217.2-672)+(1.210638+(0.221544-0.68544))+0-0-0</f>
        <v>732.84674200000018</v>
      </c>
      <c r="AA80" s="3">
        <f>1201.6+(191-565.8)+(-1.838448+(-0.29223--0.865674))+0-0-0</f>
        <v>825.53499599999998</v>
      </c>
      <c r="AB80" s="3">
        <f>1209.1+(195.8-571.3)+(-1.233282+(-0.199716--0.582726))+0-0-0</f>
        <v>832.74972799999989</v>
      </c>
      <c r="AC80" s="3">
        <f>1206.3+(190.6-599.7)+(0.615213+(0.097206-0.305847))+0-0-0</f>
        <v>797.60657199999991</v>
      </c>
      <c r="AD80" s="2">
        <v>838.6</v>
      </c>
      <c r="AE80" s="3">
        <f>1220+(188.5-569.9)+(0+(0-0))+0-0-0</f>
        <v>838.6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1199.3+(186.5-625.6)+(-0.611643+(-0.095115--0.319056))+0-0-0</f>
        <v>759.81229799999994</v>
      </c>
      <c r="G81" s="3">
        <f>1094.6+(234.2-627.8)+(-0.558246+(-0.119442--0.320178))+0-0-0</f>
        <v>700.64248999999995</v>
      </c>
      <c r="H81" s="3">
        <f>1080.3+(221.6-655.8)+(0+(0-0))+0-0-0</f>
        <v>646.1</v>
      </c>
      <c r="I81" s="3">
        <f>1078.5+(158.5-627.8)+(0+(0-0))+0-0-0</f>
        <v>609.20000000000005</v>
      </c>
      <c r="J81" s="3">
        <f>1072.5+(140.6-635.3)+(-2.1879+(-0.286824--1.296012))+0-0-0</f>
        <v>576.62128800000005</v>
      </c>
      <c r="K81" s="3">
        <f>1061.6+(134.9-650.5)+(-2.70708+(-0.343995--1.658775))+0-0-0</f>
        <v>544.60769999999991</v>
      </c>
      <c r="L81" s="3">
        <f>939.1+(167.4-602.9)+(-2.394705+(-0.42687--1.537395))+0-0-0</f>
        <v>502.31582000000003</v>
      </c>
      <c r="M81" s="3">
        <f>967.5+(158.7-624)+(0.98685+(0.161874-0.63648))+0-0-0</f>
        <v>502.712244</v>
      </c>
      <c r="N81" s="3">
        <f>1039.2+(138.4-646.7)+(-0.529992+(-0.070584--0.329817))+0-0-0</f>
        <v>530.62924099999998</v>
      </c>
      <c r="O81" s="3">
        <f>1031.5+(174.8-632.8)+(-1.05213+(-0.178296--0.645456))+0-0-0</f>
        <v>572.91503</v>
      </c>
      <c r="P81" s="3">
        <f>1038.6+(209.5-625.7)+(0+(0-0))+0-0-0</f>
        <v>622.39999999999986</v>
      </c>
      <c r="Q81" s="3">
        <f>1043.3+(220.3-614.2)+(0.532083+(0.112353-0.313242))+0-0-0</f>
        <v>649.73119399999985</v>
      </c>
      <c r="R81" s="3">
        <f>1045.3+(229.8-566.8)+(1.066206+(0.234396-0.578136))+0-0-0</f>
        <v>709.02246600000001</v>
      </c>
      <c r="S81" s="3">
        <f>1037.9+(228-539.6)+(-0.529329+(-0.11628--0.275196))+0-0-0</f>
        <v>725.92958700000008</v>
      </c>
      <c r="T81" s="3">
        <f>1042.6+(229.5-540.1)+(0+(0-0))+0-0-0</f>
        <v>731.99999999999989</v>
      </c>
      <c r="U81" s="3">
        <f>1038.5+(228.3-541.2)+(-1.05927+(-0.232866--0.552024))+0-0-0</f>
        <v>724.85988799999996</v>
      </c>
      <c r="V81" s="3">
        <f>1043.3+(227.4-555)+(0+(0-0))+0-0-0</f>
        <v>715.69999999999993</v>
      </c>
      <c r="W81" s="3">
        <f>1037.4+(226.2-574.6)+(-1.058148+(-0.230724--0.586092))+0-0-0</f>
        <v>688.29722000000004</v>
      </c>
      <c r="X81" s="3">
        <f>1043.7+(207.6-587.5)+(-1.064574+(-0.211752--0.59925))+0-0-0</f>
        <v>663.12292400000001</v>
      </c>
      <c r="Y81" s="3">
        <f>1048.9+(155.5-558.2)+(-1.069878+(-0.15861--0.569364))+0-0-0</f>
        <v>645.54087600000003</v>
      </c>
      <c r="Z81" s="3">
        <f>1112.7+(166.6-591.6)+(1.134954+(0.169932-0.603432))+0-0-0</f>
        <v>688.40145400000006</v>
      </c>
      <c r="AA81" s="3">
        <f>1205.7+(195.9-603)+(-0.614907+(-0.099909--0.30753))+0-0-0</f>
        <v>798.19271400000002</v>
      </c>
      <c r="AB81" s="3">
        <f>1215.3+(197.3-602.6)+(1.239606+(0.201246-0.614652))+0-0-0</f>
        <v>810.82619999999997</v>
      </c>
      <c r="AC81" s="3">
        <f>1209+(193.9-620.8)+(-1.23318+(-0.197778--0.633216))+0-0-0</f>
        <v>781.30225800000005</v>
      </c>
      <c r="AD81" s="2">
        <v>767.89999999999986</v>
      </c>
      <c r="AE81" s="3">
        <f>1207+(196.6-635.7)+(0+(0-0))+0-0-0</f>
        <v>767.9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1318.9+(152.6-732.4)+(-0.672639+(-0.077826--0.373524))+0-0-0</f>
        <v>738.72305900000015</v>
      </c>
      <c r="G82" s="3">
        <f>1311.4+(158.8-799.2)+(-3.34407+(-0.40494--2.03796))+0-0-0</f>
        <v>669.28895</v>
      </c>
      <c r="H82" s="3">
        <f>1256.1+(169-793.7)+(-1.281222+(-0.17238--0.809574))+0-0-0</f>
        <v>630.75597199999982</v>
      </c>
      <c r="I82" s="3">
        <f>1220.8+(176.1-791.9)+(-1.245216+(-0.179622--0.807738))+0-0-0</f>
        <v>604.38289999999995</v>
      </c>
      <c r="J82" s="3">
        <f>1075.7+(198.9-692.8)+(-0.548607+(-0.101439--0.353328))+0-0-0</f>
        <v>581.50328200000001</v>
      </c>
      <c r="K82" s="3">
        <f>1077.6+(126.6-652.6)+(-2.74788+(-0.32283--1.66413))+0-0-0</f>
        <v>550.19341999999995</v>
      </c>
      <c r="L82" s="3">
        <f>1099.2+(79.7-646.4)+(-1.121184+(-0.081294--0.659328))+0-0-0</f>
        <v>531.95685000000014</v>
      </c>
      <c r="M82" s="3">
        <f>1125.3+(87-636.3)+(-2.869515+(-0.22185--1.622565))+0-0-0</f>
        <v>574.53120000000001</v>
      </c>
      <c r="N82" s="3">
        <f>1284+(115.2-730.2)+(-0.65484+(-0.058752--0.372402))+0-0-0</f>
        <v>668.65881000000002</v>
      </c>
      <c r="O82" s="3">
        <f>1333+(176.3-786.4)+(-0.67983+(-0.089913--0.401064))+0-0-0</f>
        <v>722.53132100000005</v>
      </c>
      <c r="P82" s="3">
        <f>1311.1+(253-798.4)+(-1.337322+(-0.25806--0.814368))+0-0-0</f>
        <v>764.9189859999999</v>
      </c>
      <c r="Q82" s="3">
        <f>1368.9+(246.3-827.8)+(0+(0-0))+0-0-0</f>
        <v>787.40000000000009</v>
      </c>
      <c r="R82" s="3">
        <f>1417.1+(247-878.3)+(-2.168163+(-0.37791--1.343799))+0-0-0</f>
        <v>784.59772599999997</v>
      </c>
      <c r="S82" s="3">
        <f>1468.1+(260.1-950.8)+(-2.994924+(-0.530604--1.939632))+0-0-0</f>
        <v>775.81410399999993</v>
      </c>
      <c r="T82" s="3">
        <f>1482.4+(267.1-985.1)+(1.512048+(0.272442-1.004802))+0-0-0</f>
        <v>765.17968800000006</v>
      </c>
      <c r="U82" s="3">
        <f>1489.5+(252.9-1000.7)+(-0.759645+(-0.128979--0.510357))+0-0-0</f>
        <v>741.32173299999988</v>
      </c>
      <c r="V82" s="3">
        <f>1486.6+(249.5-1017.6)+(-2.274498+(-0.381735--1.556928))+0-0-0</f>
        <v>717.40069499999993</v>
      </c>
      <c r="W82" s="3">
        <f>1494.1+(246.1-1043.9)+(0+(0-0))+0-0-0</f>
        <v>696.29999999999984</v>
      </c>
      <c r="X82" s="3">
        <f>1464.2+(237-1027.6)+(-1.493484+(-0.24174--1.048152))+0-0-0</f>
        <v>672.91292800000019</v>
      </c>
      <c r="Y82" s="3">
        <f>1422.9+(91.1-864.7)+(0+(0-0))+0-0-0</f>
        <v>649.30000000000007</v>
      </c>
      <c r="Z82" s="3">
        <f>1433.4+(146.9-875.4)+(0.731034+(0.074919-0.446454))+0-0-0</f>
        <v>705.25949900000012</v>
      </c>
      <c r="AA82" s="3">
        <f>1460.9+(113.8-776.3)+(-2.980236+(-0.232152--1.583652))+0-0-0</f>
        <v>796.77126400000009</v>
      </c>
      <c r="AB82" s="3">
        <f>1471.3+(131.4-808.5)+(-3.751815+(-0.33507--2.061675))+0-0-0</f>
        <v>792.17478999999992</v>
      </c>
      <c r="AC82" s="3">
        <f>1472.8+(167.6-890.8)+(-2.253384+(-0.256428--1.362924))+0-0-0</f>
        <v>748.45311200000003</v>
      </c>
      <c r="AD82" s="2">
        <v>810.4</v>
      </c>
      <c r="AE82" s="3">
        <f>1466+(119.8-775.4)+(0+(0-0))+0-0-0</f>
        <v>810.4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1455.3+(190.7-938.7)+(-3.711015+(-0.486285--2.393685))+0-0-0</f>
        <v>705.49638499999992</v>
      </c>
      <c r="G83" s="3">
        <f>1307.7+(214.7-868.5)+(-1.333854+(-0.218994--0.88587))+0-0-0</f>
        <v>653.23302200000012</v>
      </c>
      <c r="H83" s="3">
        <f>1239.6+(183.7-820.3)+(0.632196+(0.093687-0.418353))+0-0-0</f>
        <v>603.30753000000004</v>
      </c>
      <c r="I83" s="3">
        <f>1229+(191-846.3)+(2.50716+(0.38964-1.726452))+0-0-0</f>
        <v>574.87034800000004</v>
      </c>
      <c r="J83" s="3">
        <f>1078.3+(196.1-718.1)+(-1.649799+(-0.300033--1.098693))+0-0-0</f>
        <v>555.44886099999997</v>
      </c>
      <c r="K83" s="3">
        <f>1070.5+(187.3-731.3)+(-2.729775+(-0.477615--1.864815))+0-0-0</f>
        <v>525.15742499999999</v>
      </c>
      <c r="L83" s="3">
        <f>1077.4+(143.2-717.6)+(-1.098948+(-0.146064--0.731952))+0-0-0</f>
        <v>502.48694</v>
      </c>
      <c r="M83" s="3">
        <f>1080.2+(167-704.5)+(0+(0-0))+0-0-0</f>
        <v>542.70000000000005</v>
      </c>
      <c r="N83" s="3">
        <f>1348.8+(142.9-897)+(2.063664+(0.218637-1.37241))+0-0-0</f>
        <v>595.60989099999995</v>
      </c>
      <c r="O83" s="3">
        <f>1439.4+(161.1-948.1)+(0+(0-0))+0-0-0</f>
        <v>652.40000000000009</v>
      </c>
      <c r="P83" s="3">
        <f>1420.9+(174.2-929.5)+(0.724659+(0.088842-0.474045))+0-0-0</f>
        <v>665.93945600000018</v>
      </c>
      <c r="Q83" s="3">
        <f>1413.4+(179.6-905.7)+(-1.441668+(-0.183192--0.923814))+0-0-0</f>
        <v>686.59895400000005</v>
      </c>
      <c r="R83" s="3">
        <f>1405.5+(232.4-941.2)+(-0.716805+(-0.118524--0.480012))+0-0-0</f>
        <v>696.34468299999992</v>
      </c>
      <c r="S83" s="3">
        <f>1395.2+(257.9-966)+(-2.134656+(-0.394587--1.47798))+0-0-0</f>
        <v>686.04873700000007</v>
      </c>
      <c r="T83" s="3">
        <f>1399.5+(263-986.8)+(-2.141235+(-0.40239--1.509804))+0-0-0</f>
        <v>674.66617900000006</v>
      </c>
      <c r="U83" s="3">
        <f>1396+(255.4-982.7)+(-3.5598+(-0.65127--2.505885))+0-0-0</f>
        <v>666.9948149999999</v>
      </c>
      <c r="V83" s="3">
        <f>1405.9+(240.8-980.4)+(-0.717009+(-0.122808--0.500004))+0-0-0</f>
        <v>665.96018700000013</v>
      </c>
      <c r="W83" s="3">
        <f>1406+(226.9-955.8)+(-2.86824+(-0.462876--1.949832))+0-0-0</f>
        <v>675.71871599999997</v>
      </c>
      <c r="X83" s="3">
        <f>1399.9+(184.1-926.2)+(-3.569745+(-0.469455--2.36181))+0-0-0</f>
        <v>656.12261000000012</v>
      </c>
      <c r="Y83" s="3">
        <f>1406.6+(91.1-859.7)+(-2.152098+(-0.139383--1.315341))+0-0-0</f>
        <v>637.0238599999999</v>
      </c>
      <c r="Z83" s="3">
        <f>1423+(140.2-858.6)+(0+(0-0))+0-0-0</f>
        <v>704.59999999999991</v>
      </c>
      <c r="AA83" s="3">
        <f>1470+(185.6-856.9)+(-2.2491+(-0.283968--1.311057))+0-0-0</f>
        <v>797.47798900000009</v>
      </c>
      <c r="AB83" s="3">
        <f>1470.6+(115.6-805.4)+(-4.500036+(-0.353736--2.464524))+0-0-0</f>
        <v>778.410752</v>
      </c>
      <c r="AC83" s="3">
        <f>1474.7+(109.4-857.5)+(0+(0-0))+0-0-0</f>
        <v>726.6</v>
      </c>
      <c r="AD83" s="2">
        <v>778.6</v>
      </c>
      <c r="AE83" s="3">
        <f>1489+(184.5-894.9)+(0+(0-0))+0-0-0</f>
        <v>778.6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1482.8+(93.4-921.3)+(-1.512456+(-0.095268--0.939726))+0-0-0</f>
        <v>654.23200199999997</v>
      </c>
      <c r="G84" s="3">
        <f>1363.3+(138.1-900.4)+(0+(0-0))+0-0-0</f>
        <v>601</v>
      </c>
      <c r="H84" s="3">
        <f>1120.2+(177-751.7)+(-0.571302+(-0.09027--0.383367))+0-0-0</f>
        <v>545.22179500000004</v>
      </c>
      <c r="I84" s="3">
        <f>1110.1+(129.9-718.6)+(-1.698453+(-0.198747--1.099458))+0-0-0</f>
        <v>520.60225799999989</v>
      </c>
      <c r="J84" s="3">
        <f>1105.8+(119-716.9)+(-2.81979+(-0.30345--1.828095))+0-0-0</f>
        <v>506.60485499999999</v>
      </c>
      <c r="K84" s="3">
        <f>1109.2+(116.7-729.7)+(-2.82846+(-0.297585--1.860735))+0-0-0</f>
        <v>494.93469000000005</v>
      </c>
      <c r="L84" s="3">
        <f>1116.9+(118-748.4)+(-1.139238+(-0.12036--0.763368))+0-0-0</f>
        <v>486.00377000000009</v>
      </c>
      <c r="M84" s="3">
        <f>1128.6+(102.8-702.7)+(1.726758+(0.157284-1.075131))+0-0-0</f>
        <v>529.50891099999978</v>
      </c>
      <c r="N84" s="3">
        <f>1328.4+(130.6-873.1)+(-0.677484+(-0.066606--0.445281))+0-0-0</f>
        <v>585.60119100000009</v>
      </c>
      <c r="O84" s="3">
        <f>1383.5+(163.1-912.5)+(-1.41117+(-0.166362--0.93075))+0-0-0</f>
        <v>633.45321799999999</v>
      </c>
      <c r="P84" s="3">
        <f>1377.8+(210.5-909.4)+(-1.405356+(-0.21471--0.927588))+0-0-0</f>
        <v>678.20752199999993</v>
      </c>
      <c r="Q84" s="3">
        <f>1381+(201.9-859.6)+(1.40862+(0.205938-0.876792))+0-0-0</f>
        <v>724.03776599999992</v>
      </c>
      <c r="R84" s="3">
        <f>1413+(180.2-888.9)+(0+(0-0))+0-0-0</f>
        <v>704.3</v>
      </c>
      <c r="S84" s="3">
        <f>1444.4+(187.9-932)+(-0.736644+(-0.095829--0.47532))+0-0-0</f>
        <v>699.94284700000003</v>
      </c>
      <c r="T84" s="3">
        <f>1368.6+(207.8-880.4)+(0.697986+(0.105978-0.449004))+0-0-0</f>
        <v>696.35496000000001</v>
      </c>
      <c r="U84" s="3">
        <f>1369.4+(199.8-884.6)+(1.396788+(0.203796-0.902292))+0-0-0</f>
        <v>685.29829200000017</v>
      </c>
      <c r="V84" s="3">
        <f>1363.9+(195-870.7)+(-2.086767+(-0.29835--1.332171))+0-0-0</f>
        <v>687.14705400000003</v>
      </c>
      <c r="W84" s="3">
        <f>1357.9+(194-871.7)+(-4.155174+(-0.59364--2.667402))+0-0-0</f>
        <v>678.11858800000005</v>
      </c>
      <c r="X84" s="3">
        <f>1363.2+(204.8-907.1)+(-1.390464+(-0.208896--0.925242))+0-0-0</f>
        <v>660.22588200000007</v>
      </c>
      <c r="Y84" s="3">
        <f>1355.6+(151.7-872.6)+(-4.148136+(-0.464202--2.670156))+0-0-0</f>
        <v>632.75781799999982</v>
      </c>
      <c r="Z84" s="3">
        <f>1391.9+(198.1-906.1)+(1.419738+(0.202062-0.924222))+0-0-0</f>
        <v>684.59757800000011</v>
      </c>
      <c r="AA84" s="3">
        <f>1423.3+(172.8-814.1)+(-2.177649+(-0.264384--1.245573))+0-0-0</f>
        <v>780.80354</v>
      </c>
      <c r="AB84" s="3">
        <f>1477.7+(163.9-868.8)+(-0.753627+(-0.083589--0.443088))+0-0-0</f>
        <v>772.40587200000004</v>
      </c>
      <c r="AC84" s="3">
        <f>1445+(154.3-879.1)+(-2.21085+(-0.236079--1.345023))+0-0-0</f>
        <v>719.09809400000006</v>
      </c>
      <c r="AD84" s="2">
        <v>767</v>
      </c>
      <c r="AE84" s="3">
        <f>1394+(168.3-795.3)+(0+(0-0))+0-0-0</f>
        <v>767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1441.8+(83.9-850.4)+(-2.941272+(-0.171156--1.734816))+0-0-0</f>
        <v>673.92238799999996</v>
      </c>
      <c r="G85" s="3">
        <f>1452.6+(88.2-903.6)+(-1.481652+(-0.089964--0.921672))+0-0-0</f>
        <v>636.55005599999993</v>
      </c>
      <c r="H85" s="3">
        <f>1314.6+(105.8-818.5)+(-0.670446+(-0.053958--0.417435))+0-0-0</f>
        <v>601.59303099999988</v>
      </c>
      <c r="I85" s="3">
        <f>1252.9+(122.5-803.6)+(-1.916937+(-0.187425--1.229508))+0-0-0</f>
        <v>570.92514600000004</v>
      </c>
      <c r="J85" s="3">
        <f>1253.5+(115.2-810)+(-1.917855+(-0.176256--1.2393))+0-0-0</f>
        <v>557.845189</v>
      </c>
      <c r="K85" s="3">
        <f>1249.1+(110-825.4)+(-2.548164+(-0.2244--1.683816))+0-0-0</f>
        <v>532.61125199999992</v>
      </c>
      <c r="L85" s="3">
        <f>1258.6+(56.7-813.3)+(0+(0-0))+0-0-0</f>
        <v>502</v>
      </c>
      <c r="M85" s="3">
        <f>1294.9+(45.2-798.4)+(-1.981197+(-0.069156--1.221552))+0-0-0</f>
        <v>540.87119900000016</v>
      </c>
      <c r="N85" s="3">
        <f>1419.1+(76-862)+(0+(0-0))+0-0-0</f>
        <v>633.09999999999991</v>
      </c>
      <c r="O85" s="3">
        <f>1453.7+(119.7-881.3)+(1.482774+(0.122094-0.898926))+0-0-0</f>
        <v>692.80594200000019</v>
      </c>
      <c r="P85" s="3">
        <f>1446.5+(178.8-889.9)+(2.213145+(0.273564-1.361547))+0-0-0</f>
        <v>736.52516200000014</v>
      </c>
      <c r="Q85" s="3">
        <f>1426.6+(161.7-829.1)+(1.455132+(0.164934-0.845682))+0-0-0</f>
        <v>759.97438399999987</v>
      </c>
      <c r="R85" s="3">
        <f>1432.1+(165.3-840)+(2.921484+(0.337212-1.7136))+0-0-0</f>
        <v>758.94509599999981</v>
      </c>
      <c r="S85" s="3">
        <f>1415.4+(185.1-817.8)+(0.721854+(0.094401-0.417078))+0-0-0</f>
        <v>783.09917700000017</v>
      </c>
      <c r="T85" s="3">
        <f>1406.5+(206.5-829.6)+(-0.717315+(-0.105315--0.423096))+0-0-0</f>
        <v>783.00046599999996</v>
      </c>
      <c r="U85" s="3">
        <f>1406.7+(214.6-843.3)+(0+(0-0))+0-0-0</f>
        <v>778.00000000000011</v>
      </c>
      <c r="V85" s="3">
        <f>1406.4+(215.3-842.3)+(0+(0-0))+0-0-0</f>
        <v>779.40000000000009</v>
      </c>
      <c r="W85" s="3">
        <f>1412.8+(213.4-867.1)+(-0.720528+(-0.108834--0.442221))+0-0-0</f>
        <v>758.71285899999987</v>
      </c>
      <c r="X85" s="3">
        <f>1410.8+(210.4-895.2)+(-0.719508+(-0.107304--0.456552))+0-0-0</f>
        <v>725.62973999999986</v>
      </c>
      <c r="Y85" s="3">
        <f>1408+(135.3-867)+(-3.5904+(-0.345015--2.21085))+0-0-0</f>
        <v>674.57543499999997</v>
      </c>
      <c r="Z85" s="3">
        <f>1449.8+(187.6-910.2)+(1.478796+(0.191352-0.928404))+0-0-0</f>
        <v>727.94174399999997</v>
      </c>
      <c r="AA85" s="3">
        <f>1460.1+(182.5-798)+(-2.978604+(-0.3723--1.62792))+0-0-0</f>
        <v>842.87701599999991</v>
      </c>
      <c r="AB85" s="3">
        <f>1481+(185-823)+(-2.26593+(-0.28305--1.25919))+0-0-0</f>
        <v>841.71020999999996</v>
      </c>
      <c r="AC85" s="3">
        <f>1482.5+(199.6-877.5)+(-0.756075+(-0.101796--0.447525))+0-0-0</f>
        <v>804.18965400000002</v>
      </c>
      <c r="AD85" s="2">
        <v>840.5</v>
      </c>
      <c r="AE85" s="3">
        <f>1452+(185.5-797)+(0+(0-0))+0-0-0</f>
        <v>840.5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1458.8+(194-928)+(0+(0-0))+0-0-0</f>
        <v>724.8</v>
      </c>
      <c r="G86" s="3">
        <f>1258+(242.4-858.7)+(-2.56632+(-0.494496--1.751748))+0-0-0</f>
        <v>640.39093199999991</v>
      </c>
      <c r="H86" s="3">
        <f>1248.8+(200.5-859.2)+(-1.273776+(-0.20451--0.876384))+0-0-0</f>
        <v>589.49809799999991</v>
      </c>
      <c r="I86" s="3">
        <f>1265.6+(194.8-895.3)+(1.936368+(0.298044-1.369809))+0-0-0</f>
        <v>565.9646029999999</v>
      </c>
      <c r="J86" s="3">
        <f>1255.8+(192.8-890)+(-0.640458+(-0.098328--0.4539))+0-0-0</f>
        <v>558.31511399999988</v>
      </c>
      <c r="K86" s="3">
        <f>1241.3+(167.9-873.4)+(-3.165315+(-0.428145--2.22717))+0-0-0</f>
        <v>534.43370999999991</v>
      </c>
      <c r="L86" s="3">
        <f>1251.3+(97-831.7)+(-1.276326+(-0.09894--0.848334))+0-0-0</f>
        <v>516.07306799999992</v>
      </c>
      <c r="M86" s="3">
        <f>1312.7+(75.1-827.1)+(2.008431+(0.114903-1.265463))+0-0-0</f>
        <v>561.55787100000009</v>
      </c>
      <c r="N86" s="3">
        <f>1417.9+(154.8-949.6)+(-0.723129+(-0.078948--0.484296))+0-0-0</f>
        <v>622.78221900000017</v>
      </c>
      <c r="O86" s="3">
        <f>1421.3+(223-964.1)+(2.174589+(0.34119-1.475073))+0-0-0</f>
        <v>681.24070599999993</v>
      </c>
      <c r="P86" s="3">
        <f>1419.3+(225.3-925.9)+(0.723843+(0.114903-0.472209))+0-0-0</f>
        <v>719.06653700000004</v>
      </c>
      <c r="Q86" s="3">
        <f>1419+(221.7-881.1)+(0+(0-0))+0-0-0</f>
        <v>759.59999999999991</v>
      </c>
      <c r="R86" s="3">
        <f>1414.7+(220.3-844.1)+(0+(0-0))+0-0-0</f>
        <v>790.90000000000009</v>
      </c>
      <c r="S86" s="3">
        <f>1408.6+(228.9-803.8)+(-1.436772+(-0.233478--0.819876))+0-0-0</f>
        <v>832.84962599999994</v>
      </c>
      <c r="T86" s="3">
        <f>1411+(238.5-795.3)+(-0.71961+(-0.121635--0.405603))+0-0-0</f>
        <v>853.76435800000002</v>
      </c>
      <c r="U86" s="3">
        <f>1412.5+(231-804)+(-0.720375+(-0.11781--0.41004))+0-0-0</f>
        <v>839.07185500000003</v>
      </c>
      <c r="V86" s="3">
        <f>1406+(221.8-797.4)+(-2.86824+(-0.452472--1.626696))+0-0-0</f>
        <v>828.70598400000006</v>
      </c>
      <c r="W86" s="3">
        <f>1407.8+(216.7-825.1)+(-1.435956+(-0.221034--0.841602))+0-0-0</f>
        <v>798.58461199999988</v>
      </c>
      <c r="X86" s="3">
        <f>1403.5+(222.6-883.8)+(-2.147355+(-0.340578--1.352214))+0-0-0</f>
        <v>741.16428100000007</v>
      </c>
      <c r="Y86" s="3">
        <f>1413.8+(130.5-840.4)+(-1.442076+(-0.13311--0.857208))+0-0-0</f>
        <v>703.18202199999996</v>
      </c>
      <c r="Z86" s="3">
        <f>1457.2+(175.4-871.8)+(0.743172+(0.089454-0.444618))+0-0-0</f>
        <v>761.18800800000008</v>
      </c>
      <c r="AA86" s="3">
        <f>1451.3+(207.2-778)+(-2.960652+(-0.422688--1.58712))+0-0-0</f>
        <v>878.70378000000005</v>
      </c>
      <c r="AB86" s="3">
        <f>1454.4+(197.9-757.5)+(0+(0-0))+0-0-0</f>
        <v>894.80000000000007</v>
      </c>
      <c r="AC86" s="3">
        <f>1459.1+(215.9-815.1)+(-0.744141+(-0.110109--0.415701))+0-0-0</f>
        <v>859.4614509999999</v>
      </c>
      <c r="AD86" s="2">
        <v>860.09999999999991</v>
      </c>
      <c r="AE86" s="3">
        <f>1436+(207.8-783.7)+(0+(0-0))+0-0-0</f>
        <v>860.09999999999991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1416.9+(199.7-828.8)+(-2.890476+(-0.407388--1.690752))+0-0-0</f>
        <v>786.19288800000015</v>
      </c>
      <c r="G87" s="3">
        <f>1260.7+(231.4-786.5)+(0+(0-0))+0-0-0</f>
        <v>705.6</v>
      </c>
      <c r="H87" s="3">
        <f>1262.1+(244.6-858.2)+(1.287342+(0.249492-0.875364))+0-0-0</f>
        <v>649.16146999999989</v>
      </c>
      <c r="I87" s="3">
        <f>1254.5+(203.2-856.4)+(0+(0-0))+0-0-0</f>
        <v>601.29999999999995</v>
      </c>
      <c r="J87" s="3">
        <f>1256.6+(180.4-859.6)+(1.281732+(0.184008-0.876792))+0-0-0</f>
        <v>577.98894799999982</v>
      </c>
      <c r="K87" s="3">
        <f>1236.9+(161.4-856.2)+(-3.154095+(-0.41157--2.18331))+0-0-0</f>
        <v>540.71764500000006</v>
      </c>
      <c r="L87" s="3">
        <f>1247.1+(94.3-835.2)+(-1.908063+(-0.144279--1.277856))+0-0-0</f>
        <v>505.42551399999979</v>
      </c>
      <c r="M87" s="3">
        <f>1266.5+(132.1-849.7)+(1.937745+(0.202113-1.300041))+0-0-0</f>
        <v>549.73981700000002</v>
      </c>
      <c r="N87" s="3">
        <f>1423+(148.4-952)+(0.72573+(0.075684-0.48552))+0-0-0</f>
        <v>619.71589399999993</v>
      </c>
      <c r="O87" s="3">
        <f>1432.3+(173.7-928)+(1.460946+(0.177174-0.94656))+0-0-0</f>
        <v>678.69155999999998</v>
      </c>
      <c r="P87" s="3">
        <f>1426.3+(243-932.4)+(1.454826+(0.24786-0.951048))+0-0-0</f>
        <v>737.65163799999993</v>
      </c>
      <c r="Q87" s="3">
        <f>1401.7+(257.3-880.7)+(-2.144601+(-0.393669--1.347471))+0-0-0</f>
        <v>777.10920099999998</v>
      </c>
      <c r="R87" s="3">
        <f>1401.7+(258.7-837.5)+(0+(0-0))+0-0-0</f>
        <v>822.90000000000009</v>
      </c>
      <c r="S87" s="3">
        <f>1406.3+(259.9-801.1)+(-4.303278+(-0.795294--2.451366))+0-0-0</f>
        <v>862.45279399999993</v>
      </c>
      <c r="T87" s="3">
        <f>1407.9+(278-817.2)+(-1.436058+(-0.28356--0.833544))+0-0-0</f>
        <v>867.81392600000004</v>
      </c>
      <c r="U87" s="3">
        <f>1400.4+(312-867.6)+(-1.428408+(-0.31824--0.884952))+0-0-0</f>
        <v>843.93830400000002</v>
      </c>
      <c r="V87" s="3">
        <f>1405.6+(315.9-883.4)+(-2.150568+(-0.483327--1.351602))+0-0-0</f>
        <v>836.81770699999993</v>
      </c>
      <c r="W87" s="3">
        <f>1395.3+(305.2-882.1)+(-0.711603+(-0.155652--0.449871))+0-0-0</f>
        <v>817.98261599999989</v>
      </c>
      <c r="X87" s="3">
        <f>1392.5+(285-911.1)+(-2.8407+(-0.5814--1.858644))+0-0-0</f>
        <v>764.836544</v>
      </c>
      <c r="Y87" s="3">
        <f>1403.7+(261.8-938)+(0+(0-0))+0-0-0</f>
        <v>727.5</v>
      </c>
      <c r="Z87" s="3">
        <f>1414.7+(319.5-959.5)+(0+(0-0))+0-0-0</f>
        <v>774.7</v>
      </c>
      <c r="AA87" s="3">
        <f>1457.9+(337.9-888.8)+(-2.230587+(-0.516987--1.359864))+0-0-0</f>
        <v>905.61229000000014</v>
      </c>
      <c r="AB87" s="3">
        <f>1462.5+(326.5-876.6)+(-2.9835+(-0.66606--1.788264))+0-0-0</f>
        <v>910.53870399999994</v>
      </c>
      <c r="AC87" s="3">
        <f>1466.8+(337.8-922.4)+(-0.748068+(-0.172278--0.470424))+0-0-0</f>
        <v>881.75007800000003</v>
      </c>
      <c r="AD87" s="2">
        <v>912.7</v>
      </c>
      <c r="AE87" s="3">
        <f>1470+(328.5-885.8)+(0+(0-0))+0-0-0</f>
        <v>912.7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1460.7+(254.1-896.4)+(-1.489914+(-0.259182--0.914328))+0-0-0</f>
        <v>817.56523200000004</v>
      </c>
      <c r="G88" s="3">
        <f>1451+(213.1-917.8)+(-4.44006+(-0.652086--2.808468))+0-0-0</f>
        <v>744.01632200000006</v>
      </c>
      <c r="H88" s="3">
        <f>1450.5+(162-926)+(-2.95902+(-0.33048--1.88904))+0-0-0</f>
        <v>685.09954000000005</v>
      </c>
      <c r="I88" s="3">
        <f>1449.6+(160.1-955.9)+(-3.69648+(-0.408255--2.437545))+0-0-0</f>
        <v>652.13280999999995</v>
      </c>
      <c r="J88" s="3">
        <f>1457.3+(46.1-898.9)+(0+(0-0))+0-0-0</f>
        <v>604.5</v>
      </c>
      <c r="K88" s="3">
        <f>1450+(28.5-917.1)+(-2.2185+(-0.043605--1.403163))+0-0-0</f>
        <v>560.54105800000002</v>
      </c>
      <c r="L88" s="3">
        <f>1435.5+(31.9-963.2)+(0.732105+(0.016269-0.491232))+0-0-0</f>
        <v>504.45714199999992</v>
      </c>
      <c r="M88" s="3">
        <f>1403.7+(28.4-914.3)+(0.715887+(0.014484-0.466293))+0-0-0</f>
        <v>518.06407800000011</v>
      </c>
      <c r="N88" s="3">
        <f>1382.8+(24.9-846.3)+(0+(0-0))+0-0-0</f>
        <v>561.4</v>
      </c>
      <c r="O88" s="3">
        <f>1343.6+(36.5-766.8)+(0.685236+(0.018615-0.391068))+0-0-0</f>
        <v>613.61278299999992</v>
      </c>
      <c r="P88" s="3">
        <f>1342.2+(96.9-769.6)+(0.684522+(0.049419-0.392496))+0-0-0</f>
        <v>669.84144500000002</v>
      </c>
      <c r="Q88" s="3">
        <f>1361.2+(94.7-736.5)+(2.082636+(0.144891-1.126845))+0-0-0</f>
        <v>720.5006820000001</v>
      </c>
      <c r="R88" s="3">
        <f>1375.6+(106.7-721.6)+(4.209336+(0.326502-2.208096))+0-0-0</f>
        <v>763.02774199999999</v>
      </c>
      <c r="S88" s="3">
        <f>1363.9+(161.4-716.3)+(1.391178+(0.164628-0.730626))+0-0-0</f>
        <v>809.82518000000016</v>
      </c>
      <c r="T88" s="3">
        <f>1359.5+(161.7-682)+(2.080035+(0.247401-1.04346))+0-0-0</f>
        <v>840.4839760000001</v>
      </c>
      <c r="U88" s="3">
        <f>1357.9+(170-690.1)+(0.692529+(0.0867-0.351951))+0-0-0</f>
        <v>838.22727800000007</v>
      </c>
      <c r="V88" s="3">
        <f>1349.4+(163.4-702.8)+(0.688194+(0.083334-0.358428))+0-0-0</f>
        <v>810.4131000000001</v>
      </c>
      <c r="W88" s="3">
        <f>1356.7+(161.3-732.2)+(0+(0-0))+0-0-0</f>
        <v>785.8</v>
      </c>
      <c r="X88" s="3">
        <f>1351.6+(142.7-769.5)+(-1.378632+(-0.145554--0.78489))+0-0-0</f>
        <v>724.06070399999999</v>
      </c>
      <c r="Y88" s="3">
        <f>1356.9+(99.8-781.2)+(0+(0-0))+0-0-0</f>
        <v>675.5</v>
      </c>
      <c r="Z88" s="3">
        <f>1392.3+(148.2-839.9)+(2.130219+(0.226746-1.285047))+0-0-0</f>
        <v>701.67191799999989</v>
      </c>
      <c r="AA88" s="3">
        <f>1452.2+(145.9-765.2)+(2.962488+(0.297636-1.561008))+0-0-0</f>
        <v>834.59911599999998</v>
      </c>
      <c r="AB88" s="3">
        <f>1453.2+(139.3-708.4)+(-0.741132+(-0.071043--0.361284))+0-0-0</f>
        <v>883.64910900000018</v>
      </c>
      <c r="AC88" s="3">
        <f>1457.6+(155.7-737.3)+(0.743376+(0.079407-0.376023))+0-0-0</f>
        <v>876.44676000000004</v>
      </c>
      <c r="AD88" s="2">
        <v>848.09999999999991</v>
      </c>
      <c r="AE88" s="3">
        <f>1449+(133.3-734.2)+(0+(0-0))+0-0-0</f>
        <v>848.09999999999991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1444.7+(130.6-732.2)+(-1.473594+(-0.133212--0.746844))+0-0-0</f>
        <v>842.24003800000003</v>
      </c>
      <c r="G89" s="3">
        <f>1430.1+(119.5-770.8)+(-4.376106+(-0.36567--2.358648))+0-0-0</f>
        <v>776.4168719999999</v>
      </c>
      <c r="H89" s="3">
        <f>1434.9+(128.8-852.3)+(-1.463598+(-0.131376--0.869346))+0-0-0</f>
        <v>710.67437200000006</v>
      </c>
      <c r="I89" s="3">
        <f>1446.9+(71.1-858.1)+(1.475838+(0.072522-0.875262))+0-0-0</f>
        <v>660.57309800000007</v>
      </c>
      <c r="J89" s="3">
        <f>1451.4+(68.2-887.6)+(2.960856+(0.139128-1.810704))+0-0-0</f>
        <v>633.28928000000008</v>
      </c>
      <c r="K89" s="3">
        <f>1374.7+(68.3-844.5)+(-1.402194+(-0.069666--0.86139))+0-0-0</f>
        <v>597.88953000000004</v>
      </c>
      <c r="L89" s="3">
        <f>1272.6+(83.1-800.1)+(3.24513+(0.211905-2.040255))+0-0-0</f>
        <v>557.01677999999993</v>
      </c>
      <c r="M89" s="3">
        <f>1268+(86.6-746.8)+(1.94004+(0.132498-1.142604))+0-0-0</f>
        <v>608.72993400000007</v>
      </c>
      <c r="N89" s="3">
        <f>1429+(204.6-909.5)+(3.64395+(0.52173-2.319225))+0-0-0</f>
        <v>725.94645500000001</v>
      </c>
      <c r="O89" s="3">
        <f>1420+(258.1-911.2)+(3.621+(0.658155-2.32356))+0-0-0</f>
        <v>768.85559499999999</v>
      </c>
      <c r="P89" s="3">
        <f>1480.2+(252.2-892.1)+(1.509804+(0.257244-0.909942))+0-0-0</f>
        <v>841.157106</v>
      </c>
      <c r="Q89" s="3">
        <f>1484.7+(283.4-871.3)+(3.785985+(0.72267-2.221815))+0-0-0</f>
        <v>899.08684000000005</v>
      </c>
      <c r="R89" s="3">
        <f>1470.4+(290.9-845.3)+(1.499808+(0.296718-0.862206))+0-0-0</f>
        <v>916.93432000000007</v>
      </c>
      <c r="S89" s="3">
        <f>1459.2+(311.9-789.9)+(-0.744192+(-0.159069--0.402849))+0-0-0</f>
        <v>980.69958800000006</v>
      </c>
      <c r="T89" s="3">
        <f>1464.1+(318.1-785.6)+(0.746691+(0.162231-0.400656))+0-0-0</f>
        <v>997.10826599999996</v>
      </c>
      <c r="U89" s="3">
        <f>1482.3+(319.6-788.1)+(0+(0-0))+0-0-0</f>
        <v>1013.8</v>
      </c>
      <c r="V89" s="3">
        <f>1460+(330.5-813.5)+(-0.7446+(-0.168555--0.414885))+0-0-0</f>
        <v>976.50172999999995</v>
      </c>
      <c r="W89" s="3">
        <f>1427.5+(343.7-814.1)+(-4.36815+(-1.051722--2.491146))+0-0-0</f>
        <v>954.17127399999993</v>
      </c>
      <c r="X89" s="3">
        <f>1328.8+(339.7-790.7)+(-2.710752+(-0.692988--1.613028))+0-0-0</f>
        <v>876.00928799999997</v>
      </c>
      <c r="Y89" s="3">
        <f>1333.2+(186.4-731.8)+(-3.39966+(-0.47532--1.86609))+0-0-0</f>
        <v>785.79111000000012</v>
      </c>
      <c r="Z89" s="3">
        <f>1357.2+(228.2-778.1)+(0+(0-0))+0-0-0</f>
        <v>807.3</v>
      </c>
      <c r="AA89" s="3">
        <f>1413.9+(340.7-795.6)+(-2.163267+(-0.521271--1.217268))+0-0-0</f>
        <v>957.53273000000002</v>
      </c>
      <c r="AB89" s="3">
        <f>1455.6+(338.9-795.2)+(0+(0-0))+0-0-0</f>
        <v>999.29999999999984</v>
      </c>
      <c r="AC89" s="3">
        <f>1448.2+(350.8-826.9)+(-2.954328+(-0.715632--1.686876))+0-0-0</f>
        <v>970.11691600000017</v>
      </c>
      <c r="AD89" s="2">
        <v>929.59999999999991</v>
      </c>
      <c r="AE89" s="3">
        <f>1389+(335.1-794.5)+(0+(0-0))+0-0-0</f>
        <v>929.6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1442.3+(348-880)+(-2.942292+(-0.70992--1.7952))+0-0-0</f>
        <v>908.4429879999999</v>
      </c>
      <c r="G90" s="3">
        <f>1428.5+(361.2-961.2)+(-0.728535+(-0.184212--0.490212))+0-0-0</f>
        <v>828.07746499999996</v>
      </c>
      <c r="H90" s="3">
        <f>1126.4+(341.1-719.6)+(-1.723392+(-0.521883--1.100988))+0-0-0</f>
        <v>746.75571300000013</v>
      </c>
      <c r="I90" s="3">
        <f>1092.5+(273-678)+(-2.785875+(-0.69615--1.7289))+0-0-0</f>
        <v>685.74687500000005</v>
      </c>
      <c r="J90" s="3">
        <f>1100.5+(209.1-673.8)+(-0.561255+(-0.106641--0.343638))+0-0-0</f>
        <v>635.47574200000008</v>
      </c>
      <c r="K90" s="3">
        <f>1087.5+(194.4-692)+(-2.773125+(-0.49572--1.7646))+0-0-0</f>
        <v>588.39575500000001</v>
      </c>
      <c r="L90" s="3">
        <f>1106.7+(170.9-732.1)+(0.564417+(0.087159-0.373371))+0-0-0</f>
        <v>545.77820499999996</v>
      </c>
      <c r="M90" s="3">
        <f>1354.4+(141.3-917.1)+(2.072232+(0.216189-1.403163))+0-0-0</f>
        <v>579.48525800000016</v>
      </c>
      <c r="N90" s="3">
        <f>1438.4+(146.2-928.2)+(2.200752+(0.223686-1.420146))+0-0-0</f>
        <v>657.40429200000005</v>
      </c>
      <c r="O90" s="3">
        <f>1432.4+(214.6-918.3)+(-0.730524+(-0.109446--0.468333))+0-0-0</f>
        <v>728.32836300000019</v>
      </c>
      <c r="P90" s="3">
        <f>1425+(315.2-946.6)+(0+(0-0))+0-0-0</f>
        <v>793.59999999999991</v>
      </c>
      <c r="Q90" s="3">
        <f>1432.5+(340.1-923)+(0+(0-0))+0-0-0</f>
        <v>849.6</v>
      </c>
      <c r="R90" s="3">
        <f>1451+(337.5-906.3)+(1.48002+(0.34425-0.924426))+0-0-0</f>
        <v>883.09984400000008</v>
      </c>
      <c r="S90" s="3">
        <f>1523.3+(346-906.2)+(-2.330649+(-0.52938--1.386486))+0-0-0</f>
        <v>961.62645699999996</v>
      </c>
      <c r="T90" s="3">
        <f>1545.9+(354-933.7)+(-2.365227+(-0.54162--1.428561))+0-0-0</f>
        <v>964.72171400000002</v>
      </c>
      <c r="U90" s="3">
        <f>1525.2+(348.4-949.5)+(-1.555704+(-0.355368--0.96849))+0-0-0</f>
        <v>923.15741800000001</v>
      </c>
      <c r="V90" s="3">
        <f>1524.2+(352.9-980.1)+(0.777342+(0.179979-0.499851))+0-0-0</f>
        <v>897.45746999999994</v>
      </c>
      <c r="W90" s="3">
        <f>1516.5+(337.3-995.9)+(-2.320245+(-0.516069--1.523727))+0-0-0</f>
        <v>856.58741300000008</v>
      </c>
      <c r="X90" s="3">
        <f>1515.4+(286.1-992.2)+(-0.772854+(-0.145911--0.506022))+0-0-0</f>
        <v>808.88725700000009</v>
      </c>
      <c r="Y90" s="3">
        <f>1449.7+(119.1-824.3)+(-0.739347+(-0.060741--0.420393))+0-0-0</f>
        <v>744.12030500000014</v>
      </c>
      <c r="Z90" s="3">
        <f>1455.4+(143.7-816.4)+(-0.742254+(-0.073287--0.416364))+0-0-0</f>
        <v>782.30082300000004</v>
      </c>
      <c r="AA90" s="3">
        <f>1584.4+(126.1-810)+(-5.656308+(-0.450177--2.8917))+0-0-0</f>
        <v>897.28521500000011</v>
      </c>
      <c r="AB90" s="3">
        <f>1611.4+(81.8-788.3)+(-0.821814+(-0.041718--0.402033))+0-0-0</f>
        <v>904.43850100000009</v>
      </c>
      <c r="AC90" s="3">
        <f>1603.4+(60-795.9)+(-0.817734+(-0.0306--0.405909))+0-0-0</f>
        <v>867.05757500000016</v>
      </c>
      <c r="AD90" s="2">
        <v>911.30000000000007</v>
      </c>
      <c r="AE90" s="3">
        <f>1596+(128.7-813.4)+(0+(0-0))+0-0-0</f>
        <v>911.3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1598.8+(33.7-829.8)+(0+(0-0))+0-0-0</f>
        <v>802.7</v>
      </c>
      <c r="G91" s="3">
        <f>1577.3+(17.3-869)+(-4.022115+(-0.044115--2.21595))+0-0-0</f>
        <v>723.74971999999991</v>
      </c>
      <c r="H91" s="3">
        <f>1479.5+(14.6-829.7)+(-0.754545+(-0.007446--0.423147))+0-0-0</f>
        <v>664.06115599999998</v>
      </c>
      <c r="I91" s="3">
        <f>1433.1+(23.1-823.6)+(0+(0-0))+0-0-0</f>
        <v>632.59999999999991</v>
      </c>
      <c r="J91" s="3">
        <f>1431+(21.1-854.7)+(-1.45962+(-0.021522--0.871794))+0-0-0</f>
        <v>596.79065200000002</v>
      </c>
      <c r="K91" s="3">
        <f>1423+(14.7-901.2)+(-3.62865+(-0.037485--2.29806))+0-0-0</f>
        <v>535.13192500000002</v>
      </c>
      <c r="L91" s="3">
        <f>1428.8+(12.2-1024.2)+(-1.457376+(-0.012444--1.044684))+0-0-0</f>
        <v>416.37486399999995</v>
      </c>
      <c r="M91" s="3">
        <f>1435.3+(8.4-1042.3)+(0+(0-0))+0-0-0</f>
        <v>401.40000000000009</v>
      </c>
      <c r="N91" s="3">
        <f>1427.8+(6.7-1001)+(-1.456356+(-0.006834--1.02102))+0-0-0</f>
        <v>433.05783000000002</v>
      </c>
      <c r="O91" s="3">
        <f>1459.7+(10.4-1004.3)+(1.488894+(0.010608-1.024386))+0-0-0</f>
        <v>466.27511600000008</v>
      </c>
      <c r="P91" s="3">
        <f>1602.8+(4.3-1117.6)+(0.817428+(0.002193-0.569976))+0-0-0</f>
        <v>489.74964499999999</v>
      </c>
      <c r="Q91" s="3">
        <f>1601.3+(6.8-1093.3)+(1.633326+(0.006936-1.115166))+0-0-0</f>
        <v>515.32509599999992</v>
      </c>
      <c r="R91" s="3">
        <f>1598.4+(60.6-1115)+(0.815184+(0.030906-0.56865))+0-0-0</f>
        <v>544.27743999999996</v>
      </c>
      <c r="S91" s="3">
        <f>1592.8+(79.3-1130.5)+(-1.624656+(-0.080886--1.15311))+0-0-0</f>
        <v>541.04756799999996</v>
      </c>
      <c r="T91" s="3">
        <f>1592.6+(86.6-1155.3)+(-2.436678+(-0.132498--1.767609))+0-0-0</f>
        <v>523.09843299999989</v>
      </c>
      <c r="U91" s="3">
        <f>1598.5+(84.7-1168.7)+(-0.815235+(-0.043197--0.596037))+0-0-0</f>
        <v>514.23760500000003</v>
      </c>
      <c r="V91" s="3">
        <f>1603.5+(85.1-1172.2)+(1.63557+(0.086802-1.195644))+0-0-0</f>
        <v>516.92672799999991</v>
      </c>
      <c r="W91" s="3">
        <f>1603.6+(87.3-1163.4)+(-1.635672+(-0.089046--1.186668))+0-0-0</f>
        <v>526.96194999999977</v>
      </c>
      <c r="X91" s="3">
        <f>1605.9+(76.4-1142.6)+(-3.276036+(-0.155856--2.330904))+0-0-0</f>
        <v>538.59901200000024</v>
      </c>
      <c r="Y91" s="3">
        <f>1613.8+(0-1085.2)+(-1.646076+(0--1.106904))+0-0-0</f>
        <v>528.0608279999999</v>
      </c>
      <c r="Z91" s="3">
        <f>1657.3+(17.4-1090)+(0+(0-0))+0-0-0</f>
        <v>584.70000000000005</v>
      </c>
      <c r="AA91" s="3">
        <f>1728.8+(42-1082.6)+(-3.526752+(-0.08568--2.208504))+0-0-0</f>
        <v>686.79607200000009</v>
      </c>
      <c r="AB91" s="3">
        <f>1672.5+(28.3-1022.2)+(-3.4119+(-0.057732--2.085288))+0-0-0</f>
        <v>677.21565599999985</v>
      </c>
      <c r="AC91" s="3">
        <f>1562.6+(60.9-973.8)+(-0.796926+(-0.031059--0.496638))+0-0-0</f>
        <v>649.36865299999988</v>
      </c>
      <c r="AD91" s="2">
        <v>750.89999999999986</v>
      </c>
      <c r="AE91" s="3">
        <f>1746+(30.1-1025.2)+(0+(0-0))+0-0-0</f>
        <v>750.9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1451.6+(71.6-912.1)+(-1.480632+(-0.073032--0.930342))+0-0-0</f>
        <v>610.47667799999988</v>
      </c>
      <c r="G92" s="3">
        <f>1434.8+(82.7-970.9)+(-2.926992+(-0.168708--1.980636))+0-0-0</f>
        <v>545.48493600000006</v>
      </c>
      <c r="H92" s="3">
        <f>1431.1+(49.2-962.2)+(-2.189583+(-0.075276--1.472166))+0-0-0</f>
        <v>517.30730699999992</v>
      </c>
      <c r="I92" s="3">
        <f>1339.4+(45.4-884.2)+(-2.732376+(-0.092616--1.803768))+0-0-0</f>
        <v>499.578776</v>
      </c>
      <c r="J92" s="3">
        <f>1331.7+(27.1-869.3)+(0.679167+(0.013821-0.443343))+0-0-0</f>
        <v>489.7496450000001</v>
      </c>
      <c r="K92" s="3">
        <f>1163.4+(31.7-723.5)+(-2.373336+(-0.064668--1.47594))+0-0-0</f>
        <v>470.63793600000014</v>
      </c>
      <c r="L92" s="3">
        <f>1149.1+(30.6-730.4)+(2.344164+(0.062424-1.490016))+0-0-0</f>
        <v>450.21657199999993</v>
      </c>
      <c r="M92" s="3">
        <f>1145.4+(32.7-692)+(0+(0-0))+0-0-0</f>
        <v>486.10000000000014</v>
      </c>
      <c r="N92" s="3">
        <f>1347.1+(59.3-864.4)+(1.374042+(0.060486-0.881688))+0-0-0</f>
        <v>542.55283999999983</v>
      </c>
      <c r="O92" s="3">
        <f>1447.2+(83.8-929.2)+(0+(0-0))+0-0-0</f>
        <v>601.79999999999995</v>
      </c>
      <c r="P92" s="3">
        <f>1577.1+(103-1048)+(1.608642+(0.10506-1.06896))+0-0-0</f>
        <v>632.74474199999986</v>
      </c>
      <c r="Q92" s="3">
        <f>1565.1+(124.7-1025.9)+(0.798201+(0.063597-0.523209))+0-0-0</f>
        <v>664.23858899999982</v>
      </c>
      <c r="R92" s="3">
        <f>1571.8+(115.8-1031)+(0.801618+(0.059058-0.52581))+0-0-0</f>
        <v>656.93486599999994</v>
      </c>
      <c r="S92" s="3">
        <f>1553.5+(123.6-1017.9)+(-3.961425+(-0.31518--2.595645))+0-0-0</f>
        <v>657.51904000000002</v>
      </c>
      <c r="T92" s="3">
        <f>1565.2+(136-1060.6)+(-1.596504+(-0.13872--1.081812))+0-0-0</f>
        <v>639.94658800000013</v>
      </c>
      <c r="U92" s="3">
        <f>1562.4+(136.3-1071.8)+(-3.98412+(-0.347565--2.73309))+0-0-0</f>
        <v>625.30140500000005</v>
      </c>
      <c r="V92" s="3">
        <f>1570.7+(135.8-1074.4)+(-1.602114+(-0.138516--1.095888))+0-0-0</f>
        <v>631.45525799999996</v>
      </c>
      <c r="W92" s="3">
        <f>1565.3+(106.8-1049.8)+(-3.991515+(-0.27234--2.67699))+0-0-0</f>
        <v>620.71313499999997</v>
      </c>
      <c r="X92" s="3">
        <f>1563.5+(29.5-993)+(-3.986925+(-0.075225--2.53215))+0-0-0</f>
        <v>598.47</v>
      </c>
      <c r="Y92" s="3">
        <f>1572.8+(1.7-990.5)+(-3.208512+(-0.003468--2.02062))+0-0-0</f>
        <v>582.80863999999997</v>
      </c>
      <c r="Z92" s="3">
        <f>1627.5+(11.5-1010.1)+(0+(0-0))+0-0-0</f>
        <v>628.9</v>
      </c>
      <c r="AA92" s="3">
        <f>1630.4+(10.8-909.2)+(-4.989024+(-0.033048--2.782152))+0-0-0</f>
        <v>729.76008000000002</v>
      </c>
      <c r="AB92" s="3">
        <f>1650.9+(0-913.7)+(-3.367836+(0--1.863948))+0-0-0</f>
        <v>735.69611200000008</v>
      </c>
      <c r="AC92" s="3">
        <f>1545.5+(7.9-862.1)+(-1.57641+(-0.008058--0.879342))+0-0-0</f>
        <v>690.594874</v>
      </c>
      <c r="AD92" s="2">
        <v>737.6</v>
      </c>
      <c r="AE92" s="3">
        <f>1655+(0-917.4)+(0+(0-0))+0-0-0</f>
        <v>737.6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1490.1+(0-856.2)+(-2.279853+(0--1.309986))+0-0-0</f>
        <v>632.93013299999984</v>
      </c>
      <c r="G93" s="3">
        <f>1470.1+(0-890)+(-2.999004+(0--1.8156))+0-0-0</f>
        <v>578.91659599999991</v>
      </c>
      <c r="H93" s="3">
        <f>1395.9+(0-859.3)+(-2.135727+(0--1.314729))+0-0-0</f>
        <v>535.7790020000001</v>
      </c>
      <c r="I93" s="3">
        <f>1234.2+(10.9-737.9)+(-0.629442+(-0.005559--0.376329))+0-0-0</f>
        <v>506.94132800000006</v>
      </c>
      <c r="J93" s="3">
        <f>1228.1+(7.9-745.2)+(-1.252662+(-0.008058--0.760104))+0-0-0</f>
        <v>490.29938399999986</v>
      </c>
      <c r="K93" s="3">
        <f>1234+(6.1-764.3)+(-1.25868+(-0.006222--0.779586))+0-0-0</f>
        <v>475.31468400000006</v>
      </c>
      <c r="L93" s="3">
        <f>1233.6+(5.7-785.5)+(0+(0-0))+0-0-0</f>
        <v>453.79999999999995</v>
      </c>
      <c r="M93" s="3">
        <f>1238.8+(5-741.3)+(0.631788+(0.00255-0.378063))+0-0-0</f>
        <v>502.75627500000002</v>
      </c>
      <c r="N93" s="3">
        <f>1348.6+(10.7-789.3)+(1.375572+(0.010914-0.805086))+0-0-0</f>
        <v>570.58140000000003</v>
      </c>
      <c r="O93" s="3">
        <f>1490.7+(7.1-874.6)+(1.520514+(0.007242-0.892092))+0-0-0</f>
        <v>623.83566400000007</v>
      </c>
      <c r="P93" s="3">
        <f>1561.1+(0-889.7)+(0+(0-0))+0-0-0</f>
        <v>671.39999999999986</v>
      </c>
      <c r="Q93" s="3">
        <f>1556+(0-853.9)+(0+(0-0))+0-0-0</f>
        <v>702.1</v>
      </c>
      <c r="R93" s="3">
        <f>1547.8+(0-854.6)+(-3.94689+(0--2.17923))+0-0-0</f>
        <v>691.43233999999995</v>
      </c>
      <c r="S93" s="3">
        <f>1536.9+(0-834.8)+(-3.919095+(0--2.12874))+0-0-0</f>
        <v>700.30964500000016</v>
      </c>
      <c r="T93" s="3">
        <f>1547.1+(0-862)+(-0.789021+(0--0.43962))+0-0-0</f>
        <v>684.75059899999997</v>
      </c>
      <c r="U93" s="3">
        <f>1539+(0-861.1)+(-3.13956+(0--1.756644))+0-0-0</f>
        <v>676.51708399999995</v>
      </c>
      <c r="V93" s="3">
        <f>1544+(0-871.4)+(-3.14976+(0--1.777656))+0-0-0</f>
        <v>671.22789599999999</v>
      </c>
      <c r="W93" s="3">
        <f>1537+(0-875.3)+(-3.91935+(0--2.232015))+0-0-0</f>
        <v>660.01266500000008</v>
      </c>
      <c r="X93" s="3">
        <f>1538.7+(0-895.6)+(-3.923685+(0--2.28378))+0-0-0</f>
        <v>641.46009500000002</v>
      </c>
      <c r="Y93" s="3">
        <f>1471.1+(0-855.3)+(-0.750261+(0--0.436203))+0-0-0</f>
        <v>615.48594199999991</v>
      </c>
      <c r="Z93" s="3">
        <f>1469.8+(10.6-842.7)+(0+(0-0))+0-0-0</f>
        <v>637.69999999999993</v>
      </c>
      <c r="AA93" s="3">
        <f>1521.4+(43.1-819)+(-3.103656+(-0.087924--1.67076))+0-0-0</f>
        <v>743.97918000000016</v>
      </c>
      <c r="AB93" s="3">
        <f>1552+(26-828.7)+(-2.37456+(-0.03978--1.267911))+0-0-0</f>
        <v>748.15357099999994</v>
      </c>
      <c r="AC93" s="3">
        <f>1518.2+(22.4-839.2)+(-1.548564+(-0.022848--0.855984))+0-0-0</f>
        <v>700.684572</v>
      </c>
      <c r="AD93" s="2">
        <v>767.1</v>
      </c>
      <c r="AE93" s="3">
        <f>1555+(45.2-833.1)+(0+(0-0))+0-0-0</f>
        <v>767.1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1469.9+(13.3-821.9)+(-1.499298+(-0.013566--0.838338))+0-0-0</f>
        <v>660.62547400000005</v>
      </c>
      <c r="G94" s="3">
        <f>1302.3+(29.7-726.2)+(-1.328346+(-0.030294--0.740724))+0-0-0</f>
        <v>605.18208399999992</v>
      </c>
      <c r="H94" s="3">
        <f>1164.4+(38.7-655.2)+(1.187688+(0.039474-0.668304))+0-0-0</f>
        <v>548.45885800000008</v>
      </c>
      <c r="I94" s="3">
        <f>1154.3+(36.3-653.2)+(-1.177386+(-0.037026--0.666264))+0-0-0</f>
        <v>536.85185199999989</v>
      </c>
      <c r="J94" s="3">
        <f>1166.6+(28.5-670.8)+(1.784898+(0.043605-1.026324))+0-0-0</f>
        <v>525.10217899999998</v>
      </c>
      <c r="K94" s="3">
        <f>1142.4+(34.5-670.8)+(-2.91312+(-0.087975--1.71054))+0-0-0</f>
        <v>504.80944500000015</v>
      </c>
      <c r="L94" s="3">
        <f>1155.4+(20.8-696.4)+(-0.589254+(-0.010608--0.355164))+0-0-0</f>
        <v>479.55530200000004</v>
      </c>
      <c r="M94" s="3">
        <f>1165.7+(36.1-678.9)+(1.189014+(0.036822-0.692478))+0-0-0</f>
        <v>523.43335800000011</v>
      </c>
      <c r="N94" s="3">
        <f>1433.1+(15.9-862)+(1.461762+(0.016218-0.87924))+0-0-0</f>
        <v>587.59873999999991</v>
      </c>
      <c r="O94" s="3">
        <f>1442.1+(17.8-807)+(0.735471+(0.009078-0.41157))+0-0-0</f>
        <v>653.23297899999989</v>
      </c>
      <c r="P94" s="3">
        <f>1443.8+(36.8-786)+(0+(0-0))+0-0-0</f>
        <v>694.59999999999991</v>
      </c>
      <c r="Q94" s="3">
        <f>1444.9+(56.8-775)+(2.210697+(0.086904-1.18575))+0-0-0</f>
        <v>727.81185100000005</v>
      </c>
      <c r="R94" s="3">
        <f>1437.6+(55.2-760.9)+(1.466352+(0.056304-0.776118))+0-0-0</f>
        <v>732.64653799999996</v>
      </c>
      <c r="S94" s="3">
        <f>1425.4+(49-743.2)+(-2.907816+(-0.09996--1.516128))+0-0-0</f>
        <v>729.70835199999999</v>
      </c>
      <c r="T94" s="3">
        <f>1420.4+(42.1-757.9)+(-2.897616+(-0.085884--1.546116))+0-0-0</f>
        <v>703.16261600000018</v>
      </c>
      <c r="U94" s="3">
        <f>1425.7+(39-761.3)+(-0.727107+(-0.01989--0.388263))+0-0-0</f>
        <v>703.04126600000006</v>
      </c>
      <c r="V94" s="3">
        <f>1394.9+(46.4-740.7)+(-2.134197+(-0.070992--1.133271))+0-0-0</f>
        <v>699.52808200000004</v>
      </c>
      <c r="W94" s="3">
        <f>1391.6+(50.9-745.2)+(-3.54858+(-0.129795--1.90026))+0-0-0</f>
        <v>695.52188499999988</v>
      </c>
      <c r="X94" s="3">
        <f>1392.8+(50.3-754.9)+(-3.55164+(-0.128265--1.924995))+0-0-0</f>
        <v>686.44508999999994</v>
      </c>
      <c r="Y94" s="3">
        <f>1402.9+(23.4-759.9)+(-0.715479+(-0.011934--0.387549))+0-0-0</f>
        <v>666.06013600000006</v>
      </c>
      <c r="Z94" s="3">
        <f>1421+(26.3-745.6)+(2.17413+(0.040239-1.140768))+0-0-0</f>
        <v>702.77360099999999</v>
      </c>
      <c r="AA94" s="3">
        <f>1437.9+(93.7-711.6)+(-2.199987+(-0.143361--1.088748))+0-0-0</f>
        <v>818.74540000000013</v>
      </c>
      <c r="AB94" s="3">
        <f>1439.2+(88.8-716.4)+(-3.66996+(-0.22644--1.82682))+0-0-0</f>
        <v>809.53042000000005</v>
      </c>
      <c r="AC94" s="3">
        <f>1444.5+(60.9-721)+(-2.210085+(-0.093177--1.10313))+0-0-0</f>
        <v>783.19986799999992</v>
      </c>
      <c r="AD94" s="2">
        <v>791</v>
      </c>
      <c r="AE94" s="3">
        <f>1435+(97-741)+(0+(0-0))+0-0-0</f>
        <v>791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1443.1+(30.9-764.2)+(-1.471962+(-0.031518--0.779484))+0-0-0</f>
        <v>709.07600399999978</v>
      </c>
      <c r="G95" s="3">
        <f>1364.4+(54.7-757.2)+(-2.783376+(-0.111588--1.544688))+0-0-0</f>
        <v>660.54972400000008</v>
      </c>
      <c r="H95" s="3">
        <f>1135.7+(56.6-591.8)+(-1.158414+(-0.057732--0.603636))+0-0-0</f>
        <v>599.88749000000007</v>
      </c>
      <c r="I95" s="3">
        <f>1126.9+(70.4-622.6)+(0+(0-0))+0-0-0</f>
        <v>574.70000000000005</v>
      </c>
      <c r="J95" s="3">
        <f>1116.6+(65.8-633.1)+(-2.277864+(-0.134232--1.291524))+0-0-0</f>
        <v>548.1794279999998</v>
      </c>
      <c r="K95" s="3">
        <f>1109+(58.3-649.5)+(-2.82795+(-0.148665--1.656225))+0-0-0</f>
        <v>516.47960999999998</v>
      </c>
      <c r="L95" s="3">
        <f>1110.2+(41.9-676.7)+(-2.83101+(-0.106845--1.725585))+0-0-0</f>
        <v>474.18772999999999</v>
      </c>
      <c r="M95" s="3">
        <f>1118.6+(39.5-672.4)+(-1.711458+(-0.060435--1.028772))+0-0-0</f>
        <v>484.95687899999996</v>
      </c>
      <c r="N95" s="3">
        <f>1190.4+(46.8-731.7)+(-0.607104+(-0.023868--0.373167))+0-0-0</f>
        <v>505.24219499999998</v>
      </c>
      <c r="O95" s="3">
        <f>1342+(32.6-820.7)+(-1.36884+(-0.033252--0.837114))+0-0-0</f>
        <v>553.33502199999998</v>
      </c>
      <c r="P95" s="3">
        <f>1250.9+(57.3-720.1)+(0.637959+(0.029223-0.367251))+0-0-0</f>
        <v>588.39993100000004</v>
      </c>
      <c r="Q95" s="3">
        <f>1241.3+(87-708.4)+(-0.633063+(-0.04437--0.361284))+0-0-0</f>
        <v>619.58385099999998</v>
      </c>
      <c r="R95" s="3">
        <f>1224.3+(96.9-698)+(-1.873179+(-0.148257--1.06794))+0-0-0</f>
        <v>622.24650399999996</v>
      </c>
      <c r="S95" s="3">
        <f>1216.7+(92.9-693.7)+(-1.861551+(-0.142137--1.061361))+0-0-0</f>
        <v>614.957673</v>
      </c>
      <c r="T95" s="3">
        <f>1222.2+(60.4-644.7)+(-0.623322+(-0.030804--0.328797))+0-0-0</f>
        <v>637.57467099999997</v>
      </c>
      <c r="U95" s="3">
        <f>1209.3+(87.6-661.6)+(-1.233486+(-0.089352--0.674832))+0-0-0</f>
        <v>634.65199399999995</v>
      </c>
      <c r="V95" s="3">
        <f>1190.4+(87.9-655.2)+(-1.821312+(-0.134487--1.002456))+0-0-0</f>
        <v>622.146657</v>
      </c>
      <c r="W95" s="3">
        <f>1188.5+(81.1-665.2)+(-2.42454+(-0.165444--1.357008))+0-0-0</f>
        <v>603.16702399999997</v>
      </c>
      <c r="X95" s="3">
        <f>1192.7+(85.3-699.1)+(-1.824831+(-0.130509--1.069623))+0-0-0</f>
        <v>578.01428299999998</v>
      </c>
      <c r="Y95" s="3">
        <f>1202.8+(83.2-690.7)+(-2.453712+(-0.169728--1.409028))+0-0-0</f>
        <v>594.08558799999992</v>
      </c>
      <c r="Z95" s="3">
        <f>1387.2+(22.8-773.1)+(0+(0-0))+0-0-0</f>
        <v>636.9</v>
      </c>
      <c r="AA95" s="3">
        <f>1454.9+(71.9-764.8)+(0.741999+(0.036669-0.390048))+0-0-0</f>
        <v>762.38862000000006</v>
      </c>
      <c r="AB95" s="3">
        <f>1448.1+(86.8-748.1)+(-2.954124+(-0.177072--1.526124))+0-0-0</f>
        <v>785.19492799999989</v>
      </c>
      <c r="AC95" s="3">
        <f>1438.3+(63.8-759.8)+(-2.200599+(-0.097614--1.162494))+0-0-0</f>
        <v>741.16428099999996</v>
      </c>
      <c r="AD95" s="2">
        <v>794.19999999999993</v>
      </c>
      <c r="AE95" s="3">
        <f>1461+(88.3-755.1)+(0+(0-0))+0-0-0</f>
        <v>794.19999999999993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1430.8+(52.5-752.1)+(-1.459416+(-0.05355--0.767142))+0-0-0</f>
        <v>730.45417599999996</v>
      </c>
      <c r="G96" s="3">
        <f>1239.3+(73-625.9)+(-0.632043+(-0.03723--0.319209))+0-0-0</f>
        <v>686.049936</v>
      </c>
      <c r="H96" s="3">
        <f>1120.6+(90.9-590.5)+(-1.143012+(-0.092718--0.60231))+0-0-0</f>
        <v>620.36657999999989</v>
      </c>
      <c r="I96" s="3">
        <f>1122.4+(62.7-598.4)+(-1.144848+(-0.063954--0.610368))+0-0-0</f>
        <v>586.10156600000016</v>
      </c>
      <c r="J96" s="3">
        <f>1119.4+(57.7-614.1)+(-1.712682+(-0.088281--0.939573))+0-0-0</f>
        <v>562.13861000000009</v>
      </c>
      <c r="K96" s="3">
        <f>1115+(48.2-629.3)+(-2.84325+(-0.12291--1.604715))+0-0-0</f>
        <v>532.53855500000009</v>
      </c>
      <c r="L96" s="3">
        <f>1129.1+(24.8-642)+(1.151682+(0.025296-0.65484))+0-0-0</f>
        <v>512.4221379999999</v>
      </c>
      <c r="M96" s="3">
        <f>1124.7+(53.8-616.6)+(0+(0-0))+0-0-0</f>
        <v>561.9</v>
      </c>
      <c r="N96" s="3">
        <f>1377+(58.5-796.5)+(1.40454+(0.05967-0.81243))+0-0-0</f>
        <v>639.65178000000003</v>
      </c>
      <c r="O96" s="3">
        <f>1416.7+(44.9-745.8)+(0+(0-0))+0-0-0</f>
        <v>715.80000000000007</v>
      </c>
      <c r="P96" s="3">
        <f>1418.8+(132.3-777.4)+(0.723588+(0.067473-0.396474))+0-0-0</f>
        <v>774.09458700000005</v>
      </c>
      <c r="Q96" s="3">
        <f>1425.4+(166.8-772.8)+(1.453908+(0.170136-0.788256))+0-0-0</f>
        <v>820.23578800000007</v>
      </c>
      <c r="R96" s="3">
        <f>1442.6+(228.7-823.2)+(0+(0-0))+0-0-0</f>
        <v>848.09999999999991</v>
      </c>
      <c r="S96" s="3">
        <f>1462.4+(257.9-819.6)+(-0.745824+(-0.131529--0.417996))+0-0-0</f>
        <v>900.24064300000009</v>
      </c>
      <c r="T96" s="3">
        <f>1547.4+(226.9-866.7)+(-1.578348+(-0.231438--0.884034))+0-0-0</f>
        <v>906.67424800000003</v>
      </c>
      <c r="U96" s="3">
        <f>1546.9+(226.6-881.3)+(1.577838+(0.231132-0.898926))+0-0-0</f>
        <v>893.11004400000013</v>
      </c>
      <c r="V96" s="3">
        <f>1543.9+(221.6-892.6)+(-2.362167+(-0.339048--1.365678))+0-0-0</f>
        <v>871.56446300000005</v>
      </c>
      <c r="W96" s="3">
        <f>1540.2+(204.8-904.7)+(-3.92751+(-0.52224--2.306985))+0-0-0</f>
        <v>838.1572349999999</v>
      </c>
      <c r="X96" s="3">
        <f>1547.7+(207.3-956.1)+(-3.157308+(-0.422892--1.950444))+0-0-0</f>
        <v>797.27024400000005</v>
      </c>
      <c r="Y96" s="3">
        <f>1475.1+(144.1-863.7)+(-3.009204+(-0.293964--1.761948))+0-0-0</f>
        <v>753.95877999999993</v>
      </c>
      <c r="Z96" s="3">
        <f>1536.4+(218.9-954.8)+(1.567128+(0.223278-0.973896))+0-0-0</f>
        <v>801.31651000000011</v>
      </c>
      <c r="AA96" s="3">
        <f>1591.8+(231.7-922.9)+(-2.435454+(-0.354501--1.412037))+0-0-0</f>
        <v>899.22208199999989</v>
      </c>
      <c r="AB96" s="3">
        <f>1596+(231.5-911.2)+(0.81396+(0.118065-0.464712))+0-0-0</f>
        <v>916.76731299999994</v>
      </c>
      <c r="AC96" s="3">
        <f>1598.9+(226.4-945.4)+(0.815439+(0.115464-0.482154))+0-0-0</f>
        <v>880.34874900000011</v>
      </c>
      <c r="AD96" s="2">
        <v>868.6</v>
      </c>
      <c r="AE96" s="3">
        <f>1593+(225.5-949.9)+(0+(0-0))+0-0-0</f>
        <v>868.6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1580.4+(167.8-974.6)+(-3.224016+(-0.342312--1.988184))+0-0-0</f>
        <v>772.02185600000018</v>
      </c>
      <c r="G97" s="3">
        <f>1486.2+(212.8-997.7)+(-2.273886+(-0.325584--1.526481))+0-0-0</f>
        <v>700.22701099999995</v>
      </c>
      <c r="H97" s="3">
        <f>1394.7+(231.5-984.6)+(0.711297+(0.118065-0.502146))+0-0-0</f>
        <v>641.92721600000004</v>
      </c>
      <c r="I97" s="3">
        <f>1373.7+(210.3-973.5)+(2.802348+(0.429012-1.98594))+0-0-0</f>
        <v>611.74541999999997</v>
      </c>
      <c r="J97" s="3">
        <f>1238.6+(246.2-889.8)+(-3.15843+(-0.62781--2.26899))+0-0-0</f>
        <v>593.48275000000001</v>
      </c>
      <c r="K97" s="3">
        <f>1228.7+(217.6-891.9)+(-3.133185+(-0.55488--2.274345))+0-0-0</f>
        <v>552.98628000000008</v>
      </c>
      <c r="L97" s="3">
        <f>1235.8+(119.6-838.8)+(-1.890774+(-0.182988--1.283364))+0-0-0</f>
        <v>515.80960200000004</v>
      </c>
      <c r="M97" s="3">
        <f>1253.7+(85.4-801)+(1.918161+(0.130662-1.22553))+0-0-0</f>
        <v>538.92329300000006</v>
      </c>
      <c r="N97" s="3">
        <f>1415.1+(185.8-973.1)+(0.721701+(0.094758-0.496281))+0-0-0</f>
        <v>628.12017800000001</v>
      </c>
      <c r="O97" s="3">
        <f>1414.9+(200.4-928.8)+(0.721599+(0.102204-0.473688))+0-0-0</f>
        <v>686.85011500000007</v>
      </c>
      <c r="P97" s="3">
        <f>1414.9+(264.6-951)+(2.164797+(0.404838-1.45503))+0-0-0</f>
        <v>729.6146050000001</v>
      </c>
      <c r="Q97" s="3">
        <f>1419.4+(254.4-920.2)+(0+(0-0))+0-0-0</f>
        <v>753.6</v>
      </c>
      <c r="R97" s="3">
        <f>1499.3+(229.5-954.9)+(-3.058572+(-0.46818--1.947996))+0-0-0</f>
        <v>772.32124399999998</v>
      </c>
      <c r="S97" s="3">
        <f>1540.3+(238.1-1003.7)+(-3.142212+(-0.485724--2.047548))+0-0-0</f>
        <v>773.11961199999996</v>
      </c>
      <c r="T97" s="3">
        <f>1552+(242.3-1050.1)+(0+(0-0))+0-0-0</f>
        <v>744.2</v>
      </c>
      <c r="U97" s="3">
        <f>1552.5+(236.7-1062.5)+(-0.791775+(-0.120717--0.541875))+0-0-0</f>
        <v>726.32938300000001</v>
      </c>
      <c r="V97" s="3">
        <f>1549.9+(223.2-1049.8)+(-2.371347+(-0.341496--1.606194))+0-0-0</f>
        <v>722.19335100000023</v>
      </c>
      <c r="W97" s="3">
        <f>1417+(217-921.2)+(-3.61335+(-0.55335--2.34906))+0-0-0</f>
        <v>710.98235999999997</v>
      </c>
      <c r="X97" s="3">
        <f>1436.5+(202.4-947.4)+(-2.93046+(-0.412896--1.932696))+0-0-0</f>
        <v>690.08933999999999</v>
      </c>
      <c r="Y97" s="3">
        <f>1459.6+(123.6-916.2)+(-2.977584+(-0.252144--1.869048))+0-0-0</f>
        <v>665.63931999999988</v>
      </c>
      <c r="Z97" s="3">
        <f>1489.3+(129.1-905)+(0.759543+(0.065841-0.46155))+0-0-0</f>
        <v>713.76383399999997</v>
      </c>
      <c r="AA97" s="3">
        <f>1587.1+(97.8-852.7)+(-0.809421+(-0.049878--0.434877))+0-0-0</f>
        <v>831.77557799999977</v>
      </c>
      <c r="AB97" s="3">
        <f>1541.8+(119.2-825.5)+(-3.93159+(-0.30396--2.105025))+0-0-0</f>
        <v>833.36947499999997</v>
      </c>
      <c r="AC97" s="3">
        <f>1285.2+(176.9-669.3)+(-1.310904+(-0.180438--0.682686))+0-0-0</f>
        <v>791.99134400000003</v>
      </c>
      <c r="AD97" s="2">
        <v>854.5</v>
      </c>
      <c r="AE97" s="3">
        <f>1590+(96.3-831.8)+(0+(0-0))+0-0-0</f>
        <v>854.5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1263.7+(159.3-663)+(-2.577948+(-0.324972--1.35252))+0-0-0</f>
        <v>758.44960000000003</v>
      </c>
      <c r="G98" s="3">
        <f>1257.3+(171-738.2)+(-1.923669+(-0.26163--1.129446))+0-0-0</f>
        <v>689.04414699999995</v>
      </c>
      <c r="H98" s="3">
        <f>1249.2+(198.3-802.8)+(-2.548368+(-0.404532--1.637712))+0-0-0</f>
        <v>643.38481200000001</v>
      </c>
      <c r="I98" s="3">
        <f>1256+(197.3-841.6)+(-0.64056+(-0.100623--0.429216))+0-0-0</f>
        <v>611.38803300000006</v>
      </c>
      <c r="J98" s="3">
        <f>1127.9+(152.9-687.4)+(-2.300916+(-0.311916--1.402296))+0-0-0</f>
        <v>592.18946400000004</v>
      </c>
      <c r="K98" s="3">
        <f>1023.7+(134.5-610.4)+(-2.610435+(-0.342975--1.55652))+0-0-0</f>
        <v>546.40311000000008</v>
      </c>
      <c r="L98" s="3">
        <f>1022.5+(102.8-618.6)+(-1.564425+(-0.157284--0.946458))+0-0-0</f>
        <v>505.92474899999991</v>
      </c>
      <c r="M98" s="3">
        <f>1029.8+(169.9-654.1)+(1.050396+(0.173298-0.667182))+0-0-0</f>
        <v>546.15651199999991</v>
      </c>
      <c r="N98" s="3">
        <f>1148.8+(173.2-705.8)+(1.171776+(0.176664-0.719916))+0-0-0</f>
        <v>616.82852400000002</v>
      </c>
      <c r="O98" s="3">
        <f>1213.3+(217.1-722.6)+(0+(0-0))+0-0-0</f>
        <v>707.8</v>
      </c>
      <c r="P98" s="3">
        <f>1245.6+(233.1-738.9)+(0+(0-0))+0-0-0</f>
        <v>739.8</v>
      </c>
      <c r="Q98" s="3">
        <f>1264.2+(222.3-728)+(1.289484+(0.226746-0.74256))+0-0-0</f>
        <v>759.27367000000004</v>
      </c>
      <c r="R98" s="3">
        <f>1401.1+(229.1-864)+(2.143683+(0.350523-1.32192))+0-0-0</f>
        <v>767.37228599999992</v>
      </c>
      <c r="S98" s="3">
        <f>1510.8+(201.9-905.1)+(-3.082032+(-0.411876--1.846404))+0-0-0</f>
        <v>805.95249599999988</v>
      </c>
      <c r="T98" s="3">
        <f>1553.6+(193.8-931.6)+(0.792336+(0.098838-0.475116))+0-0-0</f>
        <v>816.21605799999998</v>
      </c>
      <c r="U98" s="3">
        <f>1524.1+(223.5-957.3)+(-3.886455+(-0.569925--2.441115))+0-0-0</f>
        <v>788.28473499999996</v>
      </c>
      <c r="V98" s="3">
        <f>1425.5+(226.8-903.3)+(-2.90802+(-0.462672--1.842732))+0-0-0</f>
        <v>747.47203999999999</v>
      </c>
      <c r="W98" s="3">
        <f>1421.5+(193.4-882.6)+(-4.34979+(-0.591804--2.700756))+0-0-0</f>
        <v>730.0591619999999</v>
      </c>
      <c r="X98" s="3">
        <f>1409.6+(188.5-878.1)+(-4.313376+(-0.57681--2.686986))+0-0-0</f>
        <v>717.79679999999985</v>
      </c>
      <c r="Y98" s="3">
        <f>1288.3+(152.7-752.9)+(-3.285165+(-0.389385--1.919895))+0-0-0</f>
        <v>686.34534499999995</v>
      </c>
      <c r="Z98" s="3">
        <f>1330.3+(135.7-729.6)+(-0.678453+(-0.069207--0.372096))+0-0-0</f>
        <v>736.02443599999981</v>
      </c>
      <c r="AA98" s="3">
        <f>1455.5+(121.8-712.2)+(-1.48461+(-0.124236--0.726444))+0-0-0</f>
        <v>864.21759799999995</v>
      </c>
      <c r="AB98" s="3">
        <f>1471.7+(109.2-705.5)+(-0.750567+(-0.055692--0.359805))+0-0-0</f>
        <v>874.95354600000007</v>
      </c>
      <c r="AC98" s="3">
        <f>1464.4+(101.4-711.8)+(-1.493688+(-0.103428--0.726036))+0-0-0</f>
        <v>853.12892000000011</v>
      </c>
      <c r="AD98" s="2">
        <v>867.39999999999986</v>
      </c>
      <c r="AE98" s="3">
        <f>1457+(119.1-708.7)+(0+(0-0))+0-0-0</f>
        <v>867.4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1452.4+(109.8-768.7)+(-2.962896+(-0.223992--1.568148))+0-0-0</f>
        <v>791.88126</v>
      </c>
      <c r="G99" s="3">
        <f>1465.7+(123.9-876.2)+(-1.495014+(-0.126378--0.893724))+0-0-0</f>
        <v>712.67233199999998</v>
      </c>
      <c r="H99" s="3">
        <f>1313.4+(119.2-786)+(-2.679336+(-0.243168--1.60344))+0-0-0</f>
        <v>645.28093600000011</v>
      </c>
      <c r="I99" s="3">
        <f>1247.5+(117-754.2)+(-3.181125+(-0.29835--1.92321))+0-0-0</f>
        <v>608.7437349999999</v>
      </c>
      <c r="J99" s="3">
        <f>1266.4+(103.5-780)+(1.291728+(0.10557-0.7956))+0-0-0</f>
        <v>590.50169800000015</v>
      </c>
      <c r="K99" s="3">
        <f>1227.2+(100.4-773.4)+(-3.12936+(-0.25602--1.97217))+0-0-0</f>
        <v>552.78679</v>
      </c>
      <c r="L99" s="3">
        <f>1127.9+(112.8-738.6)+(-2.876145+(-0.28764--1.88343))+0-0-0</f>
        <v>500.81964500000004</v>
      </c>
      <c r="M99" s="3">
        <f>1145.4+(103.3-720.8)+(1.168308+(0.105366-0.735216))+0-0-0</f>
        <v>528.43845800000008</v>
      </c>
      <c r="N99" s="3">
        <f>1139.8+(110.9-645.3)+(0.581298+(0.056559-0.329103))+0-0-0</f>
        <v>605.708754</v>
      </c>
      <c r="O99" s="3">
        <f>1285.3+(94.2-717.9)+(-0.655503+(-0.048042--0.366129))+0-0-0</f>
        <v>661.26258400000006</v>
      </c>
      <c r="P99" s="3">
        <f>1449.4+(151.6-849.6)+(0.739194+(0.077316-0.433296))+0-0-0</f>
        <v>751.78321400000004</v>
      </c>
      <c r="Q99" s="3">
        <f>1424.6+(209.3-885.5)+(-2.179638+(-0.320229--1.354815))+0-0-0</f>
        <v>747.2549479999999</v>
      </c>
      <c r="R99" s="3">
        <f>1421.3+(213.3-875)+(-1.449726+(-0.217566--0.8925))+0-0-0</f>
        <v>758.82520799999986</v>
      </c>
      <c r="S99" s="3">
        <f>1406.1+(221.9-844.6)+(-5.019777+(-0.792183--3.015222))+0-0-0</f>
        <v>780.60326199999986</v>
      </c>
      <c r="T99" s="3">
        <f>1418.8+(235-858.8)+(-0.723588+(-0.11985--0.437988))+0-0-0</f>
        <v>794.59455000000003</v>
      </c>
      <c r="U99" s="3">
        <f>1423.9+(227.2-871.4)+(0+(0-0))+0-0-0</f>
        <v>779.7</v>
      </c>
      <c r="V99" s="3">
        <f>1415.4+(225.8-877.8)+(-2.165562+(-0.345474--1.343034))+0-0-0</f>
        <v>762.23199800000009</v>
      </c>
      <c r="W99" s="3">
        <f>1411.5+(200.4-856)+(-2.87946+(-0.408816--1.74624))+0-0-0</f>
        <v>754.35796399999992</v>
      </c>
      <c r="X99" s="3">
        <f>1413.4+(225-909.2)+(-2.162502+(-0.34425--1.391076))+0-0-0</f>
        <v>728.08432400000004</v>
      </c>
      <c r="Y99" s="3">
        <f>1413+(191.1-913.8)+(-1.44126+(-0.194922--0.932076))+0-0-0</f>
        <v>689.59589400000004</v>
      </c>
      <c r="Z99" s="3">
        <f>1440.2+(223.4-921.1)+(-0.734502+(-0.113934--0.469761))+0-0-0</f>
        <v>742.12132499999996</v>
      </c>
      <c r="AA99" s="3">
        <f>1460.2+(229.6-828.9)+(-2.234106+(-0.351288--1.268217))+0-0-0</f>
        <v>859.58282300000008</v>
      </c>
      <c r="AB99" s="3">
        <f>1460.9+(228.5-822.7)+(-2.980236+(-0.46614--1.678308))+0-0-0</f>
        <v>864.93193200000007</v>
      </c>
      <c r="AC99" s="3">
        <f>1451.8+(250.4-854.5)+(-1.480836+(-0.255408--0.87159))+0-0-0</f>
        <v>846.83534599999996</v>
      </c>
      <c r="AD99" s="2">
        <v>848.59999999999991</v>
      </c>
      <c r="AE99" s="3">
        <f>1462+(222.6-836)+(0+(0-0))+0-0-0</f>
        <v>848.6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1444.9+(242-915.3)+(-0.736899+(-0.12342--0.466803))+0-0-0</f>
        <v>771.20648400000016</v>
      </c>
      <c r="G100" s="3">
        <f>1428.7+(260.9-998.5)+(-2.185911+(-0.399177--1.527705))+0-0-0</f>
        <v>690.04261700000006</v>
      </c>
      <c r="H100" s="3">
        <f>1422.2+(170.3-958.1)+(-2.175966+(-0.260559--1.465893))+0-0-0</f>
        <v>633.42936800000007</v>
      </c>
      <c r="I100" s="3">
        <f>1395+(106.5-896.1)+(0+(0-0))+0-0-0</f>
        <v>605.4</v>
      </c>
      <c r="J100" s="3">
        <f>1260.9+(89.7-783.5)+(-3.215295+(-0.228735--1.997925))+0-0-0</f>
        <v>565.65389500000015</v>
      </c>
      <c r="K100" s="3">
        <f>1142+(95.6-690.1)+(-2.32968+(-0.195024--1.407804))+0-0-0</f>
        <v>546.38310000000001</v>
      </c>
      <c r="L100" s="3">
        <f>1131+(109.2-728.7)+(-1.73043+(-0.167076--1.114911))+0-0-0</f>
        <v>510.71740499999999</v>
      </c>
      <c r="M100" s="3">
        <f>1144.5+(89-689)+(1.16739+(0.09078-0.70278))+0-0-0</f>
        <v>545.05538999999999</v>
      </c>
      <c r="N100" s="3">
        <f>1144.3+(126-642.4)+(1.167186+(0.12852-0.655248))+0-0-0</f>
        <v>628.54045799999994</v>
      </c>
      <c r="O100" s="3">
        <f>1362.4+(180.2-873.7)+(-1.389648+(-0.183804--0.891174))+0-0-0</f>
        <v>668.21772200000009</v>
      </c>
      <c r="P100" s="3">
        <f>1578.4+(208.3-1043)+(0+(0-0))+0-0-0</f>
        <v>743.7</v>
      </c>
      <c r="Q100" s="3">
        <f>1576.2+(165.1-967.7)+(2.411586+(0.252603-1.480581))+0-0-0</f>
        <v>774.78360800000007</v>
      </c>
      <c r="R100" s="3">
        <f>1564.3+(176.8-926.9)+(-0.797793+(-0.090168--0.472719))+0-0-0</f>
        <v>813.78475800000001</v>
      </c>
      <c r="S100" s="3">
        <f>1448+(220.8-829.4)+(-1.47696+(-0.225216--0.845988))+0-0-0</f>
        <v>838.54381200000012</v>
      </c>
      <c r="T100" s="3">
        <f>1540.9+(214.8-906.1)+(-0.785859+(-0.109548--0.462111))+0-0-0</f>
        <v>849.1667040000001</v>
      </c>
      <c r="U100" s="3">
        <f>1559.2+(212.6-934.2)+(2.385576+(0.325278-1.429326))+0-0-0</f>
        <v>838.881528</v>
      </c>
      <c r="V100" s="3">
        <f>1547.4+(210.8-941.5)+(-1.578348+(-0.215016--0.96033))+0-0-0</f>
        <v>815.86696600000005</v>
      </c>
      <c r="W100" s="3">
        <f>1546.6+(209.8-960.3)+(-2.366298+(-0.320994--1.469259))+0-0-0</f>
        <v>794.88196699999992</v>
      </c>
      <c r="X100" s="3">
        <f>1550+(213.6-1000.8)+(-4.743+(-0.653616--3.062448))+0-0-0</f>
        <v>760.46583200000009</v>
      </c>
      <c r="Y100" s="3">
        <f>1569.2+(192.8-1051)+(-3.201168+(-0.393312--2.14404))+0-0-0</f>
        <v>709.54956000000004</v>
      </c>
      <c r="Z100" s="3">
        <f>1597.2+(245.3-1090.1)+(1.629144+(0.250206-1.111902))+0-0-0</f>
        <v>753.16744800000004</v>
      </c>
      <c r="AA100" s="3">
        <f>1600.5+(227.6-977.3)+(-1.63251+(-0.232152--0.996846))+0-0-0</f>
        <v>849.93218400000012</v>
      </c>
      <c r="AB100" s="3">
        <f>1609.7+(227.7-963.8)+(0.820947+(0.116127-0.491538))+0-0-0</f>
        <v>874.04553600000008</v>
      </c>
      <c r="AC100" s="3">
        <f>1594.4+(233.6-975.3)+(0+(0-0))+0-0-0</f>
        <v>852.70000000000016</v>
      </c>
      <c r="AD100" s="2">
        <v>851.5</v>
      </c>
      <c r="AE100" s="3">
        <f>1602+(232.3-982.8)+(0+(0-0))+0-0-0</f>
        <v>851.5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1589+(137.4-907.4)+(0.81039+(0.070074-0.462774))+0-0-0</f>
        <v>819.41768999999999</v>
      </c>
      <c r="G101" s="3">
        <f>1541.9+(70.7-855.9)+(1.572738+(0.072114-0.873018))+0-0-0</f>
        <v>757.47183400000017</v>
      </c>
      <c r="H101" s="3">
        <f>1408+(105.5-807.7)+(0+(0-0))+0-0-0</f>
        <v>705.8</v>
      </c>
      <c r="I101" s="3">
        <f>1407.2+(115-857.2)+(0.717672+(0.05865-0.437172))+0-0-0</f>
        <v>665.33915000000002</v>
      </c>
      <c r="J101" s="3">
        <f>1407+(104.1-870.1)+(0.71757+(0.053091-0.443751))+0-0-0</f>
        <v>641.32691</v>
      </c>
      <c r="K101" s="3">
        <f>1405.1+(69.8-879.8)+(-1.433202+(-0.071196--0.897396))+0-0-0</f>
        <v>594.49299799999994</v>
      </c>
      <c r="L101" s="3">
        <f>1397.4+(47.8-877.8)+(-1.425348+(-0.048756--0.895356))+0-0-0</f>
        <v>566.82125200000007</v>
      </c>
      <c r="M101" s="3">
        <f>1415.7+(89.8-900.1)+(2.166021+(0.137394-1.377153))+0-0-0</f>
        <v>606.32626199999993</v>
      </c>
      <c r="N101" s="3">
        <f>1506.5+(93.4-938.3)+(3.841575+(0.23817-2.392665))+0-0-0</f>
        <v>663.28708000000006</v>
      </c>
      <c r="O101" s="3">
        <f>1545.1+(75.7-899.2)+(3.152004+(0.154428-1.834368))+0-0-0</f>
        <v>723.07206399999995</v>
      </c>
      <c r="P101" s="3">
        <f>1546.4+(117.7-892.1)+(3.154656+(0.240108-1.819884))+0-0-0</f>
        <v>773.57488000000012</v>
      </c>
      <c r="Q101" s="3">
        <f>1538.3+(123.6-842.6)+(2.353599+(0.189108-1.289178))+0-0-0</f>
        <v>820.55352899999991</v>
      </c>
      <c r="R101" s="3">
        <f>1529.9+(142.1-809.8)+(3.120996+(0.289884-1.651992))+0-0-0</f>
        <v>863.95888800000012</v>
      </c>
      <c r="S101" s="3">
        <f>1510.4+(165.4-765.4)+(-3.85152+(-0.42177--1.95177))+0-0-0</f>
        <v>908.07848000000013</v>
      </c>
      <c r="T101" s="3">
        <f>1513.7+(176.2-771.4)+(0+(0-0))+0-0-0</f>
        <v>918.5</v>
      </c>
      <c r="U101" s="3">
        <f>1515.4+(175.4-795.2)+(0+(0-0))+0-0-0</f>
        <v>895.6</v>
      </c>
      <c r="V101" s="3">
        <f>1508.1+(162.9-815.4)+(0+(0-0))+0-0-0</f>
        <v>855.59999999999991</v>
      </c>
      <c r="W101" s="3">
        <f>1557.6+(145.7-885.4)+(-3.177504+(-0.297228--1.806216))+0-0-0</f>
        <v>816.23148399999991</v>
      </c>
      <c r="X101" s="3">
        <f>1655.8+(107.2-983)+(-5.066748+(-0.328032--3.00798))+0-0-0</f>
        <v>777.61320000000001</v>
      </c>
      <c r="Y101" s="3">
        <f>1537.4+(6.3-795.3)+(-3.136296+(-0.012852--1.622412))+0-0-0</f>
        <v>746.87326400000006</v>
      </c>
      <c r="Z101" s="3">
        <f>1629.2+(74.7-900.1)+(1.661784+(0.076194-0.918102))+0-0-0</f>
        <v>804.61987600000009</v>
      </c>
      <c r="AA101" s="3">
        <f>1635.1+(96.3-840.8)+(-5.837307+(-0.343791--3.001656))+0-0-0</f>
        <v>887.42055799999991</v>
      </c>
      <c r="AB101" s="3">
        <f>1667.9+(47.6-814.4)+(-2.551887+(-0.072828--1.246032))+0-0-0</f>
        <v>899.72131700000011</v>
      </c>
      <c r="AC101" s="3">
        <f>1662.2+(46.1-808.8)+(-3.390888+(-0.094044--1.649952))+0-0-0</f>
        <v>897.66502000000014</v>
      </c>
      <c r="AD101" s="2">
        <v>856.5</v>
      </c>
      <c r="AE101" s="3">
        <f>1683+(36.3-862.8)+(0+(0-0))+0-0-0</f>
        <v>856.5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1513.4+(32.1-739.3)+(1.543668+(0.032742-0.754086))+0-0-0</f>
        <v>807.02232400000014</v>
      </c>
      <c r="G102" s="3">
        <f>1446.9+(17.9-716.5)+(-2.951676+(-0.036516--1.46166))+0-0-0</f>
        <v>746.77346800000009</v>
      </c>
      <c r="H102" s="3">
        <f>1416.8+(26.5-757.9)+(-2.167704+(-0.040545--1.159587))+0-0-0</f>
        <v>684.35133799999994</v>
      </c>
      <c r="I102" s="3">
        <f>1418.9+(34.4-812)+(-1.447278+(-0.035088--0.82824))+0-0-0</f>
        <v>640.64587400000005</v>
      </c>
      <c r="J102" s="3">
        <f>1417.9+(40.3-862.2)+(-1.446258+(-0.041106--0.879444))+0-0-0</f>
        <v>595.39207999999996</v>
      </c>
      <c r="K102" s="3">
        <f>1422.5+(40.7-900.3)+(-2.176425+(-0.062271--1.377459))+0-0-0</f>
        <v>562.03876300000013</v>
      </c>
      <c r="L102" s="3">
        <f>1276.5+(43.4-810.1)+(-3.255075+(-0.11067--2.065755))+0-0-0</f>
        <v>508.50000999999997</v>
      </c>
      <c r="M102" s="3">
        <f>1137.6+(27.9-680.8)+(-0.580176+(-0.014229--0.347208))+0-0-0</f>
        <v>484.4528029999999</v>
      </c>
      <c r="N102" s="3">
        <f>1380.6+(9-885.4)+(-1.408212+(-0.00918--0.903108))+0-0-0</f>
        <v>503.68571599999996</v>
      </c>
      <c r="O102" s="3">
        <f>1402.2+(6.5-883.7)+(-2.145366+(-0.009945--1.352061))+0-0-0</f>
        <v>524.19674999999995</v>
      </c>
      <c r="P102" s="3">
        <f>1418+(6.5-880.5)+(0+(0-0))+0-0-0</f>
        <v>544</v>
      </c>
      <c r="Q102" s="3">
        <f>1554.2+(1.7-988)+(1.585284+(0.001734-1.00776))+0-0-0</f>
        <v>568.47925800000007</v>
      </c>
      <c r="R102" s="3">
        <f>1564.9+(7.6-967.7)+(0.798099+(0.003876-0.493527))+0-0-0</f>
        <v>605.10844800000007</v>
      </c>
      <c r="S102" s="3">
        <f>1565+(10.3-973.9)+(0.79815+(0.005253-0.496689))+0-0-0</f>
        <v>601.70671400000003</v>
      </c>
      <c r="T102" s="3">
        <f>1562.6+(17.7-1011.4)+(-0.796926+(-0.009027--0.515814))+0-0-0</f>
        <v>568.60986100000002</v>
      </c>
      <c r="U102" s="3">
        <f>1553.8+(23.6-1033.1)+(-0.792438+(-0.012036--0.526881))+0-0-0</f>
        <v>544.02240700000004</v>
      </c>
      <c r="V102" s="3">
        <f>1563.9+(25.9-1050.9)+(0.797589+(0.013209-0.535959))+0-0-0</f>
        <v>539.17483900000013</v>
      </c>
      <c r="W102" s="3">
        <f>1549.4+(32-1033.8)+(-3.95097+(-0.0816--2.63619))+0-0-0</f>
        <v>546.20362000000011</v>
      </c>
      <c r="X102" s="3">
        <f>1548.7+(25.9-1017)+(-3.949185+(-0.066045--2.59335))+0-0-0</f>
        <v>556.17812000000004</v>
      </c>
      <c r="Y102" s="3">
        <f>1563+(0-994.3)+(-0.79713+(0--0.507093))+0-0-0</f>
        <v>568.40996300000006</v>
      </c>
      <c r="Z102" s="3">
        <f>1560.5+(47.8-1000.3)+(-1.59171+(-0.048756--1.020306))+0-0-0</f>
        <v>607.37983999999994</v>
      </c>
      <c r="AA102" s="3">
        <f>1576.3+(15.3-936.7)+(-4.019565+(-0.039015--2.388585))+0-0-0</f>
        <v>653.23000499999989</v>
      </c>
      <c r="AB102" s="3">
        <f>1620.6+(17.2-971.1)+(-0.826506+(-0.008772--0.495261))+0-0-0</f>
        <v>666.35998299999994</v>
      </c>
      <c r="AC102" s="3">
        <f>1614.2+(22.2-1000.8)+(-2.469726+(-0.033966--1.531224))+0-0-0</f>
        <v>634.62753200000009</v>
      </c>
      <c r="AD102" s="2">
        <v>641.09999999999991</v>
      </c>
      <c r="AE102" s="3">
        <f>1627+(23.1-1009)+(0+(0-0))+0-0-0</f>
        <v>641.1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1550.5+(28.5-1026.1)+(0+(0-0))+0-0-0</f>
        <v>552.90000000000009</v>
      </c>
      <c r="G103" s="3">
        <f>1375.6+(70.3-924.3)+(-0.701556+(-0.035853--0.471393))+0-0-0</f>
        <v>521.33398399999987</v>
      </c>
      <c r="H103" s="3">
        <f>1331.8+(63.3-918.5)+(0.679218+(0.032283-0.468435))+0-0-0</f>
        <v>476.84306599999991</v>
      </c>
      <c r="I103" s="3">
        <f>1255.1+(74.5-866.2)+(0+(0-0))+0-0-0</f>
        <v>463.39999999999986</v>
      </c>
      <c r="J103" s="3">
        <f>1248.8+(70.4-864.1)+(-1.273776+(-0.071808--0.881382))+0-0-0</f>
        <v>454.63579799999991</v>
      </c>
      <c r="K103" s="3">
        <f>1189.7+(58.1-802.4)+(-3.033735+(-0.148155--2.04612))+0-0-0</f>
        <v>444.26423000000011</v>
      </c>
      <c r="L103" s="3">
        <f>1135.9+(58.3-759.1)+(0+(0-0))+0-0-0</f>
        <v>435.1</v>
      </c>
      <c r="M103" s="3">
        <f>1264.8+(25.2-828.2)+(1.290096+(0.025704-0.844764))+0-0-0</f>
        <v>462.27103599999998</v>
      </c>
      <c r="N103" s="3">
        <f>1525.3+(6.6-986.3)+(1.555806+(0.006732-1.006026))+0-0-0</f>
        <v>546.15651200000002</v>
      </c>
      <c r="O103" s="3">
        <f>1536.7+(83-1063.6)+(0+(0-0))+0-0-0</f>
        <v>556.10000000000014</v>
      </c>
      <c r="P103" s="3">
        <f>1603.3+(176.1-1195.2)+(2.453049+(0.269433-1.828656))+0-0-0</f>
        <v>585.09382599999992</v>
      </c>
      <c r="Q103" s="3">
        <f>1614.9+(195.2-1206.4)+(0+(0-0))+0-0-0</f>
        <v>603.70000000000005</v>
      </c>
      <c r="R103" s="3">
        <f>1617.7+(191.6-1210.7)+(-0.825027+(-0.097716--0.617457))+0-0-0</f>
        <v>598.294714</v>
      </c>
      <c r="S103" s="3">
        <f>1622.5+(211.3-1244.4)+(0.827475+(0.107763-0.634644))+0-0-0</f>
        <v>589.70059399999991</v>
      </c>
      <c r="T103" s="3">
        <f>1634.5+(221.8-1291.3)+(-1.66719+(-0.226236--1.317126))+0-0-0</f>
        <v>564.42370000000005</v>
      </c>
      <c r="U103" s="3">
        <f>1573.5+(218.2-1238.3)+(-1.60497+(-0.222564--1.263066))+0-0-0</f>
        <v>552.83553200000006</v>
      </c>
      <c r="V103" s="3">
        <f>1563.8+(214.3-1222.4)+(-0.797538+(-0.109293--0.623424))+0-0-0</f>
        <v>555.41659299999981</v>
      </c>
      <c r="W103" s="3">
        <f>1559.5+(211-1202.4)+(-3.18138+(-0.43044--2.452896))+0-0-0</f>
        <v>566.94107599999995</v>
      </c>
      <c r="X103" s="3">
        <f>1559.9+(170.2-1164.7)+(-2.386647+(-0.260406--1.781991))+0-0-0</f>
        <v>564.53493800000012</v>
      </c>
      <c r="Y103" s="3">
        <f>1558.1+(92.1-1083.3)+(-1.589262+(-0.093942--1.104966))+0-0-0</f>
        <v>566.32176199999992</v>
      </c>
      <c r="Z103" s="3">
        <f>1571.1+(172.2-1111)+(1.602522+(0.175644-1.13322))+0-0-0</f>
        <v>632.94494599999996</v>
      </c>
      <c r="AA103" s="3">
        <f>1567+(226.1-1117)+(-3.19668+(-0.461244--2.27868))+0-0-0</f>
        <v>674.72075600000005</v>
      </c>
      <c r="AB103" s="3">
        <f>1587.9+(231.7-1152.3)+(-4.049145+(-0.590835--2.938365))+0-0-0</f>
        <v>665.59838500000023</v>
      </c>
      <c r="AC103" s="3">
        <f>1571.3+(241.3-1192)+(-3.205452+(-0.492252--2.43168))+0-0-0</f>
        <v>619.33397599999989</v>
      </c>
      <c r="AD103" s="2">
        <v>645.70000000000005</v>
      </c>
      <c r="AE103" s="3">
        <f>1528+(221.8-1104.1)+(0+(0-0))+0-0-0</f>
        <v>645.70000000000005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1465.8+(152.3-1044.1)+(0+(0-0))+0-0-0</f>
        <v>574</v>
      </c>
      <c r="G104" s="3">
        <f>1449.1+(132.4-1061)+(-4.434246+(-0.405144--3.24666))+0-0-0</f>
        <v>518.90726999999993</v>
      </c>
      <c r="H104" s="3">
        <f>1437+(90-1027)+(-2.93148+(-0.1836--2.09508))+0-0-0</f>
        <v>498.98</v>
      </c>
      <c r="I104" s="3">
        <f>1403.9+(98.3-1008.2)+(-3.579945+(-0.250665--2.57091))+0-0-0</f>
        <v>492.74029999999999</v>
      </c>
      <c r="J104" s="3">
        <f>1361.2+(110.1-983.2)+(-4.165272+(-0.336906--3.008592))+0-0-0</f>
        <v>486.60641400000003</v>
      </c>
      <c r="K104" s="3">
        <f>1361.6+(113.7-1003.7)+(-2.777664+(-0.231948--2.047548))+0-0-0</f>
        <v>470.63793599999991</v>
      </c>
      <c r="L104" s="3">
        <f>1355.9+(111.5-1012.5)+(-3.457545+(-0.284325--2.581875))+0-0-0</f>
        <v>453.74000500000011</v>
      </c>
      <c r="M104" s="3">
        <f>1375.9+(137.7-1037.1)+(2.105127+(0.210681-1.586763))+0-0-0</f>
        <v>477.22904500000021</v>
      </c>
      <c r="N104" s="3">
        <f>1399.8+(147.4-1026.9)+(2.141694+(0.225522-1.571157))+0-0-0</f>
        <v>521.09605899999985</v>
      </c>
      <c r="O104" s="3">
        <f>1533.2+(173-1143.7)+(1.563864+(0.17646-1.166574))+0-0-0</f>
        <v>563.07375000000002</v>
      </c>
      <c r="P104" s="3">
        <f>1557+(196.2-1156.1)+(0+(0-0))+0-0-0</f>
        <v>597.10000000000014</v>
      </c>
      <c r="Q104" s="3">
        <f>1566.6+(198.7-1162.7)+(3.99483+(0.506685-2.964885))+0-0-0</f>
        <v>604.13662999999985</v>
      </c>
      <c r="R104" s="3">
        <f>1562.6+(214-1161.5)+(0.796926+(0.10914-0.592365))+0-0-0</f>
        <v>615.41370099999995</v>
      </c>
      <c r="S104" s="3">
        <f>1544+(240.8-1184.3)+(-1.57488+(-0.245616--1.207986))+0-0-0</f>
        <v>599.88748999999996</v>
      </c>
      <c r="T104" s="3">
        <f>1546+(246.1-1220.4)+(-1.57692+(-0.251022--1.244808))+0-0-0</f>
        <v>571.11686599999996</v>
      </c>
      <c r="U104" s="3">
        <f>1538+(238.4-1206.8)+(-3.9219+(-0.60792--3.07734))+0-0-0</f>
        <v>568.14751999999999</v>
      </c>
      <c r="V104" s="3">
        <f>1540.4+(230.5-1193.4)+(-0.785604+(-0.117555--0.608634))+0-0-0</f>
        <v>577.20547499999998</v>
      </c>
      <c r="W104" s="3">
        <f>1554+(233.5-1187.3)+(-3.17016+(-0.47634--2.422092))+0-0-0</f>
        <v>598.97559200000001</v>
      </c>
      <c r="X104" s="3">
        <f>1555.1+(149.7-1114.3)+(-2.379303+(-0.229041--1.704879))+0-0-0</f>
        <v>589.59653500000002</v>
      </c>
      <c r="Y104" s="3">
        <f>1565.7+(135-1111.9)+(-3.992535+(-0.34425--2.835345))+0-0-0</f>
        <v>587.29855999999995</v>
      </c>
      <c r="Z104" s="3">
        <f>1598.6+(198.7-1154.8)+(0+(0-0))+0-0-0</f>
        <v>642.5</v>
      </c>
      <c r="AA104" s="3">
        <f>1604.9+(228.3-1150.3)+(-4.092495+(-0.582165--2.933265))+0-0-0</f>
        <v>681.15860500000008</v>
      </c>
      <c r="AB104" s="3">
        <f>1551.5+(205.9-1111.1)+(-1.58253+(-0.210018--1.133322))+0-0-0</f>
        <v>645.64077400000008</v>
      </c>
      <c r="AC104" s="3">
        <f>1488+(214.3-1085.4)+(-1.51776+(-0.218586--1.107108))+0-0-0</f>
        <v>616.27076199999988</v>
      </c>
      <c r="AD104" s="2">
        <v>639.20000000000005</v>
      </c>
      <c r="AE104" s="3">
        <f>1574+(227-1161.8)+(0+(0-0))+0-0-0</f>
        <v>639.20000000000005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1481.9+(171.1-1110.5)+(-3.778845+(-0.436305--2.831775))+0-0-0</f>
        <v>541.11662500000011</v>
      </c>
      <c r="G105" s="3">
        <f>1405.9+(205.3-1109.8)+(-2.868036+(-0.418812--2.263992))+0-0-0</f>
        <v>500.3771440000001</v>
      </c>
      <c r="H105" s="3">
        <f>1276.2+(237.3-1053)+(-1.952586+(-0.363069--1.61109))+0-0-0</f>
        <v>459.795435</v>
      </c>
      <c r="I105" s="3">
        <f>1275.5+(231.6-1059.2)+(-2.60202+(-0.472464--2.160768))+0-0-0</f>
        <v>446.98628399999996</v>
      </c>
      <c r="J105" s="3">
        <f>1274.8+(196.7-1036.4)+(-3.25074+(-0.501585--2.64282))+0-0-0</f>
        <v>433.9904949999999</v>
      </c>
      <c r="K105" s="3">
        <f>1270.7+(110.4-962)+(-3.240285+(-0.28152--2.4531))+0-0-0</f>
        <v>418.031295</v>
      </c>
      <c r="L105" s="3">
        <f>1278.9+(104.6-973.5)+(-0.652239+(-0.053346--0.496485))+0-0-0</f>
        <v>409.79090000000014</v>
      </c>
      <c r="M105" s="3">
        <f>1285.1+(108.3-960.3)+(1.310802+(0.110466-0.979506))+0-0-0</f>
        <v>433.54176199999989</v>
      </c>
      <c r="N105" s="3">
        <f>1303.3+(174.2-996.9)+(0+(0-0))+0-0-0</f>
        <v>480.59999999999991</v>
      </c>
      <c r="O105" s="3">
        <f>1595.4+(177.5-1246.3)+(-4.06827+(-0.452625--3.178065))+0-0-0</f>
        <v>525.25717000000009</v>
      </c>
      <c r="P105" s="3">
        <f>1629.4+(226.1-1285)+(0+(0-0))+0-0-0</f>
        <v>570.5</v>
      </c>
      <c r="Q105" s="3">
        <f>1614+(229.1-1256.5)+(-1.64628+(-0.233682--1.28163))+0-0-0</f>
        <v>586.00166799999988</v>
      </c>
      <c r="R105" s="3">
        <f>1623.9+(236.2-1269.5)+(0+(0-0))+0-0-0</f>
        <v>590.60000000000014</v>
      </c>
      <c r="S105" s="3">
        <f>1592.5+(254.7-1278.4)+(-1.62435+(-0.259794--1.303968))+0-0-0</f>
        <v>568.2198239999999</v>
      </c>
      <c r="T105" s="3">
        <f>1610.5+(260.4-1312.7)+(-2.464065+(-0.398412--2.008431))+0-0-0</f>
        <v>557.34595399999978</v>
      </c>
      <c r="U105" s="3">
        <f>1615.9+(252.7-1327.8)+(1.648218+(0.257754-1.354356))+0-0-0</f>
        <v>541.35161600000015</v>
      </c>
      <c r="V105" s="3">
        <f>1634.4+(216.2-1301.1)+(-0.833544+(-0.110262--0.663561))+0-0-0</f>
        <v>549.21975500000019</v>
      </c>
      <c r="W105" s="3">
        <f>1621.2+(152.2-1231.4)+(-5.787684+(-0.543354--4.396098))+0-0-0</f>
        <v>540.06506000000002</v>
      </c>
      <c r="X105" s="3">
        <f>1646.4+(5-1093.9)+(-5.877648+(-0.01785--3.905223))+0-0-0</f>
        <v>555.509725</v>
      </c>
      <c r="Y105" s="3">
        <f>1647.4+(2-1103.1)+(-1.680348+(-0.00204--1.125162))+0-0-0</f>
        <v>545.74277400000017</v>
      </c>
      <c r="Z105" s="3">
        <f>1655.4+(122.2-1147.7)+(0+(0-0))+0-0-0</f>
        <v>629.90000000000009</v>
      </c>
      <c r="AA105" s="3">
        <f>1677.4+(15-957.8)+(-1.710948+(-0.0153--0.976956))+0-0-0</f>
        <v>733.85070800000017</v>
      </c>
      <c r="AB105" s="3">
        <f>1660.4+(0-1048.2)+(-1.693608+(0--1.069164))+0-0-0</f>
        <v>611.57555600000001</v>
      </c>
      <c r="AC105" s="3">
        <f>1653.1+(0-1075.9)+(0+(0-0))+0-0-0</f>
        <v>577.19999999999982</v>
      </c>
      <c r="AD105" s="2">
        <v>590.59999999999991</v>
      </c>
      <c r="AE105" s="3">
        <f>1632+(0-1041.4)+(0+(0-0))+0-0-0</f>
        <v>590.59999999999991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1648.3+(0-1179.1)+(0.840633+(0-0.601341))+0-0-0</f>
        <v>469.43929200000002</v>
      </c>
      <c r="G106" s="3">
        <f>1650+(0-1153.2)+(0+(0-0))+0-0-0</f>
        <v>496.79999999999995</v>
      </c>
      <c r="H106" s="3">
        <f>1643.3+(0-1169)+(0+(0-0))+0-0-0</f>
        <v>474.29999999999995</v>
      </c>
      <c r="I106" s="3">
        <f>1371.4+(0-856.2)+(0+(0-0))+0-0-0</f>
        <v>515.20000000000005</v>
      </c>
      <c r="J106" s="3">
        <f>1263+(0-816.4)+(-1.93239+(0--1.249092))+0-0-0</f>
        <v>445.91670200000004</v>
      </c>
      <c r="K106" s="3">
        <f>1245.5+(0-807.7)+(-1.27041+(0--0.823854))+0-0-0</f>
        <v>437.35344399999997</v>
      </c>
      <c r="L106" s="3">
        <f>1172.6+(5-754.9)+(-2.392104+(-0.0102--1.539996))+0-0-0</f>
        <v>421.83769199999995</v>
      </c>
      <c r="M106" s="3">
        <f>1182.5+(10.1-744.2)+(0+(0-0))+0-0-0</f>
        <v>448.4</v>
      </c>
      <c r="N106" s="3">
        <f>1332.5+(86.3-924.3)+(1.35915+(0.088026-0.942786))+0-0-0</f>
        <v>495.00439</v>
      </c>
      <c r="O106" s="3">
        <f>1565.7+(108.8-1141.1)+(-3.194028+(-0.221952--2.327844))+0-0-0</f>
        <v>532.31186400000013</v>
      </c>
      <c r="P106" s="3">
        <f>1607.1+(131.6-1175.8)+(-0.819621+(-0.067116--0.599658))+0-0-0</f>
        <v>562.61292099999991</v>
      </c>
      <c r="Q106" s="3">
        <f>1588.3+(165.8-1169.8)+(-0.810033+(-0.084558--0.596598))+0-0-0</f>
        <v>584.00200699999994</v>
      </c>
      <c r="R106" s="3">
        <f>1594.8+(213.3-1215.4)+(0+(0-0))+0-0-0</f>
        <v>592.69999999999982</v>
      </c>
      <c r="S106" s="3">
        <f>1583.7+(242.5-1238.4)+(-3.230748+(-0.4947--2.526336))+0-0-0</f>
        <v>586.60088799999994</v>
      </c>
      <c r="T106" s="3">
        <f>1570.6+(256.1-1255.3)+(-1.602012+(-0.261222--1.280406))+0-0-0</f>
        <v>570.81717200000003</v>
      </c>
      <c r="U106" s="3">
        <f>1563.8+(265.5-1262.4)+(-0.797538+(-0.135405--0.643824))+0-0-0</f>
        <v>566.61088099999984</v>
      </c>
      <c r="V106" s="3">
        <f>1596.8+(259.7-1278.7)+(-0.814368+(-0.132447--0.652137))+0-0-0</f>
        <v>577.50532199999998</v>
      </c>
      <c r="W106" s="3">
        <f>1570+(282.8-1269.6)+(2.4021+(0.432684-1.942488))+0-0-0</f>
        <v>584.09229600000003</v>
      </c>
      <c r="X106" s="3">
        <f>1490.1+(296.3-1207.9)+(-2.279853+(-0.453339--1.848087))+0-0-0</f>
        <v>577.61489499999982</v>
      </c>
      <c r="Y106" s="3">
        <f>1455+(133-1018.5)+(1.4841+(0.13566-1.03887))+0-0-0</f>
        <v>570.08088999999995</v>
      </c>
      <c r="Z106" s="3">
        <f>1517+(192.8-1082.1)+(-0.77367+(-0.098328--0.551871))+0-0-0</f>
        <v>627.37987300000009</v>
      </c>
      <c r="AA106" s="3">
        <f>1638.1+(292.1-1229.5)+(-3.341724+(-0.595884--2.50818))+0-0-0</f>
        <v>699.2705719999999</v>
      </c>
      <c r="AB106" s="3">
        <f>1658.2+(296.3-1274)+(-0.845682+(-0.151113--0.64974))+0-0-0</f>
        <v>680.15294500000005</v>
      </c>
      <c r="AC106" s="3">
        <f>1633.2+(212.3-1221.9)+(-1.665864+(-0.216546--1.246338))+0-0-0</f>
        <v>622.9639279999999</v>
      </c>
      <c r="AD106" s="2">
        <v>677.90000000000009</v>
      </c>
      <c r="AE106" s="3">
        <f>1644+(287-1253.1)+(0+(0-0))+0-0-0</f>
        <v>677.90000000000009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1619.6+(0-1041.6)+(-4.12998+(0--2.65608))+0-0-0</f>
        <v>576.52610000000004</v>
      </c>
      <c r="G107" s="3">
        <f>1640.2+(0-1112.5)+(1.673004+(0-1.13475))+0-0-0</f>
        <v>528.2382540000001</v>
      </c>
      <c r="H107" s="3">
        <f>1462.5+(0-960)+(-1.49175+(0--0.9792))+0-0-0</f>
        <v>501.98745000000002</v>
      </c>
      <c r="I107" s="3">
        <f>1431.4+(0-944.2)+(0.730014+(0-0.481542))+0-0-0</f>
        <v>487.44847200000004</v>
      </c>
      <c r="J107" s="3">
        <f>1395.3+(0-899.7)+(-2.134809+(0--1.376541))+0-0-0</f>
        <v>494.84173199999992</v>
      </c>
      <c r="K107" s="3">
        <f>1252.6+(1.3-773.1)+(-1.916478+(-0.001989--1.182843))+0-0-0</f>
        <v>480.06437599999987</v>
      </c>
      <c r="L107" s="3">
        <f>1248.1+(1.3-785.9)+(-1.909593+(-0.001989--1.202427))+0-0-0</f>
        <v>462.79084499999988</v>
      </c>
      <c r="M107" s="3">
        <f>1313.7+(0-821.1)+(1.339974+(0-0.837522))+0-0-0</f>
        <v>493.10245200000003</v>
      </c>
      <c r="N107" s="3">
        <f>1337.3+(0-791.5)+(0+(0-0))+0-0-0</f>
        <v>545.79999999999995</v>
      </c>
      <c r="O107" s="3">
        <f>1381.3+(0-785.6)+(-2.113389+(0--1.201968))+0-0-0</f>
        <v>594.78857899999991</v>
      </c>
      <c r="P107" s="3">
        <f>1565.9+(0-930.4)+(-2.395827+(0--1.423512))+0-0-0</f>
        <v>634.52768500000013</v>
      </c>
      <c r="Q107" s="3">
        <f>1644.6+(0-985.3)+(0+(0-0))+0-0-0</f>
        <v>659.3</v>
      </c>
      <c r="R107" s="3">
        <f>1692.5+(39-1062.9)+(1.72635+(0.03978-1.084158))+0-0-0</f>
        <v>669.28197199999988</v>
      </c>
      <c r="S107" s="3">
        <f>1680.5+(81.1-1097.6)+(-5.14233+(-0.248166--3.358656))+0-0-0</f>
        <v>661.96816000000013</v>
      </c>
      <c r="T107" s="3">
        <f>1691.2+(88.1-1121.9)+(-0.862512+(-0.044931--0.572169))+0-0-0</f>
        <v>657.06472599999984</v>
      </c>
      <c r="U107" s="3">
        <f>1670.6+(104.4-1135.2)+(-1.704012+(-0.106488--1.157904))+0-0-0</f>
        <v>639.14740399999994</v>
      </c>
      <c r="V107" s="3">
        <f>1665.8+(108.4-1122.5)+(-2.548674+(-0.165852--1.717425))+0-0-0</f>
        <v>650.70289899999989</v>
      </c>
      <c r="W107" s="3">
        <f>1646+(104.4-1111.6)+(-3.35784+(-0.212976--2.267664))+0-0-0</f>
        <v>637.49684800000011</v>
      </c>
      <c r="X107" s="3">
        <f>1625.2+(70.4-1060.5)+(-6.630816+(-0.287232--4.32684))+0-0-0</f>
        <v>632.50879199999997</v>
      </c>
      <c r="Y107" s="3">
        <f>1517.9+(41-936.1)+(-2.322387+(-0.06273--1.432233))+0-0-0</f>
        <v>621.84711600000003</v>
      </c>
      <c r="Z107" s="3">
        <f>1533.1+(86.4-936.7)+(-0.781881+(-0.044064--0.477717))+0-0-0</f>
        <v>682.45177199999989</v>
      </c>
      <c r="AA107" s="3">
        <f>1705.2+(121.1-1063.6)+(-5.217912+(-0.370566--3.254616))+0-0-0</f>
        <v>760.36613800000021</v>
      </c>
      <c r="AB107" s="3">
        <f>1684.4+(115.9-1051.5)+(-3.436176+(-0.236436--2.14506))+0-0-0</f>
        <v>747.27244800000005</v>
      </c>
      <c r="AC107" s="3">
        <f>1671.7+(80.6-1050)+(-2.557701+(-0.123318--1.6065))+0-0-0</f>
        <v>701.22548100000006</v>
      </c>
      <c r="AD107" s="2">
        <v>722.39999999999986</v>
      </c>
      <c r="AE107" s="3">
        <f>1701+(130.1-1108.7)+(0+(0-0))+0-0-0</f>
        <v>722.4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1676.3+(23-1042.8)+(-0.854913+(-0.01173--0.531828))+0-0-0</f>
        <v>656.16518499999995</v>
      </c>
      <c r="G108" s="3">
        <f>1678.4+(0-1060.5)+(0.855984+(0-0.540855))+0-0-0</f>
        <v>618.21512900000005</v>
      </c>
      <c r="H108" s="3">
        <f>1565.2+(1.2-996)+(-2.394756+(-0.001836--1.52388))+0-0-0</f>
        <v>569.52728800000011</v>
      </c>
      <c r="I108" s="3">
        <f>1359.7+(4-821.4)+(0+(0-0))+0-0-0</f>
        <v>542.30000000000007</v>
      </c>
      <c r="J108" s="3">
        <f>1362.8+(0-838.8)+(0+(0-0))+0-0-0</f>
        <v>524</v>
      </c>
      <c r="K108" s="3">
        <f>1346.3+(5.9-855)+(-3.433065+(-0.015045--2.18025))+0-0-0</f>
        <v>495.93213999999995</v>
      </c>
      <c r="L108" s="3">
        <f>1262.4+(14.9-828.7)+(-4.506768+(-0.053193--2.958459))+0-0-0</f>
        <v>446.99849800000004</v>
      </c>
      <c r="M108" s="3">
        <f>1338.8+(4.4-901.2)+(0+(0-0))+0-0-0</f>
        <v>441.99999999999989</v>
      </c>
      <c r="N108" s="3">
        <f>1492.4+(2.7-1018.6)+(0+(0-0))+0-0-0</f>
        <v>476.50000000000011</v>
      </c>
      <c r="O108" s="3">
        <f>1554.6+(5.8-1029.3)+(0.792846+(0.002958-0.524943))+0-0-0</f>
        <v>531.37086099999988</v>
      </c>
      <c r="P108" s="3">
        <f>1600+(23.3-1038.7)+(0+(0-0))+0-0-0</f>
        <v>584.59999999999991</v>
      </c>
      <c r="Q108" s="3">
        <f>1643.9+(26.5-1041.8)+(1.676778+(0.02703-1.062636))+0-0-0</f>
        <v>629.24117200000012</v>
      </c>
      <c r="R108" s="3">
        <f>1672.8+(50.3-1068)+(-0.853128+(-0.025653--0.54468))+0-0-0</f>
        <v>654.76589899999988</v>
      </c>
      <c r="S108" s="3">
        <f>1663.5+(55.7-1061.7)+(-0.848385+(-0.028407--0.541467))+0-0-0</f>
        <v>657.16467499999999</v>
      </c>
      <c r="T108" s="3">
        <f>1654+(62.6-1048.4)+(-1.68708+(-0.063852--1.069368))+0-0-0</f>
        <v>667.51843599999995</v>
      </c>
      <c r="U108" s="3">
        <f>1658.4+(60.1-1063.1)+(0+(0-0))+0-0-0</f>
        <v>655.4000000000002</v>
      </c>
      <c r="V108" s="3">
        <f>1673.7+(60.5-1083)+(0.853587+(0.030855-0.55233))+0-0-0</f>
        <v>651.5321120000001</v>
      </c>
      <c r="W108" s="3">
        <f>1654.2+(54.3-1069.6)+(-5.061852+(-0.166158--3.272976))+0-0-0</f>
        <v>636.94496600000014</v>
      </c>
      <c r="X108" s="3">
        <f>1660+(25.6-1054.1)+(-4.233+(-0.06528--2.687955))+0-0-0</f>
        <v>629.88967500000001</v>
      </c>
      <c r="Y108" s="3">
        <f>1666+(46.6-1079.8)+(-0.84966+(-0.023766--0.550698))+0-0-0</f>
        <v>632.47727199999997</v>
      </c>
      <c r="Z108" s="3">
        <f>1707.1+(70.9-1086.6)+(0.870621+(0.036159-0.554166))+0-0-0</f>
        <v>691.75261399999999</v>
      </c>
      <c r="AA108" s="3">
        <f>1733.5+(30.6-979.2)+(-2.652255+(-0.046818--1.498176))+0-0-0</f>
        <v>783.69910299999992</v>
      </c>
      <c r="AB108" s="3">
        <f>1741.9+(20.2-990.9)+(-0.888369+(-0.010302--0.505359))+0-0-0</f>
        <v>770.80668800000012</v>
      </c>
      <c r="AC108" s="3">
        <f>1733.9+(20.7-1017.3)+(0.884289+(0.010557-0.518823))+0-0-0</f>
        <v>737.67602300000021</v>
      </c>
      <c r="AD108" s="2">
        <v>752.3</v>
      </c>
      <c r="AE108" s="3">
        <f>1738+(21.1-1006.8)+(0+(0-0))+0-0-0</f>
        <v>752.30000000000007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1695.2+(10.1-1022.1)+(1.729104+(0.010302-1.042542))+0-0-0</f>
        <v>683.89686400000005</v>
      </c>
      <c r="G109" s="3">
        <f>1695.5+(0-1070.4)+(0.864705+(0-0.545904))+0-0-0</f>
        <v>625.41880099999992</v>
      </c>
      <c r="H109" s="3">
        <f>1524.4+(0-931.6)+(2.332332+(0-1.425348))+0-0-0</f>
        <v>593.70698400000003</v>
      </c>
      <c r="I109" s="3">
        <f>1483+(0-915.7)+(0+(0-0))+0-0-0</f>
        <v>567.29999999999995</v>
      </c>
      <c r="J109" s="3">
        <f>1479.8+(16.4-949.5)+(-1.509396+(-0.016728--0.96849))+0-0-0</f>
        <v>546.14236599999992</v>
      </c>
      <c r="K109" s="3">
        <f>1409.3+(30.5-936.6)+(-5.031201+(-0.108885--3.343662))+0-0-0</f>
        <v>501.40357599999993</v>
      </c>
      <c r="L109" s="3">
        <f>1373.1+(20.7-933)+(-2.100843+(-0.031671--1.42749))+0-0-0</f>
        <v>460.09497599999997</v>
      </c>
      <c r="M109" s="3">
        <f>1274.1+(3.8-827.5)+(0.649791+(0.001938-0.422025))+0-0-0</f>
        <v>450.62970399999989</v>
      </c>
      <c r="N109" s="3">
        <f>1268.6+(1.6-801.2)+(-0.646986+(-0.000816--0.408612))+0-0-0</f>
        <v>468.76080999999988</v>
      </c>
      <c r="O109" s="3">
        <f>1333.3+(3.5-838.5)+(2.039949+(0.005355-1.282905))+0-0-0</f>
        <v>499.06239899999997</v>
      </c>
      <c r="P109" s="3">
        <f>1542.5+(0-1002.6)+(0.786675+(0-0.511326))+0-0-0</f>
        <v>540.17534899999998</v>
      </c>
      <c r="Q109" s="3">
        <f>1591+(10.5-1022.5)+(0.81141+(0.005355-0.521475))+0-0-0</f>
        <v>579.29529000000002</v>
      </c>
      <c r="R109" s="3">
        <f>1678.5+(13.2-1080.9)+(1.71207+(0.013464-1.102518))+0-0-0</f>
        <v>611.42301599999996</v>
      </c>
      <c r="S109" s="3">
        <f>1693.7+(15.3-1068)+(3.455148+(0.031212-2.17872))+0-0-0</f>
        <v>642.30763999999999</v>
      </c>
      <c r="T109" s="3">
        <f>1713.4+(22.7-1084.6)+(2.621502+(0.034731-1.659438))+0-0-0</f>
        <v>652.49679500000025</v>
      </c>
      <c r="U109" s="3">
        <f>1708.5+(26.3-1096.5)+(1.74267+(0.026826-1.11843))+0-0-0</f>
        <v>638.95106599999997</v>
      </c>
      <c r="V109" s="3">
        <f>1661.1+(28.2-1069.8)+(0.847161+(0.014382-0.545598))+0-0-0</f>
        <v>619.81594500000006</v>
      </c>
      <c r="W109" s="3">
        <f>1635.5+(28.9-1043.3)+(-0.834105+(-0.014739--0.532083))+0-0-0</f>
        <v>620.78323899999998</v>
      </c>
      <c r="X109" s="3">
        <f>1626.2+(29.9-1052.8)+(-3.317448+(-0.060996--2.147712))+0-0-0</f>
        <v>602.06926800000008</v>
      </c>
      <c r="Y109" s="3">
        <f>1554.5+(15.5-988.8)+(0.792795+(0.007905-0.504288))+0-0-0</f>
        <v>581.49641200000008</v>
      </c>
      <c r="Z109" s="3">
        <f>1604.3+(81.9-1059.2)+(-0.818193+(-0.041769--0.540192))+0-0-0</f>
        <v>626.68022999999994</v>
      </c>
      <c r="AA109" s="3">
        <f>1732.9+(28.7-1026.4)+(-1.767558+(-0.029274--1.046928))+0-0-0</f>
        <v>734.45009600000003</v>
      </c>
      <c r="AB109" s="3">
        <f>1767.2+(16.7-1036.2)+(-1.802544+(-0.017034--1.056924))+0-0-0</f>
        <v>746.93734600000005</v>
      </c>
      <c r="AC109" s="3">
        <f>1763.1+(28.8-1065.3)+(-0.899181+(-0.014688--0.543303))+0-0-0</f>
        <v>726.22943399999986</v>
      </c>
      <c r="AD109" s="2">
        <v>710.8</v>
      </c>
      <c r="AE109" s="3">
        <f>1767+(16.2-1072.4)+(0+(0-0))+0-0-0</f>
        <v>710.8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1759.8+(21.9-1118.7)+(-0.897498+(-0.011169--0.570537))+0-0-0</f>
        <v>662.66187000000002</v>
      </c>
      <c r="G110" s="3">
        <f>1744.2+(27.8-1146.9)+(0+(0-0))+0-0-0</f>
        <v>625.09999999999991</v>
      </c>
      <c r="H110" s="3">
        <f>1403+(49.8-882.3)+(-0.71553+(-0.025398--0.449973))+0-0-0</f>
        <v>570.20904499999995</v>
      </c>
      <c r="I110" s="3">
        <f>1372.9+(55.3-898.3)+(-0.700179+(-0.028203--0.458133))+0-0-0</f>
        <v>529.62975100000006</v>
      </c>
      <c r="J110" s="3">
        <f>1373.1+(35.7-906.4)+(-1.400562+(-0.036414--0.924528))+0-0-0</f>
        <v>501.88755199999997</v>
      </c>
      <c r="K110" s="3">
        <f>1368.4+(0-892.3)+(-3.48942+(0--2.275365))+0-0-0</f>
        <v>474.88594500000016</v>
      </c>
      <c r="L110" s="3">
        <f>1371.4+(0-915.8)+(-1.398828+(0--0.934116))+0-0-0</f>
        <v>455.13528800000012</v>
      </c>
      <c r="M110" s="3">
        <f>1431.9+(96.7-1014.8)+(2.190807+(0.147951-1.552644))+0-0-0</f>
        <v>514.58611400000018</v>
      </c>
      <c r="N110" s="3">
        <f>1598.5+(119.4-1136.3)+(0+(0-0))+0-0-0</f>
        <v>581.6</v>
      </c>
      <c r="O110" s="3">
        <f>1640.5+(153.9-1153)+(1.67331+(0.156978-1.17606))+0-0-0</f>
        <v>642.05422799999997</v>
      </c>
      <c r="P110" s="3">
        <f>1731.1+(188.6-1222.5)+(2.648583+(0.288558-1.870425))+0-0-0</f>
        <v>698.26671599999986</v>
      </c>
      <c r="Q110" s="3">
        <f>1712.3+(167.7-1135.1)+(2.619819+(0.256581-1.736703))+0-0-0</f>
        <v>746.03969700000005</v>
      </c>
      <c r="R110" s="3">
        <f>1690.8+(161.4-1089.8)+(3.449232+(0.329256-2.223192))+0-0-0</f>
        <v>763.95529599999998</v>
      </c>
      <c r="S110" s="3">
        <f>1729.2+(180.7-1092.3)+(0.881892+(0.092157-0.557073))+0-0-0</f>
        <v>818.01697600000011</v>
      </c>
      <c r="T110" s="3">
        <f>1735.9+(190.5-1134.9)+(-0.885309+(-0.097155--0.578799))+0-0-0</f>
        <v>791.09633499999995</v>
      </c>
      <c r="U110" s="3">
        <f>1732.4+(187-1150)+(0+(0-0))+0-0-0</f>
        <v>769.40000000000009</v>
      </c>
      <c r="V110" s="3">
        <f>1719.7+(182.3-1146.9)+(-1.754094+(-0.185946--1.169838))+0-0-0</f>
        <v>754.32979799999987</v>
      </c>
      <c r="W110" s="3">
        <f>1637.5+(196.5-1102.7)+(-2.505375+(-0.300645--1.687131))+0-0-0</f>
        <v>730.18111099999999</v>
      </c>
      <c r="X110" s="3">
        <f>1621.3+(202.7-1115.9)+(-4.134315+(-0.516885--2.845545))+0-0-0</f>
        <v>706.29434499999991</v>
      </c>
      <c r="Y110" s="3">
        <f>1594.1+(220.3-1137.6)+(-2.438973+(-0.337059--1.740528))+0-0-0</f>
        <v>675.76449600000001</v>
      </c>
      <c r="Z110" s="3">
        <f>1609.8+(269.9-1156.8)+(1.641996+(0.275298-1.179936))+0-0-0</f>
        <v>723.63735799999995</v>
      </c>
      <c r="AA110" s="3">
        <f>1637.9+(227.5-1035.1)+(-2.505987+(-0.348075--1.583703))+0-0-0</f>
        <v>829.0296410000002</v>
      </c>
      <c r="AB110" s="3">
        <f>1647.4+(230.3-1036.9)+(-2.520522+(-0.352359--1.586457))+0-0-0</f>
        <v>839.51357599999994</v>
      </c>
      <c r="AC110" s="3">
        <f>1641+(247.2-1080.5)+(-1.67382+(-0.252144--1.10211))+0-0-0</f>
        <v>806.87614600000006</v>
      </c>
      <c r="AD110" s="2">
        <v>843.7</v>
      </c>
      <c r="AE110" s="3">
        <f>1643+(227.2-1026.5)+(0+(0-0))+0-0-0</f>
        <v>843.7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1609.6+(224.2-1072.8)+(-1.641792+(-0.228684--1.094256))+0-0-0</f>
        <v>760.22378000000003</v>
      </c>
      <c r="G111" s="3">
        <f>1598.6+(232.7-1135.9)+(-1.630572+(-0.237354--1.158618))+0-0-0</f>
        <v>694.6906919999999</v>
      </c>
      <c r="H111" s="3">
        <f>1408.8+(229.8-990)+(-2.155464+(-0.351594--1.5147))+0-0-0</f>
        <v>647.60764199999994</v>
      </c>
      <c r="I111" s="3">
        <f>1282.2+(209.5-890.1)+(-3.923532+(-0.64107--2.723706))+0-0-0</f>
        <v>599.75910399999998</v>
      </c>
      <c r="J111" s="3">
        <f>1283.6+(122.6-820.8)+(-3.27318+(-0.31263--2.09304))+0-0-0</f>
        <v>583.90723000000003</v>
      </c>
      <c r="K111" s="3">
        <f>1276.5+(83.1-798.2)+(-5.859135+(-0.381429--3.663738))+0-0-0</f>
        <v>558.82317399999999</v>
      </c>
      <c r="L111" s="3">
        <f>1290.6+(88.1-855.8)+(0+(0-0))+0-0-0</f>
        <v>522.9</v>
      </c>
      <c r="M111" s="3">
        <f>1293+(142.4-868.9)+(0.65943+(0.072624-0.443139))+0-0-0</f>
        <v>566.78891499999997</v>
      </c>
      <c r="N111" s="3">
        <f>1381.7+(176.8-932.4)+(1.409334+(0.180336-0.951048))+0-0-0</f>
        <v>626.73862200000019</v>
      </c>
      <c r="O111" s="3">
        <f>1613.4+(199.3-1118.5)+(0.822834+(0.101643-0.570435))+0-0-0</f>
        <v>694.55404200000009</v>
      </c>
      <c r="P111" s="3">
        <f>1673.9+(212.9-1154.5)+(0.853689+(0.108579-0.588795))+0-0-0</f>
        <v>732.67347300000006</v>
      </c>
      <c r="Q111" s="3">
        <f>1645.8+(233.5-1112.7)+(0.839358+(0.119085-0.567477))+0-0-0</f>
        <v>766.99096599999996</v>
      </c>
      <c r="R111" s="3">
        <f>1618.6+(244.1-1045.4)+(0+(0-0))+0-0-0</f>
        <v>817.29999999999984</v>
      </c>
      <c r="S111" s="3">
        <f>1603.8+(261.4-994.3)+(-0.817938+(-0.133314--0.507093))+0-0-0</f>
        <v>870.45584099999996</v>
      </c>
      <c r="T111" s="3">
        <f>1621.1+(273.6-1003.8)+(1.653522+(0.279072-1.023876))+0-0-0</f>
        <v>891.808718</v>
      </c>
      <c r="U111" s="3">
        <f>1637.7+(268.9-1023.2)+(0+(0-0))+0-0-0</f>
        <v>883.4</v>
      </c>
      <c r="V111" s="3">
        <f>1628.7+(267.1-1029)+(0+(0-0))+0-0-0</f>
        <v>866.80000000000007</v>
      </c>
      <c r="W111" s="3">
        <f>1631.3+(256-1039)+(-4.991778+(-0.78336--3.17934))+0-0-0</f>
        <v>845.70420200000001</v>
      </c>
      <c r="X111" s="3">
        <f>1591.7+(187.6-983.6)+(-7.305903+(-0.861084--4.514724))+0-0-0</f>
        <v>792.0477370000001</v>
      </c>
      <c r="Y111" s="3">
        <f>1556+(209.8-997.7)+(-1.58712+(-0.213996--1.017654))+0-0-0</f>
        <v>767.31653799999992</v>
      </c>
      <c r="Z111" s="3">
        <f>1353.6+(272.4-813.6)+(0+(0-0))+0-0-0</f>
        <v>812.39999999999986</v>
      </c>
      <c r="AA111" s="3">
        <f>1489.7+(271.2-833.3)+(-1.519494+(-0.276624--0.849966))+0-0-0</f>
        <v>926.65384800000015</v>
      </c>
      <c r="AB111" s="3">
        <f>1669.1+(264.5-975.2)+(-3.404964+(-0.53958--1.989408))+0-0-0</f>
        <v>956.44486399999982</v>
      </c>
      <c r="AC111" s="3">
        <f>1627.7+(286.4-989.7)+(-1.660254+(-0.292128--1.009494))+0-0-0</f>
        <v>923.45711199999994</v>
      </c>
      <c r="AD111" s="2">
        <v>900.90000000000009</v>
      </c>
      <c r="AE111" s="3">
        <f>1619+(257.7-975.8)+(0+(0-0))+0-0-0</f>
        <v>900.90000000000009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1558.6+(276.9-1034.2)+(-1.589772+(-0.282438--1.054884))+0-0-0</f>
        <v>800.48267399999986</v>
      </c>
      <c r="G112" s="3">
        <f>1548.8+(218.3-1039.8)+(-2.369664+(-0.333999--1.590894))+0-0-0</f>
        <v>726.187231</v>
      </c>
      <c r="H112" s="3">
        <f>1504.3+(210.8-1047)+(-3.835965+(-0.53754--2.66985))+0-0-0</f>
        <v>666.39634499999988</v>
      </c>
      <c r="I112" s="3">
        <f>1371.8+(173.4-928.6)+(0.699618+(0.088434-0.473586))+0-0-0</f>
        <v>616.91446599999995</v>
      </c>
      <c r="J112" s="3">
        <f>1347.5+(212.1-960.8)+(-0.687225+(-0.108171--0.490008))+0-0-0</f>
        <v>598.49461200000007</v>
      </c>
      <c r="K112" s="3">
        <f>1280.7+(216.8-933.8)+(-1.959471+(-0.331704--1.428714))+0-0-0</f>
        <v>562.83753899999999</v>
      </c>
      <c r="L112" s="3">
        <f>1283.8+(199.7-958.4)+(0+(0-0))+0-0-0</f>
        <v>525.09999999999991</v>
      </c>
      <c r="M112" s="3">
        <f>1285.4+(194.8-914.5)+(-0.655554+(-0.099348--0.466395))+0-0-0</f>
        <v>565.41149300000006</v>
      </c>
      <c r="N112" s="3">
        <f>1364.7+(186.8-937.7)+(2.783988+(0.381072-1.912908))+0-0-0</f>
        <v>615.05215199999998</v>
      </c>
      <c r="O112" s="3">
        <f>1500.6+(153.6-983)+(-1.530612+(-0.156672--1.00266))+0-0-0</f>
        <v>670.51537599999995</v>
      </c>
      <c r="P112" s="3">
        <f>1505.4+(224.2-992.8)+(-0.767754+(-0.114342--0.506328))+0-0-0</f>
        <v>736.42423200000019</v>
      </c>
      <c r="Q112" s="3">
        <f>1586.4+(237.4-1049.4)+(3.236256+(0.484296-2.140776))+0-0-0</f>
        <v>775.97977600000002</v>
      </c>
      <c r="R112" s="3">
        <f>1609.3+(226.8-1019.2)+(1.641486+(0.231336-1.039584))+0-0-0</f>
        <v>817.73323799999991</v>
      </c>
      <c r="S112" s="3">
        <f>1609.6+(241.4-992.7)+(0.820896+(0.123114-0.506277))+0-0-0</f>
        <v>858.73773299999982</v>
      </c>
      <c r="T112" s="3">
        <f>1610.4+(248.9-984.2)+(-0.821304+(-0.126939--0.501942))+0-0-0</f>
        <v>874.65369900000007</v>
      </c>
      <c r="U112" s="3">
        <f>1651.9+(247.8-1046.2)+(0+(0-0))+0-0-0</f>
        <v>853.5</v>
      </c>
      <c r="V112" s="3">
        <f>1647.1+(242.1-1069.1)+(0.840021+(0.123471-0.545241))+0-0-0</f>
        <v>820.51825100000008</v>
      </c>
      <c r="W112" s="3">
        <f>1648.9+(241-1093.7)+(0+(0-0))+0-0-0</f>
        <v>796.2</v>
      </c>
      <c r="X112" s="3">
        <f>1649.5+(227.1-1131.5)+(-1.68249+(-0.231642--1.15413))+0-0-0</f>
        <v>744.33999800000004</v>
      </c>
      <c r="Y112" s="3">
        <f>1527.2+(246.9-1067.1)+(3.115488+(0.503676-2.176884))+0-0-0</f>
        <v>708.4422800000001</v>
      </c>
      <c r="Z112" s="3">
        <f>1648+(279.3-1171.6)+(2.52144+(0.427329-1.792548))+0-0-0</f>
        <v>756.85622100000001</v>
      </c>
      <c r="AA112" s="3">
        <f>1635.6+(241.6-1011.2)+(-3.336624+(-0.492864--2.062848))+0-0-0</f>
        <v>864.23335999999983</v>
      </c>
      <c r="AB112" s="3">
        <f>1647+(254.3-1014.9)+(-2.51991+(-0.389079--1.552797))+0-0-0</f>
        <v>885.04380800000013</v>
      </c>
      <c r="AC112" s="3">
        <f>1574.4+(284.1-1009.3)+(-0.802944+(-0.144891--0.514743))+0-0-0</f>
        <v>848.76690800000017</v>
      </c>
      <c r="AD112" s="2">
        <v>871.69999999999993</v>
      </c>
      <c r="AE112" s="3">
        <f>1638+(240.6-1006.9)+(0+(0-0))+0-0-0</f>
        <v>871.7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1539.4+(262.4-1013.1)+(-2.355282+(-0.401472--1.550043))+0-0-0</f>
        <v>787.493289</v>
      </c>
      <c r="G113" s="3">
        <f>1512+(277-1068.5)+(-3.8556+(-0.70635--2.724675))+0-0-0</f>
        <v>718.66272500000002</v>
      </c>
      <c r="H113" s="3">
        <f>1516.6+(225.5-1081.2)+(-3.093864+(-0.46002--2.205648))+0-0-0</f>
        <v>659.55176399999982</v>
      </c>
      <c r="I113" s="3">
        <f>1457.5+(207.1-1028)+(-3.716625+(-0.528105--2.6214))+0-0-0</f>
        <v>634.97667000000001</v>
      </c>
      <c r="J113" s="3">
        <f>1265.1+(203.5-871.3)+(-0.645201+(-0.103785--0.444363))+0-0-0</f>
        <v>596.99537699999996</v>
      </c>
      <c r="K113" s="3">
        <f>1266.7+(184.1-882.2)+(0+(0-0))+0-0-0</f>
        <v>568.6</v>
      </c>
      <c r="L113" s="3">
        <f>1257.3+(182.4-909.1)+(-1.923669+(-0.279072--1.390923))+0-0-0</f>
        <v>529.78818199999989</v>
      </c>
      <c r="M113" s="3">
        <f>1289.3+(174-903.1)+(1.972629+(0.26622-1.381743))+0-0-0</f>
        <v>561.05710599999998</v>
      </c>
      <c r="N113" s="3">
        <f>1504.3+(208.9-1073.8)+(0+(0-0))+0-0-0</f>
        <v>639.4</v>
      </c>
      <c r="O113" s="3">
        <f>1507.7+(220.4-1022.7)+(0+(0-0))+0-0-0</f>
        <v>705.4</v>
      </c>
      <c r="P113" s="3">
        <f>1509.4+(241.7-1009.4)+(0+(0-0))+0-0-0</f>
        <v>741.7</v>
      </c>
      <c r="Q113" s="3">
        <f>1511.5+(252.3-976.5)+(1.54173+(0.257346-0.99603))+0-0-0</f>
        <v>788.10304599999995</v>
      </c>
      <c r="R113" s="3">
        <f>1628.3+(220.1-1029.3)+(1.660866+(0.224502-1.049886))+0-0-0</f>
        <v>819.93548199999998</v>
      </c>
      <c r="S113" s="3">
        <f>1623.7+(217.7-984.8)+(-2.484261+(-0.333081--1.506744))+0-0-0</f>
        <v>855.28940200000011</v>
      </c>
      <c r="T113" s="3">
        <f>1649.2+(215.4-996.2)+(-1.682184+(-0.219708--1.016124))+0-0-0</f>
        <v>867.51423199999999</v>
      </c>
      <c r="U113" s="3">
        <f>1667.3+(190.8-1008.3)+(-3.401292+(-0.389232--2.056932))+0-0-0</f>
        <v>848.06640799999991</v>
      </c>
      <c r="V113" s="3">
        <f>1660.1+(188.5-1026.6)+(-0.846651+(-0.096135--0.523566))+0-0-0</f>
        <v>821.58078</v>
      </c>
      <c r="W113" s="3">
        <f>1659.4+(188-1061)+(-2.538882+(-0.28764--1.62333))+0-0-0</f>
        <v>785.19680800000015</v>
      </c>
      <c r="X113" s="3">
        <f>1665.8+(169.5-1090.2)+(-4.24779+(-0.432225--2.78001))+0-0-0</f>
        <v>743.19999499999994</v>
      </c>
      <c r="Y113" s="3">
        <f>1669.5+(89-1040)+(0+(0-0))+0-0-0</f>
        <v>718.5</v>
      </c>
      <c r="Z113" s="3">
        <f>1648.8+(181.8-1063.2)+(0+(0-0))+0-0-0</f>
        <v>767.39999999999986</v>
      </c>
      <c r="AA113" s="3">
        <f>1656.5+(185.2-976.5)+(-2.534445+(-0.283356--1.494045))+0-0-0</f>
        <v>863.87624400000004</v>
      </c>
      <c r="AB113" s="3">
        <f>1664.5+(175.6-959.4)+(-2.546685+(-0.268668--1.467882))+0-0-0</f>
        <v>879.352529</v>
      </c>
      <c r="AC113" s="3">
        <f>1662.6+(181.4-996)+(-1.695852+(-0.185028--1.01592))+0-0-0</f>
        <v>847.13503999999989</v>
      </c>
      <c r="AD113" s="2">
        <v>862.8</v>
      </c>
      <c r="AE113" s="3">
        <f>1666+(181.5-984.7)+(0+(0-0))+0-0-0</f>
        <v>862.8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1627+(184.9-1006.5)+(-0.82977+(-0.094299--0.513315))+0-0-0</f>
        <v>804.98924599999998</v>
      </c>
      <c r="G114" s="3">
        <f>1611.5+(212.2-1077.1)+(-3.28746+(-0.432888--2.197284))+0-0-0</f>
        <v>745.07693600000016</v>
      </c>
      <c r="H114" s="3">
        <f>1616.9+(231.2-1156.5)+(-0.824619+(-0.117912--0.589815))+0-0-0</f>
        <v>691.24728400000015</v>
      </c>
      <c r="I114" s="3">
        <f>1566+(238.6-1137)+(-2.39598+(-0.365058--1.73961))+0-0-0</f>
        <v>666.57857200000001</v>
      </c>
      <c r="J114" s="3">
        <f>1339.7+(127.6-839.5)+(-1.366494+(-0.130152--0.85629))+0-0-0</f>
        <v>627.15964400000007</v>
      </c>
      <c r="K114" s="3">
        <f>1327.7+(129.8-854.3)+(-4.062762+(-0.397188--2.614158))+0-0-0</f>
        <v>601.35420800000009</v>
      </c>
      <c r="L114" s="3">
        <f>1341.8+(133.5-906.9)+(0+(0-0))+0-0-0</f>
        <v>568.4</v>
      </c>
      <c r="M114" s="3">
        <f>1342+(112.8-845.6)+(0.68442+(0.057528-0.431256))+0-0-0</f>
        <v>609.51069199999995</v>
      </c>
      <c r="N114" s="3">
        <f>1338.5+(126.2-787.2)+(1.36527+(0.128724-0.802944))+0-0-0</f>
        <v>678.19105000000002</v>
      </c>
      <c r="O114" s="3">
        <f>1472.7+(166.1-894.8)+(0+(0-0))+0-0-0</f>
        <v>744.00000000000011</v>
      </c>
      <c r="P114" s="3">
        <f>1612.2+(189.9-1007.1)+(2.466666+(0.290547-1.540863))+0-0-0</f>
        <v>796.21635000000003</v>
      </c>
      <c r="Q114" s="3">
        <f>1605.4+(181.6-956)+(-1.637508+(-0.185232--0.97512))+0-0-0</f>
        <v>830.15238000000011</v>
      </c>
      <c r="R114" s="3">
        <f>1656.6+(175.5-933.6)+(0.844866+(0.089505-0.476136))+0-0-0</f>
        <v>898.95823499999983</v>
      </c>
      <c r="S114" s="3">
        <f>1628+(163.5-844.1)+(-4.1514+(-0.416925--2.152455))+0-0-0</f>
        <v>944.98412999999994</v>
      </c>
      <c r="T114" s="3">
        <f>1632+(177.5-843.7)+(-1.66464+(-0.18105--0.860574))+0-0-0</f>
        <v>964.81488400000001</v>
      </c>
      <c r="U114" s="3">
        <f>1636.2+(172-870.4)+(-0.834462+(-0.08772--0.443904))+0-0-0</f>
        <v>937.32172200000002</v>
      </c>
      <c r="V114" s="3">
        <f>1637+(169.3-912.5)+(0.83487+(0.086343-0.465375))+0-0-0</f>
        <v>894.25583799999993</v>
      </c>
      <c r="W114" s="3">
        <f>1625.9+(185.1-953.3)+(-0.829209+(-0.094401--0.486183))+0-0-0</f>
        <v>857.2625730000002</v>
      </c>
      <c r="X114" s="3">
        <f>1622.3+(187.8-995.4)+(-1.654746+(-0.191556--1.015308))+0-0-0</f>
        <v>813.86900600000001</v>
      </c>
      <c r="Y114" s="3">
        <f>1617.2+(146.2-993.5)+(-3.299088+(-0.298248--2.02674))+0-0-0</f>
        <v>768.32940400000007</v>
      </c>
      <c r="Z114" s="3">
        <f>1673.7+(187.8-1058.3)+(3.414348+(0.383112-2.158932))+0-0-0</f>
        <v>804.838528</v>
      </c>
      <c r="AA114" s="3">
        <f>1699.4+(191-975.5)+(-1.733388+(-0.19482--0.99501))+0-0-0</f>
        <v>913.96680200000014</v>
      </c>
      <c r="AB114" s="3">
        <f>1692.9+(185.9-926.4)+(-3.453516+(-0.379236--1.889856))+0-0-0</f>
        <v>950.45710400000007</v>
      </c>
      <c r="AC114" s="3">
        <f>1681+(203.9-965.8)+(0.85731+(0.103989-0.492558))+0-0-0</f>
        <v>919.56874100000005</v>
      </c>
      <c r="AD114" s="2">
        <v>892.1</v>
      </c>
      <c r="AE114" s="3">
        <f>1702+(184.2-994.1)+(0+(0-0))+0-0-0</f>
        <v>892.09999999999991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1626.9+(162.4-950)+(-0.829719+(-0.082824--0.4845))+0-0-0</f>
        <v>838.87195700000007</v>
      </c>
      <c r="G115" s="3">
        <f>1613.9+(178.2-1023.2)+(-0.823089+(-0.090882--0.521832))+0-0-0</f>
        <v>768.50786100000005</v>
      </c>
      <c r="H115" s="3">
        <f>1612.7+(187.3-1081.8)+(-1.644954+(-0.191046--1.103436))+0-0-0</f>
        <v>717.46743600000002</v>
      </c>
      <c r="I115" s="3">
        <f>1551.2+(169.5-1046)+(-2.373336+(-0.259335--1.60038))+0-0-0</f>
        <v>673.66770900000006</v>
      </c>
      <c r="J115" s="3">
        <f>1327.3+(193.1-878.5)+(-1.353846+(-0.196962--0.89607))+0-0-0</f>
        <v>641.24526200000003</v>
      </c>
      <c r="K115" s="3">
        <f>1319.1+(178.7-897.2)+(-1.345482+(-0.182274--0.915144))+0-0-0</f>
        <v>599.9873879999999</v>
      </c>
      <c r="L115" s="3">
        <f>1244.7+(53.6-750.3)+(0.634797+(0.027336-0.382653))+0-0-0</f>
        <v>548.27948000000015</v>
      </c>
      <c r="M115" s="3">
        <f>1269.6+(80.1-782.4)+(1.942488+(0.122553-1.197072))+0-0-0</f>
        <v>568.16796899999997</v>
      </c>
      <c r="N115" s="3">
        <f>1522.3+(105.9-1003.3)+(-0.776373+(-0.054009--0.511683))+0-0-0</f>
        <v>624.58130099999994</v>
      </c>
      <c r="O115" s="3">
        <f>1614.4+(126.8-1070.3)+(3.293376+(0.258672-2.183412))+0-0-0</f>
        <v>672.26863600000013</v>
      </c>
      <c r="P115" s="3">
        <f>1606.7+(117.6-1030.6)+(0+(0-0))+0-0-0</f>
        <v>693.70000000000016</v>
      </c>
      <c r="Q115" s="3">
        <f>1624+(114.7-1025.4)+(3.31296+(0.233988-2.091816))+0-0-0</f>
        <v>714.755132</v>
      </c>
      <c r="R115" s="3">
        <f>1608.4+(118-968.5)+(-0.820284+(-0.06018--0.493935))+0-0-0</f>
        <v>757.5134710000001</v>
      </c>
      <c r="S115" s="3">
        <f>1663.7+(76.8-974.1)+(-1.696974+(-0.078336--0.993582))+0-0-0</f>
        <v>765.61827199999993</v>
      </c>
      <c r="T115" s="3">
        <f>1721.9+(113.4-1038.8)+(1.756338+(0.115668-1.059576))+0-0-0</f>
        <v>797.31243000000006</v>
      </c>
      <c r="U115" s="3">
        <f>1715.6+(112-1054.1)+(-0.874956+(-0.05712--0.537591))+0-0-0</f>
        <v>773.10551499999997</v>
      </c>
      <c r="V115" s="3">
        <f>1719.1+(116.1-1069.2)+(-1.753482+(-0.118422--1.090584))+0-0-0</f>
        <v>765.21867999999984</v>
      </c>
      <c r="W115" s="3">
        <f>1688.6+(125.4-1059.1)+(0.861186+(0.063954-0.540141))+0-0-0</f>
        <v>755.28499899999997</v>
      </c>
      <c r="X115" s="3">
        <f>1673.8+(127-1060.6)+(-2.560914+(-0.19431--1.622718))+0-0-0</f>
        <v>739.06749400000001</v>
      </c>
      <c r="Y115" s="3">
        <f>1610.7+(127-997.4)+(-3.285828+(-0.25908--2.034696))+0-0-0</f>
        <v>738.78978800000004</v>
      </c>
      <c r="Z115" s="3">
        <f>1621.8+(174.2-1007.8)+(0.827118+(0.088842-0.513978))+0-0-0</f>
        <v>788.60198200000002</v>
      </c>
      <c r="AA115" s="3">
        <f>1714.3+(146-965.7)+(-2.622879+(-0.22338--1.477521))+0-0-0</f>
        <v>893.2312619999999</v>
      </c>
      <c r="AB115" s="3">
        <f>1749.7+(144.1-996.9)+(-1.784694+(-0.146982--1.016838))+0-0-0</f>
        <v>895.98516200000006</v>
      </c>
      <c r="AC115" s="3">
        <f>1667.4+(182.5-985.1)+(-2.551122+(-0.279225--1.507203))+0-0-0</f>
        <v>863.47685600000011</v>
      </c>
      <c r="AD115" s="2">
        <v>839.90000000000009</v>
      </c>
      <c r="AE115" s="3">
        <f>1714+(142.2-1016.3)+(0+(0-0))+0-0-0</f>
        <v>839.90000000000009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1559.2+(189.5-980.6)+(2.385576+(0.289935-1.500318))+0-0-0</f>
        <v>769.27519300000006</v>
      </c>
      <c r="G116" s="3">
        <f>1549.8+(191.9-1025.5)+(0+(0-0))+0-0-0</f>
        <v>716.19999999999993</v>
      </c>
      <c r="H116" s="3">
        <f>1553.9+(188.4-1063.9)+(1.584978+(0.192168-1.085178))+0-0-0</f>
        <v>679.09196799999995</v>
      </c>
      <c r="I116" s="3">
        <f>1543.2+(194.7-1095.1)+(-1.574064+(-0.198594--1.117002))+0-0-0</f>
        <v>642.14434400000016</v>
      </c>
      <c r="J116" s="3">
        <f>1474.4+(196.7-1056.7)+(-0.751944+(-0.100317--0.538917))+0-0-0</f>
        <v>614.08665600000006</v>
      </c>
      <c r="K116" s="3">
        <f>1351.9+(187.5-972.7)+(-3.447345+(-0.478125--2.480385))+0-0-0</f>
        <v>565.2549150000001</v>
      </c>
      <c r="L116" s="3">
        <f>1357.9+(117.9-965)+(-2.770116+(-0.240516--1.9686))+0-0-0</f>
        <v>509.75796800000006</v>
      </c>
      <c r="M116" s="3">
        <f>1362.5+(88.2-955.6)+(-0.694875+(-0.044982--0.487356))+0-0-0</f>
        <v>494.84749900000003</v>
      </c>
      <c r="N116" s="3">
        <f>1359.4+(64.4-913.3)+(-1.386588+(-0.065688--0.931566))+0-0-0</f>
        <v>509.97929000000011</v>
      </c>
      <c r="O116" s="3">
        <f>1357.1+(106.7-926.8)+(-1.384242+(-0.108834--0.945336))+0-0-0</f>
        <v>536.45226000000002</v>
      </c>
      <c r="P116" s="3">
        <f>1411.7+(130.9-963.3)+(-0.719967+(-0.066759--0.491283))+0-0-0</f>
        <v>579.00455700000009</v>
      </c>
      <c r="Q116" s="3">
        <f>1449+(161-981.7)+(-0.73899+(-0.08211--0.500667))+0-0-0</f>
        <v>627.97956699999997</v>
      </c>
      <c r="R116" s="3">
        <f>1527.1+(158.9-1004.2)+(0+(0-0))+0-0-0</f>
        <v>681.79999999999984</v>
      </c>
      <c r="S116" s="3">
        <f>1603.3+(158-1041.9)+(-1.635366+(-0.16116--1.062738))+0-0-0</f>
        <v>718.66621199999986</v>
      </c>
      <c r="T116" s="3">
        <f>1612.1+(165.2-1037)+(1.644342+(0.168504-1.05774))+0-0-0</f>
        <v>741.05510599999991</v>
      </c>
      <c r="U116" s="3">
        <f>1604.2+(165.9-1039.3)+(-1.636284+(-0.169218--1.060086))+0-0-0</f>
        <v>730.05458400000009</v>
      </c>
      <c r="V116" s="3">
        <f>1594.9+(163.6-1046.1)+(-3.253596+(-0.333744--2.134044))+0-0-0</f>
        <v>710.94670400000018</v>
      </c>
      <c r="W116" s="3">
        <f>1599.6+(173.3-1070.4)+(-1.631592+(-0.176766--1.091808))+0-0-0</f>
        <v>701.78344999999979</v>
      </c>
      <c r="X116" s="3">
        <f>1595.9+(131-1054.3)+(-2.441727+(-0.20043--1.613079))+0-0-0</f>
        <v>671.57092200000011</v>
      </c>
      <c r="Y116" s="3">
        <f>1598+(96.1-1039.6)+(-0.81498+(-0.049011--0.530196))+0-0-0</f>
        <v>654.1662050000001</v>
      </c>
      <c r="Z116" s="3">
        <f>1624.5+(179.2-1106)+(0+(0-0))+0-0-0</f>
        <v>697.7</v>
      </c>
      <c r="AA116" s="3">
        <f>1655.8+(218.7-1051.5)+(2.533374+(0.334611-1.608795))+0-0-0</f>
        <v>824.25918999999999</v>
      </c>
      <c r="AB116" s="3">
        <f>1636.1+(215.8-997.9)+(-2.503233+(-0.330174--1.526787))+0-0-0</f>
        <v>852.69338000000005</v>
      </c>
      <c r="AC116" s="3">
        <f>1639.1+(232.2-1030.4)+(-2.507823+(-0.355266--1.576512))+0-0-0</f>
        <v>839.6134229999999</v>
      </c>
      <c r="AD116" s="2">
        <v>810.7</v>
      </c>
      <c r="AE116" s="3">
        <f>1656+(220-1065.3)+(0+(0-0))+0-0-0</f>
        <v>810.7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1603.9+(209.7-1051.1)+(-0.817989+(-0.106947--0.536061))+0-0-0</f>
        <v>762.11112500000024</v>
      </c>
      <c r="G117" s="3">
        <f>1554.6+(195.7-1037.9)+(-2.378538+(-0.299421--1.587987))+0-0-0</f>
        <v>711.31002799999987</v>
      </c>
      <c r="H117" s="3">
        <f>1410.1+(208.3-965.5)+(-1.438302+(-0.212466--0.98481))+0-0-0</f>
        <v>652.23404199999982</v>
      </c>
      <c r="I117" s="3">
        <f>1328.6+(211.4-930.8)+(-1.355172+(-0.215628--0.949416))+0-0-0</f>
        <v>608.5786159999999</v>
      </c>
      <c r="J117" s="3">
        <f>1327+(193.8-956.5)+(-1.35354+(-0.197676--0.97563))+0-0-0</f>
        <v>563.72441399999991</v>
      </c>
      <c r="K117" s="3">
        <f>1323.3+(174.5-955.8)+(-2.699532+(-0.35598--1.949832))+0-0-0</f>
        <v>540.89431999999999</v>
      </c>
      <c r="L117" s="3">
        <f>1329.3+(183.9-995.6)+(0+(0-0))+0-0-0</f>
        <v>517.59999999999991</v>
      </c>
      <c r="M117" s="3">
        <f>1334.1+(187.8-965.3)+(-0.680391+(-0.095778--0.492303))+0-0-0</f>
        <v>556.31613399999992</v>
      </c>
      <c r="N117" s="3">
        <f>1358.7+(216.5-948)+(1.385874+(0.22083-0.96696))+0-0-0</f>
        <v>627.839744</v>
      </c>
      <c r="O117" s="3">
        <f>1531.9+(212-1022.9)+(-0.781269+(-0.10812--0.521679))+0-0-0</f>
        <v>720.63229000000013</v>
      </c>
      <c r="P117" s="3">
        <f>1602+(206.2-1034.7)+(1.63404+(0.210324-1.055394))+0-0-0</f>
        <v>774.28896999999995</v>
      </c>
      <c r="Q117" s="3">
        <f>1612+(200.5-981.3)+(0.82212+(0.102255-0.500463))+0-0-0</f>
        <v>831.62391200000002</v>
      </c>
      <c r="R117" s="3">
        <f>1651.3+(194.8-987.4)+(0.842163+(0.099348-0.503574))+0-0-0</f>
        <v>859.13793700000008</v>
      </c>
      <c r="S117" s="3">
        <f>1667.3+(206.6-948.4)+(-0.850323+(-0.105366--0.483684))+0-0-0</f>
        <v>925.02799500000003</v>
      </c>
      <c r="T117" s="3">
        <f>1659.8+(210.4-908.5)+(-2.539494+(-0.321912--1.390005))+0-0-0</f>
        <v>960.22859899999992</v>
      </c>
      <c r="U117" s="3">
        <f>1651+(197.6-903.2)+(-3.36804+(-0.403104--1.842528))+0-0-0</f>
        <v>943.47138399999994</v>
      </c>
      <c r="V117" s="3">
        <f>1657+(192.7-932.7)+(-3.38028+(-0.393108--1.902708))+0-0-0</f>
        <v>915.12932000000001</v>
      </c>
      <c r="W117" s="3">
        <f>1657.7+(169.1-954.7)+(-2.536281+(-0.258723--1.460691))+0-0-0</f>
        <v>870.76568700000007</v>
      </c>
      <c r="X117" s="3">
        <f>1651+(183-1013.6)+(-5.89407+(-0.65331--3.618552))+0-0-0</f>
        <v>817.47117200000002</v>
      </c>
      <c r="Y117" s="3">
        <f>1653.5+(90.3-983.7)+(-4.216425+(-0.230265--2.508435))+0-0-0</f>
        <v>758.16174499999988</v>
      </c>
      <c r="Z117" s="3">
        <f>1679.1+(156.7-1045.1)+(3.425364+(0.319668-2.132004))+0-0-0</f>
        <v>792.31302800000003</v>
      </c>
      <c r="AA117" s="3">
        <f>1671.8+(203.8-951.3)+(-0.852618+(-0.103938--0.485163))+0-0-0</f>
        <v>923.82860699999992</v>
      </c>
      <c r="AB117" s="3">
        <f>1681.2+(185-916.8)+(-5.144472+(-0.5661--2.805408))+0-0-0</f>
        <v>946.49483600000008</v>
      </c>
      <c r="AC117" s="3">
        <f>1690.1+(189.3-974.6)+(0.861951+(0.096543-0.497046))+0-0-0</f>
        <v>905.26144799999997</v>
      </c>
      <c r="AD117" s="2">
        <v>935.59999999999991</v>
      </c>
      <c r="AE117" s="3">
        <f>1685+(193.6-943)+(0+(0-0))+0-0-0</f>
        <v>935.6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1674.4+(169.9-993.7)+(-2.561832+(-0.259947--1.520361))+0-0-0</f>
        <v>849.29858200000001</v>
      </c>
      <c r="G118" s="3">
        <f>1684.4+(197-1106)+(0.859044+(0.10047-0.56406))+0-0-0</f>
        <v>775.79545400000006</v>
      </c>
      <c r="H118" s="3">
        <f>1677.3+(173.2-1141.1)+(-0.855423+(-0.088332--0.581961))+0-0-0</f>
        <v>709.03820600000006</v>
      </c>
      <c r="I118" s="3">
        <f>1673.4+(39.6-1054.1)+(-1.706868+(-0.040392--1.075182))+0-0-0</f>
        <v>658.22792200000015</v>
      </c>
      <c r="J118" s="3">
        <f>1564.1+(42.7-977.2)+(-3.190764+(-0.087108--1.993488))+0-0-0</f>
        <v>628.31561599999986</v>
      </c>
      <c r="K118" s="3">
        <f>1433.7+(45.7-898.6)+(-2.193561+(-0.069921--1.374858))+0-0-0</f>
        <v>579.91137600000002</v>
      </c>
      <c r="L118" s="3">
        <f>1431.8+(52.1-940.2)+(-3.65109+(-0.132855--2.39751))+0-0-0</f>
        <v>542.31356499999993</v>
      </c>
      <c r="M118" s="3">
        <f>1450.9+(70.2-943.2)+(2.959836+(0.143208-1.924128))+0-0-0</f>
        <v>579.07891600000005</v>
      </c>
      <c r="N118" s="3">
        <f>1620.8+(141-1114.2)+(0+(0-0))+0-0-0</f>
        <v>647.59999999999991</v>
      </c>
      <c r="O118" s="3">
        <f>1688.7+(146.1-1140.4)+(1.722474+(0.149022-1.163208))+0-0-0</f>
        <v>695.10828800000002</v>
      </c>
      <c r="P118" s="3">
        <f>1681+(154-1082.8)+(1.71462+(0.15708-1.104456))+0-0-0</f>
        <v>752.96724400000005</v>
      </c>
      <c r="Q118" s="3">
        <f>1680.5+(184-1066.6)+(0+(0-0))+0-0-0</f>
        <v>797.90000000000009</v>
      </c>
      <c r="R118" s="3">
        <f>1699.3+(184.8-1079.4)+(0.866643+(0.094248-0.550494))+0-0-0</f>
        <v>805.11039699999981</v>
      </c>
      <c r="S118" s="3">
        <f>1703.1+(197.8-1078.2)+(-1.737162+(-0.201756--1.099764))+0-0-0</f>
        <v>821.86084599999981</v>
      </c>
      <c r="T118" s="3">
        <f>1692.3+(196.5-1095.4)+(-3.452292+(-0.40086--2.234616))+0-0-0</f>
        <v>791.78146399999991</v>
      </c>
      <c r="U118" s="3">
        <f>1701.1+(187.6-1138.4)+(0.867561+(0.095676-0.580584))+0-0-0</f>
        <v>750.68265299999985</v>
      </c>
      <c r="V118" s="3">
        <f>1687+(166.6-1144.9)+(-3.44148+(-0.339864--2.335596))+0-0-0</f>
        <v>707.25425199999995</v>
      </c>
      <c r="W118" s="3">
        <f>1692.1+(162.1-1162.1)+(-1.725942+(-0.165342--1.185342))+0-0-0</f>
        <v>691.39405799999997</v>
      </c>
      <c r="X118" s="3">
        <f>1697+(155.6-1172.7)+(-1.73094+(-0.158712--1.196154))+0-0-0</f>
        <v>679.206502</v>
      </c>
      <c r="Y118" s="3">
        <f>1686.2+(55-1072.8)+(0+(0-0))+0-0-0</f>
        <v>668.40000000000009</v>
      </c>
      <c r="Z118" s="3">
        <f>1707.4+(107.3-1084.9)+(0+(0-0))+0-0-0</f>
        <v>729.8</v>
      </c>
      <c r="AA118" s="3">
        <f>1725.4+(156-1080.3)+(-3.519816+(-0.31824--2.203812))+0-0-0</f>
        <v>799.46575600000017</v>
      </c>
      <c r="AB118" s="3">
        <f>1729.5+(158.9-1092.1)+(-3.52818+(-0.324156--2.227884))+0-0-0</f>
        <v>794.67554800000005</v>
      </c>
      <c r="AC118" s="3">
        <f>1676.9+(175.2-1097.2)+(-4.276095+(-0.44676--2.79786))+0-0-0</f>
        <v>752.97500500000012</v>
      </c>
      <c r="AD118" s="2">
        <v>788.5</v>
      </c>
      <c r="AE118" s="3">
        <f>1723+(158.1-1092.6)+(0+(0-0))+0-0-0</f>
        <v>788.50000000000011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1607+(193.7-1109.7)+(-4.09785+(-0.493935--2.829735))+0-0-0</f>
        <v>689.23794999999996</v>
      </c>
      <c r="G119" s="3">
        <f>1608.2+(187.5-1162.8)+(-2.460546+(-0.286875--1.779084))+0-0-0</f>
        <v>631.93166300000007</v>
      </c>
      <c r="H119" s="3">
        <f>1490.4+(130.6-1036)+(-0.760104+(-0.066606--0.52836))+0-0-0</f>
        <v>584.70165000000009</v>
      </c>
      <c r="I119" s="3">
        <f>1415.1+(53.6-914)+(-3.608505+(-0.13668--2.3307))+0-0-0</f>
        <v>553.28551499999992</v>
      </c>
      <c r="J119" s="3">
        <f>1296.6+(52.8-819.2)+(-2.645064+(-0.107712--1.671168))+0-0-0</f>
        <v>529.11839199999986</v>
      </c>
      <c r="K119" s="3">
        <f>1203.8+(56.6-754.9)+(-1.227876+(-0.057732--0.769998))+0-0-0</f>
        <v>504.98439000000002</v>
      </c>
      <c r="L119" s="3">
        <f>1200.4+(62.4-785.9)+(-3.06102+(-0.15912--2.004045))+0-0-0</f>
        <v>475.6839050000001</v>
      </c>
      <c r="M119" s="3">
        <f>1224.1+(57.7-791.6)+(2.497164+(0.117708-1.614864))+0-0-0</f>
        <v>491.20000799999991</v>
      </c>
      <c r="N119" s="3">
        <f>1505.6+(70.7-1035.3)+(3.83928+(0.180285-2.640015))+0-0-0</f>
        <v>542.37954999999999</v>
      </c>
      <c r="O119" s="3">
        <f>1631+(95.1-1127.9)+(1.66362+(0.097002-1.150458))+0-0-0</f>
        <v>598.81016399999987</v>
      </c>
      <c r="P119" s="3">
        <f>1621.2+(144.4-1127.9)+(2.480436+(0.220932-1.725687))+0-0-0</f>
        <v>638.67568099999994</v>
      </c>
      <c r="Q119" s="3">
        <f>1618+(129.4-1091.8)+(3.30072+(0.263976-2.227272))+0-0-0</f>
        <v>656.93742400000008</v>
      </c>
      <c r="R119" s="3">
        <f>1619.5+(143.6-1090.7)+(2.477835+(0.219708-1.668771))+0-0-0</f>
        <v>673.42877199999998</v>
      </c>
      <c r="S119" s="3">
        <f>1599.2+(177.9-1123.1)+(-0.815592+(-0.090729--0.572781))+0-0-0</f>
        <v>653.66646000000014</v>
      </c>
      <c r="T119" s="3">
        <f>1611.6+(190.3-1157.8)+(0+(0-0))+0-0-0</f>
        <v>644.09999999999991</v>
      </c>
      <c r="U119" s="3">
        <f>1598.7+(183-1148.8)+(-4.076685+(-0.46665--2.92944))+0-0-0</f>
        <v>631.28610500000013</v>
      </c>
      <c r="V119" s="3">
        <f>1611.1+(190.7-1157.5)+(0.821661+(0.097257-0.590325))+0-0-0</f>
        <v>644.62859299999991</v>
      </c>
      <c r="W119" s="3">
        <f>1596.7+(150.8-1088.6)+(-2.442951+(-0.230724--1.665558))+0-0-0</f>
        <v>657.89188300000012</v>
      </c>
      <c r="X119" s="3">
        <f>1589.2+(90.2-1031.8)+(-4.862952+(-0.276012--3.157308))+0-0-0</f>
        <v>645.61834400000009</v>
      </c>
      <c r="Y119" s="3">
        <f>1602.7+(6.2-998.8)+(0+(0-0))+0-0-0</f>
        <v>610.10000000000014</v>
      </c>
      <c r="Z119" s="3">
        <f>1612+(125.9-1063.2)+(-2.46636+(-0.192627--1.626696))+0-0-0</f>
        <v>673.66770899999995</v>
      </c>
      <c r="AA119" s="3">
        <f>1647.9+(96.8-965.2)+(-2.521287+(-0.148104--1.476756))+0-0-0</f>
        <v>778.307365</v>
      </c>
      <c r="AB119" s="3">
        <f>1609.3+(23.9-859)+(-4.924458+(-0.073134--2.62854))+0-0-0</f>
        <v>771.83094799999992</v>
      </c>
      <c r="AC119" s="3">
        <f>1613.6+(8.2-885.7)+(-2.468808+(-0.012546--1.355121))+0-0-0</f>
        <v>734.97376699999995</v>
      </c>
      <c r="AD119" s="2">
        <v>752.60000000000014</v>
      </c>
      <c r="AE119" s="3">
        <f>1642+(56.4-945.8)+(0+(0-0))+0-0-0</f>
        <v>752.6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1596.5+(0-926.6)+(-5.699505+(0--3.307962))+0-0-0</f>
        <v>667.50845700000002</v>
      </c>
      <c r="G120" s="3">
        <f>1595.6+(7.4-985.7)+(-4.06878+(-0.01887--2.513535))+0-0-0</f>
        <v>615.72588499999983</v>
      </c>
      <c r="H120" s="3">
        <f>1550.2+(16.8-993.5)+(-3.162408+(-0.034272--2.02674))+0-0-0</f>
        <v>572.33006</v>
      </c>
      <c r="I120" s="3">
        <f>1458.2+(29-932.6)+(-2.974728+(-0.05916--1.902504))+0-0-0</f>
        <v>553.468616</v>
      </c>
      <c r="J120" s="3">
        <f>1344.3+(39.3-850.3)+(0+(0-0))+0-0-0</f>
        <v>533.29999999999995</v>
      </c>
      <c r="K120" s="3">
        <f>1335.3+(33.6-856.7)+(-2.724012+(-0.068544--1.747668))+0-0-0</f>
        <v>511.15511199999992</v>
      </c>
      <c r="L120" s="3">
        <f>1247.6+(68.3-830.2)+(0+(0-0))+0-0-0</f>
        <v>485.69999999999982</v>
      </c>
      <c r="M120" s="3">
        <f>1281.3+(97.5-855.7)+(1.960389+(0.149175-1.309221))+0-0-0</f>
        <v>523.90034299999991</v>
      </c>
      <c r="N120" s="3">
        <f>1506.9+(46.9-956.1)+(0.768519+(0.023919-0.487611))+0-0-0</f>
        <v>598.00482700000009</v>
      </c>
      <c r="O120" s="3">
        <f>1594.4+(46.8-972.1)+(0.813144+(0.023868-0.495771))+0-0-0</f>
        <v>669.44124099999999</v>
      </c>
      <c r="P120" s="3">
        <f>1605.5+(120.6-983.4)+(3.27522+(0.246024-2.006136))+0-0-0</f>
        <v>744.2151080000001</v>
      </c>
      <c r="Q120" s="3">
        <f>1610.4+(136.2-975.8)+(2.463912+(0.208386-1.492974))+0-0-0</f>
        <v>771.97932400000013</v>
      </c>
      <c r="R120" s="3">
        <f>1599+(193.7-997.4)+(-0.81549+(-0.098787--0.508674))+0-0-0</f>
        <v>794.89439699999991</v>
      </c>
      <c r="S120" s="3">
        <f>1606.1+(207.4-980.9)+(-2.457333+(-0.317322--1.500777))+0-0-0</f>
        <v>831.32612199999994</v>
      </c>
      <c r="T120" s="3">
        <f>1603.6+(210.6-960.3)+(-0.817836+(-0.107406--0.489753))+0-0-0</f>
        <v>853.46451100000002</v>
      </c>
      <c r="U120" s="3">
        <f>1592.7+(204.4-960.5)+(3.249108+(0.416976-1.95942))+0-0-0</f>
        <v>838.30666400000007</v>
      </c>
      <c r="V120" s="3">
        <f>1560+(204.7-939.2)+(0+(0-0))+0-0-0</f>
        <v>825.5</v>
      </c>
      <c r="W120" s="3">
        <f>1546.1+(199.3-933.4)+(-3.942555+(-0.508215--2.38017))+0-0-0</f>
        <v>809.92939999999999</v>
      </c>
      <c r="X120" s="3">
        <f>1553.5+(186.5-973.9)+(-2.376855+(-0.285345--1.490067))+0-0-0</f>
        <v>764.92786699999999</v>
      </c>
      <c r="Y120" s="3">
        <f>1560.6+(161.9-997.1)+(-0.795906+(-0.082569--0.508521))+0-0-0</f>
        <v>725.03004599999986</v>
      </c>
      <c r="Z120" s="3">
        <f>1574.9+(213.3-1028.7)+(1.606398+(0.217566-1.049274))+0-0-0</f>
        <v>760.27468999999996</v>
      </c>
      <c r="AA120" s="3">
        <f>1605.1+(208.9-929.5)+(-1.637202+(-0.213078--0.94809))+0-0-0</f>
        <v>883.59780999999987</v>
      </c>
      <c r="AB120" s="3">
        <f>1597.7+(205.2-898.2)+(-1.629654+(-0.209304--0.916164))+0-0-0</f>
        <v>903.77720600000009</v>
      </c>
      <c r="AC120" s="3">
        <f>1587.6+(209.4-931.6)+(-1.619352+(-0.213588--0.950232))+0-0-0</f>
        <v>864.51729199999988</v>
      </c>
      <c r="AD120" s="2">
        <v>870.3</v>
      </c>
      <c r="AE120" s="3">
        <f>1593+(215.8-938.5)+(0+(0-0))+0-0-0</f>
        <v>870.3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1582.2+(97.2-893)+(-2.420766+(-0.148716--1.36629))+0-0-0</f>
        <v>785.19680800000015</v>
      </c>
      <c r="G121" s="3">
        <f>1597.6+(58.3-922.1)+(-0.814776+(-0.029733--0.470271))+0-0-0</f>
        <v>733.42576199999985</v>
      </c>
      <c r="H121" s="3">
        <f>1589.4+(82-987.5)+(-2.431782+(-0.12546--1.510875))+0-0-0</f>
        <v>682.85363300000006</v>
      </c>
      <c r="I121" s="3">
        <f>1557.6+(55.3-972.8)+(-1.588752+(-0.056406--0.992256))+0-0-0</f>
        <v>639.44709799999987</v>
      </c>
      <c r="J121" s="3">
        <f>1415.5+(62.7-874.8)+(-3.609525+(-0.159885--2.23074))+0-0-0</f>
        <v>601.86133000000007</v>
      </c>
      <c r="K121" s="3">
        <f>1403.9+(4.5-848)+(-3.579945+(-0.011475--2.1624))+0-0-0</f>
        <v>558.97098000000005</v>
      </c>
      <c r="L121" s="3">
        <f>1430.3+(0-908.4)+(1.458906+(0-0.926568))+0-0-0</f>
        <v>522.43233799999996</v>
      </c>
      <c r="M121" s="3">
        <f>1442.2+(0-880.3)+(-0.735522+(0--0.448953))+0-0-0</f>
        <v>561.61343100000011</v>
      </c>
      <c r="N121" s="3">
        <f>1586.6+(11.3-932.4)+(2.427498+(0.017289-1.426572))+0-0-0</f>
        <v>666.51821499999994</v>
      </c>
      <c r="O121" s="3">
        <f>1564.6+(94.3-928.2)+(0+(0-0))+0-0-0</f>
        <v>730.69999999999982</v>
      </c>
      <c r="P121" s="3">
        <f>1576.9+(139.1-906.4)+(1.608438+(0.141882-0.924528))+0-0-0</f>
        <v>810.42579200000011</v>
      </c>
      <c r="Q121" s="3">
        <f>1606.8+(144.3-911.6)+(2.458404+(0.220779-1.394748))+0-0-0</f>
        <v>840.78443500000003</v>
      </c>
      <c r="R121" s="3">
        <f>1641.7+(137.3-895.9)+(2.511801+(0.210069-1.370727))+0-0-0</f>
        <v>884.45114300000012</v>
      </c>
      <c r="S121" s="3">
        <f>1653+(157.9-836)+(-3.37212+(-0.322116--1.70544))+0-0-0</f>
        <v>972.911204</v>
      </c>
      <c r="T121" s="3">
        <f>1619.1+(170.7-792.9)+(0+(0-0))+0-0-0</f>
        <v>996.89999999999986</v>
      </c>
      <c r="U121" s="3">
        <f>1608.4+(168.4-790.5)+(-2.460852+(-0.257652--1.209465))+0-0-0</f>
        <v>984.79096100000004</v>
      </c>
      <c r="V121" s="3">
        <f>1600.8+(160.4-823.6)+(0.816408+(0.081804-0.420036))+0-0-0</f>
        <v>938.07817599999987</v>
      </c>
      <c r="W121" s="3">
        <f>1603+(160.1-860.1)+(-2.45259+(-0.244953--1.315953))+0-0-0</f>
        <v>901.61841000000004</v>
      </c>
      <c r="X121" s="3">
        <f>1598.1+(161.7-917.9)+(-3.260124+(-0.329868--1.872516))+0-0-0</f>
        <v>840.18252399999983</v>
      </c>
      <c r="Y121" s="3">
        <f>1530.9+(193.7-943.1)+(-0.780759+(-0.098787--0.480981))+0-0-0</f>
        <v>781.10143500000004</v>
      </c>
      <c r="Z121" s="3">
        <f>1530.6+(224.8-960.5)+(3.90303+(0.57324-2.449275))+0-0-0</f>
        <v>796.92699499999992</v>
      </c>
      <c r="AA121" s="3">
        <f>1644+(161.7-854.2)+(0.83844+(0.082467-0.435642))+0-0-0</f>
        <v>951.98526500000003</v>
      </c>
      <c r="AB121" s="3">
        <f>1646.8+(150.9-838.3)+(1.679736+(0.153918-0.855066))+0-0-0</f>
        <v>960.37858799999992</v>
      </c>
      <c r="AC121" s="3">
        <f>1648.9+(164.9-876.3)+(0.840939+(0.084099-0.446913))+0-0-0</f>
        <v>937.97812500000009</v>
      </c>
      <c r="AD121" s="2">
        <v>943.80000000000007</v>
      </c>
      <c r="AE121" s="3">
        <f>1648+(159.4-863.6)+(0+(0-0))+0-0-0</f>
        <v>943.8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1615.9+(116.1-837.4)+(-2.472327+(-0.177633--1.281222))+0-0-0</f>
        <v>893.23126200000013</v>
      </c>
      <c r="G122" s="3">
        <f>1597.2+(42.1-822.8)+(-1.629144+(-0.042942--0.839256))+0-0-0</f>
        <v>815.66717000000017</v>
      </c>
      <c r="H122" s="3">
        <f>1597.9+(73-913)+(-1.629858+(-0.07446--0.93126))+0-0-0</f>
        <v>757.1269420000001</v>
      </c>
      <c r="I122" s="3">
        <f>1599.9+(90.8-976.4)+(0+(0-0))+0-0-0</f>
        <v>714.30000000000007</v>
      </c>
      <c r="J122" s="3">
        <f>1530+(89.3-922.8)+(-0.7803+(-0.045543--0.470628))+0-0-0</f>
        <v>696.14478499999996</v>
      </c>
      <c r="K122" s="3">
        <f>1409.3+(51.4-828.3)+(-1.437486+(-0.052428--0.844866))+0-0-0</f>
        <v>631.754952</v>
      </c>
      <c r="L122" s="3">
        <f>1332.8+(17.2-771.9)+(0+(0-0))+0-0-0</f>
        <v>578.1</v>
      </c>
      <c r="M122" s="3">
        <f>1422.5+(11-770.9)+(1.45095+(0.01122-0.786318))+0-0-0</f>
        <v>663.27585199999999</v>
      </c>
      <c r="N122" s="3">
        <f>1485.8+(28.8-843.5)+(3.78879+(0.07344-2.150925))+0-0-0</f>
        <v>672.81130499999995</v>
      </c>
      <c r="O122" s="3">
        <f>1544.9+(101.1-845.9)+(2.363697+(0.154683-1.294227))+0-0-0</f>
        <v>801.32415300000014</v>
      </c>
      <c r="P122" s="3">
        <f>1540.9+(139.6-837.6)+(1.571718+(0.142392-0.854352))+0-0-0</f>
        <v>843.75975800000015</v>
      </c>
      <c r="Q122" s="3">
        <f>1590.2+(164.9-853.1)+(2.433006+(0.252297-1.305243))+0-0-0</f>
        <v>903.38005999999996</v>
      </c>
      <c r="R122" s="3">
        <f>1584.6+(222.1-829.3)+(-0.808146+(-0.113271--0.422943))+0-0-0</f>
        <v>976.90152599999999</v>
      </c>
      <c r="S122" s="3">
        <f>1555+(227.9-771.4)+(-3.96525+(-0.581145--1.96707))+0-0-0</f>
        <v>1008.920675</v>
      </c>
      <c r="T122" s="3">
        <f>1559.1+(237.1-786.9)+(0+(0-0))+0-0-0</f>
        <v>1009.3</v>
      </c>
      <c r="U122" s="3">
        <f>1554.9+(230-802.3)+(-2.378997+(-0.3519--1.227519))+0-0-0</f>
        <v>981.09662200000014</v>
      </c>
      <c r="V122" s="3">
        <f>1557.8+(257.7-861.1)+(-2.383434+(-0.394281--1.317483))+0-0-0</f>
        <v>952.93976799999984</v>
      </c>
      <c r="W122" s="3">
        <f>1552.5+(241.8-893.4)+(-1.58355+(-0.246636--0.911268))+0-0-0</f>
        <v>899.98108200000013</v>
      </c>
      <c r="X122" s="3">
        <f>1555.7+(244.6-965.3)+(-1.586814+(-0.249492--0.984606))+0-0-0</f>
        <v>834.14830000000006</v>
      </c>
      <c r="Y122" s="3">
        <f>1567.1+(135.8-915.2)+(2.397663+(0.207774-1.400256))+0-0-0</f>
        <v>788.90518099999986</v>
      </c>
      <c r="Z122" s="3">
        <f>1579.8+(288.4-991.7)+(1.611396+(0.294168-1.011534))+0-0-0</f>
        <v>877.39402999999993</v>
      </c>
      <c r="AA122" s="3">
        <f>1584.2+(268.8-885.7)+(-3.231768+(-0.548352--1.806828))+0-0-0</f>
        <v>965.32670799999994</v>
      </c>
      <c r="AB122" s="3">
        <f>1592.9+(269.1-914.6)+(-1.624758+(-0.274482--0.932892))+0-0-0</f>
        <v>946.43365200000005</v>
      </c>
      <c r="AC122" s="3">
        <f>1590.7+(266.2-940)+(-0.811257+(-0.135762--0.4794))+0-0-0</f>
        <v>916.43238100000008</v>
      </c>
      <c r="AD122" s="2">
        <v>911.1</v>
      </c>
      <c r="AE122" s="3">
        <f>1588+(274-950.9)+(0+(0-0))+0-0-0</f>
        <v>911.1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1548.2+(184.9-907)+(0+(0-0))+0-0-0</f>
        <v>826.1</v>
      </c>
      <c r="G123" s="3">
        <f>1474.8+(106.2-811.2)+(-1.504296+(-0.108324--0.827424))+0-0-0</f>
        <v>769.01480399999991</v>
      </c>
      <c r="H123" s="3">
        <f>1469.9+(96.5-860.8)+(0+(0-0))+0-0-0</f>
        <v>705.60000000000014</v>
      </c>
      <c r="I123" s="3">
        <f>1469.7+(60.2-856.6)+(-1.499094+(-0.061404--0.873732))+0-0-0</f>
        <v>672.61323400000003</v>
      </c>
      <c r="J123" s="3">
        <f>1472.3+(57.1-899.5)+(-2.252619+(-0.087363--1.376235))+0-0-0</f>
        <v>628.93625299999997</v>
      </c>
      <c r="K123" s="3">
        <f>1403.2+(59.7-935.3)+(-2.862528+(-0.121788--1.908012))+0-0-0</f>
        <v>526.52369600000009</v>
      </c>
      <c r="L123" s="3">
        <f>1191.8+(47-743.1)+(-1.823454+(-0.07191--1.136943))+0-0-0</f>
        <v>494.94157899999993</v>
      </c>
      <c r="M123" s="3">
        <f>1188.7+(42.2-774.6)+(1.818711+(0.064566-1.185138))+0-0-0</f>
        <v>456.99813900000009</v>
      </c>
      <c r="N123" s="3">
        <f>1240.9+(21.3-740.2)+(1.265718+(0.021726-0.755004))+0-0-0</f>
        <v>522.53243999999995</v>
      </c>
      <c r="O123" s="3">
        <f>1470.4+(0-956.3)+(0.749904+(0-0.487713))+0-0-0</f>
        <v>514.36219100000017</v>
      </c>
      <c r="P123" s="3">
        <f>1492.9+(0-948.3)+(2.284137+(0-1.450899))+0-0-0</f>
        <v>545.43323800000019</v>
      </c>
      <c r="Q123" s="3">
        <f>1601+(3.9-1021.6)+(1.63302+(0.003978-1.042032))+0-0-0</f>
        <v>583.89496599999995</v>
      </c>
      <c r="R123" s="3">
        <f>1661.7+(13.4-1096.2)+(1.694934+(0.013668-1.118124))+0-0-0</f>
        <v>579.49047800000005</v>
      </c>
      <c r="S123" s="3">
        <f>1657.5+(19.3-1104.7)+(1.69065+(0.019686-1.126794))+0-0-0</f>
        <v>572.68354199999987</v>
      </c>
      <c r="T123" s="3">
        <f>1648.6+(19.4-1107.7)+(0+(0-0))+0-0-0</f>
        <v>560.29999999999995</v>
      </c>
      <c r="U123" s="3">
        <f>1655.1+(19.6-1128.1)+(0+(0-0))+0-0-0</f>
        <v>546.59999999999991</v>
      </c>
      <c r="V123" s="3">
        <f>1616.1+(6.3-1090.4)+(0+(0-0))+0-0-0</f>
        <v>531.99999999999977</v>
      </c>
      <c r="W123" s="3">
        <f>1598.8+(0-1078.6)+(0+(0-0))+0-0-0</f>
        <v>520.20000000000005</v>
      </c>
      <c r="X123" s="3">
        <f>1592.7+(0-1069)+(-2.436831+(0--1.63557))+0-0-0</f>
        <v>522.89873900000009</v>
      </c>
      <c r="Y123" s="3">
        <f>1592.4+(0-1060.3)+(-3.248496+(0--2.163012))+0-0-0</f>
        <v>531.01451600000019</v>
      </c>
      <c r="Z123" s="3">
        <f>1627.9+(14.2-1026.4)+(0+(0-0))+0-0-0</f>
        <v>615.70000000000005</v>
      </c>
      <c r="AA123" s="3">
        <f>1669.7+(22.3-998.4)+(-4.257735+(-0.056865--2.54592))+0-0-0</f>
        <v>691.83132000000001</v>
      </c>
      <c r="AB123" s="3">
        <f>1691.3+(22.9-1015.5)+(0.862563+(0.011679-0.517905))+0-0-0</f>
        <v>699.05633699999998</v>
      </c>
      <c r="AC123" s="3">
        <f>1679.1+(28.9-1046.4)+(-0.856341+(-0.014739--0.533664))+0-0-0</f>
        <v>661.26258399999983</v>
      </c>
      <c r="AD123" s="2">
        <v>652.20000000000005</v>
      </c>
      <c r="AE123" s="3">
        <f>1650+(16.2-1014)+(0+(0-0))+0-0-0</f>
        <v>652.20000000000005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1639.3+(9.2-997.9)+(-1.672086+(-0.009384--1.017858))+0-0-0</f>
        <v>649.93638800000008</v>
      </c>
      <c r="G124" s="3">
        <f>1573.1+(36.2-1017)+(-0.802281+(-0.018462--0.51867))+0-0-0</f>
        <v>591.997927</v>
      </c>
      <c r="H124" s="3">
        <f>1579.3+(12.9-1047.9)+(0.805443+(0.006579-0.534429))+0-0-0</f>
        <v>544.57759299999998</v>
      </c>
      <c r="I124" s="3">
        <f>1582.1+(0-1045.8)+(0.806871+(0-0.533358))+0-0-0</f>
        <v>536.57351299999993</v>
      </c>
      <c r="J124" s="3">
        <f>1555.1+(0-1027.5)+(-2.379303+(0--1.572075))+0-0-0</f>
        <v>526.7927719999999</v>
      </c>
      <c r="K124" s="3">
        <f>1477.1+(14-1009.4)+(-1.506642+(-0.01428--1.029588))+0-0-0</f>
        <v>481.20866599999994</v>
      </c>
      <c r="L124" s="3">
        <f>1472.6+(15.7-1035.7)+(-1.502052+(-0.016014--1.056414))+0-0-0</f>
        <v>452.13834799999989</v>
      </c>
      <c r="M124" s="3">
        <f>1489.3+(36.6-1038)+(0.759543+(0.018666-0.52938))+0-0-0</f>
        <v>488.14882899999998</v>
      </c>
      <c r="N124" s="3">
        <f>1549.9+(24.4-1020.8)+(3.161796+(0.049776-2.082432))+0-0-0</f>
        <v>554.62914000000012</v>
      </c>
      <c r="O124" s="3">
        <f>1582.6+(116.8-1074.6)+(1.614252+(0.119136-1.096092))+0-0-0</f>
        <v>625.43729599999995</v>
      </c>
      <c r="P124" s="3">
        <f>1633.6+(101-1063.6)+(0.833136+(0.05151-0.542436))+0-0-0</f>
        <v>671.34221000000002</v>
      </c>
      <c r="Q124" s="3">
        <f>1681+(90.2-1078.7)+(0.85731+(0.046002-0.550137))+0-0-0</f>
        <v>692.85317499999996</v>
      </c>
      <c r="R124" s="3">
        <f>1768.2+(85.2-1170)+(1.803564+(0.086904-1.1934))+0-0-0</f>
        <v>684.09706800000004</v>
      </c>
      <c r="S124" s="3">
        <f>1726.4+(100.6-1149.1)+(-2.641392+(-0.153918--1.758123))+0-0-0</f>
        <v>676.86281300000007</v>
      </c>
      <c r="T124" s="3">
        <f>1721+(105.3-1156.2)+(-0.87771+(-0.053703--0.589662))+0-0-0</f>
        <v>669.75824899999986</v>
      </c>
      <c r="U124" s="3">
        <f>1734.3+(98.1-1175.8)+(0.884493+(0.050031-0.599658))+0-0-0</f>
        <v>656.93486599999994</v>
      </c>
      <c r="V124" s="3">
        <f>1737.7+(96.9-1191.7)+(2.658681+(0.148257-1.823301))+0-0-0</f>
        <v>643.88363700000014</v>
      </c>
      <c r="W124" s="3">
        <f>1729.1+(99.3-1186.1)+(0.881841+(0.050643-0.604911))+0-0-0</f>
        <v>642.62757299999998</v>
      </c>
      <c r="X124" s="3">
        <f>1721.5+(92.3-1174.1)+(-2.633895+(-0.141219--1.796373))+0-0-0</f>
        <v>638.72125900000003</v>
      </c>
      <c r="Y124" s="3">
        <f>1727.6+(108.5-1191.6)+(0+(0-0))+0-0-0</f>
        <v>644.5</v>
      </c>
      <c r="Z124" s="3">
        <f>1752+(144.8-1165.5)+(1.78704+(0.147696-1.18881))+0-0-0</f>
        <v>732.04592600000001</v>
      </c>
      <c r="AA124" s="3">
        <f>1736.7+(135.7-1040.7)+(-4.428585+(-0.346035--2.653785))+0-0-0</f>
        <v>829.57916499999999</v>
      </c>
      <c r="AB124" s="3">
        <f>1771.6+(127.3-1089.9)+(0.903516+(0.064923-0.555849))+0-0-0</f>
        <v>809.4125899999998</v>
      </c>
      <c r="AC124" s="3">
        <f>1730.4+(118.6-1078.6)+(-1.765008+(-0.120972--1.100172))+0-0-0</f>
        <v>769.61419200000023</v>
      </c>
      <c r="AD124" s="2">
        <v>877.7</v>
      </c>
      <c r="AE124" s="3">
        <f>1749+(140.9-1012.2)+(0+(0-0))+0-0-0</f>
        <v>877.69999999999993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1680+(75.4-1032.8)+(-0.8568+(-0.038454--0.526728))+0-0-0</f>
        <v>722.23147400000005</v>
      </c>
      <c r="G125" s="3">
        <f>1607.6+(82.9-1030.7)+(0+(0-0))+0-0-0</f>
        <v>659.79999999999984</v>
      </c>
      <c r="H125" s="3">
        <f>1465.9+(113.1-953.5)+(1.495218+(0.115362-0.97257))+0-0-0</f>
        <v>626.13801000000012</v>
      </c>
      <c r="I125" s="3">
        <f>1364.7+(123.2-882.6)+(2.087991+(0.188496-1.350378))+0-0-0</f>
        <v>606.22610900000006</v>
      </c>
      <c r="J125" s="3">
        <f>1357.2+(120.7-879.5)+(-1.384344+(-0.123114--0.89709))+0-0-0</f>
        <v>597.7896320000001</v>
      </c>
      <c r="K125" s="3">
        <f>1291.1+(149.6-893.7)+(-2.633844+(-0.305184--1.823148))+0-0-0</f>
        <v>545.88411999999994</v>
      </c>
      <c r="L125" s="3">
        <f>1260.1+(165-914.5)+(-3.213255+(-0.42075--2.331975))+0-0-0</f>
        <v>509.29796999999991</v>
      </c>
      <c r="M125" s="3">
        <f>1371.1+(152.3-1004.5)+(2.097783+(0.233019-1.536885))+0-0-0</f>
        <v>519.69391699999983</v>
      </c>
      <c r="N125" s="3">
        <f>1495.3+(129-1029.6)+(2.287809+(0.19737-1.575288))+0-0-0</f>
        <v>595.60989100000006</v>
      </c>
      <c r="O125" s="3">
        <f>1525.1+(125.9-988.5)+(3.111204+(0.256836-2.01654))+0-0-0</f>
        <v>663.85149999999987</v>
      </c>
      <c r="P125" s="3">
        <f>1512.7+(129.8-935.9)+(0.771477+(0.066198-0.477309))+0-0-0</f>
        <v>706.96036600000014</v>
      </c>
      <c r="Q125" s="3">
        <f>1588.2+(119.1-969.7)+(1.619964+(0.121482-0.989094))+0-0-0</f>
        <v>738.352352</v>
      </c>
      <c r="R125" s="3">
        <f>1599.8+(119.8-957.3)+(2.447694+(0.183294-1.464669))+0-0-0</f>
        <v>763.466319</v>
      </c>
      <c r="S125" s="3">
        <f>1585.7+(120-928.9)+(-0.808707+(-0.0612--0.473739))+0-0-0</f>
        <v>776.40383200000008</v>
      </c>
      <c r="T125" s="3">
        <f>1623.6+(109.7-908)+(1.656072+(0.111894-0.92616))+0-0-0</f>
        <v>826.14180599999997</v>
      </c>
      <c r="U125" s="3">
        <f>1583.5+(104-894.7)+(-0.807585+(-0.05304--0.456297))+0-0-0</f>
        <v>792.39567199999999</v>
      </c>
      <c r="V125" s="3">
        <f>1590.2+(102.2-922)+(1.622004+(0.104244-0.94044))+0-0-0</f>
        <v>771.18580800000007</v>
      </c>
      <c r="W125" s="3">
        <f>1573.1+(101.9-904.6)+(-3.209124+(-0.207876--1.845384))+0-0-0</f>
        <v>768.82838399999991</v>
      </c>
      <c r="X125" s="3">
        <f>1573.1+(100.9-925.7)+(-2.406843+(-0.154377--1.416321))+0-0-0</f>
        <v>747.15510099999983</v>
      </c>
      <c r="Y125" s="3">
        <f>1561+(65.1-894.5)+(1.59222+(0.066402-0.91239))+0-0-0</f>
        <v>732.34623199999999</v>
      </c>
      <c r="Z125" s="3">
        <f>1598.4+(126-883.3)+(4.07592+(0.3213-2.252415))+0-0-0</f>
        <v>843.24480500000016</v>
      </c>
      <c r="AA125" s="3">
        <f>1612.8+(127.3-770.2)+(-0.822528+(-0.064923--0.392802))+0-0-0</f>
        <v>969.40535099999988</v>
      </c>
      <c r="AB125" s="3">
        <f>1572.5+(128.9-765)+(-2.405925+(-0.197217--1.17045))+0-0-0</f>
        <v>934.967308</v>
      </c>
      <c r="AC125" s="3">
        <f>1567.2+(139.8-799)+(-2.397816+(-0.213894--1.22247))+0-0-0</f>
        <v>906.61076000000003</v>
      </c>
      <c r="AD125" s="2">
        <v>898.19999999999993</v>
      </c>
      <c r="AE125" s="3">
        <f>1615+(128.1-844.9)+(0+(0-0))+0-0-0</f>
        <v>898.2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1511.1+(107.9-799)+(1.541322+(0.110058-0.81498))+0-0-0</f>
        <v>820.83639999999991</v>
      </c>
      <c r="G126" s="3">
        <f>1501.7+(120.6-893.9)+(0+(0-0))+0-0-0</f>
        <v>728.40000000000009</v>
      </c>
      <c r="H126" s="3">
        <f>1511.3+(134.1-979)+(1.541526+(0.136782-0.99858))+0-0-0</f>
        <v>667.07972799999993</v>
      </c>
      <c r="I126" s="3">
        <f>1367+(126-857.3)+(0.69717+(0.06426-0.437223))+0-0-0</f>
        <v>636.02420700000005</v>
      </c>
      <c r="J126" s="3">
        <f>1285.3+(109.4-779.7)+(-0.655503+(-0.055794--0.397647))+0-0-0</f>
        <v>614.68634999999983</v>
      </c>
      <c r="K126" s="3">
        <f>1273.3+(122-840.8)+(-2.597532+(-0.24888--1.715232))+0-0-0</f>
        <v>553.36882000000003</v>
      </c>
      <c r="L126" s="3">
        <f>1286.2+(133.8-904.2)+(0+(0-0))+0-0-0</f>
        <v>515.79999999999995</v>
      </c>
      <c r="M126" s="3">
        <f>1289.1+(124.8-887.8)+(0.657441+(0.063648-0.452778))+0-0-0</f>
        <v>526.36831099999995</v>
      </c>
      <c r="N126" s="3">
        <f>1292.3+(161.8-835.4)+(0.659073+(0.082518-0.426054))+0-0-0</f>
        <v>619.01553699999999</v>
      </c>
      <c r="O126" s="3">
        <f>1370.7+(160.8-827.6)+(0.699057+(0.082008-0.422076))+0-0-0</f>
        <v>704.25898900000004</v>
      </c>
      <c r="P126" s="3">
        <f>1535.9+(123.9-890.6)+(-0.783309+(-0.063189--0.454206))+0-0-0</f>
        <v>768.80770800000005</v>
      </c>
      <c r="Q126" s="3">
        <f>1589.8+(116.5-883.4)+(2.432394+(0.178245-1.351602))+0-0-0</f>
        <v>824.15903700000001</v>
      </c>
      <c r="R126" s="3">
        <f>1566.4+(137.7-845.1)+(-2.396592+(-0.210681--1.293003))+0-0-0</f>
        <v>857.68573000000004</v>
      </c>
      <c r="S126" s="3">
        <f>1538.7+(169.6-800.8)+(-0.784737+(-0.086496--0.408408))+0-0-0</f>
        <v>907.03717500000016</v>
      </c>
      <c r="T126" s="3">
        <f>1583.1+(176.9-826.9)+(-2.422143+(-0.270657--1.265157))+0-0-0</f>
        <v>931.67235699999992</v>
      </c>
      <c r="U126" s="3">
        <f>1627.8+(163.1-887.4)+(-1.660356+(-0.166362--0.905148))+0-0-0</f>
        <v>902.57843000000003</v>
      </c>
      <c r="V126" s="3">
        <f>1619.4+(157.8-922)+(0.825894+(0.080478-0.47022))+0-0-0</f>
        <v>855.63615200000004</v>
      </c>
      <c r="W126" s="3">
        <f>1620.9+(154.3-937.5)+(-0.826659+(-0.078693--0.478125))+0-0-0</f>
        <v>837.27277300000003</v>
      </c>
      <c r="X126" s="3">
        <f>1632.4+(151.2-971.4)+(-2.497572+(-0.231336--1.486242))+0-0-0</f>
        <v>810.95733400000006</v>
      </c>
      <c r="Y126" s="3">
        <f>1636.3+(39.8-904.3)+(-0.834513+(-0.020298--0.461193))+0-0-0</f>
        <v>771.40638200000001</v>
      </c>
      <c r="Z126" s="3">
        <f>1646.4+(138.6-897.5)+(1.679328+(0.141372-0.91545))+0-0-0</f>
        <v>888.40525000000014</v>
      </c>
      <c r="AA126" s="3">
        <f>1615.3+(121.2-707.7)+(0.823803+(0.061812-0.360927))+0-0-0</f>
        <v>1029.3246879999999</v>
      </c>
      <c r="AB126" s="3">
        <f>1653.8+(117.3-780)+(-3.373752+(-0.239292--1.5912))+0-0-0</f>
        <v>989.07815599999992</v>
      </c>
      <c r="AC126" s="3">
        <f>1634.3+(133.9-819.7)+(0.833493+(0.068289-0.418047))+0-0-0</f>
        <v>948.98373499999991</v>
      </c>
      <c r="AD126" s="2">
        <v>1037.7</v>
      </c>
      <c r="AE126" s="3">
        <f>1620+(133.7-716)+(0+(0-0))+0-0-0</f>
        <v>1037.7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1634.7+(95.9-815.7)+(0.833697+(0.048909-0.416007))+0-0-0</f>
        <v>915.36659899999995</v>
      </c>
      <c r="G127" s="3">
        <f>1544.9+(117.6-823.8)+(0.787899+(0.059976-0.420138))+0-0-0</f>
        <v>839.12773700000014</v>
      </c>
      <c r="H127" s="3">
        <f>1392.2+(150-779.4)+(0.710022+(0.0765-0.397494))+0-0-0</f>
        <v>763.18902800000012</v>
      </c>
      <c r="I127" s="3">
        <f>1371.4+(141.8-788.3)+(1.398828+(0.144636-0.804066))+0-0-0</f>
        <v>725.63939800000014</v>
      </c>
      <c r="J127" s="3">
        <f>1369.3+(129.2-790)+(0.698343+(0.065892-0.4029))+0-0-0</f>
        <v>708.86133500000005</v>
      </c>
      <c r="K127" s="3">
        <f>1353+(133.2-843.1)+(-2.76012+(-0.271728--1.719924))+0-0-0</f>
        <v>641.78807599999993</v>
      </c>
      <c r="L127" s="3">
        <f>1243.4+(71.8-741)+(-0.634134+(-0.036618--0.37791))+0-0-0</f>
        <v>573.90715800000009</v>
      </c>
      <c r="M127" s="3">
        <f>1275+(66.8-764)+(1.3005+(0.068136-0.77928))+0-0-0</f>
        <v>578.38935599999991</v>
      </c>
      <c r="N127" s="3">
        <f>1512+(74.8-920.3)+(0.77112+(0.038148-0.469353))+0-0-0</f>
        <v>666.83991500000002</v>
      </c>
      <c r="O127" s="3">
        <f>1587.9+(109.6-937.1)+(-1.619658+(-0.111792--0.955842))+0-0-0</f>
        <v>759.62439200000006</v>
      </c>
      <c r="P127" s="3">
        <f>1597.6+(124-894.7)+(3.259104+(0.25296-1.825188))+0-0-0</f>
        <v>828.58687599999985</v>
      </c>
      <c r="Q127" s="3">
        <f>1569.6+(137.9-835.4)+(0.800496+(0.070329-0.426054))+0-0-0</f>
        <v>872.54477099999986</v>
      </c>
      <c r="R127" s="3">
        <f>1576.6+(174.3-810.1)+(1.608132+(0.177786-0.826302))+0-0-0</f>
        <v>941.75961599999994</v>
      </c>
      <c r="S127" s="3">
        <f>1547.9+(199.8-733.7)+(-2.368287+(-0.305694--1.122561))+0-0-0</f>
        <v>1012.44858</v>
      </c>
      <c r="T127" s="3">
        <f>1539.6+(202.6-693.6)+(-3.140784+(-0.413304--1.414944))+0-0-0</f>
        <v>1046.4608559999999</v>
      </c>
      <c r="U127" s="3">
        <f>1536.2+(201.7-698.5)+(-3.133848+(-0.411468--1.42494))+0-0-0</f>
        <v>1037.279624</v>
      </c>
      <c r="V127" s="3">
        <f>1543.9+(204.9-742.4)+(-1.574778+(-0.208998--0.757248))+0-0-0</f>
        <v>1005.3734720000001</v>
      </c>
      <c r="W127" s="3">
        <f>1510.6+(224.2-776)+(-0.770406+(-0.114342--0.39576))+0-0-0</f>
        <v>958.31101200000001</v>
      </c>
      <c r="X127" s="3">
        <f>1445.8+(200.4-753.8)+(-3.68679+(-0.51102--1.92219))+0-0-0</f>
        <v>890.12437999999997</v>
      </c>
      <c r="Y127" s="3">
        <f>1443.2+(184.1-779.4)+(-4.416192+(-0.563346--2.384964))+0-0-0</f>
        <v>845.30542600000012</v>
      </c>
      <c r="Z127" s="3">
        <f>1520.4+(214.4-787.8)+(1.550808+(0.218688-0.803556))+0-0-0</f>
        <v>947.96594000000016</v>
      </c>
      <c r="AA127" s="3">
        <f>1559.2+(190.2-669.9)+(-2.385576+(-0.291006--1.024947))+0-0-0</f>
        <v>1077.8483650000001</v>
      </c>
      <c r="AB127" s="3">
        <f>1545.5+(183.7-686.5)+(-3.941025+(-0.468435--1.750575))+0-0-0</f>
        <v>1040.041115</v>
      </c>
      <c r="AC127" s="3">
        <f>1550+(198.3-752.9)+(-3.162+(-0.404532--1.535916))+0-0-0</f>
        <v>993.36938400000008</v>
      </c>
      <c r="AD127" s="2">
        <v>1038.4000000000001</v>
      </c>
      <c r="AE127" s="3">
        <f>1543+(202-706.6)+(0+(0-0))+0-0-0</f>
        <v>1038.4000000000001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1563.2+(156.2-789)+(-0.797232+(-0.079662--0.40239))+0-0-0</f>
        <v>929.92549600000007</v>
      </c>
      <c r="G128" s="3">
        <f>1554.2+(173.5-889.3)+(-1.585284+(-0.17697--0.907086))+0-0-0</f>
        <v>837.54483200000004</v>
      </c>
      <c r="H128" s="3">
        <f>1543.3+(162.6-944.1)+(0.787083+(0.082926-0.481491))+0-0-0</f>
        <v>762.18851799999993</v>
      </c>
      <c r="I128" s="3">
        <f>1519.9+(162.2-956.2)+(0+(0-0))+0-0-0</f>
        <v>725.90000000000009</v>
      </c>
      <c r="J128" s="3">
        <f>1511.2+(147.9-945.3)+(-3.082848+(-0.301716--1.928412))+0-0-0</f>
        <v>712.34384800000009</v>
      </c>
      <c r="K128" s="3">
        <f>1403.1+(162.8-929.1)+(-3.577905+(-0.41514--2.369205))+0-0-0</f>
        <v>635.17615999999998</v>
      </c>
      <c r="L128" s="3">
        <f>1345+(114.1-883.2)+(-3.42975+(-0.290955--2.25216))+0-0-0</f>
        <v>574.43145500000003</v>
      </c>
      <c r="M128" s="3">
        <f>1401.7+(86.5-905.2)+(0.714867+(0.044115-0.461652))+0-0-0</f>
        <v>583.29732999999999</v>
      </c>
      <c r="N128" s="3">
        <f>1511.2+(147.5-982.1)+(1.541424+(0.15045-1.001742))+0-0-0</f>
        <v>677.29013199999997</v>
      </c>
      <c r="O128" s="3">
        <f>1567.2+(141.9-954)+(2.397816+(0.217107-1.45962))+0-0-0</f>
        <v>756.25530300000003</v>
      </c>
      <c r="P128" s="3">
        <f>1575.1+(169.8-934.9)+(1.606602+(0.173196-0.953598))+0-0-0</f>
        <v>810.82619999999997</v>
      </c>
      <c r="Q128" s="3">
        <f>1575.1+(179.4-891.4)+(2.409903+(0.274482-1.363842))+0-0-0</f>
        <v>864.42054299999995</v>
      </c>
      <c r="R128" s="3">
        <f>1575.7+(180-843.2)+(-2.410821+(-0.2754--1.290096))+0-0-0</f>
        <v>911.10387500000002</v>
      </c>
      <c r="S128" s="3">
        <f>1575.5+(197.9-772.8)+(-1.60701+(-0.201858--0.788256))+0-0-0</f>
        <v>999.57938799999999</v>
      </c>
      <c r="T128" s="3">
        <f>1570.5+(204.5-719.2)+(-1.60191+(-0.20859--0.733584))+0-0-0</f>
        <v>1054.723084</v>
      </c>
      <c r="U128" s="3">
        <f>1570.7+(206-719.5)+(-2.403171+(-0.31518--1.100835))+0-0-0</f>
        <v>1055.582484</v>
      </c>
      <c r="V128" s="3">
        <f>1574.9+(202.2-755.2)+(-2.409597+(-0.309366--1.155456))+0-0-0</f>
        <v>1020.3364930000001</v>
      </c>
      <c r="W128" s="3">
        <f>1536.4+(193.1-752.9)+(-3.91782+(-0.492405--1.919895))+0-0-0</f>
        <v>974.10967000000016</v>
      </c>
      <c r="X128" s="3">
        <f>1455.2+(167.1-714.8)+(-1.484304+(-0.170442--0.729096))+0-0-0</f>
        <v>906.57435000000009</v>
      </c>
      <c r="Y128" s="3">
        <f>1464.6+(184.6-786.7)+(-0.746946+(-0.094146--0.401217))+0-0-0</f>
        <v>862.06012499999986</v>
      </c>
      <c r="Z128" s="3">
        <f>1508.8+(255.5-798.3)+(1.538976+(0.26061-0.814266))+0-0-0</f>
        <v>966.98532</v>
      </c>
      <c r="AA128" s="3">
        <f>1567+(205.1-675.1)+(-3.19668+(-0.418404--1.377204))+0-0-0</f>
        <v>1094.7621200000001</v>
      </c>
      <c r="AB128" s="3">
        <f>1584.3+(193.3-706.1)+(-0.807993+(-0.098583--0.360111))+0-0-0</f>
        <v>1070.9535350000001</v>
      </c>
      <c r="AC128" s="3">
        <f>1521.5+(187.9-688.1)+(-2.327895+(-0.287487--1.052793))+0-0-0</f>
        <v>1019.737411</v>
      </c>
      <c r="AD128" s="2">
        <v>1036</v>
      </c>
      <c r="AE128" s="3">
        <f>1580+(203.1-747.1)+(0+(0-0))+0-0-0</f>
        <v>1036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1481.5+(145.6-712)+(0+(0-0))+0-0-0</f>
        <v>915.1</v>
      </c>
      <c r="G129" s="3">
        <f>1480.2+(104-758.6)+(0.754902+(0.05304-0.386886))+0-0-0</f>
        <v>826.02105600000004</v>
      </c>
      <c r="H129" s="3">
        <f>1470.8+(91.3-807)+(-1.500216+(-0.093126--0.82314))+0-0-0</f>
        <v>754.32979799999987</v>
      </c>
      <c r="I129" s="3">
        <f>1316.9+(102.4-720.4)+(-0.671619+(-0.052224--0.367404))+0-0-0</f>
        <v>698.54356100000007</v>
      </c>
      <c r="J129" s="3">
        <f>1303.8+(86.2-699.9)+(-1.994814+(-0.131886--1.070847))+0-0-0</f>
        <v>689.04414700000007</v>
      </c>
      <c r="K129" s="3">
        <f>1301.6+(107.2-776.7)+(-1.991448+(-0.164016--1.188351))+0-0-0</f>
        <v>631.13288699999987</v>
      </c>
      <c r="L129" s="3">
        <f>1307.2+(118.4-870.7)+(0+(0-0))+0-0-0</f>
        <v>554.9</v>
      </c>
      <c r="M129" s="3">
        <f>1325+(148.6-914.6)+(4.0545+(0.454716-2.798676))+0-0-0</f>
        <v>560.71054000000004</v>
      </c>
      <c r="N129" s="3">
        <f>1441.9+(141.7-962.3)+(3.676845+(0.361335-2.453865))+0-0-0</f>
        <v>622.88431500000013</v>
      </c>
      <c r="O129" s="3">
        <f>1481.5+(123.5-903.4)+(4.53339+(0.37791-2.764404))+0-0-0</f>
        <v>703.74689599999999</v>
      </c>
      <c r="P129" s="3">
        <f>1457.5+(128.6-848.8)+(0+(0-0))+0-0-0</f>
        <v>737.30000000000007</v>
      </c>
      <c r="Q129" s="3">
        <f>1473.1+(140.8-816.4)+(2.253843+(0.215424-1.249092))+0-0-0</f>
        <v>798.72017500000004</v>
      </c>
      <c r="R129" s="3">
        <f>1526.1+(137.6-808.6)+(0+(0-0))+0-0-0</f>
        <v>855.09999999999991</v>
      </c>
      <c r="S129" s="3">
        <f>1544.4+(144.7-766.3)+(-4.725864+(-0.442782--2.344878))+0-0-0</f>
        <v>919.97623200000021</v>
      </c>
      <c r="T129" s="3">
        <f>1557+(152.5-741.4)+(-0.79407+(-0.077775--0.378114))+0-0-0</f>
        <v>967.606269</v>
      </c>
      <c r="U129" s="3">
        <f>1564.5+(142.8-754.1)+(-0.797895+(-0.072828--0.384591))+0-0-0</f>
        <v>952.71386800000005</v>
      </c>
      <c r="V129" s="3">
        <f>1561.8+(134.8-783.5)+(-0.796518+(-0.068748--0.399585))+0-0-0</f>
        <v>912.63431899999989</v>
      </c>
      <c r="W129" s="3">
        <f>1577.6+(123.2-836.9)+(1.609152+(0.125664-0.853638))+0-0-0</f>
        <v>864.78117799999995</v>
      </c>
      <c r="X129" s="3">
        <f>1573.6+(102.9-876.6)+(0.802536+(0.052479-0.447066))+0-0-0</f>
        <v>800.30794899999989</v>
      </c>
      <c r="Y129" s="3">
        <f>1571+(96.1-909.1)+(0+(0-0))+0-0-0</f>
        <v>758</v>
      </c>
      <c r="Z129" s="3">
        <f>1593.9+(139-879.8)+(-2.438667+(-0.21267--1.346094))+0-0-0</f>
        <v>851.79475700000012</v>
      </c>
      <c r="AA129" s="3">
        <f>1631.7+(161.3-825.1)+(-0.832167+(-0.082263--0.420801))+0-0-0</f>
        <v>967.40637100000004</v>
      </c>
      <c r="AB129" s="3">
        <f>1611.2+(149.7-833.2)+(-1.643424+(-0.152694--0.849864))+0-0-0</f>
        <v>926.75374600000009</v>
      </c>
      <c r="AC129" s="3">
        <f>1600.8+(156.4-873.8)+(-3.265632+(-0.319056--1.782552))+0-0-0</f>
        <v>881.59786399999996</v>
      </c>
      <c r="AD129" s="2">
        <v>994.19999999999993</v>
      </c>
      <c r="AE129" s="3">
        <f>1647+(165.6-818.4)+(0+(0-0))+0-0-0</f>
        <v>994.2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1626.8+(48.4-824.2)+(-0.829668+(-0.024684--0.420342))+0-0-0</f>
        <v>850.56598999999994</v>
      </c>
      <c r="G130" s="3">
        <f>1629.8+(30.1-852.5)+(-0.831198+(-0.015351--0.434775))+0-0-0</f>
        <v>806.98822599999994</v>
      </c>
      <c r="H130" s="3">
        <f>1627.2+(32.1-897.3)+(0+(0-0))+0-0-0</f>
        <v>762.00000000000011</v>
      </c>
      <c r="I130" s="3">
        <f>1615.4+(33.2-930.6)+(-4.11927+(-0.08466--2.37303))+0-0-0</f>
        <v>716.16910000000007</v>
      </c>
      <c r="J130" s="3">
        <f>1617+(31.3-926.1)+(-1.64934+(-0.031926--0.944622))+0-0-0</f>
        <v>721.46335599999998</v>
      </c>
      <c r="K130" s="3">
        <f>1326.2+(75-719.3)+(-4.734534+(-0.26775--2.567901))+0-0-0</f>
        <v>679.46561700000007</v>
      </c>
      <c r="L130" s="3">
        <f>1206.9+(100.1-733.6)+(-4.308633+(-0.357357--2.618952))+0-0-0</f>
        <v>571.35296200000005</v>
      </c>
      <c r="M130" s="3">
        <f>1222+(98.2-773.8)+(0.62322+(0.050082-0.394638))+0-0-0</f>
        <v>546.67866400000014</v>
      </c>
      <c r="N130" s="3">
        <f>1224+(82.7-778.4)+(-0.62424+(-0.042177--0.396984))+0-0-0</f>
        <v>528.03056700000002</v>
      </c>
      <c r="O130" s="3">
        <f>1386+(63-882.5)+(2.12058+(0.09639-1.350225))+0-0-0</f>
        <v>567.36674500000004</v>
      </c>
      <c r="P130" s="3">
        <f>1562+(10.6-954.3)+(0+(0-0))+0-0-0</f>
        <v>618.30000000000007</v>
      </c>
      <c r="Q130" s="3">
        <f>1620.8+(4.6-951.9)+(2.479824+(0.007038-1.456407))+0-0-0</f>
        <v>674.53045499999996</v>
      </c>
      <c r="R130" s="3">
        <f>1623.8+(7.2-923.8)+(1.656276+(0.007344-0.942276))+0-0-0</f>
        <v>707.92134400000009</v>
      </c>
      <c r="S130" s="3">
        <f>1621+(13.9-886.7)+(3.30684+(0.028356-1.808868))+0-0-0</f>
        <v>749.72632799999997</v>
      </c>
      <c r="T130" s="3">
        <f>1609.5+(26.5-864.8)+(3.28338+(0.05406-1.764192))+0-0-0</f>
        <v>772.77324800000008</v>
      </c>
      <c r="U130" s="3">
        <f>1599.9+(22.9-871.1)+(1.631898+(0.023358-0.888522))+0-0-0</f>
        <v>752.46673400000009</v>
      </c>
      <c r="V130" s="3">
        <f>1594.2+(18.3-881.9)+(-0.813042+(-0.009333--0.449769))+0-0-0</f>
        <v>730.227394</v>
      </c>
      <c r="W130" s="3">
        <f>1601+(13.7-908.4)+(1.63302+(0.013974-0.926568))+0-0-0</f>
        <v>707.02042600000004</v>
      </c>
      <c r="X130" s="3">
        <f>1592.2+(1-921.9)+(-0.812022+(-0.00051--0.470169))+0-0-0</f>
        <v>670.95763700000009</v>
      </c>
      <c r="Y130" s="3">
        <f>1598.4+(38.7-970.3)+(-3.260736+(-0.078948--1.979412))+0-0-0</f>
        <v>665.43972800000017</v>
      </c>
      <c r="Z130" s="3">
        <f>1635.1+(107-982.7)+(0+(0-0))+0-0-0</f>
        <v>759.39999999999986</v>
      </c>
      <c r="AA130" s="3">
        <f>1658.8+(65.7-862.6)+(-4.22994+(-0.167535--2.19963))+0-0-0</f>
        <v>859.70215499999995</v>
      </c>
      <c r="AB130" s="3">
        <f>1683.7+(53.1-887.7)+(0+(0-0))+0-0-0</f>
        <v>849.1</v>
      </c>
      <c r="AC130" s="3">
        <f>1696.7+(52-903.8)+(2.595951+(0.07956-1.382814))+0-0-0</f>
        <v>846.19269700000007</v>
      </c>
      <c r="AD130" s="2">
        <v>882.9</v>
      </c>
      <c r="AE130" s="3">
        <f>1693+(59.3-869.4)+(0+(0-0))+0-0-0</f>
        <v>882.9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1661.3+(33.7-862.3)+(-3.389052+(-0.068748--1.759092))+0-0-0</f>
        <v>831.00129200000003</v>
      </c>
      <c r="G131" s="3">
        <f>1615.2+(17.5-857.4)+(-4.11876+(-0.044625--2.18637))+0-0-0</f>
        <v>773.32298500000002</v>
      </c>
      <c r="H131" s="3">
        <f>1606+(17.3-908.2)+(-5.73342+(-0.061761--3.242274))+0-0-0</f>
        <v>712.5470929999999</v>
      </c>
      <c r="I131" s="3">
        <f>1364.8+(54.7-739.8)+(0+(0-0))+0-0-0</f>
        <v>679.7</v>
      </c>
      <c r="J131" s="3">
        <f>1322.3+(49.3-707)+(-3.371865+(-0.125715--1.80285))+0-0-0</f>
        <v>662.90526999999986</v>
      </c>
      <c r="K131" s="3">
        <f>1318.3+(16.6-724.1)+(-4.033998+(-0.050796--2.215746))+0-0-0</f>
        <v>608.93095199999993</v>
      </c>
      <c r="L131" s="3">
        <f>1218.1+(16.4-682.6)+(0+(0-0))+0-0-0</f>
        <v>551.89999999999986</v>
      </c>
      <c r="M131" s="3">
        <f>1213.1+(19.6-669.2)+(0+(0-0))+0-0-0</f>
        <v>563.49999999999989</v>
      </c>
      <c r="N131" s="3">
        <f>1290.3+(91.1-728.3)+(-0.658053+(-0.046461--0.371433))+0-0-0</f>
        <v>652.76691900000003</v>
      </c>
      <c r="O131" s="3">
        <f>1429.4+(92.3-836.4)+(-2.186982+(-0.141219--1.279692))+0-0-0</f>
        <v>684.2514910000001</v>
      </c>
      <c r="P131" s="3">
        <f>1623.9+(58.1-892.1)+(0+(0-0))+0-0-0</f>
        <v>789.90000000000009</v>
      </c>
      <c r="Q131" s="3">
        <f>1657+(39.3-889.8)+(2.53521+(0.060129-1.361394))+0-0-0</f>
        <v>807.73394499999995</v>
      </c>
      <c r="R131" s="3">
        <f>1708+(33.1-888.6)+(1.74216+(0.033762-0.906372))+0-0-0</f>
        <v>853.36955</v>
      </c>
      <c r="S131" s="3">
        <f>1711.1+(37-846)+(0+(0-0))+0-0-0</f>
        <v>902.09999999999991</v>
      </c>
      <c r="T131" s="3">
        <f>1708.8+(30-805.7)+(0.871488+(0.0153-0.410907))+0-0-0</f>
        <v>933.57588099999987</v>
      </c>
      <c r="U131" s="3">
        <f>1662.1+(39.2-797.6)+(0+(0-0))+0-0-0</f>
        <v>903.69999999999993</v>
      </c>
      <c r="V131" s="3">
        <f>1661.7+(30.4-831)+(0.847467+(0.015504-0.42381))+0-0-0</f>
        <v>861.53916100000004</v>
      </c>
      <c r="W131" s="3">
        <f>1660.1+(47.6-879.5)+(0.846651+(0.024276-0.448545))+0-0-0</f>
        <v>828.6223819999999</v>
      </c>
      <c r="X131" s="3">
        <f>1660.3+(55.6-919.3)+(0.846753+(0.028356-0.468843))+0-0-0</f>
        <v>797.00626599999998</v>
      </c>
      <c r="Y131" s="3">
        <f>1681.9+(27.7-919.3)+(1.715538+(0.028254-0.937686))+0-0-0</f>
        <v>791.10610600000018</v>
      </c>
      <c r="Z131" s="3">
        <f>1681.4+(106-865.4)+(0+(0-0))+0-0-0</f>
        <v>922.00000000000011</v>
      </c>
      <c r="AA131" s="3">
        <f>1701.4+(107.1-785.5)+(-3.470856+(-0.218484--1.60242))+0-0-0</f>
        <v>1020.9130800000001</v>
      </c>
      <c r="AB131" s="3">
        <f>1731.2+(105.9-845.5)+(0+(0-0))+0-0-0</f>
        <v>991.6</v>
      </c>
      <c r="AC131" s="3">
        <f>1689+(89.5-827.3)+(0.86139+(0.045645-0.421923))+0-0-0</f>
        <v>951.685112</v>
      </c>
      <c r="AD131" s="2">
        <v>1019.4</v>
      </c>
      <c r="AE131" s="3">
        <f>1708+(97.3-785.9)+(0+(0-0))+0-0-0</f>
        <v>1019.4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1621.7+(58.8-749.6)+(1.654134+(0.059976-0.764592))+0-0-0</f>
        <v>931.84951799999999</v>
      </c>
      <c r="G132" s="3">
        <f>1604.3+(92.8-842)+(-2.454579+(-0.141984--1.28826))+0-0-0</f>
        <v>853.79169699999989</v>
      </c>
      <c r="H132" s="3">
        <f>1619.9+(123.1-942.3)+(0+(0-0))+0-0-0</f>
        <v>800.70000000000016</v>
      </c>
      <c r="I132" s="3">
        <f>1581.2+(114.3-939.3)+(-1.612824+(-0.116586--0.958086))+0-0-0</f>
        <v>755.428676</v>
      </c>
      <c r="J132" s="3">
        <f>1573.9+(141.1-974.4)+(-3.210756+(-0.287844--1.987776))+0-0-0</f>
        <v>739.08917600000018</v>
      </c>
      <c r="K132" s="3">
        <f>1492.4+(67.5-891.3)+(-3.80562+(-0.172125--2.272815))+0-0-0</f>
        <v>666.89507000000015</v>
      </c>
      <c r="L132" s="3">
        <f>1483.8+(52-933.1)+(-1.513476+(-0.05304--0.951762))+0-0-0</f>
        <v>602.08524599999998</v>
      </c>
      <c r="M132" s="3">
        <f>1494.4+(52.2-935.9)+(0.762144+(0.026622-0.477309))+0-0-0</f>
        <v>611.01145700000018</v>
      </c>
      <c r="N132" s="3">
        <f>1491.3+(97.3-884.4)+(1.521126+(0.099246-0.902088))+0-0-0</f>
        <v>704.91828399999997</v>
      </c>
      <c r="O132" s="3">
        <f>1493.7+(163.5-872.2)+(2.285361+(0.250155-1.334466))+0-0-0</f>
        <v>786.20105000000001</v>
      </c>
      <c r="P132" s="3">
        <f>1516.1+(169.3-842.8)+(1.546422+(0.172686-0.859656))+0-0-0</f>
        <v>843.45945199999994</v>
      </c>
      <c r="Q132" s="3">
        <f>1614.7+(154.2-847)+(3.293988+(0.314568-1.72788))+0-0-0</f>
        <v>923.78067600000008</v>
      </c>
      <c r="R132" s="3">
        <f>1590.8+(148.4-739.2)+(2.433924+(0.227052-1.130976))+0-0-0</f>
        <v>1001.5299999999999</v>
      </c>
      <c r="S132" s="3">
        <f>1591.2+(164.8-724.8)+(2.434536+(0.252144-1.108944))+0-0-0</f>
        <v>1032.777736</v>
      </c>
      <c r="T132" s="3">
        <f>1636+(165.7-733.3)+(-1.66872+(-0.169014--0.747966))+0-0-0</f>
        <v>1067.310232</v>
      </c>
      <c r="U132" s="3">
        <f>1637.4+(147.8-784.3)+(1.670148+(0.150756-0.799986))+0-0-0</f>
        <v>1001.9209180000001</v>
      </c>
      <c r="V132" s="3">
        <f>1634.4+(138.8-816)+(0+(0-0))+0-0-0</f>
        <v>957.2</v>
      </c>
      <c r="W132" s="3">
        <f>1596.8+(133.3-806.6)+(0+(0-0))+0-0-0</f>
        <v>923.5</v>
      </c>
      <c r="X132" s="3">
        <f>1600.2+(145.1-892.4)+(0.816102+(0.074001-0.455124))+0-0-0</f>
        <v>853.33497900000009</v>
      </c>
      <c r="Y132" s="3">
        <f>1622.7+(144.2-937.3)+(2.482731+(0.220626-1.434069))+0-0-0</f>
        <v>830.8692880000001</v>
      </c>
      <c r="Z132" s="3">
        <f>1644.3+(166.8-850.5)+(0+(0-0))+0-0-0</f>
        <v>960.59999999999991</v>
      </c>
      <c r="AA132" s="3">
        <f>1677.1+(151.5-765.1)+(-5.987247+(-0.540855--2.731407))+0-0-0</f>
        <v>1059.703305</v>
      </c>
      <c r="AB132" s="3">
        <f>1696.3+(145.2-823)+(-2.595339+(-0.222156--1.25919))+0-0-0</f>
        <v>1016.941695</v>
      </c>
      <c r="AC132" s="3">
        <f>1610.3+(153.5-777.4)+(0.821253+(0.078285-0.396474))+0-0-0</f>
        <v>986.90306399999997</v>
      </c>
      <c r="AD132" s="2">
        <v>1018.3</v>
      </c>
      <c r="AE132" s="3">
        <f>1671+(162.8-815.5)+(0+(0-0))+0-0-0</f>
        <v>1018.3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1550+(156.3-767)+(-1.581+(-0.159426--0.78234))+0-0-0</f>
        <v>938.34191399999997</v>
      </c>
      <c r="G133" s="3">
        <f>1489.6+(146.1-770.9)+(-3.038784+(-0.298044--1.572636))+0-0-0</f>
        <v>863.03580799999997</v>
      </c>
      <c r="H133" s="3">
        <f>1455.2+(102.5-766.4)+(-2.226456+(-0.156825--1.172592))+0-0-0</f>
        <v>790.08931100000007</v>
      </c>
      <c r="I133" s="3">
        <f>1465.8+(79.3-788.1)+(-0.747558+(-0.040443--0.401931))+0-0-0</f>
        <v>756.61392999999987</v>
      </c>
      <c r="J133" s="3">
        <f>1456.7+(69.3-786.1)+(-2.971668+(-0.141372--1.603644))+0-0-0</f>
        <v>738.39060399999994</v>
      </c>
      <c r="K133" s="3">
        <f>1327.7+(97.4-752.5)+(-2.031381+(-0.149022--1.151325))+0-0-0</f>
        <v>671.570922</v>
      </c>
      <c r="L133" s="3">
        <f>1250.5+(122.2-767.7)+(0+(0-0))+0-0-0</f>
        <v>605</v>
      </c>
      <c r="M133" s="3">
        <f>1197.6+(113.6-705.2)+(1.832328+(0.173808-1.078956))+0-0-0</f>
        <v>606.92717999999991</v>
      </c>
      <c r="N133" s="3">
        <f>1261.3+(144.9-712)+(0.643263+(0.073899-0.36312))+0-0-0</f>
        <v>694.55404199999998</v>
      </c>
      <c r="O133" s="3">
        <f>1565.9+(158.3-941.8)+(0.798609+(0.080733-0.480318))+0-0-0</f>
        <v>782.79902400000014</v>
      </c>
      <c r="P133" s="3">
        <f>1618+(144.5-930.5)+(3.30072+(0.29478-1.89822))+0-0-0</f>
        <v>833.69727999999998</v>
      </c>
      <c r="Q133" s="3">
        <f>1663.8+(135.3-905.3)+(2.545614+(0.207009-1.385109))+0-0-0</f>
        <v>895.16751399999998</v>
      </c>
      <c r="R133" s="3">
        <f>1621.6+(127.3-846)+(-3.308064+(-0.259692--1.72584))+0-0-0</f>
        <v>901.05808399999989</v>
      </c>
      <c r="S133" s="3">
        <f>1622.9+(142.5-811)+(-2.483037+(-0.218025--1.24083))+0-0-0</f>
        <v>952.93976800000007</v>
      </c>
      <c r="T133" s="3">
        <f>1640.2+(154.6-800.8)+(2.509506+(0.236538-1.225224))+0-0-0</f>
        <v>995.52082000000007</v>
      </c>
      <c r="U133" s="3">
        <f>1619.9+(150.2-795.3)+(1.652298+(0.153204-0.811206))+0-0-0</f>
        <v>975.79429600000014</v>
      </c>
      <c r="V133" s="3">
        <f>1632.8+(97.6-805.1)+(0.832728+(0.049776-0.410601))+0-0-0</f>
        <v>925.77190299999995</v>
      </c>
      <c r="W133" s="3">
        <f>1641+(88.8-859.8)+(-0.83691+(-0.045288--0.438498))+0-0-0</f>
        <v>869.55629999999996</v>
      </c>
      <c r="X133" s="3">
        <f>1654.4+(82.1-938.6)+(1.687488+(0.083742-0.957372))+0-0-0</f>
        <v>798.71385800000007</v>
      </c>
      <c r="Y133" s="3">
        <f>1678.7+(88.4-986.2)+(3.424548+(0.180336-2.011848))+0-0-0</f>
        <v>782.49303599999996</v>
      </c>
      <c r="Z133" s="3">
        <f>1670.3+(152.5-908.6)+(0.851853+(0.077775-0.463386))+0-0-0</f>
        <v>914.6662419999999</v>
      </c>
      <c r="AA133" s="3">
        <f>1667.4+(166.4-854.6)+(-3.401496+(-0.339456--1.743384))+0-0-0</f>
        <v>977.20243200000004</v>
      </c>
      <c r="AB133" s="3">
        <f>1642.3+(149.5-840.8)+(1.675146+(0.15249-0.857616))+0-0-0</f>
        <v>951.97001999999998</v>
      </c>
      <c r="AC133" s="3">
        <f>1555.9+(159.1-815.6)+(0+(0-0))+0-0-0</f>
        <v>899.40000000000009</v>
      </c>
      <c r="AD133" s="2">
        <v>970.7</v>
      </c>
      <c r="AE133" s="3">
        <f>1682+(155.2-866.5)+(0+(0-0))+0-0-0</f>
        <v>970.7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1544.5+(140.9-837.8)+(-2.363085+(-0.215577--1.281834))+0-0-0</f>
        <v>846.30317200000002</v>
      </c>
      <c r="G134" s="3">
        <f>1516.4+(184.1-914.1)+(-1.546728+(-0.187782--0.932382))+0-0-0</f>
        <v>785.59787200000005</v>
      </c>
      <c r="H134" s="3">
        <f>1461+(199.7-922.9)+(-0.74511+(-0.101847--0.470679))+0-0-0</f>
        <v>737.423722</v>
      </c>
      <c r="I134" s="3">
        <f>1455.9+(169.2-915.4)+(-1.485018+(-0.172584--0.933708))+0-0-0</f>
        <v>708.97610600000007</v>
      </c>
      <c r="J134" s="3">
        <f>1464.6+(160.1-962.4)+(1.493892+(0.163302-0.981648))+0-0-0</f>
        <v>662.97554600000001</v>
      </c>
      <c r="K134" s="3">
        <f>1326+(162-894.2)+(0.67626+(0.08262-0.456042))+0-0-0</f>
        <v>594.10283799999991</v>
      </c>
      <c r="L134" s="3">
        <f>1177.7+(114.5-763.5)+(-1.801881+(-0.175185--1.168155))+0-0-0</f>
        <v>527.89108900000008</v>
      </c>
      <c r="M134" s="3">
        <f>1198.5+(97.2-763.9)+(0.611235+(0.049572-0.389589))+0-0-0</f>
        <v>532.07121800000004</v>
      </c>
      <c r="N134" s="3">
        <f>1504.3+(141.8-1035.7)+(1.534386+(0.144636-1.056414))+0-0-0</f>
        <v>611.02260799999988</v>
      </c>
      <c r="O134" s="3">
        <f>1568.5+(153.2-1041.6)+(1.59987+(0.156264-1.062432))+0-0-0</f>
        <v>680.79370200000017</v>
      </c>
      <c r="P134" s="3">
        <f>1623.3+(142.4-1046.9)+(0.827883+(0.072624-0.533919))+0-0-0</f>
        <v>719.16658799999982</v>
      </c>
      <c r="Q134" s="3">
        <f>1673+(127.9-1061)+(1.70646+(0.130458-1.08222))+0-0-0</f>
        <v>740.65469799999994</v>
      </c>
      <c r="R134" s="3">
        <f>1676.2+(134.2-1024.3)+(0.854862+(0.068442-0.522393))+0-0-0</f>
        <v>786.50091100000009</v>
      </c>
      <c r="S134" s="3">
        <f>1674.5+(145.1-1025)+(0.853995+(0.074001-0.52275))+0-0-0</f>
        <v>795.00524600000006</v>
      </c>
      <c r="T134" s="3">
        <f>1670.7+(147.5-1023.3)+(0.852057+(0.075225-0.521883))+0-0-0</f>
        <v>795.30539900000008</v>
      </c>
      <c r="U134" s="3">
        <f>1652+(148.2-1025.8)+(-2.52756+(-0.226746--1.569474))+0-0-0</f>
        <v>773.21516800000006</v>
      </c>
      <c r="V134" s="3">
        <f>1627+(158.4-1030)+(0.82977+(0.080784-0.5253))+0-0-0</f>
        <v>755.78525400000001</v>
      </c>
      <c r="W134" s="3">
        <f>1566.3+(152.2-987.5)+(-1.597626+(-0.155244--1.00725))+0-0-0</f>
        <v>730.25437999999997</v>
      </c>
      <c r="X134" s="3">
        <f>1565.8+(129.7-994.5)+(-2.395674+(-0.198441--1.521585))+0-0-0</f>
        <v>699.92746999999997</v>
      </c>
      <c r="Y134" s="3">
        <f>1585.2+(71.5-949.9)+(1.616904+(0.07293-0.968898))+0-0-0</f>
        <v>707.52093600000012</v>
      </c>
      <c r="Z134" s="3">
        <f>1596.5+(152.9-913.5)+(1.62843+(0.155958-0.93177))+0-0-0</f>
        <v>836.75261799999998</v>
      </c>
      <c r="AA134" s="3">
        <f>1567.8+(139.8-826.8)+(-1.599156+(-0.142596--0.843336))+0-0-0</f>
        <v>879.90158399999996</v>
      </c>
      <c r="AB134" s="3">
        <f>1568+(73.2-803.5)+(0.79968+(0.037332-0.409785))+0-0-0</f>
        <v>838.12722700000006</v>
      </c>
      <c r="AC134" s="3">
        <f>1569.3+(40.5-812.7)+(4.001715+(0.103275-2.072385))+0-0-0</f>
        <v>799.1326049999999</v>
      </c>
      <c r="AD134" s="2">
        <v>922.8</v>
      </c>
      <c r="AE134" s="3">
        <f>1559+(149.6-785.8)+(0+(0-0))+0-0-0</f>
        <v>922.80000000000007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1538.6+(33.1-787.9)+(2.354058+(0.050643-1.205487))+0-0-0</f>
        <v>784.99921399999994</v>
      </c>
      <c r="G135" s="3">
        <f>1526.9+(41.3-835.9)+(-0.778719+(-0.021063--0.426309))+0-0-0</f>
        <v>731.92652700000008</v>
      </c>
      <c r="H135" s="3">
        <f>1457.3+(23.3-789.9)+(1.486446+(0.023766-0.805698))+0-0-0</f>
        <v>691.40451399999995</v>
      </c>
      <c r="I135" s="3">
        <f>1455.3+(19.2-812.4)+(1.484406+(0.019584-0.828648))+0-0-0</f>
        <v>662.77534200000002</v>
      </c>
      <c r="J135" s="3">
        <f>1461.3+(9.7-822.1)+(2.981052+(0.019788-1.677084))+0-0-0</f>
        <v>650.22375599999998</v>
      </c>
      <c r="K135" s="3">
        <f>1344.1+(14.1-762.5)+(-4.112946+(-0.043146--2.33325))+0-0-0</f>
        <v>593.87715799999989</v>
      </c>
      <c r="L135" s="3">
        <f>1345+(18.9-805)+(-3.42975+(-0.048195--2.05275))+0-0-0</f>
        <v>557.47480499999995</v>
      </c>
      <c r="M135" s="3">
        <f>1354.4+(29.7-817.7)+(0+(0-0))+0-0-0</f>
        <v>566.40000000000009</v>
      </c>
      <c r="N135" s="3">
        <f>1448.6+(73.6-903.8)+(-0.738786+(-0.037536--0.460938))+0-0-0</f>
        <v>618.08461599999998</v>
      </c>
      <c r="O135" s="3">
        <f>1587.2+(159-1071.5)+(0+(0-0))+0-0-0</f>
        <v>674.7</v>
      </c>
      <c r="P135" s="3">
        <f>1688.7+(102.4-1088.3)+(2.583711+(0.156672-1.665099))+0-0-0</f>
        <v>703.87528400000008</v>
      </c>
      <c r="Q135" s="3">
        <f>1657.9+(109-1045.3)+(2.536587+(0.16677-1.599309))+0-0-0</f>
        <v>722.70404800000017</v>
      </c>
      <c r="R135" s="3">
        <f>1645.2+(153.3-1037.8)+(-1.678104+(-0.156366--1.058556))+0-0-0</f>
        <v>759.9240860000001</v>
      </c>
      <c r="S135" s="3">
        <f>1646.8+(167.8-1036.3)+(-0.839868+(-0.085578--0.528513))+0-0-0</f>
        <v>777.90306699999996</v>
      </c>
      <c r="T135" s="3">
        <f>1635.5+(167.1-1007.3)+(-3.33642+(-0.340884--2.054892))+0-0-0</f>
        <v>793.67758800000001</v>
      </c>
      <c r="U135" s="3">
        <f>1626.3+(166.1-1023.6)+(-2.488239+(-0.254133--1.566108))+0-0-0</f>
        <v>767.62373600000001</v>
      </c>
      <c r="V135" s="3">
        <f>1638.2+(157-1049)+(0+(0-0))+0-0-0</f>
        <v>746.2</v>
      </c>
      <c r="W135" s="3">
        <f>1641.5+(148.1-1060.4)+(2.511495+(0.226593-1.622412))+0-0-0</f>
        <v>730.31567599999994</v>
      </c>
      <c r="X135" s="3">
        <f>1661.5+(149.2-1082.1)+(2.542095+(0.228276-1.655613))+0-0-0</f>
        <v>729.71475800000019</v>
      </c>
      <c r="Y135" s="3">
        <f>1681.6+(153.2-1089.3)+(3.430464+(0.312528-2.222172))+0-0-0</f>
        <v>747.02081999999996</v>
      </c>
      <c r="Z135" s="3">
        <f>1703.8+(148.1-987.8)+(1.737876+(0.151062-1.007556))+0-0-0</f>
        <v>864.98138200000005</v>
      </c>
      <c r="AA135" s="3">
        <f>1702.7+(142.2-929.8)+(-3.473508+(-0.290088--1.896792))+0-0-0</f>
        <v>913.23319600000013</v>
      </c>
      <c r="AB135" s="3">
        <f>1695.4+(145.6-955.8)+(-0.864654+(-0.074256--0.487458))+0-0-0</f>
        <v>884.74854800000014</v>
      </c>
      <c r="AC135" s="3">
        <f>1672.9+(160.1-977.9)+(-0.853179+(-0.081651--0.498729))+0-0-0</f>
        <v>854.66389900000013</v>
      </c>
      <c r="AD135" s="2">
        <v>889.5</v>
      </c>
      <c r="AE135" s="3">
        <f>1725+(143.8-979.3)+(0+(0-0))+0-0-0</f>
        <v>889.5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1663.7+(108.6-973.7)+(0.848487+(0.055386-0.496587))+0-0-0</f>
        <v>799.00728600000002</v>
      </c>
      <c r="G136" s="3">
        <f>1575.9+(135.5-954.6)+(2.411127+(0.207315-1.460538))+0-0-0</f>
        <v>757.9579040000001</v>
      </c>
      <c r="H136" s="3">
        <f>1435.9+(137.1-882)+(0.732309+(0.069921-0.44982))+0-0-0</f>
        <v>691.35241000000008</v>
      </c>
      <c r="I136" s="3">
        <f>1358+(110.9-811.9)+(1.38516+(0.113118-0.828138))+0-0-0</f>
        <v>657.67013999999995</v>
      </c>
      <c r="J136" s="3">
        <f>1356.5+(102.2-797.5)+(-1.38363+(-0.104244--0.81345))+0-0-0</f>
        <v>660.525576</v>
      </c>
      <c r="K136" s="3">
        <f>1346.8+(85-805.9)+(-2.747472+(-0.1734--1.644036))+0-0-0</f>
        <v>624.62316399999997</v>
      </c>
      <c r="L136" s="3">
        <f>1339.4+(93.5-851.7)+(-4.098564+(-0.28611--2.606202))+0-0-0</f>
        <v>579.42152800000008</v>
      </c>
      <c r="M136" s="3">
        <f>1363.3+(89.1-868.9)+(2.781132+(0.181764-1.772556))+0-0-0</f>
        <v>584.69033999999999</v>
      </c>
      <c r="N136" s="3">
        <f>1487.8+(67.9-901.6)+(4.552668+(0.207774-2.758896))+0-0-0</f>
        <v>656.10154599999987</v>
      </c>
      <c r="O136" s="3">
        <f>1548.4+(109.7-918.8)+(2.369052+(0.167841-1.405764))+0-0-0</f>
        <v>740.43112900000017</v>
      </c>
      <c r="P136" s="3">
        <f>1607.8+(146.4-980.4)+(1.639956+(0.149328-1.000008))+0-0-0</f>
        <v>774.58927599999993</v>
      </c>
      <c r="Q136" s="3">
        <f>1629.1+(142.5-951.7)+(0.830841+(0.072675-0.485367))+0-0-0</f>
        <v>820.31814899999983</v>
      </c>
      <c r="R136" s="3">
        <f>1590.8+(150.3-893.9)+(0.811308+(0.076653-0.455889))+0-0-0</f>
        <v>847.63207199999999</v>
      </c>
      <c r="S136" s="3">
        <f>1604.9+(155.6-874.4)+(-4.910994+(-0.476136--2.675664))+0-0-0</f>
        <v>883.38853400000016</v>
      </c>
      <c r="T136" s="3">
        <f>1624.9+(153.6-900.9)+(-4.143495+(-0.39168--2.297295))+0-0-0</f>
        <v>875.36212000000012</v>
      </c>
      <c r="U136" s="3">
        <f>1642.2+(151.5-937.4)+(-0.837522+(-0.077265--0.478074))+0-0-0</f>
        <v>855.86328700000001</v>
      </c>
      <c r="V136" s="3">
        <f>1629.9+(147.9-942)+(-2.493747+(-0.226287--1.44126))+0-0-0</f>
        <v>834.52122600000007</v>
      </c>
      <c r="W136" s="3">
        <f>1621.4+(143.2-946.5)+(-4.13457+(-0.36516--2.413575))+0-0-0</f>
        <v>816.01384500000017</v>
      </c>
      <c r="X136" s="3">
        <f>1630.8+(142.1-994.1)+(-2.495124+(-0.217413--1.520973))+0-0-0</f>
        <v>777.60843599999998</v>
      </c>
      <c r="Y136" s="3">
        <f>1651.7+(124-1020.6)+(0+(0-0))+0-0-0</f>
        <v>755.1</v>
      </c>
      <c r="Z136" s="3">
        <f>1654.4+(113.1-903)+(1.687488+(0.115362-0.92106))+0-0-0</f>
        <v>865.38179000000014</v>
      </c>
      <c r="AA136" s="3">
        <f>1667.4+(145.8-864.5)+(-1.700748+(-0.148716--0.88179))+0-0-0</f>
        <v>947.73232600000006</v>
      </c>
      <c r="AB136" s="3">
        <f>1692.7+(143.8-922.9)+(-2.589831+(-0.220014--1.412037))+0-0-0</f>
        <v>912.20219200000008</v>
      </c>
      <c r="AC136" s="3">
        <f>1686.6+(155.6-965.9)+(-2.580498+(-0.238068--1.477827))+0-0-0</f>
        <v>874.95926099999997</v>
      </c>
      <c r="AD136" s="2">
        <v>904</v>
      </c>
      <c r="AE136" s="3">
        <f>1663+(149.2-908.2)+(0+(0-0))+0-0-0</f>
        <v>904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1650+(134.9-978.8)+(-2.5245+(-0.206397--1.497564))+0-0-0</f>
        <v>804.86666700000001</v>
      </c>
      <c r="G137" s="3">
        <f>1605.5+(141.4-992.1)+(0.818805+(0.072114-0.505971))+0-0-0</f>
        <v>755.18494799999996</v>
      </c>
      <c r="H137" s="3">
        <f>1566.9+(123.7-984.3)+(0+(0-0))+0-0-0</f>
        <v>706.30000000000018</v>
      </c>
      <c r="I137" s="3">
        <f>1582.8+(124.1-1035.3)+(-1.614456+(-0.126582--1.056006))+0-0-0</f>
        <v>670.91496800000004</v>
      </c>
      <c r="J137" s="3">
        <f>1576.3+(110.7-1028.8)+(-2.411739+(-0.169371--1.574064))+0-0-0</f>
        <v>657.1929540000001</v>
      </c>
      <c r="K137" s="3">
        <f>1340.6+(127.7-868.8)+(-2.734824+(-0.260508--1.772352))+0-0-0</f>
        <v>598.27701999999999</v>
      </c>
      <c r="L137" s="3">
        <f>1225.6+(118.7-822.3)+(-3.12528+(-0.302685--2.096865))+0-0-0</f>
        <v>520.66890000000001</v>
      </c>
      <c r="M137" s="3">
        <f>1236.5+(98.6-836.3)+(-1.26123+(-0.100572--0.853026))+0-0-0</f>
        <v>498.29122400000006</v>
      </c>
      <c r="N137" s="3">
        <f>1291.1+(74.1-835.5)+(-1.975383+(-0.113373--1.278315))+0-0-0</f>
        <v>528.88955899999996</v>
      </c>
      <c r="O137" s="3">
        <f>1308.4+(59.5-782.3)+(0+(0-0))+0-0-0</f>
        <v>585.60000000000014</v>
      </c>
      <c r="P137" s="3">
        <f>1391.3+(63-817.9)+(2.128689+(0.09639-1.251387))+0-0-0</f>
        <v>637.37369200000001</v>
      </c>
      <c r="Q137" s="3">
        <f>1438.9+(147.2-896.7)+(-1.467678+(-0.150144--0.914634))+0-0-0</f>
        <v>688.69681200000014</v>
      </c>
      <c r="R137" s="3">
        <f>1474.4+(170.6-912.2)+(0.751944+(0.087006-0.465222))+0-0-0</f>
        <v>733.1737280000001</v>
      </c>
      <c r="S137" s="3">
        <f>1512+(174.6-888.5)+(-0.77112+(-0.089046--0.453135))+0-0-0</f>
        <v>797.69296900000006</v>
      </c>
      <c r="T137" s="3">
        <f>1518.5+(169.4-850.8)+(0.774435+(0.086394-0.433908))+0-0-0</f>
        <v>837.52692100000002</v>
      </c>
      <c r="U137" s="3">
        <f>1509.5+(164.7-841.9)+(0.769845+(0.083997-0.429369))+0-0-0</f>
        <v>832.72447299999999</v>
      </c>
      <c r="V137" s="3">
        <f>1505.3+(166.2-860.7)+(0.767703+(0.084762-0.438957))+0-0-0</f>
        <v>811.21350799999993</v>
      </c>
      <c r="W137" s="3">
        <f>1495.1+(160-875.9)+(-0.762501+(-0.0816--0.446709))+0-0-0</f>
        <v>778.80260799999996</v>
      </c>
      <c r="X137" s="3">
        <f>1498.1+(156.4-935.2)+(0+(0-0))+0-0-0</f>
        <v>719.29999999999984</v>
      </c>
      <c r="Y137" s="3">
        <f>1505.3+(160.1-983.1)+(-0.767703+(-0.081651--0.501381))+0-0-0</f>
        <v>681.95202699999993</v>
      </c>
      <c r="Z137" s="3">
        <f>1530.2+(176-917.1)+(0.780402+(0.08976-0.467721))+0-0-0</f>
        <v>789.50244099999998</v>
      </c>
      <c r="AA137" s="3">
        <f>1570.3+(161.4-842.3)+(-1.601706+(-0.164628--0.859146))+0-0-0</f>
        <v>888.49281199999996</v>
      </c>
      <c r="AB137" s="3">
        <f>1570.2+(161.4-855.5)+(0.800802+(0.082314-0.436305))+0-0-0</f>
        <v>876.54681100000005</v>
      </c>
      <c r="AC137" s="3">
        <f>1568.8+(157.5-858.9)+(-0.800088+(-0.080325--0.438039))+0-0-0</f>
        <v>866.957626</v>
      </c>
      <c r="AD137" s="2">
        <v>863.49999999999989</v>
      </c>
      <c r="AE137" s="3">
        <f>1556+(162.6-855.1)+(0+(0-0))+0-0-0</f>
        <v>863.5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1560.2+(145-861.4)+(-0.795702+(-0.07395--0.439314))+0-0-0</f>
        <v>843.36966200000006</v>
      </c>
      <c r="G138" s="3">
        <f>1553+(165.3-919.8)+(-2.37609+(-0.252909--1.407294))+0-0-0</f>
        <v>797.27829499999996</v>
      </c>
      <c r="H138" s="3">
        <f>1559.5+(170.6-990)+(0+(0-0))+0-0-0</f>
        <v>740.1</v>
      </c>
      <c r="I138" s="3">
        <f>1566+(178.7-1044.1)+(0.79866+(0.091137-0.532491))+0-0-0</f>
        <v>700.95730600000013</v>
      </c>
      <c r="J138" s="3">
        <f>1550.5+(165.3-1030.4)+(-3.16302+(-0.337212--2.102016))+0-0-0</f>
        <v>684.00178399999982</v>
      </c>
      <c r="K138" s="3">
        <f>1545.3+(91.3-1009.6)+(-3.940515+(-0.232815--2.57448))+0-0-0</f>
        <v>625.40114999999992</v>
      </c>
      <c r="L138" s="3">
        <f>1398+(59.5-882.2)+(-1.42596+(-0.06069--0.899844))+0-0-0</f>
        <v>574.71319399999993</v>
      </c>
      <c r="M138" s="3">
        <f>1274.8+(63.6-760.7)+(0+(0-0))+0-0-0</f>
        <v>577.69999999999993</v>
      </c>
      <c r="N138" s="3">
        <f>1464.4+(65.8-874.2)+(0.746844+(0.033558-0.445842))+0-0-0</f>
        <v>656.33456000000001</v>
      </c>
      <c r="O138" s="3">
        <f>1446.6+(118.8-794.8)+(0+(0-0))+0-0-0</f>
        <v>770.59999999999991</v>
      </c>
      <c r="P138" s="3">
        <f>1438+(107.1-754.3)+(2.20014+(0.163863-1.154079))+0-0-0</f>
        <v>792.00992400000007</v>
      </c>
      <c r="Q138" s="3">
        <f>1457.5+(129.7-741.6)+(-0.743325+(-0.066147--0.378216))+0-0-0</f>
        <v>845.16874399999995</v>
      </c>
      <c r="R138" s="3">
        <f>1455.6+(128.1-679.4)+(0+(0-0))+0-0-0</f>
        <v>904.3</v>
      </c>
      <c r="S138" s="3">
        <f>1501.3+(140.4-666.2)+(-0.765663+(-0.071604--0.339762))+0-0-0</f>
        <v>975.00249499999984</v>
      </c>
      <c r="T138" s="3">
        <f>1611.8+(146.3-729.7)+(0.822018+(0.074613-0.372147))+0-0-0</f>
        <v>1028.9244839999999</v>
      </c>
      <c r="U138" s="3">
        <f>1625.9+(140.4-746.4)+(0.829209+(0.071604-0.380664))+0-0-0</f>
        <v>1020.420149</v>
      </c>
      <c r="V138" s="3">
        <f>1616.4+(133.6-768.8)+(-3.297456+(-0.272544--1.568352))+0-0-0</f>
        <v>979.19835200000011</v>
      </c>
      <c r="W138" s="3">
        <f>1596.5+(134.2-796.2)+(-3.25686+(-0.273768--1.624248))+0-0-0</f>
        <v>932.59361999999999</v>
      </c>
      <c r="X138" s="3">
        <f>1594.8+(124.7-852)+(-4.06674+(-0.317985--2.1726))+0-0-0</f>
        <v>865.28787499999999</v>
      </c>
      <c r="Y138" s="3">
        <f>1614.5+(132-915.2)+(0+(0-0))+0-0-0</f>
        <v>831.3</v>
      </c>
      <c r="Z138" s="3">
        <f>1663.1+(159.6-855.4)+(2.544543+(0.244188-1.308762))+0-0-0</f>
        <v>968.77996899999994</v>
      </c>
      <c r="AA138" s="3">
        <f>1686.4+(119.2-740.8)+(-5.160384+(-0.364752--2.266848))+0-0-0</f>
        <v>1061.5417120000002</v>
      </c>
      <c r="AB138" s="3">
        <f>1697.9+(121.1-779.8)+(-1.731858+(-0.123522--0.795396))+0-0-0</f>
        <v>1038.1400160000003</v>
      </c>
      <c r="AC138" s="3">
        <f>1697+(126.6-820)+(0.86547+(0.064566-0.4182))+0-0-0</f>
        <v>1004.111836</v>
      </c>
      <c r="AD138" s="2">
        <v>1074.6999999999998</v>
      </c>
      <c r="AE138" s="3">
        <f>1681+(132.6-738.9)+(0+(0-0))+0-0-0</f>
        <v>1074.7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1694.2+(103.8-845.6)+(0+(0-0))+0-0-0</f>
        <v>952.4</v>
      </c>
      <c r="G139" s="3">
        <f>1689.3+(108.6-916.4)+(-0.861543+(-0.055386--0.467364))+0-0-0</f>
        <v>881.05043499999999</v>
      </c>
      <c r="H139" s="3">
        <f>1673+(96.1-955.2)+(-1.70646+(-0.098022--0.974304))+0-0-0</f>
        <v>813.06982199999993</v>
      </c>
      <c r="I139" s="3">
        <f>1683.4+(89.2-1007.5)+(-0.858534+(-0.045492--0.513825))+0-0-0</f>
        <v>764.70979900000009</v>
      </c>
      <c r="J139" s="3">
        <f>1676.6+(65.8-989.2)+(-3.420264+(-0.134232--2.017968))+0-0-0</f>
        <v>751.66347199999984</v>
      </c>
      <c r="K139" s="3">
        <f>1679+(82.2-1069.9)+(-1.71258+(-0.083844--1.091298))+0-0-0</f>
        <v>690.594874</v>
      </c>
      <c r="L139" s="3">
        <f>1445.8+(92.8-921.7)+(-1.474716+(-0.094656--0.940134))+0-0-0</f>
        <v>616.27076199999988</v>
      </c>
      <c r="M139" s="3">
        <f>1417.1+(84.5-892.8)+(0.722721+(0.043095-0.455328))+0-0-0</f>
        <v>609.11048799999992</v>
      </c>
      <c r="N139" s="3">
        <f>1555.1+(30.7-895.1)+(0.793101+(0.015657-0.456501))+0-0-0</f>
        <v>691.05225699999994</v>
      </c>
      <c r="O139" s="3">
        <f>1639.5+(91.4-950.8)+(-0.836145+(-0.046614--0.484908))+0-0-0</f>
        <v>779.70214900000008</v>
      </c>
      <c r="P139" s="3">
        <f>1617+(131.4-903)+(-1.64934+(-0.134028--0.92106))+0-0-0</f>
        <v>844.53769199999999</v>
      </c>
      <c r="Q139" s="3">
        <f>1660.7+(111.5-852.6)+(2.540871+(0.170595-1.304478))+0-0-0</f>
        <v>921.00698799999998</v>
      </c>
      <c r="R139" s="3">
        <f>1681.7+(107.2-805)+(-1.715334+(-0.109344--0.8211))+0-0-0</f>
        <v>982.89642200000014</v>
      </c>
      <c r="S139" s="3">
        <f>1676.7+(122.7-748.5)+(-2.565351+(-0.187731--1.145205))+0-0-0</f>
        <v>1049.2921230000002</v>
      </c>
      <c r="T139" s="3">
        <f>1670+(130.7-706.6)+(-2.5551+(-0.199971--1.081098))+0-0-0</f>
        <v>1092.426027</v>
      </c>
      <c r="U139" s="3">
        <f>1649.2+(111.8-686.1)+(-1.682184+(-0.114036--0.699822))+0-0-0</f>
        <v>1073.8036020000002</v>
      </c>
      <c r="V139" s="3">
        <f>1658.3+(64.1-685.3)+(-0.845733+(-0.032691--0.349503))+0-0-0</f>
        <v>1036.5710789999998</v>
      </c>
      <c r="W139" s="3">
        <f>1655.3+(54.2-730)+(-3.376812+(-0.110568--1.4892))+0-0-0</f>
        <v>977.50181999999995</v>
      </c>
      <c r="X139" s="3">
        <f>1653.1+(68.6-801.5)+(-5.058486+(-0.209916--2.45259))+0-0-0</f>
        <v>917.38418799999988</v>
      </c>
      <c r="Y139" s="3">
        <f>1614+(83.1-832.7)+(3.29256+(0.169524-1.698708))+0-0-0</f>
        <v>866.16337599999997</v>
      </c>
      <c r="Z139" s="3">
        <f>1637.8+(154.9-798.9)+(3.341112+(0.315996-1.629756))+0-0-0</f>
        <v>995.82735199999991</v>
      </c>
      <c r="AA139" s="3">
        <f>1679.9+(121.2-709.4)+(-3.426996+(-0.247248--1.447176))+0-0-0</f>
        <v>1089.4729320000004</v>
      </c>
      <c r="AB139" s="3">
        <f>1655.3+(127.3-719)+(0+(0-0))+0-0-0</f>
        <v>1063.5999999999999</v>
      </c>
      <c r="AC139" s="3">
        <f>1645.7+(136.3-754.8)+(-1.678614+(-0.139026--0.769896))+0-0-0</f>
        <v>1026.1522560000001</v>
      </c>
      <c r="AD139" s="2">
        <v>1110.1999999999998</v>
      </c>
      <c r="AE139" s="3">
        <f>1689+(132.6-711.4)+(0+(0-0))+0-0-0</f>
        <v>1110.2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1653.3+(115.3-798.8)+(0+(0-0))+0-0-0</f>
        <v>969.8</v>
      </c>
      <c r="G140" s="3">
        <f>1648.6+(141.4-903.6)+(0+(0-0))+0-0-0</f>
        <v>886.39999999999986</v>
      </c>
      <c r="H140" s="3">
        <f>1656.7+(141.3-981.9)+(1.689834+(0.144126-1.001538))+0-0-0</f>
        <v>816.93242200000009</v>
      </c>
      <c r="I140" s="3">
        <f>1646+(68.1-939.5)+(-1.67892+(-0.069462--0.95829))+0-0-0</f>
        <v>773.80990800000006</v>
      </c>
      <c r="J140" s="3">
        <f>1636.1+(57-944.3)+(-4.172055+(-0.14535--2.407965))+0-0-0</f>
        <v>746.89055999999994</v>
      </c>
      <c r="K140" s="3">
        <f>1499.4+(74-882.7)+(-3.82347+(-0.1887--2.250885))+0-0-0</f>
        <v>688.938715</v>
      </c>
      <c r="L140" s="3">
        <f>1318.8+(43.6-762.3)+(-0.672588+(-0.022236--0.388773))+0-0-0</f>
        <v>599.793949</v>
      </c>
      <c r="M140" s="3">
        <f>1300.6+(72.1-779.6)+(1.989918+(0.110313-1.192788))+0-0-0</f>
        <v>594.00744299999985</v>
      </c>
      <c r="N140" s="3">
        <f>1615.6+(85.1-1033)+(3.295824+(0.173604-2.10732))+0-0-0</f>
        <v>669.06210799999997</v>
      </c>
      <c r="O140" s="3">
        <f>1659.3+(90.4-990.8)+(0+(0-0))+0-0-0</f>
        <v>758.9</v>
      </c>
      <c r="P140" s="3">
        <f>1642.6+(69.1-890.9)+(2.513178+(0.105723-1.363077))+0-0-0</f>
        <v>822.05582399999992</v>
      </c>
      <c r="Q140" s="3">
        <f>1603.3+(77.1-808.6)+(0+(0-0))+0-0-0</f>
        <v>871.8</v>
      </c>
      <c r="R140" s="3">
        <f>1586.9+(91.2-748.5)+(-0.809319+(-0.046512--0.381735))+0-0-0</f>
        <v>929.12590400000011</v>
      </c>
      <c r="S140" s="3">
        <f>1601.7+(103.5-685.6)+(-2.450601+(-0.158355--1.048968))+0-0-0</f>
        <v>1018.040012</v>
      </c>
      <c r="T140" s="3">
        <f>1622.6+(134.5-674.8)+(0+(0-0))+0-0-0</f>
        <v>1082.3</v>
      </c>
      <c r="U140" s="3">
        <f>1608.4+(131.2-684.6)+(-1.640568+(-0.133824--0.698292))+0-0-0</f>
        <v>1053.9239</v>
      </c>
      <c r="V140" s="3">
        <f>1601.9+(125.2-709)+(-4.084845+(-0.31926--1.80795))+0-0-0</f>
        <v>1015.5038450000002</v>
      </c>
      <c r="W140" s="3">
        <f>1621.7+(98.8-750.4)+(0+(0-0))+0-0-0</f>
        <v>970.1</v>
      </c>
      <c r="X140" s="3">
        <f>1608.6+(78.4-790.8)+(-3.281544+(-0.159936--1.613232))+0-0-0</f>
        <v>894.3717519999999</v>
      </c>
      <c r="Y140" s="3">
        <f>1626.4+(93.6-861.8)+(0+(0-0))+0-0-0</f>
        <v>858.20000000000016</v>
      </c>
      <c r="Z140" s="3">
        <f>1668.5+(128.6-810.7)+(-0.850935+(-0.065586--0.413457))+0-0-0</f>
        <v>985.89693599999998</v>
      </c>
      <c r="AA140" s="3">
        <f>1671.2+(119.4-719.3)+(-5.113872+(-0.365364--2.201058))+0-0-0</f>
        <v>1068.0218220000002</v>
      </c>
      <c r="AB140" s="3">
        <f>1694.3+(115.7-770.3)+(1.728186+(0.118014-0.785706))+0-0-0</f>
        <v>1040.7604940000001</v>
      </c>
      <c r="AC140" s="3">
        <f>1689+(123.2-799.8)+(0+(0-0))+0-0-0</f>
        <v>1012.4000000000001</v>
      </c>
      <c r="AD140" s="2">
        <v>1079.7</v>
      </c>
      <c r="AE140" s="3">
        <f>1691+(120.4-731.7)+(0+(0-0))+0-0-0</f>
        <v>1079.6999999999998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1690.9+(115.9-842.4)+(2.587077+(0.177327-1.288872))+0-0-0</f>
        <v>965.87553200000013</v>
      </c>
      <c r="G141" s="3">
        <f>1659.4+(142.1-915.3)+(-2.538882+(-0.217413--1.400409))+0-0-0</f>
        <v>884.8441140000001</v>
      </c>
      <c r="H141" s="3">
        <f>1639.7+(136.3-974)+(0+(0-0))+0-0-0</f>
        <v>802</v>
      </c>
      <c r="I141" s="3">
        <f>1638.9+(128.1-1002.2)+(-0.835839+(-0.065331--0.511122))+0-0-0</f>
        <v>764.40995200000009</v>
      </c>
      <c r="J141" s="3">
        <f>1651.2+(110.2-1021.7)+(2.526336+(0.168606-1.563201))+0-0-0</f>
        <v>740.83174100000008</v>
      </c>
      <c r="K141" s="3">
        <f>1518+(112.1-948.7)+(-3.8709+(-0.285855--2.419185))+0-0-0</f>
        <v>679.66242999999997</v>
      </c>
      <c r="L141" s="3">
        <f>1356.1+(59.7-807)+(-3.458055+(-0.152235--2.05785))+0-0-0</f>
        <v>607.24755999999991</v>
      </c>
      <c r="M141" s="3">
        <f>1362.9+(12.1-778.1)+(0+(0-0))+0-0-0</f>
        <v>596.90000000000009</v>
      </c>
      <c r="N141" s="3">
        <f>1517.1+(59.4-887.7)+(2.321163+(0.090882-1.358181))+0-0-0</f>
        <v>689.85386399999982</v>
      </c>
      <c r="O141" s="3">
        <f>1551.2+(111.8-883.2)+(3.95556+(0.28509-2.25216))+0-0-0</f>
        <v>781.78848999999991</v>
      </c>
      <c r="P141" s="3">
        <f>1563.1+(103.2-818.4)+(2.391543+(0.157896-1.252152))+0-0-0</f>
        <v>849.19728699999996</v>
      </c>
      <c r="Q141" s="3">
        <f>1526.6+(99.5-724.8)+(0.778566+(0.050745-0.369648))+0-0-0</f>
        <v>901.75966299999993</v>
      </c>
      <c r="R141" s="3">
        <f>1497.8+(96.2-645)+(-0.763878+(-0.049062--0.32895))+0-0-0</f>
        <v>948.51601000000005</v>
      </c>
      <c r="S141" s="3">
        <f>1499.1+(108.4-582.8)+(0+(0-0))+0-0-0</f>
        <v>1024.6999999999998</v>
      </c>
      <c r="T141" s="3">
        <f>1489.4+(125-524.6)+(-2.278782+(-0.19125--0.802638))+0-0-0</f>
        <v>1088.1326060000001</v>
      </c>
      <c r="U141" s="3">
        <f>1497.7+(124.5-526.8)+(1.527654+(0.12699-0.537336))+0-0-0</f>
        <v>1096.5173080000002</v>
      </c>
      <c r="V141" s="3">
        <f>1495.3+(120.4-553.4)+(0.762603+(0.061404-0.282234))+0-0-0</f>
        <v>1062.8417729999999</v>
      </c>
      <c r="W141" s="3">
        <f>1491+(107.8-599.5)+(0.76041+(0.054978-0.305745))+0-0-0</f>
        <v>999.80964299999994</v>
      </c>
      <c r="X141" s="3">
        <f>1513.9+(117.2-716.8)+(1.544178+(0.119544-0.731136))+0-0-0</f>
        <v>915.2325860000002</v>
      </c>
      <c r="Y141" s="3">
        <f>1581.5+(129-828.6)+(2.419695+(0.19737-1.267758))+0-0-0</f>
        <v>883.24930699999993</v>
      </c>
      <c r="Z141" s="3">
        <f>1645.6+(148.4-768.2)+(0+(0-0))+0-0-0</f>
        <v>1025.7999999999997</v>
      </c>
      <c r="AA141" s="3">
        <f>1673.1+(137.4-702.2)+(-1.706562+(-0.140148--0.716244))+0-0-0</f>
        <v>1107.1695339999997</v>
      </c>
      <c r="AB141" s="3">
        <f>1675.9+(127.1-738.9)+(0.854709+(0.064821-0.376839))+0-0-0</f>
        <v>1064.6426910000002</v>
      </c>
      <c r="AC141" s="3">
        <f>1651.7+(124.5-763.5)+(-0.842367+(-0.063495--0.389385))+0-0-0</f>
        <v>1012.183523</v>
      </c>
      <c r="AD141" s="2">
        <v>1064.3000000000002</v>
      </c>
      <c r="AE141" s="3">
        <f>1667+(136.2-738.9)+(0+(0-0))+0-0-0</f>
        <v>1064.3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1649.2+(94.6-782.8)+(0+(0-0))+0-0-0</f>
        <v>961.00000000000011</v>
      </c>
      <c r="G142" s="3">
        <f>1573.1+(129-806.6)+(-2.406843+(-0.19737--1.234098))+0-0-0</f>
        <v>894.12988499999983</v>
      </c>
      <c r="H142" s="3">
        <f>1572.7+(133.9-870.7)+(-1.604154+(-0.136578--0.888114))+0-0-0</f>
        <v>835.04738199999997</v>
      </c>
      <c r="I142" s="3">
        <f>1564.9+(114-899.7)+(-2.394297+(-0.17442--1.376541))+0-0-0</f>
        <v>778.00782400000003</v>
      </c>
      <c r="J142" s="3">
        <f>1585.2+(64-896.6)+(2.425356+(0.09792-1.371798))+0-0-0</f>
        <v>753.75147800000002</v>
      </c>
      <c r="K142" s="3">
        <f>1513.5+(66.8-895.2)+(-1.54377+(-0.068136--0.913104))+0-0-0</f>
        <v>684.40119799999991</v>
      </c>
      <c r="L142" s="3">
        <f>1343.3+(67.6-803.6)+(0+(0-0))+0-0-0</f>
        <v>607.29999999999995</v>
      </c>
      <c r="M142" s="3">
        <f>1289.8+(107.8-802.1)+(1.315596+(0.109956-0.818142))+0-0-0</f>
        <v>596.10740999999985</v>
      </c>
      <c r="N142" s="3">
        <f>1311.2+(126.1-774.6)+(1.337424+(0.128622-0.790092))+0-0-0</f>
        <v>663.37595400000009</v>
      </c>
      <c r="O142" s="3">
        <f>1436.2+(157.3-834)+(1.464924+(0.160446-0.85068))+0-0-0</f>
        <v>760.27468999999996</v>
      </c>
      <c r="P142" s="3">
        <f>1609.7+(144.1-909)+(4.104735+(0.367455-2.31795))+0-0-0</f>
        <v>846.95424000000003</v>
      </c>
      <c r="Q142" s="3">
        <f>1588.1+(142.3-837.9)+(2.429793+(0.217719-1.281987))+0-0-0</f>
        <v>893.86552500000005</v>
      </c>
      <c r="R142" s="3">
        <f>1555.3+(141.4-739.2)+(0+(0-0))+0-0-0</f>
        <v>957.49999999999989</v>
      </c>
      <c r="S142" s="3">
        <f>1558.8+(155.4-657.4)+(0.794988+(0.079254-0.335274))+0-0-0</f>
        <v>1057.338968</v>
      </c>
      <c r="T142" s="3">
        <f>1570.8+(155.2-600.2)+(-3.204432+(-0.316608--1.224408))+0-0-0</f>
        <v>1123.5033679999999</v>
      </c>
      <c r="U142" s="3">
        <f>1573.3+(195.7-640.7)+(-2.407149+(-0.299421--0.980271))+0-0-0</f>
        <v>1126.573701</v>
      </c>
      <c r="V142" s="3">
        <f>1567.9+(183.7-663.3)+(0+(0-0))+0-0-0</f>
        <v>1088.3000000000002</v>
      </c>
      <c r="W142" s="3">
        <f>1570.9+(163.8-710.6)+(0+(0-0))+0-0-0</f>
        <v>1024.1000000000001</v>
      </c>
      <c r="X142" s="3">
        <f>1573.3+(164.1-790.5)+(-1.604766+(-0.167382--0.80631))+0-0-0</f>
        <v>945.93416200000001</v>
      </c>
      <c r="Y142" s="3">
        <f>1575.3+(121-796.3)+(2.410209+(0.18513-1.218339))+0-0-0</f>
        <v>901.37699999999995</v>
      </c>
      <c r="Z142" s="3">
        <f>1601.1+(192.8-739)+(0+(0-0))+0-0-0</f>
        <v>1054.8999999999999</v>
      </c>
      <c r="AA142" s="3">
        <f>1653.8+(186.1-706.4)+(-2.530314+(-0.284733--1.080792))+0-0-0</f>
        <v>1131.7657449999999</v>
      </c>
      <c r="AB142" s="3">
        <f>1660.3+(167.2-749.3)+(-1.693506+(-0.170544--0.764286))+0-0-0</f>
        <v>1077.100236</v>
      </c>
      <c r="AC142" s="3">
        <f>1663.8+(165.1-781.8)+(0.848538+(0.084201-0.398718))+0-0-0</f>
        <v>1047.6340209999998</v>
      </c>
      <c r="AD142" s="2">
        <v>1125.5999999999999</v>
      </c>
      <c r="AE142" s="3">
        <f>1669+(187.1-730.5)+(0+(0-0))+0-0-0</f>
        <v>1125.5999999999999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1616.5+(148.2-781.2)+(0.824415+(0.075582-0.398412))+0-0-0</f>
        <v>984.00158499999998</v>
      </c>
      <c r="G143" s="3">
        <f>1598.4+(146.1-823.4)+(-0.815184+(-0.074511--0.419934))+0-0-0</f>
        <v>920.63023900000019</v>
      </c>
      <c r="H143" s="3">
        <f>1614.7+(106.8-867.4)+(3.293988+(0.217872-1.769496))+0-0-0</f>
        <v>855.84236399999998</v>
      </c>
      <c r="I143" s="3">
        <f>1584.8+(99.6-872.5)+(-4.04124+(-0.25398--2.224875))+0-0-0</f>
        <v>809.829655</v>
      </c>
      <c r="J143" s="3">
        <f>1594.7+(87.1-885.9)+(-2.439891+(-0.133263--1.355427))+0-0-0</f>
        <v>794.68227300000012</v>
      </c>
      <c r="K143" s="3">
        <f>1516.5+(103.8-897.2)+(-2.320245+(-0.158814--1.372716))+0-0-0</f>
        <v>721.99365699999987</v>
      </c>
      <c r="L143" s="3">
        <f>1492.3+(50.2-897.1)+(-3.044292+(-0.102408--1.830084))+0-0-0</f>
        <v>644.08338400000002</v>
      </c>
      <c r="M143" s="3">
        <f>1505.6+(52.8-921.4)+(0+(0-0))+0-0-0</f>
        <v>636.99999999999989</v>
      </c>
      <c r="N143" s="3">
        <f>1549+(70.7-911.5)+(1.57998+(0.072114-0.92973))+0-0-0</f>
        <v>708.92236400000002</v>
      </c>
      <c r="O143" s="3">
        <f>1588.3+(108.8-912.9)+(0.810033+(0.055488-0.465579))+0-0-0</f>
        <v>784.59994199999994</v>
      </c>
      <c r="P143" s="3">
        <f>1571.7+(116.6-826.7)+(1.603134+(0.118932-0.843234))+0-0-0</f>
        <v>862.47883200000001</v>
      </c>
      <c r="Q143" s="3">
        <f>1561.6+(144.8-783.5)+(1.592832+(0.147696-0.79917))+0-0-0</f>
        <v>923.8413579999999</v>
      </c>
      <c r="R143" s="3">
        <f>1546.1+(158.5-745.3)+(0.788511+(0.080835-0.380103))+0-0-0</f>
        <v>959.78924299999994</v>
      </c>
      <c r="S143" s="3">
        <f>1533.5+(176.8-660.7)+(-0.782085+(-0.090168--0.336957))+0-0-0</f>
        <v>1049.0647039999999</v>
      </c>
      <c r="T143" s="3">
        <f>1539.1+(192.1-621.1)+(0.784941+(0.097971-0.316761))+0-0-0</f>
        <v>1110.6661509999999</v>
      </c>
      <c r="U143" s="3">
        <f>1529.9+(198.9-623.7)+(-0.780249+(-0.101439--0.318087))+0-0-0</f>
        <v>1104.5363989999998</v>
      </c>
      <c r="V143" s="3">
        <f>1534.9+(194.7-676.7)+(0.782799+(0.099297-0.345117))+0-0-0</f>
        <v>1053.4369790000001</v>
      </c>
      <c r="W143" s="3">
        <f>1554.7+(180.7-743.7)+(-0.792897+(-0.092157--0.379287))+0-0-0</f>
        <v>991.19423300000005</v>
      </c>
      <c r="X143" s="3">
        <f>1548.7+(170.6-813.9)+(-2.369511+(-0.261018--1.245267))+0-0-0</f>
        <v>904.01473800000008</v>
      </c>
      <c r="Y143" s="3">
        <f>1560.6+(135-833.7)+(-3.97953+(-0.34425--2.125935))+0-0-0</f>
        <v>859.70215499999983</v>
      </c>
      <c r="Z143" s="3">
        <f>1632.4+(167.6-791.4)+(0+(0-0))+0-0-0</f>
        <v>1008.6000000000001</v>
      </c>
      <c r="AA143" s="3">
        <f>1668.8+(153.3-733.4)+(-5.957616+(-0.547281--2.618238))+0-0-0</f>
        <v>1084.813341</v>
      </c>
      <c r="AB143" s="3">
        <f>1677.4+(155.7-801.7)+(0+(0-0))+0-0-0</f>
        <v>1031.4000000000001</v>
      </c>
      <c r="AC143" s="3">
        <f>1675.5+(172.9-853.4)+(0.854505+(0.088179-0.435234))+0-0-0</f>
        <v>995.50744999999995</v>
      </c>
      <c r="AD143" s="2">
        <v>1080.1999999999998</v>
      </c>
      <c r="AE143" s="3">
        <f>1653+(170.1-742.9)+(0+(0-0))+0-0-0</f>
        <v>1080.2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1667.7+(162-833.2)+(3.402108+(0.33048-1.699728))+0-0-0</f>
        <v>998.53286000000003</v>
      </c>
      <c r="G144" s="3">
        <f>1652.2+(155.8-850.6)+(1.685244+(0.158916-0.867612))+0-0-0</f>
        <v>958.37654800000007</v>
      </c>
      <c r="H144" s="3">
        <f>1632+(171.1-898.2)+(-1.66464+(-0.174522--0.916164))+0-0-0</f>
        <v>903.97700199999997</v>
      </c>
      <c r="I144" s="3">
        <f>1631.7+(173-945.2)+(-0.832167+(-0.08823--0.482052))+0-0-0</f>
        <v>859.06165499999997</v>
      </c>
      <c r="J144" s="3">
        <f>1484.9+(155.4-809)+(-3.029196+(-0.317016--1.65036))+0-0-0</f>
        <v>829.60414800000012</v>
      </c>
      <c r="K144" s="3">
        <f>1315+(170.5-745.6)+(-1.3413+(-0.17391--0.760512))+0-0-0</f>
        <v>739.14530200000002</v>
      </c>
      <c r="L144" s="3">
        <f>1252.7+(95.1-709.4)+(-1.277754+(-0.097002--0.723588))+0-0-0</f>
        <v>637.74883200000011</v>
      </c>
      <c r="M144" s="3">
        <f>1258.2+(102.7-765.5)+(0+(0-0))+0-0-0</f>
        <v>595.40000000000009</v>
      </c>
      <c r="N144" s="3">
        <f>1320.5+(110.2-820.9)+(0+(0-0))+0-0-0</f>
        <v>609.80000000000007</v>
      </c>
      <c r="O144" s="3">
        <f>1375+(108.4-818.9)+(-0.70125+(-0.055284--0.417639))+0-0-0</f>
        <v>664.16110500000002</v>
      </c>
      <c r="P144" s="3">
        <f>1437.1+(87.3-809.8)+(0.732921+(0.044523-0.412998))+0-0-0</f>
        <v>714.96444599999995</v>
      </c>
      <c r="Q144" s="3">
        <f>1584.1+(100.2-910.1)+(1.615782+(0.102204-0.928302))+0-0-0</f>
        <v>774.9896839999999</v>
      </c>
      <c r="R144" s="3">
        <f>1606+(134-902.2)+(0.81906+(0.06834-0.460122))+0-0-0</f>
        <v>838.22727799999996</v>
      </c>
      <c r="S144" s="3">
        <f>1558.7+(150.3-767.9)+(2.384811+(0.229959-1.174887))+0-0-0</f>
        <v>942.53988300000015</v>
      </c>
      <c r="T144" s="3">
        <f>1480.9+(185.5-661.1)+(-1.510518+(-0.18921--0.674322))+0-0-0</f>
        <v>1004.2745940000001</v>
      </c>
      <c r="U144" s="3">
        <f>1502.5+(198.2-680.6)+(1.53255+(0.202164-0.694212))+0-0-0</f>
        <v>1021.1405019999999</v>
      </c>
      <c r="V144" s="3">
        <f>1578.5+(192.4-774.6)+(0.805035+(0.098124-0.395046))+0-0-0</f>
        <v>996.80811299999993</v>
      </c>
      <c r="W144" s="3">
        <f>1538.3+(178.5-781)+(-1.569066+(-0.18207--0.79662))+0-0-0</f>
        <v>934.84548399999994</v>
      </c>
      <c r="X144" s="3">
        <f>1535.9+(176.6-848.2)+(-3.133236+(-0.360264--1.730328))+0-0-0</f>
        <v>862.53682800000001</v>
      </c>
      <c r="Y144" s="3">
        <f>1472.3+(150.5-796.9)+(-0.750873+(-0.076755--0.406419))+0-0-0</f>
        <v>825.478791</v>
      </c>
      <c r="Z144" s="3">
        <f>1526.9+(166.1-712)+(0+(0-0))+0-0-0</f>
        <v>981.00000000000011</v>
      </c>
      <c r="AA144" s="3">
        <f>1639.5+(128.1-732.4)+(-3.34458+(-0.261324--1.494096))+0-0-0</f>
        <v>1033.0881919999999</v>
      </c>
      <c r="AB144" s="3">
        <f>1671.4+(128.4-783.3)+(-0.852414+(-0.065484--0.399483))+0-0-0</f>
        <v>1015.9815850000001</v>
      </c>
      <c r="AC144" s="3">
        <f>1669.1+(135.3-783.5)+(-0.851241+(-0.069003--0.399585))+0-0-0</f>
        <v>1020.3793409999998</v>
      </c>
      <c r="AD144" s="2">
        <v>1007</v>
      </c>
      <c r="AE144" s="3">
        <f>1596+(141.2-730.2)+(0+(0-0))+0-0-0</f>
        <v>1007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1660.4+(129.1-797.4)+(-2.540412+(-0.197523--1.220022))+0-0-0</f>
        <v>990.58208700000012</v>
      </c>
      <c r="G145" s="3">
        <f>1635.9+(157.8-862.1)+(-3.337236+(-0.321912--1.758684))+0-0-0</f>
        <v>929.69953600000008</v>
      </c>
      <c r="H145" s="3">
        <f>1614.6+(93-855.8)+(-4.11723+(-0.23715--2.18229))+0-0-0</f>
        <v>849.62790999999993</v>
      </c>
      <c r="I145" s="3">
        <f>1550.3+(111.2-859.5)+(-2.371959+(-0.170136--1.315035))+0-0-0</f>
        <v>800.77293999999995</v>
      </c>
      <c r="J145" s="3">
        <f>1534.7+(73.4-838.5)+(-2.348091+(-0.112302--1.282905))+0-0-0</f>
        <v>768.42251199999998</v>
      </c>
      <c r="K145" s="3">
        <f>1493.5+(80.7-863.1)+(-3.808425+(-0.205785--2.200905))+0-0-0</f>
        <v>709.28669500000001</v>
      </c>
      <c r="L145" s="3">
        <f>1214.9+(99.7-692.1)+(-0.619599+(-0.050847--0.352971))+0-0-0</f>
        <v>622.18252500000017</v>
      </c>
      <c r="M145" s="3">
        <f>1324.8+(90.2-805.4)+(0.675648+(0.046002-0.410754))+0-0-0</f>
        <v>609.91089599999998</v>
      </c>
      <c r="N145" s="3">
        <f>1589.3+(57.3-945.7)+(1.621086+(0.058446-0.964614))+0-0-0</f>
        <v>701.61491799999988</v>
      </c>
      <c r="O145" s="3">
        <f>1642.8+(86.8-924.7)+(1.675656+(0.088536-0.943194))+0-0-0</f>
        <v>805.7209979999999</v>
      </c>
      <c r="P145" s="3">
        <f>1628.7+(119.9-882.2)+(0.830637+(0.061149-0.449922))+0-0-0</f>
        <v>866.84186399999999</v>
      </c>
      <c r="Q145" s="3">
        <f>1624.5+(150-835.6)+(0+(0-0))+0-0-0</f>
        <v>938.9</v>
      </c>
      <c r="R145" s="3">
        <f>1614.3+(192.5-779.6)+(0+(0-0))+0-0-0</f>
        <v>1027.1999999999998</v>
      </c>
      <c r="S145" s="3">
        <f>1599+(201.7-693.9)+(-2.44647+(-0.308601--1.061667))+0-0-0</f>
        <v>1105.1065959999999</v>
      </c>
      <c r="T145" s="3">
        <f>1598.7+(206.7-634.5)+(-3.261348+(-0.421668--1.29438))+0-0-0</f>
        <v>1168.5113640000002</v>
      </c>
      <c r="U145" s="3">
        <f>1600.8+(206.7-644.7)+(-0.816408+(-0.105417--0.328797))+0-0-0</f>
        <v>1162.206972</v>
      </c>
      <c r="V145" s="3">
        <f>1593.3+(202.6-660.8)+(-2.437749+(-0.309978--1.011024))+0-0-0</f>
        <v>1133.3632969999999</v>
      </c>
      <c r="W145" s="3">
        <f>1585.2+(132.6-663.9)+(-0.808452+(-0.067626--0.338589))+0-0-0</f>
        <v>1053.362511</v>
      </c>
      <c r="X145" s="3">
        <f>1593.1+(165.9-775.7)+(-0.812481+(-0.084609--0.395607))+0-0-0</f>
        <v>982.79851699999983</v>
      </c>
      <c r="Y145" s="3">
        <f>1597.8+(189.8-849.5)+(0.814878+(0.096798-0.433245))+0-0-0</f>
        <v>938.57843099999991</v>
      </c>
      <c r="Z145" s="3">
        <f>1619.1+(211.4-725.5)+(-1.651482+(-0.215628--0.74001))+0-0-0</f>
        <v>1103.8729000000001</v>
      </c>
      <c r="AA145" s="3">
        <f>1632.3+(186.4-641.4)+(-2.497419+(-0.285192--0.981342))+0-0-0</f>
        <v>1175.4987309999999</v>
      </c>
      <c r="AB145" s="3">
        <f>1609+(199.5-676.7)+(-0.82059+(-0.101745--0.345117))+0-0-0</f>
        <v>1131.2227820000001</v>
      </c>
      <c r="AC145" s="3">
        <f>1611.3+(203.6-726)+(0+(0-0))+0-0-0</f>
        <v>1088.9000000000001</v>
      </c>
      <c r="AD145" s="2">
        <v>1176.5999999999999</v>
      </c>
      <c r="AE145" s="3">
        <f>1686+(182.3-691.7)+(0+(0-0))+0-0-0</f>
        <v>1176.5999999999999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1614.7+(122.8-696)+(-1.646994+(-0.125256--0.70992))+0-0-0</f>
        <v>1040.43767</v>
      </c>
      <c r="G146" s="3">
        <f>1589.1+(133.6-736.7)+(-4.862646+(-0.408816--2.254302))+0-0-0</f>
        <v>982.9828399999999</v>
      </c>
      <c r="H146" s="3">
        <f>1499+(172.4-743.4)+(-1.52898+(-0.175848--0.758268))+0-0-0</f>
        <v>927.05344000000002</v>
      </c>
      <c r="I146" s="3">
        <f>1481.8+(149.4-747.7)+(1.511436+(0.152388-0.762654))+0-0-0</f>
        <v>884.40116999999987</v>
      </c>
      <c r="J146" s="3">
        <f>1462.8+(133-745.1)+(-2.984112+(-0.27132--1.520004))+0-0-0</f>
        <v>848.96457199999998</v>
      </c>
      <c r="K146" s="3">
        <f>1470.3+(151.9-809.3)+(-0.749853+(-0.077469--0.412743))+0-0-0</f>
        <v>812.48542099999997</v>
      </c>
      <c r="L146" s="3">
        <f>1392.3+(167.6-880.1)+(0+(0-0))+0-0-0</f>
        <v>679.8</v>
      </c>
      <c r="M146" s="3">
        <f>1406.6+(170.9-910.9)+(1.434732+(0.174318-0.929118))+0-0-0</f>
        <v>667.27993199999992</v>
      </c>
      <c r="N146" s="3">
        <f>1561.8+(152.8-978.3)+(3.186072+(0.311712-1.995732))+0-0-0</f>
        <v>737.802052</v>
      </c>
      <c r="O146" s="3">
        <f>1556.1+(150.4-862.2)+(2.380833+(0.230112-1.319166))+0-0-0</f>
        <v>845.59177899999986</v>
      </c>
      <c r="P146" s="3">
        <f>1575.2+(141.7-811.4)+(1.606704+(0.144534-0.827628))+0-0-0</f>
        <v>906.42361000000005</v>
      </c>
      <c r="Q146" s="3">
        <f>1626.6+(160.4-812.2)+(0.829566+(0.081804-0.414222))+0-0-0</f>
        <v>975.29714799999988</v>
      </c>
      <c r="R146" s="3">
        <f>1600.7+(165.7-733.3)+(-0.816357+(-0.084507--0.373983))+0-0-0</f>
        <v>1032.5731190000001</v>
      </c>
      <c r="S146" s="3">
        <f>1600.7+(173.6-650.8)+(0+(0-0))+0-0-0</f>
        <v>1123.5</v>
      </c>
      <c r="T146" s="3">
        <f>1599.4+(177.4-607.6)+(0+(0-0))+0-0-0</f>
        <v>1169.2</v>
      </c>
      <c r="U146" s="3">
        <f>1586.3+(178-599.6)+(-0.809013+(-0.09078--0.305796))+0-0-0</f>
        <v>1164.1060029999999</v>
      </c>
      <c r="V146" s="3">
        <f>1596.4+(118.9-597.7)+(0+(0-0))+0-0-0</f>
        <v>1117.5999999999999</v>
      </c>
      <c r="W146" s="3">
        <f>1590.3+(127.8-670.3)+(-1.622106+(-0.130356--0.683706))+0-0-0</f>
        <v>1046.7312440000001</v>
      </c>
      <c r="X146" s="3">
        <f>1587.5+(118.2-740.1)+(-2.428875+(-0.180846--1.132353))+0-0-0</f>
        <v>964.12263200000007</v>
      </c>
      <c r="Y146" s="3">
        <f>1606.8+(99.6-789.7)+(-0.819468+(-0.050796--0.402747))+0-0-0</f>
        <v>916.23248299999989</v>
      </c>
      <c r="Z146" s="3">
        <f>1621.9+(134.5-666.2)+(-0.827169+(-0.068595--0.339762))+0-0-0</f>
        <v>1089.643998</v>
      </c>
      <c r="AA146" s="3">
        <f>1663.1+(109.7-612.4)+(-3.392724+(-0.223788--1.249296))+0-0-0</f>
        <v>1158.0327839999998</v>
      </c>
      <c r="AB146" s="3">
        <f>1709+(105.2-693)+(-1.74318+(-0.107304--0.70686))+0-0-0</f>
        <v>1120.056376</v>
      </c>
      <c r="AC146" s="3">
        <f>1696.4+(115.8-737.5)+(1.730328+(0.118116-0.75225))+0-0-0</f>
        <v>1075.796194</v>
      </c>
      <c r="AD146" s="2">
        <v>1107.7</v>
      </c>
      <c r="AE146" s="3">
        <f>1637+(118-647.3)+(0+(0-0))+0-0-0</f>
        <v>1107.7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1630.9+(111.7-721.1)+(1.663518+(0.113934-0.735522))+0-0-0</f>
        <v>1022.5419300000001</v>
      </c>
      <c r="G147" s="3">
        <f>1533.5+(172.4-759.3)+(0.782085+(0.087924-0.387243))+0-0-0</f>
        <v>947.08276599999999</v>
      </c>
      <c r="H147" s="3">
        <f>1533.7+(163.7-821.8)+(0+(0-0))+0-0-0</f>
        <v>875.60000000000014</v>
      </c>
      <c r="I147" s="3">
        <f>1549.8+(159-882.5)+(3.161592+(0.32436-1.8003))+0-0-0</f>
        <v>827.98565199999996</v>
      </c>
      <c r="J147" s="3">
        <f>1534.8+(142.3-877)+(-0.782748+(-0.072573--0.44727))+0-0-0</f>
        <v>799.69194899999991</v>
      </c>
      <c r="K147" s="3">
        <f>1466.3+(133.2-860.5)+(-3.739065+(-0.33966--2.194275))+0-0-0</f>
        <v>737.11554999999998</v>
      </c>
      <c r="L147" s="3">
        <f>1344.4+(109.9-796.9)+(-3.42822+(-0.280245--2.032095))+0-0-0</f>
        <v>655.72363000000007</v>
      </c>
      <c r="M147" s="3">
        <f>1420.9+(94.1-868)+(2.173977+(0.143973-1.32804))+0-0-0</f>
        <v>647.98991000000012</v>
      </c>
      <c r="N147" s="3">
        <f>1590.4+(69.3-904.2)+(0.811104+(0.035343-0.461142))+0-0-0</f>
        <v>755.88530500000002</v>
      </c>
      <c r="O147" s="3">
        <f>1616.2+(74.3-856.1)+(0.824262+(0.037893-0.436611))+0-0-0</f>
        <v>834.82554399999992</v>
      </c>
      <c r="P147" s="3">
        <f>1613.9+(109.4-817.7)+(2.469267+(0.167382-1.251081))+0-0-0</f>
        <v>906.98556800000006</v>
      </c>
      <c r="Q147" s="3">
        <f>1620.5+(113.8-757)+(2.479365+(0.174114-1.15821))+0-0-0</f>
        <v>978.79526899999996</v>
      </c>
      <c r="R147" s="3">
        <f>1641.5+(124.9-743.4)+(0+(0-0))+0-0-0</f>
        <v>1023</v>
      </c>
      <c r="S147" s="3">
        <f>1610.8+(142.3-657.6)+(-2.464524+(-0.217719--1.006128))+0-0-0</f>
        <v>1093.823885</v>
      </c>
      <c r="T147" s="3">
        <f>1627.7+(148.2-617.7)+(0.830127+(0.075582-0.315027))+0-0-0</f>
        <v>1158.7906820000001</v>
      </c>
      <c r="U147" s="3">
        <f>1625.8+(142.7-618.2)+(-0.829158+(-0.072777--0.315282))+0-0-0</f>
        <v>1149.7133469999999</v>
      </c>
      <c r="V147" s="3">
        <f>1625.9+(136.7-637.9)+(-3.316836+(-0.278868--1.301316))+0-0-0</f>
        <v>1122.405612</v>
      </c>
      <c r="W147" s="3">
        <f>1618+(131.7-685.5)+(-5.77626+(-0.470169--2.447235))+0-0-0</f>
        <v>1060.4008060000001</v>
      </c>
      <c r="X147" s="3">
        <f>1610.9+(126.2-759.4)+(-1.643118+(-0.128724--0.774588))+0-0-0</f>
        <v>976.70274600000016</v>
      </c>
      <c r="Y147" s="3">
        <f>1629.4+(133.4-836.2)+(0.830994+(0.068034-0.426462))+0-0-0</f>
        <v>927.07256600000005</v>
      </c>
      <c r="Z147" s="3">
        <f>1682.4+(140.9-724.9)+(1.716048+(0.143718-0.739398))+0-0-0</f>
        <v>1099.5203680000002</v>
      </c>
      <c r="AA147" s="3">
        <f>1706.6+(135.6-669.7)+(-3.481464+(-0.276624--1.366188))+0-0-0</f>
        <v>1170.1080999999999</v>
      </c>
      <c r="AB147" s="3">
        <f>1700.4+(139.4-700)+(-3.468816+(-0.284376--1.428))+0-0-0</f>
        <v>1137.4748080000002</v>
      </c>
      <c r="AC147" s="3">
        <f>1686+(151.9-728.7)+(0.85986+(0.077469-0.371637))+0-0-0</f>
        <v>1109.7656919999997</v>
      </c>
      <c r="AD147" s="2">
        <v>1184.7</v>
      </c>
      <c r="AE147" s="3">
        <f>1695+(130.4-640.7)+(0+(0-0))+0-0-0</f>
        <v>1184.6999999999998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1663+(136.9-739.1)+(0.84813+(0.069819-0.376941))+0-0-0</f>
        <v>1061.3410079999999</v>
      </c>
      <c r="G148" s="3">
        <f>1624.9+(147.6-793.6)+(0+(0-0))+0-0-0</f>
        <v>978.90000000000009</v>
      </c>
      <c r="H148" s="3">
        <f>1620.8+(144.2-858.5)+(-1.653216+(-0.147084--0.87567))+0-0-0</f>
        <v>905.57537000000002</v>
      </c>
      <c r="I148" s="3">
        <f>1630.1+(110.1-889.3)+(0+(0-0))+0-0-0</f>
        <v>850.9</v>
      </c>
      <c r="J148" s="3">
        <f>1618.9+(79.8-873.5)+(-2.476917+(-0.122094--1.336455))+0-0-0</f>
        <v>823.93744400000003</v>
      </c>
      <c r="K148" s="3">
        <f>1606.9+(85.1-945.8)+(-4.917114+(-0.260406--2.894148))+0-0-0</f>
        <v>743.91662800000017</v>
      </c>
      <c r="L148" s="3">
        <f>1308.2+(76.1-716.3)+(-1.334364+(-0.077622--0.730626))+0-0-0</f>
        <v>667.31864000000007</v>
      </c>
      <c r="M148" s="3">
        <f>1260.9+(93.7-703)+(0+(0-0))+0-0-0</f>
        <v>651.60000000000014</v>
      </c>
      <c r="N148" s="3">
        <f>1436.5+(90.4-793.9)+(0+(0-0))+0-0-0</f>
        <v>733</v>
      </c>
      <c r="O148" s="3">
        <f>1585.6+(108.6-870.3)+(1.617312+(0.110772-0.887706))+0-0-0</f>
        <v>824.74037799999996</v>
      </c>
      <c r="P148" s="3">
        <f>1606.6+(130-831)+(1.638732+(0.1326-0.84762))+0-0-0</f>
        <v>906.52371199999993</v>
      </c>
      <c r="Q148" s="3">
        <f>1639.7+(110.9-777.9)+(0+(0-0))+0-0-0</f>
        <v>972.7</v>
      </c>
      <c r="R148" s="3">
        <f>1666+(107.9-707.3)+(0.84966+(0.055029-0.360723))+0-0-0</f>
        <v>1067.1439659999999</v>
      </c>
      <c r="S148" s="3">
        <f>1664+(124.1-631.2)+(-2.54592+(-0.189873--0.965736))+0-0-0</f>
        <v>1155.1299430000001</v>
      </c>
      <c r="T148" s="3">
        <f>1665.1+(132.5-589.2)+(-0.849201+(-0.067575--0.300492))+0-0-0</f>
        <v>1207.7837159999999</v>
      </c>
      <c r="U148" s="3">
        <f>1656.3+(133.1-602.2)+(-2.534139+(-0.203643--0.921366))+0-0-0</f>
        <v>1185.3835839999999</v>
      </c>
      <c r="V148" s="3">
        <f>1639.8+(109.9-619.3)+(-2.508894+(-0.168147--0.947529))+0-0-0</f>
        <v>1128.670488</v>
      </c>
      <c r="W148" s="3">
        <f>1589.4+(91.4-626.7)+(-4.05297+(-0.23307--1.598085))+0-0-0</f>
        <v>1051.4120449999998</v>
      </c>
      <c r="X148" s="3">
        <f>1586.3+(94.1-707.8)+(-5.663091+(-0.335937--2.526846))+0-0-0</f>
        <v>969.12781800000005</v>
      </c>
      <c r="Y148" s="3">
        <f>1611.8+(114.7-818.1)+(0+(0-0))+0-0-0</f>
        <v>908.4</v>
      </c>
      <c r="Z148" s="3">
        <f>1663.2+(117.5-701.7)+(0.848232+(0.059925-0.357867))+0-0-0</f>
        <v>1079.5502899999999</v>
      </c>
      <c r="AA148" s="3">
        <f>1684.2+(76.3-611.3)+(-5.153652+(-0.233478--1.870578))+0-0-0</f>
        <v>1145.683448</v>
      </c>
      <c r="AB148" s="3">
        <f>1686.3+(80-651.3)+(-5.160078+(-0.2448--1.992978))+0-0-0</f>
        <v>1111.5880999999999</v>
      </c>
      <c r="AC148" s="3">
        <f>1706.7+(92.9-711.5)+(1.740834+(0.094758-0.72573))+0-0-0</f>
        <v>1089.2098619999999</v>
      </c>
      <c r="AD148" s="2">
        <v>1168.0999999999999</v>
      </c>
      <c r="AE148" s="3">
        <f>1676+(91.6-599.5)+(0+(0-0))+0-0-0</f>
        <v>1168.0999999999999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1685.5+(97-697.3)+(0+(0-0))+0-0-0</f>
        <v>1085.2</v>
      </c>
      <c r="G149" s="3">
        <f>1670.7+(116.5-777.8)+(0.852057+(0.059415-0.396678))+0-0-0</f>
        <v>1009.9147940000001</v>
      </c>
      <c r="H149" s="3">
        <f>1646.1+(149.4-857.1)+(0+(0-0))+0-0-0</f>
        <v>938.39999999999986</v>
      </c>
      <c r="I149" s="3">
        <f>1624.4+(91.8-846.4)+(-1.656888+(-0.093636--0.863328))+0-0-0</f>
        <v>868.91280400000005</v>
      </c>
      <c r="J149" s="3">
        <f>1644.2+(45.6-850.1)+(4.19271+(0.11628-2.167755))+0-0-0</f>
        <v>841.8412350000001</v>
      </c>
      <c r="K149" s="3">
        <f>1520.7+(56.8-799.5)+(-3.877785+(-0.14484--2.038725))+0-0-0</f>
        <v>776.01610000000005</v>
      </c>
      <c r="L149" s="3">
        <f>1456.4+(73.6-833)+(-4.456584+(-0.225216--2.54898))+0-0-0</f>
        <v>694.86718000000008</v>
      </c>
      <c r="M149" s="3">
        <f>1478.5+(76.9-866.1)+(2.262105+(0.117657-1.325133))+0-0-0</f>
        <v>690.35462899999993</v>
      </c>
      <c r="N149" s="3">
        <f>1480.7+(102.7-805.6)+(0.755157+(0.052377-0.410856))+0-0-0</f>
        <v>778.19667800000002</v>
      </c>
      <c r="O149" s="3">
        <f>1559+(112.8-874.9)+(0.79509+(0.057528-0.446199))+0-0-0</f>
        <v>797.30641900000001</v>
      </c>
      <c r="P149" s="3">
        <f>1621+(89.2-768.6)+(2.48013+(0.136476-1.175958))+0-0-0</f>
        <v>943.04064800000003</v>
      </c>
      <c r="Q149" s="3">
        <f>1600.3+(84.8-676.7)+(0+(0-0))+0-0-0</f>
        <v>1008.3999999999999</v>
      </c>
      <c r="R149" s="3">
        <f>1623.6+(82.2-683.9)+(-1.656072+(-0.083844--0.697578))+0-0-0</f>
        <v>1020.857662</v>
      </c>
      <c r="S149" s="3">
        <f>1623.7+(93.7-607.6)+(0+(0-0))+0-0-0</f>
        <v>1109.8000000000002</v>
      </c>
      <c r="T149" s="3">
        <f>1647+(95.5-564.2)+(-0.83997+(-0.048705--0.287742))+0-0-0</f>
        <v>1177.699067</v>
      </c>
      <c r="U149" s="3">
        <f>1651.1+(89-565.5)+(-1.684122+(-0.09078--0.57681))+0-0-0</f>
        <v>1173.4019079999998</v>
      </c>
      <c r="V149" s="3">
        <f>1653.7+(82.7-600.7)+(-1.686774+(-0.084354--0.612714))+0-0-0</f>
        <v>1134.5415860000001</v>
      </c>
      <c r="W149" s="3">
        <f>1603+(79.2-611.8)+(-0.81753+(-0.040392--0.312018))+0-0-0</f>
        <v>1069.854096</v>
      </c>
      <c r="X149" s="3">
        <f>1577.9+(80.6-680.9)+(-3.218916+(-0.164424--1.389036))+0-0-0</f>
        <v>975.60569600000008</v>
      </c>
      <c r="Y149" s="3">
        <f>1593.9+(88.6-764.6)+(-1.625778+(-0.090372--0.779892))+0-0-0</f>
        <v>916.96374200000014</v>
      </c>
      <c r="Z149" s="3">
        <f>1665.9+(117.6-716.9)+(-0.849609+(-0.059976--0.365619))+0-0-0</f>
        <v>1066.0560340000002</v>
      </c>
      <c r="AA149" s="3">
        <f>1700.3+(84.3-651.6)+(-0.867153+(-0.042993--0.332316))+0-0-0</f>
        <v>1132.4221700000001</v>
      </c>
      <c r="AB149" s="3">
        <f>1683.8+(69.8-648.4)+(-4.29369+(-0.17799--1.65342))+0-0-0</f>
        <v>1102.3817399999998</v>
      </c>
      <c r="AC149" s="3">
        <f>1683.1+(69.5-685.6)+(-0.858381+(-0.035445--0.349656))+0-0-0</f>
        <v>1066.4558300000001</v>
      </c>
      <c r="AD149" s="2">
        <v>1136.6000000000001</v>
      </c>
      <c r="AE149" s="3">
        <f>1714+(76.9-654.3)+(0+(0-0))+0-0-0</f>
        <v>1136.5999999999999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1680.5+(63.8-721.1)+(0+(0-0))+0-0-0</f>
        <v>1023.1999999999999</v>
      </c>
      <c r="G150" s="3">
        <f>1667.3+(85.6-796.2)+(-3.401292+(-0.174624--1.624248))+0-0-0</f>
        <v>954.74833199999989</v>
      </c>
      <c r="H150" s="3">
        <f>1669.6+(48.9-835.7)+(-2.554488+(-0.074817--1.278621))+0-0-0</f>
        <v>881.44931599999984</v>
      </c>
      <c r="I150" s="3">
        <f>1664.7+(67.9-902)+(-4.244985+(-0.173145--2.3001))+0-0-0</f>
        <v>828.48197000000005</v>
      </c>
      <c r="J150" s="3">
        <f>1685.7+(80.6-956.8)+(1.719414+(0.082212-0.975936))+0-0-0</f>
        <v>810.32569000000012</v>
      </c>
      <c r="K150" s="3">
        <f>1566.2+(66.2-889.2)+(-3.99381+(-0.16881--2.26746))+0-0-0</f>
        <v>741.30484000000001</v>
      </c>
      <c r="L150" s="3">
        <f>1403.3+(45.5-794.1)+(-3.578415+(-0.116025--2.024955))+0-0-0</f>
        <v>653.03051499999992</v>
      </c>
      <c r="M150" s="3">
        <f>1430.4+(50.7-837)+(0.729504+(0.025857-0.42687))+0-0-0</f>
        <v>644.42849100000012</v>
      </c>
      <c r="N150" s="3">
        <f>1606.3+(49-940.2)+(1.638426+(0.04998-0.959004))+0-0-0</f>
        <v>715.82940199999996</v>
      </c>
      <c r="O150" s="3">
        <f>1628+(100.4-926.4)+(2.49084+(0.153612-1.417392))+0-0-0</f>
        <v>803.22706000000005</v>
      </c>
      <c r="P150" s="3">
        <f>1635+(87.5-850.5)+(-0.83385+(-0.044625--0.433755))+0-0-0</f>
        <v>871.55528000000004</v>
      </c>
      <c r="Q150" s="3">
        <f>1645.3+(53-759.7)+(1.678206+(0.05406-0.774894))+0-0-0</f>
        <v>939.55737199999987</v>
      </c>
      <c r="R150" s="3">
        <f>1644.4+(47.1-710.1)+(-1.677288+(-0.048042--0.724302))+0-0-0</f>
        <v>980.39897200000007</v>
      </c>
      <c r="S150" s="3">
        <f>1643.7+(61.2-635)+(0.838287+(0.031212-0.32385))+0-0-0</f>
        <v>1070.445649</v>
      </c>
      <c r="T150" s="3">
        <f>1636.4+(83.4-576.1)+(0+(0-0))+0-0-0</f>
        <v>1143.7</v>
      </c>
      <c r="U150" s="3">
        <f>1636.4+(87.6-571)+(-2.503692+(-0.134028--0.87363))+0-0-0</f>
        <v>1151.2359100000001</v>
      </c>
      <c r="V150" s="3">
        <f>1627.9+(82.4-598.1)+(-2.490687+(-0.126072--0.915093))+0-0-0</f>
        <v>1110.4983340000001</v>
      </c>
      <c r="W150" s="3">
        <f>1620.6+(60.2-644.6)+(-4.13253+(-0.15351--1.64373))+0-0-0</f>
        <v>1033.5576899999999</v>
      </c>
      <c r="X150" s="3">
        <f>1635+(61.7-749.7)+(-2.50155+(-0.094401--1.147041))+0-0-0</f>
        <v>945.55109000000004</v>
      </c>
      <c r="Y150" s="3">
        <f>1647.9+(70.2-828.5)+(1.680858+(0.071604-0.84507))+0-0-0</f>
        <v>890.5073920000001</v>
      </c>
      <c r="Z150" s="3">
        <f>1690.6+(60.4-704.3)+(0+(0-0))+0-0-0</f>
        <v>1046.6999999999998</v>
      </c>
      <c r="AA150" s="3">
        <f>1718.1+(69.5-682)+(-0.876231+(-0.035445--0.34782))+0-0-0</f>
        <v>1105.0361439999999</v>
      </c>
      <c r="AB150" s="3">
        <f>1702.9+(67.3-706.8)+(-1.736958+(-0.068646--0.720936))+0-0-0</f>
        <v>1062.3153320000001</v>
      </c>
      <c r="AC150" s="3">
        <f>1694.5+(62.2-735.1)+(-3.45678+(-0.126888--1.499604))+0-0-0</f>
        <v>1019.515936</v>
      </c>
      <c r="AD150" s="2">
        <v>1099.5999999999999</v>
      </c>
      <c r="AE150" s="3">
        <f>1701+(72.6-674)+(0+(0-0))+0-0-0</f>
        <v>1099.5999999999999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1705.3+(73.9-755.9)+(-2.609109+(-0.113067--1.156527))+0-0-0</f>
        <v>1021.7343509999999</v>
      </c>
      <c r="G151" s="3">
        <f>1692+(11.3-749.7)+(0+(0-0))+0-0-0</f>
        <v>953.59999999999991</v>
      </c>
      <c r="H151" s="3">
        <f>1584.1+(24.4-728.1)+(-4.039455+(-0.06222--1.856655))+0-0-0</f>
        <v>878.15497999999991</v>
      </c>
      <c r="I151" s="3">
        <f>1498.6+(40.4-700.1)+(-3.057144+(-0.082416--1.428204))+0-0-0</f>
        <v>837.18864399999984</v>
      </c>
      <c r="J151" s="3">
        <f>1391.6+(52.6-650.8)+(-1.419432+(-0.053652--0.663816))+0-0-0</f>
        <v>792.590732</v>
      </c>
      <c r="K151" s="3">
        <f>1379+(33.2-677.1)+(-3.51645+(-0.08466--1.726605))+0-0-0</f>
        <v>733.22549500000002</v>
      </c>
      <c r="L151" s="3">
        <f>1307.2+(32.7-684.5)+(-2.000016+(-0.050031--1.047285))+0-0-0</f>
        <v>654.39723800000013</v>
      </c>
      <c r="M151" s="3">
        <f>1192.5+(52.5-634.2)+(-1.21635+(-0.05355--0.646884))+0-0-0</f>
        <v>610.17698399999995</v>
      </c>
      <c r="N151" s="3">
        <f>1201.6+(66.2-630.8)+(0+(0-0))+0-0-0</f>
        <v>637</v>
      </c>
      <c r="O151" s="3">
        <f>1438.5+(21-742.6)+(-1.46727+(-0.02142--0.757452))+0-0-0</f>
        <v>716.16876200000002</v>
      </c>
      <c r="P151" s="3">
        <f>1436.4+(77.3-718.7)+(0.732564+(0.039423-0.366537))+0-0-0</f>
        <v>795.40544999999997</v>
      </c>
      <c r="Q151" s="3">
        <f>1484.7+(88.4-723.9)+(0.757197+(0.045084-0.369189))+0-0-0</f>
        <v>849.63309200000003</v>
      </c>
      <c r="R151" s="3">
        <f>1532.7+(82.6-715.1)+(-0.781677+(-0.042126--0.364701))+0-0-0</f>
        <v>899.74089800000002</v>
      </c>
      <c r="S151" s="3">
        <f>1524.9+(138.4-657.4)+(-1.555398+(-0.141168--0.670548))+0-0-0</f>
        <v>1004.8739820000001</v>
      </c>
      <c r="T151" s="3">
        <f>1523+(169.7-607.8)+(-3.10692+(-0.346188--1.239912))+0-0-0</f>
        <v>1082.6868040000002</v>
      </c>
      <c r="U151" s="3">
        <f>1536+(166.5-599.6)+(-1.56672+(-0.16983--0.611592))+0-0-0</f>
        <v>1101.775042</v>
      </c>
      <c r="V151" s="3">
        <f>1536.1+(147.5-623)+(-0.783411+(-0.075225--0.31773))+0-0-0</f>
        <v>1060.059094</v>
      </c>
      <c r="W151" s="3">
        <f>1540.9+(106.8-667.3)+(-3.143436+(-0.217872--1.361292))+0-0-0</f>
        <v>978.39998400000013</v>
      </c>
      <c r="X151" s="3">
        <f>1565.2+(71.3-742.6)+(-3.193008+(-0.145452--1.514904))+0-0-0</f>
        <v>892.07644399999992</v>
      </c>
      <c r="Y151" s="3">
        <f>1567.5+(79.4-799.5)+(-1.59885+(-0.080988--0.81549))+0-0-0</f>
        <v>846.53565200000003</v>
      </c>
      <c r="Z151" s="3">
        <f>1578.3+(111.8-692.7)+(0+(0-0))+0-0-0</f>
        <v>997.39999999999986</v>
      </c>
      <c r="AA151" s="3">
        <f>1611.6+(110.4-668.2)+(-2.465748+(-0.168912--1.022346))+0-0-0</f>
        <v>1052.1876859999998</v>
      </c>
      <c r="AB151" s="3">
        <f>1627.3+(94.4-685.9)+(0+(0-0))+0-0-0</f>
        <v>1035.8</v>
      </c>
      <c r="AC151" s="3">
        <f>1615.5+(93.3-687.7)+(0.823905+(0.047583-0.350727))+0-0-0</f>
        <v>1021.6207609999999</v>
      </c>
      <c r="AD151" s="2">
        <v>1054.0999999999999</v>
      </c>
      <c r="AE151" s="3">
        <f>1567+(131.6-644.5)+(0+(0-0))+0-0-0</f>
        <v>1054.0999999999999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1606.5+(97.9-695.2)+(-0.819315+(-0.049929--0.354552))+0-0-0</f>
        <v>1008.685308</v>
      </c>
      <c r="G152" s="3">
        <f>1567.9+(137.9-741)+(-2.398887+(-0.210987--1.13373))+0-0-0</f>
        <v>963.32385600000009</v>
      </c>
      <c r="H152" s="3">
        <f>1527.2+(121.4-744.5)+(-0.778872+(-0.061914--0.379695))+0-0-0</f>
        <v>903.63890900000001</v>
      </c>
      <c r="I152" s="3">
        <f>1530.3+(96.2-771.2)+(-3.121812+(-0.196248--1.573248))+0-0-0</f>
        <v>853.55518799999993</v>
      </c>
      <c r="J152" s="3">
        <f>1540.6+(49.2-751.3)+(0.785706+(0.025092-0.383163))+0-0-0</f>
        <v>838.92763500000001</v>
      </c>
      <c r="K152" s="3">
        <f>1469.2+(58-738.8)+(-0.749292+(-0.02958--0.376788))+0-0-0</f>
        <v>787.99791600000015</v>
      </c>
      <c r="L152" s="3">
        <f>1400.3+(64.3-774.9)+(-0.714153+(-0.032793--0.395199))+0-0-0</f>
        <v>689.34825299999989</v>
      </c>
      <c r="M152" s="3">
        <f>1350.7+(67.2-739.9)+(0+(0-0))+0-0-0</f>
        <v>678.00000000000011</v>
      </c>
      <c r="N152" s="3">
        <f>1354.4+(93.4-699.1)+(0.690744+(0.047634-0.356541))+0-0-0</f>
        <v>749.08183700000006</v>
      </c>
      <c r="O152" s="3">
        <f>1418+(81.3-658.3)+(0.72318+(0.041463-0.335733))+0-0-0</f>
        <v>841.42890999999997</v>
      </c>
      <c r="P152" s="3">
        <f>1574.7+(83.4-765.1)+(0.803097+(0.042534-0.390201))+0-0-0</f>
        <v>893.45542999999998</v>
      </c>
      <c r="Q152" s="3">
        <f>1645.5+(85.6-790.1)+(2.517615+(0.130968-1.208853))+0-0-0</f>
        <v>942.43973000000005</v>
      </c>
      <c r="R152" s="3">
        <f>1662.6+(76.3-756.1)+(0.847926+(0.038913-0.385611))+0-0-0</f>
        <v>983.30122799999981</v>
      </c>
      <c r="S152" s="3">
        <f>1660.5+(86.8-725.5)+(-1.69371+(-0.088536--0.74001))+0-0-0</f>
        <v>1020.757764</v>
      </c>
      <c r="T152" s="3">
        <f>1630.8+(101.6-665.5)+(-0.831708+(-0.051816--0.339405))+0-0-0</f>
        <v>1066.3558810000002</v>
      </c>
      <c r="U152" s="3">
        <f>1642.9+(95.5-685.5)+(0.837879+(0.048705-0.349605))+0-0-0</f>
        <v>1053.4369790000001</v>
      </c>
      <c r="V152" s="3">
        <f>1633.1+(95.7-714.7)+(-0.832881+(-0.048807--0.364497))+0-0-0</f>
        <v>1013.5828089999999</v>
      </c>
      <c r="W152" s="3">
        <f>1635+(90.2-773.3)+(-0.83385+(-0.046002--0.394383))+0-0-0</f>
        <v>951.41453100000012</v>
      </c>
      <c r="X152" s="3">
        <f>1640.9+(89.7-829.4)+(-2.510577+(-0.137241--1.268982))+0-0-0</f>
        <v>899.82116400000018</v>
      </c>
      <c r="Y152" s="3">
        <f>1660.8+(72.9-833.9)+(1.694016+(0.074358-0.850578))+0-0-0</f>
        <v>900.71779599999991</v>
      </c>
      <c r="Z152" s="3">
        <f>1689.6+(122.1-714.6)+(0.861696+(0.062271-0.364446))+0-0-0</f>
        <v>1097.6595209999998</v>
      </c>
      <c r="AA152" s="3">
        <f>1704.7+(90.5-663.3)+(-3.477588+(-0.18462--1.353132))+0-0-0</f>
        <v>1129.5909240000001</v>
      </c>
      <c r="AB152" s="3">
        <f>1693.6+(92.9-686)+(-1.727472+(-0.094758--0.69972))+0-0-0</f>
        <v>1099.3774900000001</v>
      </c>
      <c r="AC152" s="3">
        <f>1685+(112.3-730.2)+(0+(0-0))+0-0-0</f>
        <v>1067.0999999999999</v>
      </c>
      <c r="AD152" s="2">
        <v>1152.5</v>
      </c>
      <c r="AE152" s="3">
        <f>1704+(110.2-661.7)+(0+(0-0))+0-0-0</f>
        <v>1152.5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1562.4+(93.4-608.1)+(-1.593648+(-0.095268--0.620262))+0-0-0</f>
        <v>1046.6313460000001</v>
      </c>
      <c r="G153" s="3">
        <f>1558.1+(135-710.4)+(-3.178524+(-0.2754--1.449216))+0-0-0</f>
        <v>980.69529199999988</v>
      </c>
      <c r="H153" s="3">
        <f>1563.1+(139.3-794.6)+(-0.797181+(-0.071043--0.405246))+0-0-0</f>
        <v>907.33702199999993</v>
      </c>
      <c r="I153" s="3">
        <f>1528.3+(148.5-830.9)+(0+(0-0))+0-0-0</f>
        <v>845.9</v>
      </c>
      <c r="J153" s="3">
        <f>1525.6+(149.3-865.5)+(-2.334168+(-0.228429--1.324215))+0-0-0</f>
        <v>808.16161799999986</v>
      </c>
      <c r="K153" s="3">
        <f>1449.6+(144.9-820.6)+(-2.957184+(-0.295596--1.674024))+0-0-0</f>
        <v>772.32124399999987</v>
      </c>
      <c r="L153" s="3">
        <f>1400.5+(92.5-787.8)+(-5.71404+(-0.3774--3.214224))+0-0-0</f>
        <v>702.32278400000007</v>
      </c>
      <c r="M153" s="3">
        <f>1155.2+(70.1-572.7)+(0+(0-0))+0-0-0</f>
        <v>652.6</v>
      </c>
      <c r="N153" s="3">
        <f>1149.3+(124.3-593.4)+(1.172286+(0.126786-0.605268))+0-0-0</f>
        <v>680.89380400000005</v>
      </c>
      <c r="O153" s="3">
        <f>1149.4+(152.7-523.3)+(-0.586194+(-0.077877--0.266883))+0-0-0</f>
        <v>778.40281200000015</v>
      </c>
      <c r="P153" s="3">
        <f>1375.2+(144.1-678.1)+(-0.701352+(-0.073491--0.345831))+0-0-0</f>
        <v>840.7709880000001</v>
      </c>
      <c r="Q153" s="3">
        <f>1428.2+(178.1-731)+(0+(0-0))+0-0-0</f>
        <v>875.30000000000007</v>
      </c>
      <c r="R153" s="3">
        <f>1418.5+(174.7-695.2)+(-0.723435+(-0.089097--0.354552))+0-0-0</f>
        <v>897.54201999999998</v>
      </c>
      <c r="S153" s="3">
        <f>1416.7+(198.9-672.9)+(-1.445034+(-0.202878--0.686358))+0-0-0</f>
        <v>941.73844600000007</v>
      </c>
      <c r="T153" s="3">
        <f>1410.7+(210.1-646.8)+(-2.877828+(-0.428604--1.319472))+0-0-0</f>
        <v>972.01304000000016</v>
      </c>
      <c r="U153" s="3">
        <f>1423+(198.9-681.8)+(1.45146+(0.202878-0.695436))+0-0-0</f>
        <v>941.05890199999999</v>
      </c>
      <c r="V153" s="3">
        <f>1425.1+(179.3-701.3)+(2.180403+(0.274329-1.072989))+0-0-0</f>
        <v>904.48174299999994</v>
      </c>
      <c r="W153" s="3">
        <f>1408.7+(177.2-731.9)+(-1.436874+(-0.180744--0.746538))+0-0-0</f>
        <v>853.12891999999999</v>
      </c>
      <c r="X153" s="3">
        <f>1403.9+(134.7-739.2)+(-2.147967+(-0.206091--1.130976))+0-0-0</f>
        <v>798.17691800000011</v>
      </c>
      <c r="Y153" s="3">
        <f>1401.6+(82.3-701.7)+(-0.714816+(-0.041973--0.357867))+0-0-0</f>
        <v>781.80107799999985</v>
      </c>
      <c r="Z153" s="3">
        <f>1475.1+(166.1-725.8)+(-2.256903+(-0.254133--1.110474))+0-0-0</f>
        <v>913.99943799999994</v>
      </c>
      <c r="AA153" s="3">
        <f>1532.9+(138.2-679.8)+(-2.345337+(-0.211446--1.040094))+0-0-0</f>
        <v>989.78331100000014</v>
      </c>
      <c r="AB153" s="3">
        <f>1469+(147.3-620.2)+(-0.74919+(-0.075123--0.316302))+0-0-0</f>
        <v>995.5919889999999</v>
      </c>
      <c r="AC153" s="3">
        <f>1455.7+(142.2-616)+(-0.742407+(-0.072522--0.31416))+0-0-0</f>
        <v>981.3992310000001</v>
      </c>
      <c r="AD153" s="2">
        <v>928.9</v>
      </c>
      <c r="AE153" s="3">
        <f>1511+(136.8-718.9)+(0+(0-0))+0-0-0</f>
        <v>928.90000000000009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1457.3+(146.6-646.7)+(0.743223+(0.074766-0.329817))+0-0-0</f>
        <v>957.68817199999989</v>
      </c>
      <c r="G154" s="3">
        <f>1445.7+(168.8-698.2)+(0.737307+(0.086088-0.356082))+0-0-0</f>
        <v>916.76731299999994</v>
      </c>
      <c r="H154" s="3">
        <f>1316.4+(183.9-620.8)+(-0.671364+(-0.093789--0.316608))+0-0-0</f>
        <v>879.05145500000015</v>
      </c>
      <c r="I154" s="3">
        <f>1152.6+(204.4-529.7)+(-0.587826+(-0.104244--0.270147))+0-0-0</f>
        <v>826.87807699999985</v>
      </c>
      <c r="J154" s="3">
        <f>1145.1+(201.8-553.6)+(-1.752003+(-0.308754--0.847008))+0-0-0</f>
        <v>792.08625099999995</v>
      </c>
      <c r="K154" s="3">
        <f>1151.7+(200.4-594.6)+(0+(0-0))+0-0-0</f>
        <v>757.5</v>
      </c>
      <c r="L154" s="3">
        <f>1135.8+(195.2-631.4)+(-2.89629+(-0.49776--1.61007))+0-0-0</f>
        <v>697.81601999999987</v>
      </c>
      <c r="M154" s="3">
        <f>1164.8+(113.7-623.8)+(-1.188096+(-0.115974--0.636276))+0-0-0</f>
        <v>654.03220600000009</v>
      </c>
      <c r="N154" s="3">
        <f>1274.6+(99.8-687.2)+(1.300092+(0.101796-0.700944))+0-0-0</f>
        <v>687.90094399999987</v>
      </c>
      <c r="O154" s="3">
        <f>1444.9+(60.9-727)+(-0.736899+(-0.031059--0.37077))+0-0-0</f>
        <v>778.40281200000004</v>
      </c>
      <c r="P154" s="3">
        <f>1442.1+(67.5-667.4)+(1.470942+(0.06885-0.680748))+0-0-0</f>
        <v>843.05904399999997</v>
      </c>
      <c r="Q154" s="3">
        <f>1495.4+(114.9-707.5)+(-1.525308+(-0.117198--0.72165))+0-0-0</f>
        <v>901.87914400000011</v>
      </c>
      <c r="R154" s="3">
        <f>1498.2+(134.2-677)+(-0.764082+(-0.068442--0.34527))+0-0-0</f>
        <v>954.91274600000008</v>
      </c>
      <c r="S154" s="3">
        <f>1496.5+(159.7-634.1)+(-0.763215+(-0.081447--0.323391))+0-0-0</f>
        <v>1021.578729</v>
      </c>
      <c r="T154" s="3">
        <f>1503.2+(162-607.3)+(-3.066528+(-0.33048--1.238892))+0-0-0</f>
        <v>1055.741884</v>
      </c>
      <c r="U154" s="3">
        <f>1505.9+(149.4-619.7)+(0+(0-0))+0-0-0</f>
        <v>1035.5999999999999</v>
      </c>
      <c r="V154" s="3">
        <f>1506.2+(128.6-639.1)+(-0.768162+(-0.065586--0.325941))+0-0-0</f>
        <v>995.19219300000009</v>
      </c>
      <c r="W154" s="3">
        <f>1479.9+(119.1-670.9)+(-3.018996+(-0.242964--1.368636))+0-0-0</f>
        <v>926.20667600000013</v>
      </c>
      <c r="X154" s="3">
        <f>1477.4+(89.4-722.9)+(-2.260422+(-0.136782--1.106037))+0-0-0</f>
        <v>842.60883300000012</v>
      </c>
      <c r="Y154" s="3">
        <f>1479.7+(97.8-752.7)+(-2.263941+(-0.149634--1.151631))+0-0-0</f>
        <v>823.53805599999998</v>
      </c>
      <c r="Z154" s="3">
        <f>1491.8+(130.3-667.4)+(-3.043272+(-0.265812--1.361496))+0-0-0</f>
        <v>952.75241200000005</v>
      </c>
      <c r="AA154" s="3">
        <f>1525+(122-631.7)+(-1.5555+(-0.12444--0.644334))+0-0-0</f>
        <v>1014.2643939999999</v>
      </c>
      <c r="AB154" s="3">
        <f>1515.7+(111.6-585.7)+(-3.092028+(-0.227664--1.194828))+0-0-0</f>
        <v>1039.475136</v>
      </c>
      <c r="AC154" s="3">
        <f>1530+(109.2-605)+(0+(0-0))+0-0-0</f>
        <v>1034.2</v>
      </c>
      <c r="AD154" s="2">
        <v>1033.9000000000001</v>
      </c>
      <c r="AE154" s="3">
        <f>1537+(100-603.1)+(0+(0-0))+0-0-0</f>
        <v>1033.9000000000001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1520.5+(102.9-582.4)+(0.775455+(0.052479-0.297024))+0-0-0</f>
        <v>1041.5309099999999</v>
      </c>
      <c r="G155" s="3">
        <f>1522.5+(99.8-627.4)+(0.776475+(0.050898-0.319974))+0-0-0</f>
        <v>995.40739899999994</v>
      </c>
      <c r="H155" s="3">
        <f>1424.7+(124.5-613.9)+(0+(0-0))+0-0-0</f>
        <v>935.30000000000007</v>
      </c>
      <c r="I155" s="3">
        <f>1279.3+(128.2-531.8)+(0+(0-0))+0-0-0</f>
        <v>875.7</v>
      </c>
      <c r="J155" s="3">
        <f>1262.2+(131.5-571.9)+(-2.574888+(-0.26826--1.166676))+0-0-0</f>
        <v>820.12352800000008</v>
      </c>
      <c r="K155" s="3">
        <f>1214.2+(140.2-571.5)+(-2.476968+(-0.286008--1.16586))+0-0-0</f>
        <v>781.30288400000006</v>
      </c>
      <c r="L155" s="3">
        <f>1166.4+(113.5-563.4)+(-4.758912+(-0.46308--2.298672))+0-0-0</f>
        <v>713.57668000000012</v>
      </c>
      <c r="M155" s="3">
        <f>1190.7+(96.6-565.6)+(1.214514+(0.098532-0.576912))+0-0-0</f>
        <v>722.43613400000004</v>
      </c>
      <c r="N155" s="3">
        <f>1196.9+(119.1-522)+(1.220838+(0.121482-0.53244))+0-0-0</f>
        <v>794.80988000000013</v>
      </c>
      <c r="O155" s="3">
        <f>1443.4+(126.8-721.6)+(0.736134+(0.064668-0.368016))+0-0-0</f>
        <v>849.03278599999999</v>
      </c>
      <c r="P155" s="3">
        <f>1488.5+(141-725.7)+(0.759135+(0.07191-0.370107))+0-0-0</f>
        <v>904.26093800000001</v>
      </c>
      <c r="Q155" s="3">
        <f>1541+(140.4-745.7)+(2.35773+(0.214812-1.140921))+0-0-0</f>
        <v>937.13162099999988</v>
      </c>
      <c r="R155" s="3">
        <f>1527.1+(147.4-724.6)+(-0.778821+(-0.075174--0.369546))+0-0-0</f>
        <v>949.41555099999982</v>
      </c>
      <c r="S155" s="3">
        <f>1600.6+(169.2-775)+(-1.632612+(-0.172584--0.7905))+0-0-0</f>
        <v>993.785304</v>
      </c>
      <c r="T155" s="3">
        <f>1626.4+(173.9-837.2)+(-2.488392+(-0.266067--1.280916))+0-0-0</f>
        <v>961.62645700000007</v>
      </c>
      <c r="U155" s="3">
        <f>1636.9+(162.8-931)+(0.834819+(0.083028-0.47481))+0-0-0</f>
        <v>869.14303700000005</v>
      </c>
      <c r="V155" s="3">
        <f>1627.2+(154.3-957.7)+(-0.829872+(-0.078693--0.488427))+0-0-0</f>
        <v>823.379862</v>
      </c>
      <c r="W155" s="3">
        <f>1596.3+(156.1-962.1)+(-0.814113+(-0.079611--0.490671))+0-0-0</f>
        <v>789.89694699999995</v>
      </c>
      <c r="X155" s="3">
        <f>1571.3+(150.5-952.5)+(-2.404089+(-0.230265--1.457325))+0-0-0</f>
        <v>768.12297100000001</v>
      </c>
      <c r="Y155" s="3">
        <f>1578.7+(112.8-910.7)+(-1.610274+(-0.115056--0.928914))+0-0-0</f>
        <v>780.00358399999993</v>
      </c>
      <c r="Z155" s="3">
        <f>1594.8+(151.5-876.4)+(0.813348+(0.077265-0.446964))+0-0-0</f>
        <v>870.34364900000003</v>
      </c>
      <c r="AA155" s="3">
        <f>1595.9+(122.6-846.1)+(-3.255636+(-0.250104--1.726044))+0-0-0</f>
        <v>870.62030400000015</v>
      </c>
      <c r="AB155" s="3">
        <f>1598.3+(138-897)+(0.815133+(0.07038-0.45747))+0-0-0</f>
        <v>839.72804299999996</v>
      </c>
      <c r="AC155" s="3">
        <f>1596.5+(94.5-901.2)+(1.62843+(0.09639-0.919224))+0-0-0</f>
        <v>790.60559599999999</v>
      </c>
      <c r="AD155" s="2">
        <v>820.6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1583.8+(83.7-923.4)+(-1.615476+(-0.085374--0.941868))+0-0-0</f>
        <v>743.34101800000008</v>
      </c>
      <c r="G156" s="3">
        <f>1474+(154.4-939.8)+(-0.75174+(-0.078744--0.479298))+0-0-0</f>
        <v>688.24881400000004</v>
      </c>
      <c r="H156" s="3">
        <f>1305.4+(184.9-847.2)+(-2.663016+(-0.377196--1.728288))+0-0-0</f>
        <v>641.78807600000005</v>
      </c>
      <c r="I156" s="3">
        <f>1314.1+(171.7-870.3)+(0.670191+(0.087567-0.443853))+0-0-0</f>
        <v>615.81390499999998</v>
      </c>
      <c r="J156" s="3">
        <f>1330.6+(171.4-895.8)+(4.071636+(0.524484-2.741148))+0-0-0</f>
        <v>608.05497199999991</v>
      </c>
      <c r="K156" s="3">
        <f>1311.7+(170.3-889.1)+(0.668967+(0.086853-0.453441))+0-0-0</f>
        <v>593.20237900000006</v>
      </c>
      <c r="L156" s="3">
        <f>1300.8+(167.2-904)+(-2.653632+(-0.341088--1.84416))+0-0-0</f>
        <v>562.84943999999996</v>
      </c>
      <c r="M156" s="3">
        <f>1310.9+(134.9-871.2)+(-0.668559+(-0.068799--0.444312))+0-0-0</f>
        <v>574.30695400000002</v>
      </c>
      <c r="N156" s="3">
        <f>1399.8+(103.7-877.7)+(1.427796+(0.105774-0.895254))+0-0-0</f>
        <v>626.43831599999999</v>
      </c>
      <c r="O156" s="3">
        <f>1483.3+(69.9-872.3)+(0+(0-0))+0-0-0</f>
        <v>680.9</v>
      </c>
      <c r="P156" s="3">
        <f>1557.3+(84.9-919.1)+(0+(0-0))+0-0-0</f>
        <v>723.09999999999991</v>
      </c>
      <c r="Q156" s="3">
        <f>1566+(100.6-934.7)+(-1.59732+(-0.102612--0.953394))+0-0-0</f>
        <v>731.15346199999999</v>
      </c>
      <c r="R156" s="3">
        <f>1586.5+(75.7-973.7)+(-1.61823+(-0.077214--0.993174))+0-0-0</f>
        <v>687.79773</v>
      </c>
      <c r="S156" s="3">
        <f>1592.2+(67.4-973.8)+(-1.624044+(-0.068748--0.993276))+0-0-0</f>
        <v>685.10048400000005</v>
      </c>
      <c r="T156" s="3">
        <f>1591.1+(71.9-1010.7)+(0+(0-0))+0-0-0</f>
        <v>652.29999999999984</v>
      </c>
      <c r="U156" s="3">
        <f>1595.6+(67.3-1035.2)+(0.813756+(0.034323-0.527952))+0-0-0</f>
        <v>628.02012699999977</v>
      </c>
      <c r="V156" s="3">
        <f>1587.9+(77.8-1024.3)+(-4.049145+(-0.19839--2.611965))+0-0-0</f>
        <v>639.76443000000006</v>
      </c>
      <c r="W156" s="3">
        <f>1604.1+(100.6-1045.3)+(-3.272364+(-0.205224--2.132412))+0-0-0</f>
        <v>658.05482399999994</v>
      </c>
      <c r="X156" s="3">
        <f>1606.9+(99-1056)+(-3.278076+(-0.20196--2.15424))+0-0-0</f>
        <v>648.57420400000012</v>
      </c>
      <c r="Y156" s="3">
        <f>1613+(53.8-981.9)+(-0.82263+(-0.027438--0.500769))+0-0-0</f>
        <v>684.550701</v>
      </c>
      <c r="Z156" s="3">
        <f>1635.5+(106-969.4)+(0+(0-0))+0-0-0</f>
        <v>772.1</v>
      </c>
      <c r="AA156" s="3">
        <f>1641.1+(87-954.4)+(-4.184805+(-0.22185--2.43372))+0-0-0</f>
        <v>771.72706499999993</v>
      </c>
      <c r="AB156" s="3">
        <f>1628.7+(103.8-990.6)+(-3.322548+(-0.211752--2.020824))+0-0-0</f>
        <v>740.38652400000001</v>
      </c>
      <c r="AC156" s="3">
        <f>1598.5+(103.4-997.9)+(-1.63047+(-0.105468--1.017858))+0-0-0</f>
        <v>703.28192000000001</v>
      </c>
      <c r="AD156" s="2">
        <v>783.39999999999986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1517+(31.7-858.9)+(0+(0-0))+0-0-0</f>
        <v>689.80000000000007</v>
      </c>
      <c r="G157" s="3">
        <f>1485.9+(50.5-900.5)+(0.757809+(0.025755-0.459255))+0-0-0</f>
        <v>636.22430900000006</v>
      </c>
      <c r="H157" s="3">
        <f>1478.4+(82.4-969.2)+(3.015936+(0.168096-1.977168))+0-0-0</f>
        <v>592.80686400000002</v>
      </c>
      <c r="I157" s="3">
        <f>1460.6+(85.3-989)+(-0.744906+(-0.043503--0.50439))+0-0-0</f>
        <v>556.61598099999992</v>
      </c>
      <c r="J157" s="3">
        <f>1362.7+(93.6-902.4)+(-1.389954+(-0.095472--0.920448))+0-0-0</f>
        <v>553.33502200000009</v>
      </c>
      <c r="K157" s="3">
        <f>1280.1+(97.8-827.7)+(-1.958553+(-0.149634--1.266381))+0-0-0</f>
        <v>549.3581939999998</v>
      </c>
      <c r="L157" s="3">
        <f>1265.7+(88.6-827.8)+(-4.518549+(-0.316302--2.955246))+0-0-0</f>
        <v>524.62039500000014</v>
      </c>
      <c r="M157" s="3">
        <f>1285.2+(72.7-815.5)+(-0.655452+(-0.037077--0.415905))+0-0-0</f>
        <v>542.12337600000012</v>
      </c>
      <c r="N157" s="3">
        <f>1395.3+(58.3-861.2)+(2.134809+(0.089199-1.317636))+0-0-0</f>
        <v>593.3063719999999</v>
      </c>
      <c r="O157" s="3">
        <f>1402.2+(77.3-855.4)+(-1.430244+(-0.078846--0.872508))+0-0-0</f>
        <v>623.46341800000005</v>
      </c>
      <c r="P157" s="3">
        <f>1397.4+(59-805.9)+(-0.712674+(-0.03009--0.411009))+0-0-0</f>
        <v>650.16824500000007</v>
      </c>
      <c r="Q157" s="3">
        <f>1440.2+(36.4-803.4)+(0.734502+(0.018564-0.409734))+0-0-0</f>
        <v>673.54333200000008</v>
      </c>
      <c r="R157" s="3">
        <f>1478.8+(31.6-837.6)+(0.754188+(0.016116-0.427176))+0-0-0</f>
        <v>673.14312799999993</v>
      </c>
      <c r="S157" s="3">
        <f>1486.5+(38.6-871.4)+(1.51623+(0.039372-0.888828))+0-0-0</f>
        <v>654.36677400000008</v>
      </c>
      <c r="T157" s="3">
        <f>1472.5+(43.5-886.9)+(-3.0039+(-0.08874--1.809276))+0-0-0</f>
        <v>627.81663600000002</v>
      </c>
      <c r="U157" s="3">
        <f>1474.3+(41.6-908.3)+(-1.503786+(-0.042432--0.926466))+0-0-0</f>
        <v>606.98024800000007</v>
      </c>
      <c r="V157" s="3">
        <f>1480.2+(31.7-894.4)+(-0.754902+(-0.016167--0.456144))+0-0-0</f>
        <v>617.1850750000001</v>
      </c>
      <c r="W157" s="3">
        <f>1479.5+(31.1-879)+(-2.263635+(-0.047583--1.34487))+0-0-0</f>
        <v>630.63365199999998</v>
      </c>
      <c r="X157" s="3">
        <f>1451.9+(12.9-832.8)+(-4.442814+(-0.039474--2.548368))+0-0-0</f>
        <v>630.06608000000017</v>
      </c>
      <c r="Y157" s="3">
        <f>1428.9+(0-757.3)+(0+(0-0))+0-0-0</f>
        <v>671.60000000000014</v>
      </c>
      <c r="Z157" s="3">
        <f>1477.4+(18.6-749.3)+(0.753474+(0.009486-0.382143))+0-0-0</f>
        <v>747.08081700000014</v>
      </c>
      <c r="AA157" s="3">
        <f>1464.6+(31.5-754.6)+(-2.240838+(-0.048195--1.154538))+0-0-0</f>
        <v>740.36550499999987</v>
      </c>
      <c r="AB157" s="3">
        <f>1462.1+(35.6-791.5)+(-1.491342+(-0.036312--0.80733))+0-0-0</f>
        <v>705.47967599999993</v>
      </c>
      <c r="AC157" s="3">
        <f>1458.5+(60.9-855.1)+(-1.48767+(-0.062118--0.872202))+0-0-0</f>
        <v>663.62241399999994</v>
      </c>
      <c r="AD157" s="2">
        <v>696.5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1378.6+(59.8-840.4)+(0+(0-0))+0-0-0</f>
        <v>597.99999999999989</v>
      </c>
      <c r="G158" s="3">
        <f>1241.2+(83.4-775.2)+(-1.899036+(-0.127602--1.186056))+0-0-0</f>
        <v>548.55941799999994</v>
      </c>
      <c r="H158" s="3">
        <f>1217+(99.4-810.4)+(-1.86201+(-0.152082--1.239912))+0-0-0</f>
        <v>505.22582</v>
      </c>
      <c r="I158" s="3">
        <f>1182+(89-785.2)+(-2.41128+(-0.18156--1.601808))+0-0-0</f>
        <v>484.80896799999994</v>
      </c>
      <c r="J158" s="3">
        <f>1148.2+(109.9-789.6)+(-2.92791+(-0.280245--2.01348))+0-0-0</f>
        <v>467.30532499999998</v>
      </c>
      <c r="K158" s="3">
        <f>1148.7+(113.9-795.9)+(-0.585837+(-0.058089--0.405909))+0-0-0</f>
        <v>466.46198300000003</v>
      </c>
      <c r="L158" s="3">
        <f>1092.6+(116-773.7)+(0+(0-0))+0-0-0</f>
        <v>434.89999999999986</v>
      </c>
      <c r="M158" s="3">
        <f>1080+(72.7-733.6)+(-1.6524+(-0.111231--1.122408))+0-0-0</f>
        <v>418.458777</v>
      </c>
      <c r="N158" s="3">
        <f>1091.3+(33.1-685.4)+(0+(0-0))+0-0-0</f>
        <v>439</v>
      </c>
      <c r="O158" s="3">
        <f>1127.3+(15.6-672)+(0.574923+(0.007956-0.34272))+0-0-0</f>
        <v>471.14015899999998</v>
      </c>
      <c r="P158" s="3">
        <f>1159.7+(43.2-682.6)+(-1.182894+(-0.044064--0.696252))+0-0-0</f>
        <v>519.76929400000006</v>
      </c>
      <c r="Q158" s="3">
        <f>1229.9+(60.1-745)+(-0.627249+(-0.030651--0.37995))+0-0-0</f>
        <v>544.72205000000008</v>
      </c>
      <c r="R158" s="3">
        <f>1394.8+(110.1-954.5)+(-0.711348+(-0.056151--0.486795))+0-0-0</f>
        <v>550.11929599999996</v>
      </c>
      <c r="S158" s="3">
        <f>1455.5+(73.1-988)+(-1.48461+(-0.074562--1.00776))+0-0-0</f>
        <v>540.048588</v>
      </c>
      <c r="T158" s="3">
        <f>1452.5+(71.9-994.1)+(-1.48155+(-0.073338--1.013982))+0-0-0</f>
        <v>529.759094</v>
      </c>
      <c r="U158" s="3">
        <f>1480.8+(78.6-1030.1)+(3.77604+(0.20043-2.626755))+0-0-0</f>
        <v>530.64971500000001</v>
      </c>
      <c r="V158" s="3">
        <f>1472.5+(77-1021)+(0.750975+(0.03927-0.52071))+0-0-0</f>
        <v>528.76953500000002</v>
      </c>
      <c r="W158" s="3">
        <f>1469.2+(70.1-1007)+(-1.498584+(-0.071502--1.02714))+0-0-0</f>
        <v>531.75705400000004</v>
      </c>
      <c r="X158" s="3">
        <f>1475.8+(67.6-1003.3)+(0.752658+(0.034476-0.511683))+0-0-0</f>
        <v>540.375451</v>
      </c>
      <c r="Y158" s="3">
        <f>1482.1+(81.7-984.1)+(0.755871+(0.041667-0.501891))+0-0-0</f>
        <v>579.99564699999996</v>
      </c>
      <c r="Z158" s="3">
        <f>1642.3+(59.5-1022.7)+(0+(0-0))+0-0-0</f>
        <v>679.09999999999991</v>
      </c>
      <c r="AA158" s="3">
        <f>1657+(48.9-1025.5)+(-5.07042+(-0.149634--3.13803))+0-0-0</f>
        <v>678.31797599999993</v>
      </c>
      <c r="AB158" s="3">
        <f>1626.1+(67.8-1039.1)+(-3.317244+(-0.138312--2.119764))+0-0-0</f>
        <v>653.46420799999999</v>
      </c>
      <c r="AC158" s="3">
        <f>1599.6+(89.5-1071.1)+(-0.815796+(-0.045645--0.546261))+0-0-0</f>
        <v>617.68481999999995</v>
      </c>
      <c r="AD158" s="2">
        <v>696.50000000000011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1520.9+(90.4-1038.8)+(1.551318+(0.092208-1.059576))+0-0-0</f>
        <v>573.08395000000007</v>
      </c>
      <c r="G159" s="3">
        <f>1391.4+(99.3-969.7)+(-2.128842+(-0.151929--1.483641))+0-0-0</f>
        <v>520.20286999999996</v>
      </c>
      <c r="H159" s="3">
        <f>1313.8+(83.5-918.6)+(0+(0-0))+0-0-0</f>
        <v>478.69999999999993</v>
      </c>
      <c r="I159" s="3">
        <f>1304.3+(81.3-899.9)+(-2.660772+(-0.165852--1.835796))+0-0-0</f>
        <v>484.70917199999991</v>
      </c>
      <c r="J159" s="3">
        <f>1300.5+(90.6-910.4)+(-2.65302+(-0.184824--1.857216))+0-0-0</f>
        <v>479.71937200000002</v>
      </c>
      <c r="K159" s="3">
        <f>1319.4+(92.6-923.7)+(0.672894+(0.047226-0.471087))+0-0-0</f>
        <v>488.54903300000007</v>
      </c>
      <c r="L159" s="3">
        <f>1310.5+(69-897.6)+(-1.33671+(-0.07038--0.915552))+0-0-0</f>
        <v>481.40846199999999</v>
      </c>
      <c r="M159" s="3">
        <f>1321.3+(49.5-872.8)+(2.695452+(0.10098-1.780512))+0-0-0</f>
        <v>499.01591999999999</v>
      </c>
      <c r="N159" s="3">
        <f>1317.8+(51.1-814.1)+(0.672078+(0.026061-0.415191))+0-0-0</f>
        <v>555.08294799999999</v>
      </c>
      <c r="O159" s="3">
        <f>1316+(57.9-770.9)+(1.34232+(0.059058-0.786318))+0-0-0</f>
        <v>603.61505999999997</v>
      </c>
      <c r="P159" s="3">
        <f>1361.7+(99.6-843.2)+(0.694467+(0.050796-0.430032))+0-0-0</f>
        <v>618.41523100000006</v>
      </c>
      <c r="Q159" s="3">
        <f>1509.3+(90.7-963.8)+(2.309229+(0.138771-1.474614))+0-0-0</f>
        <v>637.17338600000005</v>
      </c>
      <c r="R159" s="3">
        <f>1560.7+(66.8-981.1)+(-2.387871+(-0.102204--1.501083))+0-0-0</f>
        <v>645.41100799999992</v>
      </c>
      <c r="S159" s="3">
        <f>1567.2+(70.9-995.6)+(-1.598544+(-0.072318--1.015512))+0-0-0</f>
        <v>641.84465</v>
      </c>
      <c r="T159" s="3">
        <f>1578.6+(78.8-1032.6)+(0.805086+(0.040188-0.526626))+0-0-0</f>
        <v>625.11864800000001</v>
      </c>
      <c r="U159" s="3">
        <f>1579.5+(76.3-1036.2)+(0.805545+(0.038913-0.528462))+0-0-0</f>
        <v>619.91599599999995</v>
      </c>
      <c r="V159" s="3">
        <f>1570.1+(76.6-1023.9)+(-3.203004+(-0.156264--2.088756))+0-0-0</f>
        <v>621.5294879999999</v>
      </c>
      <c r="W159" s="3">
        <f>1572.2+(76.6-1024.9)+(-2.405466+(-0.117198--1.568097))+0-0-0</f>
        <v>622.94543299999998</v>
      </c>
      <c r="X159" s="3">
        <f>1574.9+(73.5-1026.8)+(-2.409597+(-0.112455--1.571004))+0-0-0</f>
        <v>620.64895200000012</v>
      </c>
      <c r="Y159" s="3">
        <f>1584.5+(50.9-990.2)+(-0.808095+(-0.025959--0.505002))+0-0-0</f>
        <v>644.87094799999988</v>
      </c>
      <c r="Z159" s="3">
        <f>1635.6+(58.5-957.2)+(0+(0-0))+0-0-0</f>
        <v>736.89999999999986</v>
      </c>
      <c r="AA159" s="3">
        <f>1649.7+(35.3-935.9)+(-4.206735+(-0.090015--2.386545))+0-0-0</f>
        <v>747.189795</v>
      </c>
      <c r="AB159" s="3">
        <f>1637.8+(30-941.7)+(-4.17639+(-0.0765--2.401335))+0-0-0</f>
        <v>724.24844499999995</v>
      </c>
      <c r="AC159" s="3">
        <f>1641.7+(42-987.3)+(-4.186335+(-0.1071--2.517615))+0-0-0</f>
        <v>694.62418000000014</v>
      </c>
      <c r="AD159" s="2">
        <v>733.4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1650.3+(38.2-1049.9)+(-0.841653+(-0.019482--0.535449))+0-0-0</f>
        <v>638.27431399999989</v>
      </c>
      <c r="G160" s="3">
        <f>1512.8+(77.8-1011.4)+(3.086112+(0.158712-2.063256))+0-0-0</f>
        <v>580.3815679999999</v>
      </c>
      <c r="H160" s="3">
        <f>1241.7+(129-833.2)+(-1.899801+(-0.19737--1.274796))+0-0-0</f>
        <v>536.67762500000003</v>
      </c>
      <c r="I160" s="3">
        <f>1213.4+(155.7-845.9)+(1.237668+(0.158814-0.862818))+0-0-0</f>
        <v>523.73366400000009</v>
      </c>
      <c r="J160" s="3">
        <f>1197.1+(122-809.7)+(-2.442084+(-0.24888--1.651788))+0-0-0</f>
        <v>508.36082399999987</v>
      </c>
      <c r="K160" s="3">
        <f>1203.4+(40.7-737.5)+(-0.613734+(-0.020757--0.376125))+0-0-0</f>
        <v>506.34163400000011</v>
      </c>
      <c r="L160" s="3">
        <f>1194.9+(42-748.3)+(-3.046995+(-0.1071--1.908165))+0-0-0</f>
        <v>487.35407000000015</v>
      </c>
      <c r="M160" s="3">
        <f>1342.8+(40.9-872.9)+(0+(0-0))+0-0-0</f>
        <v>510.79999999999995</v>
      </c>
      <c r="N160" s="3">
        <f>1558+(44-1015.7)+(0.79458+(0.02244-0.518007))+0-0-0</f>
        <v>586.5990129999999</v>
      </c>
      <c r="O160" s="3">
        <f>1547.2+(67.5-980.2)+(0.789072+(0.034425-0.499902))+0-0-0</f>
        <v>634.82359499999995</v>
      </c>
      <c r="P160" s="3">
        <f>1552.5+(91.8-944.9)+(-0.791775+(-0.046818--0.481899))+0-0-0</f>
        <v>699.04330600000003</v>
      </c>
      <c r="Q160" s="3">
        <f>1570.2+(97.9-935.6)+(1.601604+(0.099858-0.954312))+0-0-0</f>
        <v>733.24715000000003</v>
      </c>
      <c r="R160" s="3">
        <f>1553.9+(100.4-910)+(-0.792489+(-0.051204--0.4641))+0-0-0</f>
        <v>743.92040700000007</v>
      </c>
      <c r="S160" s="3">
        <f>1548.3+(114.7-911.8)+(-1.579266+(-0.116994--0.930036))+0-0-0</f>
        <v>750.43377600000008</v>
      </c>
      <c r="T160" s="3">
        <f>1545.9+(124.3-929.4)+(0+(0-0))+0-0-0</f>
        <v>740.80000000000007</v>
      </c>
      <c r="U160" s="3">
        <f>1543.4+(119.9-930.3)+(0.787134+(0.061149-0.474453))+0-0-0</f>
        <v>733.37383000000011</v>
      </c>
      <c r="V160" s="3">
        <f>1533.7+(119.8-920.2)+(-0.782187+(-0.061098--0.469302))+0-0-0</f>
        <v>732.926017</v>
      </c>
      <c r="W160" s="3">
        <f>1526.6+(125-923)+(-1.557132+(-0.1275--0.94146))+0-0-0</f>
        <v>727.85682799999995</v>
      </c>
      <c r="X160" s="3">
        <f>1493.8+(133.7-932.6)+(1.523676+(0.136374-0.951252))+0-0-0</f>
        <v>695.60879799999987</v>
      </c>
      <c r="Y160" s="3">
        <f>1466.2+(137-906.2)+(0.747762+(0.06987-0.462162))+0-0-0</f>
        <v>697.35546999999997</v>
      </c>
      <c r="Z160" s="3">
        <f>1533+(126.2-846.9)+(-1.56366+(-0.128724--0.863838))+0-0-0</f>
        <v>811.47145400000011</v>
      </c>
      <c r="AA160" s="3">
        <f>1573.4+(87.9-815.5)+(-2.407302+(-0.134487--1.247715))+0-0-0</f>
        <v>844.50592600000004</v>
      </c>
      <c r="AB160" s="3">
        <f>1570.1+(101.9-851.5)+(-2.402253+(-0.155907--1.302795))+0-0-0</f>
        <v>819.2446349999999</v>
      </c>
      <c r="AC160" s="3">
        <f>1555.4+(98.8-879.4)+(-3.96627+(-0.25194--2.24247))+0-0-0</f>
        <v>772.82426000000009</v>
      </c>
      <c r="AD160" s="2">
        <v>822.2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1542.9+(91.8-898)+(0+(0-0))+0-0-0</f>
        <v>736.7</v>
      </c>
      <c r="G161" s="3">
        <f>1273.1+(125.9-729.5)+(-0.649281+(-0.064209--0.372045))+0-0-0</f>
        <v>669.15855499999986</v>
      </c>
      <c r="H161" s="3">
        <f>1269.4+(91.1-741)+(0+(0-0))+0-0-0</f>
        <v>619.50000000000011</v>
      </c>
      <c r="I161" s="3">
        <f>1262.5+(69.9-739.8)+(-2.5755+(-0.142596--1.509192))+0-0-0</f>
        <v>591.39109600000006</v>
      </c>
      <c r="J161" s="3">
        <f>1197.9+(34.8-670)+(0+(0-0))+0-0-0</f>
        <v>562.70000000000005</v>
      </c>
      <c r="K161" s="3">
        <f>1177+(43-657.5)+(-3.00135+(-0.10965--1.676625))+0-0-0</f>
        <v>561.06562499999995</v>
      </c>
      <c r="L161" s="3">
        <f>1175.9+(42.9-676.9)+(-2.998545+(-0.109395--1.726095))+0-0-0</f>
        <v>540.51815500000009</v>
      </c>
      <c r="M161" s="3">
        <f>1191.4+(68.4-696.7)+(0.607614+(0.034884-0.355317))+0-0-0</f>
        <v>563.38718100000006</v>
      </c>
      <c r="N161" s="3">
        <f>1461.2+(55.4-870.5)+(0+(0-0))+0-0-0</f>
        <v>646.1</v>
      </c>
      <c r="O161" s="3">
        <f>1473.2+(77.5-826.4)+(1.502664+(0.07905-0.842928))+0-0-0</f>
        <v>725.03878600000007</v>
      </c>
      <c r="P161" s="3">
        <f>1453.9+(80.9-752)+(0+(0-0))+0-0-0</f>
        <v>782.80000000000007</v>
      </c>
      <c r="Q161" s="3">
        <f>1504.1+(121.5-789.8)+(0.767091+(0.061965-0.402798))+0-0-0</f>
        <v>836.22625799999992</v>
      </c>
      <c r="R161" s="3">
        <f>1516.1+(116.4-721)+(-1.546422+(-0.118728--0.73542))+0-0-0</f>
        <v>910.57026999999994</v>
      </c>
      <c r="S161" s="3">
        <f>1512.4+(124.9-699.2)+(-0.771324+(-0.063699--0.356592))+0-0-0</f>
        <v>937.62156900000002</v>
      </c>
      <c r="T161" s="3">
        <f>1501.7+(120-679.1)+(-1.531734+(-0.1224--0.692682))+0-0-0</f>
        <v>941.63854800000001</v>
      </c>
      <c r="U161" s="3">
        <f>1518.5+(110.3-695.4)+(2.323305+(0.168759-1.063962))+0-0-0</f>
        <v>934.82810199999994</v>
      </c>
      <c r="V161" s="3">
        <f>1508.9+(107-693.3)+(0+(0-0))+0-0-0</f>
        <v>922.60000000000014</v>
      </c>
      <c r="W161" s="3">
        <f>1492.9+(102.7-704.6)+(-2.284137+(-0.157131--1.078038))+0-0-0</f>
        <v>889.63677000000007</v>
      </c>
      <c r="X161" s="3">
        <f>1494.3+(73.2-724.1)+(-5.334651+(-0.261324--2.585037))+0-0-0</f>
        <v>840.38906199999997</v>
      </c>
      <c r="Y161" s="3">
        <f>1530.8+(42.5-749.2)+(0+(0-0))+0-0-0</f>
        <v>824.09999999999991</v>
      </c>
      <c r="Z161" s="3">
        <f>1563.6+(83.7-690.6)+(0.797436+(0.042687-0.352206))+0-0-0</f>
        <v>957.18791699999997</v>
      </c>
      <c r="AA161" s="3">
        <f>1561.9+(73.1-627.8)+(-3.186276+(-0.149124--1.280712))+0-0-0</f>
        <v>1005.1453120000001</v>
      </c>
      <c r="AB161" s="3">
        <f>1564.2+(89.6-669.9)+(0+(0-0))+0-0-0</f>
        <v>983.90000000000009</v>
      </c>
      <c r="AC161" s="3">
        <f>1559+(116.6-722.3)+(-0.79509+(-0.059466--0.368373))+0-0-0</f>
        <v>952.81381700000009</v>
      </c>
      <c r="AD161" s="2">
        <v>951.80000000000007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1558.3+(121.1-794.9)+(-1.589466+(-0.123522--0.810798))+0-0-0</f>
        <v>883.59780999999998</v>
      </c>
      <c r="G162" s="3">
        <f>1559+(112.4-860.7)+(-0.79509+(-0.057324--0.438957))+0-0-0</f>
        <v>810.28654299999994</v>
      </c>
      <c r="H162" s="3">
        <f>1488.4+(116.1-847.5)+(-2.277252+(-0.177633--1.296675))+0-0-0</f>
        <v>755.84179000000006</v>
      </c>
      <c r="I162" s="3">
        <f>1478.6+(71.5-853.5)+(-0.754086+(-0.036465--0.435285))+0-0-0</f>
        <v>696.24473399999988</v>
      </c>
      <c r="J162" s="3">
        <f>1493.7+(66.7-890.7)+(2.285361+(0.102051-1.362771))+0-0-0</f>
        <v>670.72464100000002</v>
      </c>
      <c r="K162" s="3">
        <f>1296.2+(88.7-737.8)+(1.983186+(0.135711-1.128834))+0-0-0</f>
        <v>648.0900630000001</v>
      </c>
      <c r="L162" s="3">
        <f>1280.5+(65.9-736.4)+(1.30611+(0.067218-0.751128))+0-0-0</f>
        <v>610.62220000000002</v>
      </c>
      <c r="M162" s="3">
        <f>1282.9+(32.9-699.9)+(0+(0-0))+0-0-0</f>
        <v>615.90000000000009</v>
      </c>
      <c r="N162" s="3">
        <f>1439.5+(31.1-764.7)+(-2.202435+(-0.047583--1.169991))+0-0-0</f>
        <v>704.819973</v>
      </c>
      <c r="O162" s="3">
        <f>1456.3+(74.3-734.6)+(0.742713+(0.037893-0.374646))+0-0-0</f>
        <v>796.40595999999994</v>
      </c>
      <c r="P162" s="3">
        <f>1529.5+(94.6-740.6)+(3.900225+(0.24123-1.88853))+0-0-0</f>
        <v>885.752925</v>
      </c>
      <c r="Q162" s="3">
        <f>1533.1+(121-703)+(0.781881+(0.06171-0.35853))+0-0-0</f>
        <v>951.58506099999988</v>
      </c>
      <c r="R162" s="3">
        <f>1553.4+(116.3-666.6)+(-0.792234+(-0.059313--0.339966))+0-0-0</f>
        <v>1002.588419</v>
      </c>
      <c r="S162" s="3">
        <f>1547.9+(129.4-627.3)+(0+(0-0))+0-0-0</f>
        <v>1050</v>
      </c>
      <c r="T162" s="3">
        <f>1525.9+(130.8-592.6)+(-0.778209+(-0.066708--0.302226))+0-0-0</f>
        <v>1063.557309</v>
      </c>
      <c r="U162" s="3">
        <f>1517.3+(105.6-574.1)+(-0.773823+(-0.053856--0.292791))+0-0-0</f>
        <v>1048.265112</v>
      </c>
      <c r="V162" s="3">
        <f>1506+(91.1-584)+(-1.53612+(-0.092922--0.59568))+0-0-0</f>
        <v>1012.066638</v>
      </c>
      <c r="W162" s="3">
        <f>1512+(69.8-608.9)+(-0.77112+(-0.035598--0.310539))+0-0-0</f>
        <v>972.40382099999999</v>
      </c>
      <c r="X162" s="3">
        <f>1500.2+(56.3-655.6)+(-2.295306+(-0.086139--1.003068))+0-0-0</f>
        <v>899.52162299999998</v>
      </c>
      <c r="Y162" s="3">
        <f>1473.7+(53.3-651.1)+(0+(0-0))+0-0-0</f>
        <v>875.9</v>
      </c>
      <c r="Z162" s="3">
        <f>1580.9+(71.6-633.3)+(-1.612518+(-0.073032--0.645966))+0-0-0</f>
        <v>1018.1604160000002</v>
      </c>
      <c r="AA162" s="3">
        <f>1606.8+(85.5-611.3)+(-0.819468+(-0.043605--0.311763))+0-0-0</f>
        <v>1080.4486899999999</v>
      </c>
      <c r="AB162" s="3">
        <f>1602.1+(83-616.2)+(-0.817071+(-0.04233--0.314262))+0-0-0</f>
        <v>1068.3548609999998</v>
      </c>
      <c r="AC162" s="3">
        <f>1601.7+(73.6-651.1)+(-2.450601+(-0.112608--0.996183))+0-0-0</f>
        <v>1022.632974</v>
      </c>
      <c r="AD162" s="2">
        <v>1022.2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1546.1+(110.8-732.8)+(-1.577022+(-0.113016--0.747456))+0-0-0</f>
        <v>923.15741799999989</v>
      </c>
      <c r="G163" s="3">
        <f>1526.4+(94.3-761.6)+(-3.113856+(-0.192372--1.553664))+0-0-0</f>
        <v>857.34743600000002</v>
      </c>
      <c r="H163" s="3">
        <f>1455.5+(116.9-785)+(-2.226915+(-0.178857--1.20105))+0-0-0</f>
        <v>786.19527800000003</v>
      </c>
      <c r="I163" s="3">
        <f>1450.3+(120.3-829.8)+(-3.698265+(-0.306765--2.11599))+0-0-0</f>
        <v>738.91095999999993</v>
      </c>
      <c r="J163" s="3">
        <f>1191.5+(164.9-655.7)+(2.43066+(0.336396-1.337628))+0-0-0</f>
        <v>702.12942799999996</v>
      </c>
      <c r="K163" s="3">
        <f>1159.6+(164.9-651.4)+(1.182792+(0.168198-0.664428))+0-0-0</f>
        <v>673.78656199999989</v>
      </c>
      <c r="L163" s="3">
        <f>1090.1+(105.7-575.2)+(-1.667853+(-0.161721--0.880056))+0-0-0</f>
        <v>619.6504819999999</v>
      </c>
      <c r="M163" s="3">
        <f>1098+(103.1-574.9)+(0.55998+(0.052581-0.293199))+0-0-0</f>
        <v>626.519362</v>
      </c>
      <c r="N163" s="3">
        <f>1272.2+(121.4-687.7)+(0+(0-0))+0-0-0</f>
        <v>705.9</v>
      </c>
      <c r="O163" s="3">
        <f>1370.3+(111-695.1)+(0.698853+(0.05661-0.354501))+0-0-0</f>
        <v>786.60096199999998</v>
      </c>
      <c r="P163" s="3">
        <f>1357+(129.1-625.3)+(0.69207+(0.065841-0.318903))+0-0-0</f>
        <v>861.23900800000001</v>
      </c>
      <c r="Q163" s="3">
        <f>1453.6+(116.6-618.3)+(2.224008+(0.178398-0.945999))+0-0-0</f>
        <v>953.35640699999999</v>
      </c>
      <c r="R163" s="3">
        <f>1485.6+(108.1-584.6)+(1.515312+(0.110262-0.596292))+0-0-0</f>
        <v>1010.1292819999999</v>
      </c>
      <c r="S163" s="3">
        <f>1478.2+(130.9-545.2)+(0.753882+(0.066759-0.278052))+0-0-0</f>
        <v>1064.442589</v>
      </c>
      <c r="T163" s="3">
        <f>1473.5+(124.4-524.4)+(0+(0-0))+0-0-0</f>
        <v>1073.5</v>
      </c>
      <c r="U163" s="3">
        <f>1469.3+(109.9-540.2)+(-0.749343+(-0.056049--0.275502))+0-0-0</f>
        <v>1038.47011</v>
      </c>
      <c r="V163" s="3">
        <f>1451.3+(99.1-556.6)+(-3.700815+(-0.252705--1.41933))+0-0-0</f>
        <v>991.26580999999999</v>
      </c>
      <c r="W163" s="3">
        <f>1449.5+(94.2-609.5)+(-4.43547+(-0.288252--1.86507))+0-0-0</f>
        <v>931.34134800000004</v>
      </c>
      <c r="X163" s="3">
        <f>1490.4+(72.4-664.2)+(-2.280312+(-0.110772--1.016226))+0-0-0</f>
        <v>897.22514200000001</v>
      </c>
      <c r="Y163" s="3">
        <f>1573.2+(46.6-715.3)+(0.802332+(0.023766-0.364803))+0-0-0</f>
        <v>904.96129500000006</v>
      </c>
      <c r="Z163" s="3">
        <f>1641.4+(94.6-676)+(-1.674228+(-0.096492--0.68952))+0-0-0</f>
        <v>1058.9187999999999</v>
      </c>
      <c r="AA163" s="3">
        <f>1671.1+(101.6-654.9)+(-3.409044+(-0.207264--1.335996))+0-0-0</f>
        <v>1115.5196879999999</v>
      </c>
      <c r="AB163" s="3">
        <f>1655.6+(86-648.3)+(-2.533068+(-0.13158--0.991899))+0-0-0</f>
        <v>1091.6272509999999</v>
      </c>
      <c r="AC163" s="3">
        <f>1653.2+(72.3-665)+(2.529396+(0.110619-1.01745))+0-0-0</f>
        <v>1062.1225649999999</v>
      </c>
      <c r="AD163" s="2">
        <v>1080.8000000000002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1592.9+(80.1-672.9)+(-1.624758+(-0.081702--0.686358))+0-0-0</f>
        <v>999.07989800000018</v>
      </c>
      <c r="G164" s="3">
        <f>1483.6+(126.7-693.4)+(0.756636+(0.064617-0.353634))+0-0-0</f>
        <v>917.36761899999999</v>
      </c>
      <c r="H164" s="3">
        <f>1268.5+(160.3-585.1)+(1.29387+(0.163506-0.596802))+0-0-0</f>
        <v>844.56057400000009</v>
      </c>
      <c r="I164" s="3">
        <f>1095.2+(193.7-510.7)+(-1.117104+(-0.197574--0.520914))+0-0-0</f>
        <v>777.40623600000004</v>
      </c>
      <c r="J164" s="3">
        <f>1113.4+(213.9-589.4)+(3.407004+(0.654534-1.803564))+0-0-0</f>
        <v>740.15797400000008</v>
      </c>
      <c r="K164" s="3">
        <f>1105.3+(167.3-563.7)+(2.254812+(0.341292-1.149948))+0-0-0</f>
        <v>710.34615599999984</v>
      </c>
      <c r="L164" s="3">
        <f>1059.5+(118.3-509.7)+(1.08069+(0.120666-0.519894))+0-0-0</f>
        <v>668.78146200000003</v>
      </c>
      <c r="M164" s="3">
        <f>1050.5+(107.3-517.3)+(3.21453+(0.328338-1.582938))+0-0-0</f>
        <v>642.45992999999999</v>
      </c>
      <c r="N164" s="3">
        <f>1044.9+(144.3-478.5)+(1.598697+(0.220779-0.732105))+0-0-0</f>
        <v>711.78737100000001</v>
      </c>
      <c r="O164" s="3">
        <f>1140.1+(180.1-538.6)+(0+(0-0))+0-0-0</f>
        <v>781.59999999999991</v>
      </c>
      <c r="P164" s="3">
        <f>1389.1+(159.1-637.6)+(0.708441+(0.081141-0.325176))+0-0-0</f>
        <v>911.06440599999996</v>
      </c>
      <c r="Q164" s="3">
        <f>1441.1+(137.3-647.8)+(0.734961+(0.070023-0.330378))+0-0-0</f>
        <v>931.0746059999999</v>
      </c>
      <c r="R164" s="3">
        <f>1464.8+(136.9-607)+(-2.241144+(-0.209457--0.92871))+0-0-0</f>
        <v>993.17810899999995</v>
      </c>
      <c r="S164" s="3">
        <f>1508.1+(125.8-598.6)+(-2.307393+(-0.192474--0.915858))+0-0-0</f>
        <v>1033.715991</v>
      </c>
      <c r="T164" s="3">
        <f>1603.8+(88.4-651.5)+(-0.817938+(-0.045084--0.332265))+0-0-0</f>
        <v>1040.1692429999998</v>
      </c>
      <c r="U164" s="3">
        <f>1641.8+(70.4-710.4)+(0+(0-0))+0-0-0</f>
        <v>1001.8</v>
      </c>
      <c r="V164" s="3">
        <f>1669.4+(58.7-777.5)+(-0.851394+(-0.029937--0.396525))+0-0-0</f>
        <v>950.11519400000009</v>
      </c>
      <c r="W164" s="3">
        <f>1671.3+(48.9-814.8)+(0+(0-0))+0-0-0</f>
        <v>905.4</v>
      </c>
      <c r="X164" s="3">
        <f>1654.3+(19.2-828.5)+(-2.531079+(-0.029376--1.267605))+0-0-0</f>
        <v>843.70714999999996</v>
      </c>
      <c r="Y164" s="3">
        <f>1629.5+(8-799.6)+(0+(0-0))+0-0-0</f>
        <v>837.9</v>
      </c>
      <c r="Z164" s="3">
        <f>1669.1+(38.5-749.8)+(0+(0-0))+0-0-0</f>
        <v>957.8</v>
      </c>
      <c r="AA164" s="3">
        <f>1681.2+(45.6-747.8)+(-2.572236+(-0.069768--1.144134))+0-0-0</f>
        <v>977.50213000000008</v>
      </c>
      <c r="AB164" s="3">
        <f>1644.4+(58.6-736.2)+(-4.19322+(-0.14943--1.87731))+0-0-0</f>
        <v>964.3346600000001</v>
      </c>
      <c r="AC164" s="3">
        <f>1509.2+(109.4-694.2)+(-1.539384+(-0.111588--0.708084))+0-0-0</f>
        <v>923.45711199999994</v>
      </c>
      <c r="AD164" s="2">
        <v>974.2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1406.5+(138.7-634.9)+(-2.151945+(-0.212211--0.971397))+0-0-0</f>
        <v>908.907241</v>
      </c>
      <c r="G165" s="3">
        <f>1216.4+(205-562.9)+(-1.861092+(-0.31365--0.861237))+0-0-0</f>
        <v>857.18649500000015</v>
      </c>
      <c r="H165" s="3">
        <f>1219.1+(174.1-604.4)+(-1.243482+(-0.177582--0.616488))+0-0-0</f>
        <v>787.99542399999996</v>
      </c>
      <c r="I165" s="3">
        <f>1169.3+(175.7-609.7)+(0.596343+(0.089607-0.310947))+0-0-0</f>
        <v>735.67500299999995</v>
      </c>
      <c r="J165" s="3">
        <f>1122+(187.6-616.4)+(-2.28888+(-0.382704--1.257456))+0-0-0</f>
        <v>691.78587200000004</v>
      </c>
      <c r="K165" s="3">
        <f>1129.1+(182.3-641.4)+(-1.727523+(-0.278919--0.981342))+0-0-0</f>
        <v>668.97490000000005</v>
      </c>
      <c r="L165" s="3">
        <f>1122.1+(105.7-608)+(-2.861355+(-0.269535--1.5504))+0-0-0</f>
        <v>618.2195099999999</v>
      </c>
      <c r="M165" s="3">
        <f>1134.8+(57.1-614.8)+(0.578748+(0.029121-0.313548))+0-0-0</f>
        <v>577.39432099999999</v>
      </c>
      <c r="N165" s="3">
        <f>1139.3+(81.5-618.1)+(0.581043+(0.041565-0.315231))+0-0-0</f>
        <v>603.00737699999991</v>
      </c>
      <c r="O165" s="3">
        <f>1130.7+(89-606.6)+(-1.153314+(-0.09078--0.618732))+0-0-0</f>
        <v>612.47463800000003</v>
      </c>
      <c r="P165" s="3">
        <f>1148.7+(118.1-626.1)+(0+(0-0))+0-0-0</f>
        <v>640.70000000000005</v>
      </c>
      <c r="Q165" s="3">
        <f>1460.6+(104.4-907.1)+(0+(0-0))+0-0-0</f>
        <v>657.89999999999986</v>
      </c>
      <c r="R165" s="3">
        <f>1534.3+(116.9-953.5)+(-0.782493+(-0.059619--0.486285))+0-0-0</f>
        <v>697.34417299999996</v>
      </c>
      <c r="S165" s="3">
        <f>1558.2+(115.7-971.1)+(-2.384046+(-0.177021--1.485783))+0-0-0</f>
        <v>701.72471600000006</v>
      </c>
      <c r="T165" s="3">
        <f>1559.5+(113.3-983)+(-3.18138+(-0.231132--2.00532))+0-0-0</f>
        <v>688.39280799999995</v>
      </c>
      <c r="U165" s="3">
        <f>1576+(102.9-1009.7)+(0.80376+(0.052479-0.514947))+0-0-0</f>
        <v>669.54129199999988</v>
      </c>
      <c r="V165" s="3">
        <f>1555.2+(108.4-1006.2)+(-3.96576+(-0.27642--2.56581))+0-0-0</f>
        <v>655.72362999999996</v>
      </c>
      <c r="W165" s="3">
        <f>1564.3+(102.1-1018.3)+(-3.988965+(-0.260355--2.596665))+0-0-0</f>
        <v>646.44734500000004</v>
      </c>
      <c r="X165" s="3">
        <f>1572.9+(89.8-1004.3)+(-1.604358+(-0.091596--1.024386))+0-0-0</f>
        <v>657.72843200000011</v>
      </c>
      <c r="Y165" s="3">
        <f>1579+(98.9-972.7)+(0.80529+(0.050439-0.496077))+0-0-0</f>
        <v>705.55965199999991</v>
      </c>
      <c r="Z165" s="3">
        <f>1580+(98.9-970)+(0+(0-0))+0-0-0</f>
        <v>708.9</v>
      </c>
      <c r="AA165" s="3">
        <f>1574.3+(89.9-877)+(-3.211572+(-0.183396--1.78908))+0-0-0</f>
        <v>785.59411199999988</v>
      </c>
      <c r="AB165" s="3">
        <f>1585.7+(51.9-861.3)+(0+(0-0))+0-0-0</f>
        <v>776.30000000000007</v>
      </c>
      <c r="AC165" s="3">
        <f>1568.5+(75.1-906.6)+(-0.799935+(-0.038301--0.462366))+0-0-0</f>
        <v>736.62413000000004</v>
      </c>
      <c r="AD165" s="2">
        <v>766.3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1550.9+(95.1-961.5)+(-1.581918+(-0.097002--0.98073))+0-0-0</f>
        <v>683.80181000000016</v>
      </c>
      <c r="G166" s="3">
        <f>1484.2+(139.7-986.8)+(-0.756942+(-0.071247--0.503268))+0-0-0</f>
        <v>636.77507900000012</v>
      </c>
      <c r="H166" s="3">
        <f>1318.2+(133.8-855.7)+(-1.344564+(-0.136476--0.872814))+0-0-0</f>
        <v>595.69177400000001</v>
      </c>
      <c r="I166" s="3">
        <f>1316.7+(134.9-885.9)+(2.014551+(0.206397-1.355427))+0-0-0</f>
        <v>566.56552099999999</v>
      </c>
      <c r="J166" s="3">
        <f>1313.2+(143.7-903.7)+(-0.669732+(-0.073287--0.460887))+0-0-0</f>
        <v>552.917868</v>
      </c>
      <c r="K166" s="3">
        <f>1276.7+(131.5-861.4)+(-3.255585+(-0.335325--2.19657))+0-0-0</f>
        <v>545.40566000000001</v>
      </c>
      <c r="L166" s="3">
        <f>1181.3+(71.9-742.3)+(-2.409852+(-0.146676--1.514292))+0-0-0</f>
        <v>509.85776399999997</v>
      </c>
      <c r="M166" s="3">
        <f>1228.7+(92.5-784.5)+(0.626637+(0.047175-0.400095))+0-0-0</f>
        <v>536.97371700000008</v>
      </c>
      <c r="N166" s="3">
        <f>1238.7+(95-753.4)+(0+(0-0))+0-0-0</f>
        <v>580.30000000000007</v>
      </c>
      <c r="O166" s="3">
        <f>1467.1+(54.5-881.8)+(0+(0-0))+0-0-0</f>
        <v>639.79999999999995</v>
      </c>
      <c r="P166" s="3">
        <f>1495.5+(60.1-873.8)+(1.52541+(0.061302-0.891276))+0-0-0</f>
        <v>682.49543600000004</v>
      </c>
      <c r="Q166" s="3">
        <f>1488.5+(98-881.8)+(0+(0-0))+0-0-0</f>
        <v>704.7</v>
      </c>
      <c r="R166" s="3">
        <f>1498.4+(102.4-892.2)+(0+(0-0))+0-0-0</f>
        <v>708.6</v>
      </c>
      <c r="S166" s="3">
        <f>1563.9+(98.2-973.1)+(-3.190356+(-0.200328--1.985124))+0-0-0</f>
        <v>687.59444000000008</v>
      </c>
      <c r="T166" s="3">
        <f>1580.6+(108-1024.8)+(-2.418318+(-0.16524--1.567944))+0-0-0</f>
        <v>662.78438599999993</v>
      </c>
      <c r="U166" s="3">
        <f>1602.7+(103.5-1056.8)+(0.817377+(0.052785-0.538968))+0-0-0</f>
        <v>649.73119400000007</v>
      </c>
      <c r="V166" s="3">
        <f>1605.6+(104.4-1060.7)+(0.818856+(0.053244-0.540957))+0-0-0</f>
        <v>649.63114299999984</v>
      </c>
      <c r="W166" s="3">
        <f>1592.7+(107.5-1038.2)+(0+(0-0))+0-0-0</f>
        <v>662</v>
      </c>
      <c r="X166" s="3">
        <f>1502.9+(116.4-963.5)+(1.532958+(0.118728-0.98277))+0-0-0</f>
        <v>656.46891600000004</v>
      </c>
      <c r="Y166" s="3">
        <f>1515.7+(97-900.1)+(0+(0-0))+0-0-0</f>
        <v>712.6</v>
      </c>
      <c r="Z166" s="3">
        <f>1561.1+(82.7-875.3)+(-0.796161+(-0.042177--0.446403))+0-0-0</f>
        <v>768.10806500000001</v>
      </c>
      <c r="AA166" s="3">
        <f>1600.2+(90.3-926.4)+(-0.816102+(-0.046053--0.472464))+0-0-0</f>
        <v>763.71030900000005</v>
      </c>
      <c r="AB166" s="3">
        <f>1600.5+(109.5-981.8)+(-1.63251+(-0.11169--1.001436))+0-0-0</f>
        <v>727.45723600000008</v>
      </c>
      <c r="AC166" s="3">
        <f>1564.4+(91.1-976.6)+(-1.595688+(-0.092922--0.996132))+0-0-0</f>
        <v>678.20752200000004</v>
      </c>
      <c r="AD166" s="2">
        <v>726.9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1400.5+(102.4-887.6)+(-2.142765+(-0.156672--1.358028))+0-0-0</f>
        <v>614.35859099999993</v>
      </c>
      <c r="G167" s="3">
        <f>1287.7+(123.2-853.5)+(-3.283635+(-0.31416--2.176425))+0-0-0</f>
        <v>555.97863000000007</v>
      </c>
      <c r="H167" s="3">
        <f>1183+(58.3-718.7)+(-1.20666+(-0.059466--0.733074))+0-0-0</f>
        <v>522.06694799999991</v>
      </c>
      <c r="I167" s="3">
        <f>1117.2+(67.1-676.9)+(-2.279088+(-0.136884--1.380876))+0-0-0</f>
        <v>506.36490400000008</v>
      </c>
      <c r="J167" s="3">
        <f>1128.4+(78.9-697.5)+(-0.575484+(-0.040239--0.355725))+0-0-0</f>
        <v>509.54000200000007</v>
      </c>
      <c r="K167" s="3">
        <f>1125.5+(76.5-711)+(-0.574005+(-0.039015--0.36261))+0-0-0</f>
        <v>490.74959000000001</v>
      </c>
      <c r="L167" s="3">
        <f>1115.9+(84.5-701.8)+(-3.983763+(-0.301665--2.505426))+0-0-0</f>
        <v>496.81999800000011</v>
      </c>
      <c r="M167" s="3">
        <f>1181.2+(93.9-761.4)+(0.602412+(0.047889-0.388314))+0-0-0</f>
        <v>513.96198700000002</v>
      </c>
      <c r="N167" s="3">
        <f>1261.1+(68.6-765.3)+(-0.643161+(-0.034986--0.390303))+0-0-0</f>
        <v>564.11215600000003</v>
      </c>
      <c r="O167" s="3">
        <f>1478.1+(84-942.1)+(0+(0-0))+0-0-0</f>
        <v>619.99999999999989</v>
      </c>
      <c r="P167" s="3">
        <f>1557+(124.5-1004.8)+(-0.79407+(-0.063495--0.512448))+0-0-0</f>
        <v>676.35488300000009</v>
      </c>
      <c r="Q167" s="3">
        <f>1557.7+(124.8-985.7)+(-0.794427+(-0.063648--0.502707))+0-0-0</f>
        <v>696.44463199999996</v>
      </c>
      <c r="R167" s="3">
        <f>1569.1+(127.5-998.6)+(-1.600482+(-0.13005--1.018572))+0-0-0</f>
        <v>697.28803999999991</v>
      </c>
      <c r="S167" s="3">
        <f>1582.7+(140.8-1044.9)+(-0.807177+(-0.071808--0.532899))+0-0-0</f>
        <v>678.2539139999999</v>
      </c>
      <c r="T167" s="3">
        <f>1570.9+(146.3-1056.7)+(-4.005795+(-0.373065--2.694585))+0-0-0</f>
        <v>658.81572500000004</v>
      </c>
      <c r="U167" s="3">
        <f>1581.7+(135.8-1069.5)+(-1.613334+(-0.138516--1.09089))+0-0-0</f>
        <v>647.33903999999995</v>
      </c>
      <c r="V167" s="3">
        <f>1584+(101-1048.6)+(-0.80784+(-0.05151--0.534786))+0-0-0</f>
        <v>636.07543600000008</v>
      </c>
      <c r="W167" s="3">
        <f>1571.7+(90.9-1003.9)+(-4.007835+(-0.231795--2.559945))+0-0-0</f>
        <v>657.0203150000001</v>
      </c>
      <c r="X167" s="3">
        <f>1568.9+(46.6-969.3)+(-3.200556+(-0.095064--1.977372))+0-0-0</f>
        <v>644.88175200000012</v>
      </c>
      <c r="Y167" s="3">
        <f>1606.5+(9.3-928.7)+(0.819315+(0.004743-0.473637))+0-0-0</f>
        <v>687.45042099999989</v>
      </c>
      <c r="Z167" s="3">
        <f>1612.7+(65.5-920.7)+(0+(0-0))+0-0-0</f>
        <v>757.5</v>
      </c>
      <c r="AA167" s="3">
        <f>1577.9+(70.2-915.2)+(-5.633103+(-0.250614--3.267264))+0-0-0</f>
        <v>730.28354700000011</v>
      </c>
      <c r="AB167" s="3">
        <f>1384.4+(89.7-770.4)+(-2.118132+(-0.137241--1.178712))+0-0-0</f>
        <v>702.62333900000021</v>
      </c>
      <c r="AC167" s="3">
        <f>1311+(117.4-773.6)+(-2.00583+(-0.179622--1.183608))+0-0-0</f>
        <v>653.79815599999995</v>
      </c>
      <c r="AD167" s="2">
        <v>718.49999999999989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1298.7+(115.9-839.7)+(-3.311685+(-0.295545--2.141235))+0-0-0</f>
        <v>573.43400499999996</v>
      </c>
      <c r="G168" s="3">
        <f>1232.1+(124.7-837)+(-3.770226+(-0.381582--2.56122))+0-0-0</f>
        <v>518.20941199999993</v>
      </c>
      <c r="H168" s="3">
        <f>1184.8+(105.4-807.7)+(-1.812744+(-0.161262--1.235781))+0-0-0</f>
        <v>481.76177499999989</v>
      </c>
      <c r="I168" s="3">
        <f>1164.1+(83.7-784.5)+(-1.187382+(-0.085374--0.80019))+0-0-0</f>
        <v>462.82743399999998</v>
      </c>
      <c r="J168" s="3">
        <f>1153.9+(73.2-775.3)+(-0.588489+(-0.037332--0.395403))+0-0-0</f>
        <v>451.5695820000002</v>
      </c>
      <c r="K168" s="3">
        <f>1155.4+(76.1-770.9)+(-1.767762+(-0.116433--1.179477))+0-0-0</f>
        <v>459.89528200000012</v>
      </c>
      <c r="L168" s="3">
        <f>1159.5+(69.7-779.9)+(-0.591345+(-0.035547--0.397749))+0-0-0</f>
        <v>449.07085700000005</v>
      </c>
      <c r="M168" s="3">
        <f>1163.4+(70.1-779.2)+(0.593334+(0.035751-0.397392))+0-0-0</f>
        <v>454.53169300000008</v>
      </c>
      <c r="N168" s="3">
        <f>1160.4+(55.7-715.1)+(0.591804+(0.028407-0.364701))+0-0-0</f>
        <v>501.25551000000013</v>
      </c>
      <c r="O168" s="3">
        <f>1237.6+(31.1-732.9)+(-0.631176+(-0.015861--0.373779))+0-0-0</f>
        <v>535.5267419999999</v>
      </c>
      <c r="P168" s="3">
        <f>1568.5+(12.4-1000.1)+(0.799935+(0.006324-0.510051))+0-0-0</f>
        <v>581.09620799999993</v>
      </c>
      <c r="Q168" s="3">
        <f>1575.2+(71.6-1035.1)+(0.803352+(0.036516-0.527901))+0-0-0</f>
        <v>612.01196700000014</v>
      </c>
      <c r="R168" s="3">
        <f>1574.3+(107.9-1080.2)+(0+(0-0))+0-0-0</f>
        <v>601.99999999999989</v>
      </c>
      <c r="S168" s="3">
        <f>1553.1+(108.9-1076.3)+(-0.792081+(-0.055539--0.548913))+0-0-0</f>
        <v>585.4012929999999</v>
      </c>
      <c r="T168" s="3">
        <f>1529.6+(134.6-1088.7)+(-0.780096+(-0.068646--0.555237))+0-0-0</f>
        <v>575.2064949999999</v>
      </c>
      <c r="U168" s="3">
        <f>1541.8+(136.1-1108)+(-3.93159+(-0.347055--2.8254))+0-0-0</f>
        <v>568.44675499999994</v>
      </c>
      <c r="V168" s="3">
        <f>1454.8+(157.8-1036.9)+(-2.225844+(-0.241434--1.586457))+0-0-0</f>
        <v>574.81917899999985</v>
      </c>
      <c r="W168" s="3">
        <f>1417.1+(154.3-993.1)+(-4.336326+(-0.472158--3.038886))+0-0-0</f>
        <v>576.53040199999998</v>
      </c>
      <c r="X168" s="3">
        <f>1416.3+(130.2-957)+(-5.056191+(-0.464814--3.41649))+0-0-0</f>
        <v>587.39548500000001</v>
      </c>
      <c r="Y168" s="3">
        <f>1443.7+(138.9-961.5)+(0.736287+(0.070839-0.490365))+0-0-0</f>
        <v>621.41676100000006</v>
      </c>
      <c r="Z168" s="3">
        <f>1449.9+(102.2-866.4)+(-0.739449+(-0.052122--0.441864))+0-0-0</f>
        <v>685.35029300000019</v>
      </c>
      <c r="AA168" s="3">
        <f>1529.9+(82.6-938.4)+(-3.120996+(-0.168504--1.914336))+0-0-0</f>
        <v>672.7248360000001</v>
      </c>
      <c r="AB168" s="3">
        <f>1522.1+(98.5-972.5)+(-2.328813+(-0.150705--1.487925))+0-0-0</f>
        <v>647.10840699999994</v>
      </c>
      <c r="AC168" s="3">
        <f>1256.5+(146.9-802.9)+(-1.28163+(-0.149838--0.818958))+0-0-0</f>
        <v>599.88748999999996</v>
      </c>
      <c r="AD168" s="2">
        <v>699.8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1184+(131.6-770.8)+(-1.81152+(-0.201348--1.179324))+0-0-0</f>
        <v>543.96645600000011</v>
      </c>
      <c r="G169" s="3">
        <f>1159.3+(160.6-813.8)+(-0.591243+(-0.081906--0.415038))+0-0-0</f>
        <v>505.84188900000004</v>
      </c>
      <c r="H169" s="3">
        <f>1095.8+(165.4-794.9)+(-1.117716+(-0.168708--0.810798))+0-0-0</f>
        <v>465.82437399999998</v>
      </c>
      <c r="I169" s="3">
        <f>1094.8+(124.7-764.5)+(-1.675044+(-0.190791--1.169685))+0-0-0</f>
        <v>454.30385000000001</v>
      </c>
      <c r="J169" s="3">
        <f>1110.6+(58.9-722.2)+(2.265624+(0.120156-1.473288))+0-0-0</f>
        <v>448.21249199999983</v>
      </c>
      <c r="K169" s="3">
        <f>1093.6+(55.5-694.8)+(-1.673208+(-0.084915--1.063044))+0-0-0</f>
        <v>453.60492099999993</v>
      </c>
      <c r="L169" s="3">
        <f>1089+(51.5-685.2)+(-2.77695+(-0.131325--1.74726))+0-0-0</f>
        <v>454.13898499999993</v>
      </c>
      <c r="M169" s="3">
        <f>1098.2+(75.2-696.2)+(-0.560082+(-0.038352--0.355062))+0-0-0</f>
        <v>476.95662800000002</v>
      </c>
      <c r="N169" s="3">
        <f>1153.4+(102.6-730.9)+(-0.588234+(-0.052326--0.372759))+0-0-0</f>
        <v>524.83219900000017</v>
      </c>
      <c r="O169" s="3">
        <f>1289.1+(83.6-797.5)+(0+(0-0))+0-0-0</f>
        <v>575.19999999999993</v>
      </c>
      <c r="P169" s="3">
        <f>1394.8+(65.9-860.7)+(0+(0-0))+0-0-0</f>
        <v>599.99999999999989</v>
      </c>
      <c r="Q169" s="3">
        <f>1489.4+(95.8-956.3)+(0+(0-0))+0-0-0</f>
        <v>628.90000000000009</v>
      </c>
      <c r="R169" s="3">
        <f>1512.8+(107.6-986.2)+(-2.314584+(-0.164628--1.508886))+0-0-0</f>
        <v>633.22967399999993</v>
      </c>
      <c r="S169" s="3">
        <f>1570.8+(104.2-1063)+(-1.602216+(-0.106284--1.08426))+0-0-0</f>
        <v>611.37576000000001</v>
      </c>
      <c r="T169" s="3">
        <f>1580.6+(113.3-1101.5)+(0+(0-0))+0-0-0</f>
        <v>592.39999999999986</v>
      </c>
      <c r="U169" s="3">
        <f>1583.7+(116.1-1107.8)+(2.423061+(0.177633-1.694934))+0-0-0</f>
        <v>592.9057600000001</v>
      </c>
      <c r="V169" s="3">
        <f>1482.3+(120.6-1006.3)+(-3.779865+(-0.30753--2.566065))+0-0-0</f>
        <v>595.07866999999999</v>
      </c>
      <c r="W169" s="3">
        <f>1474.8+(118.2-995.5)+(-3.76074+(-0.30141--2.538525))+0-0-0</f>
        <v>595.97637499999996</v>
      </c>
      <c r="X169" s="3">
        <f>1500.1+(94.1-986.9)+(-2.295153+(-0.143973--1.509957))+0-0-0</f>
        <v>606.37083099999995</v>
      </c>
      <c r="Y169" s="3">
        <f>1522.2+(83.2-955)+(0.776322+(0.042432-0.48705))+0-0-0</f>
        <v>650.73170400000004</v>
      </c>
      <c r="Z169" s="3">
        <f>1598.7+(80.7-948.4)+(-2.446011+(-0.123471--1.451052))+0-0-0</f>
        <v>729.88157000000012</v>
      </c>
      <c r="AA169" s="3">
        <f>1603+(66.4-953.5)+(-4.90518+(-0.203184--2.91771))+0-0-0</f>
        <v>713.70934599999998</v>
      </c>
      <c r="AB169" s="3">
        <f>1559.4+(58.9-939.1)+(-3.97647+(-0.150195--2.394705))+0-0-0</f>
        <v>677.46804000000009</v>
      </c>
      <c r="AC169" s="3">
        <f>1562.1+(88.5-1001.8)+(-4.780026+(-0.27081--3.065508))+0-0-0</f>
        <v>646.81467199999997</v>
      </c>
      <c r="AD169" s="2">
        <v>690.9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1471.9+(53.7-959.2)+(-3.002676+(-0.109548--1.956768))+0-0-0</f>
        <v>565.24454400000013</v>
      </c>
      <c r="G170" s="3">
        <f>1388.8+(55.8-926.5)+(0.708288+(0.028458-0.472515))+0-0-0</f>
        <v>518.3642309999999</v>
      </c>
      <c r="H170" s="3">
        <f>1271.1+(63.9-836.3)+(0.648261+(0.032589-0.426513))+0-0-0</f>
        <v>498.95433699999995</v>
      </c>
      <c r="I170" s="3">
        <f>1276.5+(65.4-852.7)+(-1.953045+(-0.100062--1.304631))+0-0-0</f>
        <v>488.45152399999995</v>
      </c>
      <c r="J170" s="3">
        <f>1279.3+(66.9-855)+(-1.304886+(-0.068238--0.8721))+0-0-0</f>
        <v>490.69897599999996</v>
      </c>
      <c r="K170" s="3">
        <f>1274.4+(66.2-853.8)+(-1.949832+(-0.101286--1.306314))+0-0-0</f>
        <v>486.05519600000019</v>
      </c>
      <c r="L170" s="3">
        <f>1267.2+(67.1-850.6)+(-3.877632+(-0.205326--2.602836))+0-0-0</f>
        <v>482.21987800000005</v>
      </c>
      <c r="M170" s="3">
        <f>1284.2+(97.6-889.7)+(0.654942+(0.049776-0.453747))+0-0-0</f>
        <v>492.35097100000002</v>
      </c>
      <c r="N170" s="3">
        <f>1521.7+(43.5-1014.3)+(-0.776067+(-0.022185--0.517293))+0-0-0</f>
        <v>550.61904100000004</v>
      </c>
      <c r="O170" s="3">
        <f>1584+(16.9-997.4)+(-0.80784+(-0.008619--0.508674))+0-0-0</f>
        <v>603.19221500000003</v>
      </c>
      <c r="P170" s="3">
        <f>1662.9+(6.4-1025.1)+(-2.544237+(-0.009792--1.568403))+0-0-0</f>
        <v>643.21437400000013</v>
      </c>
      <c r="Q170" s="3">
        <f>1667.9+(6.6-1002.5)+(-0.850629+(-0.003366--0.511275))+0-0-0</f>
        <v>671.65728000000013</v>
      </c>
      <c r="R170" s="3">
        <f>1661.6+(56.8-1029.5)+(-2.542248+(-0.086904--1.575135))+0-0-0</f>
        <v>687.84598299999982</v>
      </c>
      <c r="S170" s="3">
        <f>1648.5+(73.4-1062.8)+(-2.522205+(-0.112302--1.626084))+0-0-0</f>
        <v>658.09157700000003</v>
      </c>
      <c r="T170" s="3">
        <f>1649.9+(77.4-1097.7)+(-0.841449+(-0.039474--0.559827))+0-0-0</f>
        <v>629.27890400000001</v>
      </c>
      <c r="U170" s="3">
        <f>1651.3+(82.2-1113.2)+(0.842163+(0.041922-0.567732))+0-0-0</f>
        <v>620.616353</v>
      </c>
      <c r="V170" s="3">
        <f>1646.5+(62.2-1079.8)+(-1.67943+(-0.063444--1.101396))+0-0-0</f>
        <v>628.25852200000008</v>
      </c>
      <c r="W170" s="3">
        <f>1640.2+(74.5-1095.2)+(-3.346008+(-0.15198--2.234208))+0-0-0</f>
        <v>618.23622</v>
      </c>
      <c r="X170" s="3">
        <f>1638.5+(35.7-1075.8)+(-1.67127+(-0.036414--1.097316))+0-0-0</f>
        <v>597.7896320000001</v>
      </c>
      <c r="Y170" s="3">
        <f>1666.2+(32.9-1055.5)+(-1.699524+(-0.033558--1.07661))+0-0-0</f>
        <v>642.94352800000001</v>
      </c>
      <c r="Z170" s="3">
        <f>1709.2+(41-1015.8)+(-0.871692+(-0.02091--0.518058))+0-0-0</f>
        <v>734.02545600000008</v>
      </c>
      <c r="AA170" s="3">
        <f>1695.4+(33.8-996.8)+(-6.052578+(-0.120666--3.558576))+0-0-0</f>
        <v>729.78533200000004</v>
      </c>
      <c r="AB170" s="3">
        <f>1679.3+(49.8-1030.9)+(-3.425772+(-0.101592--2.103036))+0-0-0</f>
        <v>696.77567199999987</v>
      </c>
      <c r="AC170" s="3">
        <f>1647.3+(81.3-1072.1)+(0+(0-0))+0-0-0</f>
        <v>656.5</v>
      </c>
      <c r="AD170" s="2">
        <v>741.49999999999989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1446.3+(91.5-945.6)+(-1.475226+(-0.09333--0.964512))+0-0-0</f>
        <v>591.59595599999989</v>
      </c>
      <c r="G171" s="3">
        <f>1477.8+(100.7-1029.3)+(-2.261034+(-0.154071--1.574829))+0-0-0</f>
        <v>548.35972400000003</v>
      </c>
      <c r="H171" s="3">
        <f>1485+(87.7-1057)+(-3.0294+(-0.178908--2.15628))+0-0-0</f>
        <v>514.6479720000001</v>
      </c>
      <c r="I171" s="3">
        <f>1444.8+(92.1-1029.9)+(-1.473696+(-0.093942--1.050498))+0-0-0</f>
        <v>506.4828599999999</v>
      </c>
      <c r="J171" s="3">
        <f>1420.8+(103.3-1028.9)+(2.173824+(0.158049-1.574217))+0-0-0</f>
        <v>495.95765599999982</v>
      </c>
      <c r="K171" s="3">
        <f>1418.1+(103.5-1034.5)+(2.892924+(0.21114-2.11038))+0-0-0</f>
        <v>488.09368399999988</v>
      </c>
      <c r="L171" s="3">
        <f>1405.9+(89-1018.3)+(-0.717009+(-0.04539--0.519333))+0-0-0</f>
        <v>476.35693400000014</v>
      </c>
      <c r="M171" s="3">
        <f>1423.2+(70.7-1011.8)+(0+(0-0))+0-0-0</f>
        <v>482.10000000000014</v>
      </c>
      <c r="N171" s="3">
        <f>1501+(56-1001)+(1.53102+(0.05712-1.02102))+0-0-0</f>
        <v>556.56712000000005</v>
      </c>
      <c r="O171" s="3">
        <f>1603.2+(76.9-1067.9)+(0.817632+(0.039219-0.544629))+0-0-0</f>
        <v>612.51222199999995</v>
      </c>
      <c r="P171" s="3">
        <f>1634.7+(121.3-1104.9)+(0.833697+(0.061863-0.563499))+0-0-0</f>
        <v>651.43206099999986</v>
      </c>
      <c r="Q171" s="3">
        <f>1629.6+(123.9-1070.5)+(0.831096+(0.063189-0.545955))+0-0-0</f>
        <v>683.34832999999992</v>
      </c>
      <c r="R171" s="3">
        <f>1662+(118.6-1085.6)+(-0.84762+(-0.060486--0.553656))+0-0-0</f>
        <v>694.64555000000007</v>
      </c>
      <c r="S171" s="3">
        <f>1655.7+(130.9-1102.6)+(-1.688814+(-0.133518--1.124652))+0-0-0</f>
        <v>683.30232000000012</v>
      </c>
      <c r="T171" s="3">
        <f>1659.2+(134.7-1131.4)+(-0.846192+(-0.068697--0.577014))+0-0-0</f>
        <v>662.16212499999995</v>
      </c>
      <c r="U171" s="3">
        <f>1624.3+(134.6-1105.3)+(1.656786+(0.137292-1.127406))+0-0-0</f>
        <v>654.26667199999997</v>
      </c>
      <c r="V171" s="3">
        <f>1563.2+(139.2-1058.6)+(-3.188928+(-0.283968--2.159544))+0-0-0</f>
        <v>642.48664800000017</v>
      </c>
      <c r="W171" s="3">
        <f>1567.5+(146.7-1078.4)+(-0.799425+(-0.074817--0.549984))+0-0-0</f>
        <v>635.47574199999997</v>
      </c>
      <c r="X171" s="3">
        <f>1516.1+(118.1-1001.3)+(-2.319633+(-0.180693--1.531989))+0-0-0</f>
        <v>631.93166299999996</v>
      </c>
      <c r="Y171" s="3">
        <f>1624.4+(64.1-1005.5)+(1.656888+(0.065382-1.02561))+0-0-0</f>
        <v>683.69666000000007</v>
      </c>
      <c r="Z171" s="3">
        <f>1728.7+(87.8-1065.1)+(-1.763274+(-0.089556--1.086402))+0-0-0</f>
        <v>750.63357200000007</v>
      </c>
      <c r="AA171" s="3">
        <f>1735.3+(83.5-1078)+(-0.885003+(-0.042585--0.54978))+0-0-0</f>
        <v>740.422192</v>
      </c>
      <c r="AB171" s="3">
        <f>1692.4+(109-1094.9)+(0+(0-0))+0-0-0</f>
        <v>706.5</v>
      </c>
      <c r="AC171" s="3">
        <f>1635+(134.1-1107)+(-2.50155+(-0.205173--1.69371))+0-0-0</f>
        <v>661.08698700000002</v>
      </c>
      <c r="AD171" s="2">
        <v>743.5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1638+(104.4-1117.2)+(-1.67076+(-0.106488--1.139544))+0-0-0</f>
        <v>624.56229599999995</v>
      </c>
      <c r="G172" s="3">
        <f>1634.1+(60.3-1130.9)+(-0.833391+(-0.030753--0.576759))+0-0-0</f>
        <v>563.2126149999998</v>
      </c>
      <c r="H172" s="3">
        <f>1619.4+(74.3-1152.5)+(-2.477682+(-0.113679--1.763325))+0-0-0</f>
        <v>540.37196400000005</v>
      </c>
      <c r="I172" s="3">
        <f>1590.8+(32.6-1101.7)+(-0.811308+(-0.016626--0.561867))+0-0-0</f>
        <v>521.4339329999998</v>
      </c>
      <c r="J172" s="3">
        <f>1580.8+(17.1-1080.1)+(-4.03104+(-0.043605--2.754255))+0-0-0</f>
        <v>516.47960999999998</v>
      </c>
      <c r="K172" s="3">
        <f>1608.2+(21.3-1112.1)+(2.460546+(0.032589-1.701513))+0-0-0</f>
        <v>518.19162200000005</v>
      </c>
      <c r="L172" s="3">
        <f>1418.4+(32.8-960.6)+(-4.340304+(-0.100368--2.939436))+0-0-0</f>
        <v>489.09876400000002</v>
      </c>
      <c r="M172" s="3">
        <f>1400.4+(60.5-987.8)+(-2.142612+(-0.092565--1.511334))+0-0-0</f>
        <v>472.37615700000015</v>
      </c>
      <c r="N172" s="3">
        <f>1461.8+(56.1-1008.4)+(-1.491036+(-0.057222--1.028568))+0-0-0</f>
        <v>508.98030999999997</v>
      </c>
      <c r="O172" s="3">
        <f>1645.4+(38.7-1128.1)+(-3.356616+(-0.078948--2.301324))+0-0-0</f>
        <v>554.86576000000025</v>
      </c>
      <c r="P172" s="3">
        <f>1653.7+(33.5-1071.6)+(-1.686774+(-0.03417--1.093032))+0-0-0</f>
        <v>614.9720880000001</v>
      </c>
      <c r="Q172" s="3">
        <f>1662.5+(25.8-1029.3)+(-0.847875+(-0.013158--0.524943))+0-0-0</f>
        <v>658.66390999999999</v>
      </c>
      <c r="R172" s="3">
        <f>1718.6+(18.9-1094.6)+(0.876486+(0.009639-0.558246))+0-0-0</f>
        <v>643.22787900000014</v>
      </c>
      <c r="S172" s="3">
        <f>1698+(76.6-1140.7)+(-1.73196+(-0.078132--1.163514))+0-0-0</f>
        <v>633.25342199999989</v>
      </c>
      <c r="T172" s="3">
        <f>1669.1+(81.6-1134.1)+(-3.404964+(-0.166464--2.313564))+0-0-0</f>
        <v>615.34213599999987</v>
      </c>
      <c r="U172" s="3">
        <f>1681.8+(77.7-1153.5)+(1.715436+(0.079254-1.17657))+0-0-0</f>
        <v>606.61811999999998</v>
      </c>
      <c r="V172" s="3">
        <f>1662.9+(80.8-1147.4)+(0.848079+(0.041208-0.585174))+0-0-0</f>
        <v>596.60411299999998</v>
      </c>
      <c r="W172" s="3">
        <f>1633.6+(85.1-1127.5)+(-0.833136+(-0.043401--0.575025))+0-0-0</f>
        <v>590.89848799999982</v>
      </c>
      <c r="X172" s="3">
        <f>1551.9+(45.5-1017.6)+(2.374407+(0.069615-1.556928))+0-0-0</f>
        <v>580.68709400000012</v>
      </c>
      <c r="Y172" s="3">
        <f>1596.6+(39.5-1015.6)+(1.628532+(0.04029-1.035912))+0-0-0</f>
        <v>621.13290999999992</v>
      </c>
      <c r="Z172" s="3">
        <f>1673.9+(72.1-992.6)+(-1.707378+(-0.073542--1.012452))+0-0-0</f>
        <v>752.63153200000011</v>
      </c>
      <c r="AA172" s="3">
        <f>1674.5+(69.2-981.7)+(-0.853995+(-0.035292--0.500667))+0-0-0</f>
        <v>761.61138000000005</v>
      </c>
      <c r="AB172" s="3">
        <f>1648.7+(78-1020.4)+(0.840837+(0.03978-0.520404))+0-0-0</f>
        <v>706.66021300000011</v>
      </c>
      <c r="AC172" s="3">
        <f>1615.5+(87.1-1026.1)+(-2.471715+(-0.133263--1.569933))+0-0-0</f>
        <v>675.46495500000015</v>
      </c>
      <c r="AD172" s="2">
        <v>689.69999999999993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1604.5+(23.7-1004.8)+(-1.63659+(-0.024174--1.024896))+0-0-0</f>
        <v>622.76413200000013</v>
      </c>
      <c r="G173" s="3">
        <f>1570.6+(5-1001.5)+(-2.403018+(-0.00765--1.532295))+0-0-0</f>
        <v>573.2216269999999</v>
      </c>
      <c r="H173" s="3">
        <f>1570.2+(3-1026.4)+(-2.402406+(-0.00459--1.570392))+0-0-0</f>
        <v>545.96339599999999</v>
      </c>
      <c r="I173" s="3">
        <f>1567.7+(9-1054.5)+(-2.398581+(-0.01377--1.613385))+0-0-0</f>
        <v>521.4010340000001</v>
      </c>
      <c r="J173" s="3">
        <f>1567.4+(10.3-1061.4)+(-3.197496+(-0.021012--2.165256))+0-0-0</f>
        <v>515.24674799999991</v>
      </c>
      <c r="K173" s="3">
        <f>1482.1+(17.2-971)+(0.755871+(0.008772-0.49521))+0-0-0</f>
        <v>528.569433</v>
      </c>
      <c r="L173" s="3">
        <f>1443.2+(12.5-938.9)+(-2.208096+(-0.019125--1.436517))+0-0-0</f>
        <v>516.00929600000006</v>
      </c>
      <c r="M173" s="3">
        <f>1450.1+(75.4-977)+(-0.739551+(-0.038454--0.49827))+0-0-0</f>
        <v>548.22026499999993</v>
      </c>
      <c r="N173" s="3">
        <f>1615.3+(91.5-1095.7)+(1.647606+(0.09333-1.117614))+0-0-0</f>
        <v>611.72332199999994</v>
      </c>
      <c r="O173" s="3">
        <f>1669.2+(93-1095.9)+(-0.851292+(-0.04743--0.558909))+0-0-0</f>
        <v>665.96018699999991</v>
      </c>
      <c r="P173" s="3">
        <f>1689.6+(87.6-1051.8)+(-0.861696+(-0.044676--0.536418))+0-0-0</f>
        <v>725.03004599999997</v>
      </c>
      <c r="Q173" s="3">
        <f>1689.3+(71.7-1011.3)+(2.584629+(0.109701-1.547289))+0-0-0</f>
        <v>750.84704099999999</v>
      </c>
      <c r="R173" s="3">
        <f>1672.6+(69-987.1)+(2.559078+(0.10557-1.510263))+0-0-0</f>
        <v>755.65438499999993</v>
      </c>
      <c r="S173" s="3">
        <f>1642.4+(76.5-967)+(-2.512872+(-0.117045--1.47951))+0-0-0</f>
        <v>750.74959300000012</v>
      </c>
      <c r="T173" s="3">
        <f>1654+(85.6-998.6)+(0+(0-0))+0-0-0</f>
        <v>741</v>
      </c>
      <c r="U173" s="3">
        <f>1633+(59.7-982)+(-4.16415+(-0.152235--2.5041))+0-0-0</f>
        <v>708.88771500000007</v>
      </c>
      <c r="V173" s="3">
        <f>1658.1+(43.5-1008.9)+(2.536893+(0.066555-1.543617))+0-0-0</f>
        <v>693.75983099999996</v>
      </c>
      <c r="W173" s="3">
        <f>1637+(55.2-1005.9)+(-3.33948+(-0.112608--2.052036))+0-0-0</f>
        <v>684.89994800000011</v>
      </c>
      <c r="X173" s="3">
        <f>1641.8+(65-1021.8)+(-5.023908+(-0.1989--3.126708))+0-0-0</f>
        <v>682.90390000000002</v>
      </c>
      <c r="Y173" s="3">
        <f>1658.8+(72.3-1001.4)+(0+(0-0))+0-0-0</f>
        <v>729.69999999999993</v>
      </c>
      <c r="Z173" s="3">
        <f>1727.3+(39.7-954.2)+(0.880923+(0.020247-0.486642))+0-0-0</f>
        <v>813.21452799999997</v>
      </c>
      <c r="AA173" s="3">
        <f>1717.9+(61.4-966.2)+(-1.752258+(-0.062628--0.985524))+0-0-0</f>
        <v>812.27063800000008</v>
      </c>
      <c r="AB173" s="3">
        <f>1723.1+(85.1-1027.9)+(0+(0-0))+0-0-0</f>
        <v>780.29999999999984</v>
      </c>
      <c r="AC173" s="3">
        <f>1700.4+(61.3-1031.5)+(-3.468816+(-0.125052--2.10426))+0-0-0</f>
        <v>728.71039200000007</v>
      </c>
      <c r="AD173" s="2">
        <v>823.8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1587.6+(1.7-916.8)+(1.619352+(0.001734-0.935136))+0-0-0</f>
        <v>673.18595000000005</v>
      </c>
      <c r="G174" s="3">
        <f>1538.7+(0-921.2)+(1.569474+(0-0.939624))+0-0-0</f>
        <v>618.12985000000003</v>
      </c>
      <c r="H174" s="3">
        <f>1409.3+(12.2-845.8)+(0+(0-0))+0-0-0</f>
        <v>575.70000000000005</v>
      </c>
      <c r="I174" s="3">
        <f>1244.8+(12.4-712)+(0.634848+(0.006324-0.36312))+0-0-0</f>
        <v>545.47805199999993</v>
      </c>
      <c r="J174" s="3">
        <f>1222.8+(28.3-712.3)+(-2.494512+(-0.057732--1.453092))+0-0-0</f>
        <v>537.70084799999995</v>
      </c>
      <c r="K174" s="3">
        <f>1221.1+(118.7-806)+(-3.113805+(-0.302685--2.0553))+0-0-0</f>
        <v>532.43880999999999</v>
      </c>
      <c r="L174" s="3">
        <f>1216.5+(43.9-729.9)+(-4.96332+(-0.179112--2.977992))+0-0-0</f>
        <v>528.33555999999999</v>
      </c>
      <c r="M174" s="3">
        <f>1261.2+(2-718.6)+(1.286424+(0.00204-0.732972))+0-0-0</f>
        <v>545.15549199999998</v>
      </c>
      <c r="N174" s="3">
        <f>1368.4+(0-759.2)+(1.395768+(0-0.774384))+0-0-0</f>
        <v>609.82138400000008</v>
      </c>
      <c r="O174" s="3">
        <f>1545.9+(0-878.6)+(-0.788409+(0--0.448086))+0-0-0</f>
        <v>666.95967700000006</v>
      </c>
      <c r="P174" s="3">
        <f>1574.5+(19.6-889.2)+(2.408985+(0.029988-1.360476))+0-0-0</f>
        <v>705.97849699999995</v>
      </c>
      <c r="Q174" s="3">
        <f>1570.3+(15.2-858.1)+(2.402559+(0.023256-1.312893))+0-0-0</f>
        <v>728.512922</v>
      </c>
      <c r="R174" s="3">
        <f>1598.3+(86.9-939.5)+(-0.815133+(-0.044319--0.479145))+0-0-0</f>
        <v>745.31969299999992</v>
      </c>
      <c r="S174" s="3">
        <f>1586.4+(113.1-953)+(-3.236256+(-0.230724--1.94412))+0-0-0</f>
        <v>744.97714000000008</v>
      </c>
      <c r="T174" s="3">
        <f>1596.8+(113.7-989.2)+(0.814368+(0.057987-0.504492))+0-0-0</f>
        <v>721.66786300000001</v>
      </c>
      <c r="U174" s="3">
        <f>1583.9+(101.2-983)+(-0.807789+(-0.051612--0.50133))+0-0-0</f>
        <v>701.74192900000014</v>
      </c>
      <c r="V174" s="3">
        <f>1570+(96.7-971)+(-1.6014+(-0.098634--0.99042))+0-0-0</f>
        <v>694.99038600000006</v>
      </c>
      <c r="W174" s="3">
        <f>1583+(98.1-996.9)+(0.80733+(0.050031-0.508419))+0-0-0</f>
        <v>684.54894200000001</v>
      </c>
      <c r="X174" s="3">
        <f>1505+(51-888.1)+(-5.37285+(-0.18207--3.170517))+0-0-0</f>
        <v>665.51559699999996</v>
      </c>
      <c r="Y174" s="3">
        <f>1545+(66.7-895.8)+(1.5759+(0.068034-0.913716))+0-0-0</f>
        <v>716.63021800000013</v>
      </c>
      <c r="Z174" s="3">
        <f>1689.3+(32.7-908.3)+(0+(0-0))+0-0-0</f>
        <v>813.7</v>
      </c>
      <c r="AA174" s="3">
        <f>1657.8+(37.2-894.5)+(-2.536434+(-0.056916--1.368585))+0-0-0</f>
        <v>799.27523499999995</v>
      </c>
      <c r="AB174" s="3">
        <f>1669.2+(50.5-955.4)+(-0.851292+(-0.025755--0.487254))+0-0-0</f>
        <v>763.91020700000001</v>
      </c>
      <c r="AC174" s="3">
        <f>1656.6+(75.5-1026.4)+(-2.534598+(-0.115515--1.570392))+0-0-0</f>
        <v>704.62027899999987</v>
      </c>
      <c r="AD174" s="2">
        <v>817.09999999999991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1621.1+(15.2-966.7)+(-0.826761+(-0.007752--0.493017))+0-0-0</f>
        <v>669.2585039999999</v>
      </c>
      <c r="G175" s="3">
        <f>1588+(0-970.1)+(-2.42964+(0--1.484253))+0-0-0</f>
        <v>616.95461299999999</v>
      </c>
      <c r="H175" s="3">
        <f>1495.9+(0-916.7)+(-3.051636+(0--1.870068))+0-0-0</f>
        <v>578.01843200000008</v>
      </c>
      <c r="I175" s="3">
        <f>1463.6+(0-909.7)+(-2.239308+(0--1.391841))+0-0-0</f>
        <v>553.05253299999981</v>
      </c>
      <c r="J175" s="3">
        <f>1463.4+(0-925.9)+(-2.239002+(0--1.416627))+0-0-0</f>
        <v>536.67762500000015</v>
      </c>
      <c r="K175" s="3">
        <f>1485.9+(0-962.2)+(1.515618+(0-0.981444))+0-0-0</f>
        <v>524.23417400000005</v>
      </c>
      <c r="L175" s="3">
        <f>1404.6+(0-879.5)+(-4.298076+(0--2.69127))+0-0-0</f>
        <v>523.4931939999999</v>
      </c>
      <c r="M175" s="3">
        <f>1383.7+(0-836.1)+(-0.705687+(0--0.426411))+0-0-0</f>
        <v>547.32072400000004</v>
      </c>
      <c r="N175" s="3">
        <f>1446.1+(3.3-832)+(0+(0-0))+0-0-0</f>
        <v>617.39999999999986</v>
      </c>
      <c r="O175" s="3">
        <f>1554.7+(57-934.2)+(0+(0-0))+0-0-0</f>
        <v>677.5</v>
      </c>
      <c r="P175" s="3">
        <f>1582.4+(101.9-971.4)+(0+(0-0))+0-0-0</f>
        <v>712.90000000000009</v>
      </c>
      <c r="Q175" s="3">
        <f>1605.3+(77.2-950.4)+(3.274812+(0.157488-1.938816))+0-0-0</f>
        <v>733.59348399999999</v>
      </c>
      <c r="R175" s="3">
        <f>1588.1+(78.5-949.8)+(0.809931+(0.040035-0.484398))+0-0-0</f>
        <v>717.16556800000001</v>
      </c>
      <c r="S175" s="3">
        <f>1571.6+(88.7-948.6)+(-1.603032+(-0.090474--0.967572))+0-0-0</f>
        <v>710.97406599999988</v>
      </c>
      <c r="T175" s="3">
        <f>1577.5+(94.7-974.6)+(-0.804525+(-0.048297--0.497046))+0-0-0</f>
        <v>697.24422400000003</v>
      </c>
      <c r="U175" s="3">
        <f>1573.7+(97.2-989.8)+(-0.802587+(-0.049572--0.504798))+0-0-0</f>
        <v>680.75263900000016</v>
      </c>
      <c r="V175" s="3">
        <f>1575.1+(94.1-995.5)+(-3.213204+(-0.191964--2.03082))+0-0-0</f>
        <v>672.32565199999988</v>
      </c>
      <c r="W175" s="3">
        <f>1606.8+(89.6-1031.4)+(0.819468+(0.045696-0.526014))+0-0-0</f>
        <v>665.3391499999999</v>
      </c>
      <c r="X175" s="3">
        <f>1612.5+(56.8-1006.8)+(-1.64475+(-0.057936--1.026936))+0-0-0</f>
        <v>661.82425000000001</v>
      </c>
      <c r="Y175" s="3">
        <f>1633.7+(61.8-978.7)+(2.499561+(0.094554-1.497411))+0-0-0</f>
        <v>717.896704</v>
      </c>
      <c r="Z175" s="3">
        <f>1643.8+(69.4-935.5)+(-3.353352+(-0.141576--1.90842))+0-0-0</f>
        <v>776.11349199999995</v>
      </c>
      <c r="AA175" s="3">
        <f>1632.6+(72.8-954.8)+(-5.828382+(-0.259896--3.408636))+0-0-0</f>
        <v>747.92035799999996</v>
      </c>
      <c r="AB175" s="3">
        <f>1629.3+(81.8-993.7)+(-2.492829+(-0.125154--1.520361))+0-0-0</f>
        <v>716.30237799999986</v>
      </c>
      <c r="AC175" s="3">
        <f>1630.1+(35.4-992.7)+(-0.831351+(-0.018054--0.506277))+0-0-0</f>
        <v>672.45687199999986</v>
      </c>
      <c r="AD175" s="2">
        <v>753.5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1602.3+(0-995.1)+(1.634346+(0-1.015002))+0-0-0</f>
        <v>607.81934399999989</v>
      </c>
      <c r="G176" s="3">
        <f>1519.8+(8.6-979.9)+(1.550196+(0.008772-0.999498))+0-0-0</f>
        <v>549.05947000000003</v>
      </c>
      <c r="H176" s="3">
        <f>1311.1+(39.5-834.8)+(-2.005983+(-0.060435--1.277244))+0-0-0</f>
        <v>515.01082599999995</v>
      </c>
      <c r="I176" s="3">
        <f>1223.9+(34.9-773.5)+(-1.872567+(-0.053397--1.183455))+0-0-0</f>
        <v>484.55749100000008</v>
      </c>
      <c r="J176" s="3">
        <f>1222.4+(4.7-744.7)+(-0.623424+(-0.002397--0.379797))+0-0-0</f>
        <v>482.15397600000011</v>
      </c>
      <c r="K176" s="3">
        <f>1216.5+(4.6-740.4)+(-2.48166+(-0.009384--1.510416))+0-0-0</f>
        <v>479.71937200000002</v>
      </c>
      <c r="L176" s="3">
        <f>1223.5+(2.1-759.7)+(-0.623985+(-0.001071--0.387447))+0-0-0</f>
        <v>465.66239099999996</v>
      </c>
      <c r="M176" s="3">
        <f>1225.7+(5.2-760.2)+(0+(0-0))+0-0-0</f>
        <v>470.70000000000005</v>
      </c>
      <c r="N176" s="3">
        <f>1232.5+(10.4-727.9)+(0.628575+(0.005304-0.371229))+0-0-0</f>
        <v>515.26265000000001</v>
      </c>
      <c r="O176" s="3">
        <f>1518.5+(0-928.3)+(1.54887+(0-0.946866))+0-0-0</f>
        <v>590.80200400000001</v>
      </c>
      <c r="P176" s="3">
        <f>1629.5+(0-1011.4)+(3.32418+(0-2.063256))+0-0-0</f>
        <v>619.36092400000007</v>
      </c>
      <c r="Q176" s="3">
        <f>1617+(0-976.1)+(-0.82467+(0--0.497811))+0-0-0</f>
        <v>640.57314099999996</v>
      </c>
      <c r="R176" s="3">
        <f>1622.9+(0-987.9)+(0+(0-0))+0-0-0</f>
        <v>635.00000000000011</v>
      </c>
      <c r="S176" s="3">
        <f>1597+(0-981.4)+(-1.62894+(0--1.001028))+0-0-0</f>
        <v>614.97208799999999</v>
      </c>
      <c r="T176" s="3">
        <f>1575.2+(0-981.4)+(-2.410056+(0--1.501542))+0-0-0</f>
        <v>592.8914860000001</v>
      </c>
      <c r="U176" s="3">
        <f>1576.3+(0-998)+(-0.803913+(0--0.50898))+0-0-0</f>
        <v>578.00506699999994</v>
      </c>
      <c r="V176" s="3">
        <f>1564.2+(0-985.1)+(-3.190968+(0--2.009604))+0-0-0</f>
        <v>577.91863599999999</v>
      </c>
      <c r="W176" s="3">
        <f>1561.9+(0-968.4)+(-4.779414+(0--2.963304))+0-0-0</f>
        <v>591.68389000000013</v>
      </c>
      <c r="X176" s="3">
        <f>1499.8+(0-901.6)+(-4.589388+(0--2.758896))+0-0-0</f>
        <v>596.36950799999988</v>
      </c>
      <c r="Y176" s="3">
        <f>1559.5+(0-895.9)+(-1.59069+(0--0.913818))+0-0-0</f>
        <v>662.92312800000002</v>
      </c>
      <c r="Z176" s="3">
        <f>1573+(0-876.9)+(-2.40669+(0--1.341657))+0-0-0</f>
        <v>695.03496700000005</v>
      </c>
      <c r="AA176" s="3">
        <f>1582.2+(0-909.4)+(-3.227688+(0--1.855176))+0-0-0</f>
        <v>671.42748800000004</v>
      </c>
      <c r="AB176" s="3">
        <f>1585.7+(5-956.3)+(-3.234828+(-0.0102--1.950852))+0-0-0</f>
        <v>633.1058240000001</v>
      </c>
      <c r="AC176" s="3">
        <f>1576.5+(12.6-991.8)+(3.21606+(0.025704-2.023272))+0-0-0</f>
        <v>598.51849200000004</v>
      </c>
      <c r="AD176" s="2">
        <v>689.1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1575.8+(7.4-1041.3)+(-4.01829+(-0.01887--2.655315))+0-0-0</f>
        <v>540.51815500000009</v>
      </c>
      <c r="G177" s="3">
        <f>1561.7+(8.1-1070.3)+(0.796467+(0.004131-0.545853))+0-0-0</f>
        <v>499.75474500000001</v>
      </c>
      <c r="H177" s="3">
        <f>1321.6+(5.7-864.3)+(-3.37008+(-0.014535--2.203965))+0-0-0</f>
        <v>461.81934999999999</v>
      </c>
      <c r="I177" s="3">
        <f>1324.3+(0-878.6)+(0+(0-0))+0-0-0</f>
        <v>445.69999999999993</v>
      </c>
      <c r="J177" s="3">
        <f>1328.5+(0-887.9)+(0.677535+(0-0.452829))+0-0-0</f>
        <v>440.82470600000005</v>
      </c>
      <c r="K177" s="3">
        <f>1267.1+(0-835.2)+(1.938663+(0-1.277856))+0-0-0</f>
        <v>432.56080699999984</v>
      </c>
      <c r="L177" s="3">
        <f>1230.3+(0-800.1)+(-1.254906+(0--0.816102))+0-0-0</f>
        <v>429.76119599999993</v>
      </c>
      <c r="M177" s="3">
        <f>1239.8+(0-809.5)+(1.896894+(0-1.238535))+0-0-0</f>
        <v>430.95835899999997</v>
      </c>
      <c r="N177" s="3">
        <f>1313.6+(0-847.6)+(-0.669936+(0--0.432276))+0-0-0</f>
        <v>465.76233999999988</v>
      </c>
      <c r="O177" s="3">
        <f>1325.1+(0-818.5)+(0.675801+(0-0.417435))+0-0-0</f>
        <v>506.85836599999993</v>
      </c>
      <c r="P177" s="3">
        <f>1470.2+(0-926.2)+(2.249406+(0-1.417086))+0-0-0</f>
        <v>544.83231999999998</v>
      </c>
      <c r="Q177" s="3">
        <f>1494.9+(0-925.6)+(0+(0-0))+0-0-0</f>
        <v>569.30000000000007</v>
      </c>
      <c r="R177" s="3">
        <f>1562.7+(0-995.7)+(-0.796977+(0--0.507807))+0-0-0</f>
        <v>566.71082999999999</v>
      </c>
      <c r="S177" s="3">
        <f>1557.2+(0-1010.8)+(-2.382516+(0--1.546524))+0-0-0</f>
        <v>545.56400800000006</v>
      </c>
      <c r="T177" s="3">
        <f>1551.2+(0-1021.6)+(0+(0-0))+0-0-0</f>
        <v>529.6</v>
      </c>
      <c r="U177" s="3">
        <f>1493.9+(0-972)+(0+(0-0))+0-0-0</f>
        <v>521.90000000000009</v>
      </c>
      <c r="V177" s="3">
        <f>1462.8+(0-942.9)+(-3.73014+(0--2.404395))+0-0-0</f>
        <v>518.57425499999999</v>
      </c>
      <c r="W177" s="3">
        <f>1444.5+(0-916.4)+(-3.683475+(0--2.33682))+0-0-0</f>
        <v>526.75334499999997</v>
      </c>
      <c r="X177" s="3">
        <f>1373.9+(0-841.3)+(-4.204134+(0--2.574378))+0-0-0</f>
        <v>530.97024400000009</v>
      </c>
      <c r="Y177" s="3">
        <f>1484.8+(0-877.6)+(2.271744+(0-1.342728))+0-0-0</f>
        <v>608.12901599999998</v>
      </c>
      <c r="Z177" s="3">
        <f>1601.1+(0-941.8)+(-2.449683+(0--1.440954))+0-0-0</f>
        <v>658.29127099999994</v>
      </c>
      <c r="AA177" s="3">
        <f>1616.2+(0-963.5)+(-2.472786+(0--1.474155))+0-0-0</f>
        <v>651.701369</v>
      </c>
      <c r="AB177" s="3">
        <f>1409.8+(0-783.2)+(-4.313988+(0--2.396592))+0-0-0</f>
        <v>624.68260399999986</v>
      </c>
      <c r="AC177" s="3">
        <f>1387.2+(3.1-807.5)+(-2.829888+(-0.006324--1.6473))+0-0-0</f>
        <v>581.61108800000011</v>
      </c>
      <c r="AD177" s="2">
        <v>652.5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1350+(5.9-796.8)+(-1.377+(-0.006018--0.812736))+0-0-0</f>
        <v>558.529718</v>
      </c>
      <c r="G178" s="3">
        <f>1310.9+(31.8-822)+(-2.674236+(-0.064872--1.67688))+0-0-0</f>
        <v>519.63777200000004</v>
      </c>
      <c r="H178" s="3">
        <f>1287.9+(45.1-844.6)+(-3.284145+(-0.115005--2.15373))+0-0-0</f>
        <v>487.15458000000007</v>
      </c>
      <c r="I178" s="3">
        <f>1234.3+(52.6-811.9)+(-1.888479+(-0.080478--1.242207))+0-0-0</f>
        <v>474.27325000000002</v>
      </c>
      <c r="J178" s="3">
        <f>1239.7+(42.1-806.3)+(1.264494+(0.042942-0.822426))+0-0-0</f>
        <v>475.9850100000001</v>
      </c>
      <c r="K178" s="3">
        <f>1229.2+(37.3-783)+(-1.880676+(-0.057069--1.19799))+0-0-0</f>
        <v>482.760245</v>
      </c>
      <c r="L178" s="3">
        <f>1142.9+(34.9-698.1)+(-1.165758+(-0.035598--0.712062))+0-0-0</f>
        <v>479.21070600000007</v>
      </c>
      <c r="M178" s="3">
        <f>1153.5+(4.6-666.7)+(0+(0-0))+0-0-0</f>
        <v>491.4</v>
      </c>
      <c r="N178" s="3">
        <f>1150.4+(4.5-611.1)+(-0.586704+(-0.002295--0.311661))+0-0-0</f>
        <v>543.52266200000008</v>
      </c>
      <c r="O178" s="3">
        <f>1187+(38.8-634.3)+(0.60537+(0.019788-0.323493))+0-0-0</f>
        <v>591.80166499999996</v>
      </c>
      <c r="P178" s="3">
        <f>1373.3+(93.5-831.2)+(-0.700383+(-0.047685--0.423912))+0-0-0</f>
        <v>635.27584399999989</v>
      </c>
      <c r="Q178" s="3">
        <f>1386.8+(141.8-872.8)+(-0.707268+(-0.072318--0.445128))+0-0-0</f>
        <v>655.46554199999991</v>
      </c>
      <c r="R178" s="3">
        <f>1392.7+(147.6-930.4)+(0.710277+(0.075276-0.474504))+0-0-0</f>
        <v>610.21104900000012</v>
      </c>
      <c r="S178" s="3">
        <f>1383.5+(152.6-958.7)+(-2.116755+(-0.233478--1.466811))+0-0-0</f>
        <v>576.51657799999998</v>
      </c>
      <c r="T178" s="3">
        <f>1392.1+(175.5-1008.3)+(-0.709971+(-0.089505--0.514233))+0-0-0</f>
        <v>559.01475699999992</v>
      </c>
      <c r="U178" s="3">
        <f>1425.4+(166.6-1043.1)+(-2.180862+(-0.254898--1.595943))+0-0-0</f>
        <v>548.06018300000017</v>
      </c>
      <c r="V178" s="3">
        <f>1472.1+(153.7-1085.4)+(-1.501542+(-0.156774--1.107108))+0-0-0</f>
        <v>539.84879199999989</v>
      </c>
      <c r="W178" s="3">
        <f>1426.3+(165.1-1044.3)+(-1.454826+(-0.168402--1.065186))+0-0-0</f>
        <v>546.54195800000002</v>
      </c>
      <c r="X178" s="3">
        <f>1395+(174.1-1030)+(-2.8458+(-0.355164--2.1012))+0-0-0</f>
        <v>538.00023599999997</v>
      </c>
      <c r="Y178" s="3">
        <f>1441.5+(154.4-991.9)+(0+(0-0))+0-0-0</f>
        <v>604</v>
      </c>
      <c r="Z178" s="3">
        <f>1523.3+(131.5-981.9)+(-2.330649+(-0.201195--1.502307))+0-0-0</f>
        <v>671.87046299999997</v>
      </c>
      <c r="AA178" s="3">
        <f>1502.8+(148.1-984.4)+(-3.065712+(-0.302124--2.008176))+0-0-0</f>
        <v>665.14034000000004</v>
      </c>
      <c r="AB178" s="3">
        <f>1427.2+(131.3-924.5)+(0+(0-0))+0-0-0</f>
        <v>634</v>
      </c>
      <c r="AC178" s="3">
        <f>1407.4+(145.3-937.1)+(-2.871096+(-0.296412--1.911684))+0-0-0</f>
        <v>614.34417600000018</v>
      </c>
      <c r="AD178" s="2">
        <v>670.69999999999993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1318.6+(123.4-843.7)+(-0.672486+(-0.062934--0.430287))+0-0-0</f>
        <v>597.99486699999989</v>
      </c>
      <c r="G179" s="3">
        <f>1224.2+(152.8-829.8)+(1.248684+(0.155856-0.846396))+0-0-0</f>
        <v>547.75814400000002</v>
      </c>
      <c r="H179" s="3">
        <f>1028.3+(125.2-639.2)+(-1.573299+(-0.191556--0.977976))+0-0-0</f>
        <v>513.51312099999996</v>
      </c>
      <c r="I179" s="3">
        <f>885.3+(125.7-535.6)+(-0.451503+(-0.064107--0.273156))+0-0-0</f>
        <v>475.15754599999991</v>
      </c>
      <c r="J179" s="3">
        <f>887.5+(121.5-537.6)+(-0.452625+(-0.061965--0.274176))+0-0-0</f>
        <v>471.15958599999999</v>
      </c>
      <c r="K179" s="3">
        <f>893.8+(125-552.8)+(0.911676+(0.1275-0.563856))+0-0-0</f>
        <v>466.47532000000001</v>
      </c>
      <c r="L179" s="3">
        <f>875.3+(117-538.8)+(0.892806+(0.11934-0.549576))+0-0-0</f>
        <v>453.96257000000003</v>
      </c>
      <c r="M179" s="3">
        <f>892+(117.7-569.9)+(0.90984+(0.120054-0.581298))+0-0-0</f>
        <v>440.24859600000002</v>
      </c>
      <c r="N179" s="3">
        <f>960.1+(134.8-617.5)+(0.979302+(0.137496-0.62985))+0-0-0</f>
        <v>477.88694800000002</v>
      </c>
      <c r="O179" s="3">
        <f>1075.4+(125.9-684.6)+(0.548454+(0.064209-0.349146))+0-0-0</f>
        <v>516.96351700000002</v>
      </c>
      <c r="P179" s="3">
        <f>1358.5+(88.4-891.5)+(0+(0-0))+0-0-0</f>
        <v>555.4</v>
      </c>
      <c r="Q179" s="3">
        <f>1416.8+(92.1-924.2)+(0+(0-0))+0-0-0</f>
        <v>584.69999999999993</v>
      </c>
      <c r="R179" s="3">
        <f>1407.6+(162.1-989.3)+(-0.717876+(-0.082671--0.504543))+0-0-0</f>
        <v>580.10399599999994</v>
      </c>
      <c r="S179" s="3">
        <f>1408+(155.9-1011.6)+(-2.15424+(-0.238527--1.547748))+0-0-0</f>
        <v>551.45498099999998</v>
      </c>
      <c r="T179" s="3">
        <f>1422.5+(163.3-1048.3)+(-1.45095+(-0.166566--1.069266))+0-0-0</f>
        <v>536.95174999999995</v>
      </c>
      <c r="U179" s="3">
        <f>1426.7+(164.8-1061.5)+(-1.455234+(-0.168096--1.08273))+0-0-0</f>
        <v>529.45939999999996</v>
      </c>
      <c r="V179" s="3">
        <f>1419.5+(138.9-1049.3)+(-1.44789+(-0.141678--1.070286))+0-0-0</f>
        <v>508.58071800000005</v>
      </c>
      <c r="W179" s="3">
        <f>1407.1+(78.8-975.9)+(-1.435242+(-0.080376--0.995418))+0-0-0</f>
        <v>509.4797999999999</v>
      </c>
      <c r="X179" s="3">
        <f>1374.3+(75.2-919.2)+(-0.700893+(-0.038352--0.468792))+0-0-0</f>
        <v>530.02954699999998</v>
      </c>
      <c r="Y179" s="3">
        <f>1401.8+(95.3-883)+(-0.714918+(-0.048603--0.45033))+0-0-0</f>
        <v>613.78680899999995</v>
      </c>
      <c r="Z179" s="3">
        <f>1396.3+(158.5-884.6)+(-1.424226+(-0.16167--0.902292))+0-0-0</f>
        <v>669.51639599999999</v>
      </c>
      <c r="AA179" s="3">
        <f>1397.1+(28.6-767.2)+(-2.137563+(-0.043758--1.173816))+0-0-0</f>
        <v>657.49249499999985</v>
      </c>
      <c r="AB179" s="3">
        <f>1401.3+(32.9-795)+(1.429326+(0.033558-0.8109))+0-0-0</f>
        <v>639.8519839999999</v>
      </c>
      <c r="AC179" s="3">
        <f>1327.6+(53.3-772)+(-0.677076+(-0.027183--0.39372))+0-0-0</f>
        <v>608.58946099999991</v>
      </c>
      <c r="AD179" s="2">
        <v>630.9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1322.6+(39.8-823.2)+(0+(0-0))+0-0-0</f>
        <v>539.19999999999982</v>
      </c>
      <c r="G180" s="3">
        <f>1288.6+(70.7-851.4)+(0+(0-0))+0-0-0</f>
        <v>507.9</v>
      </c>
      <c r="H180" s="3">
        <f>1049.8+(87.1-675.8)+(0+(0-0))+0-0-0</f>
        <v>461.1</v>
      </c>
      <c r="I180" s="3">
        <f>1038.4+(87.5-683.2)+(0+(0-0))+0-0-0</f>
        <v>442.70000000000005</v>
      </c>
      <c r="J180" s="3">
        <f>971+(58.3-593)+(2.47605+(0.148665-1.51215))+0-0-0</f>
        <v>437.41256499999997</v>
      </c>
      <c r="K180" s="3">
        <f>956.3+(53.5-578.2)+(0.975426+(0.05457-0.589764))+0-0-0</f>
        <v>432.04023199999989</v>
      </c>
      <c r="L180" s="3">
        <f>969.9+(43.5-576.5)+(0.494649+(0.022185-0.294015))+0-0-0</f>
        <v>437.12281899999999</v>
      </c>
      <c r="M180" s="3">
        <f>985.9+(81.4-608.2)+(-1.005618+(-0.083028--0.620364))+0-0-0</f>
        <v>458.63171799999992</v>
      </c>
      <c r="N180" s="3">
        <f>1004.2+(143.5-638.1)+(2.56071+(0.365925-1.627155))+0-0-0</f>
        <v>510.89948000000004</v>
      </c>
      <c r="O180" s="3">
        <f>1146.9+(217.9-795.3)+(0+(0-0))+0-0-0</f>
        <v>569.50000000000011</v>
      </c>
      <c r="P180" s="3">
        <f>1363+(201.2-974.9)+(0.69513+(0.102612-0.497199))+0-0-0</f>
        <v>589.6005429999999</v>
      </c>
      <c r="Q180" s="3">
        <f>1430.4+(198.6-1037.8)+(0.729504+(0.101286-0.529278))+0-0-0</f>
        <v>591.50151200000016</v>
      </c>
      <c r="R180" s="3">
        <f>1501.2+(208.4-1076.8)+(-1.531224+(-0.212568--1.098336))+0-0-0</f>
        <v>632.1545440000001</v>
      </c>
      <c r="S180" s="3">
        <f>1532.5+(219.2-1107.5)+(0.781575+(0.111792-0.564825))+0-0-0</f>
        <v>644.52854200000002</v>
      </c>
      <c r="T180" s="3">
        <f>1552.2+(224.6-1164.7)+(0+(0-0))+0-0-0</f>
        <v>612.1</v>
      </c>
      <c r="U180" s="3">
        <f>1619+(215.6-1228)+(4.12845+(0.54978-3.1314))+0-0-0</f>
        <v>608.14683000000002</v>
      </c>
      <c r="V180" s="3">
        <f>1598.9+(213.4-1208.3)+(-3.261756+(-0.435336--2.464932))+0-0-0</f>
        <v>602.76784000000009</v>
      </c>
      <c r="W180" s="3">
        <f>1578.1+(212.6-1179.2)+(-6.438648+(-0.867408--4.811136))+0-0-0</f>
        <v>609.00507999999991</v>
      </c>
      <c r="X180" s="3">
        <f>1528.8+(189-1111.6)+(-3.89844+(-0.48195--2.83458))+0-0-0</f>
        <v>604.65419000000009</v>
      </c>
      <c r="Y180" s="3">
        <f>1602.1+(190.4-1110.2)+(1.634142+(0.194208-1.132404))+0-0-0</f>
        <v>682.99594599999989</v>
      </c>
      <c r="Z180" s="3">
        <f>1640.4+(193.7-1101.2)+(-1.673208+(-0.197574--1.123224))+0-0-0</f>
        <v>732.15244200000006</v>
      </c>
      <c r="AA180" s="3">
        <f>1605.7+(92.2-1001)+(-1.637814+(-0.094044--1.02102))+0-0-0</f>
        <v>696.18916200000012</v>
      </c>
      <c r="AB180" s="3">
        <f>1586.5+(23.1-944.7)+(-1.61823+(-0.023562--0.963594))+0-0-0</f>
        <v>664.22180200000003</v>
      </c>
      <c r="AC180" s="3">
        <f>1439.8+(14.6-846.8)+(0.734298+(0.007446-0.431868))+0-0-0</f>
        <v>607.90987600000005</v>
      </c>
      <c r="AD180" s="2">
        <v>713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1388.9+(7.7-808.3)+(-2.125017+(-0.011781--1.236699))+0-0-0</f>
        <v>587.39990100000023</v>
      </c>
      <c r="G181" s="3">
        <f>1179.3+(16-660.4)+(-2.405772+(-0.03264--1.347216))+0-0-0</f>
        <v>533.80880400000001</v>
      </c>
      <c r="H181" s="3">
        <f>1078.6+(36.7-633.5)+(-1.650258+(-0.056151--0.969255))+0-0-0</f>
        <v>481.06284599999998</v>
      </c>
      <c r="I181" s="3">
        <f>1089.5+(3-625.3)+(-0.555645+(-0.00153--0.318903))+0-0-0</f>
        <v>466.96172800000005</v>
      </c>
      <c r="J181" s="3">
        <f>1104+(4.4-637.3)+(2.25216+(0.008976-1.300092))+0-0-0</f>
        <v>472.06104400000004</v>
      </c>
      <c r="K181" s="3">
        <f>1093.3+(3.7-622.4)+(0.557583+(0.001887-0.317424))+0-0-0</f>
        <v>474.84204600000004</v>
      </c>
      <c r="L181" s="3">
        <f>1084.8+(2.4-606.2)+(-2.212992+(-0.004896--1.236648))+0-0-0</f>
        <v>480.01875999999987</v>
      </c>
      <c r="M181" s="3">
        <f>1087.9+(5.2-613.4)+(-0.554829+(-0.002652--0.312834))+0-0-0</f>
        <v>479.45535300000017</v>
      </c>
      <c r="N181" s="3">
        <f>1285+(13.8-761.9)+(0+(0-0))+0-0-0</f>
        <v>536.9</v>
      </c>
      <c r="O181" s="3">
        <f>1491.3+(18.7-899.9)+(-5.323941+(-0.066759--3.212643))+0-0-0</f>
        <v>607.92194300000006</v>
      </c>
      <c r="P181" s="3">
        <f>1535.8+(80-957.2)+(0+(0-0))+0-0-0</f>
        <v>658.59999999999991</v>
      </c>
      <c r="Q181" s="3">
        <f>1665.4+(126.1-1111.4)+(1.698708+(0.128622-1.133628))+0-0-0</f>
        <v>680.79370200000005</v>
      </c>
      <c r="R181" s="3">
        <f>1659.2+(123.7-1133.7)+(0+(0-0))+0-0-0</f>
        <v>649.20000000000005</v>
      </c>
      <c r="S181" s="3">
        <f>1646.2+(119-1131.4)+(-0.839562+(-0.06069--0.577014))+0-0-0</f>
        <v>633.47676200000001</v>
      </c>
      <c r="T181" s="3">
        <f>1639.9+(130.7-1141.6)+(-0.836349+(-0.066657--0.582216))+0-0-0</f>
        <v>628.67921000000024</v>
      </c>
      <c r="U181" s="3">
        <f>1631+(131.9-1159.8)+(0+(0-0))+0-0-0</f>
        <v>603.10000000000014</v>
      </c>
      <c r="V181" s="3">
        <f>1630.7+(126.9-1144.8)+(-2.494971+(-0.194157--1.751544))+0-0-0</f>
        <v>611.86241600000005</v>
      </c>
      <c r="W181" s="3">
        <f>1617.7+(149.8-1164.9)+(-0.825027+(-0.076398--0.594099))+0-0-0</f>
        <v>602.29267399999992</v>
      </c>
      <c r="X181" s="3">
        <f>1570+(153.2-1153.7)+(0.8007+(0.078132-0.588387))+0-0-0</f>
        <v>569.79044499999998</v>
      </c>
      <c r="Y181" s="3">
        <f>1609.8+(148.1-1110.5)+(-0.820998+(-0.075531--0.566355))+0-0-0</f>
        <v>647.06982599999992</v>
      </c>
      <c r="Z181" s="3">
        <f>1662.4+(121.2-1070)+(-1.695648+(-0.123624--1.0914))+0-0-0</f>
        <v>712.87212800000009</v>
      </c>
      <c r="AA181" s="3">
        <f>1664+(109.6-1042.5)+(-1.69728+(-0.111792--1.06335))+0-0-0</f>
        <v>730.35427800000002</v>
      </c>
      <c r="AB181" s="3">
        <f>1413.2+(72.8-783.6)+(0+(0-0))+0-0-0</f>
        <v>702.4</v>
      </c>
      <c r="AC181" s="3">
        <f>1381.2+(41.6-766)+(-2.817648+(-0.084864--1.56264))+0-0-0</f>
        <v>655.46012800000005</v>
      </c>
      <c r="AD181" s="2">
        <v>731.7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1288.2+(29.5-722.5)+(-3.941892+(-0.09027--2.21085))+0-0-0</f>
        <v>593.37868800000001</v>
      </c>
      <c r="G182" s="3">
        <f>1223.9+(37.2-722.5)+(-3.120945+(-0.09486--1.842375))+0-0-0</f>
        <v>537.22657000000015</v>
      </c>
      <c r="H182" s="3">
        <f>1236.9+(52.2-779)+(-1.892457+(-0.079866--1.19187))+0-0-0</f>
        <v>509.31954700000011</v>
      </c>
      <c r="I182" s="3">
        <f>1222.8+(61.6-795.5)+(-4.365396+(-0.219912--2.839935))+0-0-0</f>
        <v>487.154627</v>
      </c>
      <c r="J182" s="3">
        <f>1242.9+(28.6-797.9)+(1.267758+(0.029172-0.813858))+0-0-0</f>
        <v>474.08307200000013</v>
      </c>
      <c r="K182" s="3">
        <f>1233.3+(29.4-779.9)+(-1.886949+(-0.044982--1.193247))+0-0-0</f>
        <v>482.06131599999998</v>
      </c>
      <c r="L182" s="3">
        <f>1230.7+(24.1-776.1)+(-3.765942+(-0.073746--2.374866))+0-0-0</f>
        <v>477.23517800000002</v>
      </c>
      <c r="M182" s="3">
        <f>1290.9+(17.3-830)+(1.316718+(0.017646-0.8466))+0-0-0</f>
        <v>478.68776400000007</v>
      </c>
      <c r="N182" s="3">
        <f>1387.3+(1.4-847.2)+(1.415046+(0.001428-0.864144))+0-0-0</f>
        <v>542.05232999999987</v>
      </c>
      <c r="O182" s="3">
        <f>1430.5+(0-787.4)+(0.729555+(0-0.401574))+0-0-0</f>
        <v>643.42798100000005</v>
      </c>
      <c r="P182" s="3">
        <f>1468.1+(109.3-920)+(2.246193+(0.167229-1.4076))+0-0-0</f>
        <v>658.40582199999983</v>
      </c>
      <c r="Q182" s="3">
        <f>1482.6+(119.9-915.2)+(1.512252+(0.122298-0.933504))+0-0-0</f>
        <v>688.00104599999986</v>
      </c>
      <c r="R182" s="3">
        <f>1469.4+(117.5-908.6)+(-0.749394+(-0.059925--0.463386))+0-0-0</f>
        <v>677.95406700000012</v>
      </c>
      <c r="S182" s="3">
        <f>1462.8+(120.7-919.3)+(-2.238084+(-0.184671--1.406529))+0-0-0</f>
        <v>663.18377400000008</v>
      </c>
      <c r="T182" s="3">
        <f>1437.3+(125.9-927.3)+(-0.733023+(-0.064209--0.472923))+0-0-0</f>
        <v>635.57569100000001</v>
      </c>
      <c r="U182" s="3">
        <f>1432.7+(121.6-929)+(0.730677+(0.062016-0.47379))+0-0-0</f>
        <v>625.61890300000005</v>
      </c>
      <c r="V182" s="3">
        <f>1445.1+(117-938.1)+(-0.737001+(-0.05967--0.478431))+0-0-0</f>
        <v>623.68175999999994</v>
      </c>
      <c r="W182" s="3">
        <f>1446.5+(113.5-935.2)+(-0.737715+(-0.057885--0.476952))+0-0-0</f>
        <v>624.4813519999999</v>
      </c>
      <c r="X182" s="3">
        <f>1433.6+(97.3-920.1)+(-2.924544+(-0.198492--1.877004))+0-0-0</f>
        <v>609.55396799999983</v>
      </c>
      <c r="Y182" s="3">
        <f>1471.7+(120.2-904.5)+(0.750567+(0.061302-0.461295))+0-0-0</f>
        <v>687.75057400000014</v>
      </c>
      <c r="Z182" s="3">
        <f>1532.4+(113.6-890.8)+(-3.126096+(-0.231744--1.817232))+0-0-0</f>
        <v>753.65939200000014</v>
      </c>
      <c r="AA182" s="3">
        <f>1536.8+(92.7-893.7)+(-4.702608+(-0.283662--2.734722))+0-0-0</f>
        <v>733.548452</v>
      </c>
      <c r="AB182" s="3">
        <f>1455.8+(99.3-848.9)+(-2.227374+(-0.151929--1.298817))+0-0-0</f>
        <v>705.11951399999998</v>
      </c>
      <c r="AC182" s="3">
        <f>1438.1+(23-807.9)+(-0.733431+(-0.01173--0.412029))+0-0-0</f>
        <v>652.86686799999995</v>
      </c>
      <c r="AD182" s="2">
        <v>747.60000000000014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1425.5+(4.1-826)+(-2.90802+(-0.008364--1.68504))+0-0-0</f>
        <v>602.36865599999999</v>
      </c>
      <c r="G183" s="3">
        <f>1291.4+(19.6-760.2)+(-5.268912+(-0.079968--3.101616))+0-0-0</f>
        <v>548.5527360000001</v>
      </c>
      <c r="H183" s="3">
        <f>1226.9+(31.5-745.5)+(-1.877157+(-0.048195--1.140615))+0-0-0</f>
        <v>512.11526300000014</v>
      </c>
      <c r="I183" s="3">
        <f>1146.3+(54.6-710.3)+(-0.584613+(-0.027846--0.362253))+0-0-0</f>
        <v>490.34979400000003</v>
      </c>
      <c r="J183" s="3">
        <f>1144.2+(59.4-712.8)+(-0.583542+(-0.030294--0.363528))+0-0-0</f>
        <v>490.54969200000005</v>
      </c>
      <c r="K183" s="3">
        <f>1145.4+(58.6-709.5)+(-0.584154+(-0.029886--0.361845))+0-0-0</f>
        <v>494.24780500000014</v>
      </c>
      <c r="L183" s="3">
        <f>1149.3+(35.9-690.4)+(-0.586143+(-0.018309--0.352104))+0-0-0</f>
        <v>494.54765199999997</v>
      </c>
      <c r="M183" s="3">
        <f>1201.7+(52.6-758.6)+(1.225734+(0.053652-0.773772))+0-0-0</f>
        <v>496.20561400000003</v>
      </c>
      <c r="N183" s="3">
        <f>1289.4+(19.8-757.5)+(1.972782+(0.030294-1.158975))+0-0-0</f>
        <v>552.54410100000007</v>
      </c>
      <c r="O183" s="3">
        <f>1300.6+(26.4-714.5)+(-1.326612+(-0.026928--0.72879))+0-0-0</f>
        <v>611.87524999999994</v>
      </c>
      <c r="P183" s="3">
        <f>1357.1+(93.5-778.7)+(0+(0-0))+0-0-0</f>
        <v>671.89999999999986</v>
      </c>
      <c r="Q183" s="3">
        <f>1405+(128.9-828.8)+(0.71655+(0.065739-0.422688))+0-0-0</f>
        <v>705.45960100000002</v>
      </c>
      <c r="R183" s="3">
        <f>1478.5+(136.6-904.6)+(0.754035+(0.069666-0.461346))+0-0-0</f>
        <v>710.86235499999998</v>
      </c>
      <c r="S183" s="3">
        <f>1491.4+(143.6-937.7)+(-0.760614+(-0.073236--0.478227))+0-0-0</f>
        <v>696.94437700000003</v>
      </c>
      <c r="T183" s="3">
        <f>1470.4+(146.9-935.2)+(-0.749904+(-0.074919--0.476952))+0-0-0</f>
        <v>681.75212899999997</v>
      </c>
      <c r="U183" s="3">
        <f>1478.2+(130.5-939.5)+(-0.753882+(-0.066555--0.479145))+0-0-0</f>
        <v>668.85870800000009</v>
      </c>
      <c r="V183" s="3">
        <f>1467.9+(129.6-931.2)+(-3.743145+(-0.33048--2.37456))+0-0-0</f>
        <v>664.60093500000005</v>
      </c>
      <c r="W183" s="3">
        <f>1470.2+(142.2-945.9)+(-2.999208+(-0.290088--1.929636))+0-0-0</f>
        <v>665.14034000000004</v>
      </c>
      <c r="X183" s="3">
        <f>1376.8+(147.8-876.3)+(-1.404336+(-0.150756--0.893826))+0-0-0</f>
        <v>647.638734</v>
      </c>
      <c r="Y183" s="3">
        <f>1480.1+(135.7-912.4)+(0.754851+(0.069207-0.465324))+0-0-0</f>
        <v>703.75873399999989</v>
      </c>
      <c r="Z183" s="3">
        <f>1546.7+(108.3-883)+(-1.577634+(-0.110466--0.90066))+0-0-0</f>
        <v>771.21256000000005</v>
      </c>
      <c r="AA183" s="3">
        <f>1541.5+(117.1-898.7)+(-3.930825+(-0.298605--2.291685))+0-0-0</f>
        <v>757.96225500000003</v>
      </c>
      <c r="AB183" s="3">
        <f>1525.4+(79.6-892.6)+(-3.111816+(-0.162384--1.820904))+0-0-0</f>
        <v>710.94670400000007</v>
      </c>
      <c r="AC183" s="3">
        <f>1491.8+(36.7-861.7)+(-3.043272+(-0.074868--1.757868))+0-0-0</f>
        <v>665.43972799999995</v>
      </c>
      <c r="AD183" s="2">
        <v>786.40000000000009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1425.8+(0-829.6)+(-0.727158+(0--0.423096))+0-0-0</f>
        <v>595.89593799999989</v>
      </c>
      <c r="G184" s="3">
        <f>1404.2+(4.8-857.8)+(-3.58071+(-0.01224--2.18739))+0-0-0</f>
        <v>549.79444000000001</v>
      </c>
      <c r="H184" s="3">
        <f>1284.3+(31.6-807.8)+(-3.929958+(-0.096696--2.471868))+0-0-0</f>
        <v>506.54521400000004</v>
      </c>
      <c r="I184" s="3">
        <f>1284.3+(42.7-829.1)+(-4.584951+(-0.152439--2.959887))+0-0-0</f>
        <v>496.12249699999995</v>
      </c>
      <c r="J184" s="3">
        <f>1294.4+(40-841.8)+(-2.640576+(-0.0816--1.717272))+0-0-0</f>
        <v>491.59509600000013</v>
      </c>
      <c r="K184" s="3">
        <f>1306.6+(40.8-858.7)+(1.999098+(0.062424-1.313811))+0-0-0</f>
        <v>489.4477109999998</v>
      </c>
      <c r="L184" s="3">
        <f>1293.3+(28.1-827.3)+(-2.638332+(-0.057324--1.687692))+0-0-0</f>
        <v>493.09203600000001</v>
      </c>
      <c r="M184" s="3">
        <f>1298.6+(26.5-818.7)+(0+(0-0))+0-0-0</f>
        <v>506.39999999999986</v>
      </c>
      <c r="N184" s="3">
        <f>1363.8+(18.6-816.2)+(0+(0-0))+0-0-0</f>
        <v>566.19999999999993</v>
      </c>
      <c r="O184" s="3">
        <f>1401.1+(0-781.8)+(1.429122+(0-0.797436))+0-0-0</f>
        <v>619.9316859999999</v>
      </c>
      <c r="P184" s="3">
        <f>1515.2+(3.3-854.1)+(1.545504+(0.003366-0.871182))+0-0-0</f>
        <v>665.07768799999997</v>
      </c>
      <c r="Q184" s="3">
        <f>1630.1+(0-934.5)+(2.494053+(0-1.429785))+0-0-0</f>
        <v>696.66426799999988</v>
      </c>
      <c r="R184" s="3">
        <f>1625.4+(0-924.2)+(2.486862+(0-1.414026))+0-0-0</f>
        <v>702.2728360000001</v>
      </c>
      <c r="S184" s="3">
        <f>1542.6+(0-849.1)+(-1.573452+(0--0.866082))+0-0-0</f>
        <v>692.79262999999992</v>
      </c>
      <c r="T184" s="3">
        <f>1556.9+(0-887.3)+(0+(0-0))+0-0-0</f>
        <v>669.60000000000014</v>
      </c>
      <c r="U184" s="3">
        <f>1582.6+(0-918.9)+(-1.614252+(0--0.937278))+0-0-0</f>
        <v>663.02302599999996</v>
      </c>
      <c r="V184" s="3">
        <f>1642.2+(0-980.4)+(-3.350088+(0--2.000016))+0-0-0</f>
        <v>660.44992800000011</v>
      </c>
      <c r="W184" s="3">
        <f>1588.5+(0-927.1)+(-4.050675+(0--2.364105))+0-0-0</f>
        <v>659.71343000000002</v>
      </c>
      <c r="X184" s="3">
        <f>1564.5+(0-916.8)+(-1.59579+(0--0.935136))+0-0-0</f>
        <v>647.03934600000002</v>
      </c>
      <c r="Y184" s="3">
        <f>1594.2+(0-878.9)+(0.813042+(0-0.448239))+0-0-0</f>
        <v>715.66480300000012</v>
      </c>
      <c r="Z184" s="3">
        <f>1605.5+(0-825)+(-4.094025+(0--2.10375))+0-0-0</f>
        <v>778.509725</v>
      </c>
      <c r="AA184" s="3">
        <f>1529.9+(0-773.9)+(-1.560498+(0--0.789378))+0-0-0</f>
        <v>755.22888000000012</v>
      </c>
      <c r="AB184" s="3">
        <f>1472.9+(1.8-756.4)+(-2.253537+(-0.002754--1.157292))+0-0-0</f>
        <v>717.20100100000002</v>
      </c>
      <c r="AC184" s="3">
        <f>1481.7+(0-807.9)+(-0.755667+(0--0.412029))+0-0-0</f>
        <v>673.45636200000001</v>
      </c>
      <c r="AD184" s="2">
        <v>792.8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1480.9+(0-858.6)+(-0.755259+(0--0.437886))+0-0-0</f>
        <v>621.98262700000009</v>
      </c>
      <c r="G185" s="3">
        <f>1402.5+(5.9-835)+(0+(0-0))+0-0-0</f>
        <v>573.4</v>
      </c>
      <c r="H185" s="3">
        <f>1263.1+(8.2-734.3)+(-2.576724+(-0.016728--1.497972))+0-0-0</f>
        <v>535.90452000000005</v>
      </c>
      <c r="I185" s="3">
        <f>1222.9+(19.9-731)+(-0.623679+(-0.010149--0.37281))+0-0-0</f>
        <v>511.53898200000009</v>
      </c>
      <c r="J185" s="3">
        <f>1224+(24.5-750.8)+(0+(0-0))+0-0-0</f>
        <v>497.70000000000005</v>
      </c>
      <c r="K185" s="3">
        <f>1216.5+(18.1-723.5)+(-2.48166+(-0.036924--1.47594))+0-0-0</f>
        <v>510.05735600000003</v>
      </c>
      <c r="L185" s="3">
        <f>1209.2+(24.7-720)+(-3.08346+(-0.062985--1.836))+0-0-0</f>
        <v>512.58955500000013</v>
      </c>
      <c r="M185" s="3">
        <f>1223.4+(14.9-715.7)+(-0.623934+(-0.007599--0.365007))+0-0-0</f>
        <v>522.33347400000002</v>
      </c>
      <c r="N185" s="3">
        <f>1382+(6.4-815.3)+(1.40964+(0.006528-0.831606))+0-0-0</f>
        <v>573.68456200000003</v>
      </c>
      <c r="O185" s="3">
        <f>1526.9+(33-913.3)+(0+(0-0))+0-0-0</f>
        <v>646.60000000000014</v>
      </c>
      <c r="P185" s="3">
        <f>1570.6+(40.5-900.3)+(0+(0-0))+0-0-0</f>
        <v>710.8</v>
      </c>
      <c r="Q185" s="3">
        <f>1572.6+(62.9-902.9)+(-1.604052+(-0.064158--0.920958))+0-0-0</f>
        <v>731.85274799999991</v>
      </c>
      <c r="R185" s="3">
        <f>1593.7+(59-966.1)+(0+(0-0))+0-0-0</f>
        <v>686.6</v>
      </c>
      <c r="S185" s="3">
        <f>1669.7+(59.5-1033.6)+(0+(0-0))+0-0-0</f>
        <v>695.60000000000014</v>
      </c>
      <c r="T185" s="3">
        <f>1668.1+(75-1061.3)+(0+(0-0))+0-0-0</f>
        <v>681.8</v>
      </c>
      <c r="U185" s="3">
        <f>1658.7+(73.6-1061.3)+(0+(0-0))+0-0-0</f>
        <v>671.00000000000011</v>
      </c>
      <c r="V185" s="3">
        <f>1666.2+(67-1071.6)+(0+(0-0))+0-0-0</f>
        <v>661.60000000000014</v>
      </c>
      <c r="W185" s="3">
        <f>1642.7+(77.3-1065.4)+(0+(0-0))+0-0-0</f>
        <v>654.59999999999991</v>
      </c>
      <c r="X185" s="3">
        <f>1629.2+(51-1038.9)+(0+(0-0))+0-0-0</f>
        <v>641.29999999999995</v>
      </c>
      <c r="Y185" s="3">
        <f>1653.1+(43.3-984.1)+(0+(0-0))+0-0-0</f>
        <v>712.29999999999984</v>
      </c>
      <c r="Z185" s="3">
        <f>1651.5+(32.1-922.3)+(0+(0-0))+0-0-0</f>
        <v>761.30000000000007</v>
      </c>
      <c r="AA185" s="3">
        <f>1652.7+(0-909.6)+(0+(0-0))+0-0-0</f>
        <v>743.1</v>
      </c>
      <c r="AB185" s="3">
        <f>1573.5+(0-863.5)+(0+(0-0))+0-0-0</f>
        <v>710</v>
      </c>
      <c r="AC185" s="3">
        <f>1507.2+(0-846.9)+(0+(0-0))+0-0-0</f>
        <v>660.30000000000007</v>
      </c>
      <c r="AD185" s="2">
        <v>759.10000000000014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1546+(0-900)+(-1.57692+(0--0.918))+0-0-0</f>
        <v>645.34108000000003</v>
      </c>
      <c r="G186" s="3">
        <f>1401.6+(0-830.8)+(-3.57408+(0--2.11854))+0-0-0</f>
        <v>569.34445999999991</v>
      </c>
      <c r="H186" s="3">
        <f>1170.3+(14.7-644.7)+(-0.596853+(-0.007497--0.328797))+0-0-0</f>
        <v>540.02444700000001</v>
      </c>
      <c r="I186" s="3">
        <f>1155.3+(18.3-645.6)+(-1.178406+(-0.018666--0.658512))+0-0-0</f>
        <v>527.46143999999993</v>
      </c>
      <c r="J186" s="3">
        <f>1164.2+(1.1-643.6)+(0.593742+(0.000561-0.328236))+0-0-0</f>
        <v>521.96606700000007</v>
      </c>
      <c r="K186" s="3">
        <f>1154+(0-644.3)+(-3.53124+(0--1.971558))+0-0-0</f>
        <v>508.14031800000004</v>
      </c>
      <c r="L186" s="3">
        <f>1239.2+(0-756.1)+(-0.631992+(0--0.385611))+0-0-0</f>
        <v>482.85361900000004</v>
      </c>
      <c r="M186" s="3">
        <f>1486.8+(0-967.3)+(0.758268+(0-0.493323))+0-0-0</f>
        <v>519.76494500000001</v>
      </c>
      <c r="N186" s="3">
        <f>1431.6+(9.8-867.5)+(-2.190348+(-0.014994--1.327275))+0-0-0</f>
        <v>573.02193299999988</v>
      </c>
      <c r="O186" s="3">
        <f>1457.6+(14.8-842.6)+(-4.460256+(-0.045288--2.578356))+0-0-0</f>
        <v>627.87281199999984</v>
      </c>
      <c r="P186" s="3">
        <f>1471.4+(48.2-839.5)+(-3.001656+(-0.098328--1.71258))+0-0-0</f>
        <v>678.71259600000019</v>
      </c>
      <c r="Q186" s="3">
        <f>1483.4+(40.2-835.9)+(3.026136+(0.082008-1.705236))+0-0-0</f>
        <v>689.10290800000018</v>
      </c>
      <c r="R186" s="3">
        <f>1476.6+(0-810.8)+(0.753066+(0-0.413508))+0-0-0</f>
        <v>666.13955799999997</v>
      </c>
      <c r="S186" s="3">
        <f>1472.3+(0-827.6)+(0.750873+(0-0.422076))+0-0-0</f>
        <v>645.02879699999994</v>
      </c>
      <c r="T186" s="3">
        <f>1463.2+(0-831.9)+(-2.984928+(0--1.697076))+0-0-0</f>
        <v>630.01214800000002</v>
      </c>
      <c r="U186" s="3">
        <f>1462.3+(0-837.7)+(-2.983092+(0--1.708908))+0-0-0</f>
        <v>623.32581599999992</v>
      </c>
      <c r="V186" s="3">
        <f>1451.1+(0-842.9)+(-5.180427+(0--3.009153))+0-0-0</f>
        <v>606.02872599999989</v>
      </c>
      <c r="W186" s="3">
        <f>1386.6+(0-792)+(-0.707166+(0--0.40392))+0-0-0</f>
        <v>594.29675399999996</v>
      </c>
      <c r="X186" s="3">
        <f>1476+(21.1-812.8)+(-1.50552+(-0.021522--0.829056))+0-0-0</f>
        <v>683.60201400000005</v>
      </c>
      <c r="Y186" s="3">
        <f>1493.3+(53.7-797.6)+(-2.284749+(-0.082161--1.220328))+0-0-0</f>
        <v>748.25341800000001</v>
      </c>
      <c r="Z186" s="3">
        <f>1479.3+(69.4-805.6)+(-3.017772+(-0.141576--1.643424))+0-0-0</f>
        <v>741.58407599999987</v>
      </c>
      <c r="AA186" s="3">
        <f>1423.2+(45.1-751.3)+(-2.903328+(-0.092004--1.532652))+0-0-0</f>
        <v>715.53732000000014</v>
      </c>
      <c r="AB186" s="3">
        <f>1310.1+(37.1-652)+(-1.336302+(-0.037842--0.66504))+0-0-0</f>
        <v>694.49089599999991</v>
      </c>
      <c r="AC186" s="3">
        <f>1264.7+(15.1-627.1)+(-3.869982+(-0.046206--1.918926))+0-0-0</f>
        <v>650.70273800000007</v>
      </c>
      <c r="AD186" s="2">
        <v>721.69999999999993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1205.3+(2.4-652.4)+(0+(0-0))+0-0-0</f>
        <v>555.29999999999995</v>
      </c>
      <c r="G187" s="3">
        <f>1196.7+(6.5-695.8)+(-1.830951+(-0.009945--1.064574))+0-0-0</f>
        <v>506.6236780000001</v>
      </c>
      <c r="H187" s="3">
        <f>1172.4+(8.4-703)+(-1.195848+(-0.008568--0.71706))+0-0-0</f>
        <v>477.31264400000009</v>
      </c>
      <c r="I187" s="3">
        <f>1116.5+(15-664.6)+(-1.708245+(-0.02295--1.016838))+0-0-0</f>
        <v>466.18564299999997</v>
      </c>
      <c r="J187" s="3">
        <f>1124.2+(9.2-667.9)+(0+(0-0))+0-0-0</f>
        <v>465.50000000000011</v>
      </c>
      <c r="K187" s="3">
        <f>1124.5+(2.2-669.2)+(-1.14699+(-0.002244--0.682584))+0-0-0</f>
        <v>457.03334999999998</v>
      </c>
      <c r="L187" s="3">
        <f>1126.8+(0-664.3)+(0+(0-0))+0-0-0</f>
        <v>462.5</v>
      </c>
      <c r="M187" s="3">
        <f>1262.6+(0-746.4)+(-0.643926+(0--0.380664))+0-0-0</f>
        <v>515.93673799999988</v>
      </c>
      <c r="N187" s="3">
        <f>1570+(0-963.8)+(-1.6014+(0--0.983076))+0-0-0</f>
        <v>605.58167600000002</v>
      </c>
      <c r="O187" s="3">
        <f>1464.5+(13.4-806.1)+(1.49379+(0.013668-0.822222))+0-0-0</f>
        <v>672.48523599999999</v>
      </c>
      <c r="P187" s="3">
        <f>1522.3+(72.8-874.3)+(-0.776373+(-0.037128--0.445893))+0-0-0</f>
        <v>720.43239199999994</v>
      </c>
      <c r="Q187" s="3">
        <f>1579.5+(88.2-917.3)+(-0.805545+(-0.044982--0.467823))+0-0-0</f>
        <v>750.0172960000001</v>
      </c>
      <c r="R187" s="3">
        <f>1651.8+(84.8-994.1)+(-1.684836+(-0.086496--1.013982))+0-0-0</f>
        <v>741.74264999999991</v>
      </c>
      <c r="S187" s="3">
        <f>1633.1+(104.4-1012.9)+(-2.498643+(-0.159732--1.549737))+0-0-0</f>
        <v>723.49136199999987</v>
      </c>
      <c r="T187" s="3">
        <f>1617.1+(110.7-1022)+(-2.474163+(-0.169371--1.56366))+0-0-0</f>
        <v>704.72012599999994</v>
      </c>
      <c r="U187" s="3">
        <f>1620.6+(107.3-1032.7)+(-2.479518+(-0.164169--1.580031))+0-0-0</f>
        <v>694.13634399999978</v>
      </c>
      <c r="V187" s="3">
        <f>1612.7+(98.6-1028.3)+(-4.112385+(-0.25143--2.622165))+0-0-0</f>
        <v>681.25835000000006</v>
      </c>
      <c r="W187" s="3">
        <f>1632.3+(103.8-1059.3)+(-2.497419+(-0.158814--1.620729))+0-0-0</f>
        <v>675.76449600000001</v>
      </c>
      <c r="X187" s="3">
        <f>1621.5+(71.1-961.2)+(0+(0-0))+0-0-0</f>
        <v>731.4</v>
      </c>
      <c r="Y187" s="3">
        <f>1686.8+(30.5-933.2)+(-4.30134+(-0.077775--2.37966))+0-0-0</f>
        <v>782.1005449999999</v>
      </c>
      <c r="Z187" s="3">
        <f>1686.3+(94-985)+(-3.440052+(-0.19176--2.0094))+0-0-0</f>
        <v>793.6775879999999</v>
      </c>
      <c r="AA187" s="3">
        <f>1688+(85.1-999.4)+(-3.44352+(-0.173604--2.038776))+0-0-0</f>
        <v>772.12165200000004</v>
      </c>
      <c r="AB187" s="3">
        <f>1690.5+(46.7-1005.3)+(-3.44862+(-0.095268--2.050812))+0-0-0</f>
        <v>730.40692400000012</v>
      </c>
      <c r="AC187" s="3">
        <f>1692.9+(0-1027.9)+(-2.590137+(0--1.572687))+0-0-0</f>
        <v>663.98254999999995</v>
      </c>
      <c r="AD187" s="2">
        <v>776.6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1627.4+(0-1006.8)+(-0.829974+(0--0.513468))+0-0-0</f>
        <v>620.28349400000013</v>
      </c>
      <c r="G188" s="3">
        <f>1437.3+(0-877.8)+(-2.932092+(0--1.790712))+0-0-0</f>
        <v>558.35861999999997</v>
      </c>
      <c r="H188" s="3">
        <f>1390+(0-846.6)+(-2.1267+(0--1.295298))+0-0-0</f>
        <v>542.56859799999995</v>
      </c>
      <c r="I188" s="3">
        <f>1311.5+(0-777.5)+(-2.006595+(0--1.189575))+0-0-0</f>
        <v>533.18298000000004</v>
      </c>
      <c r="J188" s="3">
        <f>1311.2+(0-784.3)+(1.337424+(0-0.799986))+0-0-0</f>
        <v>527.43743800000004</v>
      </c>
      <c r="K188" s="3">
        <f>1302.8+(0-783.5)+(-1.993284+(0--1.198755))+0-0-0</f>
        <v>518.50547099999994</v>
      </c>
      <c r="L188" s="3">
        <f>1312.3+(0-808.5)+(1.338546+(0-0.82467))+0-0-0</f>
        <v>504.31387599999994</v>
      </c>
      <c r="M188" s="3">
        <f>1386.1+(0-836.8)+(1.413822+(0-0.853536))+0-0-0</f>
        <v>549.86028599999997</v>
      </c>
      <c r="N188" s="3">
        <f>1471.5+(30.3-880.8)+(0.750465+(0.015453-0.449208))+0-0-0</f>
        <v>621.31670999999994</v>
      </c>
      <c r="O188" s="3">
        <f>1465.5+(73.8-837.9)+(-0.747405+(-0.037638--0.427329))+0-0-0</f>
        <v>701.04228599999999</v>
      </c>
      <c r="P188" s="3">
        <f>1458.5+(163.5-876.2)+(-2.231505+(-0.250155--1.340586))+0-0-0</f>
        <v>744.65892599999995</v>
      </c>
      <c r="Q188" s="3">
        <f>1490.2+(251.5-949.2)+(-0.760002+(-0.128265--0.484092))+0-0-0</f>
        <v>792.09582499999999</v>
      </c>
      <c r="R188" s="3">
        <f>1487.3+(252.4-950.7)+(2.275569+(0.386172-1.454571))+0-0-0</f>
        <v>790.20716999999991</v>
      </c>
      <c r="S188" s="3">
        <f>1479+(257.4-920.6)+(1.50858+(0.262548-0.939012))+0-0-0</f>
        <v>816.632116</v>
      </c>
      <c r="T188" s="3">
        <f>1470.5+(257.1-922.1)+(-1.49991+(-0.262242--0.940542))+0-0-0</f>
        <v>804.67839000000004</v>
      </c>
      <c r="U188" s="3">
        <f>1454.4+(250-947.2)+(-3.70872+(-0.6375--2.41536))+0-0-0</f>
        <v>755.26913999999999</v>
      </c>
      <c r="V188" s="3">
        <f>1463.8+(167-902.3)+(-3.73269+(-0.42585--2.300865))+0-0-0</f>
        <v>726.64232500000003</v>
      </c>
      <c r="W188" s="3">
        <f>1522.9+(104.4-914.3)+(-1.553358+(-0.106488--0.932586))+0-0-0</f>
        <v>712.27274000000011</v>
      </c>
      <c r="X188" s="3">
        <f>1537.3+(78.8-822.4)+(-0.784023+(-0.040188--0.419424))+0-0-0</f>
        <v>793.29521299999988</v>
      </c>
      <c r="Y188" s="3">
        <f>1586.9+(88.6-825.2)+(-3.237276+(-0.180744--1.683408))+0-0-0</f>
        <v>848.5653880000001</v>
      </c>
      <c r="Z188" s="3">
        <f>1566.8+(153.5-868.4)+(-2.397204+(-0.234855--1.328652))+0-0-0</f>
        <v>850.59659299999998</v>
      </c>
      <c r="AA188" s="3">
        <f>1557.7+(145-907.1)+(-4.766562+(-0.4437--2.775726))+0-0-0</f>
        <v>793.16546400000004</v>
      </c>
      <c r="AB188" s="3">
        <f>1568.3+(18.1-858.1)+(-2.399499+(-0.027693--1.312893))+0-0-0</f>
        <v>727.18570099999999</v>
      </c>
      <c r="AC188" s="3">
        <f>1424.1+(27.5-798.1)+(0+(0-0))+0-0-0</f>
        <v>653.49999999999989</v>
      </c>
      <c r="AD188" s="2">
        <v>817.2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1194.8+(9.7-672)+(-0.609348+(-0.004947--0.34272))+0-0-0</f>
        <v>532.22842500000002</v>
      </c>
      <c r="G189" s="3">
        <f>1157.6+(9.1-674.3)+(-2.361504+(-0.018564--1.375572))+0-0-0</f>
        <v>491.39550399999996</v>
      </c>
      <c r="H189" s="3">
        <f>1141.2+(12.3-690.1)+(-0.582012+(-0.006273--0.351951))+0-0-0</f>
        <v>463.16366599999998</v>
      </c>
      <c r="I189" s="3">
        <f>1146.7+(15.9-714)+(-1.169634+(-0.016218--0.72828))+0-0-0</f>
        <v>448.142428</v>
      </c>
      <c r="J189" s="3">
        <f>1164.6+(17.8-748.3)+(1.781838+(0.027234-1.144899))+0-0-0</f>
        <v>434.76417299999991</v>
      </c>
      <c r="K189" s="3">
        <f>1145.4+(15.3-750)+(-1.752462+(-0.023409--1.1475))+0-0-0</f>
        <v>410.07162900000003</v>
      </c>
      <c r="L189" s="3">
        <f>1148.1+(27-772.5)+(-0.585531+(-0.01377--0.393975))+0-0-0</f>
        <v>402.3946739999999</v>
      </c>
      <c r="M189" s="3">
        <f>1144+(25.8-759.8)+(2.33376+(0.052632-1.549992))+0-0-0</f>
        <v>410.83640000000003</v>
      </c>
      <c r="N189" s="3">
        <f>1135.5+(11.2-700)+(-0.579105+(-0.005712--0.357))+0-0-0</f>
        <v>446.47218300000003</v>
      </c>
      <c r="O189" s="3">
        <f>1374.2+(0-874.1)+(0.700842+(0-0.445791))+0-0-0</f>
        <v>500.355051</v>
      </c>
      <c r="P189" s="3">
        <f>1412.7+(0-870.7)+(0+(0-0))+0-0-0</f>
        <v>542</v>
      </c>
      <c r="Q189" s="3">
        <f>1421.8+(117-952.5)+(1.450236+(0.11934-0.97155))+0-0-0</f>
        <v>586.89802599999996</v>
      </c>
      <c r="R189" s="3">
        <f>1408+(143.9-974.1)+(-2.15424+(-0.220167--1.490373))+0-0-0</f>
        <v>576.91596599999991</v>
      </c>
      <c r="S189" s="3">
        <f>1404.5+(152.7-991.8)+(-2.148885+(-0.233631--1.517454))+0-0-0</f>
        <v>564.53493800000012</v>
      </c>
      <c r="T189" s="3">
        <f>1400.4+(155.9-996.3)+(-3.57102+(-0.397545--2.540565))+0-0-0</f>
        <v>558.57200000000012</v>
      </c>
      <c r="U189" s="3">
        <f>1396.4+(150.7-992.4)+(-4.272984+(-0.461142--3.036744))+0-0-0</f>
        <v>553.0026180000001</v>
      </c>
      <c r="V189" s="3">
        <f>1391.2+(127.5-953.9)+(-4.966584+(-0.455175--3.405423))+0-0-0</f>
        <v>562.78366400000004</v>
      </c>
      <c r="W189" s="3">
        <f>1318.8+(136.2-881.4)+(-1.345176+(-0.138924--0.899028))+0-0-0</f>
        <v>573.01492799999994</v>
      </c>
      <c r="X189" s="3">
        <f>1395+(109.9-837)+(-2.13435+(-0.168147--1.28061))+0-0-0</f>
        <v>666.87811299999998</v>
      </c>
      <c r="Y189" s="3">
        <f>1398+(53.2-800)+(-2.85192+(-0.108528--1.632))+0-0-0</f>
        <v>649.87155200000007</v>
      </c>
      <c r="Z189" s="3">
        <f>1437.5+(79.2-827)+(-3.665625+(-0.20196--2.10885))+0-0-0</f>
        <v>687.94126500000004</v>
      </c>
      <c r="AA189" s="3">
        <f>1424+(92-850.2)+(-4.35744+(-0.28152--2.601612))+0-0-0</f>
        <v>663.762652</v>
      </c>
      <c r="AB189" s="3">
        <f>1412.1+(43.3-843.1)+(-2.880684+(-0.088332--1.719924))+0-0-0</f>
        <v>611.05090799999982</v>
      </c>
      <c r="AC189" s="3">
        <f>1414.6+(1.9-841.5)+(-3.60723+(-0.004845--2.145825))+0-0-0</f>
        <v>573.53374999999994</v>
      </c>
      <c r="AD189" s="2">
        <v>736.5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1323.2+(0-784.8)+(-0.674832+(0--0.400248))+0-0-0</f>
        <v>538.12541600000009</v>
      </c>
      <c r="G190" s="3">
        <f>1166.6+(0-667.3)+(-1.189932+(0--0.680646))+0-0-0</f>
        <v>498.79071399999998</v>
      </c>
      <c r="H190" s="3">
        <f>1052.4+(3.1-590.2)+(-0.536724+(-0.001581--0.301002))+0-0-0</f>
        <v>465.06269700000007</v>
      </c>
      <c r="I190" s="3">
        <f>1042.1+(1.3-589.4)+(-2.657355+(-0.003315--1.50297))+0-0-0</f>
        <v>452.84229999999991</v>
      </c>
      <c r="J190" s="3">
        <f>1058.6+(3.1-596.8)+(0.539886+(0.001581-0.304368))+0-0-0</f>
        <v>465.13709899999998</v>
      </c>
      <c r="K190" s="3">
        <f>1051.2+(8.8-598.3)+(-2.68056+(-0.02244--1.525665))+0-0-0</f>
        <v>460.52266500000002</v>
      </c>
      <c r="L190" s="3">
        <f>1056.2+(0-599.9)+(-0.538662+(0--0.305949))+0-0-0</f>
        <v>456.06728700000008</v>
      </c>
      <c r="M190" s="3">
        <f>1109.4+(9.5-679)+(-0.565794+(-0.004845--0.34629))+0-0-0</f>
        <v>439.67565100000007</v>
      </c>
      <c r="N190" s="3">
        <f>1279+(33.6-922.8)+(0+(0-0))+0-0-0</f>
        <v>389.80000000000007</v>
      </c>
      <c r="O190" s="3">
        <f>1289.1+(102.6-890.2)+(0+(0-0))+0-0-0</f>
        <v>501.49999999999989</v>
      </c>
      <c r="P190" s="3">
        <f>1359.1+(99.5-908)+(-1.386282+(-0.10149--0.92616))+0-0-0</f>
        <v>550.03838799999994</v>
      </c>
      <c r="Q190" s="3">
        <f>1387+(103.1-904.3)+(-0.70737+(-0.052581--0.461193))+0-0-0</f>
        <v>585.50124200000005</v>
      </c>
      <c r="R190" s="3">
        <f>1346+(157.6-867.3)+(-1.37292+(-0.160752--0.884646))+0-0-0</f>
        <v>635.65097400000002</v>
      </c>
      <c r="S190" s="3">
        <f>1408+(119-936)+(-2.15424+(-0.18207--1.43208))+0-0-0</f>
        <v>590.09577000000002</v>
      </c>
      <c r="T190" s="3">
        <f>1431+(103.1-933.4)+(-0.72981+(-0.052581--0.476034))+0-0-0</f>
        <v>600.393643</v>
      </c>
      <c r="U190" s="3">
        <f>1462+(92.5-1022.4)+(-3.7281+(-0.235875--2.60712))+0-0-0</f>
        <v>530.74314500000003</v>
      </c>
      <c r="V190" s="3">
        <f>1474+(15.3-921.6)+(-1.50348+(-0.015606--0.940032))+0-0-0</f>
        <v>567.12094599999989</v>
      </c>
      <c r="W190" s="3">
        <f>1489+(10.7-909.8)+(-2.27817+(-0.016371--1.391994))+0-0-0</f>
        <v>588.99745300000006</v>
      </c>
      <c r="X190" s="3">
        <f>1508+(0-837)+(-0.76908+(0--0.42687))+0-0-0</f>
        <v>670.65778999999998</v>
      </c>
      <c r="Y190" s="3">
        <f>1511+(0-863.8)+(-4.62366+(0--2.643228))+0-0-0</f>
        <v>645.21956800000009</v>
      </c>
      <c r="Z190" s="3">
        <f>1530+(13.5-886.1)+(-0.7803+(-0.006885--0.451911))+0-0-0</f>
        <v>657.06472599999995</v>
      </c>
      <c r="AA190" s="3">
        <f>1491+(39.3-921)+(-0.76041+(-0.020043--0.46971))+0-0-0</f>
        <v>608.98925699999995</v>
      </c>
      <c r="AB190" s="3">
        <f>1456+(27.2-840.6)+(-3.7128+(-0.06936--2.14353))+0-0-0</f>
        <v>640.96136999999999</v>
      </c>
      <c r="AC190" s="3">
        <f>1389+(0-859.1)+(-2.12517+(0--1.314423))+0-0-0</f>
        <v>529.08925299999999</v>
      </c>
      <c r="AD190" s="2">
        <v>721.7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1297+(0-779.5)+(-2.64588+(0--1.59018))+0-0-0</f>
        <v>516.4443</v>
      </c>
      <c r="G191" s="3">
        <f>1141+(3.6-709.4)+(-2.90955+(-0.00918--1.80897))+0-0-0</f>
        <v>434.09024000000005</v>
      </c>
      <c r="H191" s="3">
        <f>1140+(3.9-687.5)+(-2.907+(-0.009945--1.753125))+0-0-0</f>
        <v>455.23617999999999</v>
      </c>
      <c r="I191" s="3">
        <f>1141+(0-718.6)+(-0.58191+(0--0.366486))+0-0-0</f>
        <v>422.18457599999999</v>
      </c>
      <c r="J191" s="3">
        <f>1144+(0-729.1)+(-1.16688+(0--0.743682))+0-0-0</f>
        <v>414.47680199999996</v>
      </c>
      <c r="K191" s="3">
        <f>1148+(0-701.5)+(-2.9274+(0--1.788825))+0-0-0</f>
        <v>445.361425</v>
      </c>
      <c r="L191" s="3">
        <f>1151+(0-718.3)+(0+(0-0))+0-0-0</f>
        <v>432.70000000000005</v>
      </c>
      <c r="M191" s="3">
        <f>1150+(0-718.1)+(-0.5865+(0--0.366231))+0-0-0</f>
        <v>431.679731</v>
      </c>
      <c r="N191" s="3">
        <f>1286+(12.5-780.1)+(-1.31172+(-0.01275--0.795702))+0-0-0</f>
        <v>517.87123199999996</v>
      </c>
      <c r="O191" s="3">
        <f>1281+(83.2-772.9)+(-0.65331+(-0.042432--0.394179))+0-0-0</f>
        <v>590.99843700000008</v>
      </c>
      <c r="P191" s="3">
        <f>1353+(112.8-890.4)+(1.38006+(0.115056-0.908208))+0-0-0</f>
        <v>575.98690799999997</v>
      </c>
      <c r="Q191" s="3">
        <f>1368+(123.9-925.9)+(0+(0-0))+0-0-0</f>
        <v>566</v>
      </c>
      <c r="R191" s="3">
        <f>1453+(132.1-969)+(0.74103+(0.067371-0.49419))+0-0-0</f>
        <v>616.41421100000002</v>
      </c>
      <c r="S191" s="3">
        <f>1435+(146-994.5)+(1.4637+(0.14892-1.01439))+0-0-0</f>
        <v>587.09822999999994</v>
      </c>
      <c r="T191" s="3">
        <f>1449+(150.9-1004.8)+(-1.47798+(-0.153918--1.024896))+0-0-0</f>
        <v>594.49299800000006</v>
      </c>
      <c r="U191" s="3">
        <f>1416+(156.6-998.1)+(-5.05512+(-0.559062--3.563217))+0-0-0</f>
        <v>572.44903499999998</v>
      </c>
      <c r="V191" s="3">
        <f>1256+(126.9-859.6)+(-1.28112+(-0.129438--0.876792))+0-0-0</f>
        <v>522.76623399999994</v>
      </c>
      <c r="W191" s="3">
        <f>1406+(125.5-747.7)+(0+(0-0))+0-0-0</f>
        <v>783.8</v>
      </c>
      <c r="X191" s="3">
        <f>1407+(87.2-718.5)+(-0.71757+(-0.044472--0.366435))+0-0-0</f>
        <v>775.304393</v>
      </c>
      <c r="Y191" s="3">
        <f>1310+(56.4-628.7)+(-2.6724+(-0.115056--1.282548))+0-0-0</f>
        <v>736.19509199999993</v>
      </c>
      <c r="Z191" s="3">
        <f>1247.2+(74.3-607.2)+(-1.272144+(-0.075786--0.619344))+0-0-0</f>
        <v>713.571414</v>
      </c>
      <c r="AA191" s="3">
        <f>1289.7+(19.9-630.7)+(-0.657747+(-0.010149--0.321657))+0-0-0</f>
        <v>678.55376100000001</v>
      </c>
      <c r="AB191" s="3">
        <f>1278.4+(7.9-639.1)+(-4.563888+(-0.028203--2.281587))+0-0-0</f>
        <v>644.88949600000001</v>
      </c>
      <c r="AC191" s="3">
        <f>1298.5+(16.2-721.6)+(0.662235+(0.008262-0.368016))+0-0-0</f>
        <v>593.40248099999997</v>
      </c>
      <c r="AD191" s="2">
        <v>722.9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1289.1+(14.9-743.7)+(-1.972323+(-0.022797--1.137861))+0-0-0</f>
        <v>559.44274099999984</v>
      </c>
      <c r="G192" s="3">
        <f>1269.2+(10.5-752.5)+(-1.941876+(-0.016065--1.151325))+0-0-0</f>
        <v>526.39338400000008</v>
      </c>
      <c r="H192" s="3">
        <f>1260.6+(15.4-768.4)+(-3.21453+(-0.03927--1.95942))+0-0-0</f>
        <v>506.30561999999992</v>
      </c>
      <c r="I192" s="3">
        <f>1267.1+(17.3-793)+(-1.292442+(-0.017646--0.80886))+0-0-0</f>
        <v>490.89877199999984</v>
      </c>
      <c r="J192" s="3">
        <f>1273+(10.2-792.8)+(0+(0-0))+0-0-0</f>
        <v>490.40000000000009</v>
      </c>
      <c r="K192" s="3">
        <f>1266.3+(8.7-791)+(-1.937439+(-0.013311--1.21023))+0-0-0</f>
        <v>483.25948</v>
      </c>
      <c r="L192" s="3">
        <f>1188.6+(1.2-722.9)+(0.606186+(0.000612-0.368679))+0-0-0</f>
        <v>467.13811899999996</v>
      </c>
      <c r="M192" s="3">
        <f>1343.3+(0-834.5)+(-0.685083+(0--0.425595))+0-0-0</f>
        <v>508.54051199999998</v>
      </c>
      <c r="N192" s="3">
        <f>1398.6+(0-817.6)+(-1.426572+(0--0.833952))+0-0-0</f>
        <v>580.40737999999988</v>
      </c>
      <c r="O192" s="3">
        <f>1462+(46.3-862.9)+(-0.74562+(-0.023613--0.440079))+0-0-0</f>
        <v>645.07084599999996</v>
      </c>
      <c r="P192" s="3">
        <f>1495.1+(109.7-925.7)+(1.525002+(0.111894-0.944214))+0-0-0</f>
        <v>679.7926819999999</v>
      </c>
      <c r="Q192" s="3">
        <f>1499.6+(105.8-916.6)+(2.294388+(0.161874-1.402398))+0-0-0</f>
        <v>689.85386399999982</v>
      </c>
      <c r="R192" s="3">
        <f>1487.4+(102.4-907.8)+(-2.275722+(-0.156672--1.388934))+0-0-0</f>
        <v>680.95654000000013</v>
      </c>
      <c r="S192" s="3">
        <f>1488.3+(101.3-937.4)+(0+(0-0))+0-0-0</f>
        <v>652.19999999999993</v>
      </c>
      <c r="T192" s="3">
        <f>1486.3+(121.9-973.1)+(-2.274039+(-0.186507--1.488843))+0-0-0</f>
        <v>634.12829699999986</v>
      </c>
      <c r="U192" s="3">
        <f>1462.4+(125.3-965.7)+(-4.474944+(-0.383418--2.955042))+0-0-0</f>
        <v>620.09667999999999</v>
      </c>
      <c r="V192" s="3">
        <f>1458.5+(104.7-949.4)+(-4.46301+(-0.320382--2.905164))+0-0-0</f>
        <v>611.92177200000003</v>
      </c>
      <c r="W192" s="3">
        <f>1469.6+(114.2-951.6)+(-2.997984+(-0.232968--1.941264))+0-0-0</f>
        <v>630.91031199999998</v>
      </c>
      <c r="X192" s="3">
        <f>1523.1+(91.3-878.5)+(0+(0-0))+0-0-0</f>
        <v>735.89999999999986</v>
      </c>
      <c r="Y192" s="3">
        <f>1545.5+(71.9-862.9)+(-7.093845+(-0.330021--3.960711))+0-0-0</f>
        <v>751.03684499999997</v>
      </c>
      <c r="Z192" s="3">
        <f>1535.6+(126-919.8)+(-3.91578+(-0.3213--2.34549))+0-0-0</f>
        <v>739.90841</v>
      </c>
      <c r="AA192" s="3">
        <f>1534.9+(77.9-916.5)+(-2.348397+(-0.119187--1.402245))+0-0-0</f>
        <v>695.23466100000007</v>
      </c>
      <c r="AB192" s="3">
        <f>1540+(29.6-903.3)+(-2.3562+(-0.045288--1.382049))+0-0-0</f>
        <v>665.28056100000003</v>
      </c>
      <c r="AC192" s="3">
        <f>1442.7+(30.3-864.6)+(-2.207331+(-0.046359--1.322838))+0-0-0</f>
        <v>607.46914800000002</v>
      </c>
      <c r="AD192" s="2">
        <v>716.3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1325.6+(26.6-832)+(-2.704224+(-0.054264--1.69728))+0-0-0</f>
        <v>519.13879199999997</v>
      </c>
      <c r="G193" s="3">
        <f>1220.1+(17-734.7)+(0.622251+(0.00867-0.374697))+0-0-0</f>
        <v>502.65622399999984</v>
      </c>
      <c r="H193" s="3">
        <f>1190.2+(18.3-734.8)+(-0.607002+(-0.009333--0.374748))+0-0-0</f>
        <v>473.45841300000006</v>
      </c>
      <c r="I193" s="3">
        <f>1181.6+(21.5-751.3)+(-1.807848+(-0.032895--1.149489))+0-0-0</f>
        <v>451.10874599999994</v>
      </c>
      <c r="J193" s="3">
        <f>1187.7+(14.4-754.5)+(-0.605727+(-0.007344--0.384795))+0-0-0</f>
        <v>447.37172400000003</v>
      </c>
      <c r="K193" s="3">
        <f>1179.9+(10.3-754.6)+(-3.008745+(-0.026265--1.92423))+0-0-0</f>
        <v>434.48922000000005</v>
      </c>
      <c r="L193" s="3">
        <f>1191.3+(7.5-798.5)+(0+(0-0))+0-0-0</f>
        <v>400.29999999999995</v>
      </c>
      <c r="M193" s="3">
        <f>1265.4+(11.8-860.5)+(-3.872124+(-0.036108--2.63313))+0-0-0</f>
        <v>415.42489800000004</v>
      </c>
      <c r="N193" s="3">
        <f>1293.7+(18.7-853.3)+(-0.659787+(-0.009537--0.435183))+0-0-0</f>
        <v>458.86585900000011</v>
      </c>
      <c r="O193" s="3">
        <f>1283.1+(9.1-807.7)+(-1.963143+(-0.013923--1.235781))+0-0-0</f>
        <v>483.75871499999988</v>
      </c>
      <c r="P193" s="3">
        <f>1283.2+(24.9-793.9)+(-1.963296+(-0.038097--1.214667))+0-0-0</f>
        <v>513.413274</v>
      </c>
      <c r="Q193" s="3">
        <f>1287.8+(53.5-808.7)+(-1.313556+(-0.05457--0.824874))+0-0-0</f>
        <v>532.05674799999986</v>
      </c>
      <c r="R193" s="3">
        <f>1303.4+(70.9-845.3)+(1.329468+(0.072318-0.862206))+0-0-0</f>
        <v>529.53958000000011</v>
      </c>
      <c r="S193" s="3">
        <f>1285.3+(83.5-857.8)+(-1.966509+(-0.127755--1.312434))+0-0-0</f>
        <v>510.21816999999999</v>
      </c>
      <c r="T193" s="3">
        <f>1282.1+(97.4-883.5)+(-1.961613+(-0.149022--1.351755))+0-0-0</f>
        <v>495.24111999999991</v>
      </c>
      <c r="U193" s="3">
        <f>1286.8+(87.7-897.8)+(-3.28134+(-0.223635--2.28939))+0-0-0</f>
        <v>475.48441500000007</v>
      </c>
      <c r="V193" s="3">
        <f>1273.2+(64.1-861.2)+(-3.24666+(-0.163455--2.19606))+0-0-0</f>
        <v>474.88594500000005</v>
      </c>
      <c r="W193" s="3">
        <f>1255.7+(62.1-823.4)+(-1.280814+(-0.063342--0.839868))+0-0-0</f>
        <v>493.89571200000012</v>
      </c>
      <c r="X193" s="3">
        <f>1307.3+(33.4-752.5)+(-0.666723+(-0.017034--0.383775))+0-0-0</f>
        <v>587.90001799999993</v>
      </c>
      <c r="Y193" s="3">
        <f>1308.7+(37.8-727.3)+(-1.334874+(-0.038556--0.741846))+0-0-0</f>
        <v>618.56841600000007</v>
      </c>
      <c r="Z193" s="3">
        <f>1297+(50.1-741)+(-3.30735+(-0.127755--1.88955))+0-0-0</f>
        <v>604.55444499999999</v>
      </c>
      <c r="AA193" s="3">
        <f>1314.7+(42.3-762.9)+(-0.670497+(-0.021573--0.389079))+0-0-0</f>
        <v>593.797009</v>
      </c>
      <c r="AB193" s="3">
        <f>1304.2+(8.5-757.7)+(-3.32571+(-0.021675--1.932135))+0-0-0</f>
        <v>553.58474999999999</v>
      </c>
      <c r="AC193" s="3">
        <f>1325.4+(0-811.2)+(-1.351908+(0--0.827424))+0-0-0</f>
        <v>513.67551600000002</v>
      </c>
      <c r="AD193" s="2">
        <v>601.59999999999991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1204.6+(0-716.9)+(-3.07173+(0--1.828095))+0-0-0</f>
        <v>486.45636499999995</v>
      </c>
      <c r="G194" s="3">
        <f>979.9+(1.1-511.8)+(-1.499247+(-0.001683--0.783054))+0-0-0</f>
        <v>468.482124</v>
      </c>
      <c r="H194" s="3">
        <f>964.4+(2.8-524.7)+(-2.45922+(-0.00714--1.337985))+0-0-0</f>
        <v>441.37162499999988</v>
      </c>
      <c r="I194" s="3">
        <f>965.3+(2.6-521.7)+(-1.969212+(-0.005304--1.064268))+0-0-0</f>
        <v>445.28975199999991</v>
      </c>
      <c r="J194" s="3">
        <f>968.5+(2.7-512)+(-1.481805+(-0.004131--0.78336))+0-0-0</f>
        <v>458.49742399999997</v>
      </c>
      <c r="K194" s="3">
        <f>975.4+(1.7-519.2)+(-0.497454+(-0.000867--0.264792))+0-0-0</f>
        <v>457.666471</v>
      </c>
      <c r="L194" s="3">
        <f>982.3+(1.8-522.9)+(1.502919+(0.002754-0.800037))+0-0-0</f>
        <v>461.90563599999996</v>
      </c>
      <c r="M194" s="3">
        <f>1045.1+(6.2-540.1)+(1.599003+(0.009486-0.826353))+0-0-0</f>
        <v>511.98213599999991</v>
      </c>
      <c r="N194" s="3">
        <f>1201.8+(48.1-685.7)+(0+(0-0))+0-0-0</f>
        <v>564.19999999999993</v>
      </c>
      <c r="O194" s="3">
        <f>1203.2+(76-638.6)+(0+(0-0))+0-0-0</f>
        <v>640.6</v>
      </c>
      <c r="P194" s="3">
        <f>1257.9+(170.6-751.2)+(0+(0-0))+0-0-0</f>
        <v>677.30000000000007</v>
      </c>
      <c r="Q194" s="3">
        <f>1371.9+(218.5-898.8)+(-2.099007+(-0.334305--1.375164))+0-0-0</f>
        <v>690.54185200000018</v>
      </c>
      <c r="R194" s="3">
        <f>1367.6+(222.3-931.3)+(-4.184856+(-0.680238--2.849778))+0-0-0</f>
        <v>656.58468399999992</v>
      </c>
      <c r="S194" s="3">
        <f>1374.8+(222.8-967.2)+(-1.402296+(-0.227256--0.986544))+0-0-0</f>
        <v>629.75699199999985</v>
      </c>
      <c r="T194" s="3">
        <f>1371.1+(218.3-975.1)+(-0.699261+(-0.111333--0.497301))+0-0-0</f>
        <v>613.98670699999991</v>
      </c>
      <c r="U194" s="3">
        <f>1368.2+(217.9-986.7)+(-1.395564+(-0.222258--1.006434))+0-0-0</f>
        <v>598.78861199999994</v>
      </c>
      <c r="V194" s="3">
        <f>1353.2+(221.3-988.5)+(-2.070396+(-0.338589--1.512405))+0-0-0</f>
        <v>585.10342000000003</v>
      </c>
      <c r="W194" s="3">
        <f>1374.3+(222.4-1005)+(2.803572+(0.453696-2.0502))+0-0-0</f>
        <v>592.90706799999998</v>
      </c>
      <c r="X194" s="3">
        <f>1428.5+(207.2-939.9)+(1.45707+(0.211344-0.958698))+0-0-0</f>
        <v>696.50971599999991</v>
      </c>
      <c r="Y194" s="3">
        <f>1507.6+(157.6-936.6)+(1.537752+(0.160752-0.955332))+0-0-0</f>
        <v>729.34317199999987</v>
      </c>
      <c r="Z194" s="3">
        <f>1456.1+(161.8-889.8)+(0+(0-0))+0-0-0</f>
        <v>728.09999999999991</v>
      </c>
      <c r="AA194" s="3">
        <f>1249.3+(110.2-659.3)+(0.637143+(0.056202-0.336243))+0-0-0</f>
        <v>700.5571020000001</v>
      </c>
      <c r="AB194" s="3">
        <f>1179.4+(26.3-562.3)+(-3.00747+(-0.067065--1.433865))+0-0-0</f>
        <v>641.75933000000009</v>
      </c>
      <c r="AC194" s="3">
        <f>1119.7+(17.9-543.1)+(-2.284188+(-0.036516--1.107924))+0-0-0</f>
        <v>593.28722000000005</v>
      </c>
      <c r="AD194" s="2">
        <v>743.09999999999991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1114.4+(38.6-598.5)+(-2.273376+(-0.078744--1.22094))+0-0-0</f>
        <v>553.36882000000014</v>
      </c>
      <c r="G195" s="3">
        <f>1107.7+(9.4-607.3)+(-3.954489+(-0.033558--2.168061))+0-0-0</f>
        <v>507.98001400000004</v>
      </c>
      <c r="H195" s="3">
        <f>1040.7+(6.5-563.5)+(1.061514+(0.00663-0.57477))+0-0-0</f>
        <v>484.19337400000006</v>
      </c>
      <c r="I195" s="3">
        <f>1029.8+(6.8-561.2)+(-2.100792+(-0.013872--1.144848))+0-0-0</f>
        <v>474.43018399999988</v>
      </c>
      <c r="J195" s="3">
        <f>1040.4+(6.6-572.7)+(1.061208+(0.006732-0.584154))+0-0-0</f>
        <v>474.78378600000008</v>
      </c>
      <c r="K195" s="3">
        <f>1031.8+(5.9-566.5)+(-1.578654+(-0.009027--0.866745))+0-0-0</f>
        <v>470.47906399999994</v>
      </c>
      <c r="L195" s="3">
        <f>1036.7+(7.7-578.9)+(0+(0-0))+0-0-0</f>
        <v>465.50000000000011</v>
      </c>
      <c r="M195" s="3">
        <f>1268.5+(73.4-819.7)+(-1.940805+(-0.112302--1.254141))+0-0-0</f>
        <v>521.40103399999998</v>
      </c>
      <c r="N195" s="3">
        <f>1344.4+(167.4-884.3)+(0.685644+(0.085374-0.450993))+0-0-0</f>
        <v>627.8200250000001</v>
      </c>
      <c r="O195" s="3">
        <f>1325.9+(215.6-900.7)+(-1.352418+(-0.219912--0.918714))+0-0-0</f>
        <v>640.14638400000001</v>
      </c>
      <c r="P195" s="3">
        <f>1340.7+(211.9-877.2)+(-0.683757+(-0.108069--0.447372))+0-0-0</f>
        <v>675.05554599999994</v>
      </c>
      <c r="Q195" s="3">
        <f>1354.3+(208.2-863.2)+(2.072079+(0.318546-1.320696))+0-0-0</f>
        <v>700.36992899999996</v>
      </c>
      <c r="R195" s="3">
        <f>1331.9+(206.5-868.6)+(-2.717076+(-0.42126--1.771944))+0-0-0</f>
        <v>668.43360800000005</v>
      </c>
      <c r="S195" s="3">
        <f>1343.7+(225.2-920.6)+(2.741148+(0.459408-1.878024))+0-0-0</f>
        <v>649.62253199999998</v>
      </c>
      <c r="T195" s="3">
        <f>1323.1+(216-910.9)+(-0.674781+(-0.11016--0.464559))+0-0-0</f>
        <v>627.87961799999994</v>
      </c>
      <c r="U195" s="3">
        <f>1327.6+(195.1-899.8)+(-3.38538+(-0.497505--2.29449))+0-0-0</f>
        <v>621.31160499999999</v>
      </c>
      <c r="V195" s="3">
        <f>1258.3+(144.9-794.4)+(-4.492131+(-0.517293--2.836008))+0-0-0</f>
        <v>606.62658399999998</v>
      </c>
      <c r="W195" s="3">
        <f>1250.3+(113-740.5)+(-1.912959+(-0.17289--1.132965))+0-0-0</f>
        <v>621.84711599999991</v>
      </c>
      <c r="X195" s="3">
        <f>1277.6+(110.2-667.9)+(-2.606304+(-0.224808--1.362516))+0-0-0</f>
        <v>718.43140399999993</v>
      </c>
      <c r="Y195" s="3">
        <f>1304.3+(91.7-645.5)+(-3.325965+(-0.233835--1.646025))+0-0-0</f>
        <v>748.58622500000001</v>
      </c>
      <c r="Z195" s="3">
        <f>1304.8+(103.1-665)+(-2.661792+(-0.210324--1.3566))+0-0-0</f>
        <v>741.38448399999993</v>
      </c>
      <c r="AA195" s="3">
        <f>1223.9+(116.3-629.2)+(-3.120945+(-0.296565--1.60446))+0-0-0</f>
        <v>709.18695000000002</v>
      </c>
      <c r="AB195" s="3">
        <f>1200+(82.1-630.5)+(0.612+(0.041871-0.321555))+0-0-0</f>
        <v>651.93231600000001</v>
      </c>
      <c r="AC195" s="3">
        <f>1186.6+(62.5-653)+(-3.02583+(-0.159375--1.66515))+0-0-0</f>
        <v>594.57994499999995</v>
      </c>
      <c r="AD195" s="2">
        <v>720.80000000000007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1194.4+(12.3-667.9)+(-0.609144+(-0.006273--0.340629))+0-0-0</f>
        <v>538.52521200000012</v>
      </c>
      <c r="G196" s="3">
        <f>1177+(20.1-682.9)+(-0.60027+(-0.010251--0.348279))+0-0-0</f>
        <v>513.93775800000003</v>
      </c>
      <c r="H196" s="3">
        <f>1131.5+(26.8-666.7)+(1.731195+(0.041004-1.020051))+0-0-0</f>
        <v>492.35214799999989</v>
      </c>
      <c r="I196" s="3">
        <f>1132.2+(32.2-683)+(1.732266+(0.049266-1.04499))+0-0-0</f>
        <v>482.13654200000008</v>
      </c>
      <c r="J196" s="3">
        <f>1113.6+(27.4-660.7)+(-2.271744+(-0.055896--1.347828))+0-0-0</f>
        <v>479.32018799999986</v>
      </c>
      <c r="K196" s="3">
        <f>1118.3+(28.6-667.8)+(-1.710999+(-0.043758--1.021734))+0-0-0</f>
        <v>478.36697700000002</v>
      </c>
      <c r="L196" s="3">
        <f>1114.5+(57.6-699.8)+(-1.705185+(-0.088128--1.070694))+0-0-0</f>
        <v>471.57738100000006</v>
      </c>
      <c r="M196" s="3">
        <f>1216.7+(88.1-779.2)+(3.102585+(0.224655-1.98696))+0-0-0</f>
        <v>526.94028000000003</v>
      </c>
      <c r="N196" s="3">
        <f>1288.7+(73.1-769.8)+(0+(0-0))+0-0-0</f>
        <v>592.00000000000011</v>
      </c>
      <c r="O196" s="3">
        <f>1380.3+(72.7-805.9)+(2.111859+(0.111231-1.233027))+0-0-0</f>
        <v>648.09006299999999</v>
      </c>
      <c r="P196" s="3">
        <f>1444.9+(210.7-979.1)+(0+(0-0))+0-0-0</f>
        <v>676.5</v>
      </c>
      <c r="Q196" s="3">
        <f>1453+(207.6-977.3)+(1.48206+(0.211752-0.996846))+0-0-0</f>
        <v>683.99696600000004</v>
      </c>
      <c r="R196" s="3">
        <f>1445.4+(208.3-988.3)+(-0.737154+(-0.106233--0.504033))+0-0-0</f>
        <v>665.06064600000013</v>
      </c>
      <c r="S196" s="3">
        <f>1462+(215.1-1026.2)+(1.49124+(0.219402-1.046724))+0-0-0</f>
        <v>651.56391799999994</v>
      </c>
      <c r="T196" s="3">
        <f>1392.4+(217.1-969)+(2.130372+(0.332163-1.48257))+0-0-0</f>
        <v>641.47996500000011</v>
      </c>
      <c r="U196" s="3">
        <f>1371.6+(216.1-959.5)+(0+(0-0))+0-0-0</f>
        <v>628.19999999999993</v>
      </c>
      <c r="V196" s="3">
        <f>1353.9+(212.2-936.9)+(-0.690489+(-0.108222--0.477819))+0-0-0</f>
        <v>628.87910800000009</v>
      </c>
      <c r="W196" s="3">
        <f>1305.4+(210.8-869)+(1.997262+(0.322524-1.32957))+0-0-0</f>
        <v>648.19021600000008</v>
      </c>
      <c r="X196" s="3">
        <f>1364+(211.3-829.7)+(-1.39128+(-0.215526--0.846294))+0-0-0</f>
        <v>744.83948799999996</v>
      </c>
      <c r="Y196" s="3">
        <f>1378.7+(206.6-818.9)+(-3.515685+(-0.52683--2.088195))+0-0-0</f>
        <v>764.44568000000004</v>
      </c>
      <c r="Z196" s="3">
        <f>1380.9+(175.6-809.2)+(-2.817036+(-0.358224--1.650768))+0-0-0</f>
        <v>745.77550800000006</v>
      </c>
      <c r="AA196" s="3">
        <f>1385.4+(170.5-834.3)+(-2.119662+(-0.260865--1.276479))+0-0-0</f>
        <v>720.4959520000001</v>
      </c>
      <c r="AB196" s="3">
        <f>1355.5+(82.3-768.2)+(-3.456525+(-0.209865--1.95891))+0-0-0</f>
        <v>667.89251999999988</v>
      </c>
      <c r="AC196" s="3">
        <f>1323.7+(20.3-732.7)+(-3.375435+(-0.051765--1.868385))+0-0-0</f>
        <v>609.74118499999997</v>
      </c>
      <c r="AD196" s="2">
        <v>728.60000000000014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1332.2+(39.7-849.5)+(-0.679422+(-0.020247--0.433245))+0-0-0</f>
        <v>522.13357600000006</v>
      </c>
      <c r="G197" s="3">
        <f>1173.2+(50.7-737.7)+(0.598332+(0.025857-0.376227))+0-0-0</f>
        <v>486.44796200000002</v>
      </c>
      <c r="H197" s="3">
        <f>1078.1+(54.6-667.6)+(1.099662+(0.055692-0.680952))+0-0-0</f>
        <v>465.57440199999991</v>
      </c>
      <c r="I197" s="3">
        <f>1071.4+(59-673.3)+(-0.546414+(-0.03009--0.343383))+0-0-0</f>
        <v>456.86687900000015</v>
      </c>
      <c r="J197" s="3">
        <f>1071.8+(60-678.9)+(0.546618+(0.0306-0.346239))+0-0-0</f>
        <v>453.13097899999997</v>
      </c>
      <c r="K197" s="3">
        <f>1064.7+(51.7-663.3)+(-1.628991+(-0.079101--1.014849))+0-0-0</f>
        <v>452.40675700000014</v>
      </c>
      <c r="L197" s="3">
        <f>1074.3+(10.4-630.9)+(1.095786+(0.010608-0.643518))+0-0-0</f>
        <v>454.26287599999995</v>
      </c>
      <c r="M197" s="3">
        <f>1077.6+(26.6-602)+(1.099152+(0.027132-0.61404))+0-0-0</f>
        <v>502.71224399999994</v>
      </c>
      <c r="N197" s="3">
        <f>1185.4+(172.7-784.9)+(-0.604554+(-0.088077--0.400299))+0-0-0</f>
        <v>572.90766800000006</v>
      </c>
      <c r="O197" s="3">
        <f>1210.8+(148.6-734.8)+(-0.617508+(-0.075786--0.374748))+0-0-0</f>
        <v>624.28145400000005</v>
      </c>
      <c r="P197" s="3">
        <f>1212.8+(89.7-654.2)+(0+(0-0))+0-0-0</f>
        <v>648.29999999999995</v>
      </c>
      <c r="Q197" s="3">
        <f>1201.6+(81-621.9)+(-1.225632+(-0.08262--0.634338))+0-0-0</f>
        <v>660.02608599999996</v>
      </c>
      <c r="R197" s="3">
        <f>1220.3+(99.2-677.3)+(0.622353+(0.050592-0.345423))+0-0-0</f>
        <v>642.52752200000009</v>
      </c>
      <c r="S197" s="3">
        <f>1288.4+(286.9-938.3)+(0+(0-0))+0-0-0</f>
        <v>637.00000000000011</v>
      </c>
      <c r="T197" s="3">
        <f>1364.2+(284.4-1025.8)+(1.391484+(0.290088-1.046316))+0-0-0</f>
        <v>623.43525600000009</v>
      </c>
      <c r="U197" s="3">
        <f>1348.6+(257.5-1001.4)+(-3.43893+(-0.656625--2.55357))+0-0-0</f>
        <v>603.15801499999998</v>
      </c>
      <c r="V197" s="3">
        <f>1269.1+(172.5-849.6)+(-1.941723+(-0.263925--1.299888))+0-0-0</f>
        <v>591.0942399999999</v>
      </c>
      <c r="W197" s="3">
        <f>1269.5+(153.4-817.6)+(1.29489+(0.156468-0.833952))+0-0-0</f>
        <v>605.91740599999991</v>
      </c>
      <c r="X197" s="3">
        <f>1362.1+(230.8-886.2)+(0+(0-0))+0-0-0</f>
        <v>706.69999999999982</v>
      </c>
      <c r="Y197" s="3">
        <f>1346.2+(219.6-826.8)+(-2.746248+(-0.447984--1.686672))+0-0-0</f>
        <v>737.4924400000001</v>
      </c>
      <c r="Z197" s="3">
        <f>1299.3+(160.2-744.4)+(-1.325286+(-0.163404--0.759288))+0-0-0</f>
        <v>714.37059799999986</v>
      </c>
      <c r="AA197" s="3">
        <f>1302+(96.6-706)+(-0.66402+(-0.049266--0.36006))+0-0-0</f>
        <v>692.24677400000007</v>
      </c>
      <c r="AB197" s="3">
        <f>1293.2+(103.1-739.6)+(-3.29766+(-0.262905--1.88598))+0-0-0</f>
        <v>655.02541500000007</v>
      </c>
      <c r="AC197" s="3">
        <f>1289+(75-763.6)+(-3.28695+(-0.19125--1.94718))+0-0-0</f>
        <v>598.86897999999997</v>
      </c>
      <c r="AD197" s="2">
        <v>732.30000000000007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1189.4+(53.2-682.2)+(-1.819782+(-0.081396--1.043766))+0-0-0</f>
        <v>559.54258800000014</v>
      </c>
      <c r="G198" s="3">
        <f>1011.2+(51.3-548.7)+(-2.57856+(-0.130815--1.399185))+0-0-0</f>
        <v>512.48980999999992</v>
      </c>
      <c r="H198" s="3">
        <f>889.8+(55.6-458.4)+(-1.361394+(-0.085068--0.701352))+0-0-0</f>
        <v>486.25488999999999</v>
      </c>
      <c r="I198" s="3">
        <f>898.7+(58.2-481.3)+(0+(0-0))+0-0-0</f>
        <v>475.6</v>
      </c>
      <c r="J198" s="3">
        <f>896+(58.7-485.4)+(-0.45696+(-0.029937--0.247554))+0-0-0</f>
        <v>469.06065699999999</v>
      </c>
      <c r="K198" s="3">
        <f>893.4+(56-486.5)+(-1.366902+(-0.08568--0.744345))+0-0-0</f>
        <v>462.19176299999998</v>
      </c>
      <c r="L198" s="3">
        <f>892.6+(84.9-512.1)+(0.455226+(0.043299-0.261171))+0-0-0</f>
        <v>465.63735399999996</v>
      </c>
      <c r="M198" s="3">
        <f>1055.8+(99.9-654)+(0.538458+(0.050949-0.33354))+0-0-0</f>
        <v>501.95586699999996</v>
      </c>
      <c r="N198" s="3">
        <f>1170.8+(153-750.4)+(0.597108+(0.07803-0.382704))+0-0-0</f>
        <v>573.69243399999993</v>
      </c>
      <c r="O198" s="3">
        <f>1256.3+(167.2-759.3)+(0.640713+(0.085272-0.387243))+0-0-0</f>
        <v>664.53874200000007</v>
      </c>
      <c r="P198" s="3">
        <f>1263.3+(157.5-767.2)+(0+(0-0))+0-0-0</f>
        <v>653.59999999999991</v>
      </c>
      <c r="Q198" s="3">
        <f>1267.7+(183.3-765)+(0+(0-0))+0-0-0</f>
        <v>686</v>
      </c>
      <c r="R198" s="3">
        <f>1257.6+(198.3-767.3)+(0+(0-0))+0-0-0</f>
        <v>688.59999999999991</v>
      </c>
      <c r="S198" s="3">
        <f>1252.6+(258.6-849.6)+(-1.277652+(-0.263772--0.866592))+0-0-0</f>
        <v>660.92516799999987</v>
      </c>
      <c r="T198" s="3">
        <f>1318.6+(261.6-942.2)+(-0.672486+(-0.133416--0.480522))+0-0-0</f>
        <v>637.67461999999989</v>
      </c>
      <c r="U198" s="3">
        <f>1328.9+(258-958.5)+(-4.744173+(-0.92106--3.421845))+0-0-0</f>
        <v>626.15661200000011</v>
      </c>
      <c r="V198" s="3">
        <f>1351.4+(157.5-892.6)+(0.689214+(0.080325-0.455226))+0-0-0</f>
        <v>616.61431300000004</v>
      </c>
      <c r="W198" s="3">
        <f>1351.2+(147.5-862)+(-1.378224+(-0.15045--0.87924))+0-0-0</f>
        <v>636.050566</v>
      </c>
      <c r="X198" s="3">
        <f>1383.6+(91.9-740.8)+(-2.822544+(-0.187476--1.511232))+0-0-0</f>
        <v>733.20121199999994</v>
      </c>
      <c r="Y198" s="3">
        <f>1337.1+(78-662.8)+(-2.727684+(-0.15912--1.352112))+0-0-0</f>
        <v>750.765308</v>
      </c>
      <c r="Z198" s="3">
        <f>1307.4+(91.4-657)+(-1.333548+(-0.093228--0.67014))+0-0-0</f>
        <v>741.04336400000011</v>
      </c>
      <c r="AA198" s="3">
        <f>1287.5+(103-677.4)+(-3.283125+(-0.26265--1.72737))+0-0-0</f>
        <v>711.28159500000004</v>
      </c>
      <c r="AB198" s="3">
        <f>1215+(122.2-672.8)+(-2.4786+(-0.249288--1.372512))+0-0-0</f>
        <v>663.04462400000011</v>
      </c>
      <c r="AC198" s="3">
        <f>1175.4+(143.9-713.7)+(-0.599454+(-0.073389--0.363987))+0-0-0</f>
        <v>605.29114400000003</v>
      </c>
      <c r="AD198" s="2">
        <v>709.30000000000007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1174+(201.8-846.1)+(-0.59874+(-0.102918--0.431511))+0-0-0</f>
        <v>529.42985300000009</v>
      </c>
      <c r="G199" s="3">
        <f>998.9+(218-709.9)+(-2.547195+(-0.5559--1.810245))+0-0-0</f>
        <v>505.70715000000001</v>
      </c>
      <c r="H199" s="3">
        <f>938+(162.3-625.9)+(0+(0-0))+0-0-0</f>
        <v>474.40000000000003</v>
      </c>
      <c r="I199" s="3">
        <f>922.3+(157-618.8)+(-0.470373+(-0.08007--0.315588))+0-0-0</f>
        <v>460.26514500000002</v>
      </c>
      <c r="J199" s="3">
        <f>928.7+(159.9-630.4)+(0.947274+(0.163098-0.643008))+0-0-0</f>
        <v>458.66736400000002</v>
      </c>
      <c r="K199" s="3">
        <f>927.8+(155.6-622.2)+(-0.946356+(-0.158712--0.634644))+0-0-0</f>
        <v>460.72957599999995</v>
      </c>
      <c r="L199" s="3">
        <f>928+(165.2-653.3)+(0.47328+(0.084252-0.333183))+0-0-0</f>
        <v>440.12434900000005</v>
      </c>
      <c r="M199" s="3">
        <f>942+(119.8-587.1)+(0+(0-0))+0-0-0</f>
        <v>474.7</v>
      </c>
      <c r="N199" s="3">
        <f>992.9+(71.4-526.6)+(0.506379+(0.036414-0.268566))+0-0-0</f>
        <v>537.97422699999993</v>
      </c>
      <c r="O199" s="3">
        <f>992.6+(79.2-486)+(0.506226+(0.040392-0.24786))+0-0-0</f>
        <v>586.09875799999998</v>
      </c>
      <c r="P199" s="3">
        <f>994.1+(86.4-449.8)+(-1.520973+(-0.132192--0.688194))+0-0-0</f>
        <v>629.73502900000005</v>
      </c>
      <c r="Q199" s="3">
        <f>1169.2+(81.4-595.8)+(0+(0-0))+0-0-0</f>
        <v>654.80000000000007</v>
      </c>
      <c r="R199" s="3">
        <f>1351.2+(147.7-853.5)+(-2.067336+(-0.225981--1.305855))+0-0-0</f>
        <v>644.41253800000004</v>
      </c>
      <c r="S199" s="3">
        <f>1395.7+(160.4-955)+(-1.423614+(-0.163608--0.9741))+0-0-0</f>
        <v>600.48687800000005</v>
      </c>
      <c r="T199" s="3">
        <f>1390.7+(165.8-972.3)+(0+(0-0))+0-0-0</f>
        <v>584.20000000000005</v>
      </c>
      <c r="U199" s="3">
        <f>1380.5+(170-980.1)+(-1.40811+(-0.1734--0.999702))+0-0-0</f>
        <v>569.81819199999995</v>
      </c>
      <c r="V199" s="3">
        <f>1304+(125.5-865.2)+(-1.99512+(-0.192015--1.323756))+0-0-0</f>
        <v>563.43662099999995</v>
      </c>
      <c r="W199" s="3">
        <f>1310.3+(83.5-810.7)+(1.336506+(0.08517-0.826914))+0-0-0</f>
        <v>583.69476199999986</v>
      </c>
      <c r="X199" s="3">
        <f>1354.7+(58.9-720.3)+(-3.454485+(-0.150195--1.836765))+0-0-0</f>
        <v>691.53208500000005</v>
      </c>
      <c r="Y199" s="3">
        <f>1302.8+(59.2-658.1)+(-1.993284+(-0.090576--1.006893))+0-0-0</f>
        <v>702.82303300000001</v>
      </c>
      <c r="Z199" s="3">
        <f>1262.3+(57.6-597.4)+(-3.218865+(-0.14688--1.52337))+0-0-0</f>
        <v>720.65762500000005</v>
      </c>
      <c r="AA199" s="3">
        <f>1179.7+(71.5-587.4)+(-1.804941+(-0.109395--0.898722))+0-0-0</f>
        <v>662.78438600000004</v>
      </c>
      <c r="AB199" s="3">
        <f>1175.7+(96.5-650.1)+(-1.199214+(-0.09843--0.663102))+0-0-0</f>
        <v>621.46545800000001</v>
      </c>
      <c r="AC199" s="3">
        <f>1173.2+(77.4-668.8)+(-0.598332+(-0.039474--0.341088))+0-0-0</f>
        <v>581.50328200000001</v>
      </c>
      <c r="AD199" s="2">
        <v>699.19999999999993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1166.5+(70.3-711.7)+(-1.784745+(-0.107559--1.088901))+0-0-0</f>
        <v>524.29659699999991</v>
      </c>
      <c r="G200" s="3">
        <f>1167.6+(83.3-749.2)+(-1.786428+(-0.127449--1.146276))+0-0-0</f>
        <v>500.9323989999998</v>
      </c>
      <c r="H200" s="3">
        <f>1048+(107.3-670.4)+(-1.06896+(-0.109446--0.683808))+0-0-0</f>
        <v>484.40540199999998</v>
      </c>
      <c r="I200" s="3">
        <f>1002.2+(94.8-621.8)+(-1.533366+(-0.145044--0.951354))+0-0-0</f>
        <v>474.47294400000004</v>
      </c>
      <c r="J200" s="3">
        <f>972+(77.3-586.9)+(1.48716+(0.118269-0.897957))+0-0-0</f>
        <v>463.10747200000003</v>
      </c>
      <c r="K200" s="3">
        <f>946.7+(91.7-580.4)+(-2.414085+(-0.233835--1.48002))+0-0-0</f>
        <v>456.83210000000008</v>
      </c>
      <c r="L200" s="3">
        <f>961.1+(62.6-606.1)+(0+(0-0))+0-0-0</f>
        <v>417.6</v>
      </c>
      <c r="M200" s="3">
        <f>1039.5+(41.3-656.7)+(0+(0-0))+0-0-0</f>
        <v>424.09999999999991</v>
      </c>
      <c r="N200" s="3">
        <f>1154.5+(37-722.4)+(-2.35518+(-0.07548--1.473696))+0-0-0</f>
        <v>468.143036</v>
      </c>
      <c r="O200" s="3">
        <f>1153+(12.8-646.3)+(-1.17606+(-0.013056--0.659226))+0-0-0</f>
        <v>518.97010999999998</v>
      </c>
      <c r="P200" s="3">
        <f>1144.1+(61.1-655.6)+(-1.750473+(-0.093483--1.003068))+0-0-0</f>
        <v>548.75911199999996</v>
      </c>
      <c r="Q200" s="3">
        <f>1131.3+(55.7-631.2)+(-2.307852+(-0.113628--1.287648))+0-0-0</f>
        <v>554.66616799999997</v>
      </c>
      <c r="R200" s="3">
        <f>1138.8+(62.5-646.9)+(0+(0-0))+0-0-0</f>
        <v>554.4</v>
      </c>
      <c r="S200" s="3">
        <f>1125.7+(66.7-665.1)+(-2.870535+(-0.170085--1.696005))+0-0-0</f>
        <v>525.95538500000009</v>
      </c>
      <c r="T200" s="3">
        <f>1129.6+(67.2-680.5)+(-1.728288+(-0.102816--1.041165))+0-0-0</f>
        <v>515.51006099999995</v>
      </c>
      <c r="U200" s="3">
        <f>1124.6+(50.3-685.2)+(-1.720638+(-0.076959--1.048356))+0-0-0</f>
        <v>488.95075899999983</v>
      </c>
      <c r="V200" s="3">
        <f>1125.5+(72.5-712.9)+(-1.14801+(-0.07395--0.727158))+0-0-0</f>
        <v>484.60519800000003</v>
      </c>
      <c r="W200" s="3">
        <f>1142.8+(113.8-732.4)+(0.582828+(0.058038-0.373524))+0-0-0</f>
        <v>524.46734199999992</v>
      </c>
      <c r="X200" s="3">
        <f>1194.9+(85.8-654.5)+(0+(0-0))+0-0-0</f>
        <v>626.20000000000005</v>
      </c>
      <c r="Y200" s="3">
        <f>1258.4+(115.8-723.6)+(-1.925352+(-0.177174--1.107108))+0-0-0</f>
        <v>649.60458200000005</v>
      </c>
      <c r="Z200" s="3">
        <f>1216+(123.3-704.9)+(-0.62016+(-0.062883--0.359499))+0-0-0</f>
        <v>634.07645600000001</v>
      </c>
      <c r="AA200" s="3">
        <f>1162.4+(133-685.2)+(-1.778472+(-0.20349--1.048356))+0-0-0</f>
        <v>609.26639399999999</v>
      </c>
      <c r="AB200" s="3">
        <f>1146.1+(144.1-708.3)+(-4.091577+(-0.514437--2.528631))+0-0-0</f>
        <v>579.82261699999992</v>
      </c>
      <c r="AC200" s="3">
        <f>1160.5+(167.2-785)+(-0.591855+(-0.085272--0.40035))+0-0-0</f>
        <v>542.42322300000001</v>
      </c>
      <c r="AD200" s="2">
        <v>650.10000000000014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1149.3+(108.5-741.7)+(-2.344572+(-0.22134--1.513068))+0-0-0</f>
        <v>515.04715599999986</v>
      </c>
      <c r="G201" s="3">
        <f>1162.1+(76.5-753.9)+(-0.592671+(-0.039015--0.384489))+0-0-0</f>
        <v>484.4528029999999</v>
      </c>
      <c r="H201" s="3">
        <f>1124.1+(78.6-731.1)+(-2.866455+(-0.20043--1.864305))+0-0-0</f>
        <v>470.3974199999999</v>
      </c>
      <c r="I201" s="3">
        <f>1037.5+(56.6-627.7)+(-2.645625+(-0.14433--1.600635))+0-0-0</f>
        <v>465.21067999999997</v>
      </c>
      <c r="J201" s="3">
        <f>941.8+(47.1-534.5)+(0.960636+(0.048042-0.54519))+0-0-0</f>
        <v>454.86348799999996</v>
      </c>
      <c r="K201" s="3">
        <f>936+(50.9-527.4)+(0.47736+(0.025959-0.268974))+0-0-0</f>
        <v>459.73434500000002</v>
      </c>
      <c r="L201" s="3">
        <f>938.3+(49.8-522.6)+(0.957066+(0.050796-0.533052))+0-0-0</f>
        <v>465.97480999999993</v>
      </c>
      <c r="M201" s="3">
        <f>1054.4+(33.3-522.3)+(0.537744+(0.016983-0.266373))+0-0-0</f>
        <v>565.68835400000012</v>
      </c>
      <c r="N201" s="3">
        <f>1228.7+(44-680.3)+(0+(0-0))+0-0-0</f>
        <v>592.40000000000009</v>
      </c>
      <c r="O201" s="3">
        <f>1263.6+(115.2-727.9)+(0+(0-0))+0-0-0</f>
        <v>650.9</v>
      </c>
      <c r="P201" s="3">
        <f>1306+(133-789.3)+(-0.66606+(-0.06783--0.402543))+0-0-0</f>
        <v>649.36865299999999</v>
      </c>
      <c r="Q201" s="3">
        <f>1306.9+(241.7-845.9)+(1.999557+(0.369801-1.294227))+0-0-0</f>
        <v>703.7751310000001</v>
      </c>
      <c r="R201" s="3">
        <f>1298.8+(243.4-856)+(0+(0-0))+0-0-0</f>
        <v>686.19999999999993</v>
      </c>
      <c r="S201" s="3">
        <f>1297.3+(251.6-881.7)+(0.661623+(0.128316-0.449667))+0-0-0</f>
        <v>667.54027199999996</v>
      </c>
      <c r="T201" s="3">
        <f>1295.7+(254.2-902)+(0+(0-0))+0-0-0</f>
        <v>647.90000000000009</v>
      </c>
      <c r="U201" s="3">
        <f>1282+(246.6-886.5)+(-4.57674+(-0.880362--3.164805))+0-0-0</f>
        <v>639.80770300000006</v>
      </c>
      <c r="V201" s="3">
        <f>1285.1+(173.9-827)+(-2.621604+(-0.354756--1.68708))+0-0-0</f>
        <v>630.71071999999992</v>
      </c>
      <c r="W201" s="3">
        <f>1299.9+(202-820.1)+(0.662949+(0.10302-0.418251))+0-0-0</f>
        <v>682.14771800000005</v>
      </c>
      <c r="X201" s="3">
        <f>1352.5+(211.5-791.7)+(0+(0-0))+0-0-0</f>
        <v>772.3</v>
      </c>
      <c r="Y201" s="3">
        <f>1373.9+(167.7-766.1)+(0+(0-0))+0-0-0</f>
        <v>775.5</v>
      </c>
      <c r="Z201" s="3">
        <f>1360.5+(156.3-732.6)+(-2.77542+(-0.318852--1.494504))+0-0-0</f>
        <v>782.60023200000001</v>
      </c>
      <c r="AA201" s="3">
        <f>1359.3+(166-775.5)+(-1.386486+(-0.16932--0.79101))+0-0-0</f>
        <v>749.03520399999991</v>
      </c>
      <c r="AB201" s="3">
        <f>1281.1+(136.2-734.1)+(-1.960083+(-0.208386--1.123173))+0-0-0</f>
        <v>682.15470399999981</v>
      </c>
      <c r="AC201" s="3">
        <f>1219.4+(158.5-764.4)+(-2.487576+(-0.32334--1.559376))+0-0-0</f>
        <v>612.24846000000014</v>
      </c>
      <c r="AD201" s="2">
        <v>772.89999999999986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1135.6+(163.1-759.9)+(-2.316624+(-0.332724--1.550196))+0-0-0</f>
        <v>537.70084799999995</v>
      </c>
      <c r="G202" s="3">
        <f>1096.7+(99.3-703.2)+(-2.796585+(-0.253215--1.79316))+0-0-0</f>
        <v>491.54335999999995</v>
      </c>
      <c r="H202" s="3">
        <f>1099.7+(104.8-723)+(-1.682541+(-0.160344--1.10619))+0-0-0</f>
        <v>480.763305</v>
      </c>
      <c r="I202" s="3">
        <f>1022.2+(110.6-656.1)+(-0.521322+(-0.056406--0.334611))+0-0-0</f>
        <v>476.45688300000006</v>
      </c>
      <c r="J202" s="3">
        <f>972+(114.5-615.9)+(1.48716+(0.175185-0.942327))+0-0-0</f>
        <v>471.320018</v>
      </c>
      <c r="K202" s="3">
        <f>958.9+(111.2-590.6)+(-1.467117+(-0.170136--0.903618))+0-0-0</f>
        <v>478.76636499999995</v>
      </c>
      <c r="L202" s="3">
        <f>963.5+(122.3-598.4)+(0+(0-0))+0-0-0</f>
        <v>487.40000000000003</v>
      </c>
      <c r="M202" s="3">
        <f>1029.3+(145.8-627.4)+(-1.049886+(-0.148716--0.639948))+0-0-0</f>
        <v>547.141346</v>
      </c>
      <c r="N202" s="3">
        <f>1117.3+(130.4-638.5)+(1.709469+(0.199512-0.976905))+0-0-0</f>
        <v>610.13207599999998</v>
      </c>
      <c r="O202" s="3">
        <f>1159.5+(159.9-630.3)+(0.591345+(0.081549-0.321453))+0-0-0</f>
        <v>689.45144100000005</v>
      </c>
      <c r="P202" s="3">
        <f>1291+(208.2-811.9)+(0+(0-0))+0-0-0</f>
        <v>687.3</v>
      </c>
      <c r="Q202" s="3">
        <f>1273.8+(258-820.9)+(-1.299276+(-0.26316--0.837318))+0-0-0</f>
        <v>710.17488200000003</v>
      </c>
      <c r="R202" s="3">
        <f>1254.8+(265-836.2)+(0+(0-0))+0-0-0</f>
        <v>683.59999999999991</v>
      </c>
      <c r="S202" s="3">
        <f>1237.1+(275.1-850.2)+(0.630921+(0.140301-0.433602))+0-0-0</f>
        <v>662.3376199999999</v>
      </c>
      <c r="T202" s="3">
        <f>1196.2+(260.8-801.7)+(-1.220124+(-0.266016--0.817734))+0-0-0</f>
        <v>654.63159399999995</v>
      </c>
      <c r="U202" s="3">
        <f>1182.3+(206.3-757)+(-3.014865+(-0.526065--1.93035))+0-0-0</f>
        <v>629.98941999999988</v>
      </c>
      <c r="V202" s="3">
        <f>1205.2+(153.7-742)+(-1.229304+(-0.156774--0.75684))+0-0-0</f>
        <v>616.2707620000001</v>
      </c>
      <c r="W202" s="3">
        <f>1318.3+(144.9-798.8)+(0.672333+(0.073899-0.407388))+0-0-0</f>
        <v>664.73884399999997</v>
      </c>
      <c r="X202" s="3">
        <f>1342+(201.3-790.7)+(-1.36884+(-0.205326--0.806514))+0-0-0</f>
        <v>751.83234799999991</v>
      </c>
      <c r="Y202" s="3">
        <f>1359.5+(225.6-882.4)+(0+(0-0))+0-0-0</f>
        <v>702.7</v>
      </c>
      <c r="Z202" s="3">
        <f>1396.5+(191.1-823.5)+(-0.712215+(-0.097461--0.419985))+0-0-0</f>
        <v>763.71030900000005</v>
      </c>
      <c r="AA202" s="3">
        <f>1395+(193.1-844.5)+(-0.71145+(-0.098481--0.430695))+0-0-0</f>
        <v>743.22076400000003</v>
      </c>
      <c r="AB202" s="3">
        <f>1377.1+(210.9-892.5)+(-2.809284+(-0.430236--1.8207))+0-0-0</f>
        <v>694.0811799999999</v>
      </c>
      <c r="AC202" s="3">
        <f>1380.6+(237.3-984.1)+(0+(0-0))+0-0-0</f>
        <v>633.79999999999995</v>
      </c>
      <c r="AD202" s="2">
        <v>783.6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1381+(257.6-1066.8)+(0+(0-0))+0-0-0</f>
        <v>571.80000000000007</v>
      </c>
      <c r="G203" s="3">
        <f>1331.9+(267.2-1062.3)+(0.679269+(0.136272-0.541773))+0-0-0</f>
        <v>537.0737680000002</v>
      </c>
      <c r="H203" s="3">
        <f>1236.2+(271.1-989.7)+(0.630462+(0.138261-0.504747))+0-0-0</f>
        <v>517.86397599999998</v>
      </c>
      <c r="I203" s="3">
        <f>1180.5+(221.8-900.5)+(1.20411+(0.226236-0.91851))+0-0-0</f>
        <v>502.31183599999997</v>
      </c>
      <c r="J203" s="3">
        <f>1173.9+(185.1-869.5)+(-1.197378+(-0.188802--0.88689))+0-0-0</f>
        <v>489.00071000000014</v>
      </c>
      <c r="K203" s="3">
        <f>1176.3+(184.4-871.7)+(-1.199826+(-0.188088--0.889134))+0-0-0</f>
        <v>488.50121999999988</v>
      </c>
      <c r="L203" s="3">
        <f>1189.4+(201.9-904)+(3.03297+(0.514845-2.3052))+0-0-0</f>
        <v>488.54261500000007</v>
      </c>
      <c r="M203" s="3">
        <f>1227.6+(239.4-922.7)+(0.626076+(0.122094-0.470577))+0-0-0</f>
        <v>544.57759299999987</v>
      </c>
      <c r="N203" s="3">
        <f>1301.8+(295.3-996.3)+(1.327836+(0.301206-1.016226))+0-0-0</f>
        <v>601.41281599999991</v>
      </c>
      <c r="O203" s="3">
        <f>1389.5+(221.4-962.9)+(2.125935+(0.338742-1.473237))+0-0-0</f>
        <v>648.99144000000001</v>
      </c>
      <c r="P203" s="3">
        <f>1367.2+(214.1-901.6)+(0.697272+(0.109191-0.459816))+0-0-0</f>
        <v>680.04664700000001</v>
      </c>
      <c r="Q203" s="3">
        <f>1341.5+(252.2-900.2)+(0+(0-0))+0-0-0</f>
        <v>693.5</v>
      </c>
      <c r="R203" s="3">
        <f>1341.1+(274.7-916)+(-0.683961+(-0.140097--0.46716))+0-0-0</f>
        <v>699.44310199999995</v>
      </c>
      <c r="S203" s="3">
        <f>1299.7+(283.7-885.4)+(1.988541+(0.434061-1.354662))+0-0-0</f>
        <v>699.06794000000002</v>
      </c>
      <c r="T203" s="3">
        <f>1284.8+(279.4-887.1)+(0.655248+(0.142494-0.452421))+0-0-0</f>
        <v>677.44532099999992</v>
      </c>
      <c r="U203" s="3">
        <f>1263+(272-897.9)+(-3.86478+(-0.83232--2.747574))+0-0-0</f>
        <v>635.15047400000003</v>
      </c>
      <c r="V203" s="3">
        <f>1268.1+(208.7-836)+(-2.586924+(-0.425748--1.70544))+0-0-0</f>
        <v>639.49276799999996</v>
      </c>
      <c r="W203" s="3">
        <f>1321.1+(189.3-828.6)+(0+(0-0))+0-0-0</f>
        <v>681.8</v>
      </c>
      <c r="X203" s="3">
        <f>1378.1+(216.3-801.2)+(-0.702831+(-0.110313--0.408612))+0-0-0</f>
        <v>792.7954679999998</v>
      </c>
      <c r="Y203" s="3">
        <f>1436.3+(195.9-832)+(-0.732513+(-0.099909--0.42432))+0-0-0</f>
        <v>799.79189799999995</v>
      </c>
      <c r="Z203" s="3">
        <f>1389+(182.6-802.5)+(-1.41678+(-0.186252--0.81855))+0-0-0</f>
        <v>768.315518</v>
      </c>
      <c r="AA203" s="3">
        <f>1224.6+(211.8-714.4)+(-2.498184+(-0.432072--1.457376))+0-0-0</f>
        <v>720.52711999999997</v>
      </c>
      <c r="AB203" s="3">
        <f>1220.7+(221-755)+(1.245114+(0.22542-0.7701))+0-0-0</f>
        <v>687.40043400000002</v>
      </c>
      <c r="AC203" s="3">
        <f>1114.6+(189.2-668.2)+(-0.568446+(-0.096492--0.340782))+0-0-0</f>
        <v>635.27584399999989</v>
      </c>
      <c r="AD203" s="2">
        <v>804.2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960.4+(153.4-547.2)+(-1.469412+(-0.234702--0.837216))+0-0-0</f>
        <v>565.73310199999992</v>
      </c>
      <c r="G204" s="3">
        <f>865.1+(130.3-477.8)+(-2.206005+(-0.332265--1.21839))+0-0-0</f>
        <v>516.28012000000001</v>
      </c>
      <c r="H204" s="3">
        <f>865.6+(103.2-475.2)+(-2.20728+(-0.26316--1.21176))+0-0-0</f>
        <v>492.34132</v>
      </c>
      <c r="I204" s="3">
        <f>865.9+(107.3-497)+(-1.324827+(-0.164169--0.76041))+0-0-0</f>
        <v>475.47141399999998</v>
      </c>
      <c r="J204" s="3">
        <f>875.6+(107.3-510.6)+(-0.893112+(-0.109446--0.520812))+0-0-0</f>
        <v>471.81825400000002</v>
      </c>
      <c r="K204" s="3">
        <f>875.8+(99-503.1)+(-1.339974+(-0.15147--0.769743))+0-0-0</f>
        <v>470.97829899999994</v>
      </c>
      <c r="L204" s="3">
        <f>877.8+(56.7-469.6)+(-0.895356+(-0.057834--0.478992))+0-0-0</f>
        <v>464.42580199999992</v>
      </c>
      <c r="M204" s="3">
        <f>1026.5+(118.6-626.9)+(-0.523515+(-0.060486--0.319719))+0-0-0</f>
        <v>517.93571800000007</v>
      </c>
      <c r="N204" s="3">
        <f>1155.1+(178-766)+(-0.589101+(-0.09078--0.39066))+0-0-0</f>
        <v>566.81077899999991</v>
      </c>
      <c r="O204" s="3">
        <f>1230.8+(161.5-804.6)+(0+(0-0))+0-0-0</f>
        <v>587.69999999999993</v>
      </c>
      <c r="P204" s="3">
        <f>1249.4+(149.8-756.2)+(1.274388+(0.152796-0.771324))+0-0-0</f>
        <v>643.65585999999996</v>
      </c>
      <c r="Q204" s="3">
        <f>1235.6+(143.6-711.1)+(-0.630156+(-0.073236--0.362661))+0-0-0</f>
        <v>667.7592689999999</v>
      </c>
      <c r="R204" s="3">
        <f>1236.7+(154.3-706.8)+(0.630717+(0.078693-0.360468))+0-0-0</f>
        <v>684.54894200000001</v>
      </c>
      <c r="S204" s="3">
        <f>1223.3+(158.1-694.4)+(-1.871649+(-0.241893--1.062432))+0-0-0</f>
        <v>685.94889000000001</v>
      </c>
      <c r="T204" s="3">
        <f>1226.7+(158.7-719.2)+(-0.625617+(-0.080937--0.366792))+0-0-0</f>
        <v>665.86023800000009</v>
      </c>
      <c r="U204" s="3">
        <f>1210.7+(163.5-722.3)+(-3.087285+(-0.416925--1.841865))+0-0-0</f>
        <v>650.23765500000013</v>
      </c>
      <c r="V204" s="3">
        <f>1211.1+(164.7-728.2)+(-1.852983+(-0.251991--1.114146))+0-0-0</f>
        <v>646.60917199999994</v>
      </c>
      <c r="W204" s="3">
        <f>1229.3+(154.2-743.1)+(-0.626943+(-0.078642--0.378981))+0-0-0</f>
        <v>640.07339599999989</v>
      </c>
      <c r="X204" s="3">
        <f>1288+(103.5-627.3)+(-3.2844+(-0.263925--1.599615))+0-0-0</f>
        <v>762.25129000000004</v>
      </c>
      <c r="Y204" s="3">
        <f>1303.2+(102.6-624.9)+(-2.658528+(-0.209304--1.274796))+0-0-0</f>
        <v>779.30696400000011</v>
      </c>
      <c r="Z204" s="3">
        <f>1300.2+(73.7-624.6)+(-1.326204+(-0.075174--0.637092))+0-0-0</f>
        <v>748.5357140000001</v>
      </c>
      <c r="AA204" s="3">
        <f>1298+(75.2-672.9)+(-1.98594+(-0.115056--1.029537))+0-0-0</f>
        <v>699.22854100000006</v>
      </c>
      <c r="AB204" s="3">
        <f>1266.9+(91-712.8)+(-2.584476+(-0.18564--1.454112))+0-0-0</f>
        <v>643.78399600000012</v>
      </c>
      <c r="AC204" s="3">
        <f>1236.1+(110.9-763.3)+(-3.152055+(-0.282795--1.946415))+0-0-0</f>
        <v>582.21156499999995</v>
      </c>
      <c r="AD204" s="2">
        <v>763.7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976.8+(135.8-579.5)+(-1.992672+(-0.277032--1.18218))+0-0-0</f>
        <v>532.01247599999988</v>
      </c>
      <c r="G205" s="3">
        <f>941.9+(148-600)+(-1.441107+(-0.22644--0.918))+0-0-0</f>
        <v>489.15045299999997</v>
      </c>
      <c r="H205" s="3">
        <f>947.2+(74.6-548.6)+(-0.966144+(-0.076092--0.559572))+0-0-0</f>
        <v>472.71733600000005</v>
      </c>
      <c r="I205" s="3">
        <f>951.7+(67.2-550.4)+(0.485367+(0.034272-0.280704))+0-0-0</f>
        <v>468.73893500000008</v>
      </c>
      <c r="J205" s="3">
        <f>944.1+(66.9-546.5)+(0+(0-0))+0-0-0</f>
        <v>464.5</v>
      </c>
      <c r="K205" s="3">
        <f>944.1+(63.2-544.8)+(-0.481491+(-0.032232--0.277848))+0-0-0</f>
        <v>462.26412500000004</v>
      </c>
      <c r="L205" s="3">
        <f>943.7+(115.5-599)+(-0.481287+(-0.058905--0.30549))+0-0-0</f>
        <v>459.96529800000002</v>
      </c>
      <c r="M205" s="3">
        <f>1000.2+(183.9-661.9)+(0.510102+(0.093789-0.337569))+0-0-0</f>
        <v>522.46632199999999</v>
      </c>
      <c r="N205" s="3">
        <f>1023.3+(229.1-669.3)+(-0.521883+(-0.116841--0.341343))+0-0-0</f>
        <v>582.80261900000005</v>
      </c>
      <c r="O205" s="3">
        <f>1063.5+(268.6-725.8)+(0+(0-0))+0-0-0</f>
        <v>606.30000000000007</v>
      </c>
      <c r="P205" s="3">
        <f>1145.6+(259.1-736)+(0.584256+(0.132141-0.37536))+0-0-0</f>
        <v>669.04103699999996</v>
      </c>
      <c r="Q205" s="3">
        <f>1204+(253.5-788.2)+(1.22808+(0.25857-0.803964))+0-0-0</f>
        <v>669.98268599999994</v>
      </c>
      <c r="R205" s="3">
        <f>1218.4+(257.3-810.6)+(-0.621384+(-0.131223--0.413406))+0-0-0</f>
        <v>664.76079900000013</v>
      </c>
      <c r="S205" s="3">
        <f>1211.2+(249.1-799.7)+(-3.706272+(-0.762246--2.447082))+0-0-0</f>
        <v>658.57856400000003</v>
      </c>
      <c r="T205" s="3">
        <f>1219.9+(249.9-821.8)+(-1.866447+(-0.382347--1.257354))+0-0-0</f>
        <v>647.0085600000001</v>
      </c>
      <c r="U205" s="3">
        <f>1221.7+(254.6-850.5)+(-1.869201+(-0.389538--1.301265))+0-0-0</f>
        <v>624.84252600000002</v>
      </c>
      <c r="V205" s="3">
        <f>1221.1+(228.4-820.6)+(-1.868283+(-0.349452--1.255518))+0-0-0</f>
        <v>627.93778299999985</v>
      </c>
      <c r="W205" s="3">
        <f>1233.4+(214.2-780.7)+(0+(0-0))+0-0-0</f>
        <v>666.90000000000009</v>
      </c>
      <c r="X205" s="3">
        <f>1138.7+(198.6-575.9)+(-2.322948+(-0.405144--1.174836))+0-0-0</f>
        <v>759.84674400000006</v>
      </c>
      <c r="Y205" s="3">
        <f>1147+(209.4-585.7)+(-2.92485+(-0.53397--1.493535))+0-0-0</f>
        <v>768.73471499999994</v>
      </c>
      <c r="Z205" s="3">
        <f>1127.9+(212.3-583.9)+(-2.876145+(-0.541365--1.488945))+0-0-0</f>
        <v>754.37143500000013</v>
      </c>
      <c r="AA205" s="3">
        <f>1076.7+(122.6-464.7)+(-1.098234+(-0.125052--0.473994))+0-0-0</f>
        <v>733.85070800000005</v>
      </c>
      <c r="AB205" s="3">
        <f>1042.6+(139.1-484.1)+(-1.063452+(-0.141882--0.493782))+0-0-0</f>
        <v>696.88844799999993</v>
      </c>
      <c r="AC205" s="3">
        <f>1019.5+(135.9-511.4)+(-1.559835+(-0.207927--0.782442))+0-0-0</f>
        <v>643.01468</v>
      </c>
      <c r="AD205" s="2">
        <v>722.10000000000014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969.4+(128.3-525.7)+(0+(0-0))+0-0-0</f>
        <v>572</v>
      </c>
      <c r="G206" s="3">
        <f>891.3+(131.2-496.5)+(-1.363689+(-0.200736--0.759645))+0-0-0</f>
        <v>525.19521999999995</v>
      </c>
      <c r="H206" s="3">
        <f>883.7+(115.8-501.5)+(-1.352061+(-0.177174--0.767295))+0-0-0</f>
        <v>497.23806000000008</v>
      </c>
      <c r="I206" s="3">
        <f>892.6+(120.9-523.6)+(0+(0-0))+0-0-0</f>
        <v>489.9</v>
      </c>
      <c r="J206" s="3">
        <f>895.3+(122.1-531.9)+(0.913206+(0.124542-0.542538))+0-0-0</f>
        <v>485.99520999999999</v>
      </c>
      <c r="K206" s="3">
        <f>894.4+(123.4-533.6)+(0.912288+(0.125868-0.544272))+0-0-0</f>
        <v>484.69388399999991</v>
      </c>
      <c r="L206" s="3">
        <f>894.7+(128-550.3)+(0.912594+(0.13056-0.561306))+0-0-0</f>
        <v>472.8818480000001</v>
      </c>
      <c r="M206" s="3">
        <f>903.3+(119.1-513.1)+(0+(0-0))+0-0-0</f>
        <v>509.29999999999995</v>
      </c>
      <c r="N206" s="3">
        <f>1048.7+(98.5-559.4)+(0+(0-0))+0-0-0</f>
        <v>587.80000000000007</v>
      </c>
      <c r="O206" s="3">
        <f>1264.3+(130.1-746.2)+(0+(0-0))+0-0-0</f>
        <v>648.19999999999993</v>
      </c>
      <c r="P206" s="3">
        <f>1268+(222.3-803.4)+(0+(0-0))+0-0-0</f>
        <v>686.90000000000009</v>
      </c>
      <c r="Q206" s="3">
        <f>1246+(264.4-803.3)+(0+(0-0))+0-0-0</f>
        <v>707.1</v>
      </c>
      <c r="R206" s="3">
        <f>1198.7+(263-757.6)+(0+(0-0))+0-0-0</f>
        <v>704.1</v>
      </c>
      <c r="S206" s="3">
        <f>1187+(272.9-771.3)+(0+(0-0))+0-0-0</f>
        <v>688.6</v>
      </c>
      <c r="T206" s="3">
        <f>1175.9+(277.8-796.4)+(1.199418+(0.283356-0.812328))+0-0-0</f>
        <v>657.97044600000015</v>
      </c>
      <c r="U206" s="3">
        <f>1145.7+(268.9-791.9)+(-2.337228+(-0.548556--1.615476))+0-0-0</f>
        <v>621.42969200000005</v>
      </c>
      <c r="V206" s="3">
        <f>1074.7+(66.9-541.8)+(0+(0-0))+0-0-0</f>
        <v>599.80000000000007</v>
      </c>
      <c r="W206" s="3">
        <f>1156.1+(92.4-594.6)+(0.589611+(0.047124-0.303246))+0-0-0</f>
        <v>654.23348899999985</v>
      </c>
      <c r="X206" s="3">
        <f>1271.2+(149.2-652.5)+(-3.24156+(-0.38046--1.663875))+0-0-0</f>
        <v>765.94185500000015</v>
      </c>
      <c r="Y206" s="3">
        <f>1291+(117.9-637.4)+(-3.29205+(-0.300645--1.62537))+0-0-0</f>
        <v>769.53267500000004</v>
      </c>
      <c r="Z206" s="3">
        <f>1145.8+(121.7-502.5)+(-0.584358+(-0.062067--0.256275))+0-0-0</f>
        <v>764.60985000000005</v>
      </c>
      <c r="AA206" s="3">
        <f>1084.1+(122.6-487.8)+(-0.552891+(-0.062526--0.248778))+0-0-0</f>
        <v>718.5333609999999</v>
      </c>
      <c r="AB206" s="3">
        <f>1017.4+(110.5-448.3)+(0+(0-0))+0-0-0</f>
        <v>679.59999999999991</v>
      </c>
      <c r="AC206" s="3">
        <f>974.5+(130.5-479.8)+(-1.490985+(-0.199665--0.734094))+0-0-0</f>
        <v>624.24344400000007</v>
      </c>
      <c r="AD206" s="2">
        <v>741.60000000000014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977.8+(116.5-537.6)+(-1.994712+(-0.23766--1.096704))+0-0-0</f>
        <v>555.56433199999992</v>
      </c>
      <c r="G207" s="3">
        <f>941.8+(111.2-544.3)+(-1.921272+(-0.226848--1.110372))+0-0-0</f>
        <v>507.66225199999997</v>
      </c>
      <c r="H207" s="3">
        <f>916.3+(121-560.6)+(-1.401939+(-0.18513--0.857718))+0-0-0</f>
        <v>475.97064899999992</v>
      </c>
      <c r="I207" s="3">
        <f>920.7+(125.6-577.3)+(-0.469557+(-0.064056--0.294423))+0-0-0</f>
        <v>468.76081000000011</v>
      </c>
      <c r="J207" s="3">
        <f>926.2+(126.3-593.6)+(0.944724+(0.128826-0.605472))+0-0-0</f>
        <v>459.36807800000003</v>
      </c>
      <c r="K207" s="3">
        <f>914.2+(111.5-573.2)+(-1.864968+(-0.22746--1.169328))+0-0-0</f>
        <v>451.57690000000002</v>
      </c>
      <c r="L207" s="3">
        <f>847.3+(91.9-520)+(0.432123+(0.046869-0.2652))+0-0-0</f>
        <v>419.41379199999994</v>
      </c>
      <c r="M207" s="3">
        <f>841.2+(71-493.4)+(0+(0-0))+0-0-0</f>
        <v>418.80000000000007</v>
      </c>
      <c r="N207" s="3">
        <f>840.8+(60.8-441)+(-0.428808+(-0.031008--0.22491))+0-0-0</f>
        <v>460.36509399999994</v>
      </c>
      <c r="O207" s="3">
        <f>845.9+(42.2-392.9)+(0.431409+(0.021522-0.200379))+0-0-0</f>
        <v>495.45255199999997</v>
      </c>
      <c r="P207" s="3">
        <f>844.4+(75.5-401.6)+(0+(0-0))+0-0-0</f>
        <v>518.29999999999995</v>
      </c>
      <c r="Q207" s="3">
        <f>848+(148.1-460.6)+(0.43248+(0.075531-0.234906))+0-0-0</f>
        <v>535.77310499999999</v>
      </c>
      <c r="R207" s="3">
        <f>1008.9+(152-586)+(0+(0-0))+0-0-0</f>
        <v>574.9</v>
      </c>
      <c r="S207" s="3">
        <f>1005.8+(156-594.3)+(-2.051832+(-0.31824--1.212372))+0-0-0</f>
        <v>566.34230000000002</v>
      </c>
      <c r="T207" s="3">
        <f>1005.7+(160.2-607.3)+(-2.051628+(-0.326808--1.238892))+0-0-0</f>
        <v>557.46045600000014</v>
      </c>
      <c r="U207" s="3">
        <f>1001.7+(162.3-615.4)+(-2.043468+(-0.331092--1.255416))+0-0-0</f>
        <v>547.48085600000013</v>
      </c>
      <c r="V207" s="3">
        <f>1005.6+(98-548.8)+(-1.538568+(-0.14994--0.839664))+0-0-0</f>
        <v>553.95115600000008</v>
      </c>
      <c r="W207" s="3">
        <f>1034.6+(101.4-531.5)+(0.527646+(0.051714-0.271065))+0-0-0</f>
        <v>604.80829499999993</v>
      </c>
      <c r="X207" s="3">
        <f>1154.4+(122.2-570.1)+(-1.766232+(-0.186966--0.872253))+0-0-0</f>
        <v>705.41905499999996</v>
      </c>
      <c r="Y207" s="3">
        <f>1176+(118.9-575.4)+(-2.9988+(-0.303195--1.46727))+0-0-0</f>
        <v>717.66527499999995</v>
      </c>
      <c r="Z207" s="3">
        <f>1176+(126.9-630.8)+(-1.79928+(-0.194157--0.965124))+0-0-0</f>
        <v>671.071687</v>
      </c>
      <c r="AA207" s="3">
        <f>1168.5+(134.5-697)+(-2.38374+(-0.27438--1.42188))+0-0-0</f>
        <v>604.76376000000005</v>
      </c>
      <c r="AB207" s="3">
        <f>1160.9+(143.2-763.8)+(-2.368236+(-0.292128--1.558152))+0-0-0</f>
        <v>539.19778800000017</v>
      </c>
      <c r="AC207" s="3">
        <f>1155.5+(132.9-772.4)+(-2.946525+(-0.338895--1.96962))+0-0-0</f>
        <v>514.68420000000003</v>
      </c>
      <c r="AD207" s="2">
        <v>675.09999999999991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1088.5+(154.1-762.6)+(-1.665405+(-0.235773--1.166778))+0-0-0</f>
        <v>479.26560000000001</v>
      </c>
      <c r="G208" s="3">
        <f>1061.1+(166-774.7)+(-1.623483+(-0.25398--1.185291))+0-0-0</f>
        <v>451.70782799999984</v>
      </c>
      <c r="H208" s="3">
        <f>1064.3+(157.7-787)+(-2.713965+(-0.402135--2.00685))+0-0-0</f>
        <v>433.89075000000003</v>
      </c>
      <c r="I208" s="3">
        <f>1069.3+(79.8-733.6)+(-0.545343+(-0.040698--0.374136))+0-0-0</f>
        <v>415.28809499999988</v>
      </c>
      <c r="J208" s="3">
        <f>1069.3+(78.5-727.1)+(-0.545343+(-0.040035--0.370821))+0-0-0</f>
        <v>420.48544299999992</v>
      </c>
      <c r="K208" s="3">
        <f>1068.3+(76.2-713)+(-1.089666+(-0.077724--0.72726))+0-0-0</f>
        <v>431.05986999999999</v>
      </c>
      <c r="L208" s="3">
        <f>1070.9+(80.4-710.2)+(-0.546159+(-0.041004--0.362202))+0-0-0</f>
        <v>440.87503900000002</v>
      </c>
      <c r="M208" s="3">
        <f>1133.2+(110.7-761.3)+(1.155864+(0.112914-0.776526))+0-0-0</f>
        <v>483.09225200000014</v>
      </c>
      <c r="N208" s="3">
        <f>1191.8+(184.4-830.2)+(-1.823454+(-0.282132--1.270206))+0-0-0</f>
        <v>545.1646199999999</v>
      </c>
      <c r="O208" s="3">
        <f>1257.6+(173.6-853.2)+(0+(0-0))+0-0-0</f>
        <v>577.99999999999989</v>
      </c>
      <c r="P208" s="3">
        <f>1290.4+(135.2-827.1)+(0+(0-0))+0-0-0</f>
        <v>598.5</v>
      </c>
      <c r="Q208" s="3">
        <f>1272+(125.6-782.3)+(0+(0-0))+0-0-0</f>
        <v>615.30000000000007</v>
      </c>
      <c r="R208" s="3">
        <f>1331.2+(117.1-866.2)+(0+(0-0))+0-0-0</f>
        <v>582.1</v>
      </c>
      <c r="S208" s="3">
        <f>1313.4+(140.5-885.6)+(0+(0-0))+0-0-0</f>
        <v>568.30000000000007</v>
      </c>
      <c r="T208" s="3">
        <f>1318.3+(141.3-911.8)+(0+(0-0))+0-0-0</f>
        <v>547.79999999999995</v>
      </c>
      <c r="U208" s="3">
        <f>1279.8+(115.9-861.3)+(0+(0-0))+0-0-0</f>
        <v>534.4</v>
      </c>
      <c r="V208" s="3">
        <f>1280.6+(108.9-842.5)+(0+(0-0))+0-0-0</f>
        <v>546.99999999999989</v>
      </c>
      <c r="W208" s="3">
        <f>1174.2+(94.6-673)+(0+(0-0))+0-0-0</f>
        <v>595.80000000000007</v>
      </c>
      <c r="X208" s="3">
        <f>1107.3+(84.2-505.7)+(0+(0-0))+0-0-0</f>
        <v>685.8</v>
      </c>
      <c r="Y208" s="3">
        <f>1108.9+(113.9-536.8)+(0+(0-0))+0-0-0</f>
        <v>686.00000000000011</v>
      </c>
      <c r="Z208" s="3">
        <f>1100.6+(110.6-533.8)+(0+(0-0))+0-0-0</f>
        <v>677.4</v>
      </c>
      <c r="AA208" s="3">
        <f>1103.9+(120.5-570.2)+(0+(0-0))+0-0-0</f>
        <v>654.20000000000005</v>
      </c>
      <c r="AB208" s="3">
        <f>1100.1+(126.7-615)+(0+(0-0))+0-0-0</f>
        <v>611.79999999999995</v>
      </c>
      <c r="AC208" s="3">
        <f>1038.5+(107.5-583.1)+(0+(0-0))+0-0-0</f>
        <v>562.9</v>
      </c>
      <c r="AD208" s="2">
        <v>680.5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1012.5+(131.2-637.4)+(-1.549125+(-0.200736--0.975222))+0-0-0</f>
        <v>505.52536100000003</v>
      </c>
      <c r="G209" s="3">
        <f>988.4+(148.4-669)+(0.504084+(0.075684-0.34119))+0-0-0</f>
        <v>468.03857799999997</v>
      </c>
      <c r="H209" s="3">
        <f>982+(151.5-681.8)+(-1.00164+(-0.15453--0.695436))+0-0-0</f>
        <v>451.23926600000004</v>
      </c>
      <c r="I209" s="3">
        <f>976.8+(152.8-672.9)+(-0.498168+(-0.077928--0.343179))+0-0-0</f>
        <v>456.46708300000006</v>
      </c>
      <c r="J209" s="3">
        <f>923.7+(135-612.8)+(-1.413261+(-0.20655--0.937584))+0-0-0</f>
        <v>445.21777300000008</v>
      </c>
      <c r="K209" s="3">
        <f>923.1+(75.2-542.5)+(-0.470781+(-0.038352--0.276675))+0-0-0</f>
        <v>455.567542</v>
      </c>
      <c r="L209" s="3">
        <f>871.7+(85.6-505.2)+(0+(0-0))+0-0-0</f>
        <v>452.1</v>
      </c>
      <c r="M209" s="3">
        <f>924.8+(156.9-596.9)+(0.943296+(0.160038-0.608838))+0-0-0</f>
        <v>485.29449599999998</v>
      </c>
      <c r="N209" s="3">
        <f>1068.8+(135.9-657)+(1.090176+(0.138618-0.67014))+0-0-0</f>
        <v>548.25865399999998</v>
      </c>
      <c r="O209" s="3">
        <f>1139.8+(136.7-695.4)+(-0.581298+(-0.069717--0.354654))+0-0-0</f>
        <v>580.80363899999986</v>
      </c>
      <c r="P209" s="3">
        <f>1166.8+(45.9-608.9)+(0+(0-0))+0-0-0</f>
        <v>603.79999999999995</v>
      </c>
      <c r="Q209" s="3">
        <f>1145+(87.1-607.2)+(-1.75185+(-0.133263--0.929016))+0-0-0</f>
        <v>623.94390299999998</v>
      </c>
      <c r="R209" s="3">
        <f>1208.5+(163.8-771.2)+(0+(0-0))+0-0-0</f>
        <v>601.09999999999991</v>
      </c>
      <c r="S209" s="3">
        <f>1176+(168.7-765.6)+(0+(0-0))+0-0-0</f>
        <v>579.09999999999991</v>
      </c>
      <c r="T209" s="3">
        <f>1181.1+(167.5-779.2)+(0+(0-0))+0-0-0</f>
        <v>569.39999999999986</v>
      </c>
      <c r="U209" s="3">
        <f>1193.3+(166.4-800.8)+(0+(0-0))+0-0-0</f>
        <v>558.9</v>
      </c>
      <c r="V209" s="3">
        <f>1266+(164.1-874.1)+(0+(0-0))+0-0-0</f>
        <v>556</v>
      </c>
      <c r="W209" s="3">
        <f>1295.8+(144.3-843.7)+(0+(0-0))+0-0-0</f>
        <v>596.39999999999986</v>
      </c>
      <c r="X209" s="3">
        <f>1352.2+(108.6-769)+(0+(0-0))+0-0-0</f>
        <v>691.80000000000007</v>
      </c>
      <c r="Y209" s="3">
        <f>1381.8+(106.7-785.9)+(0+(0-0))+0-0-0</f>
        <v>702.6</v>
      </c>
      <c r="Z209" s="3">
        <f>1377.9+(68.2-775.6)+(0+(0-0))+0-0-0</f>
        <v>670.50000000000011</v>
      </c>
      <c r="AA209" s="3">
        <f>1302+(70.2-720.8)+(0+(0-0))+0-0-0</f>
        <v>651.40000000000009</v>
      </c>
      <c r="AB209" s="3">
        <f>1134+(125.3-655.7)+(0+(0-0))+0-0-0</f>
        <v>603.59999999999991</v>
      </c>
      <c r="AC209" s="3">
        <f>1114.7+(112.5-667.5)+(0+(0-0))+0-0-0</f>
        <v>559.70000000000005</v>
      </c>
      <c r="AD209" s="2">
        <v>711.40000000000009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1049.3+(50.9-576.1)+(-2.675715+(-0.129795--1.469055))+0-0-0</f>
        <v>522.76354499999991</v>
      </c>
      <c r="G210" s="3">
        <f>959+(63.8-544.5)+(-2.44545+(-0.16269--1.388475))+0-0-0</f>
        <v>477.08033499999999</v>
      </c>
      <c r="H210" s="3">
        <f>972.3+(58-569.5)+(-0.495873+(-0.02958--0.290445))+0-0-0</f>
        <v>460.56499199999996</v>
      </c>
      <c r="I210" s="3">
        <f>968.6+(49-562.2)+(-1.481958+(-0.07497--0.860166))+0-0-0</f>
        <v>454.703238</v>
      </c>
      <c r="J210" s="3">
        <f>968.1+(48.6-563.3)+(-1.481193+(-0.074358--0.861849))+0-0-0</f>
        <v>452.70629800000012</v>
      </c>
      <c r="K210" s="3">
        <f>967.6+(46.9-549.7)+(-0.986952+(-0.047838--0.560694))+0-0-0</f>
        <v>464.32590399999998</v>
      </c>
      <c r="L210" s="3">
        <f>968+(48.5-556.2)+(0+(0-0))+0-0-0</f>
        <v>460.29999999999995</v>
      </c>
      <c r="M210" s="3">
        <f>1000.8+(145.5-638)+(0+(0-0))+0-0-0</f>
        <v>508.29999999999995</v>
      </c>
      <c r="N210" s="3">
        <f>1048.6+(176.1-659.7)+(0+(0-0))+0-0-0</f>
        <v>564.99999999999989</v>
      </c>
      <c r="O210" s="3">
        <f>1122.1+(153.4-678.8)+(0+(0-0))+0-0-0</f>
        <v>596.69999999999993</v>
      </c>
      <c r="P210" s="3">
        <f>1288.7+(145-816.5)+(0+(0-0))+0-0-0</f>
        <v>617.20000000000005</v>
      </c>
      <c r="Q210" s="3">
        <f>1349.4+(137.6-856)+(0+(0-0))+0-0-0</f>
        <v>631.00000000000011</v>
      </c>
      <c r="R210" s="3">
        <f>1285.4+(117.1-806.6)+(0+(0-0))+0-0-0</f>
        <v>595.90000000000009</v>
      </c>
      <c r="S210" s="3">
        <f>1189.1+(148.5-758.8)+(-1.212882+(-0.15147--0.773976))+0-0-0</f>
        <v>578.20962399999996</v>
      </c>
      <c r="T210" s="3">
        <f>1251.6+(166.4-844.4)+(-0.638316+(-0.084864--0.430644))+0-0-0</f>
        <v>573.30746399999987</v>
      </c>
      <c r="U210" s="3">
        <f>1285.5+(169.3-890.7)+(-2.62242+(-0.345372--1.817028))+0-0-0</f>
        <v>562.94923599999993</v>
      </c>
      <c r="V210" s="3">
        <f>1224.5+(136.7-794.2)+(-1.24899+(-0.139434--0.810084))+0-0-0</f>
        <v>566.42165999999997</v>
      </c>
      <c r="W210" s="3">
        <f>1151.3+(109.4-665.4)+(-1.174326+(-0.111588--0.678708))+0-0-0</f>
        <v>594.69279399999994</v>
      </c>
      <c r="X210" s="3">
        <f>1319.6+(57.7-697)+(-2.018988+(-0.088281--1.06641))+0-0-0</f>
        <v>679.259141</v>
      </c>
      <c r="Y210" s="3">
        <f>1365.7+(55.1-736)+(-2.089521+(-0.084303--1.12608))+0-0-0</f>
        <v>683.7522560000001</v>
      </c>
      <c r="Z210" s="3">
        <f>1310.8+(63.5-702.5)+(-2.005524+(-0.097155--1.074825))+0-0-0</f>
        <v>670.77214599999991</v>
      </c>
      <c r="AA210" s="3">
        <f>1302.6+(23.7-682.8)+(-2.657304+(-0.048348--1.392912))+0-0-0</f>
        <v>642.18726000000004</v>
      </c>
      <c r="AB210" s="3">
        <f>1306.3+(28.6-739.4)+(-0.666213+(-0.014586--0.377094))+0-0-0</f>
        <v>595.19629499999996</v>
      </c>
      <c r="AC210" s="3">
        <f>1291.1+(11.8-756.6)+(-1.975383+(-0.018054--1.157598))+0-0-0</f>
        <v>545.46416099999988</v>
      </c>
      <c r="AD210" s="2">
        <v>750.69999999999993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1253.5+(0-748.6)+(-0.639285+(0--0.381786))+0-0-0</f>
        <v>504.64250099999998</v>
      </c>
      <c r="G211" s="3">
        <f>1132+(0-662.7)+(0+(0-0))+0-0-0</f>
        <v>469.29999999999995</v>
      </c>
      <c r="H211" s="3">
        <f>1131.7+(0-672.8)+(0.577167+(0-0.343128))+0-0-0</f>
        <v>459.13403900000009</v>
      </c>
      <c r="I211" s="3">
        <f>1136.6+(0-689.9)+(1.159332+(0-0.703698))+0-0-0</f>
        <v>447.15563399999991</v>
      </c>
      <c r="J211" s="3">
        <f>1106.2+(0-659.2)+(1.128324+(0-0.672384))+0-0-0</f>
        <v>447.45594</v>
      </c>
      <c r="K211" s="3">
        <f>1060.7+(0-617.1)+(0+(0-0))+0-0-0</f>
        <v>443.6</v>
      </c>
      <c r="L211" s="3">
        <f>968.6+(22.6-559.4)+(1.975944+(0.046104-1.141176))+0-0-0</f>
        <v>432.68087200000008</v>
      </c>
      <c r="M211" s="3">
        <f>976.6+(46.4-548.9)+(-0.996132+(-0.047328--0.559878))+0-0-0</f>
        <v>473.61641800000001</v>
      </c>
      <c r="N211" s="3">
        <f>1199.9+(3.4-679.4)+(-2.447796+(-0.006936--1.385976))+0-0-0</f>
        <v>522.83124400000008</v>
      </c>
      <c r="O211" s="3">
        <f>1207+(29-657.2)+(-1.84671+(-0.04437--1.005516))+0-0-0</f>
        <v>577.91443599999991</v>
      </c>
      <c r="P211" s="3">
        <f>1212.4+(47.9-676.8)+(-3.09162+(-0.122145--1.72584))+0-0-0</f>
        <v>582.0120750000001</v>
      </c>
      <c r="Q211" s="3">
        <f>1214.1+(46.5-668.7)+(-1.857573+(-0.071145--1.023111))+0-0-0</f>
        <v>590.99439299999983</v>
      </c>
      <c r="R211" s="3">
        <f>1211.7+(39.5-679.4)+(-2.471868+(-0.08058--1.385976))+0-0-0</f>
        <v>570.63352800000007</v>
      </c>
      <c r="S211" s="3">
        <f>1223.9+(25.5-696.7)+(0.624189+(0.013005-0.355317))+0-0-0</f>
        <v>552.98187700000005</v>
      </c>
      <c r="T211" s="3">
        <f>1249.8+(16.4-717.8)+(-1.274796+(-0.016728--0.732156))+0-0-0</f>
        <v>547.84063200000003</v>
      </c>
      <c r="U211" s="3">
        <f>1291.8+(0-741)+(-3.29409+(0--1.88955))+0-0-0</f>
        <v>549.39545999999996</v>
      </c>
      <c r="V211" s="3">
        <f>1222.6+(11.8-684.9)+(-1.870578+(-0.018054--1.047897))+0-0-0</f>
        <v>548.65926499999989</v>
      </c>
      <c r="W211" s="3">
        <f>1274+(5-689.1)+(0.64974+(0.00255-0.351441))+0-0-0</f>
        <v>590.20084899999995</v>
      </c>
      <c r="X211" s="3">
        <f>1317.1+(47.9-682.7)+(-2.015163+(-0.073287--1.044531))+0-0-0</f>
        <v>681.25608099999988</v>
      </c>
      <c r="Y211" s="3">
        <f>1317.6+(67.7-703.8)+(-2.687904+(-0.138108--1.435752))+0-0-0</f>
        <v>680.10973999999999</v>
      </c>
      <c r="Z211" s="3">
        <f>1314.9+(54.3-697.5)+(-2.682396+(-0.110772--1.4229))+0-0-0</f>
        <v>670.32973200000004</v>
      </c>
      <c r="AA211" s="3">
        <f>1308.6+(45.2-710.6)+(-3.33693+(-0.11526--1.81203))+0-0-0</f>
        <v>641.55983999999989</v>
      </c>
      <c r="AB211" s="3">
        <f>1303.6+(32.2-730.3)+(-3.32418+(-0.08211--1.862265))+0-0-0</f>
        <v>603.95597499999997</v>
      </c>
      <c r="AC211" s="3">
        <f>1257.3+(0-712.8)+(-1.923669+(0--1.090584))+0-0-0</f>
        <v>543.66691500000002</v>
      </c>
      <c r="AD211" s="2">
        <v>690.99999999999989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1237.9+(0-744.1)+(-1.893987+(0--1.138473))+0-0-0</f>
        <v>493.04448600000006</v>
      </c>
      <c r="G212" s="3">
        <f>1076.9+(0-629.1)+(-1.647657+(0--0.962523))+0-0-0</f>
        <v>447.11486600000006</v>
      </c>
      <c r="H212" s="3">
        <f>1061.2+(0-634)+(-1.082424+(0--0.64668))+0-0-0</f>
        <v>426.76425600000005</v>
      </c>
      <c r="I212" s="3">
        <f>1046.9+(0-617)+(-0.533919+(0--0.31467))+0-0-0</f>
        <v>429.6807510000001</v>
      </c>
      <c r="J212" s="3">
        <f>1004.4+(0-569.2)+(0.512244+(0-0.290292))+0-0-0</f>
        <v>435.42195199999992</v>
      </c>
      <c r="K212" s="3">
        <f>1005.3+(7.3-574.1)+(0.512703+(0.003723-0.292791))+0-0-0</f>
        <v>438.72363499999989</v>
      </c>
      <c r="L212" s="3">
        <f>999.7+(20.8-571)+(-0.509847+(-0.010608--0.29121))+0-0-0</f>
        <v>449.27075500000001</v>
      </c>
      <c r="M212" s="3">
        <f>1092+(17.2-625.9)+(0+(0-0))+0-0-0</f>
        <v>483.30000000000007</v>
      </c>
      <c r="N212" s="3">
        <f>1291+(0-759.5)+(-1.97523+(0--1.162035))+0-0-0</f>
        <v>530.68680500000005</v>
      </c>
      <c r="O212" s="3">
        <f>1379+(1.1-804.6)+(-0.70329+(-0.000561--0.410346))+0-0-0</f>
        <v>575.20649500000002</v>
      </c>
      <c r="P212" s="3">
        <f>1374.8+(5.4-795.9)+(-1.402296+(-0.005508--0.811818))+0-0-0</f>
        <v>583.70401399999992</v>
      </c>
      <c r="Q212" s="3">
        <f>1371.9+(5.4-792.1)+(-1.399338+(-0.005508--0.807942))+0-0-0</f>
        <v>584.60309600000005</v>
      </c>
      <c r="R212" s="3">
        <f>1343.1+(5.4-783.7)+(-0.684981+(-0.002754--0.399687))+0-0-0</f>
        <v>564.51195199999984</v>
      </c>
      <c r="S212" s="3">
        <f>1226.1+(5.4-689.4)+(-1.875933+(-0.008262--1.054782))+0-0-0</f>
        <v>541.27058699999986</v>
      </c>
      <c r="T212" s="3">
        <f>1331+(5.4-796)+(-2.03643+(-0.008262--1.21788))+0-0-0</f>
        <v>539.57318799999996</v>
      </c>
      <c r="U212" s="3">
        <f>1372+(5.4-833.1)+(-2.09916+(-0.008262--1.274643))+0-0-0</f>
        <v>543.467221</v>
      </c>
      <c r="V212" s="3">
        <f>1378.9+(5.4-842)+(1.406478+(0.005508-0.85884))+0-0-0</f>
        <v>542.85314600000004</v>
      </c>
      <c r="W212" s="3">
        <f>1395.5+(5.1-812.3)+(0.711705+(0.002601-0.414273))+0-0-0</f>
        <v>588.60003300000005</v>
      </c>
      <c r="X212" s="3">
        <f>1403.7+(5.1-727.2)+(-2.147661+(-0.007803--1.112616))+0-0-0</f>
        <v>680.55715199999997</v>
      </c>
      <c r="Y212" s="3">
        <f>1411.8+(5.4-731.9)+(-1.440036+(-0.005508--0.746538))+0-0-0</f>
        <v>684.6009939999999</v>
      </c>
      <c r="Z212" s="3">
        <f>1411.4+(12-746.8)+(-1.439628+(-0.01224--0.761736))+0-0-0</f>
        <v>675.90986800000019</v>
      </c>
      <c r="AA212" s="3">
        <f>1395.3+(5.4-747.2)+(-1.423206+(-0.005508--0.762144))+0-0-0</f>
        <v>652.83342999999991</v>
      </c>
      <c r="AB212" s="3">
        <f>1219.7+(28-633.3)+(-3.110235+(-0.0714--1.614915))+0-0-0</f>
        <v>612.83328000000006</v>
      </c>
      <c r="AC212" s="3">
        <f>1183.2+(5.4-621.8)+(-3.620592+(-0.016524--1.902708))+0-0-0</f>
        <v>565.06559200000004</v>
      </c>
      <c r="AD212" s="2">
        <v>676.80000000000007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1051.3+(14.3-556)+(1.072326+(0.014586-0.56712))+0-0-0</f>
        <v>510.1197919999999</v>
      </c>
      <c r="G213" s="3">
        <f>989.2+(5.4-520.4)+(0.504492+(0.002754-0.265404))+0-0-0</f>
        <v>474.44184200000007</v>
      </c>
      <c r="H213" s="3">
        <f>988.1+(5.4-536.8)+(1.007862+(0.005508-0.547536))+0-0-0</f>
        <v>457.16583400000002</v>
      </c>
      <c r="I213" s="3">
        <f>975+(5.4-533.6)+(-0.49725+(-0.002754--0.272136))+0-0-0</f>
        <v>446.57213199999995</v>
      </c>
      <c r="J213" s="3">
        <f>968.7+(5.4-524.6)+(0+(0-0))+0-0-0</f>
        <v>449.5</v>
      </c>
      <c r="K213" s="3">
        <f>973.7+(5.4-531.1)+(-1.986348+(-0.011016--1.083444))+0-0-0</f>
        <v>447.08607999999998</v>
      </c>
      <c r="L213" s="3">
        <f>1001.9+(5.4-573.1)+(1.021938+(0.005508-0.584562))+0-0-0</f>
        <v>434.64288399999992</v>
      </c>
      <c r="M213" s="3">
        <f>999+(5.4-538.8)+(0+(0-0))+0-0-0</f>
        <v>465.6</v>
      </c>
      <c r="N213" s="3">
        <f>1208.8+(5.4-701.4)+(0+(0-0))+0-0-0</f>
        <v>512.79999999999995</v>
      </c>
      <c r="O213" s="3">
        <f>1255.6+(5.4-693.5)+(0+(0-0))+0-0-0</f>
        <v>567.49999999999989</v>
      </c>
      <c r="P213" s="3">
        <f>1050.7+(6.6-475.3)+(-1.607571+(-0.010098--0.727209))+0-0-0</f>
        <v>581.10954000000004</v>
      </c>
      <c r="Q213" s="3">
        <f>1085.9+(42.1-546.7)+(0+(0-0))+0-0-0</f>
        <v>581.30000000000007</v>
      </c>
      <c r="R213" s="3">
        <f>1086.3+(45.8-578.1)+(-1.662039+(-0.070074--0.884493))+0-0-0</f>
        <v>553.15237999999988</v>
      </c>
      <c r="S213" s="3">
        <f>1088+(50.6-605.2)+(0+(0-0))+0-0-0</f>
        <v>533.4</v>
      </c>
      <c r="T213" s="3">
        <f>1080.4+(53-614.5)+(0+(0-0))+0-0-0</f>
        <v>518.90000000000009</v>
      </c>
      <c r="U213" s="3">
        <f>1075.2+(54.2-619.5)+(-2.193408+(-0.110568--1.26378))+0-0-0</f>
        <v>508.85980400000011</v>
      </c>
      <c r="V213" s="3">
        <f>1074.8+(50.5-616.4)+(-1.644444+(-0.077265--0.943092))+0-0-0</f>
        <v>508.12138299999998</v>
      </c>
      <c r="W213" s="3">
        <f>1101.2+(60.3-589.9)+(-0.561612+(-0.030753--0.300849))+0-0-0</f>
        <v>571.30848400000002</v>
      </c>
      <c r="X213" s="3">
        <f>1117.1+(74-531.6)+(-1.709163+(-0.11322--0.813348))+0-0-0</f>
        <v>658.49096499999985</v>
      </c>
      <c r="Y213" s="3">
        <f>873.3+(69.9-300.1)+(-0.445383+(-0.035649--0.153051))+0-0-0</f>
        <v>642.77201899999989</v>
      </c>
      <c r="Z213" s="3">
        <f>854.7+(74.6-303.6)+(0.871794+(0.076092-0.309672))+0-0-0</f>
        <v>626.33821399999999</v>
      </c>
      <c r="AA213" s="3">
        <f>852.2+(73.3-317.6)+(0.434622+(0.037383-0.161976))+0-0-0</f>
        <v>608.21002900000008</v>
      </c>
      <c r="AB213" s="3">
        <f>847.3+(102-371.3)+(-0.864246+(-0.10404--0.378726))+0-0-0</f>
        <v>577.41043999999999</v>
      </c>
      <c r="AC213" s="3">
        <f>840.7+(63.6-375.9)+(-1.286271+(-0.097308--0.575127))+0-0-0</f>
        <v>527.5915480000001</v>
      </c>
      <c r="AD213" s="2">
        <v>658.09999999999991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844.6+(46.6-397.4)+(-0.430746+(-0.023766--0.202674))+0-0-0</f>
        <v>493.54816200000005</v>
      </c>
      <c r="G214" s="3">
        <f>843.8+(33.9-413.5)+(-0.860676+(-0.034578--0.42177))+0-0-0</f>
        <v>463.72651599999995</v>
      </c>
      <c r="H214" s="3">
        <f>796.5+(36.2-384.1)+(-1.218645+(-0.055386--0.587673))+0-0-0</f>
        <v>447.91364199999998</v>
      </c>
      <c r="I214" s="3">
        <f>762.7+(40.4-365.9)+(-1.555908+(-0.082416--0.746436))+0-0-0</f>
        <v>436.30811200000005</v>
      </c>
      <c r="J214" s="3">
        <f>788.4+(26.1-374.9)+(0+(0-0))+0-0-0</f>
        <v>439.6</v>
      </c>
      <c r="K214" s="3">
        <f>799.9+(23-385.1)+(-1.223847+(-0.03519--0.589203))+0-0-0</f>
        <v>437.13016599999997</v>
      </c>
      <c r="L214" s="3">
        <f>804.4+(15.2-405)+(-1.230732+(-0.023256--0.61965))+0-0-0</f>
        <v>413.96566199999995</v>
      </c>
      <c r="M214" s="3">
        <f>807.9+(22.5-412.8)+(0.412029+(0.011475-0.210528))+0-0-0</f>
        <v>417.81297599999999</v>
      </c>
      <c r="N214" s="3">
        <f>1026.9+(5.4-586.4)+(0.523719+(0.002754-0.299064))+0-0-0</f>
        <v>446.12740900000011</v>
      </c>
      <c r="O214" s="3">
        <f>1178.8+(5.4-698.3)+(-2.404752+(-0.011016--1.424532))+0-0-0</f>
        <v>484.90876399999996</v>
      </c>
      <c r="P214" s="3">
        <f>1217.5+(5.4-714.9)+(0.620925+(0.002754-0.364599))+0-0-0</f>
        <v>508.25907999999998</v>
      </c>
      <c r="Q214" s="3">
        <f>1210.3+(55.3-735.3)+(-1.851759+(-0.084609--1.125009))+0-0-0</f>
        <v>529.48864099999992</v>
      </c>
      <c r="R214" s="3">
        <f>1218.5+(65.1-793)+(0.621435+(0.033201-0.40443))+0-0-0</f>
        <v>490.85020600000001</v>
      </c>
      <c r="S214" s="3">
        <f>1210.9+(66.4-803.2)+(-1.235118+(-0.067728--0.819264))+0-0-0</f>
        <v>473.61641800000001</v>
      </c>
      <c r="T214" s="3">
        <f>1201+(68.3-809.8)+(-2.45004+(-0.139332--1.651992))+0-0-0</f>
        <v>458.56261999999998</v>
      </c>
      <c r="U214" s="3">
        <f>1203.6+(63.4-814.4)+(-2.455344+(-0.129336--1.661376))+0-0-0</f>
        <v>451.67669599999994</v>
      </c>
      <c r="V214" s="3">
        <f>1182.5+(33.5-745.3)+(1.20615+(0.03417-0.760206))+0-0-0</f>
        <v>471.18011400000006</v>
      </c>
      <c r="W214" s="3">
        <f>1151.8+(15.3-632.5)+(-0.587418+(-0.007803--0.322575))+0-0-0</f>
        <v>534.3273539999999</v>
      </c>
      <c r="X214" s="3">
        <f>1172.2+(22.6-593.8)+(1.195644+(0.023052-0.605676))+0-0-0</f>
        <v>601.61302000000012</v>
      </c>
      <c r="Y214" s="3">
        <f>1178.8+(26.6-591.6)+(-1.803564+(-0.040698--0.905148))+0-0-0</f>
        <v>612.86088599999994</v>
      </c>
      <c r="Z214" s="3">
        <f>1102.6+(30-525.7)+(-2.249304+(-0.0612--1.072428))+0-0-0</f>
        <v>605.66192399999989</v>
      </c>
      <c r="AA214" s="3">
        <f>1112.2+(5.4-532.2)+(-1.134444+(-0.005508--0.542844))+0-0-0</f>
        <v>584.80289199999993</v>
      </c>
      <c r="AB214" s="3">
        <f>1175.8+(11.5-622)+(-1.199316+(-0.01173--0.63444))+0-0-0</f>
        <v>564.72339399999998</v>
      </c>
      <c r="AC214" s="3">
        <f>1172.6+(20.8-672.6)+(-1.196052+(-0.021216--0.686052))+0-0-0</f>
        <v>520.26878399999987</v>
      </c>
      <c r="AD214" s="2">
        <v>599.4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1166.4+(32.8-726.7)+(-2.379456+(-0.066912--1.482468))+0-0-0</f>
        <v>471.53609999999998</v>
      </c>
      <c r="G215" s="3">
        <f>1173.9+(33-768)+(-0.598689+(-0.01683--0.39168))+0-0-0</f>
        <v>438.67616100000009</v>
      </c>
      <c r="H215" s="3">
        <f>1075.2+(5.4-664.1)+(-1.645056+(-0.008262--1.016073))+0-0-0</f>
        <v>415.86275499999999</v>
      </c>
      <c r="I215" s="3">
        <f>1054.8+(5.4-647.7)+(-1.613844+(-0.008262--0.990981))+0-0-0</f>
        <v>411.86887499999989</v>
      </c>
      <c r="J215" s="3">
        <f>1051.3+(5.4-646.4)+(-1.072326+(-0.005508--0.659328))+0-0-0</f>
        <v>409.88149399999998</v>
      </c>
      <c r="K215" s="3">
        <f>1057.9+(5.4-646)+(0+(0-0))+0-0-0</f>
        <v>417.30000000000007</v>
      </c>
      <c r="L215" s="3">
        <f>1056.1+(5.4-633.4)+(-0.538611+(-0.002754--0.323034))+0-0-0</f>
        <v>427.88166899999993</v>
      </c>
      <c r="M215" s="3">
        <f>1137.6+(18.1-687)+(-0.580176+(-0.009231--0.35037))+0-0-0</f>
        <v>468.46096299999994</v>
      </c>
      <c r="N215" s="3">
        <f>1328.4+(89.1-887.7)+(0+(0-0))+0-0-0</f>
        <v>529.80000000000007</v>
      </c>
      <c r="O215" s="3">
        <f>1359.3+(74-872.8)+(-2.772972+(-0.15096--1.780512))+0-0-0</f>
        <v>559.35658000000001</v>
      </c>
      <c r="P215" s="3">
        <f>1370.5+(64.6-850)+(-0.698955+(-0.032946--0.4335))+0-0-0</f>
        <v>584.80159900000001</v>
      </c>
      <c r="Q215" s="3">
        <f>1353.2+(64.4-822.3)+(-1.380264+(-0.065688--0.838746))+0-0-0</f>
        <v>594.69279400000005</v>
      </c>
      <c r="R215" s="3">
        <f>1278.6+(71.7-756.3)+(-1.956258+(-0.109701--1.157139))+0-0-0</f>
        <v>593.09118000000001</v>
      </c>
      <c r="S215" s="3">
        <f>1257.9+(81.1-775.5)+(-1.924587+(-0.124083--1.186515))+0-0-0</f>
        <v>562.63784500000008</v>
      </c>
      <c r="T215" s="3">
        <f>1266.8+(79.6-789.6)+(0.646068+(0.040596-0.402696))+0-0-0</f>
        <v>557.08396799999991</v>
      </c>
      <c r="U215" s="3">
        <f>1252.6+(61.9-764.8)+(-3.832956+(-0.189414--2.340288))+0-0-0</f>
        <v>548.0179179999999</v>
      </c>
      <c r="V215" s="3">
        <f>1263.3+(41.4-746.9)+(-1.288566+(-0.042228--0.761838))+0-0-0</f>
        <v>557.231044</v>
      </c>
      <c r="W215" s="3">
        <f>1320.7+(29.9-712.5)+(0+(0-0))+0-0-0</f>
        <v>638.1</v>
      </c>
      <c r="X215" s="3">
        <f>1370.1+(17.3-677.4)+(-2.795004+(-0.035292--1.381896))+0-0-0</f>
        <v>708.55159999999989</v>
      </c>
      <c r="Y215" s="3">
        <f>1373.1+(11.4-674.4)+(-5.602248+(-0.046512--2.751552))+0-0-0</f>
        <v>707.20279199999993</v>
      </c>
      <c r="Z215" s="3">
        <f>1236.3+(5.4-549.4)+(-3.152565+(-0.01377--1.40097))+0-0-0</f>
        <v>690.53463499999998</v>
      </c>
      <c r="AA215" s="3">
        <f>1183.7+(5.4-516.3)+(-3.018435+(-0.01377--1.316565))+0-0-0</f>
        <v>671.08436000000006</v>
      </c>
      <c r="AB215" s="3">
        <f>1130.8+(5.4-502.8)+(-1.730124+(-0.008262--0.769284))+0-0-0</f>
        <v>632.43089799999984</v>
      </c>
      <c r="AC215" s="3">
        <f>1061.1+(5.4-488.2)+(-0.541161+(-0.002754--0.248982))+0-0-0</f>
        <v>578.00506699999994</v>
      </c>
      <c r="AD215" s="2">
        <v>686.5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1016.1+(5.4-515)+(0.518211+(0.002754-0.26265))+0-0-0</f>
        <v>506.75831499999998</v>
      </c>
      <c r="G216" s="3">
        <f>900.7+(5.4-439.3)+(-1.837428+(-0.011016--0.896172))+0-0-0</f>
        <v>465.84772800000002</v>
      </c>
      <c r="H216" s="3">
        <f>897.6+(5.4-460.7)+(-1.831104+(-0.011016--0.939828))+0-0-0</f>
        <v>441.39770800000002</v>
      </c>
      <c r="I216" s="3">
        <f>913.9+(5.4-480.4)+(1.864356+(0.011016-0.980016))+0-0-0</f>
        <v>439.79535599999997</v>
      </c>
      <c r="J216" s="3">
        <f>914.7+(5.4-483.3)+(2.332485+(0.01377-1.232415))+0-0-0</f>
        <v>437.91383999999999</v>
      </c>
      <c r="K216" s="3">
        <f>910.3+(5.4-468.9)+(1.392759+(0.008262-0.717417))+0-0-0</f>
        <v>447.48360399999996</v>
      </c>
      <c r="L216" s="3">
        <f>917.3+(5.4-483.7)+(1.871292+(0.011016-0.986748))+0-0-0</f>
        <v>439.89555999999993</v>
      </c>
      <c r="M216" s="3">
        <f>967.5+(5.4-509.7)+(0+(0-0))+0-0-0</f>
        <v>463.2</v>
      </c>
      <c r="N216" s="3">
        <f>1065.4+(5.4-553.9)+(1.086708+(0.005508-0.564978))+0-0-0</f>
        <v>517.4272380000001</v>
      </c>
      <c r="O216" s="3">
        <f>1056.1+(15.5-517.9)+(-1.615833+(-0.023715--0.792387))+0-0-0</f>
        <v>552.8528389999999</v>
      </c>
      <c r="P216" s="3">
        <f>1081.7+(6.3-513.2)+(0+(0-0))+0-0-0</f>
        <v>574.79999999999995</v>
      </c>
      <c r="Q216" s="3">
        <f>1186.1+(6.3-620.2)+(-1.209822+(-0.006426--0.632604))+0-0-0</f>
        <v>571.61635599999977</v>
      </c>
      <c r="R216" s="3">
        <f>1129.7+(6.3-575)+(-2.304588+(-0.012852--1.173))+0-0-0</f>
        <v>559.85555999999997</v>
      </c>
      <c r="S216" s="3">
        <f>1119.5+(6.3-577)+(-1.14189+(-0.006426--0.58854))+0-0-0</f>
        <v>548.2402239999999</v>
      </c>
      <c r="T216" s="3">
        <f>1257.3+(6.2-726.2)+(-3.206115+(-0.01581--1.85181))+0-0-0</f>
        <v>535.9298849999999</v>
      </c>
      <c r="U216" s="3">
        <f>1343.7+(5.5-815)+(-0.685287+(-0.002805--0.41565))+0-0-0</f>
        <v>533.92755800000009</v>
      </c>
      <c r="V216" s="3">
        <f>1345.3+(5.5-806.1)+(0+(0-0))+0-0-0</f>
        <v>544.69999999999993</v>
      </c>
      <c r="W216" s="3">
        <f>1370+(5.5-756.5)+(0+(0-0))+0-0-0</f>
        <v>619</v>
      </c>
      <c r="X216" s="3">
        <f>1378.9+(5.5-687.2)+(-1.406478+(-0.00561--0.700944))+0-0-0</f>
        <v>696.48885600000006</v>
      </c>
      <c r="Y216" s="3">
        <f>1327.2+(0-626.6)+(-1.353744+(0--0.639132))+0-0-0</f>
        <v>699.88538800000003</v>
      </c>
      <c r="Z216" s="3">
        <f>1296+(0-608.7)+(1.32192+(0-0.620874))+0-0-0</f>
        <v>688.00104599999997</v>
      </c>
      <c r="AA216" s="3">
        <f>1263.7+(0-601.1)+(1.288974+(0-0.613122))+0-0-0</f>
        <v>663.27585199999999</v>
      </c>
      <c r="AB216" s="3">
        <f>1147.2+(5.2-523.8)+(-1.755216+(-0.007956--0.801414))+0-0-0</f>
        <v>627.6382420000001</v>
      </c>
      <c r="AC216" s="3">
        <f>1078.6+(0-501.9)+(-2.200344+(0--1.023876))+0-0-0</f>
        <v>575.52353199999993</v>
      </c>
      <c r="AD216" s="2">
        <v>703.7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1071.8+(0-555.9)+(-0.546618+(0--0.283509))+0-0-0</f>
        <v>515.63689099999999</v>
      </c>
      <c r="G217" s="3">
        <f>1026.1+(12.7-560.4)+(-1.569933+(-0.019431--0.857412))+0-0-0</f>
        <v>477.668048</v>
      </c>
      <c r="H217" s="3">
        <f>997.2+(13.2-550.3)+(-2.034288+(-0.026928--1.122612))+0-0-0</f>
        <v>459.16139600000014</v>
      </c>
      <c r="I217" s="3">
        <f>996.1+(0-552.8)+(-1.016022+(0--0.563856))+0-0-0</f>
        <v>442.84783400000009</v>
      </c>
      <c r="J217" s="3">
        <f>1007.6+(0-569.5)+(1.541628+(0-0.871335))+0-0-0</f>
        <v>438.77029300000004</v>
      </c>
      <c r="K217" s="3">
        <f>993.6+(0-545.7)+(-2.026944+(0--1.113228))+0-0-0</f>
        <v>446.98628399999996</v>
      </c>
      <c r="L217" s="3">
        <f>1004.1+(0-553)+(0+(0-0))+0-0-0</f>
        <v>451.1</v>
      </c>
      <c r="M217" s="3">
        <f>1041.8+(0-564.1)+(0+(0-0))+0-0-0</f>
        <v>477.69999999999993</v>
      </c>
      <c r="N217" s="3">
        <f>1238.9+(0-699.6)+(1.263678+(0-0.713592))+0-0-0</f>
        <v>539.85008600000003</v>
      </c>
      <c r="O217" s="3">
        <f>1241.2+(5.9-656.5)+(0.633012+(0.003009-0.334815))+0-0-0</f>
        <v>590.901206</v>
      </c>
      <c r="P217" s="3">
        <f>1237.5+(0-634)+(-1.26225+(0--0.64668))+0-0-0</f>
        <v>602.88442999999995</v>
      </c>
      <c r="Q217" s="3">
        <f>1229.2+(0-618.8)+(-1.880676+(0--0.946764))+0-0-0</f>
        <v>609.46608800000013</v>
      </c>
      <c r="R217" s="3">
        <f>1253.3+(0-658.8)+(-3.835098+(0--2.015928))+0-0-0</f>
        <v>592.68083000000001</v>
      </c>
      <c r="S217" s="3">
        <f>1319.5+(0-749.3)+(0+(0-0))+0-0-0</f>
        <v>570.20000000000005</v>
      </c>
      <c r="T217" s="3">
        <f>1318.2+(0-761.4)+(-0.672282+(0--0.388314))+0-0-0</f>
        <v>556.51603200000011</v>
      </c>
      <c r="U217" s="3">
        <f>1315.8+(0-755.6)+(0+(0-0))+0-0-0</f>
        <v>560.19999999999993</v>
      </c>
      <c r="V217" s="3">
        <f>1311.1+(0-748.7)+(-2.674644+(0--1.527348))+0-0-0</f>
        <v>561.25270399999988</v>
      </c>
      <c r="W217" s="3">
        <f>1317.4+(0-689.2)+(-1.343748+(0--0.702984))+0-0-0</f>
        <v>627.55923600000006</v>
      </c>
      <c r="X217" s="3">
        <f>1380.4+(0-673.4)+(-0.704004+(0--0.343434))+0-0-0</f>
        <v>706.63943000000006</v>
      </c>
      <c r="Y217" s="3">
        <f>1386.3+(0-677.5)+(-1.414026+(0--0.69105))+0-0-0</f>
        <v>708.07702399999994</v>
      </c>
      <c r="Z217" s="3">
        <f>1380.9+(0-684.1)+(-3.521295+(0--1.744455))+0-0-0</f>
        <v>695.02316000000008</v>
      </c>
      <c r="AA217" s="3">
        <f>1374.7+(0-697.4)+(-2.804388+(0--1.422696))+0-0-0</f>
        <v>675.91830800000002</v>
      </c>
      <c r="AB217" s="3">
        <f>1215.3+(17.5-601.9)+(-1.859409+(-0.026775--0.920907))+0-0-0</f>
        <v>629.93472299999996</v>
      </c>
      <c r="AC217" s="3">
        <f>1182.6+(0-616.6)+(-1.206252+(0--0.628932))+0-0-0</f>
        <v>565.4226799999999</v>
      </c>
      <c r="AD217" s="2">
        <v>700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1014.2+(0-513.8)+(-0.517242+(0--0.262038))+0-0-0</f>
        <v>500.1447960000001</v>
      </c>
      <c r="G218" s="3">
        <f>908.2+(0-448.4)+(0.463182+(0-0.228684))+0-0-0</f>
        <v>460.03449800000004</v>
      </c>
      <c r="H218" s="3">
        <f>902.1+(0-457.7)+(0+(0-0))+0-0-0</f>
        <v>444.40000000000003</v>
      </c>
      <c r="I218" s="3">
        <f>841.4+(0-414.7)+(1.716456+(0-0.845988))+0-0-0</f>
        <v>427.57046800000001</v>
      </c>
      <c r="J218" s="3">
        <f>829.3+(0-403)+(0.422943+(0-0.20553))+0-0-0</f>
        <v>426.51741299999998</v>
      </c>
      <c r="K218" s="3">
        <f>835.7+(0-405.2)+(0.852414+(0-0.413304))+0-0-0</f>
        <v>430.93911000000008</v>
      </c>
      <c r="L218" s="3">
        <f>826.2+(4.9-389.9)+(-0.842724+(-0.004998--0.397698))+0-0-0</f>
        <v>440.74997600000006</v>
      </c>
      <c r="M218" s="3">
        <f>837.3+(18-393.5)+(2.135115+(0.0459-1.003425))+0-0-0</f>
        <v>462.97758999999996</v>
      </c>
      <c r="N218" s="3">
        <f>797.6+(45.1-353.2)+(-0.813552+(-0.046002--0.360264))+0-0-0</f>
        <v>489.00071000000008</v>
      </c>
      <c r="O218" s="3">
        <f>759+(69.3-300.1)+(-0.38709+(-0.035343--0.153051))+0-0-0</f>
        <v>527.93061800000009</v>
      </c>
      <c r="P218" s="3">
        <f>758.5+(62.1-292.2)+(0+(0-0))+0-0-0</f>
        <v>528.4</v>
      </c>
      <c r="Q218" s="3">
        <f>830.1+(61.1-313.3)+(0.423351+(0.031161-0.159783))+0-0-0</f>
        <v>578.19472899999994</v>
      </c>
      <c r="R218" s="3">
        <f>743.5+(83.5-284.7)+(-0.75837+(-0.08517--0.290394))+0-0-0</f>
        <v>541.74685399999998</v>
      </c>
      <c r="S218" s="3">
        <f>717.3+(121.5-282.3)+(-0.731646+(-0.12393--0.287946))+0-0-0</f>
        <v>555.93236999999999</v>
      </c>
      <c r="T218" s="3">
        <f>712.5+(122-272.6)+(0.72675+(0.12444-0.278052))+0-0-0</f>
        <v>562.47313799999995</v>
      </c>
      <c r="U218" s="3">
        <f>713+(102-261)+(-1.09089+(-0.15606--0.39933))+0-0-0</f>
        <v>553.15237999999999</v>
      </c>
      <c r="V218" s="3">
        <f>718.5+(74.5-251.9)+(-0.73287+(-0.07599--0.256938))+0-0-0</f>
        <v>540.54807800000003</v>
      </c>
      <c r="W218" s="3">
        <f>967.4+(19.9-374.3)+(0+(0-0))+0-0-0</f>
        <v>613</v>
      </c>
      <c r="X218" s="3">
        <f>1081.3+(85.1-464)+(-2.205852+(-0.173604--0.94656))+0-0-0</f>
        <v>700.96710399999995</v>
      </c>
      <c r="Y218" s="3">
        <f>1087.7+(71.6-473.1)+(-2.773635+(-0.18258--1.206405))+0-0-0</f>
        <v>684.45019000000002</v>
      </c>
      <c r="Z218" s="3">
        <f>1096.4+(66.8-478.9)+(-0.559164+(-0.034068--0.244239))+0-0-0</f>
        <v>683.95100700000023</v>
      </c>
      <c r="AA218" s="3">
        <f>1077.9+(63.1-475.7)+(-2.198916+(-0.128724--0.970428))+0-0-0</f>
        <v>663.94278800000018</v>
      </c>
      <c r="AB218" s="3">
        <f>931.4+(90.3-423.6)+(-0.475014+(-0.046053--0.216036))+0-0-0</f>
        <v>597.79496899999992</v>
      </c>
      <c r="AC218" s="3">
        <f>915.4+(49.8-415.7)+(-2.801124+(-0.152388--1.272042))+0-0-0</f>
        <v>547.81853000000001</v>
      </c>
      <c r="AD218" s="2">
        <v>697.8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924.2+(5.9-426.2)+(-0.942684+(-0.006018--0.434724))+0-0-0</f>
        <v>503.38602200000003</v>
      </c>
      <c r="G219" s="3">
        <f>889.3+(0-427)+(-0.453543+(0--0.21777))+0-0-0</f>
        <v>462.06422699999996</v>
      </c>
      <c r="H219" s="3">
        <f>848.2+(6.9-411.8)+(0+(0-0))+0-0-0</f>
        <v>443.3</v>
      </c>
      <c r="I219" s="3">
        <f>848.2+(5.3-419.1)+(1.297746+(0.008109-0.641223))+0-0-0</f>
        <v>435.06463200000002</v>
      </c>
      <c r="J219" s="3">
        <f>842.4+(9.1-410.4)+(-0.859248+(-0.009282--0.418608))+0-0-0</f>
        <v>440.65007800000001</v>
      </c>
      <c r="K219" s="3">
        <f>842.9+(13.7-414.2)+(-0.429879+(-0.006987--0.211242))+0-0-0</f>
        <v>442.174376</v>
      </c>
      <c r="L219" s="3">
        <f>837.8+(21.1-432.7)+(-1.281834+(-0.032283--0.662031))+0-0-0</f>
        <v>425.54791399999999</v>
      </c>
      <c r="M219" s="3">
        <f>851.8+(44.8-429.3)+(0.868836+(0.045696-0.437886))+0-0-0</f>
        <v>467.77664599999997</v>
      </c>
      <c r="N219" s="3">
        <f>850.7+(76.5-416.5)+(0+(0-0))+0-0-0</f>
        <v>510.70000000000005</v>
      </c>
      <c r="O219" s="3">
        <f>929.7+(82.5-465.2)+(-0.948294+(-0.08415--0.474504))+0-0-0</f>
        <v>546.44205999999997</v>
      </c>
      <c r="P219" s="3">
        <f>1055.3+(35.2-524.3)+(0+(0-0))+0-0-0</f>
        <v>566.20000000000005</v>
      </c>
      <c r="Q219" s="3">
        <f>1064.2+(181.9-651)+(-1.628226+(-0.278307--0.99603))+0-0-0</f>
        <v>594.18949700000007</v>
      </c>
      <c r="R219" s="3">
        <f>1056.3+(177.7-640.8)+(-2.154852+(-0.362508--1.307232))+0-0-0</f>
        <v>591.98987199999999</v>
      </c>
      <c r="S219" s="3">
        <f>1062.9+(148.2-637.4)+(1.084158+(0.151164-0.650148))+0-0-0</f>
        <v>574.2851740000001</v>
      </c>
      <c r="T219" s="3">
        <f>1051.5+(121.7-607.8)+(-0.536265+(-0.062067--0.309978))+0-0-0</f>
        <v>565.11164600000006</v>
      </c>
      <c r="U219" s="3">
        <f>1047+(116.6-603.6)+(-1.06794+(-0.118932--0.615672))+0-0-0</f>
        <v>559.42880000000002</v>
      </c>
      <c r="V219" s="3">
        <f>1049.9+(131.5-616.7)+(0+(0-0))+0-0-0</f>
        <v>564.70000000000005</v>
      </c>
      <c r="W219" s="3">
        <f>1081.8+(159.9-599.6)+(-1.103436+(-0.163098--0.611592))+0-0-0</f>
        <v>641.4450579999999</v>
      </c>
      <c r="X219" s="3">
        <f>1154.6+(112.3-553)+(-2.355384+(-0.229092--1.12812))+0-0-0</f>
        <v>712.44364399999984</v>
      </c>
      <c r="Y219" s="3">
        <f>1165.9+(95.7-555.2)+(0+(0-0))+0-0-0</f>
        <v>706.40000000000009</v>
      </c>
      <c r="Z219" s="3">
        <f>1151.2+(95.8-552.1)+(-1.174224+(-0.097716--0.563142))+0-0-0</f>
        <v>694.19120200000009</v>
      </c>
      <c r="AA219" s="3">
        <f>1148.2+(87.1-567.3)+(-1.756746+(-0.133263--0.867969))+0-0-0</f>
        <v>666.97796000000017</v>
      </c>
      <c r="AB219" s="3">
        <f>1133+(55.1-558)+(-2.88915+(-0.140505--1.4229))+0-0-0</f>
        <v>628.493245</v>
      </c>
      <c r="AC219" s="3">
        <f>1130.7+(16.5-586)+(-1.153314+(-0.01683--0.59772))+0-0-0</f>
        <v>560.62757600000009</v>
      </c>
      <c r="AD219" s="2">
        <v>700.80000000000007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1054.3+(10.2-552.8)+(-2.150772+(-0.020808--1.127712))+0-0-0</f>
        <v>510.65613200000007</v>
      </c>
      <c r="G220" s="3">
        <f>934.1+(0-467.8)+(-0.952782+(0--0.477156))+0-0-0</f>
        <v>465.82437400000003</v>
      </c>
      <c r="H220" s="3">
        <f>952.1+(0-507.6)+(0.971142+(0-0.517752))+0-0-0</f>
        <v>444.95339000000001</v>
      </c>
      <c r="I220" s="3">
        <f>859.8+(5.8-428)+(-2.19249+(-0.01479--1.0914))+0-0-0</f>
        <v>436.48411999999996</v>
      </c>
      <c r="J220" s="3">
        <f>751.2+(42.3-352.9)+(-1.91556+(-0.107865--0.899895))+0-0-0</f>
        <v>439.47647000000006</v>
      </c>
      <c r="K220" s="3">
        <f>752.7+(54-364.9)+(-1.151631+(-0.08262--0.558297))+0-0-0</f>
        <v>441.12404600000008</v>
      </c>
      <c r="L220" s="3">
        <f>755.7+(40.5-369.2)+(-1.156221+(-0.061965--0.564876))+0-0-0</f>
        <v>426.34669000000008</v>
      </c>
      <c r="M220" s="3">
        <f>795.4+(47.2-397.9)+(1.216962+(0.072216-0.608787))+0-0-0</f>
        <v>445.38039099999997</v>
      </c>
      <c r="N220" s="3">
        <f>1061.8+(1.7-551.2)+(-0.541518+(-0.000867--0.281112))+0-0-0</f>
        <v>512.03872699999999</v>
      </c>
      <c r="O220" s="3">
        <f>1072+(6-531.7)+(-1.09344+(-0.00612--0.542334))+0-0-0</f>
        <v>545.74277399999994</v>
      </c>
      <c r="P220" s="3">
        <f>1077.7+(20.2-524.6)+(-0.549627+(-0.010302--0.267546))+0-0-0</f>
        <v>573.00761699999998</v>
      </c>
      <c r="Q220" s="3">
        <f>1074.2+(20.9-512.3)+(-1.643526+(-0.031977--0.783819))+0-0-0</f>
        <v>581.90831600000001</v>
      </c>
      <c r="R220" s="3">
        <f>1071.5+(8.1-513.8)+(-2.18586+(-0.016524--1.048152))+0-0-0</f>
        <v>564.64576800000009</v>
      </c>
      <c r="S220" s="3">
        <f>1077.5+(0-524.8)+(-0.549525+(0--0.267648))+0-0-0</f>
        <v>552.41812300000004</v>
      </c>
      <c r="T220" s="3">
        <f>1078.1+(0-527.4)+(-1.649493+(0--0.806922))+0-0-0</f>
        <v>549.85742899999991</v>
      </c>
      <c r="U220" s="3">
        <f>1073.9+(0-536)+(-1.095378+(0--0.54672))+0-0-0</f>
        <v>537.35134200000005</v>
      </c>
      <c r="V220" s="3">
        <f>1075.4+(3-550.6)+(0+(0-0))+0-0-0</f>
        <v>527.80000000000007</v>
      </c>
      <c r="W220" s="3">
        <f>1074.8+(56.4-529.5)+(-1.096296+(-0.057528--0.54009))+0-0-0</f>
        <v>601.08626599999991</v>
      </c>
      <c r="X220" s="3">
        <f>1103.3+(86.3-520.7)+(-0.562683+(-0.044013--0.265557))+0-0-0</f>
        <v>668.55886099999987</v>
      </c>
      <c r="Y220" s="3">
        <f>1097.2+(63.4-491.3)+(-2.238288+(-0.129336--1.002252))+0-0-0</f>
        <v>667.93462799999998</v>
      </c>
      <c r="Z220" s="3">
        <f>1101.6+(47.5-505.6)+(-1.123632+(-0.04845--0.515712))+0-0-0</f>
        <v>642.84362999999985</v>
      </c>
      <c r="AA220" s="3">
        <f>1099.3+(37-518.7)+(-1.681929+(-0.05661--0.793611))+0-0-0</f>
        <v>616.6550719999999</v>
      </c>
      <c r="AB220" s="3">
        <f>1102.5+(31.2-537.5)+(-1.686825+(-0.047736--0.822375))+0-0-0</f>
        <v>595.28781400000003</v>
      </c>
      <c r="AC220" s="3">
        <f>1086.8+(20.1-560.2)+(-2.217072+(-0.041004--1.142808))+0-0-0</f>
        <v>545.58473199999992</v>
      </c>
      <c r="AD220" s="2">
        <v>664.6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1051.1+(4.8-530.8)+(-1.608183+(-0.007344--0.812124))+0-0-0</f>
        <v>524.29659699999991</v>
      </c>
      <c r="G221" s="3">
        <f>942.5+(6.5-459.7)+(-2.403375+(-0.016575--1.172235))+0-0-0</f>
        <v>488.05228499999998</v>
      </c>
      <c r="H221" s="3">
        <f>872+(3.6-413.9)+(0+(0-0))+0-0-0</f>
        <v>461.70000000000005</v>
      </c>
      <c r="I221" s="3">
        <f>860.1+(0-412.4)+(-2.193255+(0--1.05162))+0-0-0</f>
        <v>446.55836500000004</v>
      </c>
      <c r="J221" s="3">
        <f>875.8+(0-438.4)+(0.446658+(0-0.223584))+0-0-0</f>
        <v>437.62307399999997</v>
      </c>
      <c r="K221" s="3">
        <f>815.3+(0-378.9)+(0+(0-0))+0-0-0</f>
        <v>436.4</v>
      </c>
      <c r="L221" s="3">
        <f>772.1+(3.4-368.5)+(-0.787542+(-0.003468--0.37587))+0-0-0</f>
        <v>406.58485999999999</v>
      </c>
      <c r="M221" s="3">
        <f>769.6+(11.6-375.8)+(-0.784992+(-0.011832--0.383316))+0-0-0</f>
        <v>404.98649200000006</v>
      </c>
      <c r="N221" s="3">
        <f>778.5+(22.2-365.6)+(0.79407+(0.022644-0.372912))+0-0-0</f>
        <v>435.54380199999997</v>
      </c>
      <c r="O221" s="3">
        <f>827.4+(15.5-371.6)+(0.421974+(0.007905-0.189516))+0-0-0</f>
        <v>471.54036299999996</v>
      </c>
      <c r="P221" s="3">
        <f>849+(1.3-359.5)+(-1.73196+(-0.002652--0.73338))+0-0-0</f>
        <v>489.798768</v>
      </c>
      <c r="Q221" s="3">
        <f>855.2+(1.3-353.2)+(-0.436152+(-0.000663--0.180132))+0-0-0</f>
        <v>503.04331700000006</v>
      </c>
      <c r="R221" s="3">
        <f>850.1+(3.5-345.4)+(-1.300653+(-0.005355--0.528462))+0-0-0</f>
        <v>507.42245400000007</v>
      </c>
      <c r="S221" s="3">
        <f>848.9+(5-360.2)+(-1.731756+(-0.0102--0.734808))+0-0-0</f>
        <v>492.69285200000002</v>
      </c>
      <c r="T221" s="3">
        <f>796.3+(5.9-321.7)+(-1.624452+(-0.012036--0.656268))+0-0-0</f>
        <v>479.51977999999997</v>
      </c>
      <c r="U221" s="3">
        <f>778.8+(7.6-308.6)+(-0.794376+(-0.007752--0.314772))+0-0-0</f>
        <v>477.31264399999998</v>
      </c>
      <c r="V221" s="3">
        <f>783.5+(21.1-315.2)+(-0.399585+(-0.010761--0.160752))+0-0-0</f>
        <v>489.15040600000003</v>
      </c>
      <c r="W221" s="3">
        <f>865.4+(45.8-329.3)+(-1.324062+(-0.070074--0.503829))+0-0-0</f>
        <v>581.00969299999997</v>
      </c>
      <c r="X221" s="3">
        <f>952.4+(50-349.9)+(-0.485724+(-0.0255--0.178449))+0-0-0</f>
        <v>652.16722500000003</v>
      </c>
      <c r="Y221" s="3">
        <f>954.2+(47.8-352.3)+(-1.946568+(-0.097512--0.718692))+0-0-0</f>
        <v>648.37461200000007</v>
      </c>
      <c r="Z221" s="3">
        <f>956.8+(46.3-356.4)+(0+(0-0))+0-0-0</f>
        <v>646.70000000000005</v>
      </c>
      <c r="AA221" s="3">
        <f>957.3+(56.7-394.4)+(0+(0-0))+0-0-0</f>
        <v>619.59999999999991</v>
      </c>
      <c r="AB221" s="3">
        <f>956+(63.4-439.2)+(-0.48756+(-0.032334--0.223992))+0-0-0</f>
        <v>579.90409800000009</v>
      </c>
      <c r="AC221" s="3">
        <f>914+(56.4-431.2)+(-1.39842+(-0.086292--0.659736))+0-0-0</f>
        <v>538.37502400000005</v>
      </c>
      <c r="AD221" s="2">
        <v>620.9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868.6+(32.6-442.1)+(-0.885972+(-0.033252--0.450942))+0-0-0</f>
        <v>458.63171800000003</v>
      </c>
      <c r="G222" s="3">
        <f>857.2+(24.7-450.9)+(-0.874344+(-0.025194--0.459918))+0-0-0</f>
        <v>430.56038000000007</v>
      </c>
      <c r="H222" s="3">
        <f>724.5+(45.5-359.6)+(0.369495+(0.023205-0.183396))+0-0-0</f>
        <v>410.60930399999995</v>
      </c>
      <c r="I222" s="3">
        <f>717+(42.8-356.5)+(-1.09701+(-0.065484--0.545445))+0-0-0</f>
        <v>402.682951</v>
      </c>
      <c r="J222" s="3">
        <f>720.5+(40.3-355.3)+(-0.367455+(-0.020553--0.181203))+0-0-0</f>
        <v>405.29319500000003</v>
      </c>
      <c r="K222" s="3">
        <f>716.1+(42.4-345.3)+(-1.460844+(-0.086496--0.704412))+0-0-0</f>
        <v>412.35707200000002</v>
      </c>
      <c r="L222" s="3">
        <f>721.5+(48.1-344.2)+(-0.367965+(-0.024531--0.175542))+0-0-0</f>
        <v>425.18304600000005</v>
      </c>
      <c r="M222" s="3">
        <f>885.7+(14.4-445)+(0+(0-0))+0-0-0</f>
        <v>455.1</v>
      </c>
      <c r="N222" s="3">
        <f>947+(48.5-476.4)+(0+(0-0))+0-0-0</f>
        <v>519.1</v>
      </c>
      <c r="O222" s="3">
        <f>1008.3+(79.5-538.1)+(-2.056932+(-0.16218--1.097724))+0-0-0</f>
        <v>548.57861199999991</v>
      </c>
      <c r="P222" s="3">
        <f>1064+(56.5-548.7)+(2.17056+(0.11526-1.119348))+0-0-0</f>
        <v>572.96647199999995</v>
      </c>
      <c r="Q222" s="3">
        <f>1165+(0-573.3)+(0.59415+(0-0.292383))+0-0-0</f>
        <v>592.00176700000009</v>
      </c>
      <c r="R222" s="3">
        <f>1158.2+(0-558.6)+(-2.95341+(0--1.42443))+0-0-0</f>
        <v>598.07101999999998</v>
      </c>
      <c r="S222" s="3">
        <f>1165+(1.5-574.8)+(1.1883+(0.00153-0.586296))+0-0-0</f>
        <v>592.30353400000001</v>
      </c>
      <c r="T222" s="3">
        <f>1159.2+(0-565.9)+(0+(0-0))+0-0-0</f>
        <v>593.30000000000007</v>
      </c>
      <c r="U222" s="3">
        <f>1163.3+(0-577.6)+(-1.186566+(0--0.589152))+0-0-0</f>
        <v>585.10258599999997</v>
      </c>
      <c r="V222" s="3">
        <f>1173+(0-585.9)+(1.19646+(0-0.597618))+0-0-0</f>
        <v>587.69884200000001</v>
      </c>
      <c r="W222" s="3">
        <f>1162.7+(0-505.5)+(-1.778931+(0--0.773415))+0-0-0</f>
        <v>656.1944840000001</v>
      </c>
      <c r="X222" s="3">
        <f>1177.7+(41.8-494.4)+(-3.003135+(-0.10659--1.26072))+0-0-0</f>
        <v>723.2509950000001</v>
      </c>
      <c r="Y222" s="3">
        <f>1138.1+(42.8-463)+(-2.902155+(-0.10914--1.18065))+0-0-0</f>
        <v>716.06935499999986</v>
      </c>
      <c r="Z222" s="3">
        <f>1073+(45-422.1)+(-1.64169+(-0.06885--0.645813))+0-0-0</f>
        <v>694.83527300000003</v>
      </c>
      <c r="AA222" s="3">
        <f>1059.3+(37.7-424.1)+(-1.620729+(-0.057681--0.648873))+0-0-0</f>
        <v>671.87046299999986</v>
      </c>
      <c r="AB222" s="3">
        <f>1033.3+(50-460.7)+(-1.053966+(-0.051--0.469914))+0-0-0</f>
        <v>621.96494799999994</v>
      </c>
      <c r="AC222" s="3">
        <f>938.1+(23.6-403.1)+(-0.956862+(-0.024072--0.411162))+0-0-0</f>
        <v>558.03022800000008</v>
      </c>
      <c r="AD222" s="2">
        <v>692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778.3+(21.6-329.1)+(0+(0-0))+0-0-0</f>
        <v>470.79999999999995</v>
      </c>
      <c r="G223" s="3">
        <f>731.6+(11.7-302.9)+(-1.119348+(-0.017901--0.463437))+0-0-0</f>
        <v>439.72618800000004</v>
      </c>
      <c r="H223" s="3">
        <f>761.2+(7-333.9)+(-1.94106+(-0.01785--0.851445))+0-0-0</f>
        <v>433.19253500000008</v>
      </c>
      <c r="I223" s="3">
        <f>774.1+(0-350.6)+(0.394791+(0-0.178806))+0-0-0</f>
        <v>423.71598499999999</v>
      </c>
      <c r="J223" s="3">
        <f>774.2+(15.4-364.7)+(0+(0-0))+0-0-0</f>
        <v>424.90000000000003</v>
      </c>
      <c r="K223" s="3">
        <f>777.5+(16.7-358.2)+(0+(0-0))+0-0-0</f>
        <v>436</v>
      </c>
      <c r="L223" s="3">
        <f>776.6+(19.5-364.6)+(0+(0-0))+0-0-0</f>
        <v>431.5</v>
      </c>
      <c r="M223" s="3">
        <f>833.2+(14-383.8)+(-0.849864+(-0.01428--0.391476))+0-0-0</f>
        <v>462.92733200000004</v>
      </c>
      <c r="N223" s="3">
        <f>869.5+(44.9-412.3)+(0.443445+(0.022899-0.210273))+0-0-0</f>
        <v>502.35607099999999</v>
      </c>
      <c r="O223" s="3">
        <f>1093.7+(4.1-556.1)+(-2.231148+(-0.008364--1.134444))+0-0-0</f>
        <v>540.59493200000009</v>
      </c>
      <c r="P223" s="3">
        <f>1136.1+(0-572.8)+(0+(0-0))+0-0-0</f>
        <v>563.29999999999995</v>
      </c>
      <c r="Q223" s="3">
        <f>1124.5+(0-555.3)+(-2.867475+(0--1.416015))+0-0-0</f>
        <v>567.74854000000005</v>
      </c>
      <c r="R223" s="3">
        <f>1055.1+(0-521.3)+(-1.614303+(0--0.797589))+0-0-0</f>
        <v>532.98328599999991</v>
      </c>
      <c r="S223" s="3">
        <f>1044.6+(0-530.6)+(0.532746+(0-0.270606))+0-0-0</f>
        <v>514.26213999999993</v>
      </c>
      <c r="T223" s="3">
        <f>1039.6+(0-532.4)+(-1.060392+(0--0.543048))+0-0-0</f>
        <v>506.68265599999995</v>
      </c>
      <c r="U223" s="3">
        <f>1041.4+(0-547.5)+(-0.531114+(0--0.279225))+0-0-0</f>
        <v>493.64811100000009</v>
      </c>
      <c r="V223" s="3">
        <f>1061.3+(0-565.1)+(1.082526+(0-0.576402))+0-0-0</f>
        <v>496.70612399999993</v>
      </c>
      <c r="W223" s="3">
        <f>1151+(5.2-562)+(0+(0-0))+0-0-0</f>
        <v>594.20000000000005</v>
      </c>
      <c r="X223" s="3">
        <f>1211.4+(36.4-584.6)+(-1.235628+(-0.037128--0.596292))+0-0-0</f>
        <v>662.52353600000004</v>
      </c>
      <c r="Y223" s="3">
        <f>1214.8+(25.1-583.8)+(-1.858644+(-0.038403--0.893214))+0-0-0</f>
        <v>655.09616700000004</v>
      </c>
      <c r="Z223" s="3">
        <f>1211.4+(14.7-574.1)+(-1.853442+(-0.022491--0.878373))+0-0-0</f>
        <v>651.00244000000009</v>
      </c>
      <c r="AA223" s="3">
        <f>1216.2+(0-576.4)+(-1.240524+(0--0.587928))+0-0-0</f>
        <v>639.14740400000005</v>
      </c>
      <c r="AB223" s="3">
        <f>1210.7+(0-604.1)+(-1.852371+(0--0.924273))+0-0-0</f>
        <v>605.67190200000005</v>
      </c>
      <c r="AC223" s="3">
        <f>1203+(0-651)+(-3.06765+(0--1.66005))+0-0-0</f>
        <v>550.5924</v>
      </c>
      <c r="AD223" s="2">
        <v>656.69999999999993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1032.8+(0-532.8)+(-0.526728+(0--0.271728))+0-0-0</f>
        <v>499.745</v>
      </c>
      <c r="G224" s="3">
        <f>973.4+(0-521.1)+(0+(0-0))+0-0-0</f>
        <v>452.29999999999995</v>
      </c>
      <c r="H224" s="3">
        <f>953.7+(0-524.1)+(1.459161+(0-0.801873))+0-0-0</f>
        <v>430.25728800000002</v>
      </c>
      <c r="I224" s="3">
        <f>929.5+(0-509.8)+(0.94809+(0-0.519996))+0-0-0</f>
        <v>420.12809399999998</v>
      </c>
      <c r="J224" s="3">
        <f>943.9+(0-523.7)+(0.962778+(0-0.534174))+0-0-0</f>
        <v>420.62860399999994</v>
      </c>
      <c r="K224" s="3">
        <f>932.1+(0-506.6)+(-0.475371+(0--0.258366))+0-0-0</f>
        <v>425.28299500000003</v>
      </c>
      <c r="L224" s="3">
        <f>886.2+(12.3-472.4)+(-0.451962+(-0.006273--0.240924))+0-0-0</f>
        <v>425.88268900000008</v>
      </c>
      <c r="M224" s="3">
        <f>968.9+(31.5-550.3)+(-1.976556+(-0.06426--1.122612))+0-0-0</f>
        <v>449.18179600000002</v>
      </c>
      <c r="N224" s="3">
        <f>1158.9+(16.2-668)+(1.773117+(0.024786-1.02204))+0-0-0</f>
        <v>507.87586300000015</v>
      </c>
      <c r="O224" s="3">
        <f>1155.8+(34.4-652.7)+(-2.357832+(-0.070176--1.331508))+0-0-0</f>
        <v>536.40349999999989</v>
      </c>
      <c r="P224" s="3">
        <f>1117.3+(41.4-611.8)+(0+(0-0))+0-0-0</f>
        <v>546.9</v>
      </c>
      <c r="Q224" s="3">
        <f>1093.7+(6.2-544.2)+(-0.557787+(-0.003162--0.277542))+0-0-0</f>
        <v>555.41659300000003</v>
      </c>
      <c r="R224" s="3">
        <f>1060.2+(0-511.5)+(-2.162808+(0--1.04346))+0-0-0</f>
        <v>547.5806520000001</v>
      </c>
      <c r="S224" s="3">
        <f>1095.7+(0-567.7)+(-1.117614+(0--0.579054))+0-0-0</f>
        <v>527.46144000000004</v>
      </c>
      <c r="T224" s="3">
        <f>1153.8+(0-632.8)+(-0.588438+(0--0.322728))+0-0-0</f>
        <v>520.73428999999999</v>
      </c>
      <c r="U224" s="3">
        <f>1146.2+(0-632.2)+(-1.753686+(0--0.967266))+0-0-0</f>
        <v>513.21357999999998</v>
      </c>
      <c r="V224" s="3">
        <f>1132.4+(0-616.5)+(-4.042668+(0--2.200905))+0-0-0</f>
        <v>514.05823700000008</v>
      </c>
      <c r="W224" s="3">
        <f>1197.6+(0-601.3)+(-1.221552+(0--0.613326))+0-0-0</f>
        <v>595.69177400000001</v>
      </c>
      <c r="X224" s="3">
        <f>1311.2+(0-640.5)+(-3.34356+(0--1.633275))+0-0-0</f>
        <v>668.98971500000005</v>
      </c>
      <c r="Y224" s="3">
        <f>1173.5+(57.6-555.8)+(-0.598485+(-0.029376--0.283458))+0-0-0</f>
        <v>674.95559700000001</v>
      </c>
      <c r="Z224" s="3">
        <f>1070+(72.7-485.3)+(-3.8199+(-0.259539--1.732521))+0-0-0</f>
        <v>655.05308200000002</v>
      </c>
      <c r="AA224" s="3">
        <f>1073+(45.8-483.7)+(-2.18892+(-0.093432--0.986748))+0-0-0</f>
        <v>633.804396</v>
      </c>
      <c r="AB224" s="3">
        <f>1000.3+(66.8-463.6)+(-2.550765+(-0.17034--1.18218))+0-0-0</f>
        <v>601.96107500000005</v>
      </c>
      <c r="AC224" s="3">
        <f>879+(80.3-411.2)+(-2.24145+(-0.204765--1.04856))+0-0-0</f>
        <v>546.70234500000004</v>
      </c>
      <c r="AD224" s="2">
        <v>679.6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878.9+(63-450.4)+(-1.792956+(-0.12852--0.918816))+0-0-0</f>
        <v>490.49734000000001</v>
      </c>
      <c r="G225" s="3">
        <f>877.1+(33.4-455.3)+(-1.789284+(-0.068136--0.928812))+0-0-0</f>
        <v>454.27139199999999</v>
      </c>
      <c r="H225" s="3">
        <f>877.7+(6.8-457.3)+(-0.895254+(-0.006936--0.466446))+0-0-0</f>
        <v>426.76425600000005</v>
      </c>
      <c r="I225" s="3">
        <f>884.4+(0-460.7)+(-0.902088+(0--0.469914))+0-0-0</f>
        <v>423.26782600000001</v>
      </c>
      <c r="J225" s="3">
        <f>888.3+(2.3-471.2)+(0.906066+(0.002346-0.480624))+0-0-0</f>
        <v>419.827788</v>
      </c>
      <c r="K225" s="3">
        <f>890.5+(3.3-467)+(0.90831+(0.003366-0.47634))+0-0-0</f>
        <v>427.23533600000002</v>
      </c>
      <c r="L225" s="3">
        <f>887.5+(5.1-466.6)+(0+(0-0))+0-0-0</f>
        <v>426</v>
      </c>
      <c r="M225" s="3">
        <f>888.6+(0-439.5)+(0.906372+(0-0.44829))+0-0-0</f>
        <v>449.55808200000001</v>
      </c>
      <c r="N225" s="3">
        <f>870.1+(13.1-380.6)+(-1.331253+(-0.020043--0.582318))+0-0-0</f>
        <v>501.83102200000002</v>
      </c>
      <c r="O225" s="3">
        <f>1104.3+(0-574.3)+(1.689579+(0-0.878679))+0-0-0</f>
        <v>530.81089999999995</v>
      </c>
      <c r="P225" s="3">
        <f>1101.1+(0-560.1)+(-0.561561+(0--0.285651))+0-0-0</f>
        <v>540.72408999999993</v>
      </c>
      <c r="Q225" s="3">
        <f>1114.7+(1.3-553.7)+(0+(0-0))+0-0-0</f>
        <v>562.29999999999995</v>
      </c>
      <c r="R225" s="3">
        <f>1102.8+(0-558.4)+(-1.687284+(0--0.854352))+0-0-0</f>
        <v>543.56706799999995</v>
      </c>
      <c r="S225" s="3">
        <f>1026.9+(0-492.8)+(0+(0-0))+0-0-0</f>
        <v>534.10000000000014</v>
      </c>
      <c r="T225" s="3">
        <f>944.5+(0-415.5)+(-0.96339+(0--0.42381))+0-0-0</f>
        <v>528.46042</v>
      </c>
      <c r="U225" s="3">
        <f>994.6+(0-440.7)+(-1.521738+(0--0.674271))+0-0-0</f>
        <v>553.05253300000004</v>
      </c>
      <c r="V225" s="3">
        <f>963.6+(20-384.9)+(-0.982872+(-0.0204--0.392598))+0-0-0</f>
        <v>598.08932600000003</v>
      </c>
      <c r="W225" s="3">
        <f>1013.6+(38-545.4)+(1.033872+(0.03876-0.556308))+0-0-0</f>
        <v>506.71632400000004</v>
      </c>
      <c r="X225" s="3">
        <f>1163.8+(20-562)+(-1.187076+(-0.0204--0.57324))+0-0-0</f>
        <v>621.16576399999997</v>
      </c>
      <c r="Y225" s="3">
        <f>1196.4+(31-540.8)+(-3.05082+(-0.07905--1.37904))+0-0-0</f>
        <v>684.84917000000019</v>
      </c>
      <c r="Z225" s="3">
        <f>1134.3+(54-511.6)+(1.156986+(0.05508-0.521832))+0-0-0</f>
        <v>677.39023399999996</v>
      </c>
      <c r="AA225" s="3">
        <f>1117.2+(46.3-513.2)+(-2.84886+(-0.118065--1.30866))+0-0-0</f>
        <v>648.64173499999993</v>
      </c>
      <c r="AB225" s="3">
        <f>1078.8+(56.6-530.3)+(-0.550188+(-0.028866--0.270453))+0-0-0</f>
        <v>604.79139900000007</v>
      </c>
      <c r="AC225" s="3">
        <f>970.5+(59.6-476.6)+(-0.494955+(-0.030396--0.243066))+0-0-0</f>
        <v>553.217715</v>
      </c>
      <c r="AD225" s="2">
        <v>677.89999999999986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881.5+(54.2-441.1)+(-2.247825+(-0.13821--1.124805))+0-0-0</f>
        <v>493.33876999999995</v>
      </c>
      <c r="G226" s="3">
        <f>885.7+(7.7-447.9)+(-0.451707+(-0.003927--0.228429))+0-0-0</f>
        <v>445.27279500000003</v>
      </c>
      <c r="H226" s="3">
        <f>882.9+(0-458.8)+(-1.801116+(0--0.935952))+0-0-0</f>
        <v>423.23483599999997</v>
      </c>
      <c r="I226" s="3">
        <f>864.2+(0-440.2)+(-0.881484+(0--0.449004))+0-0-0</f>
        <v>423.56752000000006</v>
      </c>
      <c r="J226" s="3">
        <f>796.8+(14.7-391.1)+(2.03184+(0.037485-0.997305))+0-0-0</f>
        <v>421.47201999999993</v>
      </c>
      <c r="K226" s="3">
        <f>797.9+(5.4-379.2)+(0.813858+(0.005508-0.386784))+0-0-0</f>
        <v>424.53258199999999</v>
      </c>
      <c r="L226" s="3">
        <f>797.7+(5-381.1)+(-0.406827+(-0.00255--0.194361))+0-0-0</f>
        <v>421.38498400000003</v>
      </c>
      <c r="M226" s="3">
        <f>952.3+(0-499)+(-1.457019+(0--0.76347))+0-0-0</f>
        <v>452.60645099999994</v>
      </c>
      <c r="N226" s="3">
        <f>1016.9+(0-505.4)+(-2.593095+(0--1.28877))+0-0-0</f>
        <v>510.19567499999999</v>
      </c>
      <c r="O226" s="3">
        <f>1029.2+(0-496.3)+(1.574676+(0-0.759339))+0-0-0</f>
        <v>533.71533700000009</v>
      </c>
      <c r="P226" s="3">
        <f>1033.3+(3.6-490)+(1.053966+(0.003672-0.4998))+0-0-0</f>
        <v>547.45783799999992</v>
      </c>
      <c r="Q226" s="3">
        <f>1040.8+(0-478.6)+(0+(0-0))+0-0-0</f>
        <v>562.19999999999993</v>
      </c>
      <c r="R226" s="3">
        <f>1036.3+(0-489.4)+(-1.585539+(0--0.748782))+0-0-0</f>
        <v>546.06324299999994</v>
      </c>
      <c r="S226" s="3">
        <f>1034.2+(0-504.1)+(-2.109768+(0--1.028364))+0-0-0</f>
        <v>529.018596</v>
      </c>
      <c r="T226" s="3">
        <f>1042+(0-521.4)+(-0.53142+(0--0.265914))+0-0-0</f>
        <v>520.33449400000006</v>
      </c>
      <c r="U226" s="3">
        <f>1081.6+(0-591.5)+(-2.75808+(0--1.508325))+0-0-0</f>
        <v>488.85024499999992</v>
      </c>
      <c r="V226" s="3">
        <f>1104.4+(0-594.8)+(-2.252976+(0--1.213392))+0-0-0</f>
        <v>508.56041600000015</v>
      </c>
      <c r="W226" s="3">
        <f>1260.8+(0-657.6)+(-0.643008+(0--0.335376))+0-0-0</f>
        <v>602.89236799999992</v>
      </c>
      <c r="X226" s="3">
        <f>1386.5+(0-716.2)+(-1.41423+(0--0.730524))+0-0-0</f>
        <v>669.61629399999993</v>
      </c>
      <c r="Y226" s="3">
        <f>1325.3+(0-664)+(-4.055418+(0--2.03184))+0-0-0</f>
        <v>659.27642199999991</v>
      </c>
      <c r="Z226" s="3">
        <f>1306.9+(12-671.9)+(-3.999114+(-0.03672--2.056014))+0-0-0</f>
        <v>645.0201800000001</v>
      </c>
      <c r="AA226" s="3">
        <f>1230.9+(32-590.7)+(-0.627759+(-0.01632--0.301257))+0-0-0</f>
        <v>671.85717800000009</v>
      </c>
      <c r="AB226" s="3">
        <f>1052.7+(66.6-528.3)+(-2.147508+(-0.135864--1.077732))+0-0-0</f>
        <v>589.7943600000001</v>
      </c>
      <c r="AC226" s="3">
        <f>1040.8+(43-542.9)+(-2.123232+(-0.08772--1.107516))+0-0-0</f>
        <v>539.79656399999999</v>
      </c>
      <c r="AD226" s="2">
        <v>660.6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1047.9+(6-563.1)+(-0.534429+(-0.00306--0.287181))+0-0-0</f>
        <v>490.54969200000005</v>
      </c>
      <c r="G227" s="3">
        <f>1048.5+(0-593.2)+(0+(0-0))+0-0-0</f>
        <v>455.29999999999995</v>
      </c>
      <c r="H227" s="3">
        <f>1054.6+(0-613.9)+(1.075692+(0-0.626178))+0-0-0</f>
        <v>441.14951399999995</v>
      </c>
      <c r="I227" s="3">
        <f>1055.2+(0-622.5)+(2.152608+(0-1.2699))+0-0-0</f>
        <v>433.58270800000003</v>
      </c>
      <c r="J227" s="3">
        <f>1047.3+(0-614.8)+(0+(0-0))+0-0-0</f>
        <v>432.5</v>
      </c>
      <c r="K227" s="3">
        <f>990.7+(0-551.8)+(1.515771+(0-0.844254))+0-0-0</f>
        <v>439.57151700000009</v>
      </c>
      <c r="L227" s="3">
        <f>974.5+(0-552.6)+(-2.484975+(0--1.40913))+0-0-0</f>
        <v>420.82415499999996</v>
      </c>
      <c r="M227" s="3">
        <f>1120.1+(0-689.4)+(1.142502+(0-0.703188))+0-0-0</f>
        <v>431.13931399999996</v>
      </c>
      <c r="N227" s="3">
        <f>1120.7+(0-626.5)+(0+(0-0))+0-0-0</f>
        <v>494.20000000000005</v>
      </c>
      <c r="O227" s="3">
        <f>1187.1+(0-652.8)+(0+(0-0))+0-0-0</f>
        <v>534.29999999999995</v>
      </c>
      <c r="P227" s="3">
        <f>1257.6+(0-698.3)+(0.641376+(0-0.356133))+0-0-0</f>
        <v>559.58524299999999</v>
      </c>
      <c r="Q227" s="3">
        <f>1240.7+(0-674.1)+(-1.898271+(0--1.031373))+0-0-0</f>
        <v>565.73310200000003</v>
      </c>
      <c r="R227" s="3">
        <f>1220.9+(0-664.6)+(-3.113295+(0--1.69473))+0-0-0</f>
        <v>554.88143500000012</v>
      </c>
      <c r="S227" s="3">
        <f>1125.8+(0-588.3)+(-1.722474+(0--0.900099))+0-0-0</f>
        <v>536.67762500000003</v>
      </c>
      <c r="T227" s="3">
        <f>1128.8+(0-624.4)+(2.302752+(0-1.273776))+0-0-0</f>
        <v>505.42897599999998</v>
      </c>
      <c r="U227" s="3">
        <f>1127.5+(0-633.8)+(-1.725075+(0--0.969714))+0-0-0</f>
        <v>492.94463900000005</v>
      </c>
      <c r="V227" s="3">
        <f>1140.2+(0-626.5)+(1.744506+(0-0.958545))+0-0-0</f>
        <v>514.48596100000009</v>
      </c>
      <c r="W227" s="3">
        <f>1232.3+(0-631)+(-0.628473+(0--0.32181))+0-0-0</f>
        <v>600.993337</v>
      </c>
      <c r="X227" s="3">
        <f>1423.2+(0-764.9)+(-2.903328+(0--1.560396))+0-0-0</f>
        <v>656.95706800000005</v>
      </c>
      <c r="Y227" s="3">
        <f>1418+(0-751.7)+(0.72318+(0-0.383367))+0-0-0</f>
        <v>666.639813</v>
      </c>
      <c r="Z227" s="3">
        <f>1372.4+(0-705.3)+(-2.099772+(0--1.079109))+0-0-0</f>
        <v>666.07933700000012</v>
      </c>
      <c r="AA227" s="3">
        <f>1368.3+(0-729.9)+(-2.791332+(0--1.488996))+0-0-0</f>
        <v>637.09766400000001</v>
      </c>
      <c r="AB227" s="3">
        <f>1369.5+(0-756.3)+(-1.39689+(0--0.771426))+0-0-0</f>
        <v>612.57453600000008</v>
      </c>
      <c r="AC227" s="3">
        <f>1324.8+(0-753.7)+(-2.026944+(0--1.153161))+0-0-0</f>
        <v>570.22621699999991</v>
      </c>
      <c r="AD227" s="2">
        <v>654.9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1271.9+(0-749.4)+(-3.243345+(0--1.91097))+0-0-0</f>
        <v>521.16762500000016</v>
      </c>
      <c r="G228" s="3">
        <f>1087.8+(0-613.3)+(0+(0-0))+0-0-0</f>
        <v>474.5</v>
      </c>
      <c r="H228" s="3">
        <f>1015.8+(0-566.3)+(-2.59029+(0--1.444065))+0-0-0</f>
        <v>448.35377499999998</v>
      </c>
      <c r="I228" s="3">
        <f>936.2+(0-506.7)+(-1.432386+(0--0.775251))+0-0-0</f>
        <v>428.84286500000007</v>
      </c>
      <c r="J228" s="3">
        <f>942.8+(0-518.8)+(0+(0-0))+0-0-0</f>
        <v>424</v>
      </c>
      <c r="K228" s="3">
        <f>945.6+(0-527.8)+(0.964512+(0-0.538356))+0-0-0</f>
        <v>418.22615600000006</v>
      </c>
      <c r="L228" s="3">
        <f>932.3+(0-536.3)+(-3.328311+(0--1.914591))+0-0-0</f>
        <v>394.58627999999999</v>
      </c>
      <c r="M228" s="3">
        <f>936.3+(0-547.7)+(-1.432539+(0--0.837981))+0-0-0</f>
        <v>388.0054419999999</v>
      </c>
      <c r="N228" s="3">
        <f>953.9+(0-538.7)+(0+(0-0))+0-0-0</f>
        <v>415.19999999999993</v>
      </c>
      <c r="O228" s="3">
        <f>1226.2+(0-759.1)+(1.250724+(0-0.774282))+0-0-0</f>
        <v>467.57644200000004</v>
      </c>
      <c r="P228" s="3">
        <f>1289.1+(0-786.4)+(-1.972323+(0--1.203192))+0-0-0</f>
        <v>501.93086899999992</v>
      </c>
      <c r="Q228" s="3">
        <f>1314.9+(0-800.4)+(0.670599+(0-0.408204))+0-0-0</f>
        <v>514.76239500000008</v>
      </c>
      <c r="R228" s="3">
        <f>1303.6+(0-798.1)+(-1.994508+(0--1.221093))+0-0-0</f>
        <v>504.72658499999989</v>
      </c>
      <c r="S228" s="3">
        <f>1312.6+(0-823.8)+(-0.669426+(0--0.420138))+0-0-0</f>
        <v>488.55071199999998</v>
      </c>
      <c r="T228" s="3">
        <f>1305.5+(0-838.9)+(-2.66322+(0--1.711356))+0-0-0</f>
        <v>465.64813600000002</v>
      </c>
      <c r="U228" s="3">
        <f>1241.8+(0-799.5)+(-1.266636+(0--0.81549))+0-0-0</f>
        <v>441.84885399999996</v>
      </c>
      <c r="V228" s="3">
        <f>1179.1+(0-730.2)+(0+(0-0))+0-0-0</f>
        <v>448.89999999999986</v>
      </c>
      <c r="W228" s="3">
        <f>1358.5+(0-821.9)+(-0.692835+(0--0.419169))+0-0-0</f>
        <v>536.32633399999997</v>
      </c>
      <c r="X228" s="3">
        <f>1440.2+(0-852.2)+(-3.67251+(0--2.17311))+0-0-0</f>
        <v>586.50059999999996</v>
      </c>
      <c r="Y228" s="3">
        <f>1348.5+(0-801.3)+(-2.75094+(0--1.634652))+0-0-0</f>
        <v>546.08371199999999</v>
      </c>
      <c r="Z228" s="3">
        <f>1353.1+(0-759.7)+(-1.380162+(0--0.774894))+0-0-0</f>
        <v>592.79473199999984</v>
      </c>
      <c r="AA228" s="3">
        <f>1342.6+(0-765)+(-1.369452+(0--0.7803))+0-0-0</f>
        <v>577.0108479999999</v>
      </c>
      <c r="AB228" s="3">
        <f>1331.7+(0-770.1)+(-3.395835+(0--1.963755))+0-0-0</f>
        <v>560.16791999999998</v>
      </c>
      <c r="AC228" s="3">
        <f>1330.2+(0-798.7)+(-4.070412+(0--2.444022))+0-0-0</f>
        <v>529.87360999999999</v>
      </c>
      <c r="AD228" s="2">
        <v>581.9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1292.9+(0-776)+(1.978137+(0-1.18728))+0-0-0</f>
        <v>517.69085700000005</v>
      </c>
      <c r="G229" s="3">
        <f>1247.8+(0-763)+(-2.545512+(0--1.55652))+0-0-0</f>
        <v>483.81100799999996</v>
      </c>
      <c r="H229" s="3">
        <f>1040.5+(0-573.9)+(0.530655+(0-0.292689))+0-0-0</f>
        <v>466.83796599999999</v>
      </c>
      <c r="I229" s="3">
        <f>947.5+(0-495.7)+(2.416125+(0-1.264035))+0-0-0</f>
        <v>452.95209</v>
      </c>
      <c r="J229" s="3">
        <f>937.9+(0-485.9)+(-0.478329+(0--0.247809))+0-0-0</f>
        <v>451.76947999999999</v>
      </c>
      <c r="K229" s="3">
        <f>940.1+(0-492.1)+(-0.479451+(0--0.250971))+0-0-0</f>
        <v>447.77152000000001</v>
      </c>
      <c r="L229" s="3">
        <f>911.7+(8.5-482.2)+(-1.859868+(-0.01734--0.983688))+0-0-0</f>
        <v>437.10648000000003</v>
      </c>
      <c r="M229" s="3">
        <f>927.2+(3.3-490.8)+(0.472872+(0.001683-0.250308))+0-0-0</f>
        <v>439.92424700000004</v>
      </c>
      <c r="N229" s="3">
        <f>1214.4+(0-741.1)+(0+(0-0))+0-0-0</f>
        <v>473.30000000000007</v>
      </c>
      <c r="O229" s="3">
        <f>1286+(0-754.8)+(-0.65586+(0--0.384948))+0-0-0</f>
        <v>530.92908800000009</v>
      </c>
      <c r="P229" s="3">
        <f>1269.8+(0-705.2)+(-2.590392+(0--1.438608))+0-0-0</f>
        <v>563.44821599999989</v>
      </c>
      <c r="Q229" s="3">
        <f>1286.9+(0-720.3)+(1.312638+(0-0.734706))+0-0-0</f>
        <v>567.17793200000017</v>
      </c>
      <c r="R229" s="3">
        <f>1275.5+(0-727.1)+(-1.30101+(0--0.741642))+0-0-0</f>
        <v>547.84063200000003</v>
      </c>
      <c r="S229" s="3">
        <f>1274.1+(0-767.2)+(-1.949373+(0--1.173816))+0-0-0</f>
        <v>506.12444299999987</v>
      </c>
      <c r="T229" s="3">
        <f>1288.7+(0-786.2)+(0.657237+(0-0.400962))+0-0-0</f>
        <v>502.75627500000002</v>
      </c>
      <c r="U229" s="3">
        <f>1285+(0-784)+(0.65535+(0-0.39984))+0-0-0</f>
        <v>501.25551000000002</v>
      </c>
      <c r="V229" s="3">
        <f>1294.2+(0-773.1)+(-1.320084+(0--0.788562))+0-0-0</f>
        <v>520.56847800000003</v>
      </c>
      <c r="W229" s="3">
        <f>1336.3+(0-719.5)+(-0.681513+(0--0.366945))+0-0-0</f>
        <v>616.48543199999995</v>
      </c>
      <c r="X229" s="3">
        <f>1356.9+(0-691.1)+(-2.076057+(0--1.057383))+0-0-0</f>
        <v>664.78132600000004</v>
      </c>
      <c r="Y229" s="3">
        <f>1356.3+(0-685.8)+(-1.383426+(0--0.699516))+0-0-0</f>
        <v>669.81609000000003</v>
      </c>
      <c r="Z229" s="3">
        <f>1346.8+(0-691)+(-2.060604+(0--1.05723))+0-0-0</f>
        <v>654.79662599999995</v>
      </c>
      <c r="AA229" s="3">
        <f>1353.8+(0-712.6)+(-0.690438+(0--0.363426))+0-0-0</f>
        <v>640.87298799999996</v>
      </c>
      <c r="AB229" s="3">
        <f>1293.6+(0-689.3)+(-1.979208+(0--1.054629))+0-0-0</f>
        <v>603.37542099999996</v>
      </c>
      <c r="AC229" s="3">
        <f>1238.1+(0-671.3)+(-1.262862+(0--0.684726))+0-0-0</f>
        <v>566.22186399999998</v>
      </c>
      <c r="AD229" s="2">
        <v>622.5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1086.7+(10-596)+(0+(0-0))+0-0-0</f>
        <v>500.70000000000005</v>
      </c>
      <c r="G230" s="3">
        <f>950.3+(4.1-506.9)+(-0.969306+(-0.004182--0.517038))+0-0-0</f>
        <v>447.04354999999998</v>
      </c>
      <c r="H230" s="3">
        <f>958.9+(0-520.2)+(-0.978078+(0--0.530604))+0-0-0</f>
        <v>438.25252599999993</v>
      </c>
      <c r="I230" s="3">
        <f>954.9+(0-517.4)+(-1.460997+(0--0.791622))+0-0-0</f>
        <v>436.830625</v>
      </c>
      <c r="J230" s="3">
        <f>969.2+(0-531)+(0.988584+(0-0.54162))+0-0-0</f>
        <v>438.64696400000003</v>
      </c>
      <c r="K230" s="3">
        <f>966.6+(0-525.8)+(0.492966+(0-0.268158))+0-0-0</f>
        <v>441.02480800000006</v>
      </c>
      <c r="L230" s="3">
        <f>1099.6+(0-662.9)+(-1.682388+(0--1.014237))+0-0-0</f>
        <v>436.03184899999991</v>
      </c>
      <c r="M230" s="3">
        <f>1247.2+(0-769.8)+(1.272144+(0-0.785196))+0-0-0</f>
        <v>477.88694800000007</v>
      </c>
      <c r="N230" s="3">
        <f>1300.2+(0-776.9)+(-0.663102+(0--0.396219))+0-0-0</f>
        <v>523.03311700000006</v>
      </c>
      <c r="O230" s="3">
        <f>1339.2+(0-772.4)+(4.097952+(0-2.363544))+0-0-0</f>
        <v>568.5344080000001</v>
      </c>
      <c r="P230" s="3">
        <f>1329.7+(0-727.4)+(-0.678147+(0--0.370974))+0-0-0</f>
        <v>601.99282700000003</v>
      </c>
      <c r="Q230" s="3">
        <f>1336.8+(1.2-727.4)+(1.363536+(0.001224-0.741948))+0-0-0</f>
        <v>611.22281199999998</v>
      </c>
      <c r="R230" s="3">
        <f>1319.8+(84-818.2)+(-1.346196+(-0.08568--0.834564))+0-0-0</f>
        <v>585.00268799999992</v>
      </c>
      <c r="S230" s="3">
        <f>1320.8+(77.7-834.9)+(-1.347216+(-0.079254--0.851598))+0-0-0</f>
        <v>563.025128</v>
      </c>
      <c r="T230" s="3">
        <f>1326.5+(49.8-828)+(0.676515+(0.025398-0.42228))+0-0-0</f>
        <v>548.57963299999994</v>
      </c>
      <c r="U230" s="3">
        <f>1313.8+(37.4-815.1)+(-2.680152+(-0.076296--1.662804))+0-0-0</f>
        <v>535.00635599999987</v>
      </c>
      <c r="V230" s="3">
        <f>1320.3+(0-783.1)+(0.673353+(0-0.399381))+0-0-0</f>
        <v>537.47397199999989</v>
      </c>
      <c r="W230" s="3">
        <f>1347.4+(3.9-710)+(0+(0-0))+0-0-0</f>
        <v>641.30000000000007</v>
      </c>
      <c r="X230" s="3">
        <f>1473.5+(11.3-796.8)+(-3.757425+(-0.028815--2.03184))+0-0-0</f>
        <v>686.24559999999997</v>
      </c>
      <c r="Y230" s="3">
        <f>1481.3+(0-795.5)+(-0.755463+(0--0.405705))+0-0-0</f>
        <v>685.450242</v>
      </c>
      <c r="Z230" s="3">
        <f>1469.3+(10.5-798)+(-2.997372+(-0.02142--1.62792))+0-0-0</f>
        <v>680.40912800000001</v>
      </c>
      <c r="AA230" s="3">
        <f>1436.9+(27.5-789.5)+(-4.396914+(-0.08415--2.41587))+0-0-0</f>
        <v>672.83480600000007</v>
      </c>
      <c r="AB230" s="3">
        <f>1336.8+(57-749.8)+(-3.40884+(-0.14535--1.91199))+0-0-0</f>
        <v>642.3578</v>
      </c>
      <c r="AC230" s="3">
        <f>1219.2+(27.9-662.9)+(-2.487168+(-0.056916--1.352316))+0-0-0</f>
        <v>583.00823200000002</v>
      </c>
      <c r="AD230" s="2">
        <v>680.6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1165.8+(21-660.7)+(0+(0-0))+0-0-0</f>
        <v>526.09999999999991</v>
      </c>
      <c r="G231" s="3">
        <f>1112.4+(27.2-649.2)+(-2.269296+(-0.055488--1.324368))+0-0-0</f>
        <v>489.39958400000012</v>
      </c>
      <c r="H231" s="3">
        <f>1058.6+(0-596.1)+(-0.539886+(0--0.304011))+0-0-0</f>
        <v>462.26412499999986</v>
      </c>
      <c r="I231" s="3">
        <f>1058.7+(0-610.5)+(0+(0-0))+0-0-0</f>
        <v>448.20000000000005</v>
      </c>
      <c r="J231" s="3">
        <f>986.3+(0-533.6)+(0.503013+(0-0.272136))+0-0-0</f>
        <v>452.93087699999995</v>
      </c>
      <c r="K231" s="3">
        <f>965+(8-516.7)+(-0.49215+(-0.00408--0.263517))+0-0-0</f>
        <v>456.06728699999996</v>
      </c>
      <c r="L231" s="3">
        <f>962.8+(35.7-539.6)+(-0.491028+(-0.018207--0.275196))+0-0-0</f>
        <v>458.66596099999992</v>
      </c>
      <c r="M231" s="3">
        <f>1035.2+(37.7-596.5)+(0+(0-0))+0-0-0</f>
        <v>476.40000000000009</v>
      </c>
      <c r="N231" s="3">
        <f>1081.8+(67.2-623.3)+(-0.551718+(-0.034272--0.317883))+0-0-0</f>
        <v>525.43189300000006</v>
      </c>
      <c r="O231" s="3">
        <f>1298.5+(23.9-761)+(0.662235+(0.012189-0.38811))+0-0-0</f>
        <v>561.68631399999992</v>
      </c>
      <c r="P231" s="3">
        <f>1304.1+(49.5-767.3)+(0+(0-0))+0-0-0</f>
        <v>586.29999999999995</v>
      </c>
      <c r="Q231" s="3">
        <f>1358.9+(111.3-874)+(-0.693039+(-0.056763--0.44574))+0-0-0</f>
        <v>595.895938</v>
      </c>
      <c r="R231" s="3">
        <f>1407+(102.8-873.3)+(-2.87028+(-0.209712--1.781532))+0-0-0</f>
        <v>635.20154000000002</v>
      </c>
      <c r="S231" s="3">
        <f>1415+(62.8-876.8)+(-2.16495+(-0.096084--1.341504))+0-0-0</f>
        <v>600.08046999999999</v>
      </c>
      <c r="T231" s="3">
        <f>1418.4+(22.6-860.6)+(-1.446768+(-0.023052--0.877812))+0-0-0</f>
        <v>579.80799200000013</v>
      </c>
      <c r="U231" s="3">
        <f>1247.6+(1-678.4)+(-1.908828+(-0.00153--1.037952))+0-0-0</f>
        <v>569.32759399999998</v>
      </c>
      <c r="V231" s="3">
        <f>1148.8+(29.4-598.8)+(1.171776+(0.029988-0.610776))+0-0-0</f>
        <v>579.99098800000002</v>
      </c>
      <c r="W231" s="3">
        <f>1304.6+(23.6-657.6)+(-1.330692+(-0.024072--0.670752))+0-0-0</f>
        <v>669.91598799999986</v>
      </c>
      <c r="X231" s="3">
        <f>1422.4+(20.6-718.7)+(-3.62712+(-0.05253--1.832685))+0-0-0</f>
        <v>722.45303500000011</v>
      </c>
      <c r="Y231" s="3">
        <f>1354.3+(17.8-642.6)+(-1.381386+(-0.018156--0.655452))+0-0-0</f>
        <v>728.75590999999986</v>
      </c>
      <c r="Z231" s="3">
        <f>1235.2+(64.5-577.5)+(0.629952+(0.032895-0.294525))+0-0-0</f>
        <v>722.56832200000008</v>
      </c>
      <c r="AA231" s="3">
        <f>1226+(59.3-591.1)+(-1.25052+(-0.060486--0.602922))+0-0-0</f>
        <v>693.49191599999995</v>
      </c>
      <c r="AB231" s="3">
        <f>1222.9+(57.6-624.5)+(-0.623679+(-0.029376--0.318495))+0-0-0</f>
        <v>655.6654400000001</v>
      </c>
      <c r="AC231" s="3">
        <f>1220.5+(38.3-657.5)+(-1.867365+(-0.058599--1.005975))+0-0-0</f>
        <v>600.38001099999997</v>
      </c>
      <c r="AD231" s="2">
        <v>682.4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1139.4+(23.8-645.3)+(-2.324376+(-0.048552--1.316412))+0-0-0</f>
        <v>516.8434840000001</v>
      </c>
      <c r="G232" s="3">
        <f>1031.3+(16.7-571.3)+(-2.103852+(-0.034068--1.165452))+0-0-0</f>
        <v>475.72753200000005</v>
      </c>
      <c r="H232" s="3">
        <f>1045.6+(0-582.7)+(0+(0-0))+0-0-0</f>
        <v>462.89999999999986</v>
      </c>
      <c r="I232" s="3">
        <f>1043.6+(0-594.9)+(-0.532236+(0--0.303399))+0-0-0</f>
        <v>448.47116299999993</v>
      </c>
      <c r="J232" s="3">
        <f>1015.1+(0-567.1)+(0+(0-0))+0-0-0</f>
        <v>448</v>
      </c>
      <c r="K232" s="3">
        <f>955.8+(36.2-540.7)+(0.487458+(0.018462-0.275757))+0-0-0</f>
        <v>451.5301629999999</v>
      </c>
      <c r="L232" s="3">
        <f>947.2+(60.1-549.8)+(-1.932288+(-0.122604--1.121592))+0-0-0</f>
        <v>456.56670000000014</v>
      </c>
      <c r="M232" s="3">
        <f>1216.2+(0-740.3)+(-1.860786+(0--1.132659))+0-0-0</f>
        <v>475.17187300000012</v>
      </c>
      <c r="N232" s="3">
        <f>1291.7+(24.8-790.5)+(-1.976301+(-0.037944--1.209465))+0-0-0</f>
        <v>525.19521999999995</v>
      </c>
      <c r="O232" s="3">
        <f>1308.1+(48.6-787.2)+(-0.667131+(-0.024786--0.401472))+0-0-0</f>
        <v>569.20955499999991</v>
      </c>
      <c r="P232" s="3">
        <f>1331.7+(87.6-787.3)+(0+(0-0))+0-0-0</f>
        <v>632.00000000000011</v>
      </c>
      <c r="Q232" s="3">
        <f>1386.6+(26.7-812.5)+(-1.414332+(-0.027234--0.82875))+0-0-0</f>
        <v>600.187184</v>
      </c>
      <c r="R232" s="3">
        <f>1396.8+(23-838.7)+(-0.712368+(-0.01173--0.427737))+0-0-0</f>
        <v>580.80363899999986</v>
      </c>
      <c r="S232" s="3">
        <f>1399.4+(26.6-845.9)+(2.854776+(0.054264-1.725636))+0-0-0</f>
        <v>581.28340400000013</v>
      </c>
      <c r="T232" s="3">
        <f>1377.6+(0-808.9)+(1.405152+(0-0.825078))+0-0-0</f>
        <v>569.2800739999999</v>
      </c>
      <c r="U232" s="3">
        <f>1365.7+(3.5-813.6)+(-3.482535+(-0.008925--2.07468))+0-0-0</f>
        <v>554.18322000000001</v>
      </c>
      <c r="V232" s="3">
        <f>1313.1+(25.7-772.7)+(2.009043+(0.039321-1.182231))+0-0-0</f>
        <v>566.9661329999999</v>
      </c>
      <c r="W232" s="3">
        <f>1333.8+(58-730.1)+(-1.360476+(-0.05916--0.744702))+0-0-0</f>
        <v>661.02506599999992</v>
      </c>
      <c r="X232" s="3">
        <f>1380.1+(84.1-736.5)+(-2.815404+(-0.171564--1.50246))+0-0-0</f>
        <v>726.21549199999993</v>
      </c>
      <c r="Y232" s="3">
        <f>1334+(93-695.7)+(-4.08204+(-0.28458--2.128842))+0-0-0</f>
        <v>729.06222199999991</v>
      </c>
      <c r="Z232" s="3">
        <f>1298.3+(98.1-683.8)+(-3.972798+(-0.300186--2.092428))+0-0-0</f>
        <v>710.419444</v>
      </c>
      <c r="AA232" s="3">
        <f>1221.8+(107.6-647.2)+(-1.869354+(-0.164628--0.990216))+0-0-0</f>
        <v>681.15623399999993</v>
      </c>
      <c r="AB232" s="3">
        <f>1135.2+(151.4-642.9)+(0+(0-0))+0-0-0</f>
        <v>643.70000000000005</v>
      </c>
      <c r="AC232" s="3">
        <f>1038+(122.8-575.7)+(-2.11752+(-0.250512--1.174428))+0-0-0</f>
        <v>583.90639599999986</v>
      </c>
      <c r="AD232" s="2">
        <v>732.2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1029.4+(87.8-586.6)+(-3.674958+(-0.313446--2.094162))+0-0-0</f>
        <v>528.70575800000017</v>
      </c>
      <c r="G233" s="3">
        <f>1026.9+(36.6-579.4)+(-3.142314+(-0.111996--1.772964))+0-0-0</f>
        <v>482.61865400000016</v>
      </c>
      <c r="H233" s="3">
        <f>1038.5+(11.6-583.7)+(-1.05927+(-0.011832--0.595374))+0-0-0</f>
        <v>465.92427199999997</v>
      </c>
      <c r="I233" s="3">
        <f>1042.8+(0-587)+(0+(0-0))+0-0-0</f>
        <v>455.79999999999995</v>
      </c>
      <c r="J233" s="3">
        <f>1051.9+(1.5-600.1)+(1.072938+(0.00153-0.612102))+0-0-0</f>
        <v>453.76236600000004</v>
      </c>
      <c r="K233" s="3">
        <f>1045.6+(0-587)+(-0.533256+(0--0.29937))+0-0-0</f>
        <v>458.36611399999992</v>
      </c>
      <c r="L233" s="3">
        <f>1040.3+(0-585.1)+(-1.061106+(0--0.596802))+0-0-0</f>
        <v>454.7356959999999</v>
      </c>
      <c r="M233" s="3">
        <f>1119.2+(0-652.4)+(-1.141584+(0--0.665448))+0-0-0</f>
        <v>466.32386400000007</v>
      </c>
      <c r="N233" s="3">
        <f>1281.6+(0-759.5)+(-1.307232+(0--0.77469))+0-0-0</f>
        <v>521.56745799999987</v>
      </c>
      <c r="O233" s="3">
        <f>1294.7+(0-739.5)+(1.980891+(0-1.131435))+0-0-0</f>
        <v>556.04945600000008</v>
      </c>
      <c r="P233" s="3">
        <f>1349+(0-765.9)+(-2.75196+(0--1.562436))+0-0-0</f>
        <v>581.91047600000002</v>
      </c>
      <c r="Q233" s="3">
        <f>1364.2+(0-770.3)+(-2.782968+(0--1.571412))+0-0-0</f>
        <v>592.68844400000012</v>
      </c>
      <c r="R233" s="3">
        <f>1364.5+(0-778.1)+(-1.39179+(0--0.793662))+0-0-0</f>
        <v>585.801872</v>
      </c>
      <c r="S233" s="3">
        <f>1362.7+(0-782.7)+(-2.779908+(0--1.596708))+0-0-0</f>
        <v>578.81679999999994</v>
      </c>
      <c r="T233" s="3">
        <f>1366+(0-799.2)+(-1.39332+(0--0.815184))+0-0-0</f>
        <v>566.22186399999998</v>
      </c>
      <c r="U233" s="3">
        <f>1356.9+(3.6-794.5)+(-1.384038+(-0.003672--0.81039))+0-0-0</f>
        <v>565.42268000000013</v>
      </c>
      <c r="V233" s="3">
        <f>1375+(20.3-811.3)+(0.70125+(0.010353-0.413763))+0-0-0</f>
        <v>584.29783999999995</v>
      </c>
      <c r="W233" s="3">
        <f>1414.2+(46.2-779.3)+(1.442484+(0.047124-0.794886))+0-0-0</f>
        <v>681.79472200000009</v>
      </c>
      <c r="X233" s="3">
        <f>1431.5+(65.7-762.2)+(-2.190195+(-0.100521--1.166166))+0-0-0</f>
        <v>733.87545</v>
      </c>
      <c r="Y233" s="3">
        <f>1357.9+(82.5-725.1)+(-3.462645+(-0.210375--1.849005))+0-0-0</f>
        <v>713.47598500000004</v>
      </c>
      <c r="Z233" s="3">
        <f>1354.2+(61.8-718)+(0.690642+(0.031518-0.36618))+0-0-0</f>
        <v>698.35598000000005</v>
      </c>
      <c r="AA233" s="3">
        <f>1342.7+(45.4-717.8)+(-0.684777+(-0.023154--0.366078))+0-0-0</f>
        <v>669.95814700000005</v>
      </c>
      <c r="AB233" s="3">
        <f>1302+(54.2-724.9)+(-2.65608+(-0.110568--1.478796))+0-0-0</f>
        <v>630.01214800000002</v>
      </c>
      <c r="AC233" s="3">
        <f>1269.5+(31.1-719.5)+(-1.942335+(-0.047583--1.100835))+0-0-0</f>
        <v>580.21091699999999</v>
      </c>
      <c r="AD233" s="2">
        <v>725.4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1270+(0-743)+(-0.6477+(0--0.37893))+0-0-0</f>
        <v>526.73122999999998</v>
      </c>
      <c r="G234" s="3">
        <f>1234.2+(0-749.2)+(-0.629442+(0--0.382092))+0-0-0</f>
        <v>484.75265000000002</v>
      </c>
      <c r="H234" s="3">
        <f>1057.5+(0-590.8)+(-1.07865+(0--0.602616))+0-0-0</f>
        <v>466.22396600000002</v>
      </c>
      <c r="I234" s="3">
        <f>989.5+(2-541.6)+(-0.504645+(-0.00102--0.276216))+0-0-0</f>
        <v>449.67055099999999</v>
      </c>
      <c r="J234" s="3">
        <f>950.7+(13-515)+(-2.424285+(-0.03315--1.31325))+0-0-0</f>
        <v>447.55581500000005</v>
      </c>
      <c r="K234" s="3">
        <f>964.3+(0-505.3)+(0.983586+(0-0.515406))+0-0-0</f>
        <v>459.46817999999996</v>
      </c>
      <c r="L234" s="3">
        <f>949.5+(6.3-512.2)+(-2.90547+(-0.019278--1.567332))+0-0-0</f>
        <v>442.24258399999997</v>
      </c>
      <c r="M234" s="3">
        <f>1145.6+(0-691.3)+(0+(0-0))+0-0-0</f>
        <v>454.29999999999995</v>
      </c>
      <c r="N234" s="3">
        <f>1234.2+(0-722.2)+(-1.258884+(0--0.736644))+0-0-0</f>
        <v>511.47775999999999</v>
      </c>
      <c r="O234" s="3">
        <f>1299.5+(0-748.9)+(0.662745+(0-0.381939))+0-0-0</f>
        <v>550.88080600000001</v>
      </c>
      <c r="P234" s="3">
        <f>1238.9+(0-653)+(-1.263678+(0--0.66606))+0-0-0</f>
        <v>585.30238200000008</v>
      </c>
      <c r="Q234" s="3">
        <f>1214.4+(0-613.7)+(-1.238688+(0--0.625974))+0-0-0</f>
        <v>600.08728600000006</v>
      </c>
      <c r="R234" s="3">
        <f>1209.5+(0-626.2)+(-3.084225+(0--1.59681))+0-0-0</f>
        <v>581.8125849999999</v>
      </c>
      <c r="S234" s="3">
        <f>1210.8+(0-656.4)+(-1.235016+(0--0.669528))+0-0-0</f>
        <v>553.83451200000002</v>
      </c>
      <c r="T234" s="3">
        <f>1208.5+(0-675.5)+(0+(0-0))+0-0-0</f>
        <v>533</v>
      </c>
      <c r="U234" s="3">
        <f>1212.4+(0-682.6)+(-1.236648+(0--0.696252))+0-0-0</f>
        <v>529.25960400000008</v>
      </c>
      <c r="V234" s="3">
        <f>1218.9+(3.1-667.4)+(0+(0-0))+0-0-0</f>
        <v>554.60000000000014</v>
      </c>
      <c r="W234" s="3">
        <f>1292.1+(0-661.1)+(0.658971+(0-0.337161))+0-0-0</f>
        <v>631.32180999999991</v>
      </c>
      <c r="X234" s="3">
        <f>1350.3+(3.1-674.5)+(-4.131918+(-0.009486--2.06397))+0-0-0</f>
        <v>676.82256599999994</v>
      </c>
      <c r="Y234" s="3">
        <f>1340.9+(8-678.6)+(-4.103154+(-0.02448--2.076516))+0-0-0</f>
        <v>668.24888200000009</v>
      </c>
      <c r="Z234" s="3">
        <f>1345.9+(0-685.6)+(-2.059227+(0--1.048968))+0-0-0</f>
        <v>659.28974100000005</v>
      </c>
      <c r="AA234" s="3">
        <f>1342.7+(0-712.7)+(-2.054331+(0--1.090431))+0-0-0</f>
        <v>629.03610000000003</v>
      </c>
      <c r="AB234" s="3">
        <f>1300+(15.8-705.6)+(-2.652+(-0.032232--1.439424))+0-0-0</f>
        <v>608.9551919999999</v>
      </c>
      <c r="AC234" s="3">
        <f>1150.6+(82.3-655.8)+(-0.586806+(-0.041973--0.334458))+0-0-0</f>
        <v>576.80567899999994</v>
      </c>
      <c r="AD234" s="2">
        <v>681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1141.6+(71-655.7)+(-2.91108+(-0.18105--1.672035))+0-0-0</f>
        <v>555.47990499999992</v>
      </c>
      <c r="G235" s="3">
        <f>1141.3+(48.4-671.4)+(-1.164126+(-0.049368--0.684828))+0-0-0</f>
        <v>517.77133399999991</v>
      </c>
      <c r="H235" s="3">
        <f>1125.2+(38.9-674.4)+(-1.721556+(-0.059517--1.031832))+0-0-0</f>
        <v>488.95075900000006</v>
      </c>
      <c r="I235" s="3">
        <f>1129.7+(35.7-689.5)+(-0.576147+(-0.018207--0.351645))+0-0-0</f>
        <v>475.6572910000001</v>
      </c>
      <c r="J235" s="3">
        <f>1129.7+(16.3-672.5)+(-0.576147+(-0.008313--0.342975))+0-0-0</f>
        <v>473.25851499999999</v>
      </c>
      <c r="K235" s="3">
        <f>1133.7+(0-661.9)+(0.578187+(0-0.337569))+0-0-0</f>
        <v>472.04061800000005</v>
      </c>
      <c r="L235" s="3">
        <f>1123.4+(0-671.2)+(-1.145868+(0--0.684624))+0-0-0</f>
        <v>451.73875600000002</v>
      </c>
      <c r="M235" s="3">
        <f>1131.3+(0-694.4)+(0+(0-0))+0-0-0</f>
        <v>436.9</v>
      </c>
      <c r="N235" s="3">
        <f>1126.8+(1.9-654.1)+(-0.574668+(-0.000969--0.333591))+0-0-0</f>
        <v>474.35795399999989</v>
      </c>
      <c r="O235" s="3">
        <f>1135.2+(11.4-640.6)+(1.736856+(0.017442-0.980118))+0-0-0</f>
        <v>506.77418</v>
      </c>
      <c r="P235" s="3">
        <f>1187.4+(18.1-676.4)+(1.816722+(0.027693-1.034892))+0-0-0</f>
        <v>529.90952300000015</v>
      </c>
      <c r="Q235" s="3">
        <f>1257.5+(21.4-724.9)+(-1.923975+(-0.032742--1.109097))+0-0-0</f>
        <v>553.15237999999999</v>
      </c>
      <c r="R235" s="3">
        <f>1314.6+(10.7-775.8)+(-3.35223+(-0.027285--1.97829))+0-0-0</f>
        <v>548.09877500000005</v>
      </c>
      <c r="S235" s="3">
        <f>1316.5+(0-785.7)+(-3.357075+(0--2.003535))+0-0-0</f>
        <v>529.44646</v>
      </c>
      <c r="T235" s="3">
        <f>1292.9+(3.9-785.3)+(-3.296895+(-0.009945--2.002515))+0-0-0</f>
        <v>510.19567500000011</v>
      </c>
      <c r="U235" s="3">
        <f>1231.7+(13.5-772.2)+(-2.512668+(-0.02754--1.575288))+0-0-0</f>
        <v>472.03507999999999</v>
      </c>
      <c r="V235" s="3">
        <f>1232.2+(17.5-762.3)+(-1.885266+(-0.026775--1.166319))+0-0-0</f>
        <v>486.65427800000009</v>
      </c>
      <c r="W235" s="3">
        <f>1294.4+(47.3-752.7)+(-1.320288+(-0.048246--0.767754))+0-0-0</f>
        <v>588.39922000000001</v>
      </c>
      <c r="X235" s="3">
        <f>1349.1+(67.2-761.9)+(-2.752164+(-0.137088--1.554276))+0-0-0</f>
        <v>653.06502399999999</v>
      </c>
      <c r="Y235" s="3">
        <f>1356.4+(70.2-764.8)+(0+(0-0))+0-0-0</f>
        <v>661.80000000000018</v>
      </c>
      <c r="Z235" s="3">
        <f>1347.7+(78.1-758.2)+(-1.374654+(-0.079662--0.773364))+0-0-0</f>
        <v>666.91904799999998</v>
      </c>
      <c r="AA235" s="3">
        <f>1310.6+(85.4-751)+(-1.336812+(-0.087108--0.76602))+0-0-0</f>
        <v>644.34209999999985</v>
      </c>
      <c r="AB235" s="3">
        <f>1241.1+(111-743)+(-2.531844+(-0.22644--1.51572))+0-0-0</f>
        <v>607.85743599999989</v>
      </c>
      <c r="AC235" s="3">
        <f>1197.2+(99.1-727.5)+(-3.05286+(-0.252705--1.855125))+0-0-0</f>
        <v>567.34956000000011</v>
      </c>
      <c r="AD235" s="2">
        <v>585.49999999999989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1114.5+(48.4-687.2)+(-1.13679+(-0.049368--0.700944))+0-0-0</f>
        <v>475.21478599999995</v>
      </c>
      <c r="G236" s="3">
        <f>1138.2+(6-703.2)+(-2.321928+(-0.01224--1.434528))+0-0-0</f>
        <v>440.10036000000002</v>
      </c>
      <c r="H236" s="3">
        <f>1145.1+(0-722.4)+(-0.584001+(0--0.368424))+0-0-0</f>
        <v>422.48442299999994</v>
      </c>
      <c r="I236" s="3">
        <f>1134.4+(0-714.7)+(-2.314176+(0--1.457988))+0-0-0</f>
        <v>418.84381200000007</v>
      </c>
      <c r="J236" s="3">
        <f>1039.5+(0-629.2)+(-2.650725+(0--1.60446))+0-0-0</f>
        <v>409.25373499999995</v>
      </c>
      <c r="K236" s="3">
        <f>1064.6+(0-640.5)+(2.171784+(0-1.30662))+0-0-0</f>
        <v>424.9651639999999</v>
      </c>
      <c r="L236" s="3">
        <f>1046.9+(0-612.9)+(-1.601757+(0--0.937737))+0-0-0</f>
        <v>433.33598000000012</v>
      </c>
      <c r="M236" s="3">
        <f>1048.7+(24.7-611.1)+(-1.069674+(-0.025194--0.623322))+0-0-0</f>
        <v>461.82845400000008</v>
      </c>
      <c r="N236" s="3">
        <f>1230.7+(31.1-756.5)+(-1.882971+(-0.047583--1.157445))+0-0-0</f>
        <v>504.52689100000009</v>
      </c>
      <c r="O236" s="3">
        <f>1376+(28.5-839)+(0+(0-0))+0-0-0</f>
        <v>565.5</v>
      </c>
      <c r="P236" s="3">
        <f>1379.4+(0-772.9)+(0+(0-0))+0-0-0</f>
        <v>606.50000000000011</v>
      </c>
      <c r="Q236" s="3">
        <f>1371.9+(0-754.4)+(-2.798676+(0--1.538976))+0-0-0</f>
        <v>616.24030000000016</v>
      </c>
      <c r="R236" s="3">
        <f>1368.5+(0-739.3)+(-4.18761+(0--2.262258))+0-0-0</f>
        <v>627.27464800000007</v>
      </c>
      <c r="S236" s="3">
        <f>1368+(0-748.9)+(-2.79072+(0--1.527756))+0-0-0</f>
        <v>617.83703600000001</v>
      </c>
      <c r="T236" s="3">
        <f>1338.6+(0-723.3)+(-2.048058+(0--1.106649))+0-0-0</f>
        <v>614.35859099999993</v>
      </c>
      <c r="U236" s="3">
        <f>1283+(0-674.1)+(-2.61732+(0--1.375164))+0-0-0</f>
        <v>607.65784399999995</v>
      </c>
      <c r="V236" s="3">
        <f>1294.6+(0-649.1)+(-1.320492+(0--0.662082))+0-0-0</f>
        <v>644.84158999999988</v>
      </c>
      <c r="W236" s="3">
        <f>1356.5+(0-619.2)+(-2.075445+(0--0.947376))+0-0-0</f>
        <v>736.17193099999997</v>
      </c>
      <c r="X236" s="3">
        <f>1408.9+(0-632.3)+(-3.592695+(0--1.612365))+0-0-0</f>
        <v>774.61967000000016</v>
      </c>
      <c r="Y236" s="3">
        <f>1417.7+(0-653.6)+(-2.169081+(0--1.000008))+0-0-0</f>
        <v>762.930927</v>
      </c>
      <c r="Z236" s="3">
        <f>1297.4+(0-555)+(-1.323348+(0--0.5661))+0-0-0</f>
        <v>741.64275200000009</v>
      </c>
      <c r="AA236" s="3">
        <f>1196.6+(0-500.5)+(-3.05133+(0--1.276275))+0-0-0</f>
        <v>694.32494499999996</v>
      </c>
      <c r="AB236" s="3">
        <f>1211+(20.7-582.7)+(0+(0-0))+0-0-0</f>
        <v>649</v>
      </c>
      <c r="AC236" s="3">
        <f>1160.4+(3.7-548.6)+(-2.95902+(-0.009435--1.39893))+0-0-0</f>
        <v>613.93047500000011</v>
      </c>
      <c r="AD236" s="2">
        <v>733.9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1112.8+(0-560.7)+(-1.702584+(0--0.857871))+0-0-0</f>
        <v>551.25528699999995</v>
      </c>
      <c r="G237" s="3">
        <f>983.7+(9.4-473.4)+(-1.003374+(-0.009588--0.482868))+0-0-0</f>
        <v>519.16990600000008</v>
      </c>
      <c r="H237" s="3">
        <f>974+(0-478.3)+(-0.49674+(0--0.243933))+0-0-0</f>
        <v>495.44719299999997</v>
      </c>
      <c r="I237" s="3">
        <f>981.5+(0-495.5)+(0.500565+(0-0.252705))+0-0-0</f>
        <v>486.24786</v>
      </c>
      <c r="J237" s="3">
        <f>976.1+(0-489.6)+(-0.497811+(0--0.249696))+0-0-0</f>
        <v>486.25188500000002</v>
      </c>
      <c r="K237" s="3">
        <f>989.7+(0-497.3)+(1.514241+(0-0.760869))+0-0-0</f>
        <v>493.15337200000005</v>
      </c>
      <c r="L237" s="3">
        <f>974.3+(16.9-492.3)+(-1.987572+(-0.034476--1.004292))+0-0-0</f>
        <v>497.8822439999999</v>
      </c>
      <c r="M237" s="3">
        <f>1038.8+(0-515.7)+(0+(0-0))+0-0-0</f>
        <v>523.09999999999991</v>
      </c>
      <c r="N237" s="3">
        <f>1296.6+(0-725.3)+(0.661266+(0-0.369903))+0-0-0</f>
        <v>571.591363</v>
      </c>
      <c r="O237" s="3">
        <f>1402+(0-811.8)+(2.86008+(0-1.656072))+0-0-0</f>
        <v>591.40400800000009</v>
      </c>
      <c r="P237" s="3">
        <f>1407.9+(0-807.2)+(-0.718029+(0--0.411672))+0-0-0</f>
        <v>600.393643</v>
      </c>
      <c r="Q237" s="3">
        <f>1406.4+(0-799.1)+(-1.434528+(0--0.815082))+0-0-0</f>
        <v>606.68055400000003</v>
      </c>
      <c r="R237" s="3">
        <f>1408.7+(0-805.4)+(-0.718437+(0--0.410754))+0-0-0</f>
        <v>602.99231700000007</v>
      </c>
      <c r="S237" s="3">
        <f>1411.1+(0-820.1)+(-1.439322+(0--0.836502))+0-0-0</f>
        <v>590.39717999999993</v>
      </c>
      <c r="T237" s="3">
        <f>1423.7+(0-838.6)+(1.452174+(0-0.855372))+0-0-0</f>
        <v>585.69680200000005</v>
      </c>
      <c r="U237" s="3">
        <f>1373.6+(0-781.9)+(-2.101608+(0--1.196307))+0-0-0</f>
        <v>590.79469899999992</v>
      </c>
      <c r="V237" s="3">
        <f>1328.6+(0-717.8)+(-0.677586+(0--0.366078))+0-0-0</f>
        <v>610.48849199999995</v>
      </c>
      <c r="W237" s="3">
        <f>1409.3+(2.8-704.8)+(-0.718743+(-0.001428--0.359448))+0-0-0</f>
        <v>706.93927699999995</v>
      </c>
      <c r="X237" s="3">
        <f>1461.4+(11.2-730.5)+(-2.235942+(-0.017136--1.117665))+0-0-0</f>
        <v>740.96458700000017</v>
      </c>
      <c r="Y237" s="3">
        <f>1449.9+(3-722.5)+(-3.697245+(-0.00765--1.842375))+0-0-0</f>
        <v>728.53748000000007</v>
      </c>
      <c r="Z237" s="3">
        <f>1452.2+(0-733.1)+(-2.962488+(0--1.495524))+0-0-0</f>
        <v>717.63303600000006</v>
      </c>
      <c r="AA237" s="3">
        <f>1379.5+(12.5-700.6)+(-1.40709+(-0.01275--0.714612))+0-0-0</f>
        <v>690.69477199999994</v>
      </c>
      <c r="AB237" s="3">
        <f>1305.3+(23.7-681.1)+(-3.328515+(-0.060435--1.736805))+0-0-0</f>
        <v>646.24785499999996</v>
      </c>
      <c r="AC237" s="3">
        <f>1290.1+(0-705.8)+(-3.289755+(0--1.79979))+0-0-0</f>
        <v>582.81003499999997</v>
      </c>
      <c r="AD237" s="2">
        <v>720.30000000000007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1131.7+(0-612.6)+(-2.308668+(0--1.249704))+0-0-0</f>
        <v>518.04103600000008</v>
      </c>
      <c r="G238" s="3">
        <f>1012.8+(1.6-543.2)+(-0.516528+(-0.000816--0.277032))+0-0-0</f>
        <v>470.95968799999991</v>
      </c>
      <c r="H238" s="3">
        <f>985.7+(0-527.1)+(-1.005414+(0--0.537642))+0-0-0</f>
        <v>458.132228</v>
      </c>
      <c r="I238" s="3">
        <f>986.9+(0-533.5)+(-1.006638+(0--0.54417))+0-0-0</f>
        <v>452.93753199999998</v>
      </c>
      <c r="J238" s="3">
        <f>985.7+(0-533.3)+(-1.508121+(0--0.815949))+0-0-0</f>
        <v>451.70782800000006</v>
      </c>
      <c r="K238" s="3">
        <f>990.5+(0-528.6)+(0+(0-0))+0-0-0</f>
        <v>461.9</v>
      </c>
      <c r="L238" s="3">
        <f>1029.4+(0-560.3)+(-0.524994+(0--0.285753))+0-0-0</f>
        <v>468.86075900000014</v>
      </c>
      <c r="M238" s="3">
        <f>1210.1+(0-716.3)+(-0.617151+(0--0.365313))+0-0-0</f>
        <v>493.54816199999993</v>
      </c>
      <c r="N238" s="3">
        <f>1355.4+(0-806)+(-1.382508+(0--0.82212))+0-0-0</f>
        <v>548.8396120000001</v>
      </c>
      <c r="O238" s="3">
        <f>1388.1+(0-796.8)+(-0.707931+(0--0.406368))+0-0-0</f>
        <v>590.99843699999997</v>
      </c>
      <c r="P238" s="3">
        <f>1393.8+(1.8-786)+(1.421676+(0.001836-0.80172))+0-0-0</f>
        <v>610.22179199999994</v>
      </c>
      <c r="Q238" s="3">
        <f>1394.7+(43.8-806)+(-0.711297+(-0.022338--0.41106))+0-0-0</f>
        <v>632.17742499999997</v>
      </c>
      <c r="R238" s="3">
        <f>1392.2+(59.4-815.8)+(-2.840088+(-0.121176--1.664232))+0-0-0</f>
        <v>634.50296800000012</v>
      </c>
      <c r="S238" s="3">
        <f>1381.3+(44.2-807)+(-2.113389+(-0.067626--1.23471))+0-0-0</f>
        <v>617.55369499999995</v>
      </c>
      <c r="T238" s="3">
        <f>1389+(23.1-806.5)+(0.70839+(0.011781-0.411315))+0-0-0</f>
        <v>605.90885600000001</v>
      </c>
      <c r="U238" s="3">
        <f>1394.1+(0-787.8)+(-0.710991+(0--0.401778))+0-0-0</f>
        <v>605.99078699999995</v>
      </c>
      <c r="V238" s="3">
        <f>1422.8+(0-791.9)+(2.176884+(0-1.211607))+0-0-0</f>
        <v>631.86527699999999</v>
      </c>
      <c r="W238" s="3">
        <f>1452.6+(19.8-748.9)+(-1.481652+(-0.020196--0.763878))+0-0-0</f>
        <v>722.76202999999987</v>
      </c>
      <c r="X238" s="3">
        <f>1341.6+(50.6-654.1)+(-2.736864+(-0.103224--1.334364))+0-0-0</f>
        <v>736.59427599999992</v>
      </c>
      <c r="Y238" s="3">
        <f>1281.9+(49.6-608.5)+(-3.268845+(-0.12648--1.551675))+0-0-0</f>
        <v>721.15635000000009</v>
      </c>
      <c r="Z238" s="3">
        <f>1205.3+(58.8-550.7)+(-1.844109+(-0.089964--0.842571))+0-0-0</f>
        <v>712.30849799999987</v>
      </c>
      <c r="AA238" s="3">
        <f>1203.3+(57.3-577)+(-1.841049+(-0.087669--0.88281))+0-0-0</f>
        <v>682.55409199999986</v>
      </c>
      <c r="AB238" s="3">
        <f>1207+(52-617.9)+(-0.61557+(-0.02652--0.315129))+0-0-0</f>
        <v>640.77303900000004</v>
      </c>
      <c r="AC238" s="3">
        <f>1177.3+(32.5-624.7)+(-1.801269+(-0.049725--0.955791))+0-0-0</f>
        <v>584.20479699999987</v>
      </c>
      <c r="AD238" s="2">
        <v>686.69999999999993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1061.4+(19.2-593.1)+(-0.541314+(-0.009792--0.302481))+0-0-0</f>
        <v>487.25137500000011</v>
      </c>
      <c r="G239" s="3">
        <f>963.1+(20.2-533.2)+(-0.982362+(-0.020604--0.543864))+0-0-0</f>
        <v>449.64089800000005</v>
      </c>
      <c r="H239" s="3">
        <f>956.1+(0-535.1)+(0+(0-0))+0-0-0</f>
        <v>421</v>
      </c>
      <c r="I239" s="3">
        <f>953.6+(0-538.8)+(-0.972672+(0--0.549576))+0-0-0</f>
        <v>414.37690400000008</v>
      </c>
      <c r="J239" s="3">
        <f>955.6+(0-538.3)+(0+(0-0))+0-0-0</f>
        <v>417.30000000000007</v>
      </c>
      <c r="K239" s="3">
        <f>947.6+(0-536.5)+(-0.966552+(0--0.54723))+0-0-0</f>
        <v>410.680678</v>
      </c>
      <c r="L239" s="3">
        <f>945.5+(0-521.3)+(-1.446615+(0--0.797589))+0-0-0</f>
        <v>423.55097400000005</v>
      </c>
      <c r="M239" s="3">
        <f>988.6+(0-522.6)+(-1.008372+(0--0.533052))+0-0-0</f>
        <v>465.52467999999999</v>
      </c>
      <c r="N239" s="3">
        <f>1194.5+(0-666.1)+(-2.43678+(0--1.358844))+0-0-0</f>
        <v>527.32206399999995</v>
      </c>
      <c r="O239" s="3">
        <f>1312.9+(0-730.7)+(0+(0-0))+0-0-0</f>
        <v>582.20000000000005</v>
      </c>
      <c r="P239" s="3">
        <f>1388.3+(24.2-786)+(-1.416066+(-0.024684--0.80172))+0-0-0</f>
        <v>625.86096999999995</v>
      </c>
      <c r="Q239" s="3">
        <f>1383.9+(69.2-819.3)+(-0.705789+(-0.035292--0.417843))+0-0-0</f>
        <v>633.47676200000024</v>
      </c>
      <c r="R239" s="3">
        <f>1371.3+(42.5-793.7)+(-3.496815+(-0.108375--2.023935))+0-0-0</f>
        <v>618.51874499999985</v>
      </c>
      <c r="S239" s="3">
        <f>1214.7+(31.5-641.5)+(-0.619497+(-0.016065--0.327165))+0-0-0</f>
        <v>604.39160300000003</v>
      </c>
      <c r="T239" s="3">
        <f>1143.3+(44-565.7)+(-1.166166+(-0.04488--0.577014))+0-0-0</f>
        <v>620.96596799999986</v>
      </c>
      <c r="U239" s="3">
        <f>1168.8+(24.5-607.3)+(-1.192176+(-0.02499--0.619446))+0-0-0</f>
        <v>585.40228000000002</v>
      </c>
      <c r="V239" s="3">
        <f>1167.1+(32.5-583.4)+(-1.785663+(-0.049725--0.892602))+0-0-0</f>
        <v>615.25721399999998</v>
      </c>
      <c r="W239" s="3">
        <f>1001.7+(160.2-461.9)+(-1.021734+(-0.163404--0.471138))+0-0-0</f>
        <v>699.28599999999994</v>
      </c>
      <c r="X239" s="3">
        <f>879.5+(141.1-422.2)+(-1.79418+(-0.287844--0.861288))+41.7-0-0</f>
        <v>638.87926400000003</v>
      </c>
      <c r="Y239" s="3">
        <f>969.9+(126.2-450.6)+(-1.978596+(-0.257448--0.919224))+21.3-0-0</f>
        <v>665.48317999999995</v>
      </c>
      <c r="Z239" s="3">
        <f>873.5+(153.6-401.6)+(-2.227425+(-0.39168--1.02408))+0-0-0</f>
        <v>623.90497500000004</v>
      </c>
      <c r="AA239" s="3">
        <f>811.4+(165.7-356.1)+(-1.241442+(-0.253521--0.544833))+0-0-0</f>
        <v>620.04987000000006</v>
      </c>
      <c r="AB239" s="3">
        <f>713.2+(161.3-272.9)+(-1.81866+(-0.411315--0.695895))+0-0-0</f>
        <v>600.06592000000012</v>
      </c>
      <c r="AC239" s="3">
        <f>613.3+(157.6-222.4)+(-1.251132+(-0.321504--0.453696))+0-0-0</f>
        <v>547.38106000000005</v>
      </c>
      <c r="AD239" s="2">
        <v>676.09999999999991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656.9+(84-239.8)+(-1.005057+(-0.12852--0.366894))+0-0-0</f>
        <v>500.33331699999997</v>
      </c>
      <c r="G240" s="3">
        <f>670.1+(58.3-242.2)+(-1.025253+(-0.089199--0.370566))+0-0-0</f>
        <v>485.45611400000007</v>
      </c>
      <c r="H240" s="3">
        <f>672.6+(50.7-254.1)+(-0.343026+(-0.025857--0.129591))+0-0-0</f>
        <v>468.96070800000007</v>
      </c>
      <c r="I240" s="3">
        <f>676.6+(43.9-259.8)+(-0.345066+(-0.022389--0.132498))+0-0-0</f>
        <v>460.46504300000004</v>
      </c>
      <c r="J240" s="3">
        <f>673.6+(39.4-251.8)+(-0.687072+(-0.040188--0.256836))+0-0-0</f>
        <v>460.72957600000007</v>
      </c>
      <c r="K240" s="3">
        <f>680.5+(33.3-249.3)+(1.041165+(0.050949-0.381429))+0-0-0</f>
        <v>465.21068500000001</v>
      </c>
      <c r="L240" s="3">
        <f>673.8+(64.9-263.1)+(-0.343638+(-0.033099--0.134181))+0-0-0</f>
        <v>475.35744399999993</v>
      </c>
      <c r="M240" s="3">
        <f>683.1+(100.1-305.8)+(0.696762+(0.102102-0.311916))+0-0-0</f>
        <v>477.88694799999996</v>
      </c>
      <c r="N240" s="3">
        <f>708.1+(168.1-336.8)+(0.722262+(0.171462-0.343536))+0-0-0</f>
        <v>539.95018800000003</v>
      </c>
      <c r="O240" s="3">
        <f>931.3+(121.8-475.3)+(-0.949926+(-0.124236--0.484806))+1.6-0-0</f>
        <v>578.81064400000002</v>
      </c>
      <c r="P240" s="3">
        <f>948.5+(117.2-457.2)+(-0.96747+(-0.119544--0.466344))+0-0-0</f>
        <v>607.87932999999998</v>
      </c>
      <c r="Q240" s="3">
        <f>1050.4+(80.1-463.5)+(1.071408+(0.081702-0.47277))+0-0-0</f>
        <v>667.68034000000011</v>
      </c>
      <c r="R240" s="3">
        <f>1057.4+(52.7-521.4)+(-2.157096+(-0.107508--1.063656))+0-0-0</f>
        <v>587.49905200000001</v>
      </c>
      <c r="S240" s="3">
        <f>1096.3+(46.3-564.4)+(0+(0-0))+0-0-0</f>
        <v>578.19999999999993</v>
      </c>
      <c r="T240" s="3">
        <f>1129.7+(39.1-593.4)+(-0.576147+(-0.019941--0.302634))+0-0-0</f>
        <v>575.10654600000009</v>
      </c>
      <c r="U240" s="3">
        <f>1128+(27.6-576.1)+(0+(0-0))+0-0-0</f>
        <v>579.5</v>
      </c>
      <c r="V240" s="3">
        <f>1127.1+(39.3-562.6)+(0.574821+(0.020043-0.286926))+0-0-0</f>
        <v>604.10793799999988</v>
      </c>
      <c r="W240" s="3">
        <f>1161.8+(39.2-502.5)+(0.592518+(0.019992-0.256275))+0-0-0</f>
        <v>698.85623499999997</v>
      </c>
      <c r="X240" s="3">
        <f>1195+(9.7-486.5)+(-3.6567+(-0.029682--1.48869))+0-0-0</f>
        <v>716.00230800000008</v>
      </c>
      <c r="Y240" s="3">
        <f>1201.6+(13.6-509)+(-0.612816+(-0.006936--0.25959))+0-0-0</f>
        <v>705.83983799999999</v>
      </c>
      <c r="Z240" s="3">
        <f>1162.6+(12.7-489.5)+(-2.371704+(-0.025908--0.99858))+0-0-0</f>
        <v>684.40096799999992</v>
      </c>
      <c r="AA240" s="3">
        <f>1134.9+(2.2-474.3)+(-1.736397+(-0.003366--0.725679))+0-0-0</f>
        <v>661.78591600000004</v>
      </c>
      <c r="AB240" s="3">
        <f>1130.4+(0-504)+(-2.306016+(0--1.02816))+0-0-0</f>
        <v>625.12214400000005</v>
      </c>
      <c r="AC240" s="3">
        <f>1023.3+(0-447.5)+(-1.565649+(0--0.684675))+0-0-0</f>
        <v>574.91902599999992</v>
      </c>
      <c r="AD240" s="2">
        <v>713.5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864.5+(0-324.3)+(-2.204475+(0--0.826965))+0-0-0</f>
        <v>538.82249000000002</v>
      </c>
      <c r="G241" s="3">
        <f>871.6+(0-362.3)+(-2.22258+(0--0.923865))+0-0-0</f>
        <v>508.001285</v>
      </c>
      <c r="H241" s="3">
        <f>865+(0-379.5)+(-1.32345+(0--0.580635))+0-0-0</f>
        <v>484.75718499999999</v>
      </c>
      <c r="I241" s="3">
        <f>846.5+(0-379.2)+(0.431715+(0-0.193392))+0-0-0</f>
        <v>467.53832299999999</v>
      </c>
      <c r="J241" s="3">
        <f>837.7+(0-371.6)+(0+(0-0))+0-0-0</f>
        <v>466.1</v>
      </c>
      <c r="K241" s="3">
        <f>771.4+(0-313.1)+(0+(0-0))+0-0-0</f>
        <v>458.29999999999995</v>
      </c>
      <c r="L241" s="3">
        <f>764.4+(0-301.7)+(-1.559376+(0--0.615468))+0-0-0</f>
        <v>461.75609199999997</v>
      </c>
      <c r="M241" s="3">
        <f>792.2+(17.7-331)+(-0.808044+(-0.018054--0.33762))+0-0-0</f>
        <v>478.41152200000005</v>
      </c>
      <c r="N241" s="3">
        <f>920+(59.5-439.9)+(0.9384+(0.06069-0.448698))+0-0-0</f>
        <v>540.15039200000001</v>
      </c>
      <c r="O241" s="3">
        <f>952.6+(99.8-446.7)+(0+(0-0))+0-0-0</f>
        <v>605.70000000000005</v>
      </c>
      <c r="P241" s="3">
        <f>952.4+(107.1-425.8)+(-1.457172+(-0.163863--0.651474))+0-0-0</f>
        <v>632.73043899999993</v>
      </c>
      <c r="Q241" s="3">
        <f>945+(91.2-404.1)+(-1.9278+(-0.186048--0.824364))+0-0-0</f>
        <v>630.81051599999989</v>
      </c>
      <c r="R241" s="3">
        <f>940.2+(49.3-433.7)+(-1.438506+(-0.075429--0.663561))+0-0-0</f>
        <v>554.94962600000008</v>
      </c>
      <c r="S241" s="3">
        <f>935.2+(15.5-422.1)+(-1.907808+(-0.03162--0.861084))+0-0-0</f>
        <v>527.52165600000001</v>
      </c>
      <c r="T241" s="3">
        <f>948.4+(0-433.9)+(0.967368+(0-0.442578))+0-0-0</f>
        <v>515.02479000000005</v>
      </c>
      <c r="U241" s="3">
        <f>932.4+(0-433.3)+(-1.426572+(0--0.662949))+0-0-0</f>
        <v>498.33637699999997</v>
      </c>
      <c r="V241" s="3">
        <f>946.8+(0-434.2)+(0+(0-0))+0-0-0</f>
        <v>512.59999999999991</v>
      </c>
      <c r="W241" s="3">
        <f>1055.8+(12.7-460.2)+(-1.615374+(-0.019431--0.704106))+0-0-0</f>
        <v>607.36930099999995</v>
      </c>
      <c r="X241" s="3">
        <f>1106.6+(42.4-483.8)+(-1.128732+(-0.043248--0.493476))+0-0-0</f>
        <v>664.52149599999984</v>
      </c>
      <c r="Y241" s="3">
        <f>1112.8+(45.2-500)+(0+(0-0))+0-0-0</f>
        <v>658</v>
      </c>
      <c r="Z241" s="3">
        <f>1093.1+(60.8-511.9)+(0+(0-0))+0-0-0</f>
        <v>642</v>
      </c>
      <c r="AA241" s="3">
        <f>1047.1+(88-496.4)+(-1.602063+(-0.13464--0.759492))+0-0-0</f>
        <v>637.72278899999992</v>
      </c>
      <c r="AB241" s="3">
        <f>980.2+(67.6-442.2)+(0+(0-0))+0-0-0</f>
        <v>605.6</v>
      </c>
      <c r="AC241" s="3">
        <f>970.6+(12.8-423.7)+(-1.980024+(-0.026112--0.864348))+0-0-0</f>
        <v>558.55821200000003</v>
      </c>
      <c r="AD241" s="2">
        <v>673.5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971.4+(0-449.4)+(-0.495414+(0--0.229194))+0-0-0</f>
        <v>521.73378000000002</v>
      </c>
      <c r="G242" s="3">
        <f>889.4+(0-391.4)+(-0.907188+(0--0.399228))+0-0-0</f>
        <v>497.49203999999997</v>
      </c>
      <c r="H242" s="3">
        <f>739.3+(14.7-294.9)+(-1.885215+(-0.037485--0.751995))+0-0-0</f>
        <v>457.92929499999997</v>
      </c>
      <c r="I242" s="3">
        <f>744.8+(19.4-323.6)+(-0.759696+(-0.019788--0.330072))+0-0-0</f>
        <v>440.15058799999991</v>
      </c>
      <c r="J242" s="3">
        <f>753.1+(11.3-326.6)+(0+(0-0))+0-0-0</f>
        <v>437.8</v>
      </c>
      <c r="K242" s="3">
        <f>747.9+(0-319)+(0+(0-0))+0-0-0</f>
        <v>428.9</v>
      </c>
      <c r="L242" s="3">
        <f>743.2+(0-331)+(-1.89516+(0--0.84405))+0-0-0</f>
        <v>411.14889000000005</v>
      </c>
      <c r="M242" s="3">
        <f>745.7+(0-351.5)+(-0.760614+(0--0.35853))+0-0-0</f>
        <v>393.79791600000004</v>
      </c>
      <c r="N242" s="3">
        <f>757+(17.2-349.9)+(1.15821+(0.026316-0.535347))+0-0-0</f>
        <v>424.94917900000002</v>
      </c>
      <c r="O242" s="3">
        <f>751.7+(42.4-333.3)+(-0.766734+(-0.043248--0.339966))+0-0-0</f>
        <v>460.32998400000002</v>
      </c>
      <c r="P242" s="3">
        <f>774.4+(49.4-329.8)+(0.789888+(0.050388-0.336396))+0-0-0</f>
        <v>494.50387999999992</v>
      </c>
      <c r="Q242" s="3">
        <f>785.4+(29.5-314.7)+(-2.00277+(-0.075225--0.802485))+0-0-0</f>
        <v>498.92448999999999</v>
      </c>
      <c r="R242" s="3">
        <f>784+(18.9-327.2)+(-2.79888+(-0.067473--1.168104))+0-0-0</f>
        <v>474.00175100000001</v>
      </c>
      <c r="S242" s="3">
        <f>796+(7.6-345.2)+(-1.21788+(-0.011628--0.528156))+0-0-0</f>
        <v>457.69864800000005</v>
      </c>
      <c r="T242" s="3">
        <f>795.3+(0-346.7)+(-1.216809+(0--0.530451))+0-0-0</f>
        <v>447.91364199999998</v>
      </c>
      <c r="U242" s="3">
        <f>806.1+(9.9-362)+(0+(0-0))+0-0-0</f>
        <v>454</v>
      </c>
      <c r="V242" s="3">
        <f>849+(4.9-400.6)+(-0.86598+(-0.004998--0.408612))+0-0-0</f>
        <v>452.83763399999998</v>
      </c>
      <c r="W242" s="3">
        <f>1077+(0-494.4)+(0+(0-0))+0-0-0</f>
        <v>582.6</v>
      </c>
      <c r="X242" s="3">
        <f>1161.1+(14.7-531.2)+(-2.368644+(-0.029988--1.083648))+0-0-0</f>
        <v>643.28501599999993</v>
      </c>
      <c r="Y242" s="3">
        <f>1163.7+(0-528.4)+(0+(0-0))+0-0-0</f>
        <v>635.30000000000007</v>
      </c>
      <c r="Z242" s="3">
        <f>1132.2+(5.6-514.9)+(-1.732266+(-0.008568--0.787797))+0-0-0</f>
        <v>621.9469630000001</v>
      </c>
      <c r="AA242" s="3">
        <f>1055.8+(32.4-487.9)+(0+(0-0))+0-0-0</f>
        <v>600.29999999999995</v>
      </c>
      <c r="AB242" s="3">
        <f>1043.7+(24-480.3)+(-1.596861+(-0.03672--0.734859))+0-0-0</f>
        <v>586.50127800000007</v>
      </c>
      <c r="AC242" s="3">
        <f>942.7+(0-427)+(-1.923108+(0--0.87108))+0-0-0</f>
        <v>514.6479720000001</v>
      </c>
      <c r="AD242" s="2">
        <v>667.9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820.7+(0-357.7)+(-0.418557+(0--0.182427))+0-0-0</f>
        <v>462.76387000000005</v>
      </c>
      <c r="G243" s="3">
        <f>845+(0-414.7)+(-0.8619+(0--0.422994))+0-0-0</f>
        <v>429.86109400000004</v>
      </c>
      <c r="H243" s="3">
        <f>831.4+(0-415.9)+(-2.544084+(0--1.272654))+0-0-0</f>
        <v>414.22856999999999</v>
      </c>
      <c r="I243" s="3">
        <f>832.9+(0-429.2)+(0.849558+(0-0.437784))+0-0-0</f>
        <v>404.11177399999997</v>
      </c>
      <c r="J243" s="3">
        <f>826.8+(0-425.2)+(-0.843336+(0--0.433704))+0-0-0</f>
        <v>401.19036799999998</v>
      </c>
      <c r="K243" s="3">
        <f>829.3+(0-416.2)+(-0.845886+(0--0.424524))+0-0-0</f>
        <v>412.67863799999998</v>
      </c>
      <c r="L243" s="3">
        <f>903.7+(0-468)+(-2.304435+(0--1.1934))+0-0-0</f>
        <v>434.58896500000003</v>
      </c>
      <c r="M243" s="3">
        <f>981.3+(0-514.9)+(-1.000926+(0--0.525198))+0-0-0</f>
        <v>465.92427199999997</v>
      </c>
      <c r="N243" s="3">
        <f>1004.1+(0-486.3)+(-1.536273+(0--0.744039))+0-0-0</f>
        <v>517.00776599999995</v>
      </c>
      <c r="O243" s="3">
        <f>1023.1+(0-487.2)+(-2.087124+(0--0.993888))+0-0-0</f>
        <v>534.80676400000004</v>
      </c>
      <c r="P243" s="3">
        <f>1056.2+(0-497.3)+(-0.538662+(0--0.253623))+0-0-0</f>
        <v>558.61496100000011</v>
      </c>
      <c r="Q243" s="3">
        <f>1058.7+(17.1-502)+(-0.539937+(-0.008721--0.25602))+0-0-0</f>
        <v>573.50736200000006</v>
      </c>
      <c r="R243" s="3">
        <f>1075.3+(40-551.5)+(-2.742015+(-0.102--1.406325))+0-0-0</f>
        <v>562.36230999999998</v>
      </c>
      <c r="S243" s="3">
        <f>1092.4+(21.2-559.8)+(0+(0-0))+0-0-0</f>
        <v>553.80000000000018</v>
      </c>
      <c r="T243" s="3">
        <f>1135.2+(0-584.8)+(0+(0-0))+0-0-0</f>
        <v>550.40000000000009</v>
      </c>
      <c r="U243" s="3">
        <f>1124.2+(0-572.7)+(-0.573342+(0--0.292077))+0-0-0</f>
        <v>551.21873500000004</v>
      </c>
      <c r="V243" s="3">
        <f>1160.4+(0-605)+(0+(0-0))+0-0-0</f>
        <v>555.40000000000009</v>
      </c>
      <c r="W243" s="3">
        <f>1376.2+(0-701.4)+(1.403724+(0-0.715428))+0-0-0</f>
        <v>675.4882960000001</v>
      </c>
      <c r="X243" s="3">
        <f>1380.8+(0-674.3)+(-3.52104+(0--1.719465))+0-0-0</f>
        <v>704.69842500000004</v>
      </c>
      <c r="Y243" s="3">
        <f>1377.2+(0-663.5)+(-1.404744+(0--0.67677))+0-0-0</f>
        <v>712.97202600000003</v>
      </c>
      <c r="Z243" s="3">
        <f>1282.9+(0-614.1)+(-1.962837+(0--0.939573))+0-0-0</f>
        <v>667.77673600000003</v>
      </c>
      <c r="AA243" s="3">
        <f>1271.2+(0-598.9)+(-3.24156+(0--1.527195))+0-0-0</f>
        <v>670.58563500000002</v>
      </c>
      <c r="AB243" s="3">
        <f>1259.1+(0-627.9)+(0.642141+(0-0.320229))+0-0-0</f>
        <v>631.52191199999993</v>
      </c>
      <c r="AC243" s="3">
        <f>1145+(0-563.8)+(-2.91975+(0--1.43769))+0-0-0</f>
        <v>579.71794</v>
      </c>
      <c r="AD243" s="2">
        <v>713.8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1151.7+(0-616.6)+(-1.762101+(0--0.943398))+0-0-0</f>
        <v>534.281297</v>
      </c>
      <c r="G244" s="3">
        <f>1148.8+(0-652.7)+(-2.92944+(0--1.664385))+0-0-0</f>
        <v>494.83494499999989</v>
      </c>
      <c r="H244" s="3">
        <f>977+(0-512.9)+(0.99654+(0-0.523158))+0-0-0</f>
        <v>464.57338200000004</v>
      </c>
      <c r="I244" s="3">
        <f>941.7+(0-479.6)+(0+(0-0))+0-0-0</f>
        <v>462.1</v>
      </c>
      <c r="J244" s="3">
        <f>938.5+(0-476.3)+(0.478635+(0-0.242913))+0-0-0</f>
        <v>462.435722</v>
      </c>
      <c r="K244" s="3">
        <f>931.5+(0-466.9)+(-1.425195+(0--0.714357))+0-0-0</f>
        <v>463.889162</v>
      </c>
      <c r="L244" s="3">
        <f>1045.3+(0-574.5)+(-0.533103+(0--0.292995))+0-0-0</f>
        <v>470.55989199999993</v>
      </c>
      <c r="M244" s="3">
        <f>1218+(0-711.8)+(-1.86354+(0--1.089054))+0-0-0</f>
        <v>505.42551400000002</v>
      </c>
      <c r="N244" s="3">
        <f>1263+(0-701.2)+(-1.28826+(0--0.715224))+0-0-0</f>
        <v>561.22696399999995</v>
      </c>
      <c r="O244" s="3">
        <f>1282.7+(0-683.8)+(-1.308354+(0--0.697476))+0-0-0</f>
        <v>598.28912200000013</v>
      </c>
      <c r="P244" s="3">
        <f>1290.7+(0-690.9)+(-3.291285+(0--1.761795))+0-0-0</f>
        <v>598.27051000000006</v>
      </c>
      <c r="Q244" s="3">
        <f>1377.4+(0-759.7)+(-3.51237+(0--1.937235))+0-0-0</f>
        <v>616.124865</v>
      </c>
      <c r="R244" s="3">
        <f>1321.1+(0-755.1)+(-2.021283+(0--1.155303))+0-0-0</f>
        <v>565.13401999999985</v>
      </c>
      <c r="S244" s="3">
        <f>1282+(0-713.1)+(-1.30764+(0--0.727362))+0-0-0</f>
        <v>568.31972199999996</v>
      </c>
      <c r="T244" s="3">
        <f>1372.1+(0-777.1)+(0.699771+(0-0.396321))+0-0-0</f>
        <v>595.30344999999988</v>
      </c>
      <c r="U244" s="3">
        <f>1292.8+(0-749.3)+(1.318656+(0-0.764286))+0-0-0</f>
        <v>544.05436999999995</v>
      </c>
      <c r="V244" s="3">
        <f>1274+(0-716.4)+(0+(0-0))+0-0-0</f>
        <v>557.6</v>
      </c>
      <c r="W244" s="3">
        <f>1325.9+(0-665.1)+(-0.676209+(0--0.339201))+0-0-0</f>
        <v>660.4629920000001</v>
      </c>
      <c r="X244" s="3">
        <f>1404.3+(0-728.8)+(-0.716193+(0--0.371688))+0-0-0</f>
        <v>675.15549499999997</v>
      </c>
      <c r="Y244" s="3">
        <f>1407.3+(0-737.8)+(-0.717723+(0--0.376278))+0-0-0</f>
        <v>669.15855499999998</v>
      </c>
      <c r="Z244" s="3">
        <f>1315.2+(0-665.5)+(-1.341504+(0--0.67881))+0-0-0</f>
        <v>649.03730600000006</v>
      </c>
      <c r="AA244" s="3">
        <f>1293.7+(0-644.3)+(-0.659787+(0--0.328593))+0-0-0</f>
        <v>649.06880600000011</v>
      </c>
      <c r="AB244" s="3">
        <f>1218.6+(0-604.8)+(-3.10743+(0--1.54224))+0-0-0</f>
        <v>612.23480999999992</v>
      </c>
      <c r="AC244" s="3">
        <f>1121.7+(0-563.2)+(-1.716201+(0--0.861696))+0-0-0</f>
        <v>557.64549499999998</v>
      </c>
      <c r="AD244" s="2">
        <v>689.4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1093.7+(0-579.6)+(-1.115574+(0--0.591192))+0-0-0</f>
        <v>513.57561800000008</v>
      </c>
      <c r="G245" s="3">
        <f>1081.1+(0-603.7)+(-2.756805+(0--1.539435))+0-0-0</f>
        <v>476.18262999999985</v>
      </c>
      <c r="H245" s="3">
        <f>1098.4+(0-639.7)+(0.560184+(0-0.326247))+0-0-0</f>
        <v>458.93393700000007</v>
      </c>
      <c r="I245" s="3">
        <f>1066.3+(0-614.4)+(-2.719065+(0--1.56672))+0-0-0</f>
        <v>450.74765499999995</v>
      </c>
      <c r="J245" s="3">
        <f>929.6+(0-485.6)+(-0.474096+(0--0.247656))+0-0-0</f>
        <v>443.77355999999997</v>
      </c>
      <c r="K245" s="3">
        <f>929.6+(0-480.8)+(-0.474096+(0--0.245208))+0-0-0</f>
        <v>448.57111200000003</v>
      </c>
      <c r="L245" s="3">
        <f>962+(0-501.9)+(0.98124+(0-0.511938))+0-0-0</f>
        <v>460.56930200000005</v>
      </c>
      <c r="M245" s="3">
        <f>1023.2+(0-536.8)+(0.521832+(0-0.273768))+0-0-0</f>
        <v>486.64806400000009</v>
      </c>
      <c r="N245" s="3">
        <f>1178+(0-594.5)+(0+(0-0))+0-0-0</f>
        <v>583.5</v>
      </c>
      <c r="O245" s="3">
        <f>1337.9+(0-672.7)+(-2.729316+(0--1.372308))+0-0-0</f>
        <v>663.84299200000009</v>
      </c>
      <c r="P245" s="3">
        <f>1374.5+(0-724.5)+(-2.80398+(0--1.47798))+0-0-0</f>
        <v>648.67399999999998</v>
      </c>
      <c r="Q245" s="3">
        <f>1372.3+(0-762.2)+(-0.699873+(0--0.388722))+0-0-0</f>
        <v>609.78884899999991</v>
      </c>
      <c r="R245" s="3">
        <f>1372.3+(0-741)+(-2.799492+(0--1.51164))+0-0-0</f>
        <v>630.01214799999991</v>
      </c>
      <c r="S245" s="3">
        <f>1372.3+(0-726.4)+(-0.699873+(0--0.370464))+0-0-0</f>
        <v>645.57059099999992</v>
      </c>
      <c r="T245" s="3">
        <f>1372.3+(0-717.1)+(-2.099619+(0--1.097163))+0-0-0</f>
        <v>654.19754399999988</v>
      </c>
      <c r="U245" s="3">
        <f>1299.5+(0-725.2)+(-0.662745+(0--0.369852))+0-0-0</f>
        <v>574.00710699999991</v>
      </c>
      <c r="V245" s="3">
        <f>1287.9+(0-713.5)+(1.970487+(0-1.091655))+0-0-0</f>
        <v>575.27883200000008</v>
      </c>
      <c r="W245" s="3">
        <f>1265.6+(18-599.8)+(-3.22728+(-0.0459--1.52949))+0-0-0</f>
        <v>682.05630999999994</v>
      </c>
      <c r="X245" s="3">
        <f>1268.2+(0-559.7)+(-2.587128+(0--1.141788))+0-0-0</f>
        <v>707.05466000000001</v>
      </c>
      <c r="Y245" s="3">
        <f>1265.3+(0-563.8)+(-3.226515+(0--1.43769))+0-0-0</f>
        <v>699.71117500000003</v>
      </c>
      <c r="Z245" s="3">
        <f>1267.2+(0-590.6)+(-2.585088+(0--1.204824))+0-0-0</f>
        <v>675.21973600000001</v>
      </c>
      <c r="AA245" s="3">
        <f>1278.3+(0-630.5)+(-0.651933+(0--0.321555))+0-0-0</f>
        <v>647.46962199999996</v>
      </c>
      <c r="AB245" s="3">
        <f>1270+(0-653.4)+(-1.9431+(0--0.999702))+0-0-0</f>
        <v>615.65660200000002</v>
      </c>
      <c r="AC245" s="3">
        <f>1265.9+(0-692.4)+(-2.582436+(0--1.412496))+0-0-0</f>
        <v>572.33006000000012</v>
      </c>
      <c r="AD245" s="2">
        <v>710.50000000000011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1111.9+(0-578.9)+(1.134138+(0-0.590478))+0-0-0</f>
        <v>533.54366000000016</v>
      </c>
      <c r="G246" s="3">
        <f>1049.7+(7.7-558.7)+(-1.070694+(-0.007854--0.569874))+0-0-0</f>
        <v>498.19132600000006</v>
      </c>
      <c r="H246" s="3">
        <f>1047.6+(1.7-567.6)+(-1.068552+(-0.001734--0.578952))+0-0-0</f>
        <v>481.20866599999994</v>
      </c>
      <c r="I246" s="3">
        <f>1013.2+(2.2-543.8)+(1.033464+(0.002244-0.554676))+0-0-0</f>
        <v>472.08103200000016</v>
      </c>
      <c r="J246" s="3">
        <f>987.4+(2-522.8)+(-0.503574+(-0.00102--0.266628))+0-0-0</f>
        <v>466.36203400000005</v>
      </c>
      <c r="K246" s="3">
        <f>1088+(0-623.5)+(2.7744+(0-1.589925))+0-0-0</f>
        <v>465.68447500000002</v>
      </c>
      <c r="L246" s="3">
        <f>1274.7+(0-788.2)+(0+(0-0))+0-0-0</f>
        <v>486.5</v>
      </c>
      <c r="M246" s="3">
        <f>1292.4+(0-786.1)+(1.318248+(0-0.801822))+0-0-0</f>
        <v>506.81642600000009</v>
      </c>
      <c r="N246" s="3">
        <f>1404.5+(0-846.2)+(2.148885+(0-1.294686))+0-0-0</f>
        <v>559.15419899999995</v>
      </c>
      <c r="O246" s="3">
        <f>1454.3+(2.6-841.3)+(-0.741693+(-0.001326--0.429063))+0-0-0</f>
        <v>615.28604400000006</v>
      </c>
      <c r="P246" s="3">
        <f>1448.3+(3-854.5)+(0+(0-0))+0-0-0</f>
        <v>596.79999999999995</v>
      </c>
      <c r="Q246" s="3">
        <f>1447.3+(4-885.6)+(-0.738123+(-0.00204--0.451656))+0-0-0</f>
        <v>565.41149299999995</v>
      </c>
      <c r="R246" s="3">
        <f>1415.2+(0-796.3)+(-5.052264+(0--2.842791))+0-0-0</f>
        <v>616.69052700000009</v>
      </c>
      <c r="S246" s="3">
        <f>1430.5+(0-822.7)+(0.729555+(0-0.419577))+0-0-0</f>
        <v>608.10997799999996</v>
      </c>
      <c r="T246" s="3">
        <f>1429.2+(0-820.5)+(-2.186676+(0--1.255365))+0-0-0</f>
        <v>607.76868899999999</v>
      </c>
      <c r="U246" s="3">
        <f>1434.6+(0-828.5)+(0.731646+(0-0.422535))+0-0-0</f>
        <v>606.40911099999994</v>
      </c>
      <c r="V246" s="3">
        <f>1424.3+(0-791.2)+(-2.179179+(0--1.210536))+0-0-0</f>
        <v>632.13135699999987</v>
      </c>
      <c r="W246" s="3">
        <f>1448.4+(0-717.5)+(-2.954736+(0--1.4637))+0-0-0</f>
        <v>729.40896400000008</v>
      </c>
      <c r="X246" s="3">
        <f>1456.2+(0-706.4)+(-2.970648+(0--1.441056))+0-0-0</f>
        <v>748.27040800000009</v>
      </c>
      <c r="Y246" s="3">
        <f>1458.7+(0-726.3)+(-3.719685+(0--1.852065))+0-0-0</f>
        <v>730.5323800000001</v>
      </c>
      <c r="Z246" s="3">
        <f>1443+(0-724.6)+(-2.20779+(0--1.108638))+0-0-0</f>
        <v>717.30084799999997</v>
      </c>
      <c r="AA246" s="3">
        <f>1375+(0-676.9)+(-1.4025+(0--0.690438))+0-0-0</f>
        <v>697.38793800000008</v>
      </c>
      <c r="AB246" s="3">
        <f>1369.8+(0-720.2)+(-2.095794+(0--1.101906))+0-0-0</f>
        <v>648.60611199999994</v>
      </c>
      <c r="AC246" s="3">
        <f>1358+(0-752)+(0+(0-0))+0-0-0</f>
        <v>606</v>
      </c>
      <c r="AD246" s="2">
        <v>717.9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1153.4+(0-623.3)+(-2.94117+(0--1.589415))+0-0-0</f>
        <v>528.74824500000011</v>
      </c>
      <c r="G247" s="3">
        <f>1043.9+(0-567.9)+(0.532389+(0-0.289629))+0-0-0</f>
        <v>476.24276000000009</v>
      </c>
      <c r="H247" s="3">
        <f>1035.7+(0-584.6)+(-1.056414+(0--0.596292))+0-0-0</f>
        <v>450.63987800000001</v>
      </c>
      <c r="I247" s="3">
        <f>1044.1+(0-597.2)+(0.532491+(0-0.304572))+0-0-0</f>
        <v>447.12791899999985</v>
      </c>
      <c r="J247" s="3">
        <f>1057.2+(0-615.4)+(2.69586+(0-1.56927))+0-0-0</f>
        <v>442.92659000000009</v>
      </c>
      <c r="K247" s="3">
        <f>1046.5+(0-604.7)+(1.06743+(0-0.616794))+0-0-0</f>
        <v>442.25063599999993</v>
      </c>
      <c r="L247" s="3">
        <f>1120.7+(0-679.2)+(1.714671+(0-1.039176))+0-0-0</f>
        <v>442.17549500000001</v>
      </c>
      <c r="M247" s="3">
        <f>1288.3+(0-820.9)+(2.628132+(0-1.674636))+0-0-0</f>
        <v>468.35349599999995</v>
      </c>
      <c r="N247" s="3">
        <f>1399.7+(0-880.7)+(-0.713847+(0--0.449157))+0-0-0</f>
        <v>518.73531000000003</v>
      </c>
      <c r="O247" s="3">
        <f>1423.7+(0-872.6)+(-1.452174+(0--0.890052))+0-0-0</f>
        <v>550.53787799999998</v>
      </c>
      <c r="P247" s="3">
        <f>1425.3+(0-855.9)+(-2.180709+(0--1.309527))+0-0-0</f>
        <v>568.528818</v>
      </c>
      <c r="Q247" s="3">
        <f>1419.3+(0-831.3)+(-3.619215+(0--2.119815))+0-0-0</f>
        <v>586.50059999999996</v>
      </c>
      <c r="R247" s="3">
        <f>1373.6+(0-792.3)+(-0.700536+(0--0.404073))+0-0-0</f>
        <v>581.00353699999994</v>
      </c>
      <c r="S247" s="3">
        <f>1330.2+(0-748.4)+(-3.39201+(0--1.90842))+0-0-0</f>
        <v>580.31641000000002</v>
      </c>
      <c r="T247" s="3">
        <f>1339.5+(0-774.5)+(0+(0-0))+0-0-0</f>
        <v>565</v>
      </c>
      <c r="U247" s="3">
        <f>1332.4+(0-765.1)+(-3.39762+(0--1.951005))+0-0-0</f>
        <v>565.85338500000012</v>
      </c>
      <c r="V247" s="3">
        <f>1335.2+(0-756.4)+(-0.680952+(0--0.385764))+0-0-0</f>
        <v>578.50481200000002</v>
      </c>
      <c r="W247" s="3">
        <f>1421.3+(0-739.5)+(0.724863+(0-0.377145))+0-0-0</f>
        <v>682.14771799999994</v>
      </c>
      <c r="X247" s="3">
        <f>1470.9+(0-770.1)+(-0.750159+(0--0.392751))+0-0-0</f>
        <v>700.4425920000001</v>
      </c>
      <c r="Y247" s="3">
        <f>1465.2+(0-781.6)+(-2.989008+(0--1.594464))+0-0-0</f>
        <v>682.20545600000003</v>
      </c>
      <c r="Z247" s="3">
        <f>1471.1+(7.7-804.9)+(-1.500522+(-0.007854--0.820998))+0-0-0</f>
        <v>673.21262200000001</v>
      </c>
      <c r="AA247" s="3">
        <f>1462.2+(0-812.2)+(-1.491444+(0--0.828444))+0-0-0</f>
        <v>649.33699999999999</v>
      </c>
      <c r="AB247" s="3">
        <f>1461.3+(2.7-840)+(-0.745263+(-0.001377--0.4284))+0-0-0</f>
        <v>623.68176000000005</v>
      </c>
      <c r="AC247" s="3">
        <f>1337.7+(20.4-761.8)+(-2.728908+(-0.041616--1.554072))+0-0-0</f>
        <v>595.08354800000006</v>
      </c>
      <c r="AD247" s="2">
        <v>703.4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1227.8+(0-662.5)+(0+(0-0))+0-0-0</f>
        <v>565.29999999999995</v>
      </c>
      <c r="G248" s="3">
        <f>1189.9+(0-679.3)+(-1.820547+(0--1.039329))+0-0-0</f>
        <v>509.81878200000011</v>
      </c>
      <c r="H248" s="3">
        <f>1198.4+(0-709.3)+(0.611184+(0-0.361743))+0-0-0</f>
        <v>489.34944100000013</v>
      </c>
      <c r="I248" s="3">
        <f>1192.6+(0-711.7)+(-0.608226+(0--0.362967))+0-0-0</f>
        <v>480.65474099999989</v>
      </c>
      <c r="J248" s="3">
        <f>1207.9+(0-734.7)+(2.464116+(0-1.498788))+0-0-0</f>
        <v>474.16532800000004</v>
      </c>
      <c r="K248" s="3">
        <f>1207.1+(0-731.9)+(0.615621+(0-0.373269))+0-0-0</f>
        <v>475.44235199999991</v>
      </c>
      <c r="L248" s="3">
        <f>1328.2+(0-843.5)+(-3.38691+(0--2.150925))+0-0-0</f>
        <v>483.46401500000002</v>
      </c>
      <c r="M248" s="3">
        <f>1181.3+(0-697.2)+(0.602463+(0-0.355572))+0-0-0</f>
        <v>484.34689099999991</v>
      </c>
      <c r="N248" s="3">
        <f>1332.6+(0-797.8)+(1.359252+(0-0.813756))+0-0-0</f>
        <v>535.34549599999991</v>
      </c>
      <c r="O248" s="3">
        <f>1379.5+(0-787)+(-1.40709+(0--0.80274))+0-0-0</f>
        <v>591.89565000000005</v>
      </c>
      <c r="P248" s="3">
        <f>1145+(79.4-607.6)+(-1.1679+(-0.080988--0.619752))+0-0-0</f>
        <v>616.17086399999994</v>
      </c>
      <c r="Q248" s="3">
        <f>1145.6+(62.3-579.9)+(-0.584256+(-0.031773--0.295749))+0-0-0</f>
        <v>627.67971999999986</v>
      </c>
      <c r="R248" s="3">
        <f>1136.7+(59.9-592.9)+(-4.058019+(-0.213843--2.116653))+0-0-0</f>
        <v>601.54479100000003</v>
      </c>
      <c r="S248" s="3">
        <f>1232.5+(17-670.7)+(-1.885725+(-0.02601--1.026171))+0-0-0</f>
        <v>577.91443599999991</v>
      </c>
      <c r="T248" s="3">
        <f>1311.9+(0-740.6)+(-2.676276+(0--1.510824))+0-0-0</f>
        <v>570.13454800000011</v>
      </c>
      <c r="U248" s="3">
        <f>1330+(0-760.5)+(0+(0-0))+0-0-0</f>
        <v>569.5</v>
      </c>
      <c r="V248" s="3">
        <f>1369.6+(4.6-770.5)+(0+(0-0))+0-0-0</f>
        <v>603.69999999999993</v>
      </c>
      <c r="W248" s="3">
        <f>1417.2+(41-758.1)+(0.722772+(0.02091-0.386631))+0-0-0</f>
        <v>700.45705099999998</v>
      </c>
      <c r="X248" s="3">
        <f>1437.3+(45.4-759.2)+(-2.199069+(-0.069462--1.161576))+0-0-0</f>
        <v>722.39304499999992</v>
      </c>
      <c r="Y248" s="3">
        <f>1431+(34.5-748.5)+(-4.37886+(-0.10557--2.29041))+0-0-0</f>
        <v>714.80597999999998</v>
      </c>
      <c r="Z248" s="3">
        <f>1325.3+(40.7-682.4)+(-2.027709+(-0.062271--1.044072))+0-0-0</f>
        <v>682.55409199999997</v>
      </c>
      <c r="AA248" s="3">
        <f>1290.4+(43.2-687.8)+(-1.316208+(-0.044064--0.701556))+0-0-0</f>
        <v>645.14128400000016</v>
      </c>
      <c r="AB248" s="3">
        <f>1247.5+(43.6-675.9)+(-0.636225+(-0.022236--0.344709))+0-0-0</f>
        <v>614.88624800000002</v>
      </c>
      <c r="AC248" s="3">
        <f>1175.1+(39-622.2)+(-1.797903+(-0.05967--0.951966))+0-0-0</f>
        <v>590.99439299999983</v>
      </c>
      <c r="AD248" s="2">
        <v>681.60000000000014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968+(25.3-482)+(-2.4684+(-0.064515--1.2291))+0-0-0</f>
        <v>509.99618500000003</v>
      </c>
      <c r="G249" s="3">
        <f>888.8+(8.5-430.6)+(-0.906576+(-0.00867--0.439212))+0-0-0</f>
        <v>466.2239659999999</v>
      </c>
      <c r="H249" s="3">
        <f>791.3+(23.7-381.9)+(0.403563+(0.012087-0.194769))+0-0-0</f>
        <v>433.32088099999999</v>
      </c>
      <c r="I249" s="3">
        <f>778.1+(20.9-367.2)+(-1.190493+(-0.031977--0.561816))+0-0-0</f>
        <v>431.13934599999999</v>
      </c>
      <c r="J249" s="3">
        <f>722.2+(33.8-338)+(-0.368322+(-0.017238--0.17238))+0-0-0</f>
        <v>417.78682000000003</v>
      </c>
      <c r="K249" s="3">
        <f>722.9+(33.2-338.3)+(-0.368679+(-0.016932--0.172533))+0-0-0</f>
        <v>417.58692199999996</v>
      </c>
      <c r="L249" s="3">
        <f>718.2+(33.5-342.9)+(-1.465128+(-0.06834--0.699516))+0-0-0</f>
        <v>407.96604800000006</v>
      </c>
      <c r="M249" s="3">
        <f>721.2+(27.4-355)+(-0.367812+(-0.013974--0.18105))+0-0-0</f>
        <v>393.39926400000002</v>
      </c>
      <c r="N249" s="3">
        <f>860.5+(3.3-442.2)+(1.316565+(0.005049-0.676566))+0-0-0</f>
        <v>422.245048</v>
      </c>
      <c r="O249" s="3">
        <f>1047.9+(0-579.4)+(-0.534429+(0--0.295494))+0-0-0</f>
        <v>468.26106500000009</v>
      </c>
      <c r="P249" s="3">
        <f>1057.7+(25.7-575.4)+(0.539427+(0.013107-0.293454))+0-0-0</f>
        <v>508.2590800000001</v>
      </c>
      <c r="Q249" s="3">
        <f>1038.9+(46.7-560)+(-3.179034+(-0.142902--1.7136))+0-0-0</f>
        <v>523.99166400000013</v>
      </c>
      <c r="R249" s="3">
        <f>1052.7+(34.6-564.5)+(-0.536877+(-0.017646--0.287895))+0-0-0</f>
        <v>522.5333720000001</v>
      </c>
      <c r="S249" s="3">
        <f>1036.9+(34.7-567.4)+(-2.644095+(-0.088485--1.44687))+0-0-0</f>
        <v>502.91429000000016</v>
      </c>
      <c r="T249" s="3">
        <f>910.9+(65.8-490.5)+(0.464559+(0.033558-0.250155))+0-0-0</f>
        <v>486.44796199999996</v>
      </c>
      <c r="U249" s="3">
        <f>914.1+(51.1-487.9)+(-0.932382+(-0.052122--0.497658))+0-0-0</f>
        <v>476.81315400000005</v>
      </c>
      <c r="V249" s="3">
        <f>941+(40.8-479.2)+(0.47991+(0.020808-0.244392))+0-0-0</f>
        <v>502.85632600000002</v>
      </c>
      <c r="W249" s="3">
        <f>950+(97.1-448.5)+(-0.969+(-0.099042--0.45747))+0-0-0</f>
        <v>597.98942799999998</v>
      </c>
      <c r="X249" s="3">
        <f>972.5+(92.9-449.5)+(-0.99195+(-0.094758--0.45849))+0-0-0</f>
        <v>615.27178200000003</v>
      </c>
      <c r="Y249" s="3">
        <f>968.5+(110.8-482.2)+(-1.481805+(-0.169524--0.737766))+0-0-0</f>
        <v>596.18643700000007</v>
      </c>
      <c r="Z249" s="3">
        <f>969.8+(108.8-494.8)+(-0.494598+(-0.055488--0.252348))+0-0-0</f>
        <v>583.50226199999997</v>
      </c>
      <c r="AA249" s="3">
        <f>958.5+(96.6-485.7)+(0+(0-0))+0-0-0</f>
        <v>569.4</v>
      </c>
      <c r="AB249" s="3">
        <f>923.2+(107.8-482)+(-0.941664+(-0.109956--0.49164))+0-0-0</f>
        <v>548.44002</v>
      </c>
      <c r="AC249" s="3">
        <f>782.7+(144.4-396.2)+(-1.197531+(-0.220932--0.606186))+0-0-0</f>
        <v>530.0877230000001</v>
      </c>
      <c r="AD249" s="2">
        <v>623.69999999999993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771.2+(94.5-367.3)+(-1.573248+(-0.19278--0.749292))+0-0-0</f>
        <v>497.38326400000005</v>
      </c>
      <c r="G250" s="3">
        <f>722.3+(51.5-312.1)+(-2.210238+(-0.15759--0.955026))+0-0-0</f>
        <v>460.28719799999993</v>
      </c>
      <c r="H250" s="3">
        <f>729.9+(32.9-337.4)+(-0.372249+(-0.016779--0.172074))+0-0-0</f>
        <v>425.18304599999999</v>
      </c>
      <c r="I250" s="3">
        <f>727.7+(23.9-330.5)+(-0.742254+(-0.024378--0.33711))+0-0-0</f>
        <v>420.670478</v>
      </c>
      <c r="J250" s="3">
        <f>729.9+(21.5-336.5)+(-0.744498+(-0.02193--0.34323))+0-0-0</f>
        <v>414.47680199999996</v>
      </c>
      <c r="K250" s="3">
        <f>736.7+(16.5-340.4)+(0.375717+(0.008415-0.173604))+0-0-0</f>
        <v>413.01052800000008</v>
      </c>
      <c r="L250" s="3">
        <f>726.3+(13.1-338.6)+(-1.111239+(-0.020043--0.518058))+0-0-0</f>
        <v>400.18677599999995</v>
      </c>
      <c r="M250" s="3">
        <f>731+(12.8-358.5)+(-0.37281+(-0.006528--0.182835))+0-0-0</f>
        <v>385.103497</v>
      </c>
      <c r="N250" s="3">
        <f>942.8+(0-539.7)+(-0.961656+(0--0.550494))+0-0-0</f>
        <v>402.68883799999992</v>
      </c>
      <c r="O250" s="3">
        <f>959.2+(0-516.5)+(-0.978384+(0--0.52683))+0-0-0</f>
        <v>442.24844600000006</v>
      </c>
      <c r="P250" s="3">
        <f>966.7+(30-523.6)+(-1.479051+(-0.0459--0.801108))+0-0-0</f>
        <v>472.37615700000003</v>
      </c>
      <c r="Q250" s="3">
        <f>960.6+(40.4-509.1)+(-0.489906+(-0.020604--0.259641))+0-0-0</f>
        <v>491.64913099999995</v>
      </c>
      <c r="R250" s="3">
        <f>728.9+(103.6-350.3)+(0+(0-0))+0-0-0</f>
        <v>482.19999999999993</v>
      </c>
      <c r="S250" s="3">
        <f>720.3+(101.2-353.7)+(0.367353+(0.051612-0.180387))+0-0-0</f>
        <v>468.03857799999997</v>
      </c>
      <c r="T250" s="3">
        <f>722+(92.6-353.2)+(0.36822+(0.047226-0.180132))+0-0-0</f>
        <v>461.63531399999999</v>
      </c>
      <c r="U250" s="3">
        <f>749.8+(78.9-376.8)+(0.382398+(0.040239-0.192168))+0-0-0</f>
        <v>452.13046900000001</v>
      </c>
      <c r="V250" s="3">
        <f>862.5+(58.3-434.2)+(0.439875+(0.029733-0.221442))+0-0-0</f>
        <v>486.84816600000005</v>
      </c>
      <c r="W250" s="3">
        <f>1023.2+(61.5-505.7)+(0+(0-0))+0-0-0</f>
        <v>579</v>
      </c>
      <c r="X250" s="3">
        <f>1065.3+(25.2-498.9)+(0+(0-0))+0-0-0</f>
        <v>591.59999999999991</v>
      </c>
      <c r="Y250" s="3">
        <f>1057.2+(12.9-494)+(-2.156688+(-0.026316--1.00776))+0-0-0</f>
        <v>574.924756</v>
      </c>
      <c r="Z250" s="3">
        <f>1055.9+(22.8-525)+(-1.077018+(-0.023256--0.5355))+0-0-0</f>
        <v>553.13522599999999</v>
      </c>
      <c r="AA250" s="3">
        <f>919.1+(51.7-437.4)+(-1.406223+(-0.079101--0.669222))+0-0-0</f>
        <v>532.58389800000009</v>
      </c>
      <c r="AB250" s="3">
        <f>881.9+(59.2-424.7)+(0.449769+(0.030192-0.216597))+0-0-0</f>
        <v>516.663364</v>
      </c>
      <c r="AC250" s="3">
        <f>879.3+(45.1-411.3)+(0+(0-0))+0-0-0</f>
        <v>513.09999999999991</v>
      </c>
      <c r="AD250" s="2">
        <v>595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814.4+(13.7-343.7)+(-2.907408+(-0.048909--1.227009))+0-0-0</f>
        <v>482.67069199999997</v>
      </c>
      <c r="G251" s="3">
        <f>800.2+(0-356.3)+(-0.816204+(0--0.363426))+0-0-0</f>
        <v>443.44722200000001</v>
      </c>
      <c r="H251" s="3">
        <f>795.8+(5.7-383.4)+(-1.217574+(-0.008721--0.586602))+0-0-0</f>
        <v>417.46030699999994</v>
      </c>
      <c r="I251" s="3">
        <f>807.3+(7.6-415.3)+(0.823446+(0.007752-0.423606))+0-0-0</f>
        <v>400.00759199999999</v>
      </c>
      <c r="J251" s="3">
        <f>801.2+(10.3-412.5)+(-0.408612+(-0.005253--0.210375))+0-0-0</f>
        <v>398.79651000000007</v>
      </c>
      <c r="K251" s="3">
        <f>805.9+(11.6-412.5)+(0.822018+(0.011832-0.42075))+0-0-0</f>
        <v>405.41309999999999</v>
      </c>
      <c r="L251" s="3">
        <f>787.7+(3.8-399.4)+(-2.812089+(-0.013566--1.425858))+0-0-0</f>
        <v>390.7002030000001</v>
      </c>
      <c r="M251" s="3">
        <f>741.6+(0-381.4)+(-0.378216+(0--0.194514))+0-0-0</f>
        <v>360.01629800000006</v>
      </c>
      <c r="N251" s="3">
        <f>717.5+(0-349)+(1.4637+(0-0.71196))+0-0-0</f>
        <v>369.25173999999998</v>
      </c>
      <c r="O251" s="3">
        <f>707.8+(31.1-360.7)+(-0.721956+(-0.031722--0.367914))+0-0-0</f>
        <v>377.81423599999999</v>
      </c>
      <c r="P251" s="3">
        <f>820.5+(0-447.2)+(-2.929185+(0--1.596504))+0-0-0</f>
        <v>371.96731900000003</v>
      </c>
      <c r="Q251" s="3">
        <f>919.5+(0-550.4)+(1.406835+(0-0.842112))+0-0-0</f>
        <v>369.66472300000004</v>
      </c>
      <c r="R251" s="3">
        <f>907.4+(0-540.2)+(1.388322+(0-0.826506))+0-0-0</f>
        <v>367.76181599999995</v>
      </c>
      <c r="S251" s="3">
        <f>904.9+(0-522.3)+(0.922998+(0-0.532746))+0-0-0</f>
        <v>382.990252</v>
      </c>
      <c r="T251" s="3">
        <f>893.4+(0-505.6)+(-1.822536+(0--1.031424))+0-0-0</f>
        <v>387.00888799999996</v>
      </c>
      <c r="U251" s="3">
        <f>902.8+(0-521.8)+(1.381284+(0-0.798354))+0-0-0</f>
        <v>381.58292999999998</v>
      </c>
      <c r="V251" s="3">
        <f>898.6+(0-497)+(0+(0-0))+0-0-0</f>
        <v>401.6</v>
      </c>
      <c r="W251" s="3">
        <f>1010.9+(0-503.1)+(0.515559+(0-0.256581))+0-0-0</f>
        <v>508.05897799999997</v>
      </c>
      <c r="X251" s="3">
        <f>1052.8+(0-509.2)+(-2.147712+(0--1.038768))+0-0-0</f>
        <v>542.49105599999996</v>
      </c>
      <c r="Y251" s="3">
        <f>1045.4+(0-500.3)+(-2.132616+(0--1.020612))+0-0-0</f>
        <v>543.98799600000018</v>
      </c>
      <c r="Z251" s="3">
        <f>1061.4+(0-518.7)+(1.082628+(0-0.529074))+0-0-0</f>
        <v>543.25355400000001</v>
      </c>
      <c r="AA251" s="3">
        <f>1056+(0-526.8)+(-0.53856+(0--0.268668))+0-0-0</f>
        <v>528.93010800000002</v>
      </c>
      <c r="AB251" s="3">
        <f>1041.7+(0-527.6)+(-2.656335+(0--1.34538))+0-0-0</f>
        <v>512.78904499999999</v>
      </c>
      <c r="AC251" s="3">
        <f>990.8+(0-499.8)+(-2.021232+(0--1.019592))+0-0-0</f>
        <v>489.99835999999993</v>
      </c>
      <c r="AD251" s="2">
        <v>532.4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835+(0-399.1)+(-1.27755+(0--0.610623))+0-0-0</f>
        <v>435.23307299999999</v>
      </c>
      <c r="G252" s="3">
        <f>783.4+(3.6-399.5)+(-0.399534+(-0.001836--0.203745))+0-0-0</f>
        <v>387.30237499999998</v>
      </c>
      <c r="H252" s="3">
        <f>785.8+(6.3-418.3)+(-0.801516+(-0.006426--0.426666))+0-0-0</f>
        <v>373.41872399999994</v>
      </c>
      <c r="I252" s="3">
        <f>789+(8.9-431.2)+(0.40239+(0.004539-0.219912))+0-0-0</f>
        <v>366.88701700000001</v>
      </c>
      <c r="J252" s="3">
        <f>788.1+(5.7-416.3)+(0.401931+(0.002907-0.212313))+0-0-0</f>
        <v>377.69252499999999</v>
      </c>
      <c r="K252" s="3">
        <f>796.1+(5-415.7)+(1.624044+(0.0102-0.848028))+0-0-0</f>
        <v>386.18621600000006</v>
      </c>
      <c r="L252" s="3">
        <f>805.7+(1.8-410.4)+(-1.643628+(-0.003672--0.837216))+0-0-0</f>
        <v>396.28991600000006</v>
      </c>
      <c r="M252" s="3">
        <f>986.7+(0-546.3)+(2.012868+(0-1.114452))+0-0-0</f>
        <v>441.29841600000009</v>
      </c>
      <c r="N252" s="3">
        <f>1175.9+(0-676.3)+(1.799127+(0-1.034739))+0-0-0</f>
        <v>500.36438800000013</v>
      </c>
      <c r="O252" s="3">
        <f>1245+(0-692.2)+(0.63495+(0-0.353022))+0-0-0</f>
        <v>553.08192799999995</v>
      </c>
      <c r="P252" s="3">
        <f>1274.5+(0-683.7)+(0+(0-0))+0-0-0</f>
        <v>590.79999999999995</v>
      </c>
      <c r="Q252" s="3">
        <f>1334.1+(5-730.5)+(-0.680391+(-0.00255--0.372555))+0-0-0</f>
        <v>608.28961399999991</v>
      </c>
      <c r="R252" s="3">
        <f>1339+(15.5-734.8)+(-4.78023+(-0.055335--2.623236))+0-0-0</f>
        <v>617.48767100000009</v>
      </c>
      <c r="S252" s="3">
        <f>1227+(35.1-663.9)+(0+(0-0))+0-0-0</f>
        <v>598.20000000000005</v>
      </c>
      <c r="T252" s="3">
        <f>1226.2+(26.6-676.7)+(0+(0-0))+0-0-0</f>
        <v>576.1</v>
      </c>
      <c r="U252" s="3">
        <f>1233.5+(27.2-691.8)+(1.25817+(0.027744-0.705636))+0-0-0</f>
        <v>569.48027800000011</v>
      </c>
      <c r="V252" s="3">
        <f>1261.1+(27.7-694.1)+(-1.929483+(-0.042381--1.061973))+0-0-0</f>
        <v>593.79010899999992</v>
      </c>
      <c r="W252" s="3">
        <f>1349+(46.1-718.6)+(-2.06397+(-0.070533--1.099458))+0-0-0</f>
        <v>675.46495500000003</v>
      </c>
      <c r="X252" s="3">
        <f>1373.6+(40.7-719.7)+(0+(0-0))+0-0-0</f>
        <v>694.59999999999991</v>
      </c>
      <c r="Y252" s="3">
        <f>1388.2+(3.4-700.1)+(2.831928+(0.006936-1.428204))+0-0-0</f>
        <v>692.91066000000001</v>
      </c>
      <c r="Z252" s="3">
        <f>1384.8+(0-703)+(2.118744+(0-1.07559))+0-0-0</f>
        <v>682.84315399999991</v>
      </c>
      <c r="AA252" s="3">
        <f>1199.2+(40.9-585)+(1.834776+(0.062577-0.89505))+0-0-0</f>
        <v>656.10230300000001</v>
      </c>
      <c r="AB252" s="3">
        <f>1110.6+(68-577.1)+(-1.132812+(-0.06936--0.588642))+0-0-0</f>
        <v>600.88646999999992</v>
      </c>
      <c r="AC252" s="3">
        <f>1107.6+(16-564.8)+(-1.694628+(-0.02448--0.864144))+0-0-0</f>
        <v>557.94503599999996</v>
      </c>
      <c r="AD252" s="2">
        <v>683.4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1024.1+(0-530.3)+(-1.044582+(0--0.540906))+0-0-0</f>
        <v>493.29632399999997</v>
      </c>
      <c r="G253" s="3">
        <f>1002.6+(0-550.6)+(-3.579282+(0--1.965642))+0-0-0</f>
        <v>450.38636000000002</v>
      </c>
      <c r="H253" s="3">
        <f>909.7+(0-464.8)+(0.463947+(0-0.237048))+0-0-0</f>
        <v>445.12689900000004</v>
      </c>
      <c r="I253" s="3">
        <f>862.2+(3.2-445.8)+(0.879444+(0.003264-0.454716))+0-0-0</f>
        <v>420.02799200000004</v>
      </c>
      <c r="J253" s="3">
        <f>855.9+(2.8-442.8)+(-0.436509+(-0.001428--0.225828))+0-0-0</f>
        <v>415.68789099999998</v>
      </c>
      <c r="K253" s="3">
        <f>859.6+(4.8-452.6)+(0+(0-0))+0-0-0</f>
        <v>411.8</v>
      </c>
      <c r="L253" s="3">
        <f>867.4+(4.2-442.9)+(-1.327122+(-0.006426--0.677637))+0-0-0</f>
        <v>428.04408899999999</v>
      </c>
      <c r="M253" s="3">
        <f>1020.1+(14.3-586.5)+(-1.040502+(-0.014586--0.59823))+0-0-0</f>
        <v>447.44314199999997</v>
      </c>
      <c r="N253" s="3">
        <f>1169.2+(2.8-666.6)+(0+(0-0))+0-0-0</f>
        <v>505.4</v>
      </c>
      <c r="O253" s="3">
        <f>1192.5+(0-641.3)+(-0.608175+(0--0.327063))+0-0-0</f>
        <v>550.91888800000004</v>
      </c>
      <c r="P253" s="3">
        <f>1010.7+(0-446.4)+(-1.030914+(0--0.455328))+0-0-0</f>
        <v>563.72441400000002</v>
      </c>
      <c r="Q253" s="3">
        <f>1049.9+(0-482.4)+(-1.606347+(0--0.738072))+0-0-0</f>
        <v>566.63172500000007</v>
      </c>
      <c r="R253" s="3">
        <f>1114.8+(0-550.7)+(-0.568548+(0--0.280857))+0-0-0</f>
        <v>563.81230899999991</v>
      </c>
      <c r="S253" s="3">
        <f>1114.1+(1.6-568.5)+(-1.136382+(-0.001632--0.57987))+0-0-0</f>
        <v>546.64185599999996</v>
      </c>
      <c r="T253" s="3">
        <f>1127.9+(0-597.9)+(1.150458+(0-0.609858))+0-0-0</f>
        <v>530.54060000000015</v>
      </c>
      <c r="U253" s="3">
        <f>1111.8+(0-583.7)+(-1.701054+(0--0.893061))+0-0-0</f>
        <v>527.2920069999999</v>
      </c>
      <c r="V253" s="3">
        <f>1163.1+(0-613)+(-1.186362+(0--0.62526))+0-0-0</f>
        <v>549.5388979999999</v>
      </c>
      <c r="W253" s="3">
        <f>1238.3+(0-580.7)+(-1.894599+(0--0.888471))+0-0-0</f>
        <v>656.59387199999992</v>
      </c>
      <c r="X253" s="3">
        <f>1246.1+(0-552.9)+(-3.177555+(0--1.409895))+0-0-0</f>
        <v>691.43233999999995</v>
      </c>
      <c r="Y253" s="3">
        <f>1257.3+(0-562.3)+(0.641223+(0-0.286773))+0-0-0</f>
        <v>695.35445000000004</v>
      </c>
      <c r="Z253" s="3">
        <f>1245+(0-559.1)+(-1.90485+(0--0.855423))+0-0-0</f>
        <v>684.85057299999994</v>
      </c>
      <c r="AA253" s="3">
        <f>1241.1+(0-579.8)+(-3.164805+(0--1.47849))+0-0-0</f>
        <v>659.61368499999992</v>
      </c>
      <c r="AB253" s="3">
        <f>1245+(0-623)+(-0.63495+(0--0.31773))+0-0-0</f>
        <v>621.68277999999998</v>
      </c>
      <c r="AC253" s="3">
        <f>1238.8+(0-672.8)+(-1.895364+(0--1.029384))+0-0-0</f>
        <v>565.13401999999996</v>
      </c>
      <c r="AD253" s="2">
        <v>674.6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1059.8+(0-550.1)+(-2.161992+(0--1.122204))+0-0-0</f>
        <v>508.66021199999994</v>
      </c>
      <c r="G254" s="3">
        <f>891.5+(0-432.2)+(0+(0-0))+0-0-0</f>
        <v>459.3</v>
      </c>
      <c r="H254" s="3">
        <f>834.4+(8.7-399.4)+(-1.702176+(-0.017748--0.814776))+0-0-0</f>
        <v>442.79485199999999</v>
      </c>
      <c r="I254" s="3">
        <f>839.7+(9.4-420.4)+(-0.428247+(-0.004794--0.214404))+0-0-0</f>
        <v>428.48136300000004</v>
      </c>
      <c r="J254" s="3">
        <f>848.5+(5.9-423.4)+(1.298205+(0.009027-0.647802))+0-0-0</f>
        <v>431.65942999999999</v>
      </c>
      <c r="K254" s="3">
        <f>895.6+(2.4-467)+(1.827024+(0.004896-0.95268))+0-0-0</f>
        <v>431.87923999999998</v>
      </c>
      <c r="L254" s="3">
        <f>975.4+(0-532.6)+(0.497454+(0-0.271626))+0-0-0</f>
        <v>443.02582799999993</v>
      </c>
      <c r="M254" s="3">
        <f>1142.6+(0-680.8)+(-1.165452+(0--0.694416))+0-0-0</f>
        <v>461.32896399999993</v>
      </c>
      <c r="N254" s="3">
        <f>1226.9+(0-706.3)+(0+(0-0))+0-0-0</f>
        <v>520.60000000000014</v>
      </c>
      <c r="O254" s="3">
        <f>1222.5+(0-659.3)+(-3.117375+(0--1.681215))+0-0-0</f>
        <v>561.76384000000007</v>
      </c>
      <c r="P254" s="3">
        <f>1228+(0-642.7)+(-3.1314+(0--1.638885))+0-0-0</f>
        <v>583.80748499999993</v>
      </c>
      <c r="Q254" s="3">
        <f>1220.7+(0-630.8)+(-1.867671+(0--0.965124))+0-0-0</f>
        <v>588.99745300000006</v>
      </c>
      <c r="R254" s="3">
        <f>1176.4+(0-606.8)+(-1.199928+(0--0.618936))+0-0-0</f>
        <v>569.0190080000001</v>
      </c>
      <c r="S254" s="3">
        <f>1129.4+(0-573.2)+(-0.575994+(0--0.292332))+0-0-0</f>
        <v>555.916338</v>
      </c>
      <c r="T254" s="3">
        <f>1129.4+(0-567)+(-1.151988+(0--0.57834))+0-0-0</f>
        <v>561.82635200000004</v>
      </c>
      <c r="U254" s="3">
        <f>1129.4+(0-575)+(-1.151988+(0--0.5865))+0-0-0</f>
        <v>553.83451200000013</v>
      </c>
      <c r="V254" s="3">
        <f>1151.3+(0-565.4)+(0+(0-0))+0-0-0</f>
        <v>585.9</v>
      </c>
      <c r="W254" s="3">
        <f>1293.5+(0-602.1)+(1.979055+(0-0.921213))+0-0-0</f>
        <v>692.45784200000003</v>
      </c>
      <c r="X254" s="3">
        <f>1376.6+(0-649.8)+(-0.702066+(0--0.331398))+0-0-0</f>
        <v>726.42933199999993</v>
      </c>
      <c r="Y254" s="3">
        <f>1372.8+(0-661)+(0+(0-0))+0-0-0</f>
        <v>711.8</v>
      </c>
      <c r="Z254" s="3">
        <f>1297.7+(0-605.7)+(-0.661827+(0--0.308907))+0-0-0</f>
        <v>691.64707999999996</v>
      </c>
      <c r="AA254" s="3">
        <f>1276.9+(0-614)+(-1.302438+(0--0.62628))+0-0-0</f>
        <v>662.2238420000001</v>
      </c>
      <c r="AB254" s="3">
        <f>1271.8+(0-654.8)+(-1.945854+(0--1.001844))+0-0-0</f>
        <v>616.05598999999995</v>
      </c>
      <c r="AC254" s="3">
        <f>1268.8+(0-699.1)+(-3.23544+(0--1.782705))+0-0-0</f>
        <v>568.24726499999997</v>
      </c>
      <c r="AD254" s="2">
        <v>738.3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949.8+(15.4-453.1)+(-1.937592+(-0.031416--0.924324))+0-0-0</f>
        <v>511.05531599999989</v>
      </c>
      <c r="G255" s="3">
        <f>857.8+(13-415.3)+(-0.437478+(-0.00663--0.211803))+0-0-0</f>
        <v>455.26769499999995</v>
      </c>
      <c r="H255" s="3">
        <f>850.8+(12.2-438.3)+(-1.735632+(-0.024888--0.894132))+0-0-0</f>
        <v>423.83361199999996</v>
      </c>
      <c r="I255" s="3">
        <f>858.4+(12.1-457.4)+(0.437784+(0.006171-0.233274))+0-0-0</f>
        <v>413.31068100000005</v>
      </c>
      <c r="J255" s="3">
        <f>850.1+(6.2-447.8)+(-1.300653+(-0.009486--0.685134))+0-0-0</f>
        <v>407.87499500000001</v>
      </c>
      <c r="K255" s="3">
        <f>934.9+(17.7-539.9)+(1.430397+(0.027081-0.826047))+0-0-0</f>
        <v>413.33143100000007</v>
      </c>
      <c r="L255" s="3">
        <f>1060.2+(14.1-656.3)+(-0.540702+(-0.007191--0.334713))+0-0-0</f>
        <v>417.78682000000009</v>
      </c>
      <c r="M255" s="3">
        <f>1171+(5.8-742.2)+(2.98605+(0.01479-1.89261))+0-0-0</f>
        <v>435.7082299999999</v>
      </c>
      <c r="N255" s="3">
        <f>1222.7+(4.5-748)+(3.117885+(0.011475-1.9074))+0-0-0</f>
        <v>480.42196000000007</v>
      </c>
      <c r="O255" s="3">
        <f>1237.4+(8.2-717.2)+(0.631074+(0.004182-0.365772))+0-0-0</f>
        <v>528.66948400000012</v>
      </c>
      <c r="P255" s="3">
        <f>1256.6+(24.3-735.8)+(0.640866+(0.012393-0.375258))+0-0-0</f>
        <v>545.37800099999993</v>
      </c>
      <c r="Q255" s="3">
        <f>1251.3+(33.9-726.6)+(-1.276326+(-0.034578--0.741132))+0-0-0</f>
        <v>558.03022799999997</v>
      </c>
      <c r="R255" s="3">
        <f>1251.3+(4-728)+(-3.828978+(-0.01224--2.22768))+0-0-0</f>
        <v>525.68646200000001</v>
      </c>
      <c r="S255" s="3">
        <f>1251.3+(1-755)+(-3.190815+(-0.00255--1.92525))+0-0-0</f>
        <v>496.03188499999993</v>
      </c>
      <c r="T255" s="3">
        <f>1251.3+(3-726)+(0.638163+(0.00153-0.37026))+0-0-0</f>
        <v>528.569433</v>
      </c>
      <c r="U255" s="3">
        <f>1251.3+(5-697)+(0.638163+(0.00255-0.35547))+0-0-0</f>
        <v>559.58524299999999</v>
      </c>
      <c r="V255" s="3">
        <f>1196.1+(9.7-676.9)+(-1.830033+(-0.014841--1.035657))+0-0-0</f>
        <v>528.09078299999999</v>
      </c>
      <c r="W255" s="3">
        <f>1141.8+(21.2-508.2)+(0.582318+(0.010812-0.259182))+0-0-0</f>
        <v>655.13394799999992</v>
      </c>
      <c r="X255" s="3">
        <f>1241.1+(15.3-564.1)+(-3.164805+(-0.039015--1.438455))+0-0-0</f>
        <v>690.53463499999987</v>
      </c>
      <c r="Y255" s="3">
        <f>1242.3+(7.4-562.9)+(-0.633573+(-0.003774--0.287079))+0-0-0</f>
        <v>686.44973199999993</v>
      </c>
      <c r="Z255" s="3">
        <f>1235.9+(8.9-570.9)+(0+(0-0))+0-0-0</f>
        <v>673.90000000000009</v>
      </c>
      <c r="AA255" s="3">
        <f>1234.3+(3.2-595)+(-0.629493+(-0.001632--0.30345))+0-0-0</f>
        <v>642.172325</v>
      </c>
      <c r="AB255" s="3">
        <f>1227.4+(0-617.3)+(-3.12987+(0--1.574115))+0-0-0</f>
        <v>608.54424500000016</v>
      </c>
      <c r="AC255" s="3">
        <f>1234.2+(0-674.4)+(-1.258884+(0--0.687888))+0-0-0</f>
        <v>559.22900400000003</v>
      </c>
      <c r="AD255" s="2">
        <v>683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1236+(0-724.8)+(1.89108+(0-1.108944))+0-0-0</f>
        <v>511.98213600000003</v>
      </c>
      <c r="G256" s="3">
        <f>1077.9+(0-604.4)+(0+(0-0))+0-0-0</f>
        <v>473.50000000000011</v>
      </c>
      <c r="H256" s="3">
        <f>948.3+(9.1-511.1)+(0.483633+(0.004641-0.260661))+0-0-0</f>
        <v>446.52761299999997</v>
      </c>
      <c r="I256" s="3">
        <f>938.9+(9.7-517.6)+(-0.478839+(-0.004947--0.263976))+0-0-0</f>
        <v>430.78018999999995</v>
      </c>
      <c r="J256" s="3">
        <f>941.1+(5.8-529.2)+(0+(0-0))+0-0-0</f>
        <v>417.69999999999993</v>
      </c>
      <c r="K256" s="3">
        <f>1023.8+(0-598.5)+(1.044276+(0-0.61047))+0-0-0</f>
        <v>425.73380599999996</v>
      </c>
      <c r="L256" s="3">
        <f>1139.1+(0-719.6)+(-5.228469+(0--3.302964))+0-0-0</f>
        <v>417.5744949999999</v>
      </c>
      <c r="M256" s="3">
        <f>880.1+(2.4-489.8)+(0.897702+(0.002448-0.499596))+0-0-0</f>
        <v>393.10055399999999</v>
      </c>
      <c r="N256" s="3">
        <f>853.3+(35.5-465)+(-0.870366+(-0.03621--0.4743))+0-0-0</f>
        <v>423.36772399999995</v>
      </c>
      <c r="O256" s="3">
        <f>974.3+(41-555.1)+(0.993786+(0.04182-0.566202))+0-0-0</f>
        <v>460.66940399999993</v>
      </c>
      <c r="P256" s="3">
        <f>1022.4+(36.2-564.7)+(0.521424+(0.018462-0.287997))+0-0-0</f>
        <v>494.15188899999998</v>
      </c>
      <c r="Q256" s="3">
        <f>1012.1+(32-535)+(-1.032342+(-0.03264--0.5457))+0-0-0</f>
        <v>508.58071800000005</v>
      </c>
      <c r="R256" s="3">
        <f>1010.6+(36.4-546.9)+(-2.061624+(-0.074256--1.115676))+0-0-0</f>
        <v>499.07979600000004</v>
      </c>
      <c r="S256" s="3">
        <f>1017.2+(36.5-563)+(-1.037544+(-0.03723--0.57426))+0-0-0</f>
        <v>490.19948600000004</v>
      </c>
      <c r="T256" s="3">
        <f>977.3+(45.7-542.7)+(-1.993692+(-0.093228--1.107108))+0-0-0</f>
        <v>479.32018799999992</v>
      </c>
      <c r="U256" s="3">
        <f>975+(40.9-555.1)+(-0.9945+(-0.041718--0.566202))+0-0-0</f>
        <v>460.32998399999997</v>
      </c>
      <c r="V256" s="3">
        <f>1031.3+(18-565.8)+(0+(0-0))+0-0-0</f>
        <v>483.5</v>
      </c>
      <c r="W256" s="3">
        <f>1193.6+(35.1-620.1)+(0+(0-0))+0-0-0</f>
        <v>608.59999999999991</v>
      </c>
      <c r="X256" s="3">
        <f>1223.3+(39.4-632)+(-2.495532+(-0.080376--1.28928))+0-0-0</f>
        <v>629.41337199999998</v>
      </c>
      <c r="Y256" s="3">
        <f>1210.4+(46.4-631)+(1.851912+(0.070992-0.96543))+0-0-0</f>
        <v>626.75747400000012</v>
      </c>
      <c r="Z256" s="3">
        <f>1192.1+(41.7-631.5)+(-1.823913+(-0.063801--0.966195))+0-0-0</f>
        <v>601.37848099999997</v>
      </c>
      <c r="AA256" s="3">
        <f>1193.1+(21-624.7)+(-1.216962+(-0.02142--0.637194))+0-0-0</f>
        <v>588.79881199999988</v>
      </c>
      <c r="AB256" s="3">
        <f>1151.8+(32.3-629.8)+(-1.762254+(-0.049419--0.963594))+0-0-0</f>
        <v>553.45192099999997</v>
      </c>
      <c r="AC256" s="3">
        <f>1063.9+(26.1-585)+(-2.170356+(-0.053244--1.1934))+0-0-0</f>
        <v>503.96980000000013</v>
      </c>
      <c r="AD256" s="2">
        <v>628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1006.7+(3-523.1)+(-2.567085+(-0.00765--1.333905))+0-0-0</f>
        <v>485.35917000000001</v>
      </c>
      <c r="G257" s="3">
        <f>842.5+(17.2-412.3)+(-1.7187+(-0.035088--0.841092))+0-0-0</f>
        <v>446.48730399999999</v>
      </c>
      <c r="H257" s="3">
        <f>784.6+(9.1-369.5)+(-0.800292+(-0.009282--0.37689))+0-0-0</f>
        <v>423.76731600000005</v>
      </c>
      <c r="I257" s="3">
        <f>793.9+(10.8-383.7)+(-1.214667+(-0.016524--0.587061))+0-0-0</f>
        <v>420.35586999999998</v>
      </c>
      <c r="J257" s="3">
        <f>824.2+(5.9-411.2)+(0+(0-0))+0-0-0</f>
        <v>418.90000000000003</v>
      </c>
      <c r="K257" s="3">
        <f>830.4+(5.4-401.5)+(1.270512+(0.008262-0.614295))+0-0-0</f>
        <v>434.96447899999998</v>
      </c>
      <c r="L257" s="3">
        <f>859.1+(8.7-407.6)+(-0.876282+(-0.008874--0.415752))+0-0-0</f>
        <v>459.73059599999999</v>
      </c>
      <c r="M257" s="3">
        <f>1008.2+(41.9-566.7)+(2.57091+(0.106845-1.445085))+0-0-0</f>
        <v>484.63266999999996</v>
      </c>
      <c r="N257" s="3">
        <f>1047.8+(99.3-613.4)+(1.068756+(0.101286-0.625668))+0-0-0</f>
        <v>534.24437399999988</v>
      </c>
      <c r="O257" s="3">
        <f>1048.6+(59.3-540.8)+(1.069572+(0.060486-0.551616))+0-0-0</f>
        <v>567.6784419999999</v>
      </c>
      <c r="P257" s="3">
        <f>1040+(51.5-513.6)+(-0.5304+(-0.026265--0.261936))+0-0-0</f>
        <v>577.60527100000002</v>
      </c>
      <c r="Q257" s="3">
        <f>1040.2+(51.7-505.7)+(-1.061004+(-0.052734--0.515814))+0-0-0</f>
        <v>585.60207600000001</v>
      </c>
      <c r="R257" s="3">
        <f>971.5+(71-461.8)+(-2.477325+(-0.18105--1.17759))+0-0-0</f>
        <v>579.21921500000008</v>
      </c>
      <c r="S257" s="3">
        <f>995.1+(74.8-510.3)+(0.507501+(0.038148-0.260253))+0-0-0</f>
        <v>559.88539600000001</v>
      </c>
      <c r="T257" s="3">
        <f>1021.8+(82.2-548.4)+(0+(0-0))+0-0-0</f>
        <v>555.59999999999991</v>
      </c>
      <c r="U257" s="3">
        <f>1056.6+(65-567.2)+(-1.616598+(-0.09945--0.867816))+0-0-0</f>
        <v>553.55176799999981</v>
      </c>
      <c r="V257" s="3">
        <f>1091.5+(50.3-563.9)+(0.556665+(0.025653-0.287589))+0-0-0</f>
        <v>578.19472899999994</v>
      </c>
      <c r="W257" s="3">
        <f>1088.6+(15.6-411.5)+(-1.110372+(-0.015912--0.41973))+0-0-0</f>
        <v>691.99344599999995</v>
      </c>
      <c r="X257" s="3">
        <f>1135.5+(19.6-416.9)+(0.579105+(0.009996-0.212619))+0-0-0</f>
        <v>738.57648200000006</v>
      </c>
      <c r="Y257" s="3">
        <f>1165.5+(17-443.2)+(-1.783215+(-0.02601--0.678096))+0-0-0</f>
        <v>738.16887099999997</v>
      </c>
      <c r="Z257" s="3">
        <f>1158.3+(19.1-453.6)+(-3.544398+(-0.058446--1.388016))+0-0-0</f>
        <v>721.58517199999994</v>
      </c>
      <c r="AA257" s="3">
        <f>1153.3+(10.6-477.9)+(-4.117281+(-0.037842--1.706103))+0-0-0</f>
        <v>683.55097999999998</v>
      </c>
      <c r="AB257" s="3">
        <f>1154.1+(0-499.7)+(-2.942955+(0--1.274235))+0-0-0</f>
        <v>652.73127999999986</v>
      </c>
      <c r="AC257" s="3">
        <f>1041.9+(0-454.5)+(-2.656845+(0--1.158975))+0-0-0</f>
        <v>585.90213000000006</v>
      </c>
      <c r="AD257" s="2">
        <v>674.6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973.4+(5.7-474.1)+(-0.496434+(-0.002907--0.241791))+0-0-0</f>
        <v>504.74244999999996</v>
      </c>
      <c r="G258" s="3">
        <f>941+(17.7-501.2)+(-1.91964+(-0.036108--1.022448))+0-0-0</f>
        <v>456.56670000000003</v>
      </c>
      <c r="H258" s="3">
        <f>860.6+(11.6-440.9)+(0+(0-0))+0-0-0</f>
        <v>431.30000000000007</v>
      </c>
      <c r="I258" s="3">
        <f>861.2+(13.1-450.5)+(1.317636+(0.020043-0.689265))+0-0-0</f>
        <v>424.44841400000007</v>
      </c>
      <c r="J258" s="3">
        <f>865.7+(14.2-459.7)+(1.766028+(0.028968-0.937788))+0-0-0</f>
        <v>421.05720800000006</v>
      </c>
      <c r="K258" s="3">
        <f>858.1+(12.8-442.1)+(-0.875262+(-0.013056--0.450942))+0-0-0</f>
        <v>428.36262400000004</v>
      </c>
      <c r="L258" s="3">
        <f>860.2+(12.8-422.5)+(0+(0-0))+0-0-0</f>
        <v>450.50000000000006</v>
      </c>
      <c r="M258" s="3">
        <f>942.1+(1.5-472.4)+(1.441413+(0.002295-0.722772))+0-0-0</f>
        <v>471.92093600000004</v>
      </c>
      <c r="N258" s="3">
        <f>1012.6+(6.8-500.9)+(0+(0-0))+0-0-0</f>
        <v>518.5</v>
      </c>
      <c r="O258" s="3">
        <f>1015.3+(7.3-469.3)+(0+(0-0))+0-0-0</f>
        <v>553.29999999999995</v>
      </c>
      <c r="P258" s="3">
        <f>1158.2+(0-590.4)+(0+(0-0))+0-0-0</f>
        <v>567.80000000000007</v>
      </c>
      <c r="Q258" s="3">
        <f>1125.2+(0-552.8)+(-1.721556+(0--0.845784))+0-0-0</f>
        <v>571.52422800000011</v>
      </c>
      <c r="R258" s="3">
        <f>1143.4+(0-572.8)+(-2.91567+(0--1.46064))+0-0-0</f>
        <v>569.14497000000017</v>
      </c>
      <c r="S258" s="3">
        <f>1100.9+(6.9-563.2)+(-1.122918+(-0.007038--0.574464))+0-0-0</f>
        <v>544.04450800000006</v>
      </c>
      <c r="T258" s="3">
        <f>1122+(20.7-599.6)+(-0.57222+(-0.010557--0.305796))+0-0-0</f>
        <v>542.82301900000004</v>
      </c>
      <c r="U258" s="3">
        <f>1195.2+(8-672.4)+(1.828656+(0.01224-1.028772))+0-0-0</f>
        <v>531.61212400000011</v>
      </c>
      <c r="V258" s="3">
        <f>1156.3+(11.8-608.6)+(0.589713+(0.006018-0.310386))+0-0-0</f>
        <v>559.78534499999989</v>
      </c>
      <c r="W258" s="3">
        <f>1157.8+(9.9-494.5)+(1.180956+(0.010098-0.50439))+0-0-0</f>
        <v>673.88666399999988</v>
      </c>
      <c r="X258" s="3">
        <f>1172.5+(25.6-491)+(0+(0-0))+0-0-0</f>
        <v>707.1</v>
      </c>
      <c r="Y258" s="3">
        <f>1166.5+(14.3-486)+(1.18983+(0.014586-0.49572))+0-0-0</f>
        <v>695.50869599999999</v>
      </c>
      <c r="Z258" s="3">
        <f>1166.7+(15.4-488.1)+(0+(0-0))+0-0-0</f>
        <v>694</v>
      </c>
      <c r="AA258" s="3">
        <f>1161.8+(0-507.7)+(-1.185036+(0--0.517854))+0-0-0</f>
        <v>653.43281799999988</v>
      </c>
      <c r="AB258" s="3">
        <f>1144.6+(15-543.7)+(-2.91873+(-0.03825--1.386435))+0-0-0</f>
        <v>614.32945499999983</v>
      </c>
      <c r="AC258" s="3">
        <f>1060.8+(3.3-511.8)+(-2.70504+(-0.008415--1.30509))+0-0-0</f>
        <v>550.89163499999995</v>
      </c>
      <c r="AD258" s="2">
        <v>687.00000000000011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843.4+(43-371.2)+(-1.290402+(-0.06579--0.567936))+0-0-0</f>
        <v>514.411744</v>
      </c>
      <c r="G259" s="3">
        <f>839.9+(24.2-383.4)+(-0.856698+(-0.024684--0.391068))+0-0-0</f>
        <v>480.20968599999998</v>
      </c>
      <c r="H259" s="3">
        <f>845.5+(1.8-391.2)+(-0.86241+(-0.001836--0.399024))+0-0-0</f>
        <v>455.63477800000004</v>
      </c>
      <c r="I259" s="3">
        <f>846.3+(4-398.4)+(-1.294839+(-0.00612--0.609552))+0-0-0</f>
        <v>451.20859299999995</v>
      </c>
      <c r="J259" s="3">
        <f>853.1+(2.7-403)+(0.435081+(0.001377-0.20553))+0-0-0</f>
        <v>453.03092800000002</v>
      </c>
      <c r="K259" s="3">
        <f>853+(2-399.4)+(0+(0-0))+0-0-0</f>
        <v>455.6</v>
      </c>
      <c r="L259" s="3">
        <f>806.1+(46.6-377.4)+(-2.055555+(-0.11883--0.96237))+0-0-0</f>
        <v>474.08798500000006</v>
      </c>
      <c r="M259" s="3">
        <f>792.4+(95.2-415.1)+(2.02062+(0.24276-1.058505))+0-0-0</f>
        <v>473.70487499999996</v>
      </c>
      <c r="N259" s="3">
        <f>943+(161.3-562.5)+(0.96186+(0.164526-0.57375))+0-0-0</f>
        <v>542.35263599999996</v>
      </c>
      <c r="O259" s="3">
        <f>1087.8+(127.7-629.2)+(1.664334+(0.195381-0.962676))+0-0-0</f>
        <v>587.1970389999999</v>
      </c>
      <c r="P259" s="3">
        <f>1199.6+(115-720.5)+(-3.05898+(-0.29325--1.837275))+0-0-0</f>
        <v>592.58504499999992</v>
      </c>
      <c r="Q259" s="3">
        <f>1245.7+(115.9-761.7)+(-2.541228+(-0.236436--1.553868))+0-0-0</f>
        <v>598.67620399999998</v>
      </c>
      <c r="R259" s="3">
        <f>1219.2+(134.7-788.1)+(-4.974336+(-0.549576--3.215448))+0-0-0</f>
        <v>563.491536</v>
      </c>
      <c r="S259" s="3">
        <f>1226+(114.7-781.9)+(-1.87578+(-0.175491--1.196307))+0-0-0</f>
        <v>557.94503600000007</v>
      </c>
      <c r="T259" s="3">
        <f>1223.2+(100.2-788.2)+(-0.623832+(-0.051102--0.401982))+0-0-0</f>
        <v>534.92704800000001</v>
      </c>
      <c r="U259" s="3">
        <f>1217.8+(85.9-771.7)+(-0.621078+(-0.043809--0.393567))+0-0-0</f>
        <v>531.72867999999994</v>
      </c>
      <c r="V259" s="3">
        <f>1220.7+(83.3-743.2)+(0.622557+(0.042483-0.379032))+0-0-0</f>
        <v>561.08600799999999</v>
      </c>
      <c r="W259" s="3">
        <f>1236.6+(73.6-638)+(0+(0-0))+0-0-0</f>
        <v>672.19999999999993</v>
      </c>
      <c r="X259" s="3">
        <f>1232.4+(71.8-603.3)+(-3.14262+(-0.18309--1.538415))+0-0-0</f>
        <v>699.11270500000012</v>
      </c>
      <c r="Y259" s="3">
        <f>1231.4+(89-618)+(-2.512056+(-0.18156--1.26072))+0-0-0</f>
        <v>700.96710400000006</v>
      </c>
      <c r="Z259" s="3">
        <f>1230.5+(97-643.5)+(-1.25511+(-0.09894--0.65637))+0-0-0</f>
        <v>683.30232000000001</v>
      </c>
      <c r="AA259" s="3">
        <f>1226.2+(101.2-667.9)+(-3.752172+(-0.309672--2.043774))+0-0-0</f>
        <v>657.48193000000015</v>
      </c>
      <c r="AB259" s="3">
        <f>1174.6+(67.1-633.6)+(-2.99523+(-0.171105--1.61568))+0-0-0</f>
        <v>606.5493449999999</v>
      </c>
      <c r="AC259" s="3">
        <f>1038.3+(89.6-575.4)+(-1.588599+(-0.137088--0.880362))+0-0-0</f>
        <v>551.654675</v>
      </c>
      <c r="AD259" s="2">
        <v>693.4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953.4+(65.8-533)+(0+(0-0))+0-0-0</f>
        <v>486.2</v>
      </c>
      <c r="G260" s="3">
        <f>944.8+(28.5-521.3)+(-0.963696+(-0.02907--0.531726))+0-0-0</f>
        <v>451.53895999999997</v>
      </c>
      <c r="H260" s="3">
        <f>896.6+(40.9-505.3)+(0.457266+(0.020859-0.257703))+0-0-0</f>
        <v>432.42042199999997</v>
      </c>
      <c r="I260" s="3">
        <f>782.3+(77.8-435.7)+(1.196919+(0.119034-0.666621))+0-0-0</f>
        <v>425.04933199999999</v>
      </c>
      <c r="J260" s="3">
        <f>784.3+(101.2-459.9)+(0+(0-0))+0-0-0</f>
        <v>425.59999999999997</v>
      </c>
      <c r="K260" s="3">
        <f>786.3+(127.4-490.2)+(0.802026+(0.129948-0.500004))+0-0-0</f>
        <v>423.93196999999998</v>
      </c>
      <c r="L260" s="3">
        <f>900.5+(102.4-557.4)+(-0.91851+(-0.104448--0.568548))+0-0-0</f>
        <v>445.04559</v>
      </c>
      <c r="M260" s="3">
        <f>937.2+(57.8-532.6)+(0.955944+(0.058956-0.543252))+0-0-0</f>
        <v>462.87164800000005</v>
      </c>
      <c r="N260" s="3">
        <f>991.6+(21.3-506.6)+(1.011432+(0.021726-0.516732))+0-0-0</f>
        <v>506.81642600000004</v>
      </c>
      <c r="O260" s="3">
        <f>1066.6+(17.9-553)+(-3.263796+(-0.054774--1.69218))+0-0-0</f>
        <v>529.87360999999987</v>
      </c>
      <c r="P260" s="3">
        <f>1091.7+(12.1-547.9)+(0+(0-0))+0-0-0</f>
        <v>555.90000000000009</v>
      </c>
      <c r="Q260" s="3">
        <f>1095.4+(10.9-533.7)+(0.558654+(0.005559-0.272187))+0-0-0</f>
        <v>572.89202599999999</v>
      </c>
      <c r="R260" s="3">
        <f>1064.2+(9.8-520)+(-1.085484+(-0.009996--0.5304))+0-0-0</f>
        <v>553.43492000000003</v>
      </c>
      <c r="S260" s="3">
        <f>1057.5+(14.3-526)+(-1.617975+(-0.021879--0.80478))+0-0-0</f>
        <v>544.96492599999999</v>
      </c>
      <c r="T260" s="3">
        <f>1092.8+(21.9-562.3)+(1.114656+(0.022338-0.573546))+0-0-0</f>
        <v>552.96344799999997</v>
      </c>
      <c r="U260" s="3">
        <f>1087.3+(19.1-555.4)+(-1.109046+(-0.019482--0.566508))+0-0-0</f>
        <v>550.43798000000004</v>
      </c>
      <c r="V260" s="3">
        <f>1086.9+(16.6-521.5)+(-0.554319+(-0.008466--0.265965))+0-0-0</f>
        <v>581.70318000000009</v>
      </c>
      <c r="W260" s="3">
        <f>1109.8+(13.2-435.1)+(0.565998+(0.006732-0.221901))+0-0-0</f>
        <v>688.25082899999984</v>
      </c>
      <c r="X260" s="3">
        <f>1124.6+(16.6-443.6)+(-2.86773+(-0.04233--1.13118))+0-0-0</f>
        <v>695.82111999999995</v>
      </c>
      <c r="Y260" s="3">
        <f>1117.2+(18.2-447.3)+(-2.279088+(-0.037128--0.912492))+0-0-0</f>
        <v>686.69627600000001</v>
      </c>
      <c r="Z260" s="3">
        <f>1079.8+(23.2-441)+(-2.202792+(-0.047328--0.89964))+0-0-0</f>
        <v>660.64952000000005</v>
      </c>
      <c r="AA260" s="3">
        <f>1083.7+(22.1-466.6)+(-1.658061+(-0.033813--0.713898))+0-0-0</f>
        <v>638.22202400000003</v>
      </c>
      <c r="AB260" s="3">
        <f>1076.5+(2.2-472.5)+(-2.745075+(-0.00561--1.204875))+0-0-0</f>
        <v>604.65419000000009</v>
      </c>
      <c r="AC260" s="3">
        <f>1080.2+(0-522.8)+(-2.203608+(0--1.066512))+0-0-0</f>
        <v>556.26290400000005</v>
      </c>
      <c r="AD260" s="2">
        <v>710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896.8+(12.8-396.2)+(-2.744208+(-0.039168--1.212372))+0-0-0</f>
        <v>511.82899599999996</v>
      </c>
      <c r="G261" s="3">
        <f>828.6+(22.5-385.4)+(0.422586+(0.011475-0.196554))+0-0-0</f>
        <v>465.93750700000004</v>
      </c>
      <c r="H261" s="3">
        <f>829.1+(13.4-393.7)+(0+(0-0))+0-0-0</f>
        <v>448.8</v>
      </c>
      <c r="I261" s="3">
        <f>826.3+(14.8-416.1)+(0+(0-0))+0-0-0</f>
        <v>424.99999999999994</v>
      </c>
      <c r="J261" s="3">
        <f>851.8+(14.1-442)+(1.737672+(0.028764-0.90168))+0-0-0</f>
        <v>424.76475599999998</v>
      </c>
      <c r="K261" s="3">
        <f>849.3+(14.4-424.5)+(1.732572+(0.029376-0.86598))+0-0-0</f>
        <v>440.09596799999991</v>
      </c>
      <c r="L261" s="3">
        <f>848.7+(26.6-422.5)+(0.865674+(0.027132-0.43095))+0-0-0</f>
        <v>453.26185600000008</v>
      </c>
      <c r="M261" s="3">
        <f>927.5+(43.2-495.1)+(-0.94605+(-0.044064--0.505002))+0-0-0</f>
        <v>475.11488799999995</v>
      </c>
      <c r="N261" s="3">
        <f>1051.1+(20.4-552.8)+(1.608183+(0.031212-0.845784))+0-0-0</f>
        <v>519.49361099999999</v>
      </c>
      <c r="O261" s="3">
        <f>1144.7+(10.1-609.2)+(0.583797+(0.005151-0.310692))+0-0-0</f>
        <v>545.87825600000008</v>
      </c>
      <c r="P261" s="3">
        <f>1157.7+(5.8-611.7)+(-0.590427+(-0.002958--0.311967))+0-0-0</f>
        <v>551.51858199999992</v>
      </c>
      <c r="Q261" s="3">
        <f>1203.3+(4.6-637.2)+(-2.454732+(-0.009384--1.299888))+0-0-0</f>
        <v>569.53577199999995</v>
      </c>
      <c r="R261" s="3">
        <f>1243.5+(20-710.9)+(-3.170925+(-0.051--1.812795))+0-0-0</f>
        <v>551.19087000000002</v>
      </c>
      <c r="S261" s="3">
        <f>1230.9+(0-686.8)+(-5.022072+(0--2.802144))+0-0-0</f>
        <v>541.88007200000015</v>
      </c>
      <c r="T261" s="3">
        <f>1207.2+(9.4-672.2)+(0.615672+(0.004794-0.342822))+0-0-0</f>
        <v>544.67764399999999</v>
      </c>
      <c r="U261" s="3">
        <f>1152.3+(19.1-655.1)+(-1.763019+(-0.029223--1.002303))+0-0-0</f>
        <v>515.51006099999995</v>
      </c>
      <c r="V261" s="3">
        <f>1223.8+(34-700.7)+(-2.496552+(-0.06936--1.429428))+0-0-0</f>
        <v>555.96351599999991</v>
      </c>
      <c r="W261" s="3">
        <f>1278.2+(60.8-673.1)+(-1.303764+(-0.062016--0.686562))+0-0-0</f>
        <v>665.22078199999999</v>
      </c>
      <c r="X261" s="3">
        <f>1297.5+(63.9-659)+(-3.97035+(-0.195534--2.01654))+0-0-0</f>
        <v>700.25065599999994</v>
      </c>
      <c r="Y261" s="3">
        <f>1227.6+(70.8-612.3)+(-2.504304+(-0.144432--1.249092))+0-0-0</f>
        <v>684.70035599999994</v>
      </c>
      <c r="Z261" s="3">
        <f>1198.2+(58.8-579.5)+(-3.05541+(-0.14994--1.477725))+0-0-0</f>
        <v>675.77237500000001</v>
      </c>
      <c r="AA261" s="3">
        <f>1202.3+(33.1-597.5)+(-1.839519+(-0.050643--0.914175))+0-0-0</f>
        <v>636.92401299999995</v>
      </c>
      <c r="AB261" s="3">
        <f>1198.1+(9.2-615.9)+(-2.444124+(-0.018768--1.256436))+0-0-0</f>
        <v>590.19354399999997</v>
      </c>
      <c r="AC261" s="3">
        <f>1207+(27.9-682.1)+(-0.61557+(-0.014229--0.347871))+0-0-0</f>
        <v>552.51807199999996</v>
      </c>
      <c r="AD261" s="2">
        <v>656.4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1145.1+(11.8-647.2)+(-2.336004+(-0.024072--1.320288))+0-0-0</f>
        <v>508.66021199999983</v>
      </c>
      <c r="G262" s="3">
        <f>985.7+(13.9-540.3)+(-1.005414+(-0.014178--0.551106))+0-0-0</f>
        <v>458.83151400000008</v>
      </c>
      <c r="H262" s="3">
        <f>987.1+(0-551.2)+(-0.503421+(0--0.281112))+0-0-0</f>
        <v>435.67769099999998</v>
      </c>
      <c r="I262" s="3">
        <f>1079.8+(0-647.2)+(0.550698+(0-0.330072))+0-0-0</f>
        <v>432.82062599999989</v>
      </c>
      <c r="J262" s="3">
        <f>1067.2+(0-637.9)+(-2.177088+(0--1.301316))+0-0-0</f>
        <v>428.42422800000008</v>
      </c>
      <c r="K262" s="3">
        <f>1084.3+(0-650.4)+(1.105986+(0-0.663408))+0-0-0</f>
        <v>434.342578</v>
      </c>
      <c r="L262" s="3">
        <f>1084.6+(0-628.4)+(-0.553146+(0--0.320484))+0-0-0</f>
        <v>455.96733799999993</v>
      </c>
      <c r="M262" s="3">
        <f>1220.5+(0-763.5)+(-0.622455+(0--0.389385))+0-0-0</f>
        <v>456.76693</v>
      </c>
      <c r="N262" s="3">
        <f>1291.6+(0-773.5)+(1.976148+(0-1.183455))+0-0-0</f>
        <v>518.89269299999989</v>
      </c>
      <c r="O262" s="3">
        <f>1294.2+(0-733.8)+(0.660042+(0-0.374238))+0-0-0</f>
        <v>560.68580400000008</v>
      </c>
      <c r="P262" s="3">
        <f>1296.5+(0-709.3)+(2.64486+(0-1.446972))+0-0-0</f>
        <v>588.39788800000008</v>
      </c>
      <c r="Q262" s="3">
        <f>1285.2+(0-685.5)+(-1.966356+(0--1.048815))+0-0-0</f>
        <v>598.78245900000002</v>
      </c>
      <c r="R262" s="3">
        <f>1276.9+(0-687.7)+(-3.907314+(0--2.104362))+0-0-0</f>
        <v>587.39704800000004</v>
      </c>
      <c r="S262" s="3">
        <f>1285.2+(0-722.5)+(-1.310904+(0--0.73695))+0-0-0</f>
        <v>562.12604600000009</v>
      </c>
      <c r="T262" s="3">
        <f>1277.8+(0-730.4)+(-0.651678+(0--0.372504))+0-0-0</f>
        <v>547.12082599999997</v>
      </c>
      <c r="U262" s="3">
        <f>1220.8+(0-686.3)+(1.245216+(0-0.700026))+0-0-0</f>
        <v>535.04519000000005</v>
      </c>
      <c r="V262" s="3">
        <f>1187.3+(22.9-655.8)+(-2.422092+(-0.046716--1.337832))+0-0-0</f>
        <v>553.26902399999994</v>
      </c>
      <c r="W262" s="3">
        <f>1286.3+(40.5-658)+(0.656013+(0.020655-0.33558))+0-0-0</f>
        <v>669.14108799999997</v>
      </c>
      <c r="X262" s="3">
        <f>1330.6+(50.5-676.1)+(-4.071636+(-0.15453--2.068866))+0-0-0</f>
        <v>702.84269999999992</v>
      </c>
      <c r="Y262" s="3">
        <f>1333.1+(45-680.5)+(-2.719524+(-0.0918--1.38822))+0-0-0</f>
        <v>696.17689599999994</v>
      </c>
      <c r="Z262" s="3">
        <f>1334.6+(33.3-685.3)+(-2.722584+(-0.067932--1.398012))+0-0-0</f>
        <v>681.20749599999988</v>
      </c>
      <c r="AA262" s="3">
        <f>1334.3+(22.8-701.2)+(-1.360986+(-0.023256--0.715224))+0-0-0</f>
        <v>655.23098199999981</v>
      </c>
      <c r="AB262" s="3">
        <f>1330.5+(18.8-726.8)+(-0.678555+(-0.009588--0.370668))+0-0-0</f>
        <v>622.18252500000006</v>
      </c>
      <c r="AC262" s="3">
        <f>1322.5+(0-744.6)+(-3.372375+(0--1.89873))+0-0-0</f>
        <v>576.42635499999994</v>
      </c>
      <c r="AD262" s="2">
        <v>695.7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1314.7+(0-787.3)+(0+(0-0))+0-0-0</f>
        <v>527.40000000000009</v>
      </c>
      <c r="G263" s="3">
        <f>1245.8+(0-759.1)+(-1.906074+(0--1.161423))+0-0-0</f>
        <v>485.95534899999996</v>
      </c>
      <c r="H263" s="3">
        <f>925+(15.7-493.2)+(0+(0-0))+0-0-0</f>
        <v>447.5</v>
      </c>
      <c r="I263" s="3">
        <f>925.7+(10.9-499.2)+(0.944214+(0.011118-0.509184))+0-0-0</f>
        <v>437.84614800000003</v>
      </c>
      <c r="J263" s="3">
        <f>912.9+(11.6-494.8)+(-1.396737+(-0.017748--0.757044))+0-0-0</f>
        <v>429.04255899999998</v>
      </c>
      <c r="K263" s="3">
        <f>919.2+(3.1-495.7)+(1.406376+(0.004743-0.758421))+0-0-0</f>
        <v>427.25269800000007</v>
      </c>
      <c r="L263" s="3">
        <f>914.3+(13.8-508.4)+(-0.932586+(-0.014076--0.518568))+0-0-0</f>
        <v>419.271906</v>
      </c>
      <c r="M263" s="3">
        <f>908.7+(4.4-514.1)+(-2.780622+(-0.013464--1.573146))+0-0-0</f>
        <v>397.77906000000002</v>
      </c>
      <c r="N263" s="3">
        <f>982.5+(0-565.3)+(-1.503225+(0--0.864909))+0-0-0</f>
        <v>416.56168400000007</v>
      </c>
      <c r="O263" s="3">
        <f>998.8+(16.4-570.7)+(0+(0-0))+0-0-0</f>
        <v>444.49999999999989</v>
      </c>
      <c r="P263" s="3">
        <f>995.8+(41.1-559.3)+(0+(0-0))+0-0-0</f>
        <v>477.6</v>
      </c>
      <c r="Q263" s="3">
        <f>993.6+(37.9-533.2)+(-1.013472+(-0.038658--0.543864))+0-0-0</f>
        <v>497.79173399999996</v>
      </c>
      <c r="R263" s="3">
        <f>991.1+(31.8-539)+(-2.021844+(-0.064872--1.09956))+0-0-0</f>
        <v>482.91284400000001</v>
      </c>
      <c r="S263" s="3">
        <f>996+(13.6-535.5)+(-0.50796+(-0.006936--0.273105))+0-0-0</f>
        <v>473.85820900000004</v>
      </c>
      <c r="T263" s="3">
        <f>980.4+(0-519.4)+(-3.500028+(0--1.854258))+0-0-0</f>
        <v>459.35422999999997</v>
      </c>
      <c r="U263" s="3">
        <f>996+(0-539.8)+(0.50796+(0-0.275298))+0-0-0</f>
        <v>456.43266200000005</v>
      </c>
      <c r="V263" s="3">
        <f>1104+(0-633)+(-0.56304+(0--0.32283))+0-0-0</f>
        <v>470.75979000000001</v>
      </c>
      <c r="W263" s="3">
        <f>1409.3+(0-807.5)+(0+(0-0))+0-0-0</f>
        <v>601.79999999999995</v>
      </c>
      <c r="X263" s="3">
        <f>1473.3+(0-838.5)+(-2.254149+(0--1.282905))+0-0-0</f>
        <v>633.828756</v>
      </c>
      <c r="Y263" s="3">
        <f>1454.5+(0-834)+(-2.225385+(0--1.27602))+0-0-0</f>
        <v>619.55063500000006</v>
      </c>
      <c r="Z263" s="3">
        <f>1450.6+(0-813.2)+(-3.69903+(0--2.07366))+0-0-0</f>
        <v>635.77462999999989</v>
      </c>
      <c r="AA263" s="3">
        <f>1361.8+(0-750.3)+(0+(0-0))+0-0-0</f>
        <v>611.5</v>
      </c>
      <c r="AB263" s="3">
        <f>1335.7+(0-770.1)+(-2.724828+(0--1.571004))+0-0-0</f>
        <v>564.44617600000004</v>
      </c>
      <c r="AC263" s="3">
        <f>1326.2+(0-796.7)+(-4.734534+(0--2.844219))+0-0-0</f>
        <v>527.60968500000001</v>
      </c>
      <c r="AD263" s="2">
        <v>627.4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1169.9+(0-683.6)+(2.983245+(0-1.74318))+0-0-0</f>
        <v>487.54006500000008</v>
      </c>
      <c r="G264" s="3">
        <f>962.4+(9.5-521.1)+(0.981648+(0.00969-0.531522))+0-0-0</f>
        <v>451.25981599999994</v>
      </c>
      <c r="H264" s="3">
        <f>921.9+(10.3-499.7)+(-1.410507+(-0.015759--0.764541))+0-0-0</f>
        <v>431.83827500000001</v>
      </c>
      <c r="I264" s="3">
        <f>928.6+(8-511.5)+(0+(0-0))+0-0-0</f>
        <v>425.1</v>
      </c>
      <c r="J264" s="3">
        <f>935.7+(8.6-514.1)+(0.477207+(0.004386-0.262191))+0-0-0</f>
        <v>430.41940200000005</v>
      </c>
      <c r="K264" s="3">
        <f>940.5+(8.4-513.5)+(1.91862+(0.017136-1.04754))+0-0-0</f>
        <v>436.28821599999998</v>
      </c>
      <c r="L264" s="3">
        <f>938.6+(13.7-499.7)+(1.436058+(0.020961-0.764541))+0-0-0</f>
        <v>453.29247800000002</v>
      </c>
      <c r="M264" s="3">
        <f>1039.2+(8.5-580.2)+(-1.589976+(-0.013005--0.887706))+0-0-0</f>
        <v>466.78472499999998</v>
      </c>
      <c r="N264" s="3">
        <f>1180.9+(5-666.2)+(0.602259+(0.00255-0.339762))+0-0-0</f>
        <v>519.96504700000003</v>
      </c>
      <c r="O264" s="3">
        <f>1201.3+(7.1-653.9)+(-2.450652+(-0.014484--1.333956))+0-0-0</f>
        <v>553.36882000000003</v>
      </c>
      <c r="P264" s="3">
        <f>1253.3+(0-673.6)+(1.278366+(0-0.687072))+0-0-0</f>
        <v>580.29129399999988</v>
      </c>
      <c r="Q264" s="3">
        <f>1293.2+(0-691.9)+(-1.319064+(0--0.705738))+0-0-0</f>
        <v>600.68667400000004</v>
      </c>
      <c r="R264" s="3">
        <f>1300.6+(0-725.9)+(-1.989918+(0--1.110627))+0-0-0</f>
        <v>573.82070899999997</v>
      </c>
      <c r="S264" s="3">
        <f>1298.5+(0-743)+(-0.662235+(0--0.37893))+0-0-0</f>
        <v>555.21669499999996</v>
      </c>
      <c r="T264" s="3">
        <f>1302+(0-749.5)+(0.66402+(0-0.382245))+0-0-0</f>
        <v>552.78177500000004</v>
      </c>
      <c r="U264" s="3">
        <f>1278.7+(0-748)+(-0.652137+(0--0.38148))+0-0-0</f>
        <v>530.42934300000002</v>
      </c>
      <c r="V264" s="3">
        <f>1288.3+(0-716.4)+(0.657033+(0-0.365364))+0-0-0</f>
        <v>572.19166899999993</v>
      </c>
      <c r="W264" s="3">
        <f>1278.5+(0-607.1)+(-1.30407+(0--0.619242))+0-0-0</f>
        <v>670.71517199999994</v>
      </c>
      <c r="X264" s="3">
        <f>1353.9+(0-654.4)+(-1.380978+(0--0.667488))+0-0-0</f>
        <v>698.78651000000013</v>
      </c>
      <c r="Y264" s="3">
        <f>1341.3+(0-651.3)+(-2.736252+(0--1.328652))+0-0-0</f>
        <v>688.5924</v>
      </c>
      <c r="Z264" s="3">
        <f>1323.7+(0-651.8)+(0+(0-0))+0-0-0</f>
        <v>671.90000000000009</v>
      </c>
      <c r="AA264" s="3">
        <f>1304.3+(0-665.6)+(-4.656351+(0--2.376192))+0-0-0</f>
        <v>636.41984099999991</v>
      </c>
      <c r="AB264" s="3">
        <f>1314.3+(0-718.1)+(-1.340586+(0--0.732462))+0-0-0</f>
        <v>595.59187599999996</v>
      </c>
      <c r="AC264" s="3">
        <f>1302.7+(0-754.5)+(-2.657508+(0--1.53918))+0-0-0</f>
        <v>547.08167200000003</v>
      </c>
      <c r="AD264" s="2">
        <v>695.4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1073.7+(0-557)+(-2.190348+(0--1.13628))+0-0-0</f>
        <v>515.64593200000002</v>
      </c>
      <c r="G265" s="3">
        <f>882+(8.4-425)+(0+(0-0))+0-0-0</f>
        <v>465.4</v>
      </c>
      <c r="H265" s="3">
        <f>834.8+(11.5-382.1)+(-1.702992+(-0.02346--0.779484))+0-0-0</f>
        <v>463.25303199999991</v>
      </c>
      <c r="I265" s="3">
        <f>822.8+(12.4-384.1)+(1.678512+(0.025296-0.783564))+0-0-0</f>
        <v>452.02024399999993</v>
      </c>
      <c r="J265" s="3">
        <f>816+(13.2-381.8)+(0.41616+(0.006732-0.194718))+0-0-0</f>
        <v>447.628174</v>
      </c>
      <c r="K265" s="3">
        <f>815.8+(30.3-409.2)+(0+(0-0))+0-0-0</f>
        <v>436.9</v>
      </c>
      <c r="L265" s="3">
        <f>816.8+(26.7-391.5)+(0+(0-0))+0-0-0</f>
        <v>451.99999999999994</v>
      </c>
      <c r="M265" s="3">
        <f>956+(11.8-496.9)+(0.97512+(0.012036-0.506838))+0-0-0</f>
        <v>471.38031800000005</v>
      </c>
      <c r="N265" s="3">
        <f>1154+(0-617.6)+(-1.17708+(0--0.629952))+0-0-0</f>
        <v>535.85287199999993</v>
      </c>
      <c r="O265" s="3">
        <f>1164.6+(0-585.9)+(1.781838+(0-0.896427))+0-0-0</f>
        <v>579.58541099999991</v>
      </c>
      <c r="P265" s="3">
        <f>1152.8+(0-551.1)+(-0.587928+(0--0.281061))+0-0-0</f>
        <v>601.39313299999992</v>
      </c>
      <c r="Q265" s="3">
        <f>1144.4+(6.4-532.2)+(-3.501864+(-0.019584--1.628532))+0-0-0</f>
        <v>616.70708400000001</v>
      </c>
      <c r="R265" s="3">
        <f>1166.9+(0-564.7)+(1.190238+(0-0.575994))+0-0-0</f>
        <v>602.81424400000003</v>
      </c>
      <c r="S265" s="3">
        <f>1165.6+(3.5-550.6)+(0+(0-0))+0-0-0</f>
        <v>618.49999999999989</v>
      </c>
      <c r="T265" s="3">
        <f>1168.6+(11.2-526)+(0+(0-0))+0-0-0</f>
        <v>653.79999999999995</v>
      </c>
      <c r="U265" s="3">
        <f>1159.3+(11.7-522.2)+(-1.182486+(-0.011934--0.532644))+0-0-0</f>
        <v>648.13822399999992</v>
      </c>
      <c r="V265" s="3">
        <f>1163.9+(17.6-505.1)+(0+(0-0))+0-0-0</f>
        <v>676.40000000000009</v>
      </c>
      <c r="W265" s="3">
        <f>1168.9+(17.6-484.8)+(-0.596139+(-0.008976--0.247248))+0-0-0</f>
        <v>701.34213299999999</v>
      </c>
      <c r="X265" s="3">
        <f>1171+(28.6-478)+(-2.98605+(-0.07293--1.2189))+0-0-0</f>
        <v>719.75992000000008</v>
      </c>
      <c r="Y265" s="3">
        <f>1175.5+(26.4-476.4)+(-2.39802+(-0.053856--0.971856))+0-0-0</f>
        <v>724.01998000000003</v>
      </c>
      <c r="Z265" s="3">
        <f>1147.9+(24.1-457.6)+(-1.170858+(-0.024582--0.466752))+0-0-0</f>
        <v>713.67131200000006</v>
      </c>
      <c r="AA265" s="3">
        <f>1119+(39.7-473.4)+(-1.14138+(-0.040494--0.482868))+0-0-0</f>
        <v>684.6009939999999</v>
      </c>
      <c r="AB265" s="3">
        <f>1111.1+(44.1-507.8)+(-1.699983+(-0.067473--0.776934))+0-0-0</f>
        <v>646.40947799999981</v>
      </c>
      <c r="AC265" s="3">
        <f>1027.3+(44.9-473)+(-2.619615+(-0.114495--1.20615))+0-0-0</f>
        <v>597.67203999999992</v>
      </c>
      <c r="AD265" s="2">
        <v>689.8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936.3+(29-459.5)+(0.955026+(0.02958-0.46869))+0-0-0</f>
        <v>506.31591599999996</v>
      </c>
      <c r="G266" s="3">
        <f>861.7+(13.8-409)+(-0.878934+(-0.014076--0.41718))+0-0-0</f>
        <v>466.02417000000008</v>
      </c>
      <c r="H266" s="3">
        <f>839.8+(16-402.8)+(-0.856596+(-0.01632--0.410856))+0-0-0</f>
        <v>452.53793999999994</v>
      </c>
      <c r="I266" s="3">
        <f>849.1+(10.7-417.9)+(1.299123+(0.016371-0.639387))+0-0-0</f>
        <v>442.57610700000004</v>
      </c>
      <c r="J266" s="3">
        <f>842.8+(11.6-407.1)+(0.429828+(0.005916-0.207621))+0-0-0</f>
        <v>447.52812299999994</v>
      </c>
      <c r="K266" s="3">
        <f>911.7+(13.9-485.3)+(-0.929934+(-0.014178--0.495006))+0-0-0</f>
        <v>439.85089400000004</v>
      </c>
      <c r="L266" s="3">
        <f>952.2+(10.7-497.8)+(-0.485622+(-0.005457--0.253878))+0-0-0</f>
        <v>464.862799</v>
      </c>
      <c r="M266" s="3">
        <f>998.5+(10.2-537.9)+(-0.509235+(-0.005202--0.274329))+0-0-0</f>
        <v>470.55989200000005</v>
      </c>
      <c r="N266" s="3">
        <f>1039.6+(0-533.5)+(0.530196+(0-0.272085))+0-0-0</f>
        <v>506.35811099999989</v>
      </c>
      <c r="O266" s="3">
        <f>1082.7+(0-537.8)+(2.208708+(0-1.097112))+0-0-0</f>
        <v>546.01159600000005</v>
      </c>
      <c r="P266" s="3">
        <f>1120.8+(2.4-553.9)+(-0.571608+(-0.001224--0.282489))+0-0-0</f>
        <v>569.00965699999995</v>
      </c>
      <c r="Q266" s="3">
        <f>1095.5+(27.3-540.8)+(-1.11741+(-0.027846--0.551616))+0-0-0</f>
        <v>581.40635999999995</v>
      </c>
      <c r="R266" s="3">
        <f>1111.5+(8.5-558.7)+(-1.13373+(-0.00867--0.569874))+0-0-0</f>
        <v>560.72747399999992</v>
      </c>
      <c r="S266" s="3">
        <f>1124.5+(27.1-596.8)+(0.573495+(0.013821-0.304368))+0-0-0</f>
        <v>555.0829480000001</v>
      </c>
      <c r="T266" s="3">
        <f>1116.8+(9.8-567.3)+(1.708704+(0.014994-0.867969))+0-0-0</f>
        <v>560.15572899999995</v>
      </c>
      <c r="U266" s="3">
        <f>1043.8+(21.9-518.3)+(0.532338+(0.011169-0.264333))+0-0-0</f>
        <v>547.67917399999999</v>
      </c>
      <c r="V266" s="3">
        <f>1060.9+(6-499.5)+(-0.541059+(-0.00306--0.254745))+0-0-0</f>
        <v>567.11062600000014</v>
      </c>
      <c r="W266" s="3">
        <f>1163.1+(18.7-507.2)+(-1.186362+(-0.019074--0.517344))+0-0-0</f>
        <v>673.91190799999993</v>
      </c>
      <c r="X266" s="3">
        <f>1142.6+(11.5-459.4)+(0.582726+(0.005865-0.234294))+0-0-0</f>
        <v>695.05429699999991</v>
      </c>
      <c r="Y266" s="3">
        <f>1085.4+(4.7-400.3)+(-0.553554+(-0.002397--0.204153))+0-0-0</f>
        <v>689.44820200000004</v>
      </c>
      <c r="Z266" s="3">
        <f>1069.2+(1.1-391.6)+(-3.817044+(-0.003927--1.398012))+0-0-0</f>
        <v>676.27704100000005</v>
      </c>
      <c r="AA266" s="3">
        <f>989.6+(39.4-378.6)+(-2.52348+(-0.10047--0.96543))+0-0-0</f>
        <v>648.74148000000002</v>
      </c>
      <c r="AB266" s="3">
        <f>999.6+(83.6-450.7)+(0+(0-0))+0-0-0</f>
        <v>632.5</v>
      </c>
      <c r="AC266" s="3">
        <f>989.1+(36.4-450.1)+(-1.513323+(-0.055692--0.688653))+0-0-0</f>
        <v>574.51963799999999</v>
      </c>
      <c r="AD266" s="2">
        <v>673.30000000000007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889.1+(30.6-383.7)+(-1.813764+(-0.062424--0.782748))+0-0-0</f>
        <v>534.90656000000001</v>
      </c>
      <c r="G267" s="3">
        <f>819.8+(12.3-338)+(-0.836196+(-0.012546--0.34476))+0-0-0</f>
        <v>493.59601799999996</v>
      </c>
      <c r="H267" s="3">
        <f>813+(12.6-347.7)+(-1.65852+(-0.025704--0.709308))+0-0-0</f>
        <v>476.92508400000003</v>
      </c>
      <c r="I267" s="3">
        <f>805.8+(13.8-365.3)+(0.410958+(0.007038-0.186303))+0-0-0</f>
        <v>454.53169299999996</v>
      </c>
      <c r="J267" s="3">
        <f>805.1+(13.2-363.9)+(0+(0-0))+0-0-0</f>
        <v>454.40000000000003</v>
      </c>
      <c r="K267" s="3">
        <f>808.7+(11.5-355.5)+(1.237311+(0.017595-0.543915))+0-0-0</f>
        <v>465.41099100000002</v>
      </c>
      <c r="L267" s="3">
        <f>850.3+(7.1-377.5)+(0+(0-0))+0-0-0</f>
        <v>479.9</v>
      </c>
      <c r="M267" s="3">
        <f>1034.4+(0-522.9)+(1.055088+(0-0.533358))+0-0-0</f>
        <v>512.02173000000016</v>
      </c>
      <c r="N267" s="3">
        <f>1039.7+(1.1-493.7)+(1.060494+(0.001122-0.503574))+0-0-0</f>
        <v>547.65804200000014</v>
      </c>
      <c r="O267" s="3">
        <f>1014.9+(72.1-498.8)+(0+(0-0))+0-0-0</f>
        <v>588.19999999999993</v>
      </c>
      <c r="P267" s="3">
        <f>1021.5+(61.1-468)+(0+(0-0))+0-0-0</f>
        <v>614.6</v>
      </c>
      <c r="Q267" s="3">
        <f>1013.1+(29.7-411.5)+(-1.550043+(-0.045441--0.629595))+0-0-0</f>
        <v>630.33411100000001</v>
      </c>
      <c r="R267" s="3">
        <f>1017.9+(33.6-413.8)+(-0.519129+(-0.017136--0.211038))+0-0-0</f>
        <v>637.374773</v>
      </c>
      <c r="S267" s="3">
        <f>1012.5+(0-394.8)+(-2.0655+(0--0.805392))+0-0-0</f>
        <v>616.4398920000001</v>
      </c>
      <c r="T267" s="3">
        <f>1019.9+(0-412.6)+(-0.520149+(0--0.210426))+0-0-0</f>
        <v>606.99027699999999</v>
      </c>
      <c r="U267" s="3">
        <f>998.5+(0-410.9)+(1.01847+(0-0.419118))+0-0-0</f>
        <v>588.19935199999998</v>
      </c>
      <c r="V267" s="3">
        <f>948.2+(17.3-356.1)+(-0.967164+(-0.017646--0.363222))+0-0-0</f>
        <v>608.77841200000012</v>
      </c>
      <c r="W267" s="3">
        <f>1068.9+(47.4-421.7)+(1.635417+(0.072522-0.645201))+0-0-0</f>
        <v>695.6627380000001</v>
      </c>
      <c r="X267" s="3">
        <f>1108.7+(28.9-423.2)+(-2.261748+(-0.058956--0.863328))+0-0-0</f>
        <v>712.94262400000014</v>
      </c>
      <c r="Y267" s="3">
        <f>1107.8+(10.6-405.6)+(-1.694934+(-0.016218--0.620568))+0-0-0</f>
        <v>711.70941599999992</v>
      </c>
      <c r="Z267" s="3">
        <f>1116.8+(17.5-439.3)+(1.139136+(0.01785-0.448086))+0-0-0</f>
        <v>695.70889999999997</v>
      </c>
      <c r="AA267" s="3">
        <f>1091.8+(12.2-441.7)+(-2.78409+(-0.03111--1.126335))+0-0-0</f>
        <v>660.61113499999999</v>
      </c>
      <c r="AB267" s="3">
        <f>1015.7+(66.3-450.8)+(-0.518007+(-0.033813--0.229908))+0-0-0</f>
        <v>630.87808800000005</v>
      </c>
      <c r="AC267" s="3">
        <f>935.7+(63.6-424.6)+(-2.386035+(-0.16218--1.08273))+0-0-0</f>
        <v>573.2345150000001</v>
      </c>
      <c r="AD267" s="2">
        <v>664.49999999999989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842.9+(42.7-374.8)+(-1.289637+(-0.065331--0.573444))+0-0-0</f>
        <v>510.01847599999996</v>
      </c>
      <c r="G268" s="3">
        <f>778.6+(24.6-335)+(-1.191258+(-0.037638--0.51255))+0-0-0</f>
        <v>467.48365400000006</v>
      </c>
      <c r="H268" s="3">
        <f>771.3+(26.3-352.8)+(0.393363+(0.013413-0.179928))+0-0-0</f>
        <v>445.02684799999997</v>
      </c>
      <c r="I268" s="3">
        <f>758.7+(18.4-343.9)+(-1.934685+(-0.04692--0.876945))+0-0-0</f>
        <v>432.09534000000002</v>
      </c>
      <c r="J268" s="3">
        <f>772.5+(15-357.7)+(1.5759+(0.0306-0.729708))+0-0-0</f>
        <v>430.67679200000003</v>
      </c>
      <c r="K268" s="3">
        <f>773.1+(14-348.5)+(0.788562+(0.01428-0.35547))+0-0-0</f>
        <v>439.047372</v>
      </c>
      <c r="L268" s="3">
        <f>775.9+(31.2-359)+(0.791418+(0.031824-0.36618))+0-0-0</f>
        <v>448.55706199999997</v>
      </c>
      <c r="M268" s="3">
        <f>956+(26-503.7)+(0.97512+(0.02652-0.513774))+0-0-0</f>
        <v>478.78786600000001</v>
      </c>
      <c r="N268" s="3">
        <f>1146.5+(0-618.2)+(1.16943+(0-0.630564))+0-0-0</f>
        <v>528.83886599999994</v>
      </c>
      <c r="O268" s="3">
        <f>1147.3+(30.5-609)+(0.585123+(0.015555-0.31059))+0-0-0</f>
        <v>569.09008799999992</v>
      </c>
      <c r="P268" s="3">
        <f>1134.3+(26.3-562.7)+(-2.892465+(-0.067065--1.434885))+0-0-0</f>
        <v>596.3753549999999</v>
      </c>
      <c r="Q268" s="3">
        <f>1139.1+(3.2-535.3)+(-1.742823+(-0.004896--0.819009))+0-0-0</f>
        <v>606.07128999999998</v>
      </c>
      <c r="R268" s="3">
        <f>1116.9+(1.8-556.1)+(-2.848095+(-0.00459--1.418055))+0-0-0</f>
        <v>561.16537000000005</v>
      </c>
      <c r="S268" s="3">
        <f>1079.6+(23.1-549.6)+(-1.101192+(-0.023562--0.560592))+0-0-0</f>
        <v>552.5358379999999</v>
      </c>
      <c r="T268" s="3">
        <f>1083+(1.6-535.2)+(-0.55233+(-0.000816--0.272952))+0-0-0</f>
        <v>549.11980599999993</v>
      </c>
      <c r="U268" s="3">
        <f>1063.2+(7.6-512.5)+(-1.084464+(-0.007752--0.52275))+0-0-0</f>
        <v>557.73053400000003</v>
      </c>
      <c r="V268" s="3">
        <f>896.4+(48.3-379)+(-1.371492+(-0.073899--0.57987))+0-0-0</f>
        <v>564.8344790000001</v>
      </c>
      <c r="W268" s="3">
        <f>972.6+(87.8-386.1)+(1.984104+(0.179112-0.787644))+0-0-0</f>
        <v>675.67557199999999</v>
      </c>
      <c r="X268" s="3">
        <f>976.8+(107.8-387.8)+(-2.49084+(-0.27489--0.98889))+0-0-0</f>
        <v>695.02315999999996</v>
      </c>
      <c r="Y268" s="3">
        <f>979.1+(46.4-342.2)+(-0.998682+(-0.047328--0.349044))+0-0-0</f>
        <v>682.60303399999998</v>
      </c>
      <c r="Z268" s="3">
        <f>976.6+(44.4-345.5)+(-0.996132+(-0.045288--0.35241))+0-0-0</f>
        <v>674.81098999999995</v>
      </c>
      <c r="AA268" s="3">
        <f>939.1+(54.4-349.2)+(-1.915764+(-0.110976--0.712368))+0-0-0</f>
        <v>642.98562799999991</v>
      </c>
      <c r="AB268" s="3">
        <f>893.9+(90.3-364.5)+(-1.823556+(-0.184212--0.74358))+0-0-0</f>
        <v>618.43581200000006</v>
      </c>
      <c r="AC268" s="3">
        <f>755.2+(150.7-336.9)+(-0.385152+(-0.076857--0.171819))+0-0-0</f>
        <v>568.70980999999995</v>
      </c>
      <c r="AD268" s="2">
        <v>689.5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731.1+(127.5-349.9)+(-1.491444+(-0.2601--0.713796))+0-0-0</f>
        <v>507.66225200000002</v>
      </c>
      <c r="G269" s="3">
        <f>740+(98.7-363.9)+(-0.7548+(-0.100674--0.371178))+0-0-0</f>
        <v>474.31570400000004</v>
      </c>
      <c r="H269" s="3">
        <f>739.3+(79.4-370.8)+(-0.754086+(-0.080988--0.378216))+0-0-0</f>
        <v>447.44314199999997</v>
      </c>
      <c r="I269" s="3">
        <f>736.8+(77.7-382.8)+(-1.127304+(-0.118881--0.585684))+0-0-0</f>
        <v>431.03949899999992</v>
      </c>
      <c r="J269" s="3">
        <f>742.5+(74.6-383.3)+(-0.378675+(-0.038046--0.195483))+0-0-0</f>
        <v>433.57876199999993</v>
      </c>
      <c r="K269" s="3">
        <f>752.4+(72.7-391.5)+(1.91862+(0.185385-0.998325))+0-0-0</f>
        <v>434.70567999999997</v>
      </c>
      <c r="L269" s="3">
        <f>734.2+(86-375.6)+(-2.995536+(-0.35088--1.532448))+0-0-0</f>
        <v>442.78603200000003</v>
      </c>
      <c r="M269" s="3">
        <f>751.8+(112.5-413.9)+(0.383418+(0.057375-0.211089))+0-0-0</f>
        <v>450.629704</v>
      </c>
      <c r="N269" s="3">
        <f>778.5+(142.5-421.4)+(1.191105+(0.218025-0.644742))+0-0-0</f>
        <v>500.36438800000002</v>
      </c>
      <c r="O269" s="3">
        <f>783.5+(163.9-409.4)+(1.198755+(0.250767-0.626382))+0-0-0</f>
        <v>538.82313999999997</v>
      </c>
      <c r="P269" s="3">
        <f>851.3+(182.7-434)+(0+(0-0))+0-0-0</f>
        <v>600</v>
      </c>
      <c r="Q269" s="3">
        <f>847.4+(164.3-469.7)+(0.432174+(0.083793-0.239547))+0-0-0</f>
        <v>542.27642000000003</v>
      </c>
      <c r="R269" s="3">
        <f>834.8+(158.6-468.6)+(-1.702992+(-0.323544--0.955944))+0-0-0</f>
        <v>523.72940799999992</v>
      </c>
      <c r="S269" s="3">
        <f>871.3+(172.6-515)+(0+(0-0))+0-0-0</f>
        <v>528.9</v>
      </c>
      <c r="T269" s="3">
        <f>878.8+(145.8-493)+(1.344564+(0.223074-0.75429))+0-0-0</f>
        <v>532.41334799999993</v>
      </c>
      <c r="U269" s="3">
        <f>874.6+(138.9-490.3)+(0.446046+(0.070839-0.250053))+0-0-0</f>
        <v>523.46683200000007</v>
      </c>
      <c r="V269" s="3">
        <f>937.8+(123.1-506.4)+(-0.478278+(-0.062781--0.258264))+0-0-0</f>
        <v>554.21720500000004</v>
      </c>
      <c r="W269" s="3">
        <f>971.1+(118.5-434.1)+(0.495261+(0.060435-0.221391))+0-0-0</f>
        <v>655.83430499999997</v>
      </c>
      <c r="X269" s="3">
        <f>957.9+(118.9-403.8)+(-0.977058+(-0.121278--0.411876))+0-0-0</f>
        <v>672.31353999999999</v>
      </c>
      <c r="Y269" s="3">
        <f>864.6+(128.1-323.8)+(-2.20473+(-0.326655--0.82569))+0-0-0</f>
        <v>667.19430499999999</v>
      </c>
      <c r="Z269" s="3">
        <f>865.8+(125.6-329.6)+(-0.441558+(-0.064056--0.168096))+0-0-0</f>
        <v>661.46248199999991</v>
      </c>
      <c r="AA269" s="3">
        <f>861.1+(133-363.2)+(-1.317483+(-0.20349--0.555696))+0-0-0</f>
        <v>629.93472300000008</v>
      </c>
      <c r="AB269" s="3">
        <f>860+(160.3-425.2)+(-0.8772+(-0.163506--0.433704))+0-0-0</f>
        <v>594.49299800000006</v>
      </c>
      <c r="AC269" s="3">
        <f>862.1+(128.9-425.3)+(-1.319013+(-0.197217--0.650709))+0-0-0</f>
        <v>564.8344790000001</v>
      </c>
      <c r="AD269" s="2">
        <v>673.6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813.5+(105-405.5)+(-2.074425+(-0.26775--1.034025))+0-0-0</f>
        <v>511.69184999999999</v>
      </c>
      <c r="G270" s="3">
        <f>769.3+(91-392.6)+(-1.177029+(-0.13923--0.600678))+0-0-0</f>
        <v>466.98441899999995</v>
      </c>
      <c r="H270" s="3">
        <f>662.2+(104.7-322.7)+(-1.68861+(-0.266985--0.822885))+0-0-0</f>
        <v>443.06729000000007</v>
      </c>
      <c r="I270" s="3">
        <f>624.7+(109.8-306.9)+(-0.637194+(-0.111996--0.313038))+0-0-0</f>
        <v>427.16384800000009</v>
      </c>
      <c r="J270" s="3">
        <f>629.3+(107.8-314.7)+(0+(0-0))+0-0-0</f>
        <v>422.4</v>
      </c>
      <c r="K270" s="3">
        <f>680.3+(88.5-348.1)+(-1.387812+(-0.18054--0.710124))+0-0-0</f>
        <v>419.84177199999993</v>
      </c>
      <c r="L270" s="3">
        <f>684+(93.9-359.5)+(-1.7442+(-0.239445--0.916725))+0-0-0</f>
        <v>417.33308</v>
      </c>
      <c r="M270" s="3">
        <f>649.7+(97.2-346)+(-0.662694+(-0.099144--0.35292))+0-0-0</f>
        <v>400.49108200000001</v>
      </c>
      <c r="N270" s="3">
        <f>654.8+(105.7-327.8)+(1.001844+(0.161721-0.501534))+0-0-0</f>
        <v>433.36203099999994</v>
      </c>
      <c r="O270" s="3">
        <f>762+(80.1-362.7)+(-0.77724+(-0.081702--0.369954))+0-0-0</f>
        <v>478.91101199999997</v>
      </c>
      <c r="P270" s="3">
        <f>849.7+(69.7-403.6)+(-1.300041+(-0.106641--0.617508))+0-0-0</f>
        <v>515.01082599999995</v>
      </c>
      <c r="Q270" s="3">
        <f>861.7+(68.3-386)+(-0.878934+(-0.069666--0.39372))+0-0-0</f>
        <v>543.44511999999997</v>
      </c>
      <c r="R270" s="3">
        <f>871.3+(57.5-391.5)+(-1.333089+(-0.087975--0.598995))+0-0-0</f>
        <v>536.4779309999999</v>
      </c>
      <c r="S270" s="3">
        <f>996+(23.3-518.3)+(-2.5398+(-0.059415--1.321665))+0-0-0</f>
        <v>499.72245000000004</v>
      </c>
      <c r="T270" s="3">
        <f>1107.8+(19.7-645.5)+(0.564978+(0.010047-0.329205))+0-0-0</f>
        <v>482.24581999999998</v>
      </c>
      <c r="U270" s="3">
        <f>1087.6+(1.6-616)+(0+(0-0))+0-0-0</f>
        <v>473.19999999999993</v>
      </c>
      <c r="V270" s="3">
        <f>1120.3+(8.9-630.1)+(-0.571353+(-0.004539--0.321351))+0-0-0</f>
        <v>498.84545899999989</v>
      </c>
      <c r="W270" s="3">
        <f>1250.6+(11.8-662.7)+(-0.637806+(-0.006018--0.337977))+0-0-0</f>
        <v>599.39415299999985</v>
      </c>
      <c r="X270" s="3">
        <f>1301.1+(16.6-699.9)+(-1.990683+(-0.025398--1.070847))+0-0-0</f>
        <v>616.85476599999993</v>
      </c>
      <c r="Y270" s="3">
        <f>1288.2+(21.2-691.8)+(-2.627928+(-0.043248--1.411272))+0-0-0</f>
        <v>616.34009600000013</v>
      </c>
      <c r="Z270" s="3">
        <f>1284.4+(12.2-686.3)+(-0.655044+(-0.006222--0.350013))+0-0-0</f>
        <v>609.98874700000022</v>
      </c>
      <c r="AA270" s="3">
        <f>1185.5+(0-612.3)+(-1.813815+(0--0.936819))+0-0-0</f>
        <v>572.32300400000008</v>
      </c>
      <c r="AB270" s="3">
        <f>1153.6+(0-617.8)+(-2.94168+(0--1.57539))+0-0-0</f>
        <v>534.43370999999991</v>
      </c>
      <c r="AC270" s="3">
        <f>1035.3+(13.9-564.5)+(-2.112012+(-0.028356--1.15158))+0-0-0</f>
        <v>483.71121199999993</v>
      </c>
      <c r="AD270" s="2">
        <v>621.19999999999993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837.9+(34.8-413.3)+(-1.281987+(-0.053244--0.632349))+0-0-0</f>
        <v>458.69711799999999</v>
      </c>
      <c r="G271" s="3">
        <f>775.3+(33.9-377.3)+(-0.790806+(-0.034578--0.384846))+0-0-0</f>
        <v>431.45946199999992</v>
      </c>
      <c r="H271" s="3">
        <f>763.4+(17.4-375.5)+(0+(0-0))+0-0-0</f>
        <v>405.29999999999995</v>
      </c>
      <c r="I271" s="3">
        <f>761.4+(17.3-384.7)+(-0.388314+(-0.008823--0.196197))+0-0-0</f>
        <v>393.79906</v>
      </c>
      <c r="J271" s="3">
        <f>768.1+(30-393.4)+(0.391731+(0.0153-0.200634))+0-0-0</f>
        <v>404.90639700000003</v>
      </c>
      <c r="K271" s="3">
        <f>797.5+(48.8-436.7)+(0+(0-0))+0-0-0</f>
        <v>409.6</v>
      </c>
      <c r="L271" s="3">
        <f>843.5+(28.3-445.9)+(0.430185+(0.014433-0.227409))+0-0-0</f>
        <v>426.11720900000006</v>
      </c>
      <c r="M271" s="3">
        <f>957+(5.3-501.8)+(0.48807+(0.002703-0.255918))+0-0-0</f>
        <v>460.73485499999998</v>
      </c>
      <c r="N271" s="3">
        <f>1151.7+(0-638.2)+(1.762101+(0-0.976446))+0-0-0</f>
        <v>514.28565500000002</v>
      </c>
      <c r="O271" s="3">
        <f>1155.6+(0-599.6)+(0.589356+(0-0.305796))+0-0-0</f>
        <v>556.28355999999985</v>
      </c>
      <c r="P271" s="3">
        <f>1163.4+(0-571.1)+(2.373336+(0-1.165044))+0-0-0</f>
        <v>593.5082920000001</v>
      </c>
      <c r="Q271" s="3">
        <f>1164.1+(0-557.2)+(-1.781073+(0--0.852516))+0-0-0</f>
        <v>605.97144299999991</v>
      </c>
      <c r="R271" s="3">
        <f>1158.7+(0-565.8)+(-2.363748+(0--1.154232))+0-0-0</f>
        <v>591.69048400000008</v>
      </c>
      <c r="S271" s="3">
        <f>1079.5+(0-510.6)+(0+(0-0))+0-0-0</f>
        <v>568.9</v>
      </c>
      <c r="T271" s="3">
        <f>1144.5+(0-585.8)+(0+(0-0))+0-0-0</f>
        <v>558.70000000000005</v>
      </c>
      <c r="U271" s="3">
        <f>1151+(0-597.1)+(-0.58701+(0--0.304521))+0-0-0</f>
        <v>553.61751099999992</v>
      </c>
      <c r="V271" s="3">
        <f>1160.3+(0-574.5)+(-1.775259+(0--0.878985))+0-0-0</f>
        <v>584.90372600000001</v>
      </c>
      <c r="W271" s="3">
        <f>1168.6+(7.2-498.4)+(-1.191972+(-0.007344--0.508368))+0-0-0</f>
        <v>676.70905199999982</v>
      </c>
      <c r="X271" s="3">
        <f>1174.3+(0-468.9)+(-2.395572+(0--0.956556))+0-0-0</f>
        <v>703.96098399999994</v>
      </c>
      <c r="Y271" s="3">
        <f>1177.5+(0-483.1)+(-2.4021+(0--0.985524))+0-0-0</f>
        <v>692.98342400000001</v>
      </c>
      <c r="Z271" s="3">
        <f>1181.2+(0-513.1)+(0+(0-0))+0-0-0</f>
        <v>668.1</v>
      </c>
      <c r="AA271" s="3">
        <f>1175.1+(0-537.7)+(-1.198602+(0--0.548454))+0-0-0</f>
        <v>636.74985199999992</v>
      </c>
      <c r="AB271" s="3">
        <f>1142.6+(0-539)+(-0.582726+(0--0.27489))+0-0-0</f>
        <v>603.29216399999996</v>
      </c>
      <c r="AC271" s="3">
        <f>1013.1+(0-447.7)+(-1.550043+(0--0.684981))+0-0-0</f>
        <v>564.53493800000012</v>
      </c>
      <c r="AD271" s="2">
        <v>665.4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1001.4+(7.2-505.7)+(-1.021428+(-0.007344--0.515814))+0-0-0</f>
        <v>502.38704199999995</v>
      </c>
      <c r="G272" s="3">
        <f>885.1+(11.3-435.4)+(-2.257005+(-0.028815--1.11027))+0-0-0</f>
        <v>459.82445000000007</v>
      </c>
      <c r="H272" s="3">
        <f>834.9+(46.7-442.9)+(0.851598+(0.047634-0.451758))+0-0-0</f>
        <v>439.14747399999999</v>
      </c>
      <c r="I272" s="3">
        <f>729.8+(106.6-411.4)+(0+(0-0))+0-0-0</f>
        <v>425</v>
      </c>
      <c r="J272" s="3">
        <f>732.8+(85.3-400.8)+(0.747456+(0.087006-0.408816))+0-0-0</f>
        <v>417.72564599999993</v>
      </c>
      <c r="K272" s="3">
        <f>725.3+(107.8-408.2)+(-1.479612+(-0.219912--0.832728))+0-0-0</f>
        <v>424.03320399999996</v>
      </c>
      <c r="L272" s="3">
        <f>879.3+(87.4-520.1)+(0+(0-0))+0-0-0</f>
        <v>446.59999999999991</v>
      </c>
      <c r="M272" s="3">
        <f>1009.1+(67.5-587.4)+(-1.029282+(-0.06885--0.599148))+0-0-0</f>
        <v>488.70101600000004</v>
      </c>
      <c r="N272" s="3">
        <f>1023.6+(31.3-526.7)+(1.044072+(0.031926-0.537234))+0-0-0</f>
        <v>528.73876400000006</v>
      </c>
      <c r="O272" s="3">
        <f>1022.1+(3.4-450)+(0.521271+(0.001734-0.2295))+0-0-0</f>
        <v>575.79350499999998</v>
      </c>
      <c r="P272" s="3">
        <f>1021.9+(2.9-416.5)+(0+(0-0))+0-0-0</f>
        <v>608.29999999999995</v>
      </c>
      <c r="Q272" s="3">
        <f>1012.7+(0-394.4)+(-1.549431+(0--0.603432))+0-0-0</f>
        <v>617.35400100000004</v>
      </c>
      <c r="R272" s="3">
        <f>1006.4+(0-390.2)+(-3.079584+(0--1.194012))+0-0-0</f>
        <v>614.31442800000002</v>
      </c>
      <c r="S272" s="3">
        <f>1008.3+(0-411.8)+(-1.542699+(0--0.630054))+0-0-0</f>
        <v>595.587355</v>
      </c>
      <c r="T272" s="3">
        <f>1026+(0-441.3)+(2.09304+(0-0.900252))+0-0-0</f>
        <v>585.892788</v>
      </c>
      <c r="U272" s="3">
        <f>990.3+(4.5-411.1)+(-1.515159+(-0.006885--0.628983))+0-0-0</f>
        <v>582.80693899999994</v>
      </c>
      <c r="V272" s="3">
        <f>1017+(27.8-415.3)+(0.51867+(0.014178-0.211803))+0-0-0</f>
        <v>629.82104500000003</v>
      </c>
      <c r="W272" s="3">
        <f>1131.2+(47.4-449.1)+(-2.307648+(-0.096696--0.916164))+0-0-0</f>
        <v>728.01181999999994</v>
      </c>
      <c r="X272" s="3">
        <f>1239.5+(57.4-563.7)+(-1.26429+(-0.058548--0.574974))+0-0-0</f>
        <v>732.45213599999988</v>
      </c>
      <c r="Y272" s="3">
        <f>1167.8+(67.5-513.2)+(-2.382312+(-0.1377--1.046928))+0-0-0</f>
        <v>720.62691599999994</v>
      </c>
      <c r="Z272" s="3">
        <f>1145.6+(77.9-519.4)+(0.584256+(0.039729-0.264894))+0-0-0</f>
        <v>704.45909099999994</v>
      </c>
      <c r="AA272" s="3">
        <f>1138.7+(81.2-546.6)+(-2.322948+(-0.165648--1.115064))+0-0-0</f>
        <v>671.926468</v>
      </c>
      <c r="AB272" s="3">
        <f>1138.8+(50.6-557.4)+(-1.742364+(-0.077418--0.852822))+0-0-0</f>
        <v>631.03304000000003</v>
      </c>
      <c r="AC272" s="3">
        <f>1019.2+(1.7-455.9)+(0.519792+(0.000867-0.232509))+0-0-0</f>
        <v>565.28814999999997</v>
      </c>
      <c r="AD272" s="2">
        <v>700.2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898.9+(40.4-449.9)+(-2.292195+(-0.10302--1.147245))+0-0-0</f>
        <v>488.15202999999997</v>
      </c>
      <c r="G273" s="3">
        <f>832.8+(42.4-424.5)+(0+(0-0))+0-0-0</f>
        <v>450.69999999999993</v>
      </c>
      <c r="H273" s="3">
        <f>716.6+(80.2-370.2)+(-0.365466+(-0.040902--0.188802))+0-0-0</f>
        <v>426.38243400000005</v>
      </c>
      <c r="I273" s="3">
        <f>701.7+(77.9-359)+(0.715734+(0.079458-0.36618))+0-0-0</f>
        <v>421.02901200000002</v>
      </c>
      <c r="J273" s="3">
        <f>701.2+(75.7-354.3)+(0.357612+(0.038607-0.180693))+0-0-0</f>
        <v>422.81552600000003</v>
      </c>
      <c r="K273" s="3">
        <f>701.8+(77-350.8)+(1.431672+(0.15708-0.715632))+0-0-0</f>
        <v>428.87311999999991</v>
      </c>
      <c r="L273" s="3">
        <f>773.4+(61.6-393.6)+(-1.183302+(-0.094248--0.602208))+0-0-0</f>
        <v>440.72465799999998</v>
      </c>
      <c r="M273" s="3">
        <f>743.7+(54.3-346.2)+(0+(0-0))+0-0-0</f>
        <v>451.80000000000007</v>
      </c>
      <c r="N273" s="3">
        <f>807.4+(55-353.4)+(1.235322+(0.08415-0.540702))+0-0-0</f>
        <v>509.77877000000001</v>
      </c>
      <c r="O273" s="3">
        <f>810.4+(73.8-339)+(1.239912+(0.112914-0.51867))+0-0-0</f>
        <v>546.03415600000005</v>
      </c>
      <c r="P273" s="3">
        <f>914.8+(48-380.4)+(0+(0-0))+0-0-0</f>
        <v>582.4</v>
      </c>
      <c r="Q273" s="3">
        <f>913.3+(44.9-351.8)+(0.465783+(0.022899-0.179418))+0-0-0</f>
        <v>606.70926399999985</v>
      </c>
      <c r="R273" s="3">
        <f>895.2+(51.7-350.2)+(-2.28276+(-0.131835--0.89301))+0-0-0</f>
        <v>595.17841500000009</v>
      </c>
      <c r="S273" s="3">
        <f>910.1+(38.6-377.4)+(-0.928302+(-0.039372--0.384948))+0-0-0</f>
        <v>570.71727400000009</v>
      </c>
      <c r="T273" s="3">
        <f>910.8+(25.8-374.8)+(0+(0-0))+0-0-0</f>
        <v>561.79999999999995</v>
      </c>
      <c r="U273" s="3">
        <f>905.1+(24.8-377.7)+(-1.846404+(-0.050592--0.770508))+0-0-0</f>
        <v>551.07351200000005</v>
      </c>
      <c r="V273" s="3">
        <f>1063.9+(0-494.1)+(1.085178+(0-0.503982))+0-0-0</f>
        <v>570.38119600000005</v>
      </c>
      <c r="W273" s="3">
        <f>1236.9+(0-551)+(0+(0-0))+0-0-0</f>
        <v>685.90000000000009</v>
      </c>
      <c r="X273" s="3">
        <f>1185.1+(0-474)+(-3.626406+(0--1.45044))+0-0-0</f>
        <v>708.92403399999989</v>
      </c>
      <c r="Y273" s="3">
        <f>1129.6+(0-434.5)+(-1.728288+(0--0.664785))+0-0-0</f>
        <v>694.03649699999994</v>
      </c>
      <c r="Z273" s="3">
        <f>1128.5+(0-452.3)+(-1.15107+(0--0.461346))+0-0-0</f>
        <v>675.51027600000009</v>
      </c>
      <c r="AA273" s="3">
        <f>1127.9+(83.1-563.6)+(-1.150458+(-0.084762--0.574872))+0-0-0</f>
        <v>646.73965200000009</v>
      </c>
      <c r="AB273" s="3">
        <f>1122.5+(122.7-633.7)+(-2.2899+(-0.250308--1.292748))+0-0-0</f>
        <v>610.25253999999995</v>
      </c>
      <c r="AC273" s="3">
        <f>1057+(123.6-617.3)+(-1.07814+(-0.126072--0.629646))+0-0-0</f>
        <v>562.72543400000006</v>
      </c>
      <c r="AD273" s="2">
        <v>714.6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925+(121.2-528.9)+(-1.41525+(-0.185436--0.809217))+0-0-0</f>
        <v>516.50853099999995</v>
      </c>
      <c r="G274" s="3">
        <f>919+(80.4-523.7)+(-2.81214+(-0.246024--1.602522))+0-0-0</f>
        <v>474.24435799999992</v>
      </c>
      <c r="H274" s="3">
        <f>855+(60.9-458.1)+(-1.7442+(-0.124236--0.934524))+0-0-0</f>
        <v>456.86608799999993</v>
      </c>
      <c r="I274" s="3">
        <f>707+(81.8-344.5)+(0+(0-0))+0-0-0</f>
        <v>444.3</v>
      </c>
      <c r="J274" s="3">
        <f>708.6+(78.5-350.7)+(0.722772+(0.08007-0.357714))+0-0-0</f>
        <v>436.84512800000005</v>
      </c>
      <c r="K274" s="3">
        <f>707.8+(76.4-344)+(0+(0-0))+0-0-0</f>
        <v>440.19999999999993</v>
      </c>
      <c r="L274" s="3">
        <f>859+(36.4-441)+(-0.87618+(-0.037128--0.44982))+0-0-0</f>
        <v>453.93651199999999</v>
      </c>
      <c r="M274" s="3">
        <f>1012.9+(23.4-554.5)+(1.033158+(0.023868-0.56559))+0-0-0</f>
        <v>482.29143599999998</v>
      </c>
      <c r="N274" s="3">
        <f>993.7+(40.5-501.2)+(1.013574+(0.04131-0.511224))+0-0-0</f>
        <v>533.54366000000005</v>
      </c>
      <c r="O274" s="3">
        <f>996.6+(50.2-482.9)+(1.524798+(0.076806-0.738837))+0-0-0</f>
        <v>564.76276700000005</v>
      </c>
      <c r="P274" s="3">
        <f>1003.6+(60-483.9)+(0+(0-0))+0-0-0</f>
        <v>579.70000000000005</v>
      </c>
      <c r="Q274" s="3">
        <f>1007.8+(62.6-464.3)+(0.513978+(0.031926-0.236793))+0-0-0</f>
        <v>606.40911099999994</v>
      </c>
      <c r="R274" s="3">
        <f>992.1+(31.7-449.9)+(-3.035826+(-0.097002--1.376694))+0-0-0</f>
        <v>572.14386600000012</v>
      </c>
      <c r="S274" s="3">
        <f>1003.6+(5.9-454.1)+(0+(0-0))+0-0-0</f>
        <v>555.4</v>
      </c>
      <c r="T274" s="3">
        <f>1003.6+(0-462.6)+(0+(0-0))+0-0-0</f>
        <v>541</v>
      </c>
      <c r="U274" s="3">
        <f>1087.5+(0-551.3)+(0+(0-0))+0-0-0</f>
        <v>536.20000000000005</v>
      </c>
      <c r="V274" s="3">
        <f>1179.8+(1.5-616)+(0+(0-0))+0-0-0</f>
        <v>565.29999999999995</v>
      </c>
      <c r="W274" s="3">
        <f>1256.2+(0-582.9)+(-0.640662+(0--0.297279))+0-0-0</f>
        <v>672.95661700000005</v>
      </c>
      <c r="X274" s="3">
        <f>1212.4+(2.7-519.6)+(-1.236648+(-0.002754--0.529992))+0-0-0</f>
        <v>694.79059000000007</v>
      </c>
      <c r="Y274" s="3">
        <f>1040.7+(11.7-369.7)+(0+(0-0))+0-0-0</f>
        <v>682.7</v>
      </c>
      <c r="Z274" s="3">
        <f>940.8+(35.5-319.8)+(-0.479808+(-0.018105--0.163098))+0-0-0</f>
        <v>656.16518499999995</v>
      </c>
      <c r="AA274" s="3">
        <f>878+(56.5-303.9)+(-0.89556+(-0.05763--0.309978))+0-0-0</f>
        <v>629.95678800000007</v>
      </c>
      <c r="AB274" s="3">
        <f>933.7+(85.9-416.1)+(0.476187+(0.043809-0.212211))+0-0-0</f>
        <v>603.80778499999997</v>
      </c>
      <c r="AC274" s="3">
        <f>935.5+(85.6-475.1)+(-3.339735+(-0.305592--1.696107))+0-0-0</f>
        <v>544.05078000000003</v>
      </c>
      <c r="AD274" s="2">
        <v>695.8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838.4+(68.9-403.5)+(-2.13792+(-0.175695--1.028925))+0-0-0</f>
        <v>502.51530999999994</v>
      </c>
      <c r="G275" s="3">
        <f>787.1+(47.2-375.4)+(-2.007105+(-0.12036--0.95727))+0-0-0</f>
        <v>457.72980500000006</v>
      </c>
      <c r="H275" s="3">
        <f>686.1+(72.1-317.3)+(0.349911+(0.036771-0.161823))+0-0-0</f>
        <v>441.12485899999996</v>
      </c>
      <c r="I275" s="3">
        <f>679.3+(79.3-321.3)+(1.039329+(0.121329-0.491589))+0-0-0</f>
        <v>437.96906899999993</v>
      </c>
      <c r="J275" s="3">
        <f>671.5+(75.8-309.9)+(0+(0-0))+0-0-0</f>
        <v>437.40000000000003</v>
      </c>
      <c r="K275" s="3">
        <f>696.7+(60.9-315.6)+(1.776585+(0.155295-0.80478))+0-0-0</f>
        <v>443.12709999999998</v>
      </c>
      <c r="L275" s="3">
        <f>723.4+(42.7-305.7)+(0.737868+(0.043554-0.311814))+0-0-0</f>
        <v>460.86960799999997</v>
      </c>
      <c r="M275" s="3">
        <f>737+(58-316.8)+(0+(0-0))+0-0-0</f>
        <v>478.2</v>
      </c>
      <c r="N275" s="3">
        <f>772.4+(79.7-332.1)+(0.787848+(0.081294-0.338742))+0-0-0</f>
        <v>520.53039999999999</v>
      </c>
      <c r="O275" s="3">
        <f>776.2+(123.1-334.1)+(0.791724+(0.125562-0.340782))+0-0-0</f>
        <v>565.77650400000005</v>
      </c>
      <c r="P275" s="3">
        <f>766.6+(150.1-313.5)+(-1.95483+(-0.382755--0.799425))+0-0-0</f>
        <v>601.6618400000001</v>
      </c>
      <c r="Q275" s="3">
        <f>769.7+(126.6-278.2)+(-0.392547+(-0.064566--0.141882))+0-0-0</f>
        <v>617.78476899999998</v>
      </c>
      <c r="R275" s="3">
        <f>780.2+(101.4-275.5)+(-1.98951+(-0.25857--0.702525))+0-0-0</f>
        <v>604.55444499999999</v>
      </c>
      <c r="S275" s="3">
        <f>816.6+(77.2-308.1)+(-0.832932+(-0.078744--0.314262))+0-0-0</f>
        <v>585.10258600000009</v>
      </c>
      <c r="T275" s="3">
        <f>875.3+(50.8-341.3)+(-1.785612+(-0.103632--0.696252))+0-0-0</f>
        <v>583.60700799999995</v>
      </c>
      <c r="U275" s="3">
        <f>943.8+(0-375.7)+(1.444014+(0-0.574821))+0-0-0</f>
        <v>568.9691929999999</v>
      </c>
      <c r="V275" s="3">
        <f>991.2+(7-389.3)+(0+(0-0))+0-0-0</f>
        <v>608.90000000000009</v>
      </c>
      <c r="W275" s="3">
        <f>994.8+(41.2-309.4)+(-0.507348+(-0.021012--0.157794))+0-0-0</f>
        <v>726.22943399999986</v>
      </c>
      <c r="X275" s="3">
        <f>1004.7+(77.9-345.3)+(-0.512397+(-0.039729--0.176103))+0-0-0</f>
        <v>736.92397700000004</v>
      </c>
      <c r="Y275" s="3">
        <f>1021.2+(67.2-360.7)+(-3.124872+(-0.205632--1.103742))+0-0-0</f>
        <v>725.47323800000004</v>
      </c>
      <c r="Z275" s="3">
        <f>1021.3+(29.6-345.9)+(-1.041726+(-0.030192--0.352818))+0-0-0</f>
        <v>704.28089999999997</v>
      </c>
      <c r="AA275" s="3">
        <f>987.1+(21.4-341.2)+(-2.517105+(-0.05457--0.87006))+0-0-0</f>
        <v>665.59838500000001</v>
      </c>
      <c r="AB275" s="3">
        <f>910.5+(59.3-337.7)+(0+(0-0))+0-0-0</f>
        <v>632.1</v>
      </c>
      <c r="AC275" s="3">
        <f>918+(59.3-399.2)+(-1.40454+(-0.090729--0.610776))+0-0-0</f>
        <v>577.215507</v>
      </c>
      <c r="AD275" s="2">
        <v>719.80000000000007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913.5+(11.2-415.1)+(-1.397655+(-0.017136--0.635103))+0-0-0</f>
        <v>508.82031199999994</v>
      </c>
      <c r="G276" s="3">
        <f>915.5+(2.2-446)+(0+(0-0))+0-0-0</f>
        <v>471.7</v>
      </c>
      <c r="H276" s="3">
        <f>910.2+(4.8-468.8)+(-0.464202+(-0.002448--0.239088))+0-0-0</f>
        <v>445.97243800000007</v>
      </c>
      <c r="I276" s="3">
        <f>915.8+(0-518.3)+(0.467058+(0-0.264333))+0-0-0</f>
        <v>397.70272499999999</v>
      </c>
      <c r="J276" s="3">
        <f>917.3+(0-536.6)+(0.467823+(0-0.273666))+0-0-0</f>
        <v>380.89415699999995</v>
      </c>
      <c r="K276" s="3">
        <f>919.1+(0-531)+(0.468741+(0-0.27081))+0-0-0</f>
        <v>388.29793100000001</v>
      </c>
      <c r="L276" s="3">
        <f>924.7+(0-512.9)+(-1.886388+(0--1.046316))+0-0-0</f>
        <v>410.95992800000005</v>
      </c>
      <c r="M276" s="3">
        <f>949.7+(3.4-514.9)+(1.453041+(0.005202-0.787797))+0-0-0</f>
        <v>438.87044600000007</v>
      </c>
      <c r="N276" s="3">
        <f>1006.2+(9.6-508)+(1.539486+(0.014688-0.77724))+0-0-0</f>
        <v>508.57693400000005</v>
      </c>
      <c r="O276" s="3">
        <f>977.3+(72.2-487.7)+(0.996846+(0.073644-0.497454))+0-0-0</f>
        <v>562.37303599999996</v>
      </c>
      <c r="P276" s="3">
        <f>985.6+(88.9-474.5)+(0.502656+(0.045339-0.241995))+0-0-0</f>
        <v>600.30600000000004</v>
      </c>
      <c r="Q276" s="3">
        <f>1010.5+(97.8-499.7)+(0.515355+(0.049878-0.254847))+0-0-0</f>
        <v>608.91038600000002</v>
      </c>
      <c r="R276" s="3">
        <f>1007.2+(78-501.4)+(-1.027344+(-0.07956--0.511428))+0-0-0</f>
        <v>583.20452400000011</v>
      </c>
      <c r="S276" s="3">
        <f>1003.2+(44.1-493.7)+(-2.55816+(-0.112455--1.258935))+0-0-0</f>
        <v>552.18832000000009</v>
      </c>
      <c r="T276" s="3">
        <f>1018.8+(26.3-512.4)+(2.59794+(0.067065-1.30662))+0-0-0</f>
        <v>534.05838500000004</v>
      </c>
      <c r="U276" s="3">
        <f>1009.4+(2.4-480.3)+(0+(0-0))+0-0-0</f>
        <v>531.5</v>
      </c>
      <c r="V276" s="3">
        <f>1029.7+(4.6-476.2)+(0.525147+(0.002346-0.242862))+0-0-0</f>
        <v>558.38463100000013</v>
      </c>
      <c r="W276" s="3">
        <f>1112.3+(23.8-477.7)+(-0.567273+(-0.012138--0.243627))+0-0-0</f>
        <v>658.06421599999999</v>
      </c>
      <c r="X276" s="3">
        <f>1077.7+(28.3-364.2)+(-1.648881+(-0.043299--0.557226))+0-0-0</f>
        <v>740.66504600000007</v>
      </c>
      <c r="Y276" s="3">
        <f>989.9+(20.2-370.9)+(-3.029094+(-0.061812--1.134954))+0-0-0</f>
        <v>637.24404800000002</v>
      </c>
      <c r="Z276" s="3">
        <f>991.8+(26.3-415.4)+(-2.023272+(-0.053652--0.847416))+0-0-0</f>
        <v>601.47049200000004</v>
      </c>
      <c r="AA276" s="3">
        <f>961.4+(27.9-427.5)+(1.470942+(0.042687-0.654075))+0-0-0</f>
        <v>562.65955399999996</v>
      </c>
      <c r="AB276" s="3">
        <f>959.3+(48.6-446.5)+(-0.978486+(-0.049572--0.45543))+0-0-0</f>
        <v>560.82737199999997</v>
      </c>
      <c r="AC276" s="3">
        <f>929.4+(31.8-445.6)+(-1.421982+(-0.048654--0.681768))+0-0-0</f>
        <v>514.81113199999993</v>
      </c>
      <c r="AD276" s="2">
        <v>640.5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921.5+(0-454.6)+(-1.87986+(0--0.927384))+0-0-0</f>
        <v>465.94752399999999</v>
      </c>
      <c r="G277" s="3">
        <f>801.2+(36.4-416.7)+(0.817224+(0.037128-0.425034))+0-0-0</f>
        <v>421.32931800000006</v>
      </c>
      <c r="H277" s="3">
        <f>730.7+(22.3-358.7)+(-1.117971+(-0.034119--0.548811))+0-0-0</f>
        <v>393.69672100000008</v>
      </c>
      <c r="I277" s="3">
        <f>621+(32.3-282.2)+(-0.63342+(-0.032946--0.287844))+0-0-0</f>
        <v>370.72147800000005</v>
      </c>
      <c r="J277" s="3">
        <f>585.9+(65.4-287.4)+(-0.298809+(-0.033354--0.146574))+0-0-0</f>
        <v>363.71441099999998</v>
      </c>
      <c r="K277" s="3">
        <f>582.9+(73.3-279.8)+(-1.486395+(-0.186915--0.71349))+0-0-0</f>
        <v>375.44018</v>
      </c>
      <c r="L277" s="3">
        <f>583.2+(27.5-239.2)+(-1.189728+(-0.0561--0.487968))+0-0-0</f>
        <v>370.74214000000006</v>
      </c>
      <c r="M277" s="3">
        <f>589.3+(18.9-261.6)+(-0.601086+(-0.019278--0.266832))+0-0-0</f>
        <v>346.24646799999994</v>
      </c>
      <c r="N277" s="3">
        <f>594+(18.4-240.6)+(-0.30294+(-0.009384--0.122706))+0-0-0</f>
        <v>371.61038200000002</v>
      </c>
      <c r="O277" s="3">
        <f>656.4+(7.6-258.5)+(0.669528+(0.007752-0.26367))+0-0-0</f>
        <v>405.91361000000001</v>
      </c>
      <c r="P277" s="3">
        <f>790.3+(7.3-338.4)+(-0.403053+(-0.003723--0.172584))+0-0-0</f>
        <v>458.96580799999998</v>
      </c>
      <c r="Q277" s="3">
        <f>823.7+(7.7-355.9)+(-1.260261+(-0.011781--0.544527))+0-0-0</f>
        <v>474.77248500000007</v>
      </c>
      <c r="R277" s="3">
        <f>846.8+(7.5-389.5)+(-1.295604+(-0.011475--0.595935))+0-0-0</f>
        <v>464.08885599999996</v>
      </c>
      <c r="S277" s="3">
        <f>846+(20-414)+(-1.72584+(-0.0408--0.84456))+0-0-0</f>
        <v>451.07792000000001</v>
      </c>
      <c r="T277" s="3">
        <f>844.6+(41.7-448.2)+(-0.861492+(-0.042534--0.457164))+0-0-0</f>
        <v>437.65313800000001</v>
      </c>
      <c r="U277" s="3">
        <f>809.4+(46.8-426.1)+(-0.412794+(-0.023868--0.217311))+0-0-0</f>
        <v>429.88064899999995</v>
      </c>
      <c r="V277" s="3">
        <f>784.5+(73.4-398.3)+(-0.80019+(-0.074868--0.406266))+0-0-0</f>
        <v>459.13120800000002</v>
      </c>
      <c r="W277" s="3">
        <f>847+(117.6-403.3)+(0.86394+(0.119952-0.411366))+0-0-0</f>
        <v>561.87252599999999</v>
      </c>
      <c r="X277" s="3">
        <f>857.8+(90.3-365.3)+(0+(0-0))+0-0-0</f>
        <v>582.79999999999995</v>
      </c>
      <c r="Y277" s="3">
        <f>852.9+(88.3-353.2)+(-1.739916+(-0.180132--0.720528))+0-0-0</f>
        <v>586.80047999999999</v>
      </c>
      <c r="Z277" s="3">
        <f>854.2+(86.8-345.4)+(-0.871284+(-0.088536--0.352308))+0-0-0</f>
        <v>594.99248800000009</v>
      </c>
      <c r="AA277" s="3">
        <f>856.4+(75.5-342.7)+(0+(0-0))+0-0-0</f>
        <v>589.20000000000005</v>
      </c>
      <c r="AB277" s="3">
        <f>850.9+(86.5-392.8)+(-1.735836+(-0.17646--0.801312))+0-0-0</f>
        <v>543.48901599999988</v>
      </c>
      <c r="AC277" s="3">
        <f>832.3+(49.3-382.6)+(-2.122365+(-0.125715--0.97563))+0-0-0</f>
        <v>497.72754999999995</v>
      </c>
      <c r="AD277" s="2">
        <v>585.29999999999995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774.9+(33.8-369.7)+(0.790398+(0.034476-0.377094))+0-0-0</f>
        <v>439.44778000000002</v>
      </c>
      <c r="G278" s="3">
        <f>726.1+(25.7-338.2)+(-1.851555+(-0.065535--0.86241))+0-0-0</f>
        <v>412.54532</v>
      </c>
      <c r="H278" s="3">
        <f>630.4+(56.4-290.1)+(0.321504+(0.028764-0.147951))+0-0-0</f>
        <v>396.90231699999993</v>
      </c>
      <c r="I278" s="3">
        <f>706+(27.9-341.9)+(-0.36006+(-0.014229--0.174369))+0-0-0</f>
        <v>391.80007999999998</v>
      </c>
      <c r="J278" s="3">
        <f>663.5+(44.6-313.4)+(-0.338385+(-0.022746--0.159834))+0-0-0</f>
        <v>394.49870300000003</v>
      </c>
      <c r="K278" s="3">
        <f>793.2+(30.5-431.2)+(1.618128+(0.06222-0.879648))+0-0-0</f>
        <v>393.30070000000006</v>
      </c>
      <c r="L278" s="3">
        <f>855.6+(10.8-440.6)+(-0.872712+(-0.011016--0.449412))+0-0-0</f>
        <v>425.36568399999999</v>
      </c>
      <c r="M278" s="3">
        <f>902.1+(18.1-461.5)+(0.460071+(0.009231-0.235365))+0-0-0</f>
        <v>458.93393700000007</v>
      </c>
      <c r="N278" s="3">
        <f>972.5+(16.1-486.8)+(0+(0-0))+0-0-0</f>
        <v>501.8</v>
      </c>
      <c r="O278" s="3">
        <f>1044.6+(0-500.2)+(0+(0-0))+0-0-0</f>
        <v>544.39999999999986</v>
      </c>
      <c r="P278" s="3">
        <f>1041.4+(0-476.7)+(-2.124456+(0--0.972468))+0-0-0</f>
        <v>563.54801200000009</v>
      </c>
      <c r="Q278" s="3">
        <f>1044.2+(0-479.5)+(-2.130168+(0--0.97818))+0-0-0</f>
        <v>563.54801200000009</v>
      </c>
      <c r="R278" s="3">
        <f>1036.5+(0-486.3)+(-1.585845+(0--0.744039))+0-0-0</f>
        <v>549.35819400000003</v>
      </c>
      <c r="S278" s="3">
        <f>1031+(0-498.9)+(-1.05162+(0--0.508878))+0-0-0</f>
        <v>531.55725800000005</v>
      </c>
      <c r="T278" s="3">
        <f>950.1+(0-426)+(-0.969102+(0--0.43452))+0-0-0</f>
        <v>523.56541800000002</v>
      </c>
      <c r="U278" s="3">
        <f>956+(0-433.5)+(0+(0-0))+0-0-0</f>
        <v>522.5</v>
      </c>
      <c r="V278" s="3">
        <f>946.7+(3.7-406.9)+(-1.931268+(-0.007548--0.830076))+0-0-0</f>
        <v>542.39125999999999</v>
      </c>
      <c r="W278" s="3">
        <f>1068+(4-416.8)+(1.08936+(0.00408-0.425136))+0-0-0</f>
        <v>655.86830400000008</v>
      </c>
      <c r="X278" s="3">
        <f>1186.9+(0-485.3)+(-3.631914+(0--1.485018))+0-0-0</f>
        <v>699.45310400000017</v>
      </c>
      <c r="Y278" s="3">
        <f>1198.1+(0-501.5)+(0.611031+(0-0.255765))+0-0-0</f>
        <v>696.95526599999994</v>
      </c>
      <c r="Z278" s="3">
        <f>1190.5+(0-509.9)+(-2.42862+(0--1.040196))+0-0-0</f>
        <v>679.21157600000004</v>
      </c>
      <c r="AA278" s="3">
        <f>1194+(0-552.5)+(-1.82682+(0--0.845325))+0-0-0</f>
        <v>640.518505</v>
      </c>
      <c r="AB278" s="3">
        <f>1196.7+(0-579.5)+(-0.610317+(0--0.295545))+0-0-0</f>
        <v>616.8852280000001</v>
      </c>
      <c r="AC278" s="3">
        <f>1185.4+(0-621)+(-3.627324+(0--1.90026))+0-0-0</f>
        <v>562.67293600000005</v>
      </c>
      <c r="AD278" s="2">
        <v>714.3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1120.5+(0-587.8)+(-1.14291+(0--0.599556))+0-0-0</f>
        <v>532.15664600000002</v>
      </c>
      <c r="G279" s="3">
        <f>963.7+(8.5-485.7)+(0.491487+(0.004335-0.247707))+0-0-0</f>
        <v>486.74811500000004</v>
      </c>
      <c r="H279" s="3">
        <f>824.8+(30.5-398.8)+(-0.420648+(-0.015555--0.203388))+0-0-0</f>
        <v>456.26718499999993</v>
      </c>
      <c r="I279" s="3">
        <f>815.5+(21.2-394.7)+(0.415905+(0.010812-0.201297))+0-0-0</f>
        <v>442.22541999999999</v>
      </c>
      <c r="J279" s="3">
        <f>809.5+(14.6-377.5)+(-0.412845+(-0.007446--0.192525))+0-0-0</f>
        <v>446.37223400000005</v>
      </c>
      <c r="K279" s="3">
        <f>814.1+(18.8-376.4)+(0+(0-0))+0-0-0</f>
        <v>456.50000000000006</v>
      </c>
      <c r="L279" s="3">
        <f>833.3+(29.2-389.3)+(-1.699932+(-0.059568--0.794172))+0-0-0</f>
        <v>472.23467199999993</v>
      </c>
      <c r="M279" s="3">
        <f>963.9+(88.6-547.7)+(-1.966356+(-0.180744--1.117308))+0-0-0</f>
        <v>503.77020799999997</v>
      </c>
      <c r="N279" s="3">
        <f>1008.3+(115.9-582.6)+(1.542699+(0.177327-0.891378))+0-0-0</f>
        <v>542.42864799999995</v>
      </c>
      <c r="O279" s="3">
        <f>1033.9+(65.3-527.3)+(-1.581867+(-0.099909--0.806769))+0-0-0</f>
        <v>571.02499300000011</v>
      </c>
      <c r="P279" s="3">
        <f>1065.4+(38.5-517.6)+(0+(0-0))+0-0-0</f>
        <v>586.30000000000007</v>
      </c>
      <c r="Q279" s="3">
        <f>1052.1+(29.4-482.3)+(-2.682855+(-0.07497--1.229865))+0-0-0</f>
        <v>597.67203999999981</v>
      </c>
      <c r="R279" s="3">
        <f>1052.9+(40.5-525.6)+(-2.684895+(-0.103275--1.34028))+0-0-0</f>
        <v>566.35211000000004</v>
      </c>
      <c r="S279" s="3">
        <f>1071+(22.9-534.8)+(-1.63863+(-0.035037--0.818244))+0-0-0</f>
        <v>558.24457700000005</v>
      </c>
      <c r="T279" s="3">
        <f>1053.7+(6.8-506.7)+(-0.537387+(-0.003468--0.258417))+0-0-0</f>
        <v>553.51756200000011</v>
      </c>
      <c r="U279" s="3">
        <f>1077.7+(0-520.1)+(-0.549627+(0--0.265251))+0-0-0</f>
        <v>557.31562400000007</v>
      </c>
      <c r="V279" s="3">
        <f>1052.4+(1.8-474.4)+(-0.536724+(-0.000918--0.241944))+0-0-0</f>
        <v>579.50430200000017</v>
      </c>
      <c r="W279" s="3">
        <f>1188.6+(14.1-520.2)+(-1.212372+(-0.014382--0.530604))+0-0-0</f>
        <v>681.8038499999999</v>
      </c>
      <c r="X279" s="3">
        <f>1188.7+(17.5-481.4)+(-2.424948+(-0.0357--0.982056))+0-0-0</f>
        <v>723.32140800000002</v>
      </c>
      <c r="Y279" s="3">
        <f>1140.2+(21.8-438.7)+(-1.744506+(-0.033354--0.671211))+0-0-0</f>
        <v>722.19335100000012</v>
      </c>
      <c r="Z279" s="3">
        <f>1076.6+(30.2-412.5)+(-1.647198+(-0.046206--0.631125))+0-0-0</f>
        <v>693.23772099999996</v>
      </c>
      <c r="AA279" s="3">
        <f>1083.9+(22.4-445.2)+(-1.105578+(-0.022848--0.454104))+0-0-0</f>
        <v>660.42567800000018</v>
      </c>
      <c r="AB279" s="3">
        <f>1077.2+(54.2-501.9)+(-2.74686+(-0.13821--1.279845))+0-0-0</f>
        <v>627.89477499999998</v>
      </c>
      <c r="AC279" s="3">
        <f>1071.1+(26.9-532)+(-3.277566+(-0.082314--1.62792))+0-0-0</f>
        <v>564.26803999999993</v>
      </c>
      <c r="AD279" s="2">
        <v>719.7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956.5+(1.2-453)+(-1.95126+(-0.002448--0.92412))+0-0-0</f>
        <v>503.670412</v>
      </c>
      <c r="G280" s="3">
        <f>869.5+(5-411.4)+(-0.443445+(-0.00255--0.209814))+0-0-0</f>
        <v>462.86381900000003</v>
      </c>
      <c r="H280" s="3">
        <f>743.8+(33-333.1)+(-1.89669+(-0.08415--0.849405))+0-0-0</f>
        <v>442.56856499999992</v>
      </c>
      <c r="I280" s="3">
        <f>709.8+(46.3-320)+(0.361998+(0.023613-0.1632))+0-0-0</f>
        <v>436.32241099999999</v>
      </c>
      <c r="J280" s="3">
        <f>703+(46.1-317)+(-0.35853+(-0.023511--0.16167))+0-0-0</f>
        <v>431.87962900000002</v>
      </c>
      <c r="K280" s="3">
        <f>710.6+(52.8-330.7)+(0.362406+(0.026928-0.168657))+0-0-0</f>
        <v>432.92067700000007</v>
      </c>
      <c r="L280" s="3">
        <f>754.4+(61.5-380.4)+(-0.769488+(-0.06273--0.388008))+0-0-0</f>
        <v>435.05579</v>
      </c>
      <c r="M280" s="3">
        <f>832.9+(41.9-395.9)+(0.849558+(0.042738-0.403818))+0-0-0</f>
        <v>479.38847799999996</v>
      </c>
      <c r="N280" s="3">
        <f>1012.8+(16.1-505.2)+(-2.066112+(-0.032844--1.030608))+0-0-0</f>
        <v>522.63165200000003</v>
      </c>
      <c r="O280" s="3">
        <f>1030.5+(12-492.3)+(0.525555+(0.00612-0.251073))+0-0-0</f>
        <v>550.48060200000009</v>
      </c>
      <c r="P280" s="3">
        <f>1066.5+(15-516.4)+(-2.17566+(-0.0306--1.053456))+0-0-0</f>
        <v>563.94719600000008</v>
      </c>
      <c r="Q280" s="3">
        <f>1067.8+(3.4-499.6)+(-2.178312+(-0.006936--1.019184))+0-0-0</f>
        <v>570.4339359999999</v>
      </c>
      <c r="R280" s="3">
        <f>1067.6+(0-492.5)+(-1.633428+(0--0.753525))+0-0-0</f>
        <v>574.2200969999999</v>
      </c>
      <c r="S280" s="3">
        <f>1082.1+(0-496.6)+(0.551871+(0-0.253266))+0-0-0</f>
        <v>585.79860499999984</v>
      </c>
      <c r="T280" s="3">
        <f>1071.4+(0-494.4)+(-0.546414+(0--0.252144))+0-0-0</f>
        <v>576.70573000000013</v>
      </c>
      <c r="U280" s="3">
        <f>1070.9+(0-489.9)+(-0.546159+(0--0.249849))+0-0-0</f>
        <v>580.70369000000017</v>
      </c>
      <c r="V280" s="3">
        <f>1156.8+(4.3-539.8)+(-1.769904+(-0.006579--0.825894))+0-0-0</f>
        <v>620.34941099999992</v>
      </c>
      <c r="W280" s="3">
        <f>1200.7+(3.8-509.4)+(-1.224714+(-0.003876--0.519588))+0-0-0</f>
        <v>694.39099800000008</v>
      </c>
      <c r="X280" s="3">
        <f>1185.5+(13.2-485.2)+(-2.41842+(-0.026928--0.989808))+0-0-0</f>
        <v>712.04445999999996</v>
      </c>
      <c r="Y280" s="3">
        <f>1173.3+(14.9-489.6)+(0+(0-0))+0-0-0</f>
        <v>698.59999999999991</v>
      </c>
      <c r="Z280" s="3">
        <f>1184.3+(13-510.5)+(1.207986+(0.01326-0.52071))+0-0-0</f>
        <v>687.50053600000001</v>
      </c>
      <c r="AA280" s="3">
        <f>1115.5+(12.2-485.7)+(-1.706715+(-0.018666--0.743121))+0-0-0</f>
        <v>641.01774</v>
      </c>
      <c r="AB280" s="3">
        <f>1069.9+(4.4-481.7)+(-0.545649+(-0.002244--0.245667))+0-0-0</f>
        <v>592.29777400000012</v>
      </c>
      <c r="AC280" s="3">
        <f>1057.6+(38.1-565.7)+(-2.69688+(-0.097155--1.442535))+0-0-0</f>
        <v>528.6484999999999</v>
      </c>
      <c r="AD280" s="2">
        <v>708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1066.7+(30.1-623.7)+(-2.176068+(-0.061404--1.272348))+0-0-0</f>
        <v>472.13487600000002</v>
      </c>
      <c r="G281" s="3">
        <f>844.9+(75-479.6)+(-1.292697+(-0.11475--0.733788))+0-0-0</f>
        <v>439.62634099999997</v>
      </c>
      <c r="H281" s="3">
        <f>833.3+(55.8-462.1)+(-0.849966+(-0.056916--0.471342))+0-0-0</f>
        <v>426.56445999999994</v>
      </c>
      <c r="I281" s="3">
        <f>743.9+(81.4-414.9)+(0+(0-0))+0-0-0</f>
        <v>410.4</v>
      </c>
      <c r="J281" s="3">
        <f>736.8+(84.2-411.1)+(0+(0-0))+0-0-0</f>
        <v>409.89999999999992</v>
      </c>
      <c r="K281" s="3">
        <f>830.7+(52.1-468.1)+(0+(0-0))+0-0-0</f>
        <v>414.70000000000005</v>
      </c>
      <c r="L281" s="3">
        <f>918+(30.7-507.2)+(-0.93636+(-0.031314--0.517344))+0-0-0</f>
        <v>441.04966999999999</v>
      </c>
      <c r="M281" s="3">
        <f>1068.5+(0-589.7)+(-0.544935+(0--0.300747))+0-0-0</f>
        <v>478.55581199999995</v>
      </c>
      <c r="N281" s="3">
        <f>1076.5+(7.2-581)+(1.09803+(0.007344-0.59262))+0-0-0</f>
        <v>503.21275400000002</v>
      </c>
      <c r="O281" s="3">
        <f>1059.7+(44.6-553.2)+(1.080894+(0.045492-0.564264))+0-0-0</f>
        <v>551.66212200000007</v>
      </c>
      <c r="P281" s="3">
        <f>1077.7+(54.4-559.2)+(1.648881+(0.083232-0.855576))+0-0-0</f>
        <v>573.77653699999996</v>
      </c>
      <c r="Q281" s="3">
        <f>1066.5+(74.3-549.7)+(0.543915+(0.037893-0.280347))+0-0-0</f>
        <v>591.40146099999993</v>
      </c>
      <c r="R281" s="3">
        <f>1071.8+(66.5-554.1)+(-1.639854+(-0.101745--0.847773))+0-0-0</f>
        <v>583.30617399999994</v>
      </c>
      <c r="S281" s="3">
        <f>1070.3+(49-548.4)+(-1.091706+(-0.04998--0.559368))+0-0-0</f>
        <v>570.31768199999999</v>
      </c>
      <c r="T281" s="3">
        <f>1065.3+(35.2-544.2)+(-2.716515+(-0.08976--1.38771))+0-0-0</f>
        <v>554.88143500000001</v>
      </c>
      <c r="U281" s="3">
        <f>1065+(35.2-556.7)+(0.54315+(0.017952-0.283917))+0-0-0</f>
        <v>543.77718500000003</v>
      </c>
      <c r="V281" s="3">
        <f>1083.1+(38.5-549.5)+(-1.657143+(-0.058905--0.840735))+0-0-0</f>
        <v>571.2246869999999</v>
      </c>
      <c r="W281" s="3">
        <f>1203+(81-602.3)+(-0.61353+(-0.04131--0.307173))+0-0-0</f>
        <v>681.35233300000004</v>
      </c>
      <c r="X281" s="3">
        <f>1198.7+(60.3-564)+(-2.445348+(-0.123012--1.15056))+0-0-0</f>
        <v>693.58219999999994</v>
      </c>
      <c r="Y281" s="3">
        <f>1203.6+(55.5-576.7)+(-1.227672+(-0.05661--0.588234))+0-0-0</f>
        <v>681.70395199999984</v>
      </c>
      <c r="Z281" s="3">
        <f>1199.8+(54.7-588.2)+(0+(0-0))+0-0-0</f>
        <v>666.3</v>
      </c>
      <c r="AA281" s="3">
        <f>1102.6+(56.9-529.5)+(-1.686978+(-0.087057--0.810135))+0-0-0</f>
        <v>629.03609999999992</v>
      </c>
      <c r="AB281" s="3">
        <f>1088.1+(78.1-580.7)+(-2.219724+(-0.159324--1.184628))+0-0-0</f>
        <v>584.30557999999985</v>
      </c>
      <c r="AC281" s="3">
        <f>1088.9+(51.2-598.4)+(-2.776695+(-0.13056--1.52592))+0-0-0</f>
        <v>540.31866500000012</v>
      </c>
      <c r="AD281" s="2">
        <v>686.69999999999993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804.5+(65.7-374.2)+(-1.230885+(-0.100521--0.572526))+0-0-0</f>
        <v>495.24112000000002</v>
      </c>
      <c r="G282" s="3">
        <f>752.8+(45.9-352.7)+(-1.151784+(-0.070227--0.539631))+0-0-0</f>
        <v>445.31761999999992</v>
      </c>
      <c r="H282" s="3">
        <f>753.9+(29.9-354.1)+(-1.537956+(-0.060996--0.722364))+0-0-0</f>
        <v>428.82341199999991</v>
      </c>
      <c r="I282" s="3">
        <f>760.3+(27.3-365.9)+(0+(0-0))+0-0-0</f>
        <v>421.7</v>
      </c>
      <c r="J282" s="3">
        <f>765.4+(41.9-384.7)+(0.780708+(0.042738-0.392394))+0-0-0</f>
        <v>423.03105199999999</v>
      </c>
      <c r="K282" s="3">
        <f>761.2+(51.2-381.6)+(0+(0-0))+0-0-0</f>
        <v>430.8</v>
      </c>
      <c r="L282" s="3">
        <f>820.4+(50.1-421)+(0+(0-0))+0-0-0</f>
        <v>449.5</v>
      </c>
      <c r="M282" s="3">
        <f>1019.6+(0-549.3)+(0+(0-0))+0-0-0</f>
        <v>470.30000000000007</v>
      </c>
      <c r="N282" s="3">
        <f>1011+(12.2-508)+(-0.51561+(-0.006222--0.25908))+0-0-0</f>
        <v>514.93724800000007</v>
      </c>
      <c r="O282" s="3">
        <f>1032.7+(59.4-518.8)+(1.053354+(0.060588-0.529176))+0-0-0</f>
        <v>573.88476600000001</v>
      </c>
      <c r="P282" s="3">
        <f>1032.7+(81.8-515.5)+(0.526677+(0.041718-0.262905))+0-0-0</f>
        <v>599.30548999999996</v>
      </c>
      <c r="Q282" s="3">
        <f>1032+(95.8-515.6)+(-2.10528+(-0.195432--1.051824))+0-0-0</f>
        <v>610.95111200000008</v>
      </c>
      <c r="R282" s="3">
        <f>1039.7+(100.8-546.3)+(0.530247+(0.051408-0.278613))+0-0-0</f>
        <v>594.50304200000005</v>
      </c>
      <c r="S282" s="3">
        <f>1036.4+(98.9-559.5)+(0.528564+(0.050439-0.285345))+0-0-0</f>
        <v>576.09365800000012</v>
      </c>
      <c r="T282" s="3">
        <f>1035.1+(84.8-555.2)+(0.527901+(0.043248-0.283152))+0-0-0</f>
        <v>564.98799699999984</v>
      </c>
      <c r="U282" s="3">
        <f>1040.4+(65.4-538.2)+(-2.122416+(-0.133416--1.097928))+0-0-0</f>
        <v>566.44209599999999</v>
      </c>
      <c r="V282" s="3">
        <f>989.7+(83.6-477.2)+(-2.018988+(-0.170544--0.973488))+0-0-0</f>
        <v>594.88395600000001</v>
      </c>
      <c r="W282" s="3">
        <f>1110.7+(91.1-505.3)+(-1.699371+(-0.139383--0.773109))+0-0-0</f>
        <v>695.43435499999998</v>
      </c>
      <c r="X282" s="3">
        <f>1219.4+(76.9-592.3)+(0+(0-0))+0-0-0</f>
        <v>704.00000000000011</v>
      </c>
      <c r="Y282" s="3">
        <f>1215.4+(64-589.6)+(-0.619854+(-0.03264--0.300696))+0-0-0</f>
        <v>689.44820200000004</v>
      </c>
      <c r="Z282" s="3">
        <f>1211.4+(101.3-623.9)+(-1.853442+(-0.154989--0.954567))+0-0-0</f>
        <v>687.74613600000009</v>
      </c>
      <c r="AA282" s="3">
        <f>1205.5+(127.8-682.3)+(-3.68883+(-0.391068--2.087838))+0-0-0</f>
        <v>649.00793999999996</v>
      </c>
      <c r="AB282" s="3">
        <f>1212.6+(145.7-748.9)+(-0.618426+(-0.074307--0.381939))+0-0-0</f>
        <v>609.08920599999988</v>
      </c>
      <c r="AC282" s="3">
        <f>1168.3+(133.5-723)+(-2.383332+(-0.27234--1.47492))+0-0-0</f>
        <v>577.61924799999997</v>
      </c>
      <c r="AD282" s="2">
        <v>711.2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864.1+(168.2-508.8)+(-1.322073+(-0.257346--0.778464))+0-0-0</f>
        <v>522.69904499999996</v>
      </c>
      <c r="G283" s="3">
        <f>813.6+(123.8-457.1)+(-1.244808+(-0.189414--0.699363))+0-0-0</f>
        <v>479.56514100000004</v>
      </c>
      <c r="H283" s="3">
        <f>848.1+(94.7-485.5)+(-1.730124+(-0.193188--0.99042))+0-0-0</f>
        <v>456.36710800000003</v>
      </c>
      <c r="I283" s="3">
        <f>817.7+(98.5-459.6)+(-0.417027+(-0.050235--0.234396))+0-0-0</f>
        <v>456.36713400000002</v>
      </c>
      <c r="J283" s="3">
        <f>818+(78-442.8)+(-0.83436+(-0.07956--0.451656))+0-0-0</f>
        <v>452.73773599999998</v>
      </c>
      <c r="K283" s="3">
        <f>817.8+(79.7-439.7)+(0.834156+(0.081294-0.448494))+0-0-0</f>
        <v>458.26695599999994</v>
      </c>
      <c r="L283" s="3">
        <f>816.9+(84.4-434.8)+(-1.249857+(-0.129132--0.665244))+0-0-0</f>
        <v>465.78625499999998</v>
      </c>
      <c r="M283" s="3">
        <f>868.3+(72.7-479.2)+(0+(0-0))+0-0-0</f>
        <v>461.79999999999995</v>
      </c>
      <c r="N283" s="3">
        <f>979.2+(77.5-541)+(0.998784+(0.07905-0.55182))+0-0-0</f>
        <v>516.22601400000008</v>
      </c>
      <c r="O283" s="3">
        <f>1054.1+(123.6-615.3)+(-1.612773+(-0.189108--0.941409))+0-0-0</f>
        <v>561.53952800000002</v>
      </c>
      <c r="P283" s="3">
        <f>1069+(202.5-680.5)+(-1.09038+(-0.20655--0.69411))+0-0-0</f>
        <v>590.39718000000005</v>
      </c>
      <c r="Q283" s="3">
        <f>1079.6+(220.8-696)+(1.101192+(0.225216-0.70992))+0-0-0</f>
        <v>605.01648799999987</v>
      </c>
      <c r="R283" s="3">
        <f>1060.4+(197.6-673.4)+(-3.785628+(-0.705432--2.404038))+0-0-0</f>
        <v>582.51297800000009</v>
      </c>
      <c r="S283" s="3">
        <f>1071.4+(203.9-721.4)+(0+(0-0))+0-0-0</f>
        <v>553.90000000000009</v>
      </c>
      <c r="T283" s="3">
        <f>1067.2+(183-711.8)+(-1.632816+(-0.27999--1.089054))+0-0-0</f>
        <v>537.57624800000008</v>
      </c>
      <c r="U283" s="3">
        <f>995.2+(201.4-669.4)+(-1.015104+(-0.205428--0.682788))+0-0-0</f>
        <v>526.66225600000007</v>
      </c>
      <c r="V283" s="3">
        <f>988.7+(198.6-648.1)+(-0.504237+(-0.101286--0.330531))+0-0-0</f>
        <v>538.92500800000005</v>
      </c>
      <c r="W283" s="3">
        <f>1162.6+(207.9-717.5)+(1.778778+(0.318087-1.097775))+0-0-0</f>
        <v>653.99908999999991</v>
      </c>
      <c r="X283" s="3">
        <f>1211.7+(174.9-690.8)+(-1.853901+(-0.267597--1.056924))+0-0-0</f>
        <v>694.73542600000007</v>
      </c>
      <c r="Y283" s="3">
        <f>1210.1+(155.4-681.5)+(0+(0-0))+0-0-0</f>
        <v>683.99999999999989</v>
      </c>
      <c r="Z283" s="3">
        <f>1198.1+(116.3-648.1)+(-2.444124+(-0.237252--1.322124))+0-0-0</f>
        <v>664.94074799999987</v>
      </c>
      <c r="AA283" s="3">
        <f>1199.3+(77.6-641)+(-1.223286+(-0.079152--0.65382))+0-0-0</f>
        <v>635.25138199999992</v>
      </c>
      <c r="AB283" s="3">
        <f>1196.3+(83.4-680.3)+(-1.830339+(-0.127602--1.040859))+0-0-0</f>
        <v>598.48291799999993</v>
      </c>
      <c r="AC283" s="3">
        <f>1176.2+(65.5-674.4)+(0.599862+(0.033405-0.343944))+0-0-0</f>
        <v>567.58932300000004</v>
      </c>
      <c r="AD283" s="2">
        <v>678.69999999999993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1075.4+(41.6-585.6)+(-1.645362+(-0.063648--0.895968))+0-0-0</f>
        <v>530.5869580000001</v>
      </c>
      <c r="G284" s="3">
        <f>989.8+(61.3-570.9)+(-1.009596+(-0.062526--0.582318))+0-0-0</f>
        <v>479.710196</v>
      </c>
      <c r="H284" s="3">
        <f>838.2+(108.9-491.7)+(-0.427482+(-0.055539--0.250767))+0-0-0</f>
        <v>455.16774600000008</v>
      </c>
      <c r="I284" s="3">
        <f>759.5+(134.6-457.4)+(-2.711415+(-0.480522--1.632918))+0-0-0</f>
        <v>435.14098100000007</v>
      </c>
      <c r="J284" s="3">
        <f>770.6+(121.4-458.2)+(0.393006+(0.061914-0.233682))+0-0-0</f>
        <v>434.0212380000001</v>
      </c>
      <c r="K284" s="3">
        <f>770.6+(107.4-436.4)+(-1.179018+(-0.164322--0.667692))+0-0-0</f>
        <v>440.924352</v>
      </c>
      <c r="L284" s="3">
        <f>766.6+(86.5-412.5)+(-1.95483+(-0.220575--1.051875))+0-0-0</f>
        <v>439.47647000000001</v>
      </c>
      <c r="M284" s="3">
        <f>774.3+(83-453.2)+(0+(0-0))+0-0-0</f>
        <v>404.09999999999997</v>
      </c>
      <c r="N284" s="3">
        <f>946.5+(37.1-571)+(0.482715+(0.018921-0.29121))+0-0-0</f>
        <v>412.81042600000001</v>
      </c>
      <c r="O284" s="3">
        <f>1058.1+(43.4-636.5)+(0.539631+(0.022134-0.324615))+0-0-0</f>
        <v>465.23714999999987</v>
      </c>
      <c r="P284" s="3">
        <f>1067.1+(65.7-625.2)+(-1.088442+(-0.067014--0.637704))+0-0-0</f>
        <v>507.08224799999994</v>
      </c>
      <c r="Q284" s="3">
        <f>1006.3+(99.2-591.1)+(0+(0-0))+0-0-0</f>
        <v>514.39999999999986</v>
      </c>
      <c r="R284" s="3">
        <f>999.6+(98-608)+(-2.039184+(-0.19992--1.24032))+0-0-0</f>
        <v>488.60121600000002</v>
      </c>
      <c r="S284" s="3">
        <f>1008.3+(64.5-594.8)+(-1.028466+(-0.06579--0.606696))+0-0-0</f>
        <v>477.51244000000003</v>
      </c>
      <c r="T284" s="3">
        <f>996.9+(36.8-569.3)+(-2.033676+(-0.075072--1.161372))+0-0-0</f>
        <v>463.45262399999996</v>
      </c>
      <c r="U284" s="3">
        <f>998.7+(61.2-616.9)+(0.509337+(0.031212-0.314619))+0-0-0</f>
        <v>443.22593000000012</v>
      </c>
      <c r="V284" s="3">
        <f>1044.6+(67.9-640)+(-1.598238+(-0.103887--0.9792))+0-0-0</f>
        <v>471.77707499999991</v>
      </c>
      <c r="W284" s="3">
        <f>1151.9+(72.9-653.8)+(1.174938+(0.074358-0.666876))+0-0-0</f>
        <v>571.58242000000007</v>
      </c>
      <c r="X284" s="3">
        <f>1185.6+(73-653.7)+(-1.209312+(-0.07446--0.666774))+0-0-0</f>
        <v>604.2830019999999</v>
      </c>
      <c r="Y284" s="3">
        <f>1168.2+(69-630)+(1.787346+(0.10557-0.9639))+0-0-0</f>
        <v>608.12901600000009</v>
      </c>
      <c r="Z284" s="3">
        <f>1088.3+(71.5-563.2)+(1.665099+(0.109395-0.861696))+0-0-0</f>
        <v>597.51279799999986</v>
      </c>
      <c r="AA284" s="3">
        <f>1079.2+(74.5-578)+(1.100784+(0.07599-0.58956))+0-0-0</f>
        <v>576.28721400000006</v>
      </c>
      <c r="AB284" s="3">
        <f>1076.2+(80.7-588.9)+(-2.195448+(-0.164628--1.201356))+0-0-0</f>
        <v>566.84127999999998</v>
      </c>
      <c r="AC284" s="3">
        <f>1042.8+(68.9-592.5)+(-3.190968+(-0.210834--1.81305))+0-0-0</f>
        <v>517.61124799999993</v>
      </c>
      <c r="AD284" s="2">
        <v>613.10000000000014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928.2+(82.8-525.6)+(0+(0-0))+0-0-0</f>
        <v>485.40000000000003</v>
      </c>
      <c r="G285" s="3">
        <f>901.3+(58.9-515.7)+(0+(0-0))+0-0-0</f>
        <v>444.49999999999989</v>
      </c>
      <c r="H285" s="3">
        <f>760.5+(95.2-424.2)+(-0.387855+(-0.048552--0.216342))+0-0-0</f>
        <v>431.27993500000002</v>
      </c>
      <c r="I285" s="3">
        <f>747.9+(90.6-411.6)+(1.144287+(0.138618-0.629748))+0-0-0</f>
        <v>427.553157</v>
      </c>
      <c r="J285" s="3">
        <f>748.5+(88.8-411.9)+(1.52694+(0.181152-0.840276))+0-0-0</f>
        <v>426.26781600000004</v>
      </c>
      <c r="K285" s="3">
        <f>754.8+(90.5-416.3)+(1.92474+(0.230775-1.061565))+0-0-0</f>
        <v>430.09394999999995</v>
      </c>
      <c r="L285" s="3">
        <f>769.4+(101.8-416.3)+(-0.392394+(-0.051918--0.212313))+0-0-0</f>
        <v>454.668001</v>
      </c>
      <c r="M285" s="3">
        <f>906+(90.8-508.6)+(0.92412+(0.092616-0.518772))+0-0-0</f>
        <v>488.69796400000001</v>
      </c>
      <c r="N285" s="3">
        <f>937.1+(93.9-494.9)+(1.911684+(0.191556-1.009596))+0-0-0</f>
        <v>537.19364400000006</v>
      </c>
      <c r="O285" s="3">
        <f>1070.9+(21.3-510.3)+(0.546159+(0.010863-0.260253))+0-0-0</f>
        <v>582.19676900000013</v>
      </c>
      <c r="P285" s="3">
        <f>1074.5+(23.8-495.3)+(1.09599+(0.024276-0.505206))+0-0-0</f>
        <v>603.61505999999997</v>
      </c>
      <c r="Q285" s="3">
        <f>1083.1+(9-479)+(-2.209524+(-0.01836--0.97716))+0-0-0</f>
        <v>611.84927599999992</v>
      </c>
      <c r="R285" s="3">
        <f>1083.2+(8.1-490.4)+(-1.657296+(-0.012393--0.750312))+0-0-0</f>
        <v>599.98062300000004</v>
      </c>
      <c r="S285" s="3">
        <f>1088.3+(13-526.8)+(1.110066+(0.01326-0.537336))+0-0-0</f>
        <v>575.08599000000004</v>
      </c>
      <c r="T285" s="3">
        <f>1089.9+(0-525)+(0+(0-0))+0-0-0</f>
        <v>564.90000000000009</v>
      </c>
      <c r="U285" s="3">
        <f>1022.2+(13.8-507)+(0+(0-0))+0-0-0</f>
        <v>529</v>
      </c>
      <c r="V285" s="3">
        <f>1047.1+(28.8-491.3)+(0.534021+(0.014688-0.250563))+0-0-0</f>
        <v>584.89814599999988</v>
      </c>
      <c r="W285" s="3">
        <f>1178.2+(28.6-506.4)+(1.201764+(0.029172-0.516528))+0-0-0</f>
        <v>701.11440800000014</v>
      </c>
      <c r="X285" s="3">
        <f>1185.1+(49.8-496.9)+(-0.604401+(-0.025398--0.253419))+0-0-0</f>
        <v>737.62361999999996</v>
      </c>
      <c r="Y285" s="3">
        <f>1179.5+(45.5-495.8)+(-3.60927+(-0.13923--1.517148))+0-0-0</f>
        <v>726.96864800000003</v>
      </c>
      <c r="Z285" s="3">
        <f>1190.3+(32-501.9)+(-1.214106+(-0.03264--0.511938))+0-0-0</f>
        <v>719.66519199999993</v>
      </c>
      <c r="AA285" s="3">
        <f>1188.5+(42.8-545.7)+(-1.21227+(-0.043656--0.556614))+0-0-0</f>
        <v>684.90068799999995</v>
      </c>
      <c r="AB285" s="3">
        <f>1185.8+(80-625.9)+(-1.209516+(-0.0816--0.638418))+0-0-0</f>
        <v>639.24730199999999</v>
      </c>
      <c r="AC285" s="3">
        <f>1106.7+(75.1-591)+(-3.386502+(-0.229806--1.80846))+0-0-0</f>
        <v>588.99215200000003</v>
      </c>
      <c r="AD285" s="2">
        <v>715.39999999999986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989.5+(46.4-512.1)+(1.513935+(0.070992-0.783513))+0-0-0</f>
        <v>524.60141399999998</v>
      </c>
      <c r="G286" s="3">
        <f>984.2+(17.8-514.4)+(2.50971+(0.04539-1.31172))+0-0-0</f>
        <v>488.84338000000008</v>
      </c>
      <c r="H286" s="3">
        <f>856.6+(27.9-418)+(1.747464+(0.056916-0.85272))+0-0-0</f>
        <v>467.45166</v>
      </c>
      <c r="I286" s="3">
        <f>915.5+(21.2-481.1)+(2.334525+(0.05406-1.226805))+0-0-0</f>
        <v>456.76177999999999</v>
      </c>
      <c r="J286" s="3">
        <f>903.4+(27-476.8)+(0+(0-0))+0-0-0</f>
        <v>453.59999999999997</v>
      </c>
      <c r="K286" s="3">
        <f>905.3+(24.9-480.6)+(0.923406+(0.025398-0.490212))+0-0-0</f>
        <v>450.05859199999992</v>
      </c>
      <c r="L286" s="3">
        <f>1042.6+(63-619.7)+(-0.531726+(-0.03213--0.316047))+0-0-0</f>
        <v>485.65219099999985</v>
      </c>
      <c r="M286" s="3">
        <f>1119.5+(80-696.6)+(0.570945+(0.0408-0.355266))+0-0-0</f>
        <v>503.15647899999999</v>
      </c>
      <c r="N286" s="3">
        <f>1164.7+(57.6-672.4)+(-1.781991+(-0.088128--1.028772))+0-0-0</f>
        <v>549.05865300000005</v>
      </c>
      <c r="O286" s="3">
        <f>1163.6+(19.7-598.4)+(-2.96718+(-0.050235--1.52592))+0-0-0</f>
        <v>583.40850499999999</v>
      </c>
      <c r="P286" s="3">
        <f>1169.2+(9.7-563.2)+(-2.385168+(-0.019788--1.148928))+0-0-0</f>
        <v>614.44397200000003</v>
      </c>
      <c r="Q286" s="3">
        <f>1170.8+(7.8-551.6)+(-2.98554+(-0.01989--1.40658))+0-0-0</f>
        <v>625.40114999999992</v>
      </c>
      <c r="R286" s="3">
        <f>1174.4+(0-553.2)+(-1.796832+(0--0.846396))+0-0-0</f>
        <v>620.24956400000008</v>
      </c>
      <c r="S286" s="3">
        <f>1118.8+(20.5-539.5)+(0+(0-0))+0-0-0</f>
        <v>599.79999999999995</v>
      </c>
      <c r="T286" s="3">
        <f>1104+(21.9-521)+(0.56304+(0.011169-0.26571))+0-0-0</f>
        <v>605.20849899999996</v>
      </c>
      <c r="U286" s="3">
        <f>1094.7+(16.7-508.3)+(1.116594+(0.017034-0.518466))+0-0-0</f>
        <v>603.71516200000008</v>
      </c>
      <c r="V286" s="3">
        <f>1139.9+(12.3-522.9)+(1.162698+(0.012546-0.533358))+0-0-0</f>
        <v>629.94188600000018</v>
      </c>
      <c r="W286" s="3">
        <f>1201.4+(28.7-512.5)+(1.225428+(0.029274-0.52275))+0-0-0</f>
        <v>718.33195200000011</v>
      </c>
      <c r="X286" s="3">
        <f>1187.4+(37.2-488.3)+(-1.816722+(-0.056916--0.747099))+0-0-0</f>
        <v>735.17346100000009</v>
      </c>
      <c r="Y286" s="3">
        <f>1188.6+(30.3-484.2)+(-0.606186+(-0.015453--0.246942))+0-0-0</f>
        <v>734.32530299999996</v>
      </c>
      <c r="Z286" s="3">
        <f>1155.6+(31-478.9)+(-1.178712+(-0.03162--0.488478))+0-0-0</f>
        <v>706.97814599999992</v>
      </c>
      <c r="AA286" s="3">
        <f>1083.1+(30.9-447.7)+(-0.552381+(-0.015759--0.228327))+0-0-0</f>
        <v>665.96018699999991</v>
      </c>
      <c r="AB286" s="3">
        <f>1085.9+(39.9-493.4)+(-0.553809+(-0.020349--0.251634))+0-0-0</f>
        <v>632.07747600000005</v>
      </c>
      <c r="AC286" s="3">
        <f>1074.2+(54.8-552.6)+(-1.095684+(-0.055896--0.563652))+0-0-0</f>
        <v>575.81207200000006</v>
      </c>
      <c r="AD286" s="2">
        <v>707.8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1072.8+(34.2-599.2)+(0+(0-0))+0-0-0</f>
        <v>507.79999999999995</v>
      </c>
      <c r="G287" s="3">
        <f>912.7+(47.2-488.5)+(1.396431+(0.072216-0.747405))+0-0-0</f>
        <v>472.12124200000005</v>
      </c>
      <c r="H287" s="3">
        <f>855.1+(52.5-466.1)+(1.744404+(0.1071-0.950844))+0-0-0</f>
        <v>442.40066000000002</v>
      </c>
      <c r="I287" s="3">
        <f>811.2+(68.8-453.5)+(0+(0-0))+0-0-0</f>
        <v>426.50000000000006</v>
      </c>
      <c r="J287" s="3">
        <f>811.7+(66.3-444.6)+(-0.827934+(-0.067626--0.453492))+0-0-0</f>
        <v>432.95793200000003</v>
      </c>
      <c r="K287" s="3">
        <f>921.5+(18.1-508.7)+(0.93993+(0.018462-0.518874))+0-0-0</f>
        <v>431.33951800000006</v>
      </c>
      <c r="L287" s="3">
        <f>1056.2+(24.3-620)+(-2.69331+(-0.061965--1.581))+0-0-0</f>
        <v>459.32572499999998</v>
      </c>
      <c r="M287" s="3">
        <f>1086+(63.9-670.2)+(-1.10772+(-0.065178--0.683604))+0-0-0</f>
        <v>479.21070599999996</v>
      </c>
      <c r="N287" s="3">
        <f>1174+(65.7-712.9)+(-1.19748+(-0.067014--0.727158))+0-0-0</f>
        <v>526.26266400000009</v>
      </c>
      <c r="O287" s="3">
        <f>1184.4+(60.4-683.1)+(2.416176+(0.123216-1.393524))+0-0-0</f>
        <v>562.845868</v>
      </c>
      <c r="P287" s="3">
        <f>1185+(93.4-674.5)+(0.60435+(0.047634-0.343995))+0-0-0</f>
        <v>604.207989</v>
      </c>
      <c r="Q287" s="3">
        <f>1176.1+(134.2-694.7)+(-2.999055+(-0.34221--1.771485))+0-0-0</f>
        <v>614.03021999999987</v>
      </c>
      <c r="R287" s="3">
        <f>1178.9+(145.7-707.2)+(-2.404956+(-0.297228--1.442688))+0-0-0</f>
        <v>616.14050400000008</v>
      </c>
      <c r="S287" s="3">
        <f>1098.4+(155-663.3)+(0.560184+(0.07905-0.338283))+0-0-0</f>
        <v>590.40095100000019</v>
      </c>
      <c r="T287" s="3">
        <f>1092+(159.2-676.9)+(0+(0-0))+0-0-0</f>
        <v>574.29999999999995</v>
      </c>
      <c r="U287" s="3">
        <f>1086.9+(159.7-663.3)+(-2.217276+(-0.325788--1.353132))+0-0-0</f>
        <v>582.11006800000018</v>
      </c>
      <c r="V287" s="3">
        <f>1142.6+(84.8-625.4)+(1.165452+(0.086496-0.637908))+0-0-0</f>
        <v>602.61403999999993</v>
      </c>
      <c r="W287" s="3">
        <f>1190.5+(103.1-590.2)+(1.821465+(0.157743-0.903006))+0-0-0</f>
        <v>704.47620199999994</v>
      </c>
      <c r="X287" s="3">
        <f>1248.8+(71.1-574.9)+(-2.547552+(-0.145044--1.172796))+0-0-0</f>
        <v>743.48019999999997</v>
      </c>
      <c r="Y287" s="3">
        <f>1166.7+(82.1-514.4)+(1.190034+(0.083742-0.524688))+0-0-0</f>
        <v>735.14908800000012</v>
      </c>
      <c r="Z287" s="3">
        <f>1158.8+(86.4-548.4)+(0+(0-0))+0-0-0</f>
        <v>696.8</v>
      </c>
      <c r="AA287" s="3">
        <f>1090.2+(89.4-512.6)+(-1.112004+(-0.091188--0.522852))+0-0-0</f>
        <v>666.31966</v>
      </c>
      <c r="AB287" s="3">
        <f>1046.5+(74.2-503.9)+(-1.06743+(-0.075684--0.513978))+0-0-0</f>
        <v>616.17086399999994</v>
      </c>
      <c r="AC287" s="3">
        <f>1043.3+(80.2-555.2)+(-1.596249+(-0.122706--0.849456))+0-0-0</f>
        <v>567.43050099999994</v>
      </c>
      <c r="AD287" s="2">
        <v>743.60000000000014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1010.3+(70.1-549.2)+(-0.515253+(-0.035751--0.280092))+0-0-0</f>
        <v>530.92908799999998</v>
      </c>
      <c r="G288" s="3">
        <f>974.7+(54.8-537.2)+(-1.988388+(-0.111792--1.095888))+0-0-0</f>
        <v>491.29570799999999</v>
      </c>
      <c r="H288" s="3">
        <f>804.8+(85.5-425.1)+(0+(0-0))+0-0-0</f>
        <v>465.19999999999993</v>
      </c>
      <c r="I288" s="3">
        <f>802.7+(64.2-414)+(-0.409377+(-0.032742--0.21114))+0-0-0</f>
        <v>452.66902100000004</v>
      </c>
      <c r="J288" s="3">
        <f>799.8+(62.6-413.1)+(-0.407898+(-0.031926--0.210681))+0-0-0</f>
        <v>449.07085699999993</v>
      </c>
      <c r="K288" s="3">
        <f>904.6+(34-484.3)+(-1.384038+(-0.05202--0.740979))+0-0-0</f>
        <v>453.60492099999999</v>
      </c>
      <c r="L288" s="3">
        <f>904.6+(34-484.3)+(-1.384038+(-0.05202--0.740979))+0-0-0</f>
        <v>453.60492099999999</v>
      </c>
      <c r="M288" s="3">
        <f>983+(19-523.5)+(-0.50133+(-0.00969--0.266985))+0-0-0</f>
        <v>478.255965</v>
      </c>
      <c r="N288" s="3">
        <f>1037.2+(34.2-516)+(0+(0-0))+0-0-0</f>
        <v>555.40000000000009</v>
      </c>
      <c r="O288" s="3">
        <f>1068.2+(42.2-531.9)+(-1.089564+(-0.043044--0.542538))+0-0-0</f>
        <v>577.90993000000003</v>
      </c>
      <c r="P288" s="3">
        <f>1070.2+(54.7-514)+(-1.091604+(-0.055794--0.52428))+0-0-0</f>
        <v>610.27688200000011</v>
      </c>
      <c r="Q288" s="3">
        <f>1080.4+(54.8-507.9)+(2.75502+(0.13974-1.295145))+0-0-0</f>
        <v>628.89961500000015</v>
      </c>
      <c r="R288" s="3">
        <f>1068.7+(37.6-499.9)+(-3.815259+(-0.134232--1.784643))+0-0-0</f>
        <v>604.23515200000008</v>
      </c>
      <c r="S288" s="3">
        <f>1063.9+(23.8-518.4)+(-2.170356+(-0.048552--1.057536))+0-0-0</f>
        <v>568.13862800000015</v>
      </c>
      <c r="T288" s="3">
        <f>1075.9+(32.6-549.4)+(0.548709+(0.016626-0.280194))+0-0-0</f>
        <v>559.38514100000009</v>
      </c>
      <c r="U288" s="3">
        <f>1072.8+(25.2-542.8)+(-0.547128+(-0.012852--0.276828))+0-0-0</f>
        <v>554.91684800000007</v>
      </c>
      <c r="V288" s="3">
        <f>1081.3+(56.8-560.6)+(0+(0-0))+0-0-0</f>
        <v>577.5</v>
      </c>
      <c r="W288" s="3">
        <f>1136.9+(26.7-478)+(1.739457+(0.040851-0.73134))+0-0-0</f>
        <v>686.64896800000008</v>
      </c>
      <c r="X288" s="3">
        <f>1195+(29.2-487)+(-2.4378+(-0.059568--0.99348))+0-0-0</f>
        <v>735.69611200000008</v>
      </c>
      <c r="Y288" s="3">
        <f>1202.1+(28-499.1)+(-1.226142+(-0.02856--0.509082))+0-0-0</f>
        <v>730.25437999999986</v>
      </c>
      <c r="Z288" s="3">
        <f>1161.5+(37.8-484.8)+(-1.18473+(-0.038556--0.494496))+0-0-0</f>
        <v>713.77121</v>
      </c>
      <c r="AA288" s="3">
        <f>1096+(60.8-468.6)+(0+(0-0))+0-0-0</f>
        <v>688.2</v>
      </c>
      <c r="AB288" s="3">
        <f>1091.9+(65.8-512.1)+(-1.670607+(-0.100674--0.783513))+0-0-0</f>
        <v>644.61223200000018</v>
      </c>
      <c r="AC288" s="3">
        <f>1073.4+(76.3-561.5)+(-0.547434+(-0.038913--0.286365))+0-0-0</f>
        <v>587.90001800000005</v>
      </c>
      <c r="AD288" s="2">
        <v>702.10000000000014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937.9+(64.3-503.2)+(-1.434987+(-0.098379--0.769896))+0-0-0</f>
        <v>498.23653000000002</v>
      </c>
      <c r="G289" s="3">
        <f>937.2+(15.2-506.9)+(0+(0-0))+0-0-0</f>
        <v>445.50000000000006</v>
      </c>
      <c r="H289" s="3">
        <f>884.2+(18.9-467.3)+(0.450942+(0.009639-0.238323))+0-0-0</f>
        <v>436.02225800000002</v>
      </c>
      <c r="I289" s="3">
        <f>867.8+(18.4-458.2)+(0.885156+(0.018768-0.467364))+0-0-0</f>
        <v>428.43655999999993</v>
      </c>
      <c r="J289" s="3">
        <f>871.4+(23.2-462.3)+(1.777656+(0.047328-0.943092))+0-0-0</f>
        <v>433.18189199999995</v>
      </c>
      <c r="K289" s="3">
        <f>904.8+(16.1-491)+(0.922896+(0.016422-0.50082))+0-0-0</f>
        <v>430.33849799999996</v>
      </c>
      <c r="L289" s="3">
        <f>970.7+(21.4-534.5)+(0+(0-0))+0-0-0</f>
        <v>457.6</v>
      </c>
      <c r="M289" s="3">
        <f>971.8+(27.7-511.1)+(-0.991236+(-0.028254--0.521322))+0-0-0</f>
        <v>487.9018319999999</v>
      </c>
      <c r="N289" s="3">
        <f>1079.4+(11.3-552.8)+(1.100988+(0.011526-0.563856))+0-0-0</f>
        <v>538.44865800000014</v>
      </c>
      <c r="O289" s="3">
        <f>1087.1+(27.6-528)+(-0.554421+(-0.014076--0.26928))+0-0-0</f>
        <v>586.40078299999993</v>
      </c>
      <c r="P289" s="3">
        <f>1151+(28-545.4)+(-1.17402+(-0.02856--0.556308))+0-0-0</f>
        <v>632.95372800000007</v>
      </c>
      <c r="Q289" s="3">
        <f>1167.4+(21-558.7)+(-0.595374+(-0.01071--0.284937))+0-0-0</f>
        <v>629.37885300000005</v>
      </c>
      <c r="R289" s="3">
        <f>1090.6+(32.1-516.9)+(0+(0-0))+0-0-0</f>
        <v>605.79999999999995</v>
      </c>
      <c r="S289" s="3">
        <f>1085.8+(48.9-567.4)+(-1.107516+(-0.049878--0.578748))+0-0-0</f>
        <v>566.72135399999991</v>
      </c>
      <c r="T289" s="3">
        <f>1086.3+(58.2-592.5)+(-0.554013+(-0.029682--0.302175))+0-0-0</f>
        <v>551.71848</v>
      </c>
      <c r="U289" s="3">
        <f>1089.4+(35.7-592.1)+(0.555594+(0.018207-0.301971))+0-0-0</f>
        <v>533.27183000000014</v>
      </c>
      <c r="V289" s="3">
        <f>1129+(24.8-594.2)+(-3.45474+(-0.075888--1.818252))+0-0-0</f>
        <v>557.88762399999996</v>
      </c>
      <c r="W289" s="3">
        <f>1197.6+(15.4-552.7)+(1.221552+(0.015708-0.563754))+0-0-0</f>
        <v>660.97350599999982</v>
      </c>
      <c r="X289" s="3">
        <f>1192.6+(45.7-537.2)+(-1.824678+(-0.069921--0.821916))+0-0-0</f>
        <v>700.02731699999993</v>
      </c>
      <c r="Y289" s="3">
        <f>1183.7+(49.5-542.7)+(-2.414748+(-0.10098--1.107108))+0-0-0</f>
        <v>689.09137999999996</v>
      </c>
      <c r="Z289" s="3">
        <f>1190.3+(31.2-538.1)+(-1.821159+(-0.047736--0.823293))+0-0-0</f>
        <v>682.35439799999983</v>
      </c>
      <c r="AA289" s="3">
        <f>1190+(16.2-561.6)+(-1.8207+(-0.024786--0.859248))+0-0-0</f>
        <v>643.61376200000007</v>
      </c>
      <c r="AB289" s="3">
        <f>1128.7+(26.8-531.3)+(0+(0-0))+0-0-0</f>
        <v>624.20000000000005</v>
      </c>
      <c r="AC289" s="3">
        <f>1031.7+(50.4-498.7)+(-2.104668+(-0.102816--1.017348))+0-0-0</f>
        <v>582.20986400000004</v>
      </c>
      <c r="AD289" s="2">
        <v>704.50000000000011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889.8+(54.9-418.1)+(0+(0-0))+0-0-0</f>
        <v>526.59999999999991</v>
      </c>
      <c r="G290" s="3">
        <f>896+(36.3-449.3)+(1.37088+(0.055539-0.687429))+0-0-0</f>
        <v>483.73899</v>
      </c>
      <c r="H290" s="3">
        <f>886.4+(26-450.2)+(0.452064+(0.01326-0.229602))+0-0-0</f>
        <v>462.435722</v>
      </c>
      <c r="I290" s="3">
        <f>791.7+(51.7-389.4)+(1.211301+(0.079101-0.595782))+0-0-0</f>
        <v>454.69462000000004</v>
      </c>
      <c r="J290" s="3">
        <f>789.5+(46.4-386.2)+(0.80529+(0.047328-0.393924))+0-0-0</f>
        <v>450.15869399999997</v>
      </c>
      <c r="K290" s="3">
        <f>808.2+(32.6-392.3)+(0.824364+(0.033252-0.400146))+0-0-0</f>
        <v>448.95747000000006</v>
      </c>
      <c r="L290" s="3">
        <f>791.8+(41.2-376.1)+(-3.230544+(-0.168096--1.534488))+0-0-0</f>
        <v>455.03584799999993</v>
      </c>
      <c r="M290" s="3">
        <f>815+(22.6-398.5)+(2.4939+(0.069156-1.21941))+0-0-0</f>
        <v>440.443646</v>
      </c>
      <c r="N290" s="3">
        <f>813.4+(76.4-428.9)+(1.659336+(0.155856-0.874956))+0-0-0</f>
        <v>461.840236</v>
      </c>
      <c r="O290" s="3">
        <f>830.8+(100.1-420.9)+(1.271124+(0.153153-0.643977))+0-0-0</f>
        <v>510.78030000000001</v>
      </c>
      <c r="P290" s="3">
        <f>889.1+(88.5-433.9)+(-1.813764+(-0.18054--0.885156))+0-0-0</f>
        <v>542.59085200000004</v>
      </c>
      <c r="Q290" s="3">
        <f>892.9+(84.4-434.7)+(-1.366137+(-0.129132--0.665091))+0-0-0</f>
        <v>541.76982199999998</v>
      </c>
      <c r="R290" s="3">
        <f>888.1+(87.4-438.9)+(-0.905862+(-0.089148--0.447678))+0-0-0</f>
        <v>536.05266800000004</v>
      </c>
      <c r="S290" s="3">
        <f>886.4+(79.5-464.4)+(-0.452064+(-0.040545--0.236844))+0-0-0</f>
        <v>501.244235</v>
      </c>
      <c r="T290" s="3">
        <f>980.3+(67-551.9)+(-0.499953+(-0.03417--0.281469))+0-0-0</f>
        <v>495.14734599999997</v>
      </c>
      <c r="U290" s="3">
        <f>975.3+(70.9-553.7)+(-1.989612+(-0.144636--1.129548))+0-0-0</f>
        <v>491.49529999999987</v>
      </c>
      <c r="V290" s="3">
        <f>1057.5+(66-615.9)+(0.539325+(0.03366-0.314109))+0-0-0</f>
        <v>507.85887600000001</v>
      </c>
      <c r="W290" s="3">
        <f>1164.8+(27.1-574.7)+(-0.594048+(-0.013821--0.293097))+0-0-0</f>
        <v>616.88522799999998</v>
      </c>
      <c r="X290" s="3">
        <f>1202.3+(23.3-548.3)+(-0.613173+(-0.011883--0.279633))+0-0-0</f>
        <v>676.95457699999997</v>
      </c>
      <c r="Y290" s="3">
        <f>1149.5+(36.6-519.2)+(-0.586245+(-0.018666--0.264792))+0-0-0</f>
        <v>666.55988100000002</v>
      </c>
      <c r="Z290" s="3">
        <f>1094.9+(41.5-495)+(-0.558399+(-0.021165--0.25245))+0-0-0</f>
        <v>641.07288600000004</v>
      </c>
      <c r="AA290" s="3">
        <f>1100.4+(38.9-515.8)+(1.683612+(0.059517-0.789174))+0-0-0</f>
        <v>624.45395500000006</v>
      </c>
      <c r="AB290" s="3">
        <f>1092.8+(33.4-531.5)+(0+(0-0))+0-0-0</f>
        <v>594.69999999999993</v>
      </c>
      <c r="AC290" s="3">
        <f>978.3+(70.2-483.2)+(-0.997866+(-0.071604--0.492864))+0-0-0</f>
        <v>564.72339399999998</v>
      </c>
      <c r="AD290" s="2">
        <v>692.6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903.3+(54.6-457.7)+(-1.382049+(-0.083538--0.700281))+0-0-0</f>
        <v>499.43469399999998</v>
      </c>
      <c r="G291" s="3">
        <f>832.5+(33-403.1)+(0+(0-0))+0-0-0</f>
        <v>462.4</v>
      </c>
      <c r="H291" s="3">
        <f>815.1+(26.5-394.6)+(0.415701+(0.013515-0.201246))+0-0-0</f>
        <v>447.22797000000003</v>
      </c>
      <c r="I291" s="3">
        <f>763.2+(27.4-359.5)+(0.389232+(0.013974-0.183345))+0-0-0</f>
        <v>431.319861</v>
      </c>
      <c r="J291" s="3">
        <f>757.4+(36.3-362.5)+(-0.386274+(-0.018513--0.184875))+0-0-0</f>
        <v>430.98008799999997</v>
      </c>
      <c r="K291" s="3">
        <f>760.1+(42.4-383.1)+(1.162953+(0.064872-0.586143))+0-0-0</f>
        <v>420.04168199999998</v>
      </c>
      <c r="L291" s="3">
        <f>764.8+(36.6-380.8)+(1.170144+(0.055998-0.582624))+0-0-0</f>
        <v>421.24351799999994</v>
      </c>
      <c r="M291" s="3">
        <f>753.8+(29.2-385.2)+(-0.384438+(-0.014892--0.196452))+0-0-0</f>
        <v>397.59712199999996</v>
      </c>
      <c r="N291" s="3">
        <f>778.8+(29.9-397.9)+(0.397188+(0.015249-0.202929))+0-0-0</f>
        <v>411.00950799999998</v>
      </c>
      <c r="O291" s="3">
        <f>921.9+(16.9-492.1)+(0.470169+(0.008619-0.250971))+0-0-0</f>
        <v>446.92781699999995</v>
      </c>
      <c r="P291" s="3">
        <f>970.4+(12.9-499.7)+(-0.494904+(-0.006579--0.254847))+0-0-0</f>
        <v>483.35336399999994</v>
      </c>
      <c r="Q291" s="3">
        <f>971.2+(7.4-466.8)+(-1.485936+(-0.011322--0.714204))+0-0-0</f>
        <v>511.01694600000002</v>
      </c>
      <c r="R291" s="3">
        <f>969.3+(6.6-478.1)+(-0.988686+(-0.006732--0.487662))+0-0-0</f>
        <v>497.29224399999998</v>
      </c>
      <c r="S291" s="3">
        <f>972.7+(10.7-515.3)+(-0.992154+(-0.010914--0.525606))+0-0-0</f>
        <v>467.62253800000008</v>
      </c>
      <c r="T291" s="3">
        <f>970.8+(4.6-518.7)+(-1.980432+(-0.009384--1.058148))+0-0-0</f>
        <v>455.76833199999993</v>
      </c>
      <c r="U291" s="3">
        <f>984.7+(3.4-539.6)+(2.510985+(0.00867-1.37598))+0-0-0</f>
        <v>449.64367499999997</v>
      </c>
      <c r="V291" s="3">
        <f>1009.8+(0-534.4)+(0+(0-0))+0-0-0</f>
        <v>475.4</v>
      </c>
      <c r="W291" s="3">
        <f>1171.6+(0-587.9)+(1.195032+(0-0.599658))+0-0-0</f>
        <v>584.29537399999992</v>
      </c>
      <c r="X291" s="3">
        <f>1201.4+(1.2-566.3)+(-1.838142+(-0.001836--0.866439))+0-0-0</f>
        <v>635.32646100000022</v>
      </c>
      <c r="Y291" s="3">
        <f>1196.7+(1.7-562.2)+(0.610317+(0.000867-0.286722))+0-0-0</f>
        <v>636.52446200000009</v>
      </c>
      <c r="Z291" s="3">
        <f>1108.3+(3.3-480.8)+(0.565233+(0.001683-0.245208))+0-0-0</f>
        <v>631.1217079999999</v>
      </c>
      <c r="AA291" s="3">
        <f>1095.7+(2.2-485.5)+(1.117614+(0.002244-0.49521))+0-0-0</f>
        <v>613.02464800000007</v>
      </c>
      <c r="AB291" s="3">
        <f>1086+(10.3-518.7)+(-1.10772+(-0.010506--0.529074))+0-0-0</f>
        <v>577.0108479999999</v>
      </c>
      <c r="AC291" s="3">
        <f>1079.6+(0-550)+(-2.75298+(0--1.4025))+0-0-0</f>
        <v>528.24951999999996</v>
      </c>
      <c r="AD291" s="2">
        <v>636.20000000000005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1081.5+(2.1-588.7)+(-1.654695+(-0.003213--0.900711))+0-0-0</f>
        <v>494.14280299999996</v>
      </c>
      <c r="G292" s="3">
        <f>1088.2+(0-630.6)+(0+(0-0))+0-0-0</f>
        <v>457.6</v>
      </c>
      <c r="H292" s="3">
        <f>1071.6+(0-637)+(0.546516+(0-0.32487))+0-0-0</f>
        <v>434.82164599999993</v>
      </c>
      <c r="I292" s="3">
        <f>863+(7.7-438.8)+(1.32039+(0.011781-0.671364))+0-0-0</f>
        <v>432.56080699999995</v>
      </c>
      <c r="J292" s="3">
        <f>847.4+(10.7-430.3)+(2.16087+(0.027285-1.097265))+0-0-0</f>
        <v>428.89088999999996</v>
      </c>
      <c r="K292" s="3">
        <f>842.4+(37.2-441.8)+(0.859248+(0.037944-0.450636))+0-0-0</f>
        <v>438.24655599999994</v>
      </c>
      <c r="L292" s="3">
        <f>907.5+(28.4-475.6)+(-2.77695+(-0.086904--1.455336))+0-0-0</f>
        <v>458.89148199999994</v>
      </c>
      <c r="M292" s="3">
        <f>987.2+(22.9-513.7)+(1.510416+(0.035037-0.785961))+0-0-0</f>
        <v>497.159492</v>
      </c>
      <c r="N292" s="3">
        <f>1067.1+(42.2-567.5)+(0+(0-0))+0-0-0</f>
        <v>541.79999999999995</v>
      </c>
      <c r="O292" s="3">
        <f>1054.8+(47.1-517.8)+(-2.151792+(-0.096084--1.056312))+0-0-0</f>
        <v>582.90843600000005</v>
      </c>
      <c r="P292" s="3">
        <f>1094.7+(59.4-545.6)+(1.116594+(0.060588-0.556512))+0-0-0</f>
        <v>609.12067000000002</v>
      </c>
      <c r="Q292" s="3">
        <f>1179+(44.7-598.8)+(0+(0-0))+0-0-0</f>
        <v>624.90000000000009</v>
      </c>
      <c r="R292" s="3">
        <f>1170.8+(35.9-584.7)+(-1.791324+(-0.054927--0.894591))+0-0-0</f>
        <v>621.04833999999994</v>
      </c>
      <c r="S292" s="3">
        <f>1176.4+(36.3-615.1)+(-1.199928+(-0.037026--0.627402))+0-0-0</f>
        <v>596.99044800000001</v>
      </c>
      <c r="T292" s="3">
        <f>1173.2+(44.6-632.8)+(0.598332+(0.022746-0.322728))+0-0-0</f>
        <v>585.29835000000014</v>
      </c>
      <c r="U292" s="3">
        <f>1181.9+(54.3-648.8)+(1.808307+(0.083079-0.992664))+0-0-0</f>
        <v>588.29872200000011</v>
      </c>
      <c r="V292" s="3">
        <f>1180.8+(34.3-629)+(0.602208+(0.017493-0.32079))+0-0-0</f>
        <v>586.39891099999988</v>
      </c>
      <c r="W292" s="3">
        <f>1193.9+(20-517.5)+(0+(0-0))+0-0-0</f>
        <v>696.40000000000009</v>
      </c>
      <c r="X292" s="3">
        <f>1197.5+(54.8-520.2)+(-0.610725+(-0.027948--0.265302))+0-0-0</f>
        <v>731.72662899999989</v>
      </c>
      <c r="Y292" s="3">
        <f>1195+(47.4-521.3)+(-2.4378+(-0.096696--1.063452))+0-0-0</f>
        <v>719.62895600000002</v>
      </c>
      <c r="Z292" s="3">
        <f>1189.5+(46.6-518.7)+(-0.606645+(-0.023766--0.264537))+0-0-0</f>
        <v>717.03412600000001</v>
      </c>
      <c r="AA292" s="3">
        <f>1194.1+(10.8-515)+(0+(0-0))+0-0-0</f>
        <v>689.89999999999986</v>
      </c>
      <c r="AB292" s="3">
        <f>1168.8+(1.9-522.3)+(-1.788264+(-0.002907--0.799119))+0-0-0</f>
        <v>647.40794800000003</v>
      </c>
      <c r="AC292" s="3">
        <f>1087.1+(29.7-524.5)+(-0.554421+(-0.015147--0.267495))+0-0-0</f>
        <v>591.997927</v>
      </c>
      <c r="AD292" s="2">
        <v>686.9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1027.3+(16.6-526.2)+(-1.047846+(-0.016932--0.536724))+0-0-0</f>
        <v>517.17194599999993</v>
      </c>
      <c r="G293" s="3">
        <f>949.7+(10-477.3)+(0.484347+(0.0051-0.243423))+0-0-0</f>
        <v>482.64602400000001</v>
      </c>
      <c r="H293" s="3">
        <f>908.4+(30.5-484.1)+(-0.926568+(-0.03111--0.493782))+0-0-0</f>
        <v>454.33610399999998</v>
      </c>
      <c r="I293" s="3">
        <f>915.6+(34.1-501.3)+(0.466956+(0.017391-0.255663))+0-0-0</f>
        <v>448.62868400000002</v>
      </c>
      <c r="J293" s="3">
        <f>922.3+(26.6-499.1)+(1.881492+(0.054264-1.018164))+0-0-0</f>
        <v>450.71759199999997</v>
      </c>
      <c r="K293" s="3">
        <f>922.7+(13.2-490.1)+(0.941154+(0.013464-0.499902))+0-0-0</f>
        <v>446.25471600000003</v>
      </c>
      <c r="L293" s="3">
        <f>1051.4+(0-586.2)+(1.072428+(0-0.597924))+0-0-0</f>
        <v>465.67450400000007</v>
      </c>
      <c r="M293" s="3">
        <f>1097.9+(15.4-619.3)+(-1.119858+(-0.015708--0.631686))+0-0-0</f>
        <v>493.49612000000013</v>
      </c>
      <c r="N293" s="3">
        <f>1147.8+(48.2-638.7)+(1.170756+(0.049164-0.651474))+0-0-0</f>
        <v>557.86844599999995</v>
      </c>
      <c r="O293" s="3">
        <f>1142.1+(46.5-618.9)+(1.164942+(0.04743-0.631278))+0-0-0</f>
        <v>570.28109399999994</v>
      </c>
      <c r="P293" s="3">
        <f>1132.9+(28.7-590.4)+(0.577779+(0.014637-0.301104))+0-0-0</f>
        <v>571.49131200000011</v>
      </c>
      <c r="Q293" s="3">
        <f>1126.1+(25.2-568.4)+(-0.574311+(-0.012852--0.289884))+0-0-0</f>
        <v>582.60272099999997</v>
      </c>
      <c r="R293" s="3">
        <f>1114.2+(24.6-566.5)+(-2.272968+(-0.050184--1.15566))+0-0-0</f>
        <v>571.13250800000003</v>
      </c>
      <c r="S293" s="3">
        <f>1117.5+(28.1-590.1)+(-1.709775+(-0.042993--0.902853))+0-0-0</f>
        <v>554.65008499999999</v>
      </c>
      <c r="T293" s="3">
        <f>1107.8+(25.4-588.4)+(-3.389868+(-0.077724--1.800504))+0-0-0</f>
        <v>543.13291199999992</v>
      </c>
      <c r="U293" s="3">
        <f>1050.7+(17.4-521.8)+(1.607571+(0.026622-0.798354))+0-0-0</f>
        <v>547.13583900000003</v>
      </c>
      <c r="V293" s="3">
        <f>1039.3+(19-495.8)+(0+(0-0))+0-0-0</f>
        <v>562.5</v>
      </c>
      <c r="W293" s="3">
        <f>1162.5+(22.4-528.5)+(0.592875+(0.011424-0.269535))+0-0-0</f>
        <v>656.73476399999993</v>
      </c>
      <c r="X293" s="3">
        <f>1186.4+(46.4-539.1)+(-3.02532+(-0.11832--1.374705))+0-0-0</f>
        <v>691.93106499999999</v>
      </c>
      <c r="Y293" s="3">
        <f>1197.4+(48.7-558.3)+(-1.221348+(-0.049674--0.569466))+0-0-0</f>
        <v>687.0984440000002</v>
      </c>
      <c r="Z293" s="3">
        <f>1168.2+(57.6-563.8)+(-0.595782+(-0.029376--0.287538))+0-0-0</f>
        <v>661.6623800000001</v>
      </c>
      <c r="AA293" s="3">
        <f>1039.7+(78.3-489.2)+(-2.120988+(-0.159732--0.997968))+0-0-0</f>
        <v>627.51724800000011</v>
      </c>
      <c r="AB293" s="3">
        <f>1032.1+(34.9-476.6)+(-0.526371+(-0.017799--0.243066))+0-0-0</f>
        <v>590.09889599999985</v>
      </c>
      <c r="AC293" s="3">
        <f>1019.5+(54-532.9)+(-2.599725+(-0.1377--1.358895))+0-0-0</f>
        <v>539.22147000000007</v>
      </c>
      <c r="AD293" s="2">
        <v>687.39999999999986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1012.7+(28.9-550.1)+(-2.582385+(-0.073695--1.402755))+0-0-0</f>
        <v>490.24667499999998</v>
      </c>
      <c r="G294" s="3">
        <f>951.8+(24.2-512.7)+(-2.42709+(-0.06171--1.307385))+0-0-0</f>
        <v>462.11858499999988</v>
      </c>
      <c r="H294" s="3">
        <f>768.2+(49.1-382)+(0.783564+(0.050082-0.38964))+0-0-0</f>
        <v>435.74400600000007</v>
      </c>
      <c r="I294" s="3">
        <f>754.2+(51.1-364.3)+(0.384642+(0.026061-0.185793))+0-0-0</f>
        <v>441.22491000000008</v>
      </c>
      <c r="J294" s="3">
        <f>746+(57.3-372.1)+(-0.76092+(-0.058446--0.379542))+0-0-0</f>
        <v>430.760176</v>
      </c>
      <c r="K294" s="3">
        <f>750.8+(59.5-364.8)+(0.765816+(0.06069-0.372096))+0-0-0</f>
        <v>445.95440999999994</v>
      </c>
      <c r="L294" s="3">
        <f>877.2+(27-449.2)+(1.789488+(0.05508-0.916368))+0-0-0</f>
        <v>455.92820000000006</v>
      </c>
      <c r="M294" s="3">
        <f>936.8+(24.9-475.3)+(-0.955536+(-0.025398--0.484806))+0-0-0</f>
        <v>485.90387199999992</v>
      </c>
      <c r="N294" s="3">
        <f>951.8+(75.4-499.9)+(-0.485418+(-0.038454--0.254949))+0-0-0</f>
        <v>527.03107699999998</v>
      </c>
      <c r="O294" s="3">
        <f>1006.9+(62.7-479.9)+(-1.027038+(-0.063954--0.489498))+0-0-0</f>
        <v>589.09850600000004</v>
      </c>
      <c r="P294" s="3">
        <f>981.7+(38.7-450.8)+(-1.001334+(-0.039474--0.459816))+0-0-0</f>
        <v>569.01900799999999</v>
      </c>
      <c r="Q294" s="3">
        <f>1021.7+(24.6-465.9)+(-1.042134+(-0.025092--0.475218))+0-0-0</f>
        <v>579.80799200000013</v>
      </c>
      <c r="R294" s="3">
        <f>1072.8+(6.1-526.7)+(-2.188512+(-0.012444--1.074468))+0-0-0</f>
        <v>551.07351199999994</v>
      </c>
      <c r="S294" s="3">
        <f>960.5+(5.6-437)+(0.489855+(0.002856-0.22287))+0-0-0</f>
        <v>529.36984100000006</v>
      </c>
      <c r="T294" s="3">
        <f>966.6+(4.9-439.8)+(-0.492966+(-0.002499--0.224298))+0-0-0</f>
        <v>531.42883300000005</v>
      </c>
      <c r="U294" s="3">
        <f>964.3+(7.5-438.6)+(-0.983586+(-0.00765--0.447372))+0-0-0</f>
        <v>532.65613599999995</v>
      </c>
      <c r="V294" s="3">
        <f>963.9+(8-427.3)+(-0.983178+(-0.00816--0.435846))+0-0-0</f>
        <v>544.04450799999995</v>
      </c>
      <c r="W294" s="3">
        <f>1146.9+(8.6-512.8)+(0.584919+(0.004386-0.261528))+0-0-0</f>
        <v>643.02777700000013</v>
      </c>
      <c r="X294" s="3">
        <f>1199.1+(13.3-546.5)+(-1.834623+(-0.020349--0.836145))+0-0-0</f>
        <v>664.88117299999988</v>
      </c>
      <c r="Y294" s="3">
        <f>1178.8+(8.8-514.3)+(0.601188+(0.004488-0.262293))+0-0-0</f>
        <v>673.64338299999997</v>
      </c>
      <c r="Z294" s="3">
        <f>1103.6+(30.4-457.1)+(-0.562836+(-0.015504--0.233121))+0-0-0</f>
        <v>676.55478099999982</v>
      </c>
      <c r="AA294" s="3">
        <f>1094.6+(35.5-486.1)+(-1.116492+(-0.03621--0.495822))+0-0-0</f>
        <v>643.34311999999989</v>
      </c>
      <c r="AB294" s="3">
        <f>1085.3+(50-530.2)+(-2.214012+(-0.102--1.081608))+0-0-0</f>
        <v>603.86559599999987</v>
      </c>
      <c r="AC294" s="3">
        <f>1046.5+(63.9-556.9)+(-2.668575+(-0.162945--1.420095))+0-0-0</f>
        <v>552.08857499999999</v>
      </c>
      <c r="AD294" s="2">
        <v>687.70000000000016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990.5+(30.7-519.7)+(-0.505155+(-0.015657--0.265047))+0-0-0</f>
        <v>501.24423499999995</v>
      </c>
      <c r="G295" s="3">
        <f>876.9+(36.2-455.3)+(-1.788876+(-0.073848--0.928812))+0-0-0</f>
        <v>456.86608799999993</v>
      </c>
      <c r="H295" s="3">
        <f>792.6+(33.3-388.6)+(0.404226+(0.016983-0.198186))+0-0-0</f>
        <v>437.52302300000002</v>
      </c>
      <c r="I295" s="3">
        <f>784.7+(30.2-388.1)+(-1.200591+(-0.046206--0.593793))+0-0-0</f>
        <v>426.146996</v>
      </c>
      <c r="J295" s="3">
        <f>794+(30.2-387.6)+(0.40494+(0.015402-0.197676))+0-0-0</f>
        <v>436.82266599999997</v>
      </c>
      <c r="K295" s="3">
        <f>792.6+(18.3-371)+(0.404226+(0.009333-0.18921))+0-0-0</f>
        <v>440.12434900000005</v>
      </c>
      <c r="L295" s="3">
        <f>954.5+(0-497.8)+(-2.433975+(0--1.26939))+0-0-0</f>
        <v>455.535415</v>
      </c>
      <c r="M295" s="3">
        <f>1034.1+(0-557.6)+(-1.582173+(0--0.853128))+0-0-0</f>
        <v>475.7709549999999</v>
      </c>
      <c r="N295" s="3">
        <f>1036.1+(12.3-540)+(1.056822+(0.012546-0.5508))+0-0-0</f>
        <v>508.91856799999988</v>
      </c>
      <c r="O295" s="3">
        <f>1022.2+(38.7-472.3)+(-0.521322+(-0.019737--0.240873))+0-0-0</f>
        <v>588.29981399999997</v>
      </c>
      <c r="P295" s="3">
        <f>993.2+(2.1-431.2)+(1.519596+(0.003213-0.659736))+0-0-0</f>
        <v>564.96307300000012</v>
      </c>
      <c r="Q295" s="3">
        <f>995.2+(0-444.4)+(0+(0-0))+0-0-0</f>
        <v>550.80000000000007</v>
      </c>
      <c r="R295" s="3">
        <f>995+(0-445)+(-0.50745+(0--0.22695))+0-0-0</f>
        <v>549.71950000000004</v>
      </c>
      <c r="S295" s="3">
        <f>985.2+(1.1-453.3)+(-0.502452+(-0.000561--0.231183))+0-0-0</f>
        <v>532.72816999999998</v>
      </c>
      <c r="T295" s="3">
        <f>985.4+(5.7-473.9)+(-0.502554+(-0.002907--0.241689))+0-0-0</f>
        <v>516.93622800000003</v>
      </c>
      <c r="U295" s="3">
        <f>1023+(7.5-494.8)+(0+(0-0))+0-0-0</f>
        <v>535.70000000000005</v>
      </c>
      <c r="V295" s="3">
        <f>1024.2+(13.9-462.6)+(-0.522342+(-0.007089--0.235926))+0-0-0</f>
        <v>575.20649500000002</v>
      </c>
      <c r="W295" s="3">
        <f>1109.9+(23.3-457.4)+(0.566049+(0.011883-0.233274))+0-0-0</f>
        <v>676.14465800000016</v>
      </c>
      <c r="X295" s="3">
        <f>1138.3+(22.3-437.4)+(-2.322132+(-0.045492--0.892296))+0-0-0</f>
        <v>721.72467200000006</v>
      </c>
      <c r="Y295" s="3">
        <f>1139.1+(21.4-459.6)+(-0.580941+(-0.010914--0.234396))+0-0-0</f>
        <v>700.54254099999991</v>
      </c>
      <c r="Z295" s="3">
        <f>1140.7+(26.8-476.3)+(-1.163514+(-0.027336--0.485826))+0-0-0</f>
        <v>690.49497600000007</v>
      </c>
      <c r="AA295" s="3">
        <f>1100.1+(8.4-452.5)+(0+(0-0))+0-0-0</f>
        <v>655.99999999999989</v>
      </c>
      <c r="AB295" s="3">
        <f>1034.8+(49.6-470.2)+(-1.583244+(-0.075888--0.719406))+0-0-0</f>
        <v>613.26027400000009</v>
      </c>
      <c r="AC295" s="3">
        <f>1034.4+(26.1-505.2)+(-1.055088+(-0.026622--0.515304))+0-0-0</f>
        <v>554.73359400000015</v>
      </c>
      <c r="AD295" s="2">
        <v>687.9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877.5+(3.2-529.3)+(-2.237625+(-0.00816--1.349715))+0-0-0</f>
        <v>350.50393000000008</v>
      </c>
      <c r="G296" s="3">
        <f>817+(5-452.2)+(0+(0-0))+0-0-0</f>
        <v>369.8</v>
      </c>
      <c r="H296" s="3">
        <f>759.3+(12-394.8)+(-0.774486+(-0.01224--0.402696))+0-0-0</f>
        <v>376.11596999999995</v>
      </c>
      <c r="I296" s="3">
        <f>675.3+(43.1-308.4)+(-0.688806+(-0.043962--0.314568))+0-0-0</f>
        <v>409.58179999999999</v>
      </c>
      <c r="J296" s="3">
        <f>665.4+(27.1-356.7)+(0+(0-0))+0-0-0</f>
        <v>335.8</v>
      </c>
      <c r="K296" s="3">
        <f>728.8+(24.9-349.4)+(-0.371688+(-0.012699--0.178194))+0-0-0</f>
        <v>404.09380699999997</v>
      </c>
      <c r="L296" s="3">
        <f>770.3+(30.3-391)+(0+(0-0))+0-0-0</f>
        <v>409.59999999999997</v>
      </c>
      <c r="M296" s="3">
        <f>827.5+(21.1-415.1)+(0.84405+(0.021522-0.423402))+0-0-0</f>
        <v>433.94216999999998</v>
      </c>
      <c r="N296" s="3">
        <f>849.9+(58.1-424.6)+(0.866898+(0.059262-0.433092))+0-0-0</f>
        <v>483.89306799999997</v>
      </c>
      <c r="O296" s="3">
        <f>849+(99-422.6)+(0+(0-0))+0-0-0</f>
        <v>525.4</v>
      </c>
      <c r="P296" s="3">
        <f>855.1+(117.2-435.9)+(1.308303+(0.179316-0.666927))+0-0-0</f>
        <v>537.2206920000001</v>
      </c>
      <c r="Q296" s="3">
        <f>876.7+(99.6-443.4)+(-0.894234+(-0.101592--0.452268))+0-0-0</f>
        <v>532.35644200000013</v>
      </c>
      <c r="R296" s="3">
        <f>926.4+(82.4-474.2)+(-2.36232+(-0.21012--1.20921))+0-0-0</f>
        <v>533.23676999999998</v>
      </c>
      <c r="S296" s="3">
        <f>900.9+(83.3-457.4)+(-0.459459+(-0.042483--0.233274))+0-0-0</f>
        <v>526.53133199999991</v>
      </c>
      <c r="T296" s="3">
        <f>901.1+(72.1-449.1)+(-0.459561+(-0.036771--0.229041))+0-0-0</f>
        <v>523.83270900000002</v>
      </c>
      <c r="U296" s="3">
        <f>901.1+(78-433.6)+(0.459561+(0.03978-0.221136))+0-0-0</f>
        <v>545.77820499999996</v>
      </c>
      <c r="V296" s="3">
        <f>903.7+(88-461.2)+(0+(0-0))+0-0-0</f>
        <v>530.5</v>
      </c>
      <c r="W296" s="3">
        <f>903.7+(85-426.2)+(0.460887+(0.04335-0.217362))+0-0-0</f>
        <v>562.78687500000001</v>
      </c>
      <c r="X296" s="3">
        <f>903.7+(86-404.6)+(-2.304435+(-0.2193--1.03173))+0-0-0</f>
        <v>583.60799500000007</v>
      </c>
      <c r="Y296" s="3">
        <f>942.1+(88-387.8)+(-1.921884+(-0.17952--0.791112))+0-0-0</f>
        <v>640.98970799999995</v>
      </c>
      <c r="Z296" s="3">
        <f>863.8+(101.4-345.6)+(-2.20269+(-0.25857--0.88128))+0-0-0</f>
        <v>618.02001999999993</v>
      </c>
      <c r="AA296" s="3">
        <f>862.4+(116.1-399.1)+(-0.879648+(-0.118422--0.407082))+0-0-0</f>
        <v>578.80901199999994</v>
      </c>
      <c r="AB296" s="3">
        <f>834+(103.1-396.1)+(-1.27602+(-0.157743--0.606033))+0-0-0</f>
        <v>540.17227000000003</v>
      </c>
      <c r="AC296" s="3">
        <f>756.9+(81.8-359.5)+(-0.772038+(-0.083436--0.36669))+0-0-0</f>
        <v>478.71121599999998</v>
      </c>
      <c r="AD296" s="2">
        <v>680.80000000000007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719.8+(56.5-305.5)+(-0.367098+(-0.028815--0.155805))+0-0-0</f>
        <v>470.55989199999993</v>
      </c>
      <c r="G297" s="3">
        <f>653.3+(57.2-271.6)+(0.999549+(0.087516-0.415548))+0-0-0</f>
        <v>439.57151699999991</v>
      </c>
      <c r="H297" s="3">
        <f>583.8+(75.8-256.3)+(-0.297738+(-0.038658--0.130713))+0-0-0</f>
        <v>403.09431699999993</v>
      </c>
      <c r="I297" s="3">
        <f>584.7+(75.9-264.3)+(0.894591+(0.116127-0.404379))+0-0-0</f>
        <v>396.90633900000006</v>
      </c>
      <c r="J297" s="3">
        <f>585.7+(75.9-263.3)+(0+(0-0))+0-0-0</f>
        <v>398.30000000000007</v>
      </c>
      <c r="K297" s="3">
        <f>587.4+(86-259)+(1.198296+(0.17544-0.52836))+0-0-0</f>
        <v>415.24537599999996</v>
      </c>
      <c r="L297" s="3">
        <f>677.7+(75.1-327.4)+(-1.382508+(-0.153204--0.667896))+0-0-0</f>
        <v>424.53218400000009</v>
      </c>
      <c r="M297" s="3">
        <f>701.8+(64.2-331)+(-0.357918+(-0.032742--0.16881))+0-0-0</f>
        <v>434.77814999999993</v>
      </c>
      <c r="N297" s="3">
        <f>703.8+(54.2-273.8)+(-0.358938+(-0.027642--0.139638))+0-0-0</f>
        <v>483.95305799999994</v>
      </c>
      <c r="O297" s="3">
        <f>711.5+(82.8-285.9)+(0.72573+(0.084456-0.291618))+0-0-0</f>
        <v>508.91856800000005</v>
      </c>
      <c r="P297" s="3">
        <f>849+(81.1-354.6)+(-0.43299+(-0.041361--0.180846))+0-0-0</f>
        <v>575.20649500000002</v>
      </c>
      <c r="Q297" s="3">
        <f>857.6+(98.2-349.5)+(0+(0-0))+0-0-0</f>
        <v>606.29999999999995</v>
      </c>
      <c r="R297" s="3">
        <f>847.7+(101.1-357.9)+(-1.296981+(-0.154683--0.547587))+0-0-0</f>
        <v>589.99592300000006</v>
      </c>
      <c r="S297" s="3">
        <f>786+(102.2-332.6)+(0+(0-0))+0-0-0</f>
        <v>555.59999999999991</v>
      </c>
      <c r="T297" s="3">
        <f>749.5+(84.7-302.7)+(-1.911225+(-0.215985--0.771885))+0-0-0</f>
        <v>530.14467500000001</v>
      </c>
      <c r="U297" s="3">
        <f>685.6+(113.8-290.8)+(-1.048968+(-0.174114--0.444924))+0-0-0</f>
        <v>507.821842</v>
      </c>
      <c r="V297" s="3">
        <f>749.8+(94.7-302.7)+(-1.147194+(-0.144891--0.463131))+0-0-0</f>
        <v>540.971046</v>
      </c>
      <c r="W297" s="3">
        <f>796.6+(115.8-272.1)+(0.406266+(0.059058-0.138771))+0-0-0</f>
        <v>640.62655299999994</v>
      </c>
      <c r="X297" s="3">
        <f>877.9+(101.7-304.6)+(-0.895458+(-0.103734--0.310692))+0-0-0</f>
        <v>674.31150000000002</v>
      </c>
      <c r="Y297" s="3">
        <f>873.6+(97.9-315.8)+(-0.891072+(-0.099858--0.322116))+0-0-0</f>
        <v>655.03118600000005</v>
      </c>
      <c r="Z297" s="3">
        <f>842.7+(98.3-282.9)+(-2.148885+(-0.250665--0.721395))+0-0-0</f>
        <v>656.42184500000019</v>
      </c>
      <c r="AA297" s="3">
        <f>778.1+(126.9-276.8)+(0+(0-0))+0-0-0</f>
        <v>628.20000000000005</v>
      </c>
      <c r="AB297" s="3">
        <f>755.8+(146.2-307.7)+(-1.92729+(-0.37281--0.784635))+0-0-0</f>
        <v>592.78453500000001</v>
      </c>
      <c r="AC297" s="3">
        <f>706.8+(136.4-289.6)+(-0.720936+(-0.139128--0.295392))+0-0-0</f>
        <v>553.03532799999994</v>
      </c>
      <c r="AD297" s="2">
        <v>654.79999999999995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709.9+(112.1-329.2)+(-0.724098+(-0.114342--0.335784))+0-0-0</f>
        <v>492.29734399999995</v>
      </c>
      <c r="G298" s="3">
        <f>624.9+(114.6-284.4)+(0+(0-0))+0-0-0</f>
        <v>455.1</v>
      </c>
      <c r="H298" s="3">
        <f>578.9+(133.3-276.9)+(-0.295239+(-0.067983--0.141219))+0-0-0</f>
        <v>435.07799700000004</v>
      </c>
      <c r="I298" s="3">
        <f>586.1+(135.8-293.5)+(0.896733+(0.207774-0.449055))+0-0-0</f>
        <v>429.05545200000006</v>
      </c>
      <c r="J298" s="3">
        <f>571.1+(132-283)+(-1.456305+(-0.3366--0.72165))+0-0-0</f>
        <v>419.02874500000001</v>
      </c>
      <c r="K298" s="3">
        <f>586.2+(126.3-296.9)+(0.298962+(0.064413-0.151419))+0-0-0</f>
        <v>415.81195600000007</v>
      </c>
      <c r="L298" s="3">
        <f>578.2+(129.2-294.4)+(-1.47441+(-0.32946--0.75072))+0-0-0</f>
        <v>411.94685000000004</v>
      </c>
      <c r="M298" s="3">
        <f>573+(120.6-305)+(-2.33784+(-0.492048--1.2444))+0-0-0</f>
        <v>387.01451200000002</v>
      </c>
      <c r="N298" s="3">
        <f>575.6+(116.8-296.8)+(-0.293556+(-0.059568--0.151368))+0-0-0</f>
        <v>395.39824400000003</v>
      </c>
      <c r="O298" s="3">
        <f>578.9+(155.9-326.9)+(-0.590478+(-0.159018--0.333438))+0-0-0</f>
        <v>407.48394199999996</v>
      </c>
      <c r="P298" s="3">
        <f>580.5+(167-330.3)+(0.888165+(0.25551-0.505359))+0-0-0</f>
        <v>417.83831599999996</v>
      </c>
      <c r="Q298" s="3">
        <f>577.5+(176.4-334.3)+(-1.472625+(-0.44982--0.852465))+0-0-0</f>
        <v>418.53002000000004</v>
      </c>
      <c r="R298" s="3">
        <f>578.4+(199.9-312.1)+(-1.47492+(-0.509745--0.795855))+0-0-0</f>
        <v>465.01118999999994</v>
      </c>
      <c r="S298" s="3">
        <f>572.3+(191.5-318)+(0+(0-0))+0-0-0</f>
        <v>445.79999999999995</v>
      </c>
      <c r="T298" s="3">
        <f>586.3+(181.6-327.4)+(-0.598026+(-0.185232--0.333948))+0-0-0</f>
        <v>440.05068999999997</v>
      </c>
      <c r="U298" s="3">
        <f>592.3+(173.1-329.3)+(0+(0-0))+0-0-0</f>
        <v>436.09999999999991</v>
      </c>
      <c r="V298" s="3">
        <f>591.4+(153.8-325.1)+(0.301614+(0.078438-0.165801))+0-0-0</f>
        <v>420.31425099999996</v>
      </c>
      <c r="W298" s="3">
        <f>707.7+(167.8-330.1)+(-0.360927+(-0.085578--0.168351))+0-0-0</f>
        <v>545.12184600000012</v>
      </c>
      <c r="X298" s="3">
        <f>726.6+(198.3-314.5)+(-0.370566+(-0.101133--0.160395))+0-0-0</f>
        <v>610.08869600000014</v>
      </c>
      <c r="Y298" s="3">
        <f>724.6+(208.7-317.7)+(0+(0-0))+0-0-0</f>
        <v>615.6</v>
      </c>
      <c r="Z298" s="3">
        <f>724.7+(207.8-321.7)+(0.369597+(0.105978-0.164067))+0-0-0</f>
        <v>611.11150800000007</v>
      </c>
      <c r="AA298" s="3">
        <f>649.6+(237.7-293.7)+(1.325184+(0.484908-0.599148))+0-0-0</f>
        <v>594.81094400000006</v>
      </c>
      <c r="AB298" s="3">
        <f>527.7+(272.6-232.1)+(0+(0-0))+0-0-0</f>
        <v>568.20000000000005</v>
      </c>
      <c r="AC298" s="3">
        <f>517.7+(234.1-243.5)+(-1.848189+(-0.835737--0.869295))+0-0-0</f>
        <v>506.48536900000005</v>
      </c>
      <c r="AD298" s="2">
        <v>605.79999999999995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515.7+(168.9-226.6)+(-1.052028+(-0.344556--0.462264))+0-0-0</f>
        <v>457.06568000000004</v>
      </c>
      <c r="G299" s="3">
        <f>515.4+(136.6-235.5)+(-1.051416+(-0.278664--0.48042))+0-0-0</f>
        <v>415.65034000000003</v>
      </c>
      <c r="H299" s="3">
        <f>516.4+(129.5-248.2)+(-0.790092+(-0.198135--0.379746))+0-0-0</f>
        <v>397.09151900000001</v>
      </c>
      <c r="I299" s="3">
        <f>515.8+(120.5-248.5)+(-0.789174+(-0.184365--0.380205))+0-0-0</f>
        <v>387.20666599999993</v>
      </c>
      <c r="J299" s="3">
        <f>527.2+(110-251.2)+(0.537744+(0.1122-0.256224))+0-0-0</f>
        <v>386.39372000000003</v>
      </c>
      <c r="K299" s="3">
        <f>528.1+(112.8-237.3)+(1.077324+(0.230112-0.484092))+0-0-0</f>
        <v>404.42334400000004</v>
      </c>
      <c r="L299" s="3">
        <f>521.1+(126.1-230.4)+(-1.063044+(-0.257244--0.470016))+0-0-0</f>
        <v>415.94972799999999</v>
      </c>
      <c r="M299" s="3">
        <f>526.2+(122-261.8)+(0.268362+(0.06222-0.133518))+0-0-0</f>
        <v>386.59706400000005</v>
      </c>
      <c r="N299" s="3">
        <f>554.2+(135.3-251.8)+(-0.847926+(-0.207009--0.385254))+0-0-0</f>
        <v>437.03031900000002</v>
      </c>
      <c r="O299" s="3">
        <f>570.1+(149.2-236)+(-0.290751+(-0.076092--0.12036))+0-0-0</f>
        <v>483.053517</v>
      </c>
      <c r="P299" s="3">
        <f>571.4+(172.2-241)+(-1.165656+(-0.351288--0.49164))+0-0-0</f>
        <v>501.57469599999996</v>
      </c>
      <c r="Q299" s="3">
        <f>650.5+(154.3-294.9)+(-0.331755+(-0.078693--0.150399))+0-0-0</f>
        <v>509.63995100000005</v>
      </c>
      <c r="R299" s="3">
        <f>707.5+(128.2-316.6)+(-2.525775+(-0.457674--1.130262))+0-0-0</f>
        <v>517.24681299999986</v>
      </c>
      <c r="S299" s="3">
        <f>713.7+(127.4-348.4)+(0+(0-0))+0-0-0</f>
        <v>492.70000000000005</v>
      </c>
      <c r="T299" s="3">
        <f>713.6+(124.5-353)+(-0.727872+(-0.12699--0.36006))+0-0-0</f>
        <v>484.60519800000003</v>
      </c>
      <c r="U299" s="3">
        <f>715.7+(112.4-343.1)+(0+(0-0))+0-0-0</f>
        <v>485</v>
      </c>
      <c r="V299" s="3">
        <f>714.3+(108-324.7)+(-0.364293+(-0.05508--0.165597))+0-0-0</f>
        <v>497.34622399999995</v>
      </c>
      <c r="W299" s="3">
        <f>713.9+(139.2-248.7)+(0.364089+(0.070992-0.126837))+0-0-0</f>
        <v>604.70824399999992</v>
      </c>
      <c r="X299" s="3">
        <f>721.1+(180.2-223.8)+(-1.103283+(-0.275706--0.342414))+0-0-0</f>
        <v>676.46342500000003</v>
      </c>
      <c r="Y299" s="3">
        <f>712+(182.6-225.1)+(-1.08936+(-0.279378--0.344403))+0-0-0</f>
        <v>668.47566500000005</v>
      </c>
      <c r="Z299" s="3">
        <f>714.4+(180.2-239.8)+(-0.364344+(-0.091902--0.122298))+0-0-0</f>
        <v>654.46605199999999</v>
      </c>
      <c r="AA299" s="3">
        <f>714.6+(170.8-247.5)+(-0.364446+(-0.087108--0.126225))+0-0-0</f>
        <v>637.57467100000008</v>
      </c>
      <c r="AB299" s="3">
        <f>723.6+(154.5-267.4)+(-1.476144+(-0.31518--0.545496))+0-0-0</f>
        <v>609.45417200000009</v>
      </c>
      <c r="AC299" s="3">
        <f>746.3+(115.2-293.4)+(-1.141839+(-0.176256--0.448902))+0-0-0</f>
        <v>567.23080699999991</v>
      </c>
      <c r="AD299" s="2">
        <v>710.4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590.7+(129.9-247.8)+(0.301257+(0.066249-0.126378))+0-0-0</f>
        <v>473.04112800000007</v>
      </c>
      <c r="G300" s="3">
        <f>542.8+(112-227.5)+(0.553656+(0.11424-0.23205))+0-0-0</f>
        <v>427.73584599999998</v>
      </c>
      <c r="H300" s="3">
        <f>546.8+(98.1-223.3)+(0.278868+(0.050031-0.113883))+0-0-0</f>
        <v>421.8150159999999</v>
      </c>
      <c r="I300" s="3">
        <f>550.2+(98.4-243.2)+(0.841806+(0.150552-0.372096))+0-0-0</f>
        <v>406.02026200000012</v>
      </c>
      <c r="J300" s="3">
        <f>550.2+(95.4-247.7)+(1.122408+(0.194616-0.505308))+0-0-0</f>
        <v>398.71171600000008</v>
      </c>
      <c r="K300" s="3">
        <f>595.5+(83.8-277.9)+(0+(0-0))+0-0-0</f>
        <v>401.40000000000003</v>
      </c>
      <c r="L300" s="3">
        <f>710+(83-345)+(0.7242+(0.08466-0.3519))+0-0-0</f>
        <v>448.45695999999998</v>
      </c>
      <c r="M300" s="3">
        <f>706.1+(100.2-342)+(1.080333+(0.153306-0.52326))+0-0-0</f>
        <v>465.010379</v>
      </c>
      <c r="N300" s="3">
        <f>719+(104.8-298.4)+(1.10007+(0.160344-0.456552))+0-0-0</f>
        <v>526.20386200000007</v>
      </c>
      <c r="O300" s="3">
        <f>743.7+(96.8-281.8)+(1.896435+(0.24684-0.71859))+0-0-0</f>
        <v>560.124685</v>
      </c>
      <c r="P300" s="3">
        <f>754.3+(101-255.6)+(0.769386+(0.10302-0.260712))+0-0-0</f>
        <v>600.31169399999999</v>
      </c>
      <c r="Q300" s="3">
        <f>753.3+(107.8-254.1)+(1.536732+(0.219912-0.518364))+0-0-0</f>
        <v>608.23828000000003</v>
      </c>
      <c r="R300" s="3">
        <f>799.2+(59.5-290.4)+(-0.815184+(-0.06069--0.296208))+0-0-0</f>
        <v>567.72033400000009</v>
      </c>
      <c r="S300" s="3">
        <f>851.4+(33.2-320.9)+(0.434214+(0.016932-0.163659))+0-0-0</f>
        <v>563.9874870000001</v>
      </c>
      <c r="T300" s="3">
        <f>849.6+(53.3-300.7)+(0+(0-0))+0-0-0</f>
        <v>602.20000000000005</v>
      </c>
      <c r="U300" s="3">
        <f>777.3+(58.5-290.6)+(-0.792846+(-0.05967--0.296412))+0-0-0</f>
        <v>544.64389599999993</v>
      </c>
      <c r="V300" s="3">
        <f>919.2+(12.4-383.6)+(0+(0-0))+0-0-0</f>
        <v>548</v>
      </c>
      <c r="W300" s="3">
        <f>1180.8+(24.4-551.3)+(0+(0-0))+0-0-0</f>
        <v>653.9</v>
      </c>
      <c r="X300" s="3">
        <f>1202.1+(32-524.8)+(-1.839213+(-0.04896--0.802944))+0-0-0</f>
        <v>708.21477099999993</v>
      </c>
      <c r="Y300" s="3">
        <f>1195.7+(31-522.2)+(-1.219614+(-0.03162--0.532644))+0-0-0</f>
        <v>703.78141000000005</v>
      </c>
      <c r="Z300" s="3">
        <f>1184.3+(34-523.5)+(-1.207986+(-0.03468--0.53397))+0-0-0</f>
        <v>694.09130399999992</v>
      </c>
      <c r="AA300" s="3">
        <f>1148.2+(33.5-524.2)+(-0.585582+(-0.017085--0.267342))+0-0-0</f>
        <v>657.16467499999999</v>
      </c>
      <c r="AB300" s="3">
        <f>1125.9+(25.9-527.5)+(-1.722627+(-0.039627--0.807075))+0-0-0</f>
        <v>623.34482100000002</v>
      </c>
      <c r="AC300" s="3">
        <f>1064.5+(18.1-513.6)+(-2.17158+(-0.036924--1.047744))+0-0-0</f>
        <v>567.83924000000002</v>
      </c>
      <c r="AD300" s="2">
        <v>715.1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814.6+(60-362.3)+(-2.07723+(-0.153--0.923865))+0-0-0</f>
        <v>510.99363499999993</v>
      </c>
      <c r="G301" s="3">
        <f>672.3+(79.9-277.6)+(-1.714365+(-0.203745--0.70788))+0-0-0</f>
        <v>473.38976999999988</v>
      </c>
      <c r="H301" s="3">
        <f>682.6+(78.8-307.4)+(-1.392504+(-0.160752--0.627096))+0-0-0</f>
        <v>453.07384000000008</v>
      </c>
      <c r="I301" s="3">
        <f>689.9+(81.2-324.4)+(-0.351849+(-0.041412--0.165444))+0-0-0</f>
        <v>446.47218299999997</v>
      </c>
      <c r="J301" s="3">
        <f>683.7+(84.2-320.2)+(-1.394748+(-0.171768--0.653208))+0-0-0</f>
        <v>446.78669200000007</v>
      </c>
      <c r="K301" s="3">
        <f>701.1+(79.1-328.2)+(1.787805+(0.201705-0.83691))+0-0-0</f>
        <v>453.15260000000001</v>
      </c>
      <c r="L301" s="3">
        <f>905.9+(38.9-467.7)+(0+(0-0))+0-0-0</f>
        <v>477.09999999999997</v>
      </c>
      <c r="M301" s="3">
        <f>909.1+(31.5-447.3)+(-0.463641+(-0.016065--0.228123))+0-0-0</f>
        <v>493.04841700000003</v>
      </c>
      <c r="N301" s="3">
        <f>923.3+(33.5-406.6)+(-0.941766+(-0.03417--0.414732))+0-0-0</f>
        <v>549.63879599999996</v>
      </c>
      <c r="O301" s="3">
        <f>914.9+(24.7-375)+(0.466599+(0.012597-0.19125))+0-0-0</f>
        <v>564.88794599999994</v>
      </c>
      <c r="P301" s="3">
        <f>911.3+(41.6-365.2)+(-0.464763+(-0.021216--0.186252))+0-0-0</f>
        <v>587.40027300000008</v>
      </c>
      <c r="Q301" s="3">
        <f>1007.6+(38.9-416.7)+(-1.541628+(-0.059517--0.637551))+0-0-0</f>
        <v>628.83640600000001</v>
      </c>
      <c r="R301" s="3">
        <f>1030.1+(16.2-467.6)+(-2.626755+(-0.04131--1.19238))+0-0-0</f>
        <v>577.22431499999982</v>
      </c>
      <c r="S301" s="3">
        <f>1027.7+(16.8-461.9)+(-0.524127+(-0.008568--0.235569))+0-0-0</f>
        <v>582.30287400000009</v>
      </c>
      <c r="T301" s="3">
        <f>1025.9+(14.1-495.8)+(0.523209+(0.007191-0.252858))+0-0-0</f>
        <v>544.47754200000008</v>
      </c>
      <c r="U301" s="3">
        <f>1026.2+(13.4-507.3)+(0.523362+(0.006834-0.258723))+0-0-0</f>
        <v>532.57147299999997</v>
      </c>
      <c r="V301" s="3">
        <f>1028+(20-507.8)+(0.52428+(0.0102-0.258978))+0-0-0</f>
        <v>540.47550200000001</v>
      </c>
      <c r="W301" s="3">
        <f>1068.7+(20-447.9)+(0.545037+(0.0102-0.228429))+0-0-0</f>
        <v>641.1268080000001</v>
      </c>
      <c r="X301" s="3">
        <f>1076.7+(71-451)+(-1.098234+(-0.07242--0.46002))+0-0-0</f>
        <v>695.98936600000002</v>
      </c>
      <c r="Y301" s="3">
        <f>1076.9+(72.8-453.7)+(-1.098438+(-0.074256--0.462774))+0-0-0</f>
        <v>695.2900800000001</v>
      </c>
      <c r="Z301" s="3">
        <f>1073.6+(53.5-449.7)+(0.547536+(0.027285-0.229347))+0-0-0</f>
        <v>677.74547399999983</v>
      </c>
      <c r="AA301" s="3">
        <f>1075.3+(32.9-459.1)+(0.548403+(0.016779-0.234141))+0-0-0</f>
        <v>649.43104099999994</v>
      </c>
      <c r="AB301" s="3">
        <f>1067.2+(40-496.1)+(-0.544272+(-0.0204--0.253011))+0-0-0</f>
        <v>610.78833900000006</v>
      </c>
      <c r="AC301" s="3">
        <f>937.2+(57.1-429.1)+(-0.477972+(-0.029121--0.218841))+0-0-0</f>
        <v>564.91174799999999</v>
      </c>
      <c r="AD301" s="2">
        <v>692.10000000000014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922.1+(38-421.3)+(-0.940542+(-0.03876--0.429726))+0-0-0</f>
        <v>538.25042399999995</v>
      </c>
      <c r="G302" s="3">
        <f>910.5+(34.6-448.8)+(-0.464355+(-0.017646--0.228888))+0-0-0</f>
        <v>496.04688700000003</v>
      </c>
      <c r="H302" s="3">
        <f>813+(34.6-374.2)+(0.82926+(0.035292-0.381684))+0-0-0</f>
        <v>473.88286800000003</v>
      </c>
      <c r="I302" s="3">
        <f>793.4+(32.6-363.3)+(-1.213902+(-0.049878--0.555849))+0-0-0</f>
        <v>461.99206900000001</v>
      </c>
      <c r="J302" s="3">
        <f>745.3+(53.6-343.6)+(0+(0-0))+0-0-0</f>
        <v>455.29999999999995</v>
      </c>
      <c r="K302" s="3">
        <f>857.7+(28.3-446.9)+(0.437427+(0.014433-0.227919))+0-0-0</f>
        <v>439.3239410000001</v>
      </c>
      <c r="L302" s="3">
        <f>1045.5+(46-638.1)+(-0.533205+(-0.02346--0.325431))+0-0-0</f>
        <v>453.16876600000001</v>
      </c>
      <c r="M302" s="3">
        <f>1165.8+(31-706.7)+(0.594558+(0.01581-0.360417))+0-0-0</f>
        <v>490.34995099999992</v>
      </c>
      <c r="N302" s="3">
        <f>1196.1+(82.8-741.3)+(0+(0-0))+0-0-0</f>
        <v>537.59999999999991</v>
      </c>
      <c r="O302" s="3">
        <f>1211.2+(35-649.1)+(0.617712+(0.01785-0.331041))+0-0-0</f>
        <v>597.40452100000005</v>
      </c>
      <c r="P302" s="3">
        <f>1195.6+(11.3-575.6)+(0+(0-0))+0-0-0</f>
        <v>631.29999999999984</v>
      </c>
      <c r="Q302" s="3">
        <f>1186.6+(9.2-552.1)+(-1.815498+(-0.014076--0.844713))+0-0-0</f>
        <v>642.71513899999991</v>
      </c>
      <c r="R302" s="3">
        <f>1199.5+(8.9-584.4)+(0.611745+(0.004539-0.298044))+0-0-0</f>
        <v>624.31823999999995</v>
      </c>
      <c r="S302" s="3">
        <f>1204.5+(7.7-615.8)+(1.22859+(0.007854-0.628116))+0-0-0</f>
        <v>597.00832800000012</v>
      </c>
      <c r="T302" s="3">
        <f>1202+(9.7-635.2)+(0+(0-0))+0-0-0</f>
        <v>576.5</v>
      </c>
      <c r="U302" s="3">
        <f>1192.2+(7.4-633.5)+(-2.432088+(-0.015096--1.29234))+0-0-0</f>
        <v>564.945156</v>
      </c>
      <c r="V302" s="3">
        <f>1127.5+(18-570.9)+(-1.725075+(-0.02754--0.873477))+0-0-0</f>
        <v>573.72086200000001</v>
      </c>
      <c r="W302" s="3">
        <f>1140.2+(19.6-489.7)+(2.90751+(0.04998-1.248735))+0-0-0</f>
        <v>671.80875500000013</v>
      </c>
      <c r="X302" s="3">
        <f>1199+(10.7-474)+(-1.83447+(-0.016371--0.72522))+0-0-0</f>
        <v>734.57437900000002</v>
      </c>
      <c r="Y302" s="3">
        <f>1211.7+(9.9-489.3)+(-1.853901+(-0.015147--0.748629))+0-0-0</f>
        <v>731.17958099999998</v>
      </c>
      <c r="Z302" s="3">
        <f>1210.6+(11.5-512.2)+(-1.234812+(-0.01173--0.522444))+0-0-0</f>
        <v>709.17590199999984</v>
      </c>
      <c r="AA302" s="3">
        <f>1212.2+(12.1-536.2)+(0.618222+(0.006171-0.273462))+0-0-0</f>
        <v>688.45093099999997</v>
      </c>
      <c r="AB302" s="3">
        <f>1131.4+(4.4-479.3)+(0+(0-0))+0-0-0</f>
        <v>656.5</v>
      </c>
      <c r="AC302" s="3">
        <f>1108.8+(5.8-516)+(0.565488+(0.002958-0.26316))+0-0-0</f>
        <v>598.90528599999993</v>
      </c>
      <c r="AD302" s="2">
        <v>708.39999999999986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1061.5+(7.6-566.1)+(-0.541365+(-0.003876--0.288711))+0-0-0</f>
        <v>502.74347</v>
      </c>
      <c r="G303" s="3">
        <f>994.1+(2.8-532.8)+(-1.520973+(-0.004284--0.815184))+0-0-0</f>
        <v>463.389927</v>
      </c>
      <c r="H303" s="3">
        <f>944.7+(7.7-505.7)+(-1.445391+(-0.011781--0.773721))+0-0-0</f>
        <v>446.01654900000005</v>
      </c>
      <c r="I303" s="3">
        <f>816.8+(25.2-400.9)+(0.416568+(0.012852-0.204459))+0-0-0</f>
        <v>441.32496099999997</v>
      </c>
      <c r="J303" s="3">
        <f>812.4+(25.8-397.4)+(0+(0-0))+0-0-0</f>
        <v>440.8</v>
      </c>
      <c r="K303" s="3">
        <f>812.7+(24.5-397)+(0+(0-0))+0-0-0</f>
        <v>440.20000000000005</v>
      </c>
      <c r="L303" s="3">
        <f>926.9+(16.3-491.1)+(-0.945438+(-0.016626--0.500922))+0-0-0</f>
        <v>451.63885799999997</v>
      </c>
      <c r="M303" s="3">
        <f>1015.9+(12.8-544.1)+(0.518109+(0.006528-0.277491))+0-0-0</f>
        <v>484.8471459999999</v>
      </c>
      <c r="N303" s="3">
        <f>1091.8+(57-615.8)+(1.113636+(0.05814-0.628116))+0-0-0</f>
        <v>533.54366000000005</v>
      </c>
      <c r="O303" s="3">
        <f>1160.6+(32.7-622)+(1.775718+(0.050031-0.95166))+0-0-0</f>
        <v>572.17408899999998</v>
      </c>
      <c r="P303" s="3">
        <f>1184.5+(21-607.9)+(-1.20819+(-0.02142--0.620058))+0-0-0</f>
        <v>596.99044800000001</v>
      </c>
      <c r="Q303" s="3">
        <f>1178.9+(14.5-585.9)+(1.202478+(0.01479-0.597618))+0-0-0</f>
        <v>608.11965000000009</v>
      </c>
      <c r="R303" s="3">
        <f>1174.7+(15.3-573.7)+(-1.797291+(-0.023409--0.877761))+0-0-0</f>
        <v>615.35706099999993</v>
      </c>
      <c r="S303" s="3">
        <f>1173.3+(16.6-607.1)+(0.598383+(0.008466-0.309621))+0-0-0</f>
        <v>583.09722799999997</v>
      </c>
      <c r="T303" s="3">
        <f>1169+(19.5-624.8)+(-1.78857+(-0.029835--0.955944))+0-0-0</f>
        <v>562.83753899999999</v>
      </c>
      <c r="U303" s="3">
        <f>1166.5+(8.3-624.8)+(-1.18983+(-0.008466--0.637296))+0-0-0</f>
        <v>549.43899999999996</v>
      </c>
      <c r="V303" s="3">
        <f>1111.2+(36.5-586.1)+(-0.566712+(-0.018615--0.298911))+0-0-0</f>
        <v>561.31358399999999</v>
      </c>
      <c r="W303" s="3">
        <f>1189.9+(14.1-556.7)+(0+(0-0))+0-0-0</f>
        <v>647.30000000000007</v>
      </c>
      <c r="X303" s="3">
        <f>1204.9+(11.9-504.2)+(-1.843497+(-0.018207--0.771426))+0-0-0</f>
        <v>711.50972200000012</v>
      </c>
      <c r="Y303" s="3">
        <f>1201.5+(10.1-506.9)+(-1.838295+(-0.015453--0.775557))+0-0-0</f>
        <v>703.6218090000001</v>
      </c>
      <c r="Z303" s="3">
        <f>1194.3+(9.6-518.6)+(-1.218186+(-0.009792--0.528972))+0-0-0</f>
        <v>684.6009939999999</v>
      </c>
      <c r="AA303" s="3">
        <f>1197.6+(0-535)+(-1.221552+(0--0.5457))+0-0-0</f>
        <v>661.92414799999995</v>
      </c>
      <c r="AB303" s="3">
        <f>1193.5+(0-577.9)+(-1.826055+(0--0.884187))+0-0-0</f>
        <v>614.65813200000002</v>
      </c>
      <c r="AC303" s="3">
        <f>1190.9+(0-627.1)+(-1.822077+(0--0.959463))+0-0-0</f>
        <v>562.93738600000006</v>
      </c>
      <c r="AD303" s="2">
        <v>717.79999999999984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1138.2+(0-576)+(-2.321928+(0--1.17504))+0-0-0</f>
        <v>561.05311200000006</v>
      </c>
      <c r="G304" s="3">
        <f>763.8+(60.6-326.6)+(0+(0-0))+0-0-0</f>
        <v>497.79999999999995</v>
      </c>
      <c r="H304" s="3">
        <f>718+(54-313.8)+(-1.8309+(-0.1377--0.80019))+0-0-0</f>
        <v>457.03158999999999</v>
      </c>
      <c r="I304" s="3">
        <f>733.8+(49.6-332)+(-1.122714+(-0.075888--0.50796))+0-0-0</f>
        <v>450.70935799999995</v>
      </c>
      <c r="J304" s="3">
        <f>771.6+(34.9-354.1)+(0.393516+(0.017799-0.180591))+0-0-0</f>
        <v>452.63072399999999</v>
      </c>
      <c r="K304" s="3">
        <f>766.7+(34.1-349.2)+(1.564068+(0.069564-0.712368))+0-0-0</f>
        <v>452.52126400000009</v>
      </c>
      <c r="L304" s="3">
        <f>762.2+(31.5-333.4)+(-0.777444+(-0.03213--0.340068))+0-0-0</f>
        <v>459.83049400000004</v>
      </c>
      <c r="M304" s="3">
        <f>847.9+(8.2-398.3)+(-0.432429+(-0.004182--0.203133))+0-0-0</f>
        <v>457.56652199999996</v>
      </c>
      <c r="N304" s="3">
        <f>1136.8+(0-607.7)+(0+(0-0))+0-0-0</f>
        <v>529.09999999999991</v>
      </c>
      <c r="O304" s="3">
        <f>1225.3+(0-639.7)+(0.624903+(0-0.326247))+0-0-0</f>
        <v>585.89865599999996</v>
      </c>
      <c r="P304" s="3">
        <f>1210.5+(0-602.3)+(1.852065+(0-0.921519))+0-0-0</f>
        <v>609.13054600000009</v>
      </c>
      <c r="Q304" s="3">
        <f>1200+(9.7-585.7)+(-1.224+(-0.009894--0.597414))+0-0-0</f>
        <v>623.36351999999999</v>
      </c>
      <c r="R304" s="3">
        <f>1195.4+(10.3-627.4)+(-1.219308+(-0.010506--0.639948))+0-0-0</f>
        <v>577.71013400000004</v>
      </c>
      <c r="S304" s="3">
        <f>1190.4+(3.1-650.6)+(-0.607104+(-0.001581--0.331806))+0-0-0</f>
        <v>542.62312100000008</v>
      </c>
      <c r="T304" s="3">
        <f>1192.3+(17.9-672.9)+(0+(0-0))+0-0-0</f>
        <v>537.29999999999995</v>
      </c>
      <c r="U304" s="3">
        <f>1182.5+(24.1-671.2)+(-1.20615+(-0.024582--0.684624))+0-0-0</f>
        <v>534.85389199999997</v>
      </c>
      <c r="V304" s="3">
        <f>1181.6+(25.9-645.8)+(0+(0-0))+0-0-0</f>
        <v>561.69999999999993</v>
      </c>
      <c r="W304" s="3">
        <f>1190.8+(14.5-553)+(-0.607308+(-0.007395--0.28203))+0-0-0</f>
        <v>651.96732699999995</v>
      </c>
      <c r="X304" s="3">
        <f>1184.1+(19.1-509)+(-1.811673+(-0.029223--0.77877))+0-0-0</f>
        <v>693.1378739999999</v>
      </c>
      <c r="Y304" s="3">
        <f>1159.4+(24.1-494.5)+(-1.182588+(-0.024582--0.50439))+0-0-0</f>
        <v>688.29722000000015</v>
      </c>
      <c r="Z304" s="3">
        <f>1155.1+(55.3-538.9)+(0.589101+(0.028203-0.274839))+0-0-0</f>
        <v>671.84246499999995</v>
      </c>
      <c r="AA304" s="3">
        <f>1146.8+(47.6-553.4)+(-0.584868+(-0.024276--0.282234))+0-0-0</f>
        <v>640.67309</v>
      </c>
      <c r="AB304" s="3">
        <f>1139.4+(37-566.2)+(-2.90547+(-0.09435--1.44381))+0-0-0</f>
        <v>608.64399000000003</v>
      </c>
      <c r="AC304" s="3">
        <f>1126.5+(18.4-578.7)+(-2.872575+(-0.04692--1.475685))+0-0-0</f>
        <v>564.75618999999995</v>
      </c>
      <c r="AD304" s="2">
        <v>720.5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951.3+(80.6-524.6)+(-1.940652+(-0.164424--1.070184))+0-0-0</f>
        <v>506.26510799999994</v>
      </c>
      <c r="G305" s="3">
        <f>722.2+(119.3-371.8)+(-1.84161+(-0.304215--0.94809))+0-0-0</f>
        <v>468.50226500000002</v>
      </c>
      <c r="H305" s="3">
        <f>697.9+(105-366.7)+(-1.423716+(-0.2142--0.748068))+0-0-0</f>
        <v>435.31015200000002</v>
      </c>
      <c r="I305" s="3">
        <f>712+(99.1-373.6)+(0.36312+(0.050541-0.190536))+0-0-0</f>
        <v>437.72312499999998</v>
      </c>
      <c r="J305" s="3">
        <f>711.6+(96.2-371.4)+(-0.362916+(-0.049062--0.189414))+0-0-0</f>
        <v>436.17743600000006</v>
      </c>
      <c r="K305" s="3">
        <f>711.8+(89.3-369)+(0.726036+(0.091086-0.37638))+0-0-0</f>
        <v>432.54074199999997</v>
      </c>
      <c r="L305" s="3">
        <f>705.4+(85.2-365)+(-0.719508+(-0.086904--0.3723))+0-0-0</f>
        <v>425.16588799999994</v>
      </c>
      <c r="M305" s="3">
        <f>731.4+(69.4-403.2)+(-1.119042+(-0.106182--0.616896))+0-0-0</f>
        <v>396.99167200000005</v>
      </c>
      <c r="N305" s="3">
        <f>895.4+(40.9-516.7)+(-0.456654+(-0.020859--0.263517))+0-0-0</f>
        <v>419.3860039999999</v>
      </c>
      <c r="O305" s="3">
        <f>995.6+(51.3-572.7)+(1.015512+(0.052326-0.584154))+0-0-0</f>
        <v>474.68368399999991</v>
      </c>
      <c r="P305" s="3">
        <f>1007.9+(62.9-567.4)+(0+(0-0))+0-0-0</f>
        <v>503.4</v>
      </c>
      <c r="Q305" s="3">
        <f>1006.5+(80.3-564.8)+(-1.539945+(-0.122859--0.864144))+0-0-0</f>
        <v>521.20133999999996</v>
      </c>
      <c r="R305" s="3">
        <f>1012.6+(70.7-567.6)+(0+(0-0))+0-0-0</f>
        <v>515.70000000000005</v>
      </c>
      <c r="S305" s="3">
        <f>1006+(65.1-573.8)+(-0.51306+(-0.033201--0.292638))+0-0-0</f>
        <v>497.04637700000006</v>
      </c>
      <c r="T305" s="3">
        <f>1013+(60.1-584.6)+(1.03326+(0.061302-0.596292))+0-0-0</f>
        <v>488.99826999999999</v>
      </c>
      <c r="U305" s="3">
        <f>1000.7+(62.4-587.8)+(-1.020714+(-0.063648--0.599556))+0-0-0</f>
        <v>474.81519400000008</v>
      </c>
      <c r="V305" s="3">
        <f>1002.7+(50.2-555.9)+(-0.511377+(-0.025602--0.283509))+0-0-0</f>
        <v>496.74653000000006</v>
      </c>
      <c r="W305" s="3">
        <f>1001.2+(69.4-501.1)+(0.510612+(0.035394-0.255561))+0-0-0</f>
        <v>569.79044499999998</v>
      </c>
      <c r="X305" s="3">
        <f>1046.6+(95.9-499)+(-1.067532+(-0.097818--0.50898))+0-0-0</f>
        <v>642.84362999999985</v>
      </c>
      <c r="Y305" s="3">
        <f>1059.9+(89.9-505.5)+(0+(0-0))+0-0-0</f>
        <v>644.30000000000007</v>
      </c>
      <c r="Z305" s="3">
        <f>1070.1+(83.6-512)+(-1.091502+(-0.085272--0.52224))+0-0-0</f>
        <v>641.04546599999992</v>
      </c>
      <c r="AA305" s="3">
        <f>1074.3+(83.2-531.8)+(0.547893+(0.042432-0.271218))+0-0-0</f>
        <v>626.01910700000008</v>
      </c>
      <c r="AB305" s="3">
        <f>1077.1+(72.9-552.4)+(1.098642+(0.074358-0.563448))+0-0-0</f>
        <v>598.20955199999992</v>
      </c>
      <c r="AC305" s="3">
        <f>1064.8+(46.4-562.5)+(-1.086096+(-0.047328--0.57375))+0-0-0</f>
        <v>548.14032599999996</v>
      </c>
      <c r="AD305" s="2">
        <v>644.99999999999989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1052.8+(20.7-571.3)+(0+(0-0))+0-0-0</f>
        <v>502.20000000000005</v>
      </c>
      <c r="G306" s="3">
        <f>818.2+(66.8-416.8)+(0.417282+(0.034068-0.212568))+0-0-0</f>
        <v>468.43878200000006</v>
      </c>
      <c r="H306" s="3">
        <f>679.9+(94.4-352.9)+(-1.040247+(-0.144432--0.539937))+0-0-0</f>
        <v>420.75525799999997</v>
      </c>
      <c r="I306" s="3">
        <f>687.8+(81.6-353.8)+(0.701556+(0.083232-0.360876))+0-0-0</f>
        <v>416.02391199999988</v>
      </c>
      <c r="J306" s="3">
        <f>691.9+(80.3-362.3)+(0.705738+(0.081906-0.369546))+0-0-0</f>
        <v>410.31809799999996</v>
      </c>
      <c r="K306" s="3">
        <f>723.3+(67.3-388)+(0.737766+(0.068646-0.39576))+0-0-0</f>
        <v>403.01065199999999</v>
      </c>
      <c r="L306" s="3">
        <f>997.9+(14.4-571)+(0+(0-0))+0-0-0</f>
        <v>441.29999999999995</v>
      </c>
      <c r="M306" s="3">
        <f>1072+(9-606.7)+(-0.54672+(-0.00459--0.309417))+0-0-0</f>
        <v>474.05810699999995</v>
      </c>
      <c r="N306" s="3">
        <f>1131.6+(7-600.7)+(0.577116+(0.00357-0.306357))+0-0-0</f>
        <v>538.17432899999983</v>
      </c>
      <c r="O306" s="3">
        <f>1131.3+(0-559.2)+(0+(0-0))+0-0-0</f>
        <v>572.09999999999991</v>
      </c>
      <c r="P306" s="3">
        <f>1161.2+(5.8-570.4)+(0+(0-0))+0-0-0</f>
        <v>596.6</v>
      </c>
      <c r="Q306" s="3">
        <f>1168.3+(0-559.7)+(-0.595833+(0--0.285447))+0-0-0</f>
        <v>608.28961399999991</v>
      </c>
      <c r="R306" s="3">
        <f>1160.4+(2.2-575)+(-1.775412+(-0.003366--0.87975))+0-0-0</f>
        <v>586.70097200000009</v>
      </c>
      <c r="S306" s="3">
        <f>1155.4+(0-576.6)+(-0.589254+(0--0.294066))+0-0-0</f>
        <v>578.50481200000002</v>
      </c>
      <c r="T306" s="3">
        <f>1094.1+(0-539.3)+(-1.115982+(0--0.550086))+0-0-0</f>
        <v>554.234104</v>
      </c>
      <c r="U306" s="3">
        <f>1091.8+(0-544.6)+(1.113636+(0-0.555492))+0-0-0</f>
        <v>547.7581439999999</v>
      </c>
      <c r="V306" s="3">
        <f>1088+(7.8-541.3)+(-0.55488+(-0.003978--0.276063))+0-0-0</f>
        <v>554.21720500000004</v>
      </c>
      <c r="W306" s="3">
        <f>1084.3+(7-449.1)+(0+(0-0))+0-0-0</f>
        <v>642.19999999999993</v>
      </c>
      <c r="X306" s="3">
        <f>1113.7+(47.5-447.3)+(-0.567987+(-0.024225--0.228123))+0-0-0</f>
        <v>713.53591100000006</v>
      </c>
      <c r="Y306" s="3">
        <f>1108.8+(36.1-426.2)+(-1.696464+(-0.055233--0.652086))+0-0-0</f>
        <v>717.60038900000006</v>
      </c>
      <c r="Z306" s="3">
        <f>1113.8+(23.3-429.4)+(0+(0-0))+0-0-0</f>
        <v>707.7</v>
      </c>
      <c r="AA306" s="3">
        <f>1117.3+(16.2-455.3)+(0+(0-0))+0-0-0</f>
        <v>678.19999999999993</v>
      </c>
      <c r="AB306" s="3">
        <f>1095.5+(56.8-511.6)+(-2.23482+(-0.115872--1.043664))+0-0-0</f>
        <v>639.3929720000001</v>
      </c>
      <c r="AC306" s="3">
        <f>1029.1+(60.7-512.4)+(-2.624205+(-0.154785--1.30662))+0-0-0</f>
        <v>575.92762999999991</v>
      </c>
      <c r="AD306" s="2">
        <v>720.99999999999989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824.7+(70.4-368.1)+(0+(0-0))+0-0-0</f>
        <v>527</v>
      </c>
      <c r="G307" s="3">
        <f>658.3+(96.9-288.8)+(0.335733+(0.049419-0.147288))+0-0-0</f>
        <v>466.63786399999998</v>
      </c>
      <c r="H307" s="3">
        <f>621.3+(103.4-273.7)+(0+(0-0))+0-0-0</f>
        <v>451</v>
      </c>
      <c r="I307" s="3">
        <f>616.4+(104.3-272.1)+(-0.943092+(-0.159579--0.416313))+0-0-0</f>
        <v>447.91364199999998</v>
      </c>
      <c r="J307" s="3">
        <f>613.2+(103.3-271.5)+(-1.250928+(-0.210732--0.55386))+0-0-0</f>
        <v>444.09220000000005</v>
      </c>
      <c r="K307" s="3">
        <f>663.7+(79.5-309.3)+(1.353948+(0.16218-0.630972))+0-0-0</f>
        <v>434.78515600000003</v>
      </c>
      <c r="L307" s="3">
        <f>833.6+(29.3-406.1)+(-0.425136+(-0.014943--0.207111))+0-0-0</f>
        <v>456.56703199999998</v>
      </c>
      <c r="M307" s="3">
        <f>840.5+(30.2-394.9)+(-0.85731+(-0.030804--0.402798))+0-0-0</f>
        <v>475.314684</v>
      </c>
      <c r="N307" s="3">
        <f>928.6+(9.1-426.5)+(-0.473586+(-0.004641--0.217515))+0-0-0</f>
        <v>510.93928800000003</v>
      </c>
      <c r="O307" s="3">
        <f>938.7+(6.4-398.5)+(1.436211+(0.009792-0.609705))+0-0-0</f>
        <v>547.43629800000008</v>
      </c>
      <c r="P307" s="3">
        <f>934.3+(40.1-408)+(0.952986+(0.040902-0.41616))+0-0-0</f>
        <v>566.97772799999996</v>
      </c>
      <c r="Q307" s="3">
        <f>926.9+(47.2-402.4)+(-0.945438+(-0.048144--0.410448))+0-0-0</f>
        <v>571.11686600000007</v>
      </c>
      <c r="R307" s="3">
        <f>921.6+(48.1-408.7)+(-1.880064+(-0.098124--0.833748))+0-0-0</f>
        <v>559.85555999999997</v>
      </c>
      <c r="S307" s="3">
        <f>929.2+(36-420.4)+(0.947784+(0.03672-0.428808))+0-0-0</f>
        <v>545.35569600000008</v>
      </c>
      <c r="T307" s="3">
        <f>923.1+(34.6-421.9)+(0.470781+(0.017646-0.215169))+0-0-0</f>
        <v>536.07325800000012</v>
      </c>
      <c r="U307" s="3">
        <f>912.7+(46.6-423.7)+(-2.327385+(-0.11883--1.080435))+0-0-0</f>
        <v>534.23422000000016</v>
      </c>
      <c r="V307" s="3">
        <f>921+(44-406.6)+(0.46971+(0.02244-0.207366))+0-0-0</f>
        <v>558.68478399999992</v>
      </c>
      <c r="W307" s="3">
        <f>925.5+(78.6-364.8)+(1.416015+(0.120258-0.558144))+0-0-0</f>
        <v>640.27812899999992</v>
      </c>
      <c r="X307" s="3">
        <f>930.6+(115.4-358.2)+(-0.474606+(-0.058854--0.182682))+0-0-0</f>
        <v>687.44922200000008</v>
      </c>
      <c r="Y307" s="3">
        <f>936.2+(111.5-366.6)+(-1.432386+(-0.170595--0.560898))+0-0-0</f>
        <v>680.05791699999997</v>
      </c>
      <c r="Z307" s="3">
        <f>934+(107.2-375.7)+(-1.42902+(-0.164016--0.574821))+0-0-0</f>
        <v>664.48178499999995</v>
      </c>
      <c r="AA307" s="3">
        <f>937.4+(107.1-400.7)+(-1.912296+(-0.218484--0.817428))+0-0-0</f>
        <v>642.48664799999995</v>
      </c>
      <c r="AB307" s="3">
        <f>937.6+(104.8-434)+(-1.434528+(-0.160344--0.66402))+0-0-0</f>
        <v>607.46914800000013</v>
      </c>
      <c r="AC307" s="3">
        <f>941.2+(92-483.3)+(-0.480012+(-0.04692--0.246483))+0-0-0</f>
        <v>549.61955100000011</v>
      </c>
      <c r="AD307" s="2">
        <v>693.6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850.4+(64.6-393.7)+(0+(0-0))+0-0-0</f>
        <v>521.29999999999995</v>
      </c>
      <c r="G308" s="3">
        <f>739+(68.6-327.6)+(-1.50756+(-0.139944--0.668304))+0-0-0</f>
        <v>479.02080000000001</v>
      </c>
      <c r="H308" s="3">
        <f>741.1+(56.1-342.2)+(0.755922+(0.057222-0.349044))+0-0-0</f>
        <v>455.46410000000003</v>
      </c>
      <c r="I308" s="3">
        <f>739.7+(55.8-342.6)+(0.377247+(0.028458-0.174726))+0-0-0</f>
        <v>453.13097900000002</v>
      </c>
      <c r="J308" s="3">
        <f>662.8+(82.1-287.8)+(-0.338028+(-0.041871--0.146778))+0-0-0</f>
        <v>456.86687899999993</v>
      </c>
      <c r="K308" s="3">
        <f>624+(105.5-265.8)+(0.31824+(0.053805-0.135558))+0-0-0</f>
        <v>463.936487</v>
      </c>
      <c r="L308" s="3">
        <f>603.3+(140.1-259.3)+(0+(0-0))+0-0-0</f>
        <v>484.09999999999991</v>
      </c>
      <c r="M308" s="3">
        <f>715.2+(122.4-328.2)+(1.459008+(0.249696-0.669528))+0-0-0</f>
        <v>510.43917600000009</v>
      </c>
      <c r="N308" s="3">
        <f>803.4+(132.9-382.1)+(0.819468+(0.135558-0.389742))+0-0-0</f>
        <v>554.76528399999995</v>
      </c>
      <c r="O308" s="3">
        <f>810.1+(154.1-375.6)+(-0.826302+(-0.157182--0.383112))+0-0-0</f>
        <v>587.99962800000003</v>
      </c>
      <c r="P308" s="3">
        <f>816.2+(167.2-371.4)+(0.416262+(0.085272-0.189414))+0-0-0</f>
        <v>612.31212000000005</v>
      </c>
      <c r="Q308" s="3">
        <f>811.9+(172.5-370.6)+(-0.414069+(-0.087975--0.189006))+0-0-0</f>
        <v>613.48696199999995</v>
      </c>
      <c r="R308" s="3">
        <f>807.9+(162.1-371.1)+(-1.648116+(-0.330684--0.757044))+0-0-0</f>
        <v>597.67824399999995</v>
      </c>
      <c r="S308" s="3">
        <f>813.4+(165.3-392.6)+(-1.659336+(-0.337212--0.800904))+0-0-0</f>
        <v>584.90435599999989</v>
      </c>
      <c r="T308" s="3">
        <f>814.1+(136.2-389.1)+(-0.830382+(-0.138924--0.396882))+0-0-0</f>
        <v>560.62757600000009</v>
      </c>
      <c r="U308" s="3">
        <f>814.3+(133.6-403.7)+(-0.830586+(-0.136272--0.411774))+0-0-0</f>
        <v>543.64491599999997</v>
      </c>
      <c r="V308" s="3">
        <f>820.3+(119.7-391.3)+(0+(0-0))+0-0-0</f>
        <v>548.69999999999993</v>
      </c>
      <c r="W308" s="3">
        <f>830+(164.8-364.8)+(0.8466+(0.168096-0.372096))+0-0-0</f>
        <v>630.64260000000002</v>
      </c>
      <c r="X308" s="3">
        <f>830.6+(204.3-309.4)+(0+(0-0))+0-0-0</f>
        <v>725.5</v>
      </c>
      <c r="Y308" s="3">
        <f>820.4+(207.2-294.8)+(-0.836808+(-0.211344--0.300696))+0-0-0</f>
        <v>732.0525439999999</v>
      </c>
      <c r="Z308" s="3">
        <f>792.1+(213.6-282.7)+(-2.019855+(-0.54468--0.720885))+0-0-0</f>
        <v>721.15634999999997</v>
      </c>
      <c r="AA308" s="3">
        <f>831.1+(185.4-319.4)+(-0.423861+(-0.094554--0.162894))+0-0-0</f>
        <v>696.74447900000007</v>
      </c>
      <c r="AB308" s="3">
        <f>821.8+(187.4-354.6)+(-1.257354+(-0.286722--0.542538))+0-0-0</f>
        <v>653.59846199999993</v>
      </c>
      <c r="AC308" s="3">
        <f>826.4+(150.9-384.8)+(-0.842928+(-0.153918--0.392496))+0-0-0</f>
        <v>591.89565000000005</v>
      </c>
      <c r="AD308" s="2">
        <v>697.69999999999993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789.6+(82.6-347)+(-1.610784+(-0.168504--0.70788))+0-0-0</f>
        <v>524.12859200000003</v>
      </c>
      <c r="G309" s="3">
        <f>768.2+(45.7-330)+(-1.175346+(-0.069921--0.5049))+0-0-0</f>
        <v>483.15963300000004</v>
      </c>
      <c r="H309" s="3">
        <f>732.3+(28.8-302.5)+(-0.373473+(-0.014688--0.154275))+0-0-0</f>
        <v>458.36611399999998</v>
      </c>
      <c r="I309" s="3">
        <f>664.1+(49.1-258.5)+(-0.338691+(-0.025041--0.131835))+0-0-0</f>
        <v>454.46810300000004</v>
      </c>
      <c r="J309" s="3">
        <f>662.8+(53.4-255.2)+(-0.676056+(-0.054468--0.260304))+0-0-0</f>
        <v>460.52978000000002</v>
      </c>
      <c r="K309" s="3">
        <f>673+(60.7-273.6)+(0.68646+(0.061914-0.279072))+0-0-0</f>
        <v>460.56930199999999</v>
      </c>
      <c r="L309" s="3">
        <f>790.8+(53-358.4)+(-0.806616+(-0.05406--0.365568))+0-0-0</f>
        <v>484.90489199999996</v>
      </c>
      <c r="M309" s="3">
        <f>847.7+(55-398.3)+(1.296981+(0.08415-0.609399))+0-0-0</f>
        <v>505.17173200000002</v>
      </c>
      <c r="N309" s="3">
        <f>949.6+(35.8-446)+(1.452888+(0.054774-0.68238))+0-0-0</f>
        <v>540.22528200000011</v>
      </c>
      <c r="O309" s="3">
        <f>1011.1+(55-488)+(0.515661+(0.02805-0.24888))+0-0-0</f>
        <v>578.39483100000007</v>
      </c>
      <c r="P309" s="3">
        <f>1069.2+(53.6-529.1)+(0.545292+(0.027336-0.269841))+0-0-0</f>
        <v>594.00278700000001</v>
      </c>
      <c r="Q309" s="3">
        <f>1135.3+(47.2-567.1)+(-4.053021+(-0.168504--2.024547))+0-0-0</f>
        <v>613.20302200000003</v>
      </c>
      <c r="R309" s="3">
        <f>1137.7+(53.8-590.4)+(-1.740681+(-0.082314--0.903312))+0-0-0</f>
        <v>600.18031700000006</v>
      </c>
      <c r="S309" s="3">
        <f>1183.7+(24.6-613.7)+(-3.622122+(-0.075276--1.877922))+0-0-0</f>
        <v>592.78052400000001</v>
      </c>
      <c r="T309" s="3">
        <f>1093.9+(23.1-538.8)+(0+(0-0))+0-0-0</f>
        <v>578.20000000000016</v>
      </c>
      <c r="U309" s="3">
        <f>938.4+(73-453.8)+(-0.957168+(-0.07446--0.462876))+0-0-0</f>
        <v>557.03124799999989</v>
      </c>
      <c r="V309" s="3">
        <f>856.3+(122.7-420)+(0+(0-0))+0-0-0</f>
        <v>559</v>
      </c>
      <c r="W309" s="3">
        <f>895.9+(135-375.6)+(0.456909+(0.06885-0.191556))+0-0-0</f>
        <v>655.63420299999996</v>
      </c>
      <c r="X309" s="3">
        <f>1055.3+(108.2-430.2)+(0+(0-0))+0-0-0</f>
        <v>733.3</v>
      </c>
      <c r="Y309" s="3">
        <f>1156.4+(86-521.9)+(-2.359056+(-0.17544--1.064676))+0-0-0</f>
        <v>719.03018000000009</v>
      </c>
      <c r="Z309" s="3">
        <f>1164.9+(92.9-549.1)+(-1.188198+(-0.094758--0.560082))+0-0-0</f>
        <v>707.977126</v>
      </c>
      <c r="AA309" s="3">
        <f>1066.5+(116.7-503.1)+(-3.26349+(-0.357102--1.539486))+0-0-0</f>
        <v>678.01889399999993</v>
      </c>
      <c r="AB309" s="3">
        <f>1026.3+(96.4-472.6)+(-2.093652+(-0.196656--0.964104))+0-0-0</f>
        <v>648.77379599999995</v>
      </c>
      <c r="AC309" s="3">
        <f>973.5+(86.1-462.7)+(-2.482425+(-0.219555--1.179885))+0-0-0</f>
        <v>595.37790499999994</v>
      </c>
      <c r="AD309" s="2">
        <v>709.4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933.8+(66.8-481.6)+(-2.38119+(-0.17034--1.22808))+0-0-0</f>
        <v>517.67655000000002</v>
      </c>
      <c r="G310" s="3">
        <f>829.6+(15.3-372.6)+(-0.846192+(-0.015606--0.380052))+0-0-0</f>
        <v>471.81825400000002</v>
      </c>
      <c r="H310" s="3">
        <f>807.8+(17.5-363)+(-2.05989+(-0.044625--0.92565))+0-0-0</f>
        <v>461.12113499999998</v>
      </c>
      <c r="I310" s="3">
        <f>751.5+(80-383.9)+(1.149795+(0.1224-0.587367))+0-0-0</f>
        <v>448.284828</v>
      </c>
      <c r="J310" s="3">
        <f>753.1+(92.4-391.9)+(1.152243+(0.141372-0.599607))+0-0-0</f>
        <v>454.29400800000002</v>
      </c>
      <c r="K310" s="3">
        <f>747.7+(84.1-381.1)+(0+(0-0))+0-0-0</f>
        <v>450.70000000000005</v>
      </c>
      <c r="L310" s="3">
        <f>933.2+(12.2-483.8)+(0+(0-0))+0-0-0</f>
        <v>461.6</v>
      </c>
      <c r="M310" s="3">
        <f>1084.5+(6.6-599.1)+(-0.553095+(-0.003366--0.305541))+0-0-0</f>
        <v>491.74907999999999</v>
      </c>
      <c r="N310" s="3">
        <f>1160.9+(0-642.2)+(-0.592059+(0--0.327522))+0-0-0</f>
        <v>518.43546300000003</v>
      </c>
      <c r="O310" s="3">
        <f>1160.8+(0-603.3)+(-0.592008+(0--0.307683))+0-0-0</f>
        <v>557.21567500000003</v>
      </c>
      <c r="P310" s="3">
        <f>1158.8+(12.1-598)+(1.181976+(0.012342-0.60996))+0-0-0</f>
        <v>573.48435799999993</v>
      </c>
      <c r="Q310" s="3">
        <f>1143.6+(30.2-593.4)+(-0.583236+(-0.015402--0.302634))+0-0-0</f>
        <v>580.10399599999994</v>
      </c>
      <c r="R310" s="3">
        <f>1095.9+(40.3-568.5)+(-2.235636+(-0.082212--1.15974))+0-0-0</f>
        <v>566.54189200000008</v>
      </c>
      <c r="S310" s="3">
        <f>1044.3+(59.9-539.5)+(0+(0-0))+0-0-0</f>
        <v>564.69999999999993</v>
      </c>
      <c r="T310" s="3">
        <f>1034.7+(45.2-525.6)+(0.527697+(0.023052-0.268056))+0-0-0</f>
        <v>554.58269299999995</v>
      </c>
      <c r="U310" s="3">
        <f>1021.8+(36.5-514.1)+(-2.60559+(-0.093075--1.310955))+0-0-0</f>
        <v>542.81228999999996</v>
      </c>
      <c r="V310" s="3">
        <f>1042+(33.4-522.7)+(-1.06284+(-0.034068--0.533154))+0-0-0</f>
        <v>552.13624599999991</v>
      </c>
      <c r="W310" s="3">
        <f>1122.5+(22.5-532.8)+(1.717425+(0.034425-0.815184))+0-0-0</f>
        <v>613.13666599999999</v>
      </c>
      <c r="X310" s="3">
        <f>1135.7+(66.1-514)+(-0.579207+(-0.033711--0.26214))+0-0-0</f>
        <v>687.44922200000008</v>
      </c>
      <c r="Y310" s="3">
        <f>1145.8+(63.7-504.7)+(-0.584358+(-0.032487--0.257397))+0-0-0</f>
        <v>704.44055199999991</v>
      </c>
      <c r="Z310" s="3">
        <f>1079.8+(91-473)+(-0.550698+(-0.04641--0.24123))+0-0-0</f>
        <v>697.44412199999999</v>
      </c>
      <c r="AA310" s="3">
        <f>1035.9+(99-469.6)+(-1.584927+(-0.15147--0.718488))+0-0-0</f>
        <v>664.28209100000004</v>
      </c>
      <c r="AB310" s="3">
        <f>1030.6+(95.3-503.5)+(-2.62803+(-0.243015--1.283925))+0-0-0</f>
        <v>620.81287999999984</v>
      </c>
      <c r="AC310" s="3">
        <f>939.6+(99.4-457.6)+(-2.39598+(-0.25347--1.16688))+0-0-0</f>
        <v>579.91742999999997</v>
      </c>
      <c r="AD310" s="2">
        <v>690.60000000000014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797.5+(107.7-357.9)+(-0.406725+(-0.054927--0.182529))+0-0-0</f>
        <v>547.02087699999993</v>
      </c>
      <c r="G311" s="3">
        <f>759.6+(90.3-344.5)+(-1.549584+(-0.184212--0.70278))+0-0-0</f>
        <v>504.36898400000001</v>
      </c>
      <c r="H311" s="3">
        <f>720.4+(94.7-337.6)+(0+(0-0))+0-0-0</f>
        <v>477.49999999999994</v>
      </c>
      <c r="I311" s="3">
        <f>718.7+(93.4-340.2)+(-1.099611+(-0.142902--0.520506))+0-0-0</f>
        <v>471.17799300000007</v>
      </c>
      <c r="J311" s="3">
        <f>726.7+(95-354)+(0.370617+(0.04845-0.18054))+0-0-0</f>
        <v>467.93852700000002</v>
      </c>
      <c r="K311" s="3">
        <f>754.7+(93.4-378)+(0.769794+(0.095268-0.38556))+0-0-0</f>
        <v>470.57950200000005</v>
      </c>
      <c r="L311" s="3">
        <f>883.6+(69.7-462)+(0+(0-0))+0-0-0</f>
        <v>491.3</v>
      </c>
      <c r="M311" s="3">
        <f>1095.4+(19.2-605.9)+(1.117308+(0.019584-0.618018))+0-0-0</f>
        <v>509.21887400000014</v>
      </c>
      <c r="N311" s="3">
        <f>1140.1+(31-607.6)+(0.581451+(0.01581-0.309876))+0-0-0</f>
        <v>563.78738499999986</v>
      </c>
      <c r="O311" s="3">
        <f>1140.9+(66.8-603.7)+(0+(0-0))+0-0-0</f>
        <v>604</v>
      </c>
      <c r="P311" s="3">
        <f>1135.6+(90.1-625.3)+(0.579156+(0.045951-0.318903))+0-0-0</f>
        <v>600.70620399999996</v>
      </c>
      <c r="Q311" s="3">
        <f>1134.7+(92.7-633.8)+(-1.736091+(-0.141831--0.969714))+0-0-0</f>
        <v>592.69179200000019</v>
      </c>
      <c r="R311" s="3">
        <f>1130.2+(85-655.9)+(-2.305608+(-0.1734--1.338036))+0-0-0</f>
        <v>558.15902800000003</v>
      </c>
      <c r="S311" s="3">
        <f>1135+(78-663.1)+(-0.57885+(-0.03978--0.338181))+0-0-0</f>
        <v>549.619551</v>
      </c>
      <c r="T311" s="3">
        <f>1125.8+(47.8-625.6)+(-2.296632+(-0.097512--1.276224))+0-0-0</f>
        <v>546.88207999999986</v>
      </c>
      <c r="U311" s="3">
        <f>1073.2+(42.5-577.7)+(-3.283992+(-0.13005--1.767762))+0-0-0</f>
        <v>536.35371999999995</v>
      </c>
      <c r="V311" s="3">
        <f>1039.2+(75.3-592.9)+(0.529992+(0.038403-0.302379))+0-0-0</f>
        <v>521.86601600000006</v>
      </c>
      <c r="W311" s="3">
        <f>1105.5+(92.1-601)+(1.12761+(0.093942-0.61302))+0-0-0</f>
        <v>597.20853199999999</v>
      </c>
      <c r="X311" s="3">
        <f>1195+(120.6-632.2)+(0.60945+(0.061506-0.322422))+0-0-0</f>
        <v>683.74853399999995</v>
      </c>
      <c r="Y311" s="3">
        <f>1194.3+(118.3-620.1)+(-3.045465+(-0.301665--1.581255))+0-0-0</f>
        <v>690.73412499999995</v>
      </c>
      <c r="Z311" s="3">
        <f>1167.4+(112.5-606.1)+(-2.381496+(-0.2295--1.236444))+0-0-0</f>
        <v>672.42544800000007</v>
      </c>
      <c r="AA311" s="3">
        <f>1123.6+(129.9-590)+(1.146072+(0.132498-0.6018))+0-0-0</f>
        <v>664.17676999999992</v>
      </c>
      <c r="AB311" s="3">
        <f>1033.5+(155.7-569.1)+(-1.581255+(-0.238221--0.870723))+0-0-0</f>
        <v>619.1512469999999</v>
      </c>
      <c r="AC311" s="3">
        <f>1004.1+(143.3-579.4)+(0+(0-0))+0-0-0</f>
        <v>568</v>
      </c>
      <c r="AD311" s="2">
        <v>681.99999999999989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1001.6+(112.1-585.1)+(-1.021632+(-0.114342--0.596802))+0-0-0</f>
        <v>528.06082800000001</v>
      </c>
      <c r="G312" s="3">
        <f>994.4+(78.9-584.8)+(-2.028576+(-0.160956--1.192992))+0-0-0</f>
        <v>487.50346000000002</v>
      </c>
      <c r="H312" s="3">
        <f>865.6+(78.8-475.4)+(-1.765824+(-0.160752--0.969816))+0-0-0</f>
        <v>468.04324000000008</v>
      </c>
      <c r="I312" s="3">
        <f>824.4+(77.6-455.1)+(-0.420444+(-0.039576--0.232101))+0-0-0</f>
        <v>446.67208099999999</v>
      </c>
      <c r="J312" s="3">
        <f>824+(83.8-470.7)+(0+(0-0))+0-0-0</f>
        <v>437.1</v>
      </c>
      <c r="K312" s="3">
        <f>833.2+(86.2-486)+(1.274796+(0.131886-0.74358))+0-0-0</f>
        <v>434.06310200000001</v>
      </c>
      <c r="L312" s="3">
        <f>818.4+(87.8-472.2)+(-2.08692+(-0.22389--1.20411))+0-0-0</f>
        <v>432.89330000000001</v>
      </c>
      <c r="M312" s="3">
        <f>819+(74.7-480.3)+(-2.08845+(-0.190485--1.224765))+0-0-0</f>
        <v>412.34582999999998</v>
      </c>
      <c r="N312" s="3">
        <f>895.7+(67.4-529.1)+(0.456807+(0.034374-0.269841))+0-0-0</f>
        <v>434.22134</v>
      </c>
      <c r="O312" s="3">
        <f>972.8+(85.5-581.2)+(-1.488384+(-0.130815--0.889236))+0-0-0</f>
        <v>476.37003699999991</v>
      </c>
      <c r="P312" s="3">
        <f>989+(101.4-583.3)+(0+(0-0))+0-0-0</f>
        <v>507.1</v>
      </c>
      <c r="Q312" s="3">
        <f>989.8+(96.8-573.8)+(-0.504798+(-0.049368--0.292638))+0-0-0</f>
        <v>512.53847199999996</v>
      </c>
      <c r="R312" s="3">
        <f>982.3+(100.1-580.7)+(-1.001946+(-0.102102--0.592314))+0-0-0</f>
        <v>501.18826599999994</v>
      </c>
      <c r="S312" s="3">
        <f>978+(94.6-587.4)+(-0.99756+(-0.096492--0.599148))+0-0-0</f>
        <v>484.70509600000003</v>
      </c>
      <c r="T312" s="3">
        <f>976.4+(72.8-572.2)+(-0.497964+(-0.037128--0.291822))+0-0-0</f>
        <v>476.75672999999995</v>
      </c>
      <c r="U312" s="3">
        <f>968.9+(48-544.5)+(-1.482417+(-0.07344--0.833085))+0-0-0</f>
        <v>471.67722799999996</v>
      </c>
      <c r="V312" s="3">
        <f>971.8+(47.8-550)+(-0.495618+(-0.024378--0.2805))+0-0-0</f>
        <v>469.36050399999999</v>
      </c>
      <c r="W312" s="3">
        <f>1078+(67.1-552.1)+(0+(0-0))+0-0-0</f>
        <v>593</v>
      </c>
      <c r="X312" s="3">
        <f>1217.2+(57.3-597.1)+(-1.241544+(-0.058446--0.609042))+0-0-0</f>
        <v>676.70905199999993</v>
      </c>
      <c r="Y312" s="3">
        <f>1221.3+(51.5-639.6)+(-3.737178+(-0.15759--1.957176))+0-0-0</f>
        <v>631.26240799999994</v>
      </c>
      <c r="Z312" s="3">
        <f>1222.6+(52.1-642.4)+(-3.11763+(-0.132855--1.63812))+0-0-0</f>
        <v>630.687635</v>
      </c>
      <c r="AA312" s="3">
        <f>1147.4+(76.8-604.6)+(-2.340696+(-0.156672--1.233384))+0-0-0</f>
        <v>618.33601599999997</v>
      </c>
      <c r="AB312" s="3">
        <f>1016.8+(94.9-533.8)+(-1.037136+(-0.096798--0.544476))+0-0-0</f>
        <v>577.31054199999994</v>
      </c>
      <c r="AC312" s="3">
        <f>986.3+(80.6-544.2)+(-2.012052+(-0.164424--1.110168))+0-0-0</f>
        <v>521.63369199999988</v>
      </c>
      <c r="AD312" s="2">
        <v>635.40000000000009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913.4+(60.5-481.8)+(-0.465834+(-0.030855--0.245718))+0-0-0</f>
        <v>491.84902899999997</v>
      </c>
      <c r="G313" s="3">
        <f>829.5+(48.5-430.9)+(-1.269135+(-0.074205--0.659277))+0-0-0</f>
        <v>446.41593700000004</v>
      </c>
      <c r="H313" s="3">
        <f>718.2+(56.8-350.3)+(-0.732564+(-0.057936--0.357306))+0-0-0</f>
        <v>424.26680600000003</v>
      </c>
      <c r="I313" s="3">
        <f>713.6+(51-341.3)+(-1.455744+(-0.10404--0.696252))+0-0-0</f>
        <v>422.43646799999999</v>
      </c>
      <c r="J313" s="3">
        <f>717+(58.1-339.1)+(-0.36567+(-0.029631--0.172941))+0-0-0</f>
        <v>435.77764000000002</v>
      </c>
      <c r="K313" s="3">
        <f>731.3+(53-343.1)+(1.491852+(0.10812-0.699924))+0-0-0</f>
        <v>442.10004799999996</v>
      </c>
      <c r="L313" s="3">
        <f>883.7+(42.6-464.5)+(0+(0-0))+0-0-0</f>
        <v>461.80000000000007</v>
      </c>
      <c r="M313" s="3">
        <f>933.2+(63.9-506.8)+(-0.475932+(-0.032589--0.258468))+0-0-0</f>
        <v>490.04994700000003</v>
      </c>
      <c r="N313" s="3">
        <f>1031.7+(34.3-541.4)+(-0.526167+(-0.017493--0.276114))+0-0-0</f>
        <v>524.3324540000001</v>
      </c>
      <c r="O313" s="3">
        <f>1120.5+(52.3-611.6)+(0+(0-0))+0-0-0</f>
        <v>561.19999999999993</v>
      </c>
      <c r="P313" s="3">
        <f>1133.8+(53.9-610.2)+(0.578238+(0.027489-0.311202))+0-0-0</f>
        <v>577.79452499999991</v>
      </c>
      <c r="Q313" s="3">
        <f>1128.9+(60.9-596.5)+(-1.151478+(-0.062118--0.60843))+0-0-0</f>
        <v>592.69483400000001</v>
      </c>
      <c r="R313" s="3">
        <f>1120.6+(58.1-586.2)+(-3.429036+(-0.177786--1.793772))+0-0-0</f>
        <v>590.68694999999991</v>
      </c>
      <c r="S313" s="3">
        <f>1120.4+(57.1-588.3)+(-2.85702+(-0.145605--1.500165))+0-0-0</f>
        <v>587.69754000000012</v>
      </c>
      <c r="T313" s="3">
        <f>1130.8+(42.4-597.7)+(0+(0-0))+0-0-0</f>
        <v>575.49999999999989</v>
      </c>
      <c r="U313" s="3">
        <f>1123.4+(38.2-597.8)+(-1.718802+(-0.058446--0.914634))+0-0-0</f>
        <v>562.93738600000017</v>
      </c>
      <c r="V313" s="3">
        <f>1132.6+(55.1-617)+(1.732878+(0.084303-0.94401))+0-0-0</f>
        <v>571.57317099999989</v>
      </c>
      <c r="W313" s="3">
        <f>1170.6+(57.3-592.7)+(2.388024+(0.116892-1.209108))+0-0-0</f>
        <v>636.49580799999978</v>
      </c>
      <c r="X313" s="3">
        <f>1204.4+(109.3-578.5)+(-1.842732+(-0.167229--0.885105))+0-0-0</f>
        <v>734.07514400000002</v>
      </c>
      <c r="Y313" s="3">
        <f>1216.9+(98.5-570)+(0+(0-0))+0-0-0</f>
        <v>745.40000000000009</v>
      </c>
      <c r="Z313" s="3">
        <f>1218.9+(88.6-569.1)+(-1.243278+(-0.090372--0.580482))+0-0-0</f>
        <v>737.64683200000013</v>
      </c>
      <c r="AA313" s="3">
        <f>1134.1+(120.5-550.5)+(-1.735173+(-0.184365--0.842265))+0-0-0</f>
        <v>703.02272699999992</v>
      </c>
      <c r="AB313" s="3">
        <f>1112.3+(117.3-570.1)+(-1.134546+(-0.119646--0.581502))+0-0-0</f>
        <v>658.82731000000001</v>
      </c>
      <c r="AC313" s="3">
        <f>1074.7+(98.7-578.6)+(-2.192388+(-0.201348--1.180344))+0-0-0</f>
        <v>593.58660799999996</v>
      </c>
      <c r="AD313" s="2">
        <v>703.9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902+(114.5-490.4)+(-1.84008+(-0.23358--1.000416))+0-0-0</f>
        <v>525.02675599999998</v>
      </c>
      <c r="G314" s="3">
        <f>817.1+(86.6-418.3)+(-0.833442+(-0.088332--0.426666))+0-0-0</f>
        <v>484.90489199999996</v>
      </c>
      <c r="H314" s="3">
        <f>817.9+(52.2-411.6)+(-0.417129+(-0.026622--0.209916))+0-0-0</f>
        <v>458.26616499999994</v>
      </c>
      <c r="I314" s="3">
        <f>825.7+(44.9-421.1)+(0.842214+(0.045798-0.429522))+0-0-0</f>
        <v>449.95848999999998</v>
      </c>
      <c r="J314" s="3">
        <f>811.4+(47.4-423.5)+(-2.06907+(-0.12087--1.079925))+0-0-0</f>
        <v>434.18998499999998</v>
      </c>
      <c r="K314" s="3">
        <f>832.1+(39.4-427.4)+(2.121855+(0.10047-1.08987))+0-0-0</f>
        <v>445.23245500000002</v>
      </c>
      <c r="L314" s="3">
        <f>823.5+(56.8-415.1)+(0+(0-0))+0-0-0</f>
        <v>465.2</v>
      </c>
      <c r="M314" s="3">
        <f>999.6+(27.7-545.5)+(-1.529388+(-0.042381--0.834615))+0-0-0</f>
        <v>481.06284600000009</v>
      </c>
      <c r="N314" s="3">
        <f>1099.6+(24.1-600.3)+(-1.121592+(-0.024582--0.612306))+0-0-0</f>
        <v>522.86613199999999</v>
      </c>
      <c r="O314" s="3">
        <f>1195.4+(27-654.4)+(-1.828962+(-0.04131--1.001232))+0-0-0</f>
        <v>567.13096000000007</v>
      </c>
      <c r="P314" s="3">
        <f>1212.9+(36.5-652.5)+(-1.237158+(-0.03723--0.66555))+0-0-0</f>
        <v>596.2911620000001</v>
      </c>
      <c r="Q314" s="3">
        <f>1189.7+(42.1-620.8)+(-3.033735+(-0.107355--1.58304))+0-0-0</f>
        <v>609.44195000000013</v>
      </c>
      <c r="R314" s="3">
        <f>1131+(72-597.2)+(-2.30724+(-0.14688--1.218288))+0-0-0</f>
        <v>604.564168</v>
      </c>
      <c r="S314" s="3">
        <f>1015.2+(103.7-543.2)+(-2.071008+(-0.211548--1.108128))+0-0-0</f>
        <v>574.52557200000001</v>
      </c>
      <c r="T314" s="3">
        <f>1010.7+(89.7-531.7)+(-1.030914+(-0.091494--0.542334))+0-0-0</f>
        <v>568.11992600000008</v>
      </c>
      <c r="U314" s="3">
        <f>1005.6+(95-531.5)+(1.025712+(0.0969-0.54213))+0-0-0</f>
        <v>569.68048199999998</v>
      </c>
      <c r="V314" s="3">
        <f>1028.2+(101.6-549.2)+(0.524382+(0.051816-0.280092))+0-0-0</f>
        <v>580.89610600000003</v>
      </c>
      <c r="W314" s="3">
        <f>1188.3+(68.8-615.3)+(1.212066+(0.070176-0.627606))+0-0-0</f>
        <v>642.45463599999994</v>
      </c>
      <c r="X314" s="3">
        <f>1192.9+(93.1-582)+(-3.650274+(-0.284886--1.78092))+0-0-0</f>
        <v>701.84576000000015</v>
      </c>
      <c r="Y314" s="3">
        <f>1199.3+(80.6-574.8)+(-3.058215+(-0.20553--1.46574))+0-0-0</f>
        <v>703.30199500000003</v>
      </c>
      <c r="Z314" s="3">
        <f>1201.8+(66-583.1)+(-1.838754+(-0.10098--0.892143))+0-0-0</f>
        <v>683.65240899999992</v>
      </c>
      <c r="AA314" s="3">
        <f>1069.8+(119.5-545.1)+(-0.545598+(-0.060945--0.278001))+0-0-0</f>
        <v>643.87145799999996</v>
      </c>
      <c r="AB314" s="3">
        <f>950.4+(145.1-488.2)+(-0.969408+(-0.148002--0.497964))+0-0-0</f>
        <v>606.68055399999992</v>
      </c>
      <c r="AC314" s="3">
        <f>914.5+(117.1-466.9)+(-2.331975+(-0.298605--1.190595))+0-0-0</f>
        <v>563.26001500000007</v>
      </c>
      <c r="AD314" s="2">
        <v>691.6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928.2+(69.2-508.7)+(-0.946764+(-0.070584--0.518874))+0-0-0</f>
        <v>488.20152600000006</v>
      </c>
      <c r="G315" s="3">
        <f>740.9+(99.1-375.8)+(-1.133577+(-0.151623--0.574974))+0-0-0</f>
        <v>463.48977399999995</v>
      </c>
      <c r="H315" s="3">
        <f>679.4+(127.4-379.9)+(0+(0-0))+0-0-0</f>
        <v>426.9</v>
      </c>
      <c r="I315" s="3">
        <f>676.9+(124.9-384.2)+(-0.690438+(-0.127398--0.391884))+0-0-0</f>
        <v>417.17404800000003</v>
      </c>
      <c r="J315" s="3">
        <f>683.6+(116.4-389.7)+(0.348636+(0.059364-0.198747))+0-0-0</f>
        <v>410.50925300000006</v>
      </c>
      <c r="K315" s="3">
        <f>680.3+(124.5-379.5)+(-0.346953+(-0.063495--0.193545))+0-0-0</f>
        <v>425.08309699999995</v>
      </c>
      <c r="L315" s="3">
        <f>766.7+(109.2-441.1)+(-0.391017+(-0.055692--0.224961))+0-0-0</f>
        <v>434.57825200000002</v>
      </c>
      <c r="M315" s="3">
        <f>898.9+(91.5-517.1)+(0+(0-0))+0-0-0</f>
        <v>473.29999999999995</v>
      </c>
      <c r="N315" s="3">
        <f>916.8+(86.5-487.7)+(0+(0-0))+0-0-0</f>
        <v>515.59999999999991</v>
      </c>
      <c r="O315" s="3">
        <f>1008.5+(79.6-533.1)+(-1.02867+(-0.081192--0.543762))+0-0-0</f>
        <v>554.43389999999999</v>
      </c>
      <c r="P315" s="3">
        <f>1021+(81-544.6)+(0+(0-0))+0-0-0</f>
        <v>557.4</v>
      </c>
      <c r="Q315" s="3">
        <f>1042.3+(90.1-551.3)+(-0.531573+(-0.045951--0.281163))+0-0-0</f>
        <v>580.80363899999998</v>
      </c>
      <c r="R315" s="3">
        <f>1041.8+(88.9-553.6)+(-2.65659+(-0.226695--1.41168))+0-0-0</f>
        <v>575.62839499999995</v>
      </c>
      <c r="S315" s="3">
        <f>1043.5+(88.5-559.2)+(0+(0-0))+0-0-0</f>
        <v>572.79999999999995</v>
      </c>
      <c r="T315" s="3">
        <f>1042.9+(74-541.5)+(-0.531879+(-0.03774--0.276165))+0-0-0</f>
        <v>575.10654600000009</v>
      </c>
      <c r="U315" s="3">
        <f>1041.7+(78-532.9)+(-1.062534+(-0.07956--0.543558))+0-0-0</f>
        <v>586.2014640000001</v>
      </c>
      <c r="V315" s="3">
        <f>1042.4+(76-539.3)+(0.531624+(0.03876-0.275043))+0-0-0</f>
        <v>579.39534100000014</v>
      </c>
      <c r="W315" s="3">
        <f>1104.3+(90.3-526.3)+(0.563193+(0.046053-0.268413))+0-0-0</f>
        <v>668.64083299999993</v>
      </c>
      <c r="X315" s="3">
        <f>1108.7+(109.3-531.9)+(-2.261748+(-0.222972--1.085076))+0-0-0</f>
        <v>684.70035600000017</v>
      </c>
      <c r="Y315" s="3">
        <f>1119.7+(90-535.6)+(-2.284188+(-0.1836--1.092624))+0-0-0</f>
        <v>672.72483599999998</v>
      </c>
      <c r="Z315" s="3">
        <f>1116+(95.1-539.3)+(-1.13832+(-0.097002--0.550086))+0-0-0</f>
        <v>671.11476400000004</v>
      </c>
      <c r="AA315" s="3">
        <f>1048.5+(120.8-526.7)+(-1.06947+(-0.123216--0.537234))+0-0-0</f>
        <v>641.94454799999994</v>
      </c>
      <c r="AB315" s="3">
        <f>1028.6+(117.4-528.8)+(-1.573758+(-0.179622--0.809064))+0-0-0</f>
        <v>616.25568399999997</v>
      </c>
      <c r="AC315" s="3">
        <f>1039.8+(81.8-553)+(-1.060596+(-0.083436--0.56406))+0-0-0</f>
        <v>568.02002799999991</v>
      </c>
      <c r="AD315" s="2">
        <v>692.8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982.1+(59.4-505.7)+(-2.504355+(-0.15147--1.289535))+0-0-0</f>
        <v>534.43370999999991</v>
      </c>
      <c r="G316" s="3">
        <f>843.8+(74.3-425.5)+(0+(0-0))+0-0-0</f>
        <v>492.59999999999997</v>
      </c>
      <c r="H316" s="3">
        <f>810.1+(60.9-399.6)+(-2.065755+(-0.155295--1.01898))+0-0-0</f>
        <v>470.19792999999999</v>
      </c>
      <c r="I316" s="3">
        <f>816.7+(46-414.2)+(-0.416517+(-0.02346--0.211242))+0-0-0</f>
        <v>448.27126500000008</v>
      </c>
      <c r="J316" s="3">
        <f>823.3+(32-413.3)+(0.839766+(0.03264-0.421566))+0-0-0</f>
        <v>442.45083999999997</v>
      </c>
      <c r="K316" s="3">
        <f>816.2+(47.3-429.7)+(0.832524+(0.048246-0.438294))+0-0-0</f>
        <v>434.24247600000007</v>
      </c>
      <c r="L316" s="3">
        <f>811.7+(32.7-410.6)+(-1.241901+(-0.050031--0.628218))+0-0-0</f>
        <v>433.13628599999998</v>
      </c>
      <c r="M316" s="3">
        <f>858.8+(14.2-446.9)+(-0.875976+(-0.014484--0.455838))+0-0-0</f>
        <v>425.66537799999998</v>
      </c>
      <c r="N316" s="3">
        <f>1019.3+(24.9-576.1)+(-0.519843+(-0.012699--0.293811))+0-0-0</f>
        <v>467.86126899999994</v>
      </c>
      <c r="O316" s="3">
        <f>1030.3+(30.4-538.1)+(1.576359+(0.046512-0.823293))+0-0-0</f>
        <v>523.39957799999991</v>
      </c>
      <c r="P316" s="3">
        <f>1026.1+(41.4-488.7)+(2.093244+(0.084456-0.996948))+0-0-0</f>
        <v>579.98075199999994</v>
      </c>
      <c r="Q316" s="3">
        <f>1004+(66.3-463.2)+(-0.51204+(-0.033813--0.236232))+0-0-0</f>
        <v>606.79037900000003</v>
      </c>
      <c r="R316" s="3">
        <f>1001.9+(68.5-486.3)+(-2.043876+(-0.13974--0.992052))+0-0-0</f>
        <v>582.90843599999994</v>
      </c>
      <c r="S316" s="3">
        <f>1008.7+(62.2-527.5)+(-2.057748+(-0.126888--1.0761))+0-0-0</f>
        <v>542.29146400000013</v>
      </c>
      <c r="T316" s="3">
        <f>1010.4+(56-528.2)+(0+(0-0))+0-0-0</f>
        <v>538.19999999999993</v>
      </c>
      <c r="U316" s="3">
        <f>1027.5+(52.4-539.2)+(-3.14415+(-0.160344--1.649952))+0-0-0</f>
        <v>539.04545799999994</v>
      </c>
      <c r="V316" s="3">
        <f>1057.4+(58.8-553.1)+(0+(0-0))+0-0-0</f>
        <v>563.10000000000014</v>
      </c>
      <c r="W316" s="3">
        <f>1056.8+(79.9-508.6)+(0+(0-0))+0-0-0</f>
        <v>628.09999999999991</v>
      </c>
      <c r="X316" s="3">
        <f>1048.6+(109.9-478.9)+(-2.67393+(-0.280245--1.221195))+0-0-0</f>
        <v>677.86701999999991</v>
      </c>
      <c r="Y316" s="3">
        <f>1044.2+(110.9-478.4)+(-2.66271+(-0.282795--1.21992))+0-0-0</f>
        <v>674.97441500000002</v>
      </c>
      <c r="Z316" s="3">
        <f>1054.9+(108.4-492.5)+(-1.075998+(-0.110568--0.50235))+0-0-0</f>
        <v>670.11578400000008</v>
      </c>
      <c r="AA316" s="3">
        <f>1031.7+(99-488.6)+(-2.104668+(-0.20196--0.996744))+0-0-0</f>
        <v>640.79011600000001</v>
      </c>
      <c r="AB316" s="3">
        <f>1001.2+(97.7-472.4)+(-0.510612+(-0.049827--0.240924))+0-0-0</f>
        <v>626.18048499999998</v>
      </c>
      <c r="AC316" s="3">
        <f>905.3+(108.5-430.1)+(-1.846812+(-0.22134--0.877404))+0-0-0</f>
        <v>582.50925199999995</v>
      </c>
      <c r="AD316" s="2">
        <v>689.2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795.7+(102.9-394.7)+(-0.405807+(-0.052479--0.201297))+0-0-0</f>
        <v>503.64301100000012</v>
      </c>
      <c r="G317" s="3">
        <f>792.6+(87.2-409.5)+(-0.404226+(-0.044472--0.208845))+0-0-0</f>
        <v>470.06014700000003</v>
      </c>
      <c r="H317" s="3">
        <f>741.8+(93.8-380.8)+(0+(0-0))+0-0-0</f>
        <v>454.79999999999995</v>
      </c>
      <c r="I317" s="3">
        <f>738.2+(89.3-384.4)+(-0.376482+(-0.045543--0.196044))+0-0-0</f>
        <v>442.87401900000009</v>
      </c>
      <c r="J317" s="3">
        <f>732.9+(85.8-384.9)+(-1.121337+(-0.131274--0.588897))+0-0-0</f>
        <v>433.13628599999998</v>
      </c>
      <c r="K317" s="3">
        <f>743+(87.6-386.6)+(0.37893+(0.044676-0.197166))+0-0-0</f>
        <v>444.22644000000003</v>
      </c>
      <c r="L317" s="3">
        <f>761+(98.6-399.7)+(-0.77622+(-0.100572--0.407694))+0-0-0</f>
        <v>459.430902</v>
      </c>
      <c r="M317" s="3">
        <f>833.4+(77.7-432.7)+(-1.275102+(-0.118881--0.662031))+0-0-0</f>
        <v>477.668048</v>
      </c>
      <c r="N317" s="3">
        <f>1025+(15.9-524.6)+(-1.0455+(-0.016218--0.535092))+0-0-0</f>
        <v>515.77337399999999</v>
      </c>
      <c r="O317" s="3">
        <f>1156.4+(24.5-599.5)+(-0.589764+(-0.012495--0.305745))+0-0-0</f>
        <v>581.10348600000009</v>
      </c>
      <c r="P317" s="3">
        <f>1250.6+(2.7-634.2)+(-1.913418+(-0.004131--0.970326))+0-0-0</f>
        <v>618.1527769999999</v>
      </c>
      <c r="Q317" s="3">
        <f>1262.6+(5.3-639.5)+(0+(0-0))+0-0-0</f>
        <v>628.39999999999986</v>
      </c>
      <c r="R317" s="3">
        <f>1259.6+(10-648.7)+(-2.569584+(-0.0204--1.323348))+0-0-0</f>
        <v>619.63336399999991</v>
      </c>
      <c r="S317" s="3">
        <f>1159.5+(38.9-603.8)+(-2.36538+(-0.079356--1.231752))+0-0-0</f>
        <v>593.38701600000002</v>
      </c>
      <c r="T317" s="3">
        <f>1147.9+(15.4-595)+(0.585429+(0.007854-0.30345))+0-0-0</f>
        <v>568.58983300000011</v>
      </c>
      <c r="U317" s="3">
        <f>1137.2+(13.6-587.3)+(-2.319888+(-0.027744--1.198092))+0-0-0</f>
        <v>562.35046000000011</v>
      </c>
      <c r="V317" s="3">
        <f>1142.2+(4.7-586.9)+(-0.582522+(-0.002397--0.299319))+0-0-0</f>
        <v>559.71440000000007</v>
      </c>
      <c r="W317" s="3">
        <f>1217.7+(0-608.2)+(1.242054+(0-0.620364))+0-0-0</f>
        <v>610.12168999999994</v>
      </c>
      <c r="X317" s="3">
        <f>1322.1+(24.2-633.8)+(-0.674271+(-0.012342--0.323238))+0-0-0</f>
        <v>712.13662499999998</v>
      </c>
      <c r="Y317" s="3">
        <f>1283.1+(49.8-611.4)+(-1.963143+(-0.076194--0.935442))+0-0-0</f>
        <v>720.39610499999992</v>
      </c>
      <c r="Z317" s="3">
        <f>1103.4+(107-499.6)+(0.562734+(0.05457-0.254796))+0-0-0</f>
        <v>711.16250800000012</v>
      </c>
      <c r="AA317" s="3">
        <f>1052.1+(130.5-503.9)+(-1.609713+(-0.199665--0.770967))+0-0-0</f>
        <v>677.66158899999994</v>
      </c>
      <c r="AB317" s="3">
        <f>1037.8+(134.5-517.3)+(-2.64639+(-0.342975--1.319115))+0-0-0</f>
        <v>653.32974999999999</v>
      </c>
      <c r="AC317" s="3">
        <f>822.1+(174.2-396.4)+(-0.838542+(-0.177684--0.404328))+0-0-0</f>
        <v>599.28810200000009</v>
      </c>
      <c r="AD317" s="2">
        <v>704.00000000000011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735.9+(160.3-340.4)+(-1.501236+(-0.327012--0.694416))+0-0-0</f>
        <v>554.66616799999997</v>
      </c>
      <c r="G318" s="3">
        <f>692.2+(136.2-327.8)+(-0.706044+(-0.138924--0.334356))+0-0-0</f>
        <v>500.08938800000004</v>
      </c>
      <c r="H318" s="3">
        <f>696.2+(106.1-325.6)+(0+(0-0))+0-0-0</f>
        <v>476.70000000000005</v>
      </c>
      <c r="I318" s="3">
        <f>694.6+(104.4-335.4)+(-0.354246+(-0.053244--0.171054))+0-0-0</f>
        <v>463.363564</v>
      </c>
      <c r="J318" s="3">
        <f>708+(104.5-354.6)+(0+(0-0))+0-0-0</f>
        <v>457.9</v>
      </c>
      <c r="K318" s="3">
        <f>712.5+(107-349.6)+(0.363375+(0.05457-0.178296))+0-0-0</f>
        <v>470.13964899999996</v>
      </c>
      <c r="L318" s="3">
        <f>765.5+(96.9-392.9)+(-0.78081+(-0.098838--0.400758))+0-0-0</f>
        <v>469.02111000000002</v>
      </c>
      <c r="M318" s="3">
        <f>799.9+(85.6-406.7)+(1.223847+(0.130968-0.622251))+0-0-0</f>
        <v>479.53256399999998</v>
      </c>
      <c r="N318" s="3">
        <f>929.4+(72.9-474.6)+(0+(0-0))+0-0-0</f>
        <v>527.69999999999993</v>
      </c>
      <c r="O318" s="3">
        <f>1027+(73.9-518)+(0.52377+(0.037689-0.26418))+0-0-0</f>
        <v>583.19727899999998</v>
      </c>
      <c r="P318" s="3">
        <f>1033.1+(91.3-502.9)+(0+(0-0))+0-0-0</f>
        <v>621.5</v>
      </c>
      <c r="Q318" s="3">
        <f>1018.9+(92.6-476.4)+(-1.039278+(-0.094452--0.485928))+0-0-0</f>
        <v>634.45219800000007</v>
      </c>
      <c r="R318" s="3">
        <f>1014.9+(94-483.2)+(-2.070396+(-0.19176--0.985728))+0-0-0</f>
        <v>624.42357200000004</v>
      </c>
      <c r="S318" s="3">
        <f>1006.6+(85.6-482.7)+(1.026732+(0.087312-0.492354))+0-0-0</f>
        <v>610.12168999999994</v>
      </c>
      <c r="T318" s="3">
        <f>887.3+(113.3-420.1)+(-0.905046+(-0.115566--0.428502))+0-0-0</f>
        <v>579.90788999999995</v>
      </c>
      <c r="U318" s="3">
        <f>934.3+(91.1-448.9)+(1.905972+(0.185844-0.915756))+0-0-0</f>
        <v>577.67606000000001</v>
      </c>
      <c r="V318" s="3">
        <f>942.3+(100.2-454)+(0+(0-0))+0-0-0</f>
        <v>588.5</v>
      </c>
      <c r="W318" s="3">
        <f>1041.2+(103.7-459.7)+(-0.531012+(-0.052887--0.234447))+0-0-0</f>
        <v>684.850548</v>
      </c>
      <c r="X318" s="3">
        <f>1060.9+(136.4-467.9)+(-1.082118+(-0.139128--0.477258))+0-0-0</f>
        <v>728.65601200000015</v>
      </c>
      <c r="Y318" s="3">
        <f>1042.4+(139-464)+(-3.189744+(-0.42534--1.41984))+0-0-0</f>
        <v>715.20475600000009</v>
      </c>
      <c r="Z318" s="3">
        <f>972+(164.7-464.3)+(0.99144+(0.167994-0.473586))+0-0-0</f>
        <v>673.08584799999994</v>
      </c>
      <c r="AA318" s="3">
        <f>941+(162.3-431.7)+(-2.39955+(-0.413865--1.100835))+0-0-0</f>
        <v>669.88742000000002</v>
      </c>
      <c r="AB318" s="3">
        <f>906.1+(157.1-426)+(-1.848444+(-0.320484--0.86904))+0-0-0</f>
        <v>635.90011200000004</v>
      </c>
      <c r="AC318" s="3">
        <f>934.9+(116-430)+(-1.907196+(-0.23664--0.8772))+0-0-0</f>
        <v>619.63336400000003</v>
      </c>
      <c r="AD318" s="2">
        <v>768.90000000000009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740.3+(165.7-388.1)+(-1.132659+(-0.253521--0.593793))+0-0-0</f>
        <v>517.1076129999999</v>
      </c>
      <c r="G319" s="3">
        <f>740.5+(126.9-384.7)+(-1.888275+(-0.323595--0.980985))+0-0-0</f>
        <v>481.46911500000004</v>
      </c>
      <c r="H319" s="3">
        <f>751.4+(108.2-406.4)+(0.766428+(0.110364-0.414528))+0-0-0</f>
        <v>453.66226399999999</v>
      </c>
      <c r="I319" s="3">
        <f>731.6+(103.3-402.7)+(-0.373116+(-0.052683--0.205377))+0-0-0</f>
        <v>431.97957800000006</v>
      </c>
      <c r="J319" s="3">
        <f>712.5+(107-382)+(-0.363375+(-0.05457--0.19482))+0-0-0</f>
        <v>437.27687500000002</v>
      </c>
      <c r="K319" s="3">
        <f>706.2+(114.3-386.6)+(0.720324+(0.116586-0.394332))+0-0-0</f>
        <v>434.34257800000006</v>
      </c>
      <c r="L319" s="3">
        <f>699.7+(121.2-376.3)+(-0.713694+(-0.123624--0.383826))+0-0-0</f>
        <v>444.14650800000004</v>
      </c>
      <c r="M319" s="3">
        <f>702.7+(111.1-384.8)+(0+(0-0))+0-0-0</f>
        <v>429</v>
      </c>
      <c r="N319" s="3">
        <f>704.5+(124-387.4)+(0.359295+(0.06324-0.197574))+0-0-0</f>
        <v>441.32496100000003</v>
      </c>
      <c r="O319" s="3">
        <f>705.7+(160.6-377.8)+(0.359907+(0.081906-0.192678))+0-0-0</f>
        <v>488.74913500000002</v>
      </c>
      <c r="P319" s="3">
        <f>701.1+(202.5-378.4)+(-1.072683+(-0.309825--0.578952))+0-0-0</f>
        <v>524.39644400000009</v>
      </c>
      <c r="Q319" s="3">
        <f>698.4+(236.3-390.1)+(-1.424736+(-0.482052--0.795804))+0-0-0</f>
        <v>543.48901599999988</v>
      </c>
      <c r="R319" s="3">
        <f>704.6+(240.9-401.5)+(-0.359346+(-0.122859--0.204765))+0-0-0</f>
        <v>543.72256000000004</v>
      </c>
      <c r="S319" s="3">
        <f>695.8+(223.4-408.9)+(-1.419432+(-0.455736--0.834156))+0-0-0</f>
        <v>509.25898799999993</v>
      </c>
      <c r="T319" s="3">
        <f>698.3+(196.5-406.1)+(-1.068399+(-0.300645--0.621333))+0-0-0</f>
        <v>487.95228899999995</v>
      </c>
      <c r="U319" s="3">
        <f>716.5+(177.2-409.8)+(1.096245+(0.271116-0.626994))+0-0-0</f>
        <v>484.64036699999997</v>
      </c>
      <c r="V319" s="3">
        <f>706.8+(197.7-411.4)+(-0.720936+(-0.201654--0.419628))+0-0-0</f>
        <v>492.59703799999994</v>
      </c>
      <c r="W319" s="3">
        <f>719.4+(165.2-335.7)+(-1.83447+(-0.42126--0.856035))+0-0-0</f>
        <v>547.50030500000003</v>
      </c>
      <c r="X319" s="3">
        <f>921.7+(159.3-437.4)+(-1.410201+(-0.243729--0.669222))+0-0-0</f>
        <v>642.61529200000018</v>
      </c>
      <c r="Y319" s="3">
        <f>927.8+(162-439)+(-0.473178+(-0.08262--0.22389))+0-0-0</f>
        <v>650.46809199999996</v>
      </c>
      <c r="Z319" s="3">
        <f>928.4+(150.6-440.5)+(-0.473484+(-0.076806--0.224655))+0-0-0</f>
        <v>638.17436499999997</v>
      </c>
      <c r="AA319" s="3">
        <f>929.7+(134.4-436.5)+(0.474147+(0.068544-0.222615))+0-0-0</f>
        <v>627.92007599999999</v>
      </c>
      <c r="AB319" s="3">
        <f>919.9+(131.4-459.4)+(-1.407447+(-0.201042--0.702882))+0-0-0</f>
        <v>590.99439299999995</v>
      </c>
      <c r="AC319" s="3">
        <f>914.3+(110.1-467.9)+(-1.865172+(-0.224604--0.954516))+0-0-0</f>
        <v>555.36473999999998</v>
      </c>
      <c r="AD319" s="2">
        <v>652.40000000000009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774+(96.4-353.2)+(-1.57896+(-0.196656--0.720528))+0-0-0</f>
        <v>516.14491200000009</v>
      </c>
      <c r="G320" s="3">
        <f>714.6+(75.2-320.5)+(-0.364446+(-0.038352--0.163455))+0-0-0</f>
        <v>469.06065699999999</v>
      </c>
      <c r="H320" s="3">
        <f>697+(64.4-315.3)+(-1.42188+(-0.131376--0.643212))+0-0-0</f>
        <v>445.189956</v>
      </c>
      <c r="I320" s="3">
        <f>668.8+(74.8-306.9)+(-0.341088+(-0.038148--0.156519))+0-0-0</f>
        <v>436.477283</v>
      </c>
      <c r="J320" s="3">
        <f>676.3+(70.5-313.1)+(1.724565+(0.179775-0.798405))+0-0-0</f>
        <v>434.80593499999992</v>
      </c>
      <c r="K320" s="3">
        <f>671.8+(75.7-310.5)+(1.027854+(0.115821-0.475065))+0-0-0</f>
        <v>437.66860999999994</v>
      </c>
      <c r="L320" s="3">
        <f>673.3+(101.2-328.8)+(1.030149+(0.154836-0.503064))+0-0-0</f>
        <v>446.38192099999992</v>
      </c>
      <c r="M320" s="3">
        <f>663.8+(134.4-334.8)+(-1.015614+(-0.205632--0.512244))+0-0-0</f>
        <v>462.69099799999998</v>
      </c>
      <c r="N320" s="3">
        <f>741.3+(136.8-390)+(0.756126+(0.139536-0.3978))+0-0-0</f>
        <v>488.59786199999996</v>
      </c>
      <c r="O320" s="3">
        <f>986.5+(88.3-511.4)+(0+(0-0))+0-0-0</f>
        <v>563.40000000000009</v>
      </c>
      <c r="P320" s="3">
        <f>1009.8+(102.5-514)+(1.029996+(0.10455-0.52428))+0-0-0</f>
        <v>598.91026599999998</v>
      </c>
      <c r="Q320" s="3">
        <f>1000.4+(112-511.2)+(-1.020408+(-0.11424--0.521424))+0-0-0</f>
        <v>600.5867760000001</v>
      </c>
      <c r="R320" s="3">
        <f>994.7+(114.6-509.4)+(-2.536485+(-0.29223--1.29897))+0-0-0</f>
        <v>598.37025500000004</v>
      </c>
      <c r="S320" s="3">
        <f>986.1+(106.1-510.6)+(-0.502911+(-0.054111--0.260406))+0-0-0</f>
        <v>581.30338400000005</v>
      </c>
      <c r="T320" s="3">
        <f>978.1+(95.3-504.4)+(-2.494155+(-0.243015--1.28622))+0-0-0</f>
        <v>567.54904999999997</v>
      </c>
      <c r="U320" s="3">
        <f>931+(137-498.3)+(-0.94962+(-0.13974--0.508266))+0-0-0</f>
        <v>569.11890600000004</v>
      </c>
      <c r="V320" s="3">
        <f>882+(169.3-467.9)+(0.44982+(0.086343-0.238629))+0-0-0</f>
        <v>583.69753400000013</v>
      </c>
      <c r="W320" s="3">
        <f>927.3+(132.8-422.2)+(0+(0-0))+0-0-0</f>
        <v>637.9</v>
      </c>
      <c r="X320" s="3">
        <f>1022+(152.5-447.3)+(-0.52122+(-0.077775--0.228123))+0-0-0</f>
        <v>726.82912800000008</v>
      </c>
      <c r="Y320" s="3">
        <f>1021.8+(150-455.2)+(-3.126708+(-0.459--1.392912))+0-0-0</f>
        <v>714.40720399999987</v>
      </c>
      <c r="Z320" s="3">
        <f>1022.4+(143.1-464.4)+(-2.085696+(-0.291924--0.947376))+0-0-0</f>
        <v>699.66975600000001</v>
      </c>
      <c r="AA320" s="3">
        <f>801.3+(240.1-365.5)+(-0.408663+(-0.122451--0.186405))+0-0-0</f>
        <v>675.55529100000001</v>
      </c>
      <c r="AB320" s="3">
        <f>749.2+(256.3-371.8)+(-1.528368+(-0.522852--0.758472))+0-0-0</f>
        <v>632.40725200000008</v>
      </c>
      <c r="AC320" s="3">
        <f>748.5+(210.4-395.5)+(-1.145205+(-0.321912--0.605115))+0-0-0</f>
        <v>562.53799800000002</v>
      </c>
      <c r="AD320" s="2">
        <v>725.30000000000007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743.5+(129.1-372.9)+(-1.51674+(-0.263364--0.760716))+0-0-0</f>
        <v>498.68061200000005</v>
      </c>
      <c r="G321" s="3">
        <f>745.3+(93.5-358.4)+(-1.140309+(-0.143055--0.548352))+0-0-0</f>
        <v>479.66498799999999</v>
      </c>
      <c r="H321" s="3">
        <f>748+(74.5-385)+(0+(0-0))+0-0-0</f>
        <v>437.5</v>
      </c>
      <c r="I321" s="3">
        <f>750.3+(61.5-391.8)+(-0.382653+(-0.031365--0.199818))+0-0-0</f>
        <v>419.78579999999994</v>
      </c>
      <c r="J321" s="3">
        <f>745.7+(52.6-383.8)+(0.380307+(0.026826-0.195738))+0-0-0</f>
        <v>414.71139500000004</v>
      </c>
      <c r="K321" s="3">
        <f>753.6+(50.2-377.7)+(0.768672+(0.051204-0.385254))+0-0-0</f>
        <v>426.53462200000001</v>
      </c>
      <c r="L321" s="3">
        <f>782.1+(61.3-411.4)+(0.797742+(0.062526-0.419628))+0-0-0</f>
        <v>432.44064000000003</v>
      </c>
      <c r="M321" s="3">
        <f>938.7+(51.7-531.7)+(0.478737+(0.026367-0.271167))+0-0-0</f>
        <v>458.93393700000001</v>
      </c>
      <c r="N321" s="3">
        <f>996.5+(42.9-516)+(-2.03286+(-0.087516--1.05264))+0-0-0</f>
        <v>522.33226400000001</v>
      </c>
      <c r="O321" s="3">
        <f>1011+(62.1-505)+(1.54683+(0.095013-0.77265))+0-0-0</f>
        <v>568.96919300000002</v>
      </c>
      <c r="P321" s="3">
        <f>1011+(72-499.6)+(-1.03122+(-0.07344--0.509592))+0-0-0</f>
        <v>582.80493200000001</v>
      </c>
      <c r="Q321" s="3">
        <f>1003.6+(84.9-482)+(-2.047344+(-0.173196--0.98328))+0-0-0</f>
        <v>605.26274000000001</v>
      </c>
      <c r="R321" s="3">
        <f>1008+(81.8-497.3)+(-2.5704+(-0.20859--1.268115))+0-0-0</f>
        <v>590.98912499999994</v>
      </c>
      <c r="S321" s="3">
        <f>918.1+(109.8-449.4)+(0.468231+(0.055998-0.229194))+0-0-0</f>
        <v>578.79503499999998</v>
      </c>
      <c r="T321" s="3">
        <f>888.3+(107.2-437.2)+(-0.906066+(-0.109344--0.445944))+0-0-0</f>
        <v>557.73053399999992</v>
      </c>
      <c r="U321" s="3">
        <f>886.9+(110-446.8)+(-0.452319+(-0.0561--0.227868))+0-0-0</f>
        <v>549.81944899999996</v>
      </c>
      <c r="V321" s="3">
        <f>906.2+(118.3-465.4)+(0+(0-0))+0-0-0</f>
        <v>559.10000000000014</v>
      </c>
      <c r="W321" s="3">
        <f>1012.1+(96.4-493.8)+(0+(0-0))+0-0-0</f>
        <v>614.70000000000005</v>
      </c>
      <c r="X321" s="3">
        <f>1031.3+(152.3-463.5)+(0.525963+(0.077673-0.236385))+0-0-0</f>
        <v>720.46725099999992</v>
      </c>
      <c r="Y321" s="3">
        <f>1022.4+(162.7-456.1)+(-1.564272+(-0.248931--0.697833))+0-0-0</f>
        <v>727.88463000000002</v>
      </c>
      <c r="Z321" s="3">
        <f>1022.4+(155.8-461.9)+(-1.042848+(-0.158916--0.471138))+0-0-0</f>
        <v>715.56937399999993</v>
      </c>
      <c r="AA321" s="3">
        <f>1018.9+(158.9-502.7)+(-1.558917+(-0.243117--0.769131))+0-0-0</f>
        <v>674.06709699999999</v>
      </c>
      <c r="AB321" s="3">
        <f>858.2+(249.4-458.1)+(-0.875364+(-0.254388--0.467262))+0-0-0</f>
        <v>648.83750999999995</v>
      </c>
      <c r="AC321" s="3">
        <f>651.2+(294-364)+(-1.66056+(-0.7497--0.9282))+0-0-0</f>
        <v>579.71794</v>
      </c>
      <c r="AD321" s="2">
        <v>709.89999999999986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545.4+(276.8-321.4)+(-0.278154+(-0.141168--0.163914))+0-0-0</f>
        <v>500.54459200000002</v>
      </c>
      <c r="G322" s="3">
        <f>530.5+(257.4-323.3)+(0+(0-0))+0-0-0</f>
        <v>464.59999999999997</v>
      </c>
      <c r="H322" s="3">
        <f>529.4+(219.8-305.9)+(0+(0-0))+0-0-0</f>
        <v>443.3</v>
      </c>
      <c r="I322" s="3">
        <f>530.2+(202.1-297.4)+(0+(0-0))+0-0-0</f>
        <v>434.90000000000009</v>
      </c>
      <c r="J322" s="3">
        <f>535.6+(203.4-295.8)+(1.092624+(0.414936-0.603432))+0-0-0</f>
        <v>444.10412800000006</v>
      </c>
      <c r="K322" s="3">
        <f>535+(210.2-305.1)+(0.81855+(0.321606-0.466803))+0-0-0</f>
        <v>440.77335299999999</v>
      </c>
      <c r="L322" s="3">
        <f>649.7+(164.7-364)+(0.662694+(0.167994-0.37128))+0-0-0</f>
        <v>450.85940800000003</v>
      </c>
      <c r="M322" s="3">
        <f>705.3+(158-395.5)+(-0.719406+(-0.16116--0.40341))+0-0-0</f>
        <v>467.32284399999998</v>
      </c>
      <c r="N322" s="3">
        <f>700.6+(168.8-355.8)+(-1.071918+(-0.258264--0.544374))+0-0-0</f>
        <v>512.81419200000005</v>
      </c>
      <c r="O322" s="3">
        <f>710.5+(207.6-364.4)+(0.362355+(0.105876-0.185844))+0-0-0</f>
        <v>553.98238700000002</v>
      </c>
      <c r="P322" s="3">
        <f>713.7+(229.3-378.4)+(0+(0-0))+0-0-0</f>
        <v>564.60000000000014</v>
      </c>
      <c r="Q322" s="3">
        <f>718.6+(261.9-409.1)+(0.366486+(0.133569-0.208641))+0-0-0</f>
        <v>571.69141400000001</v>
      </c>
      <c r="R322" s="3">
        <f>704.8+(267.2-377.1)+(-1.79724+(-0.68136--0.961605))+0-0-0</f>
        <v>593.38300499999991</v>
      </c>
      <c r="S322" s="3">
        <f>709.8+(254.6-381.1)+(0+(0-0))+0-0-0</f>
        <v>583.29999999999995</v>
      </c>
      <c r="T322" s="3">
        <f>706.8+(230.9-369.6)+(-0.360468+(-0.117759--0.188496))+0-0-0</f>
        <v>567.81026899999995</v>
      </c>
      <c r="U322" s="3">
        <f>700+(213.5-350.5)+(-1.785+(-0.544425--0.893775))+0-0-0</f>
        <v>561.56434999999999</v>
      </c>
      <c r="V322" s="3">
        <f>693.1+(216.5-347.1)+(-1.060443+(-0.331245--0.531063))+0-0-0</f>
        <v>561.63937499999997</v>
      </c>
      <c r="W322" s="3">
        <f>694.8+(227.7-303.9)+(-0.354348+(-0.116127--0.154989))+0-0-0</f>
        <v>618.28451399999994</v>
      </c>
      <c r="X322" s="3">
        <f>706.1+(307.7-279.3)+(-1.080333+(-0.470781--0.427329))+0-0-0</f>
        <v>733.376215</v>
      </c>
      <c r="Y322" s="3">
        <f>714+(319.8-283.2)+(-2.18484+(-0.978588--0.866592))+0-0-0</f>
        <v>748.30316400000004</v>
      </c>
      <c r="Z322" s="3">
        <f>715.6+(333.8-318.1)+(-1.094868+(-0.510714--0.486693))+0-0-0</f>
        <v>730.18111099999999</v>
      </c>
      <c r="AA322" s="3">
        <f>715.2+(338.8-345)+(-1.459008+(-0.691152--0.7038))+0-0-0</f>
        <v>707.55363999999997</v>
      </c>
      <c r="AB322" s="3">
        <f>703.4+(310.9-345.9)+(-1.79367+(-0.792795--0.882045))+0-0-0</f>
        <v>666.69557999999995</v>
      </c>
      <c r="AC322" s="3">
        <f>708.8+(222.9-320.9)+(-0.722976+(-0.227358--0.327318))+0-0-0</f>
        <v>610.17698399999995</v>
      </c>
      <c r="AD322" s="2">
        <v>712.19999999999993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702.8+(184.7-366.4)+(-1.433712+(-0.376788--0.747456))+0-0-0</f>
        <v>520.03695599999992</v>
      </c>
      <c r="G323" s="3">
        <f>629.9+(203.3-353.9)+(-0.321249+(-0.103683--0.180489))+0-0-0</f>
        <v>479.05555700000002</v>
      </c>
      <c r="H323" s="3">
        <f>483.3+(229-270.1)+(0+(0-0))+0-0-0</f>
        <v>442.2</v>
      </c>
      <c r="I323" s="3">
        <f>482.3+(220.3-269.4)+(0+(0-0))+0-0-0</f>
        <v>433.20000000000005</v>
      </c>
      <c r="J323" s="3">
        <f>487.6+(214.1-261.2)+(0.746028+(0.327573-0.399636))+0-0-0</f>
        <v>441.17396500000001</v>
      </c>
      <c r="K323" s="3">
        <f>477.8+(230.9-263.3)+(-0.731034+(-0.353277--0.402849))+0-0-0</f>
        <v>444.71853799999997</v>
      </c>
      <c r="L323" s="3">
        <f>479+(247.5-262.9)+(0+(0-0))+0-0-0</f>
        <v>463.6</v>
      </c>
      <c r="M323" s="3">
        <f>505.1+(271.4-298)+(0+(0-0))+0-0-0</f>
        <v>478.5</v>
      </c>
      <c r="N323" s="3">
        <f>592+(292-374.5)+(0+(0-0))+0-0-0</f>
        <v>509.5</v>
      </c>
      <c r="O323" s="3">
        <f>689.6+(295.6-399.5)+(0+(0-0))+0-0-0</f>
        <v>585.70000000000005</v>
      </c>
      <c r="P323" s="3">
        <f>690.6+(297.6-401.5)+(-1.056618+(-0.455328--0.614295))+0-0-0</f>
        <v>585.80234900000005</v>
      </c>
      <c r="Q323" s="3">
        <f>693.3+(299.5-407.5)+(-0.707166+(-0.30549--0.41565))+0-0-0</f>
        <v>584.70299399999999</v>
      </c>
      <c r="R323" s="3">
        <f>679.5+(284.4-403.3)+(-1.039635+(-0.435132--0.617049))+0-0-0</f>
        <v>559.74228199999993</v>
      </c>
      <c r="S323" s="3">
        <f>678.6+(270.2-383)+(-1.038258+(-0.413406--0.58599))+0-0-0</f>
        <v>564.93432599999994</v>
      </c>
      <c r="T323" s="3">
        <f>680.7+(237.2-365.9)+(-0.347157+(-0.120972--0.186609))+0-0-0</f>
        <v>551.71848</v>
      </c>
      <c r="U323" s="3">
        <f>681.6+(265.6-387.2)+(-0.695232+(-0.270912--0.394944))+0-0-0</f>
        <v>559.42880000000002</v>
      </c>
      <c r="V323" s="3">
        <f>688.5+(262.6-383.4)+(-1.053405+(-0.401778--0.586602))+0-0-0</f>
        <v>566.8314190000001</v>
      </c>
      <c r="W323" s="3">
        <f>704.4+(240.8-343.3)+(0+(0-0))+0-0-0</f>
        <v>601.9</v>
      </c>
      <c r="X323" s="3">
        <f>719.1+(308.6-317.7)+(0+(0-0))+0-0-0</f>
        <v>710</v>
      </c>
      <c r="Y323" s="3">
        <f>715+(331.2-318.2)+(-2.1879+(-1.013472--0.973692))+0-0-0</f>
        <v>725.77232000000004</v>
      </c>
      <c r="Z323" s="3">
        <f>736.6+(332-356.1)+(0+(0-0))+0-0-0</f>
        <v>712.5</v>
      </c>
      <c r="AA323" s="3">
        <f>696.4+(347.7-365.3)+(-0.355164+(-0.177327--0.186303))+0-0-0</f>
        <v>678.45381199999997</v>
      </c>
      <c r="AB323" s="3">
        <f>681.6+(344.6-390.7)+(-0.695232+(-0.351492--0.398514))+0-0-0</f>
        <v>634.85179000000005</v>
      </c>
      <c r="AC323" s="3">
        <f>646.4+(306.8-369.1)+(-0.988992+(-0.469404--0.564723))+0-0-0</f>
        <v>583.20632699999987</v>
      </c>
      <c r="AD323" s="2">
        <v>724.10000000000014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609.6+(260.2-341.2)+(-1.55448+(-0.66351--0.87006))+0-0-0</f>
        <v>527.25207</v>
      </c>
      <c r="G324" s="3">
        <f>586.6+(193.5-296.3)+(-1.196664+(-0.39474--0.604452))+0-0-0</f>
        <v>482.81304800000004</v>
      </c>
      <c r="H324" s="3">
        <f>485.6+(210.5-225.3)+(-0.247656+(-0.107355--0.114903))+0-0-0</f>
        <v>470.55989199999999</v>
      </c>
      <c r="I324" s="3">
        <f>429.5+(221.9-205.4)+(0+(0-0))+0-0-0</f>
        <v>446</v>
      </c>
      <c r="J324" s="3">
        <f>425.7+(217.1-203.5)+(0+(0-0))+0-0-0</f>
        <v>439.29999999999995</v>
      </c>
      <c r="K324" s="3">
        <f>475.8+(184.2-238.7)+(0.727974+(0.281826-0.365211))+0-0-0</f>
        <v>421.94458900000001</v>
      </c>
      <c r="L324" s="3">
        <f>583.8+(174.1-315.8)+(0+(0-0))+0-0-0</f>
        <v>442.09999999999991</v>
      </c>
      <c r="M324" s="3">
        <f>584.5+(196.7-317.8)+(1.19238+(0.401268-0.648312))+0-0-0</f>
        <v>464.34533599999997</v>
      </c>
      <c r="N324" s="3">
        <f>589.8+(236-302.8)+(0+(0-0))+0-0-0</f>
        <v>523</v>
      </c>
      <c r="O324" s="3">
        <f>631.9+(251.2-327.4)+(0+(0-0))+0-0-0</f>
        <v>555.70000000000005</v>
      </c>
      <c r="P324" s="3">
        <f>634.1+(262.9-324.7)+(-0.646782+(-0.268158--0.331194))+0-0-0</f>
        <v>571.71625399999994</v>
      </c>
      <c r="Q324" s="3">
        <f>635.6+(279-339.6)+(-0.648312+(-0.28458--0.346392))+0-0-0</f>
        <v>574.4135</v>
      </c>
      <c r="R324" s="3">
        <f>635+(286.8-351.6)+(-1.9431+(-0.877608--1.075896))+0-0-0</f>
        <v>568.45518800000002</v>
      </c>
      <c r="S324" s="3">
        <f>601.3+(309.2-336.9)+(-0.919989+(-0.473076--0.515457))+0-0-0</f>
        <v>572.7223919999999</v>
      </c>
      <c r="T324" s="3">
        <f>588.4+(282-311.4)+(-1.50042+(-0.7191--0.79407))+0-0-0</f>
        <v>557.57455000000004</v>
      </c>
      <c r="U324" s="3">
        <f>596.3+(292.1-330.8)+(-0.304113+(-0.148971--0.168708))+0-0-0</f>
        <v>557.31562399999996</v>
      </c>
      <c r="V324" s="3">
        <f>590.8+(293.6-305.9)+(-0.301308+(-0.149736--0.156009))+0-0-0</f>
        <v>578.20496500000002</v>
      </c>
      <c r="W324" s="3">
        <f>601.8+(289.6-252.6)+(-0.920754+(-0.443088--0.386478))+0-0-0</f>
        <v>637.82263599999999</v>
      </c>
      <c r="X324" s="3">
        <f>649.7+(322.3-252.2)+(-1.325388+(-0.657492--0.514488))+0-0-0</f>
        <v>718.33160800000007</v>
      </c>
      <c r="Y324" s="3">
        <f>626.2+(351.8-263.1)+(-0.958086+(-0.538254--0.402543))+0-0-0</f>
        <v>713.8062030000001</v>
      </c>
      <c r="Z324" s="3">
        <f>569.8+(362.7-234.6)+(-0.581196+(-0.369954--0.239292))+0-0-0</f>
        <v>697.18814199999997</v>
      </c>
      <c r="AA324" s="3">
        <f>504.7+(336.9-189)+(-0.514794+(-0.343638--0.19278))+0-0-0</f>
        <v>651.93434799999989</v>
      </c>
      <c r="AB324" s="3">
        <f>458.8+(343.2-185.6)+(-0.701964+(-0.525096--0.283968))+0-0-0</f>
        <v>615.456908</v>
      </c>
      <c r="AC324" s="3">
        <f>459.8+(289.9-187.8)+(-0.937992+(-0.591396--0.383112))+0-0-0</f>
        <v>560.75372400000003</v>
      </c>
      <c r="AD324" s="2">
        <v>730.30000000000007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458.5+(229.2-200.7)+(-0.701505+(-0.350676--0.307071))+0-0-0</f>
        <v>486.25488999999999</v>
      </c>
      <c r="G325" s="3">
        <f>451.3+(186.6-195.8)+(-1.150815+(-0.47583--0.49929))+0-0-0</f>
        <v>440.972645</v>
      </c>
      <c r="H325" s="3">
        <f>455.3+(159.5-198.9)+(-0.696609+(-0.244035--0.304317))+0-0-0</f>
        <v>415.26367299999998</v>
      </c>
      <c r="I325" s="3">
        <f>455.1+(151.8-189.3)+(-0.696303+(-0.232254--0.289629))+0-0-0</f>
        <v>416.961072</v>
      </c>
      <c r="J325" s="3">
        <f>458.9+(142-184.1)+(-0.234039+(-0.07242--0.093891))+0-0-0</f>
        <v>416.58743199999998</v>
      </c>
      <c r="K325" s="3">
        <f>461.8+(141.1-174.3)+(0.471036+(0.143922-0.177786))+0-0-0</f>
        <v>429.037172</v>
      </c>
      <c r="L325" s="3">
        <f>459.8+(164-183.6)+(-0.703494+(-0.25092--0.280908))+0-0-0</f>
        <v>439.52649400000007</v>
      </c>
      <c r="M325" s="3">
        <f>467.7+(171.6-191.6)+(-0.238527+(-0.087516--0.097716))+0-0-0</f>
        <v>447.47167300000001</v>
      </c>
      <c r="N325" s="3">
        <f>512.1+(202.5-219.8)+(0+(0-0))+0-0-0</f>
        <v>494.8</v>
      </c>
      <c r="O325" s="3">
        <f>509.7+(235.7-205.4)+(0.519894+(0.240414-0.209508))+0-0-0</f>
        <v>540.55079999999998</v>
      </c>
      <c r="P325" s="3">
        <f>517.2+(277.2-215.2)+(0.263772+(0.141372-0.109752))+0-0-0</f>
        <v>579.49539200000004</v>
      </c>
      <c r="Q325" s="3">
        <f>511.7+(305.8-213.2)+(-0.521934+(-0.311916--0.217464))+0-0-0</f>
        <v>603.68361399999992</v>
      </c>
      <c r="R325" s="3">
        <f>508.8+(301.1-212.6)+(-1.556928+(-0.921366--0.650556))+0-0-0</f>
        <v>595.47226200000011</v>
      </c>
      <c r="S325" s="3">
        <f>511.7+(283.5-232)+(-1.043868+(-0.57834--0.47328))+0-0-0</f>
        <v>562.05107200000009</v>
      </c>
      <c r="T325" s="3">
        <f>513.5+(274.6-244.6)+(0+(0-0))+0-0-0</f>
        <v>543.5</v>
      </c>
      <c r="U325" s="3">
        <f>505.5+(270.3-227.4)+(-0.773415+(-0.413559--0.347922))+0-0-0</f>
        <v>547.56094799999994</v>
      </c>
      <c r="V325" s="3">
        <f>506+(285.8-245.9)+(-0.51612+(-0.291516--0.250818))+0-0-0</f>
        <v>545.34318199999996</v>
      </c>
      <c r="W325" s="3">
        <f>511.1+(291.6-210.2)+(0.781983+(0.446148-0.321606))+0-0-0</f>
        <v>593.40652499999999</v>
      </c>
      <c r="X325" s="3">
        <f>509.8+(350.4-172.6)+(-0.519996+(-0.357408--0.176052))+0-0-0</f>
        <v>686.89864799999998</v>
      </c>
      <c r="Y325" s="3">
        <f>505.5+(360.1-178.2)+(-0.51561+(-0.367302--0.181764))+0-0-0</f>
        <v>686.6988520000001</v>
      </c>
      <c r="Z325" s="3">
        <f>511+(347.3-176.4)+(-0.78183+(-0.531369--0.269892))+0-0-0</f>
        <v>680.85669299999995</v>
      </c>
      <c r="AA325" s="3">
        <f>511.1+(341.5-193.6)+(-0.781983+(-0.522495--0.296208))+0-0-0</f>
        <v>657.99172999999996</v>
      </c>
      <c r="AB325" s="3">
        <f>476.2+(373.2-230.4)+(0.242862+(0.190332-0.117504))+0-0-0</f>
        <v>619.31569000000002</v>
      </c>
      <c r="AC325" s="3">
        <f>460.5+(370.8-254.8)+(-0.46971+(-0.378216--0.259896))+0-0-0</f>
        <v>575.91197</v>
      </c>
      <c r="AD325" s="2">
        <v>684.90000000000009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459.4+(332.1-244.1)+(-0.234294+(-0.169371--0.124491))+0-0-0</f>
        <v>547.12082599999997</v>
      </c>
      <c r="G326" s="3">
        <f>441.6+(282.7-226.7)+(-0.225216+(-0.144177--0.115617))+0-0-0</f>
        <v>497.34622400000001</v>
      </c>
      <c r="H326" s="3">
        <f>374.2+(278.3-189)+(-0.190842+(-0.141933--0.09639))+0-0-0</f>
        <v>463.26361500000002</v>
      </c>
      <c r="I326" s="3">
        <f>373.1+(251.9-175.5)+(0.190281+(0.128469-0.089505))+0-0-0</f>
        <v>449.72924499999999</v>
      </c>
      <c r="J326" s="3">
        <f>370.1+(215.2-149.4)+(-0.566253+(-0.329256--0.228582))+0-0-0</f>
        <v>435.23307299999999</v>
      </c>
      <c r="K326" s="3">
        <f>373.3+(204.5-149.1)+(0+(0-0))+0-0-0</f>
        <v>428.70000000000005</v>
      </c>
      <c r="L326" s="3">
        <f>366.1+(225.9-163.2)+(-1.120266+(-0.691254--0.499392))+0-0-0</f>
        <v>427.4878720000001</v>
      </c>
      <c r="M326" s="3">
        <f>400+(193.4-179.6)+(-0.408+(-0.197268--0.183192))+0-0-0</f>
        <v>413.37792400000001</v>
      </c>
      <c r="N326" s="3">
        <f>455.9+(183.2-199.8)+(0.465018+(0.186864-0.203796))+0-0-0</f>
        <v>439.74808599999994</v>
      </c>
      <c r="O326" s="3">
        <f>498.1+(196.8-217.6)+(1.270155+(0.50184-0.55488))+0-0-0</f>
        <v>478.51711500000005</v>
      </c>
      <c r="P326" s="3">
        <f>513.6+(226.3-214.5)+(0.523872+(0.230826-0.21879))+0-0-0</f>
        <v>525.93590800000004</v>
      </c>
      <c r="Q326" s="3">
        <f>476.7+(256.6-175.9)+(-0.972468+(-0.523464--0.358836))+0-0-0</f>
        <v>556.26290399999993</v>
      </c>
      <c r="R326" s="3">
        <f>443.8+(282.6-176.8)+(0+(0-0))+0-0-0</f>
        <v>549.6</v>
      </c>
      <c r="S326" s="3">
        <f>503.1+(244.8-225.2)+(-0.513162+(-0.249696--0.229704))+0-0-0</f>
        <v>522.16684600000008</v>
      </c>
      <c r="T326" s="3">
        <f>508+(230.2-232.5)+(0.77724+(0.352206-0.355725))+0-0-0</f>
        <v>506.47372100000001</v>
      </c>
      <c r="U326" s="3">
        <f>503.1+(219.2-225)+(-0.513162+(-0.223584--0.2295))+0-0-0</f>
        <v>496.792754</v>
      </c>
      <c r="V326" s="3">
        <f>508.3+(214.3-213.9)+(0.259233+(0.109293-0.109089))+0-0-0</f>
        <v>508.95943700000004</v>
      </c>
      <c r="W326" s="3">
        <f>510.1+(238.8-180.9)+(-0.520302+(-0.243576--0.184518))+0-0-0</f>
        <v>567.42064000000005</v>
      </c>
      <c r="X326" s="3">
        <f>529.4+(271.8-147.3)+(0.539988+(0.277236-0.150246))+0-0-0</f>
        <v>654.56697799999995</v>
      </c>
      <c r="Y326" s="3">
        <f>523.5+(282.5-155.7)+(-0.800955+(-0.432225--0.238221))+0-0-0</f>
        <v>649.30504099999996</v>
      </c>
      <c r="Z326" s="3">
        <f>522.5+(281.1-160.5)+(-0.799425+(-0.430083--0.245565))+0-0-0</f>
        <v>642.11605700000007</v>
      </c>
      <c r="AA326" s="3">
        <f>523.1+(288.6-179.4)+(-1.333905+(-0.73593--0.45747))+0-0-0</f>
        <v>630.68763500000011</v>
      </c>
      <c r="AB326" s="3">
        <f>526.2+(279.4-200.1)+(-0.268362+(-0.142494--0.102051))+0-0-0</f>
        <v>605.19119499999999</v>
      </c>
      <c r="AC326" s="3">
        <f>520.7+(261.1-212.4)+(-1.327785+(-0.665805--0.54162))+0-0-0</f>
        <v>567.94803000000013</v>
      </c>
      <c r="AD326" s="2">
        <v>624.29999999999995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520.8+(212.5-253.3)+(-0.796824+(-0.325125--0.387549))+0-0-0</f>
        <v>479.26559999999995</v>
      </c>
      <c r="G327" s="3">
        <f>518.8+(182.7-260)+(-1.32294+(-0.465885--0.663))+0-0-0</f>
        <v>440.37417499999992</v>
      </c>
      <c r="H327" s="3">
        <f>522.2+(170.4-250.8)+(-0.266322+(-0.086904--0.127908))+0-0-0</f>
        <v>441.57468200000005</v>
      </c>
      <c r="I327" s="3">
        <f>514.6+(149.9-245.9)+(-0.262446+(-0.076449--0.125409))+0-0-0</f>
        <v>418.38651400000003</v>
      </c>
      <c r="J327" s="3">
        <f>426.2+(169.4-206.2)+(-0.434724+(-0.172788--0.210324))+0-0-0</f>
        <v>389.00281199999995</v>
      </c>
      <c r="K327" s="3">
        <f>432.9+(159.7-199.1)+(0.883116+(0.325788-0.406164))+0-0-0</f>
        <v>394.30273999999997</v>
      </c>
      <c r="L327" s="3">
        <f>448.9+(194.6-234.4)+(-0.228939+(-0.099246--0.119544))+0-0-0</f>
        <v>408.89135899999997</v>
      </c>
      <c r="M327" s="3">
        <f>521.1+(198.3-273.4)+(0.265761+(0.101133-0.139434))+0-0-0</f>
        <v>446.22746000000006</v>
      </c>
      <c r="N327" s="3">
        <f>521.7+(250.8-275.4)+(-0.532134+(-0.255816--0.280908))+0-0-0</f>
        <v>496.59295800000007</v>
      </c>
      <c r="O327" s="3">
        <f>525.3+(295.3-260.3)+(0.535806+(0.301206-0.265506))+0-0-0</f>
        <v>560.87150599999995</v>
      </c>
      <c r="P327" s="3">
        <f>518.6+(316.7-231.6)+(-1.32243+(-0.807585--0.59058))+0-0-0</f>
        <v>602.16056500000002</v>
      </c>
      <c r="Q327" s="3">
        <f>524+(269.1-183.9)+(0.26724+(0.137241-0.093789))+0-0-0</f>
        <v>609.51069200000006</v>
      </c>
      <c r="R327" s="3">
        <f>521.1+(293.7-218.4)+(-0.265761+(-0.149787--0.111384))+0-0-0</f>
        <v>596.09583599999996</v>
      </c>
      <c r="S327" s="3">
        <f>520.7+(258.8-205.4)+(0.265557+(0.131988-0.104754))+0-0-0</f>
        <v>574.39279099999999</v>
      </c>
      <c r="T327" s="3">
        <f>520.5+(257-210.8)+(0+(0-0))+0-0-0</f>
        <v>566.70000000000005</v>
      </c>
      <c r="U327" s="3">
        <f>620.2+(231.4-273.3)+(0+(0-0))+0-0-0</f>
        <v>578.30000000000007</v>
      </c>
      <c r="V327" s="3">
        <f>639+(252.6-302.3)+(-0.32589+(-0.128826--0.154173))+0-0-0</f>
        <v>588.99945700000001</v>
      </c>
      <c r="W327" s="3">
        <f>522.3+(298.7-200.8)+(0.799119+(0.457011-0.307224))+0-0-0</f>
        <v>621.1489059999999</v>
      </c>
      <c r="X327" s="3">
        <f>525.8+(343.4-171.7)+(-0.804474+(-0.525402--0.262701))+0-0-0</f>
        <v>696.43282499999998</v>
      </c>
      <c r="Y327" s="3">
        <f>534.4+(331.1-176.9)+(-1.090176+(-0.675444--0.360876))+0-0-0</f>
        <v>687.19525599999997</v>
      </c>
      <c r="Z327" s="3">
        <f>531.1+(310-172.4)+(-0.541722+(-0.3162--0.175848))+0-0-0</f>
        <v>668.01792599999999</v>
      </c>
      <c r="AA327" s="3">
        <f>526.8+(305.6-197.8)+(-0.537336+(-0.311712--0.201756))+0-0-0</f>
        <v>633.95270799999992</v>
      </c>
      <c r="AB327" s="3">
        <f>527.6+(324.7-234.8)+(-0.269076+(-0.165597--0.119748))+0-0-0</f>
        <v>617.18507499999998</v>
      </c>
      <c r="AC327" s="3">
        <f>510.9+(316.3-247.9)+(-1.302795+(-0.806565--0.632145))+0-0-0</f>
        <v>577.82278499999995</v>
      </c>
      <c r="AD327" s="2">
        <v>695.89999999999986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418.6+(245.5-119.3)+(-0.853944+(-0.50082--0.243372))+0-0-0</f>
        <v>543.68860800000004</v>
      </c>
      <c r="G328" s="3">
        <f>367.2+(217.6-116.8)+(0.374544+(0.221952-0.119136))+0-0-0</f>
        <v>468.47735999999998</v>
      </c>
      <c r="H328" s="3">
        <f>254.1+(247.2-58.6)+(-0.129591+(-0.126072--0.029886))+0-0-0</f>
        <v>442.47422299999999</v>
      </c>
      <c r="I328" s="3">
        <f>277.8+(222-60.9)+(0.141678+(0.11322-0.031059))+0-0-0</f>
        <v>439.12383899999998</v>
      </c>
      <c r="J328" s="3">
        <f>278+(221-59.3)+(-0.14178+(-0.11271--0.030243))+0-0-0</f>
        <v>439.475753</v>
      </c>
      <c r="K328" s="3">
        <f>278.3+(223.4-66.2)+(0.425799+(0.341802-0.101286))+0-0-0</f>
        <v>436.166315</v>
      </c>
      <c r="L328" s="3">
        <f>278.5+(220.4-66.5)+(0+(0-0))+0-0-0</f>
        <v>432.4</v>
      </c>
      <c r="M328" s="3">
        <f>278+(210.8-59.9)+(0.14178+(0.107508-0.030549))+0-0-0</f>
        <v>429.11873900000001</v>
      </c>
      <c r="N328" s="3">
        <f>329.1+(212.1-70.9)+(0.167841+(0.108171-0.036159))+0-0-0</f>
        <v>470.53985299999999</v>
      </c>
      <c r="O328" s="3">
        <f>331.6+(249.7-58.9)+(0+(0-0))+0-0-0</f>
        <v>522.4</v>
      </c>
      <c r="P328" s="3">
        <f>306.3+(289.2-58.4)+(-0.156213+(-0.147492--0.029784))+0-0-0</f>
        <v>536.82607900000005</v>
      </c>
      <c r="Q328" s="3">
        <f>305.5+(315.1-60.2)+(-0.155805+(-0.160701--0.030702))+0-0-0</f>
        <v>560.11419600000011</v>
      </c>
      <c r="R328" s="3">
        <f>305.7+(308.5-86.4)+(-0.155907+(-0.157335--0.044064))+0-0-0</f>
        <v>527.53082199999994</v>
      </c>
      <c r="S328" s="3">
        <f>275.9+(302.9-90.6)+(0.140709+(0.154479-0.046206))+0-0-0</f>
        <v>488.44898199999994</v>
      </c>
      <c r="T328" s="3">
        <f>231.9+(328.7-76.7)+(0.118269+(0.167637-0.039117))+0-0-0</f>
        <v>484.14678899999996</v>
      </c>
      <c r="U328" s="3">
        <f>266.5+(306.8-90.9)+(-0.54366+(-0.625872--0.185436))+0-0-0</f>
        <v>481.41590399999995</v>
      </c>
      <c r="V328" s="3">
        <f>271.6+(311.7-91.2)+(0.415548+(0.476901-0.139536))+0-0-0</f>
        <v>492.852913</v>
      </c>
      <c r="W328" s="3">
        <f>279.2+(357.3-93.6)+(0.142392+(0.182223-0.047736))+0-0-0</f>
        <v>543.1768790000001</v>
      </c>
      <c r="X328" s="3">
        <f>337.3+(411.6-110.9)+(0+(0-0))+0-0-0</f>
        <v>638</v>
      </c>
      <c r="Y328" s="3">
        <f>334.7+(416.3-116.9)+(-0.512091+(-0.636939--0.178857))+0-0-0</f>
        <v>633.12982699999986</v>
      </c>
      <c r="Z328" s="3">
        <f>333.4+(404.7-108.9)+(-0.680136+(-0.825588--0.222156))+0-0-0</f>
        <v>627.91643199999999</v>
      </c>
      <c r="AA328" s="3">
        <f>331.3+(388.3-109.7)+(-0.844815+(-0.990165--0.279735))+0-0-0</f>
        <v>608.34475500000008</v>
      </c>
      <c r="AB328" s="3">
        <f>299+(416.8-125.7)+(-0.15249+(-0.212568--0.064107))+0-0-0</f>
        <v>589.79904899999997</v>
      </c>
      <c r="AC328" s="3">
        <f>195.3+(451.6-109.8)+(-0.298809+(-0.690948--0.167994))+0-0-0</f>
        <v>536.27823699999999</v>
      </c>
      <c r="AD328" s="2">
        <v>647.6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212.5+(377.6-108.2)+(0+(0-0))+0-0-0</f>
        <v>481.90000000000003</v>
      </c>
      <c r="G329" s="3">
        <f>213.4+(340.2-106.5)+(-0.108834+(-0.173502--0.054315))+0-0-0</f>
        <v>446.87197900000001</v>
      </c>
      <c r="H329" s="3">
        <f>213.9+(289.4-77.3)+(0+(0-0))+0-0-0</f>
        <v>426</v>
      </c>
      <c r="I329" s="3">
        <f>208.5+(275.4-67.4)+(-0.106335+(-0.140454--0.034374))+0-0-0</f>
        <v>416.28758499999998</v>
      </c>
      <c r="J329" s="3">
        <f>200.2+(273.9-63.2)+(0+(0-0))+0-0-0</f>
        <v>410.9</v>
      </c>
      <c r="K329" s="3">
        <f>200.1+(275.6-64)+(0.204102+(0.281112-0.06528))+0-0-0</f>
        <v>412.11993400000006</v>
      </c>
      <c r="L329" s="3">
        <f>198.4+(319.4-86.6)+(-0.202368+(-0.325788--0.088332))+0-0-0</f>
        <v>430.760176</v>
      </c>
      <c r="M329" s="3">
        <f>199.2+(353.7-83.9)+(-0.101592+(-0.180387--0.042789))+0-0-0</f>
        <v>468.76080999999994</v>
      </c>
      <c r="N329" s="3">
        <f>209.2+(360.5-58.8)+(-0.213384+(-0.36771--0.059976))+0-0-0</f>
        <v>510.37888199999998</v>
      </c>
      <c r="O329" s="3">
        <f>307.4+(338.6-94.7)+(-0.78387+(-0.86343--0.241485))+0-0-0</f>
        <v>549.89418499999999</v>
      </c>
      <c r="P329" s="3">
        <f>349.9+(329.2-95)+(-0.535347+(-0.503676--0.14535))+0-0-0</f>
        <v>583.20632699999987</v>
      </c>
      <c r="Q329" s="3">
        <f>348.9+(341.2-92.2)+(-0.889695+(-0.87006--0.23511))+0-0-0</f>
        <v>596.37535500000001</v>
      </c>
      <c r="R329" s="3">
        <f>343+(338.4-96)+(-0.34986+(-0.345168--0.09792))+0-0-0</f>
        <v>584.80289199999993</v>
      </c>
      <c r="S329" s="3">
        <f>330.8+(322.2-100.9)+(-0.84354+(-0.82161--0.257295))+0-0-0</f>
        <v>550.69214499999998</v>
      </c>
      <c r="T329" s="3">
        <f>354.6+(306.6-121.5)+(-0.180846+(-0.156366--0.061965))+0-0-0</f>
        <v>539.42475300000001</v>
      </c>
      <c r="U329" s="3">
        <f>351.2+(307.5-124.5)+(0.179112+(0.156825-0.063495))+0-0-0</f>
        <v>534.472442</v>
      </c>
      <c r="V329" s="3">
        <f>344.8+(311.2-119.7)+(-0.351696+(-0.317424--0.122094))+0-0-0</f>
        <v>535.75297399999999</v>
      </c>
      <c r="W329" s="3">
        <f>346.5+(330.2-109.5)+(-0.176715+(-0.168402--0.055845))+0-0-0</f>
        <v>566.91072800000006</v>
      </c>
      <c r="X329" s="3">
        <f>350.3+(420.6-118.6)+(0+(0-0))+0-0-0</f>
        <v>652.29999999999995</v>
      </c>
      <c r="Y329" s="3">
        <f>320.1+(467-116.3)+(-0.163251+(-0.23817--0.059313))+0-0-0</f>
        <v>670.4578919999999</v>
      </c>
      <c r="Z329" s="3">
        <f>330.2+(460-118.3)+(0+(0-0))+0-0-0</f>
        <v>671.9</v>
      </c>
      <c r="AA329" s="3">
        <f>348.4+(419.3-123.2)+(-0.533052+(-0.641529--0.188496))+0-0-0</f>
        <v>643.513915</v>
      </c>
      <c r="AB329" s="3">
        <f>348.2+(413.5-159.1)+(-0.710328+(-0.84354--0.324564))+0-0-0</f>
        <v>601.37069600000007</v>
      </c>
      <c r="AC329" s="3">
        <f>353.4+(400.7-195.3)+(-0.90117+(-1.021785--0.498015))+0-0-0</f>
        <v>557.37505999999996</v>
      </c>
      <c r="AD329" s="2">
        <v>662.5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361.5+(273.5-185)+(-0.184365+(-0.139485--0.09435))+0-0-0</f>
        <v>449.77050000000003</v>
      </c>
      <c r="G330" s="3">
        <f>359.5+(266.9-165.8)+(-0.36669+(-0.272238--0.169116))+0-0-0</f>
        <v>460.13018799999998</v>
      </c>
      <c r="H330" s="3">
        <f>362.6+(237.6-155.3)+(0.184926+(0.121176-0.079203))+0-0-0</f>
        <v>445.12689899999998</v>
      </c>
      <c r="I330" s="3">
        <f>360.6+(214.4-138.7)+(-0.367812+(-0.218688--0.141474))+0-0-0</f>
        <v>435.85497400000008</v>
      </c>
      <c r="J330" s="3">
        <f>358.6+(200.8-129)+(-0.365772+(-0.204816--0.13158))+0-0-0</f>
        <v>429.96099200000003</v>
      </c>
      <c r="K330" s="3">
        <f>358.3+(203.2-124.1)+(-0.548199+(-0.310896--0.189873))+0-0-0</f>
        <v>436.73077799999999</v>
      </c>
      <c r="L330" s="3">
        <f>343.1+(229.3-117.3)+(-0.524943+(-0.350829--0.179469))+0-0-0</f>
        <v>454.40369700000002</v>
      </c>
      <c r="M330" s="3">
        <f>313+(276.9-119.2)+(-0.47889+(-0.423657--0.182376))+0-0-0</f>
        <v>469.979829</v>
      </c>
      <c r="N330" s="3">
        <f>365.1+(279.2-129.7)+(0+(0-0))+0-0-0</f>
        <v>514.6</v>
      </c>
      <c r="O330" s="3">
        <f>368.1+(290.7-114.2)+(-0.375462+(-0.296514--0.116484))+0-0-0</f>
        <v>544.04450800000006</v>
      </c>
      <c r="P330" s="3">
        <f>370.1+(312.5-103.7)+(-0.188751+(-0.159375--0.052887))+0-0-0</f>
        <v>578.60476100000005</v>
      </c>
      <c r="Q330" s="3">
        <f>275.8+(399.7-78.7)+(-0.281316+(-0.407694--0.080274))+0-0-0</f>
        <v>596.19126399999993</v>
      </c>
      <c r="R330" s="3">
        <f>325.3+(351.5-96.8)+(-0.663612+(-0.71706--0.197472))+0-0-0</f>
        <v>578.81679999999994</v>
      </c>
      <c r="S330" s="3">
        <f>332.2+(325.7-111.6)+(0+(0-0))+0-0-0</f>
        <v>546.29999999999995</v>
      </c>
      <c r="T330" s="3">
        <f>331.9+(313.5-114.2)+(0.338538+(0.31977-0.116484))+0-0-0</f>
        <v>531.74182400000007</v>
      </c>
      <c r="U330" s="3">
        <f>330.1+(318.6-106.1)+(-0.168351+(-0.162486--0.054111))+0-0-0</f>
        <v>542.32327399999997</v>
      </c>
      <c r="V330" s="3">
        <f>329.8+(339.2-93)+(-0.336396+(-0.345984--0.09486))+0-0-0</f>
        <v>575.41247999999996</v>
      </c>
      <c r="W330" s="3">
        <f>350.9+(350.9-93.1)+(0.536877+(0.536877-0.142443))+0-0-0</f>
        <v>609.63131099999998</v>
      </c>
      <c r="X330" s="3">
        <f>382.5+(388.9-84.8)+(-0.39015+(-0.396678--0.086496))+0-0-0</f>
        <v>685.89966799999991</v>
      </c>
      <c r="Y330" s="3">
        <f>384.4+(397.2-88.6)+(-0.196044+(-0.202572--0.045186))+0-0-0</f>
        <v>692.64657</v>
      </c>
      <c r="Z330" s="3">
        <f>370.2+(395.9-79.8)+(0+(0-0))+0-0-0</f>
        <v>686.3</v>
      </c>
      <c r="AA330" s="3">
        <f>367.7+(366.6-79.1)+(0+(0-0))+0-0-0</f>
        <v>655.20000000000005</v>
      </c>
      <c r="AB330" s="3">
        <f>363.1+(359.4-107.3)+(-1.296267+(-1.283058--0.383061))+0-0-0</f>
        <v>613.003736</v>
      </c>
      <c r="AC330" s="3">
        <f>360.5+(316.5-129.9)+(-1.286985+(-1.129905--0.463743))+0-0-0</f>
        <v>545.14685300000008</v>
      </c>
      <c r="AD330" s="2">
        <v>690.4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363.1+(283.1-120.7)+(0+(0-0))+0-0-0</f>
        <v>525.5</v>
      </c>
      <c r="G331" s="3">
        <f>362.5+(241.7-145)+(0+(0-0))+0-0-0</f>
        <v>459.2</v>
      </c>
      <c r="H331" s="3">
        <f>298.2+(223.2-87.8)+(0.152082+(0.113832-0.044778))+0-0-0</f>
        <v>433.82113599999997</v>
      </c>
      <c r="I331" s="3">
        <f>274.4+(235.5-79.9)+(0+(0-0))+0-0-0</f>
        <v>430</v>
      </c>
      <c r="J331" s="3">
        <f>275.5+(275.5-114.8)+(0+(0-0))+0-0-0</f>
        <v>436.2</v>
      </c>
      <c r="K331" s="3">
        <f>277+(290.5-121.4)+(0.28254+(0.29631-0.123828))+0-0-0</f>
        <v>446.55502200000001</v>
      </c>
      <c r="L331" s="3">
        <f>304.3+(321.5-191.6)+(0+(0-0))+0-0-0</f>
        <v>434.20000000000005</v>
      </c>
      <c r="M331" s="3">
        <f>391.4+(269.8-199.1)+(-0.399228+(-0.275196--0.203082))+0-0-0</f>
        <v>461.62865800000003</v>
      </c>
      <c r="N331" s="3">
        <f>496.4+(240.7-211.1)+(0.506328+(0.245514-0.215322))+0-0-0</f>
        <v>526.53652</v>
      </c>
      <c r="O331" s="3">
        <f>536.7+(251-185.8)+(-1.368585+(-0.64005--0.47379))+0-0-0</f>
        <v>600.36515500000007</v>
      </c>
      <c r="P331" s="3">
        <f>463.3+(261.7-154.8)+(-0.236283+(-0.133467--0.078948))+0-0-0</f>
        <v>569.90919800000006</v>
      </c>
      <c r="Q331" s="3">
        <f>438.4+(281.2-150.1)+(-0.670752+(-0.430236--0.229653))+0-0-0</f>
        <v>568.62866499999996</v>
      </c>
      <c r="R331" s="3">
        <f>395.7+(311.8-136.4)+(-0.201807+(-0.159018--0.069564))+0-0-0</f>
        <v>570.80873900000006</v>
      </c>
      <c r="S331" s="3">
        <f>356.3+(322.4-122)+(-0.363426+(-0.328848--0.12444))+0-0-0</f>
        <v>556.1321660000001</v>
      </c>
      <c r="T331" s="3">
        <f>382.5+(288-130)+(0.39015+(0.29376-0.1326))+0-0-0</f>
        <v>541.05130999999994</v>
      </c>
      <c r="U331" s="3">
        <f>434.3+(241.4-141.5)+(-0.221493+(-0.123114--0.072165))+0-0-0</f>
        <v>533.92755800000009</v>
      </c>
      <c r="V331" s="3">
        <f>547.7+(204.3-207.4)+(-1.396635+(-0.520965--0.52887))+0-0-0</f>
        <v>543.21127000000001</v>
      </c>
      <c r="W331" s="3">
        <f>600+(190.8-181.7)+(0.918+(0.291924-0.278001))+0-0-0</f>
        <v>610.03192300000001</v>
      </c>
      <c r="X331" s="3">
        <f>630+(223.4-194.3)+(0+(0-0))+0-0-0</f>
        <v>659.1</v>
      </c>
      <c r="Y331" s="3">
        <f>616+(214.7-191.4)+(-1.25664+(-0.437988--0.390456))+0-0-0</f>
        <v>637.99582799999996</v>
      </c>
      <c r="Z331" s="3">
        <f>630+(216.4-225.3)+(-1.2852+(-0.441456--0.459612))+0-0-0</f>
        <v>619.83295599999997</v>
      </c>
      <c r="AA331" s="3">
        <f>630+(224.2-241.4)+(-0.3213+(-0.114342--0.123114))+0-0-0</f>
        <v>612.48747199999991</v>
      </c>
      <c r="AB331" s="3">
        <f>630+(224.5-258.1)+(-1.2852+(-0.45798--0.526524))+0-0-0</f>
        <v>595.18334400000003</v>
      </c>
      <c r="AC331" s="3">
        <f>638.1+(207.4-279.7)+(-1.301724+(-0.423096--0.570588))+0-0-0</f>
        <v>564.64576800000009</v>
      </c>
      <c r="AD331" s="2">
        <v>679.8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601.9+(182.4-265.6)+(-1.227876+(-0.372096--0.541824))+0-0-0</f>
        <v>517.64185199999997</v>
      </c>
      <c r="G332" s="3">
        <f>542.8+(157-224.1)+(-0.276828+(-0.08007--0.114291))+0-0-0</f>
        <v>475.45739299999991</v>
      </c>
      <c r="H332" s="3">
        <f>489.6+(148.9-193.8)+(-0.499392+(-0.151878--0.197676))+0-0-0</f>
        <v>444.24640600000004</v>
      </c>
      <c r="I332" s="3">
        <f>490.2+(146.2-189.8)+(-0.500004+(-0.149124--0.193596))+0-0-0</f>
        <v>446.14446799999996</v>
      </c>
      <c r="J332" s="3">
        <f>494.4+(140.2-197.4)+(0.252144+(0.071502-0.100674))+0-0-0</f>
        <v>437.42297199999996</v>
      </c>
      <c r="K332" s="3">
        <f>538.3+(122.7-228.3)+(-0.274533+(-0.062577--0.116433))+0-0-0</f>
        <v>432.47932299999991</v>
      </c>
      <c r="L332" s="3">
        <f>619.5+(111.3-279.4)+(-1.26378+(-0.227052--0.569976))+0-0-0</f>
        <v>450.47914400000002</v>
      </c>
      <c r="M332" s="3">
        <f>632.7+(113-286.7)+(0.645354+(0.11526-0.292434))+0-0-0</f>
        <v>459.46818000000007</v>
      </c>
      <c r="N332" s="3">
        <f>627.1+(148.4-265.4)+(-0.639642+(-0.151368--0.270708))+0-0-0</f>
        <v>509.57969800000001</v>
      </c>
      <c r="O332" s="3">
        <f>644.9+(172.7-264.7)+(1.644495+(0.440385-0.674985))+0-0-0</f>
        <v>554.30989499999998</v>
      </c>
      <c r="P332" s="3">
        <f>692+(164.2-276.9)+(-1.05876+(-0.251226--0.423657))+0-0-0</f>
        <v>578.41367099999991</v>
      </c>
      <c r="Q332" s="3">
        <f>717.4+(153.5-289.8)+(-0.731748+(-0.15657--0.295596))+0-0-0</f>
        <v>580.50727799999993</v>
      </c>
      <c r="R332" s="3">
        <f>788.8+(119.9-342.8)+(-2.816016+(-0.428043--1.223796))+0-0-0</f>
        <v>563.87973699999998</v>
      </c>
      <c r="S332" s="3">
        <f>830.2+(85.5-367.6)+(-0.423402+(-0.043605--0.187476))+0-0-0</f>
        <v>547.820469</v>
      </c>
      <c r="T332" s="3">
        <f>826.4+(73.3-364.9)+(-0.421464+(-0.037383--0.186099))+0-0-0</f>
        <v>534.52725199999998</v>
      </c>
      <c r="U332" s="3">
        <f>821.9+(73.7-380.8)+(-0.838338+(-0.075174--0.388416))+0-0-0</f>
        <v>514.27490399999999</v>
      </c>
      <c r="V332" s="3">
        <f>831+(76.3-392.7)+(0.84762+(0.077826-0.400554))+0-0-0</f>
        <v>515.12489200000005</v>
      </c>
      <c r="W332" s="3">
        <f>833+(95.7-381)+(0.84966+(0.097614-0.38862))+0-0-0</f>
        <v>548.25865400000009</v>
      </c>
      <c r="X332" s="3">
        <f>837.3+(160.1-328.4)+(-1.281069+(-0.244953--0.502452))+0-0-0</f>
        <v>667.97643000000005</v>
      </c>
      <c r="Y332" s="3">
        <f>848.3+(151.9-317.7)+(0.432633+(0.077469-0.162027))+0-0-0</f>
        <v>682.84807499999999</v>
      </c>
      <c r="Z332" s="3">
        <f>845.2+(136.6-304.1)+(-0.862104+(-0.139332--0.310182))+0-0-0</f>
        <v>677.00874600000009</v>
      </c>
      <c r="AA332" s="3">
        <f>857.7+(114.7-320.5)+(0+(0-0))+0-0-0</f>
        <v>651.90000000000009</v>
      </c>
      <c r="AB332" s="3">
        <f>865.3+(110.4-346)+(-0.882606+(-0.112608--0.35292))+0-0-0</f>
        <v>629.05770599999994</v>
      </c>
      <c r="AC332" s="3">
        <f>904.8+(82.4-408)+(0.461448+(0.042024-0.20808))+0-0-0</f>
        <v>579.49539199999992</v>
      </c>
      <c r="AD332" s="2">
        <v>691.6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912+(61.2-449)+(0.46512+(0.031212-0.22899))+0-0-0</f>
        <v>524.46734200000003</v>
      </c>
      <c r="G333" s="3">
        <f>911.9+(35.7-462)+(0.465069+(0.018207-0.23562))+0-0-0</f>
        <v>485.84765599999997</v>
      </c>
      <c r="H333" s="3">
        <f>855.8+(34.4-428.5)+(0+(0-0))+0-0-0</f>
        <v>461.69999999999993</v>
      </c>
      <c r="I333" s="3">
        <f>763.5+(44.5-375.3)+(-0.389385+(-0.022695--0.191403))+0-0-0</f>
        <v>432.47932299999997</v>
      </c>
      <c r="J333" s="3">
        <f>700+(64-328.6)+(-0.714+(-0.06528--0.335172))+0-0-0</f>
        <v>434.95589199999995</v>
      </c>
      <c r="K333" s="3">
        <f>645.1+(81.8-295.3)+(0.987003+(0.125154-0.451809))+0-0-0</f>
        <v>432.26034800000002</v>
      </c>
      <c r="L333" s="3">
        <f>662.6+(73.6-321.7)+(-0.337926+(-0.037536--0.164067))+0-0-0</f>
        <v>414.28860500000002</v>
      </c>
      <c r="M333" s="3">
        <f>713.6+(50.2-377)+(0.727872+(0.051204-0.38454))+0-0-0</f>
        <v>387.19453600000003</v>
      </c>
      <c r="N333" s="3">
        <f>705.2+(84-372)+(-0.359652+(-0.04284--0.18972))+0-0-0</f>
        <v>416.98722800000007</v>
      </c>
      <c r="O333" s="3">
        <f>731+(103.1-383.8)+(-0.37281+(-0.052581--0.195738))+0-0-0</f>
        <v>450.07034699999997</v>
      </c>
      <c r="P333" s="3">
        <f>821.2+(83.7-404.9)+(-1.675248+(-0.170748--0.825996))+0-0-0</f>
        <v>498.98000000000008</v>
      </c>
      <c r="Q333" s="3">
        <f>823+(86-393)+(-1.25919+(-0.13158--0.60129))+0-0-0</f>
        <v>515.21051999999997</v>
      </c>
      <c r="R333" s="3">
        <f>815.6+(86.9-382.6)+(-2.911692+(-0.310233--1.365882))+0-0-0</f>
        <v>518.04395699999998</v>
      </c>
      <c r="S333" s="3">
        <f>825.8+(64.4-392)+(-0.842316+(-0.065688--0.39984))+0-0-0</f>
        <v>497.69183599999991</v>
      </c>
      <c r="T333" s="3">
        <f>824.6+(51.9-392)+(-0.420546+(-0.026469--0.19992))+0-0-0</f>
        <v>484.252905</v>
      </c>
      <c r="U333" s="3">
        <f>842.8+(44.2-402.3)+(0.429828+(0.022542-0.205173))+0-0-0</f>
        <v>484.94719699999996</v>
      </c>
      <c r="V333" s="3">
        <f>880.2+(41-432.5)+(0+(0-0))+0-0-0</f>
        <v>488.70000000000005</v>
      </c>
      <c r="W333" s="3">
        <f>879.5+(62.5-426.3)+(0+(0-0))+0-0-0</f>
        <v>515.70000000000005</v>
      </c>
      <c r="X333" s="3">
        <f>934.7+(109.5-423.2)+(-0.476697+(-0.055845--0.215832))+0-0-0</f>
        <v>620.68329000000006</v>
      </c>
      <c r="Y333" s="3">
        <f>970.8+(105.8-444)+(-1.980432+(-0.215832--0.90576))+0-0-0</f>
        <v>631.30949599999985</v>
      </c>
      <c r="Z333" s="3">
        <f>972.9+(93.3-450.3)+(-0.496179+(-0.047583--0.229653))+0-0-0</f>
        <v>615.58589099999995</v>
      </c>
      <c r="AA333" s="3">
        <f>964.9+(89.5-454.2)+(-1.968396+(-0.18258--0.926568))+0-0-0</f>
        <v>598.97559200000001</v>
      </c>
      <c r="AB333" s="3">
        <f>973.2+(87-484.3)+(-2.48166+(-0.22185--1.234965))+0-0-0</f>
        <v>574.43145500000014</v>
      </c>
      <c r="AC333" s="3">
        <f>974.4+(44.7-482.9)+(-3.478608+(-0.159579--1.723953))+0-0-0</f>
        <v>534.28576600000008</v>
      </c>
      <c r="AD333" s="2">
        <v>630.89999999999986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974.1+(18.7-524.6)+(-2.483955+(-0.047685--1.33773))+0-0-0</f>
        <v>467.00608999999997</v>
      </c>
      <c r="G334" s="3">
        <f>925.9+(24.2-521.8)+(-2.361045+(-0.06171--1.33059))+0-0-0</f>
        <v>427.20783499999999</v>
      </c>
      <c r="H334" s="3">
        <f>694.8+(73.2-359.2)+(-1.417392+(-0.149328--0.732768))+0-0-0</f>
        <v>407.96604799999994</v>
      </c>
      <c r="I334" s="3">
        <f>700.8+(55.9-353.1)+(0.357408+(0.028509-0.180081))+0-0-0</f>
        <v>403.80583599999989</v>
      </c>
      <c r="J334" s="3">
        <f>695.8+(55.4-342.5)+(-0.354858+(-0.028254--0.174675))+0-0-0</f>
        <v>408.49156299999993</v>
      </c>
      <c r="K334" s="3">
        <f>759.2+(47-391.7)+(-0.774384+(-0.04794--0.399534))+0-0-0</f>
        <v>414.07721000000004</v>
      </c>
      <c r="L334" s="3">
        <f>909+(52.1-535.4)+(-1.85436+(-0.106284--1.092216))+0-0-0</f>
        <v>424.83157200000005</v>
      </c>
      <c r="M334" s="3">
        <f>950.5+(62.4-554.2)+(-0.484755+(-0.031824--0.282642))+0-0-0</f>
        <v>458.46606299999991</v>
      </c>
      <c r="N334" s="3">
        <f>1128.8+(59.7-665)+(0.575688+(0.030447-0.33915))+0-0-0</f>
        <v>523.76698499999998</v>
      </c>
      <c r="O334" s="3">
        <f>1139.7+(74.8-651.3)+(2.324988+(0.152592-1.328652))+0-0-0</f>
        <v>564.348928</v>
      </c>
      <c r="P334" s="3">
        <f>1130.8+(68.3-626)+(-1.153416+(-0.069666--0.63852))+0-0-0</f>
        <v>572.5154379999999</v>
      </c>
      <c r="Q334" s="3">
        <f>1132.5+(65.9-616.7)+(0+(0-0))+0-0-0</f>
        <v>581.69999999999993</v>
      </c>
      <c r="R334" s="3">
        <f>1114+(62.9-605)+(-2.8407+(-0.160395--1.54275))+0-0-0</f>
        <v>570.44165499999997</v>
      </c>
      <c r="S334" s="3">
        <f>1117.4+(66.7-621.1)+(0.569874+(0.034017-0.316761))+0-0-0</f>
        <v>563.28713000000016</v>
      </c>
      <c r="T334" s="3">
        <f>1104.8+(77.6-626.2)+(0+(0-0))+0-0-0</f>
        <v>556.19999999999993</v>
      </c>
      <c r="U334" s="3">
        <f>1099.2+(78.7-631.9)+(0+(0-0))+0-0-0</f>
        <v>546.00000000000011</v>
      </c>
      <c r="V334" s="3">
        <f>1106.6+(72-616)+(1.693098+(0.11016-0.94248))+0-0-0</f>
        <v>563.46077799999989</v>
      </c>
      <c r="W334" s="3">
        <f>1112.2+(42.3-548.1)+(1.701666+(0.064719-0.838593))+0-0-0</f>
        <v>607.32779200000004</v>
      </c>
      <c r="X334" s="3">
        <f>1129.7+(24-458.9)+(1.728441+(0.03672-0.702117))+0-0-0</f>
        <v>695.86304400000006</v>
      </c>
      <c r="Y334" s="3">
        <f>1123.9+(18.9-432.4)+(-1.719567+(-0.028917--0.661572))+0-0-0</f>
        <v>709.31308800000011</v>
      </c>
      <c r="Z334" s="3">
        <f>1111.3+(20.6-450.6)+(-1.133526+(-0.021012--0.459612))+0-0-0</f>
        <v>680.60507399999995</v>
      </c>
      <c r="AA334" s="3">
        <f>1109.9+(29.1-481)+(-1.132098+(-0.029682--0.49062))+0-0-0</f>
        <v>657.32884000000013</v>
      </c>
      <c r="AB334" s="3">
        <f>1103.2+(21.1-526.8)+(-3.938424+(-0.075327--1.880676))+0-0-0</f>
        <v>595.36692500000015</v>
      </c>
      <c r="AC334" s="3">
        <f>1111.1+(18.5-582)+(-2.266644+(-0.03774--1.18728))+0-0-0</f>
        <v>546.48289599999987</v>
      </c>
      <c r="AD334" s="2">
        <v>703.8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1115.2+(9-630)+(-1.137504+(-0.00918--0.6426))+0-0-0</f>
        <v>493.69591600000007</v>
      </c>
      <c r="G335" s="3">
        <f>1103.6+(5.5-637.4)+(-2.251344+(-0.01122--1.300296))+0-0-0</f>
        <v>470.73773199999994</v>
      </c>
      <c r="H335" s="3">
        <f>881.5+(66.5-481.6)+(0+(0-0))+0-0-0</f>
        <v>466.4</v>
      </c>
      <c r="I335" s="3">
        <f>815.9+(71.9-438.5)+(-1.248327+(-0.110007--0.670905))+0-0-0</f>
        <v>448.61257099999995</v>
      </c>
      <c r="J335" s="3">
        <f>778.5+(64.9-397.1)+(0.397035+(0.033099-0.202521))+0-0-0</f>
        <v>446.52761299999997</v>
      </c>
      <c r="K335" s="3">
        <f>775.7+(71.4-403.8)+(0+(0-0))+0-0-0</f>
        <v>443.30000000000007</v>
      </c>
      <c r="L335" s="3">
        <f>956.8+(40.2-557.5)+(-0.975936+(-0.041004--0.56865))+0-0-0</f>
        <v>439.05171000000001</v>
      </c>
      <c r="M335" s="3">
        <f>1022.6+(22.8-571.8)+(0+(0-0))+0-0-0</f>
        <v>473.6</v>
      </c>
      <c r="N335" s="3">
        <f>1126.3+(8.5-607.8)+(-0.574413+(-0.004335--0.309978))+0-0-0</f>
        <v>526.73122999999998</v>
      </c>
      <c r="O335" s="3">
        <f>1138.1+(21.6-601.3)+(1.741293+(0.033048-0.919989))+0-0-0</f>
        <v>559.25435199999993</v>
      </c>
      <c r="P335" s="3">
        <f>1128.2+(19.4-570.4)+(1.150764+(0.019788-0.581808))+0-0-0</f>
        <v>577.78874400000007</v>
      </c>
      <c r="Q335" s="3">
        <f>1119.2+(17.8-551.9)+(-0.570792+(-0.009078--0.281469))+0-0-0</f>
        <v>584.80159900000001</v>
      </c>
      <c r="R335" s="3">
        <f>1130.9+(19.1-585.3)+(0+(0-0))+0-0-0</f>
        <v>564.70000000000016</v>
      </c>
      <c r="S335" s="3">
        <f>1119+(14-580.9)+(-2.28276+(-0.02856--1.185036))+0-0-0</f>
        <v>550.97371599999997</v>
      </c>
      <c r="T335" s="3">
        <f>1106.3+(17.7-589.6)+(-0.564213+(-0.009027--0.300696))+0-0-0</f>
        <v>534.12745599999994</v>
      </c>
      <c r="U335" s="3">
        <f>1050.3+(20.1-559.3)+(-1.071306+(-0.020502--0.570486))+0-0-0</f>
        <v>510.57867800000002</v>
      </c>
      <c r="V335" s="3">
        <f>1101.3+(21-599.6)+(-0.561663+(-0.01071--0.305796))+0-0-0</f>
        <v>522.43342299999995</v>
      </c>
      <c r="W335" s="3">
        <f>1120.4+(20.6-574.4)+(0.571404+(0.010506-0.292944))+0-0-0</f>
        <v>566.8889660000001</v>
      </c>
      <c r="X335" s="3">
        <f>1198.9+(1.3-536.5)+(0.611439+(0.000663-0.273615))+0-0-0</f>
        <v>664.03848700000003</v>
      </c>
      <c r="Y335" s="3">
        <f>1247.1+(0-558.6)+(-2.544084+(0--1.139544))+0-0-0</f>
        <v>687.09545999999989</v>
      </c>
      <c r="Z335" s="3">
        <f>1252.6+(8.1-585.1)+(-1.277652+(-0.008262--0.596802))+0-0-0</f>
        <v>674.91088799999989</v>
      </c>
      <c r="AA335" s="3">
        <f>1246.3+(21.4-614.3)+(0+(0-0))+0-0-0</f>
        <v>653.4</v>
      </c>
      <c r="AB335" s="3">
        <f>1205.2+(20.8-602.2)+(0+(0-0))+0-0-0</f>
        <v>623.79999999999995</v>
      </c>
      <c r="AC335" s="3">
        <f>1159+(34.7-617.6)+(-2.95545+(-0.088485--1.57488))+0-0-0</f>
        <v>574.630945</v>
      </c>
      <c r="AD335" s="2">
        <v>668.8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1051.4+(77.8-590.9)+(-1.072428+(-0.079356--0.602718))+0-0-0</f>
        <v>537.75093400000003</v>
      </c>
      <c r="G336" s="3">
        <f>863.4+(88.4-447.2)+(1.321002+(0.135252-0.684216))+0-0-0</f>
        <v>505.37203800000003</v>
      </c>
      <c r="H336" s="3">
        <f>684.9+(94.2-310.1)+(0+(0-0))+0-0-0</f>
        <v>468.99999999999994</v>
      </c>
      <c r="I336" s="3">
        <f>661.9+(103.2-298.6)+(0+(0-0))+0-0-0</f>
        <v>466.49999999999994</v>
      </c>
      <c r="J336" s="3">
        <f>660.7+(101.6-304.8)+(0+(0-0))+0-0-0</f>
        <v>457.5</v>
      </c>
      <c r="K336" s="3">
        <f>667.6+(105.2-307.6)+(1.361904+(0.214608-0.627504))+0-0-0</f>
        <v>466.14900799999998</v>
      </c>
      <c r="L336" s="3">
        <f>727.1+(69.1-315.8)+(-1.854105+(-0.176205--0.80529))+0-0-0</f>
        <v>479.17498000000001</v>
      </c>
      <c r="M336" s="3">
        <f>820.7+(68-387.8)+(0.418557+(0.03468-0.197778))+0-0-0</f>
        <v>501.15545900000001</v>
      </c>
      <c r="N336" s="3">
        <f>913.4+(86.3-449.1)+(-0.465834+(-0.044013--0.229041))+0-0-0</f>
        <v>550.31919399999992</v>
      </c>
      <c r="O336" s="3">
        <f>926.1+(71.2-401.9)+(1.416933+(0.108936-0.614907))+0-0-0</f>
        <v>596.31096200000013</v>
      </c>
      <c r="P336" s="3">
        <f>917.1+(48.9-348.5)+(-0.467721+(-0.024939--0.177735))+0-0-0</f>
        <v>617.18507499999998</v>
      </c>
      <c r="Q336" s="3">
        <f>926.3+(48.2-350.2)+(1.417239+(0.073746-0.535806))+0-0-0</f>
        <v>625.255179</v>
      </c>
      <c r="R336" s="3">
        <f>915.2+(47.3-368.6)+(-2.800512+(-0.144738--1.127916))+0-0-0</f>
        <v>592.08266600000013</v>
      </c>
      <c r="S336" s="3">
        <f>922+(41.9-391.7)+(-1.41066+(-0.064107--0.599301))+0-0-0</f>
        <v>571.32453400000009</v>
      </c>
      <c r="T336" s="3">
        <f>922.7+(52.5-410.4)+(0.470577+(0.026775-0.209304))+0-0-0</f>
        <v>565.08804800000007</v>
      </c>
      <c r="U336" s="3">
        <f>922.4+(50.4-413.3)+(0+(0-0))+0-0-0</f>
        <v>559.5</v>
      </c>
      <c r="V336" s="3">
        <f>966.1+(36.9-426.2)+(-0.985422+(-0.037638--0.434724))+0-0-0</f>
        <v>576.21166399999993</v>
      </c>
      <c r="W336" s="3">
        <f>987.6+(79.8-436)+(-2.014704+(-0.162792--0.88944))+0-0-0</f>
        <v>630.11194400000011</v>
      </c>
      <c r="X336" s="3">
        <f>1036.7+(139.7-469.8)+(-0.528717+(-0.071247--0.239598))+0-0-0</f>
        <v>706.23963400000002</v>
      </c>
      <c r="Y336" s="3">
        <f>1120.8+(61.2-472.1)+(-1.714824+(-0.093636--0.722313))+0-0-0</f>
        <v>708.81385299999988</v>
      </c>
      <c r="Z336" s="3">
        <f>1145.8+(43.8-482.9)+(-1.753074+(-0.067014--0.738837))+0-0-0</f>
        <v>705.61874900000009</v>
      </c>
      <c r="AA336" s="3">
        <f>1148.6+(45.7-508.6)+(-2.92893+(-0.116535--1.29693))+0-0-0</f>
        <v>683.95146499999987</v>
      </c>
      <c r="AB336" s="3">
        <f>1150+(59.5-550.3)+(-1.7595+(-0.091035--0.841959))+0-0-0</f>
        <v>658.1914240000001</v>
      </c>
      <c r="AC336" s="3">
        <f>977.6+(83.9-450.7)+(-2.49288+(-0.213945--1.149285))+0-0-0</f>
        <v>609.24246000000005</v>
      </c>
      <c r="AD336" s="2">
        <v>698.09999999999991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946.3+(94.9-498.7)+(-0.965226+(-0.096798--0.508674))+0-0-0</f>
        <v>541.94664999999998</v>
      </c>
      <c r="G337" s="3">
        <f>855.2+(107.9-469.2)+(0.436152+(0.055029-0.239292))+0-0-0</f>
        <v>494.1518890000001</v>
      </c>
      <c r="H337" s="3">
        <f>859.5+(61.9-443.5)+(1.75338+(0.126276-0.90474))+0-0-0</f>
        <v>478.87491599999998</v>
      </c>
      <c r="I337" s="3">
        <f>855.2+(64.2-460.4)+(0+(0-0))+0-0-0</f>
        <v>459.00000000000006</v>
      </c>
      <c r="J337" s="3">
        <f>853.9+(64-460.9)+(-0.435489+(-0.03264--0.235059))+0-0-0</f>
        <v>456.76693</v>
      </c>
      <c r="K337" s="3">
        <f>937+(46-511)+(-2.38935+(-0.1173--1.30305))+0-0-0</f>
        <v>470.79640000000001</v>
      </c>
      <c r="L337" s="3">
        <f>955.6+(32.5-510.2)+(-0.974712+(-0.03315--0.520404))+0-0-0</f>
        <v>477.41254200000003</v>
      </c>
      <c r="M337" s="3">
        <f>958.5+(75.3-535.7)+(-0.488835+(-0.038403--0.273207))+0-0-0</f>
        <v>497.84596899999997</v>
      </c>
      <c r="N337" s="3">
        <f>1071.8+(125-662.4)+(0+(0-0))+0-0-0</f>
        <v>534.4</v>
      </c>
      <c r="O337" s="3">
        <f>1120.1+(106.2-648.2)+(0+(0-0))+0-0-0</f>
        <v>578.09999999999991</v>
      </c>
      <c r="P337" s="3">
        <f>1118.3+(84.8-612)+(0+(0-0))+0-0-0</f>
        <v>591.09999999999991</v>
      </c>
      <c r="Q337" s="3">
        <f>1113.3+(84.2-595.6)+(-1.703349+(-0.128826--0.911268))+0-0-0</f>
        <v>600.97909299999981</v>
      </c>
      <c r="R337" s="3">
        <f>1118.8+(63.8-611.6)+(-1.141176+(-0.065076--0.623832))+0-0-0</f>
        <v>570.41757999999993</v>
      </c>
      <c r="S337" s="3">
        <f>1126.1+(65.9-629.5)+(1.148622+(0.067218-0.64209))+0-0-0</f>
        <v>563.0737499999999</v>
      </c>
      <c r="T337" s="3">
        <f>1127.3+(85.4-636.3)+(0.574923+(0.043554-0.324513))+0-0-0</f>
        <v>576.69396399999994</v>
      </c>
      <c r="U337" s="3">
        <f>1118+(108.9-684.3)+(-0.57018+(-0.055539--0.348993))+0-0-0</f>
        <v>542.32327399999997</v>
      </c>
      <c r="V337" s="3">
        <f>1120.6+(104-668.4)+(0+(0-0))+0-0-0</f>
        <v>556.19999999999993</v>
      </c>
      <c r="W337" s="3">
        <f>1126.8+(127-652.4)+(1.724004+(0.19431-0.998172))+0-0-0</f>
        <v>602.32014200000003</v>
      </c>
      <c r="X337" s="3">
        <f>1130.3+(127.1-591.2)+(-1.152906+(-0.129642--0.603024))+0-0-0</f>
        <v>665.52047599999992</v>
      </c>
      <c r="Y337" s="3">
        <f>1166.6+(98.2-578)+(1.189932+(0.100164-0.58956))+0-0-0</f>
        <v>687.50053600000001</v>
      </c>
      <c r="Z337" s="3">
        <f>1155+(94.9-565.7)+(0+(0-0))+0-0-0</f>
        <v>684.19999999999993</v>
      </c>
      <c r="AA337" s="3">
        <f>1148.4+(97.2-600.5)+(-0.585684+(-0.049572--0.306255))+0-0-0</f>
        <v>644.77099900000019</v>
      </c>
      <c r="AB337" s="3">
        <f>1143.7+(90.7-600.7)+(-2.916435+(-0.231285--1.531785))+0-0-0</f>
        <v>632.08406500000001</v>
      </c>
      <c r="AC337" s="3">
        <f>1146.6+(76.4-637.3)+(-1.754298+(-0.116892--0.975069))+0-0-0</f>
        <v>584.80387899999994</v>
      </c>
      <c r="AD337" s="2">
        <v>666.3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1149.1+(78.8-696.2)+(-1.172082+(-0.080376--0.710124))+0-0-0</f>
        <v>531.15766599999984</v>
      </c>
      <c r="G338" s="3">
        <f>1142.7+(82.1-740.7)+(-2.331108+(-0.167484--1.511028))+0-0-0</f>
        <v>483.112436</v>
      </c>
      <c r="H338" s="3">
        <f>1068.5+(105.9-719.6)+(0+(0-0))+0-0-0</f>
        <v>454.79999999999995</v>
      </c>
      <c r="I338" s="3">
        <f>1054+(115.6-724.3)+(0+(0-0))+0-0-0</f>
        <v>445.30000000000007</v>
      </c>
      <c r="J338" s="3">
        <f>1046+(115.6-721.9)+(0.53346+(0.058956-0.368169))+0-0-0</f>
        <v>439.92424700000004</v>
      </c>
      <c r="K338" s="3">
        <f>1053.1+(120.4-722.2)+(1.074162+(0.122808-0.736644))+0-0-0</f>
        <v>451.76032599999985</v>
      </c>
      <c r="L338" s="3">
        <f>1050.2+(123.5-706.2)+(0.535602+(0.062985-0.360162))+0-0-0</f>
        <v>467.73842500000001</v>
      </c>
      <c r="M338" s="3">
        <f>1094.5+(100-697.8)+(0+(0-0))+0-0-0</f>
        <v>496.70000000000005</v>
      </c>
      <c r="N338" s="3">
        <f>1124.2+(111.4-691.2)+(-0.573342+(-0.056814--0.352512))+0-0-0</f>
        <v>544.12235599999997</v>
      </c>
      <c r="O338" s="3">
        <f>1124.2+(103.5-659.8)+(1.146684+(0.10557-0.672996))+0-0-0</f>
        <v>568.47925800000007</v>
      </c>
      <c r="P338" s="3">
        <f>1130.6+(82.5-606.1)+(0+(0-0))+0-0-0</f>
        <v>606.99999999999989</v>
      </c>
      <c r="Q338" s="3">
        <f>1121.9+(80.1-587.2)+(-1.716507+(-0.122553--0.898416))+0-0-0</f>
        <v>613.85935600000005</v>
      </c>
      <c r="R338" s="3">
        <f>1117.3+(89.9-598.2)+(-2.279292+(-0.183396--1.220328))+0-0-0</f>
        <v>607.75763999999992</v>
      </c>
      <c r="S338" s="3">
        <f>1127.3+(107.5-650.4)+(1.149846+(0.10965-0.663408))+0-0-0</f>
        <v>584.99608799999999</v>
      </c>
      <c r="T338" s="3">
        <f>1168.4+(108.1-701.5)+(-0.595884+(-0.055131--0.357765))+0-0-0</f>
        <v>574.70675000000017</v>
      </c>
      <c r="U338" s="3">
        <f>1199.3+(110.1-737.6)+(1.223286+(0.112302-0.752352))+0-0-0</f>
        <v>572.38323600000001</v>
      </c>
      <c r="V338" s="3">
        <f>1208.5+(98.6-731)+(-0.616335+(-0.050286--0.37281))+0-0-0</f>
        <v>575.80618900000002</v>
      </c>
      <c r="W338" s="3">
        <f>1240+(113.2-741.8)+(-1.8972+(-0.173196--1.134954))+0-0-0</f>
        <v>610.46455800000012</v>
      </c>
      <c r="X338" s="3">
        <f>1271.9+(128.9-700.7)+(0.648669+(0.065739-0.357357))+0-0-0</f>
        <v>700.45705099999998</v>
      </c>
      <c r="Y338" s="3">
        <f>1272.8+(104.5-674.5)+(-3.24564+(-0.266475--1.719975))+0-0-0</f>
        <v>701.00785999999994</v>
      </c>
      <c r="Z338" s="3">
        <f>1275.8+(107.7-691.1)+(-0.650658+(-0.054927--0.352461))+0-0-0</f>
        <v>692.046876</v>
      </c>
      <c r="AA338" s="3">
        <f>1263.9+(81.1-682.8)+(-1.933767+(-0.124083--1.044684))+0-0-0</f>
        <v>661.1868340000002</v>
      </c>
      <c r="AB338" s="3">
        <f>1254.8+(46.8-676.3)+(-1.919844+(-0.071604--1.034739))+0-0-0</f>
        <v>624.34329099999991</v>
      </c>
      <c r="AC338" s="3">
        <f>1175.8+(35.3-607.4)+(-2.99829+(-0.090015--1.54887))+0-0-0</f>
        <v>602.16056499999991</v>
      </c>
      <c r="AD338" s="2">
        <v>709.99999999999977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1128.7+(55.6-651.5)+(-1.726911+(-0.085068--0.996795))+0-0-0</f>
        <v>531.98481600000002</v>
      </c>
      <c r="G339" s="3">
        <f>1098.2+(77.5-683.6)+(0+(0-0))+0-0-0</f>
        <v>492.1</v>
      </c>
      <c r="H339" s="3">
        <f>934.6+(112-579.5)+(1.429938+(0.17136-0.886635))+0-0-0</f>
        <v>467.814663</v>
      </c>
      <c r="I339" s="3">
        <f>856+(117.2-527.2)+(-0.87312+(-0.119544--0.537744))+0-0-0</f>
        <v>445.54507999999993</v>
      </c>
      <c r="J339" s="3">
        <f>864.2+(122.6-533.7)+(1.322226+(0.187578-0.816561))+0-0-0</f>
        <v>453.79324300000002</v>
      </c>
      <c r="K339" s="3">
        <f>858.2+(122.1-532.3)+(0+(0-0))+0-0-0</f>
        <v>448.00000000000011</v>
      </c>
      <c r="L339" s="3">
        <f>853.5+(109.3-514.6)+(-1.74114+(-0.222972--1.049784))+0-0-0</f>
        <v>447.28567199999998</v>
      </c>
      <c r="M339" s="3">
        <f>906.6+(121.8-567.6)+(0.462366+(0.062118-0.289476))+0-0-0</f>
        <v>461.035008</v>
      </c>
      <c r="N339" s="3">
        <f>1081.4+(119-685.1)+(1.103028+(0.12138-0.698802))+0-0-0</f>
        <v>515.82560600000011</v>
      </c>
      <c r="O339" s="3">
        <f>1139.1+(89-660.6)+(1.742823+(0.13617-1.010718))+0-0-0</f>
        <v>568.36827499999993</v>
      </c>
      <c r="P339" s="3">
        <f>1133.9+(68.8-608.5)+(0+(0-0))+0-0-0</f>
        <v>594.20000000000005</v>
      </c>
      <c r="Q339" s="3">
        <f>1132.3+(55.6-581.2)+(0+(0-0))+0-0-0</f>
        <v>606.69999999999993</v>
      </c>
      <c r="R339" s="3">
        <f>1134.8+(57.1-588.4)+(-1.157496+(-0.058242--0.600168))+0-0-0</f>
        <v>602.88442999999995</v>
      </c>
      <c r="S339" s="3">
        <f>1138.5+(66-624)+(0.580635+(0.03366-0.31824))+0-0-0</f>
        <v>580.79605500000002</v>
      </c>
      <c r="T339" s="3">
        <f>1129.3+(81.9-643.2)+(-1.151886+(-0.083538--0.656064))+0-0-0</f>
        <v>567.42063999999993</v>
      </c>
      <c r="U339" s="3">
        <f>1124.6+(89.1-664.4)+(-1.147092+(-0.090882--0.677688))+0-0-0</f>
        <v>548.73971399999994</v>
      </c>
      <c r="V339" s="3">
        <f>1132.7+(93.5-676.4)+(1.733031+(0.143055-1.034892))+0-0-0</f>
        <v>550.64119400000004</v>
      </c>
      <c r="W339" s="3">
        <f>1117.3+(100.3-618.1)+(-1.709469+(-0.153459--0.945693))+0-0-0</f>
        <v>598.58276499999988</v>
      </c>
      <c r="X339" s="3">
        <f>1143+(102.9-573.5)+(0+(0-0))+0-0-0</f>
        <v>672.4</v>
      </c>
      <c r="Y339" s="3">
        <f>1125.8+(92.3-539.1)+(-3.444948+(-0.282438--1.649646))+0-0-0</f>
        <v>676.92226000000005</v>
      </c>
      <c r="Z339" s="3">
        <f>1159.6+(103.9-601.6)+(1.182792+(0.105978-0.613632))+0-0-0</f>
        <v>662.57513799999981</v>
      </c>
      <c r="AA339" s="3">
        <f>1153+(108.5-618.8)+(-0.58803+(-0.055335--0.315588))+0-0-0</f>
        <v>642.37222300000008</v>
      </c>
      <c r="AB339" s="3">
        <f>1135.1+(91.6-618)+(0+(0-0))+0-0-0</f>
        <v>608.69999999999993</v>
      </c>
      <c r="AC339" s="3">
        <f>1122.9+(54.4-605.9)+(-1.718037+(-0.083232--0.927027))+0-0-0</f>
        <v>570.52575800000011</v>
      </c>
      <c r="AD339" s="2">
        <v>684.9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1126.4+(45.7-646.5)+(-1.723392+(-0.069921--0.989145))+0-0-0</f>
        <v>524.79583200000013</v>
      </c>
      <c r="G340" s="3">
        <f>1162.6+(42.9-712)+(-2.96463+(-0.109395--1.8156))+0-0-0</f>
        <v>492.2415749999999</v>
      </c>
      <c r="H340" s="3">
        <f>967.4+(0-497.6)+(-0.493374+(0--0.253776))+0-0-0</f>
        <v>469.56040199999995</v>
      </c>
      <c r="I340" s="3">
        <f>903.2+(0-453.6)+(0.460632+(0-0.231336))+0-0-0</f>
        <v>449.829296</v>
      </c>
      <c r="J340" s="3">
        <f>898.9+(0-444.4)+(0.458439+(0-0.226644))+0-0-0</f>
        <v>454.73179499999998</v>
      </c>
      <c r="K340" s="3">
        <f>957.3+(0-507.3)+(1.952892+(0-1.034892))+0-0-0</f>
        <v>450.91799999999995</v>
      </c>
      <c r="L340" s="3">
        <f>959.6+(0-526.2)+(-0.978792+(0--0.536724))+0-0-0</f>
        <v>432.95793199999997</v>
      </c>
      <c r="M340" s="3">
        <f>959.4+(0-544.6)+(-0.489294+(0--0.277746))+0-0-0</f>
        <v>414.58845199999996</v>
      </c>
      <c r="N340" s="3">
        <f>983.3+(0-542.9)+(-1.002966+(0--0.553758))+0-0-0</f>
        <v>439.95079199999998</v>
      </c>
      <c r="O340" s="3">
        <f>1204.2+(1-719.1)+(1.228284+(0.00102-0.733482))+0-0-0</f>
        <v>486.595822</v>
      </c>
      <c r="P340" s="3">
        <f>1208.9+(0-694.1)+(0+(0-0))+0-0-0</f>
        <v>514.80000000000007</v>
      </c>
      <c r="Q340" s="3">
        <f>1227.4+(0-696.8)+(0+(0-0))+0-0-0</f>
        <v>530.60000000000014</v>
      </c>
      <c r="R340" s="3">
        <f>1238.1+(0-704.1)+(-1.894293+(0--1.077273))+0-0-0</f>
        <v>533.18297999999993</v>
      </c>
      <c r="S340" s="3">
        <f>1235.8+(0-720.8)+(-0.630258+(0--0.367608))+0-0-0</f>
        <v>514.73734999999999</v>
      </c>
      <c r="T340" s="3">
        <f>1236.4+(0-728.2)+(-1.261128+(0--0.742764))+0-0-0</f>
        <v>507.68163600000003</v>
      </c>
      <c r="U340" s="3">
        <f>1140.2+(0-644.1)+(-1.163004+(0--0.656982))+0-0-0</f>
        <v>495.59397800000005</v>
      </c>
      <c r="V340" s="3">
        <f>1106.2+(0-617.9)+(0+(0-0))+0-0-0</f>
        <v>488.30000000000007</v>
      </c>
      <c r="W340" s="3">
        <f>1176.4+(0-671.5)+(-0.599964+(0--0.342465))+0-0-0</f>
        <v>504.6425010000001</v>
      </c>
      <c r="X340" s="3">
        <f>1309.3+(0-693.8)+(-0.667743+(0--0.353838))+0-0-0</f>
        <v>615.18609500000002</v>
      </c>
      <c r="Y340" s="3">
        <f>1312.7+(0-654.6)+(0+(0-0))+0-0-0</f>
        <v>658.1</v>
      </c>
      <c r="Z340" s="3">
        <f>1303.1+(0-646.3)+(-1.329162+(0--0.659226))+0-0-0</f>
        <v>656.13006399999995</v>
      </c>
      <c r="AA340" s="3">
        <f>1306.6+(0-668.1)+(-0.666366+(0--0.340731))+0-0-0</f>
        <v>638.17436499999985</v>
      </c>
      <c r="AB340" s="3">
        <f>1290.3+(0-684.3)+(-3.290265+(0--1.744965))+0-0-0</f>
        <v>604.4547</v>
      </c>
      <c r="AC340" s="3">
        <f>1286.8+(0-719.5)+(-3.28134+(0--1.834725))+0-0-0</f>
        <v>565.853385</v>
      </c>
      <c r="AD340" s="2">
        <v>661.49999999999989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1241+(0-737.5)+(-1.26582+(0--0.75225))+0-0-0</f>
        <v>502.98642999999998</v>
      </c>
      <c r="G341" s="3">
        <f>967.4+(2.2-504.9)+(0.986748+(0.002244-0.514998))+0-0-0</f>
        <v>465.17399399999999</v>
      </c>
      <c r="H341" s="3">
        <f>888.9+(16.2-474.3)+(0.906678+(0.016524-0.483786))+0-0-0</f>
        <v>431.23941599999995</v>
      </c>
      <c r="I341" s="3">
        <f>877.5+(20.7-470.1)+(0.447525+(0.010557-0.239751))+0-0-0</f>
        <v>428.31833099999994</v>
      </c>
      <c r="J341" s="3">
        <f>875.1+(17.2-472.1)+(-0.446301+(-0.008772--0.240771))+0-0-0</f>
        <v>419.98569800000001</v>
      </c>
      <c r="K341" s="3">
        <f>877.4+(15.3-465.2)+(0.894948+(0.015606-0.474504))+0-0-0</f>
        <v>427.93605000000002</v>
      </c>
      <c r="L341" s="3">
        <f>967.3+(6.4-533.1)+(0.493323+(0.003264-0.271881))+0-0-0</f>
        <v>440.82470599999994</v>
      </c>
      <c r="M341" s="3">
        <f>1223.9+(0-738.1)+(0.624189+(0-0.376431))+0-0-0</f>
        <v>486.04775800000004</v>
      </c>
      <c r="N341" s="3">
        <f>1254.6+(0-711.1)+(1.279692+(0-0.725322))+0-0-0</f>
        <v>544.05436999999984</v>
      </c>
      <c r="O341" s="3">
        <f>1252.8+(0-677.6)+(2.555712+(0-1.382304))+0-0-0</f>
        <v>576.37340799999993</v>
      </c>
      <c r="P341" s="3">
        <f>1249.5+(73.6-712.7)+(0+(0-0))+0-0-0</f>
        <v>610.4</v>
      </c>
      <c r="Q341" s="3">
        <f>1252.3+(66.6-698.2)+(0+(0-0))+0-0-0</f>
        <v>620.69999999999993</v>
      </c>
      <c r="R341" s="3">
        <f>1249.6+(70.6-701.9)+(-1.274592+(-0.072012--0.715938))+0-0-0</f>
        <v>617.66933399999994</v>
      </c>
      <c r="S341" s="3">
        <f>1241.4+(75.7-718.4)+(-2.532456+(-0.154428--1.465536))+0-0-0</f>
        <v>597.47865200000012</v>
      </c>
      <c r="T341" s="3">
        <f>1246.3+(84.2-758.7)+(0+(0-0))+0-0-0</f>
        <v>571.79999999999995</v>
      </c>
      <c r="U341" s="3">
        <f>1256.5+(97-780.1)+(0.640815+(0.04947-0.397851))+0-0-0</f>
        <v>573.69243399999993</v>
      </c>
      <c r="V341" s="3">
        <f>1256.3+(86.7-782.4)+(0+(0-0))+0-0-0</f>
        <v>560.6</v>
      </c>
      <c r="W341" s="3">
        <f>1252.7+(42.3-703.9)+(-1.277754+(-0.043146--0.717978))+0-0-0</f>
        <v>590.49707799999999</v>
      </c>
      <c r="X341" s="3">
        <f>1265.6+(2.3-583.9)+(-1.936368+(-0.003519--0.893367))+0-0-0</f>
        <v>682.9534799999999</v>
      </c>
      <c r="Y341" s="3">
        <f>1270.1+(0-582.3)+(-1.295502+(0--0.593946))+0-0-0</f>
        <v>687.09844399999997</v>
      </c>
      <c r="Z341" s="3">
        <f>1282.7+(0-602.5)+(0.654177+(0-0.307275))+0-0-0</f>
        <v>680.54690200000005</v>
      </c>
      <c r="AA341" s="3">
        <f>1273.6+(0-623)+(-1.299072+(0--0.63546))+0-0-0</f>
        <v>649.93638799999997</v>
      </c>
      <c r="AB341" s="3">
        <f>1270.5+(0-662.4)+(-1.29591+(0--0.675648))+0-0-0</f>
        <v>607.479738</v>
      </c>
      <c r="AC341" s="3">
        <f>1274.3+(0-712.7)+(-0.649893+(0--0.363477))+0-0-0</f>
        <v>561.31358399999988</v>
      </c>
      <c r="AD341" s="2">
        <v>681.39999999999986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1262.4+(0-744.8)+(-3.21912+(0--1.89924))+0-0-0</f>
        <v>516.28012000000012</v>
      </c>
      <c r="G342" s="3">
        <f>1272.4+(0-799.2)+(-0.648924+(0--0.407592))+0-0-0</f>
        <v>472.95866800000005</v>
      </c>
      <c r="H342" s="3">
        <f>1093.3+(0-636.6)+(-1.115166+(0--0.649332))+0-0-0</f>
        <v>456.23416599999996</v>
      </c>
      <c r="I342" s="3">
        <f>1045.8+(0-594.7)+(-1.600074+(0--0.909891))+0-0-0</f>
        <v>450.40981699999992</v>
      </c>
      <c r="J342" s="3">
        <f>1049.1+(0-598.7)+(0.535041+(0-0.305337))+0-0-0</f>
        <v>450.62970399999989</v>
      </c>
      <c r="K342" s="3">
        <f>1047.4+(0-589.8)+(-0.534174+(0--0.300798))+0-0-0</f>
        <v>457.36662400000012</v>
      </c>
      <c r="L342" s="3">
        <f>1045.4+(0-590.9)+(-0.533154+(0--0.301359))+0-0-0</f>
        <v>454.26820500000014</v>
      </c>
      <c r="M342" s="3">
        <f>1047.4+(0-562.5)+(0.534174+(0-0.286875))+0-0-0</f>
        <v>485.14729900000009</v>
      </c>
      <c r="N342" s="3">
        <f>1048.5+(0-516.9)+(0.534735+(0-0.263619))+0-0-0</f>
        <v>531.87111600000003</v>
      </c>
      <c r="O342" s="3">
        <f>1190.7+(0-562.3)+(0+(0-0))+0-0-0</f>
        <v>628.40000000000009</v>
      </c>
      <c r="P342" s="3">
        <f>1212.6+(0-619.6)+(0+(0-0))+0-0-0</f>
        <v>592.99999999999989</v>
      </c>
      <c r="Q342" s="3">
        <f>1215.7+(3.8-601.9)+(-0.620007+(-0.001938--0.306969))+0-0-0</f>
        <v>617.28502400000002</v>
      </c>
      <c r="R342" s="3">
        <f>1246.5+(9-606.6)+(-2.54286+(-0.01836--1.237464))+0-0-0</f>
        <v>647.57624399999997</v>
      </c>
      <c r="S342" s="3">
        <f>1250.9+(8.3-633)+(1.275918+(0.008466-0.64566))+0-0-0</f>
        <v>626.83872400000007</v>
      </c>
      <c r="T342" s="3">
        <f>1249.6+(6.1-644.9)+(0.637296+(0.003111-0.328899))+0-0-0</f>
        <v>611.11150799999996</v>
      </c>
      <c r="U342" s="3">
        <f>1250.5+(5.1-640.8)+(1.27551+(0.005202-0.653616))+0-0-0</f>
        <v>615.42709600000012</v>
      </c>
      <c r="V342" s="3">
        <f>1249.6+(1.8-637.6)+(1.274592+(0.001836-0.650352))+0-0-0</f>
        <v>614.42607599999985</v>
      </c>
      <c r="W342" s="3">
        <f>1248.2+(53.6-632.3)+(-2.546328+(-0.109344--1.289892))+0-0-0</f>
        <v>668.13422000000014</v>
      </c>
      <c r="X342" s="3">
        <f>1261.7+(53-582.8)+(-0.643467+(-0.02703--0.297228))+0-0-0</f>
        <v>731.52673100000004</v>
      </c>
      <c r="Y342" s="3">
        <f>1266.3+(31.3-581.1)+(-2.583252+(-0.063852--1.185444))+0-0-0</f>
        <v>715.03833999999983</v>
      </c>
      <c r="Z342" s="3">
        <f>1267.5+(10.7-558.6)+(-3.232125+(-0.027285--1.42443))+0-0-0</f>
        <v>717.76502000000005</v>
      </c>
      <c r="AA342" s="3">
        <f>1270.2+(0-596.7)+(0+(0-0))+0-0-0</f>
        <v>673.5</v>
      </c>
      <c r="AB342" s="3">
        <f>1268+(0-635.9)+(-0.64668+(0--0.324309))+0-0-0</f>
        <v>631.77762900000005</v>
      </c>
      <c r="AC342" s="3">
        <f>1264.9+(0-699.9)+(-1.935297+(0--1.070847))+0-0-0</f>
        <v>564.13555000000008</v>
      </c>
      <c r="AD342" s="2">
        <v>689.9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1276.8+(0-791.7)+(-1.302336+(0--0.807534))+0-0-0</f>
        <v>484.60519799999992</v>
      </c>
      <c r="G343" s="3">
        <f>1284.1+(0-845.6)+(0.654891+(0-0.431256))+0-0-0</f>
        <v>438.72363499999989</v>
      </c>
      <c r="H343" s="3">
        <f>1250.5+(0-829.8)+(-1.27551+(0--0.846396))+0-0-0</f>
        <v>420.27088600000002</v>
      </c>
      <c r="I343" s="3">
        <f>1092+(0-666.8)+(0.55692+(0-0.340068))+0-0-0</f>
        <v>425.41685200000006</v>
      </c>
      <c r="J343" s="3">
        <f>862+(0-456.6)+(0+(0-0))+0-0-0</f>
        <v>405.4</v>
      </c>
      <c r="K343" s="3">
        <f>903.4+(0-491.2)+(-1.382202+(0--0.751536))+0-0-0</f>
        <v>411.56933399999997</v>
      </c>
      <c r="L343" s="3">
        <f>960.4+(0-533.4)+(0+(0-0))+0-0-0</f>
        <v>427</v>
      </c>
      <c r="M343" s="3">
        <f>1016.8+(0-563.3)+(0.518568+(0-0.287283))+0-0-0</f>
        <v>453.73128500000001</v>
      </c>
      <c r="N343" s="3">
        <f>1245.6+(0-734.1)+(-0.635256+(0--0.374391))+0-0-0</f>
        <v>511.23913499999986</v>
      </c>
      <c r="O343" s="3">
        <f>1208.6+(7.7-659.3)+(-1.849158+(-0.011781--1.008729))+0-0-0</f>
        <v>556.14778999999999</v>
      </c>
      <c r="P343" s="3">
        <f>1225.9+(7.7-658.7)+(-1.875627+(-0.011781--1.007811))+0-0-0</f>
        <v>574.0204030000001</v>
      </c>
      <c r="Q343" s="3">
        <f>1247.6+(7.4-654.7)+(-2.545104+(-0.015096--1.335588))+0-0-0</f>
        <v>599.07538799999986</v>
      </c>
      <c r="R343" s="3">
        <f>1237.6+(7.5-660.5)+(0+(0-0))+0-0-0</f>
        <v>584.59999999999991</v>
      </c>
      <c r="S343" s="3">
        <f>1246.3+(7.5-679.1)+(-1.906839+(-0.011475--1.039023))+0-0-0</f>
        <v>573.82070899999997</v>
      </c>
      <c r="T343" s="3">
        <f>1258.3+(6.9-708.4)+(1.283466+(0.007038-0.722568))+0-0-0</f>
        <v>557.36793599999999</v>
      </c>
      <c r="U343" s="3">
        <f>1249+(0-697)+(-0.63699+(0--0.35547))+0-0-0</f>
        <v>551.71848</v>
      </c>
      <c r="V343" s="3">
        <f>1250.9+(0-707.6)+(0+(0-0))+0-0-0</f>
        <v>543.30000000000007</v>
      </c>
      <c r="W343" s="3">
        <f>1247.3+(8-669.8)+(-1.272246+(-0.00816--0.683196))+0-0-0</f>
        <v>584.90278999999998</v>
      </c>
      <c r="X343" s="3">
        <f>1272.6+(11.8-597.7)+(-0.649026+(-0.006018--0.304827))+0-0-0</f>
        <v>686.34978299999977</v>
      </c>
      <c r="Y343" s="3">
        <f>1265.3+(0-568)+(-3.226515+(0--1.4484))+0-0-0</f>
        <v>695.521885</v>
      </c>
      <c r="Z343" s="3">
        <f>1281.3+(0-584.9)+(0+(0-0))+0-0-0</f>
        <v>696.4</v>
      </c>
      <c r="AA343" s="3">
        <f>1154.4+(0-479.9)+(-1.177488+(0--0.489498))+0-0-0</f>
        <v>673.8120100000001</v>
      </c>
      <c r="AB343" s="3">
        <f>1050.3+(11.1-448.9)+(-1.071306+(-0.011322--0.457878))+0-0-0</f>
        <v>611.87525000000005</v>
      </c>
      <c r="AC343" s="3">
        <f>1058.2+(0-485.5)+(-2.69841+(0--1.238025))+0-0-0</f>
        <v>571.23961500000007</v>
      </c>
      <c r="AD343" s="2">
        <v>711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1085.2+(0-541.4)+(-1.660356+(0--0.828342))+0-0-0</f>
        <v>542.96798600000011</v>
      </c>
      <c r="G344" s="3">
        <f>1061.9+(0-569.6)+(-1.624707+(0--0.871488))+0-0-0</f>
        <v>491.54678100000007</v>
      </c>
      <c r="H344" s="3">
        <f>986.4+(0-525.8)+(-0.503064+(0--0.268158))+0-0-0</f>
        <v>460.365094</v>
      </c>
      <c r="I344" s="3">
        <f>983.4+(2.9-532.4)+(-1.003068+(-0.002958--0.543048))+0-0-0</f>
        <v>453.43702199999996</v>
      </c>
      <c r="J344" s="3">
        <f>987+(3.9-545.7)+(0.50337+(0.001989-0.278307))+0-0-0</f>
        <v>445.42705199999995</v>
      </c>
      <c r="K344" s="3">
        <f>1024.9+(0-566.5)+(2.090796+(0-1.15566))+0-0-0</f>
        <v>459.33513600000009</v>
      </c>
      <c r="L344" s="3">
        <f>1085.1+(0-617.8)+(-0.553401+(0--0.315078))+0-0-0</f>
        <v>467.06167699999997</v>
      </c>
      <c r="M344" s="3">
        <f>1197.6+(0-709.6)+(-0.610776+(0--0.361896))+0-0-0</f>
        <v>487.7511199999999</v>
      </c>
      <c r="N344" s="3">
        <f>1373.4+(0-820.6)+(-0.700434+(0--0.418506))+0-0-0</f>
        <v>552.51807200000007</v>
      </c>
      <c r="O344" s="3">
        <f>1390+(0-790.1)+(-2.8356+(0--1.611804))+0-0-0</f>
        <v>598.67620399999998</v>
      </c>
      <c r="P344" s="3">
        <f>1403.4+(0-795.3)+(-0.715734+(0--0.405603))+0-0-0</f>
        <v>607.78986900000018</v>
      </c>
      <c r="Q344" s="3">
        <f>1406.2+(0-783.2)+(-1.434324+(0--0.798864))+0-0-0</f>
        <v>622.36454000000003</v>
      </c>
      <c r="R344" s="3">
        <f>1265.3+(0-678.9)+(-2.581212+(0--1.384956))+0-0-0</f>
        <v>585.20374400000003</v>
      </c>
      <c r="S344" s="3">
        <f>1229.6+(0-661.3)+(-1.881288+(0--1.011789))+0-0-0</f>
        <v>567.43050099999994</v>
      </c>
      <c r="T344" s="3">
        <f>1236.7+(0-680.7)+(0.630717+(0-0.347157))+0-0-0</f>
        <v>556.28355999999997</v>
      </c>
      <c r="U344" s="3">
        <f>1235.7+(0-702)+(1.260414+(0-0.71604))+0-0-0</f>
        <v>534.24437399999999</v>
      </c>
      <c r="V344" s="3">
        <f>1239.9+(0-697.9)+(0.632349+(0-0.355929))+0-0-0</f>
        <v>542.27642000000014</v>
      </c>
      <c r="W344" s="3">
        <f>1359.2+(0-788.9)+(0.693192+(0-0.402339))+0-0-0</f>
        <v>570.59085300000004</v>
      </c>
      <c r="X344" s="3">
        <f>1385.6+(0-711.3)+(0+(0-0))+0-0-0</f>
        <v>674.3</v>
      </c>
      <c r="Y344" s="3">
        <f>1385.4+(0-683.8)+(0+(0-0))+0-0-0</f>
        <v>701.60000000000014</v>
      </c>
      <c r="Z344" s="3">
        <f>1370.5+(0-679.2)+(-0.698955+(0--0.346392))+0-0-0</f>
        <v>690.94743699999992</v>
      </c>
      <c r="AA344" s="3">
        <f>1368+(0-687.8)+(0+(0-0))+0-0-0</f>
        <v>680.2</v>
      </c>
      <c r="AB344" s="3">
        <f>1355.6+(0-713.6)+(-2.765424+(0--1.455744))+0-0-0</f>
        <v>640.69031999999993</v>
      </c>
      <c r="AC344" s="3">
        <f>1361.5+(0-770.2)+(-0.694365+(0--0.392802))+0-0-0</f>
        <v>590.99843699999997</v>
      </c>
      <c r="AD344" s="2">
        <v>692.8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1349.3+(0-798.7)+(-3.440715+(0--2.036685))+0-0-0</f>
        <v>549.19596999999987</v>
      </c>
      <c r="G345" s="3">
        <f>1334.7+(0-838.9)+(-2.042091+(0--1.283517))+0-0-0</f>
        <v>495.04142600000006</v>
      </c>
      <c r="H345" s="3">
        <f>1271.7+(0-797.8)+(0+(0-0))+0-0-0</f>
        <v>473.90000000000009</v>
      </c>
      <c r="I345" s="3">
        <f>1084.4+(5.2-630.4)+(0.553044+(0.002652-0.321504))+0-0-0</f>
        <v>459.43419200000017</v>
      </c>
      <c r="J345" s="3">
        <f>1073.6+(5.6-627.2)+(-2.190144+(-0.011424--1.279488))+0-0-0</f>
        <v>451.07791999999989</v>
      </c>
      <c r="K345" s="3">
        <f>1080+(4.3-625.5)+(0.5508+(0.002193-0.319005))+0-0-0</f>
        <v>459.03398799999997</v>
      </c>
      <c r="L345" s="3">
        <f>1080.5+(0-618.5)+(0.551055+(0-0.315435))+0-0-0</f>
        <v>462.23561999999998</v>
      </c>
      <c r="M345" s="3">
        <f>1238.7+(0-748.7)+(-0.631737+(0--0.381837))+0-0-0</f>
        <v>489.75009999999997</v>
      </c>
      <c r="N345" s="3">
        <f>1360.2+(0-815.3)+(0+(0-0))+0-0-0</f>
        <v>544.90000000000009</v>
      </c>
      <c r="O345" s="3">
        <f>1391.1+(0-808.3)+(-0.709461+(0--0.412233))+0-0-0</f>
        <v>582.50277199999994</v>
      </c>
      <c r="P345" s="3">
        <f>1383+(0-778.6)+(-2.11599+(0--1.191258))+0-0-0</f>
        <v>603.47526800000003</v>
      </c>
      <c r="Q345" s="3">
        <f>1382.8+(0-763.7)+(-0.705228+(0--0.389487))+0-0-0</f>
        <v>618.78425899999991</v>
      </c>
      <c r="R345" s="3">
        <f>1312.8+(0-708.4)+(-0.669528+(0--0.361284))+0-0-0</f>
        <v>604.09175600000003</v>
      </c>
      <c r="S345" s="3">
        <f>1174.2+(0-584.8)+(1.796526+(0-0.894744))+0-0-0</f>
        <v>590.30178200000012</v>
      </c>
      <c r="T345" s="3">
        <f>1165.1+(0-593.7)+(1.188402+(0-0.605574))+0-0-0</f>
        <v>571.98282799999981</v>
      </c>
      <c r="U345" s="3">
        <f>1170.9+(0-593)+(-1.194318+(0--0.60486))+0-0-0</f>
        <v>577.31054200000005</v>
      </c>
      <c r="V345" s="3">
        <f>1179.8+(0-598.1)+(0.601698+(0-0.305031))+0-0-0</f>
        <v>581.99666699999989</v>
      </c>
      <c r="W345" s="3">
        <f>1182.7+(0-592.6)+(0.603177+(0-0.302226))+0-0-0</f>
        <v>590.40095100000008</v>
      </c>
      <c r="X345" s="3">
        <f>1378.9+(4.5-668.1)+(-0.703239+(-0.002295--0.340731))+0-0-0</f>
        <v>714.93519700000002</v>
      </c>
      <c r="Y345" s="3">
        <f>1377.2+(0-621)+(-3.51186+(0--1.58355))+0-0-0</f>
        <v>754.27169000000004</v>
      </c>
      <c r="Z345" s="3">
        <f>1377.3+(0-629.2)+(-2.809692+(0--1.283568))+0-0-0</f>
        <v>746.57387599999993</v>
      </c>
      <c r="AA345" s="3">
        <f>1369.8+(0-655)+(-3.49299+(0--1.67025))+0-0-0</f>
        <v>712.97726</v>
      </c>
      <c r="AB345" s="3">
        <f>1309.2+(0-640.3)+(-0.667692+(0--0.326553))+0-0-0</f>
        <v>668.55886100000009</v>
      </c>
      <c r="AC345" s="3">
        <f>1160.5+(0-554)+(-1.775565+(0--0.84762))+0-0-0</f>
        <v>605.57205499999998</v>
      </c>
      <c r="AD345" s="2">
        <v>710.5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1162.9+(0-619.8)+(-0.593079+(0--0.316098))+0-0-0</f>
        <v>542.82301900000016</v>
      </c>
      <c r="G346" s="3">
        <f>1161.8+(0-669.7)+(-0.592518+(0--0.341547))+0-0-0</f>
        <v>491.84902899999992</v>
      </c>
      <c r="H346" s="3">
        <f>1166.1+(0-697.2)+(0.594711+(0-0.355572))+0-0-0</f>
        <v>469.13913899999989</v>
      </c>
      <c r="I346" s="3">
        <f>1159.8+(0-705.8)+(-1.182996+(0--0.719916))+0-0-0</f>
        <v>453.53692000000001</v>
      </c>
      <c r="J346" s="3">
        <f>1170.5+(0-720.8)+(1.19391+(0-0.735216))+0-0-0</f>
        <v>450.15869400000003</v>
      </c>
      <c r="K346" s="3">
        <f>1171.8+(0-714.1)+(0.597618+(0-0.364191))+0-0-0</f>
        <v>457.93342699999994</v>
      </c>
      <c r="L346" s="3">
        <f>1153.5+(0-703)+(-3.52971+(0--2.15118))+0-0-0</f>
        <v>449.12146999999999</v>
      </c>
      <c r="M346" s="3">
        <f>1222.3+(0-748.6)+(0.623373+(0-0.381786))+0-0-0</f>
        <v>473.94158699999991</v>
      </c>
      <c r="N346" s="3">
        <f>1370.6+(0-835.1)+(0+(0-0))+0-0-0</f>
        <v>535.49999999999989</v>
      </c>
      <c r="O346" s="3">
        <f>1371.5+(0-787)+(-1.39893+(0--0.80274))+0-0-0</f>
        <v>583.90381000000002</v>
      </c>
      <c r="P346" s="3">
        <f>1398.1+(0-778.7)+(0.713031+(0-0.397137))+0-0-0</f>
        <v>619.71589399999982</v>
      </c>
      <c r="Q346" s="3">
        <f>1394.7+(0-747.1)+(-2.845188+(0--1.524084))+0-0-0</f>
        <v>646.27889600000003</v>
      </c>
      <c r="R346" s="3">
        <f>1384.3+(9.6-757.1)+(-1.411986+(-0.009792--0.772242))+0-0-0</f>
        <v>636.15046399999994</v>
      </c>
      <c r="S346" s="3">
        <f>1370+(2-761.3)+(-3.4935+(-0.0051--1.941315))+0-0-0</f>
        <v>609.14271500000007</v>
      </c>
      <c r="T346" s="3">
        <f>1381.4+(2.1-784.6)+(-1.409028+(-0.002142--0.800292))+0-0-0</f>
        <v>598.28912200000013</v>
      </c>
      <c r="U346" s="3">
        <f>1366.2+(5.9-799)+(-4.180572+(-0.018054--2.44494))+0-0-0</f>
        <v>571.34631400000001</v>
      </c>
      <c r="V346" s="3">
        <f>1397.5+(9.4-828.4)+(0+(0-0))+0-0-0</f>
        <v>578.5</v>
      </c>
      <c r="W346" s="3">
        <f>1410.4+(20.9-815.9)+(-1.438608+(-0.021318--0.832218))+0-0-0</f>
        <v>614.77229200000011</v>
      </c>
      <c r="X346" s="3">
        <f>1433.5+(42.7-776.3)+(1.46217+(0.043554-0.791826))+0-0-0</f>
        <v>700.61389800000006</v>
      </c>
      <c r="Y346" s="3">
        <f>1420.5+(30.2-745.2)+(-2.173365+(-0.046206--1.140156))+0-0-0</f>
        <v>704.42058499999996</v>
      </c>
      <c r="Z346" s="3">
        <f>1422.5+(0-723.8)+(-2.9019+(0--1.476552))+0-0-0</f>
        <v>697.27465200000006</v>
      </c>
      <c r="AA346" s="3">
        <f>1426.5+(0-754.7)+(-0.727515+(0--0.384897))+0-0-0</f>
        <v>671.45738199999994</v>
      </c>
      <c r="AB346" s="3">
        <f>1419.6+(0-786.3)+(-1.447992+(0--0.802026))+0-0-0</f>
        <v>632.65403399999991</v>
      </c>
      <c r="AC346" s="3">
        <f>1379.4+(0-780)+(-0.703494+(0--0.3978))+0-0-0</f>
        <v>599.09430600000007</v>
      </c>
      <c r="AD346" s="2">
        <v>677.39999999999986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1187.8+(0-656.7)+(-1.211556+(0--0.669834))+0-0-0</f>
        <v>530.55827799999986</v>
      </c>
      <c r="G347" s="3">
        <f>1060.8+(11.3-595.4)+(-0.541008+(-0.005763--0.303654))+0-0-0</f>
        <v>476.45688299999995</v>
      </c>
      <c r="H347" s="3">
        <f>1055.8+(15-619.9)+(-1.076916+(-0.0153--0.632298))+0-0-0</f>
        <v>450.44008199999996</v>
      </c>
      <c r="I347" s="3">
        <f>1061+(16.4-635.6)+(0.54111+(0.008364-0.324156))+0-0-0</f>
        <v>442.02531799999997</v>
      </c>
      <c r="J347" s="3">
        <f>1051.5+(17.5-629.2)+(-2.14506+(-0.0357--1.283568))+0-0-0</f>
        <v>438.90280799999994</v>
      </c>
      <c r="K347" s="3">
        <f>1061.2+(19.7-642.7)+(0.541212+(0.010047-0.327777))+0-0-0</f>
        <v>438.42348200000004</v>
      </c>
      <c r="L347" s="3">
        <f>1046.8+(26.7-651.5)+(-3.203208+(-0.081702--1.99359))+0-0-0</f>
        <v>420.70868000000002</v>
      </c>
      <c r="M347" s="3">
        <f>1053.8+(20.4-657.4)+(-1.612314+(-0.031212--1.005822))+0-0-0</f>
        <v>416.16229599999997</v>
      </c>
      <c r="N347" s="3">
        <f>1058.3+(7.2-621.7)+(-0.539733+(-0.003672--0.317067))+0-0-0</f>
        <v>443.57366199999996</v>
      </c>
      <c r="O347" s="3">
        <f>1055.7+(0-573.5)+(-0.538407+(0--0.292485))+0-0-0</f>
        <v>481.95407800000004</v>
      </c>
      <c r="P347" s="3">
        <f>1058.1+(1.4-538.5)+(-0.539631+(-0.000714--0.274635))+0-0-0</f>
        <v>520.73428999999987</v>
      </c>
      <c r="Q347" s="3">
        <f>1062.1+(10.9-529.1)+(0+(0-0))+0-0-0</f>
        <v>543.89999999999986</v>
      </c>
      <c r="R347" s="3">
        <f>1058.5+(0-522.5)+(-1.619505+(0--0.799425))+0-0-0</f>
        <v>535.17992000000004</v>
      </c>
      <c r="S347" s="3">
        <f>1062.6+(0-557.5)+(1.083852+(0-0.56865))+0-0-0</f>
        <v>505.6152019999999</v>
      </c>
      <c r="T347" s="3">
        <f>1060+(0-579.4)+(0+(0-0))+0-0-0</f>
        <v>480.6</v>
      </c>
      <c r="U347" s="3">
        <f>1054+(2.8-590.7)+(-1.61262+(-0.004284--0.903771))+0-0-0</f>
        <v>465.38686699999988</v>
      </c>
      <c r="V347" s="3">
        <f>1082.3+(11-611.9)+(1.103946+(0.01122-0.624138))+0-0-0</f>
        <v>481.89102800000001</v>
      </c>
      <c r="W347" s="3">
        <f>1231.9+(64-769.9)+(0.628269+(0.03264-0.392649))+0-0-0</f>
        <v>526.26826000000017</v>
      </c>
      <c r="X347" s="3">
        <f>1231.8+(91.6-706.5)+(0+(0-0))+0-0-0</f>
        <v>616.9</v>
      </c>
      <c r="Y347" s="3">
        <f>1242+(65.9-682.5)+(-0.63342+(-0.033609--0.348075))+0-0-0</f>
        <v>625.08104600000001</v>
      </c>
      <c r="Z347" s="3">
        <f>1238.9+(87.3-699.1)+(-0.631839+(-0.044523--0.356541))+0-0-0</f>
        <v>626.78017899999998</v>
      </c>
      <c r="AA347" s="3">
        <f>1228.1+(93.1-710.7)+(-0.626331+(-0.047481--0.362457))+0-0-0</f>
        <v>610.18864499999984</v>
      </c>
      <c r="AB347" s="3">
        <f>1225.3+(67.4-724.8)+(-1.249806+(-0.068748--0.739296))+0-0-0</f>
        <v>567.320742</v>
      </c>
      <c r="AC347" s="3">
        <f>1224.7+(24.6-711.4)+(0.624597+(0.012546-0.362814))+0-0-0</f>
        <v>538.17432900000006</v>
      </c>
      <c r="AD347" s="2">
        <v>623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1209.4+(15.5-715.2)+(-3.08397+(-0.039525--1.82376))+0-0-0</f>
        <v>508.40026500000005</v>
      </c>
      <c r="G348" s="3">
        <f>1072+(9.4-627.3)+(1.09344+(0.009588-0.639846))+0-0-0</f>
        <v>454.56318200000004</v>
      </c>
      <c r="H348" s="3">
        <f>1034.5+(12.5-600.8)+(-2.11038+(-0.0255--1.225632))+0-0-0</f>
        <v>445.28975200000002</v>
      </c>
      <c r="I348" s="3">
        <f>995.8+(18-580.7)+(-1.015716+(-0.01836--0.592314))+0-0-0</f>
        <v>432.65823799999993</v>
      </c>
      <c r="J348" s="3">
        <f>1003.4+(38.3-602.6)+(0.511734+(0.019533-0.307326))+0-0-0</f>
        <v>439.32394099999993</v>
      </c>
      <c r="K348" s="3">
        <f>1003.6+(36.7-591)+(0+(0-0))+0-0-0</f>
        <v>449.30000000000007</v>
      </c>
      <c r="L348" s="3">
        <f>1184+(21.5-745.1)+(-0.60384+(-0.010965--0.380001))+0-0-0</f>
        <v>460.16519599999998</v>
      </c>
      <c r="M348" s="3">
        <f>1202.3+(32.7-713.6)+(1.226346+(0.033354-0.727872))+0-0-0</f>
        <v>521.931828</v>
      </c>
      <c r="N348" s="3">
        <f>1186.9+(39.6-666.6)+(0+(0-0))+0-0-0</f>
        <v>559.90000000000009</v>
      </c>
      <c r="O348" s="3">
        <f>1184.2+(1.3-577.9)+(1.811826+(0.001989-0.884187))+0-0-0</f>
        <v>608.529628</v>
      </c>
      <c r="P348" s="3">
        <f>1064.1+(0-473)+(0.542691+(0-0.24123))+0-0-0</f>
        <v>591.40146099999993</v>
      </c>
      <c r="Q348" s="3">
        <f>1175.5+(0-539.2)+(0+(0-0))+0-0-0</f>
        <v>636.29999999999995</v>
      </c>
      <c r="R348" s="3">
        <f>1173.7+(1.1-561.2)+(-0.598587+(-0.000561--0.286212))+0-0-0</f>
        <v>613.28706399999999</v>
      </c>
      <c r="S348" s="3">
        <f>1049.4+(5.4-553.6)+(-1.070388+(-0.005508--0.564672))+0-0-0</f>
        <v>500.68877600000002</v>
      </c>
      <c r="T348" s="3">
        <f>1048.7+(13.6-450.4)+(-1.069674+(-0.013872--0.459408))+0-0-0</f>
        <v>611.27586200000007</v>
      </c>
      <c r="U348" s="3">
        <f>1019.6+(10.5-461.9)+(-0.519996+(-0.005355--0.235569))+0-0-0</f>
        <v>567.9102180000001</v>
      </c>
      <c r="V348" s="3">
        <f>1024+(0-466)+(-0.52224+(0--0.23766))+0-0-0</f>
        <v>557.71541999999999</v>
      </c>
      <c r="W348" s="3">
        <f>1102.4+(2.9-534.4)+(-0.562224+(-0.001479--0.272544))+0-0-0</f>
        <v>570.6088410000001</v>
      </c>
      <c r="X348" s="3">
        <f>1148.5+(9.1-543.5)+(1.17147+(0.009282-0.55437))+0-0-0</f>
        <v>614.72638200000006</v>
      </c>
      <c r="Y348" s="3">
        <f>1214.8+(42-523.8)+(-3.09774+(-0.1071--1.33569))+0-0-0</f>
        <v>731.13085000000001</v>
      </c>
      <c r="Z348" s="3">
        <f>1216.4+(28.1-522)+(-1.240728+(-0.028662--0.53244))+0-0-0</f>
        <v>721.76305000000013</v>
      </c>
      <c r="AA348" s="3">
        <f>1210.7+(41.2-540.3)+(-3.087285+(-0.10506--1.377765))+0-0-0</f>
        <v>709.78542000000016</v>
      </c>
      <c r="AB348" s="3">
        <f>1207.4+(41.8-583.8)+(-3.07887+(-0.10659--1.48869))+0-0-0</f>
        <v>663.70323000000008</v>
      </c>
      <c r="AC348" s="3">
        <f>1073.8+(71.2-568.8)+(-0.547638+(-0.036312--0.290088))+0-0-0</f>
        <v>575.90613800000006</v>
      </c>
      <c r="AD348" s="2">
        <v>719.8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1032.5+(22.9-508.2)+(-2.1063+(-0.046716--1.036728))+0-0-0</f>
        <v>546.08371199999999</v>
      </c>
      <c r="G349" s="3">
        <f>1033.7+(0-540.5)+(-1.054374+(0--0.55131))+0-0-0</f>
        <v>492.69693600000005</v>
      </c>
      <c r="H349" s="3">
        <f>1028.6+(6-547.2)+(-1.573758+(-0.00918--0.837216))+0-0-0</f>
        <v>486.65427799999986</v>
      </c>
      <c r="I349" s="3">
        <f>935.3+(1.1-480.6)+(-1.908012+(-0.002244--0.980424))+0-0-0</f>
        <v>454.87016799999998</v>
      </c>
      <c r="J349" s="3">
        <f>944.3+(0-487.2)+(0.481593+(0-0.248472))+0-0-0</f>
        <v>457.33312099999995</v>
      </c>
      <c r="K349" s="3">
        <f>951.9+(0-490.9)+(1.456407+(0-0.751077))+0-0-0</f>
        <v>461.70533</v>
      </c>
      <c r="L349" s="3">
        <f>943.1+(0-483.4)+(1.442943+(0-0.739602))+0-0-0</f>
        <v>460.40334100000007</v>
      </c>
      <c r="M349" s="3">
        <f>947.6+(0-458.6)+(0.966552+(0-0.467772))+0-0-0</f>
        <v>489.49878000000001</v>
      </c>
      <c r="N349" s="3">
        <f>1087+(48-489)+(0+(0-0))+0-0-0</f>
        <v>646</v>
      </c>
      <c r="O349" s="3">
        <f>1104.4+(0-521.9)+(-1.689732+(0--0.798507))+0-0-0</f>
        <v>581.60877500000015</v>
      </c>
      <c r="P349" s="3">
        <f>1002+(0-459.6)+(0+(0-0))+0-0-0</f>
        <v>542.4</v>
      </c>
      <c r="Q349" s="3">
        <f>1033.3+(24.9-441.6)+(-2.634915+(-0.063495--1.12608))+0-0-0</f>
        <v>615.02766999999994</v>
      </c>
      <c r="R349" s="3">
        <f>960.1+(63.6-353.9)+(-0.979302+(-0.064872--0.360978))+0-0-0</f>
        <v>669.11680400000012</v>
      </c>
      <c r="S349" s="3">
        <f>954.1+(62.7-345.8)+(0.973182+(0.063954-0.352716))+0-0-0</f>
        <v>671.68442000000005</v>
      </c>
      <c r="T349" s="3">
        <f>952+(54.1-346.6)+(-1.94208+(-0.110364--0.707064))+0-0-0</f>
        <v>658.15462000000002</v>
      </c>
      <c r="U349" s="3">
        <f>954.9+(53-352.4)+(0+(0-0))+0-0-0</f>
        <v>655.5</v>
      </c>
      <c r="V349" s="3">
        <f>951.6+(63.8-359.7)+(-0.485316+(-0.032538--0.183447))+0-0-0</f>
        <v>655.36559299999999</v>
      </c>
      <c r="W349" s="3">
        <f>948.2+(57.2-371.2)+(0+(0-0))+0-0-0</f>
        <v>634.20000000000005</v>
      </c>
      <c r="X349" s="3">
        <f>982.6+(56.5-405.2)+(0+(0-0))+0-0-0</f>
        <v>633.90000000000009</v>
      </c>
      <c r="Y349" s="3">
        <f>994.2+(128.3-410.5)+(-0.507042+(-0.065433--0.209355))+0-0-0</f>
        <v>711.63688000000002</v>
      </c>
      <c r="Z349" s="3">
        <f>987.9+(142.8-411.1)+(-2.519145+(-0.36414--1.048305))+0-0-0</f>
        <v>717.76501999999994</v>
      </c>
      <c r="AA349" s="3">
        <f>964.6+(180.4-382.3)+(0+(0-0))+0-0-0</f>
        <v>762.7</v>
      </c>
      <c r="AB349" s="3">
        <f>946+(190.7-394.1)+(-2.4123+(-0.486285--1.004955))+0-0-0</f>
        <v>740.70636999999988</v>
      </c>
      <c r="AC349" s="3">
        <f>943.9+(141.1-417.3)+(-2.406945+(-0.359805--1.064115))+0-0-0</f>
        <v>665.99736499999995</v>
      </c>
      <c r="AD349" s="2">
        <v>733.19999999999982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866.8+(73.9-452)+(-0.884136+(-0.075378--0.46104))+0-0-0</f>
        <v>488.20152599999994</v>
      </c>
      <c r="G350" s="3">
        <f>872.5+(30.7-454.6)+(0.444975+(0.015657-0.231846))+0-0-0</f>
        <v>448.82878599999998</v>
      </c>
      <c r="H350" s="3">
        <f>875.7+(18.9-457.6)+(0+(0-0))+0-0-0</f>
        <v>437</v>
      </c>
      <c r="I350" s="3">
        <f>866.5+(23.6-451.2)+(-1.325745+(-0.036108--0.690336))+0-0-0</f>
        <v>438.22848300000004</v>
      </c>
      <c r="J350" s="3">
        <f>874.4+(22.8-457.2)+(0.891888+(0.023256-0.466344))+0-0-0</f>
        <v>440.44880000000001</v>
      </c>
      <c r="K350" s="3">
        <f>866.6+(26.6-440.9)+(-0.883932+(-0.027132--0.449718))+0-0-0</f>
        <v>451.83865400000008</v>
      </c>
      <c r="L350" s="3">
        <f>866.3+(37.5-448.7)+(-0.883626+(-0.03825--0.457674))+0-0-0</f>
        <v>454.63579799999997</v>
      </c>
      <c r="M350" s="3">
        <f>946.8+(35.4-497)+(0.965736+(0.036108-0.50694))+0-0-0</f>
        <v>485.69490399999995</v>
      </c>
      <c r="N350" s="3">
        <f>1029.9+(46.1-543)+(0+(0-0))+0-0-0</f>
        <v>533.00000000000011</v>
      </c>
      <c r="O350" s="3">
        <f>1020.6+(72.8-510.7)+(0+(0-0))+0-0-0</f>
        <v>582.70000000000005</v>
      </c>
      <c r="P350" s="3">
        <f>1018.8+(53.8-487.8)+(0.519588+(0.027438-0.248778))+0-0-0</f>
        <v>585.0982479999999</v>
      </c>
      <c r="Q350" s="3">
        <f>1028+(41.2-466.4)+(1.57284+(0.063036-0.713592))+0-0-0</f>
        <v>603.72228399999995</v>
      </c>
      <c r="R350" s="3">
        <f>1010.3+(33.2-460.4)+(-2.061012+(-0.067728--0.939216))+0-0-0</f>
        <v>581.9104759999999</v>
      </c>
      <c r="S350" s="3">
        <f>1015.4+(22.7-479.2)+(-1.035708+(-0.023154--0.488784))+0-0-0</f>
        <v>558.32992200000001</v>
      </c>
      <c r="T350" s="3">
        <f>1022.6+(22.4-481.4)+(0+(0-0))+0-0-0</f>
        <v>563.6</v>
      </c>
      <c r="U350" s="3">
        <f>1023+(18.1-505.8)+(0.52173+(0.009231-0.257958))+0-0-0</f>
        <v>535.57300299999997</v>
      </c>
      <c r="V350" s="3">
        <f>1012.9+(31.1-501.6)+(-0.516579+(-0.015861--0.255816))+0-0-0</f>
        <v>542.12337600000001</v>
      </c>
      <c r="W350" s="3">
        <f>901+(69.5-389.2)+(-0.45951+(-0.035445--0.198492))+0-0-0</f>
        <v>581.00353699999994</v>
      </c>
      <c r="X350" s="3">
        <f>963.1+(90.9-395.9)+(-0.982362+(-0.092718--0.403818))+0-0-0</f>
        <v>657.42873800000007</v>
      </c>
      <c r="Y350" s="3">
        <f>1050.7+(131.9-490.6)+(-1.607571+(-0.201807--0.750618))+0-0-0</f>
        <v>690.94123999999999</v>
      </c>
      <c r="Z350" s="3">
        <f>1045.4+(157.4-519)+(0+(0-0))+0-0-0</f>
        <v>683.80000000000007</v>
      </c>
      <c r="AA350" s="3">
        <f>1039.7+(176.9-558.5)+(0+(0-0))+0-0-0</f>
        <v>658.1</v>
      </c>
      <c r="AB350" s="3">
        <f>1027.9+(221.8-629.7)+(-2.621145+(-0.56559--1.605735))+0-0-0</f>
        <v>618.41899999999998</v>
      </c>
      <c r="AC350" s="3">
        <f>854.3+(264.8-538.8)+(-3.485544+(-1.080384--2.198304))+0-0-0</f>
        <v>577.93237599999998</v>
      </c>
      <c r="AD350" s="2">
        <v>682.90000000000009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819.5+(163.2-468.1)+(-1.67178+(-0.332928--0.954924))+0-0-0</f>
        <v>513.55021599999986</v>
      </c>
      <c r="G351" s="3">
        <f>816.1+(92.5-451.1)+(-1.248633+(-0.141525--0.690183))+0-0-0</f>
        <v>456.80002500000001</v>
      </c>
      <c r="H351" s="3">
        <f>815.4+(66.7-448.4)+(-1.663416+(-0.136068--0.914736))+0-0-0</f>
        <v>432.81525199999999</v>
      </c>
      <c r="I351" s="3">
        <f>823.3+(62.6-453.1)+(-0.839766+(-0.063852--0.462162))+0-0-0</f>
        <v>432.35854399999994</v>
      </c>
      <c r="J351" s="3">
        <f>831.9+(60.3-456.7)+(1.697076+(0.123012-0.931668))+0-0-0</f>
        <v>436.38842</v>
      </c>
      <c r="K351" s="3">
        <f>826+(60.8-452.3)+(0+(0-0))+0-0-0</f>
        <v>434.5</v>
      </c>
      <c r="L351" s="3">
        <f>825.4+(74.5-459.4)+(1.262862+(0.113985-0.702882))+0-0-0</f>
        <v>441.17396500000001</v>
      </c>
      <c r="M351" s="3">
        <f>827.4+(122.2-474.1)+(0.421974+(0.062322-0.241791))+0-0-0</f>
        <v>475.74250499999994</v>
      </c>
      <c r="N351" s="3">
        <f>1007.8+(91.7-572.8)+(0.513978+(0.046767-0.292128))+0-0-0</f>
        <v>526.96861699999999</v>
      </c>
      <c r="O351" s="3">
        <f>1036.3+(100.9-569.2)+(1.057026+(0.102918-0.580584))+0-0-0</f>
        <v>568.57935999999984</v>
      </c>
      <c r="P351" s="3">
        <f>1138+(59.1-611.1)+(0+(0-0))+0-0-0</f>
        <v>586</v>
      </c>
      <c r="Q351" s="3">
        <f>1142.1+(72-656.8)+(-1.747413+(-0.11016--1.004904))+0-0-0</f>
        <v>556.44733099999996</v>
      </c>
      <c r="R351" s="3">
        <f>1208.8+(11.6-617)+(-3.698928+(-0.035496--1.88802))+0-0-0</f>
        <v>601.55359599999997</v>
      </c>
      <c r="S351" s="3">
        <f>1216.9+(0-626.9)+(1.241238+(0-0.639438))+0-0-0</f>
        <v>590.60180000000014</v>
      </c>
      <c r="T351" s="3">
        <f>1055.5+(53.8-527.6)+(0+(0-0))+0-0-0</f>
        <v>581.70000000000005</v>
      </c>
      <c r="U351" s="3">
        <f>1045.8+(59.8-528.6)+(-0.533358+(-0.030498--0.269586))+0-0-0</f>
        <v>576.70573000000002</v>
      </c>
      <c r="V351" s="3">
        <f>1041+(73.2-513.2)+(-0.53091+(-0.037332--0.261732))+0-0-0</f>
        <v>600.69349</v>
      </c>
      <c r="W351" s="3">
        <f>1034+(69.6-484.6)+(-0.52734+(-0.035496--0.247146))+0-0-0</f>
        <v>618.68430999999998</v>
      </c>
      <c r="X351" s="3">
        <f>966.1+(112.9-390.5)+(-0.492711+(-0.057579--0.199155))+0-0-0</f>
        <v>688.148865</v>
      </c>
      <c r="Y351" s="3">
        <f>888.8+(169.3-362.2)+(-0.453288+(-0.086343--0.184722))+0-0-0</f>
        <v>695.54509099999996</v>
      </c>
      <c r="Z351" s="3">
        <f>923.7+(137.9-376.7)+(-1.413261+(-0.210987--0.576351))+0-0-0</f>
        <v>683.85210300000006</v>
      </c>
      <c r="AA351" s="3">
        <f>912.3+(124.9-373.9)+(-1.861092+(-0.254796--0.762756))+0-0-0</f>
        <v>661.94686799999999</v>
      </c>
      <c r="AB351" s="3">
        <f>1001.3+(87-475.5)+(-2.553315+(-0.22185--1.212525))+0-0-0</f>
        <v>611.23735999999997</v>
      </c>
      <c r="AC351" s="3">
        <f>969.5+(88.1-481.6)+(-1.483335+(-0.134793--0.736848))+0-0-0</f>
        <v>575.11872000000005</v>
      </c>
      <c r="AD351" s="2">
        <v>690.1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795.6+(117-405.7)+(-0.811512+(-0.11934--0.413814))+0-0-0</f>
        <v>506.38296200000002</v>
      </c>
      <c r="G352" s="3">
        <f>785.1+(79.9-404.1)+(-1.601604+(-0.162996--0.824364))+0-0-0</f>
        <v>459.95976399999995</v>
      </c>
      <c r="H352" s="3">
        <f>722.3+(88.3-370.6)+(1.105119+(0.135099-0.567018))+0-0-0</f>
        <v>440.67319999999995</v>
      </c>
      <c r="I352" s="3">
        <f>709.3+(82-369.3)+(0.361743+(0.04182-0.188343))+0-0-0</f>
        <v>422.21521999999993</v>
      </c>
      <c r="J352" s="3">
        <f>715.9+(59.8-346.3)+(1.460436+(0.121992-0.706452))+0-0-0</f>
        <v>430.27597599999996</v>
      </c>
      <c r="K352" s="3">
        <f>801+(22.6-401.2)+(-2.04255+(-0.05763--1.02306))+0-0-0</f>
        <v>421.32288000000005</v>
      </c>
      <c r="L352" s="3">
        <f>825.5+(10.9-418.4)+(0+(0-0))+0-0-0</f>
        <v>418</v>
      </c>
      <c r="M352" s="3">
        <f>824.5+(62.3-433.6)+(0+(0-0))+0-0-0</f>
        <v>453.2</v>
      </c>
      <c r="N352" s="3">
        <f>830.9+(106.9-424.1)+(1.271277+(0.163557-0.648873))+0-0-0</f>
        <v>514.48596099999997</v>
      </c>
      <c r="O352" s="3">
        <f>832.9+(151.5-420.7)+(1.274337+(0.231795-0.643671))+0-0-0</f>
        <v>564.5624610000001</v>
      </c>
      <c r="P352" s="3">
        <f>830.9+(165.3-399.2)+(0.423759+(0.084303-0.203592))+0-0-0</f>
        <v>597.30447000000004</v>
      </c>
      <c r="Q352" s="3">
        <f>869.9+(142.9-391.1)+(-1.330947+(-0.218637--0.598383))+0-0-0</f>
        <v>620.74879899999996</v>
      </c>
      <c r="R352" s="3">
        <f>997.2+(102.6-478.8)+(-1.525716+(-0.156978--0.732564))+0-0-0</f>
        <v>620.04987000000006</v>
      </c>
      <c r="S352" s="3">
        <f>997.4+(85.3-486.4)+(-1.526022+(-0.130509--0.744192))+0-0-0</f>
        <v>595.38766099999998</v>
      </c>
      <c r="T352" s="3">
        <f>995.7+(60.2-477.8)+(-0.507807+(-0.030702--0.243678))+0-0-0</f>
        <v>577.80516899999998</v>
      </c>
      <c r="U352" s="3">
        <f>996.4+(55-466.9)+(-1.016328+(-0.0561--0.476238))+0-0-0</f>
        <v>583.90381000000002</v>
      </c>
      <c r="V352" s="3">
        <f>1001.5+(57.1-469.1)+(0+(0-0))+0-0-0</f>
        <v>589.5</v>
      </c>
      <c r="W352" s="3">
        <f>1112+(7.4-485.3)+(0+(0-0))+0-0-0</f>
        <v>634.09999999999991</v>
      </c>
      <c r="X352" s="3">
        <f>1123.2+(26.5-448)+(-1.145664+(-0.02703--0.45696))+0-0-0</f>
        <v>700.98426600000005</v>
      </c>
      <c r="Y352" s="3">
        <f>1050.5+(97.3-426.9)+(-3.750285+(-0.347361--1.524033))+0-0-0</f>
        <v>718.32638700000007</v>
      </c>
      <c r="Z352" s="3">
        <f>1011.3+(116.8-418.8)+(0+(0-0))+0-0-0</f>
        <v>709.3</v>
      </c>
      <c r="AA352" s="3">
        <f>1002.2+(124.9-454.2)+(-3.066732+(-0.382194--1.389852))+0-0-0</f>
        <v>670.84092600000008</v>
      </c>
      <c r="AB352" s="3">
        <f>1000.9+(172.4-545.4)+(-4.083672+(-0.703392--2.225232))+0-0-0</f>
        <v>625.338168</v>
      </c>
      <c r="AC352" s="3">
        <f>1011.1+(156.9-588.6)+(-2.062644+(-0.320076--1.200744))+0-0-0</f>
        <v>578.21802400000001</v>
      </c>
      <c r="AD352" s="2">
        <v>713.4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1011.7+(100.1-581.8)+(-0.515967+(-0.051051--0.296718))+0-0-0</f>
        <v>529.72970000000009</v>
      </c>
      <c r="G353" s="3">
        <f>942.9+(58.5-528.8)+(-0.961758+(-0.05967--0.539376))+0-0-0</f>
        <v>472.11794800000001</v>
      </c>
      <c r="H353" s="3">
        <f>924.7+(56-538)+(0.471597+(0.02856-0.27438))+0-0-0</f>
        <v>442.92577700000004</v>
      </c>
      <c r="I353" s="3">
        <f>827.2+(80.4-466.7)+(0.421872+(0.041004-0.238017))+0-0-0</f>
        <v>441.12485900000007</v>
      </c>
      <c r="J353" s="3">
        <f>808+(83.1-452.8)+(1.23624+(0.127143-0.692784))+0-0-0</f>
        <v>438.97059899999994</v>
      </c>
      <c r="K353" s="3">
        <f>798.7+(99.3-458.9)+(-1.222011+(-0.151929--0.702117))+0-0-0</f>
        <v>438.42817700000006</v>
      </c>
      <c r="L353" s="3">
        <f>801+(112.9-489)+(-0.40851+(-0.057579--0.24939))+0-0-0</f>
        <v>424.68330099999997</v>
      </c>
      <c r="M353" s="3">
        <f>859.3+(93.8-507)+(0.876486+(0.095676-0.51714))+0-0-0</f>
        <v>446.55502199999995</v>
      </c>
      <c r="N353" s="3">
        <f>947.3+(90.4-531.6)+(0.483123+(0.046104-0.271116))+0-0-0</f>
        <v>506.35811099999989</v>
      </c>
      <c r="O353" s="3">
        <f>969+(112.5-525.2)+(0+(0-0))+0-0-0</f>
        <v>556.29999999999995</v>
      </c>
      <c r="P353" s="3">
        <f>994.7+(123.4-510.9)+(0+(0-0))+0-0-0</f>
        <v>607.20000000000005</v>
      </c>
      <c r="Q353" s="3">
        <f>1047.7+(94.9-523.8)+(-0.534327+(-0.048399--0.267138))+0-0-0</f>
        <v>618.48441200000002</v>
      </c>
      <c r="R353" s="3">
        <f>1103.1+(62.7-553.1)+(-2.250324+(-0.127908--1.128324))+0-0-0</f>
        <v>611.45009199999981</v>
      </c>
      <c r="S353" s="3">
        <f>1075.4+(75.1-551.7)+(-0.548454+(-0.038301--0.281367))+0-0-0</f>
        <v>598.49461200000007</v>
      </c>
      <c r="T353" s="3">
        <f>1075.9+(70.1-572.7)+(0.548709+(0.035751-0.292077))+0-0-0</f>
        <v>573.59238300000004</v>
      </c>
      <c r="U353" s="3">
        <f>1026.6+(95.4-566.4)+(1.047132+(0.097308-0.577728))+0-0-0</f>
        <v>556.16671199999996</v>
      </c>
      <c r="V353" s="3">
        <f>1057.9+(90.6-582.3)+(-1.618587+(-0.138618--0.890919))+0-0-0</f>
        <v>565.33371400000021</v>
      </c>
      <c r="W353" s="3">
        <f>1075.9+(78.3-569.8)+(2.194836+(0.159732-1.162392))+0-0-0</f>
        <v>585.59217600000011</v>
      </c>
      <c r="X353" s="3">
        <f>1129.7+(88.1-554.9)+(-1.152294+(-0.089862--0.565998))+0-0-0</f>
        <v>662.2238420000001</v>
      </c>
      <c r="Y353" s="3">
        <f>1198.1+(104.4-610.8)+(-2.444124+(-0.212976--1.246032))+0-0-0</f>
        <v>690.28893199999993</v>
      </c>
      <c r="Z353" s="3">
        <f>1198.9+(87.6-602.1)+(-2.445756+(-0.178704--1.228284))+0-0-0</f>
        <v>683.00382400000012</v>
      </c>
      <c r="AA353" s="3">
        <f>1057.2+(111.1-510.3)+(1.617516+(0.169983-0.780759))+0-0-0</f>
        <v>659.00674000000004</v>
      </c>
      <c r="AB353" s="3">
        <f>920.3+(136.7-440.2)+(-2.346765+(-0.348585--1.12251))+0-0-0</f>
        <v>615.22715999999991</v>
      </c>
      <c r="AC353" s="3">
        <f>925.7+(129.2-473.5)+(0+(0-0))+0-0-0</f>
        <v>581.40000000000009</v>
      </c>
      <c r="AD353" s="2">
        <v>710.69999999999993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917.1+(83.5-444.7)+(-0.935442+(-0.08517--0.453594))+0-0-0</f>
        <v>555.33298200000013</v>
      </c>
      <c r="G354" s="3">
        <f>896.8+(43.7-434.2)+(0+(0-0))+0-0-0</f>
        <v>506.29999999999995</v>
      </c>
      <c r="H354" s="3">
        <f>924.7+(27.4-482.3)+(0+(0-0))+0-0-0</f>
        <v>469.8</v>
      </c>
      <c r="I354" s="3">
        <f>981.4+(0-513.5)+(-2.50257+(0--1.309425))+0-0-0</f>
        <v>466.70685499999996</v>
      </c>
      <c r="J354" s="3">
        <f>908.8+(33.1-475.2)+(-0.463488+(-0.016881--0.242352))+0-0-0</f>
        <v>466.46198299999998</v>
      </c>
      <c r="K354" s="3">
        <f>905.7+(35.1-480.5)+(0+(0-0))+0-0-0</f>
        <v>460.30000000000007</v>
      </c>
      <c r="L354" s="3">
        <f>908.1+(27.3-501.9)+(-0.926262+(-0.027846--0.511938))+0-0-0</f>
        <v>433.05783000000008</v>
      </c>
      <c r="M354" s="3">
        <f>913+(35.9-520.2)+(0.46563+(0.018309-0.265302))+0-0-0</f>
        <v>428.91863699999993</v>
      </c>
      <c r="N354" s="3">
        <f>1134+(7-670.3)+(-1.73502+(-0.01071--1.025559))+0-0-0</f>
        <v>469.97982900000005</v>
      </c>
      <c r="O354" s="3">
        <f>1178.4+(124.1-788.7)+(1.802952+(0.189873-1.206711))+0-0-0</f>
        <v>514.58611400000007</v>
      </c>
      <c r="P354" s="3">
        <f>1184.1+(122.8-752.2)+(0+(0-0))+0-0-0</f>
        <v>554.69999999999982</v>
      </c>
      <c r="Q354" s="3">
        <f>1185.9+(109.4-724.5)+(1.209618+(0.111588-0.73899))+0-0-0</f>
        <v>571.38221600000008</v>
      </c>
      <c r="R354" s="3">
        <f>1181.7+(104.5-740.4)+(-0.602667+(-0.053295--0.377604))+0-0-0</f>
        <v>545.52164200000004</v>
      </c>
      <c r="S354" s="3">
        <f>1177.7+(113.7-771.9)+(-2.402508+(-0.231948--1.574676))+0-0-0</f>
        <v>518.44022000000007</v>
      </c>
      <c r="T354" s="3">
        <f>1179.9+(124-801.9)+(-1.203498+(-0.12648--0.817938))+0-0-0</f>
        <v>501.4879600000001</v>
      </c>
      <c r="U354" s="3">
        <f>1178.3+(126.4-815.1)+(-0.600933+(-0.064464--0.415701))+0-0-0</f>
        <v>489.35030399999994</v>
      </c>
      <c r="V354" s="3">
        <f>1173.6+(133.2-811.1)+(-1.197072+(-0.135864--0.827322))+0-0-0</f>
        <v>495.19438599999984</v>
      </c>
      <c r="W354" s="3">
        <f>1172.9+(110.7-758.7)+(-1.794537+(-0.169371--1.160811))+0-0-0</f>
        <v>524.09690300000011</v>
      </c>
      <c r="X354" s="3">
        <f>1198.8+(84-657.5)+(1.834164+(0.12852-1.005975))+0-0-0</f>
        <v>626.256709</v>
      </c>
      <c r="Y354" s="3">
        <f>1194.6+(108.5-630.7)+(-1.218492+(-0.11067--0.643314))+0-0-0</f>
        <v>671.7141519999999</v>
      </c>
      <c r="Z354" s="3">
        <f>1189.7+(105.1-632.4)+(-2.426988+(-0.214404--1.290096))+0-0-0</f>
        <v>661.04870400000004</v>
      </c>
      <c r="AA354" s="3">
        <f>1186.2+(106.7-640.5)+(-2.419848+(-0.217668--1.30662))+0-0-0</f>
        <v>651.06910400000004</v>
      </c>
      <c r="AB354" s="3">
        <f>1169.9+(109.9-656)+(-3.579894+(-0.336294--2.00736))+0-0-0</f>
        <v>621.8911720000001</v>
      </c>
      <c r="AC354" s="3">
        <f>979.7+(117.6-525.7)+(-1.998588+(-0.239904--1.072428))+0-0-0</f>
        <v>570.43393600000002</v>
      </c>
      <c r="AD354" s="2">
        <v>653.5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899.6+(110.5-481.4)+(-1.376388+(-0.169065--0.736542))+0-0-0</f>
        <v>527.89108900000008</v>
      </c>
      <c r="G355" s="3">
        <f>899.6+(97.3-517.4)+(0+(0-0))+0-0-0</f>
        <v>479.50000000000006</v>
      </c>
      <c r="H355" s="3">
        <f>900.3+(82.9-517.3)+(-1.377459+(-0.126837--0.791469))+0-0-0</f>
        <v>465.18717299999997</v>
      </c>
      <c r="I355" s="3">
        <f>901.3+(80.8-532.8)+(0.459663+(0.041208-0.271728))+0-0-0</f>
        <v>449.52914300000003</v>
      </c>
      <c r="J355" s="3">
        <f>902.4+(83.9-538.7)+(2.30112+(0.213945-1.373685))+0-0-0</f>
        <v>448.74137999999994</v>
      </c>
      <c r="K355" s="3">
        <f>901.6+(89-534.9)+(1.379448+(0.13617-0.818397))+0-0-0</f>
        <v>456.39722100000006</v>
      </c>
      <c r="L355" s="3">
        <f>901.5+(102.4-541.2)+(-0.459765+(-0.052224--0.276012))+0-0-0</f>
        <v>462.46402299999994</v>
      </c>
      <c r="M355" s="3">
        <f>926.8+(107.3-530)+(0.945336+(0.109446-0.5406))+0-0-0</f>
        <v>504.61418199999997</v>
      </c>
      <c r="N355" s="3">
        <f>974.6+(104.2-513.1)+(0.497046+(0.053142-0.261681))+0-0-0</f>
        <v>565.98850700000003</v>
      </c>
      <c r="O355" s="3">
        <f>923.7+(149.1-473.5)+(1.413261+(0.228123-0.724455))+0-0-0</f>
        <v>600.21692900000005</v>
      </c>
      <c r="P355" s="3">
        <f>926.1+(167.8-473.7)+(1.416933+(0.256734-0.724761))+0-0-0</f>
        <v>621.14890600000001</v>
      </c>
      <c r="Q355" s="3">
        <f>968.3+(146.4-501.4)+(-2.469165+(-0.37332--1.27857))+0-0-0</f>
        <v>611.736085</v>
      </c>
      <c r="R355" s="3">
        <f>1006.5+(132-556.4)+(0+(0-0))+0-0-0</f>
        <v>582.1</v>
      </c>
      <c r="S355" s="3">
        <f>1003.4+(146.1-590)+(0+(0-0))+0-0-0</f>
        <v>559.5</v>
      </c>
      <c r="T355" s="3">
        <f>1008+(129.6-569)+(0+(0-0))+0-0-0</f>
        <v>568.6</v>
      </c>
      <c r="U355" s="3">
        <f>1003+(133.3-578.9)+(1.02306+(0.135966-0.590478))+0-0-0</f>
        <v>557.96854800000006</v>
      </c>
      <c r="V355" s="3">
        <f>1004.4+(133.8-566.4)+(1.536732+(0.204714-0.866592))+0-0-0</f>
        <v>572.67485399999998</v>
      </c>
      <c r="W355" s="3">
        <f>1001.8+(120.5-509.1)+(1.021836+(0.12291-0.519282))+0-0-0</f>
        <v>613.8254639999999</v>
      </c>
      <c r="X355" s="3">
        <f>1003.3+(100.3-405.8)+(1.023366+(0.102306-0.413916))+0-0-0</f>
        <v>698.51175599999999</v>
      </c>
      <c r="Y355" s="3">
        <f>1011.5+(113.8-386.9)+(0+(0-0))+0-0-0</f>
        <v>738.40000000000009</v>
      </c>
      <c r="Z355" s="3">
        <f>1007.8+(105.7-376.1)+(0+(0-0))+0-0-0</f>
        <v>737.39999999999986</v>
      </c>
      <c r="AA355" s="3">
        <f>1010.7+(105.4-407.2)+(0.515457+(0.053754-0.207672))+0-0-0</f>
        <v>709.26153900000008</v>
      </c>
      <c r="AB355" s="3">
        <f>1004.8+(93.3-431.5)+(-1.537344+(-0.142749--0.660195))+0-0-0</f>
        <v>665.5801019999999</v>
      </c>
      <c r="AC355" s="3">
        <f>1007+(68.3-450)+(1.54071+(0.104499-0.6885))+0-0-0</f>
        <v>626.256709</v>
      </c>
      <c r="AD355" s="2">
        <v>704.59999999999991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988.6+(36.2-466.8)+(-2.016744+(-0.073848--0.952272))+0-0-0</f>
        <v>556.86167999999998</v>
      </c>
      <c r="G356" s="3">
        <f>980.4+(19.3-491.4)+(-2.000016+(-0.039372--1.002456))+0-0-0</f>
        <v>507.26306800000003</v>
      </c>
      <c r="H356" s="3">
        <f>982.7+(43.2-530.6)+(-1.503531+(-0.066096--0.811818))+0-0-0</f>
        <v>494.542191</v>
      </c>
      <c r="I356" s="3">
        <f>978.7+(39.5-528.5)+(-0.998274+(-0.04029--0.53907))+0-0-0</f>
        <v>489.20050600000002</v>
      </c>
      <c r="J356" s="3">
        <f>975.8+(22.6-513.8)+(-0.497658+(-0.011526--0.262038))+0-0-0</f>
        <v>484.35285400000004</v>
      </c>
      <c r="K356" s="3">
        <f>983.2+(13.8-500.5)+(-1.002864+(-0.014076--0.51051))+0-0-0</f>
        <v>495.99357000000003</v>
      </c>
      <c r="L356" s="3">
        <f>989.8+(33.1-537.9)+(-1.009596+(-0.033762--0.548658))+0-0-0</f>
        <v>484.50529999999998</v>
      </c>
      <c r="M356" s="3">
        <f>992.8+(29.1-513.7)+(0+(0-0))+0-0-0</f>
        <v>508.19999999999993</v>
      </c>
      <c r="N356" s="3">
        <f>995+(57.4-488.9)+(2.53725+(0.14637-1.246695))+0-0-0</f>
        <v>564.93692499999997</v>
      </c>
      <c r="O356" s="3">
        <f>999.8+(113.1-510.5)+(0+(0-0))+0-0-0</f>
        <v>602.4</v>
      </c>
      <c r="P356" s="3">
        <f>1006.8+(86.1-476.5)+(0+(0-0))+0-0-0</f>
        <v>616.4</v>
      </c>
      <c r="Q356" s="3">
        <f>1061.8+(75.6-511.9)+(-0.541518+(-0.038556--0.261069))+0-0-0</f>
        <v>625.18099500000005</v>
      </c>
      <c r="R356" s="3">
        <f>1092.3+(49.4-525.9)+(-3.342438+(-0.151164--1.609254))+0-0-0</f>
        <v>613.91565199999991</v>
      </c>
      <c r="S356" s="3">
        <f>1170.2+(36.8-596.9)+(-0.596802+(-0.018768--0.304419))+0-0-0</f>
        <v>609.78884900000003</v>
      </c>
      <c r="T356" s="3">
        <f>1159.4+(46.7-593.3)+(-3.547764+(-0.142902--1.815498))+0-0-0</f>
        <v>610.92483200000015</v>
      </c>
      <c r="U356" s="3">
        <f>1173.1+(44.6-607.4)+(0.598281+(0.022746-0.309774))+0-0-0</f>
        <v>610.61125299999992</v>
      </c>
      <c r="V356" s="3">
        <f>1175.5+(45.9-603.8)+(1.19901+(0.046818-0.615876))+0-0-0</f>
        <v>618.22995200000003</v>
      </c>
      <c r="W356" s="3">
        <f>1175.5+(53.4-579.6)+(1.19901+(0.054468-0.591192))+0-0-0</f>
        <v>649.96228599999995</v>
      </c>
      <c r="X356" s="3">
        <f>1178.2+(37.6-474.7)+(0+(0-0))+0-0-0</f>
        <v>741.10000000000014</v>
      </c>
      <c r="Y356" s="3">
        <f>1209.4+(72.7-504.4)+(0+(0-0))+0-0-0</f>
        <v>777.7</v>
      </c>
      <c r="Z356" s="3">
        <f>1195+(66.4-495.8)+(-2.4378+(-0.135456--1.011432))+0-0-0</f>
        <v>764.03817600000002</v>
      </c>
      <c r="AA356" s="3">
        <f>1195.3+(55.5-511.8)+(-1.828809+(-0.084915--0.783054))+0-0-0</f>
        <v>737.86932999999999</v>
      </c>
      <c r="AB356" s="3">
        <f>1200.9+(56-570)+(-1.224918+(-0.05712--0.5814))+0-0-0</f>
        <v>686.19936200000006</v>
      </c>
      <c r="AC356" s="3">
        <f>1183.4+(31.4-581.1)+(-3.01767+(-0.08007--1.481805))+0-0-0</f>
        <v>632.08406500000001</v>
      </c>
      <c r="AD356" s="2">
        <v>743.8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1173.8+(7.6-629)+(-1.197276+(-0.007752--0.64158))+0-0-0</f>
        <v>551.83655199999998</v>
      </c>
      <c r="G357" s="3">
        <f>1005.2+(53.1-558.8)+(-1.025304+(-0.054162--0.569976))+0-0-0</f>
        <v>498.99051000000009</v>
      </c>
      <c r="H357" s="3">
        <f>946.5+(86-553.7)+(0+(0-0))+0-0-0</f>
        <v>478.79999999999995</v>
      </c>
      <c r="I357" s="3">
        <f>947.8+(92-567.6)+(1.450134+(0.14076-0.868428))+0-0-0</f>
        <v>472.92246599999993</v>
      </c>
      <c r="J357" s="3">
        <f>943.4+(77.6-556.4)+(-0.481134+(-0.039576--0.283764))+0-0-0</f>
        <v>464.36305400000003</v>
      </c>
      <c r="K357" s="3">
        <f>1015.4+(13.9-570.5)+(0.517854+(0.007089-0.290955))+0-0-0</f>
        <v>459.03398799999997</v>
      </c>
      <c r="L357" s="3">
        <f>1187+(0-721.1)+(0+(0-0))+0-0-0</f>
        <v>465.9</v>
      </c>
      <c r="M357" s="3">
        <f>1204.9+(1.1-701)+(1.228998+(0.001122-0.71502))+0-0-0</f>
        <v>505.51510000000013</v>
      </c>
      <c r="N357" s="3">
        <f>1202.5+(4.4-645.5)+(0.613275+(0.002244-0.329205))+0-0-0</f>
        <v>561.68631399999992</v>
      </c>
      <c r="O357" s="3">
        <f>1206.9+(1.9-613.4)+(1.231038+(0.001938-0.625668))+0-0-0</f>
        <v>596.00730800000008</v>
      </c>
      <c r="P357" s="3">
        <f>1200.6+(12.9-601.8)+(-0.612306+(-0.006579--0.306918))+0-0-0</f>
        <v>611.38803299999995</v>
      </c>
      <c r="Q357" s="3">
        <f>1192.8+(18.2-595)+(-3.04164+(-0.04641--1.51725))+0-0-0</f>
        <v>614.42920000000004</v>
      </c>
      <c r="R357" s="3">
        <f>1196.2+(12.1-607.7)+(-2.440248+(-0.024684--1.239708))+0-0-0</f>
        <v>599.374776</v>
      </c>
      <c r="S357" s="3">
        <f>1199.7+(21.3-624.6)+(0+(0-0))+0-0-0</f>
        <v>596.4</v>
      </c>
      <c r="T357" s="3">
        <f>1193+(1.2-615.3)+(-0.60843+(-0.000612--0.313803))+0-0-0</f>
        <v>578.60476100000005</v>
      </c>
      <c r="U357" s="3">
        <f>1185+(1.1-619.8)+(0+(0-0))+0-0-0</f>
        <v>566.30000000000007</v>
      </c>
      <c r="V357" s="3">
        <f>1167.5+(4.4-611.8)+(-2.3817+(-0.008976--1.248072))+0-0-0</f>
        <v>558.95739600000002</v>
      </c>
      <c r="W357" s="3">
        <f>1181.1+(1.2-600.6)+(0+(0-0))+0-0-0</f>
        <v>581.69999999999993</v>
      </c>
      <c r="X357" s="3">
        <f>1190.8+(21-542.3)+(-0.607308+(-0.01071--0.276573))+0-0-0</f>
        <v>669.15855499999998</v>
      </c>
      <c r="Y357" s="3">
        <f>1213.4+(63.1-551.1)+(-1.237668+(-0.064362--0.562122))+0-0-0</f>
        <v>724.66009200000008</v>
      </c>
      <c r="Z357" s="3">
        <f>1210.3+(56.9-535.4)+(-1.234506+(-0.058038--0.546108))+0-0-0</f>
        <v>731.05356399999994</v>
      </c>
      <c r="AA357" s="3">
        <f>1207.4+(51.3-547.4)+(-3.07887+(-0.130815--1.39587))+0-0-0</f>
        <v>709.48618500000021</v>
      </c>
      <c r="AB357" s="3">
        <f>1205.7+(47.7-586.9)+(-1.844721+(-0.072981--0.897957))+0-0-0</f>
        <v>665.48025500000017</v>
      </c>
      <c r="AC357" s="3">
        <f>1098.5+(58.6-538.6)+(-1.680705+(-0.089658--0.824058))+0-0-0</f>
        <v>617.55369499999995</v>
      </c>
      <c r="AD357" s="2">
        <v>722.2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1033.6+(61.9-525.2)+(0.527136+(0.031569-0.267852))+0-0-0</f>
        <v>570.59085299999981</v>
      </c>
      <c r="G358" s="3">
        <f>933.3+(57.6-470.7)+(-1.427949+(-0.088128--0.720171))+0-0-0</f>
        <v>519.4040940000001</v>
      </c>
      <c r="H358" s="3">
        <f>951.2+(39.3-496.4)+(0+(0-0))+0-0-0</f>
        <v>494.10000000000008</v>
      </c>
      <c r="I358" s="3">
        <f>946.6+(28.4-485.6)+(-2.41383+(-0.07242--1.23828))+0-0-0</f>
        <v>488.15202999999997</v>
      </c>
      <c r="J358" s="3">
        <f>955.2+(25.8-491.4)+(0+(0-0))+0-0-0</f>
        <v>489.60000000000008</v>
      </c>
      <c r="K358" s="3">
        <f>980.5+(26.1-512.8)+(1.00011+(0.026622-0.523056))+0-0-0</f>
        <v>494.30367600000005</v>
      </c>
      <c r="L358" s="3">
        <f>1052.8+(22.6-589.5)+(-1.073856+(-0.023052--0.60129))+0-0-0</f>
        <v>485.404382</v>
      </c>
      <c r="M358" s="3">
        <f>1147.9+(29.6-651.4)+(1.170858+(0.030192-0.664428))+0-0-0</f>
        <v>526.6366220000001</v>
      </c>
      <c r="N358" s="3">
        <f>1085.1+(56.4-563.7)+(-0.553401+(-0.028764--0.287487))+0-0-0</f>
        <v>577.50532199999986</v>
      </c>
      <c r="O358" s="3">
        <f>1107.8+(57.7-567.3)+(0.564978+(0.029427-0.289323))+0-0-0</f>
        <v>598.50508200000002</v>
      </c>
      <c r="P358" s="3">
        <f>1152.2+(27.3-556.9)+(-1.762866+(-0.041769--0.852057))+0-0-0</f>
        <v>621.64742200000001</v>
      </c>
      <c r="Q358" s="3">
        <f>1134.3+(59.5-574.6)+(0+(0-0))+0-0-0</f>
        <v>619.19999999999993</v>
      </c>
      <c r="R358" s="3">
        <f>1161.5+(51-612.1)+(-1.18473+(-0.05202--0.624342))+0-0-0</f>
        <v>599.78759200000002</v>
      </c>
      <c r="S358" s="3">
        <f>1155.7+(44.3-613.8)+(-1.178814+(-0.045186--0.626076))+0-0-0</f>
        <v>585.60207600000001</v>
      </c>
      <c r="T358" s="3">
        <f>1160+(26.1-612.6)+(1.1832+(0.026622-0.624852))+0-0-0</f>
        <v>574.08497</v>
      </c>
      <c r="U358" s="3">
        <f>1159.4+(28.6-619.7)+(0.591294+(0.014586-0.316047))+0-0-0</f>
        <v>568.58983300000011</v>
      </c>
      <c r="V358" s="3">
        <f>1166.4+(25.1-623.9)+(0+(0-0))+0-0-0</f>
        <v>567.60000000000014</v>
      </c>
      <c r="W358" s="3">
        <f>1212.8+(12.9-654.8)+(0.618528+(0.006579-0.333948))+0-0-0</f>
        <v>571.19115899999997</v>
      </c>
      <c r="X358" s="3">
        <f>1212.9+(43.7-593.1)+(0+(0-0))+0-0-0</f>
        <v>663.50000000000011</v>
      </c>
      <c r="Y358" s="3">
        <f>1240+(88.3-594.8)+(-3.7944+(-0.270198--1.820088))+0-0-0</f>
        <v>731.25549000000001</v>
      </c>
      <c r="Z358" s="3">
        <f>1233+(81.3-581.5)+(-1.25766+(-0.082926--0.59313))+0-0-0</f>
        <v>732.0525439999999</v>
      </c>
      <c r="AA358" s="3">
        <f>1226.8+(69.2-591.6)+(-2.502672+(-0.141168--1.206864))+0-0-0</f>
        <v>702.96302400000002</v>
      </c>
      <c r="AB358" s="3">
        <f>1245+(79.9-663.9)+(-2.5398+(-0.162996--1.354356))+0-0-0</f>
        <v>659.65156000000002</v>
      </c>
      <c r="AC358" s="3">
        <f>1256+(67.6-707)+(-3.2028+(-0.17238--1.80285))+0-0-0</f>
        <v>615.02767000000006</v>
      </c>
      <c r="AD358" s="2">
        <v>721.7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1221.5+(9-672)+(-3.114825+(-0.02295--1.7136))+0-0-0</f>
        <v>557.07582500000001</v>
      </c>
      <c r="G359" s="3">
        <f>1105.2+(1.5-602.4)+(-2.81826+(-0.003825--1.53612))+0-0-0</f>
        <v>503.01403500000009</v>
      </c>
      <c r="H359" s="3">
        <f>832.3+(64-413.8)+(-0.424473+(-0.03264--0.211038))+0-0-0</f>
        <v>482.25392499999992</v>
      </c>
      <c r="I359" s="3">
        <f>803.9+(60.2-393.8)+(-0.409989+(-0.030702--0.200838))+0-0-0</f>
        <v>470.06014699999997</v>
      </c>
      <c r="J359" s="3">
        <f>798.3+(52.9-376.8)+(-2.035665+(-0.134895--0.96084))+0-0-0</f>
        <v>473.19027999999992</v>
      </c>
      <c r="K359" s="3">
        <f>928.6+(22.4-476.1)+(-0.473586+(-0.011424--0.242811))+0-0-0</f>
        <v>474.65780099999995</v>
      </c>
      <c r="L359" s="3">
        <f>1015.7+(5.5-561.1)+(-1.554021+(-0.008415--0.858483))+0-0-0</f>
        <v>459.39604700000001</v>
      </c>
      <c r="M359" s="3">
        <f>1116.2+(9.2-634.2)+(0+(0-0))+0-0-0</f>
        <v>491.20000000000005</v>
      </c>
      <c r="N359" s="3">
        <f>1128.9+(26.1-612.8)+(0.575739+(0.013311-0.312528))+0-0-0</f>
        <v>542.47652200000016</v>
      </c>
      <c r="O359" s="3">
        <f>1139.9+(48.2-609.5)+(-2.325396+(-0.098328--1.24338))+0-0-0</f>
        <v>577.41965600000015</v>
      </c>
      <c r="P359" s="3">
        <f>1135.5+(58.7-589.9)+(-1.15821+(-0.059874--0.601698))+0-0-0</f>
        <v>603.68361400000003</v>
      </c>
      <c r="Q359" s="3">
        <f>1139.2+(8.5-524.4)+(0+(0-0))+0-0-0</f>
        <v>623.30000000000007</v>
      </c>
      <c r="R359" s="3">
        <f>1129.2+(8.5-537.7)+(-2.303568+(-0.01734--1.096908))+0-0-0</f>
        <v>598.77599999999995</v>
      </c>
      <c r="S359" s="3">
        <f>1123.6+(26.5-568)+(-0.573036+(-0.013515--0.28968))+0-0-0</f>
        <v>581.8031289999999</v>
      </c>
      <c r="T359" s="3">
        <f>1120.2+(60.8-604.2)+(0+(0-0))+0-0-0</f>
        <v>576.79999999999995</v>
      </c>
      <c r="U359" s="3">
        <f>1120.8+(42.6-597.9)+(1.143216+(0.043452-0.609858))+0-0-0</f>
        <v>566.07681000000002</v>
      </c>
      <c r="V359" s="3">
        <f>1098.1+(34.7-564.9)+(-2.800155+(-0.088485--1.440495))+0-0-0</f>
        <v>566.45185500000002</v>
      </c>
      <c r="W359" s="3">
        <f>1106.2+(22.3-551.4)+(0+(0-0))+0-0-0</f>
        <v>577.1</v>
      </c>
      <c r="X359" s="3">
        <f>1113.8+(47.5-485.6)+(-1.136076+(-0.04845--0.495312))+0-0-0</f>
        <v>675.01078599999994</v>
      </c>
      <c r="Y359" s="3">
        <f>1124.2+(93.4-493.2)+(-2.86671+(-0.23817--1.25766))+0-0-0</f>
        <v>722.5527800000001</v>
      </c>
      <c r="Z359" s="3">
        <f>1119.5+(94-494.5)+(-2.28378+(-0.19176--1.00878))+0-0-0</f>
        <v>717.53323999999998</v>
      </c>
      <c r="AA359" s="3">
        <f>1116.4+(88.5-510.9)+(-3.985548+(-0.315945--1.823913))+0-0-0</f>
        <v>691.52242000000012</v>
      </c>
      <c r="AB359" s="3">
        <f>1129.8+(86.9-568.8)+(-2.304792+(-0.177276--1.160352))+0-0-0</f>
        <v>646.57828399999994</v>
      </c>
      <c r="AC359" s="3">
        <f>1107.1+(58.5-562.3)+(-1.129242+(-0.05967--0.573546))+0-0-0</f>
        <v>602.68463399999996</v>
      </c>
      <c r="AD359" s="2">
        <v>713.50000000000011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1024.6+(61.1-521.4)+(-3.135276+(-0.186966--1.595484))+0-0-0</f>
        <v>562.57324199999994</v>
      </c>
      <c r="G360" s="3">
        <f>1031.7+(39.1-556.4)+(-1.578501+(-0.059823--0.851292))+0-0-0</f>
        <v>513.61296800000014</v>
      </c>
      <c r="H360" s="3">
        <f>1003+(25.2-552.6)+(-1.53459+(-0.038556--0.845478))+0-0-0</f>
        <v>474.87233200000003</v>
      </c>
      <c r="I360" s="3">
        <f>795.4+(78.7-417.4)+(-0.405654+(-0.040137--0.212874))+0-0-0</f>
        <v>456.467083</v>
      </c>
      <c r="J360" s="3">
        <f>789.4+(71.4-412.4)+(-0.805188+(-0.072828--0.420648))+0-0-0</f>
        <v>447.942632</v>
      </c>
      <c r="K360" s="3">
        <f>814.8+(88.3-441.7)+(0.831096+(0.090066-0.450534))+0-0-0</f>
        <v>461.87062799999995</v>
      </c>
      <c r="L360" s="3">
        <f>833.3+(101.2-483.8)+(-1.699932+(-0.206448--0.986952))+0-0-0</f>
        <v>449.78057199999995</v>
      </c>
      <c r="M360" s="3">
        <f>995.1+(46.9-573.4)+(0.507501+(0.023919-0.292434))+0-0-0</f>
        <v>468.83898600000003</v>
      </c>
      <c r="N360" s="3">
        <f>1092.1+(32.5-591.3)+(0.556971+(0.016575-0.301563))+0-0-0</f>
        <v>533.57198299999993</v>
      </c>
      <c r="O360" s="3">
        <f>1094.5+(52.8-582.8)+(2.23278+(0.107712-1.188912))+0-0-0</f>
        <v>565.65157999999997</v>
      </c>
      <c r="P360" s="3">
        <f>1174.6+(11.7-596.7)+(-1.198092+(-0.011934--0.608634))+0-0-0</f>
        <v>588.99860799999988</v>
      </c>
      <c r="Q360" s="3">
        <f>1172.1+(0-573.2)+(-2.988855+(0--1.46166))+0-0-0</f>
        <v>597.37280499999986</v>
      </c>
      <c r="R360" s="3">
        <f>1129.4+(4.6-552.3)+(-2.87997+(-0.01173--1.408365))+0-0-0</f>
        <v>580.21666500000015</v>
      </c>
      <c r="S360" s="3">
        <f>1093.3+(16-554.2)+(-2.230332+(-0.03264--1.130568))+0-0-0</f>
        <v>553.96759599999996</v>
      </c>
      <c r="T360" s="3">
        <f>1109.7+(6.8-578.1)+(1.131894+(0.006936-0.589662))+0-0-0</f>
        <v>538.94916799999999</v>
      </c>
      <c r="U360" s="3">
        <f>1109.7+(21-587)+(0+(0-0))+0-0-0</f>
        <v>543.70000000000005</v>
      </c>
      <c r="V360" s="3">
        <f>1132.1+(25.7-609.6)+(-1.732113+(-0.039321--0.932688))+0-0-0</f>
        <v>547.36125399999992</v>
      </c>
      <c r="W360" s="3">
        <f>1146.1+(15-599.3)+(1.169022+(0.0153-0.611286))+0-0-0</f>
        <v>562.37303599999996</v>
      </c>
      <c r="X360" s="3">
        <f>1257.5+(1.2-599.5)+(1.28265+(0.001224-0.61149))+0-0-0</f>
        <v>659.87238400000001</v>
      </c>
      <c r="Y360" s="3">
        <f>1268.1+(64-622.8)+(-1.940193+(-0.09792--0.952884))+0-0-0</f>
        <v>708.21477099999993</v>
      </c>
      <c r="Z360" s="3">
        <f>1272+(57.2-617.9)+(-1.94616+(-0.087516--0.945387))+0-0-0</f>
        <v>710.21171100000004</v>
      </c>
      <c r="AA360" s="3">
        <f>1277+(53-641.4)+(-0.65127+(-0.02703--0.327114))+0-0-0</f>
        <v>688.24881400000004</v>
      </c>
      <c r="AB360" s="3">
        <f>1286.3+(44.2-683.5)+(-3.280065+(-0.11271--1.742925))+0-0-0</f>
        <v>645.35014999999999</v>
      </c>
      <c r="AC360" s="3">
        <f>1340.2+(14.7-740.2)+(-2.050506+(-0.022491--1.132506))+0-0-0</f>
        <v>613.75950900000009</v>
      </c>
      <c r="AD360" s="2">
        <v>704.5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1223.8+(6-675.7)+(-2.496552+(-0.01224--1.378428))+0-0-0</f>
        <v>552.96963599999992</v>
      </c>
      <c r="G361" s="3">
        <f>852.3+(102.5-443.9)+(-1.738692+(-0.2091--0.905556))+0-0-0</f>
        <v>509.85776399999997</v>
      </c>
      <c r="H361" s="3">
        <f>735+(134-395)+(-0.7497+(-0.13668--0.4029))+0-0-0</f>
        <v>473.51652000000001</v>
      </c>
      <c r="I361" s="3">
        <f>742.9+(125.3-414.5)+(1.136637+(0.191709-0.634185))+0-0-0</f>
        <v>454.394161</v>
      </c>
      <c r="J361" s="3">
        <f>733.7+(136.5-417.6)+(-1.496748+(-0.27846--0.851904))+0-0-0</f>
        <v>451.67669600000005</v>
      </c>
      <c r="K361" s="3">
        <f>735.9+(137.2-423.4)+(-0.750618+(-0.139944--0.431868))+0-0-0</f>
        <v>449.24130600000001</v>
      </c>
      <c r="L361" s="3">
        <f>738.2+(113.2-439.6)+(-0.376482+(-0.057732--0.224196))+0-0-0</f>
        <v>411.58998200000002</v>
      </c>
      <c r="M361" s="3">
        <f>741.3+(117.6-439)+(0.378063+(0.059976-0.22389))+0-0-0</f>
        <v>420.114149</v>
      </c>
      <c r="N361" s="3">
        <f>771.6+(117.9-436.2)+(-0.393516+(-0.060129--0.222462))+0-0-0</f>
        <v>453.06881700000008</v>
      </c>
      <c r="O361" s="3">
        <f>984.6+(75.9-549.8)+(-0.502146+(-0.038709--0.280398))+0-0-0</f>
        <v>510.43954300000007</v>
      </c>
      <c r="P361" s="3">
        <f>997+(88.4-542.9)+(1.52541+(0.135252-0.830637))+0-0-0</f>
        <v>543.33002499999998</v>
      </c>
      <c r="Q361" s="3">
        <f>995.8+(89.9-541.6)+(-2.031432+(-0.183396--1.104864))+0-0-0</f>
        <v>542.99003599999992</v>
      </c>
      <c r="R361" s="3">
        <f>997.5+(78-537.8)+(-1.01745+(-0.07956--0.548556))+0-0-0</f>
        <v>537.15154600000005</v>
      </c>
      <c r="S361" s="3">
        <f>991.3+(71.2-542.2)+(-2.022252+(-0.145248--1.106088))+0-0-0</f>
        <v>519.23858799999994</v>
      </c>
      <c r="T361" s="3">
        <f>997.7+(58.4-565.6)+(1.017654+(0.059568-0.576912))+0-0-0</f>
        <v>491.00031000000001</v>
      </c>
      <c r="U361" s="3">
        <f>995.5+(52.4-577)+(0.507705+(0.026724-0.29427))+0-0-0</f>
        <v>471.14015899999998</v>
      </c>
      <c r="V361" s="3">
        <f>1011.6+(40.6-589)+(1.031832+(0.041412-0.60078))+0-0-0</f>
        <v>463.67246400000005</v>
      </c>
      <c r="W361" s="3">
        <f>1063.4+(29.8-613.2)+(0+(0-0))+0-0-0</f>
        <v>480</v>
      </c>
      <c r="X361" s="3">
        <f>1087.1+(43.5-553)+(1.108842+(0.04437-0.56406))+0-0-0</f>
        <v>578.18915199999992</v>
      </c>
      <c r="Y361" s="3">
        <f>1086.9+(101-539.3)+(-0.554319+(-0.05151--0.275043))+0-0-0</f>
        <v>648.26921400000015</v>
      </c>
      <c r="Z361" s="3">
        <f>1083.2+(90.3-519.1)+(-1.104864+(-0.092106--0.529482))+0-0-0</f>
        <v>653.73251200000004</v>
      </c>
      <c r="AA361" s="3">
        <f>1041.5+(94.3-506.2)+(-1.06233+(-0.096186--0.516324))+0-0-0</f>
        <v>628.957808</v>
      </c>
      <c r="AB361" s="3">
        <f>1011.6+(92.5-506)+(-2.57958+(-0.235875--1.2903))+0-0-0</f>
        <v>596.57484499999998</v>
      </c>
      <c r="AC361" s="3">
        <f>1014.7+(67.6-525.6)+(-1.552491+(-0.103428--0.804168))+0-0-0</f>
        <v>555.84824900000001</v>
      </c>
      <c r="AD361" s="2">
        <v>649.5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1008.6+(34.7-551.5)+(-3.086316+(-0.106182--1.68759))+0-0-0</f>
        <v>490.29509200000007</v>
      </c>
      <c r="G362" s="3">
        <f>1012.4+(51.9-612.4)+(-2.58162+(-0.132345--1.56162))+0-0-0</f>
        <v>450.74765499999995</v>
      </c>
      <c r="H362" s="3">
        <f>993.9+(47.9-617.6)+(-2.027556+(-0.097716--1.259904))+0-0-0</f>
        <v>423.33463199999994</v>
      </c>
      <c r="I362" s="3">
        <f>739.8+(68.4-398.6)+(0+(0-0))+0-0-0</f>
        <v>409.59999999999991</v>
      </c>
      <c r="J362" s="3">
        <f>749.2+(65.8-403.7)+(1.146276+(0.100674-0.617661))+0-0-0</f>
        <v>411.9292890000001</v>
      </c>
      <c r="K362" s="3">
        <f>745.1+(72.8-402.5)+(0+(0-0))+0-0-0</f>
        <v>415.40000000000003</v>
      </c>
      <c r="L362" s="3">
        <f>745.5+(77.1-410.5)+(-0.380205+(-0.039321--0.209355))+0-0-0</f>
        <v>411.88982900000002</v>
      </c>
      <c r="M362" s="3">
        <f>872.9+(64.8-486.1)+(0+(0-0))+0-0-0</f>
        <v>451.59999999999997</v>
      </c>
      <c r="N362" s="3">
        <f>915.4+(85-487.3)+(-0.466854+(-0.04335--0.248523))+0-0-0</f>
        <v>512.83831899999996</v>
      </c>
      <c r="O362" s="3">
        <f>950.3+(90.8-495.6)+(-0.484653+(-0.046308--0.252756))+0-0-0</f>
        <v>545.22179500000004</v>
      </c>
      <c r="P362" s="3">
        <f>1046.4+(64-532.1)+(0.533664+(0.03264-0.271371))+0-0-0</f>
        <v>578.59493300000008</v>
      </c>
      <c r="Q362" s="3">
        <f>1072.4+(54.3-535.4)+(0+(0-0))+0-0-0</f>
        <v>591.30000000000018</v>
      </c>
      <c r="R362" s="3">
        <f>1134.3+(23.5-577.3)+(-1.735479+(-0.035955--0.883269))+0-0-0</f>
        <v>579.61183500000004</v>
      </c>
      <c r="S362" s="3">
        <f>1207.1+(11.3-644.5)+(0.615621+(0.005763-0.328695))+0-0-0</f>
        <v>574.19268899999986</v>
      </c>
      <c r="T362" s="3">
        <f>1318.4+(7.2-742.6)+(-1.344768+(-0.007344--0.757452))+0-0-0</f>
        <v>582.40534000000014</v>
      </c>
      <c r="U362" s="3">
        <f>1292.1+(6.5-713.7)+(-2.635884+(-0.01326--1.455948))+0-0-0</f>
        <v>583.70680399999992</v>
      </c>
      <c r="V362" s="3">
        <f>1479.5+(1.1-892.5)+(-4.52727+(-0.003366--2.73105))+0-0-0</f>
        <v>586.30041400000005</v>
      </c>
      <c r="W362" s="3">
        <f>1420+(4.2-818.3)+(-5.7936+(-0.017136--3.338664))+0-0-0</f>
        <v>603.42792800000007</v>
      </c>
      <c r="X362" s="3">
        <f>1552.2+(0-867.6)+(0+(0-0))+0-0-0</f>
        <v>684.6</v>
      </c>
      <c r="Y362" s="3">
        <f>1639.3+(0-907.8)+(-4.180215+(0--2.31489))+0-0-0</f>
        <v>729.63467500000002</v>
      </c>
      <c r="Z362" s="3">
        <f>1635.1+(0-911.8)+(-4.169505+(0--2.32509))+0-0-0</f>
        <v>721.45558499999993</v>
      </c>
      <c r="AA362" s="3">
        <f>1634.9+(0-928.1)+(-3.335196+(0--1.893324))+0-0-0</f>
        <v>705.35812800000008</v>
      </c>
      <c r="AB362" s="3">
        <f>1631.6+(0-979.2)+(-0.832116+(0--0.499392))+0-0-0</f>
        <v>652.06727599999988</v>
      </c>
      <c r="AC362" s="3">
        <f>1611.5+(0-999.2)+(-4.109325+(0--2.54796))+0-0-0</f>
        <v>610.73863499999993</v>
      </c>
      <c r="AD362" s="2">
        <v>698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1596.3+(0-1022)+(-4.884678+(0--3.12732))+0-0-0</f>
        <v>572.542642</v>
      </c>
      <c r="G363" s="3">
        <f>1332.1+(3.1-820.3)+(-3.396855+(-0.007905--2.091765))+0-0-0</f>
        <v>513.58700499999998</v>
      </c>
      <c r="H363" s="3">
        <f>1314.6+(6.7-830.7)+(-2.681784+(-0.013668--1.694628))+0-0-0</f>
        <v>489.59917599999989</v>
      </c>
      <c r="I363" s="3">
        <f>1299.3+(8.9-826.6)+(-3.975858+(-0.027234--2.529396))+0-0-0</f>
        <v>480.12630399999989</v>
      </c>
      <c r="J363" s="3">
        <f>1295.6+(2.7-825.7)+(-1.982268+(-0.004131--1.263321))+0-0-0</f>
        <v>471.87692199999992</v>
      </c>
      <c r="K363" s="3">
        <f>1303.4+(0-823.1)+(-0.664734+(0--0.419781))+0-0-0</f>
        <v>480.05504700000006</v>
      </c>
      <c r="L363" s="3">
        <f>1299.3+(0-835.7)+(0+(0-0))+0-0-0</f>
        <v>463.59999999999991</v>
      </c>
      <c r="M363" s="3">
        <f>1358.4+(0-879.2)+(1.385568+(0-0.896784))+0-0-0</f>
        <v>479.68878400000006</v>
      </c>
      <c r="N363" s="3">
        <f>1556.8+(0-1016.7)+(-0.793968+(0--0.518517))+0-0-0</f>
        <v>539.82454899999993</v>
      </c>
      <c r="O363" s="3">
        <f>1581.8+(0-988.2)+(0+(0-0))+0-0-0</f>
        <v>593.59999999999991</v>
      </c>
      <c r="P363" s="3">
        <f>1585.7+(17.7-979.1)+(-4.043535+(-0.045135--2.496705))+0-0-0</f>
        <v>622.70803500000011</v>
      </c>
      <c r="Q363" s="3">
        <f>1597.8+(17.4-971)+(-0.814878+(-0.008874--0.49521))+0-0-0</f>
        <v>643.87145799999996</v>
      </c>
      <c r="R363" s="3">
        <f>1542.4+(0-934)+(-4.719744+(0--2.85804))+0-0-0</f>
        <v>606.53829600000006</v>
      </c>
      <c r="S363" s="3">
        <f>1540.2+(0-955.2)+(0.785502+(0-0.487152))+0-0-0</f>
        <v>585.29835000000003</v>
      </c>
      <c r="T363" s="3">
        <f>1505.1+(0-931.9)+(-3.070404+(0--1.901076))+0-0-0</f>
        <v>572.03067199999998</v>
      </c>
      <c r="U363" s="3">
        <f>1518.6+(0-954.4)+(-2.323458+(0--1.460232))+0-0-0</f>
        <v>563.33677399999988</v>
      </c>
      <c r="V363" s="3">
        <f>1549.5+(0-988.5)+(0+(0-0))+0-0-0</f>
        <v>561</v>
      </c>
      <c r="W363" s="3">
        <f>1555.6+(0-1011.6)+(0+(0-0))+0-0-0</f>
        <v>543.99999999999989</v>
      </c>
      <c r="X363" s="3">
        <f>1593.7+(0-904.7)+(0.812787+(0-0.461397))+0-0-0</f>
        <v>689.35139000000004</v>
      </c>
      <c r="Y363" s="3">
        <f>1596.2+(0-952.7)+(-0.814062+(0--0.485877))+0-0-0</f>
        <v>643.17181500000004</v>
      </c>
      <c r="Z363" s="3">
        <f>1609.5+(0-909.9)+(-0.820845+(0--0.464049))+0-0-0</f>
        <v>699.24320399999999</v>
      </c>
      <c r="AA363" s="3">
        <f>1606.2+(0-927)+(-0.819162+(0--0.47277))+0-0-0</f>
        <v>678.85360800000001</v>
      </c>
      <c r="AB363" s="3">
        <f>1592.8+(0-945.8)+(-4.06164+(0--2.41179))+0-0-0</f>
        <v>645.35014999999999</v>
      </c>
      <c r="AC363" s="3">
        <f>1369+(0-774.3)+(-2.79276+(0--1.579572))+0-0-0</f>
        <v>593.4868120000001</v>
      </c>
      <c r="AD363" s="2">
        <v>709.59999999999991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1255.2+(2.3-695.2)+(-2.560608+(-0.004692--1.418208))+0-0-0</f>
        <v>561.15290799999991</v>
      </c>
      <c r="G364" s="3">
        <f>1258.6+(4-756.2)+(-1.925658+(-0.00612--1.156986))+0-0-0</f>
        <v>505.62520799999987</v>
      </c>
      <c r="H364" s="3">
        <f>1249.3+(3.4-777.5)+(-3.185715+(-0.00867--1.982625))+0-0-0</f>
        <v>473.98823999999991</v>
      </c>
      <c r="I364" s="3">
        <f>1266.1+(2-801.3)+(0.645711+(0.00102-0.408663))+0-0-0</f>
        <v>467.03806799999995</v>
      </c>
      <c r="J364" s="3">
        <f>1255.1+(2.3-804.1)+(-2.560404+(-0.004692--1.640364))+0-0-0</f>
        <v>452.37526799999983</v>
      </c>
      <c r="K364" s="3">
        <f>1259.7+(1.2-795.5)+(-1.284894+(-0.001224--0.81141))+0-0-0</f>
        <v>464.92529200000007</v>
      </c>
      <c r="L364" s="3">
        <f>1265.3+(0-808)+(0+(0-0))+0-0-0</f>
        <v>457.29999999999995</v>
      </c>
      <c r="M364" s="3">
        <f>1329.5+(0-856.9)+(-2.034135+(0--1.311057))+0-0-0</f>
        <v>471.87692200000004</v>
      </c>
      <c r="N364" s="3">
        <f>1513.1+(0-976.6)+(-0.771681+(0--0.498066))+0-0-0</f>
        <v>536.22638499999994</v>
      </c>
      <c r="O364" s="3">
        <f>1596.6+(0-1025.3)+(-4.07133+(0--2.614515))+0-0-0</f>
        <v>569.84318499999995</v>
      </c>
      <c r="P364" s="3">
        <f>1619.6+(0-1033)+(0.825996+(0-0.52683))+0-0-0</f>
        <v>586.89916599999992</v>
      </c>
      <c r="Q364" s="3">
        <f>1621.2+(0-1020.5)+(0.826812+(0-0.520455))+0-0-0</f>
        <v>601.00635700000009</v>
      </c>
      <c r="R364" s="3">
        <f>1590.3+(0-1007.8)+(-4.866318+(0--3.083868))+0-0-0</f>
        <v>580.71754999999996</v>
      </c>
      <c r="S364" s="3">
        <f>1611.4+(0-1036.9)+(-3.287256+(0--2.115276))+0-0-0</f>
        <v>573.32802000000004</v>
      </c>
      <c r="T364" s="3">
        <f>1613+(0-1041.7)+(-1.64526+(0--1.062534))+0-0-0</f>
        <v>570.71727399999997</v>
      </c>
      <c r="U364" s="3">
        <f>1611.7+(0-1062.1)+(-0.821967+(0--0.541671))+0-0-0</f>
        <v>549.31970400000012</v>
      </c>
      <c r="V364" s="3">
        <f>1606.2+(0-1036.9)+(-2.457486+(0--1.586457))+0-0-0</f>
        <v>568.42897099999993</v>
      </c>
      <c r="W364" s="3">
        <f>1625+(0-1020.9)+(1.6575+(0-1.041318))+0-0-0</f>
        <v>604.716182</v>
      </c>
      <c r="X364" s="3">
        <f>1626.8+(0-961.3)+(1.659336+(0-0.980526))+0-0-0</f>
        <v>666.17881</v>
      </c>
      <c r="Y364" s="3">
        <f>1636.8+(0-931.8)+(-0.834768+(0--0.475218))+0-0-0</f>
        <v>704.64044999999999</v>
      </c>
      <c r="Z364" s="3">
        <f>1625.5+(0-915.5)+(-4.145025+(0--2.334525))+0-0-0</f>
        <v>708.18949999999995</v>
      </c>
      <c r="AA364" s="3">
        <f>1633.2+(0-945.2)+(0+(0-0))+0-0-0</f>
        <v>688</v>
      </c>
      <c r="AB364" s="3">
        <f>1619.7+(0-960)+(-3.304188+(0--1.9584))+0-0-0</f>
        <v>658.35421200000008</v>
      </c>
      <c r="AC364" s="3">
        <f>1392+(0-777.8)+(-3.5496+(0--1.98339))+0-0-0</f>
        <v>612.63379000000009</v>
      </c>
      <c r="AD364" s="2">
        <v>680.80000000000007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1238.3+(0-699.1)+(0+(0-0))+0-0-0</f>
        <v>539.19999999999993</v>
      </c>
      <c r="G365" s="3">
        <f>1178+(0-702.8)+(-2.40312+(0--1.433712))+0-0-0</f>
        <v>474.23059200000006</v>
      </c>
      <c r="H365" s="3">
        <f>1118.4+(0-668.3)+(-3.422304+(0--2.044998))+0-0-0</f>
        <v>448.72269400000016</v>
      </c>
      <c r="I365" s="3">
        <f>1013.6+(0-579.2)+(-1.033872+(0--0.590784))+0-0-0</f>
        <v>433.95691199999999</v>
      </c>
      <c r="J365" s="3">
        <f>930.4+(18.4-522.6)+(-0.949008+(-0.018768--0.533052))+0-0-0</f>
        <v>425.76527599999991</v>
      </c>
      <c r="K365" s="3">
        <f>936.3+(5.8-514.4)+(0.955026+(0.005916-0.524688))+0-0-0</f>
        <v>428.13625400000001</v>
      </c>
      <c r="L365" s="3">
        <f>906.7+(6.1-514.1)+(-0.924834+(-0.006222--0.524382))+0-0-0</f>
        <v>398.29332600000004</v>
      </c>
      <c r="M365" s="3">
        <f>1006.9+(0-596.9)+(1.027038+(0-0.608838))+0-0-0</f>
        <v>410.41820000000001</v>
      </c>
      <c r="N365" s="3">
        <f>1349.7+(0-873.4)+(-0.688347+(0--0.445434))+0-0-0</f>
        <v>476.05708700000008</v>
      </c>
      <c r="O365" s="3">
        <f>1425.7+(0-891.6)+(0+(0-0))+0-0-0</f>
        <v>534.1</v>
      </c>
      <c r="P365" s="3">
        <f>1450.6+(0-885.4)+(-0.739806+(0--0.451554))+0-0-0</f>
        <v>564.91174799999999</v>
      </c>
      <c r="Q365" s="3">
        <f>1460.2+(0-889.5)+(2.978808+(0-1.81458))+0-0-0</f>
        <v>571.86422800000003</v>
      </c>
      <c r="R365" s="3">
        <f>1452.3+(0-887.6)+(-2.962692+(0--1.810704))+0-0-0</f>
        <v>563.54801199999997</v>
      </c>
      <c r="S365" s="3">
        <f>1458.3+(0-902.7)+(-1.487466+(0--0.920754))+0-0-0</f>
        <v>555.03328799999986</v>
      </c>
      <c r="T365" s="3">
        <f>1353.5+(0-805.8)+(-2.76114+(0--1.643832))+0-0-0</f>
        <v>546.58269200000007</v>
      </c>
      <c r="U365" s="3">
        <f>1283.4+(0-747.4)+(-1.963602+(0--1.143522))+0-0-0</f>
        <v>535.17992000000015</v>
      </c>
      <c r="V365" s="3">
        <f>1293.7+(0-753.1)+(2.639148+(0-1.536324))+0-0-0</f>
        <v>541.70282400000008</v>
      </c>
      <c r="W365" s="3">
        <f>1278.7+(0-713.8)+(-2.608548+(0--1.456152))+0-0-0</f>
        <v>563.74760400000014</v>
      </c>
      <c r="X365" s="3">
        <f>1375.6+(0-719.5)+(1.403112+(0-0.73389))+0-0-0</f>
        <v>656.7692219999999</v>
      </c>
      <c r="Y365" s="3">
        <f>1452.2+(51.8-793.3)+(-2.221866+(-0.079254--1.213749))+0-0-0</f>
        <v>709.61262900000008</v>
      </c>
      <c r="Z365" s="3">
        <f>1468+(51.6-817.5)+(1.49736+(0.052632-0.83385))+0-0-0</f>
        <v>702.81614200000001</v>
      </c>
      <c r="AA365" s="3">
        <f>1300.4+(106.3-709.6)+(1.326408+(0.108426-0.723792))+0-0-0</f>
        <v>697.81104200000004</v>
      </c>
      <c r="AB365" s="3">
        <f>1234.7+(101.8-675.2)+(-1.889091+(-0.155754--1.033056))+0-0-0</f>
        <v>660.28821099999993</v>
      </c>
      <c r="AC365" s="3">
        <f>1237.2+(74-692.1)+(-1.261944+(-0.07548--0.705942))+0-0-0</f>
        <v>618.46851800000002</v>
      </c>
      <c r="AD365" s="2">
        <v>682.0999999999998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551.63675599999988</v>
      </c>
      <c r="G366" s="1">
        <v>493.49122</v>
      </c>
      <c r="H366" s="1">
        <v>463.96325799999994</v>
      </c>
      <c r="I366" s="1">
        <v>438.10444000000001</v>
      </c>
      <c r="J366" s="1">
        <v>423.61593399999998</v>
      </c>
      <c r="K366" s="1">
        <v>422.98416800000007</v>
      </c>
      <c r="L366" s="1">
        <v>396.59505999999993</v>
      </c>
      <c r="M366" s="1">
        <v>408.90000000000003</v>
      </c>
      <c r="N366" s="1">
        <v>465.79999999999995</v>
      </c>
      <c r="O366" s="1">
        <v>507.19999999999993</v>
      </c>
      <c r="P366" s="1">
        <v>549.09999999999991</v>
      </c>
      <c r="Q366" s="1">
        <v>555.98340700000006</v>
      </c>
      <c r="R366" s="1">
        <v>553.65161500000011</v>
      </c>
      <c r="S366" s="1">
        <v>550.67432799999983</v>
      </c>
      <c r="T366" s="1">
        <v>532.53855499999997</v>
      </c>
      <c r="U366" s="1">
        <v>493.43851499999994</v>
      </c>
      <c r="V366" s="1">
        <v>469.48059399999983</v>
      </c>
      <c r="W366" s="1">
        <v>468.98135900000005</v>
      </c>
      <c r="X366" s="1">
        <v>553.11776599999985</v>
      </c>
      <c r="Y366" s="1">
        <v>636.57518100000004</v>
      </c>
      <c r="Z366" s="1">
        <v>637.57004000000006</v>
      </c>
      <c r="AA366" s="1">
        <v>629.09171499999991</v>
      </c>
      <c r="AB366" s="1">
        <v>592.58504499999992</v>
      </c>
      <c r="AC366" s="1">
        <v>565.03417300000012</v>
      </c>
      <c r="AD366" s="1">
        <v>592.30000000000007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129.8+(244.4-125.2)+(-0.132396+(-0.249288--0.127704))+0-29--0.0295800000000046</f>
        <v>219.7756</v>
      </c>
      <c r="G1" s="3">
        <f>129.4+(304.4-196.3)+(-0.263976+(-0.620976--0.400452))+0-26.6--0.0542639999999988</f>
        <v>210.46976399999997</v>
      </c>
      <c r="H1" s="3">
        <f>90.7+(184.5-37.6)+(-0.231285+(-0.470475--0.09588))+0-30.2--0.0770099999999956</f>
        <v>206.87113000000002</v>
      </c>
      <c r="I1" s="3">
        <f>60.1+(196.1-18)+(-0.091953+(-0.300033--0.02754))+0-30--0.0459000000000017</f>
        <v>207.88145399999999</v>
      </c>
      <c r="J1" s="3">
        <f>60.1+(178.7-7.5)+(-0.030651+(-0.091137--0.003825))+0-30--0.015299999999997</f>
        <v>201.19733699999998</v>
      </c>
      <c r="K1" s="3">
        <f>60.1+(170.1-4.9)+(0+(0-0))+0-30.6-0</f>
        <v>194.7</v>
      </c>
      <c r="L1" s="3">
        <f>60.2+(178-13.7)+(-0.030702+(-0.09078--0.006987))+0-30--0.015299999999997</f>
        <v>194.40080499999999</v>
      </c>
      <c r="M1" s="3">
        <f>60.2+(207.6-34.4)+(0+(0-0))+0-30-0</f>
        <v>203.39999999999998</v>
      </c>
      <c r="N1" s="3">
        <f>55.5+(253-74.3)+(-0.05661+(-0.25806--0.075786))+0-27.9--0.0284580000000044</f>
        <v>206.08957399999997</v>
      </c>
      <c r="O1" s="3">
        <f>53.1+(298.1-124.1)+(-0.081243+(-0.456093--0.189873))+0-31--0.0474300000000018</f>
        <v>195.79996700000001</v>
      </c>
      <c r="P1" s="3">
        <f>53.8+(317.3-148.4)+(-0.082314+(-0.485469--0.227052))+0-31.2--0.0477360000000018</f>
        <v>191.20700500000001</v>
      </c>
      <c r="Q1" s="3">
        <f>55.1+(227.6-62.9)+(-0.028101+(-0.116076--0.032079))+0-30.7--0.0156569999999969</f>
        <v>189.003559</v>
      </c>
      <c r="R1" s="3">
        <f>55.1+(197.9-33.2)+(0+(0-0))+0-30.6-0</f>
        <v>189.2</v>
      </c>
      <c r="S1" s="3">
        <f>55.1+(204.3-38)+(0.028101+(0.104193-0.01938))+0-30.1-0.0153509999999969</f>
        <v>191.39756299999999</v>
      </c>
      <c r="T1" s="3">
        <f>55.1+(259.8-95.3)+(-0.140505+(-0.66249--0.243015))+0-29.7--0.0757349999999957</f>
        <v>189.41575500000002</v>
      </c>
      <c r="U1" s="3">
        <f>55+(278.7-119.1)+(-0.08415+(-0.426411--0.182223))+0-31--0.0474300000000018</f>
        <v>183.31909199999998</v>
      </c>
      <c r="V1" s="3">
        <f>55.1+(206.6-46)+(-0.084303+(-0.316098--0.07038))+0-30--0.0459000000000017</f>
        <v>185.41587899999999</v>
      </c>
      <c r="W1" s="3">
        <f>55.1+(203.8-43.8)+(-0.056202+(-0.207876--0.044676))+0-30.9--0.0315180000000049</f>
        <v>184.01211599999999</v>
      </c>
      <c r="X1" s="3">
        <f>75+(234.2-72.2)+(-0.0765+(-0.238884--0.073644))+0-23.4--0.0238680000000037</f>
        <v>213.38212799999999</v>
      </c>
      <c r="Y1" s="3">
        <f>124.3+(200.7-78.5)+(-0.126786+(-0.204714--0.08007))+0-31.4--0.032028000000005</f>
        <v>214.88059799999999</v>
      </c>
      <c r="Z1" s="3">
        <f>89.6+(200-49.5)+(-0.137088+(-0.306--0.075735))+0-32.4--0.0495720000000019</f>
        <v>207.38221899999999</v>
      </c>
      <c r="AA1" s="3">
        <f>89.4+(161-9.8)+(-0.136782+(-0.24633--0.014994))+0-32.2--0.0492660000000019</f>
        <v>208.08114799999998</v>
      </c>
      <c r="AB1" s="3">
        <f>89.5+(148.6-0)+(-0.136935+(-0.227358-0))+0-31.9--0.0488070000000018</f>
        <v>205.884514</v>
      </c>
      <c r="AC1" s="3">
        <f>88.1+(152.3-7.6)+(-0.314517+(-0.543711--0.027132))+0-31.8--0.113526</f>
        <v>200.28243000000001</v>
      </c>
      <c r="AD1" s="2">
        <v>209.79999999999998</v>
      </c>
      <c r="AE1" s="3">
        <f>90+(220.4-68.2)+(0+(0-0))+0-32.4-0</f>
        <v>209.79999999999998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194.14121499999999</v>
      </c>
      <c r="G2" s="3">
        <f>89+(160-30)+(0+(0-0))+0-31-0</f>
        <v>188</v>
      </c>
      <c r="H2" s="3">
        <f>89.2+(137.5-5.1)+(-0.136476+(-0.210375--0.007803))+0-31.5--0.0481950000000018</f>
        <v>189.80914700000002</v>
      </c>
      <c r="I2" s="3">
        <f>89.6+(139.2-8.6)+(-0.137088+(-0.212976--0.013158))+0-31--0.0474300000000018</f>
        <v>188.91052399999998</v>
      </c>
      <c r="J2" s="3">
        <f>89.2+(150.7-21.5)+(-0.136476+(-0.230571--0.032895))+0-28.4--0.0434520000000016</f>
        <v>189.70929999999998</v>
      </c>
      <c r="K2" s="3">
        <f>90.7+(151.4-19.4)+(0.138771+(0.231642-0.029682))+0-31.9-0.0488070000000018</f>
        <v>191.09192399999998</v>
      </c>
      <c r="L2" s="3">
        <f>89.2+(173.2-41.9)+(-0.136476+(-0.264996--0.064107))+0-32.1--0.0491130000000019</f>
        <v>188.11174800000001</v>
      </c>
      <c r="M2" s="3">
        <f>90.1+(190.6-75.5)+(0.045951+(0.097206-0.038505))+0-31.4-0.0160139999999968</f>
        <v>173.88863799999999</v>
      </c>
      <c r="N2" s="3">
        <f>90.3+(196.1-76.9)+(0.046053+(0.100011-0.039219))+0-31-0.0158099999999969</f>
        <v>178.59103500000001</v>
      </c>
      <c r="O2" s="3">
        <f>90.1+(200-74.1)+(0.045951+(0.102-0.037791))+0-31.1-0.0158609999999968</f>
        <v>184.99429900000001</v>
      </c>
      <c r="P2" s="3">
        <f>114.3+(239.3-134.1)+(0+(0-0))+0-30.2-0</f>
        <v>189.3</v>
      </c>
      <c r="Q2" s="3">
        <f>119.7+(232.9-168.6)+(-0.122094+(-0.237558--0.171972))+0-29.9--0.0304980000000048</f>
        <v>153.94281799999999</v>
      </c>
      <c r="R2" s="3">
        <f>109.1+(217.1-135.9)+(0+(0-0))+0-31.7-0</f>
        <v>158.6</v>
      </c>
      <c r="S2" s="3">
        <f>70.2+(174.7-22.9)+(0+(0-0))+0-32.3-0</f>
        <v>189.7</v>
      </c>
      <c r="T2" s="3">
        <f>70+(153-9.6)+(-0.0714+(-0.15606--0.009792))+0-29.9--0.0304980000000048</f>
        <v>183.31282999999999</v>
      </c>
      <c r="U2" s="3">
        <f>69.2+(156.1-8.8)+(-0.141168+(-0.318444--0.017952))+0-31.8--0.0648719999999986</f>
        <v>184.32321199999998</v>
      </c>
      <c r="V2" s="3">
        <f>70.6+(175.4-25.1)+(0.072012+(0.178908-0.025602))+0-30.9-0.0315180000000049</f>
        <v>190.19379999999998</v>
      </c>
      <c r="W2" s="3">
        <f>70+(238.5-97.9)+(-0.0714+(-0.24327--0.099858))+0-22.7--0.0231540000000036</f>
        <v>187.70834200000002</v>
      </c>
      <c r="X2" s="3">
        <f>69.8+(268.5-113.4)+(-0.071196+(-0.27387--0.115668))+0-31.2--0.031824000000005</f>
        <v>193.50242599999999</v>
      </c>
      <c r="Y2" s="3">
        <f>99.6+(178.3-25.4)+(0+(0-0))+0-34.9-0</f>
        <v>217.6</v>
      </c>
      <c r="Z2" s="3">
        <f>124.5+(159.6-20.8)+(-0.190485+(-0.244188--0.031824))+0-34--0.052020000000002</f>
        <v>228.94917099999995</v>
      </c>
      <c r="AA2" s="3">
        <f>125.7+(164.4-33.3)+(-0.128214+(-0.167688--0.033966))+0-32.2--0.0328440000000051</f>
        <v>224.37090800000004</v>
      </c>
      <c r="AB2" s="3">
        <f>101.4+(207.4-51.6)+(0.103428+(0.211548-0.052632))+0-32.7-0.0333540000000052</f>
        <v>224.72899000000004</v>
      </c>
      <c r="AC2" s="3">
        <f>99.9+(195.8-45.1)+(-0.050949+(-0.099858--0.023001))+0-30.2--0.0154019999999969</f>
        <v>220.28759600000004</v>
      </c>
      <c r="AD2" s="2">
        <v>228.59999999999997</v>
      </c>
      <c r="AE2" s="3">
        <f>125+(165.9-27.8)+(0+(0-0))+0-34.5-0</f>
        <v>228.60000000000002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99.7+(145.4-4.3)+(-0.152541+(-0.222462--0.006579))+0-25.5--0.0390150000000015</f>
        <v>214.97059100000001</v>
      </c>
      <c r="G3" s="3">
        <f>73.3+(159.3-1.9)+(-0.037383+(-0.081243--0.000969))+0-25.6--0.0130559999999974</f>
        <v>204.99539899999999</v>
      </c>
      <c r="H3" s="3">
        <f>69.9+(191.3-27.2)+(-0.035649+(-0.097563--0.013872))+0-29.7--0.015146999999997</f>
        <v>204.19580700000003</v>
      </c>
      <c r="I3" s="3">
        <f>70.5+(227.3-73.4)+(0.14382+(0.463692-0.149736))+0-31.1-0.0634439999999986</f>
        <v>193.694332</v>
      </c>
      <c r="J3" s="3">
        <f>70.2+(215-60.7)+(0+(0-0))+0-30.9-0</f>
        <v>193.6</v>
      </c>
      <c r="K3" s="3">
        <f>70.3+(198.7-40.1)+(0.035853+(0.101337-0.020451))+0-30.3-0.0154529999999969</f>
        <v>198.70128599999995</v>
      </c>
      <c r="L3" s="3">
        <f>70.5+(216-63.3)+(0.035955+(0.11016-0.032283))+0-29-0.0147899999999971</f>
        <v>194.29904199999999</v>
      </c>
      <c r="M3" s="3">
        <f>69.1+(222.4-80.9)+(-0.140964+(-0.453696--0.165036))+0-31.1--0.0634439999999986</f>
        <v>179.13382000000001</v>
      </c>
      <c r="N3" s="3">
        <f>69.6+(207-61.4)+(-0.035496+(-0.10557--0.031314))+0-29.9--0.015248999999997</f>
        <v>185.20549699999998</v>
      </c>
      <c r="O3" s="3">
        <f>76.7+(211.1-76.2)+(0.039117+(0.107661-0.038862))+0-27-0.0137699999999973</f>
        <v>184.69414599999996</v>
      </c>
      <c r="P3" s="3">
        <f>127.8+(182.7-90.7)+(-0.065178+(-0.093177--0.046257))+0-29.4--0.014993999999997</f>
        <v>190.30289599999998</v>
      </c>
      <c r="Q3" s="3">
        <f>128.1+(268-175.1)+(0+(0-0))+0-24.7-0</f>
        <v>196.3</v>
      </c>
      <c r="R3" s="3">
        <f>126.9+(285.6-188.3)+(-0.323595+(-0.72828--0.480165))+0-30.6--0.0780299999999956</f>
        <v>193.10632000000001</v>
      </c>
      <c r="S3" s="3">
        <f>128.3+(235.8-146.5)+(0.130866+(0.240516-0.14943))+0-30.8-0.0314160000000049</f>
        <v>186.99053599999999</v>
      </c>
      <c r="T3" s="3">
        <f>127.7+(230.4-139.7)+(-0.130254+(-0.235008--0.142494))+0-30.9--0.0315180000000049</f>
        <v>187.30875000000003</v>
      </c>
      <c r="U3" s="3">
        <f>126.8+(232.9-145.9)+(-0.258672+(-0.475116--0.297636))+0-29.1--0.0593639999999987</f>
        <v>184.32321200000001</v>
      </c>
      <c r="V3" s="3">
        <f>70.7+(187.9-69.7)+(0+(0-0))+0-0-0</f>
        <v>188.9</v>
      </c>
      <c r="W3" s="3">
        <f>70.1+(185.8-64.3)+(0.035751+(0.094758-0.032793))+0-0-0</f>
        <v>191.69771600000001</v>
      </c>
      <c r="X3" s="3">
        <f>69.5+(175.8-46.8)+(-0.106335+(-0.268974--0.071604))+0-0-0</f>
        <v>198.19629499999999</v>
      </c>
      <c r="Y3" s="3">
        <f>82.1+(168.4-28.3)+(0+(0-0))+0-0-0</f>
        <v>222.2</v>
      </c>
      <c r="Z3" s="3">
        <f>123.8+(156.1-44.5)+(-0.378828+(-0.477666--0.13617))+0-0-0</f>
        <v>234.67967599999997</v>
      </c>
      <c r="AA3" s="3">
        <f>70.9+(182-22.9)+(-0.036159+(-0.09282--0.011679))+0-0-0</f>
        <v>229.8827</v>
      </c>
      <c r="AB3" s="3">
        <f>69.6+(156.4-1.9)+(-0.070992+(-0.159528--0.001938))+0-0-0</f>
        <v>223.87141800000001</v>
      </c>
      <c r="AC3" s="3">
        <f>69.8+(149.7-0)+(-0.106794+(-0.229041-0))+0-0-0</f>
        <v>219.164165</v>
      </c>
      <c r="AD3" s="2">
        <v>242.7</v>
      </c>
      <c r="AE3" s="3">
        <f>125+(158.4-40.7)+(0+(0-0))+0-0-0</f>
        <v>242.7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69.2+(145.7-0)+(-0.070584+(-0.148614-0))+0-0-0</f>
        <v>214.68080199999997</v>
      </c>
      <c r="G4" s="3">
        <f>69.2+(146.6-11.9)+(-0.105876+(-0.224298--0.018207))+0-0-0</f>
        <v>203.58803299999997</v>
      </c>
      <c r="H4" s="3">
        <f>69.9+(141.6-18)+(-0.035649+(-0.072216--0.00918))+0-0-0</f>
        <v>193.40131500000001</v>
      </c>
      <c r="I4" s="3">
        <f>70.1+(139.2-11.8)+(0+(0-0))+0-0-0</f>
        <v>197.5</v>
      </c>
      <c r="J4" s="3">
        <f>69.5+(143.1-19.4)+(-0.106335+(-0.218943--0.029682))+0-0-0</f>
        <v>192.904404</v>
      </c>
      <c r="K4" s="3">
        <f>70.2+(147.2-24)+(-0.035802+(-0.075072--0.01224))+0-0-0</f>
        <v>193.30136599999997</v>
      </c>
      <c r="L4" s="3">
        <f>69.3+(179.8-57.4)+(-0.141372+(-0.366792--0.117096))+0-0-0</f>
        <v>191.308932</v>
      </c>
      <c r="M4" s="3">
        <f>68.1+(174.6-57.5)+(-0.208386+(-0.534276--0.17595))+0-0-0</f>
        <v>184.63328799999999</v>
      </c>
      <c r="N4" s="3">
        <f>70.5+(164.9-48.1)+(0.07191+(0.168198-0.049062))+0-0-0</f>
        <v>187.49104600000001</v>
      </c>
      <c r="O4" s="3">
        <f>70.2+(203.7-80.5)+(0.035802+(0.103887-0.041055))+0-0-0</f>
        <v>193.49863399999998</v>
      </c>
      <c r="P4" s="3">
        <f>70.5+(195.3-63.9)+(0.07191+(0.199206-0.065178))+0-0-0</f>
        <v>202.10593800000001</v>
      </c>
      <c r="Q4" s="3">
        <f>70.2+(249.4-117.1)+(0+(0-0))+0-0-0</f>
        <v>202.5</v>
      </c>
      <c r="R4" s="3">
        <f>122.1+(247-177)+(-0.311355+(-0.62985--0.45135))+0-0-0</f>
        <v>191.61014499999999</v>
      </c>
      <c r="S4" s="3">
        <f>85.7+(283.3-177.3)+(-0.174828+(-0.577932--0.361692))+0-0-0</f>
        <v>191.308932</v>
      </c>
      <c r="T4" s="3">
        <f>69.8+(320.7-199.3)+(-0.071196+(-0.327114--0.203286))+0-0-0</f>
        <v>191.004976</v>
      </c>
      <c r="U4" s="3">
        <f>69.4+(315.4-196.1)+(-0.106182+(-0.482562--0.300033))+0-0-0</f>
        <v>188.41128899999998</v>
      </c>
      <c r="V4" s="3">
        <f>70+(322.7-202.7)+(0.0357+(0.164577-0.103377))+0-0-0</f>
        <v>190.09690000000001</v>
      </c>
      <c r="W4" s="3">
        <f>70.6+(297.2-173.8)+(0.144024+(0.606288-0.354552))+0-0-0</f>
        <v>194.39575999999997</v>
      </c>
      <c r="X4" s="3">
        <f>107+(214.1-118.6)+(-0.05457+(-0.109191--0.060486))+0-0-0</f>
        <v>202.396725</v>
      </c>
      <c r="Y4" s="3">
        <f>121.8+(157.1-47.1)+(0+(0-0))+0-0-0</f>
        <v>231.8</v>
      </c>
      <c r="Z4" s="3">
        <f>110.3+(145.9-17.6)+(-0.281265+(-0.372045--0.04488))+0-0-0</f>
        <v>237.99157000000002</v>
      </c>
      <c r="AA4" s="3">
        <f>99.6+(158.7-24.4)+(-0.203184+(-0.323748--0.049776))+0-0-0</f>
        <v>233.42284399999997</v>
      </c>
      <c r="AB4" s="3">
        <f>100.1+(129.2-0)+(0+(0-0))+0-0-0</f>
        <v>229.29999999999998</v>
      </c>
      <c r="AC4" s="3">
        <f>100.2+(123.5-5.5)+(0.051102+(0.062985-0.002805))+0-0-0</f>
        <v>218.31128199999998</v>
      </c>
      <c r="AD4" s="2">
        <v>237.5</v>
      </c>
      <c r="AE4" s="3">
        <f>100+(155.8-18.3)+(0+(0-0))+0-0-0</f>
        <v>237.5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99.4+(110.4-0)+(-0.25347+(-0.28152-0))+0-0-0</f>
        <v>209.26501000000002</v>
      </c>
      <c r="G5" s="3">
        <f>82.1+(124.9-1)+(-0.167484+(-0.254796--0.00204))+0-0-0</f>
        <v>205.57975999999999</v>
      </c>
      <c r="H5" s="3">
        <f>70+(197.7-65)+(0.0357+(0.100827-0.03315))+0-0-0</f>
        <v>202.80337699999998</v>
      </c>
      <c r="I5" s="3">
        <f>68.9+(206.5-77)+(-0.210834+(-0.63189--0.23562))+0-0-0</f>
        <v>197.79289600000001</v>
      </c>
      <c r="J5" s="3">
        <f>69.5+(179.6-52)+(-0.07089+(-0.183192--0.05304))+0-0-0</f>
        <v>196.89895799999999</v>
      </c>
      <c r="K5" s="3">
        <f>70.2+(161.5-35)+(0.071604+(0.16473-0.0357))+0-0-0</f>
        <v>196.900634</v>
      </c>
      <c r="L5" s="3">
        <f>69.4+(224.2-104)+(-0.106182+(-0.343026--0.15912))+0-0-0</f>
        <v>189.309912</v>
      </c>
      <c r="M5" s="3">
        <f>69.6+(252.5-134.3)+(-0.035496+(-0.128775--0.068493))+0-0-0</f>
        <v>187.70422199999999</v>
      </c>
      <c r="N5" s="3">
        <f>70.2+(313.3-184.2)+(0.035802+(0.159783-0.093942))+0-0-0</f>
        <v>199.40164300000001</v>
      </c>
      <c r="O5" s="3">
        <f>70.1+(346.2-210.9)+(0.035751+(0.176562-0.107559))+0-0-0</f>
        <v>205.50475399999999</v>
      </c>
      <c r="P5" s="3">
        <f>69.8+(297.8-158)+(0+(0-0))+0-0-0</f>
        <v>209.60000000000002</v>
      </c>
      <c r="Q5" s="3">
        <f>115+(292.1-184.4)+(0.05865+(0.148971-0.094044))+0-0-0</f>
        <v>222.81357700000001</v>
      </c>
      <c r="R5" s="3">
        <f>124.7+(288.8-193.1)+(-0.254388+(-0.589152--0.393924))+0-0-0</f>
        <v>219.95038400000004</v>
      </c>
      <c r="S5" s="3">
        <f>93.1+(300.1-150.9)+(-0.142443+(-0.459153--0.230877))+0-0-0</f>
        <v>241.929281</v>
      </c>
      <c r="T5" s="3">
        <f>69.9+(312.6-138.8)+(-0.035649+(-0.159426--0.070788))+0-0-0</f>
        <v>243.57571300000001</v>
      </c>
      <c r="U5" s="3">
        <f>69+(284.2-84.8)+(-0.17595+(-0.72471--0.21624))+0-0-0</f>
        <v>267.71557999999999</v>
      </c>
      <c r="V5" s="3">
        <f>69.8+(225.7-110.1)+(0+(0-0))+0-0-0</f>
        <v>185.39999999999998</v>
      </c>
      <c r="W5" s="3">
        <f>70.1+(224.6-93.2)+(0.035751+(0.114546-0.047532))+0-0-0</f>
        <v>201.60276499999998</v>
      </c>
      <c r="X5" s="3">
        <f>70.2+(220.4-82.5)+(0+(0-0))+0-0-0</f>
        <v>208.10000000000002</v>
      </c>
      <c r="Y5" s="3">
        <f>97.2+(183.5-40.6)+(0.099144+(0.18717-0.041412))+0-0-0</f>
        <v>240.34490200000002</v>
      </c>
      <c r="Z5" s="3">
        <f>123.2+(152-26.1)+(-0.125664+(-0.15504--0.026622))+0-0-0</f>
        <v>248.84591800000001</v>
      </c>
      <c r="AA5" s="3">
        <f>124.7+(177.4-63.9)+(-0.190791+(-0.271422--0.097767))+0-0-0</f>
        <v>237.835554</v>
      </c>
      <c r="AB5" s="3">
        <f>84.8+(161.5-11.9)+(0.043248+(0.082365-0.006069))+0-0-0</f>
        <v>234.51954399999997</v>
      </c>
      <c r="AC5" s="3">
        <f>69.4+(185.5-27)+(-0.141576+(-0.37842--0.05508))+0-0-0</f>
        <v>227.43508400000002</v>
      </c>
      <c r="AD5" s="2">
        <v>248.50000000000003</v>
      </c>
      <c r="AE5" s="3">
        <f>123+(147.1-21.6)+(0+(0-0))+0-0-0</f>
        <v>248.5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69.4+(142.7-0)+(-0.106182+(-0.218331-0))+0-0-0</f>
        <v>211.775487</v>
      </c>
      <c r="G6" s="3">
        <f>69.2+(161-16.2)+(-0.17646+(-0.41055--0.04131))+0-0-0</f>
        <v>213.45429999999999</v>
      </c>
      <c r="H6" s="3">
        <f>69.7+(164.3-24)+(-0.106641+(-0.251379--0.03672))+0-0-0</f>
        <v>209.67869999999999</v>
      </c>
      <c r="I6" s="3">
        <f>70.1+(189.8-62.9)+(0+(0-0))+0-0-0</f>
        <v>197</v>
      </c>
      <c r="J6" s="3">
        <f>70.1+(202.6-72)+(0+(0-0))+0-0-0</f>
        <v>200.7</v>
      </c>
      <c r="K6" s="3">
        <f>70.3+(197.7-61.9)+(0.035853+(0.100827-0.031569))+0-0-0</f>
        <v>206.20511099999996</v>
      </c>
      <c r="L6" s="3">
        <f>69.9+(243.5-111.9)+(-0.035649+(-0.124185--0.057069))+0-0-0</f>
        <v>201.39723499999999</v>
      </c>
      <c r="M6" s="3">
        <f>69.6+(342.6-213.4)+(0+(0-0))+0-0-0</f>
        <v>198.8</v>
      </c>
      <c r="N6" s="3">
        <f>70.2+(317.6-175.9)+(0+(0-0))+0-0-0</f>
        <v>211.90000000000003</v>
      </c>
      <c r="O6" s="3">
        <f>92.7+(316.6-188.5)+(0.189108+(0.645864-0.38454))+0-0-0</f>
        <v>221.25043200000002</v>
      </c>
      <c r="P6" s="3">
        <f>120.4+(289.7-178.1)+(0.122808+(0.295494-0.181662))+0-0-0</f>
        <v>232.23663999999999</v>
      </c>
      <c r="Q6" s="3">
        <f>120.5+(246.2-130.8)+(-0.24582+(-0.502248--0.266832))+0-0-0</f>
        <v>235.41876399999998</v>
      </c>
      <c r="R6" s="3">
        <f>122.9+(258.3-148.9)+(-0.125358+(-0.263466--0.151878))+0-0-0</f>
        <v>232.06305400000002</v>
      </c>
      <c r="S6" s="3">
        <f>122.3+(269.9-165.7)+(-0.249492+(-0.550596--0.338028))+0-0-0</f>
        <v>226.03793999999999</v>
      </c>
      <c r="T6" s="3">
        <f>120.7+(278.2-181.3)+(0.061557+(0.141882-0.092463))+0-0-0</f>
        <v>217.71097599999996</v>
      </c>
      <c r="U6" s="3">
        <f>119.3+(304.3-208.6)+(-0.182529+(-0.465579--0.319158))+0-0-0</f>
        <v>214.67105000000001</v>
      </c>
      <c r="V6" s="3">
        <f>119.7+(311.1-216)+(-0.122094+(-0.317322--0.22032))+0-0-0</f>
        <v>214.580904</v>
      </c>
      <c r="W6" s="3">
        <f>118.8+(277.6-182.9)+(-0.424116+(-0.991032--0.652953))+0-0-0</f>
        <v>212.73780500000001</v>
      </c>
      <c r="X6" s="3">
        <f>119.9+(247.6-153.3)+(-0.061149+(-0.126276--0.078183))+0-0-0</f>
        <v>214.09075799999999</v>
      </c>
      <c r="Y6" s="3">
        <f>120.4+(261-137.2)+(0.122808+(0.26622-0.139944))+0-0-0</f>
        <v>244.44908400000003</v>
      </c>
      <c r="Z6" s="3">
        <f>120.8+(218.1-87.2)+(-0.184824+(-0.333693--0.133416))+0-0-0</f>
        <v>251.314899</v>
      </c>
      <c r="AA6" s="3">
        <f>117.9+(233.7-105.5)+(-0.120258+(-0.238374--0.10761))+0-0-0</f>
        <v>245.84897799999999</v>
      </c>
      <c r="AB6" s="3">
        <f>110.1+(236-106.3)+(-0.056151+(-0.12036--0.054213))+0-0-0</f>
        <v>239.67770199999998</v>
      </c>
      <c r="AC6" s="3">
        <f>110.3+(265.9-140.4)+(0+(0-0))+0-0-0</f>
        <v>235.79999999999995</v>
      </c>
      <c r="AD6" s="2">
        <v>262.60000000000002</v>
      </c>
      <c r="AE6" s="3">
        <f>120+(218.1-75.5)+(0+(0-0))+0-0-0</f>
        <v>262.60000000000002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90.6+(146.8-0)+(-0.092412+(-0.149736-0))+0-0-0</f>
        <v>237.15785200000002</v>
      </c>
      <c r="G7" s="3">
        <f>69.8+(216.5-61.7)+(-0.071196+(-0.22083--0.062934))+0-0-0</f>
        <v>224.37090800000001</v>
      </c>
      <c r="H7" s="3">
        <f>69.9+(168.3-18.5)+(-0.071298+(-0.171666--0.01887))+0-0-0</f>
        <v>219.47590600000001</v>
      </c>
      <c r="I7" s="3">
        <f>70.1+(151.3-2.2)+(0.035751+(0.077163-0.001122))+0-0-0</f>
        <v>219.31179200000003</v>
      </c>
      <c r="J7" s="3">
        <f>69.8+(152-4.4)+(-0.071196+(-0.15504--0.004488))+0-0-0</f>
        <v>217.17825199999999</v>
      </c>
      <c r="K7" s="3">
        <f>71+(162.7-17)+(0.18105+(0.414885-0.04335))+0-0-0</f>
        <v>217.25258499999998</v>
      </c>
      <c r="L7" s="3">
        <f>70.4+(156.8-8.7)+(0.035904+(0.079968-0.004437))+0-0-0</f>
        <v>218.61143500000003</v>
      </c>
      <c r="M7" s="3">
        <f>70.1+(218.8-73.1)+(0+(0-0))+0-0-0</f>
        <v>215.8</v>
      </c>
      <c r="N7" s="3">
        <f>80.9+(282.1-135.8)+(-0.123777+(-0.431613--0.207774))+0-0-0</f>
        <v>226.85238400000003</v>
      </c>
      <c r="O7" s="3">
        <f>124.7+(234.7-125.6)+(-0.127194+(-0.239394--0.128112))+0-0-0</f>
        <v>233.56152400000002</v>
      </c>
      <c r="P7" s="3">
        <f>125.3+(184-74)+(0.127806+(0.18768-0.07548))+0-0-0</f>
        <v>235.54000600000001</v>
      </c>
      <c r="Q7" s="3">
        <f>121.5+(171.8-43.5)+(-0.24786+(-0.350472--0.08874))+0-0-0</f>
        <v>249.29040800000001</v>
      </c>
      <c r="R7" s="3">
        <f>100.4+(195.8-49.4)+(-0.153612+(-0.299574--0.075582))+0-0-0</f>
        <v>246.42239600000002</v>
      </c>
      <c r="S7" s="3">
        <f>60.4+(215.3-33.4)+(-0.123216+(-0.439212--0.068136))+0-0-0</f>
        <v>241.80570800000001</v>
      </c>
      <c r="T7" s="3">
        <f>70.1+(237-67.3)+(-0.143004+(-0.48348--0.137292))+0-0-0</f>
        <v>239.31080799999998</v>
      </c>
      <c r="U7" s="3">
        <f>70.1+(222.1-60.4)+(0+(0-0))+0-0-0</f>
        <v>231.79999999999998</v>
      </c>
      <c r="V7" s="3">
        <f>70.1+(218.2-58.4)+(-0.107253+(-0.333846--0.089352))+0-0-0</f>
        <v>229.54825299999999</v>
      </c>
      <c r="W7" s="3">
        <f>70.1+(214-53.5)+(0.071502+(0.21828-0.05457))+0-0-0</f>
        <v>230.83521199999998</v>
      </c>
      <c r="X7" s="3">
        <f>70.1+(205.4-36.6)+(-0.178755+(-0.52377--0.09333))+0-0-0</f>
        <v>238.29080500000001</v>
      </c>
      <c r="Y7" s="3">
        <f>85.7+(226.5-29.4)+(0.043707+(0.115515-0.014994))+0-0-0</f>
        <v>282.94422800000001</v>
      </c>
      <c r="Z7" s="3">
        <f>121.8+(226.7-78.7)+(-0.124236+(-0.231234--0.080274))+0-0-0</f>
        <v>269.52480400000002</v>
      </c>
      <c r="AA7" s="3">
        <f>57.8+(258.8-52.9)+(-0.14739+(-0.65994--0.134895))+0-0-0</f>
        <v>263.02756499999998</v>
      </c>
      <c r="AB7" s="3">
        <f>55.1+(223.1-24.5)+(-0.140505+(-0.568905--0.062475))+0-0-0</f>
        <v>253.05306499999998</v>
      </c>
      <c r="AC7" s="3">
        <f>55+(207.4-14.1)+(0.0561+(0.211548-0.014382))+0-0-0</f>
        <v>248.55326600000001</v>
      </c>
      <c r="AD7" s="2">
        <v>261.39999999999998</v>
      </c>
      <c r="AE7" s="3">
        <f>122+(227.4-88)+(0+(0-0))+0-0-0</f>
        <v>261.39999999999998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55.1+(235.6-51)+(-0.112404+(-0.480624--0.10404))+0-0-0</f>
        <v>239.21101199999998</v>
      </c>
      <c r="G8" s="3">
        <f>55.1+(236.2-65)+(-0.112404+(-0.481848--0.1326))+0-0-0</f>
        <v>225.838348</v>
      </c>
      <c r="H8" s="3">
        <f>55.1+(236.4-74.2)+(0.112404+(0.482256-0.151368))+0-0-0</f>
        <v>217.743292</v>
      </c>
      <c r="I8" s="3">
        <f>55.1+(236.2-90.5)+(0.056202+(0.240924-0.09231))+0-0-0</f>
        <v>201.00481599999998</v>
      </c>
      <c r="J8" s="3">
        <f>55.1+(199.3-34.3)+(-0.140505+(-0.508215--0.087465))+0-0-0</f>
        <v>219.53874500000001</v>
      </c>
      <c r="K8" s="3">
        <f>55+(177.1-24.4)+(-0.0561+(-0.180642--0.024888))+0-0-0</f>
        <v>207.488146</v>
      </c>
      <c r="L8" s="3">
        <f>55+(255.6-71.9)+(0.14025+(0.65178-0.183345))+0-0-0</f>
        <v>239.308685</v>
      </c>
      <c r="M8" s="3">
        <f>55+(283.3-127.5)+(-0.08415+(-0.433449--0.195075))+0-0-0</f>
        <v>210.47747600000002</v>
      </c>
      <c r="N8" s="3">
        <f>72.8+(401.4-243.1)+(0.074256+(0.409428-0.247962))+0-0-0</f>
        <v>231.33572199999998</v>
      </c>
      <c r="O8" s="3">
        <f>123+(420.5-299.2)+(0.12546+(0.42891-0.305184))+0-0-0</f>
        <v>244.54918600000002</v>
      </c>
      <c r="P8" s="3">
        <f>121+(393.1-264.6)+(0.12342+(0.400962-0.269892))+0-0-0</f>
        <v>249.75449</v>
      </c>
      <c r="Q8" s="3">
        <f>122.2+(379.3-252.3)+(0.062322+(0.193443-0.128673))+0-0-0</f>
        <v>249.32709199999999</v>
      </c>
      <c r="R8" s="3">
        <f>118.6+(381.7-254.2)+(0+(0-0))+0-0-0</f>
        <v>246.1</v>
      </c>
      <c r="S8" s="3">
        <f>117.4+(395.2-281.7)+(-0.239496+(-0.806208--0.574668))+0-0-0</f>
        <v>230.42896400000001</v>
      </c>
      <c r="T8" s="3">
        <f>117.8+(433.3-319.4)+(-0.180234+(-0.662949--0.488682))+0-0-0</f>
        <v>231.34549900000005</v>
      </c>
      <c r="U8" s="3">
        <f>118+(438.6-329.1)+(-0.12036+(-0.447372--0.335682))+0-0-0</f>
        <v>227.26795000000001</v>
      </c>
      <c r="V8" s="3">
        <f>117.7+(426.1-318.1)+(-0.180081+(-0.651933--0.486693))+0-0-0</f>
        <v>225.35467899999998</v>
      </c>
      <c r="W8" s="3">
        <f>79.2+(406.5-251.7)+(-0.080784+(-0.41463--0.256734))+0-0-0</f>
        <v>233.76132000000001</v>
      </c>
      <c r="X8" s="3">
        <f>70.1+(356.6-189.1)+(0.035751+(0.181866-0.096441))+0-0-0</f>
        <v>237.72117600000001</v>
      </c>
      <c r="Y8" s="3">
        <f>111+(200.3-47.3)+(0.11322+(0.204306-0.048246))+0-0-0</f>
        <v>264.26927999999998</v>
      </c>
      <c r="Z8" s="3">
        <f>127.7+(185.7-39.1)+(-0.195381+(-0.284121--0.059823))+0-0-0</f>
        <v>273.88032100000004</v>
      </c>
      <c r="AA8" s="3">
        <f>127.7+(257.3-118.9)+(-0.065127+(-0.131223--0.060639))+0-0-0</f>
        <v>265.96428900000001</v>
      </c>
      <c r="AB8" s="3">
        <f>129.6+(296.1-164.6)+(0+(0-0))+0-0-0</f>
        <v>261.10000000000002</v>
      </c>
      <c r="AC8" s="3">
        <f>128.9+(309.4-182.8)+(-0.065739+(-0.157794--0.093228))+0-0-0</f>
        <v>255.36969499999998</v>
      </c>
      <c r="AD8" s="2">
        <v>275.39999999999998</v>
      </c>
      <c r="AE8" s="3">
        <f>128+(175.9-28.5)+(0+(0-0))+0-0-0</f>
        <v>275.39999999999998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129.5+(309.4-192.2)+(-0.13209+(-0.315588--0.196044))+0-0-0</f>
        <v>246.44836599999999</v>
      </c>
      <c r="G9" s="3">
        <f>130.1+(209.1-105.4)+(-0.199053+(-0.319923--0.161262))+0-0-0</f>
        <v>233.442286</v>
      </c>
      <c r="H9" s="3">
        <f>129.3+(185.1-78)+(-0.065943+(-0.094401--0.03978))+0-0-0</f>
        <v>236.279436</v>
      </c>
      <c r="I9" s="3">
        <f>129.3+(173.2-65.9)+(-0.131886+(-0.176664--0.067218))+0-0-0</f>
        <v>236.35866799999999</v>
      </c>
      <c r="J9" s="3">
        <f>131+(150.7-48.4)+(-0.13362+(-0.153714--0.049368))+0-0-0</f>
        <v>233.06203399999998</v>
      </c>
      <c r="K9" s="3">
        <f>112+(141.6-16.2)+(0.05712+(0.072216-0.008262))+0-0-0</f>
        <v>237.52107399999997</v>
      </c>
      <c r="L9" s="3">
        <f>80.5+(157.6-3)+(0.08211+(0.160752-0.00306))+0-0-0</f>
        <v>235.33980199999999</v>
      </c>
      <c r="M9" s="3">
        <f>80.1+(173.5-11.8)+(-0.040851+(-0.088485--0.006018))+0-0-0</f>
        <v>241.67668199999997</v>
      </c>
      <c r="N9" s="3">
        <f>79.5+(332.2-154.2)+(-0.040545+(-0.169422--0.078642))+0-0-0</f>
        <v>257.368675</v>
      </c>
      <c r="O9" s="3">
        <f>80+(265.9-79.6)+(-0.0408+(-0.135609--0.040596))+0-0-0</f>
        <v>266.16418699999997</v>
      </c>
      <c r="P9" s="3">
        <f>80+(236-51.6)+(0+(0-0))+0-0-0</f>
        <v>264.39999999999998</v>
      </c>
      <c r="Q9" s="3">
        <f>80.3+(238.1-53)+(0.081906+(0.242862-0.05406))+0-0-0</f>
        <v>265.67070799999999</v>
      </c>
      <c r="R9" s="3">
        <f>80+(245.3-61.1)+(0+(0-0))+0-0-0</f>
        <v>264.20000000000005</v>
      </c>
      <c r="S9" s="3">
        <f>79.1+(229.6-65.6)+(-0.201705+(-0.58548--0.16728))+0-0-0</f>
        <v>242.48009500000001</v>
      </c>
      <c r="T9" s="3">
        <f>80+(254.8-98.3)+(-0.0816+(-0.259896--0.100266))+0-0-0</f>
        <v>236.25877</v>
      </c>
      <c r="U9" s="3">
        <f>79.2+(232.8-82)+(-0.121176+(-0.356184--0.12546))+0-0-0</f>
        <v>229.6481</v>
      </c>
      <c r="V9" s="3">
        <f>80.1+(238.9-90.2)+(0+(0-0))+0-0-0</f>
        <v>228.79999999999998</v>
      </c>
      <c r="W9" s="3">
        <f>80.9+(224.9-65.9)+(0.206295+(0.573495-0.168045))+0-0-0</f>
        <v>240.51174500000002</v>
      </c>
      <c r="X9" s="3">
        <f>80.7+(181.1-19.2)+(0.164628+(0.369444-0.039168))+0-0-0</f>
        <v>243.09490400000001</v>
      </c>
      <c r="Y9" s="3">
        <f>96.5+(180.4-11.2)+(0.09843+(0.184008-0.011424))+0-0-0</f>
        <v>265.97101400000003</v>
      </c>
      <c r="Z9" s="3">
        <f>125.2+(165.1-17.4)+(0.063852+(0.084201-0.008874))+0-0-0</f>
        <v>273.03917899999999</v>
      </c>
      <c r="AA9" s="3">
        <f>125.1+(174.6-27.9)+(0+(0-0))+0-0-0</f>
        <v>271.79999999999995</v>
      </c>
      <c r="AB9" s="3">
        <f>124.7+(234-92)+(-0.190791+(-0.35802--0.14076))+0-0-0</f>
        <v>266.29194899999999</v>
      </c>
      <c r="AC9" s="3">
        <f>125+(265.9-133.1)+(-0.06375+(-0.135609--0.067881))+0-0-0</f>
        <v>257.66852199999994</v>
      </c>
      <c r="AD9" s="2">
        <v>278.3</v>
      </c>
      <c r="AE9" s="3">
        <f>125+(172.6-19.3)+(0+(0-0))+0-0-0</f>
        <v>278.29999999999995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124.3+(316-214.1)+(-0.190179+(-0.48348--0.327573))+0-0-0</f>
        <v>225.85391399999997</v>
      </c>
      <c r="G10" s="3">
        <f>124.7+(205.6-57.4)+(0+(0-0))+0-0-0</f>
        <v>272.89999999999998</v>
      </c>
      <c r="H10" s="3">
        <f>124.6+(195-56.8)+(-0.190638+(-0.29835--0.086904))+0-0-0</f>
        <v>262.39791599999995</v>
      </c>
      <c r="I10" s="3">
        <f>125.7+(200.6-91.6)+(-0.192321+(-0.306918--0.140148))+0-0-0</f>
        <v>234.34090899999998</v>
      </c>
      <c r="J10" s="3">
        <f>125+(170.8-66.1)+(-0.19125+(-0.261324--0.101133))+0-0-0</f>
        <v>229.34855900000002</v>
      </c>
      <c r="K10" s="3">
        <f>125.3+(126.8-9.5)+(0+(0-0))+0-0-0</f>
        <v>242.6</v>
      </c>
      <c r="L10" s="3">
        <f>125.3+(149.4-37)+(0+(0-0))+0-0-0</f>
        <v>237.7</v>
      </c>
      <c r="M10" s="3">
        <f>124.8+(155.8-45.2)+(-0.063648+(-0.079458--0.023052))+0-0-0</f>
        <v>235.279946</v>
      </c>
      <c r="N10" s="3">
        <f>125+(345.6-240.6)+(0+(0-0))+0-0-0</f>
        <v>230.00000000000003</v>
      </c>
      <c r="O10" s="3">
        <f>124.8+(289.9-174.1)+(-0.127296+(-0.295698--0.177582))+0-0-0</f>
        <v>240.35458799999998</v>
      </c>
      <c r="P10" s="3">
        <f>123.4+(238.3-103.5)+(-0.062934+(-0.121533--0.052785))+0-0-0</f>
        <v>258.06831800000003</v>
      </c>
      <c r="Q10" s="3">
        <f>120+(218.8-86.2)+(-0.1224+(-0.223176--0.087924))+0-0-0</f>
        <v>252.34234800000002</v>
      </c>
      <c r="R10" s="3">
        <f>120.2+(223.6-98)+(-0.061302+(-0.114036--0.04998))+0-0-0</f>
        <v>245.67464200000001</v>
      </c>
      <c r="S10" s="3">
        <f>85+(250.2-105.7)+(-0.1734+(-0.510408--0.215628))+0-0-0</f>
        <v>229.03182000000001</v>
      </c>
      <c r="T10" s="3">
        <f>70.1+(297.4-144.9)+(0.035751+(0.151674-0.073899))+0-0-0</f>
        <v>222.71352599999997</v>
      </c>
      <c r="U10" s="3">
        <f>70.1+(293.1-143.5)+(-0.071502+(-0.298962--0.14637))+0-0-0</f>
        <v>219.47590600000001</v>
      </c>
      <c r="V10" s="3">
        <f>80.1+(335-199.8)+(-0.040851+(-0.17085--0.101898))+0-0-0</f>
        <v>215.19019699999998</v>
      </c>
      <c r="W10" s="3">
        <f>116.8+(383.8-278.3)+(-0.178704+(-0.587214--0.425799))+0-0-0</f>
        <v>221.95988100000002</v>
      </c>
      <c r="X10" s="3">
        <f>116.6+(402.3-291.3)+(-0.118932+(-0.410346--0.297126))+0-0-0</f>
        <v>227.36784799999998</v>
      </c>
      <c r="Y10" s="3">
        <f>117.8+(270.2-135.4)+(0.120156+(0.275604-0.138108))+0-0-0</f>
        <v>252.85765199999997</v>
      </c>
      <c r="Z10" s="3">
        <f>117.9+(300.8-158.6)+(-0.360774+(-0.920448--0.485316))+0-0-0</f>
        <v>259.30409400000002</v>
      </c>
      <c r="AA10" s="3">
        <f>120.1+(372.4-235.1)+(0+(0-0))+0-0-0</f>
        <v>257.39999999999998</v>
      </c>
      <c r="AB10" s="3">
        <f>120.1+(456.4-321.6)+(-0.061251+(-0.232764--0.164016))+0-0-0</f>
        <v>254.77000099999995</v>
      </c>
      <c r="AC10" s="3">
        <f>120.4+(484.6-354.8)+(-0.245616+(-0.988584--0.723792))+0-0-0</f>
        <v>249.689592</v>
      </c>
      <c r="AD10" s="2">
        <v>266.89999999999998</v>
      </c>
      <c r="AE10" s="3">
        <f>119+(297.8-149.9)+(0+(0-0))+0-0-0</f>
        <v>266.89999999999998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120.7+(451.6-334.8)+(-0.123114+(-0.460632--0.341496))+0-0-0</f>
        <v>237.25774999999999</v>
      </c>
      <c r="G11" s="3">
        <f>120.5+(368.5-254.8)+(-0.184365+(-0.563805--0.389844))+0-0-0</f>
        <v>233.84167399999998</v>
      </c>
      <c r="H11" s="3">
        <f>86.2+(194.4-48.8)+(-0.131886+(-0.297432--0.074664))+0-0-0</f>
        <v>231.445346</v>
      </c>
      <c r="I11" s="3">
        <f>70+(203.4-48)+(-0.0357+(-0.103734--0.02448))+0-0-0</f>
        <v>225.28504599999999</v>
      </c>
      <c r="J11" s="3">
        <f>70+(212.8-61.9)+(0.0714+(0.217056-0.063138))+0-0-0</f>
        <v>221.12531799999999</v>
      </c>
      <c r="K11" s="3">
        <f>70.1+(201.5-46.9)+(0+(0-0))+0-0-0</f>
        <v>224.7</v>
      </c>
      <c r="L11" s="3">
        <f>70.1+(227.2-79.5)+(-0.143004+(-0.463488--0.16218))+0-0-0</f>
        <v>217.35568799999999</v>
      </c>
      <c r="M11" s="3">
        <f>70+(245.3-109.2)+(-0.0357+(-0.125103--0.055692))+0-0-0</f>
        <v>205.99488900000003</v>
      </c>
      <c r="N11" s="3">
        <f>70+(276.8-130.6)+(-0.0714+(-0.282336--0.133212))+0-0-0</f>
        <v>215.97947600000001</v>
      </c>
      <c r="O11" s="3">
        <f>70.1+(375.3-221.9)+(-0.035751+(-0.191403--0.113169))+0-0-0</f>
        <v>223.38601499999999</v>
      </c>
      <c r="P11" s="3">
        <f>109.2+(368-251.4)+(-0.111384+(-0.37536--0.256428))+0-0-0</f>
        <v>225.56968400000002</v>
      </c>
      <c r="Q11" s="3">
        <f>96.1+(346.6-213.7)+(-0.147033+(-0.530298--0.326961))+0-0-0</f>
        <v>228.64963000000003</v>
      </c>
      <c r="R11" s="3">
        <f>70.1+(331.2-178.8)+(-0.071502+(-0.337824--0.182376))+0-0-0</f>
        <v>222.27304999999998</v>
      </c>
      <c r="S11" s="3">
        <f>70.2+(275.9-121.6)+(-0.107406+(-0.422127--0.186048))+0-0-0</f>
        <v>224.15651500000001</v>
      </c>
      <c r="T11" s="3">
        <f>70+(237.9-85.5)+(-0.1071+(-0.363987--0.130815))+0-0-0</f>
        <v>222.05972800000001</v>
      </c>
      <c r="U11" s="3">
        <f>70.1+(342-193.4)+(-0.107253+(-0.52326--0.295902))+0-0-0</f>
        <v>218.36538899999999</v>
      </c>
      <c r="V11" s="3">
        <f>70.1+(375.2-224.4)+(-0.214506+(-1.148112--0.686664))+0-0-0</f>
        <v>220.22404599999999</v>
      </c>
      <c r="W11" s="3">
        <f>70.1+(397.3-242.5)+(-0.071502+(-0.405246--0.24735))+0-0-0</f>
        <v>224.670602</v>
      </c>
      <c r="X11" s="3">
        <f>70.5+(316.1-148.8)+(0.035955+(0.161211-0.075888))+0-0-0</f>
        <v>237.921278</v>
      </c>
      <c r="Y11" s="3">
        <f>119.4+(189-52.8)+(0+(0-0))+0-0-0</f>
        <v>255.6</v>
      </c>
      <c r="Z11" s="3">
        <f>97.9+(173.5-11.6)+(-0.199716+(-0.35394--0.023664))+0-0-0</f>
        <v>259.27000800000002</v>
      </c>
      <c r="AA11" s="3">
        <f>69.7+(254.7-58)+(-0.071094+(-0.259794--0.05916))+0-0-0</f>
        <v>266.12827199999998</v>
      </c>
      <c r="AB11" s="3">
        <f>69.9+(320-129.1)+(-0.035649+(-0.1632--0.065841))+0-0-0</f>
        <v>260.66699199999999</v>
      </c>
      <c r="AC11" s="3">
        <f>69.7+(354.5-165.9)+(-0.106641+(-0.542385--0.253827))+0-0-0</f>
        <v>257.90480100000002</v>
      </c>
      <c r="AD11" s="2">
        <v>260.3</v>
      </c>
      <c r="AE11" s="3">
        <f>117+(159.5-16.2)+(0+(0-0))+0-0-0</f>
        <v>260.3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69.6+(308.1-131.7)+(-0.106488+(-0.471393--0.201501))+0-0-0</f>
        <v>245.62362000000002</v>
      </c>
      <c r="G12" s="3">
        <f>69.8+(273.7-117.4)+(-0.071196+(-0.279174--0.119748))+0-0-0</f>
        <v>225.86937799999995</v>
      </c>
      <c r="H12" s="3">
        <f>70.3+(311.7-154.4)+(0.071706+(0.317934-0.157488))+0-0-0</f>
        <v>227.83215199999998</v>
      </c>
      <c r="I12" s="3">
        <f>70.5+(285.2-131.6)+(0.107865+(0.436356-0.201348))+0-0-0</f>
        <v>224.44287299999999</v>
      </c>
      <c r="J12" s="3">
        <f>70.5+(241.3-94.7)+(0.035955+(0.123063-0.048297))+0-0-0</f>
        <v>217.21072100000004</v>
      </c>
      <c r="K12" s="3">
        <f>70.6+(219.9-85.8)+(0.108018+(0.336447-0.131274))+0-0-0</f>
        <v>205.01319100000001</v>
      </c>
      <c r="L12" s="3">
        <f>69.5+(223.7-85.7)+(-0.106335+(-0.342261--0.131121))+0-0-0</f>
        <v>207.182525</v>
      </c>
      <c r="M12" s="3">
        <f>69.3+(158.6-25)+(-0.070686+(-0.161772--0.0255))+0-0-0</f>
        <v>202.69304199999999</v>
      </c>
      <c r="N12" s="3">
        <f>69.9+(226.9-113.1)+(-0.035649+(-0.115719--0.057681))+0-0-0</f>
        <v>183.60631300000003</v>
      </c>
      <c r="O12" s="3">
        <f>70.6+(246.3-126.6)+(0.072012+(0.251226-0.129132))+0-0-0</f>
        <v>190.49410600000002</v>
      </c>
      <c r="P12" s="3">
        <f>70.4+(236.2-100.5)+(0.107712+(0.361386-0.153765))+0-0-0</f>
        <v>206.415333</v>
      </c>
      <c r="Q12" s="3">
        <f>70+(186.9-56.4)+(-0.0357+(-0.095319--0.028764))+0-0-0</f>
        <v>200.39774499999999</v>
      </c>
      <c r="R12" s="3">
        <f>69.7+(189-53.4)+(-0.071094+(-0.19278--0.054468))+0-0-0</f>
        <v>205.09059400000001</v>
      </c>
      <c r="S12" s="3">
        <f>69.9+(186.7-58)+(0+(0-0))+0-0-0</f>
        <v>198.6</v>
      </c>
      <c r="T12" s="3">
        <f>70.1+(202.8-79.4)+(0.035751+(0.103428-0.040494))+0-0-0</f>
        <v>193.59868499999999</v>
      </c>
      <c r="U12" s="3">
        <f>70+(236.2-113.6)+(-0.0357+(-0.120462--0.057936))+0-0-0</f>
        <v>192.50177399999998</v>
      </c>
      <c r="V12" s="3">
        <f>70.3+(315.5-188.4)+(0.107559+(0.482715-0.288252))+0-0-0</f>
        <v>197.70202199999997</v>
      </c>
      <c r="W12" s="3">
        <f>69.7+(229.8-99.1)+(-0.071094+(-0.234396--0.101082))+0-0-0</f>
        <v>200.19559200000003</v>
      </c>
      <c r="X12" s="3">
        <f>69.7+(229.5-101.5)+(-0.035547+(-0.117045--0.051765))+0-0-0</f>
        <v>197.59917299999998</v>
      </c>
      <c r="Y12" s="3">
        <f>73.4+(240.8-92.6)+(0.074868+(0.245616-0.094452))+0-0-0</f>
        <v>221.82603200000003</v>
      </c>
      <c r="Z12" s="3">
        <f>122.1+(193.4-81.4)+(0.062271+(0.098634-0.041514))+0-0-0</f>
        <v>234.219391</v>
      </c>
      <c r="AA12" s="3">
        <f>123.2+(232.7-126.8)+(0.062832+(0.118677-0.064668))+0-0-0</f>
        <v>229.21684099999999</v>
      </c>
      <c r="AB12" s="3">
        <f>122.8+(267.1-163.9)+(-0.125256+(-0.272442--0.167178))+0-0-0</f>
        <v>225.76947999999999</v>
      </c>
      <c r="AC12" s="3">
        <f>124.9+(317.9-225.6)+(-0.063699+(-0.162129--0.115056))+0-0-0</f>
        <v>217.08922799999999</v>
      </c>
      <c r="AD12" s="2">
        <v>223.4</v>
      </c>
      <c r="AE12" s="3">
        <f>120+(192.3-88.9)+(0+(0-0))+0-0-0</f>
        <v>223.4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124.9+(285.4-192.1)+(-0.063699+(-0.145554--0.097971))+0-0-0</f>
        <v>218.088718</v>
      </c>
      <c r="G13" s="3">
        <f>104.4+(191.9-85.1)+(-0.106488+(-0.195738--0.086802))+0-0-0</f>
        <v>210.984576</v>
      </c>
      <c r="H13" s="3">
        <f>79.9+(149.5-26.9)+(-0.081498+(-0.15249--0.027438))+0-0-0</f>
        <v>202.29345000000001</v>
      </c>
      <c r="I13" s="3">
        <f>80+(154.9-31.4)+(0+(0-0))+0-0-0</f>
        <v>203.5</v>
      </c>
      <c r="J13" s="3">
        <f>80.3+(157.3-33.8)+(0.040953+(0.080223-0.017238))+0-0-0</f>
        <v>203.90393800000001</v>
      </c>
      <c r="K13" s="3">
        <f>80.3+(143.4-25.2)+(0.081906+(0.146268-0.025704))+0-0-0</f>
        <v>198.70247000000001</v>
      </c>
      <c r="L13" s="3">
        <f>79.9+(133.1-21)+(0+(0-0))+0-0-0</f>
        <v>192</v>
      </c>
      <c r="M13" s="3">
        <f>80.2+(141-29.4)+(-0.040902+(-0.07191--0.014994))+0-0-0</f>
        <v>191.70218200000002</v>
      </c>
      <c r="N13" s="3">
        <f>80.4+(132.8-27.9)+(0.082008+(0.135456-0.028458))+0-0-0</f>
        <v>185.48900600000002</v>
      </c>
      <c r="O13" s="3">
        <f>80.1+(151.1-47.5)+(-0.040851+(-0.077061--0.024225))+0-0-0</f>
        <v>183.606313</v>
      </c>
      <c r="P13" s="3">
        <f>79.2+(147.1-42.7)+(-0.20196+(-0.375105--0.108885))+0-0-0</f>
        <v>183.13182</v>
      </c>
      <c r="Q13" s="3">
        <f>80.1+(176.3-65.4)+(-0.040851+(-0.089913--0.033354))+0-0-0</f>
        <v>190.90259</v>
      </c>
      <c r="R13" s="3">
        <f>79.9+(155.3-49)+(0+(0-0))+0-0-0</f>
        <v>186.20000000000002</v>
      </c>
      <c r="S13" s="3">
        <f>79.9+(125.1-26.4)+(0+(0-0))+0-0-0</f>
        <v>178.6</v>
      </c>
      <c r="T13" s="3">
        <f>79.9+(130.7-29.5)+(-0.081498+(-0.133314--0.03009))+0-0-0</f>
        <v>180.915278</v>
      </c>
      <c r="U13" s="3">
        <f>79.6+(134.5-24.6)+(-0.040596+(-0.068595--0.012546))+0-0-0</f>
        <v>189.403355</v>
      </c>
      <c r="V13" s="3">
        <f>80.4+(155.4-51.9)+(0.041004+(0.079254-0.026469))+0-0-0</f>
        <v>183.99378899999999</v>
      </c>
      <c r="W13" s="3">
        <f>80.1+(153.7-48.6)+(-0.040851+(-0.078387--0.024786))+0-0-0</f>
        <v>185.105548</v>
      </c>
      <c r="X13" s="3">
        <f>79.6+(157.1-42.7)+(-0.081192+(-0.160242--0.043554))+0-0-0</f>
        <v>193.80212</v>
      </c>
      <c r="Y13" s="3">
        <f>98+(156.2-32.3)+(0.04998+(0.079662-0.016473))+0-0-0</f>
        <v>222.01316899999998</v>
      </c>
      <c r="Z13" s="3">
        <f>119.6+(160.5-40.5)+(-0.121992+(-0.16371--0.04131))+0-0-0</f>
        <v>239.35560799999999</v>
      </c>
      <c r="AA13" s="3">
        <f>119.9+(125.4-6.6)+(-0.061149+(-0.063954--0.003366))+0-0-0</f>
        <v>238.57826300000002</v>
      </c>
      <c r="AB13" s="3">
        <f>120.7+(150.9-36.5)+(-0.123114+(-0.153918--0.03723))+0-0-0</f>
        <v>234.86019800000003</v>
      </c>
      <c r="AC13" s="3">
        <f>122.1+(201.4-98.3)+(-0.062271+(-0.102714--0.050133))+0-0-0</f>
        <v>225.08514799999998</v>
      </c>
      <c r="AD13" s="2">
        <v>245.8</v>
      </c>
      <c r="AE13" s="3">
        <f>120+(182.5-56.7)+(0+(0-0))+0-0-0</f>
        <v>245.8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89.5+(257.8-129.7)+(-0.09129+(-0.262956--0.132294))+0-0-0</f>
        <v>217.37804800000004</v>
      </c>
      <c r="G14" s="3">
        <f>74.5+(200.5-64)+(-0.07599+(-0.20451--0.06528))+0-0-0</f>
        <v>210.78478000000001</v>
      </c>
      <c r="H14" s="3">
        <f>74.8+(160.3-18.2)+(-0.076296+(-0.163506--0.018564))+0-0-0</f>
        <v>216.67876200000003</v>
      </c>
      <c r="I14" s="3">
        <f>74.9+(165-23.5)+(-0.076398+(-0.1683--0.02397))+0-0-0</f>
        <v>216.179272</v>
      </c>
      <c r="J14" s="3">
        <f>74.2+(142.7-1.6)+(-0.075684+(-0.145554--0.001632))+0-0-0</f>
        <v>215.08039400000001</v>
      </c>
      <c r="K14" s="3">
        <f>75.4+(140-0)+(0.038454+(0.0714-0))+0-0-0</f>
        <v>215.50985400000002</v>
      </c>
      <c r="L14" s="3">
        <f>75.4+(140.4-0)+(0+(0-0))+0-0-0</f>
        <v>215.8</v>
      </c>
      <c r="M14" s="3">
        <f>75+(147.3-0)+(0.03825+(0.075123-0))+0-0-0</f>
        <v>222.41337300000001</v>
      </c>
      <c r="N14" s="3">
        <f>75.4+(208.3-41.4)+(-0.038454+(-0.106233--0.021114))+0-0-0</f>
        <v>242.17642700000002</v>
      </c>
      <c r="O14" s="3">
        <f>100.2+(175.6-21.6)+(0+(0-0))+0-0-0</f>
        <v>254.2</v>
      </c>
      <c r="P14" s="3">
        <f>123.1+(143.1-11.2)+(0+(0-0))+0-0-0</f>
        <v>255</v>
      </c>
      <c r="Q14" s="3">
        <f>122.2+(167.7-10.7)+(-0.062322+(-0.085527--0.005457))+0-0-0</f>
        <v>279.05760800000002</v>
      </c>
      <c r="R14" s="3">
        <f>122+(149.9-6)+(-0.12444+(-0.152898--0.00612))+0-0-0</f>
        <v>265.628782</v>
      </c>
      <c r="S14" s="3">
        <f>72.5+(192.8-9.2)+(-0.1479+(-0.393312--0.018768))+0-0-0</f>
        <v>255.57755600000002</v>
      </c>
      <c r="T14" s="3">
        <f>0+(266.1-11.3)+(0+(-0.407133--0.017289))+0-0-0</f>
        <v>254.410156</v>
      </c>
      <c r="U14" s="3">
        <f>0+(259-13)+(0+(-0.26418--0.01326))+0-0-0</f>
        <v>245.74907999999999</v>
      </c>
      <c r="V14" s="3">
        <f>0+(280.1-32.4)+(0+(0-0))+0-0-0</f>
        <v>247.70000000000002</v>
      </c>
      <c r="W14" s="3">
        <f>0+(240.6-3.2)+(0+(-0.122706--0.001632))+0-0-0</f>
        <v>237.27892600000001</v>
      </c>
      <c r="X14" s="3">
        <f>0+(240.9-0)+(0+(-0.122859-0))+0-0-0</f>
        <v>240.777141</v>
      </c>
      <c r="Y14" s="3">
        <f>0+(320.8-47.2)+(0+(0.163608-0.024072))+0-0-0</f>
        <v>273.73953600000004</v>
      </c>
      <c r="Z14" s="3">
        <f>0+(284.8-0)+(0+(-0.871488-0))+0-0-0</f>
        <v>283.92851200000001</v>
      </c>
      <c r="AA14" s="3">
        <f>0+(292.6-12.9)+(0+(-0.447678--0.019737))+0-0-0</f>
        <v>279.27205900000007</v>
      </c>
      <c r="AB14" s="3">
        <f>0+(329.8-57.2)+(0+(-0.168198--0.029172))+0-0-0</f>
        <v>272.46097400000002</v>
      </c>
      <c r="AC14" s="3">
        <f>0+(289-20.9)+(0+(-0.44217--0.031977))+0-0-0</f>
        <v>267.68980700000003</v>
      </c>
      <c r="AD14" s="2">
        <v>301.2</v>
      </c>
      <c r="AE14" s="3">
        <f>0+(303-1.8)+(0+(0-0))+0-0-0</f>
        <v>301.2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0+(271.8-8.9)+(0+(-0.554472--0.018156))+0-0-0</f>
        <v>262.36368400000003</v>
      </c>
      <c r="G15" s="3">
        <f>0+(259.1-2.7)+(0+(-0.660705--0.006885))+0-0-0</f>
        <v>255.74618000000004</v>
      </c>
      <c r="H15" s="3">
        <f>0+(243.1-0)+(0+(-0.619905-0))+0-0-0</f>
        <v>242.48009500000001</v>
      </c>
      <c r="I15" s="3">
        <f>0+(239.6-0)+(0+(-0.244392-0))+0-0-0</f>
        <v>239.35560799999999</v>
      </c>
      <c r="J15" s="3">
        <f>0+(260.5-14.2)+(0+(0.132855-0.007242))+0-0-0</f>
        <v>246.425613</v>
      </c>
      <c r="K15" s="3">
        <f>0+(248.7-5.4)+(0+(-0.126837--0.002754))+0-0-0</f>
        <v>243.17591699999997</v>
      </c>
      <c r="L15" s="3">
        <f>0+(265.2-16.6)+(0+(0.135252-0.008466))+0-0-0</f>
        <v>248.726786</v>
      </c>
      <c r="M15" s="3">
        <f>0+(298.9-42.3)+(0+(-0.152439--0.021573))+0-0-0</f>
        <v>256.46913399999994</v>
      </c>
      <c r="N15" s="3">
        <f>0+(399.2-123.9)+(0+(0-0))+0-0-0</f>
        <v>275.29999999999995</v>
      </c>
      <c r="O15" s="3">
        <f>0+(460.6-163.7)+(0+(-0.469812--0.166974))+0-0-0</f>
        <v>296.59716200000003</v>
      </c>
      <c r="P15" s="3">
        <f>0+(408.8-109.1)+(0+(-0.208488--0.055641))+0-0-0</f>
        <v>299.54715300000004</v>
      </c>
      <c r="Q15" s="3">
        <f>0+(398.8-95)+(0+(-1.01694--0.24225))+0-0-0</f>
        <v>303.02530999999999</v>
      </c>
      <c r="R15" s="3">
        <f>0+(325-47)+(0+(-0.3315--0.04794))+0-0-0</f>
        <v>277.71643999999998</v>
      </c>
      <c r="S15" s="3">
        <f>0+(382-156)+(0+(-0.9741--0.3978))+0-0-0</f>
        <v>225.4237</v>
      </c>
      <c r="T15" s="3">
        <f>0+(395-110)+(0+(-1.00725--0.2805))+0-0-0</f>
        <v>284.27325000000002</v>
      </c>
      <c r="U15" s="3">
        <f>0+(340-121)+(0+(-0.3468--0.12342))+0-0-0</f>
        <v>218.77662000000001</v>
      </c>
      <c r="V15" s="3">
        <f>0+(353-104)+(0+(-0.72012--0.21216))+0-0-0</f>
        <v>248.49204</v>
      </c>
      <c r="W15" s="3">
        <f>0+(340-129)+(0+(-0.1734--0.06579))+0-0-0</f>
        <v>210.89239000000001</v>
      </c>
      <c r="X15" s="3">
        <f>0+(345-68)+(0+(0-0))+0-0-0</f>
        <v>277</v>
      </c>
      <c r="Y15" s="3">
        <f>0+(266-27)+(0+(0.13566-0.01377))+0-0-0</f>
        <v>239.12189000000001</v>
      </c>
      <c r="Z15" s="3">
        <f>0+(266-48)+(0+(0.27132-0.04896))+0-0-0</f>
        <v>218.22236000000001</v>
      </c>
      <c r="AA15" s="3">
        <f>0+(334-151)+(0+(-0.51102--0.23103))+0-0-0</f>
        <v>182.72001</v>
      </c>
      <c r="AB15" s="3">
        <f>0+(468-266)+(0+(0-0))+0-0-0</f>
        <v>202</v>
      </c>
      <c r="AC15" s="3">
        <f>0+(401-185)+(0+(-0.40902--0.1887))+0-0-0</f>
        <v>215.77968000000001</v>
      </c>
      <c r="AD15" s="2">
        <v>302.7</v>
      </c>
      <c r="AE15" s="3">
        <f>0+(302.7-0)+(0+(0-0))+0-0-0</f>
        <v>302.7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0+(361.2-90.6)+(0+(0-0))+0-0-0</f>
        <v>270.60000000000002</v>
      </c>
      <c r="G16" s="3">
        <f>0+(385.4-120.2)+(0+(0-0))+0-0-0</f>
        <v>265.2</v>
      </c>
      <c r="H16" s="3">
        <f>0+(377.8-119.9)+(0+(0-0))+0-0-0</f>
        <v>257.89999999999998</v>
      </c>
      <c r="I16" s="3">
        <f>0+(366.2-115.5)+(0+(0-0))+0-0-0</f>
        <v>250.7</v>
      </c>
      <c r="J16" s="3">
        <f>0+(318.9-69.3)+(0+(0-0))+0-0-0</f>
        <v>249.59999999999997</v>
      </c>
      <c r="K16" s="3">
        <f>0+(290.9-37.2)+(0+(0-0))+0-0-0</f>
        <v>253.7</v>
      </c>
      <c r="L16" s="3">
        <f>0+(340.2-88.5)+(0+(0.173502-0.045135))+0-0-0</f>
        <v>251.82836699999999</v>
      </c>
      <c r="M16" s="3">
        <f>0+(346.1-84)+(0+(0.529533-0.12852))+0-0-0</f>
        <v>262.501013</v>
      </c>
      <c r="N16" s="3">
        <f>0+(508.9-222)+(0+(-0.519078--0.22644))+0-0-0</f>
        <v>286.60736199999997</v>
      </c>
      <c r="O16" s="3">
        <f>0+(507.3-209.9)+(0+(-0.517446--0.214098))+0-0-0</f>
        <v>297.09665199999995</v>
      </c>
      <c r="P16" s="3">
        <f>0+(435.6-135.4)+(0+(-0.666468--0.207162))+0-0-0</f>
        <v>299.74069400000002</v>
      </c>
      <c r="Q16" s="3">
        <f>0+(441.9-137)+(0+(0-0))+0-0-0</f>
        <v>304.89999999999998</v>
      </c>
      <c r="R16" s="3">
        <f>0+(431.5-129.5)+(0+(-1.32039--0.39627))+0-0-0</f>
        <v>301.07587999999998</v>
      </c>
      <c r="S16" s="3">
        <f>0+(413.5-130.1)+(0+(0.210885-0.066351))+0-0-0</f>
        <v>283.544534</v>
      </c>
      <c r="T16" s="3">
        <f>0+(432.9-154.6)+(0+(-0.441558--0.157692))+0-0-0</f>
        <v>278.01613399999997</v>
      </c>
      <c r="U16" s="3">
        <f>0+(425.3-155.7)+(0+(-0.216903--0.079407))+0-0-0</f>
        <v>269.46250400000002</v>
      </c>
      <c r="V16" s="3">
        <f>0+(429.1-161.4)+(0+(-0.437682--0.164628))+0-0-0</f>
        <v>267.42694600000004</v>
      </c>
      <c r="W16" s="3">
        <f>0+(442.8-174.2)+(0+(0-0))+0-0-0</f>
        <v>268.60000000000002</v>
      </c>
      <c r="X16" s="3">
        <f>0+(420.7-148.7)+(0+(-0.214557--0.075837))+0-0-0</f>
        <v>271.86128000000002</v>
      </c>
      <c r="Y16" s="3">
        <f>0+(318.9-28.3)+(0+(0.162639-0.014433))+0-0-0</f>
        <v>290.74820599999998</v>
      </c>
      <c r="Z16" s="3">
        <f>0+(365.5-61)+(0+(-0.559215--0.09333))+0-0-0</f>
        <v>304.03411499999999</v>
      </c>
      <c r="AA16" s="3">
        <f>0+(430.5-134.9)+(0+(-1.31733--0.412794))+0-0-0</f>
        <v>294.69546400000002</v>
      </c>
      <c r="AB16" s="3">
        <f>0+(455.9-164.1)+(0+(-1.162545--0.418455))+0-0-0</f>
        <v>291.05590999999993</v>
      </c>
      <c r="AC16" s="3">
        <f>0+(379.1-99.3)+(0+(-0.773364--0.202572))+0-0-0</f>
        <v>279.22920800000003</v>
      </c>
      <c r="AD16" s="2">
        <v>302</v>
      </c>
      <c r="AE16" s="3">
        <f>0+(354.4-52.4)+(0+(0-0))+0-0-0</f>
        <v>302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0+(320.6-45.1)+(0+(-0.163506--0.023001))+0-0-0</f>
        <v>275.35949499999998</v>
      </c>
      <c r="G17" s="3">
        <f>0+(283.4-22.7)+(0+(-0.433602--0.034731))+0-0-0</f>
        <v>260.301129</v>
      </c>
      <c r="H17" s="3">
        <f>0+(328.3-67.7)+(0+(0.334866-0.069054))+0-0-0</f>
        <v>260.86581200000001</v>
      </c>
      <c r="I17" s="3">
        <f>0+(332.2-75.9)+(0+(0.338844-0.077418))+0-0-0</f>
        <v>256.56142599999993</v>
      </c>
      <c r="J17" s="3">
        <f>0+(315.8-58.1)+(0+(-0.322116--0.059262))+0-0-0</f>
        <v>257.43714599999998</v>
      </c>
      <c r="K17" s="3">
        <f>0+(304.6-40.7)+(0+(0.155346-0.020757))+0-0-0</f>
        <v>264.03458900000004</v>
      </c>
      <c r="L17" s="3">
        <f>0+(314.7-49.6)+(0+(-0.320994--0.050592))+0-0-0</f>
        <v>264.82959799999998</v>
      </c>
      <c r="M17" s="3">
        <f>0+(357.6-82.7)+(0+(0.364752-0.084354))+0-0-0</f>
        <v>275.18039800000003</v>
      </c>
      <c r="N17" s="3">
        <f>0+(285.6-0)+(0+(0.291312-0))+0-0-0</f>
        <v>285.89131200000003</v>
      </c>
      <c r="O17" s="3">
        <f>0+(301.2-0)+(0+(0.460836-0))+0-0-0</f>
        <v>301.66083599999996</v>
      </c>
      <c r="P17" s="3">
        <f>0+(324.4-14.1)+(0+(0.496332-0.021573))+0-0-0</f>
        <v>310.77475899999996</v>
      </c>
      <c r="Q17" s="3">
        <f>11.1+(310.6-16.8)+(0+(0-0))+0-0-0</f>
        <v>304.90000000000003</v>
      </c>
      <c r="R17" s="3">
        <f>37+(292-25.6)+(0+(0-0))+0-0-0</f>
        <v>303.39999999999998</v>
      </c>
      <c r="S17" s="3">
        <f>67.9+(265.5-58.8)+(-0.207774+(-0.81243--0.179928))+0-0-0</f>
        <v>273.75972400000001</v>
      </c>
      <c r="T17" s="3">
        <f>123.8+(253.8-102.1)+(0+(0-0))+0-0-0</f>
        <v>275.5</v>
      </c>
      <c r="U17" s="3">
        <f>3.4+(345.5-81.7)+(0+(0-0))+0-0-0</f>
        <v>267.2</v>
      </c>
      <c r="V17" s="3">
        <f>0+(392.8-132.9)+(0+(-0.400656--0.135558))+0-0-0</f>
        <v>259.63490199999995</v>
      </c>
      <c r="W17" s="3">
        <f>0+(457.6-198.8)+(0+(-0.700128--0.304164))+0-0-0</f>
        <v>258.40403600000002</v>
      </c>
      <c r="X17" s="3">
        <f>0+(426.4-162)+(0+(-0.217464--0.08262))+0-0-0</f>
        <v>264.26515599999999</v>
      </c>
      <c r="Y17" s="3">
        <f>0+(320.8-32.8)+(0+(0.490824-0.050184))+0-0-0</f>
        <v>288.44063999999997</v>
      </c>
      <c r="Z17" s="3">
        <f>0+(318-17)+(0+(0-0))+0-0-0</f>
        <v>301</v>
      </c>
      <c r="AA17" s="3">
        <f>0+(388.7-89.7)+(0+(-0.594711--0.137241))+0-0-0</f>
        <v>298.54253</v>
      </c>
      <c r="AB17" s="3">
        <f>0+(501.3-206)+(0+(-1.022652--0.42024))+0-0-0</f>
        <v>294.697588</v>
      </c>
      <c r="AC17" s="3">
        <f>0+(527.1-239.5)+(0+(-1.344105--0.610725))+0-0-0</f>
        <v>286.86662000000001</v>
      </c>
      <c r="AD17" s="2">
        <v>296.8</v>
      </c>
      <c r="AE17" s="3">
        <f>0+(344.2-47.4)+(0+(0-0))+0-0-0</f>
        <v>296.8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0+(382.1-105.3)+(0+(0.584613-0.161109))+0-0-0</f>
        <v>277.22350399999999</v>
      </c>
      <c r="G18" s="3">
        <f>0+(388.3-119.9)+(0+(-0.594099--0.183447))+0-0-0</f>
        <v>267.98934799999995</v>
      </c>
      <c r="H18" s="3">
        <f>0+(320.7-56.6)+(0+(-0.163557--0.028866))+0-0-0</f>
        <v>263.96530899999999</v>
      </c>
      <c r="I18" s="3">
        <f>0+(321.7-66.7)+(0+(-0.820335--0.170085))+0-0-0</f>
        <v>254.34975</v>
      </c>
      <c r="J18" s="3">
        <f>0+(334.1-83.4)+(0+(0.681564-0.170136))+0-0-0</f>
        <v>251.21142800000001</v>
      </c>
      <c r="K18" s="3">
        <f>0+(280.3-26.2)+(0+(-0.142953--0.013362))+0-0-0</f>
        <v>253.97040900000002</v>
      </c>
      <c r="L18" s="3">
        <f>0+(244.5-1.6)+(0+(-0.49878--0.003264))+0-0-0</f>
        <v>242.404484</v>
      </c>
      <c r="M18" s="3">
        <f>0+(231.5-0)+(0+(-0.354195-0))+0-0-0</f>
        <v>231.145805</v>
      </c>
      <c r="N18" s="3">
        <f>0+(233.4-0)+(0+(-0.119034-0))+0-0-0</f>
        <v>233.28096600000001</v>
      </c>
      <c r="O18" s="3">
        <f>0+(238.7-0)+(0+(0-0))+0-0-0</f>
        <v>238.7</v>
      </c>
      <c r="P18" s="3">
        <f>0+(249.2-0)+(0+(0-0))+0-0-0</f>
        <v>249.2</v>
      </c>
      <c r="Q18" s="3">
        <f>0+(253.2-0)+(0+(0.129132-0))+0-0-0</f>
        <v>253.32913199999999</v>
      </c>
      <c r="R18" s="3">
        <f>0+(254.5-0)+(0+(-0.129795-0))+0-0-0</f>
        <v>254.370205</v>
      </c>
      <c r="S18" s="3">
        <f>0+(234.1-0)+(0+(-0.238782-0))+0-0-0</f>
        <v>233.86121800000001</v>
      </c>
      <c r="T18" s="3">
        <f>0+(225-0)+(0+(-0.11475-0))+0-0-0</f>
        <v>224.88525000000001</v>
      </c>
      <c r="U18" s="3">
        <f>0+(222.4-0)+(0+(-0.56712-0))+0-0-0</f>
        <v>221.83288000000002</v>
      </c>
      <c r="V18" s="3">
        <f>0+(231.9-5.2)+(0+(0-0))+0-0-0</f>
        <v>226.70000000000002</v>
      </c>
      <c r="W18" s="3">
        <f>0+(277.4-32.4)+(0+(-0.70737--0.08262))+0-0-0</f>
        <v>244.37524999999997</v>
      </c>
      <c r="X18" s="3">
        <f>0+(296.7-42.9)+(0+(-0.151317--0.021879))+0-0-0</f>
        <v>253.67056199999999</v>
      </c>
      <c r="Y18" s="3">
        <f>0+(306-33.5)+(0+(-0.15606--0.017085))+0-0-0</f>
        <v>272.36102499999998</v>
      </c>
      <c r="Z18" s="3">
        <f>0+(337.8-51.5)+(0+(-0.516834--0.078795))+0-0-0</f>
        <v>285.86196100000001</v>
      </c>
      <c r="AA18" s="3">
        <f>0+(284.6-5)+(0+(-0.580584--0.0102))+0-0-0</f>
        <v>279.02961600000003</v>
      </c>
      <c r="AB18" s="3">
        <f>0+(309.3-32.7)+(0+(-0.157743--0.016677))+0-0-0</f>
        <v>276.458934</v>
      </c>
      <c r="AC18" s="3">
        <f>0+(270.9-4.5)+(0+(0.138159-0.002295))+0-0-0</f>
        <v>266.535864</v>
      </c>
      <c r="AD18" s="2">
        <v>287.59999999999997</v>
      </c>
      <c r="AE18" s="3">
        <f>0+(334.2-46.6)+(0+(0-0))+0-0-0</f>
        <v>287.59999999999997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0+(301.4-47.3)+(0+(-0.76857--0.120615))+0-0-0</f>
        <v>253.45204499999997</v>
      </c>
      <c r="G19" s="3">
        <f>0+(317.3-75)+(0+(-0.809115--0.19125))+0-0-0</f>
        <v>241.68213500000002</v>
      </c>
      <c r="H19" s="3">
        <f>0+(346.6-110.3)+(0+(0.530298-0.168759))+0-0-0</f>
        <v>236.661539</v>
      </c>
      <c r="I19" s="3">
        <f>0+(346.9-108.2)+(0+(0.884595-0.27591))+0-0-0</f>
        <v>239.308685</v>
      </c>
      <c r="J19" s="3">
        <f>0+(332.4-90.5)+(0+(-0.84762--0.230775))+0-0-0</f>
        <v>241.28315499999997</v>
      </c>
      <c r="K19" s="3">
        <f>0+(311.5-72.6)+(0+(0-0))+0-0-0</f>
        <v>238.9</v>
      </c>
      <c r="L19" s="3">
        <f>0+(274.7-28.3)+(0+(-0.560388--0.057732))+0-0-0</f>
        <v>245.89734399999998</v>
      </c>
      <c r="M19" s="3">
        <f>0+(327.9-66.7)+(0+(0.167229-0.034017))+0-0-0</f>
        <v>261.333212</v>
      </c>
      <c r="N19" s="3">
        <f>0+(382.1-97.2)+(0+(0.389742-0.099144))+0-0-0</f>
        <v>285.19059800000002</v>
      </c>
      <c r="O19" s="3">
        <f>0+(472.2-175.5)+(0+(0-0))+0-0-0</f>
        <v>296.7</v>
      </c>
      <c r="P19" s="3">
        <f>0+(625.3-314.2)+(0+(-0.318903--0.160242))+0-0-0</f>
        <v>310.94133899999997</v>
      </c>
      <c r="Q19" s="3">
        <f>0+(651.9-327.5)+(0+(-1.329876--0.6681))+0-0-0</f>
        <v>323.738224</v>
      </c>
      <c r="R19" s="3">
        <f>0+(678.4-352.9)+(0+(0.691968-0.359958))+0-0-0</f>
        <v>325.83201000000003</v>
      </c>
      <c r="S19" s="3">
        <f>0+(641.1-324.6)+(0+(-0.980883--0.496638))+0-0-0</f>
        <v>316.01575500000001</v>
      </c>
      <c r="T19" s="3">
        <f>0+(579-260.2)+(0+(-0.29529--0.132702))+0-0-0</f>
        <v>318.63741199999998</v>
      </c>
      <c r="U19" s="3">
        <f>0+(545.7-243)+(0+(-0.834921--0.37179))+0-0-0</f>
        <v>302.23686900000007</v>
      </c>
      <c r="V19" s="3">
        <f>0+(529.4-235.3)+(0+(0.269994-0.120003))+0-0-0</f>
        <v>294.24999099999997</v>
      </c>
      <c r="W19" s="3">
        <f>0+(537.2-254)+(0+(-0.547944--0.25908))+0-0-0</f>
        <v>282.91113600000006</v>
      </c>
      <c r="X19" s="3">
        <f>0+(519.6-237.7)+(0+(-1.059984--0.484908))+0-0-0</f>
        <v>281.32492400000001</v>
      </c>
      <c r="Y19" s="3">
        <f>0+(468.4-166.1)+(0+(0.238884-0.084711))+0-0-0</f>
        <v>302.45417299999997</v>
      </c>
      <c r="Z19" s="3">
        <f>0+(486.4-168.1)+(0+(-0.744192--0.257193))+0-0-0</f>
        <v>317.81300099999993</v>
      </c>
      <c r="AA19" s="3">
        <f>0+(439.5-131.1)+(0+(-1.120725--0.334305))+0-0-0</f>
        <v>307.61357999999996</v>
      </c>
      <c r="AB19" s="3">
        <f>0+(419.3-126.5)+(0+(-0.855372--0.25806))+0-0-0</f>
        <v>292.20268800000002</v>
      </c>
      <c r="AC19" s="3">
        <f>0+(320.5-41)+(0+(-0.65382--0.08364))+0-0-0</f>
        <v>278.92982000000001</v>
      </c>
      <c r="AD19" s="2">
        <v>322.10000000000002</v>
      </c>
      <c r="AE19" s="3">
        <f>0+(527-204.9)+(0+(0-0))+0-0-0</f>
        <v>322.10000000000002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0+(374-91.7)+(0+(0-0))+0-0-0</f>
        <v>282.3</v>
      </c>
      <c r="G20" s="3">
        <f>0+(419.3-145.2)+(0+(-0.855372--0.296208))+0-0-0</f>
        <v>273.54083600000001</v>
      </c>
      <c r="H20" s="3">
        <f>0+(368.8-97.8)+(0+(-0.752352--0.199512))+0-0-0</f>
        <v>270.44716</v>
      </c>
      <c r="I20" s="3">
        <f>0+(402.4-131)+(0+(-0.410448--0.13362))+0-0-0</f>
        <v>271.12317199999995</v>
      </c>
      <c r="J20" s="3">
        <f>0+(326.4-54.9)+(0+(-0.499392--0.083997))+0-0-0</f>
        <v>271.08460500000001</v>
      </c>
      <c r="K20" s="3">
        <f>0+(282.4-10)+(0+(0.144024-0.0051))+0-0-0</f>
        <v>272.53892399999995</v>
      </c>
      <c r="L20" s="3">
        <f>0+(284.4-10)+(0+(0-0))+0-0-0</f>
        <v>274.39999999999998</v>
      </c>
      <c r="M20" s="3">
        <f>0+(361.3-73.8)+(0+(-0.184263--0.037638))+0-0-0</f>
        <v>287.35337500000003</v>
      </c>
      <c r="N20" s="3">
        <f>0+(454.9-147.4)+(0+(-0.695997--0.225522))+0-0-0</f>
        <v>307.02952499999998</v>
      </c>
      <c r="O20" s="3">
        <f>0+(489.7-184.2)+(0+(0.249747-0.093942))+0-0-0</f>
        <v>305.65580499999999</v>
      </c>
      <c r="P20" s="3">
        <f>0+(479.4-165.3)+(0+(0-0))+0-0-0</f>
        <v>314.09999999999997</v>
      </c>
      <c r="Q20" s="3">
        <f>0+(500.1-178.9)+(0+(0.510102-0.182478))+0-0-0</f>
        <v>321.52762400000006</v>
      </c>
      <c r="R20" s="3">
        <f>0+(547.1-232.6)+(0+(0.279021-0.118626))+0-0-0</f>
        <v>314.66039499999999</v>
      </c>
      <c r="S20" s="3">
        <f>0+(534.8-244.8)+(0+(-1.636488--0.749088))+0-0-0</f>
        <v>289.11259999999993</v>
      </c>
      <c r="T20" s="3">
        <f>0+(569-278)+(0+(-0.58038--0.28356))+0-0-0</f>
        <v>290.70317999999997</v>
      </c>
      <c r="U20" s="3">
        <f>0+(573.6-286.6)+(0+(-0.877608--0.438498))+0-0-0</f>
        <v>286.56088999999997</v>
      </c>
      <c r="V20" s="3">
        <f>1.5+(496.7-215.2)+(-0.000765+(-0.253317--0.109752))+0-0-0</f>
        <v>282.85566999999998</v>
      </c>
      <c r="W20" s="3">
        <f>49.9+(419.1-195.5)+(0.025449+(0.213741-0.099705))+0-0-0</f>
        <v>273.63948499999998</v>
      </c>
      <c r="X20" s="3">
        <f>47.8+(365.2-140.3)+(-0.073134+(-0.558756--0.214659))+0-0-0</f>
        <v>272.28276899999997</v>
      </c>
      <c r="Y20" s="3">
        <f>0+(357.6-67.5)+(0+(-0.364752--0.06885))+0-0-0</f>
        <v>289.80409800000001</v>
      </c>
      <c r="Z20" s="3">
        <f>0+(335.2-20.9)+(0+(-0.85476--0.053295))+0-0-0</f>
        <v>313.498535</v>
      </c>
      <c r="AA20" s="3">
        <f>0+(352.9-47.1)+(0+(-0.719916--0.096084))+0-0-0</f>
        <v>305.17616799999996</v>
      </c>
      <c r="AB20" s="3">
        <f>0+(376.1-83.1)+(0+(-0.383622--0.084762))+0-0-0</f>
        <v>292.70114000000001</v>
      </c>
      <c r="AC20" s="3">
        <f>0+(415.2-133.7)+(0+(-0.635256--0.204561))+0-0-0</f>
        <v>281.06930499999999</v>
      </c>
      <c r="AD20" s="2">
        <v>310.89999999999998</v>
      </c>
      <c r="AE20" s="3">
        <f>0+(332.5-21.6)+(0+(0-0))+0-0-0</f>
        <v>310.89999999999998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0+(442.6-160.7)+(0+(-0.677178--0.245871))+0-0-0</f>
        <v>281.46869300000003</v>
      </c>
      <c r="G21" s="3">
        <f>0+(478.8-198.7)+(0+(-0.976752--0.405348))+0-0-0</f>
        <v>279.52859600000005</v>
      </c>
      <c r="H21" s="3">
        <f>0+(380.9-105)+(0+(-0.388518--0.1071))+0-0-0</f>
        <v>275.618582</v>
      </c>
      <c r="I21" s="3">
        <f>0+(354.2-81.8)+(0+(-0.541926--0.125154))+0-0-0</f>
        <v>271.983228</v>
      </c>
      <c r="J21" s="3">
        <f>0+(351.9-84.3)+(0+(-0.179469--0.042993))+0-0-0</f>
        <v>267.46352399999995</v>
      </c>
      <c r="K21" s="3">
        <f>0+(339.1-72.1)+(0+(0.172941-0.036771))+0-0-0</f>
        <v>267.13616999999999</v>
      </c>
      <c r="L21" s="3">
        <f>0+(272.2-4.8)+(0+(-0.971754--0.017136))+0-0-0</f>
        <v>266.445382</v>
      </c>
      <c r="M21" s="3">
        <f>0+(316.6-30.2)+(0+(0-0))+0-0-0</f>
        <v>286.40000000000003</v>
      </c>
      <c r="N21" s="3">
        <f>10.2+(398.1-100.4)+(0.005202+(0.203031-0.051204))+0-0-0</f>
        <v>308.05702900000006</v>
      </c>
      <c r="O21" s="3">
        <f>61+(442.6-166.9)+(-0.06222+(-0.451452--0.170238))+0-0-0</f>
        <v>336.35656600000004</v>
      </c>
      <c r="P21" s="3">
        <f>0+(485.1-168.9)+(0+(0.247401-0.086139))+0-0-0</f>
        <v>316.36126200000007</v>
      </c>
      <c r="Q21" s="3">
        <f>0+(465.5-141.1)+(0+(0-0))+0-0-0</f>
        <v>324.39999999999998</v>
      </c>
      <c r="R21" s="3">
        <f>0+(452.1-131.1)+(0+(0-0))+0-0-0</f>
        <v>321</v>
      </c>
      <c r="S21" s="3">
        <f>14.7+(444.4-175.9)+(-0.037485+(-1.13322--0.448545))+0-0-0</f>
        <v>282.47784000000001</v>
      </c>
      <c r="T21" s="3">
        <f>84.8+(445.5-247.4)+(0+(0-0))+0-0-0</f>
        <v>282.89999999999998</v>
      </c>
      <c r="U21" s="3">
        <f>84.7+(445.5-263.1)+(-0.086394+(-0.45441--0.268362))+0-0-0</f>
        <v>266.82755799999995</v>
      </c>
      <c r="V21" s="3">
        <f>0+(531.6-265.3)+(0+(-0.813348--0.405909))+0-0-0</f>
        <v>265.892561</v>
      </c>
      <c r="W21" s="3">
        <f>0+(492.7-214.3)+(0+(-0.251277--0.109293))+0-0-0</f>
        <v>278.258016</v>
      </c>
      <c r="X21" s="3">
        <f>0+(469.3-188.9)+(0+(-0.718029--0.289017))+0-0-0</f>
        <v>279.97098799999998</v>
      </c>
      <c r="Y21" s="3">
        <f>0+(430.1-134.3)+(0+(-0.219351--0.068493))+0-0-0</f>
        <v>295.64914199999998</v>
      </c>
      <c r="Z21" s="3">
        <f>0+(441.7-131.5)+(0+(-0.450534--0.13413))+0-0-0</f>
        <v>309.88359600000001</v>
      </c>
      <c r="AA21" s="3">
        <f>0+(496.9-193.3)+(0+(-0.253419--0.098583))+0-0-0</f>
        <v>303.44516399999998</v>
      </c>
      <c r="AB21" s="3">
        <f>0+(578.5-282.4)+(0+(-1.18014--0.576096))+0-0-0</f>
        <v>295.49595600000004</v>
      </c>
      <c r="AC21" s="3">
        <f>0+(536.1-248.5)+(0+(0.273411-0.126735))+0-0-0</f>
        <v>287.74667600000004</v>
      </c>
      <c r="AD21" s="2">
        <v>295.10000000000002</v>
      </c>
      <c r="AE21" s="3">
        <f>0+(447.3-152.2)+(0+(0-0))+0-0-0</f>
        <v>295.10000000000002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0+(574-286.1)+(0+(0.29274-0.145911))+0-0-0</f>
        <v>288.046829</v>
      </c>
      <c r="G22" s="3">
        <f>0+(493.3-217.6)+(0+(-0.251583--0.110976))+0-0-0</f>
        <v>275.55939300000006</v>
      </c>
      <c r="H22" s="3">
        <f>0+(407.5-135.6)+(0+(-0.207825--0.069156))+0-0-0</f>
        <v>271.76133099999998</v>
      </c>
      <c r="I22" s="3">
        <f>0+(420.4-153.6)+(0+(0-0))+0-0-0</f>
        <v>266.79999999999995</v>
      </c>
      <c r="J22" s="3">
        <f>0+(400.4-135.5)+(0+(0-0))+0-0-0</f>
        <v>264.89999999999998</v>
      </c>
      <c r="K22" s="3">
        <f>0+(342.9-74.6)+(0+(-0.524637--0.114138))+0-0-0</f>
        <v>267.88950099999994</v>
      </c>
      <c r="L22" s="3">
        <f>0+(346.4-77.8)+(0+(-0.353328--0.079356))+0-0-0</f>
        <v>268.32602799999995</v>
      </c>
      <c r="M22" s="3">
        <f>0+(373.1-89.3)+(0+(0.380562-0.091086))+0-0-0</f>
        <v>284.08947599999999</v>
      </c>
      <c r="N22" s="3">
        <f>0+(397.1-84.5)+(0+(0.810084-0.17238))+0-0-0</f>
        <v>313.23770400000001</v>
      </c>
      <c r="O22" s="3">
        <f>67.6+(367.1-118.9)+(-0.068952+(-0.374442--0.121278))+0-0-0</f>
        <v>315.47788400000002</v>
      </c>
      <c r="P22" s="3">
        <f>79.9+(492.9-249.1)+(-0.040749+(-0.251379--0.127041))+0-0-0</f>
        <v>323.53491299999996</v>
      </c>
      <c r="Q22" s="3">
        <f>73.8+(556.2-294.5)+(0.075276+(0.567324-0.30039))+0-0-0</f>
        <v>335.84221000000008</v>
      </c>
      <c r="R22" s="3">
        <f>78.3+(493.9-243.7)+(0+(0-0))+0-0-0</f>
        <v>328.5</v>
      </c>
      <c r="S22" s="3">
        <f>0+(478.8-183.6)+(0+(-0.976752--0.374544))+0-0-0</f>
        <v>294.59779200000003</v>
      </c>
      <c r="T22" s="3">
        <f>0+(484-192.7)+(0+(0.49368-0.196554))+0-0-0</f>
        <v>291.597126</v>
      </c>
      <c r="U22" s="3">
        <f>0+(471.2-189.5)+(0+(0.480624-0.19329))+0-0-0</f>
        <v>281.98733399999998</v>
      </c>
      <c r="V22" s="3">
        <f>0+(447-165.4)+(0+(-0.68391--0.253062))+0-0-0</f>
        <v>281.169152</v>
      </c>
      <c r="W22" s="3">
        <f>0+(440.7-157.1)+(0+(-0.224757--0.080121))+0-0-0</f>
        <v>283.45536400000003</v>
      </c>
      <c r="X22" s="3">
        <f>0+(414.5-133.8)+(0+(-1.056975--0.34119))+0-0-0</f>
        <v>279.98421500000001</v>
      </c>
      <c r="Y22" s="3">
        <f>0+(340.6-44.8)+(0+(0.347412-0.045696))+0-0-0</f>
        <v>296.10171600000001</v>
      </c>
      <c r="Z22" s="3">
        <f>0+(327.8-10.2)+(0+(-0.167178--0.005202))+0-0-0</f>
        <v>317.43802400000004</v>
      </c>
      <c r="AA22" s="3">
        <f>0+(393.2-87.6)+(0+(-0.802128--0.178704))+0-0-0</f>
        <v>304.97657600000002</v>
      </c>
      <c r="AB22" s="3">
        <f>0+(518.4-214.7)+(0+(-0.528768--0.218994))+0-0-0</f>
        <v>303.39022599999998</v>
      </c>
      <c r="AC22" s="3">
        <f>0+(407.9-109.8)+(0+(-0.832116--0.223992))+0-0-0</f>
        <v>297.49187599999999</v>
      </c>
      <c r="AD22" s="2">
        <v>326</v>
      </c>
      <c r="AE22" s="3">
        <f>0+(326-0)+(0+(0-0))+0-0-0</f>
        <v>326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0+(484.7-195.3)+(0+(-0.247197--0.099603))+0-0-0</f>
        <v>289.25240599999995</v>
      </c>
      <c r="G23" s="3">
        <f>0+(529.4-256.2)+(0+(-0.809982--0.391986))+0-0-0</f>
        <v>272.78200399999997</v>
      </c>
      <c r="H23" s="3">
        <f>0+(461.7-197)+(0+(0-0))+0-0-0</f>
        <v>264.7</v>
      </c>
      <c r="I23" s="3">
        <f>0+(470-205.3)+(0+(-1.1985--0.523515))+0-0-0</f>
        <v>264.025015</v>
      </c>
      <c r="J23" s="3">
        <f>0+(466-207)+(0+(0.47532-0.21114))+0-0-0</f>
        <v>259.26418000000001</v>
      </c>
      <c r="K23" s="3">
        <f>0+(413.5-151)+(0+(-0.210885--0.07701))+0-0-0</f>
        <v>262.36612500000001</v>
      </c>
      <c r="L23" s="3">
        <f>0+(395-131.3)+(0+(-1.00725--0.334815))+0-0-0</f>
        <v>263.02756499999998</v>
      </c>
      <c r="M23" s="3">
        <f>0+(356.3-72.4)+(0+(-0.181713--0.036924))+0-0-0</f>
        <v>283.75521099999997</v>
      </c>
      <c r="N23" s="3">
        <f>0+(508-200.6)+(0+(-0.25908--0.102306))+0-0-0</f>
        <v>307.24322599999999</v>
      </c>
      <c r="O23" s="3">
        <f>0+(458.5-143.4)+(0+(0.233835-0.073134))+0-0-0</f>
        <v>315.26070100000004</v>
      </c>
      <c r="P23" s="3">
        <f>0+(427-106.5)+(0+(0.43554-0.10863))+0-0-0</f>
        <v>320.82691</v>
      </c>
      <c r="Q23" s="3">
        <f>0+(487.6-159.5)+(0+(0-0))+0-0-0</f>
        <v>328.1</v>
      </c>
      <c r="R23" s="3">
        <f>0+(548.9-218.8)+(0+(-0.559878--0.223176))+0-0-0</f>
        <v>329.76329799999996</v>
      </c>
      <c r="S23" s="3">
        <f>0+(497.7-192.8)+(0+(-0.253827--0.098328))+0-0-0</f>
        <v>304.74450099999996</v>
      </c>
      <c r="T23" s="3">
        <f>0+(486.1-182)+(0+(-0.991644--0.37128))+0-0-0</f>
        <v>303.47963600000003</v>
      </c>
      <c r="U23" s="3">
        <f>0+(587-289.8)+(0+(0-0))+0-0-0</f>
        <v>297.2</v>
      </c>
      <c r="V23" s="3">
        <f>0+(617.3-324.6)+(0+(-0.944469--0.496638))+0-0-0</f>
        <v>292.25216899999992</v>
      </c>
      <c r="W23" s="3">
        <f>0+(633.2-330.4)+(0+(-0.322932--0.168504))+0-0-0</f>
        <v>302.64557200000007</v>
      </c>
      <c r="X23" s="3">
        <f>0+(632.6-336)+(0+(-1.290504--0.68544))+0-0-0</f>
        <v>295.994936</v>
      </c>
      <c r="Y23" s="3">
        <f>0+(475.4-163.5)+(0+(0.242454-0.083385))+0-0-0</f>
        <v>312.05906899999997</v>
      </c>
      <c r="Z23" s="3">
        <f>0+(368.8-41.2)+(0+(-0.188088--0.021012))+0-0-0</f>
        <v>327.43292400000001</v>
      </c>
      <c r="AA23" s="3">
        <f>0+(428.9-117.4)+(0+(-0.437478--0.119748))+0-0-0</f>
        <v>311.18227000000002</v>
      </c>
      <c r="AB23" s="3">
        <f>0+(602.7-299.7)+(0+(0-0))+0-0-0</f>
        <v>303.00000000000006</v>
      </c>
      <c r="AC23" s="3">
        <f>0+(675.4-373.7)+(0+(-1.377816--0.762348))+0-0-0</f>
        <v>301.08453199999997</v>
      </c>
      <c r="AD23" s="2">
        <v>324.5</v>
      </c>
      <c r="AE23" s="3">
        <f>0+(381.9-57.4)+(0+(0-0))+0-0-0</f>
        <v>324.5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0+(630.3-335.1)+(0+(-0.642906--0.341802))+0-0-0</f>
        <v>294.89889599999992</v>
      </c>
      <c r="G24" s="3">
        <f>0+(564.6-283.6)+(0+(-0.575892--0.289272))+0-0-0</f>
        <v>280.71337999999997</v>
      </c>
      <c r="H24" s="3">
        <f>0+(452.9-182.4)+(0+(-1.154895--0.46512))+0-0-0</f>
        <v>269.810225</v>
      </c>
      <c r="I24" s="3">
        <f>0+(492.1-224.6)+(0+(-0.501942--0.229092))+0-0-0</f>
        <v>267.22714999999999</v>
      </c>
      <c r="J24" s="3">
        <f>0+(497.1-230.9)+(0+(0.253521-0.117759))+0-0-0</f>
        <v>266.33576200000005</v>
      </c>
      <c r="K24" s="3">
        <f>0+(483.3-214.8)+(0+(0.246483-0.109548))+0-0-0</f>
        <v>268.63693499999999</v>
      </c>
      <c r="L24" s="3">
        <f>0+(475.2-214.8)+(0+(-0.484704--0.219096))+0-0-0</f>
        <v>260.13439199999999</v>
      </c>
      <c r="M24" s="3">
        <f>0+(405.5-131.6)+(0+(0.41361-0.134232))+0-0-0</f>
        <v>274.17937799999999</v>
      </c>
      <c r="N24" s="3">
        <f>0+(335.5-36.7)+(0+(0.68442-0.074868))+0-0-0</f>
        <v>299.40955200000002</v>
      </c>
      <c r="O24" s="3">
        <f>0+(342.5-17.6)+(0+(0.174675-0.008976))+0-0-0</f>
        <v>325.065699</v>
      </c>
      <c r="P24" s="3">
        <f>0+(386-57.2)+(0+(0-0))+0-0-0</f>
        <v>328.8</v>
      </c>
      <c r="Q24" s="3">
        <f>0+(334-4.2)+(0+(-0.17034--0.002142))+0-0-0</f>
        <v>329.63180199999999</v>
      </c>
      <c r="R24" s="3">
        <f>0+(354.9-26.8)+(0+(-0.361998--0.027336))+0-0-0</f>
        <v>327.76533799999999</v>
      </c>
      <c r="S24" s="3">
        <f>0+(361.9-60.8)+(0+(-0.369138--0.062016))+0-0-0</f>
        <v>300.79287799999997</v>
      </c>
      <c r="T24" s="3">
        <f>0+(340.5-50.8)+(0+(-0.34731--0.051816))+0-0-0</f>
        <v>289.40450599999997</v>
      </c>
      <c r="U24" s="3">
        <f>0+(352-63.4)+(0+(-0.17952--0.032334))+0-0-0</f>
        <v>288.45281400000005</v>
      </c>
      <c r="V24" s="3">
        <f>0+(432-149.5)+(0+(0-0))+0-0-0</f>
        <v>282.5</v>
      </c>
      <c r="W24" s="3">
        <f>0+(445.1-158.6)+(0+(-0.454002--0.161772))+0-0-0</f>
        <v>286.20776999999998</v>
      </c>
      <c r="X24" s="3">
        <f>0+(460.4-179.6)+(0+(0.469608-0.183192))+0-0-0</f>
        <v>281.08641599999993</v>
      </c>
      <c r="Y24" s="3">
        <f>0+(335.3-31)+(0+(0-0))+0-0-0</f>
        <v>304.3</v>
      </c>
      <c r="Z24" s="3">
        <f>0+(314.9-0)+(0+(-0.642396-0))+0-0-0</f>
        <v>314.25760399999996</v>
      </c>
      <c r="AA24" s="3">
        <f>0+(346.8-36.6)+(0+(-0.353736--0.037332))+0-0-0</f>
        <v>309.88359600000001</v>
      </c>
      <c r="AB24" s="3">
        <f>0+(421.5-118.2)+(0+(-0.85986--0.241128))+0-0-0</f>
        <v>302.68126799999999</v>
      </c>
      <c r="AC24" s="3">
        <f>0+(461.6-173.5)+(0+(-0.706248--0.265455))+0-0-0</f>
        <v>287.65920700000004</v>
      </c>
      <c r="AD24" s="2">
        <v>305.89999999999998</v>
      </c>
      <c r="AE24" s="3">
        <f>0+(305.9-0)+(0+(0-0))+0-0-0</f>
        <v>305.89999999999998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0+(452.9-173.4)+(0+(-0.461958--0.176868))+0-0-0</f>
        <v>279.21490999999997</v>
      </c>
      <c r="G25" s="3">
        <f>0+(419.7-149.3)+(0+(-0.642141--0.228429))+0-0-0</f>
        <v>269.986288</v>
      </c>
      <c r="H25" s="3">
        <f>0+(339-77.1)+(0+(-0.34578--0.078642))+0-0-0</f>
        <v>261.63286199999999</v>
      </c>
      <c r="I25" s="3">
        <f>0+(326.8-66.8)+(0+(-0.333336--0.068136))+0-0-0</f>
        <v>259.73480000000001</v>
      </c>
      <c r="J25" s="3">
        <f>0+(353.7-97)+(0+(0.360774-0.09894))+0-0-0</f>
        <v>256.96183400000001</v>
      </c>
      <c r="K25" s="3">
        <f>0+(324.7-71.9)+(0+(-0.165597--0.036669))+0-0-0</f>
        <v>252.67107199999998</v>
      </c>
      <c r="L25" s="3">
        <f>0+(340-100.4)+(0+(-1.0404--0.307224))+0-0-0</f>
        <v>238.86682400000001</v>
      </c>
      <c r="M25" s="3">
        <f>0+(356.3-120.4)+(0+(-0.181713--0.061404))+0-0-0</f>
        <v>235.77969100000001</v>
      </c>
      <c r="N25" s="3">
        <f>0+(365.7-120.6)+(0+(0.186507-0.061506))+0-0-0</f>
        <v>245.22500099999999</v>
      </c>
      <c r="O25" s="3">
        <f>0+(461.8-205.7)+(0+(-0.235518--0.104907))+0-0-0</f>
        <v>255.96938900000004</v>
      </c>
      <c r="P25" s="3">
        <f>0+(467.7-204.5)+(0+(0.238527-0.104295))+0-0-0</f>
        <v>263.33423199999999</v>
      </c>
      <c r="Q25" s="3">
        <f>0+(411.5-137.7)+(0+(-0.41973--0.140454))+0-0-0</f>
        <v>273.52072400000003</v>
      </c>
      <c r="R25" s="3">
        <f>0+(410.6-139.2)+(0+(0.209406-0.070992))+0-0-0</f>
        <v>271.53841400000005</v>
      </c>
      <c r="S25" s="3">
        <f>0+(402.6-148.6)+(0+(0.205326-0.075786))+0-0-0</f>
        <v>254.12954000000002</v>
      </c>
      <c r="T25" s="3">
        <f>0+(421.4-177.3)+(0+(0.214914-0.090423))+0-0-0</f>
        <v>244.22449099999997</v>
      </c>
      <c r="U25" s="3">
        <f>0+(425.6-182.5)+(0+(-0.434112--0.18615))+0-0-0</f>
        <v>242.85203800000002</v>
      </c>
      <c r="V25" s="3">
        <f>0+(371.5-133)+(0+(0.37893-0.13566))+0-0-0</f>
        <v>238.74327</v>
      </c>
      <c r="W25" s="3">
        <f>0+(354.2-102.7)+(0+(0.541926-0.157131))+0-0-0</f>
        <v>251.884795</v>
      </c>
      <c r="X25" s="3">
        <f>0+(427.3-170)+(0+(-0.653769--0.2601))+0-0-0</f>
        <v>256.90633100000002</v>
      </c>
      <c r="Y25" s="3">
        <f>0+(484.3-200.8)+(0+(0.246993-0.102408))+0-0-0</f>
        <v>283.64458500000001</v>
      </c>
      <c r="Z25" s="3">
        <f>0+(462.2-157.1)+(0+(-0.707166--0.240363))+0-0-0</f>
        <v>304.633197</v>
      </c>
      <c r="AA25" s="3">
        <f>0+(487.7-185)+(0+(-1.243635--0.47175))+0-0-0</f>
        <v>301.92811499999999</v>
      </c>
      <c r="AB25" s="3">
        <f>0+(500.4-205.8)+(0+(-0.510408--0.209916))+0-0-0</f>
        <v>294.29950799999995</v>
      </c>
      <c r="AC25" s="3">
        <f>0+(405.3-125.2)+(0+(-0.206703--0.063852))+0-0-0</f>
        <v>279.95714900000002</v>
      </c>
      <c r="AD25" s="2">
        <v>304.10000000000002</v>
      </c>
      <c r="AE25" s="3">
        <f>0+(473-168.9)+(0+(0-0))+0-0-0</f>
        <v>304.10000000000002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0+(361.1-93.3)+(0+(-0.184161--0.047583))+0-0-0</f>
        <v>267.66342200000003</v>
      </c>
      <c r="G26" s="3">
        <f>0+(417.9-161.4)+(0+(0.213129-0.082314))+0-0-0</f>
        <v>256.63081499999998</v>
      </c>
      <c r="H26" s="3">
        <f>0+(418.8-165.6)+(0+(-0.213588--0.084456))+0-0-0</f>
        <v>253.07086800000002</v>
      </c>
      <c r="I26" s="3">
        <f>0+(413.7-162.1)+(0+(-0.421974--0.165342))+0-0-0</f>
        <v>251.343368</v>
      </c>
      <c r="J26" s="3">
        <f>0+(430.9-181.9)+(0+(0.879036-0.371076))+0-0-0</f>
        <v>249.50795999999997</v>
      </c>
      <c r="K26" s="3">
        <f>0+(383.1-132.1)+(0+(-0.390762--0.134742))+0-0-0</f>
        <v>250.74398000000002</v>
      </c>
      <c r="L26" s="3">
        <f>0+(386.6-131.8)+(0+(0.591498-0.201654))+0-0-0</f>
        <v>255.18984400000002</v>
      </c>
      <c r="M26" s="3">
        <f>0+(459-176.4)+(0+(-0.23409--0.089964))+0-0-0</f>
        <v>282.45587399999999</v>
      </c>
      <c r="N26" s="3">
        <f>0+(451.9-143.7)+(0+(-0.230469--0.073287))+0-0-0</f>
        <v>308.04281800000001</v>
      </c>
      <c r="O26" s="3">
        <f>0+(550.8-229.9)+(0+(-0.561816--0.234498))+0-0-0</f>
        <v>320.57268199999999</v>
      </c>
      <c r="P26" s="3">
        <f>0+(581.7-251.7)+(0+(-0.890001--0.385101))+0-0-0</f>
        <v>329.49510000000004</v>
      </c>
      <c r="Q26" s="3">
        <f>0+(547.6-213.4)+(0+(-1.117104--0.435336))+0-0-0</f>
        <v>333.51823200000007</v>
      </c>
      <c r="R26" s="3">
        <f>0+(559.3-225.2)+(0+(-0.855729--0.344556))+0-0-0</f>
        <v>333.58882699999998</v>
      </c>
      <c r="S26" s="3">
        <f>0+(549.1-229.6)+(0+(-1.120164--0.468384))+0-0-0</f>
        <v>318.84822000000003</v>
      </c>
      <c r="T26" s="3">
        <f>0+(561.2-239.3)+(0+(-0.858636--0.366129))+0-0-0</f>
        <v>321.40749300000004</v>
      </c>
      <c r="U26" s="3">
        <f>0+(424.7-109.3)+(0+(-1.299582--0.334458))+0-0-0</f>
        <v>314.43487599999997</v>
      </c>
      <c r="V26" s="3">
        <f>0+(349.7-36.5)+(0+(-0.178347--0.018615))+0-0-0</f>
        <v>313.04026799999997</v>
      </c>
      <c r="W26" s="3">
        <f>0+(354.5-42)+(0+(-0.903975--0.1071))+0-0-0</f>
        <v>311.703125</v>
      </c>
      <c r="X26" s="3">
        <f>0+(339.2-32.5)+(0+(-0.172992--0.016575))+0-0-0</f>
        <v>306.54358300000001</v>
      </c>
      <c r="Y26" s="3">
        <f>0+(382.6-60.7)+(0+(0.195126-0.030957))+0-0-0</f>
        <v>322.06416900000005</v>
      </c>
      <c r="Z26" s="3">
        <f>0+(393-66.1)+(0+(-1.00215--0.168555))+0-0-0</f>
        <v>326.06640499999997</v>
      </c>
      <c r="AA26" s="3">
        <f>0+(372.2-56.1)+(0+(-0.94911--0.143055))+0-0-0</f>
        <v>315.29394499999995</v>
      </c>
      <c r="AB26" s="3">
        <f>0+(315.4-9.9)+(0+(-0.160854--0.005049))+0-0-0</f>
        <v>305.34419500000001</v>
      </c>
      <c r="AC26" s="3">
        <f>0+(324-28.8)+(0+(-0.66096--0.058752))+0-0-0</f>
        <v>294.59779199999997</v>
      </c>
      <c r="AD26" s="2">
        <v>328.70000000000005</v>
      </c>
      <c r="AE26" s="3">
        <f>0+(381.1-52.4)+(0+(0-0))+0-0-0</f>
        <v>328.70000000000005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0+(353.3-72.2)+(0+(-0.720732--0.147288))+0-0-0</f>
        <v>280.52655600000003</v>
      </c>
      <c r="G27" s="3">
        <f>0+(310.4-32.5)+(0+(-0.474912--0.049725))+0-0-0</f>
        <v>277.47481299999998</v>
      </c>
      <c r="H27" s="3">
        <f>0+(310.4-34.8)+(0+(0-0))+0-0-0</f>
        <v>275.59999999999997</v>
      </c>
      <c r="I27" s="3">
        <f>0+(313-37.3)+(0+(-0.31926--0.038046))+0-0-0</f>
        <v>275.41878600000001</v>
      </c>
      <c r="J27" s="3">
        <f>0+(308.2-35.1)+(0+(0-0))+0-0-0</f>
        <v>273.09999999999997</v>
      </c>
      <c r="K27" s="3">
        <f>0+(308.7-35.5)+(0+(0-0))+0-0-0</f>
        <v>273.2</v>
      </c>
      <c r="L27" s="3">
        <f>0+(328.1-60.1)+(0+(0.501993-0.091953))+0-0-0</f>
        <v>268.41003999999998</v>
      </c>
      <c r="M27" s="3">
        <f>0+(386.2-99.7)+(0+(-0.393924--0.101694))+0-0-0</f>
        <v>286.20776999999998</v>
      </c>
      <c r="N27" s="3">
        <f>0+(451.3-132.8)+(0+(-0.230163--0.067728))+0-0-0</f>
        <v>318.33756499999998</v>
      </c>
      <c r="O27" s="3">
        <f>0+(442.6-116.9)+(0+(0-0))+0-0-0</f>
        <v>325.70000000000005</v>
      </c>
      <c r="P27" s="3">
        <f>0+(410.9-80.5)+(0+(-0.419118--0.08211))+0-0-0</f>
        <v>330.06299199999995</v>
      </c>
      <c r="Q27" s="3">
        <f>0+(409.2-79.3)+(0+(-0.626076--0.121329))+0-0-0</f>
        <v>329.39525299999997</v>
      </c>
      <c r="R27" s="3">
        <f>0+(422-102.2)+(0+(-0.43044--0.104244))+0-0-0</f>
        <v>319.47380400000003</v>
      </c>
      <c r="S27" s="3">
        <f>0+(415.7-120.9)+(0+(-0.848028--0.246636))+0-0-0</f>
        <v>294.19860799999998</v>
      </c>
      <c r="T27" s="3">
        <f>2+(421.4-129)+(-0.00102+(-0.214914--0.06579))+0-0-0</f>
        <v>294.24985599999997</v>
      </c>
      <c r="U27" s="3">
        <f>50+(427-186)+(-0.1275+(-1.08885--0.4743))+0-0-0</f>
        <v>290.25794999999999</v>
      </c>
      <c r="V27" s="3">
        <f>101+(413.2-224.2)+(-0.30906+(-1.264392--0.686052))+0-0-0</f>
        <v>289.11259999999999</v>
      </c>
      <c r="W27" s="3">
        <f>8+(431.8-147.5)+(-0.01224+(-0.660654--0.225675))+0-0-0</f>
        <v>291.85278099999999</v>
      </c>
      <c r="X27" s="3">
        <f>0+(420-121.9)+(0+(-0.4284--0.124338))+0-0-0</f>
        <v>297.79593800000004</v>
      </c>
      <c r="Y27" s="3">
        <f>0+(420.9-110.9)+(0+(0.214659-0.056559))+0-0-0</f>
        <v>310.15809999999999</v>
      </c>
      <c r="Z27" s="3">
        <f>0+(398.9-83.9)+(0+(-0.610317--0.128367))+0-0-0</f>
        <v>314.51805000000002</v>
      </c>
      <c r="AA27" s="3">
        <f>0+(394.8-80.1)+(0+(-0.604044--0.122553))+0-0-0</f>
        <v>314.21850900000004</v>
      </c>
      <c r="AB27" s="3">
        <f>0+(464.2-157.8)+(0+(-0.473484--0.160956))+0-0-0</f>
        <v>306.08747199999999</v>
      </c>
      <c r="AC27" s="3">
        <f>0+(393.9-97.1)+(0+(0-0))+0-0-0</f>
        <v>296.79999999999995</v>
      </c>
      <c r="AD27" s="2">
        <v>309.8</v>
      </c>
      <c r="AE27" s="3">
        <f>0+(383.8-74)+(0+(0-0))+0-0-0</f>
        <v>309.8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0+(345.9-62.6)+(0+(-0.529227--0.095778))+0-0-0</f>
        <v>282.86655099999996</v>
      </c>
      <c r="G28" s="3">
        <f>0+(305.8-28.7)+(0+(-0.467874--0.043911))+0-0-0</f>
        <v>276.67603700000001</v>
      </c>
      <c r="H28" s="3">
        <f>0+(355.9-84.5)+(0+(-0.544527--0.129285))+0-0-0</f>
        <v>270.984758</v>
      </c>
      <c r="I28" s="3">
        <f>0+(380.6-111.7)+(0+(0-0))+0-0-0</f>
        <v>268.90000000000003</v>
      </c>
      <c r="J28" s="3">
        <f>0+(391.7-125.9)+(0+(0.399534-0.128418))+0-0-0</f>
        <v>266.07111599999996</v>
      </c>
      <c r="K28" s="3">
        <f>0+(323.7-53.2)+(0+(0-0))+0-0-0</f>
        <v>270.5</v>
      </c>
      <c r="L28" s="3">
        <f>0+(377.9-106.9)+(0+(-0.578187--0.163557))+0-0-0</f>
        <v>270.58537000000001</v>
      </c>
      <c r="M28" s="3">
        <f>0+(463.8-178.1)+(0+(0-0))+0-0-0</f>
        <v>285.70000000000005</v>
      </c>
      <c r="N28" s="3">
        <f>0+(525.3-221.2)+(0+(-0.267903--0.112812))+0-0-0</f>
        <v>303.94490899999994</v>
      </c>
      <c r="O28" s="3">
        <f>0+(488.6-174.7)+(0+(-0.498372--0.178194))+0-0-0</f>
        <v>313.57982200000004</v>
      </c>
      <c r="P28" s="3">
        <f>0+(477.1-160)+(0+(0.243321-0.0816))+0-0-0</f>
        <v>317.26172100000002</v>
      </c>
      <c r="Q28" s="3">
        <f>0+(455.2-133.5)+(0+(0.232152-0.068085))+0-0-0</f>
        <v>321.86406699999998</v>
      </c>
      <c r="R28" s="3">
        <f>0+(433.7-112.8)+(0+(0.221187-0.057528))+0-0-0</f>
        <v>321.06365899999997</v>
      </c>
      <c r="S28" s="3">
        <f>0+(435.2-142.3)+(0+(0.221952-0.072573))+0-0-0</f>
        <v>293.04937899999999</v>
      </c>
      <c r="T28" s="3">
        <f>0+(428.7-135.5)+(0+(0.655911-0.207315))+0-0-0</f>
        <v>293.648596</v>
      </c>
      <c r="U28" s="3">
        <f>0+(417.8-128.9)+(0+(-0.426156--0.131478))+0-10.1--0.0103020000000016</f>
        <v>278.515624</v>
      </c>
      <c r="V28" s="3">
        <f>0+(394.4-112)+(0+(-0.201144--0.05712))+0-0-0</f>
        <v>282.25597599999998</v>
      </c>
      <c r="W28" s="3">
        <f>0+(401.2-113.2)+(0+(-0.204612--0.057732))+0-0-0</f>
        <v>287.85311999999999</v>
      </c>
      <c r="X28" s="3">
        <f>0+(407-116.3)+(0+(-0.83028--0.237252))+0-0-0</f>
        <v>290.10697199999998</v>
      </c>
      <c r="Y28" s="3">
        <f>0+(394.5-88)+(0+(0.603585-0.13464))+0-0-0</f>
        <v>306.96894500000002</v>
      </c>
      <c r="Z28" s="3">
        <f>0+(363.6-41.1)+(0+(-0.185436--0.020961))+0-0-0</f>
        <v>322.33552500000002</v>
      </c>
      <c r="AA28" s="3">
        <f>0+(402.5-84.3)+(0+(-0.615825--0.128979))+0-0-0</f>
        <v>317.71315399999997</v>
      </c>
      <c r="AB28" s="3">
        <f>0+(506.5-198.5)+(0+(-1.291575--0.506175))+0-0-0</f>
        <v>307.21460000000002</v>
      </c>
      <c r="AC28" s="3">
        <f>0+(497.1-201.6)+(0+(0.253521-0.102816))+0-0-0</f>
        <v>295.65070500000002</v>
      </c>
      <c r="AD28" s="2">
        <v>330.8</v>
      </c>
      <c r="AE28" s="3">
        <f>0+(368.2-37.4)+(0+(0-0))+0-0-0</f>
        <v>330.8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0+(517-230.9)+(0+(-0.52734--0.235518))+0-0-0</f>
        <v>285.808178</v>
      </c>
      <c r="G29" s="3">
        <f>0+(448.1-172.8)+(0+(-0.914124--0.352512))+0-0-0</f>
        <v>274.73838799999999</v>
      </c>
      <c r="H29" s="3">
        <f>0+(421.7-149.2)+(0+(-0.215067--0.076092))+0-0-0</f>
        <v>272.36102499999998</v>
      </c>
      <c r="I29" s="3">
        <f>0+(395.5-126.5)+(0+(0.201705-0.064515))+0-0-0</f>
        <v>269.13718999999998</v>
      </c>
      <c r="J29" s="3">
        <f>0+(364.4-96.8)+(0+(-0.185844--0.049368))+0-0-0</f>
        <v>267.46352399999995</v>
      </c>
      <c r="K29" s="3">
        <f>0+(357.1-87.9)+(0+(0.182121-0.044829))+0-0-0</f>
        <v>269.33729200000005</v>
      </c>
      <c r="L29" s="3">
        <f>0+(325-54.1)+(0+(-0.3315--0.055182))+0-0-0</f>
        <v>270.62368199999997</v>
      </c>
      <c r="M29" s="3">
        <f>0+(421.3-135.8)+(0+(0.429726-0.138516))+0-0-0</f>
        <v>285.79120999999998</v>
      </c>
      <c r="N29" s="3">
        <f>0+(561.4-244.2)+(0+(0.572628-0.249084))+0-0-0</f>
        <v>317.52354400000002</v>
      </c>
      <c r="O29" s="3">
        <f>0+(601.6-273.3)+(0+(0.613632-0.278766))+0-0-0</f>
        <v>328.63486599999999</v>
      </c>
      <c r="P29" s="3">
        <f>0+(553.7-222.5)+(0+(0.564774-0.22695))+0-0-0</f>
        <v>331.53782400000006</v>
      </c>
      <c r="Q29" s="3">
        <f>0+(488.6-145.4)+(0+(-1.495116--0.444924))+0-0-0</f>
        <v>342.14980800000006</v>
      </c>
      <c r="R29" s="3">
        <f>0+(543.7-207.5)+(0+(0.554574-0.21165))+0-0-0</f>
        <v>336.54292400000003</v>
      </c>
      <c r="S29" s="3">
        <f>0+(550.5-249.1)+(0+(-0.56151--0.254082))+0-0-0</f>
        <v>301.09257199999996</v>
      </c>
      <c r="T29" s="3">
        <f>0+(538.3-230.1)+(0+(-1.647198--0.704106))+0-0-0</f>
        <v>307.25690799999995</v>
      </c>
      <c r="U29" s="3">
        <f>0+(490.2-187)+(0+(-1.000008--0.38148))+0-0-0</f>
        <v>302.58147199999996</v>
      </c>
      <c r="V29" s="3">
        <f>0+(466.4-177.1)+(0+(-0.237864--0.090321))+0-0-0</f>
        <v>289.15245699999997</v>
      </c>
      <c r="W29" s="3">
        <f>0+(441.5-162.6)+(0+(0.90066-0.331704))+0-0-0</f>
        <v>279.46895599999999</v>
      </c>
      <c r="X29" s="3">
        <f>0+(418.6-131.2)+(0+(-0.426972--0.133824))+0-0-0</f>
        <v>287.10685200000006</v>
      </c>
      <c r="Y29" s="3">
        <f>0+(495.5-192.1)+(0+(-0.50541--0.195942))+0-0-0</f>
        <v>303.090532</v>
      </c>
      <c r="Z29" s="3">
        <f>0+(422-107.2)+(0+(-0.64566--0.164016))+0-0-0</f>
        <v>314.31835599999999</v>
      </c>
      <c r="AA29" s="3">
        <f>0+(368.3-69)+(0+(-0.375666--0.07038))+0-0-0</f>
        <v>298.99471399999999</v>
      </c>
      <c r="AB29" s="3">
        <f>0+(403.9-119.8)+(0+(-0.411978--0.122196))+0-0-0</f>
        <v>283.81021799999996</v>
      </c>
      <c r="AC29" s="3">
        <f>0+(387-108.8)+(0+(-0.39474--0.110976))+0-0-0</f>
        <v>277.91623599999997</v>
      </c>
      <c r="AD29" s="2">
        <v>315.60000000000002</v>
      </c>
      <c r="AE29" s="3">
        <f>0+(437-121.4)+(0+(0-0))+0-0-0</f>
        <v>315.60000000000002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0+(380.6-115.3)+(0+(-0.582318--0.176409))+0-0-0</f>
        <v>264.894091</v>
      </c>
      <c r="G30" s="3">
        <f>0+(369.8-125)+(0+(-0.188598--0.06375))+0-0-0</f>
        <v>244.67515200000003</v>
      </c>
      <c r="H30" s="3">
        <f>0+(347.8-109.7)+(0+(0.532134-0.167841))+0-0-0</f>
        <v>238.46429300000003</v>
      </c>
      <c r="I30" s="3">
        <f>0+(336.8-90.3)+(0+(-0.343536--0.092106))+0-0-0</f>
        <v>246.24857</v>
      </c>
      <c r="J30" s="3">
        <f>0+(335.8-94.3)+(0+(-0.342516--0.096186))+0-0-0</f>
        <v>241.25367</v>
      </c>
      <c r="K30" s="3">
        <f>0+(321.5-70.5)+(0+(-0.65586--0.14382))+0-0-0</f>
        <v>250.48795999999999</v>
      </c>
      <c r="L30" s="3">
        <f>0+(301.2-54.3)+(0+(-0.614448--0.110772))+0-0-0</f>
        <v>246.39632399999996</v>
      </c>
      <c r="M30" s="3">
        <f>0+(302.6-38.6)+(0+(0.154326-0.019686))+0-0-0</f>
        <v>264.13463999999999</v>
      </c>
      <c r="N30" s="3">
        <f>0+(357.3-41.2)+(0+(0.182223-0.021012))+0-0-0</f>
        <v>316.261211</v>
      </c>
      <c r="O30" s="3">
        <f>0+(424.1-114.1)+(0+(0.216291-0.058191))+0-0-0</f>
        <v>310.15809999999999</v>
      </c>
      <c r="P30" s="3">
        <f>0+(386.9-72.8)+(0+(0.197319-0.037128))+0-0-0</f>
        <v>314.26019099999996</v>
      </c>
      <c r="Q30" s="3">
        <f>0+(347.3-17.7)+(0+(-0.177123--0.009027))+0-0-0</f>
        <v>329.43190400000003</v>
      </c>
      <c r="R30" s="3">
        <f>0+(378.7-43.4)+(0+(0.193137-0.022134))+0-0-0</f>
        <v>335.471003</v>
      </c>
      <c r="S30" s="3">
        <f>0+(353.2-35.3)+(0+(-0.90066--0.090015))+0-0-0</f>
        <v>317.08935499999995</v>
      </c>
      <c r="T30" s="3">
        <f>0+(422.2-115.1)+(0+(-0.215322--0.058701))+0-0-0</f>
        <v>306.94337900000005</v>
      </c>
      <c r="U30" s="3">
        <f>0+(496.6-194.3)+(0+(-1.013064--0.396372))+0-0-0</f>
        <v>301.68330800000001</v>
      </c>
      <c r="V30" s="3">
        <f>0+(544.2-249.3)+(0+(-0.277542--0.127143))+0-0-0</f>
        <v>294.74960100000004</v>
      </c>
      <c r="W30" s="3">
        <f>0+(520.6-224.3)+(0+(-1.062024--0.457572))+0-0-0</f>
        <v>295.69554800000003</v>
      </c>
      <c r="X30" s="3">
        <f>0+(473.4-181.4)+(0+(-0.724302--0.277542))+0-0-0</f>
        <v>291.55324000000002</v>
      </c>
      <c r="Y30" s="3">
        <f>0+(405.1-102.5)+(0+(-1.033005--0.261375))+0-0-0</f>
        <v>301.82837000000001</v>
      </c>
      <c r="Z30" s="3">
        <f>0+(436.5-121.5)+(0+(-0.667845--0.185895))+0-0-0</f>
        <v>314.51805000000002</v>
      </c>
      <c r="AA30" s="3">
        <f>0+(423.1-111.2)+(0+(-1.078905--0.28356))+0-0-0</f>
        <v>311.10465500000004</v>
      </c>
      <c r="AB30" s="3">
        <f>0+(457.4-152.7)+(0+(-0.699822--0.233631))+0-0-0</f>
        <v>304.23380900000001</v>
      </c>
      <c r="AC30" s="3">
        <f>0+(326.6-35.7)+(0+(-0.666264--0.072828))+0-0-0</f>
        <v>290.30656400000004</v>
      </c>
      <c r="AD30" s="2">
        <v>308.5</v>
      </c>
      <c r="AE30" s="3">
        <f>0+(472.6-164.1)+(0+(0-0))+0-0-0</f>
        <v>308.5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0+(332.7-53.9)+(0+(-0.678708--0.109956))+0-0-0</f>
        <v>278.23124799999999</v>
      </c>
      <c r="G31" s="3">
        <f>0+(409.7-140.7)+(0+(-0.626841--0.215271))+0-0-0</f>
        <v>268.58843000000002</v>
      </c>
      <c r="H31" s="3">
        <f>0+(431.4-163.2)+(0+(-1.10007--0.41616))+0-0-0</f>
        <v>267.51608999999996</v>
      </c>
      <c r="I31" s="3">
        <f>0+(410.2-142.6)+(0+(0-0))+0-0-0</f>
        <v>267.60000000000002</v>
      </c>
      <c r="J31" s="3">
        <f>0+(395.7-128.6)+(0+(-0.201807--0.065586))+0-0-0</f>
        <v>266.96377900000005</v>
      </c>
      <c r="K31" s="3">
        <f>0+(402.8-136.8)+(0+(0.205428-0.069768))+0-0-0</f>
        <v>266.13565999999997</v>
      </c>
      <c r="L31" s="3">
        <f>0+(401.4-139.2)+(0+(-0.204714--0.070992))+0-0-0</f>
        <v>262.06627800000001</v>
      </c>
      <c r="M31" s="3">
        <f>0+(404.8-129.1)+(0+(0.206448-0.065841))+0-0-0</f>
        <v>275.84060700000003</v>
      </c>
      <c r="N31" s="3">
        <f>0+(417.8-108)+(0+(-0.213078--0.05508))+0-0-0</f>
        <v>309.64200199999999</v>
      </c>
      <c r="O31" s="3">
        <f>0+(451-127.9)+(0+(-0.46002--0.130458))+0-0-0</f>
        <v>322.77043800000001</v>
      </c>
      <c r="P31" s="3">
        <f>0+(445.1-125.7)+(0+(0.227001-0.064107))+0-0-0</f>
        <v>319.56289400000003</v>
      </c>
      <c r="Q31" s="3">
        <f>0+(403-84.9)+(0+(-1.23318--0.259794))+0-0-0</f>
        <v>317.12661400000002</v>
      </c>
      <c r="R31" s="3">
        <f>0+(419.5-103.2)+(0+(-0.85578--0.210528))+0-0-0</f>
        <v>315.65474799999998</v>
      </c>
      <c r="S31" s="3">
        <f>0+(339.5-47.4)+(0+(-0.865725--0.12087))+0-0-0</f>
        <v>291.35514500000005</v>
      </c>
      <c r="T31" s="3">
        <f>0+(340.3-47.3)+(0+(0-0))+0-0-0</f>
        <v>293</v>
      </c>
      <c r="U31" s="3">
        <f>0+(306.3-20.2)+(0+(-0.312426--0.020604))+0-0-0</f>
        <v>285.808178</v>
      </c>
      <c r="V31" s="3">
        <f>0+(297.7-28.4)+(0+(-0.151827--0.014484))+0-0-0</f>
        <v>269.16265700000002</v>
      </c>
      <c r="W31" s="3">
        <f>0+(297.3-41.4)+(0+(-0.303246--0.042228))+0-0-0</f>
        <v>255.638982</v>
      </c>
      <c r="X31" s="3">
        <f>0+(307.5-51.6)+(0+(0.31365-0.052632))+0-0-0</f>
        <v>256.16101800000001</v>
      </c>
      <c r="Y31" s="3">
        <f>0+(357.4-86.3)+(0+(0.182274-0.044013))+0-0-0</f>
        <v>271.23826099999997</v>
      </c>
      <c r="Z31" s="3">
        <f>0+(383.9-89.7)+(0+(-0.587367--0.137241))+0-0-0</f>
        <v>293.74987399999998</v>
      </c>
      <c r="AA31" s="3">
        <f>0+(457.2-166.7)+(0+(-0.699516--0.255051))+0-0-0</f>
        <v>290.05553500000002</v>
      </c>
      <c r="AB31" s="3">
        <f>0+(544.1-262.5)+(0+(-0.832473--0.401625))+0-0-0</f>
        <v>281.169152</v>
      </c>
      <c r="AC31" s="3">
        <f>0+(588.2-328.3)+(0+(-0.599964--0.334866))+0-0-0</f>
        <v>259.63490200000001</v>
      </c>
      <c r="AD31" s="2">
        <v>291.10000000000002</v>
      </c>
      <c r="AE31" s="3">
        <f>0+(408-116.9)+(0+(0-0))+0-0-0</f>
        <v>291.10000000000002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0+(610.7-344.3)+(0+(-0.311457--0.175593))+0-0-0</f>
        <v>266.26413600000001</v>
      </c>
      <c r="G32" s="3">
        <f>0+(532.8-264.6)+(0+(-0.543456--0.269892))+0-0-0</f>
        <v>267.92643599999991</v>
      </c>
      <c r="H32" s="3">
        <f>0+(441.2-178.5)+(0+(-0.450024--0.18207))+0-0-0</f>
        <v>262.43204600000001</v>
      </c>
      <c r="I32" s="3">
        <f>0+(437.9-182.9)+(0+(0-0))+0-0-0</f>
        <v>254.99999999999997</v>
      </c>
      <c r="J32" s="3">
        <f>0+(409.6-163.5)+(0+(0-0))+0-0-0</f>
        <v>246.10000000000002</v>
      </c>
      <c r="K32" s="3">
        <f>0+(385.8-141.1)+(0+(-0.393516--0.143922))+0-0-0</f>
        <v>244.45040600000002</v>
      </c>
      <c r="L32" s="3">
        <f>0+(439.2-200)+(0+(0-0))+0-0-0</f>
        <v>239.2</v>
      </c>
      <c r="M32" s="3">
        <f>0+(414.2-178.7)+(0+(0-0))+0-0-0</f>
        <v>235.5</v>
      </c>
      <c r="N32" s="3">
        <f>0+(385.2-144.2)+(0+(0.392904-0.147084))+0-0-0</f>
        <v>241.24582000000001</v>
      </c>
      <c r="O32" s="3">
        <f>0+(372.3-124.1)+(0+(0.379746-0.126582))+0-0-0</f>
        <v>248.45316400000002</v>
      </c>
      <c r="P32" s="3">
        <f>0+(403.3-152.9)+(0+(0-0))+0-0-0</f>
        <v>250.4</v>
      </c>
      <c r="Q32" s="3">
        <f>0+(363.1-103.3)+(0+(-0.555543--0.158049))+0-0-0</f>
        <v>259.40250600000002</v>
      </c>
      <c r="R32" s="3">
        <f>0+(344.8-78.5)+(0+(0-0))+0-0-0</f>
        <v>266.3</v>
      </c>
      <c r="S32" s="3">
        <f>0+(318.6-70.2)+(0+(-0.649944--0.143208))+0-0-0</f>
        <v>247.89326400000004</v>
      </c>
      <c r="T32" s="3">
        <f>0+(411.4-187.5)+(0+(0-0))+0-0-0</f>
        <v>223.89999999999998</v>
      </c>
      <c r="U32" s="3">
        <f>0+(396.3-150.8)+(0+(-1.212678--0.461448))+0-0-0</f>
        <v>244.74877000000001</v>
      </c>
      <c r="V32" s="3">
        <f>0+(361.2-119.2)+(0+(0.184212-0.060792))+0-0-0</f>
        <v>242.12342000000001</v>
      </c>
      <c r="W32" s="3">
        <f>0+(336-90)+(0+(-0.17136--0.0459))+0-0-0</f>
        <v>245.87454</v>
      </c>
      <c r="X32" s="3">
        <f>0+(319.2-63.3)+(0+(0-0))+0-0-0</f>
        <v>255.89999999999998</v>
      </c>
      <c r="Y32" s="3">
        <f>0+(334.2-72.4)+(0+(0-0))+0-0-0</f>
        <v>261.79999999999995</v>
      </c>
      <c r="Z32" s="3">
        <f>0+(377.8-112.4)+(0+(-0.385356--0.114648))+0-0-0</f>
        <v>265.12929199999996</v>
      </c>
      <c r="AA32" s="3">
        <f>0+(436.5-172.8)+(0+(-0.667845--0.264384))+0-0-0</f>
        <v>263.296539</v>
      </c>
      <c r="AB32" s="3">
        <f>0+(450.6-191.7)+(0+(-0.919224--0.391068))+0-0-0</f>
        <v>258.37184400000001</v>
      </c>
      <c r="AC32" s="3">
        <f>0+(442.7-202)+(0+(-0.225777--0.10302))+0-0-0</f>
        <v>240.57724299999998</v>
      </c>
      <c r="AD32" s="2">
        <v>271.7</v>
      </c>
      <c r="AE32" s="3">
        <f>0+(440.9-169.2)+(0+(0-0))+0-0-0</f>
        <v>271.7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0+(433.4-191.2)+(0+(-0.442068--0.195024))+0-0-0</f>
        <v>241.952956</v>
      </c>
      <c r="G33" s="3">
        <f>0+(444.6-209.1)+(0+(-0.453492--0.213282))+0-0-0</f>
        <v>235.25979000000004</v>
      </c>
      <c r="H33" s="3">
        <f>0+(466.3-235.5)+(0+(-1.189065--0.600525))+0-0-0</f>
        <v>230.21146000000002</v>
      </c>
      <c r="I33" s="3">
        <f>0+(435.5-212.7)+(0+(0.44421-0.216954))+0-0-0</f>
        <v>223.02725600000002</v>
      </c>
      <c r="J33" s="3">
        <f>0+(413.6-189.8)+(0+(0.421872-0.193596))+0-0-0</f>
        <v>224.02827600000001</v>
      </c>
      <c r="K33" s="3">
        <f>0+(427.1-204)+(0+(0.217821-0.10404))+0-0-0</f>
        <v>223.21378100000001</v>
      </c>
      <c r="L33" s="3">
        <f>0+(461.3-236.6)+(0+(-0.235263--0.120666))+0-0-0</f>
        <v>224.58540300000001</v>
      </c>
      <c r="M33" s="3">
        <f>0+(594.9-341.7)+(0+(0.303399-0.174267))+0-0-0</f>
        <v>253.32913199999999</v>
      </c>
      <c r="N33" s="3">
        <f>0+(686-404.4)+(0+(0-0))+0-0-0</f>
        <v>281.60000000000002</v>
      </c>
      <c r="O33" s="3">
        <f>0+(602.2-307)+(0+(0.307122-0.15657))+0-0-0</f>
        <v>295.35055200000005</v>
      </c>
      <c r="P33" s="3">
        <f>0+(589-276.3)+(0+(0.60078-0.281826))+0-0-0</f>
        <v>313.01895400000001</v>
      </c>
      <c r="Q33" s="3">
        <f>0+(556.6-239.2)+(0+(-0.283866--0.121992))+0-0-0</f>
        <v>317.23812600000002</v>
      </c>
      <c r="R33" s="3">
        <f>0+(556.6-235.9)+(0+(-1.135464--0.481236))+0-0-0</f>
        <v>320.04577200000006</v>
      </c>
      <c r="S33" s="3">
        <f>0+(561.7-260.1)+(0+(-1.432335--0.663255))+0-0-0</f>
        <v>300.83092000000005</v>
      </c>
      <c r="T33" s="3">
        <f>0+(575.7-288.4)+(0+(-0.587214--0.294168))+0-0-0</f>
        <v>287.00695400000006</v>
      </c>
      <c r="U33" s="3">
        <f>0+(617.8-336.8)+(0+(0.630156-0.343536))+0-0-0</f>
        <v>281.28661999999997</v>
      </c>
      <c r="V33" s="3">
        <f>0+(632.1-349.2)+(0+(-0.967113--0.534276))+0-0-0</f>
        <v>282.46716300000003</v>
      </c>
      <c r="W33" s="3">
        <f>0+(568.7-290.1)+(0+(-0.290037--0.147951))+0-0-0</f>
        <v>278.45791400000002</v>
      </c>
      <c r="X33" s="3">
        <f>0+(512.4-242.2)+(0+(-1.30662--0.61761))+0-0-0</f>
        <v>269.51098999999999</v>
      </c>
      <c r="Y33" s="3">
        <f>0+(438.2-115.9)+(0+(0.223482-0.059109))+0-0-0</f>
        <v>322.46437299999997</v>
      </c>
      <c r="Z33" s="3">
        <f>0+(402.8-101.6)+(0+(-0.821712--0.207264))+0-0-0</f>
        <v>300.58555200000006</v>
      </c>
      <c r="AA33" s="3">
        <f>0+(422.8-136)+(0+(-1.07814--0.3468))+0-0-0</f>
        <v>286.06866000000002</v>
      </c>
      <c r="AB33" s="3">
        <f>0+(527.9-253.1)+(0+(-1.346145--0.645405))+0-0-0</f>
        <v>274.09925999999996</v>
      </c>
      <c r="AC33" s="3">
        <f>0+(370.6-101.9)+(0+(-0.567018--0.155907))+0-0-0</f>
        <v>268.28888900000004</v>
      </c>
      <c r="AD33" s="2">
        <v>301.79999999999995</v>
      </c>
      <c r="AE33" s="3">
        <f>0+(369.7-67.9)+(0+(0-0))+0-0-0</f>
        <v>301.79999999999995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0+(406.3-151.5)+(0+(-0.414426--0.15453))+0-0-0</f>
        <v>254.54010400000001</v>
      </c>
      <c r="G34" s="3">
        <f>0+(377.4-131.8)+(0+(-0.384948--0.134436))+0-0-0</f>
        <v>245.34948799999998</v>
      </c>
      <c r="H34" s="3">
        <f>0+(417.2-174.5)+(0+(-0.425544--0.17799))+0-0-0</f>
        <v>242.45244599999998</v>
      </c>
      <c r="I34" s="3">
        <f>0+(388.9-153.5)+(0+(-0.198339--0.078285))+0-0-0</f>
        <v>235.27994599999997</v>
      </c>
      <c r="J34" s="3">
        <f>0+(350.5-111.6)+(0+(-0.71502--0.227664))+0-0-0</f>
        <v>238.412644</v>
      </c>
      <c r="K34" s="3">
        <f>0+(321.6-83)+(0+(0.328032-0.08466))+0-0-0</f>
        <v>238.84337200000002</v>
      </c>
      <c r="L34" s="3">
        <f>0+(317.9-72.3)+(0+(-0.162129--0.036873))+0-0-0</f>
        <v>245.47474399999996</v>
      </c>
      <c r="M34" s="3">
        <f>0+(422.1-159.3)+(0+(0.645813-0.243729))+0-0-0</f>
        <v>263.20208400000001</v>
      </c>
      <c r="N34" s="3">
        <f>0+(667.8-378.5)+(0+(0.681156-0.38607))+0-0-0</f>
        <v>289.59508599999998</v>
      </c>
      <c r="O34" s="3">
        <f>0+(592.9-292.2)+(0+(-0.302379--0.149022))+0-0-0</f>
        <v>300.54664299999996</v>
      </c>
      <c r="P34" s="3">
        <f>0+(569.9-269.7)+(0+(-0.290649--0.137547))+0-0-0</f>
        <v>300.046898</v>
      </c>
      <c r="Q34" s="3">
        <f>0+(508.8-191.5)+(0+(-0.778464--0.292995))+0-0-0</f>
        <v>316.81453099999999</v>
      </c>
      <c r="R34" s="3">
        <f>0+(508.2-191.2)+(0+(0-0))+0-0-0</f>
        <v>317</v>
      </c>
      <c r="S34" s="3">
        <f>0+(508.4-211.6)+(0+(-1.29642--0.53958))+0-0-0</f>
        <v>296.04315999999994</v>
      </c>
      <c r="T34" s="3">
        <f>0+(541.6-243.2)+(0+(0.552432-0.248064))+0-0-0</f>
        <v>298.70436800000004</v>
      </c>
      <c r="U34" s="3">
        <f>0+(532.8-247.7)+(0+(-0.815184--0.378981))+0-0-0</f>
        <v>284.66379699999999</v>
      </c>
      <c r="V34" s="3">
        <f>0+(520.9-250.4)+(0+(-0.265659--0.127704))+0-0-0</f>
        <v>270.36204500000002</v>
      </c>
      <c r="W34" s="3">
        <f>0+(454.9-168.5)+(0+(-0.695997--0.257805))+0-0-0</f>
        <v>285.96180799999996</v>
      </c>
      <c r="X34" s="3">
        <f>0+(393.2-111.9)+(0+(-0.200532--0.057069))+0-0-0</f>
        <v>281.15653699999996</v>
      </c>
      <c r="Y34" s="3">
        <f>0+(389-97.5)+(0+(0-0))+0-0-0</f>
        <v>291.5</v>
      </c>
      <c r="Z34" s="3">
        <f>0+(447.5-137.2)+(0+(0-0))+0-0-0</f>
        <v>310.3</v>
      </c>
      <c r="AA34" s="3">
        <f>0+(455.7-158.3)+(0+(-0.929628--0.322932))+0-0-0</f>
        <v>296.79330399999998</v>
      </c>
      <c r="AB34" s="3">
        <f>0+(404-105.7)+(0+(-0.41208--0.107814))+0-0-0</f>
        <v>297.99573400000003</v>
      </c>
      <c r="AC34" s="3">
        <f>0+(352.5-65.3)+(0+(-0.179775--0.033303))+0-0-0</f>
        <v>287.05352799999997</v>
      </c>
      <c r="AD34" s="2">
        <v>318.10000000000002</v>
      </c>
      <c r="AE34" s="3">
        <f>0+(452.3-134.2)+(0+(0-0))+0-0-0</f>
        <v>318.10000000000002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0+(376.4-108.7)+(0+(-0.767856--0.221748))+0-0-0</f>
        <v>267.15389199999998</v>
      </c>
      <c r="G35" s="3">
        <f>0+(426.5-161.9)+(0+(-0.217515--0.082569))+0-0-0</f>
        <v>264.46505400000001</v>
      </c>
      <c r="H35" s="3">
        <f>0+(415.4-158)+(0+(-0.211854--0.08058))+0-0-0</f>
        <v>257.26872599999996</v>
      </c>
      <c r="I35" s="3">
        <f>0+(397.6-152.1)+(0+(0.608328-0.232713))+0-0-0</f>
        <v>245.87561500000004</v>
      </c>
      <c r="J35" s="3">
        <f>0+(375-124.7)+(0+(-0.57375--0.190791))+0-0-0</f>
        <v>249.91704100000001</v>
      </c>
      <c r="K35" s="3">
        <f>0+(379.4-125.1)+(0+(-0.193494--0.063801))+0-0-0</f>
        <v>254.17030699999998</v>
      </c>
      <c r="L35" s="3">
        <f>0+(339.8-88.8)+(0+(-0.693192--0.181152))+0-0-0</f>
        <v>250.48795999999999</v>
      </c>
      <c r="M35" s="3">
        <f>0+(370.8-96.9)+(0+(0.756432-0.197676))+0-0-0</f>
        <v>274.45875599999999</v>
      </c>
      <c r="N35" s="3">
        <f>0+(462.8-167.2)+(0+(0.236028-0.085272))+0-0-0</f>
        <v>295.75075600000002</v>
      </c>
      <c r="O35" s="3">
        <f>0+(453.6-138.5)+(0+(0.231336-0.070635))+0-0-0</f>
        <v>315.26070100000004</v>
      </c>
      <c r="P35" s="3">
        <f>0+(399.6-81.8)+(0+(-0.203796--0.041718))+0-0-0</f>
        <v>317.637922</v>
      </c>
      <c r="Q35" s="3">
        <f>0+(395.2-63.4)+(0+(0.403104-0.064668))+0-0-0</f>
        <v>332.13843600000001</v>
      </c>
      <c r="R35" s="3">
        <f>0+(382.5-69.6)+(0+(-0.39015--0.070992))+0-0-0</f>
        <v>312.58084199999996</v>
      </c>
      <c r="S35" s="3">
        <f>0+(399.9-103.9)+(0+(0.407898-0.105978))+0-0-0</f>
        <v>296.30192</v>
      </c>
      <c r="T35" s="3">
        <f>0+(417.2-118.8)+(0+(0.425544-0.121176))+0-0-0</f>
        <v>298.70436799999999</v>
      </c>
      <c r="U35" s="3">
        <f>0+(444.2-146.8)+(0+(-0.226542--0.074868))+0-0-0</f>
        <v>297.24832599999996</v>
      </c>
      <c r="V35" s="3">
        <f>0+(453.5-172.5)+(0+(-0.92514--0.3519))+0-0-0</f>
        <v>280.42676</v>
      </c>
      <c r="W35" s="3">
        <f>0+(481-196.3)+(0+(-1.22655--0.500565))+0-0-0</f>
        <v>283.97401500000001</v>
      </c>
      <c r="X35" s="3">
        <f>0+(421.2-142.7)+(0+(-1.503684--0.509439))+0-0-0</f>
        <v>277.50575500000002</v>
      </c>
      <c r="Y35" s="3">
        <f>0+(406.6-122.7)+(0+(0.207366-0.062577))+0-0-0</f>
        <v>284.04478900000004</v>
      </c>
      <c r="Z35" s="3">
        <f>0+(368.3-70.1)+(0+(-0.187833--0.035751))+0-0-0</f>
        <v>298.04791800000004</v>
      </c>
      <c r="AA35" s="3">
        <f>0+(424.5-135.7)+(0+(-1.73196--0.553656))+0-0-0</f>
        <v>287.62169599999999</v>
      </c>
      <c r="AB35" s="3">
        <f>0+(563-276.8)+(0+(-1.43565--0.70584))+0-0-0</f>
        <v>285.47019</v>
      </c>
      <c r="AC35" s="3">
        <f>0+(528.7-248)+(0+(-0.808911--0.37944))+0-0-0</f>
        <v>280.27052900000007</v>
      </c>
      <c r="AD35" s="2">
        <v>289.89999999999998</v>
      </c>
      <c r="AE35" s="3">
        <f>0+(373.4-83.5)+(0+(0-0))+0-0-0</f>
        <v>289.89999999999998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0+(639.6-369.8)+(0+(-1.304784--0.754392))+0-0-0</f>
        <v>269.24960800000002</v>
      </c>
      <c r="G36" s="3">
        <f>0+(619.6-357.7)+(0+(-1.263984--0.729708))+0-0-0</f>
        <v>261.36572400000006</v>
      </c>
      <c r="H36" s="3">
        <f>0+(592.6-324.9)+(0+(-1.51113--0.828495))+0-0-0</f>
        <v>267.01736500000004</v>
      </c>
      <c r="I36" s="3">
        <f>0+(505.5-247.2)+(0+(0.51561-0.252144))+0-0-0</f>
        <v>258.56346600000001</v>
      </c>
      <c r="J36" s="3">
        <f>0+(476.3-225.4)+(0+(-0.242913--0.114954))+0-0-0</f>
        <v>250.772041</v>
      </c>
      <c r="K36" s="3">
        <f>0+(467.8-207.1)+(0+(0-0))+0-0-0</f>
        <v>260.70000000000005</v>
      </c>
      <c r="L36" s="3">
        <f>0+(444.6-181.9)+(0+(-0.226746--0.092769))+0-0-0</f>
        <v>262.56602300000003</v>
      </c>
      <c r="M36" s="3">
        <f>0+(460-188.2)+(0+(0.4692-0.191964))+0-0-0</f>
        <v>272.07723600000003</v>
      </c>
      <c r="N36" s="3">
        <f>0+(576.2-262.2)+(0+(0.293862-0.133722))+0-0-0</f>
        <v>314.16014000000007</v>
      </c>
      <c r="O36" s="3">
        <f>0+(539.8-198)+(0+(0.275298-0.10098))+0-0-0</f>
        <v>341.97431799999998</v>
      </c>
      <c r="P36" s="3">
        <f>0+(513.7-175.8)+(0+(-0.785961--0.268974))+0-0-0</f>
        <v>337.38301300000006</v>
      </c>
      <c r="Q36" s="3">
        <f>0+(497.3-160.4)+(0+(-0.253623--0.081804))+0-0-0</f>
        <v>336.72818099999995</v>
      </c>
      <c r="R36" s="3">
        <f>0+(483.4-152.7)+(0+(-0.986136--0.311508))+0-0-0</f>
        <v>330.025372</v>
      </c>
      <c r="S36" s="3">
        <f>0+(490.8-184.6)+(0+(-0.500616--0.188292))+0-0-0</f>
        <v>305.88767600000006</v>
      </c>
      <c r="T36" s="3">
        <f>0+(486-199.5)+(0+(0.49572-0.20349))+0-0-0</f>
        <v>286.79223000000002</v>
      </c>
      <c r="U36" s="3">
        <f>0+(455.2-174.4)+(0+(-0.696456--0.266832))+0-0-0</f>
        <v>280.37037599999996</v>
      </c>
      <c r="V36" s="3">
        <f>0+(471-183)+(0+(-0.72063--0.27999))+0-0-0</f>
        <v>287.55936000000003</v>
      </c>
      <c r="W36" s="3">
        <f>0+(476.3-188.2)+(0+(-1.457478--0.575892))+0-0-0</f>
        <v>287.218414</v>
      </c>
      <c r="X36" s="3">
        <f>0+(434.5-155)+(0+(-0.88638--0.3162))+0-0-0</f>
        <v>278.92982000000001</v>
      </c>
      <c r="Y36" s="3">
        <f>0+(349.6-68.3)+(0+(0-0))+0-0-0</f>
        <v>281.3</v>
      </c>
      <c r="Z36" s="3">
        <f>0+(335.3-29.5)+(0+(-0.513009--0.045135))+0-0-0</f>
        <v>305.33212600000002</v>
      </c>
      <c r="AA36" s="3">
        <f>0+(403.6-108.2)+(0+(-0.823344--0.220728))+0-0-0</f>
        <v>294.79738400000002</v>
      </c>
      <c r="AB36" s="3">
        <f>0+(441.5-159.7)+(0+(0-0))+0-0-0</f>
        <v>281.8</v>
      </c>
      <c r="AC36" s="3">
        <f>0+(430.9-158.6)+(0+(-0.439518--0.161772))+0-0-0</f>
        <v>272.02225399999998</v>
      </c>
      <c r="AD36" s="2">
        <v>303.79999999999995</v>
      </c>
      <c r="AE36" s="3">
        <f>0+(372.9-69.1)+(0+(0-0))+0-0-0</f>
        <v>303.79999999999995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0+(476.5-203.6)+(0+(-0.48603--0.207672))+0-0-0</f>
        <v>272.62164199999995</v>
      </c>
      <c r="G37" s="3">
        <f>0+(443.1-181.8)+(0+(-0.451962--0.185436))+0-0-0</f>
        <v>261.03347400000001</v>
      </c>
      <c r="H37" s="3">
        <f>0+(381.6-123.4)+(0+(-0.389232--0.125868))+0-0-0</f>
        <v>257.93663600000002</v>
      </c>
      <c r="I37" s="3">
        <f>0+(374.1-116)+(0+(0-0))+0-0-0</f>
        <v>258.10000000000002</v>
      </c>
      <c r="J37" s="3">
        <f>0+(303.4-49.8)+(0+(-0.309468--0.050796))+0-0-0</f>
        <v>253.34132799999998</v>
      </c>
      <c r="K37" s="3">
        <f>0+(274.1-16.4)+(0+(-0.419373--0.025092))+0-0-0</f>
        <v>257.30571900000007</v>
      </c>
      <c r="L37" s="3">
        <f>0+(292.6-47)+(0+(-0.74613--0.11985))+0-0-0</f>
        <v>244.97372000000001</v>
      </c>
      <c r="M37" s="3">
        <f>0+(299.2-53.1)+(0+(0-0))+0-0-0</f>
        <v>246.1</v>
      </c>
      <c r="N37" s="3">
        <f>0+(393.9-134)+(0+(0-0))+0-0-0</f>
        <v>259.89999999999998</v>
      </c>
      <c r="O37" s="3">
        <f>0+(460.6-192.1)+(0+(0-0))+0-0-0</f>
        <v>268.5</v>
      </c>
      <c r="P37" s="3">
        <f>0+(486-206.6)+(0+(-0.99144--0.421464))+0-0-0</f>
        <v>278.83002399999998</v>
      </c>
      <c r="Q37" s="3">
        <f>0+(498.6-211.5)+(0+(0.254286-0.107865))+0-0-0</f>
        <v>287.246421</v>
      </c>
      <c r="R37" s="3">
        <f>0+(471.3-186.9)+(0+(-0.961452--0.381276))+0-0-0</f>
        <v>283.81982399999998</v>
      </c>
      <c r="S37" s="3">
        <f>0+(482.1-217.5)+(0+(0-0))+0-0-0</f>
        <v>264.60000000000002</v>
      </c>
      <c r="T37" s="3">
        <f>0+(480.8-219.4)+(0+(-0.245208--0.111894))+0-0-0</f>
        <v>261.26668599999999</v>
      </c>
      <c r="U37" s="3">
        <f>0+(406.4-152.2)+(0+(-0.829056--0.310488))+0-0-0</f>
        <v>253.681432</v>
      </c>
      <c r="V37" s="3">
        <f>11.5+(411.6-172.6)+(-0.005865+(-0.209916--0.088026))+0-0-0</f>
        <v>250.37224500000002</v>
      </c>
      <c r="W37" s="3">
        <f>0+(377.8-125.4)+(0+(-0.770712--0.255816))+0-0-0</f>
        <v>251.88510400000001</v>
      </c>
      <c r="X37" s="3">
        <f>0+(354.7-97.8)+(0+(-0.723588--0.199512))+0-0-0</f>
        <v>256.375924</v>
      </c>
      <c r="Y37" s="3">
        <f>0+(361.1-94)+(0+(-0.184161--0.04794))+0-0-0</f>
        <v>266.96377900000005</v>
      </c>
      <c r="Z37" s="3">
        <f>0+(341.8-58.4)+(0+(-0.522954--0.089352))+0-0-0</f>
        <v>282.96639800000003</v>
      </c>
      <c r="AA37" s="3">
        <f>0+(333.3-57.7)+(0+(-0.509949--0.088281))+0-0-0</f>
        <v>275.17833200000001</v>
      </c>
      <c r="AB37" s="3">
        <f>0+(368-95.5)+(0+(-0.18768--0.048705))+0-0-0</f>
        <v>272.36102499999998</v>
      </c>
      <c r="AC37" s="3">
        <f>0+(421.8-162.7)+(0+(-0.215118--0.082977))+0-0-0</f>
        <v>258.96785900000003</v>
      </c>
      <c r="AD37" s="2">
        <v>279.79999999999995</v>
      </c>
      <c r="AE37" s="3">
        <f>0+(357.9-78.1)+(0+(0-0))+0-0-0</f>
        <v>279.79999999999995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0+(352.7-90.9)+(0+(-0.179877--0.046359))+0-0-0</f>
        <v>261.66648199999997</v>
      </c>
      <c r="G38" s="3">
        <f>0+(350.3-96.5)+(0+(-0.714612--0.19686))+0-0-0</f>
        <v>253.28224800000001</v>
      </c>
      <c r="H38" s="3">
        <f>0+(332-85)+(0+(-0.16932--0.04335))+0-0-0</f>
        <v>246.87403</v>
      </c>
      <c r="I38" s="3">
        <f>0+(309.3-58.2)+(0+(-0.157743--0.029682))+0-0-0</f>
        <v>250.97193900000002</v>
      </c>
      <c r="J38" s="3">
        <f>0+(244.4-0)+(0+(-0.249288-0))+0-0-0</f>
        <v>244.150712</v>
      </c>
      <c r="K38" s="3">
        <f>0+(237.1-0)+(0+(-0.241842-0))+0-0-0</f>
        <v>236.858158</v>
      </c>
      <c r="L38" s="3">
        <f>0+(244.1-2.8)+(0+(-0.497964--0.005712))+0-0-0</f>
        <v>240.80774799999998</v>
      </c>
      <c r="M38" s="3">
        <f>0+(253.8-0)+(0+(0.129438-0))+0-0-0</f>
        <v>253.929438</v>
      </c>
      <c r="N38" s="3">
        <f>0+(324.8-55.8)+(0+(0.165648-0.028458))+0-0-0</f>
        <v>269.13718999999998</v>
      </c>
      <c r="O38" s="3">
        <f>0+(359.9-63.3)+(0+(-0.183549--0.032283))+0-0-0</f>
        <v>296.44873399999994</v>
      </c>
      <c r="P38" s="3">
        <f>3.7+(391.1-94.1)+(0.003774+(0.398922-0.095982))+0-0-0</f>
        <v>301.00671399999999</v>
      </c>
      <c r="Q38" s="3">
        <f>7.3+(417.8-124.6)+(0+(0-0))+0-0-0</f>
        <v>300.50000000000006</v>
      </c>
      <c r="R38" s="3">
        <f>0+(435.6-163)+(0+(-0.444312--0.16626))+0-0-0</f>
        <v>272.32194800000002</v>
      </c>
      <c r="S38" s="3">
        <f>0+(459.1-191.6)+(0+(-0.234141--0.097716))+0-0-0</f>
        <v>267.36357500000003</v>
      </c>
      <c r="T38" s="3">
        <f>0+(425-159.3)+(0+(-0.4335--0.162486))+0-0-0</f>
        <v>265.42898600000001</v>
      </c>
      <c r="U38" s="3">
        <f>0+(446-198.5)+(0+(-0.68238--0.303705))+0-0-0</f>
        <v>247.12132500000001</v>
      </c>
      <c r="V38" s="3">
        <f>0+(451.4-200.5)+(0+(0-0))+0-0-0</f>
        <v>250.89999999999998</v>
      </c>
      <c r="W38" s="3">
        <f>0+(453.7-200.7)+(0+(-0.231387--0.102357))+0-0-0</f>
        <v>252.87097</v>
      </c>
      <c r="X38" s="3">
        <f>0+(429.8-166)+(0+(-0.657594--0.25398))+0-0-0</f>
        <v>263.39638600000001</v>
      </c>
      <c r="Y38" s="3">
        <f>0+(309.3-32)+(0+(-0.157743--0.01632))+0-0-0</f>
        <v>277.15857700000004</v>
      </c>
      <c r="Z38" s="3">
        <f>0+(319.9-28.5)+(0+(-0.326298--0.02907))+0-0-0</f>
        <v>291.10277199999996</v>
      </c>
      <c r="AA38" s="3">
        <f>0+(423.2-142)+(0+(-0.647496--0.21726))+0-0-0</f>
        <v>280.76976400000001</v>
      </c>
      <c r="AB38" s="3">
        <f>0+(444.3-168.3)+(0+(-0.453186--0.171666))+0-0-0</f>
        <v>275.71848</v>
      </c>
      <c r="AC38" s="3">
        <f>0+(500.3-235)+(0+(0.765459-0.35955))+0-0-0</f>
        <v>265.70590900000002</v>
      </c>
      <c r="AD38" s="2">
        <v>309.10000000000002</v>
      </c>
      <c r="AE38" s="3">
        <f>0+(364.3-55.2)+(0+(0-0))+0-0-0</f>
        <v>309.10000000000002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0+(459.6-188.2)+(0+(0-0))+0-0-0</f>
        <v>271.40000000000003</v>
      </c>
      <c r="G39" s="3">
        <f>0+(415.7-154.1)+(0+(-0.212007--0.078591))+0-0-0</f>
        <v>261.46658400000001</v>
      </c>
      <c r="H39" s="3">
        <f>0+(345.1-87.8)+(0+(0.528003-0.134334))+0-0-0</f>
        <v>257.693669</v>
      </c>
      <c r="I39" s="3">
        <f>0+(287.8-30.1)+(0+(-0.587112--0.061404))+0-0-0</f>
        <v>257.17429199999998</v>
      </c>
      <c r="J39" s="3">
        <f>0+(276.3-20.8)+(0+(-0.422739--0.031824))+0-0-0</f>
        <v>255.10908499999999</v>
      </c>
      <c r="K39" s="3">
        <f>0+(272.1-22.6)+(0+(-0.277542--0.023052))+0-0-0</f>
        <v>249.24551000000002</v>
      </c>
      <c r="L39" s="3">
        <f>0+(276-35.8)+(0+(-0.98532--0.127806))+0-0-0</f>
        <v>239.34248599999998</v>
      </c>
      <c r="M39" s="3">
        <f>0+(284.8-45.6)+(0+(0.145248-0.023256))+0-0-0</f>
        <v>239.32199200000002</v>
      </c>
      <c r="N39" s="3">
        <f>0+(283.8-32.5)+(0+(0.144738-0.016575))+0-0-0</f>
        <v>251.42816300000001</v>
      </c>
      <c r="O39" s="3">
        <f>0+(273.5-13.7)+(0+(-0.27897--0.013974))+0-0-0</f>
        <v>259.53500400000001</v>
      </c>
      <c r="P39" s="3">
        <f>0+(277.4-15.8)+(0+(-0.424422--0.024174))+0-0-0</f>
        <v>261.19975199999999</v>
      </c>
      <c r="Q39" s="3">
        <f>0+(284.3-16.4)+(0+(-0.579972--0.033456))+0-0-0</f>
        <v>267.35348400000004</v>
      </c>
      <c r="R39" s="3">
        <f>0+(308.7-47.5)+(0+(0-0))+0-0-0</f>
        <v>261.2</v>
      </c>
      <c r="S39" s="3">
        <f>0+(342.4-88.9)+(0+(-0.523872--0.136017))+0-0-0</f>
        <v>253.11214499999997</v>
      </c>
      <c r="T39" s="3">
        <f>0+(386.6-140.8)+(0+(-0.197166--0.071808))+0-0-0</f>
        <v>245.67464200000001</v>
      </c>
      <c r="U39" s="3">
        <f>0+(359.7-114.3)+(0+(-0.366894--0.116586))+0-0-0</f>
        <v>245.14969199999999</v>
      </c>
      <c r="V39" s="3">
        <f>0+(387.6-144.3)+(0+(-0.395352--0.147186))+0-0-0</f>
        <v>243.05183400000001</v>
      </c>
      <c r="W39" s="3">
        <f>0+(300.1-61.7)+(0+(-0.459153--0.094401))+0-0-0</f>
        <v>238.03524800000002</v>
      </c>
      <c r="X39" s="3">
        <f>0+(257.1-16.1)+(0+(-0.393363--0.024633))+0-0-0</f>
        <v>240.63127000000003</v>
      </c>
      <c r="Y39" s="3">
        <f>0+(289.7-39.7)+(0+(-0.295494--0.040494))+0-0-0</f>
        <v>249.745</v>
      </c>
      <c r="Z39" s="3">
        <f>0+(285-11.8)+(0+(-0.14535--0.006018))+0-0-0</f>
        <v>273.06066799999996</v>
      </c>
      <c r="AA39" s="3">
        <f>0+(301.5-19)+(0+(-0.30753--0.01938))+0-0-0</f>
        <v>282.21185000000003</v>
      </c>
      <c r="AB39" s="3">
        <f>0+(393.2-127.1)+(0+(0.200532-0.064821))+0-0-0</f>
        <v>266.23571100000004</v>
      </c>
      <c r="AC39" s="3">
        <f>0+(492.1-237.7)+(0+(-0.752913--0.363681))+0-0-0</f>
        <v>254.01076800000004</v>
      </c>
      <c r="AD39" s="2">
        <v>279.2</v>
      </c>
      <c r="AE39" s="3">
        <f>0+(296.7-17.5)+(0+(0-0))+0-0-0</f>
        <v>279.2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0+(580.2-331.5)+(0+(-0.295902--0.169065))+0-0-0</f>
        <v>248.57316300000005</v>
      </c>
      <c r="G40" s="3">
        <f>0+(474.1-244.9)+(0+(-0.725373--0.374697))+0-0-0</f>
        <v>228.84932400000002</v>
      </c>
      <c r="H40" s="3">
        <f>0+(395.2-175.1)+(0+(0.403104-0.178602))+0-0-0</f>
        <v>220.324502</v>
      </c>
      <c r="I40" s="3">
        <f>0+(388.3-165)+(0+(0.198033-0.08415))+0-0-0</f>
        <v>223.413883</v>
      </c>
      <c r="J40" s="3">
        <f>0+(370.5-150.1)+(0+(0-0))+0-0-0</f>
        <v>220.4</v>
      </c>
      <c r="K40" s="3">
        <f>0+(320.3-93.1)+(0+(-0.490059--0.142443))+0-0-0</f>
        <v>226.85238400000003</v>
      </c>
      <c r="L40" s="3">
        <f>0+(306.9-71.8)+(0+(-0.156519--0.036618))+0-0-0</f>
        <v>234.98009899999997</v>
      </c>
      <c r="M40" s="3">
        <f>0+(358.1-100.3)+(0+(0.182631-0.051153))+0-0-0</f>
        <v>257.93147800000003</v>
      </c>
      <c r="N40" s="3">
        <f>0+(454.9-161.8)+(0+(0.231999-0.082518))+0-0-0</f>
        <v>293.24948099999995</v>
      </c>
      <c r="O40" s="3">
        <f>0+(493.6-175.5)+(0+(0-0))+0-0-0</f>
        <v>318.10000000000002</v>
      </c>
      <c r="P40" s="3">
        <f>0+(463.6-140.1)+(0+(0-0))+0-0-0</f>
        <v>323.5</v>
      </c>
      <c r="Q40" s="3">
        <f>0+(431.1-104.5)+(0+(-0.659583--0.159885))+0-0-0</f>
        <v>326.100302</v>
      </c>
      <c r="R40" s="3">
        <f>0+(433.7-107.9)+(0+(-0.884748--0.220116))+0-0-0</f>
        <v>325.13536799999997</v>
      </c>
      <c r="S40" s="3">
        <f>0+(463.2-167.2)+(0+(-0.472464--0.170544))+0-0-0</f>
        <v>295.69808</v>
      </c>
      <c r="T40" s="3">
        <f>0+(453-165)+(0+(0-0))+0-0-0</f>
        <v>288</v>
      </c>
      <c r="U40" s="3">
        <f>0+(452.7-168.5)+(0+(-0.461754--0.17187))+0-0-0</f>
        <v>283.91011600000002</v>
      </c>
      <c r="V40" s="3">
        <f>0+(464.9-183.1)+(0+(-0.474198--0.186762))+0-0-0</f>
        <v>281.51256399999994</v>
      </c>
      <c r="W40" s="3">
        <f>0+(483.3-194.2)+(0+(-0.492966--0.198084))+0-0-0</f>
        <v>288.80511800000005</v>
      </c>
      <c r="X40" s="3">
        <f>0+(400.9-118.1)+(0+(-0.613377--0.180693))+0-0-0</f>
        <v>282.36731599999996</v>
      </c>
      <c r="Y40" s="3">
        <f>0+(370.4-72.8)+(0+(-0.566712--0.111384))+0-0-0</f>
        <v>297.14467199999996</v>
      </c>
      <c r="Z40" s="3">
        <f>0+(367.5-52.8)+(0+(-0.7497--0.107712))+0-0-0</f>
        <v>314.05801199999996</v>
      </c>
      <c r="AA40" s="3">
        <f>0+(451.3-142.9)+(0+(-0.460326--0.145758))+0-0-0</f>
        <v>308.08543199999997</v>
      </c>
      <c r="AB40" s="3">
        <f>0+(535.9-242)+(0+(-0.819927--0.37026))+0-0-0</f>
        <v>293.450333</v>
      </c>
      <c r="AC40" s="3">
        <f>0+(623.3-336.9)+(0+(-1.271532--0.687276))+0-0-0</f>
        <v>285.815744</v>
      </c>
      <c r="AD40" s="2">
        <v>297.8</v>
      </c>
      <c r="AE40" s="3">
        <f>0+(375-77.2)+(0+(0-0))+0-0-0</f>
        <v>297.8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0+(566.4-300.8)+(0+(-0.866592--0.460224))+0-0-0</f>
        <v>265.19363199999998</v>
      </c>
      <c r="G41" s="3">
        <f>0+(353.8-91.6)+(0+(-0.541314--0.140148))+0-0-0</f>
        <v>261.79883400000006</v>
      </c>
      <c r="H41" s="3">
        <f>0+(335.2-73.8)+(0+(0.170952-0.037638))+0-0-0</f>
        <v>261.53331399999996</v>
      </c>
      <c r="I41" s="3">
        <f>0+(356.2-98.3)+(0+(0.363324-0.100266))+0-0-0</f>
        <v>258.16305799999998</v>
      </c>
      <c r="J41" s="3">
        <f>0+(327.3-68.8)+(0+(-0.166923--0.035088))+0-0-0</f>
        <v>258.36816499999998</v>
      </c>
      <c r="K41" s="3">
        <f>0+(329.5-69.7)+(0+(-0.67218--0.142188))+0-0-0</f>
        <v>259.27000800000002</v>
      </c>
      <c r="L41" s="3">
        <f>0+(342.8-88.1)+(0+(-0.524484--0.134793))+0-0-0</f>
        <v>254.31030900000002</v>
      </c>
      <c r="M41" s="3">
        <f>0+(424.1-146.4)+(0+(0-0))+0-0-0</f>
        <v>277.70000000000005</v>
      </c>
      <c r="N41" s="3">
        <f>0+(446.8-142.8)+(0+(0.227868-0.072828))+0-0-0</f>
        <v>304.15503999999999</v>
      </c>
      <c r="O41" s="3">
        <f>0+(555.2-247.2)+(0+(0.283152-0.126072))+0-0-0</f>
        <v>308.15708000000006</v>
      </c>
      <c r="P41" s="3">
        <f>0+(653.7-340.6)+(0+(-0.333387--0.173706))+0-0-0</f>
        <v>312.94031900000004</v>
      </c>
      <c r="Q41" s="3">
        <f>0+(680.4-360)+(0+(-1.041012--0.5508))+0-0-0</f>
        <v>319.90978799999999</v>
      </c>
      <c r="R41" s="3">
        <f>0+(691.9-377.6)+(0+(-0.705738--0.385152))+0-0-0</f>
        <v>313.97941399999996</v>
      </c>
      <c r="S41" s="3">
        <f>0+(709.4-426.4)+(0+(-1.447176--0.869856))+0-0-0</f>
        <v>282.42268000000001</v>
      </c>
      <c r="T41" s="3">
        <f>0+(708.9-412.6)+(0+(-0.361539--0.210426))+0-0-0</f>
        <v>296.14888699999995</v>
      </c>
      <c r="U41" s="3">
        <f>0+(716-417.7)+(0+(-1.46064--0.852108))+0-0-0</f>
        <v>297.69146799999999</v>
      </c>
      <c r="V41" s="3">
        <f>0+(702.3-432.9)+(0+(-0.716346--0.441558))+0-0-0</f>
        <v>269.12521199999998</v>
      </c>
      <c r="W41" s="3">
        <f>0+(656.8-390.4)+(0+(-1.67484--0.99552))+0-0-0</f>
        <v>265.72067999999996</v>
      </c>
      <c r="X41" s="3">
        <f>0+(549.4-284.3)+(0+(-2.521746--1.304937))+0-0-0</f>
        <v>263.88319099999995</v>
      </c>
      <c r="Y41" s="3">
        <f>0+(486.4-201.1)+(0+(0-0))+0-0-0</f>
        <v>285.29999999999995</v>
      </c>
      <c r="Z41" s="3">
        <f>0+(564.8-262.5)+(0+(-0.288048--0.133875))+0-0-0</f>
        <v>302.14582699999994</v>
      </c>
      <c r="AA41" s="3">
        <f>0+(590.6-287.5)+(0+(-1.807236--0.87975))+0-0-0</f>
        <v>302.17251400000004</v>
      </c>
      <c r="AB41" s="3">
        <f>0+(669.4-371.4)+(0+(0-0))+0-0-0</f>
        <v>298</v>
      </c>
      <c r="AC41" s="3">
        <f>0+(662.6-381.4)+(0+(0-0))+0-0-0</f>
        <v>281.20000000000005</v>
      </c>
      <c r="AD41" s="2">
        <v>322.30000000000007</v>
      </c>
      <c r="AE41" s="3">
        <f>0+(559.2-236.9)+(0+(0-0))+0-0-0</f>
        <v>322.30000000000007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0+(555.3-289.4)+(0+(-0.566406--0.295188))+0-0-0</f>
        <v>265.628782</v>
      </c>
      <c r="G42" s="3">
        <f>0+(509.1-257.8)+(0+(-0.519282--0.262956))+0-0-0</f>
        <v>251.04367400000001</v>
      </c>
      <c r="H42" s="3">
        <f>0+(465.7-216.4)+(0+(0-0))+0-0-0</f>
        <v>249.29999999999998</v>
      </c>
      <c r="I42" s="3">
        <f>0+(464.9-211.6)+(0+(0.474198-0.215832))+0-0-0</f>
        <v>253.55836599999998</v>
      </c>
      <c r="J42" s="3">
        <f>0+(401-157.7)+(0+(-0.40902--0.160854))+0-0-0</f>
        <v>243.05183400000001</v>
      </c>
      <c r="K42" s="3">
        <f>0+(387.7-141.2)+(0+(-0.197727--0.072012))+0-0-0</f>
        <v>246.37428499999999</v>
      </c>
      <c r="L42" s="3">
        <f>0+(395.6-146.3)+(0+(-1.00878--0.373065))+0-0-0</f>
        <v>248.66428500000001</v>
      </c>
      <c r="M42" s="3">
        <f>0+(378-104.7)+(0+(0.57834-0.160191))+0-0-0</f>
        <v>273.71814900000004</v>
      </c>
      <c r="N42" s="3">
        <f>0+(447.9-155.7)+(0+(0-0))+0-0-0</f>
        <v>292.2</v>
      </c>
      <c r="O42" s="3">
        <f>0+(554.6-249.2)+(0+(0.282846-0.127092))+0-0-0</f>
        <v>305.55575400000004</v>
      </c>
      <c r="P42" s="3">
        <f>0+(670.1-353.5)+(0+(-0.341751--0.180285))+0-0-0</f>
        <v>316.438534</v>
      </c>
      <c r="Q42" s="3">
        <f>0+(674.7-346.7)+(0+(-1.720485--0.884085))+0-0-0</f>
        <v>327.16360000000003</v>
      </c>
      <c r="R42" s="3">
        <f>0+(712.8-388.4)+(0+(-1.454112--0.792336))+0-0-0</f>
        <v>323.738224</v>
      </c>
      <c r="S42" s="3">
        <f>0+(682.1-382.5)+(0+(-1.043613--0.585225))+0-0-0</f>
        <v>299.14161200000001</v>
      </c>
      <c r="T42" s="3">
        <f>0+(729.8-434.9)+(0+(1.116594-0.665397))+0-0-0</f>
        <v>295.35119699999996</v>
      </c>
      <c r="U42" s="3">
        <f>0+(661.9-373.3)+(0+(-1.687845--0.951915))+0-0-0</f>
        <v>287.86406999999997</v>
      </c>
      <c r="V42" s="3">
        <f>0+(682-391.8)+(0+(-0.69564--0.399636))+0-0-0</f>
        <v>289.90399600000001</v>
      </c>
      <c r="W42" s="3">
        <f>0+(648.7-351.1)+(0+(-1.654185--0.895305))+0-0-0</f>
        <v>296.84112000000005</v>
      </c>
      <c r="X42" s="3">
        <f>0+(648.7-351.1)+(0+(-1.654185--0.895305))+0-0-0</f>
        <v>296.84112000000005</v>
      </c>
      <c r="Y42" s="3">
        <f>0+(506.7-214.4)+(0+(-1.292085--0.54672))+0-0-0</f>
        <v>291.55463499999996</v>
      </c>
      <c r="Z42" s="3">
        <f>0+(532.1-216)+(0+(-0.814113--0.33048))+0-0-0</f>
        <v>315.61636700000003</v>
      </c>
      <c r="AA42" s="3">
        <f>0+(527.5-216.7)+(0+(-0.807075--0.331551))+0-0-0</f>
        <v>310.324476</v>
      </c>
      <c r="AB42" s="3">
        <f>0+(478.1-143.2)+(0+(0.731493-0.219096))+0-0-0</f>
        <v>335.41239700000006</v>
      </c>
      <c r="AC42" s="3">
        <f>0+(490.8-159)+(0+(-1.25154--0.40545))+0-0-0</f>
        <v>330.95391000000001</v>
      </c>
      <c r="AD42" s="2">
        <v>311.40000000000003</v>
      </c>
      <c r="AE42" s="3">
        <f>0+(572.6-261.2)+(0+(0-0))+0-0-0</f>
        <v>311.40000000000003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0+(394-130.1)+(0+(-0.60282--0.199053))+0-0-0</f>
        <v>263.49623299999996</v>
      </c>
      <c r="G43" s="3">
        <f>0+(408-139.3)+(0+(-0.83232--0.284172))+0-0-0</f>
        <v>268.15185199999996</v>
      </c>
      <c r="H43" s="3">
        <f>0+(422.7-158.5)+(0+(-0.646731--0.242505))+0-0-0</f>
        <v>263.79577399999999</v>
      </c>
      <c r="I43" s="3">
        <f>0+(404.2-145.2)+(0+(-1.03071--0.37026))+0-0-0</f>
        <v>258.33954999999997</v>
      </c>
      <c r="J43" s="3">
        <f>0+(419.7-165.9)+(0+(0.214047-0.084609))+0-0-0</f>
        <v>253.92943799999998</v>
      </c>
      <c r="K43" s="3">
        <f>0+(399-141)+(0+(-0.81396--0.28764))+0-0-0</f>
        <v>257.47368</v>
      </c>
      <c r="L43" s="3">
        <f>0+(390.9-127)+(0+(0.398718-0.12954))+0-0-0</f>
        <v>264.16917799999999</v>
      </c>
      <c r="M43" s="3">
        <f>0+(354.6-48)+(0+(0-0))+0-0-0</f>
        <v>306.60000000000002</v>
      </c>
      <c r="N43" s="3">
        <f>0+(354.4-55.6)+(0+(0.361488-0.056712))+0-0-0</f>
        <v>299.10477599999996</v>
      </c>
      <c r="O43" s="3">
        <f>0+(459.4-155)+(0+(0-0))+0-0-0</f>
        <v>304.39999999999998</v>
      </c>
      <c r="P43" s="3">
        <f>0+(671.8-342.5)+(0+(-0.342618--0.174675))+0-0-0</f>
        <v>329.13205699999997</v>
      </c>
      <c r="Q43" s="3">
        <f>0+(686-343.9)+(0+(0.34986-0.175389))+0-0-0</f>
        <v>342.27447100000001</v>
      </c>
      <c r="R43" s="3">
        <f>0+(738-438.4)+(0+(-1.50552--0.894336))+0-0-0</f>
        <v>298.98881600000004</v>
      </c>
      <c r="S43" s="3">
        <f>0+(748.7-440.9)+(0+(-0.763674--0.449718))+0-0-0</f>
        <v>307.48604400000005</v>
      </c>
      <c r="T43" s="3">
        <f>0+(705.3-401.5)+(0+(-0.719406--0.40953))+0-0-0</f>
        <v>303.49012399999998</v>
      </c>
      <c r="U43" s="3">
        <f>0+(681.6-380.5)+(0+(-2.085696--1.16433))+0-0-0</f>
        <v>300.17863400000005</v>
      </c>
      <c r="V43" s="3">
        <f>0+(610.6-317.7)+(0+(-1.245624--0.648108))+0-0-0</f>
        <v>292.30248400000005</v>
      </c>
      <c r="W43" s="3">
        <f>0+(582.8-286.6)+(0+(-0.891684--0.438498))+0-0-0</f>
        <v>295.74681399999992</v>
      </c>
      <c r="X43" s="3">
        <f>0+(588.7-292.6)+(0+(-1.200948--0.596904))+0-0-0</f>
        <v>295.49595600000004</v>
      </c>
      <c r="Y43" s="3">
        <f>0+(512.1-212.2)+(0+(-0.261171--0.108222))+0-0-0</f>
        <v>299.74705100000006</v>
      </c>
      <c r="Z43" s="3">
        <f>0+(616.1-292)+(0+(-0.628422--0.29784))+0-0-0</f>
        <v>323.76941800000003</v>
      </c>
      <c r="AA43" s="3">
        <f>0+(640.5-317)+(0+(-1.30662--0.64668))+0-0-0</f>
        <v>322.84005999999999</v>
      </c>
      <c r="AB43" s="3">
        <f>0+(682.4-371.3)+(0+(-1.044072--0.568089))+0-0-0</f>
        <v>310.62401699999998</v>
      </c>
      <c r="AC43" s="3">
        <f>0+(625-326.6)+(0+(-1.59375--0.83283))+0-0-0</f>
        <v>297.63907999999998</v>
      </c>
      <c r="AD43" s="2">
        <v>326.2</v>
      </c>
      <c r="AE43" s="3">
        <f>0+(643-316.8)+(0+(0-0))+0-0-0</f>
        <v>326.2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0+(498.3-212.8)+(0+(-0.508266--0.217056))+0-0-0</f>
        <v>285.20879000000002</v>
      </c>
      <c r="G44" s="3">
        <f>0+(465.6-188.1)+(0+(0-0))+0-0-0</f>
        <v>277.5</v>
      </c>
      <c r="H44" s="3">
        <f>0+(421.7-149.6)+(0+(-1.075335--0.38148))+0-0-0</f>
        <v>271.40614500000004</v>
      </c>
      <c r="I44" s="3">
        <f>0+(418.3-156.4)+(0+(0-0))+0-0-0</f>
        <v>261.89999999999998</v>
      </c>
      <c r="J44" s="3">
        <f>0+(384.8-128.4)+(0+(-0.784992--0.261936))+0-0-0</f>
        <v>255.87694399999998</v>
      </c>
      <c r="K44" s="3">
        <f>0+(391-142.3)+(0+(-0.99705--0.362865))+0-0-0</f>
        <v>248.06581499999999</v>
      </c>
      <c r="L44" s="3">
        <f>0+(422-142.3)+(0+(-1.0761--0.362865))+0-0-0</f>
        <v>278.98676499999999</v>
      </c>
      <c r="M44" s="3">
        <f>0+(417.1-111.6)+(0+(-1.489047--0.398412))+0-0-0</f>
        <v>304.40936499999998</v>
      </c>
      <c r="N44" s="3">
        <f>0+(516.5-228.9)+(0+(0.263415-0.116739))+0-0-0</f>
        <v>287.74667600000004</v>
      </c>
      <c r="O44" s="3">
        <f>0+(518.5-201.7)+(0+(0.264435-0.102867))+0-0-0</f>
        <v>316.961568</v>
      </c>
      <c r="P44" s="3">
        <f>0+(491-169.9)+(0+(0-0))+0-0-0</f>
        <v>321.10000000000002</v>
      </c>
      <c r="Q44" s="3">
        <f>0+(567.5-238.9)+(0+(0.289425-0.121839))+0-0-0</f>
        <v>328.76758599999999</v>
      </c>
      <c r="R44" s="3">
        <f>0+(623.3-293.6)+(0+(-0.953649--0.449208))+0-0-0</f>
        <v>329.19555899999995</v>
      </c>
      <c r="S44" s="3">
        <f>0+(635.5-325.3)+(0+(0-0))+0-0-0</f>
        <v>310.2</v>
      </c>
      <c r="T44" s="3">
        <f>0+(626.7-316.1)+(0+(-1.278468--0.644844))+0-0-0</f>
        <v>309.96637600000003</v>
      </c>
      <c r="U44" s="3">
        <f>0+(660.1-352.4)+(0+(-1.346604--0.718896))+0-0-0</f>
        <v>307.07229200000006</v>
      </c>
      <c r="V44" s="3">
        <f>0+(557.8-259.8)+(0+(-1.137912--0.529992))+0-0-0</f>
        <v>297.39207999999996</v>
      </c>
      <c r="W44" s="3">
        <f>0+(519.6-218.3)+(0+(-2.119968--0.890664))+0-0-0</f>
        <v>300.070696</v>
      </c>
      <c r="X44" s="3">
        <f>0+(539.3-241.1)+(0+(-2.475387--1.106649))+0-0-0</f>
        <v>296.83126199999992</v>
      </c>
      <c r="Y44" s="3">
        <f>0+(510-208)+(0+(0-0))+0-0-0</f>
        <v>302</v>
      </c>
      <c r="Z44" s="3">
        <f>0+(464-146.9)+(0+(0.47328-0.149838))+0-0-0</f>
        <v>317.42344200000002</v>
      </c>
      <c r="AA44" s="3">
        <f>0+(481.5-157.3)+(0+(-1.718955--0.561561))+0-0-0</f>
        <v>323.04260599999998</v>
      </c>
      <c r="AB44" s="3">
        <f>0+(497.9-197.1)+(0+(-0.507858--0.201042))+0-0-0</f>
        <v>300.49318399999993</v>
      </c>
      <c r="AC44" s="3">
        <f>0+(552-251.9)+(0+(-1.12608--0.513876))+0-0-0</f>
        <v>299.487796</v>
      </c>
      <c r="AD44" s="2">
        <v>323.40000000000003</v>
      </c>
      <c r="AE44" s="3">
        <f>0+(451.1-127.7)+(0+(0-0))+0-0-0</f>
        <v>323.40000000000003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0+(554-266.7)+(0+(-0.28254--0.136017))+0-0-0</f>
        <v>287.15347700000001</v>
      </c>
      <c r="G45" s="3">
        <f>0+(471-197)+(0+(-0.48042--0.20094))+0-0-0</f>
        <v>273.72052000000002</v>
      </c>
      <c r="H45" s="3">
        <f>0+(458.3-189.2)+(0+(-1.168665--0.48246))+0-0-0</f>
        <v>268.41379500000005</v>
      </c>
      <c r="I45" s="3">
        <f>0+(497.2-238.3)+(0+(-0.253572--0.121533))+0-0-0</f>
        <v>258.76796099999996</v>
      </c>
      <c r="J45" s="3">
        <f>0+(491.3-219.6)+(0+(-0.501126--0.223992))+0-0-0</f>
        <v>271.42286600000006</v>
      </c>
      <c r="K45" s="3">
        <f>0+(501.5-217.8)+(0+(-1.02306--0.444312))+0-0-0</f>
        <v>283.12125199999997</v>
      </c>
      <c r="L45" s="3">
        <f>0+(403.4-161.4)+(0+(-0.411468--0.164628))+0-0-0</f>
        <v>241.75315999999998</v>
      </c>
      <c r="M45" s="3">
        <f>0+(470-162.8)+(0+(-0.2397--0.083028))+0-0-0</f>
        <v>307.04332799999997</v>
      </c>
      <c r="N45" s="3">
        <f>0+(560-249)+(0+(0-0))+0-0-0</f>
        <v>311</v>
      </c>
      <c r="O45" s="3">
        <f>0+(584.3-252.4)+(0+(0.297993-0.128724))+0-0-0</f>
        <v>332.06926899999996</v>
      </c>
      <c r="P45" s="3">
        <f>0+(599.6-272.9)+(0+(0.917388-0.417537))+0-0-0</f>
        <v>327.19985100000002</v>
      </c>
      <c r="Q45" s="3">
        <f>0+(567.8-231)+(0+(-0.289578--0.11781))+0-0-0</f>
        <v>336.62823199999997</v>
      </c>
      <c r="R45" s="3">
        <f>0+(604.9-281.5)+(0+(-0.616998--0.28713))+0-0-0</f>
        <v>323.070132</v>
      </c>
      <c r="S45" s="3">
        <f>0+(669.4-364.4)+(0+(-1.024182--0.557532))+0-0-0</f>
        <v>304.53334999999998</v>
      </c>
      <c r="T45" s="3">
        <f>0+(680.9-380.7)+(0+(-1.041777--0.582471))+0-0-0</f>
        <v>299.74069399999996</v>
      </c>
      <c r="U45" s="3">
        <f>0+(720.7-425.2)+(0+(-0.735114--0.433704))+0-0-0</f>
        <v>295.19859000000008</v>
      </c>
      <c r="V45" s="3">
        <f>0+(684-397)+(0+(-2.09304--1.21482))+0-0-0</f>
        <v>286.12178</v>
      </c>
      <c r="W45" s="3">
        <f>0+(558.8-267.1)+(0+(-0.854964--0.408663))+0-0-0</f>
        <v>291.25369899999993</v>
      </c>
      <c r="X45" s="3">
        <f>0+(544-250.5)+(0+(-0.27744--0.127755))+0-0-0</f>
        <v>293.35031500000002</v>
      </c>
      <c r="Y45" s="3">
        <f>0+(456.8-151.9)+(0+(0.232968-0.077469))+0-0-0</f>
        <v>305.055499</v>
      </c>
      <c r="Z45" s="3">
        <f>0+(460.4-137.7)+(0+(-0.469608--0.140454))+0-0-0</f>
        <v>322.37084599999997</v>
      </c>
      <c r="AA45" s="3">
        <f>0+(582.4-265.2)+(0+(-0.891072--0.405756))+0-0-0</f>
        <v>316.71468399999998</v>
      </c>
      <c r="AB45" s="3">
        <f>0+(644.5-338.7)+(0+(-1.97217--1.036422))+0-0-0</f>
        <v>304.86425200000002</v>
      </c>
      <c r="AC45" s="3">
        <f>0+(728.9-455.1)+(0+(-0.743478--0.464202))+0-0-0</f>
        <v>273.52072399999997</v>
      </c>
      <c r="AD45" s="2">
        <v>320.40000000000003</v>
      </c>
      <c r="AE45" s="3">
        <f>0+(606.1-285.7)+(0+(0-0))+0-0-0</f>
        <v>320.40000000000003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0+(702.1-425.6)+(0+(-1.432284--0.868224))+0-0-0</f>
        <v>275.93594000000002</v>
      </c>
      <c r="G46" s="3">
        <f>0+(556.4-284.6)+(0+(-0.567528--0.290292))+0-0-0</f>
        <v>271.52276399999994</v>
      </c>
      <c r="H46" s="3">
        <f>0+(392.6-122.5)+(0+(-0.200226--0.062475))+0-0-0</f>
        <v>269.96224900000004</v>
      </c>
      <c r="I46" s="3">
        <f>0+(332-66)+(0+(0.67728-0.13464))+0-0-0</f>
        <v>266.54264000000001</v>
      </c>
      <c r="J46" s="3">
        <f>0+(317.9-48.6)+(0+(0-0))+0-0-0</f>
        <v>269.29999999999995</v>
      </c>
      <c r="K46" s="3">
        <f>0+(315.8-51.8)+(0+(-0.483174--0.079254))+0-0-0</f>
        <v>263.59607999999997</v>
      </c>
      <c r="L46" s="3">
        <f>0+(352.9-108.8)+(0+(-0.359958--0.110976))+0-0-0</f>
        <v>243.85101799999995</v>
      </c>
      <c r="M46" s="3">
        <f>0+(377.8-133.4)+(0+(-0.385356--0.136068))+0-0-0</f>
        <v>244.150712</v>
      </c>
      <c r="N46" s="3">
        <f>0+(434.5-200.9)+(0+(-0.221595--0.102459))+0-0-0</f>
        <v>233.480864</v>
      </c>
      <c r="O46" s="3">
        <f>0+(392.1-118.6)+(0+(0-0))+0-0-0</f>
        <v>273.5</v>
      </c>
      <c r="P46" s="3">
        <f>0+(385.2-114)+(0+(0-0))+0-0-0</f>
        <v>271.2</v>
      </c>
      <c r="Q46" s="3">
        <f>0+(507.3-231.7)+(0+(-0.776169--0.354501))+0-0-0</f>
        <v>275.17833200000001</v>
      </c>
      <c r="R46" s="3">
        <f>0+(577.7-317.6)+(0+(-0.294627--0.161976))+0-0-0</f>
        <v>259.96734900000001</v>
      </c>
      <c r="S46" s="3">
        <f>0+(581.7-332)+(0+(0-0))+0-0-0</f>
        <v>249.70000000000005</v>
      </c>
      <c r="T46" s="3">
        <f>0+(552.8-310.5)+(0+(-1.40964--0.791775))+0-0-0</f>
        <v>241.68213499999996</v>
      </c>
      <c r="U46" s="3">
        <f>0+(525.6-285.3)+(0+(-0.804168--0.436509))+0-0-0</f>
        <v>239.93234100000001</v>
      </c>
      <c r="V46" s="3">
        <f>0+(493.7-263)+(0+(-1.258935--0.67065))+0-0-0</f>
        <v>230.11171499999998</v>
      </c>
      <c r="W46" s="3">
        <f>0+(475.1-222.9)+(0+(-0.484602--0.227358))+0-0-0</f>
        <v>251.94275600000003</v>
      </c>
      <c r="X46" s="3">
        <f>0+(466.8-219.5)+(0+(-0.714204--0.335835))+0-0-0</f>
        <v>246.92163100000002</v>
      </c>
      <c r="Y46" s="3">
        <f>0+(414.5-164.4)+(0+(-0.211395--0.083844))+0-0-0</f>
        <v>249.97244899999998</v>
      </c>
      <c r="Z46" s="3">
        <f>0+(465.7-184.5)+(0+(0-0))+0-0-0</f>
        <v>281.2</v>
      </c>
      <c r="AA46" s="3">
        <f>0+(532-247.3)+(0+(-1.08528--0.504492))+0-0-0</f>
        <v>284.119212</v>
      </c>
      <c r="AB46" s="3">
        <f>0+(599.7-319.9)+(0+(-1.223388--0.652596))+0-0-0</f>
        <v>279.22920800000009</v>
      </c>
      <c r="AC46" s="3">
        <f>0+(546.1-273.8)+(0+(-0.835533--0.418914))+0-0-0</f>
        <v>271.88338099999999</v>
      </c>
      <c r="AD46" s="2">
        <v>282.39999999999998</v>
      </c>
      <c r="AE46" s="3">
        <f>0+(519-236.6)+(0+(0-0))+0-0-0</f>
        <v>282.39999999999998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0+(496.8-231.2)+(0+(-0.253368--0.117912))+0-0-0</f>
        <v>265.46454400000005</v>
      </c>
      <c r="G47" s="3">
        <f>0+(421-165.4)+(0+(-0.64413--0.253062))+0-0-0</f>
        <v>255.208932</v>
      </c>
      <c r="H47" s="3">
        <f>0+(382.6-129)+(0+(-0.390252--0.13158))+0-0-0</f>
        <v>253.34132800000003</v>
      </c>
      <c r="I47" s="3">
        <f>0+(395.3-150.4)+(0+(-1.008015--0.38352))+0-0-0</f>
        <v>244.27550500000001</v>
      </c>
      <c r="J47" s="3">
        <f>0+(390.1-133.2)+(0+(-0.994755--0.33966))+0-0-0</f>
        <v>256.24490500000002</v>
      </c>
      <c r="K47" s="3">
        <f>0+(407.6-153.1)+(0+(-0.623628--0.234243))+0-0-0</f>
        <v>254.11061500000002</v>
      </c>
      <c r="L47" s="3">
        <f>0+(377.6-115.5)+(0+(-1.155456--0.35343))+0-0-0</f>
        <v>261.29797400000001</v>
      </c>
      <c r="M47" s="3">
        <f>0+(417.3-129.1)+(0+(-0.212823--0.065841))+0-0-0</f>
        <v>288.05301800000007</v>
      </c>
      <c r="N47" s="3">
        <f>0+(597.5-277.3)+(0+(1.523625-0.707115))+0-0-0</f>
        <v>321.01650999999998</v>
      </c>
      <c r="O47" s="3">
        <f>0+(614.3-276.9)+(0+(-0.626586--0.282438))+0-0-0</f>
        <v>337.05585199999996</v>
      </c>
      <c r="P47" s="3">
        <f>0+(675-326.7)+(0+(-0.6885--0.333234))+0-0-0</f>
        <v>347.94473400000004</v>
      </c>
      <c r="Q47" s="3">
        <f>0+(670-337.2)+(0+(-1.3668--0.687888))+0-0-0</f>
        <v>332.12108799999999</v>
      </c>
      <c r="R47" s="3">
        <f>0+(716.2-357.5)+(0+(0.365262-0.182325))+0-0-0</f>
        <v>358.88293700000003</v>
      </c>
      <c r="S47" s="3">
        <f>0+(709.8-376.3)+(0+(-1.085994--0.575739))+0-0-0</f>
        <v>332.98974499999997</v>
      </c>
      <c r="T47" s="3">
        <f>0+(745.5-410.7)+(0+(0.380205-0.209457))+0-0-0</f>
        <v>334.97074800000001</v>
      </c>
      <c r="U47" s="3">
        <f>0+(681.8-355.2)+(0+(0.347718-0.181152))+0-0-0</f>
        <v>326.76656599999995</v>
      </c>
      <c r="V47" s="3">
        <f>0+(696.6-374.8)+(0+(-1.421064--0.764592))+0-0-0</f>
        <v>321.143528</v>
      </c>
      <c r="W47" s="3">
        <f>0+(737.6-422.7)+(0+(-2.257056--1.293462))+0-0-0</f>
        <v>313.93640600000003</v>
      </c>
      <c r="X47" s="3">
        <f>0+(609-294.7)+(0+(-2.17413--1.052079))+0-0-0</f>
        <v>313.17794900000001</v>
      </c>
      <c r="Y47" s="3">
        <f>0+(549.8-227.6)+(0+(-1.121592--0.464304))+0-0-0</f>
        <v>321.54271199999994</v>
      </c>
      <c r="Z47" s="3">
        <f>0+(635.8-296.3)+(0+(-0.648516--0.302226))+0-0-0</f>
        <v>339.15370999999993</v>
      </c>
      <c r="AA47" s="3">
        <f>0+(696.9-360.5)+(0+(-2.132514--1.10313))+0-0-0</f>
        <v>335.37061599999998</v>
      </c>
      <c r="AB47" s="3">
        <f>0+(750.3-422.4)+(0+(-1.530612--0.861696))+0-0-0</f>
        <v>327.23108399999995</v>
      </c>
      <c r="AC47" s="3">
        <f>0+(698.1-386.6)+(0+(-0.712062--0.394332))+0-0-0</f>
        <v>311.18227000000002</v>
      </c>
      <c r="AD47" s="2">
        <v>335.6</v>
      </c>
      <c r="AE47" s="3">
        <f>0+(663-327.4)+(0+(0-0))+0-0-0</f>
        <v>335.6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0+(572.7-270.3)+(0+(-0.876231--0.413559))+0-0-0</f>
        <v>301.93732800000004</v>
      </c>
      <c r="G48" s="3">
        <f>0+(549.9-257.8)+(0+(-0.841347--0.394434))+0-0-0</f>
        <v>291.65308699999997</v>
      </c>
      <c r="H48" s="3">
        <f>0+(503.2-215.5)+(0+(0-0))+0-0-0</f>
        <v>287.7</v>
      </c>
      <c r="I48" s="3">
        <f>0+(476.6-192.3)+(0+(-0.486132--0.196146))+0-0-0</f>
        <v>284.01001400000001</v>
      </c>
      <c r="J48" s="3">
        <f>0+(459-166.1)+(0+(-0.70227--0.254133))+0-0-0</f>
        <v>292.451863</v>
      </c>
      <c r="K48" s="3">
        <f>0+(455.8-175.4)+(0+(-1.16229--0.44727))+0-0-0</f>
        <v>279.68498</v>
      </c>
      <c r="L48" s="3">
        <f>0+(440.6-172.1)+(0+(0-0))+0-0-0</f>
        <v>268.5</v>
      </c>
      <c r="M48" s="3">
        <f>0+(506.4-156.1)+(0+(-0.258264--0.079611))+0-0-0</f>
        <v>350.12134699999996</v>
      </c>
      <c r="N48" s="3">
        <f>0+(602.8-245.2)+(0+(0-0))+0-0-0</f>
        <v>357.59999999999997</v>
      </c>
      <c r="O48" s="3">
        <f>0+(650.7-300.2)+(0+(-0.331857--0.153102))+0-0-0</f>
        <v>350.32124500000003</v>
      </c>
      <c r="P48" s="3">
        <f>4.7+(634.3-284.4)+(-0.002397+(-0.323493--0.145044))+0-0-0</f>
        <v>354.41915399999999</v>
      </c>
      <c r="Q48" s="3">
        <f>0+(671.2-303)+(0+(-0.342312--0.15453))+0-0-0</f>
        <v>368.01221800000002</v>
      </c>
      <c r="R48" s="3">
        <f>0+(712.1-347.3)+(0+(0-0))+0-0-0</f>
        <v>364.8</v>
      </c>
      <c r="S48" s="3">
        <f>0+(703.3-363.3)+(0+(-1.434732--0.741132))+0-0-0</f>
        <v>339.30639999999994</v>
      </c>
      <c r="T48" s="3">
        <f>0+(734.5-394)+(0+(-0.374595--0.20094))+0-0-0</f>
        <v>340.326345</v>
      </c>
      <c r="U48" s="3">
        <f>0+(754-421.7)+(0+(-0.76908--0.430134))+0-0-0</f>
        <v>331.96105399999999</v>
      </c>
      <c r="V48" s="3">
        <f>0+(759.2-432.8)+(0+(-1.93596--1.10364))+0-0-0</f>
        <v>325.56768000000005</v>
      </c>
      <c r="W48" s="3">
        <f>0+(763.2-437.6)+(0+(-0.778464--0.446352))+0-0-0</f>
        <v>325.26788800000003</v>
      </c>
      <c r="X48" s="3">
        <f>0+(686.4-373.9)+(0+(-2.100384--1.144134))+0-0-0</f>
        <v>311.54374999999999</v>
      </c>
      <c r="Y48" s="3">
        <f>0+(656-341.7)+(0+(0-0))+0-0-0</f>
        <v>314.3</v>
      </c>
      <c r="Z48" s="3">
        <f>0+(682.2-348.8)+(0+(-0.695844--0.355776))+0-0-0</f>
        <v>333.05993200000006</v>
      </c>
      <c r="AA48" s="3">
        <f>0+(651.3-320.3)+(0+(-1.660815--0.816765))+0-0-0</f>
        <v>330.15594999999996</v>
      </c>
      <c r="AB48" s="3">
        <f>0+(624.9-298.9)+(0+(-0.956097--0.457317))+0-0-0</f>
        <v>325.50121999999999</v>
      </c>
      <c r="AC48" s="3">
        <f>0+(540.7-230)+(0+(-1.103028--0.4692))+0-0-0</f>
        <v>310.06617200000005</v>
      </c>
      <c r="AD48" s="2">
        <v>342.40000000000003</v>
      </c>
      <c r="AE48" s="3">
        <f>0+(678.2-335.8)+(0+(0-0))+0-0-0</f>
        <v>342.40000000000003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0+(527.2-220.9)+(0+(-1.882104--0.788613))+0-0-0</f>
        <v>305.2065090000001</v>
      </c>
      <c r="G49" s="3">
        <f>0+(477-182.1)+(0+(-1.70289--0.650097))+0-0-0</f>
        <v>293.84720699999997</v>
      </c>
      <c r="H49" s="3">
        <f>0+(455.9-165.6)+(0+(-0.465018--0.168912))+0-0-0</f>
        <v>290.00389399999995</v>
      </c>
      <c r="I49" s="3">
        <f>0+(444.2-156.4)+(0+(-0.226542--0.079764))+0-0-0</f>
        <v>287.65322199999997</v>
      </c>
      <c r="J49" s="3">
        <f>0+(425.1-132.9)+(0+(-0.216801--0.067779))+0-0-0</f>
        <v>292.05097800000004</v>
      </c>
      <c r="K49" s="3">
        <f>0+(418.5-126.1)+(0+(-0.85374--0.257244))+0-0-0</f>
        <v>291.80350399999998</v>
      </c>
      <c r="L49" s="3">
        <f>0+(483.7-179.3)+(0+(-0.986748--0.365772))+0-0-0</f>
        <v>303.77902399999999</v>
      </c>
      <c r="M49" s="3">
        <f>0+(533.2-180.1)+(0+(1.35966-0.459255))+0-0-0</f>
        <v>354.000405</v>
      </c>
      <c r="N49" s="3">
        <f>0+(735.1-332.1)+(0+(0.374901-0.169371))+0-0-0</f>
        <v>403.20553000000001</v>
      </c>
      <c r="O49" s="3">
        <f>0+(791.8-433.3)+(0+(-0.403818--0.220983))+0-0-0</f>
        <v>358.31716499999993</v>
      </c>
      <c r="P49" s="3">
        <f>0+(814.1-447.9)+(0+(-0.415191--0.228429))+0-0-0</f>
        <v>366.01323800000006</v>
      </c>
      <c r="Q49" s="3">
        <f>0+(849.4-462.4)+(0+(-0.433194--0.235824))+0-0-0</f>
        <v>386.80263000000002</v>
      </c>
      <c r="R49" s="3">
        <f>0+(816.3-431.7)+(0+(-2.497878--1.321002))+0-0-0</f>
        <v>383.42312399999997</v>
      </c>
      <c r="S49" s="3">
        <f>0+(789.8-446.2)+(0+(-1.208394--0.682686))+0-0-0</f>
        <v>343.07429199999996</v>
      </c>
      <c r="T49" s="3">
        <f>0+(778.3-433.9)+(0+(0.396933-0.221289))+0-0-0</f>
        <v>344.57564399999995</v>
      </c>
      <c r="U49" s="3">
        <f>0+(771.3-436)+(0+(-1.966815--1.1118))+0-0-0</f>
        <v>334.44498499999997</v>
      </c>
      <c r="V49" s="3">
        <f>0+(756.4-427.7)+(0+(-1.92882--1.090635))+0-0-0</f>
        <v>327.86181499999998</v>
      </c>
      <c r="W49" s="3">
        <f>0+(732.6-398.1)+(0+(-1.86813--1.015155))+0-0-0</f>
        <v>333.64702499999999</v>
      </c>
      <c r="X49" s="3">
        <f>0+(611.3-279.4)+(0+(-0.623526--0.284988))+0-0-0</f>
        <v>331.56146199999995</v>
      </c>
      <c r="Y49" s="3">
        <f>0+(501.6-168.6)+(0+(-0.255816--0.085986))+0-0-0</f>
        <v>332.83017000000001</v>
      </c>
      <c r="Z49" s="3">
        <f>0+(544-197.7)+(0+(-0.83232--0.302481))+0-0-0</f>
        <v>345.77016100000003</v>
      </c>
      <c r="AA49" s="3">
        <f>0+(625.7-285)+(0+(-1.595535--0.72675))+0-0-0</f>
        <v>339.83121500000004</v>
      </c>
      <c r="AB49" s="3">
        <f>0+(652.6-324.3)+(0+(-0.998478--0.496179))+0-0-0</f>
        <v>327.79770100000002</v>
      </c>
      <c r="AC49" s="3">
        <f>0+(638.6-328.5)+(0+(-0.977058--0.502605))+0-0-0</f>
        <v>309.62554700000004</v>
      </c>
      <c r="AD49" s="2">
        <v>346.70000000000005</v>
      </c>
      <c r="AE49" s="3">
        <f>0+(615.6-268.9)+(0+(0-0))+0-0-0</f>
        <v>346.70000000000005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0+(536.5-237)+(0+(-1.368075--0.60435))+0-0-0</f>
        <v>298.73627499999998</v>
      </c>
      <c r="G50" s="3">
        <f>0+(502-206.9)+(0+(-0.76806--0.316557))+0-0-0</f>
        <v>294.64849700000002</v>
      </c>
      <c r="H50" s="3">
        <f>0+(436.9-143)+(0+(-1.114095--0.36465))+0-0-0</f>
        <v>293.150555</v>
      </c>
      <c r="I50" s="3">
        <f>0+(432.4-145.9)+(0+(-0.882096--0.297636))+0-0-0</f>
        <v>285.91554000000002</v>
      </c>
      <c r="J50" s="3">
        <f>0+(430.7-146.3)+(0+(-0.658971--0.223839))+0-0-0</f>
        <v>283.96486799999997</v>
      </c>
      <c r="K50" s="3">
        <f>0+(458.6-172.7)+(0+(-0.467772--0.176154))+0-0-0</f>
        <v>285.60838200000001</v>
      </c>
      <c r="L50" s="3">
        <f>0+(451.6-164.7)+(0+(-0.921264--0.335988))+0-0-0</f>
        <v>286.31472400000001</v>
      </c>
      <c r="M50" s="3">
        <f>0+(523.1-213)+(0+(0.533562-0.21726))+0-0-0</f>
        <v>310.41630200000003</v>
      </c>
      <c r="N50" s="3">
        <f>0+(506.1-170.4)+(0+(-0.516222--0.173808))+0-0-0</f>
        <v>335.35758600000003</v>
      </c>
      <c r="O50" s="3">
        <f>0+(503.8-149.8)+(0+(0-0))+0-0-0</f>
        <v>354</v>
      </c>
      <c r="P50" s="3">
        <f>0+(591.4-228.3)+(0+(0-0))+0-0-0</f>
        <v>363.09999999999997</v>
      </c>
      <c r="Q50" s="3">
        <f>0+(780.9-411.3)+(0+(0-0))+0-0-0</f>
        <v>369.59999999999997</v>
      </c>
      <c r="R50" s="3">
        <f>0+(716-370)+(0+(0-0))+0-0-0</f>
        <v>346</v>
      </c>
      <c r="S50" s="3">
        <f>0+(684.8-343.3)+(0+(-1.74624--0.875415))+0-0-0</f>
        <v>340.62917499999992</v>
      </c>
      <c r="T50" s="3">
        <f>0+(715-353)+(0+(-1.82325--0.90015))+0-0-0</f>
        <v>361.07690000000002</v>
      </c>
      <c r="U50" s="3">
        <f>0+(728.3-389.5)+(0+(-1.114299--0.595935))+0-0-0</f>
        <v>338.28163599999993</v>
      </c>
      <c r="V50" s="3">
        <f>0+(764.9-431)+(0+(-1.560396--0.87924))+0-0-0</f>
        <v>333.21884399999999</v>
      </c>
      <c r="W50" s="3">
        <f>0+(717-382)+(0+(-1.82835--0.9741))+0-0-0</f>
        <v>334.14575000000002</v>
      </c>
      <c r="X50" s="3">
        <f>0+(666.2-342.7)+(0+(-1.69881--0.873885))+0-0-0</f>
        <v>322.67507500000005</v>
      </c>
      <c r="Y50" s="3">
        <f>0+(614.9-291)+(0+(-0.627198--0.29682))+0-0-0</f>
        <v>323.56962199999998</v>
      </c>
      <c r="Z50" s="3">
        <f>0+(645.4-301.1)+(0+(-0.987462--0.460683))+0-0-0</f>
        <v>343.77322099999998</v>
      </c>
      <c r="AA50" s="3">
        <f>0+(652.4-312.3)+(0+(-1.996344--0.955638))+0-0-0</f>
        <v>339.05929399999997</v>
      </c>
      <c r="AB50" s="3">
        <f>0+(559.7-230.7)+(0+(-0.285447--0.117657))+0-0-0</f>
        <v>328.83221000000003</v>
      </c>
      <c r="AC50" s="3">
        <f>0+(481.8-174.9)+(0+(-0.737154--0.267597))+0-0-0</f>
        <v>306.43044299999997</v>
      </c>
      <c r="AD50" s="2">
        <v>342.59999999999997</v>
      </c>
      <c r="AE50" s="3">
        <f>0+(663.4-320.8)+(0+(0-0))+0-0-0</f>
        <v>342.59999999999997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0+(467.1-158.2)+(0+(-1.191105--0.40341))+0-0-0</f>
        <v>308.11230500000005</v>
      </c>
      <c r="G51" s="3">
        <f>0+(385.4-90.9)+(0+(-0.98277--0.231795))+0-0-0</f>
        <v>293.74902500000002</v>
      </c>
      <c r="H51" s="3">
        <f>0+(402.7-109.7)+(0+(-0.821508--0.223788))+0-0-0</f>
        <v>292.40228000000002</v>
      </c>
      <c r="I51" s="3">
        <f>0+(400.8-109.1)+(0+(-0.204408--0.055641))+0-0-0</f>
        <v>291.55123300000002</v>
      </c>
      <c r="J51" s="3">
        <f>0+(398.4-108.4)+(0+(0.609552-0.165852))+0-0-0</f>
        <v>290.44369999999998</v>
      </c>
      <c r="K51" s="3">
        <f>0+(419.9-133)+(0+(-0.642447--0.20349))+0-0-0</f>
        <v>286.46104299999996</v>
      </c>
      <c r="L51" s="3">
        <f>0+(416.4-132.4)+(0+(-0.212364--0.067524))+0-0-0</f>
        <v>283.85516000000001</v>
      </c>
      <c r="M51" s="3">
        <f>0+(512.4-205.1)+(0+(-1.045296--0.418404))+0-0-0</f>
        <v>306.67310799999996</v>
      </c>
      <c r="N51" s="3">
        <f>0+(603.3-265.1)+(0+(-0.923049--0.405603))+0-0-0</f>
        <v>337.68255399999993</v>
      </c>
      <c r="O51" s="3">
        <f>0+(591.7-239.5)+(0+(-0.603534--0.24429))+0-0-0</f>
        <v>351.84075600000006</v>
      </c>
      <c r="P51" s="3">
        <f>0+(634.9-278.9)+(0+(-0.647598--0.284478))+0-0-0</f>
        <v>355.63688000000002</v>
      </c>
      <c r="Q51" s="3">
        <f>0+(636.9-269.4)+(0+(-0.649638--0.274788))+0-0-0</f>
        <v>367.12515000000002</v>
      </c>
      <c r="R51" s="3">
        <f>0+(634-297.1)+(0+(-0.32334--0.151521))+0-0-0</f>
        <v>336.72818099999995</v>
      </c>
      <c r="S51" s="3">
        <f>0+(675.7-336.6)+(0+(-1.378428--0.686664))+0-0-0</f>
        <v>338.40823600000004</v>
      </c>
      <c r="T51" s="3">
        <f>0+(675.7-336.6)+(0+(-1.378428--0.686664))+0-0-0</f>
        <v>338.40823600000004</v>
      </c>
      <c r="U51" s="3">
        <f>0+(710.3-382.7)+(0+(0-0))+0-0-0</f>
        <v>327.59999999999997</v>
      </c>
      <c r="V51" s="3">
        <f>0+(701.5-380.7)+(0+(-1.43106--0.776628))+0-0-0</f>
        <v>320.14556800000003</v>
      </c>
      <c r="W51" s="3">
        <f>0+(676.7-355.8)+(0+(-2.070702--1.088748))+0-0-0</f>
        <v>319.91804600000006</v>
      </c>
      <c r="X51" s="3">
        <f>0+(676.7-355.8)+(0+(-2.070702--1.088748))+0-0-0</f>
        <v>319.91804600000006</v>
      </c>
      <c r="Y51" s="3">
        <f>0+(622.3-303.9)+(0+(-2.221611--1.084923))+0-0-0</f>
        <v>317.26331199999998</v>
      </c>
      <c r="Z51" s="3">
        <f>0+(702.4-359.1)+(0+(-0.358224--0.183141))+0-0-0</f>
        <v>343.12491699999998</v>
      </c>
      <c r="AA51" s="3">
        <f>0+(738.1-396.8)+(0+(-2.258586--1.214208))+0-0-0</f>
        <v>340.25562200000002</v>
      </c>
      <c r="AB51" s="3">
        <f>0+(706.2-374.9)+(0+(-1.080486--0.573597))+0-0-0</f>
        <v>330.79311100000007</v>
      </c>
      <c r="AC51" s="3">
        <f>0+(609.2-292.9)+(0+(-1.242768--0.597516))+0-0-0</f>
        <v>315.65474800000004</v>
      </c>
      <c r="AD51" s="2">
        <v>344</v>
      </c>
      <c r="AE51" s="3">
        <f>0+(717.6-373.6)+(0+(0-0))+0-0-0</f>
        <v>344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0+(540-231.3)+(0+(-1.377--0.589815))+0-0-0</f>
        <v>307.91281499999997</v>
      </c>
      <c r="G52" s="3">
        <f>0+(523.4-222.7)+(0+(-1.067736--0.454308))+0-0-0</f>
        <v>300.08657199999999</v>
      </c>
      <c r="H52" s="3">
        <f>0+(436-145.7)+(0+(-0.66708--0.222921))+0-0-0</f>
        <v>289.855841</v>
      </c>
      <c r="I52" s="3">
        <f>0+(486.8-200.7)+(0+(1.24134-0.511785))+0-0-0</f>
        <v>286.82955500000003</v>
      </c>
      <c r="J52" s="3">
        <f>0+(451-180.5)+(0+(-0.69003--0.276165))+0-0-0</f>
        <v>270.08613500000001</v>
      </c>
      <c r="K52" s="3">
        <f>0+(462-186.1)+(0+(-0.23562--0.094911))+0-0-0</f>
        <v>275.75929099999996</v>
      </c>
      <c r="L52" s="3">
        <f>0+(453.7-185.5)+(0+(-0.462774--0.18921))+0-0-0</f>
        <v>267.92643599999997</v>
      </c>
      <c r="M52" s="3">
        <f>0+(463-168.8)+(0+(0.23613-0.086088))+0-0-0</f>
        <v>294.35004199999997</v>
      </c>
      <c r="N52" s="3">
        <f>0+(548.1-227.4)+(0+(0-0))+0-0-0</f>
        <v>320.70000000000005</v>
      </c>
      <c r="O52" s="3">
        <f>0+(666-325)+(0+(-0.67932--0.3315))+0-0-0</f>
        <v>340.65217999999999</v>
      </c>
      <c r="P52" s="3">
        <f>0+(683.9-339)+(0+(0.348789-0.17289))+0-0-0</f>
        <v>345.07589899999999</v>
      </c>
      <c r="Q52" s="3">
        <f>0+(676.2-333.3)+(0+(-0.344862--0.169983))+0-0-0</f>
        <v>342.72512100000006</v>
      </c>
      <c r="R52" s="3">
        <f>0+(655.9-319.4)+(0+(0.669018-0.325788))+0-0-0</f>
        <v>336.84323000000001</v>
      </c>
      <c r="S52" s="3">
        <f>0+(625.7-318.7)+(0+(-1.276428--0.650148))+0-0-0</f>
        <v>306.37372000000005</v>
      </c>
      <c r="T52" s="3">
        <f>0+(706.4-397.2)+(0+(0.360264-0.202572))+0-0-0</f>
        <v>309.35769199999999</v>
      </c>
      <c r="U52" s="3">
        <f>0+(726.3-417.2)+(0+(-0.740826--0.425544))+0-0-0</f>
        <v>308.78471799999994</v>
      </c>
      <c r="V52" s="3">
        <f>0+(759.9-455.3)+(0+(-1.550196--0.928812))+0-0-0</f>
        <v>303.97861599999999</v>
      </c>
      <c r="W52" s="3">
        <f>0+(813.3-515.4)+(0+(0.414783-0.262854))+0-0-0</f>
        <v>298.05192899999997</v>
      </c>
      <c r="X52" s="3">
        <f>0+(739.2-438.9)+(0+(-2.638944--1.566873))+0-0-0</f>
        <v>299.22792900000007</v>
      </c>
      <c r="Y52" s="3">
        <f>0+(662.5-359.6)+(0+(-1.013625--0.550188))+0-0-0</f>
        <v>302.43656299999998</v>
      </c>
      <c r="Z52" s="3">
        <f>0+(668.1-337.4)+(0+(-0.681462--0.344148))+0-0-0</f>
        <v>330.36268600000005</v>
      </c>
      <c r="AA52" s="3">
        <f>0+(701.7-375)+(0+(-2.147202--1.1475))+0-0-0</f>
        <v>325.70029800000003</v>
      </c>
      <c r="AB52" s="3">
        <f>0+(771.7-448.7)+(0+(0-0))+0-0-0</f>
        <v>323.00000000000006</v>
      </c>
      <c r="AC52" s="3">
        <f>0+(798.8-486)+(0+(-0.407388--0.24786))+0-0-0</f>
        <v>312.64047199999993</v>
      </c>
      <c r="AD52" s="2">
        <v>328.2</v>
      </c>
      <c r="AE52" s="3">
        <f>0+(645.4-317.2)+(0+(0-0))+0-0-0</f>
        <v>328.2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0+(723.5-420.6)+(0+(-1.844925--1.07253))+0-0-0</f>
        <v>302.12760499999996</v>
      </c>
      <c r="G53" s="3">
        <f>0+(591.6-297.2)+(0+(-0.301716--0.151572))+0-0-0</f>
        <v>294.24985600000002</v>
      </c>
      <c r="H53" s="3">
        <f>0+(471.2-186.7)+(0+(-0.720936--0.285651))+0-0-0</f>
        <v>284.06471499999998</v>
      </c>
      <c r="I53" s="3">
        <f>0+(380.8-104.6)+(0+(-0.776832--0.213384))+0-0-0</f>
        <v>275.63655200000005</v>
      </c>
      <c r="J53" s="3">
        <f>0+(401.9-120.7)+(0+(0-0))+0-0-0</f>
        <v>281.2</v>
      </c>
      <c r="K53" s="3">
        <f>0+(417.5-144.1)+(0+(-0.8517--0.293964))+0-0-0</f>
        <v>272.842264</v>
      </c>
      <c r="L53" s="3">
        <f>0+(435.6-177.5)+(0+(-0.888624--0.3621))+0-0-0</f>
        <v>257.57347600000003</v>
      </c>
      <c r="M53" s="3">
        <f>0+(438.1-179.1)+(0+(0-0))+0-0-0</f>
        <v>259</v>
      </c>
      <c r="N53" s="3">
        <f>0+(412.2-142.1)+(0+(-0.420444--0.144942))+0-0-0</f>
        <v>269.82449800000001</v>
      </c>
      <c r="O53" s="3">
        <f>0+(417.5-145.3)+(0+(0-0))+0-0-0</f>
        <v>272.2</v>
      </c>
      <c r="P53" s="3">
        <f>0+(398-125.1)+(0+(0-0))+0-0-0</f>
        <v>272.89999999999998</v>
      </c>
      <c r="Q53" s="3">
        <f>0+(493.1-210.9)+(0+(-0.251481--0.107559))+0-0-0</f>
        <v>282.05607800000007</v>
      </c>
      <c r="R53" s="3">
        <f>0+(517-231.2)+(0+(-0.26367--0.117912))+0-0-0</f>
        <v>285.65424200000001</v>
      </c>
      <c r="S53" s="3">
        <f>0+(516.8-234.5)+(0+(-0.527136--0.23919))+0-0-0</f>
        <v>282.01205399999998</v>
      </c>
      <c r="T53" s="3">
        <f>0+(521.2-247.8)+(0+(-0.797436--0.379134))+0-0-0</f>
        <v>272.98169800000005</v>
      </c>
      <c r="U53" s="3">
        <f>0+(538.6-274.2)+(0+(-0.549372--0.279684))+0-0-0</f>
        <v>264.13031200000006</v>
      </c>
      <c r="V53" s="3">
        <f>0+(583.8-322.5)+(0+(0.297738-0.164475))+0-0-0</f>
        <v>261.43326299999995</v>
      </c>
      <c r="W53" s="3">
        <f>0+(624.9-357.6)+(0+(-0.318699--0.182376))+0-0-0</f>
        <v>267.16367699999995</v>
      </c>
      <c r="X53" s="3">
        <f>0+(625.1-344.1)+(0+(-1.594005--0.877455))+0-0-0</f>
        <v>280.28345000000002</v>
      </c>
      <c r="Y53" s="3">
        <f>0+(550.1-283.9)+(0+(-0.841653--0.434367))+0-0-0</f>
        <v>265.79271400000005</v>
      </c>
      <c r="Z53" s="3">
        <f>0+(745.2-434.2)+(0+(-1.140156--0.664326))+0-0-0</f>
        <v>310.52417000000008</v>
      </c>
      <c r="AA53" s="3">
        <f>0+(791.9-484)+(0+(-1.211607--0.74052))+0-0-0</f>
        <v>307.42891299999997</v>
      </c>
      <c r="AB53" s="3">
        <f>0+(865.3-549.8)+(0+(0.882606-0.560796))+0-0-0</f>
        <v>315.82181000000003</v>
      </c>
      <c r="AC53" s="3">
        <f>0+(856.3-548.4)+(0+(-0.873426--0.559368))+0-0-0</f>
        <v>307.58594199999999</v>
      </c>
      <c r="AD53" s="2">
        <v>327.29999999999995</v>
      </c>
      <c r="AE53" s="3">
        <f>0+(801.3-474)+(0+(0-0))+0-0-0</f>
        <v>327.29999999999995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0+(801.2-513)+(0+(-0.408612--0.26163))+0-0-0</f>
        <v>288.05301800000007</v>
      </c>
      <c r="G54" s="3">
        <f>0+(607.3-327.8)+(0+(-1.548615--0.83589))+0-0-0</f>
        <v>278.78727499999997</v>
      </c>
      <c r="H54" s="3">
        <f>0+(529.9-261.4)+(0+(0-0))+0-0-0</f>
        <v>268.5</v>
      </c>
      <c r="I54" s="3">
        <f>0+(518.4-256.1)+(0+(-0.793152--0.391833))+0-0-0</f>
        <v>261.89868099999995</v>
      </c>
      <c r="J54" s="3">
        <f>0+(549.7-283.3)+(0+(0.841041-0.433449))+0-0-0</f>
        <v>266.80759200000006</v>
      </c>
      <c r="K54" s="3">
        <f>0+(553.7-292.1)+(0+(-0.564774--0.297942))+0-0-0</f>
        <v>261.333168</v>
      </c>
      <c r="L54" s="3">
        <f>0+(515.7-255.9)+(0+(-0.789021--0.391527))+0-0-0</f>
        <v>259.40250600000007</v>
      </c>
      <c r="M54" s="3">
        <f>0+(571-280.5)+(0+(0.29121-0.143055))+0-0-0</f>
        <v>290.64815499999997</v>
      </c>
      <c r="N54" s="3">
        <f>0+(666.1-341.6)+(0+(1.358844-0.696864))+0-0-0</f>
        <v>325.16198000000003</v>
      </c>
      <c r="O54" s="3">
        <f>0+(729.8-381)+(0+(-0.372198--0.19431))+0-0-0</f>
        <v>348.62211199999996</v>
      </c>
      <c r="P54" s="3">
        <f>0+(758.4-414.7)+(0+(0-0))+0-0-0</f>
        <v>343.7</v>
      </c>
      <c r="Q54" s="3">
        <f>0+(798.7-438.5)+(0+(-0.814674--0.44727))+0-0-0</f>
        <v>359.83259600000002</v>
      </c>
      <c r="R54" s="3">
        <f>0+(839.6-475.9)+(0+(-0.428196--0.242709))+0-0-0</f>
        <v>363.51451300000002</v>
      </c>
      <c r="S54" s="3">
        <f>0+(807.9-470.5)+(0+(-0.824058--0.47991))+0-0-0</f>
        <v>337.05585199999996</v>
      </c>
      <c r="T54" s="3">
        <f>0+(821.8-486.6)+(0+(-0.419118--0.248166))+0-0-0</f>
        <v>335.02904799999993</v>
      </c>
      <c r="U54" s="3">
        <f>0+(818.7-487.6)+(0+(-1.252611--0.746028))+0-0-0</f>
        <v>330.59341700000004</v>
      </c>
      <c r="V54" s="3">
        <f>0+(872.9-540.3)+(0+(0-0))+0-0-0</f>
        <v>332.6</v>
      </c>
      <c r="W54" s="3">
        <f>0+(868-539)+(0+(-1.32804--0.82467))+0-0-0</f>
        <v>328.49662999999998</v>
      </c>
      <c r="X54" s="3">
        <f>0+(847.8-518.7)+(0+(-2.16189--1.322685))+0-0-0</f>
        <v>328.26079499999992</v>
      </c>
      <c r="Y54" s="3">
        <f>0+(677.9-357.7)+(0+(-1.037187--0.547281))+0-0-0</f>
        <v>319.71009399999997</v>
      </c>
      <c r="Z54" s="3">
        <f>0+(689.9-347.9)+(0+(-0.351849--0.177429))+0-0-0</f>
        <v>341.82558</v>
      </c>
      <c r="AA54" s="3">
        <f>0+(728.4-390.3)+(0+(-1.485936--0.796212))+0-0-0</f>
        <v>337.41027599999995</v>
      </c>
      <c r="AB54" s="3">
        <f>0+(851.2-521.3)+(0+(-0.434112--0.265863))+0-0-0</f>
        <v>329.73175100000009</v>
      </c>
      <c r="AC54" s="3">
        <f>0+(907.5-588.4)+(0+(0.462825-0.300084))+0-0-0</f>
        <v>319.26274100000001</v>
      </c>
      <c r="AD54" s="2">
        <v>336.2</v>
      </c>
      <c r="AE54" s="3">
        <f>0+(708.5-372.3)+(0+(0-0))+0-0-0</f>
        <v>336.2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0+(835.1-521.8)+(0+(-0.851802--0.532236))+0-0-0</f>
        <v>312.98043400000006</v>
      </c>
      <c r="G55" s="3">
        <f>0+(627.1-324.5)+(0+(-1.599105--0.827475))+0-0-0</f>
        <v>301.82837000000001</v>
      </c>
      <c r="H55" s="3">
        <f>0+(490-196.2)+(0+(-0.7497--0.300186))+0-0-0</f>
        <v>293.35048599999999</v>
      </c>
      <c r="I55" s="3">
        <f>0+(475.3-185.9)+(0+(-0.484806--0.189618))+0-0-0</f>
        <v>289.10481199999998</v>
      </c>
      <c r="J55" s="3">
        <f>0+(485.1-193.7)+(0+(-0.494802--0.197574))+0-0-0</f>
        <v>291.10277200000002</v>
      </c>
      <c r="K55" s="3">
        <f>0+(488.4-199.5)+(0+(-1.24542--0.508725))+0-0-0</f>
        <v>288.16330499999998</v>
      </c>
      <c r="L55" s="3">
        <f>0+(476-188.6)+(0+(-0.97104--0.384744))+0-0-0</f>
        <v>286.81370399999997</v>
      </c>
      <c r="M55" s="3">
        <f>0+(599.9-291.1)+(0+(0.917847-0.445383))+0-0-0</f>
        <v>309.27246399999996</v>
      </c>
      <c r="N55" s="3">
        <f>0+(733.4-386.3)+(0+(0.748068-0.394026))+0-0-0</f>
        <v>347.45404199999996</v>
      </c>
      <c r="O55" s="3">
        <f>0+(797.3-435.9)+(0+(0-0))+0-0-0</f>
        <v>361.4</v>
      </c>
      <c r="P55" s="3">
        <f>0+(805.8-429.4)+(0+(0-0))+0-0-0</f>
        <v>376.4</v>
      </c>
      <c r="Q55" s="3">
        <f>0+(788-402)+(0+(0-0))+0-0-0</f>
        <v>386</v>
      </c>
      <c r="R55" s="3">
        <f>0+(740.3-368.2)+(0+(-0.377553--0.187782))+0-0-0</f>
        <v>371.91022899999996</v>
      </c>
      <c r="S55" s="3">
        <f>0+(789.9-446.2)+(0+(-0.805698--0.455124))+0-0-0</f>
        <v>343.34942599999999</v>
      </c>
      <c r="T55" s="3">
        <f>0+(883.1-530.9)+(0+(0-0))+0-0-0</f>
        <v>352.20000000000005</v>
      </c>
      <c r="U55" s="3">
        <f>0+(882.8-534.1)+(0+(-1.800912--1.089564))+0-0-0</f>
        <v>347.98865199999995</v>
      </c>
      <c r="V55" s="3">
        <f>0+(912.8-576.3)+(0+(-2.32764--1.469565))+0-0-0</f>
        <v>335.64192500000001</v>
      </c>
      <c r="W55" s="3">
        <f>0+(906.6-569.2)+(0+(-3.236562--2.032044))+0-0-0</f>
        <v>336.19548199999997</v>
      </c>
      <c r="X55" s="3">
        <f>0+(840.6-498.6)+(0+(-3.000942--1.780002))+0-0-0</f>
        <v>340.77906000000002</v>
      </c>
      <c r="Y55" s="3">
        <f>0+(739-400.8)+(0+(-0.37689--0.204408))+0-0-0</f>
        <v>338.02751799999999</v>
      </c>
      <c r="Z55" s="3">
        <f>0+(690.8-340.6)+(0+(0.352308-0.173706))+0-0-0</f>
        <v>350.37860199999994</v>
      </c>
      <c r="AA55" s="3">
        <f>0+(700.6-357.2)+(0+(-2.143836--1.093032))+0-0-0</f>
        <v>342.34919600000001</v>
      </c>
      <c r="AB55" s="3">
        <f>0+(689.2-355)+(0+(-1.75746--0.90525))+0-0-0</f>
        <v>333.34779000000003</v>
      </c>
      <c r="AC55" s="3">
        <f>0+(681.6-361.4)+(0+(-1.73808--0.92157))+0-0-0</f>
        <v>319.38349000000005</v>
      </c>
      <c r="AD55" s="2">
        <v>359.09999999999997</v>
      </c>
      <c r="AE55" s="3">
        <f>0+(720.3-361.2)+(0+(0-0))+0-0-0</f>
        <v>359.09999999999997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0+(550.2-243.6)+(0+(-0.561204--0.248472))+0-0-0</f>
        <v>306.28726800000004</v>
      </c>
      <c r="G56" s="3">
        <f>0+(490.4-191.7)+(0+(-0.250104--0.097767))+0-0-0</f>
        <v>298.547663</v>
      </c>
      <c r="H56" s="3">
        <f>0+(449.8-151.6)+(0+(-0.917592--0.309264))+0-0-0</f>
        <v>297.59167200000007</v>
      </c>
      <c r="I56" s="3">
        <f>0+(401.8-112.7)+(0+(-0.614754--0.172431))+0-0-0</f>
        <v>288.65767700000004</v>
      </c>
      <c r="J56" s="3">
        <f>0+(480.3-188.2)+(0+(0-0))+0-0-0</f>
        <v>292.10000000000002</v>
      </c>
      <c r="K56" s="3">
        <f>0+(486.6-195.5)+(0+(-0.992664--0.39882))+0-0-0</f>
        <v>290.50615600000003</v>
      </c>
      <c r="L56" s="3">
        <f>0+(499.2-212.9)+(0+(-0.254592--0.108579))+0-0-0</f>
        <v>286.15398699999997</v>
      </c>
      <c r="M56" s="3">
        <f>0+(576.8-291.7)+(0+(-0.294168--0.148767))+0-0-0</f>
        <v>284.95459899999997</v>
      </c>
      <c r="N56" s="3">
        <f>0+(691.9-293.9)+(0+(0.352869-0.149889))+0-0-0</f>
        <v>398.20298000000003</v>
      </c>
      <c r="O56" s="3">
        <f>0+(761.6-381.4)+(0+(0.388416-0.194514))+0-0-0</f>
        <v>380.39390200000003</v>
      </c>
      <c r="P56" s="3">
        <f>0+(771.9-422)+(0+(-0.787338--0.43044))+0-0-0</f>
        <v>349.54310199999998</v>
      </c>
      <c r="Q56" s="3">
        <f>0+(770.6-388.2)+(0+(0-0))+0-0-0</f>
        <v>382.40000000000003</v>
      </c>
      <c r="R56" s="3">
        <f>0+(745.6-389.1)+(0+(0-0))+0-0-0</f>
        <v>356.5</v>
      </c>
      <c r="S56" s="3">
        <f>0+(732.5-379.6)+(0+(-1.120725--0.580788))+0-0-0</f>
        <v>352.36006299999997</v>
      </c>
      <c r="T56" s="3">
        <f>0+(799.3-443.1)+(0+(-2.038215--1.129905))+0-0-0</f>
        <v>355.2916899999999</v>
      </c>
      <c r="U56" s="3">
        <f>0+(819.6-471.5)+(0+(-2.08998--1.202325))+0-0-0</f>
        <v>347.21234500000003</v>
      </c>
      <c r="V56" s="3">
        <f>50+(793-495)+(-0.102+(-1.61772--1.0098))+0-0-0</f>
        <v>347.29007999999999</v>
      </c>
      <c r="W56" s="3">
        <f>127+(742.4-495)+(-0.12954+(-0.757248--0.5049))+0-0-0</f>
        <v>374.01811199999997</v>
      </c>
      <c r="X56" s="3">
        <f>95.3+(750.3-508.5)+(-0.243015+(-1.913265--1.296675))+0-0-0</f>
        <v>336.24039499999998</v>
      </c>
      <c r="Y56" s="3">
        <f>115.3+(712.8-490.1)+(0.058803+(0.363528-0.249951))+0-0-0</f>
        <v>338.17237999999992</v>
      </c>
      <c r="Z56" s="3">
        <f>115.1+(771.2-525.8)+(0+(0-0))+0-0-0</f>
        <v>360.50000000000011</v>
      </c>
      <c r="AA56" s="3">
        <f>114+(697.8-453.7)+(-0.34884+(-2.135268--1.388322))+0-0-0</f>
        <v>357.00421399999999</v>
      </c>
      <c r="AB56" s="3">
        <f>114.5+(748.5-514.8)+(-0.175185+(-1.145205--0.787644))+0-0-0</f>
        <v>347.66725400000007</v>
      </c>
      <c r="AC56" s="3">
        <f>18.1+(692.4-378.7)+(-0.027693+(-1.059372--0.579411))+0-0-0</f>
        <v>331.29234600000001</v>
      </c>
      <c r="AD56" s="2">
        <v>353.09999999999997</v>
      </c>
      <c r="AE56" s="3">
        <f>115+(669.4-431.3)+(0+(0-0))+0-0-0</f>
        <v>353.09999999999997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0+(688.9-372)+(0+(-0.702678--0.37944))+0-0-0</f>
        <v>316.57676199999997</v>
      </c>
      <c r="G57" s="3">
        <f>0+(522.4-212.7)+(0+(-0.799272--0.325431))+0-0-0</f>
        <v>309.226159</v>
      </c>
      <c r="H57" s="3">
        <f>0+(493.8-191.9)+(0+(-0.251838--0.097869))+0-0-0</f>
        <v>301.74603099999996</v>
      </c>
      <c r="I57" s="3">
        <f>0+(513.7-212.2)+(0+(0.261987-0.108222))+0-0-0</f>
        <v>301.65376500000008</v>
      </c>
      <c r="J57" s="3">
        <f>0+(517.3-220.2)+(0+(0-0))+0-0-0</f>
        <v>297.09999999999997</v>
      </c>
      <c r="K57" s="3">
        <f>0+(537.1-247)+(0+(-0.821763--0.37791))+0-0-0</f>
        <v>289.65614700000003</v>
      </c>
      <c r="L57" s="3">
        <f>0+(556.2-268.5)+(0+(0-0))+0-0-0</f>
        <v>287.70000000000005</v>
      </c>
      <c r="M57" s="3">
        <f>0+(626.2-295.8)+(0+(0-0))+0-0-0</f>
        <v>330.40000000000003</v>
      </c>
      <c r="N57" s="3">
        <f>0+(705.8-323.5)+(0+(-0.719916--0.32997))+0-0-0</f>
        <v>381.91005399999995</v>
      </c>
      <c r="O57" s="3">
        <f>14+(752.9-424.6)+(-0.00714+(-0.383979--0.216546))+0-0-0</f>
        <v>342.12542699999995</v>
      </c>
      <c r="P57" s="3">
        <f>76.4+(713.8-431.2)+(0.19482+(1.82019-1.09956))+0-0-0</f>
        <v>359.91545000000002</v>
      </c>
      <c r="Q57" s="3">
        <f>115.1+(678-424.2)+(0.058701+(0.34578-0.216342))+0-0-0</f>
        <v>369.08813899999996</v>
      </c>
      <c r="R57" s="3">
        <f>115.3+(673.5-409)+(0.117606+(0.68697-0.41718))+0-0-0</f>
        <v>380.18739600000004</v>
      </c>
      <c r="S57" s="3">
        <f>114.9+(699.5-456.2)+(0+(0-0))+0-0-0</f>
        <v>358.20000000000005</v>
      </c>
      <c r="T57" s="3">
        <f>115.2+(751.4-510.5)+(0.117504+(0.766428-0.52071))+0-0-0</f>
        <v>356.46322199999997</v>
      </c>
      <c r="U57" s="3">
        <f>115.1+(768.7-538.9)+(0+(0-0))+0-0-0</f>
        <v>344.90000000000009</v>
      </c>
      <c r="V57" s="3">
        <f>113.9+(711-477.9)+(-0.290445+(-1.81305--1.218645))+0-0-0</f>
        <v>346.11514999999997</v>
      </c>
      <c r="W57" s="3">
        <f>114.5+(681.7-449)+(-0.175185+(-1.043001--0.68697))+0-0-0</f>
        <v>346.66878400000007</v>
      </c>
      <c r="X57" s="3">
        <f>97.1+(652.1-420.8)+(-0.346647+(-2.327997--1.502256))+0-0-0</f>
        <v>327.22761199999997</v>
      </c>
      <c r="Y57" s="3">
        <f>50+(600.8-327.3)+(-0.0255+(-0.306408--0.166923))+0-0-0</f>
        <v>323.33501499999994</v>
      </c>
      <c r="Z57" s="3">
        <f>101.4+(616.1-366.3)+(-0.103428+(-0.628422--0.373626))+0-0-0</f>
        <v>350.84177600000004</v>
      </c>
      <c r="AA57" s="3">
        <f>114.7+(589.1-359.2)+(-0.233988+(-1.201764--0.732768))+0-0-0</f>
        <v>343.89701600000001</v>
      </c>
      <c r="AB57" s="3">
        <f>114+(669.8-440.5)+(-0.34884+(-2.049588--1.34793))+0-0-0</f>
        <v>342.24950199999995</v>
      </c>
      <c r="AC57" s="3">
        <f>16.9+(731.9-413.7)+(-0.034476+(-1.493076--0.843948))+0-0-0</f>
        <v>334.41639599999996</v>
      </c>
      <c r="AD57" s="2">
        <v>341.69999999999993</v>
      </c>
      <c r="AE57" s="3">
        <f>114+(601.3-373.6)+(0+(0-0))+0-0-0</f>
        <v>341.69999999999993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0+(582.5-271)+(0+(-0.297075--0.13821))+0-0-0</f>
        <v>311.34113500000001</v>
      </c>
      <c r="G58" s="3">
        <f>0+(508.8-207.3)+(0+(-1.29744--0.528615))+0-0-0</f>
        <v>300.73117500000001</v>
      </c>
      <c r="H58" s="3">
        <f>0+(541.1-242.4)+(0+(-1.103844--0.494496))+0-0-0</f>
        <v>298.09065200000003</v>
      </c>
      <c r="I58" s="3">
        <f>0+(495.4-204.9)+(0+(-0.757962--0.313497))+0-0-0</f>
        <v>290.05553500000002</v>
      </c>
      <c r="J58" s="3">
        <f>0+(510.2-212.9)+(0+(-1.30101--0.542895))+0-0-0</f>
        <v>296.54188499999998</v>
      </c>
      <c r="K58" s="3">
        <f>0+(512.8-221.8)+(0+(-1.30764--0.56559))+0-0-0</f>
        <v>290.25794999999994</v>
      </c>
      <c r="L58" s="3">
        <f>0+(515.6-227.2)+(0+(0.262956-0.115872))+0-0-0</f>
        <v>288.54708400000004</v>
      </c>
      <c r="M58" s="3">
        <f>0+(558.7-239.5)+(0+(0.854811-0.366435))+0-0-0</f>
        <v>319.68837600000006</v>
      </c>
      <c r="N58" s="3">
        <f>0+(577.4-230.6)+(0+(0.588948-0.235212))+0-0-0</f>
        <v>347.15373599999998</v>
      </c>
      <c r="O58" s="3">
        <f>0+(700.4-335)+(0+(-1.071612--0.51255))+0-0-0</f>
        <v>364.84093799999999</v>
      </c>
      <c r="P58" s="3">
        <f>0+(695.3-319.8)+(0+(-1.063809--0.489294))+0-0-0</f>
        <v>374.92548499999992</v>
      </c>
      <c r="Q58" s="3">
        <f>0+(728.5-347)+(0+(-1.114605--0.53091))+0-0-0</f>
        <v>380.91630500000002</v>
      </c>
      <c r="R58" s="3">
        <f>0+(698.9-331.5)+(0+(0-0))+0-0-0</f>
        <v>367.4</v>
      </c>
      <c r="S58" s="3">
        <f>0+(706-374.5)+(0+(0.72012-0.38199))+0-0-0</f>
        <v>331.83812999999998</v>
      </c>
      <c r="T58" s="3">
        <f>30.8+(696.8-384.1)+(-0.047124+(-1.066104--0.587673))+0-0-0</f>
        <v>342.97444499999995</v>
      </c>
      <c r="U58" s="3">
        <f>117.5+(678.9-451.7)+(0.11985+(0.692478-0.460734))+0-0-0</f>
        <v>345.05159399999997</v>
      </c>
      <c r="V58" s="3">
        <f>114.8+(710.6-480)+(-0.058548+(-0.362406--0.2448))+0-0-0</f>
        <v>345.22384600000004</v>
      </c>
      <c r="W58" s="3">
        <f>113.5+(646.7-416.7)+(-0.289425+(-1.649085--1.062585))+0-0-0</f>
        <v>342.62407500000006</v>
      </c>
      <c r="X58" s="3">
        <f>113.6+(585.6-372)+(-0.28968+(-1.49328--0.9486))+0-0-0</f>
        <v>326.36564000000004</v>
      </c>
      <c r="Y58" s="3">
        <f>114.8+(547.6-339)+(-0.117096+(-0.558552--0.34578))+0-0-0</f>
        <v>323.07013200000006</v>
      </c>
      <c r="Z58" s="3">
        <f>115.1+(616.3-380.9)+(0+(0-0))+0-0-0</f>
        <v>350.5</v>
      </c>
      <c r="AA58" s="3">
        <f>98.7+(690.6-437.5)+(-0.251685+(-1.76103--1.115625))+0-0-0</f>
        <v>350.90291000000002</v>
      </c>
      <c r="AB58" s="3">
        <f>0+(775.4-438.7)+(0+(-1.97727--1.118685))+0-0-0</f>
        <v>335.84141499999998</v>
      </c>
      <c r="AC58" s="3">
        <f>0+(724.9-403.1)+(0+(-0.369699--0.205581))+0-0-0</f>
        <v>321.63588199999998</v>
      </c>
      <c r="AD58" s="2">
        <v>355.50000000000006</v>
      </c>
      <c r="AE58" s="3">
        <f>114+(686.2-444.7)+(0+(0-0))+0-0-0</f>
        <v>355.50000000000006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0+(650-339.7)+(0+(-2.3205--1.212729))+0-0-0</f>
        <v>309.192229</v>
      </c>
      <c r="G59" s="3">
        <f>0+(439.6-143)+(0+(-0.224196--0.07293))+0-0-0</f>
        <v>296.448734</v>
      </c>
      <c r="H59" s="3">
        <f>0+(395.9-108.5)+(0+(0-0))+0-0-0</f>
        <v>287.39999999999998</v>
      </c>
      <c r="I59" s="3">
        <f>0+(409.4-125.5)+(0+(-0.626382--0.192015))+0-0-0</f>
        <v>283.46563299999997</v>
      </c>
      <c r="J59" s="3">
        <f>0+(413.8-130.2)+(0+(-1.05519--0.33201))+0-0-0</f>
        <v>282.87682000000001</v>
      </c>
      <c r="K59" s="3">
        <f>0+(436.2-159)+(0+(-0.889848--0.32436))+0-0-0</f>
        <v>276.63451199999997</v>
      </c>
      <c r="L59" s="3">
        <f>0+(432.5-158.9)+(0+(-0.661725--0.243117))+0-0-0</f>
        <v>273.18139200000002</v>
      </c>
      <c r="M59" s="3">
        <f>0+(568.1-258.6)+(0+(0-0))+0-0-0</f>
        <v>309.5</v>
      </c>
      <c r="N59" s="3">
        <f>3.7+(644.4-312.2)+(0.001887+(0.328644-0.159222))+0-0-0</f>
        <v>336.07130899999999</v>
      </c>
      <c r="O59" s="3">
        <f>120.6+(590.4-368.1)+(-0.061506+(-0.301104--0.187731))+0-0-0</f>
        <v>342.725121</v>
      </c>
      <c r="P59" s="3">
        <f>128.1+(643-415.5)+(0+(0-0))+0-0-0</f>
        <v>355.6</v>
      </c>
      <c r="Q59" s="3">
        <f>127+(658.1-422.3)+(-0.06477+(-0.335631--0.215373))+0-0-0</f>
        <v>362.61497200000002</v>
      </c>
      <c r="R59" s="3">
        <f>125.9+(646.7-405.8)+(0.128418+(0.659634-0.413916))+0-0-0</f>
        <v>367.17413600000009</v>
      </c>
      <c r="S59" s="3">
        <f>125+(618.8-406)+(-0.19125+(-0.946764--0.62118))+0-0-0</f>
        <v>337.28316599999994</v>
      </c>
      <c r="T59" s="3">
        <f>123.7+(648.1-440.6)+(0.063087+(0.330531-0.224706))+0-0-0</f>
        <v>331.36891199999997</v>
      </c>
      <c r="U59" s="3">
        <f>117.4+(655.7-444)+(-0.359244+(-2.006442--1.35864))+0-0-0</f>
        <v>328.09295400000002</v>
      </c>
      <c r="V59" s="3">
        <f>69.6+(706.9-453.5)+(-0.141984+(-1.442076--0.92514))+0-0-0</f>
        <v>322.34107999999998</v>
      </c>
      <c r="W59" s="3">
        <f>69.2+(681.7-426.8)+(-0.17646+(-1.738335--1.08834))+0-0-0</f>
        <v>323.27354500000001</v>
      </c>
      <c r="X59" s="3">
        <f>59.4+(583.5-324.4)+(-0.181764+(-1.78551--0.992664))+0-0-0</f>
        <v>317.52539000000002</v>
      </c>
      <c r="Y59" s="3">
        <f>0+(616.1-300.2)+(0+(0.628422-0.306204))+0-0-0</f>
        <v>316.22221800000005</v>
      </c>
      <c r="Z59" s="3">
        <f>0+(691.2-349.5)+(0+(-0.352512--0.178245))+0-0-0</f>
        <v>341.52573300000006</v>
      </c>
      <c r="AA59" s="3">
        <f>0+(703.1-374)+(0+(-1.792905--0.9537))+0-0-0</f>
        <v>328.26079500000003</v>
      </c>
      <c r="AB59" s="3">
        <f>0+(664.9-338.2)+(0+(-1.017297--0.517446))+0-0-0</f>
        <v>326.20014900000001</v>
      </c>
      <c r="AC59" s="3">
        <f>0+(597.5-281.9)+(0+(-0.60945--0.287538))+0-0-0</f>
        <v>315.27808800000003</v>
      </c>
      <c r="AD59" s="2">
        <v>341.29999999999995</v>
      </c>
      <c r="AE59" s="3">
        <f>0+(685.3-344)+(0+(0-0))+0-0-0</f>
        <v>341.29999999999995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0+(536.6-231.5)+(0+(-0.547332--0.23613))+0-0-0</f>
        <v>304.78879800000004</v>
      </c>
      <c r="G60" s="3">
        <f>0+(431.6-137.6)+(0+(0.440232-0.140352))+0-0-0</f>
        <v>294.29987999999997</v>
      </c>
      <c r="H60" s="3">
        <f>0+(451.3-161.9)+(0+(-0.230163--0.082569))+0-0-0</f>
        <v>289.25240599999995</v>
      </c>
      <c r="I60" s="3">
        <f>0+(479.8-194.9)+(0+(0-0))+0-0-0</f>
        <v>284.89999999999998</v>
      </c>
      <c r="J60" s="3">
        <f>0+(485.3-204.5)+(0+(0-0))+0-0-0</f>
        <v>280.8</v>
      </c>
      <c r="K60" s="3">
        <f>0+(488.5-217.5)+(0+(-0.747405--0.332775))+0-0-0</f>
        <v>270.58537000000001</v>
      </c>
      <c r="L60" s="3">
        <f>0+(477.7-217.7)+(0+(-0.730881--0.333081))+0-0-0</f>
        <v>259.60219999999998</v>
      </c>
      <c r="M60" s="3">
        <f>0+(430.4-175.6)+(0+(-0.658512--0.268668))+0-0-0</f>
        <v>254.41015599999997</v>
      </c>
      <c r="N60" s="3">
        <f>0+(495.8-226)+(0+(0-0))+0-0-0</f>
        <v>269.8</v>
      </c>
      <c r="O60" s="3">
        <f>0+(589.4-303.9)+(0+(-0.300594--0.154989))+0-0-0</f>
        <v>285.35439500000001</v>
      </c>
      <c r="P60" s="3">
        <f>0+(650.7-358.5)+(0+(0.663714-0.36567))+0-0-0</f>
        <v>292.49804400000005</v>
      </c>
      <c r="Q60" s="3">
        <f>0+(669.4-373.5)+(0+(1.024182-0.571455))+0-0-0</f>
        <v>296.35272699999996</v>
      </c>
      <c r="R60" s="3">
        <f>0+(692.6-386.8)+(0+(0-0))+0-0-0</f>
        <v>305.8</v>
      </c>
      <c r="S60" s="3">
        <f>0+(703.4-399.3)+(0+(-0.358734--0.203643))+0-0-0</f>
        <v>303.94490899999994</v>
      </c>
      <c r="T60" s="3">
        <f>0+(687.8-396.6)+(0+(-0.701556--0.404532))+0-0-0</f>
        <v>290.90297599999991</v>
      </c>
      <c r="U60" s="3">
        <f>0+(700.4-413.4)+(0+(-0.714408--0.421668))+0-0-0</f>
        <v>286.70726000000002</v>
      </c>
      <c r="V60" s="3">
        <f>0+(712.2-431.1)+(0+(-1.452888--0.879444))+0-0-0</f>
        <v>280.52655600000003</v>
      </c>
      <c r="W60" s="3">
        <f>0+(663.8-389.3)+(0+(-1.354152--0.794172))+0-0-0</f>
        <v>273.94001999999995</v>
      </c>
      <c r="X60" s="3">
        <f>0+(634.8-355)+(0+(-0.971244--0.54315))+0-0-0</f>
        <v>279.37190599999997</v>
      </c>
      <c r="Y60" s="3">
        <f>0+(566.3-282.9)+(0+(-0.288813--0.144279))+0-0-0</f>
        <v>283.25546599999996</v>
      </c>
      <c r="Z60" s="3">
        <f>0+(577-269.6)+(0+(0-0))+0-0-0</f>
        <v>307.39999999999998</v>
      </c>
      <c r="AA60" s="3">
        <f>0+(612.5-301.5)+(0+(-0.937125--0.461295))+0-0-0</f>
        <v>310.52417000000003</v>
      </c>
      <c r="AB60" s="3">
        <f>0+(674.3-367.7)+(0+(-1.375572--0.750108))+0-0-0</f>
        <v>305.97453599999994</v>
      </c>
      <c r="AC60" s="3">
        <f>0+(679.4-375.9)+(0+(-1.385976--0.766836))+0-0-0</f>
        <v>302.88085999999998</v>
      </c>
      <c r="AD60" s="2">
        <v>314.30000000000007</v>
      </c>
      <c r="AE60" s="3">
        <f>0+(587.2-272.9)+(0+(0-0))+0-0-0</f>
        <v>314.30000000000007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0+(618.8-327.4)+(0+(-0.315588--0.166974))+0-0-0</f>
        <v>291.25138599999997</v>
      </c>
      <c r="G61" s="3">
        <f>0+(525.3-245.9)+(0+(-1.339515--0.627045))+0-0-0</f>
        <v>278.68752999999998</v>
      </c>
      <c r="H61" s="3">
        <f>0+(492-216.9)+(0+(-1.00368--0.442476))+0-0-0</f>
        <v>274.53879600000005</v>
      </c>
      <c r="I61" s="3">
        <f>0+(477.2-209.2)+(0+(-0.973488--0.426768))+0-0-0</f>
        <v>267.45328000000001</v>
      </c>
      <c r="J61" s="3">
        <f>0+(378.8-117.1)+(0+(0.193188-0.059721))+0-0-0</f>
        <v>261.83346700000004</v>
      </c>
      <c r="K61" s="3">
        <f>0+(396.9-136.7)+(0+(-0.809676--0.278868))+0-0-0</f>
        <v>259.66919200000001</v>
      </c>
      <c r="L61" s="3">
        <f>0+(437.5-171)+(0+(-0.223125--0.08721))+0-0-0</f>
        <v>266.36408499999999</v>
      </c>
      <c r="M61" s="3">
        <f>35.8+(453.6-189)+(0.036516+(0.462672-0.19278))+0-0-0</f>
        <v>300.70640800000001</v>
      </c>
      <c r="N61" s="3">
        <f>50+(674.3-376.3)+(0+(0-0))+0-0-0</f>
        <v>347.99999999999994</v>
      </c>
      <c r="O61" s="3">
        <f>49.9+(788.4-477.9)+(0.050898+(0.804168-0.487458))+0-0-0</f>
        <v>360.767608</v>
      </c>
      <c r="P61" s="3">
        <f>50+(788.6-474)+(0+(0-0))+0-0-0</f>
        <v>364.6</v>
      </c>
      <c r="Q61" s="3">
        <f>85.1+(732.2-445.7)+(0+(0-0))+0-0-0</f>
        <v>371.6</v>
      </c>
      <c r="R61" s="3">
        <f>111.2+(743.2-473.2)+(-0.056712+(-0.379032--0.241332))+0-0-0</f>
        <v>381.00558800000005</v>
      </c>
      <c r="S61" s="3">
        <f>109+(717.2-478.9)+(-0.22236+(-1.463088--0.976956))+0-0-0</f>
        <v>346.59150800000009</v>
      </c>
      <c r="T61" s="3">
        <f>109.9+(726.6-485.9)+(0+(0-0))+0-0-0</f>
        <v>350.6</v>
      </c>
      <c r="U61" s="3">
        <f>109.3+(740.4-503.6)+(-0.222972+(-1.510416--1.027344))+0-0-0</f>
        <v>345.39395599999995</v>
      </c>
      <c r="V61" s="3">
        <f>109.2+(753.6-513)+(-0.27846+(-1.92168--1.30815))+0-0-0</f>
        <v>348.90800999999999</v>
      </c>
      <c r="W61" s="3">
        <f>109.4+(767.8-529.9)+(-0.167382+(-1.174734--0.810747))+0-0-0</f>
        <v>346.76863099999997</v>
      </c>
      <c r="X61" s="3">
        <f>93.2+(729-480.3)+(-0.332724+(-2.60253--1.714671))+0-0-0</f>
        <v>340.679417</v>
      </c>
      <c r="Y61" s="3">
        <f>49.9+(670.7-381.8)+(-0.127245+(-1.710285--0.97359))+0-0-0</f>
        <v>337.93606</v>
      </c>
      <c r="Z61" s="3">
        <f>73.3+(659.7-381.3)+(-0.037383+(-0.336447--0.194463))+0-0-0</f>
        <v>351.52063300000003</v>
      </c>
      <c r="AA61" s="3">
        <f>114.4+(646-409.6)+(-0.29172+(-1.6473--1.04448))+0-0-0</f>
        <v>349.90545999999995</v>
      </c>
      <c r="AB61" s="3">
        <f>23.1+(728.3-402.1)+(-0.047124+(-1.485732--0.820284))+0-0-0</f>
        <v>348.58742799999993</v>
      </c>
      <c r="AC61" s="3">
        <f>0+(705.3-370.8)+(0+(-1.438812--0.756432))+0-0-0</f>
        <v>333.81761999999992</v>
      </c>
      <c r="AD61" s="2">
        <v>352.69999999999993</v>
      </c>
      <c r="AE61" s="3">
        <f>115+(643.8-406.1)+(0+(0-0))+0-0-0</f>
        <v>352.69999999999993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0+(674.2-352.7)+(0+(-1.71921--0.899385))+0-0-0</f>
        <v>320.68017500000008</v>
      </c>
      <c r="G62" s="3">
        <f>0+(549.7-241.4)+(0+(-1.401735--0.61557))+0-0-0</f>
        <v>307.51383500000009</v>
      </c>
      <c r="H62" s="3">
        <f>0+(539.4-239.5)+(0+(-0.825282--0.366435))+0-0-0</f>
        <v>299.44115299999999</v>
      </c>
      <c r="I62" s="3">
        <f>0+(536-237.9)+(0+(-0.27336--0.121329))+0-0-0</f>
        <v>297.947969</v>
      </c>
      <c r="J62" s="3">
        <f>0+(547.6-254.1)+(0+(-0.837828--0.388773))+0-0-0</f>
        <v>293.05094500000001</v>
      </c>
      <c r="K62" s="3">
        <f>0+(596.7-311.8)+(0+(-1.521585--0.79509))+0-0-0</f>
        <v>284.17350500000003</v>
      </c>
      <c r="L62" s="3">
        <f>0+(627.4-344.2)+(0+(-0.319974--0.175542))+0-0-0</f>
        <v>283.05556799999999</v>
      </c>
      <c r="M62" s="3">
        <f>0+(712.5-401.9)+(0+(-0.72675--0.409938))+0-0-0</f>
        <v>310.283188</v>
      </c>
      <c r="N62" s="3">
        <f>38.9+(771.8-462.9)+(0.019839+(0.393618-0.236079))+0-0-0</f>
        <v>347.97737799999993</v>
      </c>
      <c r="O62" s="3">
        <f>112+(735.7-476.9)+(-0.11424+(-0.750414--0.486438))+0-0-0</f>
        <v>370.42178400000006</v>
      </c>
      <c r="P62" s="3">
        <f>110.4+(766.3-495)+(0.168912+(1.172439-0.75735))+0-0-0</f>
        <v>382.28400099999993</v>
      </c>
      <c r="Q62" s="3">
        <f>110.2+(783.5-510)+(0.168606+(1.198755-0.7803))+0-0-0</f>
        <v>384.28706099999999</v>
      </c>
      <c r="R62" s="3">
        <f>110.2+(765.7-498.4)+(0+(0-0))+0-0-0</f>
        <v>377.50000000000006</v>
      </c>
      <c r="S62" s="3">
        <f>109.8+(716.2-472.9)+(0+(0-0))+0-0-0</f>
        <v>353.10000000000008</v>
      </c>
      <c r="T62" s="3">
        <f>109.1+(707.5-458.8)+(-0.166923+(-1.082475--0.701964))+0-0-0</f>
        <v>357.25256599999994</v>
      </c>
      <c r="U62" s="3">
        <f>109.1+(735.3-492)+(-0.222564+(-1.500012--1.00368))+0-0-0</f>
        <v>351.681104</v>
      </c>
      <c r="V62" s="3">
        <f>109.2+(743.4-502.6)+(-0.27846+(-1.89567--1.28163))+0-0-0</f>
        <v>349.10749999999996</v>
      </c>
      <c r="W62" s="3">
        <f>109.9+(768.5-533)+(-0.056049+(-0.391935--0.27183))+0-0-0</f>
        <v>345.22384599999998</v>
      </c>
      <c r="X62" s="3">
        <f>109.5+(665-440.4)+(-0.22338+(-1.3566--0.898416))+0-0-0</f>
        <v>333.41843600000004</v>
      </c>
      <c r="Y62" s="3">
        <f>109.9+(585.3-360.7)+(-0.056049+(-0.298503--0.183957))+0-0-0</f>
        <v>334.32940500000001</v>
      </c>
      <c r="Z62" s="3">
        <f>110.2+(673.8-421.9)+(0.056202+(0.343638-0.215169))+0-0-0</f>
        <v>362.28467099999995</v>
      </c>
      <c r="AA62" s="3">
        <f>109.4+(665.4-419.2)+(-0.223176+(-1.357416--0.855168))+0-0-0</f>
        <v>354.87457600000005</v>
      </c>
      <c r="AB62" s="3">
        <f>109.7+(693.5-459.9)+(-0.167841+(-1.061055--0.703647))+0-0-0</f>
        <v>342.77475100000004</v>
      </c>
      <c r="AC62" s="3">
        <f>65.3+(668.5-399.5)+(-0.133212+(-1.36374--0.81498))+0-0-0</f>
        <v>333.61802800000004</v>
      </c>
      <c r="AD62" s="2">
        <v>357.4</v>
      </c>
      <c r="AE62" s="3">
        <f>110+(678-430.6)+(0+(0-0))+0-0-0</f>
        <v>357.4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0+(638.5-326.4)+(0+(-0.65127--0.332928))+0-0-0</f>
        <v>311.78165800000005</v>
      </c>
      <c r="G63" s="3">
        <f>0+(528.7-224.3)+(0+(-1.348185--0.571965))+0-0-0</f>
        <v>303.62378000000001</v>
      </c>
      <c r="H63" s="3">
        <f>0+(546.4-242.5)+(0+(-0.557328--0.24735))+0-0-0</f>
        <v>303.59002199999998</v>
      </c>
      <c r="I63" s="3">
        <f>0+(484.9-187.1)+(0+(-0.741897--0.286263))+0-0-0</f>
        <v>297.34436599999998</v>
      </c>
      <c r="J63" s="3">
        <f>0+(380.3-78.5)+(0+(0-0))+0-0-0</f>
        <v>301.8</v>
      </c>
      <c r="K63" s="3">
        <f>0+(373.1-78.6)+(0+(-0.570843--0.120258))+0-0-0</f>
        <v>294.04941500000001</v>
      </c>
      <c r="L63" s="3">
        <f>0+(388.3-96)+(0+(-0.396066--0.09792))+0-0-0</f>
        <v>292.00185400000004</v>
      </c>
      <c r="M63" s="3">
        <f>0+(510.9-186.7)+(0+(-0.781677--0.285651))+0-0-0</f>
        <v>323.70397400000002</v>
      </c>
      <c r="N63" s="3">
        <f>7.6+(710.1-362.1)+(-0.003876+(-0.362151--0.184671))+0-0-0</f>
        <v>355.41864400000003</v>
      </c>
      <c r="O63" s="3">
        <f>110.9+(734.5-473.6)+(0+(0-0))+0-0-0</f>
        <v>371.79999999999995</v>
      </c>
      <c r="P63" s="3">
        <f>229.1+(655.7-505.3)+(0+(0-0))+0-0-0</f>
        <v>379.5</v>
      </c>
      <c r="Q63" s="3">
        <f>231.9+(642.6-492)+(0.118269+(0.327726-0.25092))+0-0-0</f>
        <v>382.69507499999997</v>
      </c>
      <c r="R63" s="3">
        <f>231.9+(610.5-456.2)+(-0.118269+(-0.311355--0.232662))+0-0-0</f>
        <v>386.00303800000006</v>
      </c>
      <c r="S63" s="3">
        <f>227.5+(556-432.5)+(-0.23205+(-0.56712--0.44115))+0-0-0</f>
        <v>350.64197999999999</v>
      </c>
      <c r="T63" s="3">
        <f>226.4+(544-418.6)+(-0.115464+(-0.27744--0.213486))+0-0-0</f>
        <v>351.62058199999996</v>
      </c>
      <c r="U63" s="3">
        <f>224.9+(531.4-408.9)+(-0.229398+(-0.542028--0.417078))+0-0-0</f>
        <v>347.04565199999996</v>
      </c>
      <c r="V63" s="3">
        <f>222.6+(570.4-454.1)+(-0.681156+(-1.745424--1.389546))+0-0-0</f>
        <v>337.86296599999997</v>
      </c>
      <c r="W63" s="3">
        <f>224.3+(619.9-516.3)+(-0.343179+(-0.948447--0.789939))+0-0-0</f>
        <v>327.39831300000003</v>
      </c>
      <c r="X63" s="3">
        <f>212+(572-456.4)+(-0.75684+(-2.04204--1.629348))+0-0-0</f>
        <v>326.43046800000002</v>
      </c>
      <c r="Y63" s="3">
        <f>137.1+(594.7-373.6)+(-0.349605+(-1.516485--0.95268))+0-0-0</f>
        <v>357.28659000000005</v>
      </c>
      <c r="Z63" s="3">
        <f>110.2+(617.3-327.1)+(0.056202+(0.314823-0.166821))+0-0-0</f>
        <v>400.60420399999992</v>
      </c>
      <c r="AA63" s="3">
        <f>109.4+(639.7-378.6)+(-0.167382+(-0.978741--0.579258))+0-0-0</f>
        <v>369.93313499999999</v>
      </c>
      <c r="AB63" s="3">
        <f>109.2+(692.2-440.1)+(-0.222768+(-1.412088--0.897804))+0-0-0</f>
        <v>360.56294800000001</v>
      </c>
      <c r="AC63" s="3">
        <f>30.6+(738.1-416.2)+(-0.031212+(-0.752862--0.424524))+0-0-0</f>
        <v>352.14045000000004</v>
      </c>
      <c r="AD63" s="2">
        <v>335.40000000000003</v>
      </c>
      <c r="AE63" s="3">
        <f>110+(646.2-420.8)+(0+(0-0))+0-0-0</f>
        <v>335.40000000000003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0+(610.5-284.6)+(0+(-0.934065--0.435438))+0-0-0</f>
        <v>325.40137299999998</v>
      </c>
      <c r="G64" s="3">
        <f>0+(463.8-150.9)+(0+(-0.946152--0.307836))+0-0-0</f>
        <v>312.261684</v>
      </c>
      <c r="H64" s="3">
        <f>0+(491.9-180.7)+(0+(-1.254345--0.460785))+0-0-0</f>
        <v>310.40643999999998</v>
      </c>
      <c r="I64" s="3">
        <f>0+(482.9-186.3)+(0+(-0.738837--0.285039))+0-0-0</f>
        <v>296.14620199999996</v>
      </c>
      <c r="J64" s="3">
        <f>0+(509.9-208.8)+(0+(-0.780147--0.319464))+0-0-0</f>
        <v>300.63931699999995</v>
      </c>
      <c r="K64" s="3">
        <f>0+(498-198.7)+(0+(-1.52388--0.608022))+0-0-0</f>
        <v>298.384142</v>
      </c>
      <c r="L64" s="3">
        <f>0+(490.4-197.1)+(0+(0.250104-0.100521))+0-0-0</f>
        <v>293.44958299999996</v>
      </c>
      <c r="M64" s="3">
        <f>0+(627.4-308.4)+(0+(-0.319974--0.157284))+0-0-0</f>
        <v>318.83731</v>
      </c>
      <c r="N64" s="3">
        <f>0+(756.5-412.2)+(0+(0.385815-0.210222))+0-0-0</f>
        <v>344.475593</v>
      </c>
      <c r="O64" s="3">
        <f>11.8+(753.7-402.1)+(0+(0-0))+0-0-0</f>
        <v>363.40000000000003</v>
      </c>
      <c r="P64" s="3">
        <f>99.9+(734.5-455.6)+(0+(0-0))+0-0-0</f>
        <v>378.79999999999995</v>
      </c>
      <c r="Q64" s="3">
        <f>102.3+(753.4-470.1)+(0+(0-0))+0-0-0</f>
        <v>385.59999999999997</v>
      </c>
      <c r="R64" s="3">
        <f>110+(729.4-452.3)+(0+(0-0))+0-0-0</f>
        <v>387.09999999999997</v>
      </c>
      <c r="S64" s="3">
        <f>109.1+(707-462.6)+(-0.222564+(-1.44228--0.943704))+0-0-0</f>
        <v>352.77886000000001</v>
      </c>
      <c r="T64" s="3">
        <f>88.3+(725.1-455.2)+(-0.045033+(-0.369801--0.232152))+0-0-0</f>
        <v>358.01731800000005</v>
      </c>
      <c r="U64" s="3">
        <f>49.9+(722-422.3)+(-0.101796+(-1.47288--0.861492))+0-0-0</f>
        <v>348.88681599999995</v>
      </c>
      <c r="V64" s="3">
        <f>14.5+(683.8-348.1)+(-0.051765+(-2.441166--1.242717))+0-0-0</f>
        <v>348.9497859999999</v>
      </c>
      <c r="W64" s="3">
        <f>0+(648.5-302.6)+(0+(-1.98441--0.925956))+0-0-0</f>
        <v>344.84154599999999</v>
      </c>
      <c r="X64" s="3">
        <f>0+(678.4-339.6)+(0+(-0.691968--0.346392))+0-0-0</f>
        <v>338.45442399999996</v>
      </c>
      <c r="Y64" s="3">
        <f>0+(593.3-253.7)+(0+(0-0))+0-0-0</f>
        <v>339.59999999999997</v>
      </c>
      <c r="Z64" s="3">
        <f>0+(596.4-230)+(0+(-0.608328--0.2346))+0-0-0</f>
        <v>366.02627199999995</v>
      </c>
      <c r="AA64" s="3">
        <f>0+(649.1-279.8)+(0+(-1.655205--0.71349))+0-0-0</f>
        <v>368.35828500000002</v>
      </c>
      <c r="AB64" s="3">
        <f>0+(552.9-194.2)+(0+(-1.127916--0.396168))+0-0-0</f>
        <v>357.96825200000001</v>
      </c>
      <c r="AC64" s="3">
        <f>0+(455.9-112.2)+(0+(-1.627563--0.400554))+0-0-0</f>
        <v>342.47299099999998</v>
      </c>
      <c r="AD64" s="2">
        <v>374.30000000000007</v>
      </c>
      <c r="AE64" s="3">
        <f>0+(620.2-245.9)+(0+(0-0))+0-0-0</f>
        <v>374.30000000000007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0+(435.8-105.2)+(0+(-1.555806--0.375564))+0-0-0</f>
        <v>329.419758</v>
      </c>
      <c r="G65" s="3">
        <f>0+(373-52.7)+(0+(-1.14138--0.161262))+0-0-0</f>
        <v>319.31988200000001</v>
      </c>
      <c r="H65" s="3">
        <f>0+(367.8-53.9)+(0+(-0.750312--0.109956))+0-0-0</f>
        <v>313.25964400000004</v>
      </c>
      <c r="I65" s="3">
        <f>0+(381.1-73.4)+(0+(-0.777444--0.149736))+0-0-0</f>
        <v>307.07229200000006</v>
      </c>
      <c r="J65" s="3">
        <f>0+(405.4-107.5)+(0+(-0.827016--0.2193))+0-0-0</f>
        <v>297.292284</v>
      </c>
      <c r="K65" s="3">
        <f>0+(435.4-141.5)+(0+(-0.666162--0.216495))+0-0-0</f>
        <v>293.450333</v>
      </c>
      <c r="L65" s="3">
        <f>0+(424.8-126.9)+(0+(-0.866592--0.258876))+0-0-0</f>
        <v>297.292284</v>
      </c>
      <c r="M65" s="3">
        <f>0+(409.2-95.1)+(0+(0.208692-0.048501))+0-0-0</f>
        <v>314.26019100000002</v>
      </c>
      <c r="N65" s="3">
        <f>0+(620-274.4)+(0+(-0.6324--0.279888))+0-0-0</f>
        <v>345.24748800000003</v>
      </c>
      <c r="O65" s="3">
        <f>0+(609.9-241)+(0+(-1.866294--0.73746))+0-0-0</f>
        <v>367.77116599999999</v>
      </c>
      <c r="P65" s="3">
        <f>50+(563.4-256.2)+(0.0255+(0.287334-0.130662))+0-0-0</f>
        <v>357.38217199999997</v>
      </c>
      <c r="Q65" s="3">
        <f>49.9+(595.2-276.9)+(0+(0-0))+0-0-0</f>
        <v>368.20000000000005</v>
      </c>
      <c r="R65" s="3">
        <f>49.9+(666.2-344.2)+(0+(0-0))+0-0-0</f>
        <v>371.90000000000003</v>
      </c>
      <c r="S65" s="3">
        <f>50+(642.2-334.5)+(-0.1275+(-1.63761--0.852975))+0-0-0</f>
        <v>356.78786500000007</v>
      </c>
      <c r="T65" s="3">
        <f>49.9+(662.2-352)+(-0.025449+(-0.337722--0.17952))+0-0-0</f>
        <v>359.91634900000003</v>
      </c>
      <c r="U65" s="3">
        <f>40.4+(663.7-352.3)+(-0.082416+(-1.353948--0.718692))+0-0-0</f>
        <v>351.08232800000002</v>
      </c>
      <c r="V65" s="3">
        <f>0+(637.9-297.3)+(0+(-0.650658--0.303246))+0-0-0</f>
        <v>340.25258799999995</v>
      </c>
      <c r="W65" s="3">
        <f>0+(566.6-228)+(0+(-0.577932--0.23256))+0-0-0</f>
        <v>338.25462800000003</v>
      </c>
      <c r="X65" s="3">
        <f>0+(538.8-204.3)+(0+(-0.274788--0.104193))+0-0-0</f>
        <v>334.32940499999995</v>
      </c>
      <c r="Y65" s="3">
        <f>0+(504-169.5)+(0+(-0.77112--0.259335))+0-0-0</f>
        <v>333.98821500000003</v>
      </c>
      <c r="Z65" s="3">
        <f>0+(476.7-125.5)+(0+(-0.486234--0.12801))+0-0-0</f>
        <v>350.84177599999998</v>
      </c>
      <c r="AA65" s="3">
        <f>0+(511.3-158.8)+(0+(-0.521526--0.161976))+0-0-0</f>
        <v>352.14044999999999</v>
      </c>
      <c r="AB65" s="3">
        <f>0+(494.2-147.2)+(0+(-1.26021--0.37536))+0-0-0</f>
        <v>346.11515000000003</v>
      </c>
      <c r="AC65" s="3">
        <f>0+(541.7-206.7)+(0+(0-0))+0-0-0</f>
        <v>335.00000000000006</v>
      </c>
      <c r="AD65" s="2">
        <v>349.1</v>
      </c>
      <c r="AE65" s="3">
        <f>0+(507.6-158.5)+(0+(0-0))+0-0-0</f>
        <v>349.1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0+(482.6-163.9)+(0+(-0.492252--0.167178))+0-0-0</f>
        <v>318.37492600000007</v>
      </c>
      <c r="G66" s="3">
        <f>0+(450.8-144)+(0+(-0.229908--0.07344))+0-0-0</f>
        <v>306.64353199999999</v>
      </c>
      <c r="H66" s="3">
        <f>0+(375.4-81.6)+(0+(0.574362-0.124848))+0-0-0</f>
        <v>294.24951399999998</v>
      </c>
      <c r="I66" s="3">
        <f>0+(359.3-68.4)+(0+(0.183243-0.034884))+0-0-0</f>
        <v>291.048359</v>
      </c>
      <c r="J66" s="3">
        <f>0+(372.3-83.1)+(0+(-0.569619--0.127143))+0-0-0</f>
        <v>288.75752400000005</v>
      </c>
      <c r="K66" s="3">
        <f>0+(389.1-102.9)+(0+(-0.992205--0.262395))+0-0-0</f>
        <v>285.47019000000006</v>
      </c>
      <c r="L66" s="3">
        <f>0+(369.7-87.5)+(0+(-0.377094--0.08925))+0-0-0</f>
        <v>281.91215599999998</v>
      </c>
      <c r="M66" s="3">
        <f>0+(391.2-84.1)+(0+(0.399024-0.085782))+0-0-0</f>
        <v>307.41324200000003</v>
      </c>
      <c r="N66" s="3">
        <f>0+(493.5-161.1)+(0+(-0.50337--0.164322))+0-0-0</f>
        <v>332.06095199999999</v>
      </c>
      <c r="O66" s="3">
        <f>0+(473.6-129.5)+(0+(0.483072-0.13209))+0-0-0</f>
        <v>344.45098200000001</v>
      </c>
      <c r="P66" s="3">
        <f>0+(456.3-108.8)+(0+(0-0))+0-0-0</f>
        <v>347.5</v>
      </c>
      <c r="Q66" s="3">
        <f>0+(494.7-143.4)+(0+(0.252297-0.073134))+0-0-0</f>
        <v>351.47916299999997</v>
      </c>
      <c r="R66" s="3">
        <f>14.1+(523-191.7)+(-0.028764+(-1.06692--0.391068))+0-0-0</f>
        <v>344.69538400000005</v>
      </c>
      <c r="S66" s="3">
        <f>49.9+(525-253.5)+(-0.050898+(-0.5355--0.25857))+0-0-0</f>
        <v>321.07217199999997</v>
      </c>
      <c r="T66" s="3">
        <f>49.9+(530.4-268)+(-0.025449+(-0.270504--0.13668))+0-0-0</f>
        <v>312.14072699999997</v>
      </c>
      <c r="U66" s="3">
        <f>49.9+(500.1-243.3)+(-0.101796+(-1.020204--0.496332))+0-0-0</f>
        <v>306.07433199999997</v>
      </c>
      <c r="V66" s="3">
        <f>43.7+(490-225.3)+(-0.111435+(-1.2495--0.574515))+0-0-0</f>
        <v>307.61357999999996</v>
      </c>
      <c r="W66" s="3">
        <f>0+(538.2-229.5)+(0+(-1.097928--0.46818))+0-0-0</f>
        <v>308.07025200000004</v>
      </c>
      <c r="X66" s="3">
        <f>0+(484.8-181)+(0+(-1.23624--0.46155))+0-0-0</f>
        <v>303.02530999999999</v>
      </c>
      <c r="Y66" s="3">
        <f>0+(387.5-79.2)+(0+(-0.197625--0.040392))+0-0-0</f>
        <v>308.14276699999999</v>
      </c>
      <c r="Z66" s="3">
        <f>0+(403.8-77.3)+(0+(-0.205938--0.039423))+0-0-0</f>
        <v>326.333485</v>
      </c>
      <c r="AA66" s="3">
        <f>0+(435.5-105.5)+(0+(-1.110525--0.269025))+0-0-0</f>
        <v>329.1585</v>
      </c>
      <c r="AB66" s="3">
        <f>0+(494.3-170.6)+(0+(-1.260465--0.43503))+0-0-0</f>
        <v>322.87456500000002</v>
      </c>
      <c r="AC66" s="3">
        <f>0+(442.7-125.6)+(0+(-0.225777--0.064056))+0-0-0</f>
        <v>316.93827900000002</v>
      </c>
      <c r="AD66" s="2">
        <v>338.2</v>
      </c>
      <c r="AE66" s="3">
        <f>0+(447.4-109.2)+(0+(0-0))+0-0-0</f>
        <v>338.2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0+(477.1-171)+(0+(-0.243321--0.08721))+0-0-0</f>
        <v>305.94388900000001</v>
      </c>
      <c r="G67" s="3">
        <f>0+(409.2-116.1)+(0+(-0.417384--0.118422))+0-0-0</f>
        <v>292.80103800000001</v>
      </c>
      <c r="H67" s="3">
        <f>0+(402.9-116.1)+(0+(-0.616437--0.177633))+0-0-0</f>
        <v>286.36119599999995</v>
      </c>
      <c r="I67" s="3">
        <f>0+(396.1-111.1)+(0+(-0.404022--0.113322))+0-0-0</f>
        <v>284.70929999999998</v>
      </c>
      <c r="J67" s="3">
        <f>0+(326.8-42.7)+(0+(0.500004-0.065331))+0-0-0</f>
        <v>284.534673</v>
      </c>
      <c r="K67" s="3">
        <f>0+(344.4-70.5)+(0+(-0.175644--0.035955))+0-0-0</f>
        <v>273.760311</v>
      </c>
      <c r="L67" s="3">
        <f>0+(381.8-124.1)+(0+(0.194718-0.063291))+0-0-0</f>
        <v>257.83142700000002</v>
      </c>
      <c r="M67" s="3">
        <f>0+(429.6-167.1)+(0+(-0.219096--0.085221))+0-0-0</f>
        <v>262.36612500000001</v>
      </c>
      <c r="N67" s="3">
        <f>0+(454.2-177.3)+(0+(-0.694926--0.271269))+0-0-0</f>
        <v>276.47634299999999</v>
      </c>
      <c r="O67" s="3">
        <f>0+(492.1-208.2)+(0+(-0.501942--0.212364))+0-0-0</f>
        <v>283.61042200000003</v>
      </c>
      <c r="P67" s="3">
        <f>0+(460.4-173.3)+(0+(-0.234804--0.088383))+0-0-0</f>
        <v>286.95357899999999</v>
      </c>
      <c r="Q67" s="3">
        <f>0+(516.2-214.5)+(0+(-0.526524--0.21879))+0-0-0</f>
        <v>301.39226600000006</v>
      </c>
      <c r="R67" s="3">
        <f>0+(530.7-236.3)+(0+(0.270657-0.120513))+0-0-0</f>
        <v>294.55014400000005</v>
      </c>
      <c r="S67" s="3">
        <f>0+(523.8-229.8)+(0+(-0.267138--0.117198))+0-0-0</f>
        <v>293.85005999999993</v>
      </c>
      <c r="T67" s="3">
        <f>0+(520.4-231.7)+(0+(-0.265404--0.118167))+0-0-0</f>
        <v>288.55276299999997</v>
      </c>
      <c r="U67" s="3">
        <f>0+(535.9-254.2)+(0+(1.366545-0.64821))+0-0-0</f>
        <v>282.41833500000001</v>
      </c>
      <c r="V67" s="3">
        <f>0+(563.9-280.3)+(0+(-0.287589--0.142953))+0-0-0</f>
        <v>283.45536399999997</v>
      </c>
      <c r="W67" s="3">
        <f>0+(537.7-261.6)+(0+(-0.548454--0.266832))+0-0-0</f>
        <v>275.818378</v>
      </c>
      <c r="X67" s="3">
        <f>0+(591-312.1)+(0+(-1.80846--0.955026))+0-0-0</f>
        <v>278.04656599999998</v>
      </c>
      <c r="Y67" s="3">
        <f>0+(516.1-230.7)+(0+(-0.789633--0.352971))+0-0-0</f>
        <v>284.96333800000002</v>
      </c>
      <c r="Z67" s="3">
        <f>0+(449.7-140.5)+(0+(-0.458694--0.14331))+0-0-0</f>
        <v>308.88461599999999</v>
      </c>
      <c r="AA67" s="3">
        <f>0+(419.1-104.1)+(0+(-0.641223--0.159273))+0-0-0</f>
        <v>314.51805000000002</v>
      </c>
      <c r="AB67" s="3">
        <f>0+(520.5-209.1)+(0+(-0.796365--0.319923))+0-0-0</f>
        <v>310.92355799999996</v>
      </c>
      <c r="AC67" s="3">
        <f>0+(491.8-190.8)+(0+(-0.250818--0.097308))+0-0-0</f>
        <v>300.84649000000002</v>
      </c>
      <c r="AD67" s="2">
        <v>318.79999999999995</v>
      </c>
      <c r="AE67" s="3">
        <f>0+(431.4-112.6)+(0+(0-0))+0-0-0</f>
        <v>318.79999999999995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0+(447.1-157.2)+(0+(-0.912084--0.320688))+0-0-0</f>
        <v>289.30860400000006</v>
      </c>
      <c r="G68" s="3">
        <f>0+(278-0)+(0+(-0.7089-0))+0-0-0</f>
        <v>277.29109999999997</v>
      </c>
      <c r="H68" s="3">
        <f>0+(276.6-7.5)+(0+(-0.564264--0.0153))+0-0-0</f>
        <v>268.55103600000001</v>
      </c>
      <c r="I68" s="3">
        <f>0+(259.9-0)+(0+(-0.265098-0))+0-0-0</f>
        <v>259.63490199999995</v>
      </c>
      <c r="J68" s="3">
        <f>0+(271.1-4.2)+(0+(-0.276522--0.004284))+0-0-0</f>
        <v>266.62776200000002</v>
      </c>
      <c r="K68" s="3">
        <f>0+(275.7-13.2)+(0+(-0.703035--0.03366))+0-0-0</f>
        <v>261.830625</v>
      </c>
      <c r="L68" s="3">
        <f>0+(298.2-31.8)+(0+(-0.152082--0.016218))+0-0-0</f>
        <v>266.26413599999995</v>
      </c>
      <c r="M68" s="3">
        <f>0+(412.9-127.2)+(0+(0.421158-0.129744))+0-0-0</f>
        <v>285.99141399999996</v>
      </c>
      <c r="N68" s="3">
        <f>0+(495.8-183.7)+(0+(0.252858-0.093687))+0-0-0</f>
        <v>312.25917100000004</v>
      </c>
      <c r="O68" s="3">
        <f>0+(466.6-138.4)+(0+(0.237966-0.070584))+0-0-0</f>
        <v>328.36738200000002</v>
      </c>
      <c r="P68" s="3">
        <f>0+(528.4-187.3)+(0+(-0.808452--0.286569))+0-0-0</f>
        <v>340.57811699999996</v>
      </c>
      <c r="Q68" s="3">
        <f>0+(551.4-197.5)+(0+(-0.281214--0.100725))+0-0-0</f>
        <v>353.71951099999995</v>
      </c>
      <c r="R68" s="3">
        <f>0+(514.4-164.5)+(0+(0.524688-0.16779))+0-0-0</f>
        <v>350.25689799999998</v>
      </c>
      <c r="S68" s="3">
        <f>0+(518.1-177)+(0+(-0.528462--0.18054))+0-0-0</f>
        <v>340.75207800000004</v>
      </c>
      <c r="T68" s="3">
        <f>0+(543.1-195.2)+(0+(-0.276981--0.099552))+0-0-0</f>
        <v>347.72257100000002</v>
      </c>
      <c r="U68" s="3">
        <f>0+(583-238.4)+(0+(-1.48665--0.60792))+0-0-0</f>
        <v>343.72127</v>
      </c>
      <c r="V68" s="3">
        <f>0+(612.1-267.8)+(0+(-0.312171--0.136578))+0-0-0</f>
        <v>344.12440700000002</v>
      </c>
      <c r="W68" s="3">
        <f>0+(619.7-283)+(0+(-1.264188--0.57732))+0-0-0</f>
        <v>336.01313200000004</v>
      </c>
      <c r="X68" s="3">
        <f>0+(580.1-251.1)+(0+(-1.479255--0.640305))+0-0-0</f>
        <v>328.16104999999999</v>
      </c>
      <c r="Y68" s="3">
        <f>0+(355.4-35.2)+(0+(0.181254-0.017952))+0-0-0</f>
        <v>320.36330199999998</v>
      </c>
      <c r="Z68" s="3">
        <f>0+(444.7-103.1)+(0+(-0.226797--0.052581))+0-0-0</f>
        <v>341.42578400000002</v>
      </c>
      <c r="AA68" s="3">
        <f>0+(539.3-193.1)+(0+(-0.825129--0.295443))+0-0-0</f>
        <v>345.67031399999991</v>
      </c>
      <c r="AB68" s="3">
        <f>0+(590-252.7)+(0+(-1.8054--0.773262))+0-0-0</f>
        <v>336.26786200000004</v>
      </c>
      <c r="AC68" s="3">
        <f>0+(635-312.4)+(0+(-1.61925--0.79662))+0-0-0</f>
        <v>321.77737000000002</v>
      </c>
      <c r="AD68" s="2">
        <v>344.9</v>
      </c>
      <c r="AE68" s="3">
        <f>0+(553.8-208.9)+(0+(0-0))+0-0-0</f>
        <v>344.9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0+(560.9-248.4)+(0+(0-0))+0-0-0</f>
        <v>312.5</v>
      </c>
      <c r="G69" s="3">
        <f>0+(349.3-45.3)+(0+(-0.534429--0.069309))+0-0-0</f>
        <v>303.53487999999999</v>
      </c>
      <c r="H69" s="3">
        <f>0+(298.9-1)+(0+(-0.609756--0.00204))+0-0-0</f>
        <v>297.292284</v>
      </c>
      <c r="I69" s="3">
        <f>0+(303-8.5)+(0+(-0.61812--0.01734))+0-0-0</f>
        <v>293.89922000000001</v>
      </c>
      <c r="J69" s="3">
        <f>0+(305.3-8.5)+(0+(-0.155703--0.004335))+0-0-0</f>
        <v>296.64863200000002</v>
      </c>
      <c r="K69" s="3">
        <f>0+(328.6-39.3)+(0+(-0.670344--0.080172))+0-0-0</f>
        <v>288.70982800000002</v>
      </c>
      <c r="L69" s="3">
        <f>0+(346.5-59.1)+(0+(-0.883575--0.150705))+0-0-0</f>
        <v>286.66712999999999</v>
      </c>
      <c r="M69" s="3">
        <f>0+(426.6-111.4)+(0+(0.217566-0.056814))+0-0-0</f>
        <v>315.36075200000005</v>
      </c>
      <c r="N69" s="3">
        <f>0+(449.1-103.2)+(0+(0-0))+0-0-0</f>
        <v>345.90000000000003</v>
      </c>
      <c r="O69" s="3">
        <f>0+(611.4-246.9)+(0+(-0.311814--0.125919))+0-0-0</f>
        <v>364.31410499999998</v>
      </c>
      <c r="P69" s="3">
        <f>0+(715.1-332.6)+(0+(0.364701-0.169626))+0-0-0</f>
        <v>382.69507499999997</v>
      </c>
      <c r="Q69" s="3">
        <f>0+(702.7-313.1)+(0+(-0.716754--0.319362))+0-0-0</f>
        <v>389.202608</v>
      </c>
      <c r="R69" s="3">
        <f>61.5+(629.3-315.9)+(0.031365+(0.320943-0.161109))+0-0-0</f>
        <v>375.09119899999996</v>
      </c>
      <c r="S69" s="3">
        <f>109.7+(682.1-432.8)+(-0.055947+(-0.347871--0.220728))+0-0-0</f>
        <v>358.81691000000001</v>
      </c>
      <c r="T69" s="3">
        <f>110+(729.6-480.6)+(0+(0-0))+0-0-0</f>
        <v>359</v>
      </c>
      <c r="U69" s="3">
        <f>110+(735.7-504.7)+(-0.0561+(-0.375207--0.257397))+0-0-0</f>
        <v>340.82609000000008</v>
      </c>
      <c r="V69" s="3">
        <f>110.6+(732.6-502.3)+(-0.225624+(-1.494504--1.024692))+0-0-0</f>
        <v>340.204564</v>
      </c>
      <c r="W69" s="3">
        <f>104.2+(618.7-384.3)+(-0.318852+(-1.893222--1.175958))+0-0-0</f>
        <v>337.56388400000003</v>
      </c>
      <c r="X69" s="3">
        <f>79.3+(492.9-243)+(-0.161772+(-1.005516--0.49572))+0-0-0</f>
        <v>328.52843200000001</v>
      </c>
      <c r="Y69" s="3">
        <f>80.5+(478.4-232.9)+(0.123165+(0.731952-0.356337))+0-0-0</f>
        <v>326.49878000000001</v>
      </c>
      <c r="Z69" s="3">
        <f>80+(425.1-161.6)+(0+(0-0))+0-0-0</f>
        <v>343.5</v>
      </c>
      <c r="AA69" s="3">
        <f>27.2+(471-145)+(-0.055488+(-0.96084--0.2958))+0-0-0</f>
        <v>352.47947199999999</v>
      </c>
      <c r="AB69" s="3">
        <f>0+(532.2-190.6)+(0+(-0.814266--0.291618))+0-0-0</f>
        <v>341.07735200000002</v>
      </c>
      <c r="AC69" s="3">
        <f>0+(451.2-125.9)+(0+(-0.230112--0.064209))+0-0-0</f>
        <v>325.13409699999994</v>
      </c>
      <c r="AD69" s="2">
        <v>348.1</v>
      </c>
      <c r="AE69" s="3">
        <f>0+(537.5-189.4)+(0+(0-0))+0-0-0</f>
        <v>348.1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0+(407.5-89.7)+(0+(-0.623475--0.137241))+0-0-0</f>
        <v>317.31376599999999</v>
      </c>
      <c r="G70" s="3">
        <f>0+(392.7-89.3)+(0+(0-0))+0-0-0</f>
        <v>303.39999999999998</v>
      </c>
      <c r="H70" s="3">
        <f>0+(415.2-113.1)+(0+(0-0))+0-0-0</f>
        <v>302.10000000000002</v>
      </c>
      <c r="I70" s="3">
        <f>0+(419.3-116.8)+(0+(0.427686-0.119136))+0-0-0</f>
        <v>302.80855000000003</v>
      </c>
      <c r="J70" s="3">
        <f>0+(409.2-104)+(0+(-0.208692--0.05304))+0-0-0</f>
        <v>305.04434800000001</v>
      </c>
      <c r="K70" s="3">
        <f>0+(406.7-108.5)+(0+(-1.037085--0.276675))+0-0-0</f>
        <v>297.43959000000001</v>
      </c>
      <c r="L70" s="3">
        <f>0+(394.1-97.7)+(0+(-0.401982--0.099654))+0-0-0</f>
        <v>296.09767200000005</v>
      </c>
      <c r="M70" s="3">
        <f>0+(442.9-122.4)+(0+(0.451758-0.124848))+0-0-0</f>
        <v>320.82691</v>
      </c>
      <c r="N70" s="3">
        <f>0+(498.6-172.3)+(0+(0.762858-0.263619))+0-0-0</f>
        <v>326.799239</v>
      </c>
      <c r="O70" s="3">
        <f>0+(530.2-160)+(0+(0.540804-0.1632))+0-0-0</f>
        <v>370.57760400000006</v>
      </c>
      <c r="P70" s="3">
        <f>0+(561.7-186.5)+(0+(0.859401-0.285345))+0-0-0</f>
        <v>375.77405600000003</v>
      </c>
      <c r="Q70" s="3">
        <f>5.1+(614.4-238.9)+(0+(0-0))+0-0-0</f>
        <v>380.6</v>
      </c>
      <c r="R70" s="3">
        <f>112.5+(568.5-298.3)+(-0.057375+(-0.289935--0.152133))+0-0-0</f>
        <v>382.50482299999999</v>
      </c>
      <c r="S70" s="3">
        <f>114.5+(562-330.2)+(-0.175185+(-0.85986--0.505206))+0-0-0</f>
        <v>345.77016100000003</v>
      </c>
      <c r="T70" s="3">
        <f>69.3+(611.6-334.3)+(0.106029+(0.935748-0.511479))+0-0-0</f>
        <v>347.13029800000004</v>
      </c>
      <c r="U70" s="3">
        <f>0+(624.4-283.6)+(0+(-0.636888--0.289272))+0-0-0</f>
        <v>340.45238399999994</v>
      </c>
      <c r="V70" s="3">
        <f>0+(603.9-265.9)+(0+(-1.539945--0.678045))+0-0-0</f>
        <v>337.13810000000001</v>
      </c>
      <c r="W70" s="3">
        <f>0+(508.1-173.7)+(0+(-0.777393--0.265761))+0-0-0</f>
        <v>333.88836800000001</v>
      </c>
      <c r="X70" s="3">
        <f>0+(474.2-146.5)+(0+(-1.20921--0.373575))+0-0-0</f>
        <v>326.86436499999996</v>
      </c>
      <c r="Y70" s="3">
        <f>0+(433.6-107.9)+(0+(-0.442272--0.110058))+0-0-0</f>
        <v>325.36778600000002</v>
      </c>
      <c r="Z70" s="3">
        <f>0+(422.4-67)+(0+(-0.430848--0.06834))+0-0-0</f>
        <v>355.03749199999999</v>
      </c>
      <c r="AA70" s="3">
        <f>0+(537.5-177.4)+(0+(-0.822375--0.271422))+0-0-0</f>
        <v>359.54904700000003</v>
      </c>
      <c r="AB70" s="3">
        <f>0+(571.6-219.7)+(0+(-1.45758--0.560235))+0-0-0</f>
        <v>351.00265500000006</v>
      </c>
      <c r="AC70" s="3">
        <f>0+(488.6-148.9)+(0+(-0.747558--0.227817))+0-0-0</f>
        <v>339.18025900000004</v>
      </c>
      <c r="AD70" s="2">
        <v>362.1</v>
      </c>
      <c r="AE70" s="3">
        <f>0+(547.2-185.1)+(0+(0-0))+0-0-0</f>
        <v>362.1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0+(504.4-181.7)+(0+(-0.771732--0.278001))+0-0.5--0.000765000000000029</f>
        <v>321.70703399999996</v>
      </c>
      <c r="G71" s="3">
        <f>0+(439.7-126.7)+(0+(-0.224247--0.064617))+0-0.5--0.000254999999999949</f>
        <v>312.34062499999999</v>
      </c>
      <c r="H71" s="3">
        <f>0+(420.9-115.2)+(0+(-0.429318--0.117504))+0-0.5--0.00051000000000008</f>
        <v>304.88869599999998</v>
      </c>
      <c r="I71" s="3">
        <f>0+(392.8-89)+(0+(-0.600984--0.13617))+0-0.5--0.000765000000000029</f>
        <v>302.83595100000002</v>
      </c>
      <c r="J71" s="3">
        <f>0+(403.1-96.7)+(0+(-0.822324--0.197268))+0-0.5--0.00101999999999998</f>
        <v>305.27596400000004</v>
      </c>
      <c r="K71" s="3">
        <f>0+(436-138.3)+(0+(-0.66708--0.211599))+0-0.5--0.000765000000000029</f>
        <v>296.74528399999997</v>
      </c>
      <c r="L71" s="3">
        <f>0+(439.3-143.9)+(0+(-0.896172--0.293556))+0-0.5--0.00101999999999998</f>
        <v>294.29840399999995</v>
      </c>
      <c r="M71" s="3">
        <f>0+(456.7-136.1)+(0+(0-0))+0-0.5-0</f>
        <v>320.10000000000002</v>
      </c>
      <c r="N71" s="3">
        <f>0+(506.4-151.6)+(0+(0.516528-0.154632))+0-0.5-0.00051000000000008</f>
        <v>354.66138599999994</v>
      </c>
      <c r="O71" s="3">
        <f>0+(593.8-223)+(0+(1.211352-0.45492))+0-0.5-0.00101999999999998</f>
        <v>371.05541199999999</v>
      </c>
      <c r="P71" s="3">
        <f>74.6+(660.2-357.9)+(-0.076092+(-0.673404--0.365058))+0-0.5--0.00051000000000008</f>
        <v>376.01607200000012</v>
      </c>
      <c r="Q71" s="3">
        <f>0+(677.8-292.3)+(0+(0-0))+0-0.5-0</f>
        <v>384.99999999999994</v>
      </c>
      <c r="R71" s="3">
        <f>0+(604.1-222.5)+(0+(-0.924273--0.340425))+0-0.5--0.000765000000000029</f>
        <v>380.51691700000003</v>
      </c>
      <c r="S71" s="3">
        <f>53.8+(555.5-261.8)+(0.054876+(0.56661-0.267036))+0-0.5-0.00051000000000008</f>
        <v>347.35393999999997</v>
      </c>
      <c r="T71" s="3">
        <f>110+(498.2-260.8)+(0.1122+(0.508164-0.266016))+0-0.5-0.00051000000000008</f>
        <v>347.25383799999997</v>
      </c>
      <c r="U71" s="3">
        <f>110+(484.4-256.8)+(0+(0-0))+0-0.5-0</f>
        <v>337.09999999999997</v>
      </c>
      <c r="V71" s="3">
        <f>109.8+(496.5-269)+(-0.111996+(-0.50643--0.27438))+0-0.5--0.00051000000000008</f>
        <v>336.45646400000004</v>
      </c>
      <c r="W71" s="3">
        <f>109.5+(500.9-269.5)+(-0.22338+(-1.021836--0.54978))+0-0.5--0.00101999999999998</f>
        <v>339.70558399999999</v>
      </c>
      <c r="X71" s="3">
        <f>101.7+(537.6-296.9)+(-0.311202+(-1.645056--0.908514))+0-0.5--0.00153000000000006</f>
        <v>340.85378600000001</v>
      </c>
      <c r="Y71" s="3">
        <f>59.7+(569.6-288.6)+(0.060894+(0.580992-0.294372))+0-0.5-0.00051000000000008</f>
        <v>340.54700399999996</v>
      </c>
      <c r="Z71" s="3">
        <f>77.7+(459.6-173.6)+(-0.039627+(-0.234396--0.088536))+0-0.5--0.000254999999999949</f>
        <v>363.01476799999995</v>
      </c>
      <c r="AA71" s="3">
        <f>114.7+(436.1-193.7)+(-0.116994+(-0.444822--0.197574))+0-0.5--0.00051000000000008</f>
        <v>356.23626800000005</v>
      </c>
      <c r="AB71" s="3">
        <f>116.6+(477.8-241.3)+(-0.237864+(-0.974712--0.492252))+0-0.5--0.00101999999999998</f>
        <v>351.880696</v>
      </c>
      <c r="AC71" s="3">
        <f>27.5+(590.5-275.5)+(-0.042075+(-0.903465--0.421515))+0-0.5--0.000765000000000029</f>
        <v>341.47674000000001</v>
      </c>
      <c r="AD71" s="2">
        <v>360.5</v>
      </c>
      <c r="AE71" s="3">
        <f>115+(441.6-196.1)+(0+(0-0))+0-0-0</f>
        <v>360.5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0+(483.4-162.1)+(0+(-0.986136--0.330684))+0-0-0</f>
        <v>320.64454799999993</v>
      </c>
      <c r="G72" s="3">
        <f>0+(382.9-69.6)+(0+(-0.781116--0.141984))+0-0-0</f>
        <v>312.66086799999994</v>
      </c>
      <c r="H72" s="3">
        <f>0+(395.5-90.5)+(0+(-0.605115--0.138465))+0-0-0</f>
        <v>304.53334999999998</v>
      </c>
      <c r="I72" s="3">
        <f>0+(371.6-71)+(0+(-1.137096--0.21726))+0-0-0</f>
        <v>299.68016400000005</v>
      </c>
      <c r="J72" s="3">
        <f>0+(363.2-66.2)+(0+(-0.740928--0.135048))+0-0-0</f>
        <v>296.39411999999999</v>
      </c>
      <c r="K72" s="3">
        <f>0+(392.4-94.8)+(0+(-1.00062--0.24174))+0-0-0</f>
        <v>296.84111999999999</v>
      </c>
      <c r="L72" s="3">
        <f>0+(317.2-21.3)+(0+(-0.647088--0.043452))+0-0-0</f>
        <v>295.29636399999998</v>
      </c>
      <c r="M72" s="3">
        <f>0+(414.6-90.8)+(0+(1.268676-0.277848))+0-0-0</f>
        <v>324.79082800000003</v>
      </c>
      <c r="N72" s="3">
        <f>30.7+(515.6-194.8)+(0+(0-0))+0-0-0</f>
        <v>351.5</v>
      </c>
      <c r="O72" s="3">
        <f>120.2+(472.4-218.7)+(0.122604+(0.481848-0.223074))+0-0-0</f>
        <v>374.28137799999996</v>
      </c>
      <c r="P72" s="3">
        <f>119.2+(485.2-217.7)+(-0.121584+(-0.494904--0.222054))+0-0-0</f>
        <v>386.305566</v>
      </c>
      <c r="Q72" s="3">
        <f>115.5+(475.8-189.6)+(0+(0-0))+0-0-0</f>
        <v>401.70000000000005</v>
      </c>
      <c r="R72" s="3">
        <f>115.1+(426.2-139.8)+(-0.058701+(-0.217362--0.071298))+0-0-0</f>
        <v>401.29523499999999</v>
      </c>
      <c r="S72" s="3">
        <f>114.5+(411.5-148.8)+(-0.11679+(-0.41973--0.151776))+0-0-0</f>
        <v>376.81525599999998</v>
      </c>
      <c r="T72" s="3">
        <f>114.8+(443-174.1)+(0+(0-0))+0-0-0</f>
        <v>383.7</v>
      </c>
      <c r="U72" s="3">
        <f>114.8+(421.4-170.5)+(-0.117096+(-0.429828--0.17391))+0-0-0</f>
        <v>365.32698599999998</v>
      </c>
      <c r="V72" s="3">
        <f>114.5+(430.2-178.3)+(-0.175185+(-0.658206--0.272799))+0-0-0</f>
        <v>365.83940799999999</v>
      </c>
      <c r="W72" s="3">
        <f>113.5+(412.9-166.1)+(-0.34731+(-1.263474--0.508266))+0-0-0</f>
        <v>359.19748199999998</v>
      </c>
      <c r="X72" s="3">
        <f>114.9+(475.7-262.2)+(-0.058599+(-0.242607--0.133722))+0-0-0</f>
        <v>328.23251599999998</v>
      </c>
      <c r="Y72" s="3">
        <f>69.3+(430.8-179.4)+(-0.070686+(-0.439416--0.182988))+0-0-0</f>
        <v>320.37288599999999</v>
      </c>
      <c r="Z72" s="3">
        <f>80.2+(376.1-124.4)+(0.040902+(0.191811-0.063444))+0-0-0</f>
        <v>332.06926900000002</v>
      </c>
      <c r="AA72" s="3">
        <f>119.8+(354.3-122)+(-0.122196+(-0.361386--0.12444))+0-0-0</f>
        <v>351.740858</v>
      </c>
      <c r="AB72" s="3">
        <f>119.6+(379.1-171.1)+(-0.121992+(-0.386682--0.174522))+0-0-0</f>
        <v>327.26584800000001</v>
      </c>
      <c r="AC72" s="3">
        <f>120.1+(438.7-281.4)+(0.061251+(0.223737-0.143514))+0-0-0</f>
        <v>277.54147399999999</v>
      </c>
      <c r="AD72" s="2">
        <v>379.5</v>
      </c>
      <c r="AE72" s="3">
        <f>120+(386.6-127.1)+(0+(0-0))+0-0-0</f>
        <v>379.5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68.5+(534.4-277.2)+(-0.13974+(-1.090176--0.565488))+0-0-0</f>
        <v>325.035572</v>
      </c>
      <c r="G73" s="3">
        <f>0+(453.8-151.1)+(0+(0-0))+0-0-0</f>
        <v>302.70000000000005</v>
      </c>
      <c r="H73" s="3">
        <f>0+(405.7-80)+(0+(-0.206907--0.0408))+0-0-0</f>
        <v>325.53389299999998</v>
      </c>
      <c r="I73" s="3">
        <f>0+(390-80)+(0+(0.5967-0.1224))+0-0-0</f>
        <v>310.47430000000003</v>
      </c>
      <c r="J73" s="3">
        <f>0+(381.8-84)+(0+(-0.584154--0.12852))+0-0-0</f>
        <v>297.34436600000004</v>
      </c>
      <c r="K73" s="3">
        <f>0+(392-86)+(0+(-0.9996--0.2193))+0-0-0</f>
        <v>305.21969999999999</v>
      </c>
      <c r="L73" s="3">
        <f>0+(375.8-81)+(0+(-0.383316--0.08262))+0-0-0</f>
        <v>294.499304</v>
      </c>
      <c r="M73" s="3">
        <f>0+(460.1-103)+(0+(-0.234651--0.05253))+0-0-0</f>
        <v>356.91787900000003</v>
      </c>
      <c r="N73" s="3">
        <f>0+(559.6-204)+(0+(1.42698-0.5202))+0-0-0</f>
        <v>356.50678000000005</v>
      </c>
      <c r="O73" s="3">
        <f>15.6+(574.4-216.5)+(0.03978+(1.46472-0.552075))+0-0-0</f>
        <v>374.45242500000001</v>
      </c>
      <c r="P73" s="3">
        <f>122.6+(462.3-203.4)+(0.250104+(0.943092-0.414936))+0-0-0</f>
        <v>382.27825999999999</v>
      </c>
      <c r="Q73" s="3">
        <f>121.6+(386.7-130)+(0.124032+(0.394434-0.1326))+0-0-0</f>
        <v>378.68586599999998</v>
      </c>
      <c r="R73" s="3">
        <f>200.8+(359.5-191.9)+(0.102408+(0.183345-0.097869))+0-0-0</f>
        <v>368.58788399999997</v>
      </c>
      <c r="S73" s="3">
        <f>235.8+(340.8-226.3)+(-0.240516+(-0.347616--0.230826))+0-0-0</f>
        <v>349.94269400000002</v>
      </c>
      <c r="T73" s="3">
        <f>235.5+(348.5-239)+(-0.120105+(-0.177735--0.12189))+0-0-0</f>
        <v>344.82405</v>
      </c>
      <c r="U73" s="3">
        <f>234.7+(359.9-257.5)+(-0.239394+(-0.367098--0.26265))+0-0-0</f>
        <v>336.75615799999997</v>
      </c>
      <c r="V73" s="3">
        <f>234.7+(376-281.7)+(0.119697+(0.19176-0.143667))+0-0-0</f>
        <v>329.16779000000002</v>
      </c>
      <c r="W73" s="3">
        <f>234.4+(409.8-313.5)+(-0.239088+(-0.417996--0.31977))+0-0-0</f>
        <v>330.36268600000005</v>
      </c>
      <c r="X73" s="3">
        <f>235+(479.9-379.2)+(-0.2397+(-0.489498--0.386784))+0-0-0</f>
        <v>335.35758599999997</v>
      </c>
      <c r="Y73" s="3">
        <f>118.3+(529.3-312.6)+(-0.120666+(-0.539886--0.318852))+0-0-0</f>
        <v>334.65829999999994</v>
      </c>
      <c r="Z73" s="3">
        <f>194.4+(389.8-225.3)+(-0.297432+(-0.596394--0.344709))+0-0-0</f>
        <v>358.35088299999995</v>
      </c>
      <c r="AA73" s="3">
        <f>225+(379.1-237.9)+(-0.459+(-0.773364--0.485316))+0-0-0</f>
        <v>365.45295200000004</v>
      </c>
      <c r="AB73" s="3">
        <f>228.9+(440.9-318.3)+(-0.350217+(-0.674577--0.486999))+0-0-0</f>
        <v>350.96220499999998</v>
      </c>
      <c r="AC73" s="3">
        <f>130.8+(551.1-332.4)+(-0.266832+(-1.124244--0.678096))+0-0-0</f>
        <v>348.78702000000004</v>
      </c>
      <c r="AD73" s="2">
        <v>354.79999999999995</v>
      </c>
      <c r="AE73" s="3">
        <f>226+(375.9-247.1)+(0+(0-0))+0-0-0</f>
        <v>354.79999999999995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0+(382.2-95.6)+(0+(-0.584766--0.146268))+0-0-0</f>
        <v>286.16150200000004</v>
      </c>
      <c r="G74" s="3">
        <f>0+(335.1-10.9)+(0+(-0.170901--0.005559))+0-0-0</f>
        <v>324.03465800000004</v>
      </c>
      <c r="H74" s="3">
        <f>0+(337.7-91.8)+(0+(-0.344454--0.093636))+0-0-0</f>
        <v>245.64918199999997</v>
      </c>
      <c r="I74" s="3">
        <f>0+(303.1-60.2)+(0+(-0.154581--0.030702))+0-0-0</f>
        <v>242.77612100000005</v>
      </c>
      <c r="J74" s="3">
        <f>0+(287.8-54.8)+(0+(-1.027446--0.195636))+0-0-0</f>
        <v>232.16819000000001</v>
      </c>
      <c r="K74" s="3">
        <f>0+(401.2-114.6)+(0+(-2.04612--0.58446))+0-0-0</f>
        <v>285.13834000000003</v>
      </c>
      <c r="L74" s="3">
        <f>0+(393.6-112)+(0+(-0.401472--0.11424))+0-0-0</f>
        <v>281.31276800000001</v>
      </c>
      <c r="M74" s="3">
        <f>0+(405.4-98.5)+(0+(0.620262-0.150705))+0-0-0</f>
        <v>307.36955699999999</v>
      </c>
      <c r="N74" s="3">
        <f>0+(429.4-94.7)+(0+(0.875976-0.193188))+0-0-0</f>
        <v>335.38278800000001</v>
      </c>
      <c r="O74" s="3">
        <f>0+(479.4-109.2)+(0+(-0.244494--0.055692))+0-0-0</f>
        <v>370.01119799999998</v>
      </c>
      <c r="P74" s="3">
        <f>0+(495.7-114.7)+(0+(0-0))+0-0-0</f>
        <v>381</v>
      </c>
      <c r="Q74" s="3">
        <f>0+(522.3-178.1)+(0+(0-0))+0-0-0</f>
        <v>344.19999999999993</v>
      </c>
      <c r="R74" s="3">
        <f>0+(495.5-178.1)+(0+(0.758115-0.272493))+0-0-0</f>
        <v>317.88562199999996</v>
      </c>
      <c r="S74" s="3">
        <f>0+(442-126.1)+(0+(-0.45084--0.128622))+0-0-0</f>
        <v>315.57778199999996</v>
      </c>
      <c r="T74" s="3">
        <f>0+(423.5-110.9)+(0+(-0.43197--0.113118))+0-0-0</f>
        <v>312.28114800000003</v>
      </c>
      <c r="U74" s="3">
        <f>0+(440.8-133.4)+(0+(0-0))+0-0-0</f>
        <v>307.39999999999998</v>
      </c>
      <c r="V74" s="3">
        <f>0+(450.2-146.1)+(0+(-0.229602--0.074511))+0-0-0</f>
        <v>303.944909</v>
      </c>
      <c r="W74" s="3">
        <f>0+(514.8-200.2)+(0+(-0.525096--0.204204))+0-0-0</f>
        <v>314.27910799999995</v>
      </c>
      <c r="X74" s="3">
        <f>0+(569.9-249)+(0+(-1.453245--0.63495))+0-0-0</f>
        <v>320.081705</v>
      </c>
      <c r="Y74" s="3">
        <f>0+(431.5-115.7)+(0+(-0.44013--0.118014))+0-0-0</f>
        <v>315.47788400000002</v>
      </c>
      <c r="Z74" s="3">
        <f>0+(423.9-75.2)+(0+(-0.216189--0.038352))+0-0-0</f>
        <v>348.52216299999998</v>
      </c>
      <c r="AA74" s="3">
        <f>0+(449.5-103)+(0+(-0.91698--0.21012))+0-0-0</f>
        <v>345.79313999999999</v>
      </c>
      <c r="AB74" s="3">
        <f>0+(522.8-174.7)+(0+(-0.266628--0.089097))+0-0-0</f>
        <v>347.92246899999998</v>
      </c>
      <c r="AC74" s="3">
        <f>0+(553-236)+(0+(-1.41015--0.6018))+0-0-0</f>
        <v>316.19164999999998</v>
      </c>
      <c r="AD74" s="2">
        <v>336.20000000000005</v>
      </c>
      <c r="AE74" s="3">
        <f>0+(450.6-113.5)+(0+(0-0))+0-0.9-0</f>
        <v>336.20000000000005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0+(537.6-211.8)+(0+(0.274176-0.108018))+0-0-0</f>
        <v>325.96615800000001</v>
      </c>
      <c r="G75" s="3">
        <f>0+(497.2-180.8)+(0+(0-0))+0-0-0</f>
        <v>316.39999999999998</v>
      </c>
      <c r="H75" s="3">
        <f>0+(454.1-145.4)+(0+(0.926364-0.296616))+0-0-0</f>
        <v>309.32974800000005</v>
      </c>
      <c r="I75" s="3">
        <f>0+(369.2-58.9)+(0+(-1.129752--0.180234))+0-0-0</f>
        <v>309.350482</v>
      </c>
      <c r="J75" s="3">
        <f>0+(346.6-40.3)+(0+(-0.176766--0.020553))+0-0-0</f>
        <v>306.14378700000003</v>
      </c>
      <c r="K75" s="3">
        <f>0+(364.7-71.2)+(0+(-1.115982--0.217872))+0-0-0</f>
        <v>292.60189000000003</v>
      </c>
      <c r="L75" s="3">
        <f>0+(368.7-86.7)+(0+(-0.940185--0.221085))+0-0-0</f>
        <v>281.28089999999997</v>
      </c>
      <c r="M75" s="3">
        <f>0+(474.8-176.4)+(0+(0-0))+0-0-0</f>
        <v>298.39999999999998</v>
      </c>
      <c r="N75" s="3">
        <f>0+(664.1-334.4)+(0+(0-0))+0-1.4-0</f>
        <v>328.30000000000007</v>
      </c>
      <c r="O75" s="3">
        <f>54.1+(537.3-251)+(0+(0-0))+0-1.3-0</f>
        <v>339.09999999999997</v>
      </c>
      <c r="P75" s="3">
        <f>119.1+(456.7-227.4)+(-0.060741+(-0.232917--0.115974))+0-1.6--0.000815999999999838</f>
        <v>346.62313199999994</v>
      </c>
      <c r="Q75" s="3">
        <f>118.2+(451.1-217.1)+(-0.060282+(-0.230061--0.110721))+0-1.4--0.000713999999999858</f>
        <v>350.62109200000009</v>
      </c>
      <c r="R75" s="3">
        <f>117.1+(466.4-232.9)+(-0.059721+(-0.237864--0.118779))+0-1.5--0.000764999999999848</f>
        <v>348.92195899999996</v>
      </c>
      <c r="S75" s="3">
        <f>116.4+(460.2-237.4)+(-0.059364+(-0.234702--0.121074))+0-1.3--0.000662999999999868</f>
        <v>337.72767099999993</v>
      </c>
      <c r="T75" s="3">
        <f>115.7+(459.4-241.3)+(-0.118014+(-0.468588--0.246126))+0-1.2--0.00122400000000019</f>
        <v>332.26074799999992</v>
      </c>
      <c r="U75" s="3">
        <f>115+(455.7-249.9)+(-0.1173+(-0.464814--0.254898))+0-1.2--0.00122400000000019</f>
        <v>319.27400799999992</v>
      </c>
      <c r="V75" s="3">
        <f>115+(464.3-262.8)+(-0.17595+(-0.710379--0.402084))+0-1.2--0.00183600000000007</f>
        <v>314.81759100000005</v>
      </c>
      <c r="W75" s="3">
        <f>115.2+(532.3-333.4)+(-0.176256+(-0.814419--0.510102))+0-1.2--0.00183600000000007</f>
        <v>312.42126300000001</v>
      </c>
      <c r="X75" s="3">
        <f>118.5+(582.2-389.1)+(-0.302175+(-1.48461--0.992205))+0-1.3--0.00331499999999981</f>
        <v>309.508735</v>
      </c>
      <c r="Y75" s="3">
        <f>119.9+(461.6-275.3)+(-0.244596+(-0.941664--0.561612))+0-1.3--0.00265199999999994</f>
        <v>304.27800400000007</v>
      </c>
      <c r="Z75" s="3">
        <f>188.5+(425.2-282.2)+(-0.19227+(-0.433704--0.287844))+0-1.3--0.00132600000000021</f>
        <v>329.86319600000002</v>
      </c>
      <c r="AA75" s="3">
        <f>239.2+(461.6-364.5)+(-0.60996+(-1.17708--0.929475))+0-0-0</f>
        <v>335.44243499999999</v>
      </c>
      <c r="AB75" s="3">
        <f>139.8+(557.1-363.8)+(-0.285192+(-1.136484--0.742152))+0-1.3--0.00265199999999994</f>
        <v>331.12312800000001</v>
      </c>
      <c r="AC75" s="3">
        <f>0+(615.1-296.6)+(0+(-0.313701--0.151266))+0-1.4--0.000713999999999858</f>
        <v>316.93827900000002</v>
      </c>
      <c r="AD75" s="2">
        <v>336.6</v>
      </c>
      <c r="AE75" s="3">
        <f>238+(479.6-379.6)+(0+(0-0))+0-1.4-0</f>
        <v>336.6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0+(585.1-267.1)+(0+(0-0))+0-1.4-0</f>
        <v>316.60000000000002</v>
      </c>
      <c r="G76" s="3">
        <f>0+(558.9-249.5)+(0+(-0.570078--0.25449))+0-1.4--0.00142800000000022</f>
        <v>307.68583999999998</v>
      </c>
      <c r="H76" s="3">
        <f>0+(584.2-282.2)+(0+(0.297942-0.143922))+0-1.4-0.000713999999999858</f>
        <v>300.75330600000007</v>
      </c>
      <c r="I76" s="3">
        <f>0+(558.7-264.1)+(0+(0.569874-0.269382))+0-1.4-0.00142800000000022</f>
        <v>293.49906400000009</v>
      </c>
      <c r="J76" s="3">
        <f>0+(542.8-241.5)+(0+(-0.553656--0.24633))+0-1.2--0.00122400000000019</f>
        <v>299.79389799999996</v>
      </c>
      <c r="K76" s="3">
        <f>0+(476.2-180.2)+(0+(-0.485724--0.183804))+0-1.4--0.00142800000000022</f>
        <v>294.299508</v>
      </c>
      <c r="L76" s="3">
        <f>0+(401.3-127.3)+(0+(-1.227978--0.389538))+0-1.3--0.00397800000000015</f>
        <v>271.86553800000002</v>
      </c>
      <c r="M76" s="3">
        <f>0+(399.7-115.4)+(0+(0.815388-0.235416))+0-1.3-0.00265199999999994</f>
        <v>283.57731999999993</v>
      </c>
      <c r="N76" s="3">
        <f>0+(459.2-169.8)+(0+(0-0))+0-1.4-0</f>
        <v>288</v>
      </c>
      <c r="O76" s="3">
        <f>0+(485.9-187.6)+(0+(-0.247809--0.095676))+0-1.5--0.000764999999999848</f>
        <v>296.64863199999996</v>
      </c>
      <c r="P76" s="3">
        <f>0+(478.9-177.4)+(0+(0-0))+0-1.6-0</f>
        <v>299.89999999999998</v>
      </c>
      <c r="Q76" s="3">
        <f>0+(533.2-225.9)+(0+(0-0))+0-1.6-0</f>
        <v>305.70000000000005</v>
      </c>
      <c r="R76" s="3">
        <f>0+(563.1-263.5)+(0+(0-0))+0-1.6-0</f>
        <v>298</v>
      </c>
      <c r="S76" s="3">
        <f>0+(541-253.6)+(0+(-1.10364--0.517344))+0-1.6--0.00326399999999993</f>
        <v>285.21696799999995</v>
      </c>
      <c r="T76" s="3">
        <f>0+(556.7-260.7)+(0+(0.283917-0.132957))+0-1.7-0.000866999999999828</f>
        <v>294.45009300000004</v>
      </c>
      <c r="U76" s="3">
        <f>0+(555.3-262)+(0+(-0.283203--0.13362))+0-1.8--0.000917999999999817</f>
        <v>291.35133499999995</v>
      </c>
      <c r="V76" s="3">
        <f>0+(590.1-306)+(0+(0.601902-0.31212))+0-1.9-0.0019380000000003</f>
        <v>282.48784400000005</v>
      </c>
      <c r="W76" s="3">
        <f>0+(597.5-312)+(0+(-0.914175--0.47736))+0-1.9--0.00290700000000011</f>
        <v>283.16609199999999</v>
      </c>
      <c r="X76" s="3">
        <f>0+(603.4-313)+(0+(-0.615468--0.31926))+0-1.8--0.00183600000000029</f>
        <v>288.30562800000001</v>
      </c>
      <c r="Y76" s="3">
        <f>0+(530.5-238.5)+(0+(-0.54111--0.24327))+0-1.8--0.00183600000000029</f>
        <v>289.90399600000001</v>
      </c>
      <c r="Z76" s="3">
        <f>0+(602.7-286.8)+(0+(0-0))+0-1.8-0</f>
        <v>314.10000000000002</v>
      </c>
      <c r="AA76" s="3">
        <f>0+(585.4-262.6)+(0+(-0.895662--0.401778))+0-1.9--0.00290700000000011</f>
        <v>320.40902299999999</v>
      </c>
      <c r="AB76" s="3">
        <f>0+(648.7-334)+(0+(-0.661674--0.34068))+0-1.9--0.0019380000000003</f>
        <v>312.48094400000008</v>
      </c>
      <c r="AC76" s="3">
        <f>0+(618.8-315.4)+(0+(0.631176-0.321708))+0-1.9-0.0019380000000003</f>
        <v>301.80752999999999</v>
      </c>
      <c r="AD76" s="2">
        <v>315.60000000000002</v>
      </c>
      <c r="AE76" s="3">
        <f>0+(613.5-295.9)+(0+(0-0))+0-2-0</f>
        <v>315.60000000000002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0+(610.9-305.3)+(0+(-0.623118--0.311406))+0-1.8--0.00183600000000029</f>
        <v>303.49012399999998</v>
      </c>
      <c r="G77" s="3">
        <f>0+(514.3-218.2)+(0+(0.524586-0.222564))+0-1.9-0.0019380000000003</f>
        <v>294.50008400000002</v>
      </c>
      <c r="H77" s="3">
        <f>0+(498.4-210.1)+(0+(-0.254184--0.107151))+0-1.9--0.000968999999999807</f>
        <v>286.25393599999995</v>
      </c>
      <c r="I77" s="3">
        <f>0+(533.3-252.2)+(0+(0-0))+0-1.9-0</f>
        <v>279.2</v>
      </c>
      <c r="J77" s="3">
        <f>0+(509.6-228.7)+(0+(-0.779688--0.349911))+0-1.8--0.0027540000000001</f>
        <v>278.672977</v>
      </c>
      <c r="K77" s="3">
        <f>0+(463.1-193.9)+(0+(-0.472362--0.197778))+0-1.8--0.00183600000000029</f>
        <v>267.12725200000006</v>
      </c>
      <c r="L77" s="3">
        <f>0+(401-141)+(0+(-1.02255--0.35955))+0-1.8--0.00458999999999974</f>
        <v>257.54158999999999</v>
      </c>
      <c r="M77" s="3">
        <f>0+(387.4-118.2)+(0+(0.592722-0.180846))+0-1.8-0.0027540000000001</f>
        <v>267.809122</v>
      </c>
      <c r="N77" s="3">
        <f>0+(440.8-168.2)+(0+(0.224808-0.085782))+0-1.9-0.000968999999999807</f>
        <v>270.83805700000005</v>
      </c>
      <c r="O77" s="3">
        <f>0+(540.5-259.7)+(0+(0.55131-0.264894))+0-1.8-0.00183600000000029</f>
        <v>279.28457999999995</v>
      </c>
      <c r="P77" s="3">
        <f>0+(619.7-331.3)+(0+(0-0))+0-1.8-0</f>
        <v>286.60000000000002</v>
      </c>
      <c r="Q77" s="3">
        <f>33+(607.1-349.5)+(-0.05049+(-0.928863--0.534735))+0-1.9--0.00290700000000011</f>
        <v>288.25828900000005</v>
      </c>
      <c r="R77" s="3">
        <f>54.4+(587.2-351.4)+(0.027744+(0.299472-0.179214))+0-1.9-0.000968999999999807</f>
        <v>288.44703300000009</v>
      </c>
      <c r="S77" s="3">
        <f>119.1+(511.3-346.4)+(-0.303705+(-1.303815--0.88332))+0-2--0.00509999999999971</f>
        <v>281.28090000000003</v>
      </c>
      <c r="T77" s="3">
        <f>119+(509.1-343.2)+(-0.30345+(-1.298205--0.87516))+0-1.9--0.00484499999999972</f>
        <v>282.27835000000005</v>
      </c>
      <c r="U77" s="3">
        <f>120+(518.9-356.6)+(0+(0-0))+0-2.2-0</f>
        <v>280.09999999999997</v>
      </c>
      <c r="V77" s="3">
        <f>94.7+(496-304.3)+(-0.144891+(-0.75888--0.465579))+0-2.3--0.00351900000000013</f>
        <v>283.66532699999993</v>
      </c>
      <c r="W77" s="3">
        <f>13.8+(520-248.7)+(-0.03519+(-1.326--0.634185))+0-2.3--0.00586499999999967</f>
        <v>282.07885999999996</v>
      </c>
      <c r="X77" s="3">
        <f>0+(538.8-250.2)+(0+(-1.37394--0.63801))+0-2.2--0.00560999999999968</f>
        <v>285.66967999999997</v>
      </c>
      <c r="Y77" s="3">
        <f>0+(521.5-238.8)+(0+(-0.797895--0.365364))+0-1.7--0.0026010000000001</f>
        <v>280.57007000000004</v>
      </c>
      <c r="Z77" s="3">
        <f>0+(584.9-262.4)+(0+(0.596598-0.267648))+0-2.4-0.00244800000000038</f>
        <v>320.42650200000003</v>
      </c>
      <c r="AA77" s="3">
        <f>0+(574.5-250)+(0+(-0.292995--0.1275))+0-2.4--0.00122399999999976</f>
        <v>321.93572899999998</v>
      </c>
      <c r="AB77" s="3">
        <f>0+(613.3-299)+(0+(-0.938349--0.45747))+0-2.3--0.00351900000000013</f>
        <v>311.52263999999991</v>
      </c>
      <c r="AC77" s="3">
        <f>0+(644.8-337)+(0+(-0.657696--0.34374))+0-2.2--0.00224400000000035</f>
        <v>305.28828799999997</v>
      </c>
      <c r="AD77" s="2">
        <v>317.39999999999998</v>
      </c>
      <c r="AE77" s="3">
        <f>0+(597.8-278)+(0+(0-0))+0-2.4-0</f>
        <v>317.39999999999998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0+(631.6-325.6)+(0+(0-0))+0-2.3-0</f>
        <v>303.7</v>
      </c>
      <c r="G78" s="3">
        <f>0+(525.8-215.8)+(0+(-1.072632--0.440232))+0-2.2--0.0044879999999999</f>
        <v>307.17208799999992</v>
      </c>
      <c r="H78" s="3">
        <f>0+(529.5-238.8)+(0+(-1.350225--0.60894))+0-2.3--0.00586499999999967</f>
        <v>287.66457999999994</v>
      </c>
      <c r="I78" s="3">
        <f>0+(449.8-153.7)+(0+(-0.458796--0.156774))+0-2.4--0.00244800000000038</f>
        <v>293.40042600000004</v>
      </c>
      <c r="J78" s="3">
        <f>0+(445.1-142.5)+(0+(-0.227001--0.072675))+0-2.4--0.00122399999999976</f>
        <v>300.046898</v>
      </c>
      <c r="K78" s="3">
        <f>0+(486.4-206)+(0+(-0.248064--0.10506))+0-2.4--0.00122399999999976</f>
        <v>277.85821999999996</v>
      </c>
      <c r="L78" s="3">
        <f>0+(458.8-178.8)+(0+(0-0))+0-2.4-0</f>
        <v>277.60000000000002</v>
      </c>
      <c r="M78" s="3">
        <f>0+(573.5-279.4)+(0+(0.877455-0.427482))+0-2.5-0.00382500000000014</f>
        <v>292.04614800000002</v>
      </c>
      <c r="N78" s="3">
        <f>60.2+(603.7-331)+(-0.092106+(-0.923661--0.50643))+0-2.9--0.00443700000000017</f>
        <v>329.49510000000004</v>
      </c>
      <c r="O78" s="3">
        <f>197.4+(579.3-424.3)+(0+(0-0))+0-2.8-0</f>
        <v>349.59999999999997</v>
      </c>
      <c r="P78" s="3">
        <f>242+(545.5-417.6)+(0+(0-0))+0-2.8-0</f>
        <v>367.09999999999997</v>
      </c>
      <c r="Q78" s="3">
        <f>242.3+(544.3-410.8)+(0+(0-0))+0-2.6-0</f>
        <v>373.19999999999993</v>
      </c>
      <c r="R78" s="3">
        <f>240.1+(541.9-406.8)+(0.244902+(0.552738-0.414936))+0-2.8-0.00285600000000045</f>
        <v>372.7798479999999</v>
      </c>
      <c r="S78" s="3">
        <f>237.6+(507.7-389.6)+(-0.121176+(-0.258927--0.198696))+0-0-0</f>
        <v>355.51859299999995</v>
      </c>
      <c r="T78" s="3">
        <f>238.7+(499.6-384.5)+(-0.121737+(-0.254796--0.196095))+0--4.7-0.00239699999999952</f>
        <v>358.31716500000005</v>
      </c>
      <c r="U78" s="3">
        <f>237+(508.7-397.2)+(0+(0-0))+0--4.5-0</f>
        <v>353</v>
      </c>
      <c r="V78" s="3">
        <f>231+(507.9-395.5)+(-0.47124+(-1.036116--0.80682))+0--4.6-0.0093839999999998</f>
        <v>347.29007999999999</v>
      </c>
      <c r="W78" s="3">
        <f>229.3+(509.4-401.9)+(-0.701658+(-1.558764--1.229814))+0--4.7-0.0143820000000005</f>
        <v>340.45501000000002</v>
      </c>
      <c r="X78" s="3">
        <f>227.7+(560.1-455)+(-1.045143+(-2.570859--2.08845))+0--4.7-0.0215730000000008</f>
        <v>335.950875</v>
      </c>
      <c r="Y78" s="3">
        <f>155.9+(438.9-264.9)+(-0.397545+(-1.119195--0.675495))+0--4.6-0.0117299999999993</f>
        <v>333.64702499999999</v>
      </c>
      <c r="Z78" s="3">
        <f>191.8+(388.9-240.5)+(-0.293454+(-0.595017--0.367965))+0--4.5-0.00688500000000026</f>
        <v>344.17260899999997</v>
      </c>
      <c r="AA78" s="3">
        <f>240.5+(398.9-285.9)+(-0.122655+(-0.203439--0.145809))+0--4.2-0.00214199999999957</f>
        <v>357.51757299999997</v>
      </c>
      <c r="AB78" s="3">
        <f>196.4+(485.6-333.5)+(-0.50082+(-1.23828--0.850425))+0-2.8--0.00713999999999959</f>
        <v>344.818465</v>
      </c>
      <c r="AC78" s="3">
        <f>123.9+(527.8-312.3)+(-0.252756+(-1.076712--0.637092))+0-3--0.00611999999999987</f>
        <v>335.71374399999996</v>
      </c>
      <c r="AD78" s="2">
        <v>358.09999999999997</v>
      </c>
      <c r="AE78" s="3">
        <f>239+(398-283.3)+(0+(0-0))+0--4.4-0</f>
        <v>358.09999999999997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0+(399.2-57.2)+(0+(-0.203592--0.029172))+0-3.1--0.00158099999999969</f>
        <v>338.72716099999997</v>
      </c>
      <c r="G79" s="3">
        <f>0+(393.6-66.6)+(0+(0-0))+0-3.1-0</f>
        <v>323.89999999999998</v>
      </c>
      <c r="H79" s="3">
        <f>0+(384.8-62)+(0+(-0.196248--0.03162))+0-3.1--0.00158099999999969</f>
        <v>319.53695299999998</v>
      </c>
      <c r="I79" s="3">
        <f>0+(387.7-71.7)+(0+(-0.593181--0.109701))+0-3.1--0.00474300000000018</f>
        <v>312.42126300000001</v>
      </c>
      <c r="J79" s="3">
        <f>0+(373.3-61.6)+(0+(-0.571149--0.094248))+0-3.1--0.00474300000000018</f>
        <v>308.12784199999999</v>
      </c>
      <c r="K79" s="3">
        <f>0+(417.5-120.4)+(0+(-1.064625--0.30702))+0-2.7--0.00688499999999961</f>
        <v>293.64928000000003</v>
      </c>
      <c r="L79" s="3">
        <f>0+(400.2-104.8)+(0+(-0.612306--0.160344))+0-2.7--0.00413100000000016</f>
        <v>292.25216899999998</v>
      </c>
      <c r="M79" s="3">
        <f>0+(441.6-121.9)+(0+(0.675648-0.186507))+0-3.1-0.00474300000000018</f>
        <v>317.08439800000002</v>
      </c>
      <c r="N79" s="3">
        <f>0+(623-291.5)+(0+(1.58865-0.743325))+0-3.4-0.00866999999999951</f>
        <v>328.93665500000003</v>
      </c>
      <c r="O79" s="3">
        <f>36.6+(733.9-378.4)+(0.037332+(0.748578-0.385968))+0-2.6-0.00265200000000041</f>
        <v>389.89729</v>
      </c>
      <c r="P79" s="3">
        <f>149.4+(611.2-354.1)+(-0.228582+(-0.935136--0.541773))+0-2.6--0.00397800000000015</f>
        <v>403.28203300000001</v>
      </c>
      <c r="Q79" s="3">
        <f>231.2+(537.7-375.4)+(0.353736+(0.822681-0.574362))+0-3.2-0.00489600000000018</f>
        <v>390.8971590000001</v>
      </c>
      <c r="R79" s="3">
        <f>238.2+(472.9-332)+(0+(0-0))+0-3.3-0</f>
        <v>375.79999999999995</v>
      </c>
      <c r="S79" s="3">
        <f>236.8+(457.9-337.2)+(-0.120768+(-0.233529--0.171972))+0-3--0.0015299999999997</f>
        <v>354.31920500000001</v>
      </c>
      <c r="T79" s="3">
        <f>235.6+(430.7-310.7)+(-0.120156+(-0.219657--0.158457))+0-3--0.0015299999999997</f>
        <v>352.42017400000003</v>
      </c>
      <c r="U79" s="3">
        <f>234.3+(398-283.3)+(0.119493+(0.20298-0.144483))+0-3.1-0.00158099999999969</f>
        <v>346.07640900000001</v>
      </c>
      <c r="V79" s="3">
        <f>233+(414.8-305.4)+(-0.23766+(-0.423096--0.311508))+0-3.3--0.00336600000000053</f>
        <v>338.75411800000006</v>
      </c>
      <c r="W79" s="3">
        <f>232.9+(434.9-325.3)+(-0.475116+(-0.887196--0.663612))+0-2.7--0.00550799999999988</f>
        <v>339.10680800000006</v>
      </c>
      <c r="X79" s="3">
        <f>233.1+(504.2-400)+(-0.237762+(-0.514284--0.408))+0-3.2--0.00326400000000051</f>
        <v>333.75921799999998</v>
      </c>
      <c r="Y79" s="3">
        <f>196.8+(493.4-354)+(-0.401472+(-1.006536--0.72216))+0-3.2--0.00652799999999986</f>
        <v>332.32067999999998</v>
      </c>
      <c r="Z79" s="3">
        <f>186.7+(391.8-221.4)+(-0.095217+(-0.199818--0.112914))+0-3.2--0.00163199999999968</f>
        <v>353.71951100000001</v>
      </c>
      <c r="AA79" s="3">
        <f>230.4+(372.6-239)+(-0.352512+(-0.570078--0.36567))+0-3.1--0.00474300000000018</f>
        <v>360.34782300000001</v>
      </c>
      <c r="AB79" s="3">
        <f>231.4+(463.2-334.2)+(0+(0-0))+0-3.2-0</f>
        <v>357.2</v>
      </c>
      <c r="AC79" s="3">
        <f>212.9+(536.1-397.7)+(-0.325737+(-0.820233--0.608481))+0-3.3--0.00504900000000019</f>
        <v>347.46756000000005</v>
      </c>
      <c r="AD79" s="2">
        <v>361.5</v>
      </c>
      <c r="AE79" s="3">
        <f>231+(430.4-296.9)+(0+(0-0))+0-3-0</f>
        <v>361.5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37.5+(536.9-231.5)+(-0.03825+(-0.547638--0.23613))+0-3.6--0.00367200000000057</f>
        <v>338.95391399999994</v>
      </c>
      <c r="G80" s="3">
        <f>0+(508.3-177.8)+(0+(-0.518466--0.181356))+0-3.7--0.00377400000000059</f>
        <v>326.46666400000004</v>
      </c>
      <c r="H80" s="3">
        <f>0+(464.2-144.8)+(0+(0-0))+0-3.7-0</f>
        <v>315.7</v>
      </c>
      <c r="I80" s="3">
        <f>0+(449.4-141.8)+(0+(-0.229194--0.072318))+0-2.5--0.00127499999999975</f>
        <v>304.94439899999998</v>
      </c>
      <c r="J80" s="3">
        <f>0+(414-99.6)+(0+(-0.63342--0.152388))+0-3.6--0.00550800000000021</f>
        <v>310.32447599999995</v>
      </c>
      <c r="K80" s="3">
        <f>0+(423.3-114.9)+(0+(-0.431766--0.117198))+0-3.4--0.00346800000000054</f>
        <v>304.68889999999999</v>
      </c>
      <c r="L80" s="3">
        <f>0+(403.5-96.4)+(0+(-0.82314--0.196656))+0-3.6--0.00734399999999984</f>
        <v>302.88085999999998</v>
      </c>
      <c r="M80" s="3">
        <f>0+(460.7-132.3)+(0+(0.704871-0.202419))+0-3.9-0.00596700000000023</f>
        <v>324.99648500000001</v>
      </c>
      <c r="N80" s="3">
        <f>0+(565.8-211.9)+(0+(0.865674-0.324207))+0-3.9-0.00596700000000023</f>
        <v>350.53550000000001</v>
      </c>
      <c r="O80" s="3">
        <f>120.4+(560.2-307.7)+(0+(0-0))+0-3.8-0</f>
        <v>369.10000000000008</v>
      </c>
      <c r="P80" s="3">
        <f>221.7+(461.9-302.3)+(0.113067+(0.235569-0.154173))+0-2.7-0.00137699999999973</f>
        <v>378.79308599999996</v>
      </c>
      <c r="Q80" s="3">
        <f>221.3+(400.1-238.1)+(0+(0-0))+0-3.6-0</f>
        <v>379.70000000000005</v>
      </c>
      <c r="R80" s="3">
        <f>223+(393.7-236.4)+(0+(0-0))+0-3.5-0</f>
        <v>376.79999999999995</v>
      </c>
      <c r="S80" s="3">
        <f>222.3+(383.6-247.5)+(-0.340119+(-0.586908--0.378675))+0-3.8--0.00581400000000022</f>
        <v>354.05746199999999</v>
      </c>
      <c r="T80" s="3">
        <f>222.2+(374.5-242.5)+(-0.226644+(-0.38199--0.24735))+0-4.1--0.00418200000000065</f>
        <v>349.74289799999997</v>
      </c>
      <c r="U80" s="3">
        <f>221+(356.7-235.1)+(-0.45084+(-0.727668--0.479604))+0-3.9--0.00795599999999983</f>
        <v>338.009052</v>
      </c>
      <c r="V80" s="3">
        <f>221.8+(386.4-272.6)+(0.113118+(0.197064-0.139026))+0-4.1-0.00209099999999958</f>
        <v>331.66906499999993</v>
      </c>
      <c r="W80" s="3">
        <f>219.9+(443.2-333.6)+(0+(0-0))+0-3.9-0</f>
        <v>325.60000000000002</v>
      </c>
      <c r="X80" s="3">
        <f>219+(507.9-406.3)+(-0.22338+(-0.518058--0.414426))+0-2.5--0.0025500000000004</f>
        <v>317.77553799999993</v>
      </c>
      <c r="Y80" s="3">
        <f>137+(219.4-35.4)+(-0.06987+(-0.111894--0.018054))+0-3.5--0.00178499999999964</f>
        <v>317.338075</v>
      </c>
      <c r="Z80" s="3">
        <f>143.7+(319.2-117)+(0.146574+(0.325584-0.11934))+0-4.2-0.00428400000000067</f>
        <v>342.04853400000002</v>
      </c>
      <c r="AA80" s="3">
        <f>228.7+(455.1-325.7)+(-0.349911+(-0.696303--0.498321))+0-4.4--0.00673200000000026</f>
        <v>353.15883900000006</v>
      </c>
      <c r="AB80" s="3">
        <f>228.5+(481.2-354.7)+(-0.23307+(-0.490824--0.361794))+0-4.5--0.00459000000000072</f>
        <v>350.14249000000001</v>
      </c>
      <c r="AC80" s="3">
        <f>211.8+(495.4-357.2)+(0.108018+(0.252654-0.182172))+0-4.4-0.00224399999999955</f>
        <v>345.77625599999999</v>
      </c>
      <c r="AD80" s="2">
        <v>347.49999999999994</v>
      </c>
      <c r="AE80" s="3">
        <f>230+(496.8-375)+(0+(0-0))+0-4.3-0</f>
        <v>347.5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81.1+(554.9-290.7)+(-0.041361+(-0.282999--0.148257))+0-4--0.00203999999999959</f>
        <v>341.12593699999996</v>
      </c>
      <c r="G81" s="3">
        <f>18.3+(525.3-211.6)+(-0.009333+(-0.267903--0.107916))+0-4.4--0.00224399999999955</f>
        <v>327.43292399999996</v>
      </c>
      <c r="H81" s="3">
        <f>0+(504.4-178.3)+(0+(0-0))+0-4.7-0</f>
        <v>321.39999999999998</v>
      </c>
      <c r="I81" s="3">
        <f>0+(483.7-162.6)+(0+(0-0))+0-4.6-0</f>
        <v>316.5</v>
      </c>
      <c r="J81" s="3">
        <f>0+(401-88.3)+(0+(-0.81804--0.180132))+0-4.5--0.0091799999999998</f>
        <v>307.57127200000002</v>
      </c>
      <c r="K81" s="3">
        <f>0+(393.3-89.8)+(0+(-1.002915--0.22899))+0-4.6--0.0117299999999993</f>
        <v>298.13780499999996</v>
      </c>
      <c r="L81" s="3">
        <f>0+(391.7-102.6)+(0+(-0.998835--0.26163))+0-3.7--0.00943499999999946</f>
        <v>284.67223000000001</v>
      </c>
      <c r="M81" s="3">
        <f>0+(370.1-82.5)+(0+(0.377502-0.08415))+0-3.6-0.00367200000000057</f>
        <v>284.28968000000003</v>
      </c>
      <c r="N81" s="3">
        <f>0+(381-81.2)+(0+(-0.19431--0.041412))+0-4.3--0.00219299999999956</f>
        <v>295.34929499999998</v>
      </c>
      <c r="O81" s="3">
        <f>0+(448.5-144.3)+(0+(-0.45747--0.147186))+0-0-0</f>
        <v>303.88971599999996</v>
      </c>
      <c r="P81" s="3">
        <f>0+(438.2-127.1)+(0+(0-0))+0-0-0</f>
        <v>311.10000000000002</v>
      </c>
      <c r="Q81" s="3">
        <f>0+(530.7-213.7)+(0+(0.270657-0.108987))+0-0-0</f>
        <v>317.16167000000007</v>
      </c>
      <c r="R81" s="3">
        <f>0+(503.4-184)+(0+(0.513468-0.18768))+0-1.4-0.00142800000000022</f>
        <v>318.32436000000001</v>
      </c>
      <c r="S81" s="3">
        <f>0+(438.7-122.7)+(0+(-0.223737--0.062577))+0-6.2--0.00316199999999937</f>
        <v>309.64200199999999</v>
      </c>
      <c r="T81" s="3">
        <f>0+(445-126.9)+(0+(0-0))+0-8.7-0</f>
        <v>309.40000000000003</v>
      </c>
      <c r="U81" s="3">
        <f>0+(470.2-158.1)+(0+(-0.479604--0.161262))+0-9.7--0.00989400000000155</f>
        <v>302.09155200000004</v>
      </c>
      <c r="V81" s="3">
        <f>0+(480.6-170.2)+(0+(0-0))+0-9.6-0</f>
        <v>300.8</v>
      </c>
      <c r="W81" s="3">
        <f>0+(542.7-225.9)+(0+(-0.553554--0.230418))+0-9.6--0.00979200000000153</f>
        <v>306.88665600000007</v>
      </c>
      <c r="X81" s="3">
        <f>0+(594.5-282.5)+(0+(-0.60639--0.28815))+0-9.8--0.00999600000000156</f>
        <v>301.89175599999999</v>
      </c>
      <c r="Y81" s="3">
        <f>0+(537.6-227.7)+(0+(-0.548352--0.232254))+0-6--0.00612000000000096</f>
        <v>303.59002200000003</v>
      </c>
      <c r="Z81" s="3">
        <f>0+(476.5-134.3)+(0+(0.48603-0.136986))+0-9.4-0.0095880000000015</f>
        <v>333.139456</v>
      </c>
      <c r="AA81" s="3">
        <f>0+(464.5-112)+(0+(-0.236895--0.05712))+0-9.8--0.00499799999999901</f>
        <v>342.52522299999998</v>
      </c>
      <c r="AB81" s="3">
        <f>0+(535.5-184.5)+(0+(0.54621-0.18819))+0-9.7-0.00989400000000155</f>
        <v>341.64812600000005</v>
      </c>
      <c r="AC81" s="3">
        <f>0+(587.5-244.1)+(0+(-0.59925--0.248982))+0-9.8--0.00999600000000156</f>
        <v>333.25972799999994</v>
      </c>
      <c r="AD81" s="2">
        <v>341.4</v>
      </c>
      <c r="AE81" s="3">
        <f>0+(466.2-114.7)+(0+(0-0))+0-10.1-0</f>
        <v>341.4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0+(592.3-260.3)+(0+(-0.302073--0.132753))+0-9.4--0.00479399999999905</f>
        <v>322.43547399999994</v>
      </c>
      <c r="G82" s="3">
        <f>0+(451.8-133.4)+(0+(-1.15209--0.34017))+0-9.9--0.0252449999999986</f>
        <v>307.713325</v>
      </c>
      <c r="H82" s="3">
        <f>0+(367.7-60.8)+(0+(-0.375054--0.062016))+0-9.8--0.00999600000000156</f>
        <v>296.79695799999996</v>
      </c>
      <c r="I82" s="3">
        <f>0+(370.6-66.5)+(0+(-0.378012--0.06783))+0-9.2--0.00938400000000147</f>
        <v>294.59920200000005</v>
      </c>
      <c r="J82" s="3">
        <f>0+(312.4-8)+(0+(-0.159324--0.00408))+0-6.2--0.00316199999999937</f>
        <v>298.04791799999998</v>
      </c>
      <c r="K82" s="3">
        <f>0+(364.6-70.1)+(0+(-0.92973--0.178755))+0-9.2--0.0234599999999987</f>
        <v>284.57248500000003</v>
      </c>
      <c r="L82" s="3">
        <f>0+(357.3-59)+(0+(-0.364446--0.06018))+0-9.9--0.0100980000000016</f>
        <v>288.10583200000008</v>
      </c>
      <c r="M82" s="3">
        <f>0+(424.3-95)+(0+(-1.081965--0.24225))+0-9.6--0.0244799999999986</f>
        <v>318.88476499999996</v>
      </c>
      <c r="N82" s="3">
        <f>32.1+(553.3-219.6)+(-0.016371+(-0.282183--0.111996))+0-9.4--0.00479399999999905</f>
        <v>356.21823599999999</v>
      </c>
      <c r="O82" s="3">
        <f>182.6+(539.8-340.9)+(-0.093126+(-0.275298--0.173859))+0-9.7--0.00494699999999902</f>
        <v>371.61038200000002</v>
      </c>
      <c r="P82" s="3">
        <f>389.1+(422.5-419.9)+(-0.396882+(-0.43095--0.428298))+0-9.6--0.00979200000000153</f>
        <v>381.71025800000001</v>
      </c>
      <c r="Q82" s="3">
        <f>455.9+(389.1-448.3)+(0+(0-0))+0-6.7-0</f>
        <v>390</v>
      </c>
      <c r="R82" s="3">
        <f>454.3+(356.3-407.8)+(-0.695079+(-0.545139--0.623934))+0-9.7--0.0148410000000006</f>
        <v>392.49855700000001</v>
      </c>
      <c r="S82" s="3">
        <f>451.8+(401.3-463)+(-0.921672+(-0.818652--0.94452))+0-9.9--0.0201959999999996</f>
        <v>379.42439200000007</v>
      </c>
      <c r="T82" s="3">
        <f>451+(412.5-470.7)+(0.46002+(0.42075-0.480114))+0-9.4-0.0095880000000015</f>
        <v>383.79106800000005</v>
      </c>
      <c r="U82" s="3">
        <f>447.4+(428.2-492.7)+(-0.228174+(-0.218382--0.251277))+0-9.5--0.00484499999999904</f>
        <v>373.20956599999994</v>
      </c>
      <c r="V82" s="3">
        <f>446.4+(421.6-494.7)+(-0.682992+(-0.645048--0.756891))+0-9.6--0.0146880000000006</f>
        <v>363.14353899999998</v>
      </c>
      <c r="W82" s="3">
        <f>130.1+(596.6-356.8)+(0+(0-0))+0-8.7-0</f>
        <v>361.2</v>
      </c>
      <c r="X82" s="3">
        <f>25.8+(670.1-337.5)+(-0.026316+(-0.683502--0.34425))+0-9.3--0.00948600000000148</f>
        <v>348.74391800000001</v>
      </c>
      <c r="Y82" s="3">
        <f>0+(667.9-315.4)+(0+(0-0))+0-5.9-0</f>
        <v>346.6</v>
      </c>
      <c r="Z82" s="3">
        <f>0+(575.7-199)+(0+(0.293607-0.10149))+0-8.9-0.0045389999999991</f>
        <v>367.98757800000004</v>
      </c>
      <c r="AA82" s="3">
        <f>0+(543.3-154.9)+(0+(-1.108332--0.315996))+0-9.4--0.0191759999999996</f>
        <v>378.22684000000004</v>
      </c>
      <c r="AB82" s="3">
        <f>0+(475.2-94.1)+(0+(-1.21176--0.239955))+0-9--0.0229499999999987</f>
        <v>371.15114499999999</v>
      </c>
      <c r="AC82" s="3">
        <f>0+(427.9-64.9)+(0+(-0.654687--0.099297))+0-9.1--0.0139230000000005</f>
        <v>353.35853299999997</v>
      </c>
      <c r="AD82" s="2">
        <v>379.70000000000005</v>
      </c>
      <c r="AE82" s="3">
        <f>0+(560.2-170.8)+(0+(0-0))+0-9.7-0</f>
        <v>379.70000000000005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0+(379-26.5)+(0+(-0.96645--0.067575))+0-9.3--0.0237149999999987</f>
        <v>342.32483999999999</v>
      </c>
      <c r="G83" s="3">
        <f>0+(351.5-10)+(0+(-0.35853--0.0102))+0-9.4--0.0095880000000015</f>
        <v>331.76125800000005</v>
      </c>
      <c r="H83" s="3">
        <f>0+(359.9-20.8)+(0+(0.183549-0.010608))+0-5.8-0.00295799999999941</f>
        <v>333.46998299999996</v>
      </c>
      <c r="I83" s="3">
        <f>0+(347.4-13.6)+(0+(0.708696-0.027744))+0-9.2-0.0187679999999996</f>
        <v>325.26218399999993</v>
      </c>
      <c r="J83" s="3">
        <f>0+(340.2-10.8)+(0+(-0.520506--0.016524))+0-9.2--0.0140760000000005</f>
        <v>319.71009399999997</v>
      </c>
      <c r="K83" s="3">
        <f>0+(348.4-28.9)+(0+(-0.88842--0.073695))+0-8.9--0.0226949999999987</f>
        <v>309.80797000000001</v>
      </c>
      <c r="L83" s="3">
        <f>0+(355-32.9)+(0+(-0.3621--0.033558))+0-9.5--0.00969000000000152</f>
        <v>312.28114799999997</v>
      </c>
      <c r="M83" s="3">
        <f>0+(406.9-61.1)+(0+(0-0))+0-9.5-0</f>
        <v>336.29999999999995</v>
      </c>
      <c r="N83" s="3">
        <f>0+(422.9-47.6)+(0+(0.647037-0.072828))+0-9.1-0.0139230000000005</f>
        <v>366.76028599999995</v>
      </c>
      <c r="O83" s="3">
        <f>0+(473.5-89.5)+(0+(0-0))+0-5.5-0</f>
        <v>378.5</v>
      </c>
      <c r="P83" s="3">
        <f>0+(498.6-112.9)+(0+(0.254286-0.057579))+0-8.8-0.00448799999999911</f>
        <v>377.09221900000006</v>
      </c>
      <c r="Q83" s="3">
        <f>1.6+(510.6-121.5)+(-0.001632+(-0.520812--0.12393))+0-8.6--0.00877200000000137</f>
        <v>381.71025800000007</v>
      </c>
      <c r="R83" s="3">
        <f>96.3+(441.6-150.1)+(-0.049113+(-0.225216--0.076551))+0-8.7--0.00443699999999912</f>
        <v>378.90665899999999</v>
      </c>
      <c r="S83" s="3">
        <f>109.5+(405.1-147.3)+(-0.167535+(-0.619803--0.225369))+0-9--0.0137700000000005</f>
        <v>357.75180100000006</v>
      </c>
      <c r="T83" s="3">
        <f>109.6+(417.3-158)+(-0.167688+(-0.638469--0.24174))+0-8.9--0.0136170000000005</f>
        <v>359.44920000000002</v>
      </c>
      <c r="U83" s="3">
        <f>108.8+(415.5-157.6)+(-0.27744+(-1.059525--0.40188))+0-8.8--0.0224399999999987</f>
        <v>356.98735499999998</v>
      </c>
      <c r="V83" s="3">
        <f>51+(495.7-185.8)+(-0.02601+(-0.252807--0.094758))+0-9--0.00458999999999909</f>
        <v>351.72053099999999</v>
      </c>
      <c r="W83" s="3">
        <f>49.9+(517.1-209.1)+(-0.101796+(-1.054884--0.426564))+0-4.8--0.00979199999999979</f>
        <v>352.37967599999996</v>
      </c>
      <c r="X83" s="3">
        <f>50+(540.6-236.6)+(-0.1275+(-1.37853--0.60333))+0-5.3--0.0135149999999992</f>
        <v>347.81081499999999</v>
      </c>
      <c r="Y83" s="3">
        <f>49.9+(509.3-202.9)+(-0.076347+(-0.779229--0.310437))+0-6.5--0.00994500000000038</f>
        <v>349.26480599999996</v>
      </c>
      <c r="Z83" s="3">
        <f>50.8+(471.6-147)+(0+(0-0))+0-8.5-0</f>
        <v>366.90000000000003</v>
      </c>
      <c r="AA83" s="3">
        <f>120.8+(417.9-152.9)+(-0.184824+(-0.639387--0.233937))+0-9.9--0.0151470000000006</f>
        <v>375.32487300000003</v>
      </c>
      <c r="AB83" s="3">
        <f>62+(486-168.6)+(-0.18972+(-1.48716--0.515916))+0-10.1--0.0309060000000012</f>
        <v>368.16994199999999</v>
      </c>
      <c r="AC83" s="3">
        <f>50+(410.4-107)+(0+(0-0))+0-10.3-0</f>
        <v>343.09999999999997</v>
      </c>
      <c r="AD83" s="2">
        <v>372.5</v>
      </c>
      <c r="AE83" s="3">
        <f>122+(424.5-164.1)+(0+(0-0))+0-9.9-0</f>
        <v>372.5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50+(299.4-9)+(-0.051+(-0.305388--0.00918))+0-10.3--0.0105060000000016</f>
        <v>329.76329799999996</v>
      </c>
      <c r="G84" s="3">
        <f>50+(325.6-43.2)+(0+(0-0))+0-10.4-0</f>
        <v>322.00000000000006</v>
      </c>
      <c r="H84" s="3">
        <f>49.9+(331.2-42.8)+(-0.025449+(-0.168912--0.021828))+0-10.5--0.00535499999999894</f>
        <v>327.63282199999998</v>
      </c>
      <c r="I84" s="3">
        <f>49.9+(319.2-32.1)+(-0.076347+(-0.488376--0.049113))+0-10.9--0.0166770000000006</f>
        <v>325.601067</v>
      </c>
      <c r="J84" s="3">
        <f>49.9+(317.9-27.7)+(-0.127245+(-0.810645--0.070635))+0-11.8--0.0300899999999983</f>
        <v>327.46283499999993</v>
      </c>
      <c r="K84" s="3">
        <f>49.9+(341.7-71.3)+(-0.127245+(-0.871335--0.181815))+0-12.1--0.0308549999999982</f>
        <v>307.41408999999993</v>
      </c>
      <c r="L84" s="3">
        <f>50+(360-90.1)+(-0.051+(-0.3672--0.091902))+0-11.6--0.0118320000000018</f>
        <v>307.98553399999997</v>
      </c>
      <c r="M84" s="3">
        <f>68.8+(411.7-137)+(0.105264+(0.629901-0.20961))+0-11.9-0.0182070000000007</f>
        <v>332.107348</v>
      </c>
      <c r="N84" s="3">
        <f>119.8+(466.9-207.8)+(-0.061098+(-0.238119--0.105978))+0-12.5--0.00637499999999873</f>
        <v>366.21313599999996</v>
      </c>
      <c r="O84" s="3">
        <f>119.8+(504.6-236.8)+(-0.122196+(-0.514692--0.241536))+0-12.8--0.013056000000002</f>
        <v>374.41770400000001</v>
      </c>
      <c r="P84" s="3">
        <f>119.6+(529.2-254.7)+(-0.121992+(-0.539784--0.259794))+0-13.5--0.0137700000000022</f>
        <v>380.21178800000007</v>
      </c>
      <c r="Q84" s="3">
        <f>120.4+(522.8-249.5)+(0.122808+(0.533256-0.25449))+0-9.7-0.00989400000000155</f>
        <v>384.39167999999995</v>
      </c>
      <c r="R84" s="3">
        <f>117.7+(469.1-197.3)+(0+(0-0))+0-0-0</f>
        <v>389.5</v>
      </c>
      <c r="S84" s="3">
        <f>115.7+(435.2-174.4)+(-0.059007+(-0.221952--0.088944))+0-0-0</f>
        <v>376.30798499999992</v>
      </c>
      <c r="T84" s="3">
        <f>114.8+(445.4-181.3)+(0.058548+(0.227154-0.092463))+0-1.4-0.000713999999999858</f>
        <v>377.69252499999999</v>
      </c>
      <c r="U84" s="3">
        <f>115.4+(471.5-216.5)+(0.117708+(0.48093-0.22083))+0-6.3-0.006426000000001</f>
        <v>364.47138200000001</v>
      </c>
      <c r="V84" s="3">
        <f>114.6+(468.6-223.9)+(-0.175338+(-0.716958--0.342567))+0-8.8--0.0134640000000005</f>
        <v>349.96373499999999</v>
      </c>
      <c r="W84" s="3">
        <f>113.6+(476.8-243.1)+(-0.347616+(-1.459008--0.743886))+0-8.8--0.026928000000001</f>
        <v>337.46418999999997</v>
      </c>
      <c r="X84" s="3">
        <f>60.8+(504.8-208)+(-0.062016+(-0.514896--0.21216))+0-8.9--0.00907800000000142</f>
        <v>348.34432600000002</v>
      </c>
      <c r="Y84" s="3">
        <f>49.9+(464.7-162.4)+(-0.152694+(-1.421982--0.496944))+0-8.9--0.027234000000001</f>
        <v>342.24950199999995</v>
      </c>
      <c r="Z84" s="3">
        <f>68.3+(450.3-153.2)+(0.069666+(0.459306-0.156264))+0-8.7-0.00887400000000139</f>
        <v>357.06383400000004</v>
      </c>
      <c r="AA84" s="3">
        <f>122.5+(469.9-218.5)+(-0.187425+(-0.718947--0.334305))+0-8.5--0.0130050000000005</f>
        <v>364.84093799999999</v>
      </c>
      <c r="AB84" s="3">
        <f>91.2+(544.6-263)+(-0.046512+(-0.277746--0.13413))+0-8.7--0.00443699999999912</f>
        <v>363.914309</v>
      </c>
      <c r="AC84" s="3">
        <f>50+(585.5-271.5)+(-0.0765+(-0.895815--0.415395))+0-8.7--0.0133110000000005</f>
        <v>354.75639100000001</v>
      </c>
      <c r="AD84" s="2">
        <v>361.40000000000003</v>
      </c>
      <c r="AE84" s="3">
        <f>123+(473.7-226.8)+(0+(0-0))+0-8.5-0</f>
        <v>361.4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49.9+(456.7-157.3)+(-0.101796+(-0.931668--0.320892))+0-8.9--0.0181559999999996</f>
        <v>339.70558399999993</v>
      </c>
      <c r="G85" s="3">
        <f>49.9+(386.7-99.6)+(-0.050898+(-0.394434--0.101592))+0-8.9--0.00907800000000142</f>
        <v>327.76533799999999</v>
      </c>
      <c r="H85" s="3">
        <f>49.9+(324.2-43.8)+(-0.025449+(-0.165342--0.022338))+0-9.5--0.00484499999999904</f>
        <v>320.63639199999994</v>
      </c>
      <c r="I85" s="3">
        <f>49.9+(315-33.8)+(-0.076347+(-0.48195--0.051714))+0-10.2--0.0156060000000006</f>
        <v>320.40902299999999</v>
      </c>
      <c r="J85" s="3">
        <f>49.9+(330.3-56)+(-0.076347+(-0.505359--0.08568))+0-10.4--0.0159120000000006</f>
        <v>313.31988600000005</v>
      </c>
      <c r="K85" s="3">
        <f>50+(350.3-86.3)+(-0.102+(-0.714612--0.176052))+0-11.1--0.0226439999999995</f>
        <v>302.282084</v>
      </c>
      <c r="L85" s="3">
        <f>49.9+(311.7-39.1)+(0+(0-0))+0-11.2-0</f>
        <v>311.29999999999995</v>
      </c>
      <c r="M85" s="3">
        <f>50+(358.3-63.4)+(-0.0765+(-0.548199--0.097002))+0-11.3--0.0172890000000007</f>
        <v>333.08959200000004</v>
      </c>
      <c r="N85" s="3">
        <f>50+(511.2-213)+(0+(0-0))+0-11.3-0</f>
        <v>336.9</v>
      </c>
      <c r="O85" s="3">
        <f>52.4+(584.2-248.6)+(0.053448+(0.595884-0.253572))+0-11.1-0.0113220000000018</f>
        <v>377.28443799999997</v>
      </c>
      <c r="P85" s="3">
        <f>120.3+(519.7-244.4)+(0.184059+(0.795141-0.373932))+0-11.4-0.0174420000000007</f>
        <v>384.78782600000011</v>
      </c>
      <c r="Q85" s="3">
        <f>119.2+(474-189.7)+(0.121584+(0.48348-0.193494))+0-11.2-0.0114240000000018</f>
        <v>392.70014600000002</v>
      </c>
      <c r="R85" s="3">
        <f>115.5+(433.6-148.5)+(0.23562+(0.884544-0.30294))+0-11.3-0.0230519999999995</f>
        <v>390.09417200000001</v>
      </c>
      <c r="S85" s="3">
        <f>115.2+(378.8-114.5)+(0.058752+(0.193188-0.058395))+0-11.2-0.00571199999999886</f>
        <v>368.48783299999997</v>
      </c>
      <c r="T85" s="3">
        <f>114.5+(400.1-136.9)+(-0.058395+(-0.204051--0.069819))+0-11.3--0.00576299999999885</f>
        <v>366.21313600000002</v>
      </c>
      <c r="U85" s="3">
        <f>114.3+(430.9-168)+(0+(0-0))+0-11.7-0</f>
        <v>365.5</v>
      </c>
      <c r="V85" s="3">
        <f>114+(440.5-189.5)+(0+(0-0))+0-12.1-0</f>
        <v>352.9</v>
      </c>
      <c r="W85" s="3">
        <f>114+(488.3-235.7)+(-0.05814+(-0.249033--0.120207))+0-12.4--0.00632399999999874</f>
        <v>354.01935800000007</v>
      </c>
      <c r="X85" s="3">
        <f>114+(524.7-269.6)+(-0.05814+(-0.267597--0.137496))+0-13--0.00662999999999868</f>
        <v>355.91838899999999</v>
      </c>
      <c r="Y85" s="3">
        <f>112.9+(357.3-113.4)+(-0.287895+(-0.911115--0.28917))+0-13.2--0.0336599999999981</f>
        <v>342.72382000000005</v>
      </c>
      <c r="Z85" s="3">
        <f>110.3+(419.4-153.2)+(0.112506+(0.427788-0.156264))+0-12.9-0.0131580000000021</f>
        <v>363.97087200000004</v>
      </c>
      <c r="AA85" s="3">
        <f>109.5+(453.3-174.1)+(-0.22338+(-0.924732--0.355164))+0-13.3--0.0271319999999994</f>
        <v>374.634184</v>
      </c>
      <c r="AB85" s="3">
        <f>109.6+(526.4-256.4)+(-0.167688+(-0.805392--0.392292))+0-13.4--0.0205020000000008</f>
        <v>365.63971400000008</v>
      </c>
      <c r="AC85" s="3">
        <f>114.6+(557.4-298.8)+(-0.058446+(-0.284274--0.152388))+0-13.3--0.00678299999999865</f>
        <v>359.71645099999989</v>
      </c>
      <c r="AD85" s="2">
        <v>396.7</v>
      </c>
      <c r="AE85" s="3">
        <f>110+(471.3-171.4)+(0+(0-0))+0-13.2-0</f>
        <v>396.7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119.7+(361.9-118.6)+(0+(0-0))+0-13.4-0</f>
        <v>349.6</v>
      </c>
      <c r="G86" s="3">
        <f>119.2+(314.7-86.1)+(-0.243168+(-0.641988--0.175644))+0-13.1--0.0267239999999994</f>
        <v>334.01721199999997</v>
      </c>
      <c r="H86" s="3">
        <f>119.6+(277.2-54.1)+(-0.121992+(-0.282744--0.055182))+0-13.3--0.0135660000000021</f>
        <v>329.06401199999999</v>
      </c>
      <c r="I86" s="3">
        <f>120.3+(296.3-78.2)+(0.184059+(0.453339-0.119646))+0-13.6-0.0208080000000008</f>
        <v>325.296944</v>
      </c>
      <c r="J86" s="3">
        <f>119.7+(295.8-81.8)+(-0.061047+(-0.150858--0.041718))+0-13.7--0.00698699999999861</f>
        <v>319.83679999999998</v>
      </c>
      <c r="K86" s="3">
        <f>118.4+(298.3-93.7)+(-0.30192+(-0.760665--0.238935))+0-13.8--0.035189999999998</f>
        <v>308.41154</v>
      </c>
      <c r="L86" s="3">
        <f>119.9+(283.6-90.2)+(-0.122298+(-0.289272--0.092004))+0-13.5--0.0137700000000022</f>
        <v>299.49420400000008</v>
      </c>
      <c r="M86" s="3">
        <f>120.3+(369.8-153.9)+(0.184059+(0.565794-0.235467))+0-13.9-0.0212670000000008</f>
        <v>322.79311899999999</v>
      </c>
      <c r="N86" s="3">
        <f>119.9+(474.7-223)+(-0.061149+(-0.242097--0.11373))+0-13.5--0.00688499999999863</f>
        <v>357.91736900000001</v>
      </c>
      <c r="O86" s="3">
        <f>120.4+(593.4-324.9)+(0.184212+(0.907902-0.497097))+0-15.1-0.0231030000000009</f>
        <v>374.37191399999995</v>
      </c>
      <c r="P86" s="3">
        <f>120.1+(588.5-312.1)+(0.061251+(0.300135-0.159171))+0-14.8-0.0075479999999985</f>
        <v>381.89466700000003</v>
      </c>
      <c r="Q86" s="3">
        <f>115.2+(532.3-246)+(0+(0-0))+0-14.7-0</f>
        <v>386.79999999999995</v>
      </c>
      <c r="R86" s="3">
        <f>114.9+(479.7-190.9)+(0+(0-0))+0-12.8-0</f>
        <v>390.89999999999992</v>
      </c>
      <c r="S86" s="3">
        <f>114.6+(443.1-178.7)+(-0.116892+(-0.451962--0.182274))+0-13.7--0.0139740000000022</f>
        <v>364.92739400000005</v>
      </c>
      <c r="T86" s="3">
        <f>114.7+(451.3-179.2)+(-0.058497+(-0.230163--0.091392))+0-13.7--0.00698699999999861</f>
        <v>372.909719</v>
      </c>
      <c r="U86" s="3">
        <f>115+(453.9-188.3)+(-0.05865+(-0.231489--0.096033))+0-14.2--0.00724199999999856</f>
        <v>366.21313600000002</v>
      </c>
      <c r="V86" s="3">
        <f>114.5+(460.9-203.3)+(-0.23358+(-0.940236--0.414732))+0-14.3--0.0291719999999994</f>
        <v>357.070088</v>
      </c>
      <c r="W86" s="3">
        <f>114.4+(494.5-250.5)+(-0.116688+(-0.50439--0.25551))+0-14.5--0.0147900000000023</f>
        <v>343.54922199999999</v>
      </c>
      <c r="X86" s="3">
        <f>114.6+(532.6-283.7)+(-0.175338+(-0.814878--0.434061))+0-14.8--0.0226440000000009</f>
        <v>348.16648900000001</v>
      </c>
      <c r="Y86" s="3">
        <f>114.4+(467.8-221.2)+(-0.116688+(-0.477156--0.225624))+0-15.1--0.0154020000000024</f>
        <v>345.54718199999996</v>
      </c>
      <c r="Z86" s="3">
        <f>115.2+(488.6-220.4)+(0.058752+(0.249186-0.112404))+0-15.2-0.00775199999999846</f>
        <v>368.38778200000007</v>
      </c>
      <c r="AA86" s="3">
        <f>114.3+(422.2-150.9)+(-0.233172+(-0.861288--0.307836))+0-15.4--0.0314159999999993</f>
        <v>369.44479199999995</v>
      </c>
      <c r="AB86" s="3">
        <f>115.1+(440.2-187.2)+(0+(0-0))+0-15.3-0</f>
        <v>352.8</v>
      </c>
      <c r="AC86" s="3">
        <f>76.8+(408.3-119.7)+(-0.039168+(-0.208233--0.061047))+0-15.4--0.00785399999999844</f>
        <v>349.82150000000007</v>
      </c>
      <c r="AD86" s="2">
        <v>391.4</v>
      </c>
      <c r="AE86" s="3">
        <f>115+(440.3-148.5)+(0+(0-0))+0-15.4-0</f>
        <v>391.40000000000003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0+(440-82)+(0+(-0.8976--0.16728))+0-15.3--0.0312119999999993</f>
        <v>342.00089199999996</v>
      </c>
      <c r="G87" s="3">
        <f>0+(354.2-1)+(0+(0-0))+0-15.2-0</f>
        <v>338</v>
      </c>
      <c r="H87" s="3">
        <f>0+(341.3-0)+(0+(0.348126-0))+0-15.3-0.0156060000000024</f>
        <v>326.33251999999999</v>
      </c>
      <c r="I87" s="3">
        <f>0+(334.5-0)+(0+(0-0))+0-15.4-0</f>
        <v>319.10000000000002</v>
      </c>
      <c r="J87" s="3">
        <f>0+(327.7-0)+(0+(0.334254-0))+0-15.3-0.0156060000000024</f>
        <v>312.71864799999997</v>
      </c>
      <c r="K87" s="3">
        <f>0+(315.6-0)+(0+(-0.80478-0))+0-15.4--0.0392699999999978</f>
        <v>299.43449000000004</v>
      </c>
      <c r="L87" s="3">
        <f>0+(320.8-1.7)+(0+(-0.490824--0.002601))+0-15.2--0.0232560000000009</f>
        <v>303.43503300000003</v>
      </c>
      <c r="M87" s="3">
        <f>0+(336.2-0)+(0+(0.514386-0))+0-16.2-0.0247860000000009</f>
        <v>320.4896</v>
      </c>
      <c r="N87" s="3">
        <f>0+(365.9-0)+(0+(0.186609-0))+0-17.1-0.00872099999999827</f>
        <v>348.97788799999995</v>
      </c>
      <c r="O87" s="3">
        <f>86.8+(285.5-0)+(0.088536+(0.29121-0))+0-17.8-0.0181560000000028</f>
        <v>354.86159000000004</v>
      </c>
      <c r="P87" s="3">
        <f>248.6+(196-64.3)+(0.253572+(0.19992-0.065586))+0-17.7-0.0180540000000028</f>
        <v>362.96985199999995</v>
      </c>
      <c r="Q87" s="3">
        <f>342.4+(165.4-115)+(-0.523872+(-0.253062--0.17595))+0-18.4--0.0281520000000011</f>
        <v>373.82716799999997</v>
      </c>
      <c r="R87" s="3">
        <f>343.3+(171-119.7)+(0+(0-0))+0-17.9-0</f>
        <v>376.70000000000005</v>
      </c>
      <c r="S87" s="3">
        <f>339.7+(166.2-138.2)+(-1.039482+(-0.508572--0.422892))+0-17.9--0.0547740000000021</f>
        <v>348.72961200000003</v>
      </c>
      <c r="T87" s="3">
        <f>342.8+(145.8-127.2)+(-0.349656+(-0.148716--0.129744))+0-17.9--0.0182580000000029</f>
        <v>343.14963000000006</v>
      </c>
      <c r="U87" s="3">
        <f>340.2+(116.6-106.7)+(-0.347004+(-0.118932--0.108834))+0-18.3--0.0186660000000029</f>
        <v>331.46156399999995</v>
      </c>
      <c r="V87" s="3">
        <f>339.7+(129.3-125.3)+(-0.519741+(-0.197829--0.191709))+0-18.5--0.0283050000000011</f>
        <v>324.70244399999996</v>
      </c>
      <c r="W87" s="3">
        <f>340.4+(159-154.5)+(-0.173604+(-0.08109--0.078795))+0-18.5--0.00943499999999812</f>
        <v>326.23353599999996</v>
      </c>
      <c r="X87" s="3">
        <f>117.9+(252.6-22)+(-0.240516+(-0.515304--0.04488))+0-18.6--0.0379439999999992</f>
        <v>329.22700399999997</v>
      </c>
      <c r="Y87" s="3">
        <f>50.1+(305.2-15.3)+(0+(0-0))+0-18.4-0</f>
        <v>321.60000000000002</v>
      </c>
      <c r="Z87" s="3">
        <f>49.9+(350.8-35.5)+(0+(0-0))+0-17.7-0</f>
        <v>347.5</v>
      </c>
      <c r="AA87" s="3">
        <f>50+(355.4-36)+(-0.0765+(-0.543762--0.05508))+0-17.2--0.026316000000001</f>
        <v>351.661134</v>
      </c>
      <c r="AB87" s="3">
        <f>17.5+(371.1-25)+(-0.0357+(-0.757044--0.051))+0-17.2--0.0350879999999992</f>
        <v>345.69334400000002</v>
      </c>
      <c r="AC87" s="3">
        <f>0+(376.2-22)+(0+(-0.191862--0.01122))+0-17.1--0.00872099999999827</f>
        <v>336.92807899999997</v>
      </c>
      <c r="AD87" s="2">
        <v>342.5</v>
      </c>
      <c r="AE87" s="3">
        <f>50+(345.2-35)+(0+(0-0))+0-17.7-0</f>
        <v>342.5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0+(366.1-18)+(0+(-0.373422--0.01836))+0-17.5--0.0178500000000028</f>
        <v>330.26278800000006</v>
      </c>
      <c r="G88" s="3">
        <f>0+(345.5-8)+(0+(-1.05723--0.02448))+0-18.1--0.0553860000000021</f>
        <v>318.42263599999995</v>
      </c>
      <c r="H88" s="3">
        <f>0+(359-24.3)+(0+(-0.73236--0.049572))+0-18.2--0.0371279999999992</f>
        <v>315.85433999999998</v>
      </c>
      <c r="I88" s="3">
        <f>0+(343.4-10.9)+(0+(-0.87567--0.027795))+0-18.3--0.0466649999999973</f>
        <v>313.39879000000002</v>
      </c>
      <c r="J88" s="3">
        <f>0+(377.9-46.8)+(0+(0-0))+0-18.2-0</f>
        <v>312.89999999999998</v>
      </c>
      <c r="K88" s="3">
        <f>0+(433.5-119.3)+(0+(-0.663255--0.182529))+0-18.6--0.0284580000000011</f>
        <v>295.14773199999996</v>
      </c>
      <c r="L88" s="3">
        <f>0+(425.7-126.9)+(0+(0.217107-0.064719))+0-18.5-0.00943499999999812</f>
        <v>280.44295299999993</v>
      </c>
      <c r="M88" s="3">
        <f>0+(397.4-98.9)+(0+(0.202674-0.050439))+0-18.9-0.00963899999999808</f>
        <v>279.74259600000005</v>
      </c>
      <c r="N88" s="3">
        <f>0+(410.6-108.2)+(0+(0-0))+0-18.8-0</f>
        <v>283.60000000000002</v>
      </c>
      <c r="O88" s="3">
        <f>0+(450.3-131.9)+(0+(0.229653-0.067269))+0-18.2-0.00928199999999815</f>
        <v>300.35310199999998</v>
      </c>
      <c r="P88" s="3">
        <f>0+(461.5-128.8)+(0+(0.235365-0.065688))+0-17.7-0.0090269999999982</f>
        <v>315.16064999999998</v>
      </c>
      <c r="Q88" s="3">
        <f>0+(402.6-66.5)+(0+(0.615978-0.101745))+0-18.4-0.0281520000000011</f>
        <v>318.18608100000006</v>
      </c>
      <c r="R88" s="3">
        <f>0+(366.5-33.5)+(0+(1.12149-0.10251))+0-18.9-0.0578340000000022</f>
        <v>315.06114600000001</v>
      </c>
      <c r="S88" s="3">
        <f>0+(353.7-28)+(0+(0.360774-0.02856))+0-18.5-0.018870000000003</f>
        <v>307.51334400000002</v>
      </c>
      <c r="T88" s="3">
        <f>0+(350.5-29)+(0+(0.536265-0.04437))+0-18.6-0.0284580000000011</f>
        <v>303.36343699999998</v>
      </c>
      <c r="U88" s="3">
        <f>0+(345.1-32)+(0+(0.176001-0.01632))+0-18.6-0.00948599999999811</f>
        <v>294.650195</v>
      </c>
      <c r="V88" s="3">
        <f>0+(339.8-27)+(0+(0.173298-0.01377))+0-18.3-0.00933299999999814</f>
        <v>294.650195</v>
      </c>
      <c r="W88" s="3">
        <f>0+(329.8-14)+(0+(0-0))+0-18.4-0</f>
        <v>297.40000000000003</v>
      </c>
      <c r="X88" s="3">
        <f>0+(311.7-0)+(0+(-0.317934-0))+0-18.5--0.018870000000003</f>
        <v>292.900936</v>
      </c>
      <c r="Y88" s="3">
        <f>0+(324.2-9.8)+(0+(0-0))+0-18.5-0</f>
        <v>295.89999999999998</v>
      </c>
      <c r="Z88" s="3">
        <f>0+(398.7-51)+(0+(0.610011-0.07803))+0-18-0.027540000000001</f>
        <v>330.20444099999997</v>
      </c>
      <c r="AA88" s="3">
        <f>0+(390.8-21.9)+(0+(0.797232-0.044676))+0-17.9-0.0365159999999992</f>
        <v>351.71604000000008</v>
      </c>
      <c r="AB88" s="3">
        <f>0+(417.6-59.3)+(0+(-0.212976--0.030243))+0-18.2--0.00928199999999815</f>
        <v>339.92654900000002</v>
      </c>
      <c r="AC88" s="3">
        <f>0+(468.8-121.7)+(0+(0.239088-0.062067))+0-18.3-0.00933299999999814</f>
        <v>328.96768800000001</v>
      </c>
      <c r="AD88" s="2">
        <v>345.1</v>
      </c>
      <c r="AE88" s="3">
        <f>0+(379.7-16.2)+(0+(0-0))+0-18.4-0</f>
        <v>345.1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0+(401.4-65.6)+(0+(-0.409428--0.066912))+0-18.3--0.0186660000000029</f>
        <v>317.17614999999995</v>
      </c>
      <c r="G89" s="3">
        <f>0+(317.1-1.9)+(0+(-0.970326--0.005814))+0-11--0.0336600000000013</f>
        <v>303.26914800000003</v>
      </c>
      <c r="H89" s="3">
        <f>0+(313.4-5.2)+(0+(-0.319668--0.005304))+0-11--0.0112200000000018</f>
        <v>296.89685599999996</v>
      </c>
      <c r="I89" s="3">
        <f>0+(312.3-9.7)+(0+(0.318546-0.009894))+0-11-0.0112200000000018</f>
        <v>291.89743200000004</v>
      </c>
      <c r="J89" s="3">
        <f>0+(355.1-54.8)+(0+(0.724404-0.111792))+0-11-0.0224399999999995</f>
        <v>289.89017200000001</v>
      </c>
      <c r="K89" s="3">
        <f>0+(382.3-90.1)+(0+(-0.389946--0.091902))+0-6--0.00612000000000096</f>
        <v>285.90807600000005</v>
      </c>
      <c r="L89" s="3">
        <f>0+(318.8-16.1)+(0+(0.81294-0.041055))+0-7.4-0.0188699999999989</f>
        <v>296.05301500000002</v>
      </c>
      <c r="M89" s="3">
        <f>4.2+(415.7-88)+(0.006426+(0.636021-0.13464))+0-10.8-0.0165240000000006</f>
        <v>321.59128299999998</v>
      </c>
      <c r="N89" s="3">
        <f>271.8+(322.5-223.3)+(0.69309+(0.822375-0.569415))+0-11.7-0.0298349999999983</f>
        <v>360.21621500000003</v>
      </c>
      <c r="O89" s="3">
        <f>350.5+(379.9-359)+(0.893775+(0.968745-0.91545))+0-11.6-0.0295799999999983</f>
        <v>360.71748999999994</v>
      </c>
      <c r="P89" s="3">
        <f>345.8+(404.4-376.2)+(0.352716+(0.412488-0.383724))+0-11.5-0.0117300000000018</f>
        <v>362.86975000000001</v>
      </c>
      <c r="Q89" s="3">
        <f>347.4+(405.5-372.7)+(0.88587+(1.034025-0.950385))+0-11.6-0.0295799999999983</f>
        <v>369.53992999999997</v>
      </c>
      <c r="R89" s="3">
        <f>352.4+(377.9-339.3)+(0.359448+(0.385458-0.346086))+0-11-0.0112200000000018</f>
        <v>380.38759999999996</v>
      </c>
      <c r="S89" s="3">
        <f>349.9+(336.5-303.3)+(-0.178449+(-0.171615--0.154683))+0-11.2--0.00571199999999886</f>
        <v>371.710331</v>
      </c>
      <c r="T89" s="3">
        <f>338.2+(326.4-295.4)+(0.172482+(0.166464-0.150654))+0-12-0.00611999999999878</f>
        <v>357.38217199999997</v>
      </c>
      <c r="U89" s="3">
        <f>348.6+(322.4-291.6)+(0+(0-0))+0-13.4-0</f>
        <v>366</v>
      </c>
      <c r="V89" s="3">
        <f>348.6+(363.9-336.5)+(-0.177786+(-0.185589--0.171615))+0-14.8--0.0075479999999985</f>
        <v>361.01578799999999</v>
      </c>
      <c r="W89" s="3">
        <f>275.6+(430.3-345.3)+(-0.843336+(-1.316718--1.056618))+0-16.1--0.0492660000000019</f>
        <v>343.44583</v>
      </c>
      <c r="X89" s="3">
        <f>224.3+(551-418)+(-0.457572+(-1.12404--0.85272))+0-18.1--0.0369239999999992</f>
        <v>338.50803200000001</v>
      </c>
      <c r="Y89" s="3">
        <f>164+(582.3-383.4)+(-0.4182+(-1.484865--0.97767))+0-19.8--0.0504899999999971</f>
        <v>342.22509500000001</v>
      </c>
      <c r="Z89" s="3">
        <f>180.1+(466-262.1)+(0+(0-0))+0-20.5-0</f>
        <v>363.5</v>
      </c>
      <c r="AA89" s="3">
        <f>232.2+(428.6-267.4)+(-0.355266+(-0.655758--0.409122))+0-20.3--0.0310590000000012</f>
        <v>372.52915700000005</v>
      </c>
      <c r="AB89" s="3">
        <f>232.9+(481.8-332.5)+(0+(0-0))+0-20.3-0</f>
        <v>361.90000000000003</v>
      </c>
      <c r="AC89" s="3">
        <f>231.7+(517-372.6)+(-0.472668+(-1.05468--0.760104))+0-20.3--0.0414119999999991</f>
        <v>355.07416799999993</v>
      </c>
      <c r="AD89" s="2">
        <v>363.9</v>
      </c>
      <c r="AE89" s="3">
        <f>233+(419.4-268.2)+(0+(0-0))+0-20.3-0</f>
        <v>363.9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70.4+(506.5-209.8)+(-0.143616+(-1.03326--0.427992))+0-20.5--0.0418199999999991</f>
        <v>345.89293600000002</v>
      </c>
      <c r="G90" s="3">
        <f>0+(398.5-40.2)+(0+(-0.203235--0.020502))+0-20.7--0.0105569999999979</f>
        <v>337.42782400000004</v>
      </c>
      <c r="H90" s="3">
        <f>0+(415.3-73.3)+(0+(-0.635409--0.112149))+0-20.4--0.0312120000000012</f>
        <v>321.10795200000001</v>
      </c>
      <c r="I90" s="3">
        <f>0+(403.2-67.5)+(0+(-1.02816--0.172125))+0-20.5--0.052274999999997</f>
        <v>314.39623999999998</v>
      </c>
      <c r="J90" s="3">
        <f>0+(389.1-50.2)+(0+(-0.198441--0.025602))+0-20.7--0.0105569999999979</f>
        <v>318.03771800000004</v>
      </c>
      <c r="K90" s="3">
        <f>0+(426.7-101.5)+(0+(-1.088085--0.258825))+0-20.7--0.052784999999997</f>
        <v>303.723525</v>
      </c>
      <c r="L90" s="3">
        <f>0+(442.3-115.7)+(0+(0.225573-0.059007))+0-20.6-0.0105059999999979</f>
        <v>306.15605999999997</v>
      </c>
      <c r="M90" s="3">
        <f>0+(508.1-158.3)+(0+(0.777393-0.242199))+0-20.6-0.0315180000000012</f>
        <v>329.70367599999997</v>
      </c>
      <c r="N90" s="3">
        <f>15.2+(544.1-182.6)+(0.023256+(0.832473-0.279378))+0-21.1-0.0322830000000012</f>
        <v>356.14406799999995</v>
      </c>
      <c r="O90" s="3">
        <f>177.2+(475.2-260.7)+(-0.090372+(-0.242352--0.132957))+0-21.5--0.0109649999999978</f>
        <v>370.01119799999998</v>
      </c>
      <c r="P90" s="3">
        <f>272.2+(492.8-341.4)+(0+(0-0))+0-20.6-0</f>
        <v>403</v>
      </c>
      <c r="Q90" s="3">
        <f>340.6+(478.9-408.1)+(0+(0-0))+0-20.6-0</f>
        <v>390.79999999999995</v>
      </c>
      <c r="R90" s="3">
        <f>338.3+(391.6-319.5)+(0.345066+(0.399432-0.32589))+0-21.5-0.0219300000000034</f>
        <v>389.29667800000004</v>
      </c>
      <c r="S90" s="3">
        <f>336.3+(355-316.3)+(-0.514539+(-0.54315--0.483939))+0-12.7--0.0194310000000007</f>
        <v>361.74568099999999</v>
      </c>
      <c r="T90" s="3">
        <f>336.7+(338.7-309.5)+(-0.515151+(-0.518211--0.473535))+0-0-0</f>
        <v>365.34017299999999</v>
      </c>
      <c r="U90" s="3">
        <f>336.7+(331.1-312.4)+(-0.343434+(-0.337722--0.318648))+0-0-0</f>
        <v>355.03749200000004</v>
      </c>
      <c r="V90" s="3">
        <f>335.1+(344.2-320.3)+(0.170901+(0.175542-0.163353))+0-10-0.00509999999999899</f>
        <v>349.17798999999997</v>
      </c>
      <c r="W90" s="3">
        <f>330.9+(382.4-354.5)+(-0.506277+(-0.585072--0.542385))+0-13.8--0.0211140000000008</f>
        <v>344.47214999999994</v>
      </c>
      <c r="X90" s="3">
        <f>331.9+(472.6-460.8)+(-0.169269+(-0.241026--0.235008))+0-12.3--0.00627299999999875</f>
        <v>331.23098599999997</v>
      </c>
      <c r="Y90" s="3">
        <f>255.6+(494-406.9)+(-0.130356+(-0.25194--0.207519))+0-14.8--0.0075479999999985</f>
        <v>327.73277100000001</v>
      </c>
      <c r="Z90" s="3">
        <f>226.3+(471.7-337.2)+(-0.115413+(-0.240567--0.171972))+0-15.1--0.00770099999999847</f>
        <v>345.52369299999998</v>
      </c>
      <c r="AA90" s="3">
        <f>225.6+(448.6-307)+(-0.805392+(-1.601502--1.09599))+0-15.2--0.0542640000000002</f>
        <v>350.74336000000005</v>
      </c>
      <c r="AB90" s="3">
        <f>116.3+(507.2-259.8)+(-0.059313+(-0.258672--0.132498))+0-15.6--0.00795599999999842</f>
        <v>347.92246899999992</v>
      </c>
      <c r="AC90" s="3">
        <f>97.5+(497-239.3)+(-0.049725+(-0.25347--0.122043))+0-15.5--0.00790499999999843</f>
        <v>339.52675299999999</v>
      </c>
      <c r="AD90" s="2">
        <v>338.70000000000005</v>
      </c>
      <c r="AE90" s="3">
        <f>226+(462.6-334.5)+(0+(0-0))+0-15.4-0</f>
        <v>338.70000000000005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25.2+(561.9-229.8)+(0+(0-0))+0-16.1-0</f>
        <v>341.19999999999993</v>
      </c>
      <c r="G91" s="3">
        <f>0+(539.4-199.5)+(0+(-1.37547--0.508725))+0-16.6--0.0423299999999976</f>
        <v>322.47558499999997</v>
      </c>
      <c r="H91" s="3">
        <f>0+(451.9-114.4)+(0+(-0.230469--0.058344))+0-16.9--0.00861899999999828</f>
        <v>320.43649400000004</v>
      </c>
      <c r="I91" s="3">
        <f>0+(391.2-56)+(0+(0-0))+0-17-0</f>
        <v>318.2</v>
      </c>
      <c r="J91" s="3">
        <f>0+(376.2-44.2)+(0+(-0.383724--0.045084))+0-17--0.0173400000000027</f>
        <v>314.67869999999999</v>
      </c>
      <c r="K91" s="3">
        <f>0+(424.4-113.2)+(0+(-1.08222--0.28866))+0-17.1--0.0436049999999975</f>
        <v>293.35004499999997</v>
      </c>
      <c r="L91" s="3">
        <f>0+(398.5-98.8)+(0+(-0.40647--0.100776))+0-18--0.0183600000000029</f>
        <v>281.412666</v>
      </c>
      <c r="M91" s="3">
        <f>0+(447.3-142.7)+(0+(0-0))+0-18.4-0</f>
        <v>286.20000000000005</v>
      </c>
      <c r="N91" s="3">
        <f>0+(500-177.1)+(0+(-0.51--0.180642))+0-19.1--0.019482000000003</f>
        <v>303.49012399999992</v>
      </c>
      <c r="O91" s="3">
        <f>0+(459.4-125.2)+(0+(0.468588-0.127704))+0-18.7-0.019074000000003</f>
        <v>315.82181000000003</v>
      </c>
      <c r="P91" s="3">
        <f>0+(417.9-69.8)+(0+(0.213129-0.035598))+0-19.3-0.00984299999999804</f>
        <v>328.96768799999995</v>
      </c>
      <c r="Q91" s="3">
        <f>0+(465.5-113.8)+(0+(0.47481-0.116076))+0-19.4-0.0197880000000031</f>
        <v>332.63894600000003</v>
      </c>
      <c r="R91" s="3">
        <f>0+(544.5-190.4)+(0+(0.277695-0.097104))+0-17.7-0.0090269999999982</f>
        <v>336.57156400000002</v>
      </c>
      <c r="S91" s="3">
        <f>0+(581.7-231.8)+(0+(-0.593334--0.236436))+0-16--0.0163200000000026</f>
        <v>333.55942200000004</v>
      </c>
      <c r="T91" s="3">
        <f>0+(586.5-230.6)+(0+(-0.897345--0.352818))+0-15.7--0.0240210000000009</f>
        <v>339.67949399999998</v>
      </c>
      <c r="U91" s="3">
        <f>0+(660.2-308.4)+(0+(-0.336702--0.157284))+0-15.9--0.00810899999999839</f>
        <v>335.72869100000008</v>
      </c>
      <c r="V91" s="3">
        <f>0+(702.3-355)+(0+(0.716346-0.3621))+0-15.7-0.0160140000000025</f>
        <v>331.93823199999997</v>
      </c>
      <c r="W91" s="3">
        <f>0+(700.9-356.6)+(0+(-0.714918--0.363732))+0-15.9--0.0162180000000025</f>
        <v>328.06503199999997</v>
      </c>
      <c r="X91" s="3">
        <f>0+(769-431.9)+(0+(-1.56876--0.881076))+0-15.6--0.0318239999999993</f>
        <v>320.84413999999998</v>
      </c>
      <c r="Y91" s="3">
        <f>0+(726.1-391.4)+(0+(-0.740622--0.399228))+0-15.7--0.0160140000000025</f>
        <v>318.67462000000006</v>
      </c>
      <c r="Z91" s="3">
        <f>0+(632.2-289.9)+(0+(0-0))+0-11-0</f>
        <v>331.30000000000007</v>
      </c>
      <c r="AA91" s="3">
        <f>0+(624.6-280.4)+(0+(-1.274184--0.572016))+0-6.3--0.0128519999999997</f>
        <v>337.21068400000007</v>
      </c>
      <c r="AB91" s="3">
        <f>0+(642.5-304.3)+(0+(-1.3107--0.620772))+0-6.3--0.0128519999999997</f>
        <v>331.22292399999998</v>
      </c>
      <c r="AC91" s="3">
        <f>0+(672-338.1)+(0+(-0.34272--0.172431))+0-6.3--0.00321299999999936</f>
        <v>327.43292399999996</v>
      </c>
      <c r="AD91" s="2">
        <v>335.40000000000003</v>
      </c>
      <c r="AE91" s="3">
        <f>0+(635.1-293.3)+(0+(0-0))+0-6.4-0</f>
        <v>335.40000000000003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0+(624.4-295.2)+(0+(-0.636888--0.301104))+0-6.2--0.00632400000000099</f>
        <v>322.67054000000002</v>
      </c>
      <c r="G92" s="3">
        <f>0+(575-257.3)+(0+(-1.173--0.524892))+0-6.2--0.0126479999999997</f>
        <v>310.86454000000003</v>
      </c>
      <c r="H92" s="3">
        <f>0+(519.9-214.7)+(0+(-0.795447--0.328491))+0-6.2--0.00948600000000036</f>
        <v>298.54253</v>
      </c>
      <c r="I92" s="3">
        <f>0+(487.9-186.8)+(0+(-0.995316--0.381072))+0-6.8--0.0138719999999997</f>
        <v>293.69962799999996</v>
      </c>
      <c r="J92" s="3">
        <f>0+(453.6-154)+(0+(0.231336-0.07854))+0-6.8-0.00346799999999931</f>
        <v>292.94932800000004</v>
      </c>
      <c r="K92" s="3">
        <f>0+(479.7-182.7)+(0+(-0.978588--0.372708))+0-6.8--0.0138719999999997</f>
        <v>289.60799199999997</v>
      </c>
      <c r="L92" s="3">
        <f>0+(495.3-201.7)+(0+(1.010412-0.411468))+0-6.8-0.0138719999999997</f>
        <v>287.38507200000004</v>
      </c>
      <c r="M92" s="3">
        <f>0+(553.8-236.8)+(0+(0-0))+0-7-0</f>
        <v>309.99999999999994</v>
      </c>
      <c r="N92" s="3">
        <f>8+(569.6-234.7)+(0.00816+(0.580992-0.239394))+0-7.1-0.00724200000000113</f>
        <v>336.142516</v>
      </c>
      <c r="O92" s="3">
        <f>125.9+(587.6-359.6)+(0+(0-0))+0-7.6-0</f>
        <v>346.29999999999995</v>
      </c>
      <c r="P92" s="3">
        <f>250.3+(631.8-523.4)+(0.255306+(0.644436-0.533868))+0-9.3-0.00948600000000148</f>
        <v>349.75638800000002</v>
      </c>
      <c r="Q92" s="3">
        <f>350.2+(608.3-581.4)+(0.178602+(0.310233-0.296514))+0-10-0.00509999999999899</f>
        <v>367.28722099999993</v>
      </c>
      <c r="R92" s="3">
        <f>350.6+(562.7-534.3)+(0.178806+(0.286977-0.272493))+0-12.9-0.00657899999999869</f>
        <v>366.28671100000014</v>
      </c>
      <c r="S92" s="3">
        <f>348.1+(529.9-521.6)+(-0.887655+(-1.351245--1.33008))+0-11.2--0.0285599999999984</f>
        <v>344.31973999999997</v>
      </c>
      <c r="T92" s="3">
        <f>351.3+(546.3-538.7)+(-0.358326+(-0.557226--0.549474))+0-14.2--0.0144840000000023</f>
        <v>344.3484059999999</v>
      </c>
      <c r="U92" s="3">
        <f>351.6+(569.4-565.5)+(-0.89658+(-1.45197--1.442025))+0-16.9--0.0430949999999975</f>
        <v>337.73657000000003</v>
      </c>
      <c r="V92" s="3">
        <f>357.9+(649.4-653.9)+(-0.365058+(-0.662388--0.666978))+0-19.6--0.0199920000000031</f>
        <v>333.45952399999993</v>
      </c>
      <c r="W92" s="3">
        <f>356+(631.6-645.7)+(-0.9078+(-1.61058--1.646535))+0-20.5--0.052274999999997</f>
        <v>320.58042999999998</v>
      </c>
      <c r="X92" s="3">
        <f>141.7+(747.7-551.6)+(-0.361335+(-1.906635--1.40658))+0-20.7--0.052784999999997</f>
        <v>316.29139500000002</v>
      </c>
      <c r="Y92" s="3">
        <f>3.1+(778.7-448.5)+(-0.006324+(-1.588548--0.91494))+0-16.5--0.0336599999999993</f>
        <v>316.15372800000006</v>
      </c>
      <c r="Z92" s="3">
        <f>0+(738.6-394.6)+(0+(0-0))+0-16.4-0</f>
        <v>327.60000000000002</v>
      </c>
      <c r="AA92" s="3">
        <f>0+(768.6-411.7)+(0+(-2.351916--1.259802))+0-17.3--0.052938000000002</f>
        <v>338.56082400000003</v>
      </c>
      <c r="AB92" s="3">
        <f>0+(833.5-478.1)+(0+(-1.70034--0.975324))+0-17.9--0.0365159999999992</f>
        <v>336.81150000000002</v>
      </c>
      <c r="AC92" s="3">
        <f>0+(803.2-459.3)+(0+(-0.819264--0.468486))+0-17.8--0.0181560000000028</f>
        <v>325.76737800000001</v>
      </c>
      <c r="AD92" s="2">
        <v>335.9</v>
      </c>
      <c r="AE92" s="3">
        <f>0+(831.9-478.3)+(0+(0-0))+0-17.7-0</f>
        <v>335.9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0+(729.3-387.7)+(0+(-1.115829--0.593181))+0-18.1--0.027693000000001</f>
        <v>323.00504499999994</v>
      </c>
      <c r="G93" s="3">
        <f>0+(614.7-278.1)+(0+(-1.253988--0.567324))+0-18.2--0.0371279999999992</f>
        <v>317.75046400000002</v>
      </c>
      <c r="H93" s="3">
        <f>0+(535.6-216.2)+(0+(-0.819468--0.330786))+0-18.5--0.0283050000000011</f>
        <v>300.43962300000004</v>
      </c>
      <c r="I93" s="3">
        <f>0+(542.3-225.1)+(0+(-0.276573--0.114801))+0-18.7--0.0095369999999981</f>
        <v>298.34776499999998</v>
      </c>
      <c r="J93" s="3">
        <f>0+(507.8-192.1)+(0+(-0.517956--0.195942))+0-19.3--0.0196860000000031</f>
        <v>296.09767199999999</v>
      </c>
      <c r="K93" s="3">
        <f>0+(518.9-214.3)+(0+(-0.529278--0.218586))+0-19.4--0.0197880000000031</f>
        <v>284.90909599999998</v>
      </c>
      <c r="L93" s="3">
        <f>0+(506.7-202.6)+(0+(0-0))+0-19.7-0</f>
        <v>284.40000000000003</v>
      </c>
      <c r="M93" s="3">
        <f>26.5+(580.5-285.3)+(0.013515+(0.296055-0.145503))+0-21.2-0.0108119999999978</f>
        <v>300.653255</v>
      </c>
      <c r="N93" s="3">
        <f>100.5+(647.2-435.2)+(0.10251+(0.660144-0.443904))+0-22.3-0.0227460000000036</f>
        <v>290.49600400000008</v>
      </c>
      <c r="O93" s="3">
        <f>100.6+(714-503.3)+(0.102612+(0.72828-0.513366))+0-22.4-0.0228480000000036</f>
        <v>289.19467799999995</v>
      </c>
      <c r="P93" s="3">
        <f>157.1+(684.2-513.4)+(0+(0-0))+0-23-0</f>
        <v>304.90000000000009</v>
      </c>
      <c r="Q93" s="3">
        <f>236.1+(708.3-584.8)+(0+(0-0))+0-23.3-0</f>
        <v>336.3</v>
      </c>
      <c r="R93" s="3">
        <f>230.3+(702.9-563.6)+(-0.587265+(-1.792395--1.43718))+0-23.1--0.0589049999999967</f>
        <v>345.61642499999994</v>
      </c>
      <c r="S93" s="3">
        <f>228.5+(707.1-574.8)+(-0.582675+(-1.803105--1.46574))+0-23.2--0.0591599999999966</f>
        <v>336.73912000000013</v>
      </c>
      <c r="T93" s="3">
        <f>230.7+(733.4-589.1)+(-0.117657+(-0.374034--0.300441))+0-23.4--0.0119339999999976</f>
        <v>351.42068399999994</v>
      </c>
      <c r="U93" s="3">
        <f>230.1+(693.8-560.7)+(-0.469404+(-1.415352--1.143828))+0-24.3--0.0495719999999989</f>
        <v>338.20864399999994</v>
      </c>
      <c r="V93" s="3">
        <f>230.3+(701.8-576.9)+(-0.469812+(-1.431672--1.176876))+0-25--0.0509999999999989</f>
        <v>329.52639199999999</v>
      </c>
      <c r="W93" s="3">
        <f>228.5+(672.6-537)+(-0.582675+(-1.71513--1.36935))+0-25.2--0.0642599999999963</f>
        <v>338.03580500000004</v>
      </c>
      <c r="X93" s="3">
        <f>180.4+(605.6-412.5)+(-0.46002+(-1.54428--1.051875))+0-25.1--0.0640049999999964</f>
        <v>347.51157999999998</v>
      </c>
      <c r="Y93" s="3">
        <f>100.7+(555.8-309.2)+(-0.051357+(-0.283458--0.157692))+0-24.5--0.0124949999999975</f>
        <v>322.63537199999996</v>
      </c>
      <c r="Z93" s="3">
        <f>100.5+(564.1-313.8)+(0+(0-0))+0-7.1-0</f>
        <v>343.7</v>
      </c>
      <c r="AA93" s="3">
        <f>138.8+(675.3-456.9)+(-0.283152+(-1.377612--0.932076))+0-7.1--0.0144839999999997</f>
        <v>349.38579599999997</v>
      </c>
      <c r="AB93" s="3">
        <f>136.3+(641-428.6)+(-0.208539+(-0.98073--0.655758))+0-7.1--0.0108630000000004</f>
        <v>341.07735199999996</v>
      </c>
      <c r="AC93" s="3">
        <f>22.4+(726.8-408.2)+(-0.022848+(-0.741336--0.416364))+0-7.1--0.00724200000000113</f>
        <v>333.55942199999993</v>
      </c>
      <c r="AD93" s="2">
        <v>343.09999999999997</v>
      </c>
      <c r="AE93" s="3">
        <f>169+(678.3-497)+(0+(0-0))+0-7.2-0</f>
        <v>343.09999999999997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0+(686.4-353.8)+(0+(-0.700128--0.360876))+0-7.1--0.00724200000000113</f>
        <v>325.16798999999997</v>
      </c>
      <c r="G94" s="3">
        <f>0+(585.7-264)+(0+(-0.597414--0.26928))+0-7.1--0.00724200000000113</f>
        <v>314.27910800000006</v>
      </c>
      <c r="H94" s="3">
        <f>0+(517.1-201.6)+(0+(0.527442-0.205632))+0-7-0.00714000000000112</f>
        <v>308.81467000000004</v>
      </c>
      <c r="I94" s="3">
        <f>0+(538.7-227.4)+(0+(-0.549474--0.231948))+0-7.1--0.00724200000000113</f>
        <v>303.88971600000008</v>
      </c>
      <c r="J94" s="3">
        <f>0+(599.4-290.9)+(0+(0.917082-0.445077))+0-7.1-0.0108630000000004</f>
        <v>301.86114200000003</v>
      </c>
      <c r="K94" s="3">
        <f>0+(580.6-277.7)+(0+(-1.48053--0.708135))+0-7.1--0.018104999999999</f>
        <v>295.04570999999999</v>
      </c>
      <c r="L94" s="3">
        <f>0+(528.6-231.7)+(0+(-0.269586--0.118167))+0-7.1--0.00362099999999928</f>
        <v>289.65220200000005</v>
      </c>
      <c r="M94" s="3">
        <f>0+(555.3-240.4)+(0+(0.566406-0.245208))+0-7-0.00714000000000112</f>
        <v>308.21405799999997</v>
      </c>
      <c r="N94" s="3">
        <f>0+(688.4-339.6)+(0+(0.702168-0.346392))+0-8.1-0.00826200000000129</f>
        <v>341.04751399999992</v>
      </c>
      <c r="O94" s="3">
        <f>0+(810.8-447.3)+(0+(0.413508-0.228123))+0-8.6-0.00438599999999913</f>
        <v>355.08099899999991</v>
      </c>
      <c r="P94" s="3">
        <f>0+(870.8-496.8)+(0+(0-0))+0-9.7-0</f>
        <v>364.29999999999995</v>
      </c>
      <c r="Q94" s="3">
        <f>0+(904-520.5)+(0+(1.38312-0.796365))+0-12.1-0.0185130000000007</f>
        <v>371.96824199999998</v>
      </c>
      <c r="R94" s="3">
        <f>0+(864-487.3)+(0+(0.88128-0.497046))+0-12.8-0.013056000000002</f>
        <v>364.27117799999996</v>
      </c>
      <c r="S94" s="3">
        <f>0+(820.9-476.9)+(0+(-1.674636--0.972876))+0-11.9--0.0242759999999995</f>
        <v>331.42251600000003</v>
      </c>
      <c r="T94" s="3">
        <f>0+(859.9-515.1)+(0+(-1.754196--1.050804))+0-14.1--0.0287639999999994</f>
        <v>330.02537199999995</v>
      </c>
      <c r="U94" s="3">
        <f>0+(839-502)+(0+(-0.42789--0.25602))+0-16.7--0.00851699999999831</f>
        <v>320.13664699999998</v>
      </c>
      <c r="V94" s="3">
        <f>0+(786.8-456.9)+(0+(-1.203804--0.699057))+0-19.3--0.0295290000000011</f>
        <v>310.12478199999998</v>
      </c>
      <c r="W94" s="3">
        <f>0+(811.3-487.1)+(0+(-2.068815--1.242105))+0-17.5--0.0446249999999975</f>
        <v>305.91791499999994</v>
      </c>
      <c r="X94" s="3">
        <f>0+(776.8-443.6)+(0+(-1.98084--1.13118))+0-20.7--0.052784999999997</f>
        <v>311.70312499999994</v>
      </c>
      <c r="Y94" s="3">
        <f>0+(720.7-397.1)+(0+(-0.367557--0.202521))+0-22.9--0.0116789999999977</f>
        <v>300.54664300000007</v>
      </c>
      <c r="Z94" s="3">
        <f>0+(771.5-419.9)+(0+(1.180395-0.642447))+0-25.9-0.0396270000000015</f>
        <v>326.19832100000008</v>
      </c>
      <c r="AA94" s="3">
        <f>0+(797.4-433.4)+(0+(-1.220022--0.663102))+0-28.4--0.0434520000000016</f>
        <v>335.08653200000003</v>
      </c>
      <c r="AB94" s="3">
        <f>0+(815.9-484.4)+(0+(-2.080545--1.23522))+0-28.6--0.0729299999999959</f>
        <v>302.12760499999996</v>
      </c>
      <c r="AC94" s="3">
        <f>0+(783.9-483.2)+(0+(-1.199367--0.739296))+0-20.6--0.0315180000000012</f>
        <v>279.67144699999994</v>
      </c>
      <c r="AD94" s="2">
        <v>340.00000000000006</v>
      </c>
      <c r="AE94" s="3">
        <f>0+(807.6-438.4)+(0+(0-0))+0-29.2-0</f>
        <v>340.00000000000006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0+(713.3-409.4)+(0+(-0.727566--0.417588))+0-2.1--0.00214200000000034</f>
        <v>301.49216399999995</v>
      </c>
      <c r="G95" s="3">
        <f>0+(556.6-215.9)+(0+(-1.135464--0.440436))+0-27.7--0.0565079999999988</f>
        <v>312.36148000000009</v>
      </c>
      <c r="H95" s="3">
        <f>0+(513-183.3)+(0+(-0.52326--0.186966))+0-27.9--0.0284580000000044</f>
        <v>301.492164</v>
      </c>
      <c r="I95" s="3">
        <f>0+(541.8-213.7)+(0+(0-0))+0-27.8-0</f>
        <v>300.29999999999995</v>
      </c>
      <c r="J95" s="3">
        <f>0+(532.8-206)+(0+(-1.086912--0.42024))+0-27.8--0.0567119999999988</f>
        <v>298.39003999999994</v>
      </c>
      <c r="K95" s="3">
        <f>0+(556.9-239.6)+(0+(-1.420095--0.61098))+0-27.5--0.070124999999996</f>
        <v>289.06100999999995</v>
      </c>
      <c r="L95" s="3">
        <f>0+(547.9-238.9)+(0+(-1.397145--0.609195))+0-27.3--0.069614999999996</f>
        <v>280.98166499999996</v>
      </c>
      <c r="M95" s="3">
        <f>0+(528.7-223)+(0+(-0.808911--0.34119))+0-28.2--0.0431460000000016</f>
        <v>277.07542500000005</v>
      </c>
      <c r="N95" s="3">
        <f>0+(536.6-224.3)+(0+(-0.273666--0.114393))+0-28.7--0.0146369999999971</f>
        <v>283.45536400000003</v>
      </c>
      <c r="O95" s="3">
        <f>0+(501.1-180.7)+(0+(-0.511122--0.184314))+0-28.3--0.0288660000000045</f>
        <v>291.80205799999999</v>
      </c>
      <c r="P95" s="3">
        <f>0+(570.6-252.7)+(0+(0.291006-0.128877))+0-27.7-0.0141269999999972</f>
        <v>290.34800200000006</v>
      </c>
      <c r="Q95" s="3">
        <f>0+(652.7-330.3)+(0+(-0.332877--0.168453))+0-27.5--0.0140249999999972</f>
        <v>294.74960100000004</v>
      </c>
      <c r="R95" s="3">
        <f>0+(605-278.2)+(0+(-0.92565--0.425646))+0-28.1--0.0429930000000016</f>
        <v>298.24298900000002</v>
      </c>
      <c r="S95" s="3">
        <f>0+(594.8-270.8)+(0+(-0.910044--0.414324))+0-27.9--0.0426870000000016</f>
        <v>295.64696699999996</v>
      </c>
      <c r="T95" s="3">
        <f>0+(565.3-247)+(0+(-0.288303--0.12597))+0-25.6--0.0130559999999974</f>
        <v>292.55072299999995</v>
      </c>
      <c r="U95" s="3">
        <f>0+(578.5-261.2)+(0+(-0.59007--0.266424))+0-27--0.0275400000000043</f>
        <v>290.003894</v>
      </c>
      <c r="V95" s="3">
        <f>0+(581.3-262.1)+(0+(-0.889389--0.401013))+0-26.7--0.0408510000000015</f>
        <v>292.0524749999999</v>
      </c>
      <c r="W95" s="3">
        <f>0+(590.9-278.2)+(0+(-1.205436--0.567528))+0-27.2--0.0554879999999988</f>
        <v>284.91758000000004</v>
      </c>
      <c r="X95" s="3">
        <f>0+(633.4-333.7)+(0+(-0.969102--0.510561))+0-27.3--0.0417690000000016</f>
        <v>271.98322799999994</v>
      </c>
      <c r="Y95" s="3">
        <f>0+(641.6-323.1)+(0+(-1.308864--0.659124))+0-27.1--0.0552839999999988</f>
        <v>290.80554399999994</v>
      </c>
      <c r="Z95" s="3">
        <f>0+(684.6-341.2)+(0+(0-0))+0-24.8-0</f>
        <v>318.60000000000002</v>
      </c>
      <c r="AA95" s="3">
        <f>0+(781.9-400.3)+(0+(0.398769-0.204153))+0-27.9-0.0142289999999972</f>
        <v>353.88038699999998</v>
      </c>
      <c r="AB95" s="3">
        <f>0+(760.8-388.3)+(0+(-1.552032--0.792132))+0-28.9--0.0589559999999987</f>
        <v>342.89905599999997</v>
      </c>
      <c r="AC95" s="3">
        <f>0+(719.2-341)+(0+(-1.100376--0.52173))+0-28.8--0.0440640000000017</f>
        <v>348.86541800000003</v>
      </c>
      <c r="AD95" s="2">
        <v>349.1</v>
      </c>
      <c r="AE95" s="3">
        <f>0+(784.1-406.3)+(0+(0-0))+0-28.7-0</f>
        <v>349.1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0+(674.3-308.1)+(0+(-0.687786--0.314262))+0-29.3--0.0298860000000047</f>
        <v>336.55636199999992</v>
      </c>
      <c r="G96" s="3">
        <f>0+(541.2-182.7)+(0+(-0.276012--0.093177))+0-29.1--0.014840999999997</f>
        <v>329.23200600000001</v>
      </c>
      <c r="H96" s="3">
        <f>0+(502.8-186)+(0+(-0.512856--0.18972))+0-28.8--0.0293760000000046</f>
        <v>287.70624000000004</v>
      </c>
      <c r="I96" s="3">
        <f>0+(432.3-119.8)+(0+(-0.440946--0.122196))+0-29--0.0295800000000046</f>
        <v>283.21082999999999</v>
      </c>
      <c r="J96" s="3">
        <f>0+(453.7-138.6)+(0+(-0.694161--0.212058))+0-28.6--0.0437580000000017</f>
        <v>286.06165500000003</v>
      </c>
      <c r="K96" s="3">
        <f>0+(476-168.1)+(0+(-1.2138--0.428655))+0-28.2--0.0719099999999959</f>
        <v>278.98676499999999</v>
      </c>
      <c r="L96" s="3">
        <f>0+(465.7-163.2)+(0+(0.475014-0.166464))+0-28.3-0.0288660000000045</f>
        <v>274.47968400000002</v>
      </c>
      <c r="M96" s="3">
        <f>0+(590.1-246.9)+(0+(0-0))+0-29.1-0</f>
        <v>314.10000000000002</v>
      </c>
      <c r="N96" s="3">
        <f>0+(670.3-287.6)+(0+(0.683706-0.293352))+0-30.2-0.0308040000000048</f>
        <v>352.85954999999996</v>
      </c>
      <c r="O96" s="3">
        <f>0+(781.1-381.5)+(0+(0-0))+0-29.8-0</f>
        <v>369.8</v>
      </c>
      <c r="P96" s="3">
        <f>0+(756.8-355.3)+(0+(0.385968-0.181203))+0-29-0.0147899999999971</f>
        <v>372.68997499999995</v>
      </c>
      <c r="Q96" s="3">
        <f>0+(728.9-314.4)+(0+(0.743478-0.320688))+0-29.4-0.0299880000000047</f>
        <v>385.49280200000004</v>
      </c>
      <c r="R96" s="3">
        <f>100+(665.8-357.8)+(0+(0-0))+0-28.7-0</f>
        <v>379.29999999999995</v>
      </c>
      <c r="S96" s="3">
        <f>220.4+(589.5-417.7)+(-0.112404+(-0.300645--0.213027))+0-28.3--0.0144329999999971</f>
        <v>363.71441100000004</v>
      </c>
      <c r="T96" s="3">
        <f>163.6+(588.1-358.6)+(-0.166872+(-0.599862--0.365772))+0-29.2--0.0297840000000047</f>
        <v>363.52882200000005</v>
      </c>
      <c r="U96" s="3">
        <f>110.1+(584.2-319.1)+(0.112302+(0.595884-0.325482))+0-24.7-0.0251940000000039</f>
        <v>350.85751000000005</v>
      </c>
      <c r="V96" s="3">
        <f>107.9+(595.9-345.4)+(-0.165087+(-0.911727--0.528462))+0-15.2--0.0232560000000009</f>
        <v>342.67490399999997</v>
      </c>
      <c r="W96" s="3">
        <f>107.1+(628.1-359.4)+(-0.273105+(-1.601655--0.91647))+0-29.5--0.0752249999999957</f>
        <v>345.41693500000008</v>
      </c>
      <c r="X96" s="3">
        <f>42+(679.8-383.3)+(-0.08568+(-1.386792--0.781932))+0-29.5--0.0601799999999987</f>
        <v>308.36963999999995</v>
      </c>
      <c r="Y96" s="3">
        <f>0+(678.5-368.1)+(0+(-1.38414--0.750924))+0-28.8--0.0587519999999987</f>
        <v>281.02553599999999</v>
      </c>
      <c r="Z96" s="3">
        <f>0+(596-262.5)+(0+(0.60792-0.26775))+0-28.4-0.0289680000000045</f>
        <v>305.411202</v>
      </c>
      <c r="AA96" s="3">
        <f>0+(599.6-237.9)+(0+(-0.917388--0.363987))+0-29.5--0.0451350000000017</f>
        <v>331.69173400000005</v>
      </c>
      <c r="AB96" s="3">
        <f>0+(645.6-299)+(0+(0.329256-0.15249))+0-29.2-0.014891999999997</f>
        <v>317.56187400000005</v>
      </c>
      <c r="AC96" s="3">
        <f>0+(650.7-321.5)+(0+(0.331857-0.163965))+0-29.6-0.015095999999997</f>
        <v>299.75279600000005</v>
      </c>
      <c r="AD96" s="2">
        <v>335.1</v>
      </c>
      <c r="AE96" s="3">
        <f>0+(610.1-245.2)+(0+(0-0))+0-29.8-0</f>
        <v>335.1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0+(617.9-266.5)+(0+(-1.260516--0.54366))+0-29.1--0.0593639999999987</f>
        <v>321.64250799999996</v>
      </c>
      <c r="G97" s="3">
        <f>0+(518.2-173.5)+(0+(-0.792846--0.265455))+0-29.4--0.0449820000000017</f>
        <v>314.81759100000005</v>
      </c>
      <c r="H97" s="3">
        <f>0+(534.8-199.3)+(0+(0.272748-0.101643))+0-29.4-0.014993999999997</f>
        <v>306.25611099999998</v>
      </c>
      <c r="I97" s="3">
        <f>0+(487.2-141.9)+(0+(0.993888-0.289476))+0-29.2-0.0595679999999987</f>
        <v>316.74484399999994</v>
      </c>
      <c r="J97" s="3">
        <f>0+(496.2-141.6)+(0+(-1.26531--0.36108))+0-29.1--0.0742049999999958</f>
        <v>324.66997500000002</v>
      </c>
      <c r="K97" s="3">
        <f>0+(529.9-208.4)+(0+(-1.351245--0.53142))+0-29.2--0.0744599999999958</f>
        <v>291.55463500000002</v>
      </c>
      <c r="L97" s="3">
        <f>0+(435.3-131.8)+(0+(-0.666009--0.201654))+0-28.6--0.0437580000000017</f>
        <v>274.47940299999999</v>
      </c>
      <c r="M97" s="3">
        <f>0+(518.1-187.3)+(0+(0.792693-0.286569))+0-29.5-0.0451350000000017</f>
        <v>301.760989</v>
      </c>
      <c r="N97" s="3">
        <f>0+(675.1-297.9)+(0+(0.344301-0.151929))+0-17.9-0.00912899999999818</f>
        <v>359.48324300000007</v>
      </c>
      <c r="O97" s="3">
        <f>0+(752.4-361.4)+(0+(0.383724-0.184314))+0-8-0.00407999999999919</f>
        <v>383.19533000000001</v>
      </c>
      <c r="P97" s="3">
        <f>0+(713.3-316.9)+(0+(1.091349-0.484857))+0-7.4-0.0113220000000004</f>
        <v>389.59517</v>
      </c>
      <c r="Q97" s="3">
        <f>0+(674-259.6)+(0+(0-0))+0-7.7-0</f>
        <v>406.7</v>
      </c>
      <c r="R97" s="3">
        <f>0+(658.8-255)+(0+(-1.343952--0.5202))+0-6.9--0.0140759999999997</f>
        <v>396.09032399999995</v>
      </c>
      <c r="S97" s="3">
        <f>0+(728.2-353.3)+(0+(-1.485528--0.720732))+0-7--0.0142799999999997</f>
        <v>367.14948400000003</v>
      </c>
      <c r="T97" s="3">
        <f>0+(718.8-345.9)+(0+(0-0))+0-6.8-0</f>
        <v>366.09999999999997</v>
      </c>
      <c r="U97" s="3">
        <f>0+(709.6-346.2)+(0+(-0.361896--0.176562))+0-6.8--0.00346799999999931</f>
        <v>356.41813400000001</v>
      </c>
      <c r="V97" s="3">
        <f>0+(718.4-361.9)+(0+(-1.099152--0.553707))+0-6.9--0.0105570000000004</f>
        <v>349.06511200000006</v>
      </c>
      <c r="W97" s="3">
        <f>0+(668.7-318.8)+(0+(-1.705185--0.81294))+0-6.9--0.017594999999999</f>
        <v>342.12535000000003</v>
      </c>
      <c r="X97" s="3">
        <f>0+(693.1-346.8)+(0+(-1.413924--0.707472))+0-6.9--0.0140759999999997</f>
        <v>338.70762400000001</v>
      </c>
      <c r="Y97" s="3">
        <f>0+(681.9-313.6)+(0+(-1.391076--0.639744))+0-6.8--0.0138719999999997</f>
        <v>360.76253999999994</v>
      </c>
      <c r="Z97" s="3">
        <f>0+(623.8-269.1)+(0+(0.318138-0.137241))+0-6.8-0.00346799999999931</f>
        <v>348.07742899999994</v>
      </c>
      <c r="AA97" s="3">
        <f>0+(658.2-301.9)+(0+(-0.335682--0.153969))+0-6.8--0.00346799999999931</f>
        <v>349.32175500000005</v>
      </c>
      <c r="AB97" s="3">
        <f>0+(656.8-334.4)+(0+(-1.67484--0.85272))+0-6.8--0.017339999999999</f>
        <v>314.79521999999997</v>
      </c>
      <c r="AC97" s="3">
        <f>0+(647.2-332.2)+(0+(-0.660144--0.338844))+0-8.8--0.0089760000000014</f>
        <v>305.88767600000006</v>
      </c>
      <c r="AD97" s="2">
        <v>335.59999999999997</v>
      </c>
      <c r="AE97" s="3">
        <f>0+(667.9-325.2)+(0+(0-0))+0-7.1-0</f>
        <v>335.59999999999997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0+(604.1-208.4)+(0+(-1.232364--0.425136))+0-10.7--0.0218279999999995</f>
        <v>384.21460000000008</v>
      </c>
      <c r="G98" s="3">
        <f>0+(564-187.4)+(0+(-0.86292--0.286722))+0-12.5--0.0191250000000007</f>
        <v>363.54292700000002</v>
      </c>
      <c r="H98" s="3">
        <f>0+(469.3-117.5)+(0+(-0.957372--0.2397))+0-14.3--0.0291719999999994</f>
        <v>336.81150000000002</v>
      </c>
      <c r="I98" s="3">
        <f>0+(455.1-86.6)+(0+(-0.232101--0.044166))+0-14.1--0.00719099999999857</f>
        <v>354.21925599999997</v>
      </c>
      <c r="J98" s="3">
        <f>0+(444.8-67.3)+(0+(-0.907392--0.137292))+0-16--0.0326399999999993</f>
        <v>360.76254</v>
      </c>
      <c r="K98" s="3">
        <f>0+(481.4-113.2)+(0+(-1.22757--0.28866))+0-18.4--0.0469199999999973</f>
        <v>348.90800999999999</v>
      </c>
      <c r="L98" s="3">
        <f>0+(473.1-114.5)+(0+(-0.723843--0.175185))+0-18.3--0.0279990000000011</f>
        <v>339.77934100000004</v>
      </c>
      <c r="M98" s="3">
        <f>0+(531.7-169.6)+(0+(0.542334-0.172992))+0-18.7-0.019074000000003</f>
        <v>343.75026800000006</v>
      </c>
      <c r="N98" s="3">
        <f>0+(609.9-222)+(0+(0.622098-0.22644))+0-22.9-0.0233580000000037</f>
        <v>365.3723</v>
      </c>
      <c r="O98" s="3">
        <f>0+(647.9-268)+(0+(0-0))+0-24.4-0</f>
        <v>355.5</v>
      </c>
      <c r="P98" s="3">
        <f>0+(693.2-292.3)+(0+(0-0))+0-27.6-0</f>
        <v>373.3</v>
      </c>
      <c r="Q98" s="3">
        <f>0+(740.1-326.1)+(0+(0.754902-0.332622))+0-28-0.0285600000000045</f>
        <v>386.39371999999997</v>
      </c>
      <c r="R98" s="3">
        <f>127.6+(685.3-389.8)+(0.195228+(1.048509-0.596394))+0-27.6-0.0422280000000016</f>
        <v>396.10511499999984</v>
      </c>
      <c r="S98" s="3">
        <f>164.3+(597.4-343.5)+(-0.335172+(-1.218696--0.70074))+0-27.4--0.0558959999999988</f>
        <v>390.002768</v>
      </c>
      <c r="T98" s="3">
        <f>150.9+(590.9-326.1)+(0.076959+(0.301359-0.166311))+0-28.3-0.0144329999999971</f>
        <v>387.59757399999995</v>
      </c>
      <c r="U98" s="3">
        <f>149.2+(551.7-294.1)+(-0.38046+(-1.406835--0.749955))+0-28.3--0.0721649999999959</f>
        <v>377.53482500000001</v>
      </c>
      <c r="V98" s="3">
        <f>96.1+(568-291.6)+(-0.196044+(-1.15872--0.594864))+0-27.7--0.0565079999999988</f>
        <v>344.096608</v>
      </c>
      <c r="W98" s="3">
        <f>78.8+(608.2-314.1)+(-0.241128+(-1.861092--0.961146))+0-27.4--0.0838440000000032</f>
        <v>344.44277000000005</v>
      </c>
      <c r="X98" s="3">
        <f>50.8+(650.4-351.9)+(-0.155448+(-1.990224--1.076814))+0-27.7--0.0847620000000032</f>
        <v>320.61590400000006</v>
      </c>
      <c r="Y98" s="3">
        <f>0+(707.6-351)+(0+(-1.80438--0.89505))+0-28.2--0.0719099999999959</f>
        <v>327.56258000000003</v>
      </c>
      <c r="Z98" s="3">
        <f>0+(672.1-286.3)+(0+(-0.342771--0.146013))+0-29.7--0.015146999999997</f>
        <v>355.91838900000005</v>
      </c>
      <c r="AA98" s="3">
        <f>0+(651.1-247.6)+(0+(-0.664122--0.252552))+0-30.2--0.0308040000000048</f>
        <v>372.91923400000002</v>
      </c>
      <c r="AB98" s="3">
        <f>0+(681.6-284.9)+(0+(-0.347616--0.145299))+0-30.2--0.0154019999999969</f>
        <v>366.31308500000006</v>
      </c>
      <c r="AC98" s="3">
        <f>0+(643.5-244.8)+(0+(-0.65637--0.249696))+0-30--0.0306000000000048</f>
        <v>368.32392599999997</v>
      </c>
      <c r="AD98" s="2">
        <v>376.29999999999995</v>
      </c>
      <c r="AE98" s="3">
        <f>0+(709.4-303)+(0+(0-0))+0-30.1-0</f>
        <v>376.29999999999995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0+(590.2-201.4)+(0+(-1.204008--0.410856))+0-29.9--0.0609959999999987</f>
        <v>358.16784400000006</v>
      </c>
      <c r="G99" s="3">
        <f>0+(439.8-35.8)+(0+(-0.448596--0.036516))+0-29.6--0.0301920000000047</f>
        <v>374.01811199999997</v>
      </c>
      <c r="H99" s="3">
        <f>0+(360.8-15.3)+(0+(-0.736032--0.031212))+0-29.5--0.0601799999999987</f>
        <v>315.35536000000002</v>
      </c>
      <c r="I99" s="3">
        <f>0+(370.7-40.4)+(0+(-0.945285--0.10302))+0-30--0.0764999999999956</f>
        <v>299.53423500000002</v>
      </c>
      <c r="J99" s="3">
        <f>0+(409-85.6)+(0+(0.41718-0.087312))+0-30.2-0.0308040000000048</f>
        <v>293.49906399999998</v>
      </c>
      <c r="K99" s="3">
        <f>0+(395.3-88.6)+(0+(-1.008015--0.22593))+0-30.1--0.0767549999999956</f>
        <v>275.89467000000002</v>
      </c>
      <c r="L99" s="3">
        <f>0+(402.5-101.8)+(0+(-1.026375--0.25959))+0-29.6--0.0754799999999957</f>
        <v>270.40869499999991</v>
      </c>
      <c r="M99" s="3">
        <f>0+(485.3-157.7)+(0+(0.495006-0.160854))+0-30.3-0.0309060000000048</f>
        <v>297.60324600000001</v>
      </c>
      <c r="N99" s="3">
        <f>0+(557.7-188.4)+(0+(0.284427-0.096084))+0-30.4-0.0155039999999969</f>
        <v>339.07283900000004</v>
      </c>
      <c r="O99" s="3">
        <f>0+(671.6-278)+(0+(-0.342516--0.14178))+0-30.3--0.0154529999999969</f>
        <v>363.11471699999998</v>
      </c>
      <c r="P99" s="3">
        <f>0+(788.8-380.6)+(0+(0.402288-0.194106))+0-30.2-0.0154019999999969</f>
        <v>378.19277999999997</v>
      </c>
      <c r="Q99" s="3">
        <f>0+(743-333.3)+(0+(-1.13679--0.509949))+0-30.3--0.0463590000000018</f>
        <v>378.81951799999996</v>
      </c>
      <c r="R99" s="3">
        <f>0+(688.8-271.8)+(0+(-0.702576--0.277236))+0-30--0.0306000000000048</f>
        <v>386.60525999999993</v>
      </c>
      <c r="S99" s="3">
        <f>0+(648.6-243.3)+(0+(-2.315502--0.868581))+0-30--0.1071</f>
        <v>373.96017900000004</v>
      </c>
      <c r="T99" s="3">
        <f>0+(651.5-262.1)+(0+(-0.332265--0.133671))+0-30.3--0.0154529999999969</f>
        <v>358.91685899999993</v>
      </c>
      <c r="U99" s="3">
        <f>0+(669.2-285.2)+(0+(0-0))+0-30-0</f>
        <v>354.00000000000006</v>
      </c>
      <c r="V99" s="3">
        <f>0+(690.5-310.1)+(0+(-1.056465--0.474453))+0-29.7--0.0454410000000017</f>
        <v>350.16342899999995</v>
      </c>
      <c r="W99" s="3">
        <f>4.2+(698.1-319.9)+(-0.008568+(-1.424124--0.652596))+0-29.5--0.0601799999999987</f>
        <v>352.18008400000002</v>
      </c>
      <c r="X99" s="3">
        <f>34.3+(733.4-397.1)+(-0.052479+(-1.122102--0.607563))+0-29.7--0.0454410000000017</f>
        <v>340.37842299999994</v>
      </c>
      <c r="Y99" s="3">
        <f>1.8+(674.6-318.8)+(-0.001836+(-0.688092--0.325176))+0-29.9--0.0304980000000048</f>
        <v>327.36574600000006</v>
      </c>
      <c r="Z99" s="3">
        <f>0+(613.3-215.9)+(0+(-0.312783--0.110109))+0-30.2--0.0154019999999969</f>
        <v>367.01272799999998</v>
      </c>
      <c r="AA99" s="3">
        <f>0+(634.4-221.6)+(0+(-0.970632--0.339048))+0-30.1--0.0460530000000017</f>
        <v>382.11446899999999</v>
      </c>
      <c r="AB99" s="3">
        <f>0+(690.9-293)+(0+(-1.409436--0.59772))+0-29.1--0.0593639999999987</f>
        <v>368.04764799999998</v>
      </c>
      <c r="AC99" s="3">
        <f>0+(737.3-350.7)+(0+(-0.752046--0.357714))+0-29.3--0.0298860000000047</f>
        <v>356.93555399999991</v>
      </c>
      <c r="AD99" s="2">
        <v>408.5</v>
      </c>
      <c r="AE99" s="3">
        <f>0+(665-225.3)+(0+(0-0))+0-31.2-0</f>
        <v>408.5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0+(707.9-340.4)+(0+(-0.361029--0.173604))+0-27.4--0.0139739999999972</f>
        <v>339.92654900000002</v>
      </c>
      <c r="G100" s="3">
        <f>0+(583.6-220.7)+(0+(-0.892908--0.337671))+0-29.3--0.0448290000000017</f>
        <v>333.08959200000004</v>
      </c>
      <c r="H100" s="3">
        <f>0+(482.3-130.9)+(0+(-0.737919--0.200277))+0-29.8--0.0455940000000017</f>
        <v>321.10795199999995</v>
      </c>
      <c r="I100" s="3">
        <f>0+(475.7-131)+(0+(0-0))+0-29.1-0</f>
        <v>315.59999999999997</v>
      </c>
      <c r="J100" s="3">
        <f>0+(515-171.7)+(0+(-1.31325--0.437835))+0-28.8--0.0734399999999958</f>
        <v>313.69802500000003</v>
      </c>
      <c r="K100" s="3">
        <f>0+(508-175.1)+(0+(-1.03632--0.357204))+0-28.9--0.0589559999999987</f>
        <v>303.37984</v>
      </c>
      <c r="L100" s="3">
        <f>0+(423.2-95.4)+(0+(-0.647496--0.145962))+0-28.4--0.0434520000000016</f>
        <v>298.94191799999999</v>
      </c>
      <c r="M100" s="3">
        <f>0+(568.5-209.7)+(0+(0.57987-0.213894))+0-29.6-0.0301920000000047</f>
        <v>329.53578399999998</v>
      </c>
      <c r="N100" s="3">
        <f>0+(690.3-296)+(0+(0.704106-0.30192))+0-29.9-0.0304980000000048</f>
        <v>364.77168799999993</v>
      </c>
      <c r="O100" s="3">
        <f>0+(663.4-248.5)+(0+(-0.676668--0.25347))+0-29.4--0.0299880000000047</f>
        <v>385.10678999999999</v>
      </c>
      <c r="P100" s="3">
        <f>1.1+(710.6-289.4)+(0+(0-0))+0-29.1-0</f>
        <v>393.20000000000005</v>
      </c>
      <c r="Q100" s="3">
        <f>10.3+(720.4-301.2)+(0.015759+(1.102212-0.460836))+0-29.8-0.0455940000000017</f>
        <v>400.31154099999998</v>
      </c>
      <c r="R100" s="3">
        <f>52+(589.5-220)+(-0.02652+(-0.300645--0.1122))+0-29.7--0.015146999999997</f>
        <v>391.60018200000002</v>
      </c>
      <c r="S100" s="3">
        <f>113.9+(562.8-284.2)+(-0.116178+(-0.574056--0.289884))+0-29.4--0.0299880000000047</f>
        <v>362.72963800000002</v>
      </c>
      <c r="T100" s="3">
        <f>111.3+(542.8-261.7)+(-0.056763+(-0.276828--0.133467))+0-29.7--0.015146999999997</f>
        <v>362.51502299999999</v>
      </c>
      <c r="U100" s="3">
        <f>114.4+(529.8-261.8)+(0.175032+(0.810594-0.400554))+0-30.1-0.0460530000000017</f>
        <v>352.83901899999995</v>
      </c>
      <c r="V100" s="3">
        <f>115.7+(515.7-256.1)+(-0.118014+(-0.526014--0.261222))+0-30--0.0306000000000048</f>
        <v>344.94779399999999</v>
      </c>
      <c r="W100" s="3">
        <f>115.6+(546.2-277.3)+(-0.176868+(-0.835686--0.424269))+0-30.2--0.0462060000000017</f>
        <v>353.75792100000001</v>
      </c>
      <c r="X100" s="3">
        <f>114.7+(625.5-355.9)+(-0.350982+(-1.91403--1.089054))+0-29.9--0.0914940000000034</f>
        <v>353.31553600000007</v>
      </c>
      <c r="Y100" s="3">
        <f>114.3+(657.6-403.4)+(-0.233172+(-1.341504--0.822936))+0-28.4--0.0579359999999988</f>
        <v>339.40619600000008</v>
      </c>
      <c r="Z100" s="3">
        <f>116.4+(658.2-380.1)+(0.118728+(0.671364-0.387702))+0-30-0.0306000000000048</f>
        <v>364.87179000000003</v>
      </c>
      <c r="AA100" s="3">
        <f>115.8+(615.2-329.6)+(-0.118116+(-0.627504--0.336192))+0-30.1--0.0307020000000048</f>
        <v>370.92127400000004</v>
      </c>
      <c r="AB100" s="3">
        <f>116+(667.3-390.2)+(0.05916+(0.340323-0.199002))+0-30.3-0.0154529999999969</f>
        <v>362.985028</v>
      </c>
      <c r="AC100" s="3">
        <f>115.9+(662.4-399.8)+(0+(0-0))+0-29.6-0</f>
        <v>348.9</v>
      </c>
      <c r="AD100" s="2">
        <v>364.70000000000005</v>
      </c>
      <c r="AE100" s="3">
        <f>116+(682.5-403.4)+(0+(0-0))+0-30.4-0</f>
        <v>364.70000000000005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91.1+(584.6-305.4)+(0.046461+(0.298146-0.155754))+0-29.3-0.014942999999997</f>
        <v>341.17391000000003</v>
      </c>
      <c r="G101" s="3">
        <f>0+(539-179.5)+(0+(0.54978-0.18309))+0-27.8-0.0283560000000044</f>
        <v>332.03833399999996</v>
      </c>
      <c r="H101" s="3">
        <f>0+(489.3-136.2)+(0+(0-0))+0-29.6-0</f>
        <v>323.5</v>
      </c>
      <c r="I101" s="3">
        <f>0+(505.1-154)+(0+(0.257601-0.07854))+0-30-0.015299999999997</f>
        <v>321.26376099999999</v>
      </c>
      <c r="J101" s="3">
        <f>0+(504.8-156.3)+(0+(0.257448-0.079713))+0-29.2-0.014891999999997</f>
        <v>319.46284300000002</v>
      </c>
      <c r="K101" s="3">
        <f>0+(512.7-173.4)+(0+(-0.522954--0.176868))+0-29.7--0.0302940000000047</f>
        <v>309.28420800000009</v>
      </c>
      <c r="L101" s="3">
        <f>0+(467.8-135.8)+(0+(-0.477156--0.138516))+0-29.4--0.0299880000000047</f>
        <v>302.29134800000003</v>
      </c>
      <c r="M101" s="3">
        <f>0+(485.4-134)+(0+(0.742662-0.20502))+0-30.7-0.0469710000000018</f>
        <v>321.19067100000001</v>
      </c>
      <c r="N101" s="3">
        <f>0+(608.8-228.6)+(0+(1.55244-0.58293))+0-31.4-0.0800699999999954</f>
        <v>349.68943999999999</v>
      </c>
      <c r="O101" s="3">
        <f>0+(676.1-276.9)+(0+(1.379244-0.564876))+0-31.3-0.0638519999999986</f>
        <v>368.65051600000004</v>
      </c>
      <c r="P101" s="3">
        <f>3.4+(699.6-288.7)+(0.006936+(1.427184-0.588948))+0-31.6-0.0644639999999986</f>
        <v>383.48070799999999</v>
      </c>
      <c r="Q101" s="3">
        <f>106.8+(586.7-287.1)+(0.163404+(0.897651-0.439263))+0-31.5-0.0481950000000018</f>
        <v>375.47359700000004</v>
      </c>
      <c r="R101" s="3">
        <f>196.3+(562-361.6)+(0.400452+(1.14648-0.737664))+0-30.4-0.0620159999999987</f>
        <v>367.04725200000001</v>
      </c>
      <c r="S101" s="3">
        <f>327.4+(510.8-465)+(-0.83487+(-1.30254--1.18575))+0-29.9--0.0762449999999957</f>
        <v>342.42458499999998</v>
      </c>
      <c r="T101" s="3">
        <f>334.4+(481.5-451.9)+(0+(0-0))+0-29.8-0</f>
        <v>334.2</v>
      </c>
      <c r="U101" s="3">
        <f>335.4+(490.2-469.9)+(0+(0-0))+0-30.2-0</f>
        <v>325.5</v>
      </c>
      <c r="V101" s="3">
        <f>340.5+(494-484.4)+(0+(0-0))+0-30.5-0</f>
        <v>319.60000000000002</v>
      </c>
      <c r="W101" s="3">
        <f>341+(521.9-511.3)+(-0.69564+(-1.064676--1.043052))+0-29.6--0.0603839999999987</f>
        <v>321.34311999999994</v>
      </c>
      <c r="X101" s="3">
        <f>222.9+(612.7-477.1)+(-0.682074+(-1.874862--1.459926))+0-29.6--0.0905760000000034</f>
        <v>327.89356599999996</v>
      </c>
      <c r="Y101" s="3">
        <f>95.4+(639.8-376.4)+(-0.194616+(-1.305192--0.767856))+0-29.9--0.0609959999999987</f>
        <v>328.22904399999999</v>
      </c>
      <c r="Z101" s="3">
        <f>177.1+(556.1-358.2)+(0.180642+(0.567222-0.365364))+0-30.4-0.0310080000000048</f>
        <v>344.95149200000003</v>
      </c>
      <c r="AA101" s="3">
        <f>221.5+(454-292.5)+(-0.790755+(-1.62078--1.044225))+0-30--0.1071</f>
        <v>351.73979000000003</v>
      </c>
      <c r="AB101" s="3">
        <f>227.6+(475.6-331.5)+(-0.348228+(-0.727668--0.507195))+0-28.6--0.0437580000000017</f>
        <v>342.57505700000007</v>
      </c>
      <c r="AC101" s="3">
        <f>226.5+(523-378.8)+(-0.46206+(-1.06692--0.772752))+0-29.6--0.0603839999999987</f>
        <v>340.40415599999994</v>
      </c>
      <c r="AD101" s="2">
        <v>338</v>
      </c>
      <c r="AE101" s="3">
        <f>221+(462.5-316.5)+(0+(0-0))+0-29-0</f>
        <v>338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101.5+(608.4-339)+(0.10353+(0.620568-0.34578))+0-29.9-0.0304980000000048</f>
        <v>341.34781999999996</v>
      </c>
      <c r="G102" s="3">
        <f>0+(633.9-282.4)+(0+(-1.293156--0.576096))+0-30.1--0.0614039999999987</f>
        <v>320.74434399999996</v>
      </c>
      <c r="H102" s="3">
        <f>0+(625.9-280.7)+(0+(-0.957627--0.429471))+0-29.9--0.0457470000000017</f>
        <v>314.81759099999999</v>
      </c>
      <c r="I102" s="3">
        <f>0+(574.5-242.2)+(0+(-0.58599--0.247044))+0-30.1--0.0307020000000048</f>
        <v>301.89175599999999</v>
      </c>
      <c r="J102" s="3">
        <f>0+(571.3-245)+(0+(-0.582726--0.2499))+0-30.1--0.0307020000000048</f>
        <v>295.89787599999994</v>
      </c>
      <c r="K102" s="3">
        <f>0+(594-273.5)+(0+(-0.90882--0.418455))+0-29.7--0.0454410000000017</f>
        <v>290.355076</v>
      </c>
      <c r="L102" s="3">
        <f>0+(487.6-181.1)+(0+(-1.24338--0.461805))+0-29.1--0.0742049999999958</f>
        <v>276.69263000000001</v>
      </c>
      <c r="M102" s="3">
        <f>0+(483.3-176.7)+(0+(-0.246483--0.090117))+0-28.9--0.0147389999999971</f>
        <v>277.55837300000007</v>
      </c>
      <c r="N102" s="3">
        <f>0+(609.4-292.5)+(0+(-0.621588--0.29835))+0-30.3--0.0309060000000048</f>
        <v>286.30766799999998</v>
      </c>
      <c r="O102" s="3">
        <f>0+(594.8-269.3)+(0+(-0.910044--0.412029))+0-30--0.0459000000000017</f>
        <v>295.04788499999995</v>
      </c>
      <c r="P102" s="3">
        <f>0+(680.1-340.3)+(0+(0-0))+0-30.7-0</f>
        <v>309.10000000000002</v>
      </c>
      <c r="Q102" s="3">
        <f>0+(668-315.7)+(0+(0.68136-0.322014))+0-28.9-0.0294780000000046</f>
        <v>323.72986800000007</v>
      </c>
      <c r="R102" s="3">
        <f>0+(611.8-259.1)+(0+(0.312018-0.132141))+0-31.3-0.0159629999999968</f>
        <v>321.5639139999999</v>
      </c>
      <c r="S102" s="3">
        <f>0+(526.6-191.2)+(0+(0.268566-0.097512))+0-31.4-0.0160139999999968</f>
        <v>304.1550400000001</v>
      </c>
      <c r="T102" s="3">
        <f>0+(488.8-155)+(0+(-0.249288--0.07905))+0-31.2--0.0159119999999968</f>
        <v>302.44567400000005</v>
      </c>
      <c r="U102" s="3">
        <f>0+(488.2-163.6)+(0+(-0.248982--0.083436))+0-30.9--0.0157589999999969</f>
        <v>293.55021300000004</v>
      </c>
      <c r="V102" s="3">
        <f>0+(538.2-214)+(0+(0.274482-0.10914))+0-31.1-0.0158609999999968</f>
        <v>293.24948100000006</v>
      </c>
      <c r="W102" s="3">
        <f>0+(588.6-261.6)+(0+(-1.50093--0.66708))+0-30.9--0.0787949999999955</f>
        <v>295.34494500000005</v>
      </c>
      <c r="X102" s="3">
        <f>0+(668.4-336.7)+(0+(-1.70442--0.858585))+0-30.9--0.0787949999999955</f>
        <v>300.03296</v>
      </c>
      <c r="Y102" s="3">
        <f>0+(644.6-312.4)+(0+(-0.328746--0.159324))+0-29.6--0.015095999999997</f>
        <v>302.445674</v>
      </c>
      <c r="Z102" s="3">
        <f>0+(551.5-196)+(0+(-0.56253--0.19992))+0-30.8--0.0314160000000049</f>
        <v>324.36880599999995</v>
      </c>
      <c r="AA102" s="3">
        <f>0+(520-152.9)+(0+(-1.326--0.389895))+0-31.8--0.0810899999999954</f>
        <v>334.44498500000003</v>
      </c>
      <c r="AB102" s="3">
        <f>0+(567.6-200.9)+(0+(-0.289476--0.102459))+0-31.8--0.0162179999999968</f>
        <v>334.72920099999999</v>
      </c>
      <c r="AC102" s="3">
        <f>0+(601.1-241.3)+(0+(-0.919683--0.369189))+0-31.2--0.0477360000000018</f>
        <v>328.09724199999999</v>
      </c>
      <c r="AD102" s="2">
        <v>338.90000000000003</v>
      </c>
      <c r="AE102" s="3">
        <f>0+(553.6-182.7)+(0+(0-0))+0-32-0</f>
        <v>338.90000000000003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0+(584.4-234.6)+(0+(0-0))+0-31.1-0</f>
        <v>318.69999999999993</v>
      </c>
      <c r="G103" s="3">
        <f>0+(509.7-170.6)+(0+(-0.259947--0.087006))+0-31--0.0158099999999969</f>
        <v>307.94286900000003</v>
      </c>
      <c r="H103" s="3">
        <f>0+(538.1-203.9)+(0+(0.274431-0.103989))+0-31.2-0.0159119999999968</f>
        <v>303.15453000000002</v>
      </c>
      <c r="I103" s="3">
        <f>0+(578.5-245.3)+(0+(0-0))+0-30.7-0</f>
        <v>302.5</v>
      </c>
      <c r="J103" s="3">
        <f>0+(575.2-242.3)+(0+(-0.586704--0.247146))+0-30.6--0.0312120000000049</f>
        <v>301.99165399999998</v>
      </c>
      <c r="K103" s="3">
        <f>0+(536.2-213)+(0+(-1.36731--0.54315))+0-30.7--0.0782849999999955</f>
        <v>291.75412500000004</v>
      </c>
      <c r="L103" s="3">
        <f>0+(482-162.4)+(0+(0-0))+0-30.4-0</f>
        <v>289.20000000000005</v>
      </c>
      <c r="M103" s="3">
        <f>0+(553-212.1)+(0+(0.56406-0.216342))+0-30.1-0.0307020000000048</f>
        <v>311.11701599999992</v>
      </c>
      <c r="N103" s="3">
        <f>45.4+(645.2-304.2)+(0.046308+(0.658104-0.310284))+0-30-0.0306000000000048</f>
        <v>356.76352800000006</v>
      </c>
      <c r="O103" s="3">
        <f>263.4+(576.1-440.8)+(0+(0-0))+0-30-0</f>
        <v>368.7</v>
      </c>
      <c r="P103" s="3">
        <f>325.8+(573.4-500.6)+(0.498474+(0.877302-0.765918))+0-30-0.0459000000000017</f>
        <v>369.16395799999992</v>
      </c>
      <c r="Q103" s="3">
        <f>341.5+(574.3-500.5)+(0+(0-0))+0-30-0</f>
        <v>385.29999999999995</v>
      </c>
      <c r="R103" s="3">
        <f>339.8+(573.4-496)+(-0.173298+(-0.292434--0.25296))+0-30.3--0.0154529999999969</f>
        <v>386.70268099999998</v>
      </c>
      <c r="S103" s="3">
        <f>339.2+(591.5-528.5)+(0.172992+(0.301665-0.269535))+0-29.9-0.015248999999997</f>
        <v>372.48987300000005</v>
      </c>
      <c r="T103" s="3">
        <f>333.5+(563.1-493.1)+(-0.34017+(-0.574362--0.502962))+0-30--0.0306000000000048</f>
        <v>373.11903000000001</v>
      </c>
      <c r="U103" s="3">
        <f>334.6+(569.8-502.8)+(-0.341292+(-0.581196--0.512856))+0-30.9--0.0315180000000049</f>
        <v>370.32188600000001</v>
      </c>
      <c r="V103" s="3">
        <f>334.5+(607.2-548.6)+(-0.170595+(-0.309672--0.279786))+0-30--0.015299999999997</f>
        <v>362.91481900000002</v>
      </c>
      <c r="W103" s="3">
        <f>278.2+(644-529.4)+(-0.567528+(-1.31376--1.079976))+0-30--0.0611999999999987</f>
        <v>362.059888</v>
      </c>
      <c r="X103" s="3">
        <f>239.5+(710.4-576.3)+(-0.366435+(-1.086912--0.881739))+0-30--0.0459000000000017</f>
        <v>343.07429200000001</v>
      </c>
      <c r="Y103" s="3">
        <f>239.8+(615.9-492.8)+(-0.244596+(-0.628218--0.502656))+0-30--0.0306000000000048</f>
        <v>332.56044199999997</v>
      </c>
      <c r="Z103" s="3">
        <f>322.4+(496.7-449.6)+(0.328848+(0.506634-0.458592))+0-30-0.0306000000000048</f>
        <v>339.84628999999995</v>
      </c>
      <c r="AA103" s="3">
        <f>341.8+(501.8-464.5)+(-0.697272+(-1.023672--0.94758))+0-30--0.0611999999999987</f>
        <v>348.38783599999999</v>
      </c>
      <c r="AB103" s="3">
        <f>342.4+(538-499)+(-0.87312+(-1.3719--1.27245))+0-30--0.0764999999999956</f>
        <v>350.50392999999997</v>
      </c>
      <c r="AC103" s="3">
        <f>98.4+(715.4-429.2)+(-0.200736+(-1.459416--0.875568))+0-30--0.0611999999999987</f>
        <v>353.87661600000001</v>
      </c>
      <c r="AD103" s="2">
        <v>341.3</v>
      </c>
      <c r="AE103" s="3">
        <f>340+(501.5-468.2)+(0+(0-0))+0-32-0</f>
        <v>341.3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0+(663.3-296.3)+(0+(0-0))+0-30-0</f>
        <v>336.99999999999994</v>
      </c>
      <c r="G104" s="3">
        <f>0+(564.6-210.3)+(0+(-1.727676--0.643518))+0-30--0.0918000000000035</f>
        <v>323.30764199999999</v>
      </c>
      <c r="H104" s="3">
        <f>0+(405.1-62.8)+(0+(-0.826404--0.128112))+0-30--0.0611999999999987</f>
        <v>311.66290800000002</v>
      </c>
      <c r="I104" s="3">
        <f>0+(386.1-45)+(0+(-0.984555--0.11475))+0-30--0.0764999999999956</f>
        <v>310.30669500000005</v>
      </c>
      <c r="J104" s="3">
        <f>0+(388.7-51.5)+(0+(-1.189422--0.15759))+0-30--0.0918000000000035</f>
        <v>306.25996799999996</v>
      </c>
      <c r="K104" s="3">
        <f>0+(394-68.6)+(0+(-0.80376--0.139944))+0-30--0.0611999999999987</f>
        <v>294.79738399999997</v>
      </c>
      <c r="L104" s="3">
        <f>0+(401.5-75.6)+(0+(-1.023825--0.19278))+0-30--0.0764999999999956</f>
        <v>295.14545499999997</v>
      </c>
      <c r="M104" s="3">
        <f>0+(530.5-181)+(0+(0.811665-0.27693))+0-30-0.0459000000000017</f>
        <v>319.98883499999999</v>
      </c>
      <c r="N104" s="3">
        <f>0+(693.9-308)+(0+(1.061667-0.47124))+0-30-0.0459000000000017</f>
        <v>356.44452699999994</v>
      </c>
      <c r="O104" s="3">
        <f>69.1+(729.1-392.6)+(0.070482+(0.743682-0.400452))+0-31-0.0316200000000049</f>
        <v>374.98209199999997</v>
      </c>
      <c r="P104" s="3">
        <f>277.6+(704.6-561.9)+(0+(0-0))+0-31-0</f>
        <v>389.30000000000007</v>
      </c>
      <c r="Q104" s="3">
        <f>341.5+(650.5-569.2)+(0.870825+(1.658775-1.45146))+0-31-0.0790499999999955</f>
        <v>392.79908999999998</v>
      </c>
      <c r="R104" s="3">
        <f>331.8+(590.7-502.9)+(0.169218+(0.301257-0.256479))+0-30.9-0.0157589999999969</f>
        <v>388.89823700000011</v>
      </c>
      <c r="S104" s="3">
        <f>331.5+(566.4-488.5)+(-0.33813+(-0.577728--0.49827))+0-30.7--0.0313140000000049</f>
        <v>378.31372599999997</v>
      </c>
      <c r="T104" s="3">
        <f>330.9+(564.8-490.7)+(-0.337518+(-0.576096--0.500514))+0-30.5--0.0311100000000049</f>
        <v>374.11800999999997</v>
      </c>
      <c r="U104" s="3">
        <f>328.2+(560.5-496.6)+(-0.83691+(-1.429275--1.26633))+0-30.4--0.0775199999999956</f>
        <v>360.77766499999996</v>
      </c>
      <c r="V104" s="3">
        <f>332.3+(644-581.2)+(-0.169473+(-0.32844--0.296412))+0-30.7--0.0156569999999969</f>
        <v>364.21415599999995</v>
      </c>
      <c r="W104" s="3">
        <f>276.7+(681.7-560.8)+(-0.564468+(-1.390668--1.144032))+0-30.6--0.0624239999999987</f>
        <v>366.25132000000008</v>
      </c>
      <c r="X104" s="3">
        <f>175.9+(714-498.4)+(-0.269127+(-1.09242--0.762552))+0-31--0.0474300000000018</f>
        <v>359.94843500000002</v>
      </c>
      <c r="Y104" s="3">
        <f>83.7+(713.4-416)+(-0.213435+(-1.81917--1.0608))+0-31.1--0.0793049999999955</f>
        <v>349.1074999999999</v>
      </c>
      <c r="Z104" s="3">
        <f>71.5+(669.2-361.2)+(0+(0-0))+0-30.7-0</f>
        <v>348.80000000000007</v>
      </c>
      <c r="AA104" s="3">
        <f>117.2+(687.7-413.1)+(-0.29886+(-1.753635--1.053405))+0-30.9--0.0787949999999955</f>
        <v>359.97970500000002</v>
      </c>
      <c r="AB104" s="3">
        <f>60.9+(658.4-328.7)+(-0.062118+(-0.671568--0.335274))+0-30.6--0.0312120000000049</f>
        <v>359.63279999999992</v>
      </c>
      <c r="AC104" s="3">
        <f>22.1+(691.7-336.3)+(-0.022542+(-0.705534--0.343026))+0-30.4--0.0310080000000048</f>
        <v>346.74595800000009</v>
      </c>
      <c r="AD104" s="2">
        <v>355.59999999999997</v>
      </c>
      <c r="AE104" s="3">
        <f>118+(671.3-402.9)+(0+(0-0))+0-30.8-0</f>
        <v>355.59999999999997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0+(615.8-250.2)+(0+(-1.57029--0.63801))+0-30.3--0.0772649999999956</f>
        <v>334.44498499999997</v>
      </c>
      <c r="G105" s="3">
        <f>0+(422.1-63.4)+(0+(-0.861084--0.129336))+0-30.3--0.0618119999999987</f>
        <v>327.73006400000003</v>
      </c>
      <c r="H105" s="3">
        <f>0+(401.9-50.5)+(0+(-0.614907--0.077265))+0-29.9--0.0457470000000017</f>
        <v>321.008105</v>
      </c>
      <c r="I105" s="3">
        <f>0+(416.8-71.1)+(0+(-0.850272--0.145044))+0-30.4--0.0620159999999987</f>
        <v>314.65678800000006</v>
      </c>
      <c r="J105" s="3">
        <f>0+(420.9-76.5)+(0+(-1.073295--0.195075))+0-30.1--0.0767549999999956</f>
        <v>313.49853499999995</v>
      </c>
      <c r="K105" s="3">
        <f>0+(366.9-24.1)+(0+(-0.935595--0.061455))+0-30.1--0.0767549999999956</f>
        <v>311.90261499999991</v>
      </c>
      <c r="L105" s="3">
        <f>0+(371.3-30.9)+(0+(-0.189363--0.015759))+0-29.5--0.015044999999997</f>
        <v>310.74144100000001</v>
      </c>
      <c r="M105" s="3">
        <f>0+(366-6.8)+(0+(0.37332-0.006936))+0-30.3-0.0309060000000048</f>
        <v>329.23547799999994</v>
      </c>
      <c r="N105" s="3">
        <f>101.8+(301-18.1)+(0+(0-0))+0-31-0</f>
        <v>353.7</v>
      </c>
      <c r="O105" s="3">
        <f>273.1+(251.5-127.6)+(-0.696405+(-0.641325--0.32538))+0-31.6--0.0805799999999954</f>
        <v>364.46822999999995</v>
      </c>
      <c r="P105" s="3">
        <f>320.2+(435.3-346.3)+(0+(0-0))+0-31.3-0</f>
        <v>377.9</v>
      </c>
      <c r="Q105" s="3">
        <f>335.8+(740.7-650.2)+(-0.342516+(-0.755514--0.663204))+0-31.5--0.032130000000005</f>
        <v>394.39730400000002</v>
      </c>
      <c r="R105" s="3">
        <f>335.1+(757.3-658.7)+(0+(0-0))+0-31.3-0</f>
        <v>402.39999999999992</v>
      </c>
      <c r="S105" s="3">
        <f>329.3+(763-675.7)+(-0.335886+(-0.77826--0.689214))+0-31.2--0.031824000000005</f>
        <v>385.00689199999999</v>
      </c>
      <c r="T105" s="3">
        <f>327.4+(758.7-671.4)+(-0.500922+(-1.160811--1.027242))+0-31.1--0.0475830000000018</f>
        <v>383.01309199999997</v>
      </c>
      <c r="U105" s="3">
        <f>328.6+(777.5-691.9)+(0.335172+(0.79305-0.705738))+0-30.9-0.0315180000000049</f>
        <v>383.69096600000006</v>
      </c>
      <c r="V105" s="3">
        <f>327+(800.7-722.9)+(-0.16677+(-0.408357--0.368679))+0-30.9--0.0157589999999969</f>
        <v>373.70931100000007</v>
      </c>
      <c r="W105" s="3">
        <f>326.3+(820-745.4)+(-1.164891+(-2.9274--2.661078))+0-30.6--0.109242</f>
        <v>368.97802899999999</v>
      </c>
      <c r="X105" s="3">
        <f>209.7+(692.3-509.6)+(-0.748629+(-2.471511--1.819272))+0-30.6--0.109242</f>
        <v>360.50837399999989</v>
      </c>
      <c r="Y105" s="3">
        <f>148.1+(507-271.2)+(-0.151062+(-0.51714--0.276624))+0-30.6--0.0312120000000049</f>
        <v>352.93963399999996</v>
      </c>
      <c r="Z105" s="3">
        <f>148+(490-236.8)+(0+(0-0))+0-31.7-0</f>
        <v>369.5</v>
      </c>
      <c r="AA105" s="3">
        <f>148.1+(651.5-387)+(-0.151062+(-0.66453--0.39474))+0-31.3--0.031926000000005</f>
        <v>380.91107399999999</v>
      </c>
      <c r="AB105" s="3">
        <f>132.7+(608.6-334.9)+(-0.135354+(-0.620772--0.341598))+0-30.7--0.0313140000000049</f>
        <v>375.31678600000004</v>
      </c>
      <c r="AC105" s="3">
        <f>0+(695.5-297.1)+(0+(0-0))+0-31.2-0</f>
        <v>367.2</v>
      </c>
      <c r="AD105" s="2">
        <v>363.09999999999997</v>
      </c>
      <c r="AE105" s="3">
        <f>147+(643.4-396.7)+(0+(0-0))+0-30.6-0</f>
        <v>363.09999999999997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0+(659.6-274.9)+(0+(0.336396-0.140199))+0-31.6-0.0161159999999968</f>
        <v>353.280081</v>
      </c>
      <c r="G106" s="3">
        <f>0+(610.7-241.9)+(0+(0-0))+0-31.4-0</f>
        <v>337.40000000000009</v>
      </c>
      <c r="H106" s="3">
        <f>0+(592-232.2)+(0+(0-0))+0-31.2-0</f>
        <v>328.6</v>
      </c>
      <c r="I106" s="3">
        <f>0+(578.4-220.2)+(0+(0-0))+0-30.9-0</f>
        <v>327.3</v>
      </c>
      <c r="J106" s="3">
        <f>0+(519.7-162.1)+(0+(-0.795141--0.248013))+0-31.1--0.0475830000000018</f>
        <v>326.00045499999999</v>
      </c>
      <c r="K106" s="3">
        <f>0+(495.5-148.8)+(0+(-0.50541--0.151776))+0-31.2--0.031824000000005</f>
        <v>315.17819000000003</v>
      </c>
      <c r="L106" s="3">
        <f>0+(493.3-149.4)+(0+(-1.006332--0.304776))+0-30.8--0.0628319999999987</f>
        <v>312.461276</v>
      </c>
      <c r="M106" s="3">
        <f>0+(494.1-128.8)+(0+(0-0))+0-31.5-0</f>
        <v>333.8</v>
      </c>
      <c r="N106" s="3">
        <f>0+(511-115.3)+(0+(0.52122-0.117606))+0-31.9-0.0325380000000051</f>
        <v>364.17107600000003</v>
      </c>
      <c r="O106" s="3">
        <f>0+(625-216.1)+(0+(-1.275--0.440844))+0-32--0.0652799999999986</f>
        <v>376.13112399999994</v>
      </c>
      <c r="P106" s="3">
        <f>0+(725.7-304)+(0+(-0.370107--0.15504))+0-31.6--0.0161159999999968</f>
        <v>389.90104900000006</v>
      </c>
      <c r="Q106" s="3">
        <f>154.8+(626.4-350.8)+(-0.078948+(-0.319464--0.178908))+0-32--0.0163199999999968</f>
        <v>398.19681600000001</v>
      </c>
      <c r="R106" s="3">
        <f>332.7+(571.8-463.7)+(0+(0-0))+0-31.6-0</f>
        <v>409.19999999999993</v>
      </c>
      <c r="S106" s="3">
        <f>330+(593.5-496.5)+(-0.6732+(-1.21074--1.01286))+0-31.7--0.0646679999999986</f>
        <v>394.49358799999999</v>
      </c>
      <c r="T106" s="3">
        <f>332.1+(572.1-473.3)+(-0.338742+(-0.583542--0.482766))+0-31.7--0.0323340000000051</f>
        <v>398.79281600000002</v>
      </c>
      <c r="U106" s="3">
        <f>332.1+(574.3-479.1)+(-0.169371+(-0.292893--0.244341))+0-31.5--0.0160649999999968</f>
        <v>395.59814199999994</v>
      </c>
      <c r="V106" s="3">
        <f>331.9+(602.7-510.8)+(-0.169269+(-0.307377--0.260508))+0-31.3--0.0159629999999968</f>
        <v>392.299825</v>
      </c>
      <c r="W106" s="3">
        <f>331.1+(617.5-531.5)+(0.506583+(0.944775-0.813195))+0-31.4-0.0480420000000018</f>
        <v>386.29012100000006</v>
      </c>
      <c r="X106" s="3">
        <f>328.1+(571.1-492.9)+(-0.501993+(-0.873783--0.754137))+0-30.9--0.0472770000000018</f>
        <v>374.82563800000008</v>
      </c>
      <c r="Y106" s="3">
        <f>195+(485.8-288.1)+(0.1989+(0.495516-0.293862))+0-31-0.0316200000000049</f>
        <v>362.06893399999996</v>
      </c>
      <c r="Z106" s="3">
        <f>201.5+(513.9-310.9)+(-0.102765+(-0.262089--0.158559))+0-31.2--0.0159119999999968</f>
        <v>373.10961700000001</v>
      </c>
      <c r="AA106" s="3">
        <f>336.4+(541.5-450.3)+(-0.686256+(-1.10466--0.918612))+0-31.5--0.0642599999999986</f>
        <v>395.29195599999997</v>
      </c>
      <c r="AB106" s="3">
        <f>248.4+(610.8-437.9)+(-0.126684+(-0.311508--0.223329))+0-31.1--0.0158609999999968</f>
        <v>390.00099799999992</v>
      </c>
      <c r="AC106" s="3">
        <f>148.4+(744.1-490.6)+(-0.151368+(-0.758982--0.500412))+0-30.9--0.0315180000000049</f>
        <v>370.62157999999999</v>
      </c>
      <c r="AD106" s="2">
        <v>399.69999999999993</v>
      </c>
      <c r="AE106" s="3">
        <f>335+(566.3-469.8)+(0+(0-0))+0-31.8-0</f>
        <v>399.69999999999993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34.8+(812.9-459.6)+(-0.08874+(-2.072895--1.17198))+0-31.1--0.0793049999999955</f>
        <v>356.08964999999989</v>
      </c>
      <c r="G107" s="3">
        <f>0+(714-344.3)+(0+(0.72828-0.351186))+0-30.8-0.0314160000000049</f>
        <v>339.245678</v>
      </c>
      <c r="H107" s="3">
        <f>0+(638.2-279.9)+(0+(-0.650964--0.285498))+0-30.8--0.0314160000000049</f>
        <v>327.16595000000001</v>
      </c>
      <c r="I107" s="3">
        <f>0+(631.7-275.8)+(0+(0.322167-0.140658))+0-31-0.0158099999999969</f>
        <v>325.06569900000005</v>
      </c>
      <c r="J107" s="3">
        <f>0+(575.6-225.2)+(0+(-0.880668--0.344556))+0-31.2--0.0477360000000018</f>
        <v>318.71162400000003</v>
      </c>
      <c r="K107" s="3">
        <f>0+(541.1-201.1)+(0+(-0.827883--0.307683))+0-30.3--0.0463590000000018</f>
        <v>309.226159</v>
      </c>
      <c r="L107" s="3">
        <f>0+(484.9-152.1)+(0+(-0.741897--0.232713))+0-27.7--0.0423810000000016</f>
        <v>304.63319699999994</v>
      </c>
      <c r="M107" s="3">
        <f>0+(540.2-180)+(0+(0.551004-0.1836))+0-26.6-0.0271320000000042</f>
        <v>333.94027200000005</v>
      </c>
      <c r="N107" s="3">
        <f>0+(744.5-350.5)+(0+(0-0))+0-29.3-0</f>
        <v>364.7</v>
      </c>
      <c r="O107" s="3">
        <f>0+(806-396.6)+(0+(-1.23318--0.606798))+0-31.7--0.0485010000000018</f>
        <v>377.122119</v>
      </c>
      <c r="P107" s="3">
        <f>193.6+(658.5-447.6)+(-0.296208+(-1.007505--0.684828))+0-31.9--0.0488070000000018</f>
        <v>372.02992200000006</v>
      </c>
      <c r="Q107" s="3">
        <f>333.8+(669.3-580.1)+(0+(0-0))+0-32-0</f>
        <v>390.99999999999994</v>
      </c>
      <c r="R107" s="3">
        <f>331.9+(659.9-568.8)+(0.338538+(0.673098-0.580176))+0-31.5-0.032130000000005</f>
        <v>391.89933000000002</v>
      </c>
      <c r="S107" s="3">
        <f>326.2+(735.5-645.4)+(-0.998172+(-2.25063--1.974924))+0-31.4--0.0960840000000036</f>
        <v>383.72220600000003</v>
      </c>
      <c r="T107" s="3">
        <f>325.6+(752.8-664.4)+(-0.166056+(-0.383928--0.338844))+0-31.3--0.0159629999999968</f>
        <v>382.50482299999999</v>
      </c>
      <c r="U107" s="3">
        <f>321.8+(747.9-665.6)+(-0.328236+(-0.762858--0.678912))+0-31.2--0.031824000000005</f>
        <v>372.51964200000003</v>
      </c>
      <c r="V107" s="3">
        <f>322+(731-654.8)+(-0.49266+(-1.11843--1.001844))+0-30.8--0.0471240000000018</f>
        <v>366.83787800000005</v>
      </c>
      <c r="W107" s="3">
        <f>318.9+(803.5-729.5)+(-0.650556+(-1.63914--1.48818))+0-31.2--0.0636479999999986</f>
        <v>360.962132</v>
      </c>
      <c r="X107" s="3">
        <f>314.8+(804.4-728.6)+(-1.284384+(-3.281952--2.972688))+0-31.2--0.127295999999997</f>
        <v>357.93364800000001</v>
      </c>
      <c r="Y107" s="3">
        <f>266.7+(716.6-607.5)+(-0.408051+(-1.096398--0.929475))+0-30.7--0.0469710000000018</f>
        <v>344.57199700000001</v>
      </c>
      <c r="Z107" s="3">
        <f>288.2+(741-637.8)+(-0.146982+(-0.37791--0.325278))+0-29.9--0.015248999999997</f>
        <v>361.31563500000004</v>
      </c>
      <c r="AA107" s="3">
        <f>329.7+(735.8-669.4)+(-1.008882+(-2.251548--2.048364))+0-31--0.0948600000000036</f>
        <v>363.98279399999996</v>
      </c>
      <c r="AB107" s="3">
        <f>139.7+(796.4-538.4)+(-0.284988+(-1.624656--1.098336))+0-31.1--0.0634439999999986</f>
        <v>365.85213599999997</v>
      </c>
      <c r="AC107" s="3">
        <f>0+(822.2-426.8)+(0+(-1.257966--0.653004))+0-30.8--0.0471240000000018</f>
        <v>364.04216200000002</v>
      </c>
      <c r="AD107" s="2">
        <v>363.49999999999994</v>
      </c>
      <c r="AE107" s="3">
        <f>334+(730.3-669.6)+(0+(0-0))+0-31.2-0</f>
        <v>363.49999999999994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0+(788.4-401.3)+(0+(-0.402084--0.204663))+0-30.4--0.0155039999999969</f>
        <v>356.51808299999999</v>
      </c>
      <c r="G108" s="3">
        <f>0+(629.4-260)+(0+(0.320994-0.1326))+0-30-0.015299999999997</f>
        <v>339.57309399999997</v>
      </c>
      <c r="H108" s="3">
        <f>0+(521.3-162)+(0+(-0.797589--0.24786))+0-30.2--0.0462060000000017</f>
        <v>328.59647699999994</v>
      </c>
      <c r="I108" s="3">
        <f>0+(520-166.8)+(0+(0-0))+0-30.3-0</f>
        <v>322.89999999999998</v>
      </c>
      <c r="J108" s="3">
        <f>0+(543.3-195.7)+(0+(0-0))+0-30.6-0</f>
        <v>316.99999999999994</v>
      </c>
      <c r="K108" s="3">
        <f>0+(517.2-187.6)+(0+(-1.31886--0.47838))+0-29.1--0.0742049999999958</f>
        <v>299.73372499999999</v>
      </c>
      <c r="L108" s="3">
        <f>0+(396.9-91)+(0+(-1.416933--0.32487))+0-21.4--0.0763980000000003</f>
        <v>283.48433499999999</v>
      </c>
      <c r="M108" s="3">
        <f>0+(420-120.5)+(0+(0-0))+0-25.6-0</f>
        <v>273.89999999999998</v>
      </c>
      <c r="N108" s="3">
        <f>0+(454-151.9)+(0+(0-0))+0-29.2-0</f>
        <v>272.90000000000003</v>
      </c>
      <c r="O108" s="3">
        <f>0+(551.9-219.7)+(0+(0.281469-0.112047))+0-29.4-0.014993999999997</f>
        <v>302.95442800000001</v>
      </c>
      <c r="P108" s="3">
        <f>0+(716-367.2)+(0+(0-0))+0-29.9-0</f>
        <v>318.90000000000003</v>
      </c>
      <c r="Q108" s="3">
        <f>0+(765.8-405.1)+(0+(0.781116-0.413202))+0-30.1-0.0307020000000048</f>
        <v>330.93721199999987</v>
      </c>
      <c r="R108" s="3">
        <f>0+(759.1-398.7)+(0+(-0.387141--0.203337))+0-30.4--0.0155039999999969</f>
        <v>329.83170000000007</v>
      </c>
      <c r="S108" s="3">
        <f>0+(757.7-408.4)+(0+(-0.386427--0.208284))+0-30.8--0.0157079999999969</f>
        <v>318.3375650000001</v>
      </c>
      <c r="T108" s="3">
        <f>0+(728.2-383)+(0+(-0.742764--0.39066))+0-30--0.0306000000000048</f>
        <v>314.87849600000004</v>
      </c>
      <c r="U108" s="3">
        <f>0+(719.8-376.2)+(0+(0-0))+0-25.9-0</f>
        <v>317.7</v>
      </c>
      <c r="V108" s="3">
        <f>0+(752.9-411.7)+(0+(0.383979-0.209967))+0-22-0.0112199999999978</f>
        <v>319.36279200000001</v>
      </c>
      <c r="W108" s="3">
        <f>0+(746.8-404.4)+(0+(-2.285208--1.237464))+0-24.1--0.0737460000000028</f>
        <v>317.32600199999996</v>
      </c>
      <c r="X108" s="3">
        <f>0+(751.5-414.6)+(0+(-1.916325--1.05723))+0-16.1--0.0410549999999977</f>
        <v>319.9819599999999</v>
      </c>
      <c r="Y108" s="3">
        <f>0+(659.2-338.2)+(0+(-0.336192--0.172482))+0-5.7--0.00290699999999942</f>
        <v>315.13919700000008</v>
      </c>
      <c r="Z108" s="3">
        <f>0+(579.9-240.1)+(0+(0.295749-0.122451))+0-6.4-0.00326399999999935</f>
        <v>333.57003399999996</v>
      </c>
      <c r="AA108" s="3">
        <f>0+(646.2-293.3)+(0+(-0.988686--0.448749))+0-6.4--0.00979200000000037</f>
        <v>345.96985500000005</v>
      </c>
      <c r="AB108" s="3">
        <f>0+(655.4-308.4)+(0+(-0.334254--0.157284))+0-6.3--0.00321299999999936</f>
        <v>340.52624300000002</v>
      </c>
      <c r="AC108" s="3">
        <f>0+(734.7-388.8)+(0+(0.374697-0.198288))+0-6.3-0.00321299999999936</f>
        <v>339.77319599999998</v>
      </c>
      <c r="AD108" s="2">
        <v>352.50000000000006</v>
      </c>
      <c r="AE108" s="3">
        <f>0+(657.7-298.8)+(0+(0-0))+0-6.4-0</f>
        <v>352.50000000000006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0+(673.8-332.2)+(0+(0.687276-0.338844))+0-6.3-0.006426000000001</f>
        <v>335.64200599999998</v>
      </c>
      <c r="G109" s="3">
        <f>0+(675.1-338.3)+(0+(0.344301-0.172533))+0-6.7-0.00341699999999932</f>
        <v>330.268351</v>
      </c>
      <c r="H109" s="3">
        <f>0+(567.4-244.9)+(0+(0.868122-0.374697))+0-7.1-0.0108630000000004</f>
        <v>315.88256200000001</v>
      </c>
      <c r="I109" s="3">
        <f>0+(559.4-242.7)+(0+(0-0))+0-7-0</f>
        <v>309.7</v>
      </c>
      <c r="J109" s="3">
        <f>0+(523.7-207.9)+(0+(-0.534174--0.212058))+0-7.2--0.00734400000000115</f>
        <v>308.28522800000007</v>
      </c>
      <c r="K109" s="3">
        <f>0+(541.7-237.4)+(0+(-1.933869--0.847518))+0-7.9--0.0282030000000001</f>
        <v>295.34185200000013</v>
      </c>
      <c r="L109" s="3">
        <f>0+(560.6-268.8)+(0+(-0.857718--0.411264))+0-9.2--0.0140760000000005</f>
        <v>282.16762199999999</v>
      </c>
      <c r="M109" s="3">
        <f>0+(581.1-285.5)+(0+(0.296361-0.145605))+0-11.2-0.00571199999999886</f>
        <v>284.54504400000002</v>
      </c>
      <c r="N109" s="3">
        <f>0+(658.1-358)+(0+(-0.335631--0.18258))+0-13.1--0.00668099999999867</f>
        <v>286.85363000000001</v>
      </c>
      <c r="O109" s="3">
        <f>0+(624.8-317.9)+(0+(0.955944-0.486387))+0-11.3-0.0172890000000007</f>
        <v>296.05226799999997</v>
      </c>
      <c r="P109" s="3">
        <f>0+(671.8-353.1)+(0+(0.342618-0.180081))+0-13.9-0.00708899999999859</f>
        <v>304.95544799999993</v>
      </c>
      <c r="Q109" s="3">
        <f>0+(774.7-448.8)+(0+(0.395097-0.228888))+0-16.1-0.00821099999999837</f>
        <v>309.95799799999998</v>
      </c>
      <c r="R109" s="3">
        <f>0+(763.2-433.9)+(0+(0.778464-0.442578))+0-18.3-0.0186660000000029</f>
        <v>311.31722000000008</v>
      </c>
      <c r="S109" s="3">
        <f>0+(754.8-428)+(0+(1.539792-0.87312))+0-16.2-0.0330479999999993</f>
        <v>311.23362399999996</v>
      </c>
      <c r="T109" s="3">
        <f>0+(689.5-364.3)+(0+(1.054935-0.557379))+0-16.5-0.025245000000001</f>
        <v>309.17231099999998</v>
      </c>
      <c r="U109" s="3">
        <f>0+(639.9-316.9)+(0+(0.652698-0.323238))+0-18.4-0.0187680000000029</f>
        <v>304.91069199999998</v>
      </c>
      <c r="V109" s="3">
        <f>0+(660.5-332.9)+(0+(0.336855-0.169779))+0-20.8-0.0106079999999979</f>
        <v>306.95646800000003</v>
      </c>
      <c r="W109" s="3">
        <f>0+(695.7-360.9)+(0+(-0.354807--0.184059))+0-24.7--0.0125969999999975</f>
        <v>309.94184900000005</v>
      </c>
      <c r="X109" s="3">
        <f>0+(745.1-406.2)+(0+(-1.520004--0.828648))+0-27.2--0.0554879999999988</f>
        <v>311.06413200000009</v>
      </c>
      <c r="Y109" s="3">
        <f>0+(721.3-389.4)+(0+(0.367863-0.198594))+0-28.7-0.0146369999999971</f>
        <v>303.35463199999998</v>
      </c>
      <c r="Z109" s="3">
        <f>0+(557.8-200.1)+(0+(-0.284478--0.102051))+0-29.8--0.015197999999997</f>
        <v>327.7327709999999</v>
      </c>
      <c r="AA109" s="3">
        <f>0+(520.8-160.2)+(0+(-0.531216--0.163404))+0-29.7--0.0302940000000047</f>
        <v>330.56248199999999</v>
      </c>
      <c r="AB109" s="3">
        <f>0+(620.9-252.9)+(0+(-0.633318--0.257958))+0-29.9--0.0304980000000048</f>
        <v>337.75513800000004</v>
      </c>
      <c r="AC109" s="3">
        <f>0+(637-277.5)+(0+(-0.32487--0.141525))+0-29.8--0.015197999999997</f>
        <v>329.53185300000001</v>
      </c>
      <c r="AD109" s="2">
        <v>340.8</v>
      </c>
      <c r="AE109" s="3">
        <f>0+(602-231.4)+(0+(0-0))+0-29.8-0</f>
        <v>340.8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0+(609.7-255.6)+(0+(-0.310947--0.130356))+0-29.8--0.015197999999997</f>
        <v>324.13460700000002</v>
      </c>
      <c r="G110" s="3">
        <f>0+(453-111.7)+(0+(0-0))+0-29.9-0</f>
        <v>311.40000000000003</v>
      </c>
      <c r="H110" s="3">
        <f>0+(442.2-107.3)+(0+(-0.225522--0.054723))+0-30.1--0.0153509999999969</f>
        <v>304.64455199999998</v>
      </c>
      <c r="I110" s="3">
        <f>0+(409.1-78.9)+(0+(-0.208641--0.040239))+0-30.3--0.0154529999999969</f>
        <v>299.747051</v>
      </c>
      <c r="J110" s="3">
        <f>0+(383-47.8)+(0+(-0.39066--0.048756))+0-30.7--0.0313140000000049</f>
        <v>304.18941000000001</v>
      </c>
      <c r="K110" s="3">
        <f>0+(433.1-106)+(0+(-1.104405--0.2703))+0-30.4--0.0775199999999956</f>
        <v>295.94341500000002</v>
      </c>
      <c r="L110" s="3">
        <f>0+(416.7-91)+(0+(-0.425034--0.09282))+0-30.5--0.0311100000000049</f>
        <v>294.89889599999998</v>
      </c>
      <c r="M110" s="3">
        <f>0+(536.6-182.3)+(0+(0.820998-0.278919))+0-30.6-0.0468180000000018</f>
        <v>324.19526099999996</v>
      </c>
      <c r="N110" s="3">
        <f>0+(652.6-262.3)+(0+(0-0))+0-30.7-0</f>
        <v>359.6</v>
      </c>
      <c r="O110" s="3">
        <f>83.7+(677.1-353.2)+(0.085374+(0.690642-0.360264))+0-30.8-0.0314160000000049</f>
        <v>377.18433600000003</v>
      </c>
      <c r="P110" s="3">
        <f>205.5+(677.1-462.5)+(0.314415+(1.035963-0.707625))+0-30.6-0.0468180000000018</f>
        <v>390.09593500000005</v>
      </c>
      <c r="Q110" s="3">
        <f>234.6+(664.9-472.6)+(0.358938+(1.017297-0.723078))+0-30.6-0.0468180000000018</f>
        <v>396.906339</v>
      </c>
      <c r="R110" s="3">
        <f>330.4+(595.9-495.3)+(0.674016+(1.215636-1.010412))+0-30.4-0.0620159999999987</f>
        <v>401.41722399999998</v>
      </c>
      <c r="S110" s="3">
        <f>328.5+(550.3-470.1)+(0.167535+(0.280653-0.239751))+0-30.1-0.0153509999999969</f>
        <v>378.7930859999999</v>
      </c>
      <c r="T110" s="3">
        <f>324.2+(569.2-484.1)+(-0.165342+(-0.290292--0.246891))+0-30.1--0.0153509999999969</f>
        <v>379.00660799999997</v>
      </c>
      <c r="U110" s="3">
        <f>320.5+(543.9-459.6)+(0+(0-0))+0-29.3-0</f>
        <v>375.49999999999994</v>
      </c>
      <c r="V110" s="3">
        <f>319.3+(568.6-486)+(-0.325686+(-0.579972--0.49572))+0-29.3--0.0298860000000047</f>
        <v>372.21994799999999</v>
      </c>
      <c r="W110" s="3">
        <f>319.9+(610.1-527.3)+(-0.489447+(-0.933453--0.806769))+0-30.8--0.0471240000000018</f>
        <v>371.33099300000003</v>
      </c>
      <c r="X110" s="3">
        <f>299.5+(676.7-576.5)+(-0.763725+(-1.725585--1.470075))+0-30.6--0.0780299999999956</f>
        <v>368.15879500000005</v>
      </c>
      <c r="Y110" s="3">
        <f>150.3+(687.8-447.8)+(-0.229959+(-1.052334--0.685134))+0-30.8--0.0471240000000018</f>
        <v>358.94996499999996</v>
      </c>
      <c r="Z110" s="3">
        <f>211.9+(609.5-419.3)+(0.216138+(0.62169-0.427686))+0-30.8-0.0314160000000049</f>
        <v>371.67872600000004</v>
      </c>
      <c r="AA110" s="3">
        <f>330.7+(555.3-468.9)+(-0.505971+(-0.849609--0.717417))+0-30.9--0.0472770000000018</f>
        <v>385.60911399999998</v>
      </c>
      <c r="AB110" s="3">
        <f>331.5+(597.7-518.3)+(-0.507195+(-0.914481--0.792999))+0-31--0.0474300000000018</f>
        <v>379.31875300000013</v>
      </c>
      <c r="AC110" s="3">
        <f>223.3+(634.8-451.1)+(-0.227766+(-0.647496--0.460122))+0-30.9--0.0315180000000049</f>
        <v>375.71637799999996</v>
      </c>
      <c r="AD110" s="2">
        <v>386.1</v>
      </c>
      <c r="AE110" s="3">
        <f>331+(546.5-461)+(0+(0-0))+0-30.4-0</f>
        <v>386.1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50+(672.2-327.2)+(-0.051+(-0.685644--0.333744))+0-30.6--0.0312120000000049</f>
        <v>364.02831200000003</v>
      </c>
      <c r="G111" s="3">
        <f>50+(510.6-178.7)+(-0.051+(-0.520812--0.182274))+0-30.6--0.0312120000000049</f>
        <v>350.94167399999998</v>
      </c>
      <c r="H111" s="3">
        <f>50+(411.4-86.9)+(-0.0765+(-0.629442--0.132957))+0-30.5--0.0466650000000018</f>
        <v>343.47368</v>
      </c>
      <c r="I111" s="3">
        <f>50.1+(359.1-39)+(-0.153306+(-1.098846--0.11934))+0-30.6--0.0936360000000035</f>
        <v>338.56082400000003</v>
      </c>
      <c r="J111" s="3">
        <f>50+(376.2-63.1)+(-0.1275+(-0.95931--0.160905))+0-30.7--0.0782849999999955</f>
        <v>331.55237999999997</v>
      </c>
      <c r="K111" s="3">
        <f>50+(407.4-102.8)+(-0.2295+(-1.869966--0.471852))+0-31--0.142290000000005</f>
        <v>322.11467599999997</v>
      </c>
      <c r="L111" s="3">
        <f>50.1+(459.4-156.9)+(0+(0-0))+0-30.2-0</f>
        <v>322.40000000000003</v>
      </c>
      <c r="M111" s="3">
        <f>50+(534.6-208.4)+(0.0255+(0.272646-0.106284))+0-30.9-0.0157589999999969</f>
        <v>345.47610300000008</v>
      </c>
      <c r="N111" s="3">
        <f>50.1+(629.3-266.3)+(0.051102+(0.641886-0.271626))+0-31.4-0.032028000000005</f>
        <v>382.08933399999995</v>
      </c>
      <c r="O111" s="3">
        <f>74.5+(686.6-333.7)+(0.037995+(0.350166-0.170187))+0-31.4-0.0160139999999968</f>
        <v>396.2019600000001</v>
      </c>
      <c r="P111" s="3">
        <f>178.6+(614.7-366.5)+(0.091086+(0.313497-0.186915))+0-31.2-0.0159119999999968</f>
        <v>395.80175600000007</v>
      </c>
      <c r="Q111" s="3">
        <f>334.5+(594.2-487.9)+(0.170595+(0.303042-0.248829))+0-31.5-0.0160649999999968</f>
        <v>409.50874300000009</v>
      </c>
      <c r="R111" s="3">
        <f>336.1+(529.2-428.7)+(0+(0-0))+0-31.5-0</f>
        <v>405.10000000000008</v>
      </c>
      <c r="S111" s="3">
        <f>333.8+(511.2-426.9)+(-0.170238+(-0.260712--0.217719))+0-31.5--0.0160649999999968</f>
        <v>386.40283399999998</v>
      </c>
      <c r="T111" s="3">
        <f>331.3+(510.1-429.3)+(0.337926+(0.520302-0.437886))+0-31.3-0.031926000000005</f>
        <v>381.18841600000002</v>
      </c>
      <c r="U111" s="3">
        <f>329+(503.6-426.1)+(0+(0-0))+0-31-0</f>
        <v>375.5</v>
      </c>
      <c r="V111" s="3">
        <f>327.9+(556-479.7)+(0+(0-0))+0-30.9-0</f>
        <v>373.3</v>
      </c>
      <c r="W111" s="3">
        <f>325.4+(561.9-480.3)+(-0.995724+(-1.719414--1.469718))+0-30.7--0.0939420000000036</f>
        <v>375.14852199999996</v>
      </c>
      <c r="X111" s="3">
        <f>320.7+(648.9-563.9)+(-1.472013+(-2.978451--2.588301))+0-30.2--0.138618000000005</f>
        <v>373.776455</v>
      </c>
      <c r="Y111" s="3">
        <f>214.6+(628.5-450)+(-0.218892+(-0.64107--0.459))+0-30.3--0.0309060000000048</f>
        <v>362.42994400000003</v>
      </c>
      <c r="Z111" s="3">
        <f>215.5+(488.6-291.8)+(0+(0-0))+0-30.5-0</f>
        <v>381.8</v>
      </c>
      <c r="AA111" s="3">
        <f>216.8+(533.5-327.2)+(-0.221136+(-0.54417--0.333744))+0-30.8--0.0314160000000049</f>
        <v>391.899854</v>
      </c>
      <c r="AB111" s="3">
        <f>217.6+(553.5-358.5)+(-0.443904+(-1.12914--0.73134))+0-30.6--0.0624239999999987</f>
        <v>381.22072000000003</v>
      </c>
      <c r="AC111" s="3">
        <f>104.8+(667.2-359.5)+(-0.106896+(-0.680544--0.36669))+0-30.8--0.0314160000000049</f>
        <v>381.31066600000003</v>
      </c>
      <c r="AD111" s="2">
        <v>394.30000000000007</v>
      </c>
      <c r="AE111" s="3">
        <f>217+(540.7-332.9)+(0+(0-0))+0-30.5-0</f>
        <v>394.30000000000007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0+(648.1-250.9)+(0+(-0.661062--0.255918))+0-30.6--0.0312120000000049</f>
        <v>366.226068</v>
      </c>
      <c r="G112" s="3">
        <f>0+(643.5-256)+(0+(-0.984555--0.39168))+0-30.2--0.0462060000000017</f>
        <v>356.753331</v>
      </c>
      <c r="H112" s="3">
        <f>0+(529.3-151.9)+(0+(-1.349715--0.387345))+0-30.2--0.0770099999999956</f>
        <v>346.31463999999994</v>
      </c>
      <c r="I112" s="3">
        <f>0+(510.1-137.8)+(0+(0.260151-0.070278))+0-30.3-0.0154529999999969</f>
        <v>342.17442</v>
      </c>
      <c r="J112" s="3">
        <f>0+(444-74.6)+(0+(-0.22644--0.038046))+0-30.9--0.0157589999999969</f>
        <v>338.32736499999999</v>
      </c>
      <c r="K112" s="3">
        <f>0+(506.9-148.8)+(0+(-0.775557--0.227664))+0-30.1--0.0460530000000017</f>
        <v>327.49815999999998</v>
      </c>
      <c r="L112" s="3">
        <f>0+(501.7-150.7)+(0+(0-0))+0-30.5-0</f>
        <v>320.5</v>
      </c>
      <c r="M112" s="3">
        <f>0+(570.3-198.9)+(0+(-0.290853--0.101439))+0-30.5--0.0155549999999969</f>
        <v>340.72614099999998</v>
      </c>
      <c r="N112" s="3">
        <f>0+(653.1-246.4)+(0+(1.332324-0.502656))+0-31.1-0.0634439999999986</f>
        <v>376.36622400000005</v>
      </c>
      <c r="O112" s="3">
        <f>0+(710-281.8)+(0+(-0.7242--0.287436))+0-32.5--0.0331500000000052</f>
        <v>395.29638599999998</v>
      </c>
      <c r="P112" s="3">
        <f>0+(784-343.8)+(0+(-0.39984--0.175338))+0-31.2--0.0159119999999968</f>
        <v>408.79141000000004</v>
      </c>
      <c r="Q112" s="3">
        <f>71.9+(764.8-391)+(0.146676+(1.560192-0.79764))+0-31.3-0.0638519999999986</f>
        <v>415.24537599999991</v>
      </c>
      <c r="R112" s="3">
        <f>218.8+(688.9-461.6)+(0.223176+(0.702678-0.470832))+0-31.1-0.031722000000005</f>
        <v>415.42329999999993</v>
      </c>
      <c r="S112" s="3">
        <f>216.9+(697-491.3)+(0.110619+(0.35547-0.250563))+0-31.1-0.0158609999999968</f>
        <v>391.69966500000004</v>
      </c>
      <c r="T112" s="3">
        <f>216.5+(678.5-474.7)+(-0.110415+(-0.346035--0.242097))+0-26.9--0.0137189999999973</f>
        <v>393.199366</v>
      </c>
      <c r="U112" s="3">
        <f>213.7+(678.3-476.6)+(0+(0-0))+0-30.2-0</f>
        <v>385.19999999999993</v>
      </c>
      <c r="V112" s="3">
        <f>213.8+(728.8-531.2)+(0.109038+(0.371688-0.270912))+0-30.3-0.0154529999999969</f>
        <v>381.29436099999992</v>
      </c>
      <c r="W112" s="3">
        <f>213.5+(787.6-584.8)+(0+(0-0))+0-30.8-0</f>
        <v>385.50000000000006</v>
      </c>
      <c r="X112" s="3">
        <f>213+(851.6-661.8)+(-0.21726+(-0.868632--0.675036))+0-30.3--0.0309060000000048</f>
        <v>372.12005000000005</v>
      </c>
      <c r="Y112" s="3">
        <f>112.4+(759.3-477.5)+(0.229296+(1.548972-0.9741))+0-30.4-0.0620159999999987</f>
        <v>364.54215199999999</v>
      </c>
      <c r="Z112" s="3">
        <f>105.1+(793.3-486.5)+(0.160803+(1.213749-0.744345))+0-30.7-0.0469710000000018</f>
        <v>381.78323599999999</v>
      </c>
      <c r="AA112" s="3">
        <f>107.1+(803.8-488.8)+(-0.218484+(-1.639752--0.997152))+0-30.5--0.0622199999999987</f>
        <v>390.80113599999993</v>
      </c>
      <c r="AB112" s="3">
        <f>42.8+(813-436.4)+(-0.065484+(-1.24389--0.667692))+0-30.1--0.0460530000000017</f>
        <v>388.70437100000004</v>
      </c>
      <c r="AC112" s="3">
        <f>0+(751.7-347.3)+(0+(-0.383367--0.177123))+0-30.5--0.0155549999999969</f>
        <v>373.70931100000001</v>
      </c>
      <c r="AD112" s="2">
        <v>365.8</v>
      </c>
      <c r="AE112" s="3">
        <f>106+(762-472)+(0+(0-0))+0-30.2-0</f>
        <v>365.8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0+(712.6-319.4)+(0+(-1.090278--0.488682))+0-30--0.0459000000000017</f>
        <v>362.64430400000009</v>
      </c>
      <c r="G113" s="3">
        <f>0+(661.3-283.1)+(0+(-1.686315--0.721905))+0-25--0.0637499999999964</f>
        <v>352.29933999999992</v>
      </c>
      <c r="H113" s="3">
        <f>0+(605.8-234.2)+(0+(-1.235832--0.477768))+0-23.9--0.048755999999999</f>
        <v>346.99069200000002</v>
      </c>
      <c r="I113" s="3">
        <f>0+(612.3-240.7)+(0+(-1.561365--0.613785))+0-30.4--0.0775199999999956</f>
        <v>340.32993999999997</v>
      </c>
      <c r="J113" s="3">
        <f>0+(599.9-235.1)+(0+(-0.305949--0.119901))+0-30.5--0.0155549999999969</f>
        <v>334.12950699999993</v>
      </c>
      <c r="K113" s="3">
        <f>0+(614.3-262.2)+(0+(0-0))+0-30.5-0</f>
        <v>321.59999999999997</v>
      </c>
      <c r="L113" s="3">
        <f>0+(569.7-225.2)+(0+(-0.871641--0.344556))+0-29.8--0.0455940000000017</f>
        <v>314.21850900000004</v>
      </c>
      <c r="M113" s="3">
        <f>0+(617.3-253.1)+(0+(0.944469-0.387243))+0-30.3-0.0463590000000018</f>
        <v>334.41086699999994</v>
      </c>
      <c r="N113" s="3">
        <f>0+(769.5-369.5)+(0+(0-0))+0-30.9-0</f>
        <v>369.1</v>
      </c>
      <c r="O113" s="3">
        <f>0+(896.2-464.4)+(0+(0-0))+0-30.5-0</f>
        <v>401.30000000000007</v>
      </c>
      <c r="P113" s="3">
        <f>0+(878.9-444.6)+(0+(0-0))+0-30.2-0</f>
        <v>404.09999999999997</v>
      </c>
      <c r="Q113" s="3">
        <f>13.7+(857.5-428.1)+(0.013974+(0.87465-0.436662))+0-28.9-0.0294780000000046</f>
        <v>414.62248399999999</v>
      </c>
      <c r="R113" s="3">
        <f>149+(750-468.1)+(0.15198+(0.765-0.477462))+0-29.2-0.0297840000000047</f>
        <v>402.109734</v>
      </c>
      <c r="S113" s="3">
        <f>223.7+(686.3-493.9)+(-0.342261+(-1.050039--0.755667))+0-29.5--0.0451350000000017</f>
        <v>386.00850199999996</v>
      </c>
      <c r="T113" s="3">
        <f>216.3+(677.9-479.9)+(-0.220626+(-0.691458--0.489498))+0-30.1--0.0307020000000048</f>
        <v>383.80811599999998</v>
      </c>
      <c r="U113" s="3">
        <f>214.6+(670-473.3)+(-0.437784+(-1.3668--0.965532))+0-30.6--0.0624239999999987</f>
        <v>379.92337199999997</v>
      </c>
      <c r="V113" s="3">
        <f>211.6+(674.1-478.7)+(-0.107916+(-0.343791--0.244137))+0-30--0.015299999999997</f>
        <v>376.80773000000005</v>
      </c>
      <c r="W113" s="3">
        <f>209.8+(722-517.3)+(-0.320994+(-1.10466--0.791469))+0-29.9--0.0457470000000017</f>
        <v>384.01156200000008</v>
      </c>
      <c r="X113" s="3">
        <f>208.8+(809.4-593.7)+(-0.53244+(-2.06397--1.513935))+0-29.9--0.0762449999999957</f>
        <v>393.59376999999995</v>
      </c>
      <c r="Y113" s="3">
        <f>214.9+(570.6-376.6)+(0+(0-0))+0-30.6-0</f>
        <v>378.29999999999995</v>
      </c>
      <c r="Z113" s="3">
        <f>214.3+(637.7-445.3)+(0+(0-0))+0-30.7-0</f>
        <v>376.00000000000006</v>
      </c>
      <c r="AA113" s="3">
        <f>215.8+(735.8-514.7)+(-0.330174+(-1.125774--0.787491))+0-30.8--0.0471240000000018</f>
        <v>405.47866699999992</v>
      </c>
      <c r="AB113" s="3">
        <f>131.6+(759.9-454.3)+(-0.201348+(-1.162647--0.695079))+0-30.7--0.0469710000000018</f>
        <v>405.8780549999999</v>
      </c>
      <c r="AC113" s="3">
        <f>25.9+(785-396.1)+(-0.026418+(-0.8007--0.404022))+0-30.2--0.0308040000000048</f>
        <v>384.20770799999997</v>
      </c>
      <c r="AD113" s="2">
        <v>393.00000000000006</v>
      </c>
      <c r="AE113" s="3">
        <f>215+(738.2-529.4)+(0+(0-0))+0-30.8-0</f>
        <v>393.00000000000006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0+(733.5-325.2)+(0+(-0.374085--0.165852))+0-30.3--0.0154529999999969</f>
        <v>377.80721999999997</v>
      </c>
      <c r="G114" s="3">
        <f>0+(691.9-289.4)+(0+(-1.411476--0.590376))+0-30.1--0.0614039999999987</f>
        <v>371.64030399999996</v>
      </c>
      <c r="H114" s="3">
        <f>0+(600-220)+(0+(-0.306--0.1122))+0-30.4--0.0155039999999969</f>
        <v>349.42170400000003</v>
      </c>
      <c r="I114" s="3">
        <f>0+(559.9-186.9)+(0+(-0.856647--0.285957))+0-30.2--0.0462060000000017</f>
        <v>342.27551599999998</v>
      </c>
      <c r="J114" s="3">
        <f>0+(570.3-199.7)+(0+(-0.581706--0.203694))+0-30.7--0.0313140000000049</f>
        <v>339.55330199999997</v>
      </c>
      <c r="K114" s="3">
        <f>0+(590.2-222.8)+(0+(-1.806012--0.681768))+0-30.7--0.0939420000000036</f>
        <v>335.6696980000001</v>
      </c>
      <c r="L114" s="3">
        <f>0+(541.1-184.6)+(0+(0-0))+0-30.3-0</f>
        <v>326.2</v>
      </c>
      <c r="M114" s="3">
        <f>0+(615.3-236.7)+(0+(0.313803-0.120717))+0-30.6-0.0156059999999969</f>
        <v>348.17747999999995</v>
      </c>
      <c r="N114" s="3">
        <f>0+(704.7-286.3)+(0+(0.718794-0.292026))+0-31-0.0316200000000049</f>
        <v>387.79514799999998</v>
      </c>
      <c r="O114" s="3">
        <f>109.1+(720.2-394.4)+(0+(0-0))+0-30.7-0</f>
        <v>404.2000000000001</v>
      </c>
      <c r="P114" s="3">
        <f>328.9+(694.7-578.5)+(0.503217+(1.062891-0.885105))+0-30.6-0.0468180000000018</f>
        <v>415.134185</v>
      </c>
      <c r="Q114" s="3">
        <f>326+(661.6-534.7)+(-0.33252+(-0.674832--0.545394))+0-31--0.0316200000000049</f>
        <v>421.46966200000003</v>
      </c>
      <c r="R114" s="3">
        <f>324.5+(638.9-509.2)+(0.165495+(0.325839-0.259692))+0-30.9-0.0157589999999969</f>
        <v>423.51588300000003</v>
      </c>
      <c r="S114" s="3">
        <f>319.1+(599.5-494.5)+(-0.813705+(-1.528725--1.260975))+0-30.6--0.0780299999999956</f>
        <v>392.49657500000001</v>
      </c>
      <c r="T114" s="3">
        <f>321.5+(612.2-514.3)+(-0.32793+(-0.624444--0.524586))+0-30.8--0.0314160000000049</f>
        <v>388.20362800000004</v>
      </c>
      <c r="U114" s="3">
        <f>317.2+(615.7-517.7)+(-0.161772+(-0.314007--0.264027))+0-31--0.0158099999999969</f>
        <v>384.00405799999999</v>
      </c>
      <c r="V114" s="3">
        <f>316.3+(638.6-550.2)+(0.161313+(0.325686-0.280602))+0-30.9-0.0157589999999969</f>
        <v>373.99063799999999</v>
      </c>
      <c r="W114" s="3">
        <f>319.3+(667.1-581.5)+(-0.162843+(-0.340221--0.296565))+0-30.8--0.0157079999999969</f>
        <v>373.90920900000003</v>
      </c>
      <c r="X114" s="3">
        <f>321.4+(719-649)+(-0.327828+(-0.73338--0.66198))+0-29.3--0.0298860000000047</f>
        <v>361.73065799999995</v>
      </c>
      <c r="Y114" s="3">
        <f>187+(702.7-503)+(-0.38148+(-1.433508--1.02612))+0-30.9--0.0630359999999986</f>
        <v>355.0741680000001</v>
      </c>
      <c r="Z114" s="3">
        <f>242.7+(668.5-517.1)+(0.495108+(1.36374-1.054884))+0-30.5-0.0622199999999987</f>
        <v>364.34174399999995</v>
      </c>
      <c r="AA114" s="3">
        <f>330+(632.3-556)+(-0.3366+(-0.644946--0.56712))+0-30.7--0.0313140000000049</f>
        <v>375.21688799999998</v>
      </c>
      <c r="AB114" s="3">
        <f>330.8+(620.8-551.8)+(-0.674832+(-1.266432--1.125672))+0-30.8--0.0628319999999987</f>
        <v>368.24724000000003</v>
      </c>
      <c r="AC114" s="3">
        <f>267.6+(647-515.2)+(0.136476+(0.32997-0.262752))+0-30.5-0.0155549999999969</f>
        <v>369.08813899999996</v>
      </c>
      <c r="AD114" s="2">
        <v>370.10000000000008</v>
      </c>
      <c r="AE114" s="3">
        <f>331+(617.6-547.8)+(0+(0-0))+0-30.7-0</f>
        <v>370.10000000000008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131.8+(624.5-363)+(-0.067218+(-0.318495--0.18513))+0-30.4--0.0155039999999969</f>
        <v>362.71492100000006</v>
      </c>
      <c r="G115" s="3">
        <f>9.4+(680.8-312.6)+(-0.004794+(-0.347208--0.159426))+0-30.6--0.0156059999999969</f>
        <v>346.8230299999999</v>
      </c>
      <c r="H115" s="3">
        <f>0+(589.6-207.1)+(0+(-0.601392--0.211242))+0-30.2--0.0308040000000048</f>
        <v>351.94065399999999</v>
      </c>
      <c r="I115" s="3">
        <f>0+(516.7-136.8)+(0+(-0.790551--0.209304))+0-30.4--0.0465120000000018</f>
        <v>348.96526500000004</v>
      </c>
      <c r="J115" s="3">
        <f>0+(498.3-118.9)+(0+(-0.508266--0.121278))+0-30.5--0.0311100000000049</f>
        <v>348.54412200000002</v>
      </c>
      <c r="K115" s="3">
        <f>0+(525.1-150.9)+(0+(-0.535602--0.153918))+0-30.6--0.0312120000000049</f>
        <v>343.249528</v>
      </c>
      <c r="L115" s="3">
        <f>0+(477.7-118.8)+(0+(0.243627-0.060588))+0-30.1-0.0153509999999969</f>
        <v>328.96768799999995</v>
      </c>
      <c r="M115" s="3">
        <f>0+(497.6-114.2)+(0+(0.761328-0.174726))+0-30.2-0.0462060000000017</f>
        <v>353.74039600000009</v>
      </c>
      <c r="N115" s="3">
        <f>6.7+(559.5-152.2)+(-0.003417+(-0.285345--0.077622))+0-31--0.0158099999999969</f>
        <v>382.80466999999999</v>
      </c>
      <c r="O115" s="3">
        <f>266.8+(584.9-434.4)+(0.544272+(1.193196-0.886176))+0-31.1-0.0634439999999986</f>
        <v>386.98784799999999</v>
      </c>
      <c r="P115" s="3">
        <f>332.5+(536.6-441.1)+(0+(0-0))+0-30.8-0</f>
        <v>397.2</v>
      </c>
      <c r="Q115" s="3">
        <f>323.8+(519.4-408.5)+(0.660552+(1.059576-0.83334))+0-31.1-0.0634439999999986</f>
        <v>404.42334399999999</v>
      </c>
      <c r="R115" s="3">
        <f>323.9+(477.5-372.4)+(-0.165189+(-0.243525--0.189924))+0-31--0.0158099999999969</f>
        <v>397.79701999999997</v>
      </c>
      <c r="S115" s="3">
        <f>322.8+(602.6-511.5)+(-0.329256+(-0.614652--0.52173))+0-30.5--0.0311100000000049</f>
        <v>383.00893200000007</v>
      </c>
      <c r="T115" s="3">
        <f>319.7+(623-540.2)+(0.326094+(0.63546-0.551004))+0-30.4-0.0310080000000048</f>
        <v>372.47954199999998</v>
      </c>
      <c r="U115" s="3">
        <f>318+(633.4-558.3)+(-0.16218+(-0.323034--0.284733))+0-30.3--0.0154529999999969</f>
        <v>362.61497199999997</v>
      </c>
      <c r="V115" s="3">
        <f>316.4+(662.9-586.4)+(-0.322728+(-0.676158--0.598128))+0-29.8--0.0303960000000048</f>
        <v>362.72963799999997</v>
      </c>
      <c r="W115" s="3">
        <f>318+(710.2-628.7)+(0.16218+(0.362202-0.320637))+0-29.9-0.015248999999997</f>
        <v>369.78849600000007</v>
      </c>
      <c r="X115" s="3">
        <f>317.2+(758.5-693.5)+(-0.485316+(-1.160505--1.061055))+0-29.5--0.0451350000000017</f>
        <v>352.160369</v>
      </c>
      <c r="Y115" s="3">
        <f>318.8+(677.6-627.7)+(-0.650352+(-1.382304--1.280508))+0-22.3--0.045491999999999</f>
        <v>345.69334400000002</v>
      </c>
      <c r="Z115" s="3">
        <f>328.6+(591.2-530.7)+(0.167586+(0.301512-0.270657))+0-22.4-0.0114239999999977</f>
        <v>366.88701700000007</v>
      </c>
      <c r="AA115" s="3">
        <f>339+(624.8-560.9)+(-0.51867+(-0.955944--0.858177))+0-26.4--0.0403920000000015</f>
        <v>375.92395499999998</v>
      </c>
      <c r="AB115" s="3">
        <f>320.3+(691-609.8)+(-0.326706+(-0.70482--0.621996))+0-28.6--0.0291720000000046</f>
        <v>372.51964200000003</v>
      </c>
      <c r="AC115" s="3">
        <f>320.9+(688.9-613.9)+(-0.490977+(-1.054017--0.939267))+0-30.3--0.0463590000000018</f>
        <v>365.04063199999996</v>
      </c>
      <c r="AD115" s="2">
        <v>375.59999999999991</v>
      </c>
      <c r="AE115" s="3">
        <f>341+(624.3-563.2)+(0+(0-0))+0-26.5-0</f>
        <v>375.59999999999991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192.7+(738.7-534.5)+(0.294831+(1.130211-0.817785))+0-30.3-0.0463590000000018</f>
        <v>367.16089800000003</v>
      </c>
      <c r="G116" s="3">
        <f>8.2+(717.7-337.9)+(0+(0-0))+0-30.3-0</f>
        <v>357.70000000000005</v>
      </c>
      <c r="H116" s="3">
        <f>0+(647.9-273.3)+(0+(0.660858-0.278766))+0-29.9-0.0304980000000048</f>
        <v>345.05159399999997</v>
      </c>
      <c r="I116" s="3">
        <f>0+(608.3-240.3)+(0+(-0.620466--0.245106))+0-29.8--0.0303960000000048</f>
        <v>337.85503599999993</v>
      </c>
      <c r="J116" s="3">
        <f>0+(545.9-179.5)+(0+(-0.278409--0.091545))+0-30.1--0.0153509999999969</f>
        <v>336.12848699999995</v>
      </c>
      <c r="K116" s="3">
        <f>0+(561.3-207.3)+(0+(-1.431315--0.528615))+0-29.7--0.0757349999999957</f>
        <v>323.47303499999998</v>
      </c>
      <c r="L116" s="3">
        <f>0+(471.2-134.6)+(0+(-0.961248--0.274584))+0-29.7--0.0605879999999987</f>
        <v>306.27392400000002</v>
      </c>
      <c r="M116" s="3">
        <f>0+(415.5-82.5)+(0+(-0.211905--0.042075))+0-30--0.015299999999997</f>
        <v>302.84547000000003</v>
      </c>
      <c r="N116" s="3">
        <f>0+(489.5-155.5)+(0+(-0.49929--0.15861))+0-30.8--0.0314160000000049</f>
        <v>302.89073599999995</v>
      </c>
      <c r="O116" s="3">
        <f>0+(725-379.2)+(0+(-0.7395--0.386784))+0-30.8--0.0314160000000049</f>
        <v>314.67869999999999</v>
      </c>
      <c r="P116" s="3">
        <f>0+(759.4-406.3)+(0+(-0.387294--0.207213))+0-30.4--0.0155039999999969</f>
        <v>322.53542300000004</v>
      </c>
      <c r="Q116" s="3">
        <f>0+(768.3-410.7)+(0+(-0.391833--0.209457))+0-30.3--0.0154529999999969</f>
        <v>327.13307699999996</v>
      </c>
      <c r="R116" s="3">
        <f>0+(768-409.5)+(0+(0-0))+0-30.6-0</f>
        <v>327.9</v>
      </c>
      <c r="S116" s="3">
        <f>0+(801-440.5)+(0+(-0.81702--0.44931))+0-29.2--0.0297840000000047</f>
        <v>330.96207400000003</v>
      </c>
      <c r="T116" s="3">
        <f>0+(819.8-452.9)+(0+(0.836196-0.461958))+0-30.2-0.0308040000000048</f>
        <v>337.04343399999999</v>
      </c>
      <c r="U116" s="3">
        <f>0+(813.8-446.7)+(0+(-0.830076--0.455634))+0-30--0.0306000000000048</f>
        <v>336.75615799999997</v>
      </c>
      <c r="V116" s="3">
        <f>0+(803.3-443.2)+(0+(-1.638732--0.904128))+0-29.7--0.0605879999999987</f>
        <v>329.72598399999998</v>
      </c>
      <c r="W116" s="3">
        <f>0+(780.2-414.1)+(0+(-0.795804--0.422382))+0-27.8--0.0283560000000044</f>
        <v>337.95493400000004</v>
      </c>
      <c r="X116" s="3">
        <f>0+(850.4-494.3)+(0+(-1.301112--0.756279))+0-24.8--0.0379440000000014</f>
        <v>330.79311099999995</v>
      </c>
      <c r="Y116" s="3">
        <f>0+(672.8-334.1)+(0+(-0.343128--0.170391))+0-19.8--0.010097999999998</f>
        <v>318.73736099999991</v>
      </c>
      <c r="Z116" s="3">
        <f>0+(732.3-361.4)+(0+(0-0))+0-21.9-0</f>
        <v>349</v>
      </c>
      <c r="AA116" s="3">
        <f>0+(776-388.8)+(0+(1.18728-0.594864))+0-26.2-0.0400860000000015</f>
        <v>361.55233000000004</v>
      </c>
      <c r="AB116" s="3">
        <f>0+(795.2-414.7)+(0+(-1.216656--0.634491))+0-27.3--0.0417690000000016</f>
        <v>352.65960400000006</v>
      </c>
      <c r="AC116" s="3">
        <f>0+(814.8-437)+(0+(-1.246644--0.66861))+0-28.3--0.0432990000000016</f>
        <v>348.96526499999993</v>
      </c>
      <c r="AD116" s="2">
        <v>351.70000000000005</v>
      </c>
      <c r="AE116" s="3">
        <f>0+(789.6-410.2)+(0+(0-0))+0-27.7-0</f>
        <v>351.70000000000005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0+(712.6-330.8)+(0+(-0.363426--0.168708))+0-28.9--0.0147389999999971</f>
        <v>352.72002100000003</v>
      </c>
      <c r="G117" s="3">
        <f>0+(583.7-218.4)+(0+(-0.893061--0.334152))+0-29.7--0.0454410000000017</f>
        <v>335.08653200000003</v>
      </c>
      <c r="H117" s="3">
        <f>0+(576.8-228.7)+(0+(-0.588336--0.233274))+0-30.4--0.0310080000000048</f>
        <v>317.375946</v>
      </c>
      <c r="I117" s="3">
        <f>0+(541.2-195.5)+(0+(-0.552024--0.19941))+0-30.5--0.0311100000000049</f>
        <v>314.87849600000004</v>
      </c>
      <c r="J117" s="3">
        <f>0+(538.6-183.8)+(0+(-0.549372--0.187476))+0-29--0.0295800000000046</f>
        <v>325.46768400000002</v>
      </c>
      <c r="K117" s="3">
        <f>0+(549.2-197.7)+(0+(-1.120368--0.403308))+0-30.4--0.0620159999999987</f>
        <v>320.44495600000005</v>
      </c>
      <c r="L117" s="3">
        <f>0+(449.1-107)+(0+(0-0))+0-31-0</f>
        <v>311.10000000000002</v>
      </c>
      <c r="M117" s="3">
        <f>0+(508.5-141.2)+(0+(-0.259335--0.072012))+0-31.4--0.0160139999999968</f>
        <v>335.72869100000003</v>
      </c>
      <c r="N117" s="3">
        <f>12.5+(665-284.6)+(0.01275+(0.6783-0.290292))+0-31.7-0.0323340000000051</f>
        <v>361.56842399999999</v>
      </c>
      <c r="O117" s="3">
        <f>132.7+(764.1-485.5)+(-0.067677+(-0.389691--0.247605))+0-30.9--0.0157589999999969</f>
        <v>380.20599600000003</v>
      </c>
      <c r="P117" s="3">
        <f>294.9+(765.6-636.9)+(0.300798+(0.780912-0.649638))+0-30.5-0.0311100000000049</f>
        <v>393.50096200000002</v>
      </c>
      <c r="Q117" s="3">
        <f>326+(768.6-657.5)+(0.16626+(0.391986-0.335325))+0-30.6-0.0156059999999969</f>
        <v>406.70731499999999</v>
      </c>
      <c r="R117" s="3">
        <f>325.8+(753.1-636.8)+(0.166158+(0.384081-0.324768))+0-30.3-0.0154529999999969</f>
        <v>412.01001800000012</v>
      </c>
      <c r="S117" s="3">
        <f>321.1+(725.1-619.6)+(-0.163761+(-0.369801--0.315996))+0-30.2--0.0154019999999969</f>
        <v>396.19783600000005</v>
      </c>
      <c r="T117" s="3">
        <f>320.1+(701.2-595.5)+(-0.489753+(-1.072836--0.911115))+0-30--0.0459000000000017</f>
        <v>395.19442600000008</v>
      </c>
      <c r="U117" s="3">
        <f>319.2+(693.5-593.9)+(-0.651168+(-1.41474--1.211556))+0-30--0.0611999999999987</f>
        <v>388.00684799999999</v>
      </c>
      <c r="V117" s="3">
        <f>319.9+(682.4-588.9)+(-0.652596+(-1.392096--1.201356))+0-29.9--0.0609959999999987</f>
        <v>382.71765999999997</v>
      </c>
      <c r="W117" s="3">
        <f>319.4+(697.2-606)+(-0.488682+(-1.066716--0.92718))+0-30.4--0.0465120000000018</f>
        <v>379.61829400000005</v>
      </c>
      <c r="X117" s="3">
        <f>317.1+(752.3-674.1)+(-1.132047+(-2.685711--2.406537))+0-30.1--0.107457</f>
        <v>363.89623599999993</v>
      </c>
      <c r="Y117" s="3">
        <f>319.3+(699.7-637.5)+(-0.814215+(-1.784235--1.625625))+0-30.2--0.0770099999999956</f>
        <v>350.40418500000004</v>
      </c>
      <c r="Z117" s="3">
        <f>325.2+(649.3-578.5)+(0.663408+(1.324572-1.18014))+0-30.9-0.0630359999999986</f>
        <v>365.84480399999995</v>
      </c>
      <c r="AA117" s="3">
        <f>329.5+(649.2-572.1)+(-0.168045+(-0.331092--0.291771))+0-31.1--0.0158609999999968</f>
        <v>375.30849499999999</v>
      </c>
      <c r="AB117" s="3">
        <f>330.5+(629.8-561.7)+(-1.01133+(-1.927188--1.718802))+0-31.1--0.0951660000000036</f>
        <v>366.37544999999989</v>
      </c>
      <c r="AC117" s="3">
        <f>279+(681.5-568.6)+(0.14229+(0.347565-0.289986))+0-30.8-0.0157079999999969</f>
        <v>361.28416099999993</v>
      </c>
      <c r="AD117" s="2">
        <v>381.70000000000005</v>
      </c>
      <c r="AE117" s="3">
        <f>334+(629.5-550.3)+(0+(0-0))+0-31.5-0</f>
        <v>381.70000000000005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12.3+(770.3-391.6)+(-0.018819+(-1.178559--0.599148))+0-30.8--0.0471240000000018</f>
        <v>359.64889399999993</v>
      </c>
      <c r="G118" s="3">
        <f>0+(717.3-339.1)+(0+(0.365823-0.172941))+0-30.9-0.0157589999999969</f>
        <v>347.47712299999995</v>
      </c>
      <c r="H118" s="3">
        <f>0+(627.9-257.8)+(0+(-0.320229--0.131478))+0-31--0.0158099999999969</f>
        <v>338.92705899999993</v>
      </c>
      <c r="I118" s="3">
        <f>0+(598.3-235.7)+(0+(-0.610266--0.240414))+0-31.4--0.032028000000005</f>
        <v>330.86217600000003</v>
      </c>
      <c r="J118" s="3">
        <f>0+(520.1-158.3)+(0+(-1.061004--0.322932))+0-31.5--0.0642599999999986</f>
        <v>329.62618800000001</v>
      </c>
      <c r="K118" s="3">
        <f>0+(492.7-137.2)+(0+(-0.753831--0.209916))+0-31--0.0474300000000018</f>
        <v>324.00351499999999</v>
      </c>
      <c r="L118" s="3">
        <f>0+(483.9-135.2)+(0+(-1.233945--0.34476))+0-30.2--0.0770099999999956</f>
        <v>317.68782499999998</v>
      </c>
      <c r="M118" s="3">
        <f>0+(570.2-198.8)+(0+(1.163208-0.405552))+0-30.5-0.0622199999999987</f>
        <v>341.59543600000001</v>
      </c>
      <c r="N118" s="3">
        <f>0+(807.9-397.4)+(0+(0-0))+0-30.5-0</f>
        <v>380</v>
      </c>
      <c r="O118" s="3">
        <f>89.6+(799.9-488.2)+(0.091392+(0.815898-0.497964))+0-30-0.0306000000000048</f>
        <v>371.67872599999998</v>
      </c>
      <c r="P118" s="3">
        <f>225.2+(801.5-606.8)+(0.229704+(0.81753-0.618936))+0-25.5-0.0260100000000041</f>
        <v>394.80228800000003</v>
      </c>
      <c r="Q118" s="3">
        <f>252.2+(781.2-601.6)+(0+(0-0))+0-29.6-0</f>
        <v>402.2</v>
      </c>
      <c r="R118" s="3">
        <f>328.2+(712.5-609.2)+(0.167382+(0.363375-0.310692))+0-29.8-0.015197999999997</f>
        <v>401.90486699999991</v>
      </c>
      <c r="S118" s="3">
        <f>335+(670.3-596.4)+(-0.3417+(-0.683706--0.608328))+0-29.9--0.0304980000000048</f>
        <v>378.61342000000002</v>
      </c>
      <c r="T118" s="3">
        <f>333.5+(662.8-590.9)+(-0.68034+(-1.352112--1.205436))+0-30.3--0.0618119999999987</f>
        <v>374.33479599999993</v>
      </c>
      <c r="U118" s="3">
        <f>333.4+(663.3-597.7)+(0.170034+(0.338283-0.304827))+0-29.9-0.015248999999997</f>
        <v>369.28824099999991</v>
      </c>
      <c r="V118" s="3">
        <f>330.7+(687.1-625.5)+(-0.674628+(-1.401684--1.27602))+0-29.7--0.0605879999999987</f>
        <v>361.86029600000001</v>
      </c>
      <c r="W118" s="3">
        <f>335.1+(732.5-680)+(-0.341802+(-0.74715--0.6936))+0-29.7--0.0302940000000047</f>
        <v>357.53494200000006</v>
      </c>
      <c r="X118" s="3">
        <f>339.6+(769.4-729.6)+(-0.346392+(-0.784788--0.744192))+0-30.2--0.0308040000000048</f>
        <v>348.843816</v>
      </c>
      <c r="Y118" s="3">
        <f>345.9+(629.6-609.5)+(0+(0-0))+0-30.1-0</f>
        <v>335.9</v>
      </c>
      <c r="Z118" s="3">
        <f>347.3+(673.8-627.7)+(0+(0-0))+0-30.7-0</f>
        <v>362.69999999999993</v>
      </c>
      <c r="AA118" s="3">
        <f>344.7+(678.2-623.4)+(-0.703188+(-1.383528--1.271736))+0-30.5--0.0622199999999987</f>
        <v>368.24724000000009</v>
      </c>
      <c r="AB118" s="3">
        <f>343.7+(639.1-590.6)+(-0.701148+(-1.303764--1.204824))+0-30.4--0.0620159999999987</f>
        <v>361.06192799999997</v>
      </c>
      <c r="AC118" s="3">
        <f>175.5+(645.1-437.6)+(-0.447525+(-1.645005--1.11588))+0-30--0.0764999999999956</f>
        <v>352.09985</v>
      </c>
      <c r="AD118" s="2">
        <v>363.90000000000003</v>
      </c>
      <c r="AE118" s="3">
        <f>347+(684-636.9)+(0+(0-0))+0-30.2-0</f>
        <v>363.90000000000003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16+(653.4-293.9)+(-0.0408+(-1.66617--0.749445))+0-30.2--0.0770099999999956</f>
        <v>344.41948500000001</v>
      </c>
      <c r="G119" s="3">
        <f>0+(615.1-254.4)+(0+(-0.941103--0.389232))+0-24.1--0.0368730000000014</f>
        <v>336.08500200000003</v>
      </c>
      <c r="H119" s="3">
        <f>0+(554.8-193.8)+(0+(-0.282948--0.098838))+0-30--0.015299999999997</f>
        <v>330.83118999999999</v>
      </c>
      <c r="I119" s="3">
        <f>0+(502-145.4)+(0+(-1.2801--0.37077))+0-30.1--0.0767549999999956</f>
        <v>325.66742499999998</v>
      </c>
      <c r="J119" s="3">
        <f>0+(458.5-96.8)+(0+(-0.93534--0.197472))+0-29.7--0.0605879999999987</f>
        <v>331.32272</v>
      </c>
      <c r="K119" s="3">
        <f>0+(450.4-99.5)+(0+(-0.459408--0.10149))+0-29.7--0.0302940000000047</f>
        <v>320.87237600000003</v>
      </c>
      <c r="L119" s="3">
        <f>0+(500.5-156.8)+(0+(-1.276275--0.39984))+0-29.5--0.0752249999999957</f>
        <v>313.39878999999996</v>
      </c>
      <c r="M119" s="3">
        <f>0+(564.9-198.7)+(0+(1.152396-0.405348))+0-29.9-0.0609959999999987</f>
        <v>336.98605200000003</v>
      </c>
      <c r="N119" s="3">
        <f>0+(698.4-302.9)+(0+(1.78092-0.772395))+0-30.5-0.0777749999999956</f>
        <v>365.93075000000005</v>
      </c>
      <c r="O119" s="3">
        <f>0+(705.3-294.8)+(0+(0.719406-0.300696))+0-30.4-0.0310080000000048</f>
        <v>380.48770199999996</v>
      </c>
      <c r="P119" s="3">
        <f>119.3+(623.2-327.6)+(0.182529+(0.953496-0.501228))+0-30.5-0.0466650000000018</f>
        <v>384.98813200000001</v>
      </c>
      <c r="Q119" s="3">
        <f>166.5+(597.1-341.6)+(0.33966+(1.218084-0.696864))+0-30.4-0.0620159999999987</f>
        <v>392.39886400000006</v>
      </c>
      <c r="R119" s="3">
        <f>308.6+(522-418.7)+(0.472158+(0.79866-0.640611))+0-24-0.0367200000000014</f>
        <v>388.49348700000002</v>
      </c>
      <c r="S119" s="3">
        <f>332.9+(476.8-418.3)+(-0.169779+(-0.243168--0.213333))+0-30.3--0.0154529999999969</f>
        <v>360.91583899999995</v>
      </c>
      <c r="T119" s="3">
        <f>336.4+(489.8-438.2)+(0+(0-0))+0-30.1-0</f>
        <v>357.9</v>
      </c>
      <c r="U119" s="3">
        <f>371+(470.9-458.7)+(-0.94605+(-1.200795--1.169685))+0-30.4--0.0775199999999956</f>
        <v>351.90035999999998</v>
      </c>
      <c r="V119" s="3">
        <f>135.6+(630-378)+(0.069156+(0.3213-0.19278))+0-30.3-0.0154529999999969</f>
        <v>357.48222300000003</v>
      </c>
      <c r="W119" s="3">
        <f>41.1+(697.5-348.6)+(-0.062883+(-1.067175--0.533358))+0-30.6--0.0468180000000018</f>
        <v>358.85011799999995</v>
      </c>
      <c r="X119" s="3">
        <f>0+(760.3-375.8)+(0+(-2.326518--1.149948))+0-30.3--0.0927180000000035</f>
        <v>353.1161479999999</v>
      </c>
      <c r="Y119" s="3">
        <f>0+(650.5-277.2)+(0+(0-0))+0-29.4-0</f>
        <v>343.90000000000003</v>
      </c>
      <c r="Z119" s="3">
        <f>0+(650.7-255.3)+(0+(-0.995571--0.390609))+0-30.5--0.0466650000000018</f>
        <v>364.34170300000005</v>
      </c>
      <c r="AA119" s="3">
        <f>0+(649.5-251.5)+(0+(-0.993735--0.384795))+0-29.7--0.0454410000000017</f>
        <v>367.73650099999998</v>
      </c>
      <c r="AB119" s="3">
        <f>0+(719.8-325.6)+(0+(-2.202588--0.996336))+0-28.3--0.0865980000000033</f>
        <v>364.78034599999989</v>
      </c>
      <c r="AC119" s="3">
        <f>0+(746.4-356.9)+(0+(-1.141992--0.546057))+0-27.9--0.0426870000000016</f>
        <v>361.04675200000003</v>
      </c>
      <c r="AD119" s="2">
        <v>368.80000000000007</v>
      </c>
      <c r="AE119" s="3">
        <f>0+(676.7-278.4)+(0+(0-0))+0-29.5-0</f>
        <v>368.80000000000007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0+(670.3-295.8)+(0+(-2.392971--1.056006))+0-26.4--0.0942480000000004</f>
        <v>346.85728299999994</v>
      </c>
      <c r="G120" s="3">
        <f>0+(499.4-137.9)+(0+(-1.27347--0.351645))+0-30--0.0764999999999956</f>
        <v>330.654675</v>
      </c>
      <c r="H120" s="3">
        <f>0+(454.2-101.6)+(0+(-0.926568--0.207264))+0-30.1--0.0614039999999987</f>
        <v>321.84209999999996</v>
      </c>
      <c r="I120" s="3">
        <f>0+(427.2-78.2)+(0+(-0.871488--0.159528))+0-30.1--0.0614039999999987</f>
        <v>318.24944399999998</v>
      </c>
      <c r="J120" s="3">
        <f>0+(389-38.7)+(0+(0-0))+0-29.9-0</f>
        <v>320.40000000000003</v>
      </c>
      <c r="K120" s="3">
        <f>0+(404.8-61.8)+(0+(-0.825792--0.126072))+0-29.8--0.0607919999999987</f>
        <v>312.56107199999997</v>
      </c>
      <c r="L120" s="3">
        <f>0+(374.2-40.7)+(0+(0-0))+0-29.1-0</f>
        <v>304.39999999999998</v>
      </c>
      <c r="M120" s="3">
        <f>0+(530.3-181.4)+(0+(0.811359-0.277542))+0-30.2-0.0462060000000017</f>
        <v>319.187611</v>
      </c>
      <c r="N120" s="3">
        <f>0+(713.2-325.3)+(0+(0.363732-0.165903))+0-30.9-0.0157589999999969</f>
        <v>357.18207000000007</v>
      </c>
      <c r="O120" s="3">
        <f>0+(768.8-358.8)+(0+(0.392088-0.182988))+0-30.5-0.0155549999999969</f>
        <v>379.69354499999992</v>
      </c>
      <c r="P120" s="3">
        <f>22.6+(784.1-397.8)+(0.046104+(1.599564-0.811512))+0-30.5-0.0622199999999987</f>
        <v>379.17193600000002</v>
      </c>
      <c r="Q120" s="3">
        <f>193.5+(699.4-467.8)+(0.296055+(1.070082-0.715734))+0-30.5-0.0466650000000018</f>
        <v>395.20373799999993</v>
      </c>
      <c r="R120" s="3">
        <f>335.5+(621.2-531.3)+(-0.171105+(-0.316812--0.270963))+0-30.8--0.0157079999999969</f>
        <v>394.39875400000011</v>
      </c>
      <c r="S120" s="3">
        <f>331.2+(621.3-551.1)+(-0.506736+(-0.950589--0.843183))+0-30.2--0.0462060000000017</f>
        <v>370.6320639999999</v>
      </c>
      <c r="T120" s="3">
        <f>331.2+(581.4-515.2)+(-0.168912+(-0.296514--0.262752))+0-30.2--0.0154019999999969</f>
        <v>367.01272799999992</v>
      </c>
      <c r="U120" s="3">
        <f>332.6+(570.4-507.5)+(0.678504+(1.163616-1.0353))+0-30.3-0.0618119999999987</f>
        <v>365.94500800000003</v>
      </c>
      <c r="V120" s="3">
        <f>331.4+(571.8-513)+(0+(0-0))+0-30.2-0</f>
        <v>359.99999999999994</v>
      </c>
      <c r="W120" s="3">
        <f>327.7+(581.3-524.5)+(-0.835635+(-1.482315--1.337475))+0-30.6--0.0780299999999956</f>
        <v>352.99755499999992</v>
      </c>
      <c r="X120" s="3">
        <f>327.6+(635.2-586.5)+(-0.501228+(-0.971856--0.897345))+0-30.4--0.0465120000000018</f>
        <v>345.3707730000001</v>
      </c>
      <c r="Y120" s="3">
        <f>196+(661.6-490)+(-0.09996+(-0.337416--0.2499))+0-30.5--0.0155549999999969</f>
        <v>336.92807900000003</v>
      </c>
      <c r="Z120" s="3">
        <f>260.6+(579.3-459.1)+(0.265812+(0.590886-0.468282))+0-31.1-0.031722000000005</f>
        <v>350.05669399999994</v>
      </c>
      <c r="AA120" s="3">
        <f>347.5+(544.4-503.5)+(-0.35445+(-0.555288--0.51357))+0-30.4--0.0310080000000048</f>
        <v>357.63484</v>
      </c>
      <c r="AB120" s="3">
        <f>351.8+(558.9-529)+(-0.358836+(-0.570078--0.53958))+0-31.2--0.031824000000005</f>
        <v>350.14249000000001</v>
      </c>
      <c r="AC120" s="3">
        <f>332.4+(551.9-504.3)+(-0.339048+(-0.562938--0.514386))+0-30.6--0.0312120000000049</f>
        <v>349.04361199999988</v>
      </c>
      <c r="AD120" s="2">
        <v>353.49999999999994</v>
      </c>
      <c r="AE120" s="3">
        <f>347+(543.9-506.8)+(0+(0-0))+0-30.6-0</f>
        <v>353.49999999999994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144.7+(654.2-423.7)+(-0.221391+(-1.000926--0.648261))+0-30.7--0.0469710000000018</f>
        <v>343.97291500000006</v>
      </c>
      <c r="G121" s="3">
        <f>5.2+(659.8-298.5)+(-0.002652+(-0.336498--0.152235))+0-30.3--0.0154529999999969</f>
        <v>336.02853799999991</v>
      </c>
      <c r="H121" s="3">
        <f>0+(642.6-278.1)+(0+(-0.983178--0.425493))+0-29.9--0.0457470000000017</f>
        <v>334.08806200000004</v>
      </c>
      <c r="I121" s="3">
        <f>0+(531.5-172.8)+(0+(-0.54213--0.176256))+0-29.9--0.0304980000000048</f>
        <v>328.46462400000001</v>
      </c>
      <c r="J121" s="3">
        <f>0+(506.3-147.2)+(0+(-1.291065--0.37536))+0-30.3--0.0772649999999956</f>
        <v>327.96156000000002</v>
      </c>
      <c r="K121" s="3">
        <f>0+(474.3-126.5)+(0+(-1.209465--0.322575))+0-30.4--0.0775199999999956</f>
        <v>316.59063000000003</v>
      </c>
      <c r="L121" s="3">
        <f>0+(526.9-187)+(0+(0.537438-0.19074))+0-30.5-0.0311100000000049</f>
        <v>309.71558799999997</v>
      </c>
      <c r="M121" s="3">
        <f>0+(537.5-189.6)+(0+(-0.274125--0.096696))+0-30.6--0.0156059999999969</f>
        <v>317.13817699999993</v>
      </c>
      <c r="N121" s="3">
        <f>12.7+(701.4-307.5)+(0.019431+(1.073142-0.470475))+0-31-0.0474300000000018</f>
        <v>376.17466799999994</v>
      </c>
      <c r="O121" s="3">
        <f>149.5+(794.5-527.3)+(0+(0-0))+0-30.9-0</f>
        <v>385.80000000000007</v>
      </c>
      <c r="P121" s="3">
        <f>227.1+(720.9-541.3)+(0.231642+(0.735318-0.552126))+0-30.7-0.0313140000000049</f>
        <v>376.38352000000003</v>
      </c>
      <c r="Q121" s="3">
        <f>301.8+(684.9-552.9)+(0.461754+(1.047897-0.845937))+0-31-0.0474300000000018</f>
        <v>403.41628400000002</v>
      </c>
      <c r="R121" s="3">
        <f>338.3+(644.3-546.7)+(0.517599+(0.985779-0.836451))+0-31-0.0474300000000018</f>
        <v>405.51949699999989</v>
      </c>
      <c r="S121" s="3">
        <f>332.2+(583.6-516.9)+(-0.677688+(-1.190544--1.054476))+0-30.6--0.0624239999999987</f>
        <v>367.54866800000002</v>
      </c>
      <c r="T121" s="3">
        <f>333.5+(585.9-517.4)+(0+(0-0))+0-30.4-0</f>
        <v>371.6</v>
      </c>
      <c r="U121" s="3">
        <f>332.7+(583.1-519.9)+(-0.509031+(-0.892143--0.795447))+0-30.2--0.0462060000000017</f>
        <v>365.14047900000003</v>
      </c>
      <c r="V121" s="3">
        <f>333.8+(605.7-550.1)+(0.170238+(0.308907-0.280551))+0-30.1-0.0153509999999969</f>
        <v>359.48324300000002</v>
      </c>
      <c r="W121" s="3">
        <f>332.2+(640.1-576.7)+(-0.508266+(-0.979353--0.882351))+0-30--0.0459000000000017</f>
        <v>365.04063199999996</v>
      </c>
      <c r="X121" s="3">
        <f>328.8+(732.3-669.2)+(-0.670752+(-1.493892--1.365168))+0-30.3--0.0618119999999987</f>
        <v>360.86233599999986</v>
      </c>
      <c r="Y121" s="3">
        <f>152.5+(683.5-453.9)+(-0.077775+(-0.348585--0.231489))+0-29.7--0.015146999999997</f>
        <v>352.22027600000007</v>
      </c>
      <c r="Z121" s="3">
        <f>253.5+(670.3-523.5)+(0.646425+(1.709265-1.334925))+0-30.3-0.0772649999999956</f>
        <v>370.94349999999991</v>
      </c>
      <c r="AA121" s="3">
        <f>334.5+(664.9-591)+(0.170595+(0.339099-0.30141))+0-30.6-0.0156059999999969</f>
        <v>377.99267799999996</v>
      </c>
      <c r="AB121" s="3">
        <f>341.3+(616.6-559.3)+(0.348126+(0.628932-0.570486))+0-30.6-0.0312120000000049</f>
        <v>368.37536000000006</v>
      </c>
      <c r="AC121" s="3">
        <f>343.5+(528.4-487.4)+(0.175185+(0.269484-0.248574))+0-30.4-0.0155039999999969</f>
        <v>354.28059100000002</v>
      </c>
      <c r="AD121" s="2">
        <v>379.9</v>
      </c>
      <c r="AE121" s="3">
        <f>334+(653-577)+(0+(0-0))+0-30.1-0</f>
        <v>379.9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286.6+(534.6-446.3)+(-0.438498+(-0.817938--0.682839))+0-30.4--0.0465120000000018</f>
        <v>343.97291500000006</v>
      </c>
      <c r="G122" s="3">
        <f>70.2+(536.6-239)+(-0.071604+(-0.547332--0.24378))+0-30.5--0.0311100000000049</f>
        <v>336.95595400000002</v>
      </c>
      <c r="H122" s="3">
        <f>0+(474.8-114.5)+(0+(-0.484296--0.11679))+0-30.3--0.0309060000000048</f>
        <v>329.66340000000002</v>
      </c>
      <c r="I122" s="3">
        <f>0+(448.1-81.3)+(0+(0-0))+0-30.6-0</f>
        <v>336.2</v>
      </c>
      <c r="J122" s="3">
        <f>0+(477.9-126.6)+(0+(-0.243729--0.064566))+0-30.8--0.0157079999999969</f>
        <v>320.33654499999994</v>
      </c>
      <c r="K122" s="3">
        <f>0+(520.8-184.6)+(0+(-0.531216--0.188292))+0-29.9--0.0304980000000048</f>
        <v>305.987574</v>
      </c>
      <c r="L122" s="3">
        <f>0+(472.9-135.3)+(0+(0-0))+0-30.2-0</f>
        <v>307.39999999999998</v>
      </c>
      <c r="M122" s="3">
        <f>0+(589.3-227.9)+(0+(0.601086-0.232458))+0-29.8-0.0303960000000048</f>
        <v>331.93823199999997</v>
      </c>
      <c r="N122" s="3">
        <f>0+(804.7-413.6)+(0+(2.051985-1.05468))+0-30.2-0.0770099999999956</f>
        <v>361.82029500000004</v>
      </c>
      <c r="O122" s="3">
        <f>63.3+(785.5-444)+(0.096849+(1.201815-0.67932))+0-30.6-0.0468180000000018</f>
        <v>374.77252599999997</v>
      </c>
      <c r="P122" s="3">
        <f>221.9+(701.6-509.6)+(0.226338+(0.715632-0.519792))+0-29.4-0.0299880000000047</f>
        <v>384.89218999999997</v>
      </c>
      <c r="Q122" s="3">
        <f>284+(630.6-499.9)+(0.43452+(0.964818-0.764847))+0-30.6-0.0468180000000018</f>
        <v>384.68767300000002</v>
      </c>
      <c r="R122" s="3">
        <f>333.1+(547.2-470.2)+(-0.169881+(-0.279072--0.239802))+0-30.1--0.0153509999999969</f>
        <v>379.80620000000005</v>
      </c>
      <c r="S122" s="3">
        <f>330.5+(516.4-449.7)+(-0.842775+(-1.31682--1.146735))+0-30.3--0.0772649999999956</f>
        <v>365.964405</v>
      </c>
      <c r="T122" s="3">
        <f>333.8+(466-418.6)+(0+(0-0))+0-29.8-0</f>
        <v>351.4</v>
      </c>
      <c r="U122" s="3">
        <f>331.8+(476.8-437.6)+(-0.507654+(-0.729504--0.669528))+0-30--0.0459000000000017</f>
        <v>340.47827000000001</v>
      </c>
      <c r="V122" s="3">
        <f>329.8+(490.6-456.1)+(-0.504594+(-0.750618--0.697833))+0-29.8--0.0455940000000017</f>
        <v>333.98821499999997</v>
      </c>
      <c r="W122" s="3">
        <f>328.8+(546.3-512.1)+(-0.335376+(-0.557226--0.522342))+0-29.4--0.0299880000000047</f>
        <v>333.259728</v>
      </c>
      <c r="X122" s="3">
        <f>254.4+(685.5-570.3)+(-0.259488+(-0.69921--0.581706))+0-29.4--0.0299880000000047</f>
        <v>339.85299600000008</v>
      </c>
      <c r="Y122" s="3">
        <f>242.9+(684.8-569.9)+(0.371637+(1.047744-0.871947))+0-29.4-0.0449820000000017</f>
        <v>328.90245199999998</v>
      </c>
      <c r="Z122" s="3">
        <f>299+(631.2-545.5)+(0.30498+(0.643824-0.55641))+0-30.2-0.0308040000000048</f>
        <v>354.86159000000009</v>
      </c>
      <c r="AA122" s="3">
        <f>334.8+(609.3-552)+(-0.682992+(-1.242972--1.12608))+0-30.3--0.0618119999999987</f>
        <v>361.06192799999991</v>
      </c>
      <c r="AB122" s="3">
        <f>335.8+(599.6-551.8)+(-0.342516+(-0.611592--0.562836))+0-30.3--0.0309060000000048</f>
        <v>352.93963400000007</v>
      </c>
      <c r="AC122" s="3">
        <f>175.6+(626-421.2)+(-0.089556+(-0.31926--0.214812))+0-30.3--0.0154529999999969</f>
        <v>349.92144899999994</v>
      </c>
      <c r="AD122" s="2">
        <v>365.69999999999993</v>
      </c>
      <c r="AE122" s="3">
        <f>336+(604.4-545.1)+(0+(0-0))+0-29.6-0</f>
        <v>365.69999999999993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0+(624.5-259.3)+(0+(0-0))+0-30.2-0</f>
        <v>335</v>
      </c>
      <c r="G123" s="3">
        <f>0+(627.2-274.2)+(0+(-0.639744--0.279684))+0-30.2--0.0308040000000048</f>
        <v>322.47074400000008</v>
      </c>
      <c r="H123" s="3">
        <f>0+(634.9-283.2)+(0+(0-0))+0-30.2-0</f>
        <v>321.5</v>
      </c>
      <c r="I123" s="3">
        <f>0+(535.6-190.4)+(0+(-0.546312--0.194208))+0-30.3--0.0309060000000048</f>
        <v>314.57880200000005</v>
      </c>
      <c r="J123" s="3">
        <f>0+(504.2-169.2)+(0+(-0.771426--0.258876))+0-30.3--0.0463590000000018</f>
        <v>304.23380900000001</v>
      </c>
      <c r="K123" s="3">
        <f>0+(429.2-102.5)+(0+(-0.875568--0.2091))+0-30.1--0.0614039999999987</f>
        <v>295.99493599999994</v>
      </c>
      <c r="L123" s="3">
        <f>0+(470.7-156.1)+(0+(-0.720171--0.238833))+0-30.1--0.0460530000000017</f>
        <v>284.06471500000004</v>
      </c>
      <c r="M123" s="3">
        <f>0+(466.1-164.1)+(0+(0.713133-0.251073))+0-30.4-0.0465120000000018</f>
        <v>272.01554800000002</v>
      </c>
      <c r="N123" s="3">
        <f>0+(555.3-242.7)+(0+(0.566406-0.247554))+0-30.5-0.0311100000000049</f>
        <v>282.38774199999995</v>
      </c>
      <c r="O123" s="3">
        <f>0+(613.4-287.5)+(0+(0.312834-0.146625))+0-30.6-0.0156059999999969</f>
        <v>295.45060299999994</v>
      </c>
      <c r="P123" s="3">
        <f>0+(693.5-354.8)+(0+(1.061055-0.542844))+0-30.4-0.0465120000000018</f>
        <v>308.77169900000001</v>
      </c>
      <c r="Q123" s="3">
        <f>0+(850.1-494.1)+(0+(0.867102-0.503982))+0-30.9-0.0315180000000049</f>
        <v>325.431602</v>
      </c>
      <c r="R123" s="3">
        <f>0+(817.6-457.9)+(0+(0.833952-0.467058))+0-30-0.0306000000000048</f>
        <v>330.03629400000005</v>
      </c>
      <c r="S123" s="3">
        <f>0+(786.6-431.6)+(0+(0.802332-0.440232))+0-28.7-0.0292740000000046</f>
        <v>326.63282600000002</v>
      </c>
      <c r="T123" s="3">
        <f>0+(782.7-428.3)+(0+(0-0))+0-28-0</f>
        <v>326.40000000000003</v>
      </c>
      <c r="U123" s="3">
        <f>0+(789.8-438.8)+(0+(0-0))+0-29.4-0</f>
        <v>321.59999999999997</v>
      </c>
      <c r="V123" s="3">
        <f>0+(830.4-485.1)+(0+(0-0))+0-28.8-0</f>
        <v>316.49999999999994</v>
      </c>
      <c r="W123" s="3">
        <f>0+(859.8-509.6)+(0+(0-0))+0-29.7-0</f>
        <v>320.49999999999994</v>
      </c>
      <c r="X123" s="3">
        <f>0+(897.2-546.7)+(0+(-1.372716--0.836451))+0-28.4--0.0434520000000016</f>
        <v>321.60718700000001</v>
      </c>
      <c r="Y123" s="3">
        <f>0+(878.9-548.6)+(0+(-1.792956--1.119144))+0-11.8--0.0240719999999995</f>
        <v>317.85025999999993</v>
      </c>
      <c r="Z123" s="3">
        <f>0+(804-433.1)+(0+(0-0))+0-24.9-0</f>
        <v>346</v>
      </c>
      <c r="AA123" s="3">
        <f>79.1+(800.1-490.4)+(-0.201705+(-2.040255--1.25052))+0-30.3--0.0772649999999956</f>
        <v>357.58582500000006</v>
      </c>
      <c r="AB123" s="3">
        <f>123.4+(769-508.3)+(0.062934+(0.39219-0.259233))+0-30-0.015299999999997</f>
        <v>354.28059100000002</v>
      </c>
      <c r="AC123" s="3">
        <f>123.8+(749-496.6)+(-0.063138+(-0.38199--0.253266))+0-30.3--0.0154529999999969</f>
        <v>345.72359099999994</v>
      </c>
      <c r="AD123" s="2">
        <v>357.70000000000005</v>
      </c>
      <c r="AE123" s="3">
        <f>119+(793.9-524.8)+(0+(0-0))+0-30.4-0</f>
        <v>357.70000000000005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31.8+(764.6-427.8)+(-0.032436+(-0.779892--0.436356))+0-30.5--0.0311100000000049</f>
        <v>337.75513800000004</v>
      </c>
      <c r="G124" s="3">
        <f>0+(596.6-249)+(0+(-0.304266--0.12699))+0-29.8--0.015197999999997</f>
        <v>317.637922</v>
      </c>
      <c r="H124" s="3">
        <f>0+(577-235.1)+(0+(0.29427-0.119901))+0-30.3-0.0154529999999969</f>
        <v>311.758916</v>
      </c>
      <c r="I124" s="3">
        <f>0+(518-168)+(0+(0.26418-0.08568))+0-30.6-0.0156059999999969</f>
        <v>319.56289399999997</v>
      </c>
      <c r="J124" s="3">
        <f>0+(538.7-188)+(0+(-0.824211--0.28764))+0-30.1--0.0460530000000017</f>
        <v>320.10948200000007</v>
      </c>
      <c r="K124" s="3">
        <f>0+(487.3-149)+(0+(-0.497046--0.15198))+0-30.4--0.0310080000000048</f>
        <v>307.58594200000005</v>
      </c>
      <c r="L124" s="3">
        <f>0+(504.5-177.9)+(0+(-0.51459--0.181458))+0-30.1--0.0307020000000048</f>
        <v>296.19757000000004</v>
      </c>
      <c r="M124" s="3">
        <f>0+(611.5-262.4)+(0+(0.311865-0.133824))+0-30.5-0.0155549999999969</f>
        <v>318.76248600000002</v>
      </c>
      <c r="N124" s="3">
        <f>0+(712.4-331.7)+(0+(1.453296-0.676668))+0-30.8-0.0628319999999987</f>
        <v>350.61379599999998</v>
      </c>
      <c r="O124" s="3">
        <f>172.7+(761-534.9)+(0.176154+(0.77622-0.545598))+0-30.8-0.0314160000000049</f>
        <v>368.37536</v>
      </c>
      <c r="P124" s="3">
        <f>317.4+(718.9-627.3)+(0.161874+(0.366639-0.319923))+0-31.2-0.0159119999999968</f>
        <v>377.99267800000001</v>
      </c>
      <c r="Q124" s="3">
        <f>347.4+(724-653.5)+(0.177174+(0.36924-0.333285))+0-31-0.0158099999999969</f>
        <v>387.09731899999997</v>
      </c>
      <c r="R124" s="3">
        <f>346.2+(696.4-627.3)+(0.353124+(0.710328-0.639846))+0-30.4-0.0310080000000048</f>
        <v>385.29259800000005</v>
      </c>
      <c r="S124" s="3">
        <f>344+(641.9-581.2)+(-0.52632+(-0.982107--0.889236))+0-31--0.0474300000000018</f>
        <v>373.12823899999995</v>
      </c>
      <c r="T124" s="3">
        <f>340.7+(624.9-565.9)+(-0.173757+(-0.318699--0.288609))+0-30.4--0.0155039999999969</f>
        <v>369.11165700000004</v>
      </c>
      <c r="U124" s="3">
        <f>339.2+(621.4-567.9)+(0.172992+(0.316914-0.289629))+0-30.3-0.0154529999999969</f>
        <v>362.58482400000003</v>
      </c>
      <c r="V124" s="3">
        <f>339.8+(633-589.5)+(0.519894+(0.96849-0.901935))+0-30.6-0.0468180000000018</f>
        <v>353.23963100000003</v>
      </c>
      <c r="W124" s="3">
        <f>339.4+(661.8-617.2)+(0.173094+(0.337518-0.314772))+0-30-0.015299999999997</f>
        <v>354.18053999999984</v>
      </c>
      <c r="X124" s="3">
        <f>338.7+(668-630.8)+(-0.518211+(-1.02204--0.965124))+0-30.5--0.0466650000000018</f>
        <v>344.87153800000004</v>
      </c>
      <c r="Y124" s="3">
        <f>339.3+(604.6-579)+(0+(0-0))+0-30.6-0</f>
        <v>334.3</v>
      </c>
      <c r="Z124" s="3">
        <f>342.7+(581.9-540.7)+(0.349554+(0.593538-0.551514))+0-30-0.0306000000000048</f>
        <v>354.26097799999991</v>
      </c>
      <c r="AA124" s="3">
        <f>341.5+(565.1-527.8)+(-0.870825+(-1.441005--1.34589))+0-22--0.0560999999999968</f>
        <v>355.89016000000009</v>
      </c>
      <c r="AB124" s="3">
        <f>343.2+(656.5-611.6)+(0.175032+(0.334815-0.311916))+0-30.6-0.0156059999999969</f>
        <v>357.68232499999993</v>
      </c>
      <c r="AC124" s="3">
        <f>302.3+(584.7-485.7)+(-0.308346+(-0.596394--0.495414))+0-23.7--0.0241740000000038</f>
        <v>377.21484800000007</v>
      </c>
      <c r="AD124" s="2">
        <v>358.6</v>
      </c>
      <c r="AE124" s="3">
        <f>346+(576-548.5)+(0+(0-0))+0-14.9-0</f>
        <v>358.6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84.8+(628.3-326.5)+(-0.043248+(-0.320433--0.166515))+0-31.1--0.0158609999999968</f>
        <v>355.31869499999993</v>
      </c>
      <c r="G125" s="3">
        <f>0+(529.9-158.2)+(0+(0-0))+0-31.2-0</f>
        <v>340.5</v>
      </c>
      <c r="H125" s="3">
        <f>0+(511.7-142.4)+(0+(0.521934-0.145248))+0-31.4-0.032028000000005</f>
        <v>338.24465799999996</v>
      </c>
      <c r="I125" s="3">
        <f>0+(520.1-146.5)+(0+(0.795753-0.224145))+0-31.3-0.0478890000000018</f>
        <v>342.82371900000004</v>
      </c>
      <c r="J125" s="3">
        <f>0+(648.4-274.2)+(0+(-0.661368--0.279684))+0-31.4--0.032028000000005</f>
        <v>342.45034400000003</v>
      </c>
      <c r="K125" s="3">
        <f>0+(629-264.6)+(0+(-1.28316--0.539784))+0-31.7--0.0646679999999986</f>
        <v>332.02129199999996</v>
      </c>
      <c r="L125" s="3">
        <f>0+(540.2-191.5)+(0+(-1.37751--0.488325))+0-31.5--0.0803249999999954</f>
        <v>316.39114000000006</v>
      </c>
      <c r="M125" s="3">
        <f>0+(528-164.3)+(0+(0.80784-0.251379))+0-32.1-0.0491130000000019</f>
        <v>332.107348</v>
      </c>
      <c r="N125" s="3">
        <f>53.3+(654.6-328.1)+(0.081549+(1.001538-0.501993))+0-28.5-0.0436050000000016</f>
        <v>351.83748900000001</v>
      </c>
      <c r="O125" s="3">
        <f>214.8+(706.1-522.4)+(0.438192+(1.440444-1.065696))+0-33-0.0673199999999986</f>
        <v>366.24562000000009</v>
      </c>
      <c r="P125" s="3">
        <f>348.7+(644.1-581.4)+(0.177837+(0.328491-0.296514))+0-32.7-0.0166769999999967</f>
        <v>378.89313700000002</v>
      </c>
      <c r="Q125" s="3">
        <f>348.3+(646-576.7)+(0.355266+(0.65892-0.588234))+0-33.4-0.0340680000000053</f>
        <v>384.59188399999999</v>
      </c>
      <c r="R125" s="3">
        <f>346.6+(636.5-566)+(0.530298+(0.973845-0.86598))+0-31.1-0.0475830000000018</f>
        <v>386.59058000000005</v>
      </c>
      <c r="S125" s="3">
        <f>343.2+(567.5-519.8)+(-0.175032+(-0.289425--0.265098))+0-31.1--0.0158609999999968</f>
        <v>359.61650199999997</v>
      </c>
      <c r="T125" s="3">
        <f>344.1+(544.7-496)+(0.350982+(0.555594-0.50592))+0-28.1-0.0286620000000045</f>
        <v>365.07199400000007</v>
      </c>
      <c r="U125" s="3">
        <f>344.1+(535.5-510.7)+(-0.175491+(-0.273105--0.260457))+0-13.6--0.00693599999999862</f>
        <v>355.11879700000003</v>
      </c>
      <c r="V125" s="3">
        <f>345+(572.1-551.1)+(0.3519+(0.583542-0.562122))+0-14.6-0.0148920000000023</f>
        <v>351.75842799999998</v>
      </c>
      <c r="W125" s="3">
        <f>343.8+(575.9-543.6)+(-0.701352+(-1.174836--1.108944))+0-27--0.0550799999999988</f>
        <v>348.38783599999994</v>
      </c>
      <c r="X125" s="3">
        <f>343.3+(620.8-602.8)+(-0.525249+(-0.949824--0.922284))+0-31.4--0.0480420000000018</f>
        <v>329.39525300000003</v>
      </c>
      <c r="Y125" s="3">
        <f>215.4+(644-500.8)+(0.219708+(0.65688-0.510816))+0-31.8-0.0324360000000051</f>
        <v>327.13333599999999</v>
      </c>
      <c r="Z125" s="3">
        <f>279.4+(535.8-427.4)+(0.71247+(1.36629-1.08987))+0-31.6-0.0805799999999954</f>
        <v>357.10830999999996</v>
      </c>
      <c r="AA125" s="3">
        <f>344.5+(485.8-453.9)+(-0.175695+(-0.247758--0.231489))+0-31.4--0.0160139999999968</f>
        <v>344.82405000000006</v>
      </c>
      <c r="AB125" s="3">
        <f>349.8+(536.1-500)+(-0.535194+(-0.820233--0.765))+0-31.4--0.0480420000000018</f>
        <v>353.95761500000009</v>
      </c>
      <c r="AC125" s="3">
        <f>350.4+(562.1-527.8)+(-0.536112+(-0.860013--0.807534))+0-31.4--0.0480420000000018</f>
        <v>352.75945100000007</v>
      </c>
      <c r="AD125" s="2">
        <v>348.2</v>
      </c>
      <c r="AE125" s="3">
        <f>337+(477.1-434.6)+(0+(0-0))+0-31.3-0</f>
        <v>348.2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252.6+(502.1-361.6)+(0.257652+(0.512142-0.368832))+0-17.9-0.0182580000000029</f>
        <v>375.58270400000004</v>
      </c>
      <c r="G126" s="3">
        <f>15.6+(506.2-161.7)+(0+(0-0))+0-10.7-0</f>
        <v>349.40000000000003</v>
      </c>
      <c r="H126" s="3">
        <f>0+(481.4-119)+(0+(0.491028-0.12138))+0-28.3-0.0288660000000045</f>
        <v>334.44078199999996</v>
      </c>
      <c r="I126" s="3">
        <f>0+(433.3-70.6)+(0+(0.220983-0.036006))+0-32.2-0.0164219999999967</f>
        <v>330.66855500000008</v>
      </c>
      <c r="J126" s="3">
        <f>0+(523.1-158.4)+(0+(-0.266781--0.080784))+0-32.5--0.0165749999999967</f>
        <v>332.03057800000005</v>
      </c>
      <c r="K126" s="3">
        <f>0+(585.7-229)+(0+(-1.194828--0.46716))+0-31.9--0.0650759999999986</f>
        <v>324.13740800000005</v>
      </c>
      <c r="L126" s="3">
        <f>0+(512-164)+(0+(0-0))+0-32.1-0</f>
        <v>315.89999999999998</v>
      </c>
      <c r="M126" s="3">
        <f>0+(628.7-264.9)+(0+(0.320637-0.135099))+0-32.1-0.0163709999999967</f>
        <v>331.86916700000006</v>
      </c>
      <c r="N126" s="3">
        <f>0+(779-381.4)+(0+(0.39729-0.194514))+0-32.9-0.0167789999999967</f>
        <v>364.88599700000003</v>
      </c>
      <c r="O126" s="3">
        <f>157.8+(811.6-554.4)+(0.080478+(0.413916-0.282744))+0-33.5-0.0170849999999966</f>
        <v>381.69456500000007</v>
      </c>
      <c r="P126" s="3">
        <f>326.8+(670.1-574.6)+(-0.166668+(-0.341751--0.293046))+0-33.3--0.0169829999999966</f>
        <v>388.80160999999998</v>
      </c>
      <c r="Q126" s="3">
        <f>345.8+(653-565.6)+(0.529074+(0.99909-0.865368))+0-32.8-0.0501840000000019</f>
        <v>401.01261199999999</v>
      </c>
      <c r="R126" s="3">
        <f>343.9+(586.1-501.4)+(-0.526167+(-0.896733--0.767142))+0-32.8--0.0501840000000019</f>
        <v>395.19442600000002</v>
      </c>
      <c r="S126" s="3">
        <f>344.5+(578.8-505.4)+(-0.175695+(-0.295188--0.257754))+0-33.8--0.0172379999999966</f>
        <v>383.90410900000001</v>
      </c>
      <c r="T126" s="3">
        <f>343.6+(538.1-468.8)+(-0.525708+(-0.823293--0.717264))+0-33--0.0504900000000019</f>
        <v>379.31875300000007</v>
      </c>
      <c r="U126" s="3">
        <f>344+(547.9-491.2)+(-0.35088+(-0.558858--0.501024))+0-32--0.0326400000000051</f>
        <v>368.32392600000003</v>
      </c>
      <c r="V126" s="3">
        <f>344.7+(574.5-524.1)+(0.175797+(0.292995-0.267291))+0-31.4-0.0160139999999968</f>
        <v>363.88548700000001</v>
      </c>
      <c r="W126" s="3">
        <f>343.8+(601.8-554.1)+(-0.175338+(-0.306918--0.282591))+0-31.2--0.0159119999999968</f>
        <v>360.11624699999999</v>
      </c>
      <c r="X126" s="3">
        <f>342.7+(641.5-607.3)+(-0.524331+(-0.981495--0.929169))+0-31.5--0.0481950000000018</f>
        <v>344.87153800000004</v>
      </c>
      <c r="Y126" s="3">
        <f>285.4+(602.8-491.8)+(-0.145554+(-0.307428--0.250818))+0-30.6--0.0156059999999969</f>
        <v>365.61344199999991</v>
      </c>
      <c r="Z126" s="3">
        <f>332.9+(555-494.1)+(0.339558+(0.5661-0.503982))+0-31-0.0316200000000049</f>
        <v>363.17005599999993</v>
      </c>
      <c r="AA126" s="3">
        <f>347.8+(541.4-493.9)+(0.177378+(0.276114-0.251889))+0-31.5-0.0160649999999968</f>
        <v>363.98553800000002</v>
      </c>
      <c r="AB126" s="3">
        <f>346.7+(523.6-472.6)+(-0.707268+(-1.068144--0.964104))+0-31.4--0.0640559999999986</f>
        <v>365.55274800000001</v>
      </c>
      <c r="AC126" s="3">
        <f>345+(476.2-425.3)+(0.17595+(0.242862-0.216903))+0-31.6-0.0161159999999968</f>
        <v>364.48579299999994</v>
      </c>
      <c r="AD126" s="2">
        <v>355.19999999999993</v>
      </c>
      <c r="AE126" s="3">
        <f>342+(503.3-458.8)+(0+(0-0))+0-31.3-0</f>
        <v>355.2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166.2+(598.6-346.7)+(0.084762+(0.305286-0.176817))+0-31.3-0.0159629999999968</f>
        <v>386.99726800000002</v>
      </c>
      <c r="G127" s="3">
        <f>4.3+(492.7-118.1)+(0.002193+(0.251277-0.060231))+0-31.1-0.0158609999999968</f>
        <v>347.97737800000004</v>
      </c>
      <c r="H127" s="3">
        <f>0+(496.5-129.9)+(0+(0.253215-0.066249))+0-31-0.0158099999999969</f>
        <v>335.77115600000002</v>
      </c>
      <c r="I127" s="3">
        <f>0+(504.2-127.4)+(0+(0.514284-0.129948))+0-31.5-0.032130000000005</f>
        <v>345.65220599999998</v>
      </c>
      <c r="J127" s="3">
        <f>0+(555.9-189.1)+(0+(0.283509-0.096441))+0-31.4-0.0160139999999968</f>
        <v>335.571054</v>
      </c>
      <c r="K127" s="3">
        <f>0+(597.3-233.5)+(0+(-1.218492--0.47634))+0-31.2--0.0636479999999986</f>
        <v>331.92149599999999</v>
      </c>
      <c r="L127" s="3">
        <f>0+(592.2-238)+(0+(-0.302022--0.12138))+0-30.8--0.0157079999999969</f>
        <v>323.23506600000007</v>
      </c>
      <c r="M127" s="3">
        <f>0+(658.6-287.2)+(0+(0.671772-0.292944))+0-31.2-0.031824000000005</f>
        <v>340.54700400000002</v>
      </c>
      <c r="N127" s="3">
        <f>0+(775.2-368.4)+(0+(0.395352-0.187884))+0-32.2-0.0164219999999967</f>
        <v>374.79104600000011</v>
      </c>
      <c r="O127" s="3">
        <f>128.2+(770.4-478.6)+(-0.130764+(-0.785808--0.488172))+0-33--0.0336600000000053</f>
        <v>386.60525999999993</v>
      </c>
      <c r="P127" s="3">
        <f>343.4+(662.8-568)+(0.700536+(1.352112-1.15872))+0-31.9-0.0650759999999986</f>
        <v>407.12885199999999</v>
      </c>
      <c r="Q127" s="3">
        <f>340+(639.6-540.3)+(0.1734+(0.326196-0.275553))+0-33.4-0.0170339999999966</f>
        <v>406.10700900000006</v>
      </c>
      <c r="R127" s="3">
        <f>339.8+(622.5-523.9)+(0.346596+(0.63495-0.534378))+0-30.7-0.0313140000000049</f>
        <v>408.11585400000001</v>
      </c>
      <c r="S127" s="3">
        <f>338.7+(467.8-400.8)+(-0.518211+(-0.715734--0.613224))+0-30.4--0.0465120000000018</f>
        <v>374.72579100000002</v>
      </c>
      <c r="T127" s="3">
        <f>381.1+(390.5-371)+(-0.777444+(-0.79662--0.75684))+0-31.1--0.0634439999999986</f>
        <v>368.74621999999999</v>
      </c>
      <c r="U127" s="3">
        <f>446.3+(361.5-411)+(-0.910452+(-0.73746--0.83844))+0-30.9--0.0630359999999986</f>
        <v>365.15356400000002</v>
      </c>
      <c r="V127" s="3">
        <f>448.4+(416.9-481.1)+(-0.457368+(-0.425238--0.490722))+0-31--0.0316200000000049</f>
        <v>352.83973599999996</v>
      </c>
      <c r="W127" s="3">
        <f>449.2+(392.8-463.7)+(-0.229092+(-0.200328--0.236487))+0-30.6--0.0156059999999969</f>
        <v>347.522673</v>
      </c>
      <c r="X127" s="3">
        <f>445.8+(462.8-530.3)+(-1.13679+(-1.18014--1.352265))+0-30.9--0.0787949999999955</f>
        <v>346.51413000000008</v>
      </c>
      <c r="Y127" s="3">
        <f>448+(463.3-530.5)+(-1.37088+(-1.417698--1.62333))+0-31.1--0.0951660000000036</f>
        <v>348.62991799999998</v>
      </c>
      <c r="Z127" s="3">
        <f>456.2+(397-451.8)+(0.465324+(0.40494-0.460836))+0-31.6-0.032232000000005</f>
        <v>370.17719599999992</v>
      </c>
      <c r="AA127" s="3">
        <f>455+(435.4-487.9)+(-0.69615+(-0.666162--0.746487))+0-31.6--0.0483480000000018</f>
        <v>370.33252299999998</v>
      </c>
      <c r="AB127" s="3">
        <f>455.7+(478.1-530.6)+(-1.162035+(-1.219155--1.35303))+0-30.6--0.0780299999999956</f>
        <v>371.64986999999996</v>
      </c>
      <c r="AC127" s="3">
        <f>448.5+(454.1-500.4)+(-0.91494+(-0.926364--1.020816))+0-31.3--0.0638519999999986</f>
        <v>370.14336400000002</v>
      </c>
      <c r="AD127" s="2">
        <v>372.3</v>
      </c>
      <c r="AE127" s="3">
        <f>454+(385.4-436.7)+(0+(0-0))+0-30.4-0</f>
        <v>372.3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121.3+(569.3-287.3)+(-0.061863+(-0.290343--0.146523))+0-31.4--0.0160139999999968</f>
        <v>371.71033099999994</v>
      </c>
      <c r="G128" s="3">
        <f>0+(439.9-56.4)+(0+(-0.448698--0.057528))+0-30.9--0.0315180000000049</f>
        <v>352.24034800000004</v>
      </c>
      <c r="H128" s="3">
        <f>0+(418.3-41.4)+(0+(0.213333-0.021114))+0-31.4-0.0160139999999968</f>
        <v>345.6762050000001</v>
      </c>
      <c r="I128" s="3">
        <f>0+(420.5-45.9)+(0+(0-0))+0-31.4-0</f>
        <v>343.20000000000005</v>
      </c>
      <c r="J128" s="3">
        <f>0+(483-109.3)+(0+(-0.98532--0.222972))+0-31.4--0.0640559999999986</f>
        <v>341.60170800000003</v>
      </c>
      <c r="K128" s="3">
        <f>0+(524.5-163.1)+(0+(-1.337475--0.415905))+0-31.1--0.0793049999999955</f>
        <v>329.45773499999996</v>
      </c>
      <c r="L128" s="3">
        <f>0+(522.5-164.4)+(0+(-1.332375--0.41922))+0-31.2--0.0795599999999955</f>
        <v>326.06640500000003</v>
      </c>
      <c r="M128" s="3">
        <f>0+(559.1-187.6)+(0+(0.285141-0.095676))+0-31.9-0.0162689999999968</f>
        <v>339.77319599999998</v>
      </c>
      <c r="N128" s="3">
        <f>43.3+(609.7-248.8)+(0.044166+(0.621894-0.253776))+0-33.5-0.0341700000000053</f>
        <v>371.07811400000003</v>
      </c>
      <c r="O128" s="3">
        <f>139.4+(649.4-365.2)+(0.213282+(0.993582-0.558756))+0-33.1-0.0506430000000019</f>
        <v>391.097465</v>
      </c>
      <c r="P128" s="3">
        <f>336.7+(647.9-544)+(0.343434+(0.660858-0.55488))+0-31.6-0.032232000000005</f>
        <v>409.41717999999992</v>
      </c>
      <c r="Q128" s="3">
        <f>344.4+(659.5-554.9)+(0.526932+(1.009035-0.848997))+0-31.5-0.0481950000000018</f>
        <v>418.13877499999995</v>
      </c>
      <c r="R128" s="3">
        <f>345+(607.4-506.8)+(-0.52785+(-0.929322--0.775404))+0-31.3--0.0478890000000018</f>
        <v>413.66612099999998</v>
      </c>
      <c r="S128" s="3">
        <f>341.8+(479.8-420.4)+(-0.348636+(-0.489396--0.428808))+0-31.2--0.031824000000005</f>
        <v>369.62260000000009</v>
      </c>
      <c r="T128" s="3">
        <f>341.1+(377.3-324.4)+(-0.347922+(-0.384846--0.330888))+0-31--0.0316200000000049</f>
        <v>362.62974000000008</v>
      </c>
      <c r="U128" s="3">
        <f>342.9+(381.4-336.4)+(-0.524637+(-0.583542--0.514692))+0-31.4--0.0480420000000018</f>
        <v>355.95455500000003</v>
      </c>
      <c r="V128" s="3">
        <f>342.8+(397.1-363)+(-0.524484+(-0.607563--0.55539))+0-31.8--0.0486540000000018</f>
        <v>344.57199700000001</v>
      </c>
      <c r="W128" s="3">
        <f>339.8+(452.4-415.2)+(-0.86649+(-1.15362--1.05876))+0-31.3--0.0798149999999955</f>
        <v>344.818465</v>
      </c>
      <c r="X128" s="3">
        <f>310.6+(386.4-324.9)+(-0.316812+(-0.394128--0.331398))+0-31.1--0.031722000000005</f>
        <v>340.65217999999999</v>
      </c>
      <c r="Y128" s="3">
        <f>216.3+(451.5-299.2)+(-0.110313+(-0.230265--0.152592))+0-31.3--0.0159629999999968</f>
        <v>337.12797699999999</v>
      </c>
      <c r="Z128" s="3">
        <f>276.9+(497.8-379.7)+(0.282438+(0.507756-0.387294))+0-30.6-0.0312120000000049</f>
        <v>364.77168799999998</v>
      </c>
      <c r="AA128" s="3">
        <f>345.9+(514.1-462.2)+(-0.705636+(-1.048764--0.942888))+0-31.9--0.0650759999999986</f>
        <v>365.15356400000002</v>
      </c>
      <c r="AB128" s="3">
        <f>347.8+(517-466.6)+(-0.177378+(-0.26367--0.237966))+0-32--0.0163199999999968</f>
        <v>366.013238</v>
      </c>
      <c r="AC128" s="3">
        <f>208.8+(498.5-307.8)+(-0.319464+(-0.762705--0.470934))+0-31.9--0.0488070000000018</f>
        <v>367.03757200000001</v>
      </c>
      <c r="AD128" s="2">
        <v>361.29999999999995</v>
      </c>
      <c r="AE128" s="3">
        <f>342+(526.9-476.1)+(0+(0-0))+0-31.5-0</f>
        <v>361.29999999999995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51.7+(508.7-167.3)+(0+(0-0))+0-32-0</f>
        <v>361.09999999999997</v>
      </c>
      <c r="G129" s="3">
        <f>0+(488.5-107.6)+(0+(0.249135-0.054876))+0-31.1-0.0158609999999968</f>
        <v>349.97839799999997</v>
      </c>
      <c r="H129" s="3">
        <f>0+(469.1-99.3)+(0+(-0.478482--0.101286))+0-31.7--0.0323340000000051</f>
        <v>337.75513799999999</v>
      </c>
      <c r="I129" s="3">
        <f>0+(486.2-120.3)+(0+(-0.247962--0.061353))+0-31.6--0.0161159999999968</f>
        <v>334.12950699999999</v>
      </c>
      <c r="J129" s="3">
        <f>0+(545.8-175.2)+(0+(-0.835074--0.268056))+0-31--0.0474300000000018</f>
        <v>339.08041199999997</v>
      </c>
      <c r="K129" s="3">
        <f>0+(469.2-112.6)+(0+(-0.717876--0.172278))+0-31.4--0.0480420000000018</f>
        <v>324.70244400000007</v>
      </c>
      <c r="L129" s="3">
        <f>0+(456.7-110.6)+(0+(0-0))+0-31.3-0</f>
        <v>314.8</v>
      </c>
      <c r="M129" s="3">
        <f>0+(438.3-84.9)+(0+(1.341198-0.259794))+0-32.1-0.0982260000000037</f>
        <v>322.28317799999996</v>
      </c>
      <c r="N129" s="3">
        <f>0+(514.7-134.1)+(0+(1.312485-0.341955))+0-33.1-0.0844049999999952</f>
        <v>348.38612499999999</v>
      </c>
      <c r="O129" s="3">
        <f>35.1+(542.3-192.7)+(0.107406+(1.659438-0.589662))+0-33.6-0.102816000000004</f>
        <v>352.17436599999996</v>
      </c>
      <c r="P129" s="3">
        <f>141.8+(585.4-340.8)+(0+(0-0))+0-33.1-0</f>
        <v>353.29999999999995</v>
      </c>
      <c r="Q129" s="3">
        <f>297.2+(510.1-407.5)+(0.454716+(0.780453-0.623475))+0-33-0.0504900000000019</f>
        <v>367.36120399999999</v>
      </c>
      <c r="R129" s="3">
        <f>341.8+(451.4-401.2)+(0+(0-0))+0-31.7-0</f>
        <v>360.3</v>
      </c>
      <c r="S129" s="3">
        <f>337.4+(416.2-376.5)+(-1.032444+(-1.273572--1.15209))+0-31.7--0.0970020000000037</f>
        <v>344.343076</v>
      </c>
      <c r="T129" s="3">
        <f>341.2+(380.3-345)+(-0.174012+(-0.193953--0.17595))+0-31.6--0.0161159999999968</f>
        <v>344.72410099999996</v>
      </c>
      <c r="U129" s="3">
        <f>341.2+(361.1-335.3)+(-0.174012+(-0.184161--0.171003))+0-31.7--0.0161669999999968</f>
        <v>335.12899700000003</v>
      </c>
      <c r="V129" s="3">
        <f>338.8+(420.8-402.4)+(-0.172788+(-0.214608--0.205224))+0-31.5--0.0160649999999968</f>
        <v>325.53389300000003</v>
      </c>
      <c r="W129" s="3">
        <f>341+(538.1-511.7)+(0.34782+(0.548862-0.521934))+0-32-0.0326400000000051</f>
        <v>335.74210800000003</v>
      </c>
      <c r="X129" s="3">
        <f>285.9+(605.2-526.2)+(0.145809+(0.308652-0.268362))+0-31.7-0.0161669999999968</f>
        <v>333.36993200000001</v>
      </c>
      <c r="Y129" s="3">
        <f>276.5+(580.2-495.9)+(0+(0-0))+0-31.5-0</f>
        <v>329.30000000000007</v>
      </c>
      <c r="Z129" s="3">
        <f>317.8+(485.5-419.8)+(-0.486234+(-0.742815--0.642294))+0-29.1--0.0445230000000017</f>
        <v>353.85776800000002</v>
      </c>
      <c r="AA129" s="3">
        <f>346.2+(551.4-507.1)+(-0.176562+(-0.281214--0.258621))+0-31.7--0.0161669999999968</f>
        <v>358.61701199999993</v>
      </c>
      <c r="AB129" s="3">
        <f>201.7+(620.9-433.1)+(-0.205734+(-0.633318--0.441762))+0-31.8--0.0324360000000051</f>
        <v>357.33514599999995</v>
      </c>
      <c r="AC129" s="3">
        <f>167.7+(655.1-443.7)+(-0.342108+(-1.336404--0.905148))+0-31.5--0.0642599999999986</f>
        <v>346.890896</v>
      </c>
      <c r="AD129" s="2">
        <v>341.29999999999995</v>
      </c>
      <c r="AE129" s="3">
        <f>341+(531.8-500.2)+(0+(0-0))+0-31.3-0</f>
        <v>341.29999999999995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162.8+(629.9-405.5)+(-0.083028+(-0.321249--0.206805))+0-31.4--0.0160139999999968</f>
        <v>355.61854199999999</v>
      </c>
      <c r="G130" s="3">
        <f>6.7+(639.4-274.3)+(-0.003417+(-0.326094--0.139893))+0-31.9--0.0162689999999968</f>
        <v>339.726651</v>
      </c>
      <c r="H130" s="3">
        <f>0+(537.7-183.2)+(0+(0-0))+0-31.6-0</f>
        <v>322.90000000000003</v>
      </c>
      <c r="I130" s="3">
        <f>0+(427.4-75.8)+(0+(-1.08987--0.19329))+0-32--0.0815999999999954</f>
        <v>318.78501999999997</v>
      </c>
      <c r="J130" s="3">
        <f>0+(522.7-174.8)+(0+(-0.533154--0.178296))+0-31.3--0.031926000000005</f>
        <v>316.27706800000004</v>
      </c>
      <c r="K130" s="3">
        <f>0+(590.2-254.4)+(0+(-2.107014--0.908208))+0-31--0.11067</f>
        <v>303.71186400000011</v>
      </c>
      <c r="L130" s="3">
        <f>0+(454.9-144.6)+(0+(-1.623993--0.516222))+0-31.9--0.113883</f>
        <v>277.40611199999995</v>
      </c>
      <c r="M130" s="3">
        <f>0+(439.2-136.7)+(0+(0.223992-0.069717))+0-32.2-0.0164219999999967</f>
        <v>270.43785300000002</v>
      </c>
      <c r="N130" s="3">
        <f>0+(476-181.6)+(0+(-0.24276--0.092616))+0-31.7--0.0161669999999968</f>
        <v>262.56602299999997</v>
      </c>
      <c r="O130" s="3">
        <f>0+(529.8-246.1)+(0+(0.810594-0.376533))+0-32.2-0.0492660000000019</f>
        <v>251.88479499999994</v>
      </c>
      <c r="P130" s="3">
        <f>0+(653.4-349.4)+(0+(0-0))+0-32.1-0</f>
        <v>271.89999999999998</v>
      </c>
      <c r="Q130" s="3">
        <f>0+(686.1-347.7)+(0+(1.049733-0.531981))+0-31.6-0.0483480000000018</f>
        <v>307.26940400000001</v>
      </c>
      <c r="R130" s="3">
        <f>0+(638.5-297.2)+(0+(0.65127-0.303144))+0-28.4-0.0289680000000045</f>
        <v>313.21915799999999</v>
      </c>
      <c r="S130" s="3">
        <f>0+(545.7-216.6)+(0+(1.113228-0.441864))+0-32.1-0.0654839999999986</f>
        <v>297.60587999999996</v>
      </c>
      <c r="T130" s="3">
        <f>0+(468.1-143.8)+(0+(0.954924-0.293352))+0-32.1-0.0654839999999986</f>
        <v>292.79608799999994</v>
      </c>
      <c r="U130" s="3">
        <f>0+(447.1-125.3)+(0+(0.456042-0.127806))+0-31.9-0.0325380000000051</f>
        <v>290.19569800000005</v>
      </c>
      <c r="V130" s="3">
        <f>0+(501.9-176.7)+(0+(-0.255969--0.090117))+0-31.8--0.0162179999999968</f>
        <v>293.25036599999999</v>
      </c>
      <c r="W130" s="3">
        <f>0+(556.9-229.5)+(0+(0.568038-0.23409))+0-31.9-0.0325380000000051</f>
        <v>295.80141000000003</v>
      </c>
      <c r="X130" s="3">
        <f>0+(606.1-280.7)+(0+(-0.309111--0.143157))+0-31.7--0.0161669999999968</f>
        <v>293.55021300000004</v>
      </c>
      <c r="Y130" s="3">
        <f>0+(596.2-265.2)+(0+(-1.216248--0.541008))+0-31.2--0.0636479999999986</f>
        <v>299.18840800000009</v>
      </c>
      <c r="Z130" s="3">
        <f>0+(569.9-208.4)+(0+(0-0))+0-32.6-0</f>
        <v>328.9</v>
      </c>
      <c r="AA130" s="3">
        <f>0+(594.9-230.5)+(0+(-1.516995--0.587775))+0-28.7--0.0731849999999958</f>
        <v>334.84396500000003</v>
      </c>
      <c r="AB130" s="3">
        <f>0+(706.9-343.5)+(0+(0-0))+0-29.8-0</f>
        <v>333.59999999999997</v>
      </c>
      <c r="AC130" s="3">
        <f>0+(709.9-347.6)+(0+(1.086147-0.531828))+0-31.7-0.0485010000000018</f>
        <v>331.105818</v>
      </c>
      <c r="AD130" s="2">
        <v>335</v>
      </c>
      <c r="AE130" s="3">
        <f>0+(650.4-303.7)+(0+(0-0))+0-11.7-0</f>
        <v>335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0+(644.1-284.7)+(0+(-1.313964--0.580788))+0-31.4--0.0640559999999986</f>
        <v>327.33088000000004</v>
      </c>
      <c r="G131" s="3">
        <f>0+(678.6-332.9)+(0+(-1.73043--0.848895))+0-31.1--0.0793049999999955</f>
        <v>313.79777000000001</v>
      </c>
      <c r="H131" s="3">
        <f>0+(573.8-226.9)+(0+(-2.048466--0.810033))+0-31.4--0.112098</f>
        <v>314.37366500000002</v>
      </c>
      <c r="I131" s="3">
        <f>0+(495.2-149.8)+(0+(0-0))+0-31.4-0</f>
        <v>314</v>
      </c>
      <c r="J131" s="3">
        <f>0+(527.6-179.4)+(0+(-1.34538--0.45747))+0-31.3--0.0798149999999955</f>
        <v>316.09190500000005</v>
      </c>
      <c r="K131" s="3">
        <f>0+(483.4-146.9)+(0+(-1.479204--0.449514))+0-31.7--0.0970020000000037</f>
        <v>303.86731200000003</v>
      </c>
      <c r="L131" s="3">
        <f>0+(490.6-154.5)+(0+(0-0))+0-31.5-0</f>
        <v>304.60000000000002</v>
      </c>
      <c r="M131" s="3">
        <f>0+(665.5-309.5)+(0+(0-0))+0-32.1-0</f>
        <v>323.89999999999998</v>
      </c>
      <c r="N131" s="3">
        <f>0+(745-356)+(0+(-0.37995--0.18156))+0-33.1--0.0168809999999966</f>
        <v>355.71849099999997</v>
      </c>
      <c r="O131" s="3">
        <f>9.9+(715.3-344.1)+(-0.015147+(-1.094409--0.526473))+0-33.4--0.0511020000000019</f>
        <v>347.16801899999996</v>
      </c>
      <c r="P131" s="3">
        <f>200.2+(653.8-435.8)+(0+(0-0))+0-32.5-0</f>
        <v>385.69999999999993</v>
      </c>
      <c r="Q131" s="3">
        <f>224.3+(638.5-421.6)+(0.343179+(0.976905-0.645048))+0-32-0.0489600000000018</f>
        <v>409.82607599999994</v>
      </c>
      <c r="R131" s="3">
        <f>325.2+(550.5-458.2)+(0.331704+(0.56151-0.467364))+0-25.9-0.0264180000000041</f>
        <v>391.99943200000007</v>
      </c>
      <c r="S131" s="3">
        <f>335.5+(469.3-389.7)+(0+(0-0))+0-29.7-0</f>
        <v>385.40000000000003</v>
      </c>
      <c r="T131" s="3">
        <f>336+(398.1-336.1)+(0.17136+(0.203031-0.171411))+0-29.1-0.014840999999997</f>
        <v>369.08813900000001</v>
      </c>
      <c r="U131" s="3">
        <f>332.1+(384.3-348.9)+(0+(0-0))+0-24.4-0</f>
        <v>343.10000000000008</v>
      </c>
      <c r="V131" s="3">
        <f>333+(500.7-462.5)+(0.16983+(0.255357-0.235875))+0-31.3-0.0159629999999968</f>
        <v>340.07334899999995</v>
      </c>
      <c r="W131" s="3">
        <f>332.9+(554.7-508.2)+(0.169779+(0.282897-0.259182))+0-29.9-0.015248999999997</f>
        <v>349.67824500000006</v>
      </c>
      <c r="X131" s="3">
        <f>290+(621.1-546.7)+(0.1479+(0.316761-0.278817))+0-29.3-0.014942999999997</f>
        <v>335.27090099999992</v>
      </c>
      <c r="Y131" s="3">
        <f>177.3+(621.7-447.1)+(0.180846+(0.634134-0.456042))+0-31.1-0.031722000000005</f>
        <v>321.12721600000003</v>
      </c>
      <c r="Z131" s="3">
        <f>350.4+(518.1-479.3)+(0+(0-0))+0-29.1-0</f>
        <v>360.09999999999997</v>
      </c>
      <c r="AA131" s="3">
        <f>352.1+(510.6-477)+(-0.718284+(-1.041624--0.97308))+0-28.7--0.0585479999999987</f>
        <v>356.27172000000002</v>
      </c>
      <c r="AB131" s="3">
        <f>353.4+(539.7-504.5)+(0+(0-0))+0-29.7-0</f>
        <v>358.90000000000003</v>
      </c>
      <c r="AC131" s="3">
        <f>164.1+(600.5-374.7)+(0.083691+(0.306255-0.191097))+0-31.8-0.0162179999999968</f>
        <v>358.28263099999998</v>
      </c>
      <c r="AD131" s="2">
        <v>357.80000000000007</v>
      </c>
      <c r="AE131" s="3">
        <f>353+(475.7-445.4)+(0+(0-0))+0-25.5-0</f>
        <v>357.8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7+(691.1-311)+(0.00714+(0.704922-0.31722))+0-31.1-0.031722000000005</f>
        <v>356.36311999999998</v>
      </c>
      <c r="G132" s="3">
        <f>0+(580.1-203.4)+(0+(-0.887553--0.311202))+0-31.2--0.0477360000000018</f>
        <v>344.97138500000005</v>
      </c>
      <c r="H132" s="3">
        <f>0+(477.4-120.4)+(0+(0-0))+0-26.4-0</f>
        <v>330.6</v>
      </c>
      <c r="I132" s="3">
        <f>0+(473.7-119.1)+(0+(-0.483174--0.121482))+0-31.4--0.032028000000005</f>
        <v>322.87033600000007</v>
      </c>
      <c r="J132" s="3">
        <f>0+(564.8-209.7)+(0+(-1.152192--0.427788))+0-31--0.0632399999999986</f>
        <v>323.43883599999998</v>
      </c>
      <c r="K132" s="3">
        <f>0+(474.4-128.2)+(0+(-1.20972--0.32691))+0-31.5--0.0803249999999954</f>
        <v>313.897515</v>
      </c>
      <c r="L132" s="3">
        <f>0+(418.5-88.7)+(0+(-0.42687--0.090474))+0-29--0.0295800000000046</f>
        <v>300.49318400000004</v>
      </c>
      <c r="M132" s="3">
        <f>0+(440-93.9)+(0+(0.2244-0.047889))+0-30-0.015299999999997</f>
        <v>316.261211</v>
      </c>
      <c r="N132" s="3">
        <f>2.4+(600.4-225.2)+(0.002448+(0.612408-0.229704))+0-30.5-0.0311100000000049</f>
        <v>347.45404199999996</v>
      </c>
      <c r="O132" s="3">
        <f>68.1+(742.1-404.6)+(0.104193+(1.135413-0.619038))+0-30-0.0459000000000017</f>
        <v>376.174668</v>
      </c>
      <c r="P132" s="3">
        <f>223.2+(675.3-499.9)+(0.227664+(0.688806-0.509898))+0-27.4-0.0279480000000044</f>
        <v>371.57862399999999</v>
      </c>
      <c r="Q132" s="3">
        <f>346.6+(594.5-515.6)+(0.707064+(1.21278-1.051824))+0-31.7-0.0646679999999986</f>
        <v>394.60335200000003</v>
      </c>
      <c r="R132" s="3">
        <f>342.4+(527-464.5)+(0.523872+(0.80631-0.710685))+0-31.7-0.0485010000000018</f>
        <v>373.77099600000003</v>
      </c>
      <c r="S132" s="3">
        <f>340.7+(414.9-355.3)+(0.521271+(0.634797-0.543609))+0-31.5-0.0481950000000018</f>
        <v>369.36426399999993</v>
      </c>
      <c r="T132" s="3">
        <f>339.7+(395.7-337.6)+(-0.346494+(-0.403614--0.344352))+0-31.5--0.032130000000005</f>
        <v>365.92637399999995</v>
      </c>
      <c r="U132" s="3">
        <f>339.2+(456-409.3)+(0.345984+(0.46512-0.417486))+0-32.4-0.0330480000000052</f>
        <v>353.86057</v>
      </c>
      <c r="V132" s="3">
        <f>337.8+(459.5-415.1)+(0+(0-0))+0-32.3-0</f>
        <v>349.9</v>
      </c>
      <c r="W132" s="3">
        <f>336.1+(511-475.7)+(0+(0-0))+0-31.9-0</f>
        <v>339.50000000000006</v>
      </c>
      <c r="X132" s="3">
        <f>327+(585.1-544.1)+(0.16677+(0.298401-0.277491))+0-31.2-0.0159119999999968</f>
        <v>336.971768</v>
      </c>
      <c r="Y132" s="3">
        <f>223.9+(603.4-461.6)+(0.342567+(0.923202-0.706248))+0-30.8-0.0471240000000018</f>
        <v>335.41239699999994</v>
      </c>
      <c r="Z132" s="3">
        <f>339+(488.6-445.7)+(0+(0-0))+0-31.8-0</f>
        <v>350.1</v>
      </c>
      <c r="AA132" s="3">
        <f>338.1+(476.1-429.3)+(-1.207017+(-1.699677--1.532601))+0-32.2--0.114954</f>
        <v>351.44086100000004</v>
      </c>
      <c r="AB132" s="3">
        <f>227.3+(554.1-409.5)+(-0.347769+(-0.847773--0.626535))+0-32--0.0489600000000018</f>
        <v>339.37995300000006</v>
      </c>
      <c r="AC132" s="3">
        <f>15.8+(625.8-289.1)+(0.008058+(0.319158-0.147441))+0-32.2-0.0164219999999967</f>
        <v>320.46335299999998</v>
      </c>
      <c r="AD132" s="2">
        <v>351.19999999999993</v>
      </c>
      <c r="AE132" s="3">
        <f>341+(451.3-410.3)+(0+(0-0))+0-30.8-0</f>
        <v>351.2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0+(519.4-164.3)+(0+(-0.529788--0.167586))+0-32.3--0.0329460000000051</f>
        <v>322.47074399999991</v>
      </c>
      <c r="G133" s="3">
        <f>0+(541.4-183.9)+(0+(-1.104456--0.375156))+0-32.2--0.0656879999999986</f>
        <v>324.63638800000001</v>
      </c>
      <c r="H133" s="3">
        <f>0+(522.9-175.9)+(0+(-0.800037--0.269127))+0-31.8--0.0486540000000018</f>
        <v>314.71774399999998</v>
      </c>
      <c r="I133" s="3">
        <f>0+(482.3-139.4)+(0+(-0.245973--0.071094))+0-32.1--0.0163709999999967</f>
        <v>310.64149199999997</v>
      </c>
      <c r="J133" s="3">
        <f>0+(508.2-161.1)+(0+(-1.036728--0.328644))+0-32--0.0652799999999986</f>
        <v>314.45719600000001</v>
      </c>
      <c r="K133" s="3">
        <f>0+(455.4-123.1)+(0+(-0.696762--0.188343))+0-32--0.0489600000000018</f>
        <v>299.84054099999997</v>
      </c>
      <c r="L133" s="3">
        <f>0+(410.4-90.4)+(0+(0-0))+0-31.7-0</f>
        <v>288.3</v>
      </c>
      <c r="M133" s="3">
        <f>0+(515.2-180.5)+(0+(0.788256-0.276165))+0-32-0.0489600000000018</f>
        <v>303.16313100000002</v>
      </c>
      <c r="N133" s="3">
        <f>60.3+(682.2-364.7)+(0.030753+(0.347922-0.185997))+0-32.1-0.0163709999999967</f>
        <v>345.87630700000005</v>
      </c>
      <c r="O133" s="3">
        <f>164.6+(724.7-509.8)+(0.083946+(0.369597-0.259998))+0-32.3-0.0164729999999967</f>
        <v>347.37707199999994</v>
      </c>
      <c r="P133" s="3">
        <f>327.5+(664.1-588.3)+(0.6681+(1.354764-1.200132))+0-28.2-0.0575279999999988</f>
        <v>375.86520400000006</v>
      </c>
      <c r="Q133" s="3">
        <f>340.1+(609.8-525.5)+(0.520353+(0.932994-0.804015))+0-31.7-0.0485010000000018</f>
        <v>393.30083100000002</v>
      </c>
      <c r="R133" s="3">
        <f>335.8+(567.1-467.2)+(-0.685032+(-1.156884--0.953088))+0-31.5--0.0642599999999986</f>
        <v>403.37543200000005</v>
      </c>
      <c r="S133" s="3">
        <f>336.8+(535.2-463.1)+(-0.515304+(-0.818856--0.708543))+0-31.9--0.0488070000000018</f>
        <v>376.42319000000009</v>
      </c>
      <c r="T133" s="3">
        <f>338.4+(494-426)+(0.517752+(0.75582-0.65178))+0-31.8-0.0486540000000018</f>
        <v>375.17313799999999</v>
      </c>
      <c r="U133" s="3">
        <f>337+(481.6-424.6)+(0.34374+(0.491232-0.433092))+0-31.8-0.0324360000000051</f>
        <v>362.56944399999998</v>
      </c>
      <c r="V133" s="3">
        <f>332.4+(499.1-451.6)+(0.169524+(0.254541-0.230316))+0-28-0.0142799999999972</f>
        <v>352.07946900000002</v>
      </c>
      <c r="W133" s="3">
        <f>329.8+(557.5-511.5)+(-0.168198+(-0.284325--0.260865))+0-31.8--0.0162179999999968</f>
        <v>343.82455999999996</v>
      </c>
      <c r="X133" s="3">
        <f>283.9+(632.1-550)+(0.289578+(0.644742-0.561))+0-31.9-0.0325380000000051</f>
        <v>334.44078200000001</v>
      </c>
      <c r="Y133" s="3">
        <f>272+(634.1-532.7)+(0.55488+(1.293564-1.086708))+0-32.2-0.0656879999999986</f>
        <v>341.89604799999995</v>
      </c>
      <c r="Z133" s="3">
        <f>332.8+(504.7-448.8)+(0.169728+(0.257397-0.228888))+0-32.2-0.0164219999999967</f>
        <v>356.68181500000003</v>
      </c>
      <c r="AA133" s="3">
        <f>290.3+(498.9-391.1)+(-0.592212+(-1.017756--0.797844))+0-32.6--0.0665039999999986</f>
        <v>364.75437999999997</v>
      </c>
      <c r="AB133" s="3">
        <f>81.9+(640.1-325.7)+(0.083538+(0.652902-0.332214))+0-32.7-0.0333540000000052</f>
        <v>363.97087200000004</v>
      </c>
      <c r="AC133" s="3">
        <f>0+(637.2-245.9)+(0+(0-0))+0-32.4-0</f>
        <v>358.90000000000009</v>
      </c>
      <c r="AD133" s="2">
        <v>366.30000000000007</v>
      </c>
      <c r="AE133" s="3">
        <f>213+(561.1-374.9)+(0+(0-0))+0-32.9-0</f>
        <v>366.30000000000007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0+(592.2-195.7)+(0+(-0.906066--0.299421))+0-30--0.0459000000000017</f>
        <v>365.93925500000006</v>
      </c>
      <c r="G134" s="3">
        <f>0+(423.4-46.6)+(0+(-0.431868--0.047532))+0-31.1--0.031722000000005</f>
        <v>345.34738599999991</v>
      </c>
      <c r="H134" s="3">
        <f>0+(391.4-23.5)+(0+(-0.199614--0.011985))+0-31.7--0.0161669999999968</f>
        <v>336.02853799999997</v>
      </c>
      <c r="I134" s="3">
        <f>0+(376.2-10.1)+(0+(-0.383724--0.010302))+0-32.2--0.0328440000000051</f>
        <v>333.55942199999998</v>
      </c>
      <c r="J134" s="3">
        <f>0+(446.6-83.7)+(0+(0.455532-0.085374))+0-32.3-0.0329460000000051</f>
        <v>330.93721200000005</v>
      </c>
      <c r="K134" s="3">
        <f>0+(491.1-154.5)+(0+(0.250461-0.078795))+0-31.9-0.0162689999999968</f>
        <v>304.85539700000004</v>
      </c>
      <c r="L134" s="3">
        <f>0+(527.4-151.3)+(0+(-0.806922--0.231489))+0-31.7--0.0485010000000018</f>
        <v>343.87306799999999</v>
      </c>
      <c r="M134" s="3">
        <f>0+(540.2-170.1)+(0+(0.275502-0.086751))+0-32.3-0.0164729999999967</f>
        <v>337.97227800000002</v>
      </c>
      <c r="N134" s="3">
        <f>0+(642.4-265.2)+(0+(0.655248-0.270504))+0-34.1-0.0347820000000054</f>
        <v>343.44996199999997</v>
      </c>
      <c r="O134" s="3">
        <f>7.8+(767.8-382.5)+(0.007956+(0.783156-0.39015))+0-33.1-0.0337620000000053</f>
        <v>360.36719999999991</v>
      </c>
      <c r="P134" s="3">
        <f>317.8+(702.2-586.1)+(0.162078+(0.358122-0.298911))+0-34.1-0.0173909999999965</f>
        <v>400.00389800000005</v>
      </c>
      <c r="Q134" s="3">
        <f>344.3+(630.8-541.8)+(0.351186+(0.643416-0.552636))+0-31.4-0.032028000000005</f>
        <v>402.30993799999999</v>
      </c>
      <c r="R134" s="3">
        <f>341.7+(605.7-515.4)+(0.174267+(0.308907-0.262854))+0-32-0.0163199999999968</f>
        <v>400.20400000000006</v>
      </c>
      <c r="S134" s="3">
        <f>338.6+(607.3-527.5)+(0.172686+(0.309723-0.269025))+0-32.1-0.0163709999999967</f>
        <v>386.49701299999998</v>
      </c>
      <c r="T134" s="3">
        <f>333.8+(566.7-490.8)+(0.170238+(0.289017-0.250308))+0-32.1-0.0163709999999967</f>
        <v>377.79257600000005</v>
      </c>
      <c r="U134" s="3">
        <f>330.6+(561.9-497.6)+(-0.505818+(-0.859707--0.761328))+0-31.8--0.0486540000000018</f>
        <v>362.54445699999997</v>
      </c>
      <c r="V134" s="3">
        <f>331.1+(600.8-548.4)+(0.168861+(0.306408-0.279684))+0-32-0.0163199999999968</f>
        <v>351.67926499999999</v>
      </c>
      <c r="W134" s="3">
        <f>330.5+(647.8-593.9)+(-0.33711+(-0.660756--0.605778))+0-31.7--0.0323340000000051</f>
        <v>352.34024599999998</v>
      </c>
      <c r="X134" s="3">
        <f>259.1+(656.3-540.2)+(-0.396423+(-1.004139--0.826506))+0-31.5--0.0481950000000018</f>
        <v>343.17413899999997</v>
      </c>
      <c r="Y134" s="3">
        <f>163+(647.9-441.8)+(0.16626+(0.660858-0.450636))+0-31.6-0.032232000000005</f>
        <v>337.84424999999993</v>
      </c>
      <c r="Z134" s="3">
        <f>345.3+(497.9-456.4)+(0.352206+(0.507858-0.465528))+0-31.9-0.0325380000000051</f>
        <v>355.26199800000006</v>
      </c>
      <c r="AA134" s="3">
        <f>345.8+(509.5-465.7)+(-0.352716+(-0.51969--0.475014))+0-31.7--0.0323340000000051</f>
        <v>357.534942</v>
      </c>
      <c r="AB134" s="3">
        <f>346.3+(567.4-522.1)+(0.176613+(0.289374-0.266271))+0-31.9-0.0162689999999968</f>
        <v>359.88344699999999</v>
      </c>
      <c r="AC134" s="3">
        <f>337.2+(576.5-527.7)+(0.85986+(1.470075-1.345635))+0-32.1-0.0818549999999953</f>
        <v>354.80244499999992</v>
      </c>
      <c r="AD134" s="2">
        <v>359.5</v>
      </c>
      <c r="AE134" s="3">
        <f>346+(483.6-438.3)+(0+(0-0))+0-31.8-0</f>
        <v>359.5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49.6+(642.5-297.9)+(0.075888+(0.983025-0.455787))+0-31.8-0.0486540000000018</f>
        <v>362.95447200000001</v>
      </c>
      <c r="G135" s="3">
        <f>0+(634.3-251.7)+(0+(-0.323493--0.128367))+0-31.8--0.0162179999999968</f>
        <v>350.62109199999992</v>
      </c>
      <c r="H135" s="3">
        <f>0+(636.6-263.4)+(0+(0.649332-0.268668))+0-31.8-0.0324360000000051</f>
        <v>341.74822800000004</v>
      </c>
      <c r="I135" s="3">
        <f>0+(633.3-263.1)+(0+(0.645966-0.268362))+0-31.4-0.032028000000005</f>
        <v>339.14557599999995</v>
      </c>
      <c r="J135" s="3">
        <f>0+(707.6-343.8)+(0+(1.443504-0.701352))+0-20.7-0.0422279999999991</f>
        <v>343.79992399999998</v>
      </c>
      <c r="K135" s="3">
        <f>0+(691.6-324.4)+(0+(-2.116296--0.992664))+0-31.7--0.0970020000000037</f>
        <v>334.4733700000001</v>
      </c>
      <c r="L135" s="3">
        <f>0+(627.5-273.6)+(0+(-1.600125--0.69768))+0-31.8--0.0810899999999954</f>
        <v>321.27864499999998</v>
      </c>
      <c r="M135" s="3">
        <f>0+(625.3-267.7)+(0+(0-0))+0-33-0</f>
        <v>324.59999999999997</v>
      </c>
      <c r="N135" s="3">
        <f>21.8+(691.7-322.7)+(-0.011118+(-0.352767--0.164577))+0-35--0.0178499999999964</f>
        <v>355.6185420000001</v>
      </c>
      <c r="O135" s="3">
        <f>292.1+(555-456.9)+(0+(0-0))+0-33.2-0</f>
        <v>357.00000000000006</v>
      </c>
      <c r="P135" s="3">
        <f>343.1+(625.7-536.5)+(0.524943+(0.957321-0.820845))+0-33.7-0.051561000000002</f>
        <v>399.20985800000011</v>
      </c>
      <c r="Q135" s="3">
        <f>339.6+(671.3-567.6)+(0.519588+(1.027089-0.868428))+0-33.2-0.0507960000000019</f>
        <v>410.72745299999997</v>
      </c>
      <c r="R135" s="3">
        <f>337+(646.3-538.4)+(-0.34374+(-0.659226--0.549168))+0-33.5--0.0341700000000053</f>
        <v>410.98037199999999</v>
      </c>
      <c r="S135" s="3">
        <f>336+(619.2-538.8)+(-0.17136+(-0.315792--0.274788))+0-33--0.0168299999999967</f>
        <v>383.20446600000008</v>
      </c>
      <c r="T135" s="3">
        <f>333.3+(582.8-497.2)+(-0.679932+(-1.188912--1.014288))+0-32--0.0652799999999986</f>
        <v>386.11072399999995</v>
      </c>
      <c r="U135" s="3">
        <f>332.3+(596.7-522.6)+(-0.508419+(-0.912951--0.799578))+0-31.6--0.0483480000000018</f>
        <v>374.22655599999996</v>
      </c>
      <c r="V135" s="3">
        <f>334.5+(634.4-569.5)+(0+(0-0))+0-32-0</f>
        <v>367.4</v>
      </c>
      <c r="W135" s="3">
        <f>335.8+(643.7-588.1)+(0.513774+(0.984861-0.899793))+0-31.8-0.0486540000000018</f>
        <v>360.15018800000001</v>
      </c>
      <c r="X135" s="3">
        <f>334+(711.9-658.9)+(0.51102+(1.089207-1.008117))+0-31-0.0474300000000018</f>
        <v>356.54467999999997</v>
      </c>
      <c r="Y135" s="3">
        <f>334.4+(693.6-641.3)+(0.682176+(1.414944-1.308252))+0-31.6-0.0644639999999986</f>
        <v>355.82440400000002</v>
      </c>
      <c r="Z135" s="3">
        <f>329.2+(608.5-533.8)+(0.335784+(0.62067-0.544476))+0-32.1-0.0327420000000051</f>
        <v>372.179236</v>
      </c>
      <c r="AA135" s="3">
        <f>328.8+(589.9-513.3)+(-0.670752+(-1.203396--1.047132))+0-32.1--0.0654839999999986</f>
        <v>372.53846800000002</v>
      </c>
      <c r="AB135" s="3">
        <f>331.8+(631-557.3)+(-0.169218+(-0.32181--0.284223))+0-32.3--0.0164729999999967</f>
        <v>373.00966800000009</v>
      </c>
      <c r="AC135" s="3">
        <f>332.8+(586.2-517.8)+(-0.169728+(-0.298962--0.264078))+0-32.2--0.0164219999999967</f>
        <v>368.81181000000009</v>
      </c>
      <c r="AD135" s="2">
        <v>360.89999999999992</v>
      </c>
      <c r="AE135" s="3">
        <f>325+(567.3-500.3)+(0+(0-0))+0-31.1-0</f>
        <v>360.89999999999992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336.7+(598.2-529.5)+(0.171717+(0.305082-0.270045))+0-32.3-0.0164729999999967</f>
        <v>373.29028099999999</v>
      </c>
      <c r="G136" s="3">
        <f>71.2+(649-321.4)+(0.108936+(0.99297-0.491742))+0-30.8-0.0471240000000018</f>
        <v>368.56304</v>
      </c>
      <c r="H136" s="3">
        <f>0+(598.9-224.2)+(0+(0.305439-0.114342))+0-32-0.0163199999999968</f>
        <v>342.87477699999999</v>
      </c>
      <c r="I136" s="3">
        <f>0+(561.9-190.2)+(0+(0.573138-0.194004))+0-32.2-0.0328440000000051</f>
        <v>339.84629000000001</v>
      </c>
      <c r="J136" s="3">
        <f>0+(618.3-242.9)+(0+(-0.630666--0.247758))+0-32.4--0.0330480000000052</f>
        <v>342.65014000000002</v>
      </c>
      <c r="K136" s="3">
        <f>0+(602.2-237.1)+(0+(-1.228488--0.483684))+0-32.2--0.0656879999999986</f>
        <v>332.22088400000007</v>
      </c>
      <c r="L136" s="3">
        <f>0+(617.7-266.7)+(0+(-1.890162--0.816102))+0-32.1--0.0982260000000037</f>
        <v>317.92416600000007</v>
      </c>
      <c r="M136" s="3">
        <f>0+(679.6-320.8)+(0+(1.386384-0.654432))+0-32.8-0.0669119999999986</f>
        <v>326.66503999999998</v>
      </c>
      <c r="N136" s="3">
        <f>0+(741.4-358.2)+(0+(2.268684-1.096092))+0-34.8-0.106488000000004</f>
        <v>349.46610399999997</v>
      </c>
      <c r="O136" s="3">
        <f>42.3+(793.3-433.6)+(0.064719+(1.213749-0.663408))+0-32.7-0.0500310000000019</f>
        <v>369.86502899999999</v>
      </c>
      <c r="P136" s="3">
        <f>155.6+(721.5-466.5)+(0.158712+(0.73593-0.47583))+0-34.9-0.0355980000000056</f>
        <v>376.08321400000005</v>
      </c>
      <c r="Q136" s="3">
        <f>334.7+(610.9-526.6)+(0.170697+(0.311559-0.268566))+0-33.7-0.0171869999999966</f>
        <v>385.49650299999996</v>
      </c>
      <c r="R136" s="3">
        <f>333.8+(568.5-482.9)+(0.170238+(0.289935-0.246279))+0-35-0.0178499999999964</f>
        <v>384.59604400000001</v>
      </c>
      <c r="S136" s="3">
        <f>331.2+(498.1-428.6)+(-1.013472+(-1.524186--1.311516))+0-32.9--0.100674000000004</f>
        <v>366.67453200000006</v>
      </c>
      <c r="T136" s="3">
        <f>331.7+(478.6-415.8)+(-0.845835+(-1.22043--1.06029))+0-32.2--0.0821099999999953</f>
        <v>361.37613500000003</v>
      </c>
      <c r="U136" s="3">
        <f>331.7+(518.2-461.8)+(-0.169167+(-0.264282--0.235518))+0-32--0.0163199999999968</f>
        <v>355.91838900000005</v>
      </c>
      <c r="V136" s="3">
        <f>326.8+(571.7-514.7)+(-0.500004+(-0.874701--0.787491))+0-32.3--0.0494190000000019</f>
        <v>350.96220499999998</v>
      </c>
      <c r="W136" s="3">
        <f>327.1+(649.4-597)+(-0.834105+(-1.65597--1.52235))+0-32.5--0.0828749999999953</f>
        <v>346.11515000000003</v>
      </c>
      <c r="X136" s="3">
        <f>327.7+(711-663.5)+(-0.501381+(-1.08783--1.015155))+0-32.3--0.0494190000000019</f>
        <v>342.37536299999999</v>
      </c>
      <c r="Y136" s="3">
        <f>328.4+(661.9-616.9)+(0+(0-0))+0-32-0</f>
        <v>341.4</v>
      </c>
      <c r="Z136" s="3">
        <f>329.6+(617.3-553.2)+(0.336192+(0.629646-0.564264))+0-32.5-0.0331500000000052</f>
        <v>361.56842399999994</v>
      </c>
      <c r="AA136" s="3">
        <f>330.7+(599.7-536.3)+(-0.337314+(-0.611694--0.547026))+0-31.6--0.032232000000005</f>
        <v>362.1302500000001</v>
      </c>
      <c r="AB136" s="3">
        <f>333+(611.5-554.5)+(-0.50949+(-0.935595--0.848385))+0-32.5--0.0497250000000019</f>
        <v>356.95302500000003</v>
      </c>
      <c r="AC136" s="3">
        <f>336+(649.3-593.7)+(-0.51408+(-0.993429--0.908361))+0-32.3--0.0494190000000019</f>
        <v>358.75027099999988</v>
      </c>
      <c r="AD136" s="2">
        <v>364.59999999999997</v>
      </c>
      <c r="AE136" s="3">
        <f>332+(611.8-548)+(0+(0-0))+0-31.2-0</f>
        <v>364.59999999999997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143.8+(708.6-501.9)+(-0.220014+(-1.084158--0.767907))+0-32.4--0.0495720000000019</f>
        <v>317.61330700000008</v>
      </c>
      <c r="G137" s="3">
        <f>0+(736.3-360.7)+(0+(0.375513-0.183957))+0-32-0.0163199999999968</f>
        <v>343.77523599999995</v>
      </c>
      <c r="H137" s="3">
        <f>0+(640.4-277.2)+(0+(0-0))+0-27.3-0</f>
        <v>335.9</v>
      </c>
      <c r="I137" s="3">
        <f>0+(628.8-262.4)+(0+(-0.641376--0.267648))+0-32.4--0.0330480000000052</f>
        <v>333.65931999999998</v>
      </c>
      <c r="J137" s="3">
        <f>0+(686.6-320.1)+(0+(-1.050498--0.489753))+0-32.2--0.0492660000000019</f>
        <v>333.788521</v>
      </c>
      <c r="K137" s="3">
        <f>0+(618.1-265.8)+(0+(-1.260924--0.542232))+0-32--0.0652799999999986</f>
        <v>319.64658800000001</v>
      </c>
      <c r="L137" s="3">
        <f>0+(463.9-142.2)+(0+(-1.182945--0.36261))+0-31.3--0.0798149999999955</f>
        <v>289.65947999999997</v>
      </c>
      <c r="M137" s="3">
        <f>0+(452.5-133.5)+(0+(-0.46155--0.13617))+0-32--0.0326400000000051</f>
        <v>286.70726000000002</v>
      </c>
      <c r="N137" s="3">
        <f>0+(553.9-226)+(0+(-0.847467--0.34578))+0-31.8--0.0486540000000018</f>
        <v>295.64696699999996</v>
      </c>
      <c r="O137" s="3">
        <f>0+(590.6-253.3)+(0+(0-0))+0-31.7-0</f>
        <v>305.60000000000002</v>
      </c>
      <c r="P137" s="3">
        <f>0+(714.6-364.9)+(0+(1.093338-0.558297))+0-31.5-0.0481950000000018</f>
        <v>318.686846</v>
      </c>
      <c r="Q137" s="3">
        <f>0+(778.2-425.3)+(0+(-0.793764--0.433806))+0-21.9--0.0223380000000035</f>
        <v>330.66238000000004</v>
      </c>
      <c r="R137" s="3">
        <f>0+(824.6-455.4)+(0+(0.420546-0.232254))+0-29.9-0.015248999999997</f>
        <v>339.47304300000008</v>
      </c>
      <c r="S137" s="3">
        <f>0+(795.9-428.4)+(0+(-0.405909--0.218484))+0-30.6--0.0156059999999969</f>
        <v>336.72818099999995</v>
      </c>
      <c r="T137" s="3">
        <f>0+(737.9-371.9)+(0+(0.376329-0.189669))+0-30.3-0.0154529999999969</f>
        <v>335.87120700000003</v>
      </c>
      <c r="U137" s="3">
        <f>0+(713.3-348.4)+(0+(0.363783-0.177684))+0-29-0.0147899999999971</f>
        <v>336.07130899999999</v>
      </c>
      <c r="V137" s="3">
        <f>0+(702.8-341.5)+(0+(0.358428-0.174165))+0-28.8-0.0146879999999971</f>
        <v>332.66957499999995</v>
      </c>
      <c r="W137" s="3">
        <f>0+(722.5-367.6)+(0+(-0.368475--0.187476))+0-30.1--0.0153509999999969</f>
        <v>324.63435199999998</v>
      </c>
      <c r="X137" s="3">
        <f>0+(745.4-389.2)+(0+(0-0))+0-30-0</f>
        <v>326.2</v>
      </c>
      <c r="Y137" s="3">
        <f>0+(710.3-353.6)+(0+(-0.362253--0.180336))+0-26.2--0.0133619999999973</f>
        <v>330.33144499999992</v>
      </c>
      <c r="Z137" s="3">
        <f>0+(730.4-348.5)+(0+(0.372504-0.177735))+0-30.6-0.0156059999999969</f>
        <v>351.47916299999997</v>
      </c>
      <c r="AA137" s="3">
        <f>0+(734.3-348.2)+(0+(-0.748986--0.355164))+0-30.8--0.0314160000000049</f>
        <v>354.93759399999993</v>
      </c>
      <c r="AB137" s="3">
        <f>0+(701.8-319.2)+(0+(0.357918-0.162792))+0-30.8-0.0157079999999969</f>
        <v>351.97941799999995</v>
      </c>
      <c r="AC137" s="3">
        <f>0+(727.2-347.9)+(0+(-0.370872--0.177429))+0-30.2--0.0154019999999969</f>
        <v>348.92195900000007</v>
      </c>
      <c r="AD137" s="2">
        <v>349.80000000000007</v>
      </c>
      <c r="AE137" s="3">
        <f>0+(729.7-349.2)+(0+(0-0))+0-30.7-0</f>
        <v>349.80000000000007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0+(640.6-269.5)+(0+(-0.326706--0.137445))+0-30.4--0.0155039999999969</f>
        <v>340.52624300000008</v>
      </c>
      <c r="G138" s="3">
        <f>0+(523.1-169.7)+(0+(-0.800343--0.259641))+0-29.7--0.0454410000000017</f>
        <v>323.20473900000002</v>
      </c>
      <c r="H138" s="3">
        <f>0+(518.5-172.7)+(0+(0-0))+0-28-0</f>
        <v>317.8</v>
      </c>
      <c r="I138" s="3">
        <f>0+(417.9-82.8)+(0+(0.213129-0.042228))+0-25-0.0127499999999975</f>
        <v>310.258151</v>
      </c>
      <c r="J138" s="3">
        <f>0+(461.7-119.6)+(0+(-0.941868--0.243984))+0-31--0.0632399999999986</f>
        <v>310.46535600000004</v>
      </c>
      <c r="K138" s="3">
        <f>0+(511.1-169.2)+(0+(-1.303305--0.43146))+0-30.6--0.0780299999999956</f>
        <v>310.50618500000002</v>
      </c>
      <c r="L138" s="3">
        <f>0+(513.5-186.4)+(0+(-0.52377--0.190128))+0-29.6--0.0301920000000047</f>
        <v>297.19655</v>
      </c>
      <c r="M138" s="3">
        <f>0+(602.2-253.2)+(0+(0-0))+0-30.4-0</f>
        <v>318.60000000000008</v>
      </c>
      <c r="N138" s="3">
        <f>94.5+(607.5-323.6)+(0.048195+(0.309825-0.165036))+0-30.9-0.0157589999999969</f>
        <v>347.67722500000002</v>
      </c>
      <c r="O138" s="3">
        <f>352.4+(492.2-502)+(0+(0-0))+0-23.7-0</f>
        <v>318.89999999999998</v>
      </c>
      <c r="P138" s="3">
        <f>348.7+(579.1-513.8)+(0.533511+(0.886023-0.786114))+0-29.9-0.0457470000000017</f>
        <v>384.68767300000007</v>
      </c>
      <c r="Q138" s="3">
        <f>348+(569.5-488.7)+(-0.17748+(-0.290445--0.249237))+0-30.3--0.0154529999999969</f>
        <v>398.29676499999999</v>
      </c>
      <c r="R138" s="3">
        <f>347.9+(607.9-517.2)+(0+(0-0))+0-30.5-0</f>
        <v>408.09999999999991</v>
      </c>
      <c r="S138" s="3">
        <f>341.4+(530.9-459)+(-0.174114+(-0.270759--0.23409))+0-27.2--0.0138719999999972</f>
        <v>385.90308899999997</v>
      </c>
      <c r="T138" s="3">
        <f>339.2+(482-400.3)+(0.172992+(0.24582-0.204153))+0-29.8-0.015197999999997</f>
        <v>391.29946099999995</v>
      </c>
      <c r="U138" s="3">
        <f>337.8+(470.5-401.7)+(0.172278+(0.239955-0.204867))+0-29.3-0.014942999999997</f>
        <v>377.49242299999997</v>
      </c>
      <c r="V138" s="3">
        <f>334.1+(493-426.4)+(-0.681564+(-1.00572--0.869856))+0-29.5--0.0601799999999987</f>
        <v>370.44275200000004</v>
      </c>
      <c r="W138" s="3">
        <f>333.1+(536-474.6)+(-0.679524+(-1.09344--0.968184))+0-29.9--0.0609959999999987</f>
        <v>363.85621600000002</v>
      </c>
      <c r="X138" s="3">
        <f>332.2+(602.6-547.8)+(-0.84711+(-1.53663--1.39689))+0-29.4--0.0749699999999957</f>
        <v>356.68812000000008</v>
      </c>
      <c r="Y138" s="3">
        <f>334.4+(559.7-528.1)+(0+(0-0))+0-30.4-0</f>
        <v>335.6</v>
      </c>
      <c r="Z138" s="3">
        <f>339+(494.3-442.1)+(0.51867+(0.756279-0.676413))+0-30.4-0.0465120000000018</f>
        <v>361.35202400000003</v>
      </c>
      <c r="AA138" s="3">
        <f>337.7+(496.7-445.3)+(-1.033362+(-1.519902--1.362618))+0-29.4--0.0899640000000034</f>
        <v>358.59931799999998</v>
      </c>
      <c r="AB138" s="3">
        <f>343.6+(530.3-486.1)+(-0.350472+(-0.540906--0.495822))+0-30.2--0.0308040000000048</f>
        <v>357.23524799999996</v>
      </c>
      <c r="AC138" s="3">
        <f>342.2+(514.7-470.5)+(0.174522+(0.262497-0.239955))+0-31.2-0.0159119999999968</f>
        <v>355.38115200000004</v>
      </c>
      <c r="AD138" s="2">
        <v>353.9</v>
      </c>
      <c r="AE138" s="3">
        <f>337+(469.4-421.4)+(0+(0-0))+0-31.1-0</f>
        <v>353.9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49.4+(615.7-275.5)+(0+(0-0))+0-30.8-0</f>
        <v>358.8</v>
      </c>
      <c r="G139" s="3">
        <f>0+(527.2-158.4)+(0+(-0.268872--0.080784))+0-30.8--0.0157079999999969</f>
        <v>337.82762000000008</v>
      </c>
      <c r="H139" s="3">
        <f>0+(511.9-151.1)+(0+(-0.522138--0.154122))+0-30.7--0.0313140000000049</f>
        <v>329.76329799999996</v>
      </c>
      <c r="I139" s="3">
        <f>0+(472.4-111.5)+(0+(-0.240924--0.056865))+0-30.6--0.0156059999999969</f>
        <v>330.13154699999996</v>
      </c>
      <c r="J139" s="3">
        <f>0+(514-152.4)+(0+(-1.04856--0.310896))+0-30.8--0.0628319999999987</f>
        <v>330.12516800000003</v>
      </c>
      <c r="K139" s="3">
        <f>0+(501.4-144.4)+(0+(-0.511428--0.147288))+0-30.7--0.0313140000000049</f>
        <v>325.967174</v>
      </c>
      <c r="L139" s="3">
        <f>0+(529.1-179)+(0+(-0.539682--0.18258))+0-30.3--0.0309060000000048</f>
        <v>319.47380400000003</v>
      </c>
      <c r="M139" s="3">
        <f>0+(543.9-196.9)+(0+(0.277389-0.100419))+0-30.6-0.0156059999999969</f>
        <v>316.56136399999997</v>
      </c>
      <c r="N139" s="3">
        <f>0+(632.5-262.8)+(0+(0.322575-0.134028))+0-30.8-0.0157079999999969</f>
        <v>339.07283899999999</v>
      </c>
      <c r="O139" s="3">
        <f>147.2+(708.4-467)+(-0.075072+(-0.361284--0.23817))+0-30.8--0.0157079999999969</f>
        <v>357.61752199999995</v>
      </c>
      <c r="P139" s="3">
        <f>341.9+(609-533.6)+(-0.348738+(-0.62118--0.544272))+0-31--0.0316200000000049</f>
        <v>385.90597400000001</v>
      </c>
      <c r="Q139" s="3">
        <f>343.6+(593.5-514.1)+(0.525708+(0.908055-0.786573))+0-30-0.0459000000000017</f>
        <v>393.60129000000001</v>
      </c>
      <c r="R139" s="3">
        <f>338.9+(524.8-444.2)+(-0.345678+(-0.535296--0.453084))+0-29.7--0.0302940000000047</f>
        <v>389.40240399999999</v>
      </c>
      <c r="S139" s="3">
        <f>337.6+(439-373.2)+(-0.516528+(-0.67167--0.570996))+0-30.2--0.0462060000000017</f>
        <v>372.62900400000001</v>
      </c>
      <c r="T139" s="3">
        <f>346.2+(389.2-333.4)+(-0.529686+(-0.595476--0.510102))+0-30.2--0.0462060000000017</f>
        <v>371.23114599999997</v>
      </c>
      <c r="U139" s="3">
        <f>348.8+(398.3-353.1)+(-0.355776+(-0.406266--0.360162))+0-30.4--0.0310080000000048</f>
        <v>363.229128</v>
      </c>
      <c r="V139" s="3">
        <f>348.8+(419.6-380.8)+(-0.177888+(-0.213996--0.194208))+0-29.8--0.015197999999997</f>
        <v>357.61752200000001</v>
      </c>
      <c r="W139" s="3">
        <f>350.2+(477.2-441.9)+(-0.714408+(-0.973488--0.901476))+0-29.6--0.0603839999999987</f>
        <v>355.17396399999996</v>
      </c>
      <c r="X139" s="3">
        <f>352.3+(531.6-499.8)+(-1.078038+(-1.626696--1.529388))+0-30.4--0.0930240000000035</f>
        <v>352.61767800000007</v>
      </c>
      <c r="Y139" s="3">
        <f>174.3+(431.8-222.5)+(0.355572+(0.880872-0.4539))+0-29.9-0.0609959999999987</f>
        <v>354.42154800000003</v>
      </c>
      <c r="Z139" s="3">
        <f>303+(453.9-359)+(0.61812+(0.925956-0.73236))+0-30.4-0.0620159999999987</f>
        <v>368.24970000000002</v>
      </c>
      <c r="AA139" s="3">
        <f>342+(480.9-420.8)+(-0.69768+(-0.981036--0.858432))+0-29.8--0.0607919999999987</f>
        <v>371.54050799999993</v>
      </c>
      <c r="AB139" s="3">
        <f>344.9+(516.4-460.5)+(0+(0-0))+0-29.7-0</f>
        <v>371.09999999999997</v>
      </c>
      <c r="AC139" s="3">
        <f>344.4+(484.7-432.6)+(-0.351288+(-0.494394--0.441252))+0-29.9--0.0304980000000048</f>
        <v>366.226068</v>
      </c>
      <c r="AD139" s="2">
        <v>369.90000000000003</v>
      </c>
      <c r="AE139" s="3">
        <f>344+(457.6-401.3)+(0+(0-0))+0-30.4-0</f>
        <v>369.90000000000003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223.7+(601.6-420.4)+(0+(0-0))+0-30.2-0</f>
        <v>374.70000000000005</v>
      </c>
      <c r="G140" s="3">
        <f>0+(672.4-283.3)+(0+(0-0))+0-29.9-0</f>
        <v>359.2</v>
      </c>
      <c r="H140" s="3">
        <f>0+(555.2-184.5)+(0+(0.566304-0.18819))+0-23.1-0.0235620000000037</f>
        <v>347.95455199999998</v>
      </c>
      <c r="I140" s="3">
        <f>0+(503.9-134.3)+(0+(-0.513978--0.136986))+0-22.8--0.0232560000000036</f>
        <v>346.44626399999999</v>
      </c>
      <c r="J140" s="3">
        <f>0+(513.7-137.2)+(0+(-1.309935--0.34986))+0-30.6--0.0780299999999956</f>
        <v>345.01795500000003</v>
      </c>
      <c r="K140" s="3">
        <f>0+(581.6-216)+(0+(-1.48308--0.5508))+0-30.6--0.0780299999999956</f>
        <v>334.14575000000002</v>
      </c>
      <c r="L140" s="3">
        <f>0+(550.2-195.4)+(0+(-0.280602--0.099654))+0-30.6--0.0156059999999969</f>
        <v>324.03465800000004</v>
      </c>
      <c r="M140" s="3">
        <f>0+(517.9-150)+(0+(0.792387-0.2295))+0-29.3-0.0448290000000017</f>
        <v>339.11805799999996</v>
      </c>
      <c r="N140" s="3">
        <f>20+(633.9-266.6)+(0.0408+(1.293156-0.543864))+0-28.8-0.0587519999999987</f>
        <v>359.23133999999993</v>
      </c>
      <c r="O140" s="3">
        <f>336.2+(615.1-533.6)+(0+(0-0))+0-28.7-0</f>
        <v>389</v>
      </c>
      <c r="P140" s="3">
        <f>344.2+(591.4-545.1)+(0.526626+(0.904842-0.834003))+0-28.5-0.0436050000000016</f>
        <v>362.55385999999993</v>
      </c>
      <c r="Q140" s="3">
        <f>342+(553.2-483.2)+(0+(0-0))+0-27-0</f>
        <v>385.00000000000006</v>
      </c>
      <c r="R140" s="3">
        <f>340.3+(491.1-415.8)+(-0.173553+(-0.250461--0.212058))+0-30.7--0.0156569999999969</f>
        <v>384.70370100000002</v>
      </c>
      <c r="S140" s="3">
        <f>337.3+(449.6-388.1)+(-0.516069+(-0.687888--0.593793))+0-30.8--0.0471240000000018</f>
        <v>367.43696</v>
      </c>
      <c r="T140" s="3">
        <f>333.5+(397.8-332.3)+(0+(0-0))+0-30.5-0</f>
        <v>368.5</v>
      </c>
      <c r="U140" s="3">
        <f>334.5+(386.3-312)+(-0.34119+(-0.394026--0.31824))+0-30.6--0.0312120000000049</f>
        <v>377.81423599999999</v>
      </c>
      <c r="V140" s="3">
        <f>332.9+(447.3-368.8)+(-0.848895+(-1.140615--0.94044))+0-30.6--0.0780299999999956</f>
        <v>379.82896</v>
      </c>
      <c r="W140" s="3">
        <f>334.7+(515.9-450.7)+(0+(0-0))+0-30.6-0</f>
        <v>369.29999999999995</v>
      </c>
      <c r="X140" s="3">
        <f>333+(573.8-501.3)+(-0.67932+(-1.170552--1.022652))+0-30.3--0.0618119999999987</f>
        <v>374.4345919999999</v>
      </c>
      <c r="Y140" s="3">
        <f>248.2+(628.4-492.8)+(0+(0-0))+0-30.7-0</f>
        <v>353.09999999999997</v>
      </c>
      <c r="Z140" s="3">
        <f>341.5+(502.8-453.2)+(-0.174165+(-0.256428--0.231132))+0-31.1--0.0158609999999968</f>
        <v>359.81639999999999</v>
      </c>
      <c r="AA140" s="3">
        <f>339.8+(527.6-455.1)+(-1.039788+(-1.614456--1.392606))+0-30.9--0.0945540000000036</f>
        <v>380.23291600000005</v>
      </c>
      <c r="AB140" s="3">
        <f>338.6+(499.3-420.6)+(0.345372+(0.509286-0.429012))+0-30.7-0.0313140000000049</f>
        <v>386.99433199999999</v>
      </c>
      <c r="AC140" s="3">
        <f>338.3+(545.4-476.8)+(0+(0-0))+0-30.7-0</f>
        <v>376.2</v>
      </c>
      <c r="AD140" s="2">
        <v>378.20000000000005</v>
      </c>
      <c r="AE140" s="3">
        <f>355+(495.2-441.1)+(0+(0-0))+0-30.9-0</f>
        <v>378.2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173.7+(638.7-388.9)+(0.265761+(0.977211-0.595017))+0-24.5-0.0374850000000014</f>
        <v>399.61047000000008</v>
      </c>
      <c r="G141" s="3">
        <f>0+(627.5-262.2)+(0+(-0.960075--0.401166))+0-25.4--0.0388620000000015</f>
        <v>339.379953</v>
      </c>
      <c r="H141" s="3">
        <f>0+(537.4-148.7)+(0+(0-0))+0-30.6-0</f>
        <v>358.09999999999997</v>
      </c>
      <c r="I141" s="3">
        <f>0+(532-139.1)+(0+(-0.27132--0.070941))+0-30.6--0.0156059999999969</f>
        <v>362.11522699999995</v>
      </c>
      <c r="J141" s="3">
        <f>0+(589.9-205.2)+(0+(0.902547-0.313956))+0-30.7-0.0469710000000018</f>
        <v>354.54162000000002</v>
      </c>
      <c r="K141" s="3">
        <f>0+(603.6-238.6)+(0+(-1.53918--0.60843))+0-29.2--0.0744599999999958</f>
        <v>334.94371000000001</v>
      </c>
      <c r="L141" s="3">
        <f>0+(505.2-133.3)+(0+(-1.28826--0.339915))+0-30.2--0.0770099999999956</f>
        <v>340.82866499999994</v>
      </c>
      <c r="M141" s="3">
        <f>0+(502.3-108.9)+(0+(0-0))+0-31.1-0</f>
        <v>362.29999999999995</v>
      </c>
      <c r="N141" s="3">
        <f>0+(666.4-263.7)+(0+(1.019592-0.403461))+0-31.4-0.0480420000000018</f>
        <v>371.868089</v>
      </c>
      <c r="O141" s="3">
        <f>113.3+(740.9-445.3)+(0.288915+(1.889295-1.135515))+0-31.3-0.0798149999999955</f>
        <v>378.56287999999995</v>
      </c>
      <c r="P141" s="3">
        <f>342.5+(613.7-520.7)+(0.524025+(0.938961-0.796671))+0-31.1-0.0475830000000018</f>
        <v>405.018732</v>
      </c>
      <c r="Q141" s="3">
        <f>339.6+(566.1-473.5)+(0.173196+(0.288711-0.241485))+0-31.1-0.0158609999999968</f>
        <v>401.30456100000004</v>
      </c>
      <c r="R141" s="3">
        <f>337+(502.6-402.6)+(-0.17187+(-0.256326--0.205326))+0-31.1--0.0158609999999968</f>
        <v>405.69299099999995</v>
      </c>
      <c r="S141" s="3">
        <f>336.4+(440.4-385.1)+(0+(0-0))+0-30.8-0</f>
        <v>360.89999999999992</v>
      </c>
      <c r="T141" s="3">
        <f>334.8+(399.8-322.3)+(-0.512244+(-0.611694--0.493119))+0-30.3--0.0463590000000018</f>
        <v>381.41554000000002</v>
      </c>
      <c r="U141" s="3">
        <f>335.6+(397.1-326.3)+(0.342312+(0.405042-0.332826))+0-27.8-0.0283560000000044</f>
        <v>378.98617200000001</v>
      </c>
      <c r="V141" s="3">
        <f>328.5+(421-350.8)+(0.167535+(0.21471-0.178908))+0-30.6-0.0156059999999969</f>
        <v>368.28773099999995</v>
      </c>
      <c r="W141" s="3">
        <f>328.1+(458.9-380.2)+(0.167331+(0.234039-0.193902))+0-30.2-0.0154019999999969</f>
        <v>376.79206600000003</v>
      </c>
      <c r="X141" s="3">
        <f>330.7+(579.7-505.1)+(0.337314+(0.591294-0.515202))+0-30-0.0306000000000048</f>
        <v>375.68280600000003</v>
      </c>
      <c r="Y141" s="3">
        <f>291.6+(586.1-485.3)+(0.446148+(0.896733-0.742509))+0-27.6-0.0422280000000016</f>
        <v>365.35814399999998</v>
      </c>
      <c r="Z141" s="3">
        <f>331.6+(486.8-416.5)+(0+(0-0))+0-30.5-0</f>
        <v>371.40000000000003</v>
      </c>
      <c r="AA141" s="3">
        <f>347.1+(494.6-428.5)+(-0.354042+(-0.504492--0.43707))+0-30.4--0.0310080000000048</f>
        <v>382.40954400000004</v>
      </c>
      <c r="AB141" s="3">
        <f>348.3+(528.7-474)+(0.177633+(0.269637-0.24174))+0-30.2-0.0154019999999969</f>
        <v>372.99012800000008</v>
      </c>
      <c r="AC141" s="3">
        <f>349.9+(495.9-455)+(-0.178449+(-0.252909--0.23205))+0-29.5--0.015044999999997</f>
        <v>361.11573699999997</v>
      </c>
      <c r="AD141" s="2">
        <v>373.20000000000005</v>
      </c>
      <c r="AE141" s="3">
        <f>347+(486.2-429.3)+(0+(0-0))+0-30.7-0</f>
        <v>373.2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278.3+(518.8-380.5)+(0+(0-0))+0-27.5-0</f>
        <v>389.09999999999997</v>
      </c>
      <c r="G142" s="3">
        <f>13.2+(575.9-183.1)+(-0.020196+(-0.881127--0.280143))+0-29--0.0443700000000017</f>
        <v>376.42318999999998</v>
      </c>
      <c r="H142" s="3">
        <f>0+(466.2-80.8)+(0+(-0.475524--0.082416))+0-29.5--0.0300900000000047</f>
        <v>355.53698200000002</v>
      </c>
      <c r="I142" s="3">
        <f>0+(474.1-85.4)+(0+(-0.725373--0.130662))+0-29.4--0.0449820000000017</f>
        <v>358.75027100000005</v>
      </c>
      <c r="J142" s="3">
        <f>0+(538.7-152.3)+(0+(0.824211-0.233019))+0-26.7-0.0408510000000015</f>
        <v>360.25034100000005</v>
      </c>
      <c r="K142" s="3">
        <f>0+(400.7-8.1)+(0+(-0.408714--0.008262))+0-25.9--0.0264180000000041</f>
        <v>366.32596599999999</v>
      </c>
      <c r="L142" s="3">
        <f>0+(414.9-47.5)+(0+(0-0))+0-25.9-0</f>
        <v>341.5</v>
      </c>
      <c r="M142" s="3">
        <f>0+(454.8-71.7)+(0+(0.463896-0.073134))+0-25.4-0.025908000000004</f>
        <v>358.06485400000003</v>
      </c>
      <c r="N142" s="3">
        <f>0+(586.5-197.4)+(0+(0.59823-0.201348))+0-20.6-0.0210120000000033</f>
        <v>368.87587000000002</v>
      </c>
      <c r="O142" s="3">
        <f>149.4+(603-360)+(0.152388+(0.61506-0.3672))+0-25-0.025500000000004</f>
        <v>367.77474799999993</v>
      </c>
      <c r="P142" s="3">
        <f>343.7+(550.7-468.6)+(0.876435+(1.404285-1.19493))+0-28-0.0713999999999959</f>
        <v>398.81439</v>
      </c>
      <c r="Q142" s="3">
        <f>339.8+(537.7-455.9)+(0.519894+(0.822681-0.697527))+0-28.7-0.0439110000000017</f>
        <v>393.50113700000009</v>
      </c>
      <c r="R142" s="3">
        <f>336.2+(457.9-385.1)+(0+(0-0))+0-22.9-0</f>
        <v>386.09999999999997</v>
      </c>
      <c r="S142" s="3">
        <f>335.3+(376.6-315.4)+(0.171003+(0.192066-0.160854))+0-27-0.0137699999999973</f>
        <v>369.68844500000006</v>
      </c>
      <c r="T142" s="3">
        <f>331.5+(328.4-252.2)+(-0.67626+(-0.669936--0.514488))+0-31.2--0.0636479999999986</f>
        <v>375.73194000000001</v>
      </c>
      <c r="U142" s="3">
        <f>331.3+(360.4-284.8)+(-0.506889+(-0.551412--0.435744))+0-31.4--0.0480420000000018</f>
        <v>374.92548500000004</v>
      </c>
      <c r="V142" s="3">
        <f>329.4+(403.4-331.5)+(0+(0-0))+0-31.1-0</f>
        <v>370.19999999999993</v>
      </c>
      <c r="W142" s="3">
        <f>329.2+(463.4-396.8)+(0+(0-0))+0-31.2-0</f>
        <v>364.59999999999997</v>
      </c>
      <c r="X142" s="3">
        <f>317.2+(567.8-477)+(-0.323544+(-0.579156--0.48654))+0-30.3--0.0309060000000048</f>
        <v>377.31474599999996</v>
      </c>
      <c r="Y142" s="3">
        <f>196.7+(582.8-398.9)+(0.300951+(0.891684-0.610317))+0-28.7-0.0439110000000017</f>
        <v>352.43840699999998</v>
      </c>
      <c r="Z142" s="3">
        <f>344.9+(458-400.2)+(0+(0-0))+0-31.1-0</f>
        <v>371.59999999999997</v>
      </c>
      <c r="AA142" s="3">
        <f>347+(454.5-382.3)+(-0.53091+(-0.695385--0.584919))+0-31.5--0.0481950000000018</f>
        <v>387.10681900000003</v>
      </c>
      <c r="AB142" s="3">
        <f>348.6+(501.3-446.4)+(-0.355572+(-0.511326--0.455328))+0-31.2--0.031824000000005</f>
        <v>371.92025400000011</v>
      </c>
      <c r="AC142" s="3">
        <f>350+(500.7-441.8)+(0.1785+(0.255357-0.225318))+0-31.3-0.0159629999999968</f>
        <v>377.79257599999994</v>
      </c>
      <c r="AD142" s="2">
        <v>370.5</v>
      </c>
      <c r="AE142" s="3">
        <f>344+(433.5-375)+(0+(0-0))+0-32-0</f>
        <v>370.5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238.4+(593.1-384.5)+(0.121584+(0.302481-0.196095))+0-31-0.0158099999999969</f>
        <v>416.21216000000004</v>
      </c>
      <c r="G143" s="3">
        <f>0+(630.9-226.4)+(0+(-0.321759--0.115464))+0-23.3--0.0118829999999976</f>
        <v>381.00558799999999</v>
      </c>
      <c r="H143" s="3">
        <f>0+(508.6-124.8)+(0+(1.037544-0.254592))+0-31.1-0.0634439999999986</f>
        <v>353.41950800000001</v>
      </c>
      <c r="I143" s="3">
        <f>0+(448.9-58.8)+(0+(-1.144695--0.14994))+0-31.2--0.0795599999999955</f>
        <v>357.98480499999999</v>
      </c>
      <c r="J143" s="3">
        <f>0+(507.4-109)+(0+(-0.776322--0.16677))+0-31.2--0.0477360000000018</f>
        <v>366.63818399999997</v>
      </c>
      <c r="K143" s="3">
        <f>0+(472.8-97.5)+(0+(-0.723384--0.149175))+0-30.7--0.0469710000000018</f>
        <v>344.07276200000001</v>
      </c>
      <c r="L143" s="3">
        <f>0+(481.1-117.2)+(0+(-0.981444--0.239088))+0-31--0.0632399999999986</f>
        <v>332.22088400000007</v>
      </c>
      <c r="M143" s="3">
        <f>0+(477.1-101.4)+(0+(0-0))+0-31-0</f>
        <v>344.70000000000005</v>
      </c>
      <c r="N143" s="3">
        <f>0+(561.4-137.4)+(0+(0.572628-0.140148))+0-30.4-0.0310080000000048</f>
        <v>394.00147200000004</v>
      </c>
      <c r="O143" s="3">
        <f>168.5+(530.6-314.2)+(0.085935+(0.270606-0.160242))+0-25.3-0.0129029999999974</f>
        <v>359.78339600000004</v>
      </c>
      <c r="P143" s="3">
        <f>222.5+(623.9-420.8)+(0.22695+(0.636378-0.429216))+0-30.5-0.0311100000000049</f>
        <v>395.50300199999998</v>
      </c>
      <c r="Q143" s="3">
        <f>220.8+(580.2-386.9)+(0.225216+(0.591804-0.394638))+0-30.8-0.0314160000000049</f>
        <v>383.69096600000012</v>
      </c>
      <c r="R143" s="3">
        <f>220.4+(488.8-295.7)+(0.112404+(0.249288-0.150807))+0-30.8-0.0157079999999969</f>
        <v>382.89517699999999</v>
      </c>
      <c r="S143" s="3">
        <f>219.3+(394.1-235.4)+(-0.111843+(-0.200991--0.120054))+0-30.8--0.0157079999999969</f>
        <v>347.02292799999998</v>
      </c>
      <c r="T143" s="3">
        <f>220+(328.3-187.7)+(0.1122+(0.167433-0.095727))+0-30.5-0.0155549999999969</f>
        <v>330.268351</v>
      </c>
      <c r="U143" s="3">
        <f>218.2+(304.3-146.6)+(-0.111282+(-0.155193--0.074766))+0-29.8--0.015197999999997</f>
        <v>345.92348899999996</v>
      </c>
      <c r="V143" s="3">
        <f>216.2+(342.6-183.7)+(0.110262+(0.174726-0.093687))+0-29.8-0.015197999999997</f>
        <v>345.47610300000002</v>
      </c>
      <c r="W143" s="3">
        <f>215.8+(373.7-226.3)+(-0.110058+(-0.190587--0.115413))+0-30--0.015299999999997</f>
        <v>333.03006800000003</v>
      </c>
      <c r="X143" s="3">
        <f>212.8+(465.5-316.5)+(-0.325584+(-0.712215--0.484245))+0-30.8--0.0471240000000018</f>
        <v>330.49356999999998</v>
      </c>
      <c r="Y143" s="3">
        <f>215.3+(518.7-375)+(-0.549015+(-1.322685--0.95625))+0-30.4--0.0775199999999956</f>
        <v>327.76207000000005</v>
      </c>
      <c r="Z143" s="3">
        <f>232.9+(523.6-383.6)+(0+(0-0))+0-30.6-0</f>
        <v>342.29999999999995</v>
      </c>
      <c r="AA143" s="3">
        <f>236.7+(494.3-349.2)+(-0.845019+(-1.764651--1.246644))+0-30.5--0.108885</f>
        <v>350.04585900000001</v>
      </c>
      <c r="AB143" s="3">
        <f>238+(521.7-377.1)+(0+(0-0))+0-30.6-0</f>
        <v>352</v>
      </c>
      <c r="AC143" s="3">
        <f>91.7+(615-322.9)+(0.046767+(0.31365-0.164679))+0-31.1-0.0158609999999968</f>
        <v>352.87987700000002</v>
      </c>
      <c r="AD143" s="2">
        <v>339.9</v>
      </c>
      <c r="AE143" s="3">
        <f>237+(492-358.1)+(0+(0-0))+0-31-0</f>
        <v>339.9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0+(638-271.9)+(0+(1.30152-0.554676))+0-31.2-0.0636479999999986</f>
        <v>335.58319600000004</v>
      </c>
      <c r="G144" s="3">
        <f>0+(514.7-174)+(0+(0.524994-0.17748))+0-31.2-0.031824000000005</f>
        <v>309.81569000000002</v>
      </c>
      <c r="H144" s="3">
        <f>0+(387.7-46.9)+(0+(-0.395454--0.047838))+0-31.1--0.031722000000005</f>
        <v>309.38410599999997</v>
      </c>
      <c r="I144" s="3">
        <f>0+(338.9-1.6)+(0+(-0.172839--0.000816))+0-31--0.0158099999999969</f>
        <v>306.14378699999992</v>
      </c>
      <c r="J144" s="3">
        <f>0+(391.5-51.8)+(0+(-0.79866--0.105672))+0-24.3--0.0495719999999989</f>
        <v>314.75658399999998</v>
      </c>
      <c r="K144" s="3">
        <f>0+(408.2-78.9)+(0+(-0.416364--0.080478))+0-26.2--0.0267240000000042</f>
        <v>302.79083799999995</v>
      </c>
      <c r="L144" s="3">
        <f>0+(311.9-22.1)+(0+(-0.318138--0.022542))+0-18.3--0.0186660000000029</f>
        <v>271.22306999999995</v>
      </c>
      <c r="M144" s="3">
        <f>0+(305.4-23.4)+(0+(0-0))+0-21.9-0</f>
        <v>260.10000000000002</v>
      </c>
      <c r="N144" s="3">
        <f>0+(343.9-67.3)+(0+(0-0))+0-18.5-0</f>
        <v>258.09999999999997</v>
      </c>
      <c r="O144" s="3">
        <f>0+(356.1-57.5)+(0+(-0.181611--0.029325))+0-14.4--0.00734399999999854</f>
        <v>284.05505800000003</v>
      </c>
      <c r="P144" s="3">
        <f>0+(365.4-74)+(0+(0.186354-0.03774))+0-27-0.0137699999999973</f>
        <v>264.53484399999996</v>
      </c>
      <c r="Q144" s="3">
        <f>0+(368.7-46.1)+(0+(0.376074-0.047022))+0-30.3-0.0309060000000048</f>
        <v>292.59814599999993</v>
      </c>
      <c r="R144" s="3">
        <f>0+(368.8-69.5)+(0+(0.188088-0.035445))+0-29.9-0.015248999999997</f>
        <v>269.53739400000006</v>
      </c>
      <c r="S144" s="3">
        <f>0+(348.3-37.5)+(0+(0.532899-0.057375))+0-30.1-0.0460530000000017</f>
        <v>281.12947099999997</v>
      </c>
      <c r="T144" s="3">
        <f>0+(316.8-0)+(0+(-0.323136-0))+0-30.3--0.0309060000000048</f>
        <v>286.20777000000004</v>
      </c>
      <c r="U144" s="3">
        <f>0+(322.9-0)+(0+(0.329358-0))+0-29.5-0.0300900000000047</f>
        <v>293.69926799999996</v>
      </c>
      <c r="V144" s="3">
        <f>0+(340.8-3.1)+(0+(0.173808-0.001581))+0-29.7-0.015146999999997</f>
        <v>308.15708000000001</v>
      </c>
      <c r="W144" s="3">
        <f>0+(388.3-42.8)+(0+(-0.396066--0.043656))+0-30--0.0306000000000048</f>
        <v>315.17818999999997</v>
      </c>
      <c r="X144" s="3">
        <f>0+(493.6-143.8)+(0+(-1.006944--0.293352))+0-30.1--0.0614039999999987</f>
        <v>319.04781199999996</v>
      </c>
      <c r="Y144" s="3">
        <f>0+(539.3-181.8)+(0+(-0.275043--0.092718))+0-30--0.015299999999997</f>
        <v>327.33297499999998</v>
      </c>
      <c r="Z144" s="3">
        <f>0+(415-51.4)+(0+(0-0))+0-30.9-0</f>
        <v>332.70000000000005</v>
      </c>
      <c r="AA144" s="3">
        <f>0+(439.4-59)+(0+(-0.896376--0.12036))+0-30.9--0.0630359999999986</f>
        <v>348.78701999999998</v>
      </c>
      <c r="AB144" s="3">
        <f>0+(449.2-80.2)+(0+(-0.229092--0.040902))+0-30.5--0.0155549999999969</f>
        <v>338.32736499999999</v>
      </c>
      <c r="AC144" s="3">
        <f>0+(458.9-80.3)+(0+(-0.234039--0.040953))+0-30.2--0.0154019999999969</f>
        <v>348.22231599999998</v>
      </c>
      <c r="AD144" s="2">
        <v>329.4</v>
      </c>
      <c r="AE144" s="3">
        <f>0+(424.2-63.6)+(0+(0-0))+0-31.2-0</f>
        <v>329.4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0+(492.1-117.2)+(0+(-0.752913--0.179316))+0-30.2--0.0462060000000017</f>
        <v>344.17260900000002</v>
      </c>
      <c r="G145" s="3">
        <f>0+(478.3-116)+(0+(-0.975732--0.23664))+0-27.9--0.0569159999999988</f>
        <v>333.71782400000001</v>
      </c>
      <c r="H145" s="3">
        <f>0+(336.8-4.1)+(0+(-0.85884--0.010455))+0-25.1--0.0640049999999964</f>
        <v>306.81561999999997</v>
      </c>
      <c r="I145" s="3">
        <f>0+(396.1-42)+(0+(-0.606033--0.06426))+0-30.3--0.0463590000000018</f>
        <v>323.30458600000003</v>
      </c>
      <c r="J145" s="3">
        <f>0+(373.6-10)+(0+(-0.571608--0.0153))+0-29.8--0.0455940000000017</f>
        <v>333.289286</v>
      </c>
      <c r="K145" s="3">
        <f>0+(345.8-0)+(0+(-0.88179-0))+0-31.2--0.0795599999999955</f>
        <v>313.79777000000001</v>
      </c>
      <c r="L145" s="3">
        <f>0+(436.5-36.1)+(0+(-0.222615--0.018411))+0-31--0.0158099999999969</f>
        <v>369.21160599999996</v>
      </c>
      <c r="M145" s="3">
        <f>14.4+(555-181.4)+(0.007344+(0.28305-0.092514))+0-31-0.0158099999999969</f>
        <v>357.18207000000001</v>
      </c>
      <c r="N145" s="3">
        <f>78.7+(620.4-272)+(0.080274+(0.632808-0.27744))+0-30.7-0.0313140000000049</f>
        <v>396.80432799999994</v>
      </c>
      <c r="O145" s="3">
        <f>223+(646.2-435.3)+(0.22746+(0.659124-0.444006))+0-30.2-0.0308040000000048</f>
        <v>404.11177400000008</v>
      </c>
      <c r="P145" s="3">
        <f>294.6+(615.4-464.8)+(0.150246+(0.313854-0.237048))+0-29.2-0.014891999999997</f>
        <v>416.21216000000004</v>
      </c>
      <c r="Q145" s="3">
        <f>401+(566.9-502.5)+(0+(0-0))+0-30.2-0</f>
        <v>435.2</v>
      </c>
      <c r="R145" s="3">
        <f>444.5+(502.1-468.9)+(0+(0-0))+0-29.7-0</f>
        <v>448.00000000000006</v>
      </c>
      <c r="S145" s="3">
        <f>443.2+(419.8-403.3)+(-0.678096+(-0.642294--0.617049))+0-30.2--0.0462060000000017</f>
        <v>428.84286499999996</v>
      </c>
      <c r="T145" s="3">
        <f>439.6+(365.1-338.7)+(-0.896784+(-0.744804--0.690948))+0-30.4--0.0620159999999987</f>
        <v>434.71137600000003</v>
      </c>
      <c r="U145" s="3">
        <f>444.9+(363.2-368.3)+(-0.226899+(-0.185232--0.187833))+0-30.8--0.0157079999999969</f>
        <v>408.79140999999998</v>
      </c>
      <c r="V145" s="3">
        <f>445.2+(392.4-402.8)+(-0.681156+(-0.600372--0.616284))+0-30.4--0.0465120000000018</f>
        <v>403.78126800000001</v>
      </c>
      <c r="W145" s="3">
        <f>446.7+(435.5-459.5)+(-0.227817+(-0.222105--0.234345))+0-26.7--0.0136169999999973</f>
        <v>395.79804000000001</v>
      </c>
      <c r="X145" s="3">
        <f>449.4+(503.5-534.1)+(-0.229194+(-0.256785--0.272391))+0-30.8--0.0157079999999969</f>
        <v>387.80211999999995</v>
      </c>
      <c r="Y145" s="3">
        <f>460+(473.8-513.8)+(0.2346+(0.241638-0.262038))+0-28.9-0.0147389999999971</f>
        <v>391.29946100000006</v>
      </c>
      <c r="Z145" s="3">
        <f>460.3+(437.1-459.2)+(-0.469506+(-0.445842--0.468384))+0-30.6--0.0312120000000049</f>
        <v>407.18424800000003</v>
      </c>
      <c r="AA145" s="3">
        <f>460.5+(428.1-445.4)+(-0.704565+(-0.654993--0.681462))+0-30.4--0.0465120000000018</f>
        <v>412.16841600000009</v>
      </c>
      <c r="AB145" s="3">
        <f>397.8+(514.6-470.8)+(-0.202878+(-0.262446--0.240108))+0-31.1--0.0158609999999968</f>
        <v>410.29064499999998</v>
      </c>
      <c r="AC145" s="3">
        <f>145.7+(565.4-281.9)+(0+(0-0))+0-29.3-0</f>
        <v>399.9</v>
      </c>
      <c r="AD145" s="2">
        <v>415.3</v>
      </c>
      <c r="AE145" s="3">
        <f>459+(428.4-440.9)+(0+(0-0))+0-31.2-0</f>
        <v>415.3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0+(551.8-122.8)+(0+(-0.562836--0.125256))+0-30.9--0.0315180000000049</f>
        <v>397.69393799999995</v>
      </c>
      <c r="G146" s="3">
        <f>0+(561.2-137.3)+(0+(-1.717272--0.420138))+0-29.6--0.0905760000000034</f>
        <v>393.09344200000004</v>
      </c>
      <c r="H146" s="3">
        <f>0+(521.3-96.9)+(0+(-0.531726--0.098838))+0-30.4--0.0310080000000048</f>
        <v>393.59811999999999</v>
      </c>
      <c r="I146" s="3">
        <f>0+(488.6-58.4)+(0+(0.498372-0.059568))+0-29.7-0.0302940000000047</f>
        <v>400.90851000000004</v>
      </c>
      <c r="J146" s="3">
        <f>0+(512.6-90.3)+(0+(-1.045704--0.184212))+0-29.8--0.0607919999999987</f>
        <v>391.69929999999999</v>
      </c>
      <c r="K146" s="3">
        <f>0+(516-103.7)+(0+(-0.26316--0.052887))+0-30.2--0.0154019999999969</f>
        <v>381.90512900000004</v>
      </c>
      <c r="L146" s="3">
        <f>0+(551.4-153.4)+(0+(0-0))+0-30.5-0</f>
        <v>367.5</v>
      </c>
      <c r="M146" s="3">
        <f>0+(542.9-137.3)+(0+(0.553758-0.140046))+0-30.5-0.0311100000000049</f>
        <v>375.48260199999993</v>
      </c>
      <c r="N146" s="3">
        <f>0+(570-142.8)+(0+(1.1628-0.291312))+0-29.6-0.0603839999999987</f>
        <v>398.41110399999997</v>
      </c>
      <c r="O146" s="3">
        <f>122.2+(580.2-267.3)+(0.186966+(0.887706-0.408969))+0-27.5-0.0420750000000016</f>
        <v>408.22362800000002</v>
      </c>
      <c r="P146" s="3">
        <f>443.2+(552.5-538.6)+(0.452064+(0.56355-0.549372))+0-30.3-0.0309060000000048</f>
        <v>427.23533599999996</v>
      </c>
      <c r="Q146" s="3">
        <f>458.5+(519.2-495.1)+(0.233835+(0.264792-0.252501))+0-30.3-0.0154529999999969</f>
        <v>452.53067300000004</v>
      </c>
      <c r="R146" s="3">
        <f>458.1+(466.4-449.6)+(-0.233631+(-0.237864--0.229296))+0-30.2--0.0154019999999969</f>
        <v>444.47320299999996</v>
      </c>
      <c r="S146" s="3">
        <f>455.9+(414.9-411.9)+(0+(0-0))+0-30.7-0</f>
        <v>428.2</v>
      </c>
      <c r="T146" s="3">
        <f>453.6+(387.1-377.8)+(0+(0-0))+0-31.4-0</f>
        <v>431.50000000000006</v>
      </c>
      <c r="U146" s="3">
        <f>450.2+(389.8-378.5)+(-0.229602+(-0.198798--0.193035))+0-30.3--0.0154529999999969</f>
        <v>430.98008799999997</v>
      </c>
      <c r="V146" s="3">
        <f>448+(410.4-406.9)+(0+(0-0))+0-31-0</f>
        <v>420.5</v>
      </c>
      <c r="W146" s="3">
        <f>441.5+(445.8-449.7)+(-0.45033+(-0.454716--0.458694))+0-26.8--0.0273360000000043</f>
        <v>410.38098400000001</v>
      </c>
      <c r="X146" s="3">
        <f>440.3+(499.2-504.8)+(-0.673659+(-0.763776--0.772344))+0-32.5--0.0497250000000019</f>
        <v>401.58463399999999</v>
      </c>
      <c r="Y146" s="3">
        <f>448.4+(488.1-506)+(-0.228684+(-0.248931--0.25806))+0-31.2--0.0159119999999968</f>
        <v>399.09635700000001</v>
      </c>
      <c r="Z146" s="3">
        <f>450.3+(415.9-417.1)+(-0.229653+(-0.212109--0.212721))+0-31.4--0.0160139999999968</f>
        <v>417.48697299999998</v>
      </c>
      <c r="AA146" s="3">
        <f>458.1+(425.7-430.9)+(-0.934524+(-0.868428--0.879036))+0-32.2--0.0656879999999986</f>
        <v>419.84177200000005</v>
      </c>
      <c r="AB146" s="3">
        <f>355.3+(494.4-395.6)+(-0.362406+(-0.504288--0.403512))+0-31.9--0.0325380000000051</f>
        <v>421.76935599999996</v>
      </c>
      <c r="AC146" s="3">
        <f>50.8+(617.5-231.6)+(0.051816+(0.62985-0.236232))+0-31.9-0.0325380000000051</f>
        <v>405.212896</v>
      </c>
      <c r="AD146" s="2">
        <v>420.59999999999997</v>
      </c>
      <c r="AE146" s="3">
        <f>463+(406.3-416.4)+(0+(0-0))+0-32.3-0</f>
        <v>420.6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0+(494.5-49.2)+(0+(0.50439-0.050184))+0-31.8-0.0324360000000051</f>
        <v>413.92176999999998</v>
      </c>
      <c r="G147" s="3">
        <f>0+(445.8-15.2)+(0+(0.227358-0.007752))+0-21.7-0.0110669999999978</f>
        <v>409.10853900000001</v>
      </c>
      <c r="H147" s="3">
        <f>0+(427.2-2.4)+(0+(0-0))+0-30-0</f>
        <v>394.8</v>
      </c>
      <c r="I147" s="3">
        <f>0+(419.3-0)+(0+(0.855372-0))+0-29.6-0.0603839999999987</f>
        <v>390.49498799999998</v>
      </c>
      <c r="J147" s="3">
        <f>0+(422.1-0)+(0+(-0.215271-0))+0-30.8--0.0157079999999969</f>
        <v>391.10043700000006</v>
      </c>
      <c r="K147" s="3">
        <f>0+(476.5-60.2)+(0+(-1.215075--0.15351))+0-30--0.0764999999999956</f>
        <v>385.31493500000005</v>
      </c>
      <c r="L147" s="3">
        <f>0+(502.1-97.6)+(0+(-1.280355--0.24888))+0-29.9--0.0762449999999957</f>
        <v>373.64476999999999</v>
      </c>
      <c r="M147" s="3">
        <f>0+(554.1-144.5)+(0+(0.847773-0.221085))+0-30.5-0.0466650000000018</f>
        <v>379.68002300000001</v>
      </c>
      <c r="N147" s="3">
        <f>0+(703.6-270.1)+(0+(0.358836-0.137751))+0-31.5-0.0160649999999968</f>
        <v>402.20502000000005</v>
      </c>
      <c r="O147" s="3">
        <f>193.3+(644.7-402.8)+(0.098583+(0.328797-0.205428))+0-32-0.0163199999999968</f>
        <v>403.40563200000003</v>
      </c>
      <c r="P147" s="3">
        <f>459.1+(531.3-536.4)+(0.702423+(0.812889-0.820692))+0-32.3-0.0494190000000019</f>
        <v>422.34520099999997</v>
      </c>
      <c r="Q147" s="3">
        <f>459.7+(500.6-497.5)+(0.703341+(0.765918-0.761175))+0-30.9-0.0472770000000018</f>
        <v>432.56080700000001</v>
      </c>
      <c r="R147" s="3">
        <f>456.6+(443.1-429.9)+(0+(0-0))+0-30.8-0</f>
        <v>439.00000000000006</v>
      </c>
      <c r="S147" s="3">
        <f>445.4+(401.8-383.3)+(-0.681462+(-0.614754--0.586449))+0-30.3--0.0463590000000018</f>
        <v>432.93659199999996</v>
      </c>
      <c r="T147" s="3">
        <f>460.3+(394.1-384.8)+(0.234753+(0.200991-0.196248))+0-30.2-0.0154019999999969</f>
        <v>439.62409400000001</v>
      </c>
      <c r="U147" s="3">
        <f>460.3+(397.6-393)+(-0.234753+(-0.202776--0.20043))+0-30.3--0.0154529999999969</f>
        <v>434.378354</v>
      </c>
      <c r="V147" s="3">
        <f>458.5+(404.4-404.2)+(-0.93534+(-0.824976--0.824568))+0-30.8--0.0628319999999987</f>
        <v>427.027084</v>
      </c>
      <c r="W147" s="3">
        <f>458.8+(383.6-443.6)+(-1.637916+(-1.369452--1.583652))+0-30.5--0.108885</f>
        <v>366.98516899999998</v>
      </c>
      <c r="X147" s="3">
        <f>459.3+(457.9-516.9)+(-0.468486+(-0.467058--0.527238))+0-29.4--0.0299880000000047</f>
        <v>370.52168200000006</v>
      </c>
      <c r="Y147" s="3">
        <f>464.6+(436.5-511.4)+(0.236946+(0.222615-0.260814))+0-30.4-0.0155039999999969</f>
        <v>359.48324300000007</v>
      </c>
      <c r="Z147" s="3">
        <f>470.6+(353.9-421.9)+(0.480012+(0.360978-0.430338))+0-28.2-0.0287640000000045</f>
        <v>374.78188800000004</v>
      </c>
      <c r="AA147" s="3">
        <f>475.7+(391-444.6)+(-0.970428+(-0.79764--0.906984))+0-29.3--0.0597719999999987</f>
        <v>391.99868799999996</v>
      </c>
      <c r="AB147" s="3">
        <f>481.6+(427-491.1)+(-0.982464+(-0.87108--1.001844))+0-29.6--0.0603839999999987</f>
        <v>387.10868399999998</v>
      </c>
      <c r="AC147" s="3">
        <f>480+(450.6-510.8)+(0.2448+(0.229806-0.260508))+0-28.9-0.0147389999999971</f>
        <v>391.09935899999999</v>
      </c>
      <c r="AD147" s="2">
        <v>412.49999999999994</v>
      </c>
      <c r="AE147" s="3">
        <f>470+(383.8-410.6)+(0+(0-0))+0-30.7-0</f>
        <v>412.5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170.7+(561.6-316.9)+(0.087057+(0.286416-0.161619))+0-30.4-0.0155039999999969</f>
        <v>385.19635000000005</v>
      </c>
      <c r="G148" s="3">
        <f>8.6+(539.8-146.1)+(0+(0-0))+0-31.2-0</f>
        <v>371.09999999999997</v>
      </c>
      <c r="H148" s="3">
        <f>0+(517.6-121.7)+(0+(-0.527952--0.124134))+0-31.4--0.032028000000005</f>
        <v>364.12821000000008</v>
      </c>
      <c r="I148" s="3">
        <f>0+(520.5-146.3)+(0+(0-0))+0-31-0</f>
        <v>343.2</v>
      </c>
      <c r="J148" s="3">
        <f>0+(536.4-142.3)+(0+(-0.820692--0.217719))+0-30.7--0.0469710000000018</f>
        <v>362.84399799999994</v>
      </c>
      <c r="K148" s="3">
        <f>0+(531.9-142.8)+(0+(-1.627614--0.436968))+0-30.5--0.0933300000000035</f>
        <v>357.50268399999993</v>
      </c>
      <c r="L148" s="3">
        <f>0+(537.7-168.4)+(0+(-0.548454--0.171768))+0-30.6--0.0312120000000049</f>
        <v>338.35452600000002</v>
      </c>
      <c r="M148" s="3">
        <f>0+(554.5-196.4)+(0+(0-0))+0-30.7-0</f>
        <v>327.40000000000003</v>
      </c>
      <c r="N148" s="3">
        <f>0+(686.9-267.5)+(0+(0-0))+0-31.5-0</f>
        <v>387.9</v>
      </c>
      <c r="O148" s="3">
        <f>90+(675-382.9)+(0.0918+(0.6885-0.390558))+0-31.4-0.032028000000005</f>
        <v>351.05771400000003</v>
      </c>
      <c r="P148" s="3">
        <f>341.9+(601.3-515.8)+(0.348738+(0.613326-0.526116))+0-31.3-0.031926000000005</f>
        <v>396.50402199999996</v>
      </c>
      <c r="Q148" s="3">
        <f>338+(586.7-495.2)+(0+(0-0))+0-30.5-0</f>
        <v>399.00000000000006</v>
      </c>
      <c r="R148" s="3">
        <f>337.4+(499.4-418.8)+(0.172074+(0.254694-0.213588))+0-30.9-0.0157589999999969</f>
        <v>387.29742099999999</v>
      </c>
      <c r="S148" s="3">
        <f>429.8+(357.6-382.8)+(-0.657594+(-0.547128--0.585684))+0-31.3--0.0478890000000018</f>
        <v>372.72885100000002</v>
      </c>
      <c r="T148" s="3">
        <f>445.2+(310.1-337.7)+(-0.227052+(-0.158151--0.172227))+0-30.4--0.0155039999999969</f>
        <v>387.00252800000004</v>
      </c>
      <c r="U148" s="3">
        <f>461+(296.1-343.4)+(-0.70533+(-0.453033--0.525402))+0-28.2--0.0431460000000016</f>
        <v>384.91018500000001</v>
      </c>
      <c r="V148" s="3">
        <f>461+(331.2-393.2)+(-0.70533+(-0.506736--0.601596))+0-30.2--0.0462060000000017</f>
        <v>368.23573599999997</v>
      </c>
      <c r="W148" s="3">
        <f>462.1+(369.8-429.7)+(-1.178355+(-0.94299--1.095735))+0-30.2--0.0770099999999956</f>
        <v>371.05140000000006</v>
      </c>
      <c r="X148" s="3">
        <f>466.1+(442.9-518.8)+(-1.663977+(-1.581153--1.852116))+0-30.4--0.108528</f>
        <v>358.51551400000005</v>
      </c>
      <c r="Y148" s="3">
        <f>470.3+(401.6-463.7)+(0+(0-0))+0-28.7-0</f>
        <v>379.50000000000006</v>
      </c>
      <c r="Z148" s="3">
        <f>475.5+(321.9-386.1)+(0.242505+(0.164169-0.196911))+0-30.1-0.0153509999999969</f>
        <v>381.39441199999993</v>
      </c>
      <c r="AA148" s="3">
        <f>482.1+(361.6-422.6)+(-1.475226+(-1.106496--1.293156))+0-30.5--0.0933300000000035</f>
        <v>389.404764</v>
      </c>
      <c r="AB148" s="3">
        <f>484.8+(405.2-483.4)+(-1.483488+(-1.239912--1.479204))+0-31.3--0.0957780000000036</f>
        <v>374.15158200000002</v>
      </c>
      <c r="AC148" s="3">
        <f>485.3+(406.8-500.6)+(0.495006+(0.414936-0.510612))+0-30.8-0.0314160000000049</f>
        <v>361.06791400000003</v>
      </c>
      <c r="AD148" s="2">
        <v>412.59999999999997</v>
      </c>
      <c r="AE148" s="3">
        <f>477+(319.3-353.5)+(0+(0-0))+0-30.2-0</f>
        <v>412.6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232.9+(527.6-310.6)+(0+(0-0))+0-30.8-0</f>
        <v>419.09999999999997</v>
      </c>
      <c r="G149" s="3">
        <f>0+(595.2-197.7)+(0+(0.303552-0.100827))+0-30.9-0.0157589999999969</f>
        <v>366.78696600000006</v>
      </c>
      <c r="H149" s="3">
        <f>0+(489.7-110.3)+(0+(0-0))+0-31.1-0</f>
        <v>348.29999999999995</v>
      </c>
      <c r="I149" s="3">
        <f>0+(494.5-98.5)+(0+(-0.50439--0.10047))+0-30.7--0.0313140000000049</f>
        <v>364.92739399999999</v>
      </c>
      <c r="J149" s="3">
        <f>0+(517.3-130.6)+(0+(1.319115-0.33303))+0-30.7-0.0782849999999955</f>
        <v>356.90779999999995</v>
      </c>
      <c r="K149" s="3">
        <f>0+(507.6-131)+(0+(-1.29438--0.33405))+0-31--0.0790499999999955</f>
        <v>344.71872000000002</v>
      </c>
      <c r="L149" s="3">
        <f>0+(444.5-67.1)+(0+(-1.36017--0.205326))+0-30.4--0.0930240000000035</f>
        <v>345.93817999999999</v>
      </c>
      <c r="M149" s="3">
        <f>0+(451-52)+(0+(0.69003-0.07956))+0-31.2-0.0477360000000018</f>
        <v>368.36273400000005</v>
      </c>
      <c r="N149" s="3">
        <f>0+(678-242.1)+(0+(0.34578-0.123471))+0-31.4-0.0160139999999968</f>
        <v>404.70629500000001</v>
      </c>
      <c r="O149" s="3">
        <f>90.1+(680.5-352.4)+(0.045951+(0.347055-0.179724))+0-31.5-0.0160649999999968</f>
        <v>386.89721700000007</v>
      </c>
      <c r="P149" s="3">
        <f>419.6+(532.8-522.4)+(0.641988+(0.815184-0.799272))+0-31.1-0.0475830000000018</f>
        <v>399.51031699999999</v>
      </c>
      <c r="Q149" s="3">
        <f>460.1+(472.7-479.8)+(0+(0-0))+0-31.6-0</f>
        <v>421.4</v>
      </c>
      <c r="R149" s="3">
        <f>456.7+(378.1-396)+(-0.465834+(-0.385662--0.40392))+0-30.5--0.0311100000000049</f>
        <v>407.883534</v>
      </c>
      <c r="S149" s="3">
        <f>457+(303.9-362.2)+(0+(0-0))+0-30.9-0</f>
        <v>367.8</v>
      </c>
      <c r="T149" s="3">
        <f>455.9+(296-332.7)+(-0.232509+(-0.15096--0.169677))+0-30.8--0.0157079999999969</f>
        <v>388.20191599999998</v>
      </c>
      <c r="U149" s="3">
        <f>454.3+(305.4-347.4)+(-0.463386+(-0.311508--0.354348))+0-30.4--0.0310080000000048</f>
        <v>381.51046200000002</v>
      </c>
      <c r="V149" s="3">
        <f>449.6+(339.3-369.6)+(-0.458592+(-0.346086--0.376992))+0-30.7--0.0313140000000049</f>
        <v>388.20362800000004</v>
      </c>
      <c r="W149" s="3">
        <f>447.3+(372.4-426.6)+(-0.228123+(-0.189924--0.217566))+0-29.5--0.015044999999997</f>
        <v>363.41456399999993</v>
      </c>
      <c r="X149" s="3">
        <f>446.9+(405.4-464.9)+(-0.911676+(-0.827016--0.948396))+0-30.4--0.0620159999999987</f>
        <v>356.27171999999996</v>
      </c>
      <c r="Y149" s="3">
        <f>453.2+(376.1-435.9)+(-0.462264+(-0.383622--0.444618))+0-29.9--0.0304980000000048</f>
        <v>363.12923000000006</v>
      </c>
      <c r="Z149" s="3">
        <f>460.6+(341.6-395.4)+(-0.234906+(-0.174216--0.201654))+0-30.5--0.0155549999999969</f>
        <v>376.10808700000007</v>
      </c>
      <c r="AA149" s="3">
        <f>461+(352.4-396.3)+(-0.23511+(-0.179724--0.202113))+0-30.7--0.0156569999999969</f>
        <v>386.20293599999997</v>
      </c>
      <c r="AB149" s="3">
        <f>458.1+(368-427.1)+(-1.168155+(-0.9384--1.089105))+0-29.9--0.0762449999999957</f>
        <v>368.158795</v>
      </c>
      <c r="AC149" s="3">
        <f>461.2+(367.9-433.2)+(-0.235212+(-0.187629--0.220932))+0-30.3--0.0154529999999969</f>
        <v>365.41354399999994</v>
      </c>
      <c r="AD149" s="2">
        <v>384.1</v>
      </c>
      <c r="AE149" s="3">
        <f>461+(344.6-390.4)+(0+(0-0))+0-31.1-0</f>
        <v>384.1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358.9+(347.9-269.9)+(0+(0-0))+0-31-0</f>
        <v>405.9</v>
      </c>
      <c r="G150" s="3">
        <f>0+(392.1-3.2)+(0+(-0.799884--0.006528))+0-30.9--0.0630359999999986</f>
        <v>357.26968000000005</v>
      </c>
      <c r="H150" s="3">
        <f>0+(384.3-0)+(0+(-0.587979-0))+0-27.8--0.0425340000000016</f>
        <v>355.95455499999997</v>
      </c>
      <c r="I150" s="3">
        <f>0+(393.6-0)+(0+(-1.00368-0))+0-30.8--0.0785399999999955</f>
        <v>361.87486000000001</v>
      </c>
      <c r="J150" s="3">
        <f>0+(390-0)+(0+(0.3978-0))+0-30.7-0.0313140000000049</f>
        <v>359.66648600000002</v>
      </c>
      <c r="K150" s="3">
        <f>0+(382.7-0)+(0+(-0.975885-0))+0-30.6--0.0780299999999956</f>
        <v>351.20214499999997</v>
      </c>
      <c r="L150" s="3">
        <f>0+(378.7-5.8)+(0+(-0.965685--0.01479))+0-30.6--0.0780299999999956</f>
        <v>341.42713499999996</v>
      </c>
      <c r="M150" s="3">
        <f>0+(456.5-58.8)+(0+(0.232815-0.029988))+0-30.7-0.0156569999999969</f>
        <v>367.18717000000004</v>
      </c>
      <c r="N150" s="3">
        <f>8+(569.2-170.9)+(0.00816+(0.580584-0.174318))+0-31-0.0316200000000049</f>
        <v>375.68280600000003</v>
      </c>
      <c r="O150" s="3">
        <f>159.9+(549.6-314.5)+(0.244647+(0.840888-0.481185))+0-28.8-0.0440640000000017</f>
        <v>366.76028600000001</v>
      </c>
      <c r="P150" s="3">
        <f>341.3+(459-393)+(-0.174063+(-0.23409--0.20043))+0-29.7--0.015146999999997</f>
        <v>377.40742400000005</v>
      </c>
      <c r="Q150" s="3">
        <f>448.3+(353.9-410.9)+(0.457266+(0.360978-0.419118))+0-31-0.0316200000000049</f>
        <v>360.667506</v>
      </c>
      <c r="R150" s="3">
        <f>449.8+(261-308.2)+(-0.458796+(-0.26622--0.314364))+0-30.3--0.0309060000000048</f>
        <v>371.920254</v>
      </c>
      <c r="S150" s="3">
        <f>451+(229.3-305.7)+(0.23001+(0.116943-0.155907))+0-30.1-0.0153509999999969</f>
        <v>344.67569499999996</v>
      </c>
      <c r="T150" s="3">
        <f>448.8+(216.8-275.2)+(0+(0-0))+0-30-0</f>
        <v>360.40000000000003</v>
      </c>
      <c r="U150" s="3">
        <f>443.9+(212.4-275.6)+(-0.679167+(-0.324972--0.421668))+0-25.6--0.0391680000000015</f>
        <v>354.55669699999993</v>
      </c>
      <c r="V150" s="3">
        <f>442.2+(239.8-293.8)+(-0.676566+(-0.366894--0.449514))+0-30.3--0.0463590000000018</f>
        <v>357.35241299999996</v>
      </c>
      <c r="W150" s="3">
        <f>437.4+(312.8-362.3)+(-1.11537+(-0.79764--0.923865))+0-30.5--0.0777749999999956</f>
        <v>356.48862999999994</v>
      </c>
      <c r="X150" s="3">
        <f>333.5+(414.7-346.3)+(-0.510255+(-0.634491--0.529839))+0-30.4--0.0465120000000018</f>
        <v>370.93160499999999</v>
      </c>
      <c r="Y150" s="3">
        <f>312.3+(373.5-332)+(0.318546+(0.38097-0.33864))+0-30.6-0.0312120000000049</f>
        <v>323.52966400000003</v>
      </c>
      <c r="Z150" s="3">
        <f>447.1+(318.9-379.2)+(0+(0-0))+0-30.7-0</f>
        <v>356.1</v>
      </c>
      <c r="AA150" s="3">
        <f>445.8+(344.4-384)+(-0.227358+(-0.175644--0.19584))+0-31.1--0.0158609999999968</f>
        <v>374.90869899999996</v>
      </c>
      <c r="AB150" s="3">
        <f>446+(388.3-429.9)+(-0.45492+(-0.396066--0.438498))+0-31.1--0.031722000000005</f>
        <v>372.91923400000002</v>
      </c>
      <c r="AC150" s="3">
        <f>375+(403.9-376.1)+(-0.765+(-0.823956--0.767244))+0-30.2--0.0616079999999987</f>
        <v>371.83989599999995</v>
      </c>
      <c r="AD150" s="2">
        <v>366.8</v>
      </c>
      <c r="AE150" s="3">
        <f>445+(313.6-361)+(0+(0-0))+0-30.8-0</f>
        <v>366.8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334.3+(438.6-373.5)+(-0.511479+(-0.671058--0.571455))+0-31.2--0.0477360000000018</f>
        <v>367.63665400000002</v>
      </c>
      <c r="G151" s="3">
        <f>62.5+(610.6-255.2)+(0+(0-0))+0-30.7-0</f>
        <v>387.20000000000005</v>
      </c>
      <c r="H151" s="3">
        <f>0+(586.3-198.8)+(0+(-1.495065--0.50694))+0-30.9--0.0787949999999955</f>
        <v>355.69066999999995</v>
      </c>
      <c r="I151" s="3">
        <f>0+(595.3-204.4)+(0+(-1.214412--0.416976))+0-31--0.0632399999999986</f>
        <v>359.16580399999998</v>
      </c>
      <c r="J151" s="3">
        <f>0+(593.8-205.1)+(0+(-0.605676--0.209202))+0-30.6--0.0312120000000049</f>
        <v>357.73473799999988</v>
      </c>
      <c r="K151" s="3">
        <f>0+(340.1-45.8)+(0+(-0.867255--0.11679))+0-30.6--0.0780299999999956</f>
        <v>263.02756499999998</v>
      </c>
      <c r="L151" s="3">
        <f>0+(322.4-0)+(0+(-0.493272-0))+0-30.5--0.0466650000000018</f>
        <v>291.45339300000001</v>
      </c>
      <c r="M151" s="3">
        <f>0+(336.4-0)+(0+(-0.343128-0))+0-30.7--0.0313140000000049</f>
        <v>305.38818600000002</v>
      </c>
      <c r="N151" s="3">
        <f>0+(345.2-0)+(0+(0-0))+0-30.7-0</f>
        <v>314.5</v>
      </c>
      <c r="O151" s="3">
        <f>0+(354-0)+(0+(-0.36108-0))+0-29.9--0.0304980000000048</f>
        <v>323.76941800000003</v>
      </c>
      <c r="P151" s="3">
        <f>0+(449.8-78.6)+(0+(0.229398-0.040086))+0-30.8-0.0157079999999969</f>
        <v>340.57360399999999</v>
      </c>
      <c r="Q151" s="3">
        <f>0+(446.4-86)+(0+(0.227664-0.04386))+0-30.6-0.0156059999999969</f>
        <v>329.96819799999997</v>
      </c>
      <c r="R151" s="3">
        <f>0+(442.7-80.4)+(0+(-0.225777--0.041004))+0-30.5--0.0155549999999969</f>
        <v>331.63078199999995</v>
      </c>
      <c r="S151" s="3">
        <f>24.2+(390.1-55.1)+(-0.024684+(-0.397902--0.056202))+0-30--0.0306000000000048</f>
        <v>328.864216</v>
      </c>
      <c r="T151" s="3">
        <f>112.2+(315.1-63.8)+(-0.228888+(-0.642804--0.130152))+0-30.2--0.0616079999999987</f>
        <v>332.620068</v>
      </c>
      <c r="U151" s="3">
        <f>108.7+(310.4-41.6)+(-0.110874+(-0.316608--0.042432))+0-30.4--0.0310080000000048</f>
        <v>346.74595799999997</v>
      </c>
      <c r="V151" s="3">
        <f>108.8+(382.1-100.8)+(-0.055488+(-0.194871--0.051408))+0-30.5--0.0155549999999969</f>
        <v>359.41660400000001</v>
      </c>
      <c r="W151" s="3">
        <f>108.5+(478.6-207.9)+(-0.22134+(-0.976344--0.424116))+0-28.6--0.0583439999999988</f>
        <v>349.88477599999999</v>
      </c>
      <c r="X151" s="3">
        <f>87.6+(586.6-300.8)+(-0.178704+(-1.196664--0.613632))+0-30.3--0.0618119999999987</f>
        <v>342.40007599999996</v>
      </c>
      <c r="Y151" s="3">
        <f>50.5+(496.9-198)+(-0.05151+(-0.506838--0.20196))+0-28.2--0.0287640000000045</f>
        <v>320.87237600000003</v>
      </c>
      <c r="Z151" s="3">
        <f>107.6+(484.4-201.6)+(0+(0-0))+0-31.3-0</f>
        <v>359.09999999999997</v>
      </c>
      <c r="AA151" s="3">
        <f>59+(517.1-186.3)+(-0.09027+(-0.791163--0.285039))+0-31.3--0.0478890000000018</f>
        <v>357.95149500000002</v>
      </c>
      <c r="AB151" s="3">
        <f>37+(540.5-169.4)+(0+(0-0))+0-31.1-0</f>
        <v>377</v>
      </c>
      <c r="AC151" s="3">
        <f>0+(468.6-59.2)+(0+(0.238986-0.030192))+0-28.8-0.0146879999999971</f>
        <v>380.79410600000006</v>
      </c>
      <c r="AD151" s="2">
        <v>367</v>
      </c>
      <c r="AE151" s="3">
        <f>114+(488-204)+(0+(0-0))+0-31-0</f>
        <v>367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0+(456.4-49.4)+(0+(-0.232764--0.025194))+0-27.7--0.0141269999999972</f>
        <v>379.10655700000001</v>
      </c>
      <c r="G152" s="3">
        <f>0+(427.6-30)+(0+(-0.654228--0.0459))+0-31.4--0.0480420000000018</f>
        <v>365.63971400000008</v>
      </c>
      <c r="H152" s="3">
        <f>0+(454.9-67.1)+(0+(-0.231999--0.034221))+0-30.9--0.0157589999999969</f>
        <v>356.71798099999995</v>
      </c>
      <c r="I152" s="3">
        <f>0+(467.9-88.5)+(0+(-0.954516--0.18054))+0-30.9--0.0630359999999986</f>
        <v>347.78906000000001</v>
      </c>
      <c r="J152" s="3">
        <f>0+(476.8-95.4)+(0+(0.243168-0.048654))+0-30.8-0.0157079999999969</f>
        <v>350.77880599999997</v>
      </c>
      <c r="K152" s="3">
        <f>0+(424.7-49.9)+(0+(-0.216597--0.025449))+0-30.3--0.0154529999999969</f>
        <v>344.32430499999998</v>
      </c>
      <c r="L152" s="3">
        <f>0+(369.6-12.2)+(0+(-0.188496--0.006222))+0-30.5--0.0155549999999969</f>
        <v>326.73328100000003</v>
      </c>
      <c r="M152" s="3">
        <f>0+(377.1-14.8)+(0+(0-0))+0-29.9-0</f>
        <v>332.40000000000003</v>
      </c>
      <c r="N152" s="3">
        <f>0+(441.9-67.6)+(0+(0.225369-0.034476))+0-30.4-0.0155039999999969</f>
        <v>344.07538899999997</v>
      </c>
      <c r="O152" s="3">
        <f>4.3+(607.1-225.2)+(0.002193+(0.309621-0.114852))+0-31.5-0.0160649999999968</f>
        <v>354.88089700000006</v>
      </c>
      <c r="P152" s="3">
        <f>287+(569.2-454.9)+(0.14637+(0.290292-0.231999))+0-31.1-0.0158609999999968</f>
        <v>370.38880200000006</v>
      </c>
      <c r="Q152" s="3">
        <f>449.8+(510.6-538)+(0.688194+(0.781218-0.82314))+0-31.2-0.0477360000000018</f>
        <v>391.79853600000007</v>
      </c>
      <c r="R152" s="3">
        <f>438.4+(436.1-445)+(0.223584+(0.222411-0.22695))+0-30.8-0.0157079999999969</f>
        <v>398.90333699999996</v>
      </c>
      <c r="S152" s="3">
        <f>445.7+(367.2-387.7)+(-0.454614+(-0.374544--0.395454))+0-30.4--0.0310080000000048</f>
        <v>394.39730400000002</v>
      </c>
      <c r="T152" s="3">
        <f>445.1+(325.7-343.7)+(-0.227001+(-0.166107--0.175287))+0-30.1--0.0153509999999969</f>
        <v>396.79752999999999</v>
      </c>
      <c r="U152" s="3">
        <f>445.7+(335.3-357)+(0.227307+(0.171003-0.18207))+0-30.1-0.0153509999999969</f>
        <v>394.100889</v>
      </c>
      <c r="V152" s="3">
        <f>444.6+(343.1-377.7)+(-0.226746+(-0.174981--0.192627))+0-30.8--0.0157079999999969</f>
        <v>379.00660800000009</v>
      </c>
      <c r="W152" s="3">
        <f>445.2+(413.7-453.5)+(-0.227052+(-0.210987--0.231285))+0-30.7--0.0156569999999969</f>
        <v>374.50890299999998</v>
      </c>
      <c r="X152" s="3">
        <f>440.1+(465-504.3)+(-0.673353+(-0.71145--0.771579))+0-30.2--0.0462060000000017</f>
        <v>370.032982</v>
      </c>
      <c r="Y152" s="3">
        <f>360.4+(437.8-393.9)+(0.367608+(0.446556-0.401778))+0-31.2-0.031824000000005</f>
        <v>373.48056200000002</v>
      </c>
      <c r="Z152" s="3">
        <f>456.5+(370.2-392.7)+(0.232815+(0.188802-0.200277))+0-31.1-0.0158609999999968</f>
        <v>403.105479</v>
      </c>
      <c r="AA152" s="3">
        <f>454.6+(378.2-395.2)+(-0.927384+(-0.771528--0.806208))+0-30.8--0.0628319999999987</f>
        <v>405.97012800000005</v>
      </c>
      <c r="AB152" s="3">
        <f>456.6+(443.7-468)+(-0.465732+(-0.452574--0.47736))+0-30.9--0.0315180000000049</f>
        <v>400.99057200000004</v>
      </c>
      <c r="AC152" s="3">
        <f>288.8+(443.7-299.5)+(0+(0-0))+0-31-0</f>
        <v>402</v>
      </c>
      <c r="AD152" s="2">
        <v>409.7</v>
      </c>
      <c r="AE152" s="3">
        <f>462+(372.9-395.2)+(0+(0-0))+0-30-0</f>
        <v>409.7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0+(557.9-145)+(0+(-0.569058--0.1479))+0-30.9--0.0315180000000049</f>
        <v>381.61036000000001</v>
      </c>
      <c r="G153" s="3">
        <f>0+(561.4-169.1)+(0+(-1.145256--0.344964))+0-28.1--0.0573239999999988</f>
        <v>363.45703199999991</v>
      </c>
      <c r="H153" s="3">
        <f>0+(539.3-145)+(0+(-0.275043--0.07395))+0-30--0.015299999999997</f>
        <v>364.11420699999996</v>
      </c>
      <c r="I153" s="3">
        <f>0+(436.8-39.6)+(0+(0-0))+0-29.4-0</f>
        <v>367.8</v>
      </c>
      <c r="J153" s="3">
        <f>0+(407-16.7)+(0+(-0.62271--0.025551))+0-27.6--0.0422280000000016</f>
        <v>362.14506900000003</v>
      </c>
      <c r="K153" s="3">
        <f>0+(403.7-20.2)+(0+(-0.823548--0.041208))+0-30.2--0.0616079999999987</f>
        <v>352.57926800000001</v>
      </c>
      <c r="L153" s="3">
        <f>0+(410.6-42.1)+(0+(-1.675248--0.171768))+0-31--0.126479999999997</f>
        <v>336.12299999999999</v>
      </c>
      <c r="M153" s="3">
        <f>0+(413.9-60.2)+(0+(0-0))+0-30.1-0</f>
        <v>323.59999999999997</v>
      </c>
      <c r="N153" s="3">
        <f>0+(423.4-60.6)+(0+(0.431868-0.061812))+0-30.7-0.0313140000000049</f>
        <v>332.43874199999993</v>
      </c>
      <c r="O153" s="3">
        <f>0+(463-95.3)+(0+(-0.23613--0.048603))+0-30.6--0.0156059999999969</f>
        <v>336.92807899999997</v>
      </c>
      <c r="P153" s="3">
        <f>0+(518.6-159.5)+(0+(-0.264486--0.081345))+0-30.3--0.0154529999999969</f>
        <v>328.63231200000001</v>
      </c>
      <c r="Q153" s="3">
        <f>0+(532.8-168.3)+(0+(0-0))+0-30.4-0</f>
        <v>334.09999999999997</v>
      </c>
      <c r="R153" s="3">
        <f>0+(532.7-164.3)+(0+(-0.271677--0.083793))+0-29.9--0.015248999999997</f>
        <v>338.32736500000004</v>
      </c>
      <c r="S153" s="3">
        <f>0+(490.3-137)+(0+(-0.500106--0.13974))+0-29.7--0.0302940000000047</f>
        <v>323.26992800000005</v>
      </c>
      <c r="T153" s="3">
        <f>0+(495-138)+(0+(-1.0098--0.28152))+0-30.7--0.0626279999999987</f>
        <v>325.63434800000005</v>
      </c>
      <c r="U153" s="3">
        <f>0+(524.6-167.6)+(0+(0.535092-0.170952))+0-30.9-0.0315180000000049</f>
        <v>326.43262200000004</v>
      </c>
      <c r="V153" s="3">
        <f>0+(524.4-167.1)+(0+(0.802332-0.255663))+0-31.2-0.0477360000000018</f>
        <v>326.59893299999999</v>
      </c>
      <c r="W153" s="3">
        <f>0+(557.9-206.9)+(0+(-0.569058--0.211038))+0-31.2--0.031824000000005</f>
        <v>319.47380400000003</v>
      </c>
      <c r="X153" s="3">
        <f>0+(531.3-185.8)+(0+(-0.812889--0.284274))+0-31--0.0474300000000018</f>
        <v>314.01881499999996</v>
      </c>
      <c r="Y153" s="3">
        <f>0+(488-135.9)+(0+(-0.24888--0.069309))+0-31.3--0.0159629999999968</f>
        <v>320.636392</v>
      </c>
      <c r="Z153" s="3">
        <f>0+(525.1-147.5)+(0+(-0.803403--0.225675))+0-31.4--0.0480420000000018</f>
        <v>345.67031400000008</v>
      </c>
      <c r="AA153" s="3">
        <f>0+(532.4-157.8)+(0+(-0.814572--0.241434))+0-31--0.0474300000000018</f>
        <v>343.07429200000001</v>
      </c>
      <c r="AB153" s="3">
        <f>0+(486.1-107.6)+(0+(-0.247911--0.054876))+0-30.8--0.0157079999999969</f>
        <v>347.522673</v>
      </c>
      <c r="AC153" s="3">
        <f>0+(454.6-72.3)+(0+(-0.231846--0.036873))+0-30.9--0.0157589999999969</f>
        <v>351.22078600000003</v>
      </c>
      <c r="AD153" s="2">
        <v>352.2</v>
      </c>
      <c r="AE153" s="3">
        <f>0+(554.4-170.8)+(0+(0-0))+0-31.4-0</f>
        <v>352.2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0+(462.8-78.8)+(0+(0.236028-0.040188))+0-30.9-0.0157589999999969</f>
        <v>353.280081</v>
      </c>
      <c r="G154" s="3">
        <f>0+(445.7-64.2)+(0+(0.227307-0.032742))+0-30.1-0.0153509999999969</f>
        <v>351.57921399999998</v>
      </c>
      <c r="H154" s="3">
        <f>0+(397.7-20.8)+(0+(-0.202827--0.010608))+0-29.8--0.015197999999997</f>
        <v>346.92297899999994</v>
      </c>
      <c r="I154" s="3">
        <f>0+(379.7-10.3)+(0+(-0.193647--0.005253))+0-28.6--0.0145859999999971</f>
        <v>340.62619199999995</v>
      </c>
      <c r="J154" s="3">
        <f>0+(393.6-20.8)+(0+(-0.602208--0.031824))+0-29.5--0.0451350000000017</f>
        <v>342.77475100000004</v>
      </c>
      <c r="K154" s="3">
        <f>0+(380.3-17.2)+(0+(0-0))+0-30.7-0</f>
        <v>332.40000000000003</v>
      </c>
      <c r="L154" s="3">
        <f>0+(346.1-1.6)+(0+(-0.882555--0.00408))+0-30.6--0.0780299999999956</f>
        <v>313.09955500000001</v>
      </c>
      <c r="M154" s="3">
        <f>0+(346.8-0)+(0+(-0.353736-0))+0-30.8--0.0314160000000049</f>
        <v>315.67767999999995</v>
      </c>
      <c r="N154" s="3">
        <f>0+(376-16.9)+(0+(0.38352-0.017238))+0-30.9-0.0315180000000049</f>
        <v>328.53476400000005</v>
      </c>
      <c r="O154" s="3">
        <f>0+(413.8-48.5)+(0+(-0.211038--0.024735))+0-30.3--0.0154529999999969</f>
        <v>334.82914999999997</v>
      </c>
      <c r="P154" s="3">
        <f>0+(452.6-77.9)+(0+(0.461652-0.079458))+0-31.3-0.031926000000005</f>
        <v>343.75026800000006</v>
      </c>
      <c r="Q154" s="3">
        <f>0+(549.8-175.4)+(0+(-0.560796--0.178908))+0-30.6--0.0312120000000049</f>
        <v>343.44932399999993</v>
      </c>
      <c r="R154" s="3">
        <f>0+(542.1-165.2)+(0+(-0.276471--0.084252))+0-30.2--0.0154019999999969</f>
        <v>346.52318300000002</v>
      </c>
      <c r="S154" s="3">
        <f>0+(489.8-114.1)+(0+(-0.249798--0.058191))+0-30.6--0.0156059999999969</f>
        <v>344.92399900000004</v>
      </c>
      <c r="T154" s="3">
        <f>0+(452.5-72.2)+(0+(-0.9231--0.147288))+0-30.6--0.0624239999999987</f>
        <v>348.98661200000004</v>
      </c>
      <c r="U154" s="3">
        <f>0+(483.2-108.2)+(0+(0-0))+0-29.4-0</f>
        <v>345.6</v>
      </c>
      <c r="V154" s="3">
        <f>0+(493.3-124.4)+(0+(-0.251583--0.063444))+0-27.8--0.0141779999999972</f>
        <v>340.926039</v>
      </c>
      <c r="W154" s="3">
        <f>0+(524.3-156.9)+(0+(-1.069572--0.320076))+0-27.6--0.0563039999999988</f>
        <v>339.10680799999994</v>
      </c>
      <c r="X154" s="3">
        <f>0+(524-158.1)+(0+(-0.80172--0.241893))+0-27.2--0.0416160000000016</f>
        <v>338.18178899999998</v>
      </c>
      <c r="Y154" s="3">
        <f>0+(433.9-56.4)+(0+(-0.663867--0.086292))+0-28.9--0.0442170000000017</f>
        <v>348.066642</v>
      </c>
      <c r="Z154" s="3">
        <f>0+(548.8-144.7)+(0+(-1.119552--0.295188))+0-30.7--0.0626279999999987</f>
        <v>372.63826399999999</v>
      </c>
      <c r="AA154" s="3">
        <f>0+(566.5-161.9)+(0+(-0.57783--0.165138))+0-31--0.0316200000000049</f>
        <v>373.21892800000006</v>
      </c>
      <c r="AB154" s="3">
        <f>0+(571.7-170.5)+(0+(-1.166268--0.34782))+0-30.8--0.0628319999999987</f>
        <v>369.64438400000006</v>
      </c>
      <c r="AC154" s="3">
        <f>0+(609-211)+(0+(0-0))+0-30.8-0</f>
        <v>367.2</v>
      </c>
      <c r="AD154" s="2">
        <v>366.4</v>
      </c>
      <c r="AE154" s="3">
        <f>0+(553.3-155.9)+(0+(0-0))+0-31-0</f>
        <v>366.4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0+(629.3-236.1)+(0+(0.320943-0.120411))+0-31.4-0.0160139999999968</f>
        <v>361.98451799999998</v>
      </c>
      <c r="G155" s="3">
        <f>0+(545.5-153.6)+(0+(0.278205-0.078336))+0-31.1-0.0158609999999968</f>
        <v>360.98400799999996</v>
      </c>
      <c r="H155" s="3">
        <f>0+(447.4-61.1)+(0+(0-0))+0-31.1-0</f>
        <v>355.19999999999993</v>
      </c>
      <c r="I155" s="3">
        <f>0+(436.2-51.3)+(0+(0-0))+0-31.1-0</f>
        <v>353.79999999999995</v>
      </c>
      <c r="J155" s="3">
        <f>0+(378.4-0)+(0+(-0.771936-0))+0-30.4--0.0620159999999987</f>
        <v>347.29007999999999</v>
      </c>
      <c r="K155" s="3">
        <f>0+(382.2-3.6)+(0+(-0.779688--0.007344))+0-31--0.0632399999999986</f>
        <v>346.890896</v>
      </c>
      <c r="L155" s="3">
        <f>0+(387.9-13.8)+(0+(-1.582632--0.056304))+0-30.6--0.124847999999997</f>
        <v>342.09851999999995</v>
      </c>
      <c r="M155" s="3">
        <f>0+(394.5-9)+(0+(0.40239-0.00918))+0-31.1-0.031722000000005</f>
        <v>354.76148799999999</v>
      </c>
      <c r="N155" s="3">
        <f>0+(465.1-60.7)+(0+(0.474402-0.061914))+0-31.4-0.032028000000005</f>
        <v>373.38046000000003</v>
      </c>
      <c r="O155" s="3">
        <f>0+(484.5-67.3)+(0+(0.247095-0.034323))+0-31.6-0.0161159999999968</f>
        <v>385.79665599999993</v>
      </c>
      <c r="P155" s="3">
        <f>54+(558.4-189.8)+(0.02754+(0.284784-0.096798))+0-31.6-0.0161159999999968</f>
        <v>391.19940999999994</v>
      </c>
      <c r="Q155" s="3">
        <f>303.2+(557.7-419.8)+(0.463896+(0.853281-0.642294))+0-31.4-0.0480420000000018</f>
        <v>410.32684100000006</v>
      </c>
      <c r="R155" s="3">
        <f>336.1+(461.2-351)+(-0.171411+(-0.235212--0.17901))+0-31.2--0.0159119999999968</f>
        <v>414.88829900000002</v>
      </c>
      <c r="S155" s="3">
        <f>336.6+(387.9-283.2)+(-0.343332+(-0.395658--0.288864))+0-31--0.0316200000000049</f>
        <v>409.88149400000003</v>
      </c>
      <c r="T155" s="3">
        <f>334.8+(325.8-220.9)+(-0.512244+(-0.498474--0.337977))+0-31.3--0.0478890000000018</f>
        <v>407.77514800000006</v>
      </c>
      <c r="U155" s="3">
        <f>335.5+(332.8-235.7)+(0.171105+(0.169728-0.120207))+0-30.8-0.0157079999999969</f>
        <v>402.00491799999998</v>
      </c>
      <c r="V155" s="3">
        <f>334+(365-266.3)+(-0.17034+(-0.18615--0.135813))+0-31--0.0158099999999969</f>
        <v>401.49513299999995</v>
      </c>
      <c r="W155" s="3">
        <f>334.1+(420.4-331.6)+(-0.170391+(-0.214404--0.169116))+0-30.3--0.0154529999999969</f>
        <v>392.39977399999992</v>
      </c>
      <c r="X155" s="3">
        <f>326.7+(486-399.5)+(-0.499851+(-0.74358--0.611235))+0-30.5--0.0466650000000018</f>
        <v>382.11446899999999</v>
      </c>
      <c r="Y155" s="3">
        <f>223.5+(453.4-265.9)+(-0.22797+(-0.462468--0.271218))+0-30.9--0.0315180000000049</f>
        <v>379.71229800000003</v>
      </c>
      <c r="Z155" s="3">
        <f>404.2+(426-394)+(0.206142+(0.21726-0.20094))+0-30.1-0.0153509999999969</f>
        <v>406.30711099999996</v>
      </c>
      <c r="AA155" s="3">
        <f>442.1+(371.2-371.5)+(-0.901884+(-0.757248--0.75786))+0-30.8--0.0628319999999987</f>
        <v>410.16156000000001</v>
      </c>
      <c r="AB155" s="3">
        <f>266.1+(468.2-307.3)+(0.135711+(0.238782-0.156723))+0-30.9-0.0157589999999969</f>
        <v>396.30201099999999</v>
      </c>
      <c r="AC155" s="3">
        <f>266.3+(404.5-249.6)+(0.271626+(0.41259-0.254592))+0-31-0.0316200000000049</f>
        <v>390.598004</v>
      </c>
      <c r="AD155" s="2">
        <v>414.59999999999997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79.7+(538.3-199.4)+(-0.081294+(-0.549066--0.203388))+0-30.7--0.0313140000000049</f>
        <v>387.50434200000001</v>
      </c>
      <c r="G156" s="3">
        <f>0+(501.8-94.7)+(0+(-0.255918--0.048297))+0-30.4--0.0155039999999969</f>
        <v>376.50788300000005</v>
      </c>
      <c r="H156" s="3">
        <f>0+(410.3-9.4)+(0+(-0.837012--0.019176))+0-30.1--0.0614039999999987</f>
        <v>370.04356799999999</v>
      </c>
      <c r="I156" s="3">
        <f>0+(395.3-0)+(0+(0.201603-0))+0-30.2-0.0154019999999969</f>
        <v>365.28620100000001</v>
      </c>
      <c r="J156" s="3">
        <f>0+(410.5-15.1)+(0+(1.25613-0.046206))+0-30.4-0.0930240000000035</f>
        <v>366.11689999999999</v>
      </c>
      <c r="K156" s="3">
        <f>0+(442.3-49.6)+(0+(0.225573-0.025296))+0-30.3-0.0154529999999969</f>
        <v>362.58482400000003</v>
      </c>
      <c r="L156" s="3">
        <f>0+(496.7-117.1)+(0+(-1.013268--0.238884))+0-30.6--0.0624239999999987</f>
        <v>348.28804000000002</v>
      </c>
      <c r="M156" s="3">
        <f>0+(514.4-122.1)+(0+(-0.262344--0.062271))+0-30.7--0.0156569999999969</f>
        <v>361.41558399999997</v>
      </c>
      <c r="N156" s="3">
        <f>69.8+(630.2-289.3)+(0.071196+(0.642804-0.295086))+0-29.7-0.0302940000000047</f>
        <v>381.38862</v>
      </c>
      <c r="O156" s="3">
        <f>137.3+(706.1-411.8)+(0+(0-0))+0-31.3-0</f>
        <v>400.3</v>
      </c>
      <c r="P156" s="3">
        <f>222+(627.5-380)+(0+(0-0))+0-30-0</f>
        <v>439.5</v>
      </c>
      <c r="Q156" s="3">
        <f>331.8+(562.3-462.5)+(-0.338436+(-0.573546--0.47175))+0-30.8--0.0314160000000049</f>
        <v>400.39118399999995</v>
      </c>
      <c r="R156" s="3">
        <f>341+(473-369.8)+(-0.34782+(-0.48246--0.377196))+0-31.5--0.032130000000005</f>
        <v>412.27904599999999</v>
      </c>
      <c r="S156" s="3">
        <f>339.8+(403.9-306.9)+(-0.346596+(-0.411978--0.313038))+0-30.8--0.0314160000000049</f>
        <v>405.58587999999997</v>
      </c>
      <c r="T156" s="3">
        <f>339.4+(371.2-275.7)+(0+(0-0))+0-30.6-0</f>
        <v>404.29999999999995</v>
      </c>
      <c r="U156" s="3">
        <f>339.1+(383.3-291.4)+(0.172941+(0.195483-0.148614))+0-30.9-0.0157589999999969</f>
        <v>400.30405100000007</v>
      </c>
      <c r="V156" s="3">
        <f>335.6+(429-340.5)+(-0.85578+(-1.09395--0.868275))+0-30.5--0.0777749999999956</f>
        <v>392.59631999999999</v>
      </c>
      <c r="W156" s="3">
        <f>333.2+(492-408.2)+(-0.679728+(-1.00368--0.832728))+0-30.3--0.0618119999999987</f>
        <v>385.91113199999995</v>
      </c>
      <c r="X156" s="3">
        <f>335.4+(527.6-461.8)+(-0.684216+(-1.076304--0.942072))+0-30.2--0.0616079999999987</f>
        <v>370.24315999999999</v>
      </c>
      <c r="Y156" s="3">
        <f>195.4+(526.7-314.2)+(-0.099654+(-0.268617--0.160242))+0-29.8--0.015197999999997</f>
        <v>377.90716900000007</v>
      </c>
      <c r="Z156" s="3">
        <f>201.1+(536.4-308.7)+(0+(0-0))+0-30.3-0</f>
        <v>398.49999999999994</v>
      </c>
      <c r="AA156" s="3">
        <f>197.6+(522.7-290.7)+(-0.50388+(-1.332885--0.741285))+0-30.6--0.0780299999999956</f>
        <v>397.98255</v>
      </c>
      <c r="AB156" s="3">
        <f>53.3+(559.1-195.4)+(-0.108732+(-1.140564--0.398616))+0-30.5--0.0622199999999987</f>
        <v>385.71154000000007</v>
      </c>
      <c r="AC156" s="3">
        <f>0+(592.8-177.3)+(0+(-0.604656--0.180846))+0-27.3--0.0278460000000044</f>
        <v>387.80403599999994</v>
      </c>
      <c r="AD156" s="2">
        <v>403.8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0+(642.9-224.6)+(0+(0-0))+0-30.9-0</f>
        <v>387.4</v>
      </c>
      <c r="G157" s="3">
        <f>0+(533.7-123.9)+(0+(0.272187-0.063189))+0-30.5-0.0155549999999969</f>
        <v>379.49344300000007</v>
      </c>
      <c r="H157" s="3">
        <f>0+(505.1-100)+(0+(1.030404-0.204))+0-30.5-0.0622199999999987</f>
        <v>375.36418400000002</v>
      </c>
      <c r="I157" s="3">
        <f>0+(523.4-122)+(0+(-0.266934--0.06222))+0-30.6--0.0156059999999969</f>
        <v>370.61089199999992</v>
      </c>
      <c r="J157" s="3">
        <f>0+(500.8-103.2)+(0+(-0.510816--0.105264))+0-30.5--0.0311100000000049</f>
        <v>366.72555800000004</v>
      </c>
      <c r="K157" s="3">
        <f>0+(484.9-87.3)+(0+(-0.741897--0.133569))+0-30.5--0.0466650000000018</f>
        <v>366.53833700000001</v>
      </c>
      <c r="L157" s="3">
        <f>0+(523.9-133.7)+(0+(-1.870323--0.477309))+0-30--0.1071</f>
        <v>358.914086</v>
      </c>
      <c r="M157" s="3">
        <f>0+(497.5-92.7)+(0+(-0.253725--0.047277))+0-30.4--0.0155039999999969</f>
        <v>374.20905600000003</v>
      </c>
      <c r="N157" s="3">
        <f>0+(519.8-92.6)+(0+(0.795294-0.141678))+0-31.2-0.0477360000000018</f>
        <v>396.60587999999996</v>
      </c>
      <c r="O157" s="3">
        <f>106.5+(499-178)+(-0.10863+(-0.50898--0.18156))+0-30.8--0.0314160000000049</f>
        <v>396.29536599999994</v>
      </c>
      <c r="P157" s="3">
        <f>308.6+(448-309.9)+(-0.157386+(-0.22848--0.158049))+0-31.2--0.0159119999999968</f>
        <v>415.28809500000006</v>
      </c>
      <c r="Q157" s="3">
        <f>347.1+(628.8-527.2)+(0.177021+(0.320688-0.268872))+0-31.5-0.0160649999999968</f>
        <v>417.41277199999996</v>
      </c>
      <c r="R157" s="3">
        <f>345.2+(683.1-588.1)+(0.176052+(0.348381-0.299931))+0-25.7-0.0131069999999974</f>
        <v>414.71139499999998</v>
      </c>
      <c r="S157" s="3">
        <f>341.1+(691.3-608)+(0.347922+(0.705126-0.62016))+0-32-0.0326400000000051</f>
        <v>392.80024799999995</v>
      </c>
      <c r="T157" s="3">
        <f>339+(689.1-609.7)+(-0.69156+(-1.405764--1.243788))+0-31.5--0.0642599999999986</f>
        <v>386.11072399999995</v>
      </c>
      <c r="U157" s="3">
        <f>339.2+(724.5-659.5)+(-0.345984+(-0.73899--0.67269))+0-30.9--0.0315180000000049</f>
        <v>372.91923400000002</v>
      </c>
      <c r="V157" s="3">
        <f>340.9+(757.5-695)+(-0.173859+(-0.386325--0.35445))+0-30.9--0.0157589999999969</f>
        <v>372.310025</v>
      </c>
      <c r="W157" s="3">
        <f>341.2+(790.1-727.4)+(-0.522036+(-1.208853--1.112922))+0-30.8--0.0471240000000018</f>
        <v>372.529157</v>
      </c>
      <c r="X157" s="3">
        <f>339.8+(771.2-712.8)+(-1.039788+(-2.359872--2.181168))+0-30.6--0.0936360000000035</f>
        <v>366.47514400000006</v>
      </c>
      <c r="Y157" s="3">
        <f>346.3+(664.8-606.7)+(0+(0-0))+0-30.4-0</f>
        <v>373.99999999999994</v>
      </c>
      <c r="Z157" s="3">
        <f>346.1+(716.1-642.1)+(0.176511+(0.365211-0.327471))+0-30.7-0.0156569999999969</f>
        <v>389.59859400000005</v>
      </c>
      <c r="AA157" s="3">
        <f>345.6+(735.3-664.8)+(-0.528768+(-1.125009--1.017144))+0-31--0.0474300000000018</f>
        <v>384.51079700000003</v>
      </c>
      <c r="AB157" s="3">
        <f>171.2+(817-572.5)+(-0.174624+(-0.83334--0.58395))+0-31--0.0316200000000049</f>
        <v>384.30760600000002</v>
      </c>
      <c r="AC157" s="3">
        <f>72.4+(802.2-466.6)+(-0.073848+(-0.818244--0.475932))+0-30.8--0.0314160000000049</f>
        <v>376.81525599999998</v>
      </c>
      <c r="AD157" s="2">
        <v>382.49999999999989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0+(747.8-346.7)+(0+(0-0))+0-30.7-0</f>
        <v>370.4</v>
      </c>
      <c r="G158" s="3">
        <f>0+(687.6-295.7)+(0+(-1.052028--0.452421))+0-30.5--0.0466650000000018</f>
        <v>360.84705800000006</v>
      </c>
      <c r="H158" s="3">
        <f>0+(654.4-266.9)+(0+(-1.001232--0.408357))+0-30.5--0.0466650000000018</f>
        <v>356.45379000000003</v>
      </c>
      <c r="I158" s="3">
        <f>0+(640.3-257)+(0+(-1.306212--0.52428))+0-30.9--0.0630359999999986</f>
        <v>351.681104</v>
      </c>
      <c r="J158" s="3">
        <f>0+(606.1-217.8)+(0+(-1.545555--0.55539))+0-30.4--0.0775199999999956</f>
        <v>356.98735500000004</v>
      </c>
      <c r="K158" s="3">
        <f>0+(547.7-157.3)+(0+(-0.279327--0.080223))+0-30.7--0.0156569999999969</f>
        <v>359.51655300000004</v>
      </c>
      <c r="L158" s="3">
        <f>0+(558.1-184)+(0+(0-0))+0-31-0</f>
        <v>343.1</v>
      </c>
      <c r="M158" s="3">
        <f>0+(553.5-181.3)+(0+(-0.846855--0.277389))+0-30--0.0459000000000017</f>
        <v>341.67643400000003</v>
      </c>
      <c r="N158" s="3">
        <f>0+(628.6-250.4)+(0+(0-0))+0-30-0</f>
        <v>348.20000000000005</v>
      </c>
      <c r="O158" s="3">
        <f>0+(626.1-243.4)+(0+(0.319311-0.124134))+0-29-0.0147899999999971</f>
        <v>353.88038700000004</v>
      </c>
      <c r="P158" s="3">
        <f>0+(675.6-297.3)+(0+(-0.689112--0.303246))+0-31--0.0316200000000049</f>
        <v>346.94575400000002</v>
      </c>
      <c r="Q158" s="3">
        <f>0+(833-451.6)+(0+(-0.42483--0.230316))+0-30--0.015299999999997</f>
        <v>351.22078599999998</v>
      </c>
      <c r="R158" s="3">
        <f>0+(855.4-473.7)+(0+(-0.436254--0.241587))+0-29.9--0.015248999999997</f>
        <v>351.62058200000001</v>
      </c>
      <c r="S158" s="3">
        <f>0+(797.3-410.2)+(0+(-0.813246--0.418404))+0-30.9--0.0315180000000049</f>
        <v>355.83667600000001</v>
      </c>
      <c r="T158" s="3">
        <f>0+(762.8-380.1)+(0+(-0.778056--0.387702))+0-30.1--0.0307020000000048</f>
        <v>352.24034799999993</v>
      </c>
      <c r="U158" s="3">
        <f>0+(775.7-397.1)+(0+(1.978035-1.012605))+0-28.1-0.0716549999999959</f>
        <v>351.39377500000001</v>
      </c>
      <c r="V158" s="3">
        <f>0+(775.1-397.3)+(0+(0.395301-0.202623))+0-27.6-0.0140759999999972</f>
        <v>350.378602</v>
      </c>
      <c r="W158" s="3">
        <f>0+(807.1-426.2)+(0+(-0.823242--0.434724))+0-29.2--0.0297840000000047</f>
        <v>351.34126600000008</v>
      </c>
      <c r="X158" s="3">
        <f>0+(805.7-421.2)+(0+(0.410907-0.214812))+0-29.9-0.015248999999997</f>
        <v>354.78084600000011</v>
      </c>
      <c r="Y158" s="3">
        <f>0+(749-346.1)+(0+(0.38199-0.176511))+0-30.6-0.0156059999999969</f>
        <v>372.48987299999999</v>
      </c>
      <c r="Z158" s="3">
        <f>0+(884.8-469.5)+(0+(0-0))+0-31.1-0</f>
        <v>384.19999999999993</v>
      </c>
      <c r="AA158" s="3">
        <f>0+(890.1-478.7)+(0+(-2.723706--1.464822))+0-30.9--0.0945540000000036</f>
        <v>379.33567000000005</v>
      </c>
      <c r="AB158" s="3">
        <f>0+(934.3-531.9)+(0+(-1.905972--1.085076))+0-30.9--0.0630359999999986</f>
        <v>370.74214000000001</v>
      </c>
      <c r="AC158" s="3">
        <f>0+(916.1-521.4)+(0+(-0.467211--0.265914))+0-30.8--0.0157079999999969</f>
        <v>363.71441100000004</v>
      </c>
      <c r="AD158" s="2">
        <v>372.1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0+(869.5-483.3)+(0+(0.88689-0.492966))+0-31-0.0316200000000049</f>
        <v>355.56230399999998</v>
      </c>
      <c r="G159" s="3">
        <f>0+(738-359.3)+(0+(-1.12914--0.549729))+0-30.9--0.0472770000000018</f>
        <v>347.26786600000003</v>
      </c>
      <c r="H159" s="3">
        <f>0+(662.1-286.7)+(0+(0-0))+0-30.8-0</f>
        <v>344.6</v>
      </c>
      <c r="I159" s="3">
        <f>0+(639.1-263.3)+(0+(-1.303764--0.537132))+0-30.6--0.0624239999999987</f>
        <v>344.49579199999999</v>
      </c>
      <c r="J159" s="3">
        <f>0+(576.6-204.6)+(0+(-1.176264--0.417384))+0-29.9--0.0609959999999987</f>
        <v>341.40211600000004</v>
      </c>
      <c r="K159" s="3">
        <f>0+(613.7-239.1)+(0+(0.312987-0.121941))+0-28.9-0.0147389999999971</f>
        <v>345.876307</v>
      </c>
      <c r="L159" s="3">
        <f>0+(596.7-225.5)+(0+(-0.608634--0.23001))+0-30.6--0.0312120000000049</f>
        <v>340.252588</v>
      </c>
      <c r="M159" s="3">
        <f>0+(637.1-248.8)+(0+(1.299684-0.507552))+0-30.6-0.0624239999999987</f>
        <v>358.42970799999995</v>
      </c>
      <c r="N159" s="3">
        <f>0+(731.4-318.8)+(0+(0.373014-0.162588))+0-25.9-0.0132089999999974</f>
        <v>386.89721699999996</v>
      </c>
      <c r="O159" s="3">
        <f>0+(819.6-389)+(0+(0.835992-0.39678))+0-29-0.0295800000000046</f>
        <v>402.00963200000001</v>
      </c>
      <c r="P159" s="3">
        <f>39.1+(851.4-450.6)+(0.019941+(0.434214-0.229806))+0-30.4-0.0155039999999969</f>
        <v>409.708845</v>
      </c>
      <c r="Q159" s="3">
        <f>198.8+(840.9-586)+(0.304164+(1.286577-0.89658))+0-30.8-0.0471240000000018</f>
        <v>423.54703699999999</v>
      </c>
      <c r="R159" s="3">
        <f>230.1+(792.1-566)+(-0.352053+(-1.211913--0.86598))+0-30.9--0.0472770000000018</f>
        <v>424.64929100000006</v>
      </c>
      <c r="S159" s="3">
        <f>230.5+(774.3-569.1)+(-0.23511+(-0.789786--0.580482))+0-30.6--0.0312120000000049</f>
        <v>404.6867979999999</v>
      </c>
      <c r="T159" s="3">
        <f>229.1+(724.4-546.6)+(0.116841+(0.369444-0.278766))+0-2.3-0.00117299999999977</f>
        <v>404.80634599999996</v>
      </c>
      <c r="U159" s="3">
        <f>226.2+(752.9-562.8)+(0.115362+(0.383979-0.287028))+0-20.3-0.0103529999999979</f>
        <v>396.20195999999999</v>
      </c>
      <c r="V159" s="3">
        <f>231.2+(769.2-585.7)+(-0.471648+(-1.569168--1.194828))+0-32.4--0.0660959999999986</f>
        <v>381.52010800000005</v>
      </c>
      <c r="W159" s="3">
        <f>145.5+(809.1-540.8)+(-0.222615+(-1.237923--0.827424))+0-31.4--0.0480420000000018</f>
        <v>381.81492800000012</v>
      </c>
      <c r="X159" s="3">
        <f>0+(853.7-450.7)+(0+(-1.306161--0.689571))+0-32.4--0.0495720000000019</f>
        <v>370.03298200000012</v>
      </c>
      <c r="Y159" s="3">
        <f>0+(708.2-293)+(0+(-0.361182--0.14943))+0-32.1--0.0163709999999967</f>
        <v>382.90461900000003</v>
      </c>
      <c r="Z159" s="3">
        <f>0+(821.3-389.5)+(0+(0-0))+0-31.9-0</f>
        <v>399.9</v>
      </c>
      <c r="AA159" s="3">
        <f>0+(833.5-404)+(0+(-2.125425--1.0302))+0-32--0.0815999999999954</f>
        <v>396.48637499999995</v>
      </c>
      <c r="AB159" s="3">
        <f>0+(835-415.4)+(0+(-2.12925--1.05927))+0-32.6--0.0831299999999953</f>
        <v>386.01315</v>
      </c>
      <c r="AC159" s="3">
        <f>0+(817.1-409.5)+(0+(-2.083605--1.044225))+0-32.2--0.0821099999999953</f>
        <v>374.44273000000004</v>
      </c>
      <c r="AD159" s="2">
        <v>397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0+(724.6-318.4)+(0+(-0.369546--0.162384))+0-31.9--0.0162689999999968</f>
        <v>374.10910700000011</v>
      </c>
      <c r="G160" s="3">
        <f>0+(651.7-253.4)+(0+(1.329468-0.516936))+0-30.9-0.0630359999999986</f>
        <v>368.14949600000006</v>
      </c>
      <c r="H160" s="3">
        <f>0+(654.2-263.3)+(0+(-1.000926--0.402849))+0-31.4--0.0480420000000018</f>
        <v>358.94996500000008</v>
      </c>
      <c r="I160" s="3">
        <f>0+(629.5-239.6)+(0+(0.64209-0.244392))+0-32.1-0.0327420000000051</f>
        <v>358.16495599999996</v>
      </c>
      <c r="J160" s="3">
        <f>0+(553-164.2)+(0+(-1.12812--0.334968))+0-32.2--0.0656879999999986</f>
        <v>355.87253600000003</v>
      </c>
      <c r="K160" s="3">
        <f>0+(530.9-144.9)+(0+(-0.270759--0.073899))+0-32.2--0.0164219999999967</f>
        <v>353.61956199999997</v>
      </c>
      <c r="L160" s="3">
        <f>0+(571.1-192)+(0+(-1.456305--0.4896))+0-31.9--0.0813449999999954</f>
        <v>346.31464000000005</v>
      </c>
      <c r="M160" s="3">
        <f>0+(625.5-233.4)+(0+(0-0))+0-31.4-0</f>
        <v>360.70000000000005</v>
      </c>
      <c r="N160" s="3">
        <f>0+(642.5-222.7)+(0+(0.327675-0.113577))+0-33.6-0.0171359999999966</f>
        <v>386.39696199999997</v>
      </c>
      <c r="O160" s="3">
        <f>0+(743.4-312.4)+(0+(0.379134-0.159324))+0-34.7-0.0176969999999965</f>
        <v>396.50211300000001</v>
      </c>
      <c r="P160" s="3">
        <f>57.8+(790.2-453.9)+(-0.029478+(-0.403002--0.231489))+0-33.8--0.0172379999999966</f>
        <v>360.1162470000001</v>
      </c>
      <c r="Q160" s="3">
        <f>236.8+(750.1-534.3)+(0.241536+(0.765102-0.544986))+0-33.9-0.0345780000000054</f>
        <v>419.12707400000011</v>
      </c>
      <c r="R160" s="3">
        <f>236.1+(680.4-459.3)+(-0.120411+(-0.347004--0.234243))+0-32.2--0.0164219999999967</f>
        <v>424.7832499999999</v>
      </c>
      <c r="S160" s="3">
        <f>235+(666.2-467.7)+(-0.2397+(-0.679524--0.477054))+0-32.1--0.0327420000000051</f>
        <v>400.99057200000004</v>
      </c>
      <c r="T160" s="3">
        <f>232+(666.8-465.4)+(0+(0-0))+0-32.2-0</f>
        <v>401.2</v>
      </c>
      <c r="U160" s="3">
        <f>230.1+(691.9-495.6)+(0.117351+(0.352869-0.252756))+0-31.9-0.0162689999999968</f>
        <v>394.70119499999998</v>
      </c>
      <c r="V160" s="3">
        <f>230+(715.7-521.6)+(-0.1173+(-0.365007--0.266016))+0-31.5--0.0160649999999968</f>
        <v>392.39977399999998</v>
      </c>
      <c r="W160" s="3">
        <f>176.3+(760.3-511.8)+(-0.179826+(-0.775506--0.522036))+0-32.1--0.0327420000000051</f>
        <v>392.29944599999993</v>
      </c>
      <c r="X160" s="3">
        <f>0+(711.2-300.2)+(0+(0.725424-0.306204))+0-32-0.0326400000000051</f>
        <v>379.38658000000004</v>
      </c>
      <c r="Y160" s="3">
        <f>0+(659-241.7)+(0+(0.33609-0.123267))+0-32.1-0.0163709999999967</f>
        <v>385.39645200000001</v>
      </c>
      <c r="Z160" s="3">
        <f>0+(823.7-397.2)+(0+(-0.840174--0.405144))+0-32.4--0.0330480000000052</f>
        <v>393.6980180000001</v>
      </c>
      <c r="AA160" s="3">
        <f>0+(789.1-363.3)+(0+(-1.207323--0.555849))+0-32.8--0.0501840000000019</f>
        <v>392.39870999999999</v>
      </c>
      <c r="AB160" s="3">
        <f>0+(741.4-322.5)+(0+(-1.134342--0.493425))+0-32.2--0.0492660000000019</f>
        <v>386.10834899999998</v>
      </c>
      <c r="AC160" s="3">
        <f>0+(668.1-260.9)+(0+(-1.703655--0.665295))+0-31.6--0.0805799999999954</f>
        <v>374.64222000000001</v>
      </c>
      <c r="AD160" s="2">
        <v>393.1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0+(716.3-309.8)+(0+(0-0))+0-31.9-0</f>
        <v>374.59999999999997</v>
      </c>
      <c r="G161" s="3">
        <f>0+(604.7-209)+(0+(-0.308397--0.10659))+0-32.2--0.0164219999999967</f>
        <v>363.31461500000006</v>
      </c>
      <c r="H161" s="3">
        <f>0+(551.7-159.9)+(0+(0-0))+0-32.6-0</f>
        <v>359.20000000000005</v>
      </c>
      <c r="I161" s="3">
        <f>0+(550.1-155.6)+(0+(-1.122204--0.317424))+0-32--0.0652799999999986</f>
        <v>361.76049999999998</v>
      </c>
      <c r="J161" s="3">
        <f>0+(549.9-160.1)+(0+(0-0))+0-32.3-0</f>
        <v>357.49999999999994</v>
      </c>
      <c r="K161" s="3">
        <f>0+(556.3-163.6)+(0+(-1.418565--0.41718))+0-32.1--0.0818549999999953</f>
        <v>359.6804699999999</v>
      </c>
      <c r="L161" s="3">
        <f>0+(564.5-181.8)+(0+(-1.439475--0.46359))+0-32.1--0.0818549999999953</f>
        <v>349.70596999999998</v>
      </c>
      <c r="M161" s="3">
        <f>0+(654.4-262.6)+(0+(0.333744-0.133926))+0-32.4-0.0165239999999967</f>
        <v>359.58329399999997</v>
      </c>
      <c r="N161" s="3">
        <f>0+(683.2-264.3)+(0+(0-0))+0-33.6-0</f>
        <v>385.3</v>
      </c>
      <c r="O161" s="3">
        <f>0+(731.7-299.6)+(0+(0.746334-0.305592))+0-33.1-0.0337620000000053</f>
        <v>399.40697999999998</v>
      </c>
      <c r="P161" s="3">
        <f>0+(812-375.8)+(0+(0-0))+0-32.8-0</f>
        <v>403.4</v>
      </c>
      <c r="Q161" s="3">
        <f>0+(835.4-393.8)+(0+(0.426054-0.200838))+0-32.7-0.0166769999999967</f>
        <v>409.10853899999995</v>
      </c>
      <c r="R161" s="3">
        <f>0+(799.8-352.7)+(0+(-0.815796--0.359754))+0-32.3--0.0329460000000051</f>
        <v>414.37690399999991</v>
      </c>
      <c r="S161" s="3">
        <f>0+(775.6-344.3)+(0+(-0.395556--0.175593))+0-32.1--0.0163709999999967</f>
        <v>398.99640799999997</v>
      </c>
      <c r="T161" s="3">
        <f>0+(717.4-287.7)+(0+(-0.731748--0.293454))+0-32.5--0.0331500000000052</f>
        <v>396.79485599999998</v>
      </c>
      <c r="U161" s="3">
        <f>0+(709.7-281.4)+(0+(1.085841-0.430542))+0-32.1-0.0491130000000019</f>
        <v>396.80618600000008</v>
      </c>
      <c r="V161" s="3">
        <f>0+(697.1-272.3)+(0+(0-0))+0-32.2-0</f>
        <v>392.6</v>
      </c>
      <c r="W161" s="3">
        <f>0+(739.1-324.5)+(0+(-1.130823--0.496485))+0-32.2--0.0492660000000019</f>
        <v>381.81492800000001</v>
      </c>
      <c r="X161" s="3">
        <f>0+(790.5-383.6)+(0+(-2.822085--1.369452))+0-32.4--0.115668</f>
        <v>373.16303500000004</v>
      </c>
      <c r="Y161" s="3">
        <f>0+(689.8-273)+(0+(0-0))+0-32.3-0</f>
        <v>384.49999999999994</v>
      </c>
      <c r="Z161" s="3">
        <f>0+(719-283.4)+(0+(0.36669-0.144534))+0-32.2-0.0164219999999967</f>
        <v>403.60573400000004</v>
      </c>
      <c r="AA161" s="3">
        <f>0+(716-284.9)+(0+(-1.46064--0.581196))+0-32.4--0.0660959999999986</f>
        <v>397.88665200000008</v>
      </c>
      <c r="AB161" s="3">
        <f>0+(758.8-338.7)+(0+(0-0))+0-31.8-0</f>
        <v>388.29999999999995</v>
      </c>
      <c r="AC161" s="3">
        <f>0+(677.4-265.1)+(0+(-0.345474--0.135201))+0-31.7--0.0161669999999968</f>
        <v>380.40589399999999</v>
      </c>
      <c r="AD161" s="2">
        <v>408.1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0+(663.6-257.9)+(0+(-0.676872--0.263058))+0-31.9--0.0325380000000051</f>
        <v>373.41872400000005</v>
      </c>
      <c r="G162" s="3">
        <f>0+(581.3-182.8)+(0+(-0.296463--0.093228))+0-32.6--0.0166259999999967</f>
        <v>365.71339099999989</v>
      </c>
      <c r="H162" s="3">
        <f>0+(538.9-148.5)+(0+(-0.824517--0.227205))+0-31.7--0.0485010000000018</f>
        <v>358.15118899999999</v>
      </c>
      <c r="I162" s="3">
        <f>0+(537-148)+(0+(-0.27387--0.07548))+0-32.1--0.0163709999999967</f>
        <v>356.71798099999995</v>
      </c>
      <c r="J162" s="3">
        <f>0+(565.5-182)+(0+(0.865215-0.27846))+0-31.8-0.0486540000000018</f>
        <v>352.23810099999997</v>
      </c>
      <c r="K162" s="3">
        <f>0+(561.5-179.6)+(0+(0.859095-0.274788))+0-30.8-0.0471240000000018</f>
        <v>351.63718299999999</v>
      </c>
      <c r="L162" s="3">
        <f>0+(581.9-206.5)+(0+(0.593538-0.21063))+0-31.9-0.0325380000000051</f>
        <v>343.85037</v>
      </c>
      <c r="M162" s="3">
        <f>0+(531.7-144.2)+(0+(0-0))+0-32.1-0</f>
        <v>355.40000000000003</v>
      </c>
      <c r="N162" s="3">
        <f>0+(595-182.3)+(0+(-0.91035--0.278919))+0-32.7--0.0500310000000019</f>
        <v>379.41859999999997</v>
      </c>
      <c r="O162" s="3">
        <f>0+(670.2-237.4)+(0+(0.341802-0.121074))+0-32.5-0.0165749999999967</f>
        <v>400.50415300000009</v>
      </c>
      <c r="P162" s="3">
        <f>0+(744.5-303.6)+(0+(1.898475-0.77418))+0-32.4-0.0826199999999953</f>
        <v>409.541675</v>
      </c>
      <c r="Q162" s="3">
        <f>0+(740.7-289.3)+(0+(0.377757-0.147543))+0-32.6-0.0166259999999967</f>
        <v>419.01358800000003</v>
      </c>
      <c r="R162" s="3">
        <f>0+(722.5-269.2)+(0+(-0.368475--0.137292))+0-32.5--0.0165749999999967</f>
        <v>420.58539200000001</v>
      </c>
      <c r="S162" s="3">
        <f>0+(665.2-231.4)+(0+(0-0))+0-32.5-0</f>
        <v>401.30000000000007</v>
      </c>
      <c r="T162" s="3">
        <f>0+(607.5-173.1)+(0+(-0.309825--0.088281))+0-32.3--0.0164729999999967</f>
        <v>401.89492899999999</v>
      </c>
      <c r="U162" s="3">
        <f>0+(637.3-208.7)+(0+(-0.325023--0.106437))+0-32.3--0.0164729999999967</f>
        <v>396.09788699999996</v>
      </c>
      <c r="V162" s="3">
        <f>0+(639.2-215.5)+(0+(-0.651984--0.21981))+0-32--0.0326400000000051</f>
        <v>391.30046600000009</v>
      </c>
      <c r="W162" s="3">
        <f>0+(666.6-243.7)+(0+(-0.339966--0.124287))+0-31.9--0.0162689999999968</f>
        <v>390.80059000000006</v>
      </c>
      <c r="X162" s="3">
        <f>0+(703.6-282.6)+(0+(-1.076508--0.432378))+0-31.9--0.0488070000000018</f>
        <v>388.50467700000002</v>
      </c>
      <c r="Y162" s="3">
        <f>0+(656.1-230.1)+(0+(0-0))+0-31.8-0</f>
        <v>394.2</v>
      </c>
      <c r="Z162" s="3">
        <f>0+(727.6-284.3)+(0+(-0.742152--0.289986))+0-32.5--0.0331500000000052</f>
        <v>410.38098400000001</v>
      </c>
      <c r="AA162" s="3">
        <f>0+(724.9-288.4)+(0+(-0.369699--0.147084))+0-31.2--0.0159119999999968</f>
        <v>405.09329700000001</v>
      </c>
      <c r="AB162" s="3">
        <f>0+(767.1-341.7)+(0+(-0.391221--0.174267))+0-32--0.0163199999999968</f>
        <v>393.19936600000005</v>
      </c>
      <c r="AC162" s="3">
        <f>0+(767.4-352.1)+(0+(-1.174122--0.538713))+0-32.3--0.0494190000000019</f>
        <v>382.41400999999996</v>
      </c>
      <c r="AD162" s="2">
        <v>417.90000000000003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0+(742.6-338.3)+(0+(-0.757452--0.345066))+0-32.1--0.0327420000000051</f>
        <v>371.82035599999995</v>
      </c>
      <c r="G163" s="3">
        <f>0+(712.6-322.2)+(0+(-1.453704--0.657288))+0-31.9--0.0650759999999986</f>
        <v>357.76866000000001</v>
      </c>
      <c r="H163" s="3">
        <f>0+(629.5-244.6)+(0+(-0.963135--0.374238))+0-31.7--0.0485010000000018</f>
        <v>352.659604</v>
      </c>
      <c r="I163" s="3">
        <f>0+(597.4-217.2)+(0+(-1.52337--0.55386))+0-31.2--0.0795599999999955</f>
        <v>348.11005</v>
      </c>
      <c r="J163" s="3">
        <f>0+(595.1-223.3)+(0+(1.214004-0.455532))+0-30.3-0.0618119999999987</f>
        <v>342.19666000000001</v>
      </c>
      <c r="K163" s="3">
        <f>0+(591.7-217.4)+(0+(0.603534-0.221748))+0-32-0.0326400000000051</f>
        <v>342.64914600000003</v>
      </c>
      <c r="L163" s="3">
        <f>0+(584-206.2)+(0+(-0.89352--0.315486))+0-32.5--0.0497250000000019</f>
        <v>344.77169100000003</v>
      </c>
      <c r="M163" s="3">
        <f>0+(615.4-224.1)+(0+(0.313854-0.114291))+0-32.7-0.0166769999999967</f>
        <v>358.78288599999996</v>
      </c>
      <c r="N163" s="3">
        <f>0+(755.8-336.4)+(0+(0-0))+0-34-0</f>
        <v>385.4</v>
      </c>
      <c r="O163" s="3">
        <f>56.3+(736.6-346.9)+(0.028713+(0.375666-0.176919))+0-34.1-0.0173909999999965</f>
        <v>412.11006900000007</v>
      </c>
      <c r="P163" s="3">
        <f>237.2+(727.1-506.6)+(0.120972+(0.370821-0.258366))+0-33.9-0.0172889999999966</f>
        <v>424.01613800000001</v>
      </c>
      <c r="Q163" s="3">
        <f>394.8+(650.2-582.7)+(0.604044+(0.994806-0.891531))+0-34.7-0.053091000000002</f>
        <v>428.25422800000001</v>
      </c>
      <c r="R163" s="3">
        <f>432.4+(552.3-518)+(0.441048+(0.563346-0.52836))+0-32.5-0.0331500000000052</f>
        <v>434.64288399999998</v>
      </c>
      <c r="S163" s="3">
        <f>432.3+(477.9-463.3)+(0.220473+(0.243729-0.236283))+0-32.1-0.0163709999999967</f>
        <v>415.01154799999995</v>
      </c>
      <c r="T163" s="3">
        <f>432.1+(430.5-416.7)+(0+(0-0))+0-32.6-0</f>
        <v>413.3</v>
      </c>
      <c r="U163" s="3">
        <f>431.2+(433.1-416.3)+(-0.219912+(-0.220881--0.212313))+0-32.4--0.0165239999999967</f>
        <v>415.38804400000004</v>
      </c>
      <c r="V163" s="3">
        <f>427.6+(433.2-421.7)+(-1.09038+(-1.10466--1.075335))+0-32--0.0815999999999954</f>
        <v>406.06189499999999</v>
      </c>
      <c r="W163" s="3">
        <f>427.4+(489.7-484.4)+(-1.307844+(-1.498482--1.482264))+0-28.6--0.0875160000000033</f>
        <v>402.86345399999993</v>
      </c>
      <c r="X163" s="3">
        <f>371.7+(589.1-537.5)+(-0.568701+(-0.901323--0.822375))+0-32.1--0.0491130000000019</f>
        <v>390.60146399999996</v>
      </c>
      <c r="Y163" s="3">
        <f>204.4+(604.2-386.9)+(0.104244+(0.308142-0.197319))+0-32.1-0.0163709999999967</f>
        <v>389.79869600000001</v>
      </c>
      <c r="Z163" s="3">
        <f>438.6+(482.1-470.6)+(-0.447372+(-0.491742--0.480012))+0-32.4--0.0330480000000052</f>
        <v>417.27394600000008</v>
      </c>
      <c r="AA163" s="3">
        <f>450+(494.9-494)+(-0.918+(-1.009596--1.00776))+0-32.4--0.0660959999999986</f>
        <v>417.64626000000004</v>
      </c>
      <c r="AB163" s="3">
        <f>448+(510.4-522.5)+(-0.68544+(-0.780912--0.799425))+0-32.5--0.0497250000000019</f>
        <v>402.78279800000001</v>
      </c>
      <c r="AC163" s="3">
        <f>453.8+(433.5-460.2)+(0.694314+(0.663255-0.704106))+0-32.2-0.0492660000000019</f>
        <v>395.50419700000003</v>
      </c>
      <c r="AD163" s="2">
        <v>415.69999999999993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207.3+(555.3-345.9)+(-0.211446+(-0.566406--0.352818))+0-32--0.0326400000000051</f>
        <v>384.30760600000002</v>
      </c>
      <c r="G164" s="3">
        <f>9.6+(461.5-62)+(0.004896+(0.235365-0.03162))+0-29.2-0.014891999999997</f>
        <v>380.09374900000006</v>
      </c>
      <c r="H164" s="3">
        <f>0+(444-37.9)+(0+(0.45288-0.038658))+0-31.5-0.032130000000005</f>
        <v>374.98209200000002</v>
      </c>
      <c r="I164" s="3">
        <f>0+(423.8-23.8)+(0+(-0.432276--0.024276))+0-32--0.0326400000000051</f>
        <v>367.62464</v>
      </c>
      <c r="J164" s="3">
        <f>0+(426-21.8)+(0+(1.30356-0.066708))+0-32.6-0.0997560000000038</f>
        <v>372.73709599999995</v>
      </c>
      <c r="K164" s="3">
        <f>0+(406.4-6.4)+(0+(0.829056-0.013056))+0-32.5-0.0662999999999986</f>
        <v>368.24969999999996</v>
      </c>
      <c r="L164" s="3">
        <f>10+(435.5-40.1)+(0.0102+(0.44421-0.040902))+0-32.6-0.0332520000000052</f>
        <v>373.18025599999993</v>
      </c>
      <c r="M164" s="3">
        <f>10+(471.8-74.4)+(0.0306+(1.443708-0.227664))+0-33.2-0.101592000000004</f>
        <v>375.34505200000001</v>
      </c>
      <c r="N164" s="3">
        <f>10+(483.8-59.7)+(0.0153+(0.740214-0.091341))+0-34.9-0.053397000000002</f>
        <v>399.81077600000003</v>
      </c>
      <c r="O164" s="3">
        <f>11.9+(613.2-187.3)+(0+(0-0))+0-34.3-0</f>
        <v>403.5</v>
      </c>
      <c r="P164" s="3">
        <f>398.3+(496.4-451)+(0.203133+(0.253164-0.23001))+0-34.1-0.0173909999999965</f>
        <v>409.808896</v>
      </c>
      <c r="Q164" s="3">
        <f>451+(441.4-431.3)+(0.23001+(0.225114-0.219963))+0-33.8-0.0172379999999966</f>
        <v>427.51792299999994</v>
      </c>
      <c r="R164" s="3">
        <f>447.9+(349.8-341.2)+(-0.685287+(-0.535194--0.522036))+0-31.6--0.0483480000000018</f>
        <v>424.24990299999996</v>
      </c>
      <c r="S164" s="3">
        <f>444.7+(323.4-330.9)+(-0.680391+(-0.494802--0.506277))+0-32.4--0.0495720000000019</f>
        <v>404.180656</v>
      </c>
      <c r="T164" s="3">
        <f>446.8+(330.7-343.3)+(-0.227868+(-0.168657--0.175083))+0-32.5--0.0165749999999967</f>
        <v>401.49513299999995</v>
      </c>
      <c r="U164" s="3">
        <f>446.3+(346.5-366.8)+(0+(0-0))+0-32-0</f>
        <v>394</v>
      </c>
      <c r="V164" s="3">
        <f>445.1+(416-441.7)+(-0.227001+(-0.21216--0.225267))+0-31.8--0.0162179999999968</f>
        <v>387.40232400000002</v>
      </c>
      <c r="W164" s="3">
        <f>446+(487.6-508.1)+(0+(0-0))+0-32.1-0</f>
        <v>393.4</v>
      </c>
      <c r="X164" s="3">
        <f>274.5+(607.4-467.5)+(-0.419985+(-0.929322--0.715275))+0-31.7--0.0485010000000018</f>
        <v>382.11446899999999</v>
      </c>
      <c r="Y164" s="3">
        <f>201.1+(602-385.9)+(0+(0-0))+0-31.6-0</f>
        <v>385.6</v>
      </c>
      <c r="Z164" s="3">
        <f>380.8+(505.2-453.8)+(0+(0-0))+0-30.6-0</f>
        <v>401.59999999999997</v>
      </c>
      <c r="AA164" s="3">
        <f>343.7+(517-424.2)+(-0.525861+(-0.79101--0.649026))+0-31.6--0.0483480000000018</f>
        <v>404.28050299999995</v>
      </c>
      <c r="AB164" s="3">
        <f>157.8+(608.8-345.5)+(-0.40239+(-1.55244--0.881025))+0-31.5--0.0803249999999954</f>
        <v>388.60651999999999</v>
      </c>
      <c r="AC164" s="3">
        <f>6+(646.7-247.6)+(-0.00612+(-0.659634--0.252552))+0-31.5--0.032130000000005</f>
        <v>373.21892800000001</v>
      </c>
      <c r="AD164" s="2">
        <v>407.99999999999994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0+(623.3-219.3)+(0+(-0.953649--0.335529))+0-32--0.0489600000000018</f>
        <v>371.43083999999999</v>
      </c>
      <c r="G165" s="3">
        <f>0+(562.9-167.2)+(0+(-0.861237--0.255816))+0-31.4--0.0480420000000018</f>
        <v>363.74262100000004</v>
      </c>
      <c r="H165" s="3">
        <f>0+(590.1-202.6)+(0+(-0.601902--0.206652))+0-31.4--0.032028000000005</f>
        <v>355.73677800000007</v>
      </c>
      <c r="I165" s="3">
        <f>0+(577-196.1)+(0+(0.29427-0.100011))+0-31.4-0.0160139999999968</f>
        <v>349.678245</v>
      </c>
      <c r="J165" s="3">
        <f>0+(528.1-149.9)+(0+(-1.077324--0.305796))+0-31.9--0.0650759999999986</f>
        <v>345.59354800000006</v>
      </c>
      <c r="K165" s="3">
        <f>0+(500.7-129.5)+(0+(-0.766071--0.198135))+0-31.8--0.0486540000000018</f>
        <v>338.880718</v>
      </c>
      <c r="L165" s="3">
        <f>0+(468.2-110.2)+(0+(-1.19391--0.28101))+0-31.9--0.0813449999999954</f>
        <v>325.26844500000004</v>
      </c>
      <c r="M165" s="3">
        <f>0+(458.1-110.1)+(0+(0.233631-0.056151))+0-31.8-0.0162179999999968</f>
        <v>316.36126200000001</v>
      </c>
      <c r="N165" s="3">
        <f>0+(514.4-161.7)+(0+(0.262344-0.082467))+0-32-0.0163199999999968</f>
        <v>320.86355699999996</v>
      </c>
      <c r="O165" s="3">
        <f>0+(589-229)+(0+(-0.60078--0.23358))+0-32.5--0.0331500000000052</f>
        <v>327.16594999999995</v>
      </c>
      <c r="P165" s="3">
        <f>0+(595.2-227.2)+(0+(0-0))+0-32.5-0</f>
        <v>335.50000000000006</v>
      </c>
      <c r="Q165" s="3">
        <f>0+(601.7-230)+(0+(0-0))+0-29.9-0</f>
        <v>341.80000000000007</v>
      </c>
      <c r="R165" s="3">
        <f>0+(646.2-271.8)+(0+(-0.329562--0.138618))+0-32.2--0.0164219999999967</f>
        <v>342.02547800000002</v>
      </c>
      <c r="S165" s="3">
        <f>0+(658.2-285.1)+(0+(-1.007046--0.436203))+0-31.9--0.0488070000000018</f>
        <v>340.67796400000003</v>
      </c>
      <c r="T165" s="3">
        <f>0+(643.4-275.4)+(0+(-1.312536--0.561816))+0-32.1--0.0654839999999986</f>
        <v>335.214764</v>
      </c>
      <c r="U165" s="3">
        <f>0+(615.4-256)+(0+(0.313854-0.13056))+0-26.1-0.0133109999999974</f>
        <v>333.46998299999996</v>
      </c>
      <c r="V165" s="3">
        <f>0+(614.9-247.5)+(0+(-1.567995--0.631125))+0-32--0.0815999999999954</f>
        <v>334.54472999999996</v>
      </c>
      <c r="W165" s="3">
        <f>0+(597.3-230)+(0+(-1.523115--0.5865))+0-32--0.0815999999999954</f>
        <v>334.44498499999992</v>
      </c>
      <c r="X165" s="3">
        <f>0+(612.1-244.8)+(0+(-0.624342--0.249696))+0-32--0.0326400000000051</f>
        <v>334.95799400000004</v>
      </c>
      <c r="Y165" s="3">
        <f>0+(675.2-292.8)+(0+(0.344352-0.149328))+0-32.1-0.0163709999999967</f>
        <v>350.47865300000001</v>
      </c>
      <c r="Z165" s="3">
        <f>0+(670-297)+(0+(0-0))+0-32-0</f>
        <v>341</v>
      </c>
      <c r="AA165" s="3">
        <f>0+(640.2-232.7)+(0+(-1.306008--0.474708))+0-32.1--0.0654839999999986</f>
        <v>374.63418400000006</v>
      </c>
      <c r="AB165" s="3">
        <f>0+(584-183.5)+(0+(0-0))+0-32.5-0</f>
        <v>368</v>
      </c>
      <c r="AC165" s="3">
        <f>0+(628.1-232.2)+(0+(-0.320331--0.118422))+0-31.7--0.0161669999999968</f>
        <v>364.01425800000004</v>
      </c>
      <c r="AD165" s="2">
        <v>373.29999999999995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0+(565.1-177.9)+(0+(-0.576402--0.181458))+0-31.4--0.032028000000005</f>
        <v>355.43708400000008</v>
      </c>
      <c r="G166" s="3">
        <f>0+(504.6-122.3)+(0+(-0.257346--0.062373))+0-31.6--0.0161159999999968</f>
        <v>350.521143</v>
      </c>
      <c r="H166" s="3">
        <f>0+(451.1-84.3)+(0+(-0.460122--0.085986))+0-31.6--0.032232000000005</f>
        <v>334.85809599999999</v>
      </c>
      <c r="I166" s="3">
        <f>0+(392.9-21.2)+(0+(0.601137-0.032436))+0-31.2-0.0477360000000018</f>
        <v>341.02096499999999</v>
      </c>
      <c r="J166" s="3">
        <f>0+(409.5-34.3)+(0+(-0.208845--0.017493))+0-31.6--0.0161159999999968</f>
        <v>343.42476399999998</v>
      </c>
      <c r="K166" s="3">
        <f>0+(423.4-44.7)+(0+(-1.07967--0.113985))+0-31.7--0.0808349999999954</f>
        <v>346.11514999999997</v>
      </c>
      <c r="L166" s="3">
        <f>0+(451.5-84.1)+(0+(-0.92106--0.171564))+0-31.7--0.0646679999999986</f>
        <v>335.01517199999995</v>
      </c>
      <c r="M166" s="3">
        <f>0+(450.3-63.2)+(0+(0.229653-0.032232))+0-32-0.0163199999999968</f>
        <v>355.28110100000004</v>
      </c>
      <c r="N166" s="3">
        <f>55.2+(483-121)+(0+(0-0))+0-34.1-0</f>
        <v>383.09999999999997</v>
      </c>
      <c r="O166" s="3">
        <f>161.1+(482.1-204.3)+(0+(0-0))+0-35-0</f>
        <v>403.9</v>
      </c>
      <c r="P166" s="3">
        <f>191.8+(562.5-305.1)+(0.195636+(0.57375-0.311202))+0-34.3-0.0349860000000055</f>
        <v>415.32319799999999</v>
      </c>
      <c r="Q166" s="3">
        <f>315.1+(633.3-490.7)+(0+(0-0))+0-33.4-0</f>
        <v>424.3</v>
      </c>
      <c r="R166" s="3">
        <f>450.9+(577.3-560.7)+(0+(0-0))+0-32.3-0</f>
        <v>435.19999999999987</v>
      </c>
      <c r="S166" s="3">
        <f>455.1+(509.8-518.7)+(-0.928404+(-1.039992--1.058148))+0-32--0.0652799999999986</f>
        <v>413.35503199999994</v>
      </c>
      <c r="T166" s="3">
        <f>455+(479-495.1)+(-0.69615+(-0.73287--0.757503))+0-31.8--0.0486540000000018</f>
        <v>406.47713699999997</v>
      </c>
      <c r="U166" s="3">
        <f>455.7+(504.6-526.3)+(0.232407+(0.257346-0.268413))+0-32.1-0.0163709999999967</f>
        <v>402.10496900000004</v>
      </c>
      <c r="V166" s="3">
        <f>454.4+(535.9-566.7)+(0.231744+(0.273309-0.289017))+0-31.4-0.0160139999999968</f>
        <v>392.40002199999992</v>
      </c>
      <c r="W166" s="3">
        <f>298.3+(650.4-530.3)+(0+(0-0))+0-31.1-0</f>
        <v>387.3</v>
      </c>
      <c r="X166" s="3">
        <f>201+(630.5-425.6)+(0.20502+(0.64311-0.434112))+0-31-0.0316200000000049</f>
        <v>375.28239799999994</v>
      </c>
      <c r="Y166" s="3">
        <f>215.3+(565.1-361)+(0+(0-0))+0-31-0</f>
        <v>388.40000000000003</v>
      </c>
      <c r="Z166" s="3">
        <f>464.1+(501.1-522.5)+(-0.236691+(-0.255561--0.266475))+0-32.4--0.0165239999999967</f>
        <v>410.09074700000008</v>
      </c>
      <c r="AA166" s="3">
        <f>273.6+(550.9-383.5)+(-0.139536+(-0.280959--0.195585))+0-32.6--0.0166259999999967</f>
        <v>408.19171599999993</v>
      </c>
      <c r="AB166" s="3">
        <f>0+(683.9-266.7)+(0+(-0.697578--0.272034))+0-32--0.0326400000000051</f>
        <v>384.807096</v>
      </c>
      <c r="AC166" s="3">
        <f>0+(583.9-172.1)+(0+(-0.595578--0.175542))+0-32.7--0.0333540000000052</f>
        <v>378.71331800000002</v>
      </c>
      <c r="AD166" s="2">
        <v>409.00000000000006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0+(493.5-84.5)+(0+(-0.755055--0.129285))+0-32.1--0.0491130000000019</f>
        <v>376.32334299999997</v>
      </c>
      <c r="G167" s="3">
        <f>0+(501.5-98.6)+(0+(-1.278825--0.25143))+0-32.2--0.0821099999999953</f>
        <v>369.75471499999998</v>
      </c>
      <c r="H167" s="3">
        <f>0+(440.5-40.1)+(0+(-0.44931--0.040902))+0-31.7--0.0323340000000051</f>
        <v>368.32392599999997</v>
      </c>
      <c r="I167" s="3">
        <f>0+(447.9-51.8)+(0+(-0.913716--0.105672))+0-32.1--0.0654839999999986</f>
        <v>363.25743999999997</v>
      </c>
      <c r="J167" s="3">
        <f>0+(454.5-66.1)+(0+(-0.231795--0.033711))+0-32.1--0.0163709999999967</f>
        <v>356.11828699999995</v>
      </c>
      <c r="K167" s="3">
        <f>0+(429.8-30.3)+(0+(-0.219198--0.015453))+0-32.5--0.0165749999999967</f>
        <v>366.81282999999996</v>
      </c>
      <c r="L167" s="3">
        <f>0+(432.7-36.8)+(0+(-1.544739--0.131376))+0-31.9--0.113883</f>
        <v>362.70051999999998</v>
      </c>
      <c r="M167" s="3">
        <f>0+(496.6-92.1)+(0+(0.253266-0.046971))+0-32.3-0.0164729999999967</f>
        <v>372.38982199999998</v>
      </c>
      <c r="N167" s="3">
        <f>0+(599.9-169.4)+(0+(-0.305949--0.086394))+0-33--0.0168299999999967</f>
        <v>397.29727499999996</v>
      </c>
      <c r="O167" s="3">
        <f>0+(738-291)+(0+(0-0))+0-31.5-0</f>
        <v>415.5</v>
      </c>
      <c r="P167" s="3">
        <f>0+(797-343.3)+(0+(-0.40647--0.175083))+0-32.8--0.0167279999999967</f>
        <v>420.68534099999999</v>
      </c>
      <c r="Q167" s="3">
        <f>0+(803.7-343.6)+(0+(-0.409887--0.175236))+0-31--0.0158099999999969</f>
        <v>428.88115900000003</v>
      </c>
      <c r="R167" s="3">
        <f>0+(829.9-374.3)+(0+(-0.846498--0.381786))+0-32.7--0.0333540000000052</f>
        <v>422.46864199999999</v>
      </c>
      <c r="S167" s="3">
        <f>0+(826-394.2)+(0+(-0.42126--0.201042))+0-32.6--0.0166259999999967</f>
        <v>398.99640799999997</v>
      </c>
      <c r="T167" s="3">
        <f>0+(804.1-373)+(0+(-2.050455--0.95115))+0-32.6--0.0831299999999953</f>
        <v>397.48382499999997</v>
      </c>
      <c r="U167" s="3">
        <f>0+(837-414)+(0+(-0.85374--0.42228))+0-32.3--0.0329460000000051</f>
        <v>390.30148599999995</v>
      </c>
      <c r="V167" s="3">
        <f>0+(801.2-381.2)+(0+(-0.408612--0.194412))+0-32--0.0163199999999968</f>
        <v>387.80212000000006</v>
      </c>
      <c r="W167" s="3">
        <f>0+(772.2-356.1)+(0+(-1.96911--0.908055))+0-32--0.0815999999999954</f>
        <v>383.12054499999999</v>
      </c>
      <c r="X167" s="3">
        <f>0+(777.2-371.4)+(0+(-1.585488--0.757656))+0-31.8--0.0648719999999986</f>
        <v>373.23704000000004</v>
      </c>
      <c r="Y167" s="3">
        <f>0+(731.6-311.7)+(0+(0.373116-0.158967))+0-32.1-0.0163709999999967</f>
        <v>387.99777800000004</v>
      </c>
      <c r="Z167" s="3">
        <f>0+(847-423.8)+(0+(0-0))+0-32.2-0</f>
        <v>391</v>
      </c>
      <c r="AA167" s="3">
        <f>0+(816.1-401.4)+(0+(-2.913477--1.432998))+0-32.5--0.116025</f>
        <v>380.83554600000002</v>
      </c>
      <c r="AB167" s="3">
        <f>0+(821.8-420.5)+(0+(-1.257354--0.643365))+0-31.1--0.0475830000000018</f>
        <v>369.6335939999999</v>
      </c>
      <c r="AC167" s="3">
        <f>0+(835.9-444.3)+(0+(-1.278927--0.679779))+0-31.8--0.0486540000000018</f>
        <v>359.24950599999994</v>
      </c>
      <c r="AD167" s="2">
        <v>383.1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0+(803.6-412.5)+(0+(-2.04918--1.051875))+0-32.2--0.0821099999999953</f>
        <v>357.98480500000005</v>
      </c>
      <c r="G168" s="3">
        <f>0+(631-237.3)+(0+(-1.93086--0.726138))+0-32.7--0.100062000000004</f>
        <v>359.89533999999998</v>
      </c>
      <c r="H168" s="3">
        <f>0+(541.3-158.9)+(0+(-0.828189--0.243117))+0-30.3--0.0463590000000018</f>
        <v>351.56128699999994</v>
      </c>
      <c r="I168" s="3">
        <f>0+(532.6-152.6)+(0+(-0.543252--0.155652))+0-32.2--0.0328440000000051</f>
        <v>347.445244</v>
      </c>
      <c r="J168" s="3">
        <f>0+(530-150.1)+(0+(-0.2703--0.076551))+0-31.1--0.0158609999999968</f>
        <v>348.6221119999999</v>
      </c>
      <c r="K168" s="3">
        <f>0+(530.6-149.7)+(0+(-0.811818--0.229041))+0-31.2--0.0477360000000018</f>
        <v>349.16495900000001</v>
      </c>
      <c r="L168" s="3">
        <f>0+(569.3-188)+(0+(-0.290343--0.09588))+0-31--0.0158099999999969</f>
        <v>350.12134699999996</v>
      </c>
      <c r="M168" s="3">
        <f>0+(561.5-166.2)+(0+(0.286365-0.084762))+0-31.3-0.0159629999999968</f>
        <v>364.18563999999998</v>
      </c>
      <c r="N168" s="3">
        <f>0+(587.1-160)+(0+(0.299421-0.0816))+0-32.4-0.0165239999999967</f>
        <v>394.90129700000006</v>
      </c>
      <c r="O168" s="3">
        <f>0+(728.7-286.9)+(0+(-0.371637--0.146319))+0-33.8--0.0172379999999966</f>
        <v>407.79192000000006</v>
      </c>
      <c r="P168" s="3">
        <f>0+(787.9-347.8)+(0+(0.401829-0.177378))+0-34.5-0.0175949999999965</f>
        <v>405.80685599999998</v>
      </c>
      <c r="Q168" s="3">
        <f>0+(879.2-437.6)+(0+(0.448392-0.223176))+0-35-0.0178499999999964</f>
        <v>406.807366</v>
      </c>
      <c r="R168" s="3">
        <f>0+(878.2-434.8)+(0+(0-0))+0-32.8-0</f>
        <v>410.6</v>
      </c>
      <c r="S168" s="3">
        <f>0+(907.4-482.4)+(0+(-0.462774--0.246024))+0-32.8--0.0167279999999967</f>
        <v>391.999978</v>
      </c>
      <c r="T168" s="3">
        <f>0+(899.6-477.2)+(0+(-0.458796--0.243372))+0-32.3--0.0164729999999967</f>
        <v>389.90104900000006</v>
      </c>
      <c r="U168" s="3">
        <f>0+(897.6-481.2)+(0+(-2.28888--1.22706))+0-32.7--0.0833849999999953</f>
        <v>382.72156500000006</v>
      </c>
      <c r="V168" s="3">
        <f>0+(843.4-428.7)+(0+(-1.290402--0.655911))+0-32.4--0.0495720000000019</f>
        <v>381.715081</v>
      </c>
      <c r="W168" s="3">
        <f>0+(785.3-384)+(0+(-2.403018--1.17504))+0-32.6--0.0997560000000038</f>
        <v>367.57177799999994</v>
      </c>
      <c r="X168" s="3">
        <f>0+(767.7-374.6)+(0+(-2.740689--1.337322))+0-32.3--0.115311</f>
        <v>359.51194400000003</v>
      </c>
      <c r="Y168" s="3">
        <f>0+(668.4-249.7)+(0+(0.340884-0.127347))+0-33.2-0.0169319999999966</f>
        <v>385.69660499999998</v>
      </c>
      <c r="Z168" s="3">
        <f>0+(841.3-414.8)+(0+(-0.429063--0.211548))+0-32.9--0.0167789999999967</f>
        <v>393.39926399999996</v>
      </c>
      <c r="AA168" s="3">
        <f>0+(764.8-342.3)+(0+(-1.560192--0.698292))+0-32.5--0.0662999999999986</f>
        <v>389.20439999999996</v>
      </c>
      <c r="AB168" s="3">
        <f>0+(746.2-333.3)+(0+(-1.141686--0.509949))+0-32.7--0.0500310000000019</f>
        <v>379.61829400000005</v>
      </c>
      <c r="AC168" s="3">
        <f>0+(712.2-303.8)+(0+(-0.726444--0.309876))+0-32.3--0.0329460000000051</f>
        <v>375.71637800000002</v>
      </c>
      <c r="AD168" s="2">
        <v>393.89999999999992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0+(673-268.6)+(0+(-1.02969--0.410958))+0-30.7--0.0469710000000018</f>
        <v>373.12823899999995</v>
      </c>
      <c r="G169" s="3">
        <f>0+(665.5-272.2)+(0+(-0.339405--0.138822))+0-32.3--0.0164729999999967</f>
        <v>360.81589000000002</v>
      </c>
      <c r="H169" s="3">
        <f>0+(610.2-223.5)+(0+(-0.622404--0.22797))+0-30.8--0.0314160000000049</f>
        <v>355.53698200000002</v>
      </c>
      <c r="I169" s="3">
        <f>0+(574.1-189.9)+(0+(-0.878373--0.290547))+0-31.7--0.0485010000000018</f>
        <v>351.96067500000004</v>
      </c>
      <c r="J169" s="3">
        <f>0+(560.5-174.8)+(0+(1.14342-0.356592))+0-31.5-0.0642599999999986</f>
        <v>354.92256800000001</v>
      </c>
      <c r="K169" s="3">
        <f>0+(567.7-181.6)+(0+(-0.868581--0.277848))+0-31.8--0.0486540000000018</f>
        <v>353.75792100000001</v>
      </c>
      <c r="L169" s="3">
        <f>0+(587.5-208.7)+(0+(-1.498125--0.532185))+0-31.7--0.0808349999999954</f>
        <v>346.21489500000001</v>
      </c>
      <c r="M169" s="3">
        <f>0+(569.8-180.3)+(0+(-0.290598--0.091953))+0-31.9--0.0162689999999968</f>
        <v>357.41762399999999</v>
      </c>
      <c r="N169" s="3">
        <f>0+(650.5-230.5)+(0+(-0.331755--0.117555))+0-33.9--0.0172889999999966</f>
        <v>385.90308900000002</v>
      </c>
      <c r="O169" s="3">
        <f>0+(785.9-355.1)+(0+(0-0))+0-33.8-0</f>
        <v>396.99999999999994</v>
      </c>
      <c r="P169" s="3">
        <f>0+(758.6-319.3)+(0+(0-0))+0-34.1-0</f>
        <v>405.2</v>
      </c>
      <c r="Q169" s="3">
        <f>0+(811.3-363.3)+(0+(0-0))+0-35.3-0</f>
        <v>412.69999999999993</v>
      </c>
      <c r="R169" s="3">
        <f>0+(839.6-394.6)+(0+(-1.284588--0.603738))+0-33.4--0.0511020000000019</f>
        <v>410.97025200000002</v>
      </c>
      <c r="S169" s="3">
        <f>0+(857.5-441.8)+(0+(-0.87465--0.450636))+0-33--0.0336600000000053</f>
        <v>382.30964599999999</v>
      </c>
      <c r="T169" s="3">
        <f>0+(879.8-463.7)+(0+(0-0))+0-33.1-0</f>
        <v>382.99999999999994</v>
      </c>
      <c r="U169" s="3">
        <f>0+(894.5-481.9)+(0+(1.368585-0.737307))+0-33.2-0.0507960000000019</f>
        <v>379.98048200000005</v>
      </c>
      <c r="V169" s="3">
        <f>0+(876.1-468.1)+(0+(-2.234055--1.193655))+0-32.9--0.0838949999999952</f>
        <v>374.14349500000003</v>
      </c>
      <c r="W169" s="3">
        <f>0+(876.2-471.9)+(0+(-2.23431--1.203345))+0-32.6--0.0831299999999953</f>
        <v>370.75216500000005</v>
      </c>
      <c r="X169" s="3">
        <f>0+(764.7-368.6)+(0+(-1.169991--0.563958))+0-32.6--0.0498780000000019</f>
        <v>362.94384499999995</v>
      </c>
      <c r="Y169" s="3">
        <f>0+(695.8-278.2)+(0+(0.354858-0.141882))+0-32.6-0.0166259999999967</f>
        <v>385.19635</v>
      </c>
      <c r="Z169" s="3">
        <f>0+(875.9-455.3)+(0+(-1.340127--0.696609))+0-32.9--0.0503370000000019</f>
        <v>387.10681900000003</v>
      </c>
      <c r="AA169" s="3">
        <f>0+(873-458.9)+(0+(-2.67138--1.404234))+0-32.6--0.0997560000000038</f>
        <v>380.33260999999999</v>
      </c>
      <c r="AB169" s="3">
        <f>0+(868.3-469.4)+(0+(-2.214165--1.19697))+0-32.3--0.0823649999999953</f>
        <v>365.66516999999993</v>
      </c>
      <c r="AC169" s="3">
        <f>0+(779.3-380)+(0+(-2.384658--1.1628))+0-32.3--0.0988380000000037</f>
        <v>365.87697999999995</v>
      </c>
      <c r="AD169" s="2">
        <v>385.90000000000003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0+(653.2-252.6)+(0+(-1.332528--0.515304))+0-32.4--0.0660959999999986</f>
        <v>367.44887200000005</v>
      </c>
      <c r="G170" s="3">
        <f>0+(578.1-184.9)+(0+(0.294831-0.094299))+0-31.8-0.0162179999999968</f>
        <v>361.58431400000006</v>
      </c>
      <c r="H170" s="3">
        <f>0+(461.7-70.9)+(0+(0.235467-0.036159))+0-32.3-0.0164729999999967</f>
        <v>358.6828349999999</v>
      </c>
      <c r="I170" s="3">
        <f>0+(435.8-57.6)+(0+(-0.666774--0.088128))+0-32--0.0489600000000018</f>
        <v>345.67031400000002</v>
      </c>
      <c r="J170" s="3">
        <f>0+(433.8-57.6)+(0+(-0.442476--0.058752))+0-32--0.0326400000000051</f>
        <v>343.84891600000003</v>
      </c>
      <c r="K170" s="3">
        <f>0+(445.8-69.6)+(0+(-0.682074--0.106488))+0-32.1--0.0491130000000019</f>
        <v>343.57352700000001</v>
      </c>
      <c r="L170" s="3">
        <f>0+(480.2-100.1)+(0+(-1.469412--0.306306))+0-31.8--0.0973080000000037</f>
        <v>347.23420199999998</v>
      </c>
      <c r="M170" s="3">
        <f>0+(563.2-178.1)+(0+(0.287232-0.090831))+0-32.4-0.0165239999999967</f>
        <v>352.87987700000002</v>
      </c>
      <c r="N170" s="3">
        <f>0+(741.9-334.3)+(0+(-0.378369--0.170493))+0-33.3--0.0169829999999966</f>
        <v>374.10910699999994</v>
      </c>
      <c r="O170" s="3">
        <f>0+(768.1-353.3)+(0+(-0.391731--0.180183))+0-34.9--0.0177989999999965</f>
        <v>379.70625100000001</v>
      </c>
      <c r="P170" s="3">
        <f>0+(843.2-419.9)+(0+(-1.290096--0.642447))+0-35.4--0.054162000000002</f>
        <v>387.30651300000011</v>
      </c>
      <c r="Q170" s="3">
        <f>0+(950.2-519)+(0+(-0.484602--0.26469))+0-33.6--0.0171359999999966</f>
        <v>397.39722399999999</v>
      </c>
      <c r="R170" s="3">
        <f>0+(959.5-526)+(0+(-1.468035--0.80478))+0-34.4--0.052632000000002</f>
        <v>398.48937700000005</v>
      </c>
      <c r="S170" s="3">
        <f>0+(958.9-548.9)+(0+(-1.467117--0.839817))+0-33.2--0.0507960000000019</f>
        <v>376.22349600000001</v>
      </c>
      <c r="T170" s="3">
        <f>0+(986.9-578.9)+(0+(-0.503319--0.295239))+0-32.6--0.0166259999999967</f>
        <v>375.20854599999996</v>
      </c>
      <c r="U170" s="3">
        <f>0+(986.1-583.1)+(0+(0.502911-0.297381))+0-32.8-0.0167279999999967</f>
        <v>370.388802</v>
      </c>
      <c r="V170" s="3">
        <f>0+(983.3-586.9)+(0+(-1.002966--0.598638))+0-32.8--0.0334560000000052</f>
        <v>363.22912799999995</v>
      </c>
      <c r="W170" s="3">
        <f>0+(893.6-497.9)+(0+(-1.822944--1.015716))+0-32.6--0.0665039999999986</f>
        <v>362.35927600000002</v>
      </c>
      <c r="X170" s="3">
        <f>0+(809.9-411.3)+(0+(-0.826098--0.419526))+0-32.6--0.0332520000000052</f>
        <v>365.62667999999996</v>
      </c>
      <c r="Y170" s="3">
        <f>0+(728-314.6)+(0+(-0.74256--0.320892))+0-32.7--0.0333540000000052</f>
        <v>380.31168600000001</v>
      </c>
      <c r="Z170" s="3">
        <f>0+(897.8-483.2)+(0+(-0.457878--0.246432))+0-33.3--0.0169829999999966</f>
        <v>381.10553699999991</v>
      </c>
      <c r="AA170" s="3">
        <f>0+(921.3-510.2)+(0+(-3.289041--1.821414))+0-33--0.11781</f>
        <v>376.75018299999999</v>
      </c>
      <c r="AB170" s="3">
        <f>0+(849.7-445.6)+(0+(-1.733388--0.909024))+0-32.6--0.0665039999999986</f>
        <v>370.74214000000001</v>
      </c>
      <c r="AC170" s="3">
        <f>0+(719.4-320.4)+(0+(0-0))+0-32.5-0</f>
        <v>366.5</v>
      </c>
      <c r="AD170" s="2">
        <v>381.6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0+(575.3-174.6)+(0+(-0.586806--0.178092))+0-32.9--0.0335580000000052</f>
        <v>367.42484400000001</v>
      </c>
      <c r="G171" s="3">
        <f>0+(500.6-112.7)+(0+(-0.765918--0.172431))+0-32.7--0.0500310000000019</f>
        <v>354.65654400000005</v>
      </c>
      <c r="H171" s="3">
        <f>0+(492.3-100.2)+(0+(-1.004292--0.204408))+0-32.5--0.0662999999999986</f>
        <v>358.86641600000002</v>
      </c>
      <c r="I171" s="3">
        <f>0+(529.6-149.7)+(0+(-0.540192--0.152694))+0-32.7--0.0333540000000052</f>
        <v>346.84585600000008</v>
      </c>
      <c r="J171" s="3">
        <f>0+(541-166.4)+(0+(0.82773-0.254592))+0-32.5-0.0497250000000019</f>
        <v>342.62341299999997</v>
      </c>
      <c r="K171" s="3">
        <f>0+(552-174.9)+(0+(1.12608-0.356796))+0-32.4-0.0660959999999986</f>
        <v>345.40318800000006</v>
      </c>
      <c r="L171" s="3">
        <f>0+(551-176.4)+(0+(-0.28101--0.089964))+0-32.8--0.0167279999999967</f>
        <v>341.62568200000004</v>
      </c>
      <c r="M171" s="3">
        <f>0+(561.9-167.6)+(0+(0-0))+0-32.9-0</f>
        <v>361.4</v>
      </c>
      <c r="N171" s="3">
        <f>0+(706.4-303.1)+(0+(0.720528-0.309162))+0-33-0.0336600000000053</f>
        <v>370.67770599999994</v>
      </c>
      <c r="O171" s="3">
        <f>0+(806.9-389.9)+(0+(0.411519-0.198849))+0-32.9-0.0167789999999967</f>
        <v>384.29589100000004</v>
      </c>
      <c r="P171" s="3">
        <f>0+(905.4-489.9)+(0+(0.461754-0.249849))+0-33.1-0.0168809999999966</f>
        <v>382.59502399999997</v>
      </c>
      <c r="Q171" s="3">
        <f>0+(933.3-509.6)+(0+(0.475983-0.259896))+0-33.3-0.0169829999999966</f>
        <v>390.59910399999995</v>
      </c>
      <c r="R171" s="3">
        <f>0+(916.2-492.1)+(0+(-0.467262--0.250971))+0-32.8--0.0167279999999967</f>
        <v>391.100437</v>
      </c>
      <c r="S171" s="3">
        <f>0+(919.9-525.5)+(0+(-0.938298--0.53601))+0-32.4--0.0330480000000052</f>
        <v>361.63076000000001</v>
      </c>
      <c r="T171" s="3">
        <f>0+(889.8-501.1)+(0+(-0.453798--0.255561))+0-32.3--0.0164729999999967</f>
        <v>356.21823599999993</v>
      </c>
      <c r="U171" s="3">
        <f>0+(896.2-509.3)+(0+(0.914124-0.519486))+0-32.4-0.0330480000000052</f>
        <v>354.86159000000004</v>
      </c>
      <c r="V171" s="3">
        <f>0+(869.4-485.4)+(0+(-1.773576--0.990216))+0-32.6--0.0665039999999986</f>
        <v>350.68314399999997</v>
      </c>
      <c r="W171" s="3">
        <f>0+(803.4-423.9)+(0+(-0.409734--0.216189))+0-32--0.0163199999999968</f>
        <v>347.32277500000004</v>
      </c>
      <c r="X171" s="3">
        <f>0+(667.2-290)+(0+(-1.020816--0.4437))+0-32--0.0489600000000018</f>
        <v>344.67184400000008</v>
      </c>
      <c r="Y171" s="3">
        <f>0+(683-293)+(0+(0.69666-0.29886))+0-32-0.0326400000000051</f>
        <v>358.36516</v>
      </c>
      <c r="Z171" s="3">
        <f>0+(846.4-443.6)+(0+(-0.863328--0.452472))+0-32--0.0326400000000051</f>
        <v>370.42178399999995</v>
      </c>
      <c r="AA171" s="3">
        <f>0+(857.7-457.4)+(0+(-0.437427--0.233274))+0-32--0.0163199999999968</f>
        <v>368.11216700000006</v>
      </c>
      <c r="AB171" s="3">
        <f>0+(722.6-330.4)+(0+(0-0))+0-32-0</f>
        <v>360.20000000000005</v>
      </c>
      <c r="AC171" s="3">
        <f>0+(659.5-269.5)+(0+(-1.009035--0.412335))+0-32--0.0489600000000018</f>
        <v>357.45226000000002</v>
      </c>
      <c r="AD171" s="2">
        <v>374.4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0+(566.8-168.7)+(0+(-0.578136--0.172074))+0-12--0.0122400000000019</f>
        <v>385.70617799999997</v>
      </c>
      <c r="G172" s="3">
        <f>0+(566.7-182.1)+(0+(-0.289017--0.092871))+0-12--0.00611999999999878</f>
        <v>372.40997400000003</v>
      </c>
      <c r="H172" s="3">
        <f>0+(535-159.9)+(0+(-0.81855--0.244647))+0-12--0.0183600000000007</f>
        <v>362.54445700000002</v>
      </c>
      <c r="I172" s="3">
        <f>0+(477.5-107.3)+(0+(-0.243525--0.054723))+0-12--0.00611999999999878</f>
        <v>358.01731799999999</v>
      </c>
      <c r="J172" s="3">
        <f>0+(475.3-107.8)+(0+(-1.212015--0.27489))+0-12--0.0305999999999983</f>
        <v>354.59347500000001</v>
      </c>
      <c r="K172" s="3">
        <f>0+(488.7-125.1)+(0+(0.747711-0.191403))+0-12-0.0183600000000007</f>
        <v>352.13794800000005</v>
      </c>
      <c r="L172" s="3">
        <f>0+(487.9-149.7)+(0+(-1.492974--0.458082))+0-12--0.0367200000000014</f>
        <v>325.20182799999998</v>
      </c>
      <c r="M172" s="3">
        <f>0+(447-102.1)+(0+(-0.68391--0.156213))+0-12--0.0183600000000007</f>
        <v>332.39066299999996</v>
      </c>
      <c r="N172" s="3">
        <f>0+(443.1-88.2)+(0+(-0.451962--0.089964))+0-12--0.0122400000000019</f>
        <v>342.55024200000003</v>
      </c>
      <c r="O172" s="3">
        <f>0+(530.3-168.3)+(0+(-1.081812--0.343332))+0-12--0.0244799999999995</f>
        <v>349.28599999999994</v>
      </c>
      <c r="P172" s="3">
        <f>0+(608.8-242.1)+(0+(-0.620976--0.246942))+0-12--0.0122400000000019</f>
        <v>354.33820599999996</v>
      </c>
      <c r="Q172" s="3">
        <f>0+(774.2-410)+(0+(-0.394842--0.2091))+0-12--0.00611999999999878</f>
        <v>352.02037800000005</v>
      </c>
      <c r="R172" s="3">
        <f>0+(814.8-448.5)+(0+(0.415548-0.228735))+0-31-0.0158099999999969</f>
        <v>335.47100299999994</v>
      </c>
      <c r="S172" s="3">
        <f>78.3+(743.6-467.9)+(-0.079866+(-0.758472--0.477258))+0-31--0.0316200000000049</f>
        <v>322.67054000000007</v>
      </c>
      <c r="T172" s="3">
        <f>117.3+(680.1-438.8)+(-0.239292+(-1.387404--0.895152))+0-31--0.0632399999999986</f>
        <v>326.93169600000004</v>
      </c>
      <c r="U172" s="3">
        <f>116.7+(658.4-417.1)+(0.119034+(0.671568-0.425442))+0-31-0.0316200000000049</f>
        <v>327.33353999999991</v>
      </c>
      <c r="V172" s="3">
        <f>116+(578.3-339.4)+(0.05916+(0.294933-0.173094))+0-32-0.0163199999999968</f>
        <v>323.06467899999996</v>
      </c>
      <c r="W172" s="3">
        <f>116+(536.8-286.9)+(-0.05916+(-0.273768--0.146319))+0-31--0.0158099999999969</f>
        <v>334.72920099999999</v>
      </c>
      <c r="X172" s="3">
        <f>57.9+(483.7-175)+(0.088587+(0.740061-0.26775))+0-32-0.0489600000000018</f>
        <v>335.11193799999995</v>
      </c>
      <c r="Y172" s="3">
        <f>73.1+(535.1-223.3)+(0.074562+(0.545802-0.227766))+0-31-0.0316200000000049</f>
        <v>354.26097799999997</v>
      </c>
      <c r="Z172" s="3">
        <f>121+(639-365.8)+(-0.12342+(-0.65178--0.373116))+0-32--0.0326400000000051</f>
        <v>361.830556</v>
      </c>
      <c r="AA172" s="3">
        <f>122.6+(638.8-362.7)+(-0.062526+(-0.325788--0.184977))+0-32--0.0163199999999968</f>
        <v>366.51298299999996</v>
      </c>
      <c r="AB172" s="3">
        <f>115+(457.4-170)+(0.05865+(0.233274-0.0867))+0-32-0.0163199999999968</f>
        <v>370.58890399999996</v>
      </c>
      <c r="AC172" s="3">
        <f>12+(480.1-100.7)+(-0.01836+(-0.734553--0.154071))+0-32--0.0489600000000018</f>
        <v>358.85011800000007</v>
      </c>
      <c r="AD172" s="2">
        <v>356.4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0+(524.2-140.6)+(0+(-0.534684--0.143412))+0-30--0.0306000000000048</f>
        <v>353.239328</v>
      </c>
      <c r="G173" s="3">
        <f>0+(538.4-162.4)+(0+(-0.823752--0.248472))+0-32--0.0489600000000018</f>
        <v>343.47368</v>
      </c>
      <c r="H173" s="3">
        <f>0+(466.6-95.7)+(0+(-0.713898--0.146421))+0-29--0.0443700000000017</f>
        <v>341.37689300000005</v>
      </c>
      <c r="I173" s="3">
        <f>0+(476.3-105.6)+(0+(-0.728739--0.161568))+0-32--0.0489600000000018</f>
        <v>338.18178900000009</v>
      </c>
      <c r="J173" s="3">
        <f>0+(415.3-48.3)+(0+(-0.847212--0.098532))+0-31--0.0632399999999986</f>
        <v>335.31456000000003</v>
      </c>
      <c r="K173" s="3">
        <f>0+(425.5-56.9)+(0+(0.217005-0.029019))+0-31-0.0158099999999969</f>
        <v>337.77217600000006</v>
      </c>
      <c r="L173" s="3">
        <f>0+(437.9-66.4)+(0+(-0.669987--0.101592))+0-31--0.0474300000000018</f>
        <v>339.97903500000001</v>
      </c>
      <c r="M173" s="3">
        <f>0+(460.1-80.3)+(0+(-0.234651--0.040953))+0-33--0.0168299999999967</f>
        <v>346.623132</v>
      </c>
      <c r="N173" s="3">
        <f>0+(560.1-148.4)+(0+(0.571302-0.151368))+0-34-0.0346800000000054</f>
        <v>378.08525400000008</v>
      </c>
      <c r="O173" s="3">
        <f>35.8+(630.6-232.5)+(-0.018258+(-0.321606--0.118575))+0-33--0.0168299999999967</f>
        <v>400.69554099999999</v>
      </c>
      <c r="P173" s="3">
        <f>115+(683.9-363.8)+(-0.05865+(-0.348789--0.185538))+0-30--0.015299999999997</f>
        <v>404.89339899999999</v>
      </c>
      <c r="Q173" s="3">
        <f>127.7+(800.7-492.1)+(0.195381+(1.225071-0.752913))+0-30-0.0459000000000017</f>
        <v>406.92163899999997</v>
      </c>
      <c r="R173" s="3">
        <f>316.7+(718.7-581.3)+(0.484551+(1.099611-0.889389))+0-30-0.0459000000000017</f>
        <v>424.74887300000006</v>
      </c>
      <c r="S173" s="3">
        <f>347.8+(667.9-582.4)+(-0.532134+(-1.021887--0.891072))+0-30--0.0459000000000017</f>
        <v>402.682951</v>
      </c>
      <c r="T173" s="3">
        <f>345.9+(687.3-606.8)+(0+(0-0))+0-30-0</f>
        <v>396.4</v>
      </c>
      <c r="U173" s="3">
        <f>343+(716.1-637.7)+(-0.87465+(-1.826055--1.626135))+0-30--0.0764999999999956</f>
        <v>390.40192999999999</v>
      </c>
      <c r="V173" s="3">
        <f>346.4+(734.3-672.4)+(0.529992+(1.123479-1.028772))+0-30-0.0459000000000017</f>
        <v>378.87879899999996</v>
      </c>
      <c r="W173" s="3">
        <f>343.5+(717.8-659.8)+(-0.70074+(-1.464312--1.345992))+0-30--0.0611999999999987</f>
        <v>370.74214000000001</v>
      </c>
      <c r="X173" s="3">
        <f>250+(602.9-445)+(-0.765+(-1.844874--1.3617))+0-30--0.0918000000000035</f>
        <v>376.74362599999995</v>
      </c>
      <c r="Y173" s="3">
        <f>229.7+(491.3-295.5)+(0+(0-0))+0-30-0</f>
        <v>395.5</v>
      </c>
      <c r="Z173" s="3">
        <f>230.8+(471.8-259.4)+(0.117708+(0.240618-0.132294))+0-30-0.015299999999997</f>
        <v>413.410732</v>
      </c>
      <c r="AA173" s="3">
        <f>231.6+(507.4-301)+(-0.236232+(-0.517548--0.30702))+0-30--0.0306000000000048</f>
        <v>407.58384000000001</v>
      </c>
      <c r="AB173" s="3">
        <f>236.1+(558.6-371.7)+(0+(0-0))+0-30-0</f>
        <v>393</v>
      </c>
      <c r="AC173" s="3">
        <f>108.2+(633.4-327.5)+(-0.220728+(-1.292136--0.6681))+0-30--0.0611999999999987</f>
        <v>383.31643599999995</v>
      </c>
      <c r="AD173" s="2">
        <v>409.90000000000003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0+(739.3-341.2)+(0+(0.754086-0.348024))+0-32-0.0326400000000051</f>
        <v>366.47342199999997</v>
      </c>
      <c r="G174" s="3">
        <f>0+(709.4-322.8)+(0+(0.723588-0.329256))+0-31-0.0316200000000049</f>
        <v>355.96271199999995</v>
      </c>
      <c r="H174" s="3">
        <f>0+(632.1-253.2)+(0+(0-0))+0-32-0</f>
        <v>346.90000000000003</v>
      </c>
      <c r="I174" s="3">
        <f>0+(629.7-255.1)+(0+(0.321147-0.130101))+0-31-0.0158099999999969</f>
        <v>343.77523600000001</v>
      </c>
      <c r="J174" s="3">
        <f>0+(639.6-264.6)+(0+(-1.304784--0.539784))+0-31--0.0632399999999986</f>
        <v>343.29824000000002</v>
      </c>
      <c r="K174" s="3">
        <f>0+(638.8-264.4)+(0+(-1.62894--0.67422))+0-30--0.0764999999999956</f>
        <v>343.52177999999998</v>
      </c>
      <c r="L174" s="3">
        <f>0+(663.8-295)+(0+(-2.708304--1.2036))+0-30--0.122399999999997</f>
        <v>337.41769599999992</v>
      </c>
      <c r="M174" s="3">
        <f>10.1+(683.7-316.2)+(0.010302+(0.697374-0.322524))+0-30-0.0306000000000048</f>
        <v>347.95455200000009</v>
      </c>
      <c r="N174" s="3">
        <f>105.8+(713.6-407.6)+(0.107916+(0.727872-0.415752))+0-30-0.0306000000000048</f>
        <v>382.189436</v>
      </c>
      <c r="O174" s="3">
        <f>215.7+(682.4-467)+(-0.110007+(-0.348024--0.23817))+0-29--0.0147899999999971</f>
        <v>401.89492899999999</v>
      </c>
      <c r="P174" s="3">
        <f>349+(740.7-643.8)+(0.53397+(1.133271-0.985014))+0-29-0.0443700000000017</f>
        <v>417.53785700000009</v>
      </c>
      <c r="Q174" s="3">
        <f>345.4+(790-684.3)+(0.528462+(1.2087-1.046979))+0-28-0.0428400000000016</f>
        <v>423.747343</v>
      </c>
      <c r="R174" s="3">
        <f>343.4+(753.5-650.6)+(-0.175134+(-0.384285--0.331806))+0-32--0.0163199999999968</f>
        <v>414.08870699999994</v>
      </c>
      <c r="S174" s="3">
        <f>339+(711.5-622.8)+(-0.69156+(-1.45146--1.270512))+0-31--0.0632399999999986</f>
        <v>395.89073200000007</v>
      </c>
      <c r="T174" s="3">
        <f>338.8+(746-667.2)+(0.172788+(0.38046-0.340272))+0-31-0.0158099999999969</f>
        <v>386.797166</v>
      </c>
      <c r="U174" s="3">
        <f>334.7+(755.9-668.5)+(-0.170697+(-0.385509--0.340935))+0-31--0.0158099999999969</f>
        <v>390.90053899999998</v>
      </c>
      <c r="V174" s="3">
        <f>331.8+(766.8-682.3)+(-0.338436+(-0.782136--0.695946))+0-31--0.0316200000000049</f>
        <v>384.90699400000005</v>
      </c>
      <c r="W174" s="3">
        <f>331.6+(767.8-714)+(0.169116+(0.391578-0.36414))+0-31-0.0158099999999969</f>
        <v>354.58074399999998</v>
      </c>
      <c r="X174" s="3">
        <f>247.6+(690.3-529.6)+(-0.883932+(-2.464371--1.890672))+0-31--0.11067</f>
        <v>375.95303899999999</v>
      </c>
      <c r="Y174" s="3">
        <f>277.3+(601.2-467.1)+(0.282846+(0.613224-0.476442))+0-31-0.0316200000000049</f>
        <v>380.78800799999999</v>
      </c>
      <c r="Z174" s="3">
        <f>344.5+(671.3-594.7)+(0+(0-0))+0-31-0</f>
        <v>390.09999999999991</v>
      </c>
      <c r="AA174" s="3">
        <f>346+(732.3-663.9)+(-0.52938+(-1.120419--1.015767))+0-31--0.0474300000000018</f>
        <v>382.81339800000001</v>
      </c>
      <c r="AB174" s="3">
        <f>349.7+(780.9-728.5)+(-0.178347+(-0.398259--0.371535))+0-31--0.0158099999999969</f>
        <v>370.91073899999998</v>
      </c>
      <c r="AC174" s="3">
        <f>203.5+(748.5-561.8)+(-0.311355+(-1.145205--0.859554))+0-31--0.0474300000000018</f>
        <v>358.65042400000004</v>
      </c>
      <c r="AD174" s="2">
        <v>387.9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0+(747.4-356.5)+(0+(-0.381174--0.181815))+0-32--0.0163199999999968</f>
        <v>358.71696099999997</v>
      </c>
      <c r="G175" s="3">
        <f>0+(609.7-222.3)+(0+(-0.932841--0.340119))+0-32--0.0489600000000018</f>
        <v>354.85623800000008</v>
      </c>
      <c r="H175" s="3">
        <f>0+(498.4-116.3)+(0+(-1.016736--0.237252))+0-32--0.0652799999999986</f>
        <v>349.38579599999991</v>
      </c>
      <c r="I175" s="3">
        <f>0+(482.6-108.5)+(0+(-0.738378--0.166005))+0-32--0.0489600000000018</f>
        <v>341.57658700000002</v>
      </c>
      <c r="J175" s="3">
        <f>0+(440.7-69.3)+(0+(-0.674271--0.106029))+0-32--0.0489600000000018</f>
        <v>338.880718</v>
      </c>
      <c r="K175" s="3">
        <f>0+(413.2-37)+(0+(0.421464-0.03774))+0-32-0.0326400000000051</f>
        <v>344.55108399999995</v>
      </c>
      <c r="L175" s="3">
        <f>0+(412.3-29)+(0+(-1.261638--0.08874))+0-32--0.0979200000000037</f>
        <v>350.22502200000002</v>
      </c>
      <c r="M175" s="3">
        <f>0+(426-32.5)+(0+(-0.21726--0.016575))+0-32--0.0163199999999968</f>
        <v>361.31563499999999</v>
      </c>
      <c r="N175" s="3">
        <f>25.8+(558.8-169.1)+(0+(0-0))+0-32-0</f>
        <v>383.49999999999994</v>
      </c>
      <c r="O175" s="3">
        <f>150.8+(564.2-271.5)+(0+(0-0))+0-32-0</f>
        <v>411.50000000000006</v>
      </c>
      <c r="P175" s="3">
        <f>215+(634.2-411.7)+(0+(0-0))+0-32-0</f>
        <v>405.50000000000006</v>
      </c>
      <c r="Q175" s="3">
        <f>342.5+(679-576.5)+(0.6987+(1.38516-1.17606))+0-32-0.0652799999999986</f>
        <v>413.84252000000004</v>
      </c>
      <c r="R175" s="3">
        <f>341+(683.1-583.3)+(0.17391+(0.348381-0.297483))+0-31-0.0158099999999969</f>
        <v>410.00899800000008</v>
      </c>
      <c r="S175" s="3">
        <f>339.8+(665.9-576.8)+(-0.346596+(-0.679218--0.588336))+0-31--0.0316200000000049</f>
        <v>397.49414200000007</v>
      </c>
      <c r="T175" s="3">
        <f>336.4+(675-584.3)+(-0.171564+(-0.34425--0.297993))+0-31--0.0158099999999969</f>
        <v>395.897989</v>
      </c>
      <c r="U175" s="3">
        <f>331.6+(681.5-589.8)+(-0.169116+(-0.347565--0.300798))+0-32--0.0163199999999968</f>
        <v>391.10043700000006</v>
      </c>
      <c r="V175" s="3">
        <f>330.6+(669.9-588.7)+(-0.674424+(-1.366596--1.200948))+0-32--0.0652799999999986</f>
        <v>379.02520799999991</v>
      </c>
      <c r="W175" s="3">
        <f>331.7+(694.4-618.7)+(0.169167+(0.354144-0.315537))+0-32-0.0163199999999968</f>
        <v>375.59145399999989</v>
      </c>
      <c r="X175" s="3">
        <f>289.3+(617.9-499.7)+(-0.295086+(-0.630258--0.509694))+0-32--0.0326400000000051</f>
        <v>375.11698999999999</v>
      </c>
      <c r="Y175" s="3">
        <f>276.9+(596.6-455.7)+(0.423657+(0.912798-0.697221))+0-32-0.0489600000000018</f>
        <v>386.39027399999998</v>
      </c>
      <c r="Z175" s="3">
        <f>350.2+(544-462.8)+(-0.714408+(-1.10976--0.944112))+0-32--0.0652799999999986</f>
        <v>398.58522399999993</v>
      </c>
      <c r="AA175" s="3">
        <f>351.5+(594.5-518.2)+(-1.254855+(-2.122365--1.849974))+0-32--0.11424</f>
        <v>394.38699399999996</v>
      </c>
      <c r="AB175" s="3">
        <f>356+(673.7-609.9)+(-0.54468+(-1.030761--0.933147))+0-32--0.0489600000000018</f>
        <v>387.2066660000001</v>
      </c>
      <c r="AC175" s="3">
        <f>292.3+(686.7-563)+(-0.149073+(-0.350217--0.28713))+0-32--0.0163199999999968</f>
        <v>383.80416000000008</v>
      </c>
      <c r="AD175" s="2">
        <v>386.6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263.2+(608.7-464.2)+(0.268464+(0.620874-0.473484))+0-32-0.0326400000000051</f>
        <v>376.08321400000005</v>
      </c>
      <c r="G176" s="3">
        <f>159.7+(615.9-375.8)+(0.162894+(0.628218-0.383316))+0-32-0.0326400000000051</f>
        <v>368.17515599999996</v>
      </c>
      <c r="H176" s="3">
        <f>100.4+(618.7-330)+(-0.153612+(-0.946611--0.5049))+0-32--0.0489600000000018</f>
        <v>356.55363700000004</v>
      </c>
      <c r="I176" s="3">
        <f>100.4+(535.4-250)+(-0.153612+(-0.819162--0.3825))+0-32--0.0489600000000018</f>
        <v>353.25868599999995</v>
      </c>
      <c r="J176" s="3">
        <f>100.5+(538.3-251.5)+(-0.051255+(-0.274533--0.128265))+0-32--0.0163199999999968</f>
        <v>355.11879699999997</v>
      </c>
      <c r="K176" s="3">
        <f>100.5+(529.1-242.3)+(-0.20502+(-1.079364--0.494292))+0-32--0.0652799999999986</f>
        <v>354.57518799999997</v>
      </c>
      <c r="L176" s="3">
        <f>100.4+(568-286.2)+(-0.051204+(-0.28968--0.145962))+0-31--0.0158099999999969</f>
        <v>351.02088800000001</v>
      </c>
      <c r="M176" s="3">
        <f>100.4+(635.4-344.3)+(0+(0-0))+0-31-0</f>
        <v>360.5</v>
      </c>
      <c r="N176" s="3">
        <f>138+(756.6-488.2)+(0.07038+(0.385866-0.248982))+0-31-0.0158099999999969</f>
        <v>375.59145400000006</v>
      </c>
      <c r="O176" s="3">
        <f>289+(743.4-618)+(0.29478+(0.758268-0.63036))+0-31-0.0316200000000049</f>
        <v>383.79106799999994</v>
      </c>
      <c r="P176" s="3">
        <f>346.7+(747.8-666)+(0.707268+(1.525512-1.35864))+0-31-0.0632399999999986</f>
        <v>398.31089999999995</v>
      </c>
      <c r="Q176" s="3">
        <f>338.7+(805.9-696.5)+(-0.172737+(-0.411009--0.355215))+0-31--0.0158099999999969</f>
        <v>416.88727899999998</v>
      </c>
      <c r="R176" s="3">
        <f>339.3+(838.7-735.4)+(0+(0-0))+0-31-0</f>
        <v>411.60000000000008</v>
      </c>
      <c r="S176" s="3">
        <f>336.5+(804.2-731.7)+(-0.34323+(-0.820284--0.746334))+0-31--0.0316200000000049</f>
        <v>377.61444000000006</v>
      </c>
      <c r="T176" s="3">
        <f>337+(753.6-675.6)+(-0.51561+(-1.153008--1.033668))+0-31--0.0474300000000018</f>
        <v>383.41248000000002</v>
      </c>
      <c r="U176" s="3">
        <f>339.1+(763.5-691.3)+(-0.172941+(-0.389385--0.352563))+0-31--0.0158099999999969</f>
        <v>380.10604700000005</v>
      </c>
      <c r="V176" s="3">
        <f>337.3+(755-701.7)+(-0.688092+(-1.5402--1.431468))+0-31--0.0632399999999986</f>
        <v>358.86641599999996</v>
      </c>
      <c r="W176" s="3">
        <f>335.7+(735.9-669.6)+(-1.027242+(-2.251854--2.048976))+0-31--0.0948600000000036</f>
        <v>369.86473999999993</v>
      </c>
      <c r="X176" s="3">
        <f>333.8+(661.4-594.8)+(-1.021428+(-2.023884--1.820088))+0-31--0.0948600000000036</f>
        <v>368.26963599999999</v>
      </c>
      <c r="Y176" s="3">
        <f>346.8+(652.6-580.5)+(-0.353736+(-0.665652--0.59211))+0-31--0.0316200000000049</f>
        <v>387.50434200000007</v>
      </c>
      <c r="Z176" s="3">
        <f>380.9+(748.4-701.1)+(-0.582777+(-1.145052--1.072683))+0-31--0.0474300000000018</f>
        <v>396.59228399999995</v>
      </c>
      <c r="AA176" s="3">
        <f>354.1+(751.9-685.3)+(-0.722364+(-1.533876--1.398012))+0-31--0.0632399999999986</f>
        <v>388.90501200000006</v>
      </c>
      <c r="AB176" s="3">
        <f>344.3+(767.7-703.3)+(-0.702372+(-1.566108--1.434732))+0-31--0.0632399999999986</f>
        <v>376.9294920000001</v>
      </c>
      <c r="AC176" s="3">
        <f>348.2+(578.3-523)+(0.710328+(1.179732-1.06692))+0-31-0.0632399999999986</f>
        <v>373.25989999999996</v>
      </c>
      <c r="AD176" s="2">
        <v>402.5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190+(628.3-416.7)+(-0.4845+(-1.602165--1.062585))+0-32--0.0815999999999954</f>
        <v>368.65751999999992</v>
      </c>
      <c r="G177" s="3">
        <f>0+(698.6-322.9)+(0+(0.356286-0.164679))+0-31-0.0158099999999969</f>
        <v>344.87579700000003</v>
      </c>
      <c r="H177" s="3">
        <f>0+(715.8-340.6)+(0+(-1.82529--0.86853))+0-31--0.0790499999999955</f>
        <v>343.32228999999995</v>
      </c>
      <c r="I177" s="3">
        <f>0+(711.8-339.4)+(0+(0-0))+0-29-0</f>
        <v>343.4</v>
      </c>
      <c r="J177" s="3">
        <f>0+(722.7-353.1)+(0+(0.368577-0.180081))+0-28-0.0142799999999972</f>
        <v>341.77421600000002</v>
      </c>
      <c r="K177" s="3">
        <f>0+(682.3-313.9)+(0+(1.043919-0.480267))+0-28-0.0428400000000016</f>
        <v>340.92081199999996</v>
      </c>
      <c r="L177" s="3">
        <f>0+(592-226.1)+(0+(-0.60384--0.230622))+0-29--0.0295800000000046</f>
        <v>336.55636199999998</v>
      </c>
      <c r="M177" s="3">
        <f>0+(566.3-215.5)+(0+(0.866439-0.329715))+0-27-0.0413100000000016</f>
        <v>324.29541399999994</v>
      </c>
      <c r="N177" s="3">
        <f>0+(691.9-332.7)+(0+(-0.352869--0.169677))+0-33--0.0168299999999967</f>
        <v>326.03363799999994</v>
      </c>
      <c r="O177" s="3">
        <f>0+(690-317.4)+(0+(0.3519-0.161874))+0-32-0.0163199999999968</f>
        <v>340.773706</v>
      </c>
      <c r="P177" s="3">
        <f>0+(674.4-294.1)+(0+(1.031832-0.449973))+0-31-0.0474300000000018</f>
        <v>349.83442899999994</v>
      </c>
      <c r="Q177" s="3">
        <f>0+(669.7-285.4)+(0+(0-0))+0-30-0</f>
        <v>354.30000000000007</v>
      </c>
      <c r="R177" s="3">
        <f>0+(647.8-266.4)+(0+(-0.330378--0.135864))+0-31--0.0158099999999969</f>
        <v>350.22129599999994</v>
      </c>
      <c r="S177" s="3">
        <f>0+(659.8-289.2)+(0+(-1.009494--0.442476))+0-31--0.0474300000000018</f>
        <v>339.08041199999997</v>
      </c>
      <c r="T177" s="3">
        <f>0+(666.4-299.4)+(0+(0-0))+0-31-0</f>
        <v>336</v>
      </c>
      <c r="U177" s="3">
        <f>0+(645.3-282.7)+(0+(0-0))+0-31-0</f>
        <v>331.59999999999997</v>
      </c>
      <c r="V177" s="3">
        <f>0+(654.4-291.5)+(0+(-1.66872--0.743325))+0-31--0.0790499999999955</f>
        <v>331.05365499999999</v>
      </c>
      <c r="W177" s="3">
        <f>0+(678.6-308.8)+(0+(-1.73043--0.78744))+0-31--0.0790499999999955</f>
        <v>337.93606</v>
      </c>
      <c r="X177" s="3">
        <f>0+(594.8-215.8)+(0+(-1.820088--0.660348))+0-31--0.0948600000000036</f>
        <v>346.93511999999993</v>
      </c>
      <c r="Y177" s="3">
        <f>0+(534.2-129.6)+(0+(0.817326-0.198288))+0-31-0.0474300000000018</f>
        <v>374.17160799999999</v>
      </c>
      <c r="Z177" s="3">
        <f>0+(556.7-142.3)+(0+(-0.851751--0.217719))+0-31--0.0474300000000018</f>
        <v>382.81339800000006</v>
      </c>
      <c r="AA177" s="3">
        <f>0+(686.8-277.9)+(0+(-1.050804--0.425187))+0-31--0.0474300000000018</f>
        <v>377.32181300000002</v>
      </c>
      <c r="AB177" s="3">
        <f>0+(683.5-277.6)+(0+(-2.09151--0.849456))+0-31--0.0948600000000036</f>
        <v>373.75280599999996</v>
      </c>
      <c r="AC177" s="3">
        <f>0+(658.2-263.8)+(0+(-1.342728--0.538152))+0-31--0.0632399999999986</f>
        <v>362.65866400000004</v>
      </c>
      <c r="AD177" s="2">
        <v>345.99999999999994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0+(607.4-224.6)+(0+(-0.619548--0.229092))+0-31--0.0316200000000049</f>
        <v>351.44116400000001</v>
      </c>
      <c r="G178" s="3">
        <f>0+(632.8-258.8)+(0+(-1.290912--0.527952))+0-31--0.0632399999999986</f>
        <v>342.30027999999993</v>
      </c>
      <c r="H178" s="3">
        <f>0+(626.3-255.2)+(0+(-1.597065--0.65076))+0-31--0.0790499999999955</f>
        <v>339.23274499999997</v>
      </c>
      <c r="I178" s="3">
        <f>0+(626.6-256.5)+(0+(-0.958698--0.392445))+0-31--0.0474300000000018</f>
        <v>338.58117700000003</v>
      </c>
      <c r="J178" s="3">
        <f>0+(560.2-190.3)+(0+(0.571404-0.194106))+0-31-0.0316200000000049</f>
        <v>339.245678</v>
      </c>
      <c r="K178" s="3">
        <f>0+(517-145.9)+(0+(-0.79101--0.223227))+0-31--0.0474300000000018</f>
        <v>339.57964700000002</v>
      </c>
      <c r="L178" s="3">
        <f>0+(488.5-123.1)+(0+(-0.49827--0.125562))+0-31--0.0316200000000049</f>
        <v>334.05891200000002</v>
      </c>
      <c r="M178" s="3">
        <f>0+(462.2-95.1)+(0+(0-0))+0-33-0</f>
        <v>334.1</v>
      </c>
      <c r="N178" s="3">
        <f>0+(473.6-87.5)+(0+(-0.241536--0.044625))+0-30--0.015299999999997</f>
        <v>355.91838900000005</v>
      </c>
      <c r="O178" s="3">
        <f>0+(468.7-67.9)+(0+(0.239037-0.034629))+0-31-0.0158099999999969</f>
        <v>369.98859799999997</v>
      </c>
      <c r="P178" s="3">
        <f>0+(485.6-80.4)+(0+(-0.247656--0.041004))+0-33--0.0168299999999967</f>
        <v>372.010178</v>
      </c>
      <c r="Q178" s="3">
        <f>0+(504.2-97.1)+(0+(-0.257142--0.049521))+0-31--0.0158099999999969</f>
        <v>375.90818899999999</v>
      </c>
      <c r="R178" s="3">
        <f>0+(499.5-97.7)+(0+(0.254745-0.049827))+0-31-0.0158099999999969</f>
        <v>370.98910800000004</v>
      </c>
      <c r="S178" s="3">
        <f>0+(511.7-119.8)+(0+(-0.782901--0.183294))+0-31--0.0474300000000018</f>
        <v>360.34782300000001</v>
      </c>
      <c r="T178" s="3">
        <f>0+(521.8-133)+(0+(-0.266118--0.06783))+0-31--0.0158099999999969</f>
        <v>357.61752199999995</v>
      </c>
      <c r="U178" s="3">
        <f>0+(509.7-130.6)+(0+(-0.779841--0.199818))+0-31--0.0474300000000018</f>
        <v>347.56740700000006</v>
      </c>
      <c r="V178" s="3">
        <f>0+(520.1-140.6)+(0+(-0.530502--0.143412))+0-31--0.0316200000000049</f>
        <v>348.14453000000003</v>
      </c>
      <c r="W178" s="3">
        <f>0+(489.7-107)+(0+(-0.499494--0.10914))+0-31--0.0316200000000049</f>
        <v>351.34126600000002</v>
      </c>
      <c r="X178" s="3">
        <f>0+(459.1-69.9)+(0+(-0.936564--0.142596))+0-31--0.0632399999999986</f>
        <v>357.46927200000005</v>
      </c>
      <c r="Y178" s="3">
        <f>0+(466.8-61.2)+(0+(0-0))+0-31-0</f>
        <v>374.6</v>
      </c>
      <c r="Z178" s="3">
        <f>0+(474.3-63.1)+(0+(-0.725679--0.096543))+0-31--0.0474300000000018</f>
        <v>379.61829399999999</v>
      </c>
      <c r="AA178" s="3">
        <f>0+(438.1-25.7)+(0+(-0.893724--0.052428))+0-31--0.0632399999999986</f>
        <v>380.62194400000004</v>
      </c>
      <c r="AB178" s="3">
        <f>0+(451.5-44.4)+(0+(0-0))+0-31-0</f>
        <v>376.1</v>
      </c>
      <c r="AC178" s="3">
        <f>0+(442.6-43.3)+(0+(-0.902904--0.088332))+0-31--0.0632399999999986</f>
        <v>367.54866800000002</v>
      </c>
      <c r="AD178" s="2">
        <v>424.1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0+(480.7-91.3)+(0+(-0.245157--0.046563))+0-31--0.0158099999999969</f>
        <v>358.21721599999995</v>
      </c>
      <c r="G179" s="3">
        <f>0+(512.5-129.4)+(0+(0.52275-0.131988))+0-33-0.0336600000000053</f>
        <v>350.45710200000002</v>
      </c>
      <c r="H179" s="3">
        <f>0+(441.2-59)+(0+(-0.675036--0.09027))+0-32--0.0489600000000018</f>
        <v>349.66419400000001</v>
      </c>
      <c r="I179" s="3">
        <f>0+(382.5-9.6)+(0+(-0.195075--0.004896))+0-33--0.0168299999999967</f>
        <v>339.72665099999995</v>
      </c>
      <c r="J179" s="3">
        <f>0+(368.7-3.4)+(0+(-0.188037--0.001734))+0-31--0.0158099999999969</f>
        <v>334.12950699999999</v>
      </c>
      <c r="K179" s="3">
        <f>0+(354.3-0)+(0+(0.361386-0))+0-32-0.0326400000000051</f>
        <v>322.62874599999998</v>
      </c>
      <c r="L179" s="3">
        <f>0+(348.1-0)+(0+(0.355062-0))+0-31-0.0316200000000049</f>
        <v>317.42344199999997</v>
      </c>
      <c r="M179" s="3">
        <f>0+(336.9-0)+(0+(0.343638-0))+0-32-0.0326400000000051</f>
        <v>305.21099799999996</v>
      </c>
      <c r="N179" s="3">
        <f>0+(348.6-1)+(0+(0.355572-0.00102))+0-33-0.0336600000000053</f>
        <v>314.92089200000004</v>
      </c>
      <c r="O179" s="3">
        <f>0+(357.3-0)+(0+(0.182223-0))+0-31-0.0158099999999969</f>
        <v>326.46641300000005</v>
      </c>
      <c r="P179" s="3">
        <f>0+(357-0)+(0+(0-0))+0-30-0</f>
        <v>327</v>
      </c>
      <c r="Q179" s="3">
        <f>0+(357.9-0)+(0+(0-0))+0-31-0</f>
        <v>326.89999999999998</v>
      </c>
      <c r="R179" s="3">
        <f>0+(360-0)+(0+(-0.1836-0))+0-30--0.015299999999997</f>
        <v>329.83170000000001</v>
      </c>
      <c r="S179" s="3">
        <f>0+(357.9-0)+(0+(-0.547587-0))+0-30--0.0459000000000017</f>
        <v>327.39831299999997</v>
      </c>
      <c r="T179" s="3">
        <f>0+(356.6-0)+(0+(-0.363732-0))+0-30--0.0306000000000048</f>
        <v>326.26686799999999</v>
      </c>
      <c r="U179" s="3">
        <f>0+(347.3-0)+(0+(-0.354246-0))+0-30--0.0306000000000048</f>
        <v>316.97635400000001</v>
      </c>
      <c r="V179" s="3">
        <f>0+(363.6-2.6)+(0+(-0.370872--0.002652))+0-30--0.0306000000000048</f>
        <v>330.66237999999998</v>
      </c>
      <c r="W179" s="3">
        <f>0+(396.2-31.5)+(0+(-0.404124--0.03213))+0-30--0.0306000000000048</f>
        <v>334.35860600000001</v>
      </c>
      <c r="X179" s="3">
        <f>0+(369-18.4)+(0+(-0.18819--0.009384))+0-30--0.015299999999997</f>
        <v>320.43649400000004</v>
      </c>
      <c r="Y179" s="3">
        <f>0+(381.8-19.5)+(0+(-0.194718--0.009945))+0-30--0.015299999999997</f>
        <v>332.13052700000003</v>
      </c>
      <c r="Z179" s="3">
        <f>0+(412-14.2)+(0+(-0.42024--0.014484))+0-30--0.0306000000000048</f>
        <v>367.42484400000001</v>
      </c>
      <c r="AA179" s="3">
        <f>0+(402.6-0)+(0+(-0.615978-0))+0-30--0.0459000000000017</f>
        <v>372.02992200000006</v>
      </c>
      <c r="AB179" s="3">
        <f>0+(373.5-0)+(0+(0.38097-0))+0-30-0.0306000000000048</f>
        <v>343.85037</v>
      </c>
      <c r="AC179" s="3">
        <f>0+(371.2-0)+(0+(-0.189312-0))+0-30--0.015299999999997</f>
        <v>341.02598800000004</v>
      </c>
      <c r="AD179" s="2">
        <v>367.6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0+(340.9-11.5)+(0+(0-0))+0-32-0</f>
        <v>297.39999999999998</v>
      </c>
      <c r="G180" s="3">
        <f>0+(365.8-41)+(0+(0-0))+0-32-0</f>
        <v>292.8</v>
      </c>
      <c r="H180" s="3">
        <f>0+(355.9-31.1)+(0+(0-0))+0-32-0</f>
        <v>292.79999999999995</v>
      </c>
      <c r="I180" s="3">
        <f>0+(329-15.7)+(0+(0-0))+0-32-0</f>
        <v>281.3</v>
      </c>
      <c r="J180" s="3">
        <f>0+(330-19.3)+(0+(0.8415-0.049215))+0-32-0.0815999999999954</f>
        <v>279.410685</v>
      </c>
      <c r="K180" s="3">
        <f>0+(358.7-37.6)+(0+(0.365874-0.038352))+0-32-0.0326400000000051</f>
        <v>289.39488199999994</v>
      </c>
      <c r="L180" s="3">
        <f>13.5+(301.8-0)+(0.006885+(0.153918-0))+0-32-0.0163199999999968</f>
        <v>283.44448299999999</v>
      </c>
      <c r="M180" s="3">
        <f>99.8+(303.7-68.7)+(-0.101796+(-0.309774--0.070074))+0-32--0.0326400000000051</f>
        <v>302.49114400000002</v>
      </c>
      <c r="N180" s="3">
        <f>188.9+(467.3-291.1)+(0.481695+(1.191615-0.742305))+0-33-0.0841499999999952</f>
        <v>332.94685500000003</v>
      </c>
      <c r="O180" s="3">
        <f>236.3+(585.8-433.2)+(0+(0-0))+0-34.3-0</f>
        <v>354.59999999999997</v>
      </c>
      <c r="P180" s="3">
        <f>235.9+(629.6-452.5)+(0.120309+(0.321096-0.230775))+0-33.7-0.0171869999999966</f>
        <v>379.49344300000001</v>
      </c>
      <c r="Q180" s="3">
        <f>236.3+(685.5-508.1)+(0.120513+(0.349605-0.259131))+0-30.1-0.0153509999999969</f>
        <v>383.79563599999994</v>
      </c>
      <c r="R180" s="3">
        <f>234.5+(692.1-510.9)+(-0.23919+(-0.705942--0.521118))+0-32.1--0.0327420000000051</f>
        <v>383.20872800000001</v>
      </c>
      <c r="S180" s="3">
        <f>231.8+(744.7-577.9)+(0.118218+(0.379797-0.294729))+0-32.3-0.0164729999999967</f>
        <v>366.48681300000004</v>
      </c>
      <c r="T180" s="3">
        <f>231.1+(763-606.1)+(0+(0-0))+0-32.1-0</f>
        <v>355.9</v>
      </c>
      <c r="U180" s="3">
        <f>230.5+(766-602.4)+(0.587775+(1.9533-1.53612))+0-32.4-0.0826199999999953</f>
        <v>362.62233500000002</v>
      </c>
      <c r="V180" s="3">
        <f>284.2+(711-611.1)+(-0.579768+(-1.45044--1.246644))+0-31.5--0.0642599999999986</f>
        <v>351.88069599999994</v>
      </c>
      <c r="W180" s="3">
        <f>324.2+(660.6-598.2)+(-1.322736+(-2.695248--2.440656))+0-32--0.130559999999997</f>
        <v>353.15323199999995</v>
      </c>
      <c r="X180" s="3">
        <f>274.5+(642.2-536.4)+(-0.699975+(-1.63761--1.36782))+0-31--0.0790499999999955</f>
        <v>348.40928500000007</v>
      </c>
      <c r="Y180" s="3">
        <f>286.8+(641.4-530)+(0.292536+(0.654228-0.5406))+0-31.7-0.0323340000000051</f>
        <v>366.87383</v>
      </c>
      <c r="Z180" s="3">
        <f>287.4+(653.7-540.4)+(-0.293148+(-0.666774--0.551208))+0-30.2--0.0308040000000048</f>
        <v>370.12209000000007</v>
      </c>
      <c r="AA180" s="3">
        <f>222.2+(725.3-552.8)+(-0.226644+(-0.739806--0.563856))+0-26.8--0.0273360000000043</f>
        <v>367.52474199999995</v>
      </c>
      <c r="AB180" s="3">
        <f>0+(766.2-385.8)+(0+(-0.781524--0.393516))+0-28.5--0.0290700000000045</f>
        <v>351.54106200000001</v>
      </c>
      <c r="AC180" s="3">
        <f>0+(776.6-410.7)+(0+(0.396066-0.209457))+0-29.8-0.015197999999997</f>
        <v>336.271411</v>
      </c>
      <c r="AD180" s="2">
        <v>168.50000000000006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0+(767.8-397.7)+(0+(-1.174734--0.608481))+0-29--0.0443700000000017</f>
        <v>340.57811699999996</v>
      </c>
      <c r="G181" s="3">
        <f>0+(758.7-394.4)+(0+(-1.547748--0.804576))+0-30.4--0.0620159999999987</f>
        <v>333.21884400000005</v>
      </c>
      <c r="H181" s="3">
        <f>0+(713.9-354.7)+(0+(-1.092267--0.542691))+0-31.2--0.0477360000000018</f>
        <v>327.49815999999998</v>
      </c>
      <c r="I181" s="3">
        <f>0+(620-270.1)+(0+(-0.3162--0.137751))+0-32--0.0163199999999968</f>
        <v>317.73787099999998</v>
      </c>
      <c r="J181" s="3">
        <f>0+(495.2-155.8)+(0+(1.010208-0.317832))+0-29.9-0.0609959999999987</f>
        <v>310.13138000000004</v>
      </c>
      <c r="K181" s="3">
        <f>0+(445.5-100.9)+(0+(0.227205-0.051459))+0-26.8-0.0136679999999973</f>
        <v>317.96207800000002</v>
      </c>
      <c r="L181" s="3">
        <f>0+(383.6-45.9)+(0+(-0.782544--0.093636))+0-30--0.0611999999999987</f>
        <v>307.072292</v>
      </c>
      <c r="M181" s="3">
        <f>0+(416.7-61.1)+(0+(-0.212517--0.031161))+0-29.8--0.015197999999997</f>
        <v>325.63384199999996</v>
      </c>
      <c r="N181" s="3">
        <f>0+(531.5-145.1)+(0+(0-0))+0-31.4-0</f>
        <v>355</v>
      </c>
      <c r="O181" s="3">
        <f>0+(639.2-239.6)+(0+(-2.281944--0.855372))+0-32.7--0.116739</f>
        <v>365.59016700000001</v>
      </c>
      <c r="P181" s="3">
        <f>0+(727.1-304.1)+(0+(0-0))+0-33.2-0</f>
        <v>389.8</v>
      </c>
      <c r="Q181" s="3">
        <f>0+(741.5-320)+(0+(0.75633-0.3264))+0-34-0.0346800000000054</f>
        <v>387.89525000000003</v>
      </c>
      <c r="R181" s="3">
        <f>154+(654.8-418.1)+(0+(0-0))+0-32-0</f>
        <v>358.69999999999993</v>
      </c>
      <c r="S181" s="3">
        <f>340.4+(636.6-583.6)+(-0.173604+(-0.324666--0.297636))+0-31.6--0.0161159999999968</f>
        <v>361.61548199999999</v>
      </c>
      <c r="T181" s="3">
        <f>357.7+(634.6-594.6)+(-0.182427+(-0.323646--0.303246))+0-31.4--0.0160139999999968</f>
        <v>366.11318699999998</v>
      </c>
      <c r="U181" s="3">
        <f>358.1+(645-613.5)+(0+(0-0))+0-29.7-0</f>
        <v>359.90000000000003</v>
      </c>
      <c r="V181" s="3">
        <f>357+(653.4-627.7)+(-0.54621+(-0.999702--0.960381))+0-31.1--0.0475830000000018</f>
        <v>351.06205199999988</v>
      </c>
      <c r="W181" s="3">
        <f>94.7+(715.9-422.6)+(-0.048297+(-0.365109--0.215526))+0-32.1--0.0163709999999967</f>
        <v>355.71849099999991</v>
      </c>
      <c r="X181" s="3">
        <f>0+(517.4-144.1)+(0+(0.263874-0.073491))+0-32.3-0.0164729999999967</f>
        <v>341.17390999999992</v>
      </c>
      <c r="Y181" s="3">
        <f>0+(625.1-205.1)+(0+(-0.318801--0.104601))+0-32.9--0.0167789999999967</f>
        <v>386.902579</v>
      </c>
      <c r="Z181" s="3">
        <f>0+(669.1-264.5)+(0+(-0.682482--0.26979))+0-32.8--0.0334560000000052</f>
        <v>371.42076400000002</v>
      </c>
      <c r="AA181" s="3">
        <f>0+(692.1-323.9)+(0+(-0.705942--0.330378))+0-32.8--0.0334560000000052</f>
        <v>335.05789200000004</v>
      </c>
      <c r="AB181" s="3">
        <f>0+(613.4-249.9)+(0+(0-0))+0-32.3-0</f>
        <v>331.2</v>
      </c>
      <c r="AC181" s="3">
        <f>0+(554.3-180.1)+(0+(-1.130772--0.367404))+0-32.5--0.0662999999999986</f>
        <v>341.00293199999993</v>
      </c>
      <c r="AD181" s="2">
        <v>372.6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0+(529.2-171.5)+(0+(-1.619352--0.52479))+0-29.3--0.0896580000000034</f>
        <v>327.39509600000002</v>
      </c>
      <c r="G182" s="3">
        <f>0+(539.2-186.1)+(0+(-1.37496--0.474555))+0-32.4--0.0826199999999953</f>
        <v>319.88221500000009</v>
      </c>
      <c r="H182" s="3">
        <f>0+(472.4-127)+(0+(-0.722772--0.19431))+0-32.2--0.0492660000000019</f>
        <v>312.72080399999999</v>
      </c>
      <c r="I182" s="3">
        <f>0+(458.6-121.3)+(0+(-1.637202--0.433041))+0-32--0.11424</f>
        <v>304.21007900000001</v>
      </c>
      <c r="J182" s="3">
        <f>0+(480.1-150.7)+(0+(0.489702-0.153714))+0-32.1-0.0327420000000051</f>
        <v>297.60324600000001</v>
      </c>
      <c r="K182" s="3">
        <f>0+(442.4-108)+(0+(-0.676872--0.16524))+0-32--0.0489600000000018</f>
        <v>301.93732799999998</v>
      </c>
      <c r="L182" s="3">
        <f>0+(428.5-103.2)+(0+(-1.31121--0.315792))+0-32--0.0979200000000037</f>
        <v>292.40250200000003</v>
      </c>
      <c r="M182" s="3">
        <f>0+(473-102.8)+(0+(0.48246-0.104856))+0-32.2-0.0328440000000051</f>
        <v>338.34476000000001</v>
      </c>
      <c r="N182" s="3">
        <f>0+(671.8-272.5)+(0+(0.685236-0.27795))+0-32.8-0.0334560000000052</f>
        <v>366.87382999999994</v>
      </c>
      <c r="O182" s="3">
        <f>0+(753.7-343.7)+(0+(0.384387-0.175287))+0-32.7-0.0166769999999967</f>
        <v>377.49242300000003</v>
      </c>
      <c r="P182" s="3">
        <f>0+(715.2-323.2)+(0+(1.094256-0.494496))+0-32.9-0.0503370000000019</f>
        <v>359.64942300000007</v>
      </c>
      <c r="Q182" s="3">
        <f>0+(719.4-306.7)+(0+(0.733788-0.312834))+0-32.6-0.0332520000000052</f>
        <v>380.48770199999996</v>
      </c>
      <c r="R182" s="3">
        <f>0+(723-301.6)+(0+(-0.36873--0.153816))+0-32.7--0.0166769999999967</f>
        <v>388.50176299999998</v>
      </c>
      <c r="S182" s="3">
        <f>0+(692.3-302.2)+(0+(-1.059219--0.462366))+0-33.2--0.0507960000000019</f>
        <v>356.35394299999996</v>
      </c>
      <c r="T182" s="3">
        <f>0+(710.6-317.8)+(0+(-0.362406--0.162078))+0-33.1--0.0168809999999966</f>
        <v>359.51655299999999</v>
      </c>
      <c r="U182" s="3">
        <f>0+(743.7-359.4)+(0+(0.379287-0.183294))+0-33-0.0168299999999967</f>
        <v>351.47916300000009</v>
      </c>
      <c r="V182" s="3">
        <f>0+(744.2-362.4)+(0+(-0.379542--0.184824))+0-32.9--0.0167789999999967</f>
        <v>348.72206100000005</v>
      </c>
      <c r="W182" s="3">
        <f>0+(724.7-348.7)+(0+(-0.369597--0.177837))+0-32.6--0.0166259999999967</f>
        <v>343.22486600000002</v>
      </c>
      <c r="X182" s="3">
        <f>0+(668.4-287)+(0+(-1.363536--0.58548))+0-32.4--0.0660959999999986</f>
        <v>348.28804000000002</v>
      </c>
      <c r="Y182" s="3">
        <f>0+(587.6-189.6)+(0+(0.299676-0.096696))+0-33.1-0.0168809999999966</f>
        <v>365.08609899999999</v>
      </c>
      <c r="Z182" s="3">
        <f>0+(572.7-171.5)+(0+(-1.168308--0.34986))+0-33.6--0.0685439999999985</f>
        <v>366.85009600000001</v>
      </c>
      <c r="AA182" s="3">
        <f>0+(613.4-217.9)+(0+(-1.877004--0.666774))+0-33.2--0.101592000000004</f>
        <v>361.19136199999997</v>
      </c>
      <c r="AB182" s="3">
        <f>0+(666.3-282.3)+(0+(-1.019439--0.431919))+0-32.9--0.0503370000000019</f>
        <v>350.562817</v>
      </c>
      <c r="AC182" s="3">
        <f>0+(660.9-299.8)+(0+(-0.337059--0.152898))+0-32.7--0.0166769999999967</f>
        <v>328.23251599999998</v>
      </c>
      <c r="AD182" s="2">
        <v>364.70000000000005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0+(713.4-351.2)+(0+(-1.455336--0.716448))+0-33--0.0673199999999986</f>
        <v>328.52843200000001</v>
      </c>
      <c r="G183" s="3">
        <f>0+(587-257.5)+(0+(-2.39496--1.0506))+0-32.4--0.132191999999997</f>
        <v>295.887832</v>
      </c>
      <c r="H183" s="3">
        <f>0+(572-226.3)+(0+(-0.87516--0.346239))+0-32.6--0.0498780000000019</f>
        <v>312.62095699999992</v>
      </c>
      <c r="I183" s="3">
        <f>0+(589.5-260.9)+(0+(-0.300645--0.133059))+0-33--0.0168299999999967</f>
        <v>295.44924400000002</v>
      </c>
      <c r="J183" s="3">
        <f>0+(520.4-192.3)+(0+(-0.265404--0.098073))+0-32.6--0.0166259999999967</f>
        <v>295.34929499999993</v>
      </c>
      <c r="K183" s="3">
        <f>0+(502.6-173.8)+(0+(-0.256326--0.088638))+0-32.9--0.0167789999999967</f>
        <v>295.74909100000002</v>
      </c>
      <c r="L183" s="3">
        <f>0+(521.8-188.1)+(0+(-0.266118--0.095931))+0-33.1--0.0168809999999966</f>
        <v>300.44669399999992</v>
      </c>
      <c r="M183" s="3">
        <f>0+(553.7-218.7)+(0+(0.564774-0.223074))+0-33-0.0336600000000053</f>
        <v>302.30804000000006</v>
      </c>
      <c r="N183" s="3">
        <f>0+(698.9-312.9)+(0+(1.069317-0.478737))+0-32.5-0.0497250000000019</f>
        <v>354.04085499999997</v>
      </c>
      <c r="O183" s="3">
        <f>0+(681-293.2)+(0+(-0.69462--0.299064))+0-32.4--0.0330480000000052</f>
        <v>355.03749200000004</v>
      </c>
      <c r="P183" s="3">
        <f>0+(758.4-324)+(0+(0-0))+0-31-0</f>
        <v>403.4</v>
      </c>
      <c r="Q183" s="3">
        <f>0+(756.5-350)+(0+(0.385815-0.1785))+0-32.9-0.0167789999999967</f>
        <v>373.79053600000003</v>
      </c>
      <c r="R183" s="3">
        <f>0+(737.7-321)+(0+(0.376227-0.16371))+0-32.5-0.0165749999999967</f>
        <v>384.39594200000005</v>
      </c>
      <c r="S183" s="3">
        <f>0+(631.8-267.6)+(0+(-0.322218--0.136476))+0-30.7--0.0156569999999969</f>
        <v>333.32991499999991</v>
      </c>
      <c r="T183" s="3">
        <f>0+(625.2-237.3)+(0+(-0.318852--0.121023))+0-32.4--0.0165239999999967</f>
        <v>355.31869500000005</v>
      </c>
      <c r="U183" s="3">
        <f>0+(669.8-275.7)+(0+(-0.341598--0.140607))+0-32--0.0163199999999968</f>
        <v>361.91532899999999</v>
      </c>
      <c r="V183" s="3">
        <f>0+(668.1-288.1)+(0+(-1.703655--0.734655))+0-31.9--0.0813449999999954</f>
        <v>347.21234500000003</v>
      </c>
      <c r="W183" s="3">
        <f>0+(671.3-290.4)+(0+(-1.369452--0.592416))+0-32.1--0.0654839999999986</f>
        <v>348.08844799999997</v>
      </c>
      <c r="X183" s="3">
        <f>0+(613.4-188.5)+(0+(-0.625668--0.19227))+0-31.6--0.032232000000005</f>
        <v>392.89883399999997</v>
      </c>
      <c r="Y183" s="3">
        <f>0+(544.9-155.9)+(0+(0.277899-0.079509))+0-32.3-0.0164729999999967</f>
        <v>356.88191699999999</v>
      </c>
      <c r="Z183" s="3">
        <f>0+(547.2-150)+(0+(-0.558144--0.153))+0-32.4--0.0330480000000052</f>
        <v>364.42790400000007</v>
      </c>
      <c r="AA183" s="3">
        <f>0+(593.8-203.2)+(0+(-1.51419--0.51816))+0-28.4--0.0724199999999959</f>
        <v>361.27638999999999</v>
      </c>
      <c r="AB183" s="3">
        <f>0+(598-231.7)+(0+(-1.21992--0.472668))+0-32.7--0.0667079999999986</f>
        <v>332.91945600000003</v>
      </c>
      <c r="AC183" s="3">
        <f>0+(606.5-241)+(0+(-1.23726--0.49164))+0-32.5--0.0662999999999986</f>
        <v>332.32068000000004</v>
      </c>
      <c r="AD183" s="2">
        <v>344.5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80+(655.1-386.3)+(-0.0408+(-0.334101--0.197013))+0-32.7--0.0166769999999967</f>
        <v>315.93878900000004</v>
      </c>
      <c r="G184" s="3">
        <f>119.8+(588.9-359.8)+(-0.30549+(-1.501695--0.91749))+0-32.5--0.0828749999999953</f>
        <v>315.59317999999996</v>
      </c>
      <c r="H184" s="3">
        <f>67.2+(579.2-294.1)+(-0.205632+(-1.772352--0.899946))+0-32.2--0.0985320000000037</f>
        <v>319.12049400000001</v>
      </c>
      <c r="I184" s="3">
        <f>50.1+(498-207.8)+(-0.178857+(-1.77786--0.741846))+0-32.1--0.114597</f>
        <v>307.09972599999998</v>
      </c>
      <c r="J184" s="3">
        <f>50.1+(462-171.6)+(-0.102204+(-0.94248--0.350064))+0-32.1--0.0654839999999986</f>
        <v>307.77086400000002</v>
      </c>
      <c r="K184" s="3">
        <f>50+(441.2-152.3)+(0.0765+(0.675036-0.233019))+0-32.1-0.0491130000000019</f>
        <v>307.26940399999995</v>
      </c>
      <c r="L184" s="3">
        <f>50+(423.1-142.3)+(-0.102+(-0.863124--0.290292))+0-32--0.0652799999999986</f>
        <v>298.190448</v>
      </c>
      <c r="M184" s="3">
        <f>68.4+(495.1-221.9)+(0+(0-0))+0-32.8-0</f>
        <v>308.8</v>
      </c>
      <c r="N184" s="3">
        <f>120.1+(643.4-359)+(0+(0-0))+0-34.2-0</f>
        <v>370.3</v>
      </c>
      <c r="O184" s="3">
        <f>235.1+(698.5-548.3)+(0.239802+(0.71247-0.559266))+0-32.8-0.0334560000000052</f>
        <v>352.85955000000007</v>
      </c>
      <c r="P184" s="3">
        <f>357+(729.6-659)+(0.36414+(0.744192-0.67218))+0-35-0.0357000000000056</f>
        <v>393.000452</v>
      </c>
      <c r="Q184" s="3">
        <f>355.2+(715.7-669.5)+(0.543456+(1.095021-1.024335))+0-32.4-0.0495720000000019</f>
        <v>369.56457000000006</v>
      </c>
      <c r="R184" s="3">
        <f>354.4+(688.4-630.7)+(0.542232+(1.053252-0.964971))+0-31.7-0.0485010000000018</f>
        <v>380.98201199999994</v>
      </c>
      <c r="S184" s="3">
        <f>350.3+(669.3-634.3)+(-0.357306+(-0.682686--0.646986))+0-32.3--0.0329460000000051</f>
        <v>352.63993999999997</v>
      </c>
      <c r="T184" s="3">
        <f>351.3+(726.9-684.9)+(0+(0-0))+0-32.7-0</f>
        <v>360.6</v>
      </c>
      <c r="U184" s="3">
        <f>350.3+(727.9-690.8)+(-0.357306+(-0.742458--0.704616))+0-32.7--0.0333540000000052</f>
        <v>354.33820600000007</v>
      </c>
      <c r="V184" s="3">
        <f>348+(732.8-697.5)+(-0.70992+(-1.494912--1.4229))+0-32.6--0.0665039999999986</f>
        <v>349.98457199999996</v>
      </c>
      <c r="W184" s="3">
        <f>275.8+(780.3-668.6)+(-0.70329+(-1.989765--1.70493))+0-32.2--0.0821099999999953</f>
        <v>354.39398499999993</v>
      </c>
      <c r="X184" s="3">
        <f>141.8+(785.2-537.3)+(-0.144636+(-0.800904--0.548046))+0-32.3--0.0329460000000051</f>
        <v>357.03545200000008</v>
      </c>
      <c r="Y184" s="3">
        <f>165.6+(771.6-538.8)+(0.084456+(0.393516-0.274788))+0-32.8-0.0167279999999967</f>
        <v>365.7864560000001</v>
      </c>
      <c r="Z184" s="3">
        <f>228.8+(790.7-610.8)+(-0.58344+(-2.016285--1.55754))+0-33.1--0.0844049999999952</f>
        <v>374.64222000000007</v>
      </c>
      <c r="AA184" s="3">
        <f>72.4+(881.2-548.3)+(-0.073848+(-0.898824--0.559266))+0-33--0.0336600000000053</f>
        <v>371.92025400000006</v>
      </c>
      <c r="AB184" s="3">
        <f>0+(836.6-474.5)+(0+(-1.279998--0.725985))+0-32.8--0.0501840000000019</f>
        <v>328.79617100000002</v>
      </c>
      <c r="AC184" s="3">
        <f>0+(708.6-357.3)+(0+(-0.361386--0.182223))+0-32.4--0.0165239999999967</f>
        <v>318.73736100000002</v>
      </c>
      <c r="AD184" s="2">
        <v>370.2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0+(692.3-324.4)+(0+(-0.353073--0.165444))+0-32.7--0.0166769999999967</f>
        <v>335.02904799999999</v>
      </c>
      <c r="G185" s="3">
        <f>0+(669.5-320.2)+(0+(0-0))+0-32.6-0</f>
        <v>316.7</v>
      </c>
      <c r="H185" s="3">
        <f>0+(586.5-259.9)+(0+(-1.19646--0.530196))+0-29.6--0.0603839999999987</f>
        <v>296.39411999999999</v>
      </c>
      <c r="I185" s="3">
        <f>0+(600.5-263.3)+(0+(-0.306255--0.134283))+0-31.8--0.0162179999999968</f>
        <v>305.24424599999998</v>
      </c>
      <c r="J185" s="3">
        <f>0+(544-211.7)+(0+(0-0))+0-32.1-0</f>
        <v>300.2</v>
      </c>
      <c r="K185" s="3">
        <f>0+(509.5-183.4)+(0+(-1.03938--0.374136))+0-32.2--0.0656879999999986</f>
        <v>293.30044400000008</v>
      </c>
      <c r="L185" s="3">
        <f>0+(523.6-183.7)+(0+(-1.33518--0.468435))+0-32.6--0.0831299999999953</f>
        <v>306.51638500000001</v>
      </c>
      <c r="M185" s="3">
        <f>0+(485.8-145.6)+(0+(-0.247758--0.074256))+0-32.7--0.0166769999999967</f>
        <v>307.34317500000009</v>
      </c>
      <c r="N185" s="3">
        <f>0+(639.6-273.9)+(0+(0.652392-0.279378))+0-34.1-0.0347820000000054</f>
        <v>331.93823200000003</v>
      </c>
      <c r="O185" s="3">
        <f>0+(713.5-314.1)+(0+(0-0))+0-33.9-0</f>
        <v>365.5</v>
      </c>
      <c r="P185" s="3">
        <f>0+(751.3-349.2)+(0+(0-0))+0-33.7-0</f>
        <v>368.4</v>
      </c>
      <c r="Q185" s="3">
        <f>0+(796.1-397.8)+(0+(-0.812022--0.405756))+0-33.7--0.0343740000000054</f>
        <v>364.22810800000002</v>
      </c>
      <c r="R185" s="3">
        <f>0+(813.1-430.6)+(0+(0-0))+0-31.7-0</f>
        <v>350.8</v>
      </c>
      <c r="S185" s="3">
        <f>0+(774.2-408.1)+(0+(0-0))+0-32.2-0</f>
        <v>333.90000000000003</v>
      </c>
      <c r="T185" s="3">
        <f>0+(768.3-403.2)+(0+(0-0))+0-31.7-0</f>
        <v>333.4</v>
      </c>
      <c r="U185" s="3">
        <f>0+(790.7-419.5)+(0+(0-0))+0-30.9-0</f>
        <v>340.30000000000007</v>
      </c>
      <c r="V185" s="3">
        <f>0+(791.1-424.6)+(0+(0-0))+0-31.2-0</f>
        <v>335.3</v>
      </c>
      <c r="W185" s="3">
        <f>0+(811.4-437.9)+(0+(0-0))+0-31-0</f>
        <v>342.5</v>
      </c>
      <c r="X185" s="3">
        <f>0+(681.7-311.6)+(0+(0-0))+0-31.3-0</f>
        <v>338.8</v>
      </c>
      <c r="Y185" s="3">
        <f>0+(669.3-275.2)+(0+(0-0))+0-31.4-0</f>
        <v>362.7</v>
      </c>
      <c r="Z185" s="3">
        <f>0+(739.6-349)+(0+(0-0))+0-31.2-0</f>
        <v>359.40000000000003</v>
      </c>
      <c r="AA185" s="3">
        <f>0+(758.5-373.9)+(0+(0-0))+0-31.6-0</f>
        <v>353</v>
      </c>
      <c r="AB185" s="3">
        <f>0+(661.6-289.9)+(0+(0-0))+0-31.6-0</f>
        <v>340.1</v>
      </c>
      <c r="AC185" s="3">
        <f>0+(593.1-231.5)+(0+(0-0))+0-31.5-0</f>
        <v>330.1</v>
      </c>
      <c r="AD185" s="2">
        <v>357.7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0+(625.8-272.9)+(0+(-0.638316--0.278358))+0-31.8--0.0324360000000051</f>
        <v>320.77247799999998</v>
      </c>
      <c r="G186" s="3">
        <f>0+(623.3-291.4)+(0+(-1.589415--0.74307))+0-32.2--0.0821099999999953</f>
        <v>298.935765</v>
      </c>
      <c r="H186" s="3">
        <f>0+(601.6-278.1)+(0+(-0.306816--0.141831))+0-29.1--0.014840999999997</f>
        <v>294.24985599999997</v>
      </c>
      <c r="I186" s="3">
        <f>0+(571.5-250.3)+(0+(-0.58293--0.255306))+0-32.3--0.0329460000000051</f>
        <v>288.60532199999994</v>
      </c>
      <c r="J186" s="3">
        <f>0+(564.9-242.8)+(0+(0.288099-0.123828))+0-32.1-0.0163709999999967</f>
        <v>290.14789999999994</v>
      </c>
      <c r="K186" s="3">
        <f>0+(522.4-208.5)+(0+(-1.598544--0.63801))+0-32.1--0.0982260000000037</f>
        <v>280.93769199999997</v>
      </c>
      <c r="L186" s="3">
        <f>0+(450.6-153.1)+(0+(-0.229806--0.078081))+0-31.9--0.0162689999999968</f>
        <v>265.46454400000005</v>
      </c>
      <c r="M186" s="3">
        <f>0+(529.9-231.6)+(0+(0.270249-0.118116))+0-32.3-0.0164729999999967</f>
        <v>266.13565999999992</v>
      </c>
      <c r="N186" s="3">
        <f>0+(509.4-199.3)+(0+(-0.779382--0.304929))+0-32.7--0.0500310000000019</f>
        <v>276.97557799999998</v>
      </c>
      <c r="O186" s="3">
        <f>0+(631.3-310)+(0+(-1.931778--0.9486))+0-32.6--0.0997560000000038</f>
        <v>287.81657799999994</v>
      </c>
      <c r="P186" s="3">
        <f>0+(666.2-337.4)+(0+(-1.359048--0.688296))+0-32.5--0.0662999999999986</f>
        <v>295.69554800000009</v>
      </c>
      <c r="Q186" s="3">
        <f>0+(708.8-373.4)+(0+(1.445952-0.761736))+0-32.6-0.0665039999999986</f>
        <v>303.41771199999994</v>
      </c>
      <c r="R186" s="3">
        <f>0+(708.6-378.2)+(0+(0.361386-0.192882))+0-31.6-0.0161159999999968</f>
        <v>298.95238799999998</v>
      </c>
      <c r="S186" s="3">
        <f>0+(749.7-422.4)+(0+(0.382347-0.215424))+0-30.8-0.0157079999999969</f>
        <v>296.65121500000004</v>
      </c>
      <c r="T186" s="3">
        <f>0+(695.8-371.2)+(0+(-1.419432--0.757248))+0-32.1--0.0654839999999986</f>
        <v>291.90329999999994</v>
      </c>
      <c r="U186" s="3">
        <f>0+(694.8-374)+(0+(-1.417392--0.76296))+0-31.8--0.0648719999999986</f>
        <v>288.41043999999994</v>
      </c>
      <c r="V186" s="3">
        <f>0+(611.9-288.6)+(0+(-2.184483--1.030302))+0-32--0.11424</f>
        <v>290.26005899999996</v>
      </c>
      <c r="W186" s="3">
        <f>0+(469.2-142.4)+(0+(-0.239292--0.072624))+0-32.1--0.0163709999999967</f>
        <v>294.54970299999991</v>
      </c>
      <c r="X186" s="3">
        <f>0+(532.2-173)+(0+(-0.542844--0.17646))+0-32.7--0.0333540000000052</f>
        <v>326.16697000000011</v>
      </c>
      <c r="Y186" s="3">
        <f>0+(647.7-282.8)+(0+(-0.990981--0.432684))+0-32.6--0.0498780000000019</f>
        <v>331.79158100000001</v>
      </c>
      <c r="Z186" s="3">
        <f>0+(640.3-274.6)+(0+(-1.306212--0.560184))+0-32.4--0.0660959999999986</f>
        <v>332.62006799999995</v>
      </c>
      <c r="AA186" s="3">
        <f>0+(600.7-243)+(0+(-1.225428--0.49572))+0-32.9--0.0671159999999986</f>
        <v>324.13740800000005</v>
      </c>
      <c r="AB186" s="3">
        <f>0+(633.9-289.4)+(0+(-0.646578--0.295188))+0-32.7--0.0333540000000052</f>
        <v>311.48196400000006</v>
      </c>
      <c r="AC186" s="3">
        <f>0+(629.7-301.1)+(0+(-1.926882--0.921366))+0-32.2--0.0985320000000037</f>
        <v>295.49301600000001</v>
      </c>
      <c r="AD186" s="2">
        <v>335.6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0+(604.3-285.8)+(0+(0-0))+0-32.2-0</f>
        <v>286.29999999999995</v>
      </c>
      <c r="G187" s="3">
        <f>0+(650-330)+(0+(-0.9945--0.5049))+0-32.5--0.0497250000000019</f>
        <v>287.06012500000003</v>
      </c>
      <c r="H187" s="3">
        <f>0+(536.8-220.8)+(0+(-0.547536--0.225216))+0-32.5--0.0331500000000052</f>
        <v>283.21082999999993</v>
      </c>
      <c r="I187" s="3">
        <f>0+(441.5-126.4)+(0+(-0.675495--0.193392))+0-31.8--0.0486540000000018</f>
        <v>282.86655100000002</v>
      </c>
      <c r="J187" s="3">
        <f>0+(404.7-89.8)+(0+(0-0))+0-32.2-0</f>
        <v>282.7</v>
      </c>
      <c r="K187" s="3">
        <f>0+(423.5-117.4)+(0+(-0.43197--0.119748))+0-30.8--0.0314160000000049</f>
        <v>275.01919399999997</v>
      </c>
      <c r="L187" s="3">
        <f>0+(463-150.6)+(0+(0-0))+0-32-0</f>
        <v>280.39999999999998</v>
      </c>
      <c r="M187" s="3">
        <f>0+(514.6-173.8)+(0+(-0.262446--0.088638))+0-32.8--0.0167279999999967</f>
        <v>307.84291999999999</v>
      </c>
      <c r="N187" s="3">
        <f>0+(629.5-250.3)+(0+(-0.64209--0.255306))+0-34.2--0.0348840000000055</f>
        <v>344.64810000000006</v>
      </c>
      <c r="O187" s="3">
        <f>0+(759.5-360.6)+(0+(0.77469-0.367812))+0-34.4-0.0350880000000055</f>
        <v>364.87178999999998</v>
      </c>
      <c r="P187" s="3">
        <f>0+(772.8-370.8)+(0+(-0.394128--0.189108))+0-33.9--0.0172889999999966</f>
        <v>367.91226899999998</v>
      </c>
      <c r="Q187" s="3">
        <f>0+(762-354.5)+(0+(-0.38862--0.180795))+0-34.1--0.0173909999999965</f>
        <v>373.20956599999994</v>
      </c>
      <c r="R187" s="3">
        <f>0+(772.4-368)+(0+(-0.787848--0.37536))+0-31.8--0.0324360000000051</f>
        <v>372.21994799999999</v>
      </c>
      <c r="S187" s="3">
        <f>0+(763.2-373.5)+(0+(-1.167696--0.571455))+0-32--0.0489600000000018</f>
        <v>357.15271900000005</v>
      </c>
      <c r="T187" s="3">
        <f>0+(782.1-393.1)+(0+(-1.196613--0.601443))+0-31.8--0.0486540000000018</f>
        <v>356.65348399999999</v>
      </c>
      <c r="U187" s="3">
        <f>0+(801.6-417.9)+(0+(-1.226448--0.639387))+0-30.2--0.0462060000000017</f>
        <v>352.95914500000003</v>
      </c>
      <c r="V187" s="3">
        <f>0+(839.1-453.7)+(0+(-2.139705--1.156935))+0-32--0.0815999999999954</f>
        <v>352.49883</v>
      </c>
      <c r="W187" s="3">
        <f>0+(710.3-324.6)+(0+(-1.086759--0.496638))+0-32.1--0.0491130000000019</f>
        <v>353.05899199999988</v>
      </c>
      <c r="X187" s="3">
        <f>0+(699.6-290.2)+(0+(0-0))+0-32.4-0</f>
        <v>377.00000000000006</v>
      </c>
      <c r="Y187" s="3">
        <f>0+(730.1-321.1)+(0+(-1.861755--0.818805))+0-32.5--0.0828749999999953</f>
        <v>375.53992499999998</v>
      </c>
      <c r="Z187" s="3">
        <f>0+(788.7-386.7)+(0+(-1.608948--0.788868))+0-32.2--0.0656879999999986</f>
        <v>369.04560800000007</v>
      </c>
      <c r="AA187" s="3">
        <f>0+(823.3-431.7)+(0+(-1.679532--0.880668))+0-32.1--0.0654839999999986</f>
        <v>358.76661999999999</v>
      </c>
      <c r="AB187" s="3">
        <f>0+(779.1-401.4)+(0+(-1.589364--0.818856))+0-31.9--0.0650759999999986</f>
        <v>345.09456800000004</v>
      </c>
      <c r="AC187" s="3">
        <f>0+(807.2-445.4)+(0+(-1.235016--0.681462))+0-31.9--0.0488070000000018</f>
        <v>329.39525300000008</v>
      </c>
      <c r="AD187" s="2">
        <v>382.4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0+(709.5-359.1)+(0+(-0.361845--0.183141))+0-32.2--0.0164219999999967</f>
        <v>318.03771799999998</v>
      </c>
      <c r="G188" s="3">
        <f>0+(649.7-305.1)+(0+(-1.325388--0.622404))+0-32.1--0.0654839999999986</f>
        <v>311.86250000000001</v>
      </c>
      <c r="H188" s="3">
        <f>0+(563.8-227.1)+(0+(-0.862614--0.347463))+0-32.4--0.0495720000000019</f>
        <v>303.83442099999996</v>
      </c>
      <c r="I188" s="3">
        <f>0+(564-226.3)+(0+(-0.86292--0.346239))+0-30.3--0.0463590000000018</f>
        <v>306.92967799999997</v>
      </c>
      <c r="J188" s="3">
        <f>0+(553.7-217.6)+(0+(0.564774-0.221952))+0-30.3-0.0309060000000048</f>
        <v>306.11191600000001</v>
      </c>
      <c r="K188" s="3">
        <f>0+(555.5-226.3)+(0+(-0.849915--0.346239))+0-32--0.0489600000000018</f>
        <v>296.74528400000003</v>
      </c>
      <c r="L188" s="3">
        <f>0+(536.1-206.9)+(0+(0.546822-0.211038))+0-32.3-0.0329460000000051</f>
        <v>297.20283800000004</v>
      </c>
      <c r="M188" s="3">
        <f>0+(764.2-402.4)+(0+(0.779484-0.410448))+0-33.1-0.0337620000000053</f>
        <v>329.03527400000002</v>
      </c>
      <c r="N188" s="3">
        <f>0+(857.1-455.4)+(0+(0.437121-0.232254))+0-34.5-0.0175949999999965</f>
        <v>367.38727200000005</v>
      </c>
      <c r="O188" s="3">
        <f>0+(858.1-438.7)+(0+(-0.437631--0.223737))+0-33.6--0.0171359999999966</f>
        <v>385.60324200000002</v>
      </c>
      <c r="P188" s="3">
        <f>0+(806.1-390.7)+(0+(-1.233333--0.597771))+0-33.8--0.0517140000000019</f>
        <v>381.01615200000003</v>
      </c>
      <c r="Q188" s="3">
        <f>0+(798.8-383.3)+(0+(-0.407388--0.195483))+0-33.1--0.0168809999999966</f>
        <v>382.20497599999993</v>
      </c>
      <c r="R188" s="3">
        <f>0+(827.7-416.3)+(0+(1.266381-0.636939))+0-32.2-0.0492660000000019</f>
        <v>379.78017600000004</v>
      </c>
      <c r="S188" s="3">
        <f>0+(796.6-401.9)+(0+(0.812532-0.409938))+0-32.1-0.0327420000000051</f>
        <v>362.96985200000006</v>
      </c>
      <c r="T188" s="3">
        <f>0+(816.9-420.6)+(0+(-0.833238--0.429012))+0-31.7--0.0323340000000051</f>
        <v>364.22810799999996</v>
      </c>
      <c r="U188" s="3">
        <f>0+(829.2-437.2)+(0+(-2.11446--1.11486))+0-32.1--0.0818549999999953</f>
        <v>358.98225500000007</v>
      </c>
      <c r="V188" s="3">
        <f>0+(796.2-405.7)+(0+(-2.03031--1.034535))+0-31.7--0.0808349999999954</f>
        <v>357.88506000000007</v>
      </c>
      <c r="W188" s="3">
        <f>0+(723.4-333.7)+(0+(-0.737868--0.340374))+0-31.7--0.0323340000000051</f>
        <v>357.63484</v>
      </c>
      <c r="X188" s="3">
        <f>0+(701.1-296.5)+(0+(-0.357561--0.151215))+0-32.1--0.0163709999999967</f>
        <v>372.310025</v>
      </c>
      <c r="Y188" s="3">
        <f>0+(722.3-312.7)+(0+(-1.473492--0.637908))+0-32.3--0.0658919999999986</f>
        <v>376.53030799999999</v>
      </c>
      <c r="Z188" s="3">
        <f>0+(760.8-357.4)+(0+(-1.164024--0.546822))+0-32.2--0.0492660000000019</f>
        <v>370.63206399999996</v>
      </c>
      <c r="AA188" s="3">
        <f>0+(778.1-382.5)+(0+(-2.380986--1.17045))+0-32.5--0.0994500000000038</f>
        <v>361.98891400000002</v>
      </c>
      <c r="AB188" s="3">
        <f>0+(706.4-326.7)+(0+(-1.080792--0.499851))+0-32.6--0.0498780000000019</f>
        <v>346.56893699999995</v>
      </c>
      <c r="AC188" s="3">
        <f>0+(696.1-330.7)+(0+(0-0))+0-32.8-0</f>
        <v>332.6</v>
      </c>
      <c r="AD188" s="2">
        <v>377.59999999999997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0+(700.3-334.1)+(0+(-0.357153--0.170391))+0-32.5--0.0165749999999967</f>
        <v>333.52981299999993</v>
      </c>
      <c r="G189" s="3">
        <f>0+(700.8-343.6)+(0+(-1.429632--0.700944))+0-29.7--0.0605879999999987</f>
        <v>326.83189999999996</v>
      </c>
      <c r="H189" s="3">
        <f>0+(603-253.2)+(0+(-0.30753--0.129132))+0-30.4--0.0155039999999969</f>
        <v>319.23710600000004</v>
      </c>
      <c r="I189" s="3">
        <f>0+(490.2-144.9)+(0+(-0.500004--0.147798))+0-31.2--0.031824000000005</f>
        <v>313.77961799999997</v>
      </c>
      <c r="J189" s="3">
        <f>0+(419.8-78.1)+(0+(0.642294-0.119493))+0-31.5-0.0481950000000018</f>
        <v>310.67460600000004</v>
      </c>
      <c r="K189" s="3">
        <f>0+(391.5-56.7)+(0+(-0.598995--0.086751))+0-31.7--0.0485010000000018</f>
        <v>302.636257</v>
      </c>
      <c r="L189" s="3">
        <f>0+(386.9-47.8)+(0+(-0.197319--0.024378))+0-31.8--0.0162179999999968</f>
        <v>307.14327699999996</v>
      </c>
      <c r="M189" s="3">
        <f>0+(530.9-165.9)+(0+(1.083036-0.338436))+0-32.2-0.0656879999999986</f>
        <v>333.47891199999998</v>
      </c>
      <c r="N189" s="3">
        <f>0+(592-195.3)+(0+(-0.30192--0.099603))+0-32.5--0.0165749999999967</f>
        <v>364.01425799999998</v>
      </c>
      <c r="O189" s="3">
        <f>0+(626.8-210.4)+(0+(0.319668-0.107304))+0-32.5-0.0165749999999967</f>
        <v>384.09578899999997</v>
      </c>
      <c r="P189" s="3">
        <f>0+(715.4-296.5)+(0+(0-0))+0-32.9-0</f>
        <v>386</v>
      </c>
      <c r="Q189" s="3">
        <f>0+(703.5-288.1)+(0+(0.71757-0.293862))+0-32.7-0.0333540000000052</f>
        <v>383.09035399999993</v>
      </c>
      <c r="R189" s="3">
        <f>0+(672.9-262.1)+(0+(-1.029537--0.401013))+0-32.4--0.0495720000000019</f>
        <v>377.82104799999996</v>
      </c>
      <c r="S189" s="3">
        <f>0+(771.1-366.4)+(0+(-1.179783--0.560592))+0-32.2--0.0492660000000019</f>
        <v>371.93007500000004</v>
      </c>
      <c r="T189" s="3">
        <f>0+(787-389.9)+(0+(-2.00685--0.994245))+0-32--0.0815999999999954</f>
        <v>364.168995</v>
      </c>
      <c r="U189" s="3">
        <f>0+(764.9-374.9)+(0+(-2.340594--1.147194))+0-32--0.0979200000000037</f>
        <v>356.90451999999999</v>
      </c>
      <c r="V189" s="3">
        <f>0+(711.7-327.6)+(0+(-2.540769--1.169532))+0-32.1--0.114597</f>
        <v>350.74336</v>
      </c>
      <c r="W189" s="3">
        <f>0+(586.8-208.1)+(0+(-0.598536--0.212262))+0-25.6--0.0261120000000041</f>
        <v>352.73983799999991</v>
      </c>
      <c r="X189" s="3">
        <f>0+(675-306)+(0+(-1.03275--0.46818))+0-25--0.0382500000000014</f>
        <v>343.47368</v>
      </c>
      <c r="Y189" s="3">
        <f>0+(702-339)+(0+(-1.43208--0.69156))+0-30--0.0611999999999987</f>
        <v>332.32067999999998</v>
      </c>
      <c r="Z189" s="3">
        <f>0+(718.5-321.1)+(0+(-1.832175--0.818805))+0-30.9--0.0787949999999955</f>
        <v>365.565425</v>
      </c>
      <c r="AA189" s="3">
        <f>0+(700.9-323.6)+(0+(-2.144754--0.990216))+0-24--0.0734400000000028</f>
        <v>352.21890199999996</v>
      </c>
      <c r="AB189" s="3">
        <f>0+(627.6-259.2)+(0+(-1.280304--0.528768))+0-30.5--0.0622199999999987</f>
        <v>337.21068400000007</v>
      </c>
      <c r="AC189" s="3">
        <f>0+(571.9-206.8)+(0+(-1.458345--0.52734))+0-30.1--0.0767549999999956</f>
        <v>334.14574999999991</v>
      </c>
      <c r="AD189" s="2">
        <v>386.69999999999993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0+(568.3-219.1)+(0+(-0.289833--0.111741))+0-29.7--0.015146999999997</f>
        <v>319.33705499999996</v>
      </c>
      <c r="G190" s="3">
        <f>0+(546.3-203.4)+(0+(-0.557226--0.207468))+0-29.3--0.0298860000000047</f>
        <v>313.28012799999993</v>
      </c>
      <c r="H190" s="3">
        <f>0+(526.9-187.6)+(0+(-0.268719--0.095676))+0-29.7--0.015146999999997</f>
        <v>309.44210399999997</v>
      </c>
      <c r="I190" s="3">
        <f>0+(460.4-124.1)+(0+(-1.17402--0.316455))+0-29.9--0.0762449999999957</f>
        <v>305.61867999999993</v>
      </c>
      <c r="J190" s="3">
        <f>0+(418.9-84.8)+(0+(0.213639-0.043248))+0-29.4-0.014993999999997</f>
        <v>304.85539699999998</v>
      </c>
      <c r="K190" s="3">
        <f>0+(463.8-130)+(0+(-1.18269--0.3315))+0-29.8--0.0759899999999957</f>
        <v>303.22480000000002</v>
      </c>
      <c r="L190" s="3">
        <f>0+(491.5-155.8)+(0+(-0.250665--0.079458))+0-29.8--0.015197999999997</f>
        <v>305.74399099999999</v>
      </c>
      <c r="M190" s="3">
        <f>0+(581.4-219.8)+(0+(-0.296514--0.112098))+0-30.2--0.0154019999999969</f>
        <v>331.23098599999997</v>
      </c>
      <c r="N190" s="3">
        <f>0+(670.7-279.2)+(0+(0-0))+0-30.8-0</f>
        <v>360.70000000000005</v>
      </c>
      <c r="O190" s="3">
        <f>0+(689.1-282.9)+(0+(0-0))+0-30.8-0</f>
        <v>375.40000000000003</v>
      </c>
      <c r="P190" s="3">
        <f>0+(751.7-343.2)+(0+(-0.766734--0.350064))+0-30.6--0.0312120000000049</f>
        <v>377.51454200000001</v>
      </c>
      <c r="Q190" s="3">
        <f>0+(804-389.7)+(0+(-0.41004--0.198747))+0-30.6--0.0156059999999969</f>
        <v>383.50431299999997</v>
      </c>
      <c r="R190" s="3">
        <f>0+(795.1-381.9)+(0+(-0.811002--0.389538))+0-30--0.0306000000000048</f>
        <v>382.80913600000002</v>
      </c>
      <c r="S190" s="3">
        <f>0+(758.4-361.2)+(0+(-1.160352--0.552636))+0-30.2--0.0462060000000017</f>
        <v>366.43849</v>
      </c>
      <c r="T190" s="3">
        <f>0+(684.8-291)+(0+(-0.349248--0.14841))+0-30.1--0.0153509999999969</f>
        <v>363.51451299999997</v>
      </c>
      <c r="U190" s="3">
        <f>0+(630.1-243.5)+(0+(-1.606755--0.620925))+0-30.5--0.0777749999999956</f>
        <v>355.19194499999998</v>
      </c>
      <c r="V190" s="3">
        <f>0+(608.3-226.9)+(0+(-0.620466--0.231438))+0-29.9--0.0304980000000048</f>
        <v>351.14147000000003</v>
      </c>
      <c r="W190" s="3">
        <f>0+(502-102.1)+(0+(-0.76806--0.156213))+0-30.3--0.0463590000000018</f>
        <v>369.03451199999995</v>
      </c>
      <c r="X190" s="3">
        <f>0+(556-133.7)+(0+(-0.28356--0.068187))+0-30.8--0.0157079999999969</f>
        <v>391.30033500000002</v>
      </c>
      <c r="Y190" s="3">
        <f>0+(574.8-161.4)+(0+(-1.758888--0.493884))+0-31.1--0.0951660000000036</f>
        <v>381.13016199999998</v>
      </c>
      <c r="Z190" s="3">
        <f>0+(589.6-181)+(0+(-0.300696--0.09231))+0-30.8--0.0157079999999969</f>
        <v>377.60732200000001</v>
      </c>
      <c r="AA190" s="3">
        <f>0+(568.3-172.7)+(0+(-0.289833--0.088077))+0-30.8--0.0157079999999969</f>
        <v>364.61395199999998</v>
      </c>
      <c r="AB190" s="3">
        <f>0+(445.2-62.1)+(0+(-1.13526--0.158355))+0-30.3--0.0772649999999956</f>
        <v>351.90035999999998</v>
      </c>
      <c r="AC190" s="3">
        <f>0+(491.3-116.1)+(0+(-0.751689--0.177633))+0-30.6--0.0468180000000018</f>
        <v>344.07276200000001</v>
      </c>
      <c r="AD190" s="2">
        <v>391.20000000000005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0+(450.3-88.6)+(0+(-0.918612--0.180744))+0-30.4--0.0620159999999987</f>
        <v>330.62414800000005</v>
      </c>
      <c r="G191" s="3">
        <f>0+(440.5-89.2)+(0+(-1.123275--0.22746))+0-30.4--0.0775199999999956</f>
        <v>320.081705</v>
      </c>
      <c r="H191" s="3">
        <f>0+(434.5-89.3)+(0+(-1.107975--0.227715))+0-29.9--0.0762449999999957</f>
        <v>314.49598499999996</v>
      </c>
      <c r="I191" s="3">
        <f>0+(429.8-83.3)+(0+(-0.219198--0.042483))+0-29.8--0.015197999999997</f>
        <v>316.53848299999999</v>
      </c>
      <c r="J191" s="3">
        <f>0+(427.5-85.6)+(0+(-0.43605--0.087312))+0-29.9--0.0304980000000048</f>
        <v>311.68176</v>
      </c>
      <c r="K191" s="3">
        <f>0+(400.5-64.2)+(0+(-1.021275--0.16371))+0-29.6--0.0754799999999957</f>
        <v>305.91791499999994</v>
      </c>
      <c r="L191" s="3">
        <f>0+(419.3-81.2)+(0+(0-0))+0-29.6-0</f>
        <v>308.5</v>
      </c>
      <c r="M191" s="3">
        <f>0+(446.5-81.8)+(0+(-0.227715--0.041718))+0-30.3--0.0154529999999969</f>
        <v>334.22945599999997</v>
      </c>
      <c r="N191" s="3">
        <f>0+(488.6-91.4)+(0+(-0.498372--0.093228))+0-31--0.0316200000000049</f>
        <v>365.82647600000007</v>
      </c>
      <c r="O191" s="3">
        <f>0+(519.3-108.1)+(0+(-0.264843--0.055131))+0-30.6--0.0156059999999969</f>
        <v>380.40589399999988</v>
      </c>
      <c r="P191" s="3">
        <f>0+(503.8-95.1)+(0+(0.513876-0.097002))+0-30.8-0.0314160000000049</f>
        <v>378.28545800000006</v>
      </c>
      <c r="Q191" s="3">
        <f>0+(483-72.3)+(0+(0-0))+0-31-0</f>
        <v>379.7</v>
      </c>
      <c r="R191" s="3">
        <f>0+(497.7-85.3)+(0+(0.253827-0.043503))+0-30.8-0.0157079999999969</f>
        <v>381.79461599999996</v>
      </c>
      <c r="S191" s="3">
        <f>0+(477.5-91.7)+(0+(0.48705-0.093534))+0-30.9-0.0315180000000049</f>
        <v>355.26199800000001</v>
      </c>
      <c r="T191" s="3">
        <f>0+(496.5-110.5)+(0+(-0.50643--0.11271))+0-31.2--0.031824000000005</f>
        <v>354.43810400000007</v>
      </c>
      <c r="U191" s="3">
        <f>0+(484.8-108)+(0+(-1.730736--0.38556))+0-30.9--0.110313</f>
        <v>344.66513700000007</v>
      </c>
      <c r="V191" s="3">
        <f>0+(463.1-97.4)+(0+(-0.472362--0.099348))+0-29.5--0.0300900000000047</f>
        <v>335.85707600000006</v>
      </c>
      <c r="W191" s="3">
        <f>0+(478.5-97.9)+(0+(0-0))+0-31.4-0</f>
        <v>349.20000000000005</v>
      </c>
      <c r="X191" s="3">
        <f>0+(498.1-82)+(0+(-0.254031--0.04182))+0-31.3--0.0159629999999968</f>
        <v>384.60375199999999</v>
      </c>
      <c r="Y191" s="3">
        <f>0+(457-49.8)+(0+(-0.93228--0.101592))+0-32.2--0.0656879999999986</f>
        <v>374.23500000000001</v>
      </c>
      <c r="Z191" s="3">
        <f>0+(429.7-33.9)+(0+(-0.438294--0.034578))+0-32.4--0.0330480000000052</f>
        <v>363.02933200000007</v>
      </c>
      <c r="AA191" s="3">
        <f>0+(383.7-0)+(0+(-0.195687-0))+0-31.7--0.0161669999999968</f>
        <v>351.82047999999998</v>
      </c>
      <c r="AB191" s="3">
        <f>0+(377.1-0)+(0+(-1.346247-0))+0-31.3--0.111741</f>
        <v>344.565494</v>
      </c>
      <c r="AC191" s="3">
        <f>0+(442.7-70)+(0+(0.225777-0.0357))+0-30.9-0.0157589999999969</f>
        <v>341.97431799999998</v>
      </c>
      <c r="AD191" s="2">
        <v>377.99999999999994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0+(405.9-50.4)+(0+(-0.621027--0.077112))+0-21.7--0.0332010000000013</f>
        <v>333.289286</v>
      </c>
      <c r="G192" s="3">
        <f>0+(396.7-53.4)+(0+(-0.606951--0.081702))+0-16.5--0.025245000000001</f>
        <v>326.29999600000002</v>
      </c>
      <c r="H192" s="3">
        <f>0+(420.7-83.5)+(0+(-1.072785--0.212925))+0-16.2--0.0413099999999976</f>
        <v>320.18144999999998</v>
      </c>
      <c r="I192" s="3">
        <f>0+(406.4-72.4)+(0+(-0.414528--0.073848))+0-16.2--0.0165240000000026</f>
        <v>317.475844</v>
      </c>
      <c r="J192" s="3">
        <f>0+(403.1-77.8)+(0+(0-0))+0-16.1-0</f>
        <v>309.2</v>
      </c>
      <c r="K192" s="3">
        <f>0+(345-21.6)+(0+(-0.52785--0.033048))+0-25.7--0.0393210000000015</f>
        <v>297.24451900000003</v>
      </c>
      <c r="L192" s="3">
        <f>0+(364.5-44.2)+(0+(0.185895-0.022542))+0-29.9-0.015248999999997</f>
        <v>290.54810400000002</v>
      </c>
      <c r="M192" s="3">
        <f>0+(400.1-53)+(0+(-0.204051--0.02703))+0-30.6--0.0156059999999969</f>
        <v>316.33858499999997</v>
      </c>
      <c r="N192" s="3">
        <f>0+(430.7-53.3)+(0+(-0.439314--0.054366))+0-31.5--0.032130000000005</f>
        <v>345.54718199999996</v>
      </c>
      <c r="O192" s="3">
        <f>0+(425.8-35.7)+(0+(-0.217158--0.018207))+0-30.4--0.0155039999999969</f>
        <v>359.51655300000004</v>
      </c>
      <c r="P192" s="3">
        <f>0+(438-46.5)+(0+(0.44676-0.04743))+0-31.7-0.0323340000000051</f>
        <v>360.16699600000004</v>
      </c>
      <c r="Q192" s="3">
        <f>0+(446.9-51.7)+(0+(0.683757-0.079101))+0-31.3-0.0478890000000018</f>
        <v>364.45676699999996</v>
      </c>
      <c r="R192" s="3">
        <f>0+(441.9-50.9)+(0+(-0.676107--0.077877))+0-30.2--0.0462060000000017</f>
        <v>360.24797599999999</v>
      </c>
      <c r="S192" s="3">
        <f>0+(420.6-51.6)+(0+(0-0))+0-31-0</f>
        <v>338</v>
      </c>
      <c r="T192" s="3">
        <f>0+(412.8-51.4)+(0+(-0.631584--0.078642))+0-30.6--0.0468180000000018</f>
        <v>330.29387600000007</v>
      </c>
      <c r="U192" s="3">
        <f>0+(395.3-43.6)+(0+(-1.209618--0.133416))+0-30.7--0.0939420000000036</f>
        <v>320.01774</v>
      </c>
      <c r="V192" s="3">
        <f>0+(393.7-43.8)+(0+(-1.204722--0.134028))+0-31.1--0.0951660000000036</f>
        <v>317.82447199999996</v>
      </c>
      <c r="W192" s="3">
        <f>0+(464-102.7)+(0+(-0.94656--0.209508))+0-31.2--0.0636479999999986</f>
        <v>329.42659600000002</v>
      </c>
      <c r="X192" s="3">
        <f>0+(467.5-82.1)+(0+(0-0))+0-32.2-0</f>
        <v>353.2</v>
      </c>
      <c r="Y192" s="3">
        <f>0+(503.2-118.8)+(0+(-2.309688--0.545292))+0-30.8--0.141372000000005</f>
        <v>351.97697599999998</v>
      </c>
      <c r="Z192" s="3">
        <f>0+(474.8-96.9)+(0+(-1.21074--0.247095))+0-32.2--0.0821099999999953</f>
        <v>344.818465</v>
      </c>
      <c r="AA192" s="3">
        <f>0+(449.6-78.6)+(0+(-0.687888--0.120258))+0-32--0.0489600000000018</f>
        <v>338.48133000000001</v>
      </c>
      <c r="AB192" s="3">
        <f>0+(421.1-65.4)+(0+(-0.644283--0.100062))+0-31.5--0.0481950000000018</f>
        <v>323.70397400000007</v>
      </c>
      <c r="AC192" s="3">
        <f>0+(459.7-110)+(0+(-0.703341--0.1683))+0-31.4--0.0480420000000018</f>
        <v>317.81300100000004</v>
      </c>
      <c r="AD192" s="2">
        <v>359.09999999999997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0+(478.6-131.6)+(0+(-0.976344--0.268464))+0-31--0.0632399999999986</f>
        <v>315.35536000000002</v>
      </c>
      <c r="G193" s="3">
        <f>0+(430.8-91.9)+(0+(0.219708-0.046869))+0-31.2-0.0159119999999968</f>
        <v>307.85692699999998</v>
      </c>
      <c r="H193" s="3">
        <f>0+(443.1-111.1)+(0+(-0.225981--0.056661))+0-30.7--0.0156569999999969</f>
        <v>301.14633699999996</v>
      </c>
      <c r="I193" s="3">
        <f>0+(444.7-120.2)+(0+(-0.680391--0.183906))+0-25--0.0382500000000014</f>
        <v>299.041765</v>
      </c>
      <c r="J193" s="3">
        <f>0+(438.6-113.5)+(0+(-0.223686--0.057885))+0-29.8--0.015197999999997</f>
        <v>295.14939700000002</v>
      </c>
      <c r="K193" s="3">
        <f>0+(423.3-102.7)+(0+(-1.079415--0.261885))+0-30.3--0.0772649999999956</f>
        <v>289.55973500000005</v>
      </c>
      <c r="L193" s="3">
        <f>0+(373.7-72.9)+(0+(0-0))+0-30.3-0</f>
        <v>270.49999999999994</v>
      </c>
      <c r="M193" s="3">
        <f>0+(300.3-0)+(0+(-0.918918-0))+0-30.2--0.0924120000000035</f>
        <v>269.27349400000003</v>
      </c>
      <c r="N193" s="3">
        <f>0+(312.1-0)+(0+(-0.159171-0))+0-30.4--0.0155039999999969</f>
        <v>281.55633300000005</v>
      </c>
      <c r="O193" s="3">
        <f>0+(312.9-0)+(0+(-0.478737-0))+0-31.2--0.0477360000000018</f>
        <v>281.26899899999995</v>
      </c>
      <c r="P193" s="3">
        <f>0+(317.8-2.8)+(0+(-0.486234--0.004284))+0-31.1--0.0475830000000018</f>
        <v>283.46563299999997</v>
      </c>
      <c r="Q193" s="3">
        <f>0+(312.4-0)+(0+(-0.318648-0))+0-31.5--0.032130000000005</f>
        <v>280.61348199999998</v>
      </c>
      <c r="R193" s="3">
        <f>0+(319.2-7.5)+(0+(0.325584-0.00765))+0-29.5-0.0300900000000047</f>
        <v>282.48784399999994</v>
      </c>
      <c r="S193" s="3">
        <f>0+(313.1-0)+(0+(-0.479043-0))+0-27.3--0.0417690000000016</f>
        <v>285.36272600000001</v>
      </c>
      <c r="T193" s="3">
        <f>0+(332.6-30.6)+(0+(-0.508878--0.046818))+0-27.8--0.0425340000000016</f>
        <v>273.78047399999997</v>
      </c>
      <c r="U193" s="3">
        <f>0+(323.8-17.5)+(0+(-0.82569--0.044625))+0-30.6--0.0780299999999956</f>
        <v>274.99696499999999</v>
      </c>
      <c r="V193" s="3">
        <f>0+(332.7-14.3)+(0+(-0.848385--0.036465))+0-29.3--0.0747149999999958</f>
        <v>288.36279499999995</v>
      </c>
      <c r="W193" s="3">
        <f>0+(432.1-94.6)+(0+(-0.440742--0.096492))+0-32.2--0.0328440000000051</f>
        <v>304.98859400000003</v>
      </c>
      <c r="X193" s="3">
        <f>0+(371-48.4)+(0+(-0.18921--0.024684))+0-32.5--0.0165749999999967</f>
        <v>289.95204899999999</v>
      </c>
      <c r="Y193" s="3">
        <f>0+(376.7-46.3)+(0+(-0.384234--0.047226))+0-31.8--0.0324360000000051</f>
        <v>298.29542799999996</v>
      </c>
      <c r="Z193" s="3">
        <f>0+(379.5-46.6)+(0+(-0.967725--0.11883))+0-31.3--0.0798149999999955</f>
        <v>300.83091999999994</v>
      </c>
      <c r="AA193" s="3">
        <f>0+(354.4-27.5)+(0+(-0.180744--0.014025))+0-31.5--0.0160649999999968</f>
        <v>295.24934599999995</v>
      </c>
      <c r="AB193" s="3">
        <f>0+(342.8-20.6)+(0+(-0.87414--0.05253))+0-31--0.0790499999999955</f>
        <v>290.45743999999996</v>
      </c>
      <c r="AC193" s="3">
        <f>0+(318.7-0)+(0+(-0.325074-0))+0-31.1--0.031722000000005</f>
        <v>287.306648</v>
      </c>
      <c r="AD193" s="2">
        <v>297.8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0+(371.6-61.3)+(0+(-0.94758--0.156315))+0-30.6--0.0780299999999956</f>
        <v>278.98676499999999</v>
      </c>
      <c r="G194" s="3">
        <f>0+(406-104.3)+(0+(-0.62118--0.159579))+0-30.2--0.0462060000000017</f>
        <v>271.08460500000001</v>
      </c>
      <c r="H194" s="3">
        <f>0+(381.5-88.3)+(0+(-0.972825--0.225165))+0-26.2--0.0668099999999962</f>
        <v>266.31914999999998</v>
      </c>
      <c r="I194" s="3">
        <f>0+(359.4-60.5)+(0+(-0.733176--0.12342))+0-29.6--0.0603839999999987</f>
        <v>268.75062799999995</v>
      </c>
      <c r="J194" s="3">
        <f>0+(362.1-65.2)+(0+(-0.554013--0.099756))+0-30--0.0459000000000017</f>
        <v>266.49164300000007</v>
      </c>
      <c r="K194" s="3">
        <f>0+(376.9-79.7)+(0+(-0.192219--0.040647))+0-30.2--0.0154019999999969</f>
        <v>266.86383000000001</v>
      </c>
      <c r="L194" s="3">
        <f>0+(363.3-59.4)+(0+(0.555849-0.090882))+0-30-0.0459000000000017</f>
        <v>274.31906700000002</v>
      </c>
      <c r="M194" s="3">
        <f>0+(443.2-110.8)+(0+(0.678096-0.169524))+0-30.4-0.0465120000000018</f>
        <v>302.46206000000001</v>
      </c>
      <c r="N194" s="3">
        <f>0+(536-166.9)+(0+(0-0))+0-31.3-0</f>
        <v>337.8</v>
      </c>
      <c r="O194" s="3">
        <f>0+(674.1-288.3)+(0+(0-0))+0-31.5-0</f>
        <v>354.3</v>
      </c>
      <c r="P194" s="3">
        <f>0+(727.6-341.3)+(0+(0-0))+0-30.6-0</f>
        <v>355.7</v>
      </c>
      <c r="Q194" s="3">
        <f>0+(742.6-355.4)+(0+(-1.136178--0.543762))+0-30.7--0.0469710000000018</f>
        <v>355.95455500000003</v>
      </c>
      <c r="R194" s="3">
        <f>0+(775.3-394.1)+(0+(-2.372418--1.205946))+0-30.4--0.0930240000000035</f>
        <v>349.72655199999997</v>
      </c>
      <c r="S194" s="3">
        <f>0+(794.9-427.7)+(0+(-0.810798--0.436254))+0-28.8--0.0293760000000046</f>
        <v>338.05483199999998</v>
      </c>
      <c r="T194" s="3">
        <f>0+(769.5-403.5)+(0+(-0.392445--0.205785))+0-30.6--0.0156059999999969</f>
        <v>335.22894599999995</v>
      </c>
      <c r="U194" s="3">
        <f>0+(747.4-384.7)+(0+(-0.762348--0.392394))+0-30.2--0.0308040000000048</f>
        <v>332.16084999999998</v>
      </c>
      <c r="V194" s="3">
        <f>0+(534.5-180.5)+(0+(-0.817785--0.276165))+0-28.6--0.0437580000000017</f>
        <v>324.90213799999998</v>
      </c>
      <c r="W194" s="3">
        <f>0+(410.4-48.4)+(0+(0.837216-0.098736))+0-30.8-0.0628319999999987</f>
        <v>331.87564799999996</v>
      </c>
      <c r="X194" s="3">
        <f>0+(400.8-13.2)+(0+(0.408816-0.013464))+0-30.5-0.0311100000000049</f>
        <v>357.46424200000001</v>
      </c>
      <c r="Y194" s="3">
        <f>0+(392.1-5.1)+(0+(0.399942-0.005202))+0-32-0.0326400000000051</f>
        <v>355.3621</v>
      </c>
      <c r="Z194" s="3">
        <f>0+(374.7-0)+(0+(0-0))+0-32-0</f>
        <v>342.7</v>
      </c>
      <c r="AA194" s="3">
        <f>0+(359.3-0)+(0+(0.183243-0))+0-27.7-0.0141269999999972</f>
        <v>331.76911600000005</v>
      </c>
      <c r="AB194" s="3">
        <f>0+(350.2-0)+(0+(-0.89301-0))+0-30.6--0.0780299999999956</f>
        <v>318.78501999999997</v>
      </c>
      <c r="AC194" s="3">
        <f>0+(334.5-0)+(0+(-0.68238-0))+0-30.7--0.0626279999999987</f>
        <v>303.18024800000001</v>
      </c>
      <c r="AD194" s="2">
        <v>360.2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0+(331.6-0)+(0+(-0.676464-0))+0-30--0.0611999999999987</f>
        <v>300.984736</v>
      </c>
      <c r="G195" s="3">
        <f>0+(328-0)+(0+(-1.17096-0))+0-30.2--0.107814</f>
        <v>296.73685400000005</v>
      </c>
      <c r="H195" s="3">
        <f>0+(320.2-0)+(0+(0.326604-0))+0-30.4-0.0310080000000048</f>
        <v>290.095596</v>
      </c>
      <c r="I195" s="3">
        <f>0+(318.9-0)+(0+(-0.650556-0))+0-28.8--0.0587519999999987</f>
        <v>289.508196</v>
      </c>
      <c r="J195" s="3">
        <f>0+(320.1-0)+(0+(0.326502-0))+0-30.7-0.0313140000000049</f>
        <v>289.69518800000003</v>
      </c>
      <c r="K195" s="3">
        <f>0+(316.2-0)+(0+(-0.483786-0))+0-30.3--0.0463590000000018</f>
        <v>285.46257299999996</v>
      </c>
      <c r="L195" s="3">
        <f>0+(313.5-0)+(0+(0-0))+0-29.9-0</f>
        <v>283.60000000000002</v>
      </c>
      <c r="M195" s="3">
        <f>0+(372-33.1)+(0+(-0.56916--0.050643))+0-30.8--0.0471240000000018</f>
        <v>307.62860699999999</v>
      </c>
      <c r="N195" s="3">
        <f>0+(604.9-230.2)+(0+(0.308499-0.117402))+0-30.7-0.0156569999999969</f>
        <v>344.17544000000004</v>
      </c>
      <c r="O195" s="3">
        <f>0+(716.3-324.3)+(0+(-0.730626--0.330786))+0-30.9--0.0315180000000049</f>
        <v>360.73167799999999</v>
      </c>
      <c r="P195" s="3">
        <f>0+(751.4-355)+(0+(-0.383214--0.18105))+0-30.7--0.0156569999999969</f>
        <v>365.51349299999998</v>
      </c>
      <c r="Q195" s="3">
        <f>0+(770-369.9)+(0+(1.1781-0.565947))+0-30.6-0.0468180000000018</f>
        <v>370.065335</v>
      </c>
      <c r="R195" s="3">
        <f>0+(745.6-349.9)+(0+(-1.521024--0.713796))+0-30.5--0.0622199999999987</f>
        <v>364.45499200000006</v>
      </c>
      <c r="S195" s="3">
        <f>0+(766.3-396.8)+(0+(1.563252-0.809472))+0-30.6-0.0624239999999987</f>
        <v>339.59135599999991</v>
      </c>
      <c r="T195" s="3">
        <f>0+(767.6-394.4)+(0+(-0.391476--0.201144))+0-30.6--0.0156059999999969</f>
        <v>342.425274</v>
      </c>
      <c r="U195" s="3">
        <f>0+(735.3-368.3)+(0+(-1.875015--0.939165))+0-30.6--0.0780299999999956</f>
        <v>335.54217999999992</v>
      </c>
      <c r="V195" s="3">
        <f>0+(579.4-221)+(0+(-2.068458--0.78897))+0-30.6--0.109242</f>
        <v>326.62975399999993</v>
      </c>
      <c r="W195" s="3">
        <f>0+(455.8-96.6)+(0+(-0.697374--0.147798))+0-30.8--0.0471240000000018</f>
        <v>327.89754800000003</v>
      </c>
      <c r="X195" s="3">
        <f>0+(540.2-153.7)+(0+(-1.102008--0.313548))+0-30.6--0.0624239999999987</f>
        <v>355.17396400000007</v>
      </c>
      <c r="Y195" s="3">
        <f>0+(564.7-184)+(0+(-1.439985--0.4692))+0-30.9--0.0787949999999955</f>
        <v>348.9080100000001</v>
      </c>
      <c r="Z195" s="3">
        <f>0+(524.8-147)+(0+(-1.070592--0.29988))+0-31.1--0.0634439999999986</f>
        <v>345.99273199999993</v>
      </c>
      <c r="AA195" s="3">
        <f>0+(517.8-153.9)+(0+(-1.32039--0.392445))+0-30.8--0.0785399999999955</f>
        <v>332.25059499999992</v>
      </c>
      <c r="AB195" s="3">
        <f>0+(450.4-100.3)+(0+(0.229704-0.051153))+0-30.8-0.0157079999999969</f>
        <v>319.46284299999996</v>
      </c>
      <c r="AC195" s="3">
        <f>0+(368.5-29.4)+(0+(-0.939675--0.07497))+0-31.4--0.0800699999999954</f>
        <v>306.91536500000001</v>
      </c>
      <c r="AD195" s="2">
        <v>351.5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0+(335.1-7.8)+(0+(-0.170901--0.003978))+0-30.8--0.0157079999999969</f>
        <v>296.34878500000002</v>
      </c>
      <c r="G196" s="3">
        <f>0+(357.3-32.8)+(0+(-0.182223--0.016728))+0-30.8--0.0157079999999969</f>
        <v>293.55021299999999</v>
      </c>
      <c r="H196" s="3">
        <f>0+(353.4-35.3)+(0+(0.540702-0.054009))+0-31-0.0474300000000018</f>
        <v>287.53926299999995</v>
      </c>
      <c r="I196" s="3">
        <f>0+(352.5-33.2)+(0+(0.539325-0.050796))+0-30.6-0.0468180000000018</f>
        <v>289.14171099999999</v>
      </c>
      <c r="J196" s="3">
        <f>0+(332.6-9.3)+(0+(-0.678504--0.018972))+0-30.8--0.0628319999999987</f>
        <v>291.9033</v>
      </c>
      <c r="K196" s="3">
        <f>0+(355.5-36.5)+(0+(-0.543915--0.055845))+0-30.3--0.0463590000000018</f>
        <v>288.25828899999999</v>
      </c>
      <c r="L196" s="3">
        <f>0+(332.5-15.9)+(0+(-0.508725--0.024327))+0-30.2--0.0462060000000017</f>
        <v>285.96180800000002</v>
      </c>
      <c r="M196" s="3">
        <f>0+(364.2-24.9)+(0+(0.92871-0.063495))+0-31-0.0790499999999955</f>
        <v>309.08616499999999</v>
      </c>
      <c r="N196" s="3">
        <f>0+(588.5-213.3)+(0+(0-0))+0-31.2-0</f>
        <v>344</v>
      </c>
      <c r="O196" s="3">
        <f>0+(747-358.8)+(0+(1.14291-0.548964))+0-31-0.0474300000000018</f>
        <v>357.74651599999999</v>
      </c>
      <c r="P196" s="3">
        <f>0+(858.7-464.2)+(0+(0-0))+0-31.1-0</f>
        <v>363.40000000000003</v>
      </c>
      <c r="Q196" s="3">
        <f>0+(851.9-446.3)+(0+(0.868938-0.455226))+0-31.1-0.031722000000005</f>
        <v>374.88198999999992</v>
      </c>
      <c r="R196" s="3">
        <f>0+(834.1-428.2)+(0+(-0.425391--0.218382))+0-30.7--0.0156569999999969</f>
        <v>375.00864799999999</v>
      </c>
      <c r="S196" s="3">
        <f>0+(831.2-441.9)+(0+(0.847824-0.450738))+0-30.5-0.0311100000000049</f>
        <v>359.16597600000006</v>
      </c>
      <c r="T196" s="3">
        <f>0+(803.7-422.5)+(0+(1.229661-0.646425))+0-30.3-0.0463590000000018</f>
        <v>351.43687700000004</v>
      </c>
      <c r="U196" s="3">
        <f>0+(809.3-435.5)+(0+(0-0))+0-30.6-0</f>
        <v>343.19999999999993</v>
      </c>
      <c r="V196" s="3">
        <f>0+(823.3-446.3)+(0+(-0.419883--0.227613))+0-31--0.0158099999999969</f>
        <v>345.82353999999992</v>
      </c>
      <c r="W196" s="3">
        <f>0+(677.5-288.2)+(0+(1.036575-0.440946))+0-30.8-0.0471240000000018</f>
        <v>359.04850499999998</v>
      </c>
      <c r="X196" s="3">
        <f>0+(740.4-329)+(0+(-0.755208--0.33558))+0-31.9--0.0325380000000051</f>
        <v>379.11291</v>
      </c>
      <c r="Y196" s="3">
        <f>0+(786.7-388.6)+(0+(-2.006085--0.99093))+0-31.5--0.0803249999999954</f>
        <v>365.66517000000005</v>
      </c>
      <c r="Z196" s="3">
        <f>0+(807.7-411)+(0+(-1.647708--0.83844))+0-31.3--0.0638519999999986</f>
        <v>364.65458400000006</v>
      </c>
      <c r="AA196" s="3">
        <f>0+(700.8-322.5)+(0+(-1.072224--0.493425))+0-31.2--0.0477360000000018</f>
        <v>346.56893699999995</v>
      </c>
      <c r="AB196" s="3">
        <f>0+(663-300.3)+(0+(-1.69065--0.765765))+0-30.5--0.0777749999999956</f>
        <v>331.35288999999995</v>
      </c>
      <c r="AC196" s="3">
        <f>0+(684.1-334)+(0+(-1.744455--0.8517))+0-30.5--0.0777749999999956</f>
        <v>318.78501999999997</v>
      </c>
      <c r="AD196" s="2">
        <v>368.9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0+(678.2-341.9)+(0+(-0.345882--0.174369))+0-31--0.0158099999999969</f>
        <v>305.14429700000005</v>
      </c>
      <c r="G197" s="3">
        <f>0+(595.4-265.9)+(0+(0.303654-0.135609))+0-30.2-0.0154019999999969</f>
        <v>299.45264300000002</v>
      </c>
      <c r="H197" s="3">
        <f>0+(569.8-236.8)+(0+(0.581196-0.241536))+0-30.9-0.0315180000000049</f>
        <v>302.40814199999994</v>
      </c>
      <c r="I197" s="3">
        <f>0+(569.4-235.8)+(0+(-0.290394--0.120258))+0-30.9--0.0157589999999969</f>
        <v>302.54562299999998</v>
      </c>
      <c r="J197" s="3">
        <f>0+(533-201.8)+(0+(0.27183-0.102918))+0-30.3-0.0154529999999969</f>
        <v>301.05345899999998</v>
      </c>
      <c r="K197" s="3">
        <f>0+(545-212)+(0+(-0.83385--0.32436))+0-30.4--0.0465120000000018</f>
        <v>302.137022</v>
      </c>
      <c r="L197" s="3">
        <f>0+(541.5-189.6)+(0+(0.55233-0.193392))+0-30.4-0.0310080000000048</f>
        <v>321.82793000000004</v>
      </c>
      <c r="M197" s="3">
        <f>0+(603.5-247.2)+(0+(0.61557-0.252144))+0-30.9-0.0315180000000049</f>
        <v>325.73190800000003</v>
      </c>
      <c r="N197" s="3">
        <f>0+(769.8-376.3)+(0+(-0.392598--0.191913))+0-30.8--0.0157079999999969</f>
        <v>362.51502299999993</v>
      </c>
      <c r="O197" s="3">
        <f>0+(801.9-393.9)+(0+(-0.408969--0.200889))+0-30.7--0.0156569999999969</f>
        <v>377.10757699999999</v>
      </c>
      <c r="P197" s="3">
        <f>0+(793.8-382.7)+(0+(0-0))+0-30.9-0</f>
        <v>380.2</v>
      </c>
      <c r="Q197" s="3">
        <f>0+(756.1-342.5)+(0+(-0.771222--0.34935))+0-40--0.0408000000000064</f>
        <v>373.21892800000001</v>
      </c>
      <c r="R197" s="3">
        <f>0+(766.9-359.9)+(0+(0.391119-0.183549))+0-30.6-0.0156059999999969</f>
        <v>376.59196399999996</v>
      </c>
      <c r="S197" s="3">
        <f>0+(816.7-430.9)+(0+(0-0))+0-30.4-0</f>
        <v>355.40000000000009</v>
      </c>
      <c r="T197" s="3">
        <f>0+(836.8-450.2)+(0+(0.853536-0.459204))+0-30.2-0.0308040000000048</f>
        <v>356.76352800000001</v>
      </c>
      <c r="U197" s="3">
        <f>0+(800.4-415.7)+(0+(-2.04102--1.060035))+0-30.2--0.0770099999999956</f>
        <v>353.596025</v>
      </c>
      <c r="V197" s="3">
        <f>0+(791.4-413.4)+(0+(-1.210842--0.632502))+0-30.4--0.0465120000000018</f>
        <v>347.068172</v>
      </c>
      <c r="W197" s="3">
        <f>0+(617.4-236.4)+(0+(0.629748-0.241128))+0-30.7-0.0313140000000049</f>
        <v>350.65730600000001</v>
      </c>
      <c r="X197" s="3">
        <f>0+(757.2-358.4)+(0+(0-0))+0-30.9-0</f>
        <v>367.90000000000009</v>
      </c>
      <c r="Y197" s="3">
        <f>0+(785.2-392.7)+(0+(-1.601808--0.801108))+0-30.7--0.0626279999999987</f>
        <v>361.06192800000008</v>
      </c>
      <c r="Z197" s="3">
        <f>0+(802.9-419.5)+(0+(-0.818958--0.42789))+0-30.4--0.0310080000000048</f>
        <v>352.63993999999997</v>
      </c>
      <c r="AA197" s="3">
        <f>0+(758.8-392)+(0+(-0.386988--0.19992))+0-30.6--0.0156059999999969</f>
        <v>336.02853799999991</v>
      </c>
      <c r="AB197" s="3">
        <f>0+(737.7-376)+(0+(-1.881135--0.9588))+0-30.7--0.0782849999999955</f>
        <v>330.15595000000008</v>
      </c>
      <c r="AC197" s="3">
        <f>0+(685.6-339.7)+(0+(-1.74828--0.866235))+0-31.3--0.0798149999999955</f>
        <v>313.79777000000001</v>
      </c>
      <c r="AD197" s="2">
        <v>366.69999999999993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0+(585.3-245.8)+(0+(-0.895509--0.376074))+0-30.7--0.0469710000000018</f>
        <v>308.32753599999995</v>
      </c>
      <c r="G198" s="3">
        <f>0+(428.7-96.7)+(0+(-1.093185--0.246585))+0-31.1--0.0793049999999955</f>
        <v>300.13270499999993</v>
      </c>
      <c r="H198" s="3">
        <f>0+(387-62.5)+(0+(-0.59211--0.095625))+0-31.3--0.0478890000000018</f>
        <v>292.75140399999998</v>
      </c>
      <c r="I198" s="3">
        <f>0+(404.8-79.5)+(0+(0-0))+0-30.9-0</f>
        <v>294.40000000000003</v>
      </c>
      <c r="J198" s="3">
        <f>0+(373.1-42.6)+(0+(-0.190281--0.021726))+0-30.5--0.0155549999999969</f>
        <v>299.84699999999998</v>
      </c>
      <c r="K198" s="3">
        <f>0+(381.4-57.7)+(0+(-0.583542--0.088281))+0-31.4--0.0480420000000018</f>
        <v>291.85278099999999</v>
      </c>
      <c r="L198" s="3">
        <f>0+(396.5-75.1)+(0+(0.202215-0.038301))+0-30.5-0.0155549999999969</f>
        <v>291.04835899999995</v>
      </c>
      <c r="M198" s="3">
        <f>0+(411.1-67.5)+(0+(0.209661-0.034425))+0-31-0.0158099999999969</f>
        <v>312.75942600000002</v>
      </c>
      <c r="N198" s="3">
        <f>0+(588.6-211.7)+(0+(0.300186-0.107967))+0-31.4-0.0160139999999968</f>
        <v>345.6762050000001</v>
      </c>
      <c r="O198" s="3">
        <f>0+(635.4-213)+(0+(0.324054-0.10863))+0-31.4-0.0160139999999968</f>
        <v>391.19941</v>
      </c>
      <c r="P198" s="3">
        <f>0+(623.1-224)+(0+(0-0))+0-31-0</f>
        <v>368.1</v>
      </c>
      <c r="Q198" s="3">
        <f>0+(692.9-289)+(0+(0-0))+0-31.1-0</f>
        <v>372.79999999999995</v>
      </c>
      <c r="R198" s="3">
        <f>0+(681.6-285.7)+(0+(0-0))+0-30.5-0</f>
        <v>365.40000000000003</v>
      </c>
      <c r="S198" s="3">
        <f>0+(574-204.7)+(0+(-0.58548--0.208794))+0-30.1--0.0307020000000048</f>
        <v>338.854016</v>
      </c>
      <c r="T198" s="3">
        <f>0+(612.5-246.3)+(0+(-0.312375--0.125613))+0-30.6--0.0156059999999969</f>
        <v>335.42884399999997</v>
      </c>
      <c r="U198" s="3">
        <f>0+(615.1-255.9)+(0+(-2.195907--0.913563))+0-30.8--0.109956</f>
        <v>327.22761200000002</v>
      </c>
      <c r="V198" s="3">
        <f>0+(595.3-237.3)+(0+(0.303603-0.121023))+0-30.6-0.0156059999999969</f>
        <v>327.5669739999999</v>
      </c>
      <c r="W198" s="3">
        <f>0+(584.2-169.2)+(0+(-0.595884--0.172584))+0-30.9--0.0315180000000049</f>
        <v>383.7082180000001</v>
      </c>
      <c r="X198" s="3">
        <f>0+(647.5-256.4)+(0+(-1.3209--0.523056))+0-31.2--0.0636479999999986</f>
        <v>359.16580400000004</v>
      </c>
      <c r="Y198" s="3">
        <f>0+(706.3-323.8)+(0+(-1.440852--0.660552))+0-31.1--0.0634439999999986</f>
        <v>350.68314399999991</v>
      </c>
      <c r="Z198" s="3">
        <f>0+(641.6-267)+(0+(-0.654432--0.27234))+0-31.1--0.031722000000005</f>
        <v>343.14963</v>
      </c>
      <c r="AA198" s="3">
        <f>0+(641-276)+(0+(-1.63455--0.7038))+0-31.1--0.0793049999999955</f>
        <v>333.04855499999996</v>
      </c>
      <c r="AB198" s="3">
        <f>0+(631.9-273.3)+(0+(-1.289076--0.557532))+0-30.7--0.0626279999999987</f>
        <v>327.23108400000001</v>
      </c>
      <c r="AC198" s="3">
        <f>0+(630.4-278.9)+(0+(-0.321504--0.142239))+0-30.8--0.0157079999999969</f>
        <v>320.53644300000002</v>
      </c>
      <c r="AD198" s="2">
        <v>356.79999999999995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0+(662.1-319)+(0+(-0.337671--0.16269))+0-30.9--0.0157589999999969</f>
        <v>312.04077800000005</v>
      </c>
      <c r="G199" s="3">
        <f>0+(650.2-317.7)+(0+(-1.65801--0.810135))+0-30.8--0.0785399999999955</f>
        <v>300.93066500000003</v>
      </c>
      <c r="H199" s="3">
        <f>0+(520.9-200.1)+(0+(0-0))+0-30.5-0</f>
        <v>290.29999999999995</v>
      </c>
      <c r="I199" s="3">
        <f>0+(523.4-200.1)+(0+(-0.266934--0.102051))+0-30.5--0.0155549999999969</f>
        <v>292.65067199999999</v>
      </c>
      <c r="J199" s="3">
        <f>0+(492.1-169.7)+(0+(0.501942-0.173094))+0-30.6-0.0312120000000049</f>
        <v>292.09763600000002</v>
      </c>
      <c r="K199" s="3">
        <f>0+(503.3-179.2)+(0+(-0.513366--0.182784))+0-30.3--0.0309060000000048</f>
        <v>293.50032400000003</v>
      </c>
      <c r="L199" s="3">
        <f>0+(484-165.3)+(0+(0.24684-0.084303))+0-30.4-0.0155039999999969</f>
        <v>288.44703299999998</v>
      </c>
      <c r="M199" s="3">
        <f>0+(569.9-226.9)+(0+(0-0))+0-30.7-0</f>
        <v>312.3</v>
      </c>
      <c r="N199" s="3">
        <f>0+(643.2-277)+(0+(0.328032-0.14127))+0-30.8-0.0157079999999969</f>
        <v>335.571054</v>
      </c>
      <c r="O199" s="3">
        <f>0+(723.9-310.7)+(0+(0.369189-0.158457))+0-31-0.0158099999999969</f>
        <v>382.39492200000001</v>
      </c>
      <c r="P199" s="3">
        <f>0+(759.2-371.2)+(0+(-1.161576--0.567936))+0-30.5--0.0466650000000018</f>
        <v>356.95302500000008</v>
      </c>
      <c r="Q199" s="3">
        <f>0+(779.7-389.5)+(0+(0-0))+0-31.2-0</f>
        <v>359.00000000000006</v>
      </c>
      <c r="R199" s="3">
        <f>0+(769-386.7)+(0+(-1.17657--0.591651))+0-30.7--0.0469710000000018</f>
        <v>351.06205199999999</v>
      </c>
      <c r="S199" s="3">
        <f>0+(776.6-415.1)+(0+(-0.792132--0.423402))+0-30.4--0.0310080000000048</f>
        <v>330.76227799999998</v>
      </c>
      <c r="T199" s="3">
        <f>0+(769-416.9)+(0+(0-0))+0-30.3-0</f>
        <v>321.8</v>
      </c>
      <c r="U199" s="3">
        <f>0+(778.9-431.9)+(0+(-0.794478--0.440538))+0-30.1--0.0307020000000048</f>
        <v>316.57676199999997</v>
      </c>
      <c r="V199" s="3">
        <f>0+(624.4-284.6)+(0+(-0.955332--0.435438))+0-30.3--0.0463590000000018</f>
        <v>309.02646499999992</v>
      </c>
      <c r="W199" s="3">
        <f>0+(581.4-225.8)+(0+(0.593028-0.230316))+0-30.5-0.0311100000000049</f>
        <v>325.43160199999994</v>
      </c>
      <c r="X199" s="3">
        <f>0+(728.9-349.7)+(0+(-1.858695--0.891735))+0-30.9--0.0787949999999955</f>
        <v>347.41183500000005</v>
      </c>
      <c r="Y199" s="3">
        <f>0+(712.2-332.1)+(0+(-1.089666--0.508113))+0-30.7--0.0469710000000018</f>
        <v>348.86541800000003</v>
      </c>
      <c r="Z199" s="3">
        <f>0+(703.1-326.2)+(0+(-1.792905--0.83181))+0-30.6--0.0780299999999956</f>
        <v>345.41693500000002</v>
      </c>
      <c r="AA199" s="3">
        <f>0+(670.2-304.4)+(0+(-1.025406--0.465732))+0-30.7--0.0469710000000018</f>
        <v>334.58729700000009</v>
      </c>
      <c r="AB199" s="3">
        <f>0+(672.4-311.6)+(0+(-0.685848--0.317832))+0-30.6--0.0312120000000049</f>
        <v>329.8631959999999</v>
      </c>
      <c r="AC199" s="3">
        <f>0+(683.9-332.1)+(0+(-0.348789--0.169371))+0-30.4--0.0155039999999969</f>
        <v>321.236086</v>
      </c>
      <c r="AD199" s="2">
        <v>345.80000000000007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0+(620.9-282.3)+(0+(-0.949977--0.431919))+0-30.3--0.0463590000000018</f>
        <v>307.82830099999995</v>
      </c>
      <c r="G200" s="3">
        <f>0+(624.7-294.8)+(0+(-0.955791--0.451044))+0-30--0.0459000000000017</f>
        <v>299.44115300000004</v>
      </c>
      <c r="H200" s="3">
        <f>0+(600.4-277)+(0+(-0.612408--0.28254))+0-30.1--0.0307020000000048</f>
        <v>293.000834</v>
      </c>
      <c r="I200" s="3">
        <f>0+(576.2-255.2)+(0+(-0.881586--0.390456))+0-30.7--0.0469710000000018</f>
        <v>289.85584100000005</v>
      </c>
      <c r="J200" s="3">
        <f>0+(496.2-177)+(0+(0.759186-0.27081))+0-30-0.0459000000000017</f>
        <v>289.64247599999999</v>
      </c>
      <c r="K200" s="3">
        <f>0+(520.6-206.3)+(0+(-1.32753--0.526065))+0-30--0.0764999999999956</f>
        <v>283.57503500000001</v>
      </c>
      <c r="L200" s="3">
        <f>0+(448.2-150.1)+(0+(0-0))+0-31-0</f>
        <v>267.10000000000002</v>
      </c>
      <c r="M200" s="3">
        <f>0+(505.3-204.4)+(0+(0-0))+0-31-0</f>
        <v>269.89999999999998</v>
      </c>
      <c r="N200" s="3">
        <f>0+(501.2-189.5)+(0+(-1.022448--0.38658))+0-31.3--0.0638519999999986</f>
        <v>279.82798399999996</v>
      </c>
      <c r="O200" s="3">
        <f>0+(600.4-283.1)+(0+(-0.612408--0.288762))+0-31.2--0.031824000000005</f>
        <v>285.808178</v>
      </c>
      <c r="P200" s="3">
        <f>0+(682-354)+(0+(-1.04346--0.54162))+0-31.2--0.0477360000000018</f>
        <v>296.34589599999998</v>
      </c>
      <c r="Q200" s="3">
        <f>0+(728.9-398.4)+(0+(-1.486956--0.812736))+0-31--0.0632399999999986</f>
        <v>298.88902000000002</v>
      </c>
      <c r="R200" s="3">
        <f>0+(728.5-400.3)+(0+(0-0))+0-31-0</f>
        <v>297.2</v>
      </c>
      <c r="S200" s="3">
        <f>0+(711.5-390.6)+(0+(-1.814325--0.99603))+0-30.9--0.0787949999999955</f>
        <v>289.26050000000004</v>
      </c>
      <c r="T200" s="3">
        <f>0+(665-352.8)+(0+(-1.01745--0.539784))+0-31--0.0474300000000018</f>
        <v>280.76976400000001</v>
      </c>
      <c r="U200" s="3">
        <f>0+(508.8-200.3)+(0+(-0.778464--0.306459))+0-31--0.0474300000000018</f>
        <v>277.075425</v>
      </c>
      <c r="V200" s="3">
        <f>0+(364.5-56.5)+(0+(-0.37179--0.05763))+0-31.1--0.031722000000005</f>
        <v>276.61756199999996</v>
      </c>
      <c r="W200" s="3">
        <f>0+(388.7-62.2)+(0+(0.198237-0.031722))+0-31-0.0158099999999969</f>
        <v>295.65070500000002</v>
      </c>
      <c r="X200" s="3">
        <f>0+(501.3-152.2)+(0+(0-0))+0-31.4-0</f>
        <v>317.70000000000005</v>
      </c>
      <c r="Y200" s="3">
        <f>0+(512.4-166.5)+(0+(-0.783972--0.254745))+0-31.5--0.0481950000000018</f>
        <v>313.91896800000001</v>
      </c>
      <c r="Z200" s="3">
        <f>0+(518.9-168.9)+(0+(-0.264639--0.086139))+0-31.4--0.0160139999999968</f>
        <v>318.43751400000002</v>
      </c>
      <c r="AA200" s="3">
        <f>0+(517.1-172.4)+(0+(-0.791163--0.263772))+0-31--0.0474300000000018</f>
        <v>313.22003900000004</v>
      </c>
      <c r="AB200" s="3">
        <f>0+(531.3-196.3)+(0+(-1.896741--0.700791))+0-30.8--0.109956</f>
        <v>303.11400599999996</v>
      </c>
      <c r="AC200" s="3">
        <f>0+(492.7-169.6)+(0+(-0.251277--0.086496))+0-30.9--0.0157589999999969</f>
        <v>292.05097800000004</v>
      </c>
      <c r="AD200" s="2">
        <v>308.09999999999997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0+(478.2-167.6)+(0+(-0.975528--0.341904))+0-30.8--0.0628319999999987</f>
        <v>279.22920800000003</v>
      </c>
      <c r="G201" s="3">
        <f>0+(469.6-166.5)+(0+(-0.239496--0.084915))+0-30.7--0.0156569999999969</f>
        <v>272.261076</v>
      </c>
      <c r="H201" s="3">
        <f>0+(417-115.3)+(0+(-1.06335--0.294015))+0-30.3--0.0772649999999956</f>
        <v>270.70792999999998</v>
      </c>
      <c r="I201" s="3">
        <f>0+(398.6-100.2)+(0+(-1.01643--0.25551))+0-30--0.0764999999999956</f>
        <v>267.71558000000005</v>
      </c>
      <c r="J201" s="3">
        <f>0+(414.8-121.5)+(0+(0.423096-0.12393))+0-29.9-0.0304980000000048</f>
        <v>263.66866800000003</v>
      </c>
      <c r="K201" s="3">
        <f>0+(415.5-129.4)+(0+(0.211905-0.065994))+0-30.4-0.0155039999999969</f>
        <v>255.83040700000004</v>
      </c>
      <c r="L201" s="3">
        <f>0+(402.2-109.2)+(0+(0.410244-0.111384))+0-30.2-0.0308040000000048</f>
        <v>263.06805600000001</v>
      </c>
      <c r="M201" s="3">
        <f>0+(427.8-108.2)+(0+(0.218178-0.055182))+0-31-0.0158099999999969</f>
        <v>288.74718600000006</v>
      </c>
      <c r="N201" s="3">
        <f>0+(499.5-142.8)+(0+(0-0))+0-31.5-0</f>
        <v>325.2</v>
      </c>
      <c r="O201" s="3">
        <f>0+(682.8-324.2)+(0+(0-0))+0-28.1-0</f>
        <v>330.49999999999994</v>
      </c>
      <c r="P201" s="3">
        <f>0+(675-297.3)+(0+(-0.34425--0.151623))+0-31.3--0.0159629999999968</f>
        <v>346.22333599999996</v>
      </c>
      <c r="Q201" s="3">
        <f>0+(638.3-295.1)+(0+(0.976599-0.451503))+0-4.5-0.00688500000000026</f>
        <v>339.21821099999994</v>
      </c>
      <c r="R201" s="3">
        <f>0+(638.8-269.8)+(0+(0-0))+0-5.3-0</f>
        <v>363.69999999999993</v>
      </c>
      <c r="S201" s="3">
        <f>0+(633.8-276.7)+(0+(0.323238-0.141117))+0-6.8-0.00346799999999931</f>
        <v>350.47865299999995</v>
      </c>
      <c r="T201" s="3">
        <f>0+(626.5-278)+(0+(0-0))+0-7.4-0</f>
        <v>341.1</v>
      </c>
      <c r="U201" s="3">
        <f>0+(637.8-277.4)+(0+(-2.276946--0.990318))+0-6.9--0.0246330000000001</f>
        <v>352.23800499999999</v>
      </c>
      <c r="V201" s="3">
        <f>0+(608.6-255.4)+(0+(-1.241544--0.521016))+0-7.3--0.0148919999999997</f>
        <v>345.19436400000001</v>
      </c>
      <c r="W201" s="3">
        <f>0+(523.5-140.8)+(0+(0.266985-0.071808))+0-7.1-0.00362099999999928</f>
        <v>375.79155599999996</v>
      </c>
      <c r="X201" s="3">
        <f>0+(605.6-220.4)+(0+(0-0))+0-7.6-0</f>
        <v>377.6</v>
      </c>
      <c r="Y201" s="3">
        <f>0+(638.1-254.5)+(0+(0-0))+0-7.6-0</f>
        <v>376</v>
      </c>
      <c r="Z201" s="3">
        <f>0+(641.8-269.4)+(0+(-1.309272--0.549576))+0-7.3--0.0148919999999997</f>
        <v>364.35519599999992</v>
      </c>
      <c r="AA201" s="3">
        <f>0+(590.9-228.5)+(0+(-0.602718--0.23307))+0-7.2--0.00734400000000115</f>
        <v>354.83769599999999</v>
      </c>
      <c r="AB201" s="3">
        <f>0+(432-71.7)+(0+(-0.66096--0.109701))+0-7--0.0107100000000004</f>
        <v>352.75945100000001</v>
      </c>
      <c r="AC201" s="3">
        <f>0+(424.1-70.3)+(0+(-0.865164--0.143412))+0-7.3--0.0148919999999997</f>
        <v>345.79313999999999</v>
      </c>
      <c r="AD201" s="2">
        <v>383.99999999999994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0+(392.9-50.7)+(0+(-0.801516--0.103428))+0-7--0.0142799999999997</f>
        <v>334.51619199999999</v>
      </c>
      <c r="G202" s="3">
        <f>0+(341-22.1)+(0+(-0.86955--0.056355))+0-6.7--0.017084999999999</f>
        <v>311.40388999999999</v>
      </c>
      <c r="H202" s="3">
        <f>0+(349.3-19.3)+(0+(-0.534429--0.029529))+0-6.3--0.00963900000000036</f>
        <v>323.20473899999996</v>
      </c>
      <c r="I202" s="3">
        <f>0+(365.9-33.7)+(0+(-0.186609--0.017187))+0-6.6--0.00336599999999933</f>
        <v>325.43394399999994</v>
      </c>
      <c r="J202" s="3">
        <f>0+(370.2-41.1)+(0+(0.566406-0.062883))+0-6.7-0.0102510000000004</f>
        <v>322.89327199999997</v>
      </c>
      <c r="K202" s="3">
        <f>0+(378.2-49.6)+(0+(-0.578646--0.075888))+0-6.7--0.0102510000000004</f>
        <v>321.40749299999993</v>
      </c>
      <c r="L202" s="3">
        <f>0+(378.9-48.5)+(0+(0-0))+0-6.2-0</f>
        <v>324.2</v>
      </c>
      <c r="M202" s="3">
        <f>0+(474.3-126)+(0+(-0.483786--0.12852))+0-6.8--0.00693600000000108</f>
        <v>341.15167000000002</v>
      </c>
      <c r="N202" s="3">
        <f>0+(544.4-168)+(0+(0.832932-0.25704))+0-5.9-0.00902700000000034</f>
        <v>371.06686500000001</v>
      </c>
      <c r="O202" s="3">
        <f>0+(611.1-259.8)+(0+(0.311661-0.132498))+0-7.3-0.00372299999999926</f>
        <v>344.17544000000004</v>
      </c>
      <c r="P202" s="3">
        <f>0+(644.3-249.5)+(0+(0-0))+0-7.1-0</f>
        <v>387.69999999999993</v>
      </c>
      <c r="Q202" s="3">
        <f>25+(628.2-258.1)+(-0.0255+(-0.640764--0.263262))+0-6.9--0.0070380000000011</f>
        <v>387.80403600000005</v>
      </c>
      <c r="R202" s="3">
        <f>93.8+(686.3-384.2)+(0+(0-0))+0-6.6-0</f>
        <v>389.29999999999995</v>
      </c>
      <c r="S202" s="3">
        <f>0+(715.2-343.8)+(0+(0.364752-0.175338))+0-7.1-0.00362099999999928</f>
        <v>364.485793</v>
      </c>
      <c r="T202" s="3">
        <f>0+(695.8-330.7)+(0+(-0.709716--0.337314))+0-6.8--0.00693600000000108</f>
        <v>357.93453399999993</v>
      </c>
      <c r="U202" s="3">
        <f>0+(679.7-315.2)+(0+(-1.733235--0.80376))+0-7.6--0.0193799999999989</f>
        <v>355.98990500000002</v>
      </c>
      <c r="V202" s="3">
        <f>0+(711-344.4)+(0+(-0.72522--0.351288))+0-7.5--0.0076500000000012</f>
        <v>358.73371800000001</v>
      </c>
      <c r="W202" s="3">
        <f>0+(620.2-240.3)+(0+(0.316302-0.122553))+0-7.2-0.00367199999999927</f>
        <v>372.89007700000008</v>
      </c>
      <c r="X202" s="3">
        <f>0+(660.7-271.7)+(0+(-0.673914--0.277134))+0-7.3--0.00744600000000116</f>
        <v>381.31066600000008</v>
      </c>
      <c r="Y202" s="3">
        <f>0+(681.1-288.4)+(0+(0-0))+0-7.2-0</f>
        <v>385.50000000000006</v>
      </c>
      <c r="Z202" s="3">
        <f>0+(689-303.3)+(0+(-0.35139--0.154683))+0-6.8--0.00346799999999931</f>
        <v>378.70676099999997</v>
      </c>
      <c r="AA202" s="3">
        <f>0+(719.5-341.6)+(0+(-0.366945--0.174216))+0-6.3--0.00321299999999936</f>
        <v>371.410484</v>
      </c>
      <c r="AB202" s="3">
        <f>0+(696.3-324.8)+(0+(-1.420452--0.662592))+0-6.9--0.0140759999999997</f>
        <v>363.85621599999996</v>
      </c>
      <c r="AC202" s="3">
        <f>0+(625.2-271.6)+(0+(0-0))+0-6.8-0</f>
        <v>346.8</v>
      </c>
      <c r="AD202" s="2">
        <v>382.50000000000006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0+(542.6-201.5)+(0+(0-0))+0-6.3-0</f>
        <v>334.8</v>
      </c>
      <c r="G203" s="3">
        <f>0+(482.6-149.7)+(0+(0.246126-0.076347))+0-6.6-0.00336599999999933</f>
        <v>326.46641300000005</v>
      </c>
      <c r="H203" s="3">
        <f>0+(475-149.5)+(0+(0.24225-0.076245))+0-6.4-0.00326399999999935</f>
        <v>319.26274100000001</v>
      </c>
      <c r="I203" s="3">
        <f>0+(486.6-162.5)+(0+(0.496332-0.16575))+0-6.4-0.00652800000000102</f>
        <v>318.02405400000004</v>
      </c>
      <c r="J203" s="3">
        <f>0+(511.5-187)+(0+(-0.52173--0.19074))+0-6.4--0.00652800000000102</f>
        <v>317.77553800000004</v>
      </c>
      <c r="K203" s="3">
        <f>0+(526.9-202.3)+(0+(-0.537438--0.206346))+0-6.6--0.00673200000000105</f>
        <v>317.67563999999993</v>
      </c>
      <c r="L203" s="3">
        <f>0+(511.1-183.7)+(0+(1.303305-0.468435))+0-6.8-0.017339999999999</f>
        <v>321.41753000000006</v>
      </c>
      <c r="M203" s="3">
        <f>0+(578.6-229.5)+(0+(0.295086-0.117045))+0-6.9-0.0035189999999993</f>
        <v>342.37452200000007</v>
      </c>
      <c r="N203" s="3">
        <f>0+(691.5-313.4)+(0+(0.70533-0.319668))+0-7.2-0.00734400000000115</f>
        <v>371.27831800000007</v>
      </c>
      <c r="O203" s="3">
        <f>0+(626.4-237.1)+(0+(0.958392-0.362763))+0-7.5-0.0114750000000004</f>
        <v>382.38415399999991</v>
      </c>
      <c r="P203" s="3">
        <f>0+(584.5-211.1)+(0+(0.298095-0.107661))+0-7-0.00356999999999929</f>
        <v>366.58686399999993</v>
      </c>
      <c r="Q203" s="3">
        <f>0+(596.8-193.6)+(0+(0-0))+0-7.2-0</f>
        <v>395.99999999999994</v>
      </c>
      <c r="R203" s="3">
        <f>0+(579.4-188.2)+(0+(-0.295494--0.095982))+0-6.9--0.0035189999999993</f>
        <v>384.10400699999997</v>
      </c>
      <c r="S203" s="3">
        <f>0+(571.7-220.9)+(0+(0.874701-0.337977))+0-7.5-0.0114750000000004</f>
        <v>343.82524900000004</v>
      </c>
      <c r="T203" s="3">
        <f>0+(581.3-235)+(0+(0.296463-0.11985))+0-6.6-0.00336599999999933</f>
        <v>339.87324699999994</v>
      </c>
      <c r="U203" s="3">
        <f>0+(594.7-235.3)+(0+(-1.819782--0.720018))+0-7--0.0214200000000008</f>
        <v>351.32165600000002</v>
      </c>
      <c r="V203" s="3">
        <f>0+(546-191.3)+(0+(-1.11384--0.390252))+0-6.9--0.0140759999999997</f>
        <v>347.09048799999999</v>
      </c>
      <c r="W203" s="3">
        <f>0+(559.3-178.1)+(0+(0-0))+0-7.6-0</f>
        <v>373.59999999999991</v>
      </c>
      <c r="X203" s="3">
        <f>0+(653.3-259.7)+(0+(-0.333183--0.132447))+0-7.6--0.00387599999999923</f>
        <v>385.80313999999993</v>
      </c>
      <c r="Y203" s="3">
        <f>0+(681.2-292.8)+(0+(-0.347412--0.149328))+0-7.4--0.00377399999999925</f>
        <v>380.80569000000008</v>
      </c>
      <c r="Z203" s="3">
        <f>0+(664.3-281.2)+(0+(-0.677586--0.286824))+0-7.8--0.00795600000000124</f>
        <v>374.91719399999994</v>
      </c>
      <c r="AA203" s="3">
        <f>0+(636.9-267.2)+(0+(-1.299276--0.545088))+0-8.1--0.0165239999999996</f>
        <v>360.86233599999997</v>
      </c>
      <c r="AB203" s="3">
        <f>0+(593.6-233.6)+(0+(0.605472-0.238272))+0-7.6-0.00775200000000121</f>
        <v>352.75944800000002</v>
      </c>
      <c r="AC203" s="3">
        <f>0+(576.2-229.1)+(0+(-0.293862--0.116841))+0-7.9--0.0040289999999992</f>
        <v>339.02700800000002</v>
      </c>
      <c r="AD203" s="2">
        <v>423.90000000000003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0+(499.3-159.3)+(0+(-0.763929--0.243729))+0-7.4--0.0113220000000004</f>
        <v>332.09112200000004</v>
      </c>
      <c r="G204" s="3">
        <f>0+(378.1-41.9)+(0+(-0.964155--0.106845))+0-6.9--0.017594999999999</f>
        <v>328.46028500000006</v>
      </c>
      <c r="H204" s="3">
        <f>0+(367.9-37.6)+(0+(-0.938145--0.09588))+0-6.8--0.017339999999999</f>
        <v>322.67507499999994</v>
      </c>
      <c r="I204" s="3">
        <f>0+(372.5-51.9)+(0+(-0.569925--0.079407))+0-6.7--0.0102510000000004</f>
        <v>313.41973300000001</v>
      </c>
      <c r="J204" s="3">
        <f>0+(366.2-38.6)+(0+(-0.373524--0.039372))+0-6.6--0.00673200000000105</f>
        <v>320.67257999999993</v>
      </c>
      <c r="K204" s="3">
        <f>0+(382.6-61.4)+(0+(-0.585378--0.093942))+0-6.6--0.0100980000000004</f>
        <v>314.11866200000003</v>
      </c>
      <c r="L204" s="3">
        <f>0+(396.9-78.2)+(0+(-0.404838--0.079764))+0-6.3--0.006426000000001</f>
        <v>312.08135199999998</v>
      </c>
      <c r="M204" s="3">
        <f>0+(509.3-162)+(0+(-0.259743--0.08262))+0-7--0.00356999999999929</f>
        <v>340.12644700000004</v>
      </c>
      <c r="N204" s="3">
        <f>0+(728.8-340.8)+(0+(-0.371688--0.173808))+0-6.3--0.00321299999999936</f>
        <v>381.50533299999995</v>
      </c>
      <c r="O204" s="3">
        <f>0+(749.9-348.2)+(0+(0-0))+0-6.7-0</f>
        <v>395</v>
      </c>
      <c r="P204" s="3">
        <f>0+(726.5-325.1)+(0+(0.74103-0.331602))+0-6.9-0.0070380000000011</f>
        <v>394.90238999999997</v>
      </c>
      <c r="Q204" s="3">
        <f>0+(767.4-355.8)+(0+(-0.391374--0.181458))+0-7.5--0.00382499999999924</f>
        <v>403.89390899999995</v>
      </c>
      <c r="R204" s="3">
        <f>0+(769.7-365.8)+(0+(0.392547-0.186558))+0-6.8-0.00346799999999931</f>
        <v>397.30252100000001</v>
      </c>
      <c r="S204" s="3">
        <f>0+(755.7-379.7)+(0+(-1.156221--0.580941))+0-7.1--0.0108630000000004</f>
        <v>368.33558299999999</v>
      </c>
      <c r="T204" s="3">
        <f>0+(769.4-407.5)+(0+(-0.392394--0.207825))+0-6.8--0.00346799999999931</f>
        <v>354.91889899999995</v>
      </c>
      <c r="U204" s="3">
        <f>0+(725.3-369.6)+(0+(-1.849515--0.94248))+0-6.7--0.017084999999999</f>
        <v>348.11004999999994</v>
      </c>
      <c r="V204" s="3">
        <f>0+(678.9-311.6)+(0+(-1.038717--0.476748))+0-7--0.0107100000000004</f>
        <v>359.748741</v>
      </c>
      <c r="W204" s="3">
        <f>0+(613.3-216.4)+(0+(-0.312783--0.110364))+0-6.7--0.00341699999999932</f>
        <v>390.00099799999998</v>
      </c>
      <c r="X204" s="3">
        <f>0+(629.9-218.9)+(0+(-1.606245--0.558195))+0-6.8--0.017339999999999</f>
        <v>403.16928999999999</v>
      </c>
      <c r="Y204" s="3">
        <f>0+(582.2-184.8)+(0+(-1.187688--0.376992))+0-6.6--0.0134639999999997</f>
        <v>390.002768</v>
      </c>
      <c r="Z204" s="3">
        <f>0+(517.5-136.3)+(0+(-0.52785--0.139026))+0-7.1--0.00724200000000113</f>
        <v>373.71841799999999</v>
      </c>
      <c r="AA204" s="3">
        <f>0+(517.7-147.8)+(0+(-0.792081--0.226134))+0-6.8--0.0104040000000004</f>
        <v>362.54445700000002</v>
      </c>
      <c r="AB204" s="3">
        <f>0+(542-180.4)+(0+(-1.10568--0.368016))+0-6.5--0.0132599999999997</f>
        <v>354.37559600000003</v>
      </c>
      <c r="AC204" s="3">
        <f>0+(509.1-160.6)+(0+(-1.298205--0.40953))+0-6.6--0.016829999999999</f>
        <v>341.02815500000003</v>
      </c>
      <c r="AD204" s="2">
        <v>414.09999999999997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0+(443.8-112.5)+(0+(-0.905352--0.2295))+0-6.7--0.0136679999999997</f>
        <v>323.937816</v>
      </c>
      <c r="G205" s="3">
        <f>0+(436.6-104.6)+(0+(-0.667998--0.160038))+0-6.3--0.00963900000000036</f>
        <v>325.20167899999996</v>
      </c>
      <c r="H205" s="3">
        <f>0+(438.8-113.3)+(0+(-0.447576--0.115566))+0-7.3--0.00744600000000116</f>
        <v>317.87543599999998</v>
      </c>
      <c r="I205" s="3">
        <f>0+(449-127.4)+(0+(0.22899-0.064974))+0-6.9-0.0035189999999993</f>
        <v>314.86049700000007</v>
      </c>
      <c r="J205" s="3">
        <f>0+(418.5-96)+(0+(0-0))+0-6.4-0</f>
        <v>316.10000000000002</v>
      </c>
      <c r="K205" s="3">
        <f>0+(429.2-104)+(0+(-0.218892--0.05304))+0-6.6--0.00336599999999933</f>
        <v>318.43751399999996</v>
      </c>
      <c r="L205" s="3">
        <f>0+(430.3-102.8)+(0+(-0.219453--0.052428))+0-6.5--0.00331499999999934</f>
        <v>320.83628999999996</v>
      </c>
      <c r="M205" s="3">
        <f>0+(464.8-117.5)+(0+(0.237048-0.059925))+0-6.9-0.0035189999999993</f>
        <v>340.57360400000005</v>
      </c>
      <c r="N205" s="3">
        <f>0+(671.4-286.2)+(0+(-0.342414--0.145962))+0-7--0.00356999999999929</f>
        <v>378.00711799999999</v>
      </c>
      <c r="O205" s="3">
        <f>0+(725.8-327.7)+(0+(0-0))+0-6.7-0</f>
        <v>391.4</v>
      </c>
      <c r="P205" s="3">
        <f>0+(701.1-304.6)+(0+(0.357561-0.155346))+0-7.2-0.00367199999999927</f>
        <v>389.49854300000004</v>
      </c>
      <c r="Q205" s="3">
        <f>0+(734.3-333.3)+(0+(0.748986-0.339966))+0-7.2-0.00734400000000115</f>
        <v>394.20167599999996</v>
      </c>
      <c r="R205" s="3">
        <f>0+(744.6-351.1)+(0+(-0.379746--0.179061))+0-6.8--0.00346799999999931</f>
        <v>386.50278299999997</v>
      </c>
      <c r="S205" s="3">
        <f>0+(756.3-378.7)+(0+(-2.314278--1.158822))+0-7.2--0.0220320000000008</f>
        <v>369.26657599999999</v>
      </c>
      <c r="T205" s="3">
        <f>0+(785.5-408.4)+(0+(-1.201815--0.624852))+0-6.6--0.0100980000000004</f>
        <v>369.93313500000005</v>
      </c>
      <c r="U205" s="3">
        <f>0+(806.4-435.7)+(0+(-1.233792--0.666621))+0-6.3--0.00963900000000036</f>
        <v>363.842468</v>
      </c>
      <c r="V205" s="3">
        <f>0+(727.9-357.6)+(0+(-1.113687--0.547128))+0-6.6--0.0100980000000004</f>
        <v>363.14353899999998</v>
      </c>
      <c r="W205" s="3">
        <f>0+(645.7-255.2)+(0+(0-0))+0-7.2-0</f>
        <v>383.30000000000007</v>
      </c>
      <c r="X205" s="3">
        <f>0+(649.8-244.9)+(0+(-1.325592--0.499596))+0-7.3--0.0148919999999997</f>
        <v>396.78889599999997</v>
      </c>
      <c r="Y205" s="3">
        <f>0+(674.3-280.7)+(0+(-1.719465--0.715785))+0-7.2--0.018359999999999</f>
        <v>385.41467999999998</v>
      </c>
      <c r="Z205" s="3">
        <f>0+(663.3-273)+(0+(-1.691415--0.69615))+0-7.1--0.018104999999999</f>
        <v>382.22283999999991</v>
      </c>
      <c r="AA205" s="3">
        <f>0+(616.6-235.1)+(0+(-0.628932--0.239802))+0-6.9--0.0070380000000011</f>
        <v>374.21790800000002</v>
      </c>
      <c r="AB205" s="3">
        <f>0+(534.5-174.1)+(0+(-0.54519--0.177582))+0-7.3--0.00744600000000116</f>
        <v>352.73983799999996</v>
      </c>
      <c r="AC205" s="3">
        <f>0+(355.8-17.2)+(0+(-0.544374--0.026316))+0-6--0.00918000000000035</f>
        <v>332.09112200000004</v>
      </c>
      <c r="AD205" s="2">
        <v>394.7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0+(378.4-51.6)+(0+(0-0))+0-5.9-0</f>
        <v>320.89999999999998</v>
      </c>
      <c r="G206" s="3">
        <f>0+(384.6-72.5)+(0+(-0.588438--0.110925))+0-5.3--0.00810900000000031</f>
        <v>306.33059600000001</v>
      </c>
      <c r="H206" s="3">
        <f>0+(408.8-90.1)+(0+(-0.625464--0.137853))+0-6.3--0.00963900000000036</f>
        <v>311.92202800000001</v>
      </c>
      <c r="I206" s="3">
        <f>0+(386-65.2)+(0+(0-0))+0-6.2-0</f>
        <v>314.60000000000002</v>
      </c>
      <c r="J206" s="3">
        <f>0+(351.7-35.8)+(0+(0.358734-0.036516))+0-6.6-0.00673200000000105</f>
        <v>309.61548599999998</v>
      </c>
      <c r="K206" s="3">
        <f>0+(345.3-26.4)+(0+(0.352206-0.026928))+0-6.4-0.00652800000000102</f>
        <v>312.81875000000008</v>
      </c>
      <c r="L206" s="3">
        <f>0+(361.1-55.4)+(0+(0.368322-0.056508))+0-7.7-0.00785400000000123</f>
        <v>298.30396000000007</v>
      </c>
      <c r="M206" s="3">
        <f>0+(373.6-45.3)+(0+(0-0))+0-6.8-0</f>
        <v>321.5</v>
      </c>
      <c r="N206" s="3">
        <f>0+(491.9-138.4)+(0+(0-0))+0-6.6-0</f>
        <v>346.9</v>
      </c>
      <c r="O206" s="3">
        <f>0+(518.5-154.6)+(0+(0-0))+0-7.8-0</f>
        <v>356.09999999999997</v>
      </c>
      <c r="P206" s="3">
        <f>0+(547.5-199.8)+(0+(0-0))+0-3.7-0</f>
        <v>344</v>
      </c>
      <c r="Q206" s="3">
        <f>0+(599.8-256.8)+(0+(0-0))+0-0-0</f>
        <v>342.99999999999994</v>
      </c>
      <c r="R206" s="3">
        <f>0+(686.6-352.9)+(0+(0-0))+0-1.1-0</f>
        <v>332.6</v>
      </c>
      <c r="S206" s="3">
        <f>0+(601.1-279.4)+(0+(0-0))+0-4.7-0</f>
        <v>317.00000000000006</v>
      </c>
      <c r="T206" s="3">
        <f>0+(584.4-272.7)+(0+(0.596088-0.278154))+0-5.5-0.00561000000000088</f>
        <v>306.51232399999998</v>
      </c>
      <c r="U206" s="3">
        <f>0+(514-208.8)+(0+(-1.04856--0.425952))+0-6.2--0.0126479999999997</f>
        <v>298.39004</v>
      </c>
      <c r="V206" s="3">
        <f>0+(395.3-94.4)+(0+(0-0))+0-7.2-0</f>
        <v>293.7</v>
      </c>
      <c r="W206" s="3">
        <f>0+(370.2-38.2)+(0+(0.188802-0.019482))+0-7.9-0.0040289999999992</f>
        <v>324.26529100000005</v>
      </c>
      <c r="X206" s="3">
        <f>0+(529.7-184.4)+(0+(-1.350735--0.47022))+0-4.9--0.0124949999999993</f>
        <v>339.53198000000009</v>
      </c>
      <c r="Y206" s="3">
        <f>0+(608.7-264.1)+(0+(-1.552185--0.673455))+0-6.2--0.0158099999999991</f>
        <v>337.53708</v>
      </c>
      <c r="Z206" s="3">
        <f>0+(635.8-290.9)+(0+(-0.324258--0.148359))+0-7.7--0.00392699999999922</f>
        <v>337.02802799999995</v>
      </c>
      <c r="AA206" s="3">
        <f>0+(558.4-219.8)+(0+(-0.284784--0.112098))+0-9.2--0.00469199999999907</f>
        <v>329.23200599999996</v>
      </c>
      <c r="AB206" s="3">
        <f>0+(497.4-167)+(0+(0-0))+0-11.4-0</f>
        <v>319</v>
      </c>
      <c r="AC206" s="3">
        <f>0+(522.1-204.6)+(0+(-0.798813--0.313038))+0-10.9--0.0166770000000006</f>
        <v>306.13090200000005</v>
      </c>
      <c r="AD206" s="2">
        <v>342.6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0+(541.3-233.9)+(0+(-1.104252--0.477156))+0-10.7--0.0218279999999995</f>
        <v>296.09473200000002</v>
      </c>
      <c r="G207" s="3">
        <f>0+(479.5-181.4)+(0+(-0.97818--0.370056))+0-13.7--0.0279479999999994</f>
        <v>283.81982400000004</v>
      </c>
      <c r="H207" s="3">
        <f>0+(470.9-180)+(0+(-0.720477--0.2754))+0-15.9--0.0243270000000009</f>
        <v>274.57925</v>
      </c>
      <c r="I207" s="3">
        <f>0+(427.7-141.1)+(0+(-0.218127--0.071961))+0-17.2--0.00877199999999826</f>
        <v>269.26260600000006</v>
      </c>
      <c r="J207" s="3">
        <f>0+(433.3-138)+(0+(0.441966-0.14076))+0-16.1-0.0164220000000026</f>
        <v>279.48478399999999</v>
      </c>
      <c r="K207" s="3">
        <f>0+(434.8-138.5)+(0+(-0.886992--0.28254))+0-18.6--0.0379439999999992</f>
        <v>277.13349199999999</v>
      </c>
      <c r="L207" s="3">
        <f>0+(465.1-179)+(0+(0.237201-0.09129))+0-21.8-0.0111179999999978</f>
        <v>264.43479300000001</v>
      </c>
      <c r="M207" s="3">
        <f>0+(444.9-159.8)+(0+(0-0))+0-25-0</f>
        <v>260.09999999999997</v>
      </c>
      <c r="N207" s="3">
        <f>0+(550.4-246.2)+(0+(-0.280704--0.125562))+0-27.7--0.0141269999999972</f>
        <v>276.35898499999996</v>
      </c>
      <c r="O207" s="3">
        <f>0+(628.2-317.5)+(0+(0.320382-0.161925))+0-28.9-0.0147389999999971</f>
        <v>281.94371800000005</v>
      </c>
      <c r="P207" s="3">
        <f>0+(658.5-331.3)+(0+(0-0))+0-28.7-0</f>
        <v>298.5</v>
      </c>
      <c r="Q207" s="3">
        <f>0+(652.9-323)+(0+(0.332979-0.16473))+0-28.7-0.0146369999999971</f>
        <v>301.353612</v>
      </c>
      <c r="R207" s="3">
        <f>0+(689.2-365)+(0+(0-0))+0-27.8-0</f>
        <v>296.40000000000003</v>
      </c>
      <c r="S207" s="3">
        <f>0+(700.8-387.3)+(0+(-1.429632--0.790092))+0-27.5--0.0560999999999988</f>
        <v>285.41655999999995</v>
      </c>
      <c r="T207" s="3">
        <f>0+(682.1-367.8)+(0+(-1.391484--0.750312))+0-28.1--0.0573239999999988</f>
        <v>285.616152</v>
      </c>
      <c r="U207" s="3">
        <f>0+(663.3-353.6)+(0+(-1.353132--0.721344))+0-28.5--0.0581399999999988</f>
        <v>280.62635199999994</v>
      </c>
      <c r="V207" s="3">
        <f>0+(575.1-267.2)+(0+(-0.879903--0.408816))+0-28.1--0.0429930000000016</f>
        <v>279.37190600000002</v>
      </c>
      <c r="W207" s="3">
        <f>0+(475-137.4)+(0+(0.24225-0.070074))+0-28.6-0.0145859999999971</f>
        <v>309.15758999999997</v>
      </c>
      <c r="X207" s="3">
        <f>0+(511.1-152.3)+(0+(-0.781983--0.233019))+0-29.3--0.0448290000000017</f>
        <v>328.99586499999998</v>
      </c>
      <c r="Y207" s="3">
        <f>0+(530.2-174.8)+(0+(-1.35201--0.44574))+0-28.8--0.0734399999999958</f>
        <v>325.76717000000002</v>
      </c>
      <c r="Z207" s="3">
        <f>0+(538.7-183.2)+(0+(-0.824211--0.280296))+0-28.7--0.0439110000000017</f>
        <v>326.29999600000002</v>
      </c>
      <c r="AA207" s="3">
        <f>0+(442.4-103)+(0+(-0.902496--0.21012))+0-28--0.0571199999999988</f>
        <v>310.76474399999995</v>
      </c>
      <c r="AB207" s="3">
        <f>0+(391.9-62.6)+(0+(-0.799476--0.127704))+0-30.1--0.0614039999999987</f>
        <v>298.58963199999994</v>
      </c>
      <c r="AC207" s="3">
        <f>0+(396.3-67.9)+(0+(-1.010565--0.173145))+0-30.2--0.0770099999999956</f>
        <v>297.43958999999995</v>
      </c>
      <c r="AD207" s="2">
        <v>326.99999999999994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0+(352.3-38.5)+(0+(-0.539019--0.058905))+0-29.9--0.0457470000000017</f>
        <v>283.46563300000003</v>
      </c>
      <c r="G208" s="3">
        <f>0+(379-77.5)+(0+(-0.57987--0.118575))+0-30.6--0.0468180000000018</f>
        <v>270.48552299999994</v>
      </c>
      <c r="H208" s="3">
        <f>0+(397.6-97.7)+(0+(-1.01388--0.249135))+0-30.5--0.0777749999999956</f>
        <v>268.71303</v>
      </c>
      <c r="I208" s="3">
        <f>0+(390.1-94)+(0+(-0.198951--0.04794))+0-30.5--0.0155549999999969</f>
        <v>265.46454400000005</v>
      </c>
      <c r="J208" s="3">
        <f>0+(353.4-44.1)+(0+(-0.180234--0.022491))+0-30.5--0.0155549999999969</f>
        <v>278.65781199999998</v>
      </c>
      <c r="K208" s="3">
        <f>0+(314.3-6.7)+(0+(-0.320586--0.006834))+0-30.6--0.0312120000000049</f>
        <v>276.71745999999996</v>
      </c>
      <c r="L208" s="3">
        <f>0+(346.1-31.9)+(0+(-0.176511--0.016269))+0-31.2--0.0159119999999968</f>
        <v>282.85567000000009</v>
      </c>
      <c r="M208" s="3">
        <f>0+(449.2-112.5)+(0+(0.458184-0.11475))+0-31.3-0.031926000000005</f>
        <v>305.71150799999998</v>
      </c>
      <c r="N208" s="3">
        <f>0+(545.8-178.1)+(0+(-0.835074--0.272493))+0-31.6--0.0483480000000018</f>
        <v>335.58576699999986</v>
      </c>
      <c r="O208" s="3">
        <f>0+(601.7-223.1)+(0+(0-0))+0-31.6-0</f>
        <v>347</v>
      </c>
      <c r="P208" s="3">
        <f>0+(673.1-292)+(0+(0-0))+0-31.6-0</f>
        <v>349.5</v>
      </c>
      <c r="Q208" s="3">
        <f>0+(684.8-298.6)+(0+(0-0))+0-31.6-0</f>
        <v>354.59999999999991</v>
      </c>
      <c r="R208" s="3">
        <f>0+(683.5-302.2)+(0+(0-0))+0-31.1-0</f>
        <v>350.2</v>
      </c>
      <c r="S208" s="3">
        <f>0+(703.1-343.2)+(0+(0-0))+0-31.6-0</f>
        <v>328.3</v>
      </c>
      <c r="T208" s="3">
        <f>0+(723.5-362.8)+(0+(0-0))+0-30.8-0</f>
        <v>329.9</v>
      </c>
      <c r="U208" s="3">
        <f>0+(696.7-344.4)+(0+(0-0))+0-30.8-0</f>
        <v>321.50000000000006</v>
      </c>
      <c r="V208" s="3">
        <f>0+(695.6-343.6)+(0+(0-0))+0-30.7-0</f>
        <v>321.3</v>
      </c>
      <c r="W208" s="3">
        <f>0+(642.8-269.9)+(0+(0-0))+0-31.4-0</f>
        <v>341.5</v>
      </c>
      <c r="X208" s="3">
        <f>0+(647.8-265.8)+(0+(0-0))+0-31.6-0</f>
        <v>350.39999999999992</v>
      </c>
      <c r="Y208" s="3">
        <f>0+(592-223.6)+(0+(0-0))+0-31.8-0</f>
        <v>336.59999999999997</v>
      </c>
      <c r="Z208" s="3">
        <f>0+(554.3-194.3)+(0+(0-0))+0-31.8-0</f>
        <v>328.19999999999993</v>
      </c>
      <c r="AA208" s="3">
        <f>0+(453.8-107.2)+(0+(0-0))+0-31.7-0</f>
        <v>314.90000000000003</v>
      </c>
      <c r="AB208" s="3">
        <f>0+(474.4-135.6)+(0+(0-0))+0-31.6-0</f>
        <v>307.19999999999993</v>
      </c>
      <c r="AC208" s="3">
        <f>0+(495.5-167.2)+(0+(0-0))+0-31.1-0</f>
        <v>297.2</v>
      </c>
      <c r="AD208" s="2">
        <v>346.29999999999995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0+(524.9-209.5)+(0+(-0.803097--0.320535))+0-29.7--0.0454410000000017</f>
        <v>285.262879</v>
      </c>
      <c r="G209" s="3">
        <f>0+(526.4-208.8)+(0+(0.268464-0.106488))+0-28.7-0.0146369999999971</f>
        <v>289.04733899999997</v>
      </c>
      <c r="H209" s="3">
        <f>0+(490.1-175.4)+(0+(-0.499902--0.178908))+0-29.5--0.0300900000000047</f>
        <v>284.90909600000009</v>
      </c>
      <c r="I209" s="3">
        <f>0+(421.9-112.7)+(0+(-0.215169--0.057477))+0-30.7--0.0156569999999969</f>
        <v>278.35796499999998</v>
      </c>
      <c r="J209" s="3">
        <f>0+(406-99.1)+(0+(-0.62118--0.151623))+0-29.7--0.0454410000000017</f>
        <v>276.77588399999996</v>
      </c>
      <c r="K209" s="3">
        <f>0+(403.9-93.8)+(0+(-0.205989--0.047838))+0-29.6--0.015095999999997</f>
        <v>280.35694499999994</v>
      </c>
      <c r="L209" s="3">
        <f>0+(421.6-110.6)+(0+(0-0))+0-30.6-0</f>
        <v>280.39999999999998</v>
      </c>
      <c r="M209" s="3">
        <f>0+(560.8-225)+(0+(0.572016-0.2295))+0-30.5-0.0311100000000049</f>
        <v>305.61140599999993</v>
      </c>
      <c r="N209" s="3">
        <f>0+(753.5-383.8)+(0+(0.76857-0.391476))+0-31.1-0.031722000000005</f>
        <v>338.94537199999996</v>
      </c>
      <c r="O209" s="3">
        <f>0+(754.7-379.4)+(0+(-0.384897--0.193494))+0-31.1--0.0158609999999968</f>
        <v>344.02445800000004</v>
      </c>
      <c r="P209" s="3">
        <f>0+(786.6-383.4)+(0+(0-0))+0-31.4-0</f>
        <v>371.80000000000007</v>
      </c>
      <c r="Q209" s="3">
        <f>0+(721.1-348.3)+(0+(-1.103283--0.532899))+0-31.5--0.0481950000000018</f>
        <v>340.77781100000004</v>
      </c>
      <c r="R209" s="3">
        <f>0+(742.3-374.1)+(0+(0-0))+0-30.9-0</f>
        <v>337.29999999999995</v>
      </c>
      <c r="S209" s="3">
        <f>0+(751.9-392.4)+(0+(0-0))+0-30.9-0</f>
        <v>328.6</v>
      </c>
      <c r="T209" s="3">
        <f>0+(782.7-425.2)+(0+(0-0))+0-30.5-0</f>
        <v>327.00000000000006</v>
      </c>
      <c r="U209" s="3">
        <f>0+(775.7-419)+(0+(0-0))+0-30.8-0</f>
        <v>325.90000000000003</v>
      </c>
      <c r="V209" s="3">
        <f>0+(741.5-394.2)+(0+(0-0))+0-31.2-0</f>
        <v>316.10000000000002</v>
      </c>
      <c r="W209" s="3">
        <f>0+(602.1-230.2)+(0+(0-0))+0-31.7-0</f>
        <v>340.20000000000005</v>
      </c>
      <c r="X209" s="3">
        <f>0+(596.9-210)+(0+(0-0))+0-32-0</f>
        <v>354.9</v>
      </c>
      <c r="Y209" s="3">
        <f>0+(646.1-265.2)+(0+(0-0))+0-31.4-0</f>
        <v>349.50000000000006</v>
      </c>
      <c r="Z209" s="3">
        <f>0+(658.4-286.1)+(0+(0-0))+0-31.3-0</f>
        <v>340.99999999999994</v>
      </c>
      <c r="AA209" s="3">
        <f>0+(634.1-270.9)+(0+(0-0))+0-31.8-0</f>
        <v>331.40000000000003</v>
      </c>
      <c r="AB209" s="3">
        <f>0+(592.7-259.1)+(0+(0-0))+0-12.1-0</f>
        <v>321.5</v>
      </c>
      <c r="AC209" s="3">
        <f>0+(425-122.3)+(0+(0-0))+0-0-0</f>
        <v>302.7</v>
      </c>
      <c r="AD209" s="2">
        <v>356.50000000000006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0+(472-161.5)+(0+(-1.2036--0.411825))+0-20.4--0.052019999999997</f>
        <v>289.36024500000002</v>
      </c>
      <c r="G210" s="3">
        <f>0+(511.9-196.5)+(0+(-1.305345--0.501075))+0-31.8--0.0810899999999954</f>
        <v>282.87682000000001</v>
      </c>
      <c r="H210" s="3">
        <f>0+(512.4-203.6)+(0+(-0.261324--0.103836))+0-31.1--0.0158609999999968</f>
        <v>277.5583729999999</v>
      </c>
      <c r="I210" s="3">
        <f>0+(515.6-209.1)+(0+(-0.788868--0.319923))+0-31.4--0.0480420000000018</f>
        <v>274.67909700000001</v>
      </c>
      <c r="J210" s="3">
        <f>0+(473.2-162)+(0+(-0.723996--0.24786))+0-31.6--0.0483480000000018</f>
        <v>279.17221199999994</v>
      </c>
      <c r="K210" s="3">
        <f>0+(451.2-142.9)+(0+(-0.460224--0.145758))+0-31.3--0.031926000000005</f>
        <v>276.71745999999996</v>
      </c>
      <c r="L210" s="3">
        <f>0+(439.6-132.1)+(0+(0-0))+0-31.6-0</f>
        <v>275.89999999999998</v>
      </c>
      <c r="M210" s="3">
        <f>0+(534.9-203.3)+(0+(0-0))+0-31.9-0</f>
        <v>299.7</v>
      </c>
      <c r="N210" s="3">
        <f>0+(674.9-312)+(0+(0-0))+0-29.5-0</f>
        <v>333.4</v>
      </c>
      <c r="O210" s="3">
        <f>0+(704.9-332.5)+(0+(0-0))+0-32-0</f>
        <v>340.4</v>
      </c>
      <c r="P210" s="3">
        <f>0+(761.3-386.9)+(0+(0-0))+0-32.4-0</f>
        <v>342</v>
      </c>
      <c r="Q210" s="3">
        <f>0+(749.7-370.6)+(0+(0-0))+0-32.8-0</f>
        <v>346.3</v>
      </c>
      <c r="R210" s="3">
        <f>0+(735.5-364)+(0+(0-0))+0-32.6-0</f>
        <v>338.9</v>
      </c>
      <c r="S210" s="3">
        <f>0+(706.8-355.4)+(0+(-0.720936--0.362508))+0-32.7--0.0333540000000052</f>
        <v>318.37492600000002</v>
      </c>
      <c r="T210" s="3">
        <f>0+(785.4-434.5)+(0+(-0.400554--0.221595))+0-32.7--0.0166769999999967</f>
        <v>318.03771799999998</v>
      </c>
      <c r="U210" s="3">
        <f>0+(783.4-433.8)+(0+(-1.598136--0.884952))+0-32.7--0.0667079999999986</f>
        <v>316.25352399999997</v>
      </c>
      <c r="V210" s="3">
        <f>0+(698.5-353.4)+(0+(-0.71247--0.360468))+0-32.4--0.0330480000000052</f>
        <v>312.38104600000003</v>
      </c>
      <c r="W210" s="3">
        <f>0+(641.9-273.3)+(0+(-0.654738--0.278766))+0-32.3--0.0329460000000051</f>
        <v>335.95697399999995</v>
      </c>
      <c r="X210" s="3">
        <f>0+(701-314.7)+(0+(-1.07253--0.481491))+0-32.6--0.0498780000000019</f>
        <v>353.15883899999994</v>
      </c>
      <c r="Y210" s="3">
        <f>0+(679-302.6)+(0+(-1.03887--0.462978))+0-33--0.0504900000000019</f>
        <v>342.87459799999999</v>
      </c>
      <c r="Z210" s="3">
        <f>0+(628.6-261.9)+(0+(-0.961758--0.400707))+0-32.4--0.0495720000000019</f>
        <v>333.78852100000006</v>
      </c>
      <c r="AA210" s="3">
        <f>0+(632.4-274.1)+(0+(-1.290096--0.559164))+0-32--0.0652799999999986</f>
        <v>325.63434799999993</v>
      </c>
      <c r="AB210" s="3">
        <f>0+(649.5-299.5)+(0+(-0.331245--0.152745))+0-31.7--0.0161669999999968</f>
        <v>318.13766700000002</v>
      </c>
      <c r="AC210" s="3">
        <f>0+(569.9-228)+(0+(-0.871947--0.34884))+0-31.8--0.0486540000000018</f>
        <v>309.62554699999998</v>
      </c>
      <c r="AD210" s="2">
        <v>352.09999999999991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0+(528.1-201.9)+(0+(-0.269331--0.102969))+0-32--0.0163199999999968</f>
        <v>294.04995800000006</v>
      </c>
      <c r="G211" s="3">
        <f>0+(513.3-211)+(0+(0-0))+0-32.2-0</f>
        <v>270.09999999999997</v>
      </c>
      <c r="H211" s="3">
        <f>0+(526.9-220.9)+(0+(0.268719-0.112659))+0-30.7-0.0156569999999969</f>
        <v>275.44040300000006</v>
      </c>
      <c r="I211" s="3">
        <f>0+(520.2-216.4)+(0+(0.530604-0.220728))+0-32.1-0.0327420000000051</f>
        <v>271.97713400000004</v>
      </c>
      <c r="J211" s="3">
        <f>0+(502.5-198.3)+(0+(0.51255-0.202266))+0-31.9-0.0325380000000051</f>
        <v>272.57774600000005</v>
      </c>
      <c r="K211" s="3">
        <f>0+(504.6-198.4)+(0+(0-0))+0-32-0</f>
        <v>274.20000000000005</v>
      </c>
      <c r="L211" s="3">
        <f>0+(494.7-186.9)+(0+(1.009188-0.381276))+0-31.9-0.0650759999999986</f>
        <v>276.46283599999998</v>
      </c>
      <c r="M211" s="3">
        <f>0+(570.9-231)+(0+(-0.582318--0.23562))+0-33.4--0.0340680000000053</f>
        <v>306.18736999999999</v>
      </c>
      <c r="N211" s="3">
        <f>0+(636.3-272.8)+(0+(-1.298052--0.556512))+0-33.7--0.0687479999999985</f>
        <v>329.12720799999994</v>
      </c>
      <c r="O211" s="3">
        <f>0+(767.9-416.6)+(0+(-1.174887--0.637398))+0-32.1--0.0491130000000019</f>
        <v>318.71162399999992</v>
      </c>
      <c r="P211" s="3">
        <f>0+(876.3-487.7)+(0+(-2.234565--1.243635))+0-32--0.0815999999999954</f>
        <v>355.69066999999995</v>
      </c>
      <c r="Q211" s="3">
        <f>0+(855.4-466.7)+(0+(-1.308762--0.714051))+0-31.6--0.0483480000000018</f>
        <v>356.55363699999992</v>
      </c>
      <c r="R211" s="3">
        <f>0+(852-472.7)+(0+(-1.73808--0.964308))+0-32--0.0652799999999986</f>
        <v>346.59150799999998</v>
      </c>
      <c r="S211" s="3">
        <f>0+(814.7-453.6)+(0+(0.415497-0.231336))+0-32.1-0.0163709999999967</f>
        <v>329.16779000000002</v>
      </c>
      <c r="T211" s="3">
        <f>0+(808.3-445.3)+(0+(-0.824466--0.454206))+0-31.6--0.032232000000005</f>
        <v>331.06197199999997</v>
      </c>
      <c r="U211" s="3">
        <f>0+(778.7-416.5)+(0+(-1.985685--1.062075))+0-31.5--0.0803249999999954</f>
        <v>329.85671500000007</v>
      </c>
      <c r="V211" s="3">
        <f>0+(651.7-296.8)+(0+(-0.997101--0.454104))+0-31.9--0.0488070000000018</f>
        <v>322.50581000000005</v>
      </c>
      <c r="W211" s="3">
        <f>0+(613.7-231.6)+(0+(0.312987-0.118116))+0-31.6-0.0161159999999968</f>
        <v>350.67875499999997</v>
      </c>
      <c r="X211" s="3">
        <f>0+(665.5-279.1)+(0+(-1.018215--0.427023))+0-31.5--0.0481950000000018</f>
        <v>354.35700300000002</v>
      </c>
      <c r="Y211" s="3">
        <f>0+(698.6-322.2)+(0+(-1.425144--0.657288))+0-32--0.0652799999999986</f>
        <v>343.69742400000001</v>
      </c>
      <c r="Z211" s="3">
        <f>0+(729.7-355.1)+(0+(-1.488588--0.724404))+0-31.9--0.0650759999999986</f>
        <v>342.00089200000002</v>
      </c>
      <c r="AA211" s="3">
        <f>0+(668.1-306.3)+(0+(-1.703655--0.781065))+0-30.4--0.0775199999999956</f>
        <v>330.55493000000001</v>
      </c>
      <c r="AB211" s="3">
        <f>0+(607.5-258.1)+(0+(-1.549125--0.658155))+0-31--0.0790499999999955</f>
        <v>317.58807999999999</v>
      </c>
      <c r="AC211" s="3">
        <f>0+(510.7-179.6)+(0+(-0.781371--0.274788))+0-31.3--0.0478890000000018</f>
        <v>299.34130600000003</v>
      </c>
      <c r="AD211" s="2">
        <v>358.89999999999992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0+(484.8-161.2)+(0+(-0.741744--0.246636))+0-31.5--0.0481950000000018</f>
        <v>291.65308700000003</v>
      </c>
      <c r="G212" s="3">
        <f>0+(479.1-165.6)+(0+(-0.733023--0.253368))+0-31.5--0.0481950000000018</f>
        <v>281.56854000000004</v>
      </c>
      <c r="H212" s="3">
        <f>0+(439-124.8)+(0+(-0.44778--0.127296))+0-31.1--0.031722000000005</f>
        <v>282.81123799999995</v>
      </c>
      <c r="I212" s="3">
        <f>0+(463.3-151.2)+(0+(-0.236283--0.077112))+0-30.8--0.0157079999999969</f>
        <v>281.15653700000001</v>
      </c>
      <c r="J212" s="3">
        <f>0+(426.1-113.2)+(0+(0.217311-0.057732))+0-30.9-0.0157589999999969</f>
        <v>282.14382000000006</v>
      </c>
      <c r="K212" s="3">
        <f>0+(424.3-111.5)+(0+(0.216393-0.056865))+0-30.7-0.0156569999999969</f>
        <v>282.24387100000007</v>
      </c>
      <c r="L212" s="3">
        <f>0+(425.1-113.8)+(0+(-0.216801--0.058038))+0-30.9--0.0157589999999969</f>
        <v>280.25699600000002</v>
      </c>
      <c r="M212" s="3">
        <f>0+(457.2-126.5)+(0+(0-0))+0-31.3-0</f>
        <v>299.39999999999998</v>
      </c>
      <c r="N212" s="3">
        <f>0+(467.5-106.1)+(0+(-0.715275--0.162333))+0-31.6--0.0483480000000018</f>
        <v>329.29540599999996</v>
      </c>
      <c r="O212" s="3">
        <f>0+(520.7-149.8)+(0+(-0.265557--0.076398))+0-31.9--0.0162689999999968</f>
        <v>338.82711000000006</v>
      </c>
      <c r="P212" s="3">
        <f>0+(568.5-194.3)+(0+(-0.57987--0.198186))+0-31.9--0.0325380000000051</f>
        <v>341.95085399999999</v>
      </c>
      <c r="Q212" s="3">
        <f>0+(628.7-249.7)+(0+(-0.641274--0.254694))+0-31.6--0.032232000000005</f>
        <v>347.04565200000008</v>
      </c>
      <c r="R212" s="3">
        <f>0+(620.7-244.4)+(0+(-0.316557--0.124644))+0-31.4--0.0160139999999968</f>
        <v>344.72410100000008</v>
      </c>
      <c r="S212" s="3">
        <f>0+(652.3-295.1)+(0+(-0.998019--0.451503))+0-31.3--0.0478890000000018</f>
        <v>325.40137299999992</v>
      </c>
      <c r="T212" s="3">
        <f>0+(728.5-366.2)+(0+(-1.114605--0.560286))+0-31.2--0.0477360000000018</f>
        <v>330.59341699999999</v>
      </c>
      <c r="U212" s="3">
        <f>0+(704.7-348.6)+(0+(-1.078191--0.533358))+0-31--0.0474300000000018</f>
        <v>324.60259700000006</v>
      </c>
      <c r="V212" s="3">
        <f>0+(441.5-92)+(0+(0.45033-0.09384))+0-31.4-0.032028000000005</f>
        <v>318.42446200000001</v>
      </c>
      <c r="W212" s="3">
        <f>0+(441.9-52)+(0+(0.225369-0.02652))+0-32-0.0163199999999968</f>
        <v>358.08252899999997</v>
      </c>
      <c r="X212" s="3">
        <f>0+(489.3-93.5)+(0+(-0.748629--0.143055))+0-32.2--0.0492660000000019</f>
        <v>363.04369200000002</v>
      </c>
      <c r="Y212" s="3">
        <f>0+(509.7-122.7)+(0+(-0.519894--0.125154))+0-31.9--0.0325380000000051</f>
        <v>354.737798</v>
      </c>
      <c r="Z212" s="3">
        <f>0+(539.5-164.2)+(0+(-0.55029--0.167484))+0-31.6--0.032232000000005</f>
        <v>343.34942599999999</v>
      </c>
      <c r="AA212" s="3">
        <f>0+(500.1-132.1)+(0+(-0.510102--0.134742))+0-31.7--0.0323340000000051</f>
        <v>335.956974</v>
      </c>
      <c r="AB212" s="3">
        <f>0+(476.7-121.6)+(0+(-1.215585--0.31008))+0-31.2--0.0795599999999955</f>
        <v>323.07405500000004</v>
      </c>
      <c r="AC212" s="3">
        <f>0+(457.7-116.4)+(0+(-1.400562--0.356184))+0-31.1--0.0951660000000036</f>
        <v>309.25078799999994</v>
      </c>
      <c r="AD212" s="2">
        <v>350.8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0+(438.4-105.6)+(0+(0.447168-0.107712))+0-31.2-0.031824000000005</f>
        <v>301.90763199999992</v>
      </c>
      <c r="G213" s="3">
        <f>0+(331.5-10.6)+(0+(0.169065-0.005406))+0-31-0.0158099999999969</f>
        <v>290.04784899999999</v>
      </c>
      <c r="H213" s="3">
        <f>0+(310-0)+(0+(0.3162-0))+0-30.9-0.0315180000000049</f>
        <v>279.384682</v>
      </c>
      <c r="I213" s="3">
        <f>0+(307.8-0)+(0+(-0.156978-0))+0-30.8--0.0157079999999969</f>
        <v>276.85873000000004</v>
      </c>
      <c r="J213" s="3">
        <f>0+(304.1-0)+(0+(0-0))+0-30.1-0</f>
        <v>274</v>
      </c>
      <c r="K213" s="3">
        <f>0+(305.6-0)+(0+(-0.623424-0))+0-30.9--0.0630359999999986</f>
        <v>274.13961200000006</v>
      </c>
      <c r="L213" s="3">
        <f>0+(300.5-1.7)+(0+(0.30651-0.001734))+0-31.1-0.031722000000005</f>
        <v>267.97305399999999</v>
      </c>
      <c r="M213" s="3">
        <f>0+(359.4-34.7)+(0+(0-0))+0-31-0</f>
        <v>293.7</v>
      </c>
      <c r="N213" s="3">
        <f>0+(472.7-125.4)+(0+(0-0))+0-28.1-0</f>
        <v>319.19999999999993</v>
      </c>
      <c r="O213" s="3">
        <f>0+(557.9-191.1)+(0+(0-0))+0-30.8-0</f>
        <v>335.99999999999994</v>
      </c>
      <c r="P213" s="3">
        <f>0+(572.4-199.8)+(0+(-0.875772--0.305694))+0-31.3--0.0478890000000018</f>
        <v>340.77781099999993</v>
      </c>
      <c r="Q213" s="3">
        <f>0+(652.6-277.6)+(0+(0-0))+0-31.8-0</f>
        <v>343.2</v>
      </c>
      <c r="R213" s="3">
        <f>0+(654.4-281.2)+(0+(-1.001232--0.430236))+0-31.9--0.0488070000000018</f>
        <v>340.77781100000004</v>
      </c>
      <c r="S213" s="3">
        <f>0+(643.8-300.4)+(0+(0-0))+0-31.6-0</f>
        <v>311.79999999999995</v>
      </c>
      <c r="T213" s="3">
        <f>0+(643.3-305.1)+(0+(0-0))+0-31-0</f>
        <v>307.19999999999993</v>
      </c>
      <c r="U213" s="3">
        <f>0+(596.4-265.3)+(0+(-1.216656--0.541212))+0-30.4--0.0620159999999987</f>
        <v>300.08657199999993</v>
      </c>
      <c r="V213" s="3">
        <f>0+(510.6-184.3)+(0+(-0.781218--0.281979))+0-30.3--0.0463590000000018</f>
        <v>295.54712000000001</v>
      </c>
      <c r="W213" s="3">
        <f>0+(438.5-89.8)+(0+(-0.223635--0.045798))+0-31.2--0.0159119999999968</f>
        <v>317.338075</v>
      </c>
      <c r="X213" s="3">
        <f>0+(480.2-123.2)+(0+(-0.734706--0.188496))+0-30.8--0.0471240000000018</f>
        <v>325.70091400000001</v>
      </c>
      <c r="Y213" s="3">
        <f>0+(370.9-17.4)+(0+(-0.189159--0.008874))+0-31.2--0.0159119999999968</f>
        <v>322.135627</v>
      </c>
      <c r="Z213" s="3">
        <f>0+(348-0)+(0+(0.35496-0))+0-32.1-0.0327420000000051</f>
        <v>316.222218</v>
      </c>
      <c r="AA213" s="3">
        <f>0+(338.9-0)+(0+(0.172839-0))+0-32.3-0.0164729999999967</f>
        <v>306.75636599999996</v>
      </c>
      <c r="AB213" s="3">
        <f>0+(322.2-0)+(0+(-0.328644-0))+0-29--0.0295800000000046</f>
        <v>292.900936</v>
      </c>
      <c r="AC213" s="3">
        <f>0+(311.6-0)+(0+(-0.476748-0))+0-30.8--0.0471240000000018</f>
        <v>280.37037600000002</v>
      </c>
      <c r="AD213" s="2">
        <v>322.60000000000002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0+(309.4-1.1)+(0+(-0.157794--0.000561))+0-30.7--0.0156569999999969</f>
        <v>277.45842399999992</v>
      </c>
      <c r="G214" s="3">
        <f>0+(302.4-0)+(0+(-0.308448-0))+0-30.8--0.0314160000000049</f>
        <v>271.32296799999995</v>
      </c>
      <c r="H214" s="3">
        <f>0+(292.6-0)+(0+(-0.447678-0))+0-30.9--0.0472770000000018</f>
        <v>261.29959900000006</v>
      </c>
      <c r="I214" s="3">
        <f>0+(290.4-0)+(0+(-0.592416-0))+0-30.7--0.0626279999999987</f>
        <v>259.17021199999999</v>
      </c>
      <c r="J214" s="3">
        <f>0+(289.8-0)+(0+(0-0))+0-30.9-0</f>
        <v>258.90000000000003</v>
      </c>
      <c r="K214" s="3">
        <f>0+(287-0)+(0+(-0.43911-0))+0-30.9--0.0472770000000018</f>
        <v>255.70816699999997</v>
      </c>
      <c r="L214" s="3">
        <f>0+(273.9-0)+(0+(-0.419067-0))+0-30.5--0.0466650000000018</f>
        <v>243.02759799999998</v>
      </c>
      <c r="M214" s="3">
        <f>0+(272.1-0)+(0+(0.138771-0))+0-30.4-0.0155039999999969</f>
        <v>241.82326700000004</v>
      </c>
      <c r="N214" s="3">
        <f>0+(290.6-8.4)+(0+(0.148206-0.004284))+0-31.2-0.0159119999999968</f>
        <v>251.12801000000005</v>
      </c>
      <c r="O214" s="3">
        <f>0+(345.6-45.3)+(0+(-0.705024--0.092412))+0-31.7--0.0646679999999986</f>
        <v>268.05205599999999</v>
      </c>
      <c r="P214" s="3">
        <f>0+(403.5-102.9)+(0+(0.205785-0.052479))+0-31.8-0.0162179999999968</f>
        <v>268.93708800000002</v>
      </c>
      <c r="Q214" s="3">
        <f>0+(406.7-105.8)+(0+(-0.622251--0.161874))+0-32.1--0.0491130000000019</f>
        <v>268.38873599999994</v>
      </c>
      <c r="R214" s="3">
        <f>0+(426.8-129.5)+(0+(0.217668-0.066045))+0-31.6-0.0161159999999968</f>
        <v>265.83550699999995</v>
      </c>
      <c r="S214" s="3">
        <f>0+(426.9-133.7)+(0+(-0.435438--0.136374))+0-31.3--0.031926000000005</f>
        <v>261.63286199999999</v>
      </c>
      <c r="T214" s="3">
        <f>0+(397.2-123.5)+(0+(-0.810288--0.25194))+0-29.8--0.0607919999999987</f>
        <v>243.40244399999995</v>
      </c>
      <c r="U214" s="3">
        <f>0+(370.5-80.9)+(0+(-0.75582--0.165036))+0-29.6--0.0603839999999987</f>
        <v>259.46960000000001</v>
      </c>
      <c r="V214" s="3">
        <f>0+(301.5-6.1)+(0+(0.30753-0.006222))+0-28-0.0285600000000045</f>
        <v>267.67274799999996</v>
      </c>
      <c r="W214" s="3">
        <f>0+(322.1-0)+(0+(-0.164271-0))+0-28.9--0.0147389999999971</f>
        <v>293.05046800000008</v>
      </c>
      <c r="X214" s="3">
        <f>0+(328.2-0)+(0+(0.334764-0))+0-27.3-0.0278460000000044</f>
        <v>301.20691799999997</v>
      </c>
      <c r="Y214" s="3">
        <f>0+(328.3-0)+(0+(-0.502299-0))+0-30.5--0.0466650000000018</f>
        <v>297.34436600000004</v>
      </c>
      <c r="Z214" s="3">
        <f>0+(328.1-0)+(0+(-0.669324-0))+0-31.4--0.0640559999999986</f>
        <v>296.09473200000002</v>
      </c>
      <c r="AA214" s="3">
        <f>0+(326.2-0)+(0+(-0.332724-0))+0-31.3--0.031926000000005</f>
        <v>294.59920199999999</v>
      </c>
      <c r="AB214" s="3">
        <f>0+(316.5-0)+(0+(-0.32283-0))+0-31.8--0.0324360000000051</f>
        <v>284.409606</v>
      </c>
      <c r="AC214" s="3">
        <f>0+(310.7-2.5)+(0+(-0.316914--0.00255))+0-32.3--0.0329460000000051</f>
        <v>275.61858199999995</v>
      </c>
      <c r="AD214" s="2">
        <v>304.40000000000003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0+(292.6-0)+(0+(-0.596904-0))+0-32.2--0.0656879999999986</f>
        <v>259.86878400000006</v>
      </c>
      <c r="G215" s="3">
        <f>0+(285.8-0)+(0+(-0.145758-0))+0-32--0.0163199999999968</f>
        <v>253.67056200000002</v>
      </c>
      <c r="H215" s="3">
        <f>0+(284.4-0)+(0+(-0.435132-0))+0-31.8--0.0486540000000018</f>
        <v>252.21352199999995</v>
      </c>
      <c r="I215" s="3">
        <f>0+(281.8-0)+(0+(-0.431154-0))+0-31.4--0.0480420000000018</f>
        <v>250.01688800000002</v>
      </c>
      <c r="J215" s="3">
        <f>0+(275.7-0)+(0+(-0.281214-0))+0-31.1--0.031722000000005</f>
        <v>244.35050800000002</v>
      </c>
      <c r="K215" s="3">
        <f>0+(274.3-0)+(0+(0-0))+0-31.2-0</f>
        <v>243.10000000000002</v>
      </c>
      <c r="L215" s="3">
        <f>0+(273.4-0)+(0+(-0.139434-0))+0-31.2--0.0159119999999968</f>
        <v>242.07647799999998</v>
      </c>
      <c r="M215" s="3">
        <f>0+(315.7-15)+(0+(-0.161007--0.00765))+0-31.5--0.0160649999999968</f>
        <v>269.06270799999993</v>
      </c>
      <c r="N215" s="3">
        <f>0+(370.4-31.5)+(0+(0-0))+0-31.4-0</f>
        <v>307.5</v>
      </c>
      <c r="O215" s="3">
        <f>0+(418.4-70)+(0+(-0.853536--0.1428))+0-31.8--0.0648719999999986</f>
        <v>315.95413599999995</v>
      </c>
      <c r="P215" s="3">
        <f>0+(439.5-86.8)+(0+(-0.224145--0.044268))+0-31.9--0.0162689999999968</f>
        <v>320.63639200000006</v>
      </c>
      <c r="Q215" s="3">
        <f>0+(425-68.1)+(0+(-0.4335--0.069462))+0-31.1--0.031722000000005</f>
        <v>325.46768399999996</v>
      </c>
      <c r="R215" s="3">
        <f>0+(380.3-21.8)+(0+(-0.581859--0.033354))+0-29.7--0.0454410000000017</f>
        <v>328.29693600000002</v>
      </c>
      <c r="S215" s="3">
        <f>0+(367.4-28)+(0+(-0.562122--0.04284))+0-31.7--0.0485010000000018</f>
        <v>307.229219</v>
      </c>
      <c r="T215" s="3">
        <f>0+(369.4-28)+(0+(0.188394-0.01428))+0-30.9-0.0157589999999969</f>
        <v>310.65835499999997</v>
      </c>
      <c r="U215" s="3">
        <f>0+(345.7-5.2)+(0+(-1.057842--0.015912))+0-31.4--0.0960840000000036</f>
        <v>308.15415400000006</v>
      </c>
      <c r="V215" s="3">
        <f>0+(342-0)+(0+(-0.34884-0))+0-31.4--0.032028000000005</f>
        <v>310.28318800000005</v>
      </c>
      <c r="W215" s="3">
        <f>0+(362.5-0)+(0+(0-0))+0-31.9-0</f>
        <v>330.6</v>
      </c>
      <c r="X215" s="3">
        <f>0+(362.1-0)+(0+(-0.738684-0))+0-32--0.0652799999999986</f>
        <v>329.42659600000002</v>
      </c>
      <c r="Y215" s="3">
        <f>0+(360.1-0)+(0+(-1.469208-0))+0-32.1--0.130967999999997</f>
        <v>326.66176000000002</v>
      </c>
      <c r="Z215" s="3">
        <f>0+(352.8-0)+(0+(-0.89964-0))+0-31.9--0.0813449999999954</f>
        <v>320.08170500000006</v>
      </c>
      <c r="AA215" s="3">
        <f>0+(343.3-0)+(0+(-0.875415-0))+0-31.9--0.0813449999999954</f>
        <v>310.60593000000006</v>
      </c>
      <c r="AB215" s="3">
        <f>0+(331.2-0)+(0+(-0.506736-0))+0-32--0.0489600000000018</f>
        <v>298.74222400000002</v>
      </c>
      <c r="AC215" s="3">
        <f>0+(321.9-0)+(0+(-0.164169-0))+0-31.7--0.0161669999999968</f>
        <v>290.05199799999997</v>
      </c>
      <c r="AD215" s="2">
        <v>325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0+(310.6-0)+(0+(0.158406-0))+0-31.5-0.0160649999999968</f>
        <v>279.24234100000007</v>
      </c>
      <c r="G216" s="3">
        <f>0+(309.3-0)+(0+(-0.630972-0))+0-30.8--0.0628319999999987</f>
        <v>277.93186000000003</v>
      </c>
      <c r="H216" s="3">
        <f>0+(309.1-0)+(0+(-0.630564-0))+0-31.3--0.0638519999999986</f>
        <v>277.23328800000002</v>
      </c>
      <c r="I216" s="3">
        <f>0+(297.7-0)+(0+(0.607308-0))+0-31.3-0.0638519999999986</f>
        <v>266.94345599999997</v>
      </c>
      <c r="J216" s="3">
        <f>0+(304-0)+(0+(0.7752-0))+0-30.9-0.0787949999999955</f>
        <v>273.79640499999999</v>
      </c>
      <c r="K216" s="3">
        <f>0+(301.7-0)+(0+(0.461601-0))+0-30.7-0.0469710000000018</f>
        <v>271.41462999999999</v>
      </c>
      <c r="L216" s="3">
        <f>0+(301.7-0)+(0+(0.615468-0))+0-30.7-0.0626279999999987</f>
        <v>271.55284</v>
      </c>
      <c r="M216" s="3">
        <f>0+(329.7-3.6)+(0+(0-0))+0-31-0</f>
        <v>295.09999999999997</v>
      </c>
      <c r="N216" s="3">
        <f>0+(440.4-88.6)+(0+(0.449208-0.090372))+0-31.4-0.032028000000005</f>
        <v>320.72680799999995</v>
      </c>
      <c r="O216" s="3">
        <f>0+(527.2-144.9)+(0+(-0.806616--0.221697))+0-31--0.0474300000000018</f>
        <v>350.76251100000007</v>
      </c>
      <c r="P216" s="3">
        <f>0+(533.2-160)+(0+(0-0))+0-30.5-0</f>
        <v>342.70000000000005</v>
      </c>
      <c r="Q216" s="3">
        <f>0+(587.8-195.4)+(0+(-0.599556--0.199308))+0-30.9--0.0315180000000049</f>
        <v>361.13127000000003</v>
      </c>
      <c r="R216" s="3">
        <f>0+(577.2-211.1)+(0+(-1.177488--0.430644))+0-30.9--0.0630359999999986</f>
        <v>334.51619200000005</v>
      </c>
      <c r="S216" s="3">
        <f>0+(556.6-197.5)+(0+(-0.567732--0.20145))+0-31--0.0316200000000049</f>
        <v>327.76533800000004</v>
      </c>
      <c r="T216" s="3">
        <f>0+(537.3-197.7)+(0+(-1.370115--0.504135))+0-30.9--0.0787949999999955</f>
        <v>307.91281500000002</v>
      </c>
      <c r="U216" s="3">
        <f>0+(484.1-161.8)+(0+(-0.246891--0.082518))+0-31--0.0158099999999969</f>
        <v>291.15143699999999</v>
      </c>
      <c r="V216" s="3">
        <f>0+(405.8-57.7)+(0+(0-0))+0-31.7-0</f>
        <v>316.40000000000003</v>
      </c>
      <c r="W216" s="3">
        <f>0+(423.7-31.6)+(0+(0-0))+0-32.3-0</f>
        <v>359.79999999999995</v>
      </c>
      <c r="X216" s="3">
        <f>0+(402.1-20.2)+(0+(-0.410142--0.020604))+0-32.4--0.0330480000000052</f>
        <v>349.14351000000005</v>
      </c>
      <c r="Y216" s="3">
        <f>0+(394.8-26.9)+(0+(-0.402696--0.027438))+0-32.3--0.0329460000000051</f>
        <v>335.25768800000003</v>
      </c>
      <c r="Z216" s="3">
        <f>0+(374.4-0)+(0+(0.381888-0))+0-32.2-0.0328440000000051</f>
        <v>342.54904399999998</v>
      </c>
      <c r="AA216" s="3">
        <f>0+(359.4-0)+(0+(0.366588-0))+0-29.3-0.0298860000000047</f>
        <v>330.43670199999997</v>
      </c>
      <c r="AB216" s="3">
        <f>0+(360.7-0)+(0+(-0.551871-0))+0-30.2--0.0462060000000017</f>
        <v>329.99433499999998</v>
      </c>
      <c r="AC216" s="3">
        <f>0+(327.6-2.6)+(0+(-0.668304--0.005304))+0-31.6--0.0644639999999986</f>
        <v>292.80146399999995</v>
      </c>
      <c r="AD216" s="2">
        <v>358.1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0+(334.7-8.5)+(0+(-0.170697--0.004335))+0-31.1--0.0158609999999968</f>
        <v>294.94949899999995</v>
      </c>
      <c r="G217" s="3">
        <f>0+(354.6-34.3)+(0+(-0.542538--0.052479))+0-31.3--0.0478890000000018</f>
        <v>288.55783000000002</v>
      </c>
      <c r="H217" s="3">
        <f>0+(335.9-26.5)+(0+(-0.685236--0.05406))+0-30.9--0.0630359999999986</f>
        <v>277.93186000000003</v>
      </c>
      <c r="I217" s="3">
        <f>0+(309.1-1.5)+(0+(-0.315282--0.00153))+0-31.1--0.031722000000005</f>
        <v>276.21796999999998</v>
      </c>
      <c r="J217" s="3">
        <f>0+(304-0)+(0+(0.46512-0))+0-30.9-0.0472770000000018</f>
        <v>273.51784300000003</v>
      </c>
      <c r="K217" s="3">
        <f>0+(310.8-0)+(0+(-0.634032-0))+0-30.9--0.0630359999999986</f>
        <v>279.32900400000005</v>
      </c>
      <c r="L217" s="3">
        <f>0+(348.4-32.2)+(0+(0-0))+0-31.1-0</f>
        <v>285.09999999999997</v>
      </c>
      <c r="M217" s="3">
        <f>0+(423.4-68.1)+(0+(0-0))+0-30.2-0</f>
        <v>325.09999999999997</v>
      </c>
      <c r="N217" s="3">
        <f>0+(684.1-321.9)+(0+(0.697782-0.328338))+0-30.8-0.0314160000000049</f>
        <v>331.73802800000004</v>
      </c>
      <c r="O217" s="3">
        <f>0+(686.9-312.5)+(0+(0.350319-0.159375))+0-31.8-0.0162179999999968</f>
        <v>342.77472599999999</v>
      </c>
      <c r="P217" s="3">
        <f>0+(645.1-280.6)+(0+(-0.658002--0.286212))+0-32.1--0.0327420000000051</f>
        <v>332.06095199999999</v>
      </c>
      <c r="Q217" s="3">
        <f>0+(640.7-274.2)+(0+(-0.980271--0.419526))+0-31.9--0.0488070000000018</f>
        <v>334.08806200000009</v>
      </c>
      <c r="R217" s="3">
        <f>0+(652.2-291.1)+(0+(-1.995732--0.890766))+0-31.8--0.0973080000000037</f>
        <v>328.29234200000002</v>
      </c>
      <c r="S217" s="3">
        <f>0+(613.3-266)+(0+(0-0))+0-31.4-0</f>
        <v>315.89999999999998</v>
      </c>
      <c r="T217" s="3">
        <f>0+(621.7-265.7)+(0+(-0.317067--0.135507))+0-32--0.0163199999999968</f>
        <v>323.83476000000007</v>
      </c>
      <c r="U217" s="3">
        <f>0+(627.3-279.5)+(0+(0-0))+0-31.3-0</f>
        <v>316.49999999999994</v>
      </c>
      <c r="V217" s="3">
        <f>0+(578.9-233.7)+(0+(-1.180956--0.476748))+0-31.7--0.0646679999999986</f>
        <v>312.86045999999999</v>
      </c>
      <c r="W217" s="3">
        <f>0+(633.5-243)+(0+(-0.64617--0.24786))+0-32.3--0.0329460000000051</f>
        <v>357.83463599999999</v>
      </c>
      <c r="X217" s="3">
        <f>0+(676.7-289.9)+(0+(-0.345117--0.147849))+0-32.6--0.0166259999999967</f>
        <v>354.01935800000001</v>
      </c>
      <c r="Y217" s="3">
        <f>0+(639-262.4)+(0+(-0.65178--0.267648))+0-32--0.0326400000000051</f>
        <v>344.24850800000002</v>
      </c>
      <c r="Z217" s="3">
        <f>0+(638.6-278.1)+(0+(-1.62843--0.709155))+0-31.6--0.0805799999999954</f>
        <v>328.06130499999995</v>
      </c>
      <c r="AA217" s="3">
        <f>0+(662.1-300.9)+(0+(-1.350684--0.613836))+0-31.6--0.0644639999999986</f>
        <v>328.927616</v>
      </c>
      <c r="AB217" s="3">
        <f>0+(632.5-300.4)+(0+(-0.967725--0.459612))+0-31.3--0.0478890000000018</f>
        <v>300.33977600000003</v>
      </c>
      <c r="AC217" s="3">
        <f>0+(479.6-179)+(0+(-0.489192--0.18258))+0-31.3--0.031926000000005</f>
        <v>269.02531400000004</v>
      </c>
      <c r="AD217" s="2">
        <v>346.49999999999994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0+(443-113.8)+(0+(-0.22593--0.058038))+0-30.6--0.0156059999999969</f>
        <v>298.44771399999996</v>
      </c>
      <c r="G218" s="3">
        <f>0+(475.9-161.9)+(0+(0.242709-0.082569))+0-30.5-0.0155549999999969</f>
        <v>283.64458500000001</v>
      </c>
      <c r="H218" s="3">
        <f>0+(428-120)+(0+(0-0))+0-30.5-0</f>
        <v>277.5</v>
      </c>
      <c r="I218" s="3">
        <f>0+(400.5-98.4)+(0+(0.81702-0.200736))+0-30.6-0.0624239999999987</f>
        <v>272.05385999999999</v>
      </c>
      <c r="J218" s="3">
        <f>0+(386.2-78.7)+(0+(0.196962-0.040137))+0-30.7-0.0156569999999969</f>
        <v>276.94116800000006</v>
      </c>
      <c r="K218" s="3">
        <f>0+(382.3-72.7)+(0+(0.389946-0.074154))+0-30.7-0.0313140000000049</f>
        <v>279.18447800000001</v>
      </c>
      <c r="L218" s="3">
        <f>0+(395.5-89.6)+(0+(-0.40341--0.091392))+0-30.6--0.0312120000000049</f>
        <v>275.01919399999991</v>
      </c>
      <c r="M218" s="3">
        <f>0+(428.3-97.5)+(0+(1.092165-0.248625))+0-31.2-0.0795599999999955</f>
        <v>300.36398000000003</v>
      </c>
      <c r="N218" s="3">
        <f>0+(513.1-144.8)+(0+(-0.523362--0.147696))+0-31.3--0.031926000000005</f>
        <v>336.65625999999997</v>
      </c>
      <c r="O218" s="3">
        <f>0+(592.8-236.8)+(0+(-0.302328--0.120768))+0-31.4--0.0160139999999968</f>
        <v>324.43445399999996</v>
      </c>
      <c r="P218" s="3">
        <f>0+(581.3-214.4)+(0+(0-0))+0-31.2-0</f>
        <v>335.7</v>
      </c>
      <c r="Q218" s="3">
        <f>0+(611.3-245.5)+(0+(0.311763-0.125205))+0-31.2-0.0159119999999968</f>
        <v>334.77064599999994</v>
      </c>
      <c r="R218" s="3">
        <f>0+(556.7-188.9)+(0+(-0.567834--0.192678))+0-30.8--0.0314160000000049</f>
        <v>336.65626000000003</v>
      </c>
      <c r="S218" s="3">
        <f>0+(563.1-210.1)+(0+(-0.574362--0.214302))+0-31.2--0.031824000000005</f>
        <v>321.47176400000006</v>
      </c>
      <c r="T218" s="3">
        <f>0+(587.7-238.1)+(0+(0.599454-0.242862))+0-31.9-0.0325380000000051</f>
        <v>318.02405400000004</v>
      </c>
      <c r="U218" s="3">
        <f>0+(563.5-220.7)+(0+(-0.862155--0.337671))+0-31.5--0.0481950000000018</f>
        <v>310.82371100000006</v>
      </c>
      <c r="V218" s="3">
        <f>0+(531.3-184.9)+(0+(-0.541926--0.188598))+0-31.3--0.031926000000005</f>
        <v>314.77859799999999</v>
      </c>
      <c r="W218" s="3">
        <f>0+(586.2-209.9)+(0+(0-0))+0-31.7-0</f>
        <v>344.60000000000008</v>
      </c>
      <c r="X218" s="3">
        <f>0+(654.7-272.8)+(0+(-1.335588--0.556512))+0-30.9--0.0630359999999986</f>
        <v>350.28396000000009</v>
      </c>
      <c r="Y218" s="3">
        <f>0+(614.9-244.3)+(0+(-1.567995--0.622965))+0-30.9--0.0787949999999955</f>
        <v>338.83376500000003</v>
      </c>
      <c r="Z218" s="3">
        <f>0+(610.5-241.4)+(0+(-0.311355--0.123114))+0-31.3--0.0159629999999968</f>
        <v>337.62772200000001</v>
      </c>
      <c r="AA218" s="3">
        <f>0+(581.2-223.7)+(0+(-1.185648--0.456348))+0-31.4--0.0640559999999986</f>
        <v>325.43475600000005</v>
      </c>
      <c r="AB218" s="3">
        <f>0+(482.8-195.6)+(0+(-0.246228--0.099756))+0-31.2--0.0159119999999968</f>
        <v>255.86944000000003</v>
      </c>
      <c r="AC218" s="3">
        <f>0+(479.9-147.4)+(0+(-1.468494--0.451044))+0-31.1--0.0951660000000036</f>
        <v>300.47771599999999</v>
      </c>
      <c r="AD218" s="2">
        <v>347.9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0+(485.8-169.2)+(0+(-0.495516--0.172584))+0-30.8--0.0314160000000049</f>
        <v>285.50848400000001</v>
      </c>
      <c r="G219" s="3">
        <f>0+(487.5-170.7)+(0+(-0.248625--0.087057))+0-30.9--0.0157589999999969</f>
        <v>285.75419100000005</v>
      </c>
      <c r="H219" s="3">
        <f>0+(454.9-147.4)+(0+(0-0))+0-30.9-0</f>
        <v>276.60000000000002</v>
      </c>
      <c r="I219" s="3">
        <f>0+(446.6-141)+(0+(0.683298-0.21573))+0-30.6-0.0468180000000018</f>
        <v>275.42075</v>
      </c>
      <c r="J219" s="3">
        <f>0+(437.8-129.5)+(0+(-0.446556--0.13209))+0-30.6--0.0312120000000049</f>
        <v>277.41674599999999</v>
      </c>
      <c r="K219" s="3">
        <f>0+(440.6-134.3)+(0+(-0.224706--0.068493))+0-31.2--0.0159119999999968</f>
        <v>274.95969900000006</v>
      </c>
      <c r="L219" s="3">
        <f>0+(445.3-138.2)+(0+(-0.681309--0.211446))+0-31--0.0474300000000018</f>
        <v>275.67756700000007</v>
      </c>
      <c r="M219" s="3">
        <f>0+(477.8-159.9)+(0+(0.487356-0.163098))+0-31.1-0.031722000000005</f>
        <v>287.09253599999994</v>
      </c>
      <c r="N219" s="3">
        <f>0+(544.5-227.2)+(0+(0-0))+0-31.2-0</f>
        <v>286.10000000000002</v>
      </c>
      <c r="O219" s="3">
        <f>0+(628.2-299.9)+(0+(-0.640764--0.305898))+0-29.2--0.0297840000000047</f>
        <v>298.79491800000011</v>
      </c>
      <c r="P219" s="3">
        <f>0+(617.3-280.4)+(0+(0-0))+0-31.4-0</f>
        <v>305.5</v>
      </c>
      <c r="Q219" s="3">
        <f>0+(615.9-298.5)+(0+(-0.942327--0.456705))+0-30.9--0.0472770000000018</f>
        <v>286.06165500000003</v>
      </c>
      <c r="R219" s="3">
        <f>0+(589.1-263.7)+(0+(-1.201764--0.537948))+0-31.2--0.0636479999999986</f>
        <v>293.59983200000005</v>
      </c>
      <c r="S219" s="3">
        <f>0+(601.4-262)+(0+(0.613428-0.26724))+0-31.4-0.032028000000005</f>
        <v>308.31415999999996</v>
      </c>
      <c r="T219" s="3">
        <f>0+(626.7-281.8)+(0+(-0.319617--0.143718))+0-31.4--0.0160139999999968</f>
        <v>313.34011500000003</v>
      </c>
      <c r="U219" s="3">
        <f>0+(559.9-216.4)+(0+(-0.571098--0.220728))+0-31.1--0.031722000000005</f>
        <v>312.08135199999998</v>
      </c>
      <c r="V219" s="3">
        <f>0+(498.9-158.6)+(0+(0-0))+0-31.3-0</f>
        <v>308.99999999999994</v>
      </c>
      <c r="W219" s="3">
        <f>0+(579.4-203.1)+(0+(-0.590988--0.207162))+0-31.8--0.0324360000000051</f>
        <v>344.14860999999996</v>
      </c>
      <c r="X219" s="3">
        <f>0+(706.6-332.3)+(0+(-1.441464--0.677892))+0-31--0.0632399999999986</f>
        <v>342.59966800000001</v>
      </c>
      <c r="Y219" s="3">
        <f>0+(643.3-278.6)+(0+(0-0))+0-31-0</f>
        <v>333.69999999999993</v>
      </c>
      <c r="Z219" s="3">
        <f>0+(588.9-232)+(0+(-0.600678--0.23664))+0-31.5--0.032130000000005</f>
        <v>325.06809199999998</v>
      </c>
      <c r="AA219" s="3">
        <f>0+(602.4-250.5)+(0+(-0.921672--0.383265))+0-31.3--0.0478890000000018</f>
        <v>320.10948199999996</v>
      </c>
      <c r="AB219" s="3">
        <f>0+(490.1-156.6)+(0+(-1.249755--0.39933))+0-26.1--0.0665549999999962</f>
        <v>306.61613</v>
      </c>
      <c r="AC219" s="3">
        <f>0+(439.7-111.1)+(0+(-0.448494--0.113322))+0-31.3--0.031926000000005</f>
        <v>296.99675400000001</v>
      </c>
      <c r="AD219" s="2">
        <v>345.69999999999993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0+(480.6-164.7)+(0+(-0.980424--0.335988))+0-30.9--0.0630359999999986</f>
        <v>284.41860000000008</v>
      </c>
      <c r="G220" s="3">
        <f>0+(526.6-215.5)+(0+(-0.537132--0.21981))+0-30.8--0.0314160000000049</f>
        <v>280.014094</v>
      </c>
      <c r="H220" s="3">
        <f>0+(548.1-244.3)+(0+(0.559062-0.249186))+0-30.2-0.0308040000000048</f>
        <v>273.87907200000001</v>
      </c>
      <c r="I220" s="3">
        <f>0+(497.6-195.8)+(0+(-1.26888--0.49929))+0-30.6--0.0780299999999956</f>
        <v>270.50844000000001</v>
      </c>
      <c r="J220" s="3">
        <f>0+(443.7-144.4)+(0+(-1.131435--0.36822))+0-31.1--0.0793049999999955</f>
        <v>267.51608999999991</v>
      </c>
      <c r="K220" s="3">
        <f>0+(423.8-125.7)+(0+(-0.648414--0.192321))+0-30.2--0.0462060000000017</f>
        <v>267.49011300000001</v>
      </c>
      <c r="L220" s="3">
        <f>0+(388-96)+(0+(-0.59364--0.14688))+0-30.9--0.0472770000000018</f>
        <v>260.70051700000005</v>
      </c>
      <c r="M220" s="3">
        <f>0+(536.3-227.9)+(0+(0.820539-0.348687))+0-31.5-0.0481950000000018</f>
        <v>277.32365699999997</v>
      </c>
      <c r="N220" s="3">
        <f>0+(606.3-268.8)+(0+(-0.309213--0.137088))+0-31.4--0.0160139999999968</f>
        <v>305.94388899999996</v>
      </c>
      <c r="O220" s="3">
        <f>0+(564.8-222.1)+(0+(-0.576096--0.226542))+0-31.6--0.032232000000005</f>
        <v>310.78267799999992</v>
      </c>
      <c r="P220" s="3">
        <f>0+(546.2-202.6)+(0+(-0.278562--0.103326))+0-31.8--0.0162179999999968</f>
        <v>311.64098200000001</v>
      </c>
      <c r="Q220" s="3">
        <f>0+(550.2-203.6)+(0+(-0.841806--0.311508))+0-32--0.0489600000000018</f>
        <v>314.11866200000003</v>
      </c>
      <c r="R220" s="3">
        <f>0+(540.4-200.2)+(0+(-1.102416--0.408408))+0-31.1--0.0634439999999986</f>
        <v>308.46943599999997</v>
      </c>
      <c r="S220" s="3">
        <f>0+(540.3-212.5)+(0+(-0.275553--0.108375))+0-31.4--0.0160139999999968</f>
        <v>296.24883599999998</v>
      </c>
      <c r="T220" s="3">
        <f>0+(577.5-260.5)+(0+(-0.883575--0.398565))+0-30.4--0.0465120000000018</f>
        <v>286.16150200000004</v>
      </c>
      <c r="U220" s="3">
        <f>0+(504.1-193.1)+(0+(-0.514182--0.196962))+0-30.1--0.0307020000000048</f>
        <v>280.61348199999998</v>
      </c>
      <c r="V220" s="3">
        <f>0+(419.4-103.8)+(0+(0-0))+0-30.5-0</f>
        <v>285.09999999999997</v>
      </c>
      <c r="W220" s="3">
        <f>0+(487.5-141.6)+(0+(-0.49725--0.144432))+0-30.5--0.0311100000000049</f>
        <v>315.07829199999998</v>
      </c>
      <c r="X220" s="3">
        <f>0+(623.3-275.8)+(0+(-0.317883--0.140658))+0-31.7--0.0161669999999968</f>
        <v>315.63894199999993</v>
      </c>
      <c r="Y220" s="3">
        <f>0+(606.5-265.4)+(0+(-1.23726--0.541416))+0-31.4--0.0640559999999986</f>
        <v>309.06821200000002</v>
      </c>
      <c r="Z220" s="3">
        <f>0+(592.9-262.3)+(0+(-0.604758--0.267546))+0-26.1--0.0266220000000042</f>
        <v>304.18940999999995</v>
      </c>
      <c r="AA220" s="3">
        <f>0+(614.6-283.7)+(0+(-0.940338--0.434061))+0-30.9--0.0472770000000018</f>
        <v>299.54100000000005</v>
      </c>
      <c r="AB220" s="3">
        <f>0+(658-333.3)+(0+(-1.00674--0.509949))+0-30.6--0.0468180000000018</f>
        <v>293.65002700000002</v>
      </c>
      <c r="AC220" s="3">
        <f>0+(694.6-379.9)+(0+(-1.416984--0.774996))+0-30.6--0.0624239999999987</f>
        <v>283.52043600000002</v>
      </c>
      <c r="AD220" s="2">
        <v>310.40000000000003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0+(640.3-333.4)+(0+(-0.979659--0.510102))+0-30.9--0.0472770000000018</f>
        <v>275.57772</v>
      </c>
      <c r="G221" s="3">
        <f>0+(571.6-272.2)+(0+(-1.45758--0.69411))+0-30.7--0.0782849999999955</f>
        <v>268.01481500000006</v>
      </c>
      <c r="H221" s="3">
        <f>0+(506.6-211.7)+(0+(0-0))+0-30.8-0</f>
        <v>264.10000000000002</v>
      </c>
      <c r="I221" s="3">
        <f>0+(407.7-115.2)+(0+(-1.039635--0.29376))+0-30.7--0.0782849999999955</f>
        <v>261.13240999999999</v>
      </c>
      <c r="J221" s="3">
        <f>0+(367.7-74)+(0+(0.187527-0.03774))+0-30.8-0.0157079999999969</f>
        <v>263.03407899999996</v>
      </c>
      <c r="K221" s="3">
        <f>0+(373.3-85.1)+(0+(0-0))+0-30.7-0</f>
        <v>257.50000000000006</v>
      </c>
      <c r="L221" s="3">
        <f>0+(397.5-122.6)+(0+(-0.40545--0.125052))+0-30.6--0.0312120000000049</f>
        <v>244.050814</v>
      </c>
      <c r="M221" s="3">
        <f>0+(386.9-115.7)+(0+(-0.394638--0.118014))+0-30.7--0.0313140000000049</f>
        <v>240.25468999999998</v>
      </c>
      <c r="N221" s="3">
        <f>0+(420.3-146.1)+(0+(0.428706-0.149022))+0-30.7-0.0313140000000049</f>
        <v>243.74837000000002</v>
      </c>
      <c r="O221" s="3">
        <f>0+(542.6-259.9)+(0+(0.276726-0.132549))+0-31-0.0158099999999969</f>
        <v>251.82836700000007</v>
      </c>
      <c r="P221" s="3">
        <f>0+(626-340.6)+(0+(-1.27704--0.694824))+0-31--0.0632399999999986</f>
        <v>253.88102399999997</v>
      </c>
      <c r="Q221" s="3">
        <f>0+(713.3-423.4)+(0+(-0.363783--0.215934))+0-30.2--0.0154019999999969</f>
        <v>259.56755299999998</v>
      </c>
      <c r="R221" s="3">
        <f>0+(601.3-311)+(0+(-0.919989--0.47583))+0-30.6--0.0468180000000018</f>
        <v>259.30265899999995</v>
      </c>
      <c r="S221" s="3">
        <f>0+(542.1-265.1)+(0+(-1.105884--0.540804))+0-30.6--0.0624239999999987</f>
        <v>245.89734399999998</v>
      </c>
      <c r="T221" s="3">
        <f>0+(481-207)+(0+(-0.98124--0.42228))+0-28.9--0.0589559999999987</f>
        <v>244.59999599999998</v>
      </c>
      <c r="U221" s="3">
        <f>0+(417.4-143.6)+(0+(-0.425748--0.146472))+0-30.7--0.0313140000000049</f>
        <v>242.85203799999999</v>
      </c>
      <c r="V221" s="3">
        <f>0+(351.7-66.5)+(0+(-0.179367--0.033915))+0-30.7--0.0156569999999969</f>
        <v>254.37020500000003</v>
      </c>
      <c r="W221" s="3">
        <f>0+(380.1-62.3)+(0+(-0.581553--0.095319))+0-31.4--0.0480420000000018</f>
        <v>285.96180800000002</v>
      </c>
      <c r="X221" s="3">
        <f>0+(441.6-116.6)+(0+(-0.225216--0.059466))+0-31.7--0.0161669999999968</f>
        <v>293.150417</v>
      </c>
      <c r="Y221" s="3">
        <f>0+(444.9-119.6)+(0+(-0.907596--0.243984))+0-31.5--0.0642599999999986</f>
        <v>293.20064799999994</v>
      </c>
      <c r="Z221" s="3">
        <f>0+(474.4-148.5)+(0+(0-0))+0-31.6-0</f>
        <v>294.29999999999995</v>
      </c>
      <c r="AA221" s="3">
        <f>0+(501.4-182.2)+(0+(0-0))+0-31.6-0</f>
        <v>287.59999999999997</v>
      </c>
      <c r="AB221" s="3">
        <f>0+(536.7-226.4)+(0+(-0.273717--0.115464))+0-29.8--0.015197999999997</f>
        <v>280.35694500000005</v>
      </c>
      <c r="AC221" s="3">
        <f>0+(477.9-174.5)+(0+(-0.731187--0.266985))+0-31.1--0.0475830000000018</f>
        <v>271.88338099999993</v>
      </c>
      <c r="AD221" s="2">
        <v>290.90000000000003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0+(383.2-95.1)+(0+(-0.390864--0.097002))+0-30.1--0.0307020000000048</f>
        <v>257.73684000000003</v>
      </c>
      <c r="G222" s="3">
        <f>0+(347-63)+(0+(-0.35394--0.06426))+0-30.2--0.0308040000000048</f>
        <v>253.54112400000005</v>
      </c>
      <c r="H222" s="3">
        <f>0+(312.1-29.8)+(0+(0.159171-0.015198))+0-31-0.0158099999999969</f>
        <v>251.42816300000004</v>
      </c>
      <c r="I222" s="3">
        <f>0+(306.6-25.6)+(0+(-0.469098--0.039168))+0-31--0.0474300000000018</f>
        <v>249.61749999999998</v>
      </c>
      <c r="J222" s="3">
        <f>0+(311.7-28.6)+(0+(-0.158967--0.014586))+0-31.3--0.0159629999999968</f>
        <v>251.67158199999994</v>
      </c>
      <c r="K222" s="3">
        <f>0+(301.5-14.9)+(0+(-0.61506--0.030396))+0-31.1--0.0634439999999986</f>
        <v>254.97878000000006</v>
      </c>
      <c r="L222" s="3">
        <f>0+(317-25.2)+(0+(-0.16167--0.012852))+0-30.8--0.0157079999999969</f>
        <v>260.86689000000001</v>
      </c>
      <c r="M222" s="3">
        <f>0+(374.1-61.1)+(0+(0-0))+0-31.5-0</f>
        <v>281.5</v>
      </c>
      <c r="N222" s="3">
        <f>0+(416.1-64.2)+(0+(0-0))+0-32-0</f>
        <v>319.90000000000003</v>
      </c>
      <c r="O222" s="3">
        <f>21.2+(524.1-201.7)+(-0.043248+(-1.069164--0.411468))+0-31.3--0.0638519999999986</f>
        <v>311.66290800000002</v>
      </c>
      <c r="P222" s="3">
        <f>51.9+(522-228.4)+(0.105876+(1.06488-0.465936))+0-31.7-0.0646679999999986</f>
        <v>314.44015200000001</v>
      </c>
      <c r="Q222" s="3">
        <f>81.6+(509.7-236.5)+(0.041616+(0.259947-0.120615))+0-31.8-0.0162179999999968</f>
        <v>323.16472999999996</v>
      </c>
      <c r="R222" s="3">
        <f>111.7+(481.7-244.2)+(-0.284835+(-1.228335--0.62271))+0-31.1--0.0793049999999955</f>
        <v>317.28884499999992</v>
      </c>
      <c r="S222" s="3">
        <f>124.6+(516-296.9)+(0.127092+(0.52632-0.302838))+0-30.9-0.0315180000000049</f>
        <v>313.11905600000006</v>
      </c>
      <c r="T222" s="3">
        <f>125.1+(548.7-329)+(0+(0-0))+0-30.4-0</f>
        <v>314.40000000000009</v>
      </c>
      <c r="U222" s="3">
        <f>120.4+(554.1-332.1)+(-0.122808+(-0.565182--0.338742))+0-31--0.0316200000000049</f>
        <v>311.08237200000002</v>
      </c>
      <c r="V222" s="3">
        <f>1.7+(464.9-118.1)+(0.001734+(0.474198-0.120462))+0-31.2-0.031824000000005</f>
        <v>317.62364599999995</v>
      </c>
      <c r="W222" s="3">
        <f>0+(474.7-96.6)+(0+(-0.726291--0.147798))+0-31.9--0.0488070000000018</f>
        <v>345.67031400000008</v>
      </c>
      <c r="X222" s="3">
        <f>0+(536.1-161)+(0+(-1.367055--0.41055))+0-31.6--0.0805799999999954</f>
        <v>342.624075</v>
      </c>
      <c r="Y222" s="3">
        <f>0+(476.9-112)+(0+(-1.216095--0.2856))+0-31.9--0.0813449999999954</f>
        <v>332.15084999999999</v>
      </c>
      <c r="Z222" s="3">
        <f>0+(412.9-62.9)+(0+(-0.631737--0.096237))+0-30.9--0.0472770000000018</f>
        <v>318.61177700000002</v>
      </c>
      <c r="AA222" s="3">
        <f>0+(414-68.2)+(0+(-0.63342--0.104346))+0-31.5--0.0481950000000018</f>
        <v>313.81912100000005</v>
      </c>
      <c r="AB222" s="3">
        <f>0+(378.9-46.1)+(0+(-0.386478--0.047022))+0-31.4--0.032028000000005</f>
        <v>301.09257200000002</v>
      </c>
      <c r="AC222" s="3">
        <f>0+(356.1-37.8)+(0+(-0.363222--0.038556))+0-31.1--0.031722000000005</f>
        <v>286.90705600000001</v>
      </c>
      <c r="AD222" s="2">
        <v>343.7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0+(313.8-5.6)+(0+(0-0))+0-30.5-0</f>
        <v>277.7</v>
      </c>
      <c r="G223" s="3">
        <f>0+(313.8-10.2)+(0+(-0.480114--0.015606))+0-30.4--0.0465120000000018</f>
        <v>272.78200400000003</v>
      </c>
      <c r="H223" s="3">
        <f>0+(305.9-4.2)+(0+(-0.780045--0.01071))+0-30.2--0.0770099999999956</f>
        <v>270.80767499999996</v>
      </c>
      <c r="I223" s="3">
        <f>0+(306-10)+(0+(0.15606-0.0051))+0-30.9-0.0157589999999969</f>
        <v>265.23520100000002</v>
      </c>
      <c r="J223" s="3">
        <f>0+(297.8-4.4)+(0+(0-0))+0-31.1-0</f>
        <v>262.3</v>
      </c>
      <c r="K223" s="3">
        <f>0+(305.1-7.7)+(0+(0-0))+0-31-0</f>
        <v>266.40000000000003</v>
      </c>
      <c r="L223" s="3">
        <f>0+(343.9-46.8)+(0+(0-0))+0-30.9-0</f>
        <v>266.2</v>
      </c>
      <c r="M223" s="3">
        <f>8.1+(381.2-72.6)+(-0.008262+(-0.388824--0.074052))+0-31.6--0.032232000000005</f>
        <v>284.80919800000004</v>
      </c>
      <c r="N223" s="3">
        <f>50.5+(408.5-116.6)+(0.025755+(0.208335-0.059466))+0-31.9-0.0162689999999968</f>
        <v>310.65835499999997</v>
      </c>
      <c r="O223" s="3">
        <f>50.5+(375.7-73.6)+(-0.10302+(-0.766428--0.150144))+0-31.8--0.0648719999999986</f>
        <v>320.14556799999997</v>
      </c>
      <c r="P223" s="3">
        <f>50.5+(372.9-65.5)+(0+(0-0))+0-31.8-0</f>
        <v>326.09999999999997</v>
      </c>
      <c r="Q223" s="3">
        <f>50.5+(358-44.3)+(-0.128775+(-0.9129--0.112965))+0-31.8--0.0810899999999954</f>
        <v>331.55237999999997</v>
      </c>
      <c r="R223" s="3">
        <f>50.5+(341.3-26.5)+(-0.077265+(-0.522189--0.040545))+0-31.9--0.0488070000000018</f>
        <v>332.88989800000002</v>
      </c>
      <c r="S223" s="3">
        <f>50.5+(303.8-2.3)+(0.025755+(0.154938-0.001173))+0-32.1-0.0163709999999967</f>
        <v>320.06314900000001</v>
      </c>
      <c r="T223" s="3">
        <f>50.4+(315.9-16.2)+(-0.051408+(-0.322218--0.016524))+0-31.5--0.032130000000005</f>
        <v>318.27502799999996</v>
      </c>
      <c r="U223" s="3">
        <f>2.5+(398.7-56.6)+(-0.001275+(-0.203337--0.028866))+0-31.4--0.0160139999999968</f>
        <v>313.04026799999997</v>
      </c>
      <c r="V223" s="3">
        <f>0+(402.8-59.8)+(0+(0.410856-0.060996))+0-31.3-0.031926000000005</f>
        <v>312.01793399999997</v>
      </c>
      <c r="W223" s="3">
        <f>0+(367.8-0)+(0+(0-0))+0-31.8-0</f>
        <v>336</v>
      </c>
      <c r="X223" s="3">
        <f>0+(361.8-0)+(0+(-0.369036-0))+0-32.2--0.0328440000000051</f>
        <v>329.26380800000004</v>
      </c>
      <c r="Y223" s="3">
        <f>0+(351.4-0)+(0+(-0.537642-0))+0-32.2--0.0492660000000019</f>
        <v>318.71162399999997</v>
      </c>
      <c r="Z223" s="3">
        <f>0+(356.4-0)+(0+(-0.545292-0))+0-32--0.0489600000000018</f>
        <v>323.90366799999998</v>
      </c>
      <c r="AA223" s="3">
        <f>0+(341.7-1.4)+(0+(-0.348534--0.001428))+0-32.3--0.0329460000000051</f>
        <v>307.68583999999998</v>
      </c>
      <c r="AB223" s="3">
        <f>0+(330.6-0)+(0+(-0.505818-0))+0-32--0.0489600000000018</f>
        <v>298.14314200000007</v>
      </c>
      <c r="AC223" s="3">
        <f>0+(349.7-31.6)+(0+(-0.891735--0.08058))+0-31.7--0.0808349999999954</f>
        <v>285.66967999999997</v>
      </c>
      <c r="AD223" s="2">
        <v>332.8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0+(341.7-36)+(0+(-0.174267--0.01836))+0-31.5--0.0160649999999968</f>
        <v>274.06015799999994</v>
      </c>
      <c r="G224" s="3">
        <f>0+(303.7-5.9)+(0+(0-0))+0-31.2-0</f>
        <v>266.60000000000002</v>
      </c>
      <c r="H224" s="3">
        <f>0+(304.6-1.5)+(0+(0.466038-0.002295))+0-31-0.0474300000000018</f>
        <v>272.51631300000003</v>
      </c>
      <c r="I224" s="3">
        <f>0+(307.9-16.7)+(0+(0.314058-0.017034))+0-31.2-0.031824000000005</f>
        <v>260.26519999999999</v>
      </c>
      <c r="J224" s="3">
        <f>0+(320-14.5)+(0+(0.3264-0.01479))+0-30.9-0.0315180000000049</f>
        <v>274.88009199999999</v>
      </c>
      <c r="K224" s="3">
        <f>0+(298.4-0)+(0+(-0.152184-0))+0-31.2--0.0159119999999968</f>
        <v>267.06372800000003</v>
      </c>
      <c r="L224" s="3">
        <f>0+(306.2-0)+(0+(-0.156162-0))+0-31.3--0.0159629999999968</f>
        <v>274.75980099999998</v>
      </c>
      <c r="M224" s="3">
        <f>18.2+(311.6-13)+(-0.037128+(-0.635664--0.02652))+0-31.1--0.0634439999999986</f>
        <v>285.11717199999998</v>
      </c>
      <c r="N224" s="3">
        <f>50.4+(293.4-0)+(0.077112+(0.448902-0))+0-32-0.0489600000000018</f>
        <v>312.27705399999991</v>
      </c>
      <c r="O224" s="3">
        <f>50.5+(313.3-4.5)+(-0.10302+(-0.639132--0.00918))+0-31.9--0.0650759999999986</f>
        <v>326.73210399999999</v>
      </c>
      <c r="P224" s="3">
        <f>50.4+(314.9-5.7)+(0+(0-0))+0-32.5-0</f>
        <v>327.09999999999997</v>
      </c>
      <c r="Q224" s="3">
        <f>50.5+(320.5-8.1)+(-0.025755+(-0.163455--0.004131))+0-32.4--0.0165239999999967</f>
        <v>330.33144500000003</v>
      </c>
      <c r="R224" s="3">
        <f>50.5+(351.2-53)+(-0.10302+(-0.716448--0.10812))+0-31.7--0.0646679999999986</f>
        <v>316.35332</v>
      </c>
      <c r="S224" s="3">
        <f>50.5+(332.7-50.2)+(-0.05151+(-0.339354--0.051204))+0-31.8--0.0324360000000051</f>
        <v>300.89277600000003</v>
      </c>
      <c r="T224" s="3">
        <f>50.5+(347.7-63.4)+(-0.025755+(-0.177327--0.032334))+0-31.5--0.0160649999999968</f>
        <v>303.14531699999998</v>
      </c>
      <c r="U224" s="3">
        <f>50.3+(340.7-57.1)+(-0.076959+(-0.521271--0.087363))+0-31.6--0.0483480000000018</f>
        <v>301.83748099999991</v>
      </c>
      <c r="V224" s="3">
        <f>0+(351.9-11.5)+(0+(-1.256283--0.041055))+0-31.3--0.111741</f>
        <v>307.99651299999994</v>
      </c>
      <c r="W224" s="3">
        <f>0+(368.2-0)+(0+(-0.375564-0))+0-32.2--0.0328440000000051</f>
        <v>335.65728000000001</v>
      </c>
      <c r="X224" s="3">
        <f>0+(360.5-0)+(0+(-0.919275-0))+0-31.7--0.0808349999999954</f>
        <v>327.96155999999996</v>
      </c>
      <c r="Y224" s="3">
        <f>0+(353.5-0)+(0+(-0.180285-0))+0-31.8--0.0162179999999968</f>
        <v>321.53593299999994</v>
      </c>
      <c r="Z224" s="3">
        <f>0+(354.7-0)+(0+(-1.266279-0))+0-31.6--0.112812</f>
        <v>321.94653299999999</v>
      </c>
      <c r="AA224" s="3">
        <f>0+(341.5-0)+(0+(-0.69666-0))+0-31.6--0.0644639999999986</f>
        <v>309.26780399999996</v>
      </c>
      <c r="AB224" s="3">
        <f>0+(331.9-0)+(0+(-0.846345-0))+0-31.3--0.0798149999999955</f>
        <v>299.83346999999998</v>
      </c>
      <c r="AC224" s="3">
        <f>0+(336.2-12.2)+(0+(-0.85731--0.03111))+0-31.2--0.0795599999999955</f>
        <v>292.05336000000005</v>
      </c>
      <c r="AD224" s="2">
        <v>325.89999999999998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0+(351-36.4)+(0+(-0.71604--0.074256))+0-30.4--0.0620159999999987</f>
        <v>283.62023200000004</v>
      </c>
      <c r="G225" s="3">
        <f>0+(333.1-26.2)+(0+(-0.679524--0.053448))+0-30.7--0.0626279999999987</f>
        <v>275.63655200000005</v>
      </c>
      <c r="H225" s="3">
        <f>0+(303.9-4.3)+(0+(-0.309978--0.004386))+0-30.1--0.0307020000000048</f>
        <v>269.22510999999997</v>
      </c>
      <c r="I225" s="3">
        <f>0+(310.5-11.7)+(0+(-0.31671--0.011934))+0-30.2--0.0308040000000048</f>
        <v>268.32602800000001</v>
      </c>
      <c r="J225" s="3">
        <f>0+(341.4-42.5)+(0+(0.348228-0.04335))+0-30.7-0.0313140000000049</f>
        <v>268.47356399999995</v>
      </c>
      <c r="K225" s="3">
        <f>0+(326.8-27.3)+(0+(0.333336-0.027846))+0-30.5-0.0311100000000049</f>
        <v>269.27438000000001</v>
      </c>
      <c r="L225" s="3">
        <f>0+(360.8-67)+(0+(0-0))+0-30.7-0</f>
        <v>263.10000000000002</v>
      </c>
      <c r="M225" s="3">
        <f>0+(427.5-118.2)+(0+(0.43605-0.120564))+0-31.2-0.031824000000005</f>
        <v>278.38366200000002</v>
      </c>
      <c r="N225" s="3">
        <f>0+(380.6-39.8)+(0+(-0.582318--0.060894))+0-31.7--0.0485010000000018</f>
        <v>308.62707699999999</v>
      </c>
      <c r="O225" s="3">
        <f>0+(367.5-15.9)+(0+(0.562275-0.024327))+0-31.3-0.0478890000000018</f>
        <v>320.79005899999999</v>
      </c>
      <c r="P225" s="3">
        <f>0+(374-0)+(0+(-0.19074-0))+0-32--0.0163199999999968</f>
        <v>341.82558</v>
      </c>
      <c r="Q225" s="3">
        <f>0+(359-0)+(0+(0-0))+0-31.6-0</f>
        <v>327.39999999999998</v>
      </c>
      <c r="R225" s="3">
        <f>0+(351.6-0)+(0+(-0.537948-0))+0-29.8--0.0455940000000017</f>
        <v>321.30764600000003</v>
      </c>
      <c r="S225" s="3">
        <f>0+(340-0)+(0+(0-0))+0-32.4-0</f>
        <v>307.60000000000002</v>
      </c>
      <c r="T225" s="3">
        <f>0+(342.3-0)+(0+(-0.349146-0))+0-32.2--0.0328440000000051</f>
        <v>309.78369800000002</v>
      </c>
      <c r="U225" s="3">
        <f>0+(336.9-0)+(0+(-0.515457-0))+0-32.2--0.0492660000000019</f>
        <v>304.23380899999995</v>
      </c>
      <c r="V225" s="3">
        <f>41.5+(316.7-17)+(-0.04233+(-0.323034--0.01734))+0-32.1--0.0327420000000051</f>
        <v>308.78471799999994</v>
      </c>
      <c r="W225" s="3">
        <f>120+(258.7-8.7)+(0.1224+(0.263874-0.008874))+0-33-0.0336600000000053</f>
        <v>337.34374000000003</v>
      </c>
      <c r="X225" s="3">
        <f>8.8+(363-0)+(-0.008976+(-0.37026-0))+0-32.8--0.0334560000000052</f>
        <v>338.65422000000001</v>
      </c>
      <c r="Y225" s="3">
        <f>0+(366.1-0)+(0+(-0.933555-0))+0-32.5--0.0828749999999953</f>
        <v>332.74932000000001</v>
      </c>
      <c r="Z225" s="3">
        <f>0+(357-0)+(0+(0.36414-0))+0-32-0.0326400000000051</f>
        <v>325.33150000000001</v>
      </c>
      <c r="AA225" s="3">
        <f>0+(345.4-0)+(0+(-0.88077-0))+0-31.7--0.0808349999999954</f>
        <v>312.90006499999998</v>
      </c>
      <c r="AB225" s="3">
        <f>0+(336.6-0)+(0+(-0.171666-0))+0-31.7--0.0161669999999968</f>
        <v>304.74450100000001</v>
      </c>
      <c r="AC225" s="3">
        <f>0+(322.4-0)+(0+(-0.164424-0))+0-31.7--0.0161669999999968</f>
        <v>290.55174299999999</v>
      </c>
      <c r="AD225" s="2">
        <v>329.79999999999995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0+(305.3-0)+(0+(-0.778515-0))+0-31.6--0.0805799999999954</f>
        <v>273.00206499999996</v>
      </c>
      <c r="G226" s="3">
        <f>0+(297.2-0)+(0+(-0.151572-0))+0-31.3--0.0159629999999968</f>
        <v>265.76439099999999</v>
      </c>
      <c r="H226" s="3">
        <f>0+(299.2-0)+(0+(-0.610368-0))+0-30.9--0.0630359999999986</f>
        <v>267.75266800000003</v>
      </c>
      <c r="I226" s="3">
        <f>0+(291.1-0)+(0+(-0.296922-0))+0-31.3--0.031926000000005</f>
        <v>259.53500400000001</v>
      </c>
      <c r="J226" s="3">
        <f>0+(290-0)+(0+(0.7395-0))+0-31.6-0.0805799999999954</f>
        <v>259.05892</v>
      </c>
      <c r="K226" s="3">
        <f>0+(309.7-11.7)+(0+(0.315894-0.011934))+0-30.7-0.0313140000000049</f>
        <v>267.57264600000002</v>
      </c>
      <c r="L226" s="3">
        <f>0+(321.7-19.1)+(0+(-0.164067--0.009741))+0-30.7--0.0156569999999969</f>
        <v>271.76133099999993</v>
      </c>
      <c r="M226" s="3">
        <f>0+(323.2-5.4)+(0+(-0.494496--0.008262))+0-31.2--0.0477360000000018</f>
        <v>286.16150199999998</v>
      </c>
      <c r="N226" s="3">
        <f>0+(369.5-14.5)+(0+(-0.942225--0.036975))+0-32.4--0.0826199999999953</f>
        <v>321.77737000000002</v>
      </c>
      <c r="O226" s="3">
        <f>0+(376.1-11.6)+(0+(0.575433-0.017748))+0-32.5-0.0497250000000019</f>
        <v>332.50795999999997</v>
      </c>
      <c r="P226" s="3">
        <f>0+(380.7-8.9)+(0+(0.388314-0.009078))+0-32.1-0.0327420000000051</f>
        <v>340.046494</v>
      </c>
      <c r="Q226" s="3">
        <f>0+(361-4)+(0+(0-0))+0-32.4-0</f>
        <v>324.60000000000002</v>
      </c>
      <c r="R226" s="3">
        <f>0+(367.4-1.6)+(0+(-0.562122--0.002448))+0-32.1--0.0491130000000019</f>
        <v>333.18943899999994</v>
      </c>
      <c r="S226" s="3">
        <f>0+(361.7-11.7)+(0+(-0.737868--0.023868))+0-31.3--0.0638519999999986</f>
        <v>318.04985199999999</v>
      </c>
      <c r="T226" s="3">
        <f>0+(360.6-18.6)+(0+(-0.183906--0.009486))+0-30.5--0.0155549999999969</f>
        <v>311.34113500000001</v>
      </c>
      <c r="U226" s="3">
        <f>0+(322.9-0)+(0+(-0.823395-0))+0-27.2--0.0693599999999961</f>
        <v>294.945965</v>
      </c>
      <c r="V226" s="3">
        <f>0+(342-9.8)+(0+(-0.69768--0.019992))+0-30.2--0.0616079999999987</f>
        <v>301.38391999999999</v>
      </c>
      <c r="W226" s="3">
        <f>0+(358.9-0)+(0+(-0.183039-0))+0-29.2--0.014891999999997</f>
        <v>329.53185299999996</v>
      </c>
      <c r="X226" s="3">
        <f>0+(361.1-0)+(0+(-0.368322-0))+0-32.2--0.0328440000000051</f>
        <v>328.56452200000007</v>
      </c>
      <c r="Y226" s="3">
        <f>0+(349.6-0)+(0+(-1.069776-0))+0-32.3--0.0988380000000037</f>
        <v>316.32906200000002</v>
      </c>
      <c r="Z226" s="3">
        <f>0+(351.1-0)+(0+(-1.074366-0))+0-32.3--0.0988380000000037</f>
        <v>317.82447200000001</v>
      </c>
      <c r="AA226" s="3">
        <f>0+(349.4-0)+(0+(-0.178194-0))+0-32.2--0.0164219999999967</f>
        <v>317.03822799999995</v>
      </c>
      <c r="AB226" s="3">
        <f>0+(328.2-0)+(0+(-0.669528-0))+0-31.7--0.0646679999999986</f>
        <v>295.89513999999997</v>
      </c>
      <c r="AC226" s="3">
        <f>0+(320.2-0)+(0+(-0.653208-0))+0-31.6--0.0644639999999986</f>
        <v>288.01125599999995</v>
      </c>
      <c r="AD226" s="2">
        <v>332.2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0+(309.9-0)+(0+(-0.158049-0))+0-28.6--0.0145859999999971</f>
        <v>281.15653699999996</v>
      </c>
      <c r="G227" s="3">
        <f>0+(321.2-13.4)+(0+(0-0))+0-26.7-0</f>
        <v>281.10000000000002</v>
      </c>
      <c r="H227" s="3">
        <f>0+(307.8-1.6)+(0+(0.313956-0.001632))+0-31-0.0316200000000049</f>
        <v>275.48070399999995</v>
      </c>
      <c r="I227" s="3">
        <f>0+(303.2-0)+(0+(0.618528-0))+0-31.4-0.0640559999999986</f>
        <v>272.35447200000004</v>
      </c>
      <c r="J227" s="3">
        <f>0+(305.8-0)+(0+(0-0))+0-31.1-0</f>
        <v>274.7</v>
      </c>
      <c r="K227" s="3">
        <f>0+(300.2-0)+(0+(0.459306-0))+0-31.1-0.0475830000000018</f>
        <v>269.51172300000002</v>
      </c>
      <c r="L227" s="3">
        <f>0+(315.7-8.3)+(0+(-0.805035--0.021165))+0-30.7--0.0782849999999955</f>
        <v>275.994415</v>
      </c>
      <c r="M227" s="3">
        <f>0+(355.7-36.1)+(0+(0.362814-0.036822))+0-30-0.0306000000000048</f>
        <v>289.89539199999996</v>
      </c>
      <c r="N227" s="3">
        <f>0+(439.4-102.8)+(0+(0-0))+0-21.7-0</f>
        <v>314.89999999999998</v>
      </c>
      <c r="O227" s="3">
        <f>0+(364-11.1)+(0+(0-0))+0-31.8-0</f>
        <v>321.09999999999997</v>
      </c>
      <c r="P227" s="3">
        <f>0+(356.9-6.2)+(0+(0.182019-0.003162))+0-32-0.0163199999999968</f>
        <v>318.86253699999997</v>
      </c>
      <c r="Q227" s="3">
        <f>0+(349.1-1.4)+(0+(-0.534123--0.002142))+0-31.1--0.0475830000000018</f>
        <v>316.11560200000002</v>
      </c>
      <c r="R227" s="3">
        <f>0+(336-0)+(0+(-0.8568-0))+0-31.7--0.0808349999999954</f>
        <v>303.52403499999997</v>
      </c>
      <c r="S227" s="3">
        <f>0+(314-0)+(0+(-0.48042-0))+0-31.4--0.0480420000000018</f>
        <v>282.16762200000005</v>
      </c>
      <c r="T227" s="3">
        <f>0+(310.8-3.5)+(0+(0.634032-0.00714))+0-31.1-0.0634439999999986</f>
        <v>276.76344799999998</v>
      </c>
      <c r="U227" s="3">
        <f>0+(303.4-0)+(0+(-0.464202-0))+0-30.4--0.0465120000000018</f>
        <v>272.58231000000001</v>
      </c>
      <c r="V227" s="3">
        <f>0+(308.1-0)+(0+(0.471393-0))+0-30.6-0.0468180000000018</f>
        <v>277.924575</v>
      </c>
      <c r="W227" s="3">
        <f>0+(351.3-12.6)+(0+(-0.179163--0.006426))+0-32--0.0163199999999968</f>
        <v>306.54358300000001</v>
      </c>
      <c r="X227" s="3">
        <f>0+(342-0)+(0+(-0.69768-0))+0-33.1--0.0675239999999986</f>
        <v>308.26984399999998</v>
      </c>
      <c r="Y227" s="3">
        <f>0+(333.9-0)+(0+(0.170289-0))+0-32.7-0.0166769999999967</f>
        <v>301.353612</v>
      </c>
      <c r="Z227" s="3">
        <f>0+(354.7-20.7)+(0+(-0.542691--0.031671))+0-31.8--0.0486540000000018</f>
        <v>301.73763400000001</v>
      </c>
      <c r="AA227" s="3">
        <f>0+(370.2-42.3)+(0+(-0.755208--0.086292))+0-33--0.0673199999999986</f>
        <v>294.29840399999995</v>
      </c>
      <c r="AB227" s="3">
        <f>0+(334-14.8)+(0+(-0.34068--0.015096))+0-32.2--0.0328440000000051</f>
        <v>286.70726000000002</v>
      </c>
      <c r="AC227" s="3">
        <f>0+(312.8-0)+(0+(-0.478584-0))+0-30.3--0.0463590000000018</f>
        <v>282.06777499999998</v>
      </c>
      <c r="AD227" s="2">
        <v>313.8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0+(310.4-0)+(0+(-0.79152-0))+0-31.2--0.0795599999999955</f>
        <v>278.48804000000001</v>
      </c>
      <c r="G228" s="3">
        <f>0+(329.2-23.7)+(0+(0-0))+0-31.5-0</f>
        <v>274</v>
      </c>
      <c r="H228" s="3">
        <f>0+(316.7-26.8)+(0+(-0.807585--0.06834))+0-26.2--0.0668099999999962</f>
        <v>263.02756499999998</v>
      </c>
      <c r="I228" s="3">
        <f>0+(311.7-17.9)+(0+(-0.476901--0.027387))+0-31.6--0.0483480000000018</f>
        <v>261.79883399999994</v>
      </c>
      <c r="J228" s="3">
        <f>0+(308.6-16.1)+(0+(0-0))+0-31.5-0</f>
        <v>261</v>
      </c>
      <c r="K228" s="3">
        <f>0+(297.3-8.6)+(0+(0.303246-0.008772))+0-31.3-0.031926000000005</f>
        <v>257.66254799999996</v>
      </c>
      <c r="L228" s="3">
        <f>0+(295.9-21.4)+(0+(-1.056363--0.076398))+0-31.1--0.111027</f>
        <v>242.53106200000002</v>
      </c>
      <c r="M228" s="3">
        <f>0+(289-11.4)+(0+(-0.44217--0.017442))+0-31.2--0.0477360000000018</f>
        <v>246.02300800000003</v>
      </c>
      <c r="N228" s="3">
        <f>0+(303-13.6)+(0+(0-0))+0-31.7-0</f>
        <v>257.7</v>
      </c>
      <c r="O228" s="3">
        <f>0+(339.5-37.8)+(0+(0.34629-0.038556))+0-31.8-0.0324360000000051</f>
        <v>270.17529799999994</v>
      </c>
      <c r="P228" s="3">
        <f>0+(348.6-41)+(0+(-0.533358--0.06273))+0-31.7--0.0485010000000018</f>
        <v>275.47787300000005</v>
      </c>
      <c r="Q228" s="3">
        <f>0+(344.8-35.3)+(0+(0.175848-0.018003))+0-31.9-0.0162689999999968</f>
        <v>277.74157600000001</v>
      </c>
      <c r="R228" s="3">
        <f>0+(374.6-68.6)+(0+(-0.573138--0.104958))+0-31.2--0.0477360000000018</f>
        <v>274.37955599999998</v>
      </c>
      <c r="S228" s="3">
        <f>0+(385.4-86.1)+(0+(-0.196554--0.043911))+0-31.5--0.0160649999999968</f>
        <v>267.66342199999991</v>
      </c>
      <c r="T228" s="3">
        <f>0+(375.2-79.5)+(0+(-0.765408--0.16218))+0-30.9--0.0630359999999986</f>
        <v>264.25980800000002</v>
      </c>
      <c r="U228" s="3">
        <f>0+(374.3-78.2)+(0+(-0.381786--0.079764))+0-31--0.0316200000000049</f>
        <v>264.82959800000003</v>
      </c>
      <c r="V228" s="3">
        <f>0+(371.8-71.4)+(0+(0-0))+0-31.2-0</f>
        <v>269.2</v>
      </c>
      <c r="W228" s="3">
        <f>0+(411-69.9)+(0+(-0.20961--0.035649))+0-33.2--0.0169319999999966</f>
        <v>307.74297100000001</v>
      </c>
      <c r="X228" s="3">
        <f>0+(390.9-49.9)+(0+(-0.996795--0.127245))+0-33.5--0.0854249999999951</f>
        <v>306.71587499999998</v>
      </c>
      <c r="Y228" s="3">
        <f>0+(394.3-58)+(0+(-0.804372--0.11832))+0-33.1--0.0675239999999986</f>
        <v>302.58147199999996</v>
      </c>
      <c r="Z228" s="3">
        <f>0+(369.3-34.6)+(0+(-0.376686--0.035292))+0-32.6--0.0332520000000052</f>
        <v>301.79185799999999</v>
      </c>
      <c r="AA228" s="3">
        <f>0+(342-19.2)+(0+(-0.34884--0.019584))+0-32.4--0.0330480000000052</f>
        <v>290.10379200000006</v>
      </c>
      <c r="AB228" s="3">
        <f>0+(325.4-8.9)+(0+(-0.82977--0.022695))+0-32.4--0.0826199999999953</f>
        <v>283.37554500000005</v>
      </c>
      <c r="AC228" s="3">
        <f>0+(309.2-0)+(0+(-0.946152-0))+0-30.6--0.0936360000000035</f>
        <v>277.74748399999999</v>
      </c>
      <c r="AD228" s="2">
        <v>296.40000000000003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0+(299.3-0)+(0+(0.457929-0))+0-31.3-0.0478890000000018</f>
        <v>268.41003999999998</v>
      </c>
      <c r="G229" s="3">
        <f>0+(286.4-0)+(0+(-0.584256-0))+0-31.7--0.0646679999999986</f>
        <v>254.18041200000002</v>
      </c>
      <c r="H229" s="3">
        <f>0+(281.7-0)+(0+(0.143667-0))+0-31.5-0.0160649999999968</f>
        <v>250.32760199999998</v>
      </c>
      <c r="I229" s="3">
        <f>0+(275.7-0)+(0+(0.703035-0))+0-31.8-0.0810899999999954</f>
        <v>244.52194499999999</v>
      </c>
      <c r="J229" s="3">
        <f>0+(285.3-0)+(0+(-0.145503-0))+0-31.9--0.0162689999999968</f>
        <v>253.27076599999998</v>
      </c>
      <c r="K229" s="3">
        <f>0+(280.3-0)+(0+(-0.142953-0))+0-31.4--0.0160139999999968</f>
        <v>248.77306100000001</v>
      </c>
      <c r="L229" s="3">
        <f>0+(272.1-0)+(0+(-0.555084-0))+0-31.3--0.0638519999999986</f>
        <v>240.30876799999999</v>
      </c>
      <c r="M229" s="3">
        <f>0+(295.2-25.8)+(0+(0.150552-0.013158))+0-31.7-0.0161669999999968</f>
        <v>237.82122699999996</v>
      </c>
      <c r="N229" s="3">
        <f>0+(282.3-0)+(0+(0-0))+0-32.1-0</f>
        <v>250.20000000000002</v>
      </c>
      <c r="O229" s="3">
        <f>0+(286.1-0)+(0+(-0.145911-0))+0-31.9--0.0162689999999968</f>
        <v>254.070358</v>
      </c>
      <c r="P229" s="3">
        <f>0+(292.1-0)+(0+(-0.595884-0))+0-31.6--0.0644639999999986</f>
        <v>259.96857999999997</v>
      </c>
      <c r="Q229" s="3">
        <f>0+(281.5-0)+(0+(0.28713-0))+0-30.7-0.0313140000000049</f>
        <v>251.05581599999999</v>
      </c>
      <c r="R229" s="3">
        <f>0+(281.7-0)+(0+(-0.287334-0))+0-31.1--0.031722000000005</f>
        <v>250.34438800000001</v>
      </c>
      <c r="S229" s="3">
        <f>0+(275-0)+(0+(-0.42075-0))+0-31.5--0.0481950000000018</f>
        <v>243.12744499999999</v>
      </c>
      <c r="T229" s="3">
        <f>0+(276.6-0)+(0+(0.141066-0))+0-31.5-0.0160649999999968</f>
        <v>245.22500100000005</v>
      </c>
      <c r="U229" s="3">
        <f>0+(292.1-14.6)+(0+(0.148971-0.007446))+0-31.4-0.0160139999999968</f>
        <v>246.22551100000001</v>
      </c>
      <c r="V229" s="3">
        <f>0+(356.2-75.3)+(0+(-0.363324--0.076806))+0-31.8--0.0324360000000051</f>
        <v>248.84591799999998</v>
      </c>
      <c r="W229" s="3">
        <f>0+(348.9-41.5)+(0+(-0.177939--0.021165))+0-32.9--0.0167789999999967</f>
        <v>274.360005</v>
      </c>
      <c r="X229" s="3">
        <f>0+(321.1-4.6)+(0+(-0.491283--0.007038))+0-32.9--0.0503370000000019</f>
        <v>283.16609200000005</v>
      </c>
      <c r="Y229" s="3">
        <f>0+(315.6-0)+(0+(-0.321912-0))+0-32.4--0.0330480000000052</f>
        <v>282.91113600000006</v>
      </c>
      <c r="Z229" s="3">
        <f>0+(315.6-0)+(0+(-0.482868-0))+0-32.3--0.0494190000000019</f>
        <v>282.86655100000002</v>
      </c>
      <c r="AA229" s="3">
        <f>0+(307.1-0)+(0+(-0.156621-0))+0-31.2--0.0159119999999968</f>
        <v>275.75929100000008</v>
      </c>
      <c r="AB229" s="3">
        <f>0+(307.6-0)+(0+(-0.470628-0))+0-32.4--0.0495720000000019</f>
        <v>274.77894400000008</v>
      </c>
      <c r="AC229" s="3">
        <f>0+(292.5-0)+(0+(-0.29835-0))+0-32.2--0.0328440000000051</f>
        <v>260.034494</v>
      </c>
      <c r="AD229" s="2">
        <v>285.8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0+(287.9-0)+(0+(0-0))+0-31.5-0</f>
        <v>256.39999999999998</v>
      </c>
      <c r="G230" s="3">
        <f>0+(279.5-0)+(0+(-0.28509-0))+0-31.8--0.0324360000000051</f>
        <v>247.44734599999998</v>
      </c>
      <c r="H230" s="3">
        <f>0+(279.3-0)+(0+(-0.284886-0))+0-31--0.0316200000000049</f>
        <v>248.04673400000004</v>
      </c>
      <c r="I230" s="3">
        <f>0+(284.2-0)+(0+(-0.434826-0))+0-31.2--0.0477360000000018</f>
        <v>252.61291000000003</v>
      </c>
      <c r="J230" s="3">
        <f>0+(287-0)+(0+(0.29274-0))+0-31-0.0316200000000049</f>
        <v>256.26111999999995</v>
      </c>
      <c r="K230" s="3">
        <f>0+(289.1-0)+(0+(0.147441-0))+0-31.1-0.0158609999999968</f>
        <v>258.13158000000004</v>
      </c>
      <c r="L230" s="3">
        <f>0+(285.3-0)+(0+(-0.436509-0))+0-31--0.0474300000000018</f>
        <v>253.910921</v>
      </c>
      <c r="M230" s="3">
        <f>0+(310.4-0)+(0+(0.316608-0))+0-31.4-0.032028000000005</f>
        <v>279.28457999999995</v>
      </c>
      <c r="N230" s="3">
        <f>0+(378.1-30.1)+(0+(-0.192831--0.015351))+0-31--0.0158099999999969</f>
        <v>316.83832999999998</v>
      </c>
      <c r="O230" s="3">
        <f>0+(441.9-86.8)+(0+(1.352214-0.265608))+0-31.2-0.0954720000000036</f>
        <v>324.89113399999997</v>
      </c>
      <c r="P230" s="3">
        <f>0+(493.6-135.4)+(0+(-0.251736--0.069054))+0-31.3--0.0159629999999968</f>
        <v>326.73328100000003</v>
      </c>
      <c r="Q230" s="3">
        <f>0+(498.9-134.7)+(0+(0.508878-0.137394))+0-31.3-0.031926000000005</f>
        <v>333.23955799999999</v>
      </c>
      <c r="R230" s="3">
        <f>0+(482.1-124.8)+(0+(-0.491742--0.127296))+0-31.5--0.032130000000005</f>
        <v>325.46768400000002</v>
      </c>
      <c r="S230" s="3">
        <f>0+(467.5-127.3)+(0+(-0.47685--0.129846))+0-31.4--0.032028000000005</f>
        <v>308.48502400000001</v>
      </c>
      <c r="T230" s="3">
        <f>0+(499.4-160.2)+(0+(0.254694-0.081702))+0-31.2-0.0159119999999968</f>
        <v>308.15708000000001</v>
      </c>
      <c r="U230" s="3">
        <f>0+(487.4-149.7)+(0+(-0.994296--0.305388))+0-31.3--0.0638519999999986</f>
        <v>305.77494399999995</v>
      </c>
      <c r="V230" s="3">
        <f>0+(354.1-9.2)+(0+(0.180591-0.004692))+0-31.2-0.0159119999999968</f>
        <v>313.85998700000005</v>
      </c>
      <c r="W230" s="3">
        <f>0+(372-0)+(0+(0-0))+0-32.2-0</f>
        <v>339.8</v>
      </c>
      <c r="X230" s="3">
        <f>0+(356.4-0)+(0+(-0.90882-0))+0-29.1--0.0742049999999958</f>
        <v>326.46538499999997</v>
      </c>
      <c r="Y230" s="3">
        <f>0+(358.5-0)+(0+(-0.182835-0))+0-32.1--0.0163709999999967</f>
        <v>326.23353599999996</v>
      </c>
      <c r="Z230" s="3">
        <f>0+(368.1-10.1)+(0+(-0.750924--0.020604))+0-31.5--0.0642599999999986</f>
        <v>325.83393999999998</v>
      </c>
      <c r="AA230" s="3">
        <f>0+(401.8-53.9)+(0+(-1.229508--0.164934))+0-31.6--0.0966960000000037</f>
        <v>315.33212200000003</v>
      </c>
      <c r="AB230" s="3">
        <f>0+(394.5-58.1)+(0+(-1.005975--0.148155))+0-31.5--0.0803249999999954</f>
        <v>304.12250499999999</v>
      </c>
      <c r="AC230" s="3">
        <f>0+(390.4-65.6)+(0+(-0.796416--0.133824))+0-31--0.0632399999999986</f>
        <v>293.20064799999994</v>
      </c>
      <c r="AD230" s="2">
        <v>318.8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0+(455.7-138.4)+(0+(0-0))+0-30.8-0</f>
        <v>286.49999999999994</v>
      </c>
      <c r="G231" s="3">
        <f>0+(412.6-95.9)+(0+(-0.841704--0.195636))+0-31.1--0.0634439999999986</f>
        <v>285.01737600000001</v>
      </c>
      <c r="H231" s="3">
        <f>0+(379.7-53.8)+(0+(-0.193647--0.027438))+0-30.8--0.0157079999999969</f>
        <v>294.949499</v>
      </c>
      <c r="I231" s="3">
        <f>0+(327.2-11.8)+(0+(0-0))+0-30.9-0</f>
        <v>284.5</v>
      </c>
      <c r="J231" s="3">
        <f>0+(310.3-2.5)+(0+(0.158253-0.001275))+0-30.6-0.0156059999999969</f>
        <v>277.34137199999998</v>
      </c>
      <c r="K231" s="3">
        <f>0+(316-1.5)+(0+(-0.16116--0.000765))+0-30.9--0.0157589999999969</f>
        <v>283.45536400000003</v>
      </c>
      <c r="L231" s="3">
        <f>0+(390.4-71.7)+(0+(-0.199104--0.036567))+0-31--0.0158099999999969</f>
        <v>287.55327299999999</v>
      </c>
      <c r="M231" s="3">
        <f>0+(468.6-135.3)+(0+(0-0))+0-31.7-0</f>
        <v>301.60000000000002</v>
      </c>
      <c r="N231" s="3">
        <f>0+(484.1-121.3)+(0+(-0.246891--0.061863))+0-31.3--0.0159629999999968</f>
        <v>331.33093500000001</v>
      </c>
      <c r="O231" s="3">
        <f>0+(566-192.9)+(0+(0.28866-0.098379))+0-30.9-0.0157589999999969</f>
        <v>342.37452200000007</v>
      </c>
      <c r="P231" s="3">
        <f>0+(600.7-217.9)+(0+(0-0))+0-31.6-0</f>
        <v>351.20000000000005</v>
      </c>
      <c r="Q231" s="3">
        <f>0+(577.3-201.2)+(0+(-0.294423--0.102612))+0-32--0.0163199999999968</f>
        <v>343.924509</v>
      </c>
      <c r="R231" s="3">
        <f>0+(563.3-193.5)+(0+(-1.149132--0.39474))+0-31.6--0.0644639999999986</f>
        <v>337.51007199999992</v>
      </c>
      <c r="S231" s="3">
        <f>0+(575.6-251.7)+(0+(-0.880668--0.385101))+0-9.6--0.0146880000000006</f>
        <v>313.819121</v>
      </c>
      <c r="T231" s="3">
        <f>0+(603.5-253.9)+(0+(-0.61557--0.258978))+0-31.8--0.0324360000000051</f>
        <v>317.47584400000005</v>
      </c>
      <c r="U231" s="3">
        <f>0+(538.4-190.6)+(0+(-0.823752--0.291618))+0-31.9--0.0488070000000018</f>
        <v>315.416673</v>
      </c>
      <c r="V231" s="3">
        <f>0+(449.6-99.6)+(0+(0.458592-0.101592))+0-32.1-0.0327420000000051</f>
        <v>318.22425800000002</v>
      </c>
      <c r="W231" s="3">
        <f>0+(464.2-89.5)+(0+(-0.473484--0.09129))+0-31.5--0.032130000000005</f>
        <v>342.84993599999996</v>
      </c>
      <c r="X231" s="3">
        <f>0+(488.4-110.8)+(0+(-1.24542--0.28254))+0-32.2--0.0821099999999953</f>
        <v>344.51922999999999</v>
      </c>
      <c r="Y231" s="3">
        <f>0+(475.1-109)+(0+(-0.484602--0.11118))+0-31.5--0.032130000000005</f>
        <v>334.25870800000001</v>
      </c>
      <c r="Z231" s="3">
        <f>0+(372.1-27)+(0+(0.189771-0.01377))+0-16.2-0.00826199999999836</f>
        <v>329.06773900000002</v>
      </c>
      <c r="AA231" s="3">
        <f>0+(393.5-46.5)+(0+(-0.40137--0.04743))+0-31.7--0.0323340000000051</f>
        <v>314.97839399999998</v>
      </c>
      <c r="AB231" s="3">
        <f>0+(432.5-101.6)+(0+(-0.220575--0.051816))+0-29.7--0.015146999999997</f>
        <v>301.04638799999998</v>
      </c>
      <c r="AC231" s="3">
        <f>0+(455.3-127.1)+(0+(-0.696609--0.194463))+0-30.3--0.0463590000000018</f>
        <v>297.44421300000005</v>
      </c>
      <c r="AD231" s="2">
        <v>346.2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0+(450-124.6)+(0+(-0.918--0.254184))+0-29.5--0.0601799999999987</f>
        <v>295.29636399999998</v>
      </c>
      <c r="G232" s="3">
        <f>0+(426.1-109.8)+(0+(-0.869244--0.223992))+0-28.6--0.0583439999999988</f>
        <v>287.11309199999994</v>
      </c>
      <c r="H232" s="3">
        <f>0+(454.3-136.3)+(0+(0-0))+0-29.9-0</f>
        <v>288.10000000000002</v>
      </c>
      <c r="I232" s="3">
        <f>0+(431-123.9)+(0+(-0.21981--0.063189))+0-30.3--0.0154529999999969</f>
        <v>276.65883200000002</v>
      </c>
      <c r="J232" s="3">
        <f>0+(380-75.1)+(0+(0-0))+0-31-0</f>
        <v>273.89999999999998</v>
      </c>
      <c r="K232" s="3">
        <f>0+(373-60.3)+(0+(0.19023-0.030753))+0-31.8-0.0162179999999968</f>
        <v>281.04325899999998</v>
      </c>
      <c r="L232" s="3">
        <f>0+(435-118.9)+(0+(-0.8874--0.242556))+0-31.6--0.0644639999999986</f>
        <v>283.91962000000001</v>
      </c>
      <c r="M232" s="3">
        <f>0+(551.5-213.8)+(0+(-0.843795--0.327114))+0-31.5--0.0481950000000018</f>
        <v>305.731514</v>
      </c>
      <c r="N232" s="3">
        <f>0+(608.1-259.1)+(0+(-0.930393--0.396423))+0-31.5--0.0481950000000018</f>
        <v>317.01422500000001</v>
      </c>
      <c r="O232" s="3">
        <f>0+(616.2-260.2)+(0+(-0.314262--0.132702))+0-31.8--0.0162179999999968</f>
        <v>324.03465800000004</v>
      </c>
      <c r="P232" s="3">
        <f>0+(610.7-248.4)+(0+(0-0))+0-31.7-0</f>
        <v>330.60000000000008</v>
      </c>
      <c r="Q232" s="3">
        <f>0+(663.8-272.6)+(0+(-0.677076--0.278052))+0-31.3--0.031926000000005</f>
        <v>359.53290199999992</v>
      </c>
      <c r="R232" s="3">
        <f>0+(674.8-287.5)+(0+(-0.344148--0.146625))+0-31.9--0.0162689999999968</f>
        <v>355.21874600000001</v>
      </c>
      <c r="S232" s="3">
        <f>0+(678.1-319)+(0+(1.383324-0.65076))+0-31.6-0.0644639999999986</f>
        <v>328.16810000000004</v>
      </c>
      <c r="T232" s="3">
        <f>0+(600.8-277.2)+(0+(0.612816-0.282744))+0-31.6-0.032232000000005</f>
        <v>292.29783999999989</v>
      </c>
      <c r="U232" s="3">
        <f>0+(576.6-253.6)+(0+(-1.47033--0.64668))+0-31.9--0.0813449999999954</f>
        <v>290.35769500000004</v>
      </c>
      <c r="V232" s="3">
        <f>0+(497.3-170.6)+(0+(0.760869-0.261018))+0-29.5-0.0451350000000017</f>
        <v>297.65471600000001</v>
      </c>
      <c r="W232" s="3">
        <f>0+(510.2-152.6)+(0+(-0.520404--0.155652))+0-33--0.0336600000000053</f>
        <v>324.26890800000001</v>
      </c>
      <c r="X232" s="3">
        <f>0+(537.6-179)+(0+(-1.096704--0.36516))+0-32.3--0.0658919999999986</f>
        <v>325.63434800000005</v>
      </c>
      <c r="Y232" s="3">
        <f>0+(498.1-147.3)+(0+(-1.524186--0.450738))+0-32.8--0.100368000000004</f>
        <v>317.02692000000002</v>
      </c>
      <c r="Z232" s="3">
        <f>0+(478.1-138.7)+(0+(-1.462986--0.424422))+0-32.2--0.0985320000000037</f>
        <v>306.25996800000001</v>
      </c>
      <c r="AA232" s="3">
        <f>0+(438.4-100.6)+(0+(-0.670752--0.153918))+0-32--0.0489600000000018</f>
        <v>305.33212599999996</v>
      </c>
      <c r="AB232" s="3">
        <f>0+(443.4-103.9)+(0+(0-0))+0-31.7-0</f>
        <v>307.8</v>
      </c>
      <c r="AC232" s="3">
        <f>0+(448-116.4)+(0+(-0.91392--0.237456))+0-30.4--0.0620159999999987</f>
        <v>300.58555200000001</v>
      </c>
      <c r="AD232" s="2">
        <v>335.2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0+(432.7-107.6)+(0+(-1.544739--0.384132))+0-30.8--0.109956</f>
        <v>293.249349</v>
      </c>
      <c r="G233" s="3">
        <f>0+(387.4-77.9)+(0+(-1.185444--0.238374))+0-30.2--0.0924120000000035</f>
        <v>278.44534200000004</v>
      </c>
      <c r="H233" s="3">
        <f>0+(348.9-38.2)+(0+(-0.355878--0.038964))+0-28--0.0285600000000045</f>
        <v>282.41164600000002</v>
      </c>
      <c r="I233" s="3">
        <f>0+(357.5-60.8)+(0+(0-0))+0-31-0</f>
        <v>265.7</v>
      </c>
      <c r="J233" s="3">
        <f>0+(361.5-53.4)+(0+(0.36873-0.054468))+0-30.8-0.0314160000000049</f>
        <v>277.58284600000002</v>
      </c>
      <c r="K233" s="3">
        <f>0+(372.7-59.1)+(0+(-0.190077--0.030141))+0-30.8--0.0157079999999969</f>
        <v>282.65577199999996</v>
      </c>
      <c r="L233" s="3">
        <f>0+(426.5-91.9)+(0+(-0.43503--0.093738))+0-30.9--0.0315180000000049</f>
        <v>303.39022600000004</v>
      </c>
      <c r="M233" s="3">
        <f>0+(486.6-126.2)+(0+(-0.496332--0.128724))+0-31.4--0.032028000000005</f>
        <v>328.66442000000006</v>
      </c>
      <c r="N233" s="3">
        <f>0+(555.4-174.1)+(0+(-0.566508--0.177582))+0-32--0.0326400000000051</f>
        <v>348.94371399999994</v>
      </c>
      <c r="O233" s="3">
        <f>0+(533.9-170.9)+(0+(0.816867-0.261477))+0-32.1-0.0491130000000019</f>
        <v>331.40627699999999</v>
      </c>
      <c r="P233" s="3">
        <f>0+(521.8-157.3)+(0+(-1.064472--0.320892))+0-31.9--0.0650759999999986</f>
        <v>331.92149599999993</v>
      </c>
      <c r="Q233" s="3">
        <f>0+(556-202.7)+(0+(-1.13424--0.413508))+0-27--0.0550799999999988</f>
        <v>325.63434799999999</v>
      </c>
      <c r="R233" s="3">
        <f>0+(533.9-192.3)+(0+(-0.544578--0.196146))+0-31.8--0.0324360000000051</f>
        <v>309.48400399999997</v>
      </c>
      <c r="S233" s="3">
        <f>0+(510.9-169.4)+(0+(-1.042236--0.345576))+0-30.9--0.0630359999999986</f>
        <v>309.96637600000003</v>
      </c>
      <c r="T233" s="3">
        <f>0+(530-184.2)+(0+(-0.5406--0.187884))+0-30.7--0.0313140000000049</f>
        <v>314.77859800000004</v>
      </c>
      <c r="U233" s="3">
        <f>0+(498.3-157.5)+(0+(-0.508266--0.16065))+0-30.7--0.0313140000000049</f>
        <v>309.78369800000002</v>
      </c>
      <c r="V233" s="3">
        <f>0+(450.3-106.1)+(0+(0.229653-0.054111))+0-30.9-0.0157589999999969</f>
        <v>313.45978300000007</v>
      </c>
      <c r="W233" s="3">
        <f>0+(417.1-51.9)+(0+(0.425442-0.052938))+0-31.5-0.032130000000005</f>
        <v>334.04037400000004</v>
      </c>
      <c r="X233" s="3">
        <f>0+(353-7.7)+(0+(-0.54009--0.011781))+0-31.5--0.0481950000000018</f>
        <v>313.31988600000005</v>
      </c>
      <c r="Y233" s="3">
        <f>0+(345.7-0)+(0+(-0.881535-0))+0-31.5--0.0803249999999954</f>
        <v>313.39879000000002</v>
      </c>
      <c r="Z233" s="3">
        <f>0+(332-0)+(0+(0.16932-0))+0-31.4-0.0160139999999968</f>
        <v>300.75330600000007</v>
      </c>
      <c r="AA233" s="3">
        <f>0+(301.8-0)+(0+(-0.153918-0))+0-24.3--0.0123929999999975</f>
        <v>277.358475</v>
      </c>
      <c r="AB233" s="3">
        <f>0+(320.4-0)+(0+(-0.653616-0))+0-31.3--0.0638519999999986</f>
        <v>288.51023599999996</v>
      </c>
      <c r="AC233" s="3">
        <f>0+(308.2-0)+(0+(-0.471546-0))+0-30.5--0.0466650000000018</f>
        <v>277.27511900000002</v>
      </c>
      <c r="AD233" s="2">
        <v>343.7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0+(283.1-0)+(0+(-0.144381-0))+0-30.3--0.0154529999999969</f>
        <v>252.67107200000001</v>
      </c>
      <c r="G234" s="3">
        <f>0+(285.9-0)+(0+(-0.145809-0))+0-30.1--0.0153509999999969</f>
        <v>255.66954200000001</v>
      </c>
      <c r="H234" s="3">
        <f>0+(286.4-0)+(0+(-0.292128-0))+0-29.9--0.0304980000000048</f>
        <v>256.23837000000003</v>
      </c>
      <c r="I234" s="3">
        <f>0+(286.6-0)+(0+(-0.146166-0))+0-26.3--0.0134129999999973</f>
        <v>260.16724700000003</v>
      </c>
      <c r="J234" s="3">
        <f>0+(293.9-0)+(0+(-0.749445-0))+0-28.3--0.0721649999999959</f>
        <v>264.92271999999997</v>
      </c>
      <c r="K234" s="3">
        <f>0+(293.2-0)+(0+(0.299064-0))+0-29.4-0.0299880000000047</f>
        <v>264.069076</v>
      </c>
      <c r="L234" s="3">
        <f>0+(292-0)+(0+(-0.89352-0))+0-28--0.0856800000000032</f>
        <v>263.19216</v>
      </c>
      <c r="M234" s="3">
        <f>0+(301.3-0)+(0+(0-0))+0-31.3-0</f>
        <v>270</v>
      </c>
      <c r="N234" s="3">
        <f>0+(353.3-13.5)+(0+(-0.360366--0.01377))+0-31--0.0316200000000049</f>
        <v>308.48502400000007</v>
      </c>
      <c r="O234" s="3">
        <f>0+(353-15)+(0+(0.18003-0.00765))+0-31.6-0.0161159999999968</f>
        <v>306.55626399999994</v>
      </c>
      <c r="P234" s="3">
        <f>0+(354-10.8)+(0+(-0.36108--0.011016))+0-31.8--0.0324360000000051</f>
        <v>311.08237200000002</v>
      </c>
      <c r="Q234" s="3">
        <f>0+(355.5-1.3)+(0+(-0.36261--0.001326))+0-29.5--0.0300900000000047</f>
        <v>324.36880600000001</v>
      </c>
      <c r="R234" s="3">
        <f>0+(344.1-2.4)+(0+(-0.877455--0.00612))+0-30.8--0.0785399999999955</f>
        <v>310.10720500000002</v>
      </c>
      <c r="S234" s="3">
        <f>0+(335.9-0)+(0+(-0.342618-0))+0-30.6--0.0312120000000049</f>
        <v>304.98859399999992</v>
      </c>
      <c r="T234" s="3">
        <f>0+(307.2-0)+(0+(0-0))+0-30.3-0</f>
        <v>276.89999999999998</v>
      </c>
      <c r="U234" s="3">
        <f>0+(275.3-0)+(0+(-0.280806-0))+0-29--0.0295800000000046</f>
        <v>246.04877400000004</v>
      </c>
      <c r="V234" s="3">
        <f>0+(289-0)+(0+(0-0))+0-31.5-0</f>
        <v>257.5</v>
      </c>
      <c r="W234" s="3">
        <f>0+(337.2-0)+(0+(0.171972-0))+0-32.8-0.0167279999999967</f>
        <v>304.55524399999996</v>
      </c>
      <c r="X234" s="3">
        <f>0+(340.5-0)+(0+(-1.04193-0))+0-32.5--0.0994500000000038</f>
        <v>307.05752000000001</v>
      </c>
      <c r="Y234" s="3">
        <f>0+(334.7-0)+(0+(-1.024182-0))+0-32.6--0.0997560000000038</f>
        <v>301.17557399999998</v>
      </c>
      <c r="Z234" s="3">
        <f>0+(306.2-0)+(0+(-0.468486-0))+0-32.8--0.0501840000000019</f>
        <v>272.98169799999999</v>
      </c>
      <c r="AA234" s="3">
        <f>0+(334.8-0)+(0+(-0.512244-0))+0-32.1--0.0491130000000019</f>
        <v>302.23686899999996</v>
      </c>
      <c r="AB234" s="3">
        <f>0+(326.9-0)+(0+(-0.666876-0))+0-31.8--0.0648719999999986</f>
        <v>294.49799599999994</v>
      </c>
      <c r="AC234" s="3">
        <f>0+(285.8-0)+(0+(-0.145758-0))+0-31.3--0.0159629999999968</f>
        <v>254.370205</v>
      </c>
      <c r="AD234" s="2">
        <v>320.89999999999998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0+(332.3-0)+(0+(-0.847365-0))+0-25.8--0.0657899999999963</f>
        <v>305.71842499999997</v>
      </c>
      <c r="G235" s="3">
        <f>0+(308.8-0)+(0+(-0.314976-0))+0-28.4--0.0289680000000045</f>
        <v>280.11399200000005</v>
      </c>
      <c r="H235" s="3">
        <f>0+(301.5-0)+(0+(-0.461295-0))+0-31--0.0474300000000018</f>
        <v>270.08613500000001</v>
      </c>
      <c r="I235" s="3">
        <f>0+(304.4-0)+(0+(-0.155244-0))+0-30.7--0.0156569999999969</f>
        <v>273.56041299999998</v>
      </c>
      <c r="J235" s="3">
        <f>0+(300.4-0)+(0+(-0.153204-0))+0-29.5--0.015044999999997</f>
        <v>270.76184099999995</v>
      </c>
      <c r="K235" s="3">
        <f>0+(306-0)+(0+(0.15606-0))+0-30.9-0.0157589999999969</f>
        <v>275.24030100000004</v>
      </c>
      <c r="L235" s="3">
        <f>0+(288.2-0)+(0+(-0.293964-0))+0-31.2--0.031824000000005</f>
        <v>256.73786000000001</v>
      </c>
      <c r="M235" s="3">
        <f>0+(273.6-0)+(0+(0-0))+0-25.7-0</f>
        <v>247.90000000000003</v>
      </c>
      <c r="N235" s="3">
        <f>0+(296.1-0)+(0+(-0.151011-0))+0-31--0.0158099999999969</f>
        <v>264.96479900000003</v>
      </c>
      <c r="O235" s="3">
        <f>0+(291.3-0)+(0+(0.445689-0))+0-31.1-0.0475830000000018</f>
        <v>260.59810600000003</v>
      </c>
      <c r="P235" s="3">
        <f>0+(307.6-0)+(0+(0.470628-0))+0-31.7-0.0485010000000018</f>
        <v>276.32212700000002</v>
      </c>
      <c r="Q235" s="3">
        <f>23.3+(288.6-0)+(-0.035649+(-0.441558-0))+0-31.4--0.0480420000000018</f>
        <v>280.07083500000005</v>
      </c>
      <c r="R235" s="3">
        <f>129.5+(190.3-0)+(-0.330225+(-0.485265-0))+0-31.1--0.0793049999999955</f>
        <v>287.96381499999995</v>
      </c>
      <c r="S235" s="3">
        <f>130.2+(158.3-2.7)+(-0.33201+(-0.403665--0.006885))+0-31--0.0790499999999955</f>
        <v>254.15026</v>
      </c>
      <c r="T235" s="3">
        <f>131.2+(161.7-8.5)+(-0.33456+(-0.412335--0.021675))+0-30.4--0.0775199999999956</f>
        <v>253.35229999999999</v>
      </c>
      <c r="U235" s="3">
        <f>130.1+(152.9-7.1)+(-0.265404+(-0.311916--0.014484))+0-30.7--0.0626279999999987</f>
        <v>244.69979199999997</v>
      </c>
      <c r="V235" s="3">
        <f>117.2+(178.8-5.6)+(-0.179316+(-0.273564--0.008568))+0-30.5--0.0466650000000018</f>
        <v>259.50235300000003</v>
      </c>
      <c r="W235" s="3">
        <f>100+(233.3-6.5)+(-0.102+(-0.237966--0.00663))+0-31.3--0.031926000000005</f>
        <v>295.19859000000002</v>
      </c>
      <c r="X235" s="3">
        <f>112.9+(257.6-31.3)+(-0.230316+(-0.525504--0.063852))+0-30.8--0.0628319999999987</f>
        <v>307.77086400000007</v>
      </c>
      <c r="Y235" s="3">
        <f>134.8+(278.6-82.4)+(0+(0-0))+0-30.5-0</f>
        <v>300.5</v>
      </c>
      <c r="Z235" s="3">
        <f>135.8+(292.3-103.5)+(-0.138516+(-0.298146--0.10557))+0-30.8--0.0314160000000049</f>
        <v>293.50032399999998</v>
      </c>
      <c r="AA235" s="3">
        <f>90.3+(325.1-93.2)+(-0.092106+(-0.331602--0.095064))+0-31.5--0.032130000000005</f>
        <v>290.40348600000004</v>
      </c>
      <c r="AB235" s="3">
        <f>0+(361.8-42.5)+(0+(-0.738072--0.0867))+0-31--0.0632399999999986</f>
        <v>287.71186800000004</v>
      </c>
      <c r="AC235" s="3">
        <f>0+(328.9-18.2)+(0+(-0.838695--0.04641))+0-31.1--0.0793049999999955</f>
        <v>278.88701999999995</v>
      </c>
      <c r="AD235" s="2">
        <v>315.20000000000005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0+(353.8-57.1)+(0+(-0.360876--0.058242))+0-31.2--0.031824000000005</f>
        <v>265.22919000000002</v>
      </c>
      <c r="G236" s="3">
        <f>0+(376.6-89.2)+(0+(-0.768264--0.181968))+0-31.2--0.0636479999999986</f>
        <v>255.67735200000004</v>
      </c>
      <c r="H236" s="3">
        <f>0+(342.7-56.3)+(0+(-0.174777--0.028713))+0-31.5--0.0160649999999968</f>
        <v>254.77000099999995</v>
      </c>
      <c r="I236" s="3">
        <f>0+(324.6-37.1)+(0+(-0.662184--0.075684))+0-31.4--0.0640559999999986</f>
        <v>255.57755599999999</v>
      </c>
      <c r="J236" s="3">
        <f>0+(294.7-7.7)+(0+(-0.751485--0.019635))+0-31.2--0.0795599999999955</f>
        <v>255.14770999999999</v>
      </c>
      <c r="K236" s="3">
        <f>0+(283-0)+(0+(0.57732-0))+0-31.4-0.0640559999999986</f>
        <v>252.11326399999999</v>
      </c>
      <c r="L236" s="3">
        <f>0+(326.7-33.4)+(0+(-0.499851--0.051102))+0-30.9--0.0472770000000018</f>
        <v>261.99852800000002</v>
      </c>
      <c r="M236" s="3">
        <f>0+(509.3-198.8)+(0+(-0.519486--0.202776))+0-31.3--0.031926000000005</f>
        <v>278.91521599999999</v>
      </c>
      <c r="N236" s="3">
        <f>0+(574.1-232.3)+(0+(-0.878373--0.355419))+0-31.2--0.0477360000000018</f>
        <v>310.12478199999998</v>
      </c>
      <c r="O236" s="3">
        <f>0+(517.9-172.8)+(0+(0-0))+0-31.6-0</f>
        <v>313.49999999999994</v>
      </c>
      <c r="P236" s="3">
        <f>0+(486.1-139.9)+(0+(0-0))+0-31.5-0</f>
        <v>314.70000000000005</v>
      </c>
      <c r="Q236" s="3">
        <f>0+(457.6-108)+(0+(-0.933504--0.22032))+0-31.8--0.0648719999999986</f>
        <v>317.15168799999998</v>
      </c>
      <c r="R236" s="3">
        <f>0+(461.3-116.3)+(0+(-1.411578--0.355878))+0-31.3--0.0957780000000036</f>
        <v>312.74007799999998</v>
      </c>
      <c r="S236" s="3">
        <f>0+(437.4-107.1)+(0+(-0.892296--0.218484))+0-30.9--0.0630359999999986</f>
        <v>298.78922399999999</v>
      </c>
      <c r="T236" s="3">
        <f>0+(432.4-101.3)+(0+(-0.661572--0.154989))+0-30.6--0.0468180000000018</f>
        <v>300.04023499999994</v>
      </c>
      <c r="U236" s="3">
        <f>0+(405.3-78.5)+(0+(-0.826812--0.16014))+0-30.8--0.0628319999999987</f>
        <v>295.39616000000001</v>
      </c>
      <c r="V236" s="3">
        <f>0+(338.4-0)+(0+(-0.345168-0))+0-31.5--0.032130000000005</f>
        <v>306.58696199999997</v>
      </c>
      <c r="W236" s="3">
        <f>0+(359.2-0)+(0+(-0.549576-0))+0-27.3--0.0417690000000016</f>
        <v>331.39219299999996</v>
      </c>
      <c r="X236" s="3">
        <f>0+(359.4-0)+(0+(-0.91647-0))+0-32--0.0815999999999954</f>
        <v>326.56512999999995</v>
      </c>
      <c r="Y236" s="3">
        <f>0+(352.2-0)+(0+(-0.538866-0))+0-32.3--0.0494190000000019</f>
        <v>319.41055299999999</v>
      </c>
      <c r="Z236" s="3">
        <f>0+(347.2-0)+(0+(-0.354144-0))+0-32.2--0.0328440000000051</f>
        <v>314.67869999999999</v>
      </c>
      <c r="AA236" s="3">
        <f>0+(340.3-0)+(0+(-0.867765-0))+0-32--0.0815999999999954</f>
        <v>307.51383499999997</v>
      </c>
      <c r="AB236" s="3">
        <f>0+(335.4-0)+(0+(0-0))+0-31.9-0</f>
        <v>303.5</v>
      </c>
      <c r="AC236" s="3">
        <f>0+(322.4-0)+(0+(-0.82212-0))+0-31.1--0.0793049999999955</f>
        <v>290.55718499999995</v>
      </c>
      <c r="AD236" s="2">
        <v>325.3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0+(309.6-0)+(0+(-0.473688-0))+0-30.9--0.0472770000000018</f>
        <v>278.27358900000007</v>
      </c>
      <c r="G237" s="3">
        <f>0+(325.7-18.8)+(0+(-0.332214--0.019176))+0-28.8--0.0293760000000046</f>
        <v>277.81633799999997</v>
      </c>
      <c r="H237" s="3">
        <f>0+(320.2-14.6)+(0+(-0.163302--0.007446))+0-30.9--0.0157589999999969</f>
        <v>274.55990299999996</v>
      </c>
      <c r="I237" s="3">
        <f>0+(330.4-28.6)+(0+(0.168504-0.014586))+0-30.8-0.0157079999999969</f>
        <v>271.1382099999999</v>
      </c>
      <c r="J237" s="3">
        <f>0+(323.4-17.9)+(0+(-0.164934--0.009129))+0-31.1--0.0158609999999968</f>
        <v>274.26005599999996</v>
      </c>
      <c r="K237" s="3">
        <f>0+(305.9-4.1)+(0+(0.468027-0.006273))+0-30.9-0.0472770000000018</f>
        <v>271.31447699999995</v>
      </c>
      <c r="L237" s="3">
        <f>0+(311.6-5.2)+(0+(-0.635664--0.010608))+0-31.4--0.0640559999999986</f>
        <v>274.43900000000008</v>
      </c>
      <c r="M237" s="3">
        <f>0+(399.3-71.3)+(0+(0-0))+0-31.4-0</f>
        <v>296.60000000000002</v>
      </c>
      <c r="N237" s="3">
        <f>0+(440.6-87.1)+(0+(0.224706-0.044421))+0-31.3-0.0159629999999968</f>
        <v>322.36432200000002</v>
      </c>
      <c r="O237" s="3">
        <f>0+(452.8-100.5)+(0+(0.923712-0.20502))+0-31.1-0.0634439999999986</f>
        <v>321.85524799999996</v>
      </c>
      <c r="P237" s="3">
        <f>0+(454.3-96.8)+(0+(-0.231693--0.049368))+0-31.4--0.0160139999999968</f>
        <v>325.93368900000002</v>
      </c>
      <c r="Q237" s="3">
        <f>0+(472.3-109.7)+(0+(-0.481746--0.111894))+0-31.1--0.031722000000005</f>
        <v>331.16187000000002</v>
      </c>
      <c r="R237" s="3">
        <f>0+(433.6-80.5)+(0+(-0.221136--0.041055))+0-30.9--0.0157589999999969</f>
        <v>322.03567800000008</v>
      </c>
      <c r="S237" s="3">
        <f>0+(407.7-60.7)+(0+(-0.415854--0.061914))+0-30.9--0.0315180000000049</f>
        <v>315.77757800000001</v>
      </c>
      <c r="T237" s="3">
        <f>19.6+(398-70.3)+(0.019992+(0.40596-0.071706))+0-30.8-0.0314160000000049</f>
        <v>316.82283000000001</v>
      </c>
      <c r="U237" s="3">
        <f>46.8+(349-52.3)+(-0.071604+(-0.53397--0.080019))+0-30.2--0.0462060000000017</f>
        <v>312.820651</v>
      </c>
      <c r="V237" s="3">
        <f>124.6+(228.6-3)+(-0.063546+(-0.116586--0.00153))+0-31.2--0.0159119999999968</f>
        <v>318.83731</v>
      </c>
      <c r="W237" s="3">
        <f>200.8+(242.2-64.3)+(-0.102408+(-0.123522--0.032793))+0-31.2--0.0159119999999968</f>
        <v>347.32277500000004</v>
      </c>
      <c r="X237" s="3">
        <f>35.3+(348.3-8)+(-0.054009+(-0.532899--0.01224))+0-31.5--0.0481950000000018</f>
        <v>343.57352700000007</v>
      </c>
      <c r="Y237" s="3">
        <f>0+(367.8-2.2)+(0+(-0.93789--0.00561))+0-31.6--0.0805799999999954</f>
        <v>333.14830000000001</v>
      </c>
      <c r="Z237" s="3">
        <f>0+(363.6-4.1)+(0+(-0.741744--0.008364))+0-31.7--0.0646679999999986</f>
        <v>327.13128799999998</v>
      </c>
      <c r="AA237" s="3">
        <f>0+(353.2-6)+(0+(-0.360264--0.00612))+0-31.2--0.031824000000005</f>
        <v>315.67768000000001</v>
      </c>
      <c r="AB237" s="3">
        <f>0+(344.5-5.3)+(0+(-0.878475--0.013515))+0-31.8--0.0810899999999954</f>
        <v>306.61613</v>
      </c>
      <c r="AC237" s="3">
        <f>0+(324.6-0)+(0+(-0.82773-0))+0-31.9--0.0813449999999954</f>
        <v>291.95361500000007</v>
      </c>
      <c r="AD237" s="2">
        <v>354.90000000000003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0+(343.8-15.2)+(0+(-0.701352--0.031008))+0-31.4--0.0640559999999986</f>
        <v>296.59371200000004</v>
      </c>
      <c r="G238" s="3">
        <f>0+(351.7-35.4)+(0+(-0.179367--0.018054))+0-30.8--0.0157079999999969</f>
        <v>285.35439500000001</v>
      </c>
      <c r="H238" s="3">
        <f>0+(354.1-41.9)+(0+(-0.361182--0.042738))+0-30.5--0.0311100000000049</f>
        <v>281.41266600000006</v>
      </c>
      <c r="I238" s="3">
        <f>0+(332-22.4)+(0+(-0.33864--0.022848))+0-31.1--0.031722000000005</f>
        <v>278.21593000000001</v>
      </c>
      <c r="J238" s="3">
        <f>0+(309.7-7)+(0+(-0.473841--0.01071))+0-31--0.0474300000000018</f>
        <v>271.28429900000003</v>
      </c>
      <c r="K238" s="3">
        <f>0+(312-8)+(0+(0-0))+0-30.9-0</f>
        <v>273.10000000000002</v>
      </c>
      <c r="L238" s="3">
        <f>0+(316.8-3.8)+(0+(-0.161568--0.001938))+0-31.2--0.0159119999999968</f>
        <v>281.65628200000003</v>
      </c>
      <c r="M238" s="3">
        <f>0+(344.6-11.7)+(0+(-0.175746--0.005967))+0-31.8--0.0162179999999968</f>
        <v>300.946439</v>
      </c>
      <c r="N238" s="3">
        <f>0+(362.7-8.2)+(0+(-0.369954--0.008364))+0-32--0.0326400000000051</f>
        <v>322.17105000000004</v>
      </c>
      <c r="O238" s="3">
        <f>0+(411.6-49.5)+(0+(-0.209916--0.025245))+0-32.1--0.0163709999999967</f>
        <v>329.83170000000001</v>
      </c>
      <c r="P238" s="3">
        <f>0+(485.4-116.3)+(0+(0.495108-0.118626))+0-32.2-0.0328440000000051</f>
        <v>337.24363799999998</v>
      </c>
      <c r="Q238" s="3">
        <f>0+(504.9-131.4)+(0+(-0.257499--0.067014))+0-31.9--0.0162689999999968</f>
        <v>341.42578400000002</v>
      </c>
      <c r="R238" s="3">
        <f>0+(530.5-161.2)+(0+(-1.08222--0.328848))+0-31.5--0.0642599999999986</f>
        <v>337.11088799999999</v>
      </c>
      <c r="S238" s="3">
        <f>0+(464.7-155.7)+(0+(-0.710991--0.238221))+0-31--0.0474300000000018</f>
        <v>277.57465999999999</v>
      </c>
      <c r="T238" s="3">
        <f>0+(517.6-164.1)+(0+(0.263976-0.083691))+0-31-0.0158099999999969</f>
        <v>322.66447500000004</v>
      </c>
      <c r="U238" s="3">
        <f>0+(539.4-187.9)+(0+(-0.275094--0.095829))+0-30.8--0.0157079999999969</f>
        <v>320.53644300000002</v>
      </c>
      <c r="V238" s="3">
        <f>0+(475.4-112)+(0+(0.727362-0.17136))+0-31-0.0474300000000018</f>
        <v>332.90857199999994</v>
      </c>
      <c r="W238" s="3">
        <f>0+(478.7-91.9)+(0+(-0.488274--0.093738))+0-26.7--0.0272340000000043</f>
        <v>359.73269799999997</v>
      </c>
      <c r="X238" s="3">
        <f>0+(523.1-129.9)+(0+(-1.067124--0.264996))+0-31.7--0.0646679999999986</f>
        <v>360.76254000000006</v>
      </c>
      <c r="Y238" s="3">
        <f>0+(455.3-62.5)+(0+(-1.161015--0.159375))+0-31.4--0.0800699999999954</f>
        <v>360.47843</v>
      </c>
      <c r="Z238" s="3">
        <f>0+(425.2-35.7)+(0+(-0.650556--0.054621))+0-30.9--0.0472770000000018</f>
        <v>358.05134200000003</v>
      </c>
      <c r="AA238" s="3">
        <f>0+(375.1-5.1)+(0+(-0.573903--0.007803))+0-31.7--0.0485010000000018</f>
        <v>337.78240099999999</v>
      </c>
      <c r="AB238" s="3">
        <f>0+(367.4-11.3)+(0+(-0.187374--0.005763))+0-31--0.0158099999999969</f>
        <v>324.93419899999998</v>
      </c>
      <c r="AC238" s="3">
        <f>0+(363.7-13.5)+(0+(-0.556461--0.020655))+0-31.5--0.0481950000000018</f>
        <v>318.21238900000003</v>
      </c>
      <c r="AD238" s="2">
        <v>373.99999999999994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0+(417.3-82.4)+(0+(-0.212823--0.042024))+0-31.5--0.0160649999999968</f>
        <v>303.24526599999996</v>
      </c>
      <c r="G239" s="3">
        <f>0+(437-108.8)+(0+(-0.44574--0.110976))+0-31.6--0.032232000000005</f>
        <v>296.29746799999998</v>
      </c>
      <c r="H239" s="3">
        <f>0+(406.7-81.7)+(0+(0-0))+0-31.8-0</f>
        <v>293.2</v>
      </c>
      <c r="I239" s="3">
        <f>0+(369.7-41.4)+(0+(-0.377094--0.042228))+0-31.7--0.0323340000000051</f>
        <v>296.29746800000004</v>
      </c>
      <c r="J239" s="3">
        <f>0+(364-34.4)+(0+(0-0))+0-31.3-0</f>
        <v>298.3</v>
      </c>
      <c r="K239" s="3">
        <f>0+(356.8-26.4)+(0+(-0.363936--0.026928))+0-31--0.0316200000000049</f>
        <v>299.09461200000004</v>
      </c>
      <c r="L239" s="3">
        <f>0+(428-92.2)+(0+(-0.65484--0.141066))+0-30.9--0.0472770000000018</f>
        <v>304.43350300000003</v>
      </c>
      <c r="M239" s="3">
        <f>0+(434.9-81.4)+(0+(-0.443598--0.083028))+0-31--0.0316200000000049</f>
        <v>322.17105000000004</v>
      </c>
      <c r="N239" s="3">
        <f>0+(496.2-122.1)+(0+(-1.012248--0.249084))+0-31.4--0.0640559999999986</f>
        <v>342.00089200000002</v>
      </c>
      <c r="O239" s="3">
        <f>0+(525.1-148.8)+(0+(0-0))+0-31.3-0</f>
        <v>345</v>
      </c>
      <c r="P239" s="3">
        <f>0+(566.7-185)+(0+(-0.578034--0.1887))+0-30.8--0.0314160000000049</f>
        <v>350.54208199999999</v>
      </c>
      <c r="Q239" s="3">
        <f>0+(643-261.2)+(0+(-0.32793--0.133212))+0-27.8--0.0141779999999972</f>
        <v>353.81945999999999</v>
      </c>
      <c r="R239" s="3">
        <f>0+(587.7-207.9)+(0+(-1.498635--0.530145))+0-31.3--0.0798149999999955</f>
        <v>347.61132500000008</v>
      </c>
      <c r="S239" s="3">
        <f>0+(510.9-149.8)+(0+(-0.260559--0.076398))+0-31.4--0.0160139999999968</f>
        <v>329.53185299999996</v>
      </c>
      <c r="T239" s="3">
        <f>22.6+(496.4-161.7)+(-0.023052+(-0.506328--0.164934))+0-31.2--0.031824000000005</f>
        <v>325.76737800000006</v>
      </c>
      <c r="U239" s="3">
        <f>134.3+(457.2-233.9)+(-0.136986+(-0.466344--0.238578))+0-31.5--0.032130000000005</f>
        <v>325.76737800000001</v>
      </c>
      <c r="V239" s="3">
        <f>136.2+(442.4-210.5)+(-0.208386+(-0.676872--0.322065))+0-31.4--0.0480420000000018</f>
        <v>336.18484899999999</v>
      </c>
      <c r="W239" s="3">
        <f>96.2+(636.2-334.7)+(-0.098124+(-0.648924--0.341394))+0-31.3--0.031926000000005</f>
        <v>366.02627200000001</v>
      </c>
      <c r="X239" s="3">
        <f>89.7+(667.2-369.7)+(-0.182988+(-1.361088--0.754188))+0-31.5--0.0642599999999986</f>
        <v>354.97437200000002</v>
      </c>
      <c r="Y239" s="3">
        <f>14.7+(619.2-256.5)+(-0.029988+(-1.263168--0.52326))+0-29.9--0.0609959999999987</f>
        <v>346.79110000000003</v>
      </c>
      <c r="Z239" s="3">
        <f>0+(645.1-272.2)+(0+(-1.645005--0.69411))+0-31.7--0.0808349999999954</f>
        <v>340.32994000000002</v>
      </c>
      <c r="AA239" s="3">
        <f>0+(512.5-159)+(0+(-0.784125--0.24327))+0-31.7--0.0485010000000018</f>
        <v>321.30764599999998</v>
      </c>
      <c r="AB239" s="3">
        <f>0+(428.4-91.9)+(0+(-1.09242--0.234345))+0-31.5--0.0803249999999954</f>
        <v>304.22225000000003</v>
      </c>
      <c r="AC239" s="3">
        <f>0+(456.8-130.9)+(0+(-0.931872--0.267036))+0-31.4--0.0640559999999986</f>
        <v>293.89922000000001</v>
      </c>
      <c r="AD239" s="2">
        <v>365.7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0+(459.3-139.8)+(0+(-0.702729--0.213894))+0-31.2--0.0477360000000018</f>
        <v>287.858901</v>
      </c>
      <c r="G240" s="3">
        <f>0+(413.7-94.8)+(0+(-0.632961--0.145044))+0-31.4--0.0480420000000018</f>
        <v>287.06012500000003</v>
      </c>
      <c r="H240" s="3">
        <f>0+(415.2-103.7)+(0+(-0.211752--0.052887))+0-31.1--0.0158609999999968</f>
        <v>280.25699599999996</v>
      </c>
      <c r="I240" s="3">
        <f>0+(419-110.2)+(0+(-0.21369--0.056202))+0-31.1--0.0158609999999968</f>
        <v>277.55837299999996</v>
      </c>
      <c r="J240" s="3">
        <f>0+(415.3-109.8)+(0+(-0.423606--0.111996))+0-31--0.0316200000000049</f>
        <v>274.22001000000006</v>
      </c>
      <c r="K240" s="3">
        <f>0+(426.4-125)+(0+(0.652392-0.19125))+0-30.9-0.0472770000000018</f>
        <v>270.91386499999999</v>
      </c>
      <c r="L240" s="3">
        <f>0+(466.6-157.4)+(0+(-0.237966--0.080274))+0-30.8--0.0157079999999969</f>
        <v>278.25801600000005</v>
      </c>
      <c r="M240" s="3">
        <f>0+(634.9-306.9)+(0+(0.647598-0.313038))+0-31.3-0.031926000000005</f>
        <v>297.002634</v>
      </c>
      <c r="N240" s="3">
        <f>0+(735.3-378.9)+(0+(0.750006-0.386478))+0-31.5-0.032130000000005</f>
        <v>325.23139799999996</v>
      </c>
      <c r="O240" s="3">
        <f>0+(772.3-407.6)+(0+(-0.787746--0.415752))+0-29.1--0.0296820000000046</f>
        <v>335.25768799999992</v>
      </c>
      <c r="P240" s="3">
        <f>0+(714.5-349.4)+(0+(-0.72879--0.356388))+0-31.8--0.0324360000000051</f>
        <v>332.96003400000001</v>
      </c>
      <c r="Q240" s="3">
        <f>0+(750-384.3)+(0+(0.765-0.391986))+0-31.7-0.0323340000000051</f>
        <v>334.34068000000002</v>
      </c>
      <c r="R240" s="3">
        <f>0+(709.8-346.2)+(0+(-1.447992--0.706248))+0-31--0.0632399999999986</f>
        <v>331.92149599999999</v>
      </c>
      <c r="S240" s="3">
        <f>0+(681.1-343.5)+(0+(0-0))+0-30.8-0</f>
        <v>306.8</v>
      </c>
      <c r="T240" s="3">
        <f>0+(655.2-320.9)+(0+(-0.334152--0.163659))+0-30.9--0.0157589999999969</f>
        <v>303.24526600000007</v>
      </c>
      <c r="U240" s="3">
        <f>0+(591.3-258.8)+(0+(0-0))+0-31.4-0</f>
        <v>301.09999999999997</v>
      </c>
      <c r="V240" s="3">
        <f>0+(707.8-361.2)+(0+(0.360978-0.184212))+0-31.5-0.0160649999999968</f>
        <v>315.26070099999998</v>
      </c>
      <c r="W240" s="3">
        <f>0+(719.2-345.2)+(0+(0.366792-0.176052))+0-32.2-0.0164219999999967</f>
        <v>341.9743180000001</v>
      </c>
      <c r="X240" s="3">
        <f>0+(662.1-301.1)+(0+(-2.026026--0.921366))+0-32.2--0.0985320000000037</f>
        <v>327.79387199999996</v>
      </c>
      <c r="Y240" s="3">
        <f>0+(621.9-262.9)+(0+(-0.317169--0.134079))+0-32--0.0163199999999968</f>
        <v>326.83323000000001</v>
      </c>
      <c r="Z240" s="3">
        <f>0+(604.4-261.6)+(0+(-1.232976--0.533664))+0-32.4--0.0660959999999986</f>
        <v>309.76678399999997</v>
      </c>
      <c r="AA240" s="3">
        <f>0+(543.6-214.2)+(0+(-0.831708--0.327726))+0-32.2--0.0492660000000019</f>
        <v>296.74528400000003</v>
      </c>
      <c r="AB240" s="3">
        <f>0+(461.6-141.4)+(0+(-0.941664--0.288456))+0-32--0.0652799999999986</f>
        <v>287.61207200000001</v>
      </c>
      <c r="AC240" s="3">
        <f>0+(492.4-182)+(0+(-0.753372--0.27846))+0-31.2--0.0477360000000018</f>
        <v>278.77282399999996</v>
      </c>
      <c r="AD240" s="2">
        <v>341.59999999999997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0+(446.4-141.7)+(0+(-1.13832--0.361335))+0-31.1--0.0793049999999955</f>
        <v>272.90231999999992</v>
      </c>
      <c r="G241" s="3">
        <f>0+(438.1-137.6)+(0+(-1.117155--0.35088))+0-31.1--0.0793049999999955</f>
        <v>268.71302999999995</v>
      </c>
      <c r="H241" s="3">
        <f>0+(441.7-147.4)+(0+(-0.675801--0.225522))+0-31.1--0.0475830000000018</f>
        <v>262.79730399999988</v>
      </c>
      <c r="I241" s="3">
        <f>0+(517.4-227.5)+(0+(0.263874-0.116025))+0-30.7-0.0156569999999969</f>
        <v>259.33219200000002</v>
      </c>
      <c r="J241" s="3">
        <f>0+(496.2-207)+(0+(0-0))+0-30.7-0</f>
        <v>258.5</v>
      </c>
      <c r="K241" s="3">
        <f>0+(462.9-172.1)+(0+(0-0))+0-27.6-0</f>
        <v>263.19999999999993</v>
      </c>
      <c r="L241" s="3">
        <f>0+(486.7-192.3)+(0+(-0.992868--0.392292))+0-29.3--0.0597719999999987</f>
        <v>264.55919599999999</v>
      </c>
      <c r="M241" s="3">
        <f>0+(553.4-244.9)+(0+(-0.564468--0.249798))+0-31.2--0.031824000000005</f>
        <v>277.01715400000006</v>
      </c>
      <c r="N241" s="3">
        <f>0+(627.1-284.7)+(0+(0.639642-0.290394))+0-31.8-0.0324360000000051</f>
        <v>310.91681199999999</v>
      </c>
      <c r="O241" s="3">
        <f>0+(677.5-320.2)+(0+(0-0))+0-32.2-0</f>
        <v>325.10000000000002</v>
      </c>
      <c r="P241" s="3">
        <f>0+(691.5-326.7)+(0+(-1.057995--0.499851))+0-31.9--0.0488070000000018</f>
        <v>332.39066300000002</v>
      </c>
      <c r="Q241" s="3">
        <f>0+(630.3-266)+(0+(-1.285812--0.54264))+0-32.2--0.0656879999999986</f>
        <v>331.42251599999997</v>
      </c>
      <c r="R241" s="3">
        <f>0+(612.9-258.6)+(0+(-0.937737--0.395658))+0-32--0.0489600000000018</f>
        <v>321.80688099999998</v>
      </c>
      <c r="S241" s="3">
        <f>0+(524.4-205.2)+(0+(-1.069776--0.418608))+0-31.9--0.0650759999999986</f>
        <v>286.713908</v>
      </c>
      <c r="T241" s="3">
        <f>0+(420.2-111.3)+(0+(0.428604-0.113526))+0-31.8-0.0324360000000051</f>
        <v>277.38264199999998</v>
      </c>
      <c r="U241" s="3">
        <f>0+(342.2-33.6)+(0+(-0.523566--0.051408))+0-31.7--0.0485010000000018</f>
        <v>276.47634299999999</v>
      </c>
      <c r="V241" s="3">
        <f>0+(319.7-6.2)+(0+(0-0))+0-31.9-0</f>
        <v>281.60000000000002</v>
      </c>
      <c r="W241" s="3">
        <f>0+(534.2-193.1)+(0+(-0.817326--0.295443))+0-31.7--0.0485010000000018</f>
        <v>308.92661800000002</v>
      </c>
      <c r="X241" s="3">
        <f>0+(514.2-162.2)+(0+(-0.524484--0.165444))+0-31.5--0.032130000000005</f>
        <v>320.17309000000006</v>
      </c>
      <c r="Y241" s="3">
        <f>0+(433.5-108.9)+(0+(0-0))+0-31-0</f>
        <v>293.60000000000002</v>
      </c>
      <c r="Z241" s="3">
        <f>0+(334.2-10.8)+(0+(0-0))+0-28.9-0</f>
        <v>294.5</v>
      </c>
      <c r="AA241" s="3">
        <f>0+(351.4-29.5)+(0+(-0.537642--0.045135))+0-32.1--0.0491130000000019</f>
        <v>289.35660599999994</v>
      </c>
      <c r="AB241" s="3">
        <f>0+(305.6-0)+(0+(0-0))+0-31.7-0</f>
        <v>273.90000000000003</v>
      </c>
      <c r="AC241" s="3">
        <f>0+(294.4-0)+(0+(-0.600576-0))+0-31.6--0.0644639999999986</f>
        <v>262.26388799999995</v>
      </c>
      <c r="AD241" s="2">
        <v>314.29999999999995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0+(286.9-0)+(0+(-0.146319-0))+0-31.8--0.0162179999999968</f>
        <v>254.96989899999997</v>
      </c>
      <c r="G242" s="3">
        <f>0+(311.6-23.9)+(0+(-0.317832--0.024378))+0-31.5--0.032130000000005</f>
        <v>255.93867600000004</v>
      </c>
      <c r="H242" s="3">
        <f>0+(305.2-25.4)+(0+(-0.77826--0.06477))+0-31.6--0.0805799999999954</f>
        <v>247.56709000000004</v>
      </c>
      <c r="I242" s="3">
        <f>0+(285.5-7.6)+(0+(-0.29121--0.007752))+0-31.5--0.032130000000005</f>
        <v>246.14867199999998</v>
      </c>
      <c r="J242" s="3">
        <f>0+(276.9-0)+(0+(0-0))+0-31.2-0</f>
        <v>245.7</v>
      </c>
      <c r="K242" s="3">
        <f>0+(270.2-0)+(0+(0-0))+0-31.2-0</f>
        <v>239</v>
      </c>
      <c r="L242" s="3">
        <f>0+(260.8-0)+(0+(-0.66504-0))+0-31.5--0.0803249999999954</f>
        <v>228.71528500000002</v>
      </c>
      <c r="M242" s="3">
        <f>0+(269.6-11.7)+(0+(-0.274992--0.011934))+0-31.3--0.031926000000005</f>
        <v>226.36886800000002</v>
      </c>
      <c r="N242" s="3">
        <f>0+(268.1-0)+(0+(0.410193-0))+0-31.9-0.0488070000000018</f>
        <v>236.561386</v>
      </c>
      <c r="O242" s="3">
        <f>0+(269.8-0)+(0+(-0.275196-0))+0-32.5--0.0331500000000052</f>
        <v>237.05795400000002</v>
      </c>
      <c r="P242" s="3">
        <f>0+(284.6-0)+(0+(0.290292-0))+0-32.4-0.0330480000000052</f>
        <v>252.45724400000003</v>
      </c>
      <c r="Q242" s="3">
        <f>0+(321.2-32.1)+(0+(-0.81906--0.081855))+0-32.4--0.0826199999999953</f>
        <v>256.04541499999993</v>
      </c>
      <c r="R242" s="3">
        <f>0+(279.8-0)+(0+(-0.998886-0))+0-31.7--0.113169</f>
        <v>247.21428299999999</v>
      </c>
      <c r="S242" s="3">
        <f>0+(280.9-13.7)+(0+(-0.429777--0.020961))+0-31.5--0.0481950000000018</f>
        <v>235.33937899999998</v>
      </c>
      <c r="T242" s="3">
        <f>0+(298.4-33)+(0+(-0.456552--0.05049))+0-30.9--0.0472770000000018</f>
        <v>234.14121499999996</v>
      </c>
      <c r="U242" s="3">
        <f>0+(283.7-20)+(0+(0-0))+0-31.6-0</f>
        <v>232.1</v>
      </c>
      <c r="V242" s="3">
        <f>0+(279.7-10.6)+(0+(-0.285294--0.010812))+0-29.4--0.0299880000000047</f>
        <v>239.45550599999999</v>
      </c>
      <c r="W242" s="3">
        <f>0+(309.3-0)+(0+(0-0))+0-32.3-0</f>
        <v>277</v>
      </c>
      <c r="X242" s="3">
        <f>0+(315.6-0)+(0+(-0.643824-0))+0-32.1--0.0654839999999986</f>
        <v>282.92166000000003</v>
      </c>
      <c r="Y242" s="3">
        <f>0+(310.6-0)+(0+(0-0))+0-33-0</f>
        <v>277.60000000000002</v>
      </c>
      <c r="Z242" s="3">
        <f>0+(310.9-0)+(0+(-0.475677-0))+0-32.4--0.0495720000000019</f>
        <v>278.07389499999999</v>
      </c>
      <c r="AA242" s="3">
        <f>0+(317.2-0)+(0+(0-0))+0-32.3-0</f>
        <v>284.89999999999998</v>
      </c>
      <c r="AB242" s="3">
        <f>0+(305.4-0)+(0+(-0.467262-0))+0-32.3--0.0494190000000019</f>
        <v>272.68215699999996</v>
      </c>
      <c r="AC242" s="3">
        <f>0+(286.7-0)+(0+(-0.584868-0))+0-32.6--0.0665039999999986</f>
        <v>253.58163600000003</v>
      </c>
      <c r="AD242" s="2">
        <v>271.3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0+(255.7-24.9)+(0+(-0.130407--0.012699))+0-32.3--0.0164729999999967</f>
        <v>198.398765</v>
      </c>
      <c r="G243" s="3">
        <f>0+(247.6-22)+(0+(-0.252552--0.02244))+0-32.4--0.0330480000000052</f>
        <v>193.00293600000001</v>
      </c>
      <c r="H243" s="3">
        <f>0+(242.8-23)+(0+(-0.742968--0.07038))+0-32.7--0.100062000000004</f>
        <v>186.52747400000001</v>
      </c>
      <c r="I243" s="3">
        <f>0+(237.9-22)+(0+(0.242658-0.02244))+0-32.3-0.0329460000000051</f>
        <v>183.787272</v>
      </c>
      <c r="J243" s="3">
        <f>0+(234.5-19)+(0+(-0.23919--0.01938))+0-28.2--0.0287640000000045</f>
        <v>187.10895400000001</v>
      </c>
      <c r="K243" s="3">
        <f>0+(241-10)+(0+(-0.24582--0.0102))+0-32.5--0.0331500000000052</f>
        <v>198.29752999999999</v>
      </c>
      <c r="L243" s="3">
        <f>0+(270.2-20.7)+(0+(-0.68901--0.052785))+0-32.6--0.0831299999999953</f>
        <v>216.34690499999999</v>
      </c>
      <c r="M243" s="3">
        <f>0+(325.9-49.9)+(0+(-0.332418--0.050898))+0-32--0.0326400000000051</f>
        <v>243.75112000000001</v>
      </c>
      <c r="N243" s="3">
        <f>0+(356.1-56)+(0+(-0.544833--0.08568))+0-32.2--0.0492660000000019</f>
        <v>267.49011300000001</v>
      </c>
      <c r="O243" s="3">
        <f>0+(413.5-98.4)+(0+(-0.84354--0.200736))+0-32.8--0.0669119999999986</f>
        <v>281.724108</v>
      </c>
      <c r="P243" s="3">
        <f>0+(441.4-118.1)+(0+(-0.225114--0.060231))+0-32--0.0163199999999968</f>
        <v>291.15143699999999</v>
      </c>
      <c r="Q243" s="3">
        <f>0+(443.2-116.1)+(0+(-0.226032--0.059211))+0-32.4--0.0165239999999967</f>
        <v>294.54970300000002</v>
      </c>
      <c r="R243" s="3">
        <f>0+(364.4-33.4)+(0+(-0.92922--0.08517))+0-32.2--0.0821099999999953</f>
        <v>298.03806000000003</v>
      </c>
      <c r="S243" s="3">
        <f>0+(337.5-20.3)+(0+(0-0))+0-32.2-0</f>
        <v>285</v>
      </c>
      <c r="T243" s="3">
        <f>0+(346.6-28.8)+(0+(0-0))+0-32.5-0</f>
        <v>285.3</v>
      </c>
      <c r="U243" s="3">
        <f>0+(312.9-19)+(0+(-0.159579--0.00969))+0-32.2--0.0164219999999967</f>
        <v>261.56653299999999</v>
      </c>
      <c r="V243" s="3">
        <f>0+(304.4-32)+(0+(0-0))+0-32.4-0</f>
        <v>239.99999999999997</v>
      </c>
      <c r="W243" s="3">
        <f>0+(342-9)+(0+(0.34884-0.00918))+0-31.8-0.0324360000000051</f>
        <v>301.50722399999995</v>
      </c>
      <c r="X243" s="3">
        <f>0+(339.9-0)+(0+(-0.866745-0))+0-31.2--0.0795599999999955</f>
        <v>307.91281500000002</v>
      </c>
      <c r="Y243" s="3">
        <f>0+(359.2-14.2)+(0+(-0.366384--0.014484))+0-31--0.0316200000000049</f>
        <v>313.67972000000003</v>
      </c>
      <c r="Z243" s="3">
        <f>0+(346.2-18.9)+(0+(-0.529686--0.028917))+0-29.9--0.0457470000000017</f>
        <v>296.94497800000005</v>
      </c>
      <c r="AA243" s="3">
        <f>0+(316.7-9)+(0+(-0.807585--0.02295))+0-32--0.0815999999999954</f>
        <v>274.99696499999999</v>
      </c>
      <c r="AB243" s="3">
        <f>0+(308.6-3.5)+(0+(0.157386-0.001785))+0-27.7-0.0141269999999972</f>
        <v>277.54147400000005</v>
      </c>
      <c r="AC243" s="3">
        <f>0+(333-29.6)+(0+(-0.84915--0.07548))+0-32.2--0.0821099999999953</f>
        <v>270.50844000000001</v>
      </c>
      <c r="AD243" s="2">
        <v>343.4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0+(344.4-37)+(0+(-0.526932--0.05661))+0-31.5--0.0481950000000018</f>
        <v>275.47787299999999</v>
      </c>
      <c r="G244" s="3">
        <f>0+(307.5-9.9)+(0+(-0.784125--0.025245))+0-32.2--0.0821099999999953</f>
        <v>264.72323000000006</v>
      </c>
      <c r="H244" s="3">
        <f>0+(319.2-24.2)+(0+(0.325584-0.024684))+0-32.1-0.0327420000000051</f>
        <v>263.16815800000001</v>
      </c>
      <c r="I244" s="3">
        <f>0+(373.9-77.1)+(0+(0-0))+0-31.8-0</f>
        <v>264.99999999999994</v>
      </c>
      <c r="J244" s="3">
        <f>0+(324.5-26.7)+(0+(0.165495-0.013617))+0-32-0.0163199999999968</f>
        <v>265.93555800000001</v>
      </c>
      <c r="K244" s="3">
        <f>0+(322-29.6)+(0+(-0.49266--0.045288))+0-31.7--0.0485010000000018</f>
        <v>260.301129</v>
      </c>
      <c r="L244" s="3">
        <f>0+(289-1.5)+(0+(-0.14739--0.000765))+0-31.6--0.0161159999999968</f>
        <v>255.76949100000004</v>
      </c>
      <c r="M244" s="3">
        <f>0+(340.4-33)+(0+(-0.520812--0.05049))+0-32.3--0.0494190000000019</f>
        <v>274.67909699999996</v>
      </c>
      <c r="N244" s="3">
        <f>0+(428.3-90.1)+(0+(-0.436866--0.091902))+0-32.9--0.0335580000000052</f>
        <v>304.98859400000009</v>
      </c>
      <c r="O244" s="3">
        <f>0+(499.7-138.3)+(0+(-0.509694--0.141066))+0-32.3--0.0329460000000051</f>
        <v>328.76431799999995</v>
      </c>
      <c r="P244" s="3">
        <f>0+(473.5-134.3)+(0+(-1.207425--0.342465))+0-32.4--0.0826199999999953</f>
        <v>306.01766000000003</v>
      </c>
      <c r="Q244" s="3">
        <f>0+(375.1-0)+(0+(-0.956505-0))+0-32.4--0.0826199999999953</f>
        <v>341.82611500000007</v>
      </c>
      <c r="R244" s="3">
        <f>0+(366.6-0)+(0+(-0.560898-0))+0-32.3--0.0494190000000019</f>
        <v>333.788521</v>
      </c>
      <c r="S244" s="3">
        <f>0+(348.1-0)+(0+(-0.355062-0))+0-32.2--0.0328440000000051</f>
        <v>315.57778200000007</v>
      </c>
      <c r="T244" s="3">
        <f>0+(357.2-0)+(0+(0.182172-0))+0-30.7-0.0156569999999969</f>
        <v>326.666515</v>
      </c>
      <c r="U244" s="3">
        <f>0+(338.7-0)+(0+(0.345474-0))+0-29.9-0.0304980000000048</f>
        <v>309.11497600000001</v>
      </c>
      <c r="V244" s="3">
        <f>0+(381.3-17.5)+(0+(0-0))+0-30.1-0</f>
        <v>333.7</v>
      </c>
      <c r="W244" s="3">
        <f>0+(398.9-0)+(0+(-0.203439-0))+0-32--0.0163199999999968</f>
        <v>366.71288099999998</v>
      </c>
      <c r="X244" s="3">
        <f>0+(388.2-0)+(0+(-0.197982-0))+0-32.9--0.0167789999999967</f>
        <v>355.11879699999997</v>
      </c>
      <c r="Y244" s="3">
        <f>0+(367.1-0)+(0+(-0.187221-0))+0-33.2--0.0169319999999966</f>
        <v>333.72971100000001</v>
      </c>
      <c r="Z244" s="3">
        <f>0+(359.8-0)+(0+(-0.366996-0))+0-32.9--0.0335580000000052</f>
        <v>326.56656200000009</v>
      </c>
      <c r="AA244" s="3">
        <f>0+(386.5-33.1)+(0+(-0.197115--0.016881))+0-32.1--0.0163709999999967</f>
        <v>321.13613699999996</v>
      </c>
      <c r="AB244" s="3">
        <f>0+(422.8-78)+(0+(-1.07814--0.1989))+0-30.2--0.0770099999999956</f>
        <v>313.79777000000001</v>
      </c>
      <c r="AC244" s="3">
        <f>0+(445.5-113.7)+(0+(-0.681615--0.173961))+0-32.4--0.0495720000000019</f>
        <v>298.94191800000004</v>
      </c>
      <c r="AD244" s="2">
        <v>361.3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0+(417.4-99.7)+(0+(-0.425748--0.101694))+0-29.9--0.0304980000000048</f>
        <v>287.50644400000004</v>
      </c>
      <c r="G245" s="3">
        <f>0+(402-89.9)+(0+(-1.0251--0.229245))+0-30.6--0.0780299999999956</f>
        <v>280.782175</v>
      </c>
      <c r="H245" s="3">
        <f>0+(330.7-29.5)+(0+(0.168657-0.015045))+0-31.3-0.0159629999999968</f>
        <v>270.03764899999999</v>
      </c>
      <c r="I245" s="3">
        <f>0+(303.1-0)+(0+(-0.772905-0))+0-31.5--0.0803249999999954</f>
        <v>270.90742000000006</v>
      </c>
      <c r="J245" s="3">
        <f>0+(303.5-0)+(0+(-0.154785-0))+0-31.9--0.0162689999999968</f>
        <v>271.46148400000004</v>
      </c>
      <c r="K245" s="3">
        <f>0+(325.8-17.5)+(0+(-0.166158--0.008925))+0-32.3--0.0164729999999967</f>
        <v>275.85924</v>
      </c>
      <c r="L245" s="3">
        <f>0+(332.7-20.9)+(0+(0.339354-0.021318))+0-32.4-0.0330480000000052</f>
        <v>279.68498800000003</v>
      </c>
      <c r="M245" s="3">
        <f>0+(352.4-25.7)+(0+(0.179724-0.013107))+0-32.3-0.0164729999999967</f>
        <v>294.55014399999993</v>
      </c>
      <c r="N245" s="3">
        <f>0+(405.1-37.7)+(0+(0-0))+0-32.7-0</f>
        <v>334.70000000000005</v>
      </c>
      <c r="O245" s="3">
        <f>0+(396.4-9)+(0+(-0.808656--0.01836))+0-31.3--0.0638519999999986</f>
        <v>355.37355599999995</v>
      </c>
      <c r="P245" s="3">
        <f>0+(466.8-74.9)+(0+(-0.952272--0.152796))+0-31.4--0.0640559999999986</f>
        <v>359.76457999999997</v>
      </c>
      <c r="Q245" s="3">
        <f>0+(484.5-90.3)+(0+(-0.247095--0.046053))+0-31.1--0.0158609999999968</f>
        <v>362.91481899999997</v>
      </c>
      <c r="R245" s="3">
        <f>0+(431.6-78)+(0+(-0.880464--0.15912))+0-31.1--0.0634439999999986</f>
        <v>321.84210000000002</v>
      </c>
      <c r="S245" s="3">
        <f>0+(443.4-50)+(0+(-0.226134--0.0255))+0-31.1--0.0158609999999968</f>
        <v>362.11522699999995</v>
      </c>
      <c r="T245" s="3">
        <f>0+(449.2-76)+(0+(-0.687276--0.11628))+0-31.1--0.0475830000000018</f>
        <v>341.57658699999996</v>
      </c>
      <c r="U245" s="3">
        <f>0+(432.4-76.8)+(0+(-0.220524--0.039168))+0-30.4--0.0155039999999969</f>
        <v>325.03414800000002</v>
      </c>
      <c r="V245" s="3">
        <f>0+(405.8-46.6)+(0+(0.620874-0.071298))+0-29.6-0.0452880000000017</f>
        <v>330.10428799999994</v>
      </c>
      <c r="W245" s="3">
        <f>0+(414.1-41.7)+(0+(-1.055955--0.106335))+0-30.9--0.0787949999999955</f>
        <v>340.62917500000009</v>
      </c>
      <c r="X245" s="3">
        <f>0+(365.6-5.4)+(0+(-0.745824--0.011016))+0-32.5--0.0662999999999986</f>
        <v>327.03149200000007</v>
      </c>
      <c r="Y245" s="3">
        <f>0+(368.9-21.9)+(0+(-0.940695--0.055845))+0-25.9--0.0660449999999962</f>
        <v>320.28119500000003</v>
      </c>
      <c r="Z245" s="3">
        <f>0+(359.9-13.6)+(0+(-0.734196--0.027744))+0-30.6--0.0624239999999987</f>
        <v>315.05597199999994</v>
      </c>
      <c r="AA245" s="3">
        <f>0+(364.8-26.6)+(0+(-0.186048--0.013566))+0-31.1--0.0158609999999968</f>
        <v>306.94337899999994</v>
      </c>
      <c r="AB245" s="3">
        <f>0+(370-38.2)+(0+(-0.5661--0.058446))+0-30.3--0.0463590000000018</f>
        <v>301.03870499999999</v>
      </c>
      <c r="AC245" s="3">
        <f>0+(384.2-68.1)+(0+(-0.783768--0.138924))+0-30.2--0.0616079999999987</f>
        <v>285.31676400000003</v>
      </c>
      <c r="AD245" s="2">
        <v>344.1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0+(422-115.9)+(0+(0.43044-0.118218))+0-28.9-0.0294780000000046</f>
        <v>277.48274400000008</v>
      </c>
      <c r="G246" s="3">
        <f>0+(389.9-89.8)+(0+(-0.397698--0.091596))+0-28.9--0.0294780000000046</f>
        <v>270.92337599999996</v>
      </c>
      <c r="H246" s="3">
        <f>0+(371.2-74.1)+(0+(-0.378624--0.075582))+0-29.8--0.0303960000000048</f>
        <v>267.027354</v>
      </c>
      <c r="I246" s="3">
        <f>0+(370.9-75.7)+(0+(0.378318-0.077214))+0-30-0.0306000000000048</f>
        <v>265.47050400000001</v>
      </c>
      <c r="J246" s="3">
        <f>0+(315.8-20.7)+(0+(-0.161058--0.010557))+0-30--0.015299999999997</f>
        <v>264.96479900000003</v>
      </c>
      <c r="K246" s="3">
        <f>0+(368.1-69.5)+(0+(0.938655-0.177225))+0-30.5-0.0777749999999956</f>
        <v>268.78365500000007</v>
      </c>
      <c r="L246" s="3">
        <f>0+(549.9-246.6)+(0+(0-0))+0-30.7-0</f>
        <v>272.59999999999997</v>
      </c>
      <c r="M246" s="3">
        <f>0+(632.9-310.5)+(0+(0.645558-0.31671))+0-30.2-0.0308040000000048</f>
        <v>292.49804399999999</v>
      </c>
      <c r="N246" s="3">
        <f>0+(779.9-374.1)+(0+(1.193247-0.572373))+0-29.3-0.0448290000000017</f>
        <v>377.07604499999997</v>
      </c>
      <c r="O246" s="3">
        <f>0+(800.6-389.7)+(0+(-0.408306--0.198747))+0-30.3--0.0154529999999969</f>
        <v>380.40589399999999</v>
      </c>
      <c r="P246" s="3">
        <f>0+(759.5-377)+(0+(0-0))+0-30-0</f>
        <v>352.5</v>
      </c>
      <c r="Q246" s="3">
        <f>0+(747.2-368.3)+(0+(-0.381072--0.187833))+0-30.5--0.0155549999999969</f>
        <v>348.22231600000003</v>
      </c>
      <c r="R246" s="3">
        <f>0+(712.4-350.7)+(0+(-2.543268--1.251999))+0-30.5--0.108885</f>
        <v>330.01761599999998</v>
      </c>
      <c r="S246" s="3">
        <f>0+(739.4-392.9)+(0+(0.377094-0.200379))+0-30.5-0.0155549999999969</f>
        <v>316.16116</v>
      </c>
      <c r="T246" s="3">
        <f>0+(732.7-388.8)+(0+(-1.121031--0.594864))+0-30.6--0.0468180000000018</f>
        <v>312.820651</v>
      </c>
      <c r="U246" s="3">
        <f>0+(755.3-409.9)+(0+(0.385203-0.209049))+0-31-0.0158099999999969</f>
        <v>314.56034399999999</v>
      </c>
      <c r="V246" s="3">
        <f>9.1+(709.3-363.4)+(-0.013923+(-1.085229--0.556002))+0-30.9--0.0472770000000018</f>
        <v>323.60412700000001</v>
      </c>
      <c r="W246" s="3">
        <f>107.9+(678.8-410.4)+(-0.220116+(-1.384752--0.837216))+0-30.9--0.0630359999999986</f>
        <v>344.69538399999999</v>
      </c>
      <c r="X246" s="3">
        <f>81.7+(654.4-368.8)+(-0.166668+(-1.334976--0.752352))+0-30.6--0.0624239999999987</f>
        <v>336.01313199999993</v>
      </c>
      <c r="Y246" s="3">
        <f>65.7+(648.4-363.8)+(-0.167535+(-1.65342--0.92769))+0-30.5--0.0777749999999956</f>
        <v>318.98450999999994</v>
      </c>
      <c r="Z246" s="3">
        <f>65.6+(691.7-415.7)+(-0.100368+(-1.058301--0.636021))+0-30.5--0.0466650000000018</f>
        <v>310.62401700000004</v>
      </c>
      <c r="AA246" s="3">
        <f>65.7+(570.3-303.2)+(-0.067014+(-0.581706--0.309264))+0-31.3--0.031926000000005</f>
        <v>301.19246999999996</v>
      </c>
      <c r="AB246" s="3">
        <f>65.6+(576.4-315.7)+(-0.100368+(-0.881892--0.483021))+0-31--0.0474300000000018</f>
        <v>294.84819099999999</v>
      </c>
      <c r="AC246" s="3">
        <f>65.7+(612.1-365.2)+(0+(0-0))+0-31.1-0</f>
        <v>281.5</v>
      </c>
      <c r="AD246" s="2">
        <v>343.09999999999997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65.6+(520.2-288.5)+(-0.16728+(-1.32651--0.735675))+0-30.9--0.0787949999999955</f>
        <v>265.72068000000013</v>
      </c>
      <c r="G247" s="3">
        <f>65.7+(541.6-316.5)+(0.033507+(0.276216-0.161415))+0-31.1-0.0158609999999968</f>
        <v>259.832447</v>
      </c>
      <c r="H247" s="3">
        <f>65.6+(544.5-325.5)+(-0.066912+(-0.55539--0.33201))+0-31.2--0.031824000000005</f>
        <v>253.14153200000001</v>
      </c>
      <c r="I247" s="3">
        <f>65.6+(531.1-313.9)+(0.033456+(0.270861-0.160089))+0-30.9-0.0157589999999969</f>
        <v>252.02846900000006</v>
      </c>
      <c r="J247" s="3">
        <f>89.1+(527.3-328)+(0.227205+(1.344615-0.8364))+0-31.2-0.0795599999999955</f>
        <v>257.85585999999995</v>
      </c>
      <c r="K247" s="3">
        <f>106.5+(500.6-314.5)+(0.10863+(0.510612-0.32079))+0-31.3-0.031926000000005</f>
        <v>261.56652600000001</v>
      </c>
      <c r="L247" s="3">
        <f>107.1+(567.4-372.7)+(0.163863+(0.868122-0.570231))+0-31.4-0.0480420000000018</f>
        <v>270.81371199999995</v>
      </c>
      <c r="M247" s="3">
        <f>106.5+(686.5-474.1)+(0.21726+(1.40046-0.967164))+0-31.4-0.0640559999999986</f>
        <v>288.0865</v>
      </c>
      <c r="N247" s="3">
        <f>105.7+(668-445.6)+(-0.053907+(-0.34068--0.227256))+0-9.7--0.00494699999999902</f>
        <v>318.237616</v>
      </c>
      <c r="O247" s="3">
        <f>105.5+(624.3-370)+(-0.10761+(-0.636786--0.3774))+0-26.3--0.0268260000000042</f>
        <v>333.15983</v>
      </c>
      <c r="P247" s="3">
        <f>106+(653-393)+(-0.16218+(-0.99909--0.60129))+0-28--0.0428400000000016</f>
        <v>337.48286000000002</v>
      </c>
      <c r="Q247" s="3">
        <f>208+(609.4-454.2)+(-0.5304+(-1.55397--1.15821))+0-30.4--0.0775199999999956</f>
        <v>331.95136000000002</v>
      </c>
      <c r="R247" s="3">
        <f>166+(630.4-429)+(-0.08466+(-0.321504--0.21879))+0-30.7--0.0156569999999969</f>
        <v>336.52828299999999</v>
      </c>
      <c r="S247" s="3">
        <f>88+(597-339)+(-0.2244+(-1.52235--0.86445))+0-30.7--0.0782849999999955</f>
        <v>314.49598500000002</v>
      </c>
      <c r="T247" s="3">
        <f>1.5+(652.3-310.1)+(0+(0-0))+0-30.8-0</f>
        <v>312.89999999999992</v>
      </c>
      <c r="U247" s="3">
        <f>0+(578.2-237.8)+(0+(-1.47441--0.60639))+0-30.9--0.0787949999999955</f>
        <v>308.71077500000007</v>
      </c>
      <c r="V247" s="3">
        <f>0+(550.8-202.3)+(0+(-0.280908--0.103173))+0-31.3--0.0159629999999968</f>
        <v>317.03822799999995</v>
      </c>
      <c r="W247" s="3">
        <f>0+(623.9-250.9)+(0+(0.318189-0.127959))+0-31.5-0.0160649999999968</f>
        <v>341.67416500000002</v>
      </c>
      <c r="X247" s="3">
        <f>0+(704.2-335)+(0+(-0.359142--0.17085))+0-31.4--0.0160139999999968</f>
        <v>337.62772200000006</v>
      </c>
      <c r="Y247" s="3">
        <f>0+(710-358.7)+(0+(-1.4484--0.731748))+0-28.6--0.0583439999999988</f>
        <v>322.04169199999995</v>
      </c>
      <c r="Z247" s="3">
        <f>0+(608.3-265.1)+(0+(-0.620466--0.270402))+0-31--0.0316200000000049</f>
        <v>311.88155599999999</v>
      </c>
      <c r="AA247" s="3">
        <f>0+(537.8-203.3)+(0+(-0.548556--0.207366))+0-31--0.0316200000000049</f>
        <v>303.19042999999999</v>
      </c>
      <c r="AB247" s="3">
        <f>0+(509.7-181.8)+(0+(-0.259947--0.092718))+0-30.9--0.0157589999999969</f>
        <v>296.84852999999998</v>
      </c>
      <c r="AC247" s="3">
        <f>0+(456.7-137.8)+(0+(-0.931668--0.281112))+0-31.3--0.0638519999999986</f>
        <v>287.01329599999997</v>
      </c>
      <c r="AD247" s="2">
        <v>346.09999999999997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0+(379.1-66.3)+(0+(0-0))+0-31.3-0</f>
        <v>281.5</v>
      </c>
      <c r="G248" s="3">
        <f>0+(285.7-0)+(0+(-0.437121-0))+0-31.5--0.0481950000000018</f>
        <v>253.81107399999999</v>
      </c>
      <c r="H248" s="3">
        <f>0+(278.5-0)+(0+(0.142035-0))+0-31.2-0.0159119999999968</f>
        <v>247.42612300000005</v>
      </c>
      <c r="I248" s="3">
        <f>0+(284.5-0)+(0+(-0.145095-0))+0-31.1--0.0158609999999968</f>
        <v>253.27076599999998</v>
      </c>
      <c r="J248" s="3">
        <f>0+(345.9-27.4)+(0+(0.705636-0.055896))+0-30.7-0.0626279999999987</f>
        <v>288.387112</v>
      </c>
      <c r="K248" s="3">
        <f>0+(354.1-38.8)+(0+(0.180591-0.019788))+0-31.1-0.0158609999999968</f>
        <v>284.344942</v>
      </c>
      <c r="L248" s="3">
        <f>0+(440.1-130.6)+(0+(-1.122255--0.33303))+0-30.4--0.0775199999999956</f>
        <v>278.38829500000003</v>
      </c>
      <c r="M248" s="3">
        <f>0+(476.8-164.8)+(0+(0.243168-0.084048))+0-31.1-0.0158609999999968</f>
        <v>281.04325899999998</v>
      </c>
      <c r="N248" s="3">
        <f>42.6+(470.7-182.4)+(0.043452+(0.480114-0.186048))+0-31.4-0.032028000000005</f>
        <v>299.80548999999996</v>
      </c>
      <c r="O248" s="3">
        <f>258+(466.8-377.8)+(-0.26316+(-0.476136--0.385356))+0-31.2--0.031824000000005</f>
        <v>315.47788400000002</v>
      </c>
      <c r="P248" s="3">
        <f>271.2+(465.4-387.4)+(-0.276624+(-0.474708--0.395148))+0-31.2--0.031824000000005</f>
        <v>317.67564000000004</v>
      </c>
      <c r="Q248" s="3">
        <f>269.3+(437.5-365)+(-0.137343+(-0.223125--0.18615))+0-29.7--0.015146999999997</f>
        <v>311.94082900000001</v>
      </c>
      <c r="R248" s="3">
        <f>193.1+(429-291)+(-0.689367+(-1.53153--1.03887))+0-31--0.11067</f>
        <v>299.02864300000005</v>
      </c>
      <c r="S248" s="3">
        <f>101.1+(410.2-208)+(-0.154683+(-0.627606--0.31824))+0-31.2--0.0477360000000018</f>
        <v>271.68368699999996</v>
      </c>
      <c r="T248" s="3">
        <f>101.1+(420.9-226.4)+(-0.206244+(-0.858636--0.461856))+0-30.3--0.0618119999999987</f>
        <v>264.75878799999992</v>
      </c>
      <c r="U248" s="3">
        <f>28+(427.5-162.1)+(0+(0-0))+0-31.2-0</f>
        <v>262.2</v>
      </c>
      <c r="V248" s="3">
        <f>0+(441.7-143.3)+(0+(0-0))+0-31.5-0</f>
        <v>266.89999999999998</v>
      </c>
      <c r="W248" s="3">
        <f>0+(414.5-87.8)+(0+(0.211395-0.044778))+0-31.6-0.0161159999999968</f>
        <v>295.25050099999993</v>
      </c>
      <c r="X248" s="3">
        <f>0+(447.1-126.5)+(0+(-0.684063--0.193545))+0-31.5--0.0481950000000018</f>
        <v>288.65767700000004</v>
      </c>
      <c r="Y248" s="3">
        <f>0+(434.1-119.3)+(0+(-1.328346--0.365058))+0-31.2--0.0954720000000036</f>
        <v>282.73218400000007</v>
      </c>
      <c r="Z248" s="3">
        <f>0+(435-125.3)+(0+(-0.66555--0.191709))+0-31.2--0.0477360000000018</f>
        <v>278.07389499999999</v>
      </c>
      <c r="AA248" s="3">
        <f>0+(478.3-173.1)+(0+(-0.487866--0.176562))+0-31.3--0.031926000000005</f>
        <v>273.62062200000003</v>
      </c>
      <c r="AB248" s="3">
        <f>0+(431.3-130.1)+(0+(-0.219963--0.066351))+0-31--0.0158099999999969</f>
        <v>270.06219800000002</v>
      </c>
      <c r="AC248" s="3">
        <f>0+(428-139.9)+(0+(-0.65484--0.214047))+0-30.9--0.0472770000000018</f>
        <v>256.80648400000007</v>
      </c>
      <c r="AD248" s="2">
        <v>288.8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0+(431.1-147.8)+(0+(-1.099305--0.37689))+0-31.4--0.0800699999999954</f>
        <v>251.257655</v>
      </c>
      <c r="G249" s="3">
        <f>0+(366.4-91.7)+(0+(-0.373728--0.093534))+0-31.2--0.031824000000005</f>
        <v>243.25163000000001</v>
      </c>
      <c r="H249" s="3">
        <f>0+(359.3-91)+(0+(0.183243-0.04641))+0-31.2-0.0159119999999968</f>
        <v>237.22092100000006</v>
      </c>
      <c r="I249" s="3">
        <f>0+(336.2-67.2)+(0+(-0.514386--0.102816))+0-31.2--0.0477360000000018</f>
        <v>237.43616600000004</v>
      </c>
      <c r="J249" s="3">
        <f>0+(338-64.6)+(0+(-0.17238--0.032946))+0-30.8--0.0157079999999969</f>
        <v>242.47627399999996</v>
      </c>
      <c r="K249" s="3">
        <f>0+(338.7-69.3)+(0+(-0.172737--0.035343))+0-31.2--0.0159119999999968</f>
        <v>238.078518</v>
      </c>
      <c r="L249" s="3">
        <f>0+(379.9-123.5)+(0+(-0.774996--0.25194))+0-31.2--0.0636479999999986</f>
        <v>224.74059199999999</v>
      </c>
      <c r="M249" s="3">
        <f>0+(375.6-131.7)+(0+(-0.191556--0.067167))+0-31.6--0.0161159999999968</f>
        <v>212.19172700000004</v>
      </c>
      <c r="N249" s="3">
        <f>0+(492.8-243)+(0+(0.753984-0.37179))+0-29.1-0.0445230000000017</f>
        <v>221.03767100000002</v>
      </c>
      <c r="O249" s="3">
        <f>0+(524.4-264.8)+(0+(-0.267444--0.135048))+0-31.7--0.0161669999999968</f>
        <v>227.78377099999994</v>
      </c>
      <c r="P249" s="3">
        <f>0+(558.5-299.1)+(0+(0.284835-0.152541))+0-31.7-0.0161669999999968</f>
        <v>227.81612699999999</v>
      </c>
      <c r="Q249" s="3">
        <f>0+(529.1-268.2)+(0+(-1.619046--0.820692))+0-31.5--0.0963900000000036</f>
        <v>228.69803600000003</v>
      </c>
      <c r="R249" s="3">
        <f>0+(572.1-312.4)+(0+(-0.291771--0.159324))+0-30.8--0.0157079999999969</f>
        <v>228.78326100000001</v>
      </c>
      <c r="S249" s="3">
        <f>0+(582.5-327.6)+(0+(-1.485375--0.83538))+0-31--0.0790499999999955</f>
        <v>223.32905499999998</v>
      </c>
      <c r="T249" s="3">
        <f>0+(569.3-319.4)+(0+(0.290343-0.162894))+0-30.8-0.0157079999999969</f>
        <v>219.21174099999999</v>
      </c>
      <c r="U249" s="3">
        <f>0+(530.8-280.2)+(0+(-0.541416--0.285804))+0-30.9--0.0315180000000049</f>
        <v>219.47590599999995</v>
      </c>
      <c r="V249" s="3">
        <f>0+(394.2-135.8)+(0+(0.201042-0.069258))+0-31.1-0.0158609999999968</f>
        <v>227.41592299999996</v>
      </c>
      <c r="W249" s="3">
        <f>0+(399.4-109.7)+(0+(-0.407388--0.111894))+0-31.4--0.032028000000005</f>
        <v>258.03653400000002</v>
      </c>
      <c r="X249" s="3">
        <f>0+(443.6-156)+(0+(-0.452472--0.15912))+0-31--0.0316200000000049</f>
        <v>256.33826800000003</v>
      </c>
      <c r="Y249" s="3">
        <f>0+(470-191.4)+(0+(-0.7191--0.292842))+0-31.1--0.0475830000000018</f>
        <v>247.12132500000001</v>
      </c>
      <c r="Z249" s="3">
        <f>0+(444.4-169.8)+(0+(-0.226644--0.086598))+0-31.3--0.0159629999999968</f>
        <v>243.17591699999997</v>
      </c>
      <c r="AA249" s="3">
        <f>0+(477-205.1)+(0+(0-0))+0-31.3-0</f>
        <v>240.59999999999997</v>
      </c>
      <c r="AB249" s="3">
        <f>0+(491.9-222.1)+(0+(-0.501738--0.226542))+0-31.5--0.032130000000005</f>
        <v>238.05693399999996</v>
      </c>
      <c r="AC249" s="3">
        <f>0+(491.5-229.4)+(0+(-0.751995--0.350982))+0-31.3--0.0478890000000018</f>
        <v>230.44687600000003</v>
      </c>
      <c r="AD249" s="2">
        <v>260.3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0+(524.3-266.8)+(0+(-1.069572--0.544272))+0-31.2--0.0636479999999986</f>
        <v>225.83834799999994</v>
      </c>
      <c r="G250" s="3">
        <f>0+(443.9-191.8)+(0+(-1.358334--0.586908))+0-31.4--0.0960840000000036</f>
        <v>220.02465799999996</v>
      </c>
      <c r="H250" s="3">
        <f>0+(434-187.9)+(0+(-0.22134--0.095829))+0-31.5--0.0160649999999968</f>
        <v>214.490554</v>
      </c>
      <c r="I250" s="3">
        <f>0+(390.9-144.4)+(0+(-0.398718--0.147288))+0-31.4--0.032028000000005</f>
        <v>214.88059799999996</v>
      </c>
      <c r="J250" s="3">
        <f>0+(356.7-114.8)+(0+(-0.363834--0.117096))+0-31.6--0.032232000000005</f>
        <v>210.08549399999998</v>
      </c>
      <c r="K250" s="3">
        <f>0+(365.1-121.1)+(0+(0.186201-0.061761))+0-31.6-0.0161159999999968</f>
        <v>212.50832400000002</v>
      </c>
      <c r="L250" s="3">
        <f>0+(302.5-55.8)+(0+(-0.462825--0.085374))+0-31.5--0.0481950000000018</f>
        <v>214.87074399999997</v>
      </c>
      <c r="M250" s="3">
        <f>0+(297.2-59.4)+(0+(-0.151572--0.030294))+0-31.8--0.0162179999999968</f>
        <v>205.89493999999999</v>
      </c>
      <c r="N250" s="3">
        <f>0+(259.9-26)+(0+(-0.265098--0.02652))+0-31.8--0.0324360000000051</f>
        <v>201.89385799999999</v>
      </c>
      <c r="O250" s="3">
        <f>0+(306.8-74.7)+(0+(-0.312936--0.076194))+0-31.3--0.031926000000005</f>
        <v>200.59518400000002</v>
      </c>
      <c r="P250" s="3">
        <f>0+(330.7-96.2)+(0+(-0.505971--0.147186))+0-31.9--0.0488070000000018</f>
        <v>202.29002199999999</v>
      </c>
      <c r="Q250" s="3">
        <f>0+(301.2-71)+(0+(-0.153612--0.03621))+0-31.4--0.0160139999999968</f>
        <v>198.69861199999997</v>
      </c>
      <c r="R250" s="3">
        <f>0+(276.9-53.9)+(0+(0-0))+0-31.1-0</f>
        <v>191.89999999999998</v>
      </c>
      <c r="S250" s="3">
        <f>0+(293.5-68.9)+(0+(0.149685-0.035139))+0-30.7-0.0156569999999969</f>
        <v>193.99888899999999</v>
      </c>
      <c r="T250" s="3">
        <f>0+(299.1-73.2)+(0+(0.152541-0.037332))+0-31-0.0158099999999969</f>
        <v>194.99939900000004</v>
      </c>
      <c r="U250" s="3">
        <f>0+(277.7-51.9)+(0+(0.141627-0.026469))+0-31.3-0.0159629999999968</f>
        <v>194.59919499999998</v>
      </c>
      <c r="V250" s="3">
        <f>0+(327.2-88.8)+(0+(0.166872-0.045288))+0-31-0.0158099999999969</f>
        <v>207.505774</v>
      </c>
      <c r="W250" s="3">
        <f>0+(370.4-111.8)+(0+(0-0))+0-31.9-0</f>
        <v>226.69999999999996</v>
      </c>
      <c r="X250" s="3">
        <f>0+(368.2-112.2)+(0+(0-0))+0-31.5-0</f>
        <v>224.5</v>
      </c>
      <c r="Y250" s="3">
        <f>0+(375.4-125.2)+(0+(-0.765816--0.255408))+0-30.9--0.0630359999999986</f>
        <v>218.85262799999998</v>
      </c>
      <c r="Z250" s="3">
        <f>0+(377.3-125.4)+(0+(-0.384846--0.127908))+0-30.6--0.0312120000000049</f>
        <v>221.07427400000003</v>
      </c>
      <c r="AA250" s="3">
        <f>0+(345.8-93.4)+(0+(-0.529074--0.142902))+0-31.1--0.0475830000000018</f>
        <v>220.96141100000003</v>
      </c>
      <c r="AB250" s="3">
        <f>0+(348.5-101)+(0+(0.177735-0.05151))+0-30.9-0.0157589999999969</f>
        <v>216.710466</v>
      </c>
      <c r="AC250" s="3">
        <f>0+(340.2-96.5)+(0+(0-0))+0-31-0</f>
        <v>212.7</v>
      </c>
      <c r="AD250" s="2">
        <v>224.49999999999997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0+(368.5-133.5)+(0+(-1.315545--0.476595))+0-31--0.11067</f>
        <v>203.27171999999999</v>
      </c>
      <c r="G251" s="3">
        <f>0+(374.6-148.6)+(0+(-0.382092--0.151572))+0-30.9--0.0315180000000049</f>
        <v>194.90099800000002</v>
      </c>
      <c r="H251" s="3">
        <f>0+(342.8-124.6)+(0+(-0.524484--0.190638))+0-30.8--0.0471240000000018</f>
        <v>187.11327800000001</v>
      </c>
      <c r="I251" s="3">
        <f>0+(362.4-144.7)+(0+(0.369648-0.147594))+0-30.9-0.0315180000000049</f>
        <v>186.99053599999999</v>
      </c>
      <c r="J251" s="3">
        <f>0+(339.5-122)+(0+(-0.173145--0.06222))+0-31--0.0158099999999969</f>
        <v>186.40488499999998</v>
      </c>
      <c r="K251" s="3">
        <f>0+(315.7-96.5)+(0+(0.322014-0.09843))+0-30.7-0.0313140000000049</f>
        <v>188.69226999999998</v>
      </c>
      <c r="L251" s="3">
        <f>0+(352.7-146.3)+(0+(-1.259139--0.522291))+0-30.9--0.110313</f>
        <v>174.87346499999995</v>
      </c>
      <c r="M251" s="3">
        <f>0+(299.1-108.7)+(0+(-0.152541--0.055437))+0-31.1--0.0158609999999968</f>
        <v>159.21875700000004</v>
      </c>
      <c r="N251" s="3">
        <f>0+(320.4-124.7)+(0+(0.653616-0.254388))+0-30.9-0.0630359999999986</f>
        <v>165.13619199999997</v>
      </c>
      <c r="O251" s="3">
        <f>0+(413.7-215.8)+(0+(-0.421974--0.220116))+0-30.5--0.0311100000000049</f>
        <v>167.229252</v>
      </c>
      <c r="P251" s="3">
        <f>0+(436.5-242.6)+(0+(-1.558305--0.866082))+0-30.4--0.108528</f>
        <v>162.91630499999999</v>
      </c>
      <c r="Q251" s="3">
        <f>0+(393.2-203.8)+(0+(0.601596-0.311814))+0-30.5-0.0466650000000018</f>
        <v>159.14311699999999</v>
      </c>
      <c r="R251" s="3">
        <f>0+(368.5-178.8)+(0+(0.563805-0.273564))+0-30.6-0.0468180000000018</f>
        <v>159.343423</v>
      </c>
      <c r="S251" s="3">
        <f>0+(401.1-205.2)+(0+(0.409122-0.209304))+0-30.6-0.0312120000000049</f>
        <v>165.46860600000002</v>
      </c>
      <c r="T251" s="3">
        <f>0+(390.8-194.6)+(0+(-0.797232--0.396984))+0-30.4--0.0620159999999987</f>
        <v>165.46176800000001</v>
      </c>
      <c r="U251" s="3">
        <f>0+(366.8-173.4)+(0+(0.561204-0.265302))+0-30.4-0.0465120000000018</f>
        <v>163.24939000000001</v>
      </c>
      <c r="V251" s="3">
        <f>0+(313.1-100.1)+(0+(0-0))+0-31.6-0</f>
        <v>181.40000000000003</v>
      </c>
      <c r="W251" s="3">
        <f>0+(331.9-88.6)+(0+(0.169269-0.045186))+0-32-0.0163199999999968</f>
        <v>211.40776299999999</v>
      </c>
      <c r="X251" s="3">
        <f>0+(325-75.9)+(0+(-0.663--0.154836))+0-32.3--0.0658919999999986</f>
        <v>216.35772799999998</v>
      </c>
      <c r="Y251" s="3">
        <f>0+(358.9-107.6)+(0+(-0.732156--0.219504))+0-32.1--0.0654839999999986</f>
        <v>218.75283199999998</v>
      </c>
      <c r="Z251" s="3">
        <f>0+(379.8-123.4)+(0+(0.387396-0.125868))+0-31.7-0.0323340000000051</f>
        <v>224.929194</v>
      </c>
      <c r="AA251" s="3">
        <f>0+(393.8-137.3)+(0+(-0.200838--0.070023))+0-31.7--0.0161669999999968</f>
        <v>224.68535200000002</v>
      </c>
      <c r="AB251" s="3">
        <f>0+(414.3-159.3)+(0+(-1.056465--0.406215))+0-31.5--0.0803249999999954</f>
        <v>222.93007499999999</v>
      </c>
      <c r="AC251" s="3">
        <f>0+(443.9-194.3)+(0+(-0.905556--0.396372))+0-31.4--0.0640559999999986</f>
        <v>217.75487199999995</v>
      </c>
      <c r="AD251" s="2">
        <v>215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0+(435.3-195.3)+(0+(-0.666009--0.298809))+0-31.3--0.0478890000000018</f>
        <v>208.38068899999999</v>
      </c>
      <c r="G252" s="3">
        <f>0+(384.2-143.6)+(0+(-0.195942--0.073236))+0-31.2--0.0159119999999968</f>
        <v>209.293206</v>
      </c>
      <c r="H252" s="3">
        <f>0+(349.7-111.3)+(0+(-0.356694--0.113526))+0-31.5--0.032130000000005</f>
        <v>206.68896199999998</v>
      </c>
      <c r="I252" s="3">
        <f>0+(337.6-99.9)+(0+(0.172176-0.050949))+0-31.6-0.0161159999999968</f>
        <v>206.20511100000002</v>
      </c>
      <c r="J252" s="3">
        <f>0+(324.5-86.8)+(0+(0.165495-0.044268))+0-31.7-0.0161669999999968</f>
        <v>206.10506000000001</v>
      </c>
      <c r="K252" s="3">
        <f>0+(345.6-99.4)+(0+(0.705024-0.202776))+0-31.2-0.0636479999999986</f>
        <v>215.43860000000004</v>
      </c>
      <c r="L252" s="3">
        <f>0+(393.2-137.8)+(0+(-0.802128--0.281112))+0-31.4--0.0640559999999986</f>
        <v>223.54303999999996</v>
      </c>
      <c r="M252" s="3">
        <f>0+(501.6-227)+(0+(1.023264-0.46308))+0-31.2-0.0636479999999986</f>
        <v>243.89653600000003</v>
      </c>
      <c r="N252" s="3">
        <f>0+(538.4-228.5)+(0+(0.823752-0.349605))+0-30.9-0.0472770000000018</f>
        <v>279.42687000000001</v>
      </c>
      <c r="O252" s="3">
        <f>0+(559-234)+(0+(0.28509-0.11934))+0-31.1-0.0158609999999968</f>
        <v>294.04988900000001</v>
      </c>
      <c r="P252" s="3">
        <f>0+(574.1-247.5)+(0+(0-0))+0-31.4-0</f>
        <v>295.20000000000005</v>
      </c>
      <c r="Q252" s="3">
        <f>0+(582.1-254.9)+(0+(-0.296871--0.129999))+0-31.4--0.0160139999999968</f>
        <v>295.64914200000004</v>
      </c>
      <c r="R252" s="3">
        <f>0+(596.1-267.8)+(0+(-2.128077--0.956046))+0-31.1--0.111027</f>
        <v>296.13899599999996</v>
      </c>
      <c r="S252" s="3">
        <f>0+(602.1-282.4)+(0+(0-0))+0-31.7-0</f>
        <v>288.00000000000006</v>
      </c>
      <c r="T252" s="3">
        <f>0+(607.1-294)+(0+(0-0))+0-31.4-0</f>
        <v>281.70000000000005</v>
      </c>
      <c r="U252" s="3">
        <f>0+(608.5-290.3)+(0+(0.62067-0.296106))+0-31.4-0.032028000000005</f>
        <v>287.092536</v>
      </c>
      <c r="V252" s="3">
        <f>0+(567-234.8)+(0+(-0.86751--0.359244))+0-32--0.0489600000000018</f>
        <v>299.74069400000002</v>
      </c>
      <c r="W252" s="3">
        <f>0+(494.1-139.5)+(0+(-0.755973--0.213435))+0-32.5--0.0497250000000019</f>
        <v>321.60718700000007</v>
      </c>
      <c r="X252" s="3">
        <f>0+(503.6-157.6)+(0+(0-0))+0-32-0</f>
        <v>314</v>
      </c>
      <c r="Y252" s="3">
        <f>0+(551.4-215.5)+(0+(1.124856-0.43962))+0-32.4-0.0660959999999986</f>
        <v>304.11913999999996</v>
      </c>
      <c r="Z252" s="3">
        <f>0+(581-246.8)+(0+(0.88893-0.377604))+0-31.5-0.0481950000000018</f>
        <v>303.16313099999996</v>
      </c>
      <c r="AA252" s="3">
        <f>0+(624.2-292)+(0+(0.955026-0.44676))+0-32-0.0489600000000018</f>
        <v>300.65930600000002</v>
      </c>
      <c r="AB252" s="3">
        <f>0+(633.5-319.6)+(0+(-0.64617--0.325992))+0-31.7--0.0323340000000051</f>
        <v>281.91215599999998</v>
      </c>
      <c r="AC252" s="3">
        <f>0+(628.5-326.5)+(0+(-0.961605--0.499545))+0-30.9--0.0472770000000018</f>
        <v>270.68521700000002</v>
      </c>
      <c r="AD252" s="2">
        <v>324.2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0+(486.8-194.5)+(0+(-0.496536--0.19839))+0-31--0.0316200000000049</f>
        <v>261.03347400000007</v>
      </c>
      <c r="G253" s="3">
        <f>0+(368.3-87.2)+(0+(-1.314831--0.311304))+0-31.4--0.112098</f>
        <v>248.808571</v>
      </c>
      <c r="H253" s="3">
        <f>0+(288.9-9.9)+(0+(0.147339-0.005049))+0-31.1-0.0158609999999968</f>
        <v>248.02642900000001</v>
      </c>
      <c r="I253" s="3">
        <f>0+(265.6-0)+(0+(0.270912-0))+0-31.1-0.031722000000005</f>
        <v>234.73919000000004</v>
      </c>
      <c r="J253" s="3">
        <f>0+(266.5-0)+(0+(-0.135915-0))+0-31.3--0.0159629999999968</f>
        <v>235.08004799999998</v>
      </c>
      <c r="K253" s="3">
        <f>0+(281.9-0)+(0+(0-0))+0-30.9-0</f>
        <v>250.99999999999997</v>
      </c>
      <c r="L253" s="3">
        <f>0+(328.7-19.3)+(0+(-0.502911--0.029529))+0-31.3--0.0478890000000018</f>
        <v>277.67450699999995</v>
      </c>
      <c r="M253" s="3">
        <f>0+(442.8-121.6)+(0+(-0.451656--0.124032))+0-31.5--0.032130000000005</f>
        <v>289.40450600000003</v>
      </c>
      <c r="N253" s="3">
        <f>0+(485.1-140.1)+(0+(0-0))+0-31.5-0</f>
        <v>313.5</v>
      </c>
      <c r="O253" s="3">
        <f>0+(538.5-191.8)+(0+(-0.274635--0.097818))+0-31.7--0.0161669999999968</f>
        <v>314.83934999999997</v>
      </c>
      <c r="P253" s="3">
        <f>56.1+(564.7-274.5)+(-0.057222+(-0.575994--0.27999))+0-31.6--0.032232000000005</f>
        <v>314.37900600000006</v>
      </c>
      <c r="Q253" s="3">
        <f>60.6+(550.7-258.4)+(-0.092718+(-0.842571--0.395352))+0-31.5--0.0481950000000018</f>
        <v>320.9082580000001</v>
      </c>
      <c r="R253" s="3">
        <f>60.6+(562.2-273.7)+(-0.030906+(-0.286722--0.139587))+0-31.1--0.0158609999999968</f>
        <v>317.83782000000002</v>
      </c>
      <c r="S253" s="3">
        <f>60.6+(530.7-241.1)+(-0.061812+(-0.541314--0.245922))+0-31.3--0.031926000000005</f>
        <v>318.57472200000001</v>
      </c>
      <c r="T253" s="3">
        <f>60.6+(553.7-270.2)+(0.061812+(0.564774-0.275604))+0-31-0.0316200000000049</f>
        <v>313.41936200000004</v>
      </c>
      <c r="U253" s="3">
        <f>60.6+(514.9-245.5)+(-0.092718+(-0.787797--0.375615))+0-30.9--0.0472770000000018</f>
        <v>298.64237700000001</v>
      </c>
      <c r="V253" s="3">
        <f>60.6+(432.4-139.2)+(-0.061812+(-0.441048--0.141984))+0-31.4--0.032028000000005</f>
        <v>322.07115200000004</v>
      </c>
      <c r="W253" s="3">
        <f>112.5+(412.6-152.2)+(-0.172125+(-0.631278--0.232866))+0-31.5--0.0481950000000018</f>
        <v>340.87765800000005</v>
      </c>
      <c r="X253" s="3">
        <f>127.5+(440.5-206)+(-0.325125+(-1.123275--0.5253))+0-31.2--0.0795599999999955</f>
        <v>329.95646000000005</v>
      </c>
      <c r="Y253" s="3">
        <f>65.7+(500.7-213)+(0.033507+(0.255357-0.10863))+0-31.8-0.0162179999999968</f>
        <v>321.76401599999997</v>
      </c>
      <c r="Z253" s="3">
        <f>65.6+(517.2-231)+(-0.100368+(-0.791316--0.35343))+0-31.4--0.0480420000000018</f>
        <v>319.90978800000011</v>
      </c>
      <c r="AA253" s="3">
        <f>65.6+(432.1-158.7)+(-0.16728+(-1.101855--0.404685))+0-31--0.0790499999999955</f>
        <v>307.21460000000002</v>
      </c>
      <c r="AB253" s="3">
        <f>65.7+(352.5-96.4)+(-0.033507+(-0.179775--0.049164))+0-31.1--0.0158609999999968</f>
        <v>290.55174299999999</v>
      </c>
      <c r="AC253" s="3">
        <f>65.7+(324.9-80.8)+(-0.100521+(-0.497097--0.123624))+0-31.6--0.0483480000000018</f>
        <v>277.7743539999999</v>
      </c>
      <c r="AD253" s="2">
        <v>321.69999999999993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32.3+(325.7-56.8)+(-0.065892+(-0.664428--0.115872))+0-31.6--0.0644639999999986</f>
        <v>269.05001599999997</v>
      </c>
      <c r="G254" s="3">
        <f>0+(333.8-36.5)+(0+(0-0))+0-30.3-0</f>
        <v>267</v>
      </c>
      <c r="H254" s="3">
        <f>0+(292.7-4.4)+(0+(-0.597108--0.008976))+0-30.8--0.0628319999999987</f>
        <v>256.97470000000004</v>
      </c>
      <c r="I254" s="3">
        <f>0+(281.8-0)+(0+(-0.143718-0))+0-30.9--0.0157589999999969</f>
        <v>250.77204100000003</v>
      </c>
      <c r="J254" s="3">
        <f>0+(285.5-0)+(0+(0.436815-0))+0-31.3-0.0478890000000018</f>
        <v>254.58892600000001</v>
      </c>
      <c r="K254" s="3">
        <f>0+(286.1-0)+(0+(0.583644-0))+0-31.4-0.0640559999999986</f>
        <v>255.21958800000002</v>
      </c>
      <c r="L254" s="3">
        <f>0+(321.9-20.1)+(0+(0.164169-0.010251))+0-31.3-0.0159629999999968</f>
        <v>270.63795499999992</v>
      </c>
      <c r="M254" s="3">
        <f>0+(323.4-14.7)+(0+(-0.329868--0.014994))+0-31.8--0.0324360000000051</f>
        <v>276.61756200000002</v>
      </c>
      <c r="N254" s="3">
        <f>1.5+(333.1-0)+(0+(0-0))+0-31.8-0</f>
        <v>302.8</v>
      </c>
      <c r="O254" s="3">
        <f>129.8+(241.3-25.6)+(-0.33099+(-0.615315--0.06528))+0-31.7--0.0808349999999954</f>
        <v>312.99980999999997</v>
      </c>
      <c r="P254" s="3">
        <f>135+(244.8-30)+(-0.34425+(-0.62424--0.0765))+0-31.9--0.0813449999999954</f>
        <v>317.08935500000001</v>
      </c>
      <c r="Q254" s="3">
        <f>135.1+(250.2-49.4)+(-0.206703+(-0.382806--0.075582))+0-17.4--0.026622000000001</f>
        <v>318.01269499999995</v>
      </c>
      <c r="R254" s="3">
        <f>95.9+(257.4-11.2)+(-0.097818+(-0.262548--0.011424))+0-29.3--0.0298860000000047</f>
        <v>312.48094399999997</v>
      </c>
      <c r="S254" s="3">
        <f>50.5+(278.5-0)+(-0.025755+(-0.142035-0))+0-31.7--0.0161669999999968</f>
        <v>297.14837699999998</v>
      </c>
      <c r="T254" s="3">
        <f>50+(275-0)+(-0.051+(-0.2805-0))+0-31--0.0316200000000049</f>
        <v>293.70012000000003</v>
      </c>
      <c r="U254" s="3">
        <f>50+(278-0)+(-0.051+(-0.28356-0))+0-32--0.0326400000000051</f>
        <v>295.69808</v>
      </c>
      <c r="V254" s="3">
        <f>99+(214.6-0)+(0+(0-0))+0-31-0</f>
        <v>282.60000000000002</v>
      </c>
      <c r="W254" s="3">
        <f>135.5+(247.1-12.7)+(0.207315+(0.378063-0.019431))+0-31.6-0.0483480000000018</f>
        <v>338.81759899999997</v>
      </c>
      <c r="X254" s="3">
        <f>134+(284.9-61.3)+(-0.06834+(-0.145299--0.031263))+0-30.3--0.0154529999999969</f>
        <v>327.13307699999996</v>
      </c>
      <c r="Y254" s="3">
        <f>134.1+(307.8-85.6)+(0+(0-0))+0-30.7-0</f>
        <v>325.60000000000002</v>
      </c>
      <c r="Z254" s="3">
        <f>133.7+(296.3-83.2)+(-0.068187+(-0.151113--0.042432))+0-31.6--0.0161159999999968</f>
        <v>315.03924799999999</v>
      </c>
      <c r="AA254" s="3">
        <f>133.9+(260.9-58.5)+(-0.136578+(-0.266118--0.05967))+0-31.4--0.032028000000005</f>
        <v>304.58900199999999</v>
      </c>
      <c r="AB254" s="3">
        <f>81.9+(238.1-0)+(-0.125307+(-0.364293-0))+0-31.7--0.0485010000000018</f>
        <v>287.858901</v>
      </c>
      <c r="AC254" s="3">
        <f>45+(258.5-0)+(-0.11475+(-0.659175-0))+0-31.5--0.0803249999999954</f>
        <v>271.3064</v>
      </c>
      <c r="AD254" s="2">
        <v>346.6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0+(296-0)+(0+(-0.60384-0))+0-31.2--0.0636479999999986</f>
        <v>264.25980800000002</v>
      </c>
      <c r="G255" s="3">
        <f>0+(288.7-0)+(0+(-0.147237-0))+0-31.5--0.0160649999999968</f>
        <v>257.06882799999994</v>
      </c>
      <c r="H255" s="3">
        <f>0+(285.7-0)+(0+(-0.582828-0))+0-31.3--0.0638519999999986</f>
        <v>253.88102399999997</v>
      </c>
      <c r="I255" s="3">
        <f>0+(279-0)+(0+(0.14229-0))+0-31.3-0.0159629999999968</f>
        <v>247.82632699999999</v>
      </c>
      <c r="J255" s="3">
        <f>0+(277.3-0)+(0+(-0.424269-0))+0-31.1--0.0475830000000018</f>
        <v>245.82331400000004</v>
      </c>
      <c r="K255" s="3">
        <f>0+(284.2-0)+(0+(0.434826-0))+0-31.7-0.0485010000000018</f>
        <v>252.88632499999997</v>
      </c>
      <c r="L255" s="3">
        <f>0+(287.9-0)+(0+(-0.146829-0))+0-30.8--0.0157079999999969</f>
        <v>256.96887899999996</v>
      </c>
      <c r="M255" s="3">
        <f>0+(306.3-0)+(0+(0.781065-0))+0-32.4-0.0826199999999953</f>
        <v>274.59844500000003</v>
      </c>
      <c r="N255" s="3">
        <f>0+(337.2-0)+(0+(0.85986-0))+0-32.2-0.0821099999999953</f>
        <v>305.77775000000003</v>
      </c>
      <c r="O255" s="3">
        <f>43+(312.7-4.7)+(0.02193+(0.159477-0.002397))+0-31.4-0.0160139999999968</f>
        <v>319.76299600000004</v>
      </c>
      <c r="P255" s="3">
        <f>138+(241.4-20.2)+(0.07038+(0.123114-0.010302))+0-29.4-0.014993999999997</f>
        <v>329.96819800000009</v>
      </c>
      <c r="Q255" s="3">
        <f>138+(235.1-20.8)+(-0.14076+(-0.239802--0.021216))+0-30.6--0.0312120000000049</f>
        <v>321.3718659999999</v>
      </c>
      <c r="R255" s="3">
        <f>138+(230-25)+(-0.42228+(-0.7038--0.0765))+0-30.6--0.0936360000000035</f>
        <v>311.44405599999999</v>
      </c>
      <c r="S255" s="3">
        <f>77+(325-66)+(-0.19635+(-0.82875--0.1683))+0-30.6--0.0780299999999956</f>
        <v>304.62122999999997</v>
      </c>
      <c r="T255" s="3">
        <f>51+(365-100)+(0.02601+(0.18615-0.051))+0-30.6-0.0156059999999969</f>
        <v>285.54555399999998</v>
      </c>
      <c r="U255" s="3">
        <f>62+(343-77)+(0.03162+(0.17493-0.03927))+0-30.6-0.0156059999999969</f>
        <v>297.55167399999999</v>
      </c>
      <c r="V255" s="3">
        <f>60+(284.5-22.6)+(-0.0918+(-0.435285--0.034578))+0-31.5--0.0481950000000018</f>
        <v>289.95568800000001</v>
      </c>
      <c r="W255" s="3">
        <f>108+(269.4-32.8)+(0.05508+(0.137394-0.016728))+0-32.1-0.0163709999999967</f>
        <v>312.65937499999995</v>
      </c>
      <c r="X255" s="3">
        <f>130.2+(268.6-54)+(-0.33201+(-0.68493--0.1377))+0-32--0.0815999999999954</f>
        <v>312.00236000000001</v>
      </c>
      <c r="Y255" s="3">
        <f>112.9+(281.9-56.3)+(-0.057579+(-0.143769--0.028713))+0-31.7--0.0161669999999968</f>
        <v>306.64353199999999</v>
      </c>
      <c r="Z255" s="3">
        <f>105.9+(309.8-83.7)+(0+(0-0))+0-31.7-0</f>
        <v>300.3</v>
      </c>
      <c r="AA255" s="3">
        <f>105.9+(299.4-78)+(-0.054009+(-0.152694--0.03978))+0-31.6--0.0161159999999968</f>
        <v>295.54919299999995</v>
      </c>
      <c r="AB255" s="3">
        <f>105+(274.6-67.2)+(-0.26775+(-0.70023--0.17136))+0-31.6--0.0805799999999954</f>
        <v>280.08395999999999</v>
      </c>
      <c r="AC255" s="3">
        <f>20.7+(344.4-59.9)+(-0.021114+(-0.351288--0.061098))+0-28.1--0.0286620000000045</f>
        <v>276.81735799999996</v>
      </c>
      <c r="AD255" s="2">
        <v>315.8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0+(369-65.7)+(0+(0.56457-0.100521))+0-30.9-0.0472770000000018</f>
        <v>272.81677200000001</v>
      </c>
      <c r="G256" s="3">
        <f>0+(369.6-67.5)+(0+(0-0))+0-31.2-0</f>
        <v>270.90000000000003</v>
      </c>
      <c r="H256" s="3">
        <f>0+(319.4-24.9)+(0+(0.162894-0.012699))+0-31.3-0.0159629999999968</f>
        <v>263.33423199999999</v>
      </c>
      <c r="I256" s="3">
        <f>0+(317.7-26.2)+(0+(-0.162027--0.013362))+0-31.1--0.0158609999999968</f>
        <v>260.26719599999996</v>
      </c>
      <c r="J256" s="3">
        <f>0+(310.3-25.6)+(0+(0-0))+0-30.9-0</f>
        <v>253.79999999999998</v>
      </c>
      <c r="K256" s="3">
        <f>0+(288.4-11)+(0+(0.294168-0.01122))+0-30.8-0.0314160000000049</f>
        <v>246.85153199999993</v>
      </c>
      <c r="L256" s="3">
        <f>0+(287-12.1)+(0+(-1.31733--0.055539))+0-31.5--0.144585000000005</f>
        <v>242.28279399999997</v>
      </c>
      <c r="M256" s="3">
        <f>0+(288.7-22.7)+(0+(0.294474-0.023154))+0-31.4-0.032028000000005</f>
        <v>234.839292</v>
      </c>
      <c r="N256" s="3">
        <f>0+(283.1-19.7)+(0+(-0.288762--0.020094))+0-31.5--0.032130000000005</f>
        <v>231.66346200000004</v>
      </c>
      <c r="O256" s="3">
        <f>0+(417.3-139.7)+(0+(0.425646-0.142494))+0-30.9-0.0315180000000049</f>
        <v>246.95163399999998</v>
      </c>
      <c r="P256" s="3">
        <f>0+(425.7-140.8)+(0+(0.217107-0.071808))+0-30.4-0.0155039999999969</f>
        <v>254.629795</v>
      </c>
      <c r="Q256" s="3">
        <f>0+(413.4-126.9)+(0+(-0.421668--0.129438))+0-32.3--0.0329460000000051</f>
        <v>253.94071599999998</v>
      </c>
      <c r="R256" s="3">
        <f>0+(422.8-137.1)+(0+(-0.862512--0.279684))+0-30.9--0.0630359999999986</f>
        <v>254.28020800000004</v>
      </c>
      <c r="S256" s="3">
        <f>0+(422.7-156.8)+(0+(-0.431154--0.159936))+0-28.1--0.0286620000000045</f>
        <v>237.557444</v>
      </c>
      <c r="T256" s="3">
        <f>0+(410.2-144.4)+(0+(-0.836808--0.294576))+0-30.9--0.0630359999999986</f>
        <v>234.42080399999995</v>
      </c>
      <c r="U256" s="3">
        <f>0+(363-96.3)+(0+(-0.37026--0.098226))+0-31.4--0.032028000000005</f>
        <v>235.05999399999996</v>
      </c>
      <c r="V256" s="3">
        <f>0+(336.7-58.7)+(0+(0-0))+0-30.2-0</f>
        <v>247.8</v>
      </c>
      <c r="W256" s="3">
        <f>0+(336.6-28.3)+(0+(0-0))+0-33-0</f>
        <v>275.3</v>
      </c>
      <c r="X256" s="3">
        <f>0+(345.4-32)+(0+(-0.704616--0.06528))+0-33.2--0.0677279999999986</f>
        <v>279.62839199999996</v>
      </c>
      <c r="Y256" s="3">
        <f>0+(303.1-0)+(0+(0.463743-0))+0-33-0.0504900000000019</f>
        <v>270.51325300000002</v>
      </c>
      <c r="Z256" s="3">
        <f>0+(301.8-0)+(0+(-0.461754-0))+0-32.9--0.0503370000000019</f>
        <v>268.48858300000006</v>
      </c>
      <c r="AA256" s="3">
        <f>0+(344.5-36)+(0+(-0.35139--0.03672))+0-32.1--0.0327420000000051</f>
        <v>276.11807199999998</v>
      </c>
      <c r="AB256" s="3">
        <f>0+(379.8-81.9)+(0+(-0.581094--0.125307))+0-31.6--0.0483480000000018</f>
        <v>265.89256099999994</v>
      </c>
      <c r="AC256" s="3">
        <f>0+(408.4-126.2)+(0+(-0.833136--0.257448))+0-32--0.0652799999999986</f>
        <v>249.68959199999998</v>
      </c>
      <c r="AD256" s="2">
        <v>280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0+(383.9-110.8)+(0+(-0.978945--0.28254))+0-31.5--0.0803249999999954</f>
        <v>240.98391999999993</v>
      </c>
      <c r="G257" s="3">
        <f>0+(381.2-113.8)+(0+(-0.777648--0.232152))+0-31.1--0.0634439999999986</f>
        <v>235.81794799999997</v>
      </c>
      <c r="H257" s="3">
        <f>0+(388.5-118.2)+(0+(-0.39627--0.120564))+0-31.3--0.031926000000005</f>
        <v>238.75621999999998</v>
      </c>
      <c r="I257" s="3">
        <f>0+(354.2-84.7)+(0+(-0.541926--0.129591))+0-30.7--0.0469710000000018</f>
        <v>238.43463600000004</v>
      </c>
      <c r="J257" s="3">
        <f>0+(356.6-87.8)+(0+(0-0))+0-31.1-0</f>
        <v>237.70000000000002</v>
      </c>
      <c r="K257" s="3">
        <f>0+(331.2-53.4)+(0+(0.506736-0.081702))+0-31.1-0.0475830000000018</f>
        <v>247.077451</v>
      </c>
      <c r="L257" s="3">
        <f>0+(317.9-30.1)+(0+(-0.324258--0.030702))+0-31.5--0.032130000000005</f>
        <v>256.03857399999993</v>
      </c>
      <c r="M257" s="3">
        <f>0+(356.3-51.1)+(0+(0.908565-0.130305))+0-29.6-0.0754799999999957</f>
        <v>276.30277999999998</v>
      </c>
      <c r="N257" s="3">
        <f>0+(441.3-101)+(0+(0.450126-0.10302))+0-31.2-0.031824000000005</f>
        <v>309.41528199999999</v>
      </c>
      <c r="O257" s="3">
        <f>0+(499.9-146.3)+(0+(0.509898-0.149226))+0-31.4-0.032028000000005</f>
        <v>322.52864399999999</v>
      </c>
      <c r="P257" s="3">
        <f>0+(468.7-113.3)+(0+(-0.239037--0.057783))+0-31.3--0.0159629999999968</f>
        <v>323.93470899999994</v>
      </c>
      <c r="Q257" s="3">
        <f>0+(460.8-101.7)+(0+(-0.470016--0.103734))+0-31.8--0.0324360000000051</f>
        <v>326.96615400000002</v>
      </c>
      <c r="R257" s="3">
        <f>0+(398.9-47.2)+(0+(-1.017195--0.12036))+0-31.4--0.0800699999999954</f>
        <v>319.48323499999998</v>
      </c>
      <c r="S257" s="3">
        <f>0+(423.8-85.1)+(0+(0.216138-0.043401))+0-31.7-0.0161669999999968</f>
        <v>307.15657000000004</v>
      </c>
      <c r="T257" s="3">
        <f>0+(458.3-121)+(0+(0-0))+0-31.6-0</f>
        <v>305.7</v>
      </c>
      <c r="U257" s="3">
        <f>0+(375.5-39.1)+(0+(-0.574515--0.059823))+0-31.3--0.0478890000000018</f>
        <v>304.63319699999994</v>
      </c>
      <c r="V257" s="3">
        <f>0+(556.6-206)+(0+(0.283866-0.10506))+0-31.8-0.0162179999999968</f>
        <v>318.96258800000004</v>
      </c>
      <c r="W257" s="3">
        <f>0+(433.6-63.7)+(0+(-0.442272--0.064974))+0-32.7--0.0333540000000052</f>
        <v>336.85605600000008</v>
      </c>
      <c r="X257" s="3">
        <f>0+(406.9-47.1)+(0+(0.207519-0.024021))+0-32.2-0.0164219999999967</f>
        <v>327.76707599999997</v>
      </c>
      <c r="Y257" s="3">
        <f>0+(417-65.5)+(0+(-0.63801--0.100215))+0-32.5--0.0497250000000019</f>
        <v>318.51193000000001</v>
      </c>
      <c r="Z257" s="3">
        <f>0+(364.4-28.5)+(0+(-1.115064--0.08721))+0-32.5--0.0994500000000038</f>
        <v>302.47159599999998</v>
      </c>
      <c r="AA257" s="3">
        <f>0+(346.4-14)+(0+(-1.236648--0.04998))+0-31.4--0.112098</f>
        <v>299.92543000000001</v>
      </c>
      <c r="AB257" s="3">
        <f>0+(328-5.5)+(0+(-0.8364--0.014025))+0-31.4--0.0800699999999954</f>
        <v>290.35769499999998</v>
      </c>
      <c r="AC257" s="3">
        <f>0+(304.7-0)+(0+(-0.776985-0))+0-31.6--0.0805799999999954</f>
        <v>272.40359499999994</v>
      </c>
      <c r="AD257" s="2">
        <v>331.3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0+(294.3-0)+(0+(-0.150093-0))+0-31.1--0.0158609999999968</f>
        <v>263.06576799999993</v>
      </c>
      <c r="G258" s="3">
        <f>0+(300.1-0)+(0+(-0.612204-0))+0-30.1--0.0614039999999987</f>
        <v>269.44919999999996</v>
      </c>
      <c r="H258" s="3">
        <f>0+(301-0)+(0+(0-0))+0-30.9-0</f>
        <v>270.10000000000002</v>
      </c>
      <c r="I258" s="3">
        <f>0+(295.1-0)+(0+(0.451503-0))+0-30.2-0.0462060000000017</f>
        <v>265.30529700000005</v>
      </c>
      <c r="J258" s="3">
        <f>0+(291.9-0)+(0+(0.595476-0))+0-29.6-0.0603839999999987</f>
        <v>262.83509199999997</v>
      </c>
      <c r="K258" s="3">
        <f>0+(301.9-10.8)+(0+(-0.307938--0.011016))+0-26.6--0.0271320000000042</f>
        <v>264.23020999999994</v>
      </c>
      <c r="L258" s="3">
        <f>0+(383-76.9)+(0+(0-0))+0-30.9-0</f>
        <v>275.20000000000005</v>
      </c>
      <c r="M258" s="3">
        <f>0+(380.7-61.9)+(0+(0.582471-0.094707))+0-31.3-0.0478890000000018</f>
        <v>287.93987500000003</v>
      </c>
      <c r="N258" s="3">
        <f>0+(346.6-5.6)+(0+(0-0))+0-31.8-0</f>
        <v>309.2</v>
      </c>
      <c r="O258" s="3">
        <f>0+(388.8-53.6)+(0+(0-0))+0-31.8-0</f>
        <v>303.39999999999998</v>
      </c>
      <c r="P258" s="3">
        <f>0+(417.4-24.2)+(0+(0-0))+0-31.9-0</f>
        <v>361.3</v>
      </c>
      <c r="Q258" s="3">
        <f>0+(385.6-18.8)+(0+(-0.589968--0.028764))+0-32.3--0.0494190000000019</f>
        <v>333.98821500000003</v>
      </c>
      <c r="R258" s="3">
        <f>0+(376.6-24.6)+(0+(-0.96033--0.06273))+0-32.1--0.0818549999999953</f>
        <v>319.08425499999998</v>
      </c>
      <c r="S258" s="3">
        <f>0+(354.8-16.8)+(0+(-0.361896--0.017136))+0-31.6--0.032232000000005</f>
        <v>306.08747199999999</v>
      </c>
      <c r="T258" s="3">
        <f>0+(377-33.7)+(0+(-0.19227--0.017187))+0-31.7--0.0161669999999968</f>
        <v>311.44108400000005</v>
      </c>
      <c r="U258" s="3">
        <f>0+(340-1.8)+(0+(0.5202-0.002754))+0-31.9-0.0488070000000018</f>
        <v>306.76863900000001</v>
      </c>
      <c r="V258" s="3">
        <f>0+(386.2-34.1)+(0+(0.196962-0.017391))+0-32-0.0163199999999968</f>
        <v>320.26325099999997</v>
      </c>
      <c r="W258" s="3">
        <f>0+(510.1-137.6)+(0+(0.520302-0.140352))+0-31.2-0.031824000000005</f>
        <v>341.64812599999999</v>
      </c>
      <c r="X258" s="3">
        <f>0+(369.8-0)+(0+(0-0))+0-32.1-0</f>
        <v>337.7</v>
      </c>
      <c r="Y258" s="3">
        <f>0+(354-0)+(0+(0.36108-0))+0-31.8-0.0324360000000051</f>
        <v>322.52864399999999</v>
      </c>
      <c r="Z258" s="3">
        <f>0+(346.5-0)+(0+(0-0))+0-31.7-0</f>
        <v>314.8</v>
      </c>
      <c r="AA258" s="3">
        <f>0+(359.2-13.3)+(0+(-0.366384--0.013566))+0-31.7--0.0323340000000051</f>
        <v>313.87951599999997</v>
      </c>
      <c r="AB258" s="3">
        <f>0+(331.3-0)+(0+(-0.844815-0))+0-31.4--0.0800699999999954</f>
        <v>299.13525500000003</v>
      </c>
      <c r="AC258" s="3">
        <f>0+(339.8-12.7)+(0+(-0.86649--0.032385))+0-31.5--0.0803249999999954</f>
        <v>294.84622000000002</v>
      </c>
      <c r="AD258" s="2">
        <v>334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0+(344.8-37.5)+(0+(-0.527544--0.057375))+0-26.5--0.0405450000000015</f>
        <v>280.37037600000002</v>
      </c>
      <c r="G259" s="3">
        <f>0+(327.2-22.9)+(0+(-0.333744--0.023358))+0-30.9--0.0315180000000049</f>
        <v>273.12113200000005</v>
      </c>
      <c r="H259" s="3">
        <f>0+(345.9-45.7)+(0+(-0.352818--0.046614))+0-31.6--0.032232000000005</f>
        <v>268.32602800000001</v>
      </c>
      <c r="I259" s="3">
        <f>0+(341.6-47)+(0+(-0.522648--0.07191))+0-31.6--0.0483480000000018</f>
        <v>262.59760999999997</v>
      </c>
      <c r="J259" s="3">
        <f>0+(350.5-56.7)+(0+(0.178755-0.028917))+0-31.2-0.0159119999999968</f>
        <v>262.733926</v>
      </c>
      <c r="K259" s="3">
        <f>0+(367.5-63.9)+(0+(0-0))+0-31.5-0</f>
        <v>272.10000000000002</v>
      </c>
      <c r="L259" s="3">
        <f>0+(343.1-18.3)+(0+(-0.874905--0.046665))+0-31.5--0.0803249999999954</f>
        <v>292.55208500000003</v>
      </c>
      <c r="M259" s="3">
        <f>0+(400.4-77.6)+(0+(1.02102-0.19788))+0-31.5-0.0803249999999954</f>
        <v>292.04281499999996</v>
      </c>
      <c r="N259" s="3">
        <f>0+(417.1-61.8)+(0+(0.425442-0.063036))+0-31.7-0.0323340000000051</f>
        <v>323.93007200000005</v>
      </c>
      <c r="O259" s="3">
        <f>0+(416.6-50.7)+(0+(0.637398-0.077571))+0-30.8-0.0471240000000018</f>
        <v>335.61270300000001</v>
      </c>
      <c r="P259" s="3">
        <f>79+(353.6-64.8)+(-0.20145+(-0.90168--0.16524))+0-31.6--0.0805799999999954</f>
        <v>335.34269</v>
      </c>
      <c r="Q259" s="3">
        <f>133.1+(352.8-110.6)+(-0.271524+(-0.719712--0.225624))+0-31.8--0.0648719999999986</f>
        <v>342.79926</v>
      </c>
      <c r="R259" s="3">
        <f>132.1+(348.9-112)+(-0.538968+(-1.423512--0.45696))+0-31.6--0.128927999999997</f>
        <v>336.02340799999996</v>
      </c>
      <c r="S259" s="3">
        <f>77.5+(329.4-50.8)+(-0.118575+(-0.503982--0.077724))+0-31.5--0.0481950000000018</f>
        <v>324.103362</v>
      </c>
      <c r="T259" s="3">
        <f>65.6+(340.2-52.5)+(-0.033456+(-0.173502--0.026775))+0-31.6--0.0161159999999968</f>
        <v>321.53593299999994</v>
      </c>
      <c r="U259" s="3">
        <f>65.7+(336.9-49.1)+(-0.033507+(-0.171819--0.025041))+0-31.6--0.0161159999999968</f>
        <v>321.73583099999991</v>
      </c>
      <c r="V259" s="3">
        <f>79.7+(369.2-85.9)+(0.040647+(0.188292-0.043809))+0-31.2-0.0159119999999968</f>
        <v>331.96921799999996</v>
      </c>
      <c r="W259" s="3">
        <f>131.3+(296.8-47.2)+(0+(0-0))+0-32.3-0</f>
        <v>348.6</v>
      </c>
      <c r="X259" s="3">
        <f>130+(242.3-0)+(-0.3315+(-0.617865-0))+0-31.1--0.0793049999999955</f>
        <v>340.32993999999997</v>
      </c>
      <c r="Y259" s="3">
        <f>108.1+(251.1-0)+(-0.220524+(-0.512244-0))+0-31.8--0.0648719999999986</f>
        <v>326.73210399999994</v>
      </c>
      <c r="Z259" s="3">
        <f>7.7+(350.4-0)+(-0.007854+(-0.357408-0))+0-32.1--0.0327420000000051</f>
        <v>325.66747999999995</v>
      </c>
      <c r="AA259" s="3">
        <f>0+(350.1-0)+(0+(-1.071306-0))+0-32.3--0.0988380000000037</f>
        <v>316.82753200000002</v>
      </c>
      <c r="AB259" s="3">
        <f>0+(353.1-11.6)+(0+(-0.900405--0.02958))+0-31.9--0.0813449999999954</f>
        <v>308.81052</v>
      </c>
      <c r="AC259" s="3">
        <f>0+(410.9-83)+(0+(-0.628677--0.12699))+0-31.5--0.0481950000000018</f>
        <v>295.94650799999999</v>
      </c>
      <c r="AD259" s="2">
        <v>333.4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0+(458.1-137.4)+(0+(0-0))+0-30.8-0</f>
        <v>289.90000000000003</v>
      </c>
      <c r="G260" s="3">
        <f>0+(371.8-64)+(0+(-0.379236--0.06528))+0-31.3--0.031926000000005</f>
        <v>276.21796999999998</v>
      </c>
      <c r="H260" s="3">
        <f>0+(343.1-31.9)+(0+(0.174981-0.016269))+0-29.8-0.015197999999997</f>
        <v>281.54351400000002</v>
      </c>
      <c r="I260" s="3">
        <f>0+(336.9-29.1)+(0+(0.515457-0.044523))+0-30.5-0.0466650000000018</f>
        <v>277.72426899999994</v>
      </c>
      <c r="J260" s="3">
        <f>0+(328.8-22.4)+(0+(0-0))+0-31.5-0</f>
        <v>274.90000000000003</v>
      </c>
      <c r="K260" s="3">
        <f>0+(348.3-41.3)+(0+(0.355266-0.042126))+0-30.1-0.0307020000000048</f>
        <v>277.18243799999993</v>
      </c>
      <c r="L260" s="3">
        <f>0+(344.3-27.5)+(0+(-0.351186--0.02805))+0-31.3--0.031926000000005</f>
        <v>285.20879000000002</v>
      </c>
      <c r="M260" s="3">
        <f>0+(365.9-31.3)+(0+(0.373218-0.031926))+0-31.6-0.032232000000005</f>
        <v>303.30905999999993</v>
      </c>
      <c r="N260" s="3">
        <f>0+(381.4-27.5)+(0+(0.389028-0.02805))+0-31.6-0.032232000000005</f>
        <v>322.62874599999992</v>
      </c>
      <c r="O260" s="3">
        <f>0+(367.3-8.8)+(0+(-1.123938--0.026928))+0-32.6--0.0997560000000038</f>
        <v>324.90274599999998</v>
      </c>
      <c r="P260" s="3">
        <f>0+(358.9-0)+(0+(0-0))+0-31.8-0</f>
        <v>327.09999999999997</v>
      </c>
      <c r="Q260" s="3">
        <f>0+(367.6-0)+(0+(0.187476-0))+0-31.7-0.0161669999999968</f>
        <v>336.07130900000004</v>
      </c>
      <c r="R260" s="3">
        <f>0+(367.2-0)+(0+(-0.374544-0))+0-32.2--0.0328440000000051</f>
        <v>334.6583</v>
      </c>
      <c r="S260" s="3">
        <f>0+(355.1-0)+(0+(-0.543303-0))+0-32.7--0.0500310000000019</f>
        <v>321.90672800000004</v>
      </c>
      <c r="T260" s="3">
        <f>0+(365.1-7.4)+(0+(0.372402-0.007548))+0-32.7-0.0333540000000052</f>
        <v>325.33150000000001</v>
      </c>
      <c r="U260" s="3">
        <f>0+(379.8-23.3)+(0+(-0.387396--0.023766))+0-32.8--0.0334560000000052</f>
        <v>323.36982599999999</v>
      </c>
      <c r="V260" s="3">
        <f>0+(364-0)+(0+(-0.18564-0))+0-30.4--0.0155039999999969</f>
        <v>333.42986400000007</v>
      </c>
      <c r="W260" s="3">
        <f>0+(407-25.8)+(0+(0.20757-0.013158))+0-31.3-0.0159629999999968</f>
        <v>350.07844899999998</v>
      </c>
      <c r="X260" s="3">
        <f>0+(404.9-27.6)+(0+(-1.032495--0.07038))+0-33.1--0.0844049999999952</f>
        <v>343.32228999999995</v>
      </c>
      <c r="Y260" s="3">
        <f>0+(387.5-21.8)+(0+(-0.7905--0.044472))+0-33.4--0.0681359999999985</f>
        <v>331.62210799999997</v>
      </c>
      <c r="Z260" s="3">
        <f>0+(360.3-0)+(0+(-0.735012-0))+0-32.9--0.0671159999999986</f>
        <v>326.73210400000005</v>
      </c>
      <c r="AA260" s="3">
        <f>0+(348.2-0)+(0+(-0.532746-0))+0-32.7--0.0500310000000019</f>
        <v>315.01728500000002</v>
      </c>
      <c r="AB260" s="3">
        <f>0+(340.3-0)+(0+(-0.867765-0))+0-32.3--0.0823649999999953</f>
        <v>307.21459999999996</v>
      </c>
      <c r="AC260" s="3">
        <f>0+(358.3-25.1)+(0+(-0.730932--0.051204))+0-31.9--0.0650759999999986</f>
        <v>300.68534799999998</v>
      </c>
      <c r="AD260" s="2">
        <v>347.6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0+(337.2-15.3)+(0+(-1.031832--0.046818))+0-31.8--0.0973080000000037</f>
        <v>289.21229399999999</v>
      </c>
      <c r="G261" s="3">
        <f>0+(310.9-0)+(0+(0.158559-0))+0-31.6-0.0161159999999968</f>
        <v>279.44244299999997</v>
      </c>
      <c r="H261" s="3">
        <f>0+(298.5-0)+(0+(0-0))+0-30-0</f>
        <v>268.5</v>
      </c>
      <c r="I261" s="3">
        <f>0+(304.3-0)+(0+(0-0))+0-31.2-0</f>
        <v>273.10000000000002</v>
      </c>
      <c r="J261" s="3">
        <f>0+(304.8-3.4)+(0+(0.621792-0.006936))+0-31.3-0.0638519999999986</f>
        <v>270.651004</v>
      </c>
      <c r="K261" s="3">
        <f>0+(302.2-0)+(0+(0.616488-0))+0-31.1-0.0634439999999986</f>
        <v>271.65304399999997</v>
      </c>
      <c r="L261" s="3">
        <f>0+(325.4-14.1)+(0+(0.331908-0.014382))+0-31.6-0.032232000000005</f>
        <v>279.9852939999999</v>
      </c>
      <c r="M261" s="3">
        <f>0+(323.2-4.6)+(0+(-0.329664--0.004692))+0-32.2--0.0328440000000051</f>
        <v>286.10787199999999</v>
      </c>
      <c r="N261" s="3">
        <f>0+(403.6-53.2)+(0+(0.617508-0.081396))+0-28.8-0.0440640000000017</f>
        <v>322.09204800000003</v>
      </c>
      <c r="O261" s="3">
        <f>0+(551-185.6)+(0+(0.28101-0.094656))+0-32-0.0163199999999968</f>
        <v>333.57003399999996</v>
      </c>
      <c r="P261" s="3">
        <f>0+(567.2-195.2)+(0+(-0.289272--0.099552))+0-32.7--0.0166769999999967</f>
        <v>339.12695700000006</v>
      </c>
      <c r="Q261" s="3">
        <f>0+(466.3-103.1)+(0+(-0.951252--0.210324))+0-32.1--0.0654839999999986</f>
        <v>330.42455600000005</v>
      </c>
      <c r="R261" s="3">
        <f>0+(436.8-85.3)+(0+(-1.11384--0.217515))+0-32.5--0.0828749999999953</f>
        <v>318.18655000000001</v>
      </c>
      <c r="S261" s="3">
        <f>0+(402.3-51.5)+(0+(-1.641384--0.21012))+0-32.5--0.132599999999997</f>
        <v>317.00133600000004</v>
      </c>
      <c r="T261" s="3">
        <f>0+(343.5-0)+(0+(0.175185-0))+0-32.1-0.0163709999999967</f>
        <v>311.55881399999998</v>
      </c>
      <c r="U261" s="3">
        <f>0+(340.8-0)+(0+(-0.521424-0))+0-31.9--0.0488070000000018</f>
        <v>308.42738300000002</v>
      </c>
      <c r="V261" s="3">
        <f>0+(383-27.7)+(0+(-0.78132--0.056508))+0-32--0.0652799999999986</f>
        <v>322.640468</v>
      </c>
      <c r="W261" s="3">
        <f>0+(432.1-59.4)+(0+(-0.440742--0.060588))+0-32.7--0.0333540000000052</f>
        <v>339.65320000000008</v>
      </c>
      <c r="X261" s="3">
        <f>0+(390.9-30.4)+(0+(-1.196154--0.093024))+0-31--0.0948600000000036</f>
        <v>328.49172999999996</v>
      </c>
      <c r="Y261" s="3">
        <f>0+(386-32.2)+(0+(-0.78744--0.065688))+0-30.6--0.0624239999999987</f>
        <v>322.54067200000003</v>
      </c>
      <c r="Z261" s="3">
        <f>0+(397.6-49.5)+(0+(-1.01388--0.126225))+0-31.2--0.0795599999999955</f>
        <v>316.09190500000005</v>
      </c>
      <c r="AA261" s="3">
        <f>0+(386.9-45.1)+(0+(-0.591957--0.069003))+0-31.4--0.0480420000000018</f>
        <v>309.92508799999996</v>
      </c>
      <c r="AB261" s="3">
        <f>0+(343-10.1)+(0+(-0.69972--0.020604))+0-31.6--0.0644639999999986</f>
        <v>300.68534799999992</v>
      </c>
      <c r="AC261" s="3">
        <f>0+(321.9-0)+(0+(-0.164169-0))+0-31.9--0.0162689999999968</f>
        <v>289.85210000000001</v>
      </c>
      <c r="AD261" s="2">
        <v>343.09999999999997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0+(306.3-0)+(0+(-0.624852-0))+0-32.6--0.0665039999999986</f>
        <v>273.14165200000002</v>
      </c>
      <c r="G262" s="3">
        <f>0+(302.6-0)+(0+(-0.308652-0))+0-32.3--0.0329460000000051</f>
        <v>270.024294</v>
      </c>
      <c r="H262" s="3">
        <f>0+(301.8-0)+(0+(-0.153918-0))+0-31.6--0.0161159999999968</f>
        <v>270.06219800000002</v>
      </c>
      <c r="I262" s="3">
        <f>0+(298.7-0)+(0+(0.152337-0))+0-32.3-0.0164729999999967</f>
        <v>266.53586399999995</v>
      </c>
      <c r="J262" s="3">
        <f>0+(306.2-0)+(0+(-0.624648-0))+0-32.1--0.0654839999999986</f>
        <v>273.54083600000001</v>
      </c>
      <c r="K262" s="3">
        <f>0+(343.4-34.2)+(0+(0.350268-0.034884))+0-31.8-0.0324360000000051</f>
        <v>277.68294799999995</v>
      </c>
      <c r="L262" s="3">
        <f>0+(352.9-27.4)+(0+(-0.179979--0.013974))+0-32.3--0.0164729999999967</f>
        <v>293.05046800000002</v>
      </c>
      <c r="M262" s="3">
        <f>0+(378.1-41.8)+(0+(-0.192831--0.021318))+0-32.7--0.0166769999999967</f>
        <v>303.44516400000003</v>
      </c>
      <c r="N262" s="3">
        <f>0+(404.9-47.4)+(0+(0.619497-0.072522))+0-33.3-0.0509490000000019</f>
        <v>324.69602599999996</v>
      </c>
      <c r="O262" s="3">
        <f>0+(365.4-0)+(0+(0.186354-0))+0-33-0.0168299999999967</f>
        <v>332.569524</v>
      </c>
      <c r="P262" s="3">
        <f>0+(371.5-0)+(0+(0.75786-0))+0-33.3-0.0679319999999985</f>
        <v>338.889928</v>
      </c>
      <c r="Q262" s="3">
        <f>0+(368.5-0)+(0+(-0.563805-0))+0-33.3--0.0509490000000019</f>
        <v>334.68714399999999</v>
      </c>
      <c r="R262" s="3">
        <f>0+(368.6-0)+(0+(-1.127916-0))+0-32.9--0.100674000000004</f>
        <v>334.67275800000004</v>
      </c>
      <c r="S262" s="3">
        <f>0+(354.7-0)+(0+(-0.361794-0))+0-32.1--0.0327420000000051</f>
        <v>322.27094799999998</v>
      </c>
      <c r="T262" s="3">
        <f>0+(325.7-0)+(0+(-0.166107-0))+0-32.9--0.0167789999999967</f>
        <v>292.65067199999999</v>
      </c>
      <c r="U262" s="3">
        <f>0+(339.2-15.8)+(0+(0.345984-0.016116))+0-32.8-0.0334560000000052</f>
        <v>290.89641199999994</v>
      </c>
      <c r="V262" s="3">
        <f>0+(375.9-31)+(0+(-0.766836--0.06324))+0-32.5--0.0662999999999986</f>
        <v>311.76270399999999</v>
      </c>
      <c r="W262" s="3">
        <f>0+(419.6-55)+(0+(0.213996-0.02805))+0-33.6-0.0171359999999966</f>
        <v>331.16881000000001</v>
      </c>
      <c r="X262" s="3">
        <f>0+(402.7-41.6)+(0+(-1.232262--0.127296))+0-33.1--0.101286000000004</f>
        <v>326.99631999999997</v>
      </c>
      <c r="Y262" s="3">
        <f>0+(353.2-1.3)+(0+(-0.720528--0.002652))+0-32.9--0.0671159999999986</f>
        <v>318.34924000000001</v>
      </c>
      <c r="Z262" s="3">
        <f>0+(353.9-0)+(0+(-0.721956-0))+0-32.2--0.0656879999999986</f>
        <v>321.04373200000003</v>
      </c>
      <c r="AA262" s="3">
        <f>0+(342.5-3.5)+(0+(-0.34935--0.00357))+0-31.6--0.032232000000005</f>
        <v>307.08645200000001</v>
      </c>
      <c r="AB262" s="3">
        <f>0+(362.8-22)+(0+(-0.185028--0.01122))+0-31.5--0.0160649999999968</f>
        <v>309.14225699999997</v>
      </c>
      <c r="AC262" s="3">
        <f>0+(369.4-40)+(0+(-0.94197--0.102))+0-31.5--0.0803249999999954</f>
        <v>297.140355</v>
      </c>
      <c r="AD262" s="2">
        <v>334.5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0+(301.8-0)+(0+(0-0))+0-31.8-0</f>
        <v>270</v>
      </c>
      <c r="G263" s="3">
        <f>0+(300-0)+(0+(-0.459-0))+0-31.5--0.0481950000000018</f>
        <v>268.08919500000002</v>
      </c>
      <c r="H263" s="3">
        <f>0+(296.1-0)+(0+(0-0))+0-31.7-0</f>
        <v>264.40000000000003</v>
      </c>
      <c r="I263" s="3">
        <f>0+(289.2-0)+(0+(0.294984-0))+0-31.2-0.031824000000005</f>
        <v>258.26315999999997</v>
      </c>
      <c r="J263" s="3">
        <f>0+(292.8-0)+(0+(-0.447984-0))+0-31.1--0.0475830000000018</f>
        <v>261.29959899999994</v>
      </c>
      <c r="K263" s="3">
        <f>0+(284.5-0)+(0+(0.435285-0))+0-31.3-0.0478890000000018</f>
        <v>253.58739600000001</v>
      </c>
      <c r="L263" s="3">
        <f>0+(284.3-0)+(0+(-0.289986-0))+0-31.2--0.031824000000005</f>
        <v>252.84183800000002</v>
      </c>
      <c r="M263" s="3">
        <f>0+(277-0)+(0+(-0.84762-0))+0-31.3--0.0957780000000036</f>
        <v>244.94815799999998</v>
      </c>
      <c r="N263" s="3">
        <f>0+(287.8-0)+(0+(-0.440334-0))+0-31.9--0.0488070000000018</f>
        <v>255.50847300000001</v>
      </c>
      <c r="O263" s="3">
        <f>0+(300.5-0)+(0+(0-0))+0-32-0</f>
        <v>268.5</v>
      </c>
      <c r="P263" s="3">
        <f>0+(346.6-23.5)+(0+(0-0))+0-31.6-0</f>
        <v>291.5</v>
      </c>
      <c r="Q263" s="3">
        <f>0+(344.2-15)+(0+(-0.351084--0.0153))+0-31.9--0.0325380000000051</f>
        <v>296.99675400000001</v>
      </c>
      <c r="R263" s="3">
        <f>0+(315.1-0)+(0+(-0.642804-0))+0-31.7--0.0646679999999986</f>
        <v>282.82186400000001</v>
      </c>
      <c r="S263" s="3">
        <f>0+(296.4-0)+(0+(-0.151164-0))+0-31.9--0.0162689999999968</f>
        <v>264.36510500000003</v>
      </c>
      <c r="T263" s="3">
        <f>0+(323.5-29.7)+(0+(-1.154895--0.106029))+0-31.1--0.111027</f>
        <v>261.76216099999999</v>
      </c>
      <c r="U263" s="3">
        <f>0+(329.6-36.6)+(0+(0.168096-0.018666))+0-30.8-0.0157079999999969</f>
        <v>262.33372199999997</v>
      </c>
      <c r="V263" s="3">
        <f>0+(376.9-77.7)+(0+(-0.192219--0.039627))+0-31.9--0.0162689999999968</f>
        <v>267.16367700000001</v>
      </c>
      <c r="W263" s="3">
        <f>0+(379.2-40.7)+(0+(0-0))+0-32.5-0</f>
        <v>306</v>
      </c>
      <c r="X263" s="3">
        <f>0+(381.5-36.6)+(0+(-0.583695--0.055998))+0-32.6--0.0498780000000019</f>
        <v>311.82218099999994</v>
      </c>
      <c r="Y263" s="3">
        <f>0+(366-21.4)+(0+(-0.55998--0.032742))+0-32.7--0.0500310000000019</f>
        <v>311.42279300000001</v>
      </c>
      <c r="Z263" s="3">
        <f>0+(346-0)+(0+(-0.8823-0))+0-32--0.0815999999999954</f>
        <v>313.19929999999999</v>
      </c>
      <c r="AA263" s="3">
        <f>0+(333.9-0)+(0+(0-0))+0-32-0</f>
        <v>301.89999999999998</v>
      </c>
      <c r="AB263" s="3">
        <f>0+(326.1-0)+(0+(-0.665244-0))+0-31.2--0.0636479999999986</f>
        <v>294.29840400000006</v>
      </c>
      <c r="AC263" s="3">
        <f>0+(312.2-0)+(0+(-1.114554-0))+0-31.5--0.112455</f>
        <v>279.697901</v>
      </c>
      <c r="AD263" s="2">
        <v>306.60000000000002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0+(299-0)+(0+(0.76245-0))+0-31.5-0.0803249999999954</f>
        <v>268.18212499999998</v>
      </c>
      <c r="G264" s="3">
        <f>0+(297.2-2.5)+(0+(0.303144-0.00255))+0-31.2-0.031824000000005</f>
        <v>263.76876999999996</v>
      </c>
      <c r="H264" s="3">
        <f>0+(302.2-13.8)+(0+(-0.462366--0.021114))+0-31.3--0.0478890000000018</f>
        <v>256.70663699999994</v>
      </c>
      <c r="I264" s="3">
        <f>0+(299.6-12.9)+(0+(0-0))+0-28.7-0</f>
        <v>258.00000000000006</v>
      </c>
      <c r="J264" s="3">
        <f>0+(301.3-12.8)+(0+(0.153663-0.006528))+0-31.6-0.0161159999999968</f>
        <v>257.03101899999996</v>
      </c>
      <c r="K264" s="3">
        <f>0+(299-9.3)+(0+(0.60996-0.018972))+0-31.3-0.0638519999999986</f>
        <v>258.92713599999996</v>
      </c>
      <c r="L264" s="3">
        <f>0+(307.6-0)+(0+(0.470628-0))+0-31.8-0.0486540000000018</f>
        <v>276.22197399999999</v>
      </c>
      <c r="M264" s="3">
        <f>0+(393.6-70.9)+(0+(-0.602208--0.108477))+0-24.6--0.0376380000000014</f>
        <v>297.64390700000001</v>
      </c>
      <c r="N264" s="3">
        <f>0+(364.3-6.4)+(0+(0.185793-0.003264))+0-30.6-0.0156059999999969</f>
        <v>327.46692300000001</v>
      </c>
      <c r="O264" s="3">
        <f>0+(366.7-0)+(0+(-0.748068-0))+0-31.2--0.0636479999999986</f>
        <v>334.81558000000001</v>
      </c>
      <c r="P264" s="3">
        <f>0+(378.9-15)+(0+(0.386478-0.0153))+0-32.2-0.0328440000000051</f>
        <v>332.03833399999996</v>
      </c>
      <c r="Q264" s="3">
        <f>0+(411.7-38.3)+(0+(-0.419934--0.039066))+0-31.9--0.0325380000000051</f>
        <v>341.15166999999997</v>
      </c>
      <c r="R264" s="3">
        <f>0+(408.6-36.6)+(0+(-0.625158--0.055998))+0-31.8--0.0486540000000018</f>
        <v>339.67949399999998</v>
      </c>
      <c r="S264" s="3">
        <f>0+(397.9-46.7)+(0+(-0.202929--0.023817))+0-31.7--0.0161669999999968</f>
        <v>319.33705500000002</v>
      </c>
      <c r="T264" s="3">
        <f>0+(381-41.3)+(0+(0.19431-0.021063))+0-31.9-0.0162689999999968</f>
        <v>307.95697799999999</v>
      </c>
      <c r="U264" s="3">
        <f>0+(374.1-35.9)+(0+(-0.190791--0.018309))+0-31.3--0.0159629999999968</f>
        <v>306.74348100000003</v>
      </c>
      <c r="V264" s="3">
        <f>13.5+(347.9-8)+(0.006885+(0.177429-0.00408))+0-31.8-0.0162179999999968</f>
        <v>321.76401599999997</v>
      </c>
      <c r="W264" s="3">
        <f>100.1+(300.3-22.6)+(-0.102102+(-0.306306--0.023052))+0-32.4--0.0330480000000052</f>
        <v>345.04769199999998</v>
      </c>
      <c r="X264" s="3">
        <f>88.5+(288.6-3.6)+(-0.09027+(-0.294372--0.003672))+0-32.1--0.0327420000000051</f>
        <v>341.05177199999997</v>
      </c>
      <c r="Y264" s="3">
        <f>80.1+(284.2-1.9)+(-0.163404+(-0.579768--0.003876))+0-31.7--0.0646679999999986</f>
        <v>330.02537199999995</v>
      </c>
      <c r="Z264" s="3">
        <f>80.6+(290.7-7.8)+(0+(0-0))+0-32.3-0</f>
        <v>331.2</v>
      </c>
      <c r="AA264" s="3">
        <f>59.3+(325.8-27.2)+(-0.211701+(-1.163106--0.097104))+0-32.1--0.114597</f>
        <v>324.63689400000004</v>
      </c>
      <c r="AB264" s="3">
        <f>0+(379.5-28.4)+(0+(-0.38709--0.028968))+0-31.9--0.0325380000000051</f>
        <v>318.87441600000005</v>
      </c>
      <c r="AC264" s="3">
        <f>0+(371.7-34.3)+(0+(-0.758268--0.069972))+0-29.8--0.0607919999999987</f>
        <v>306.97249599999998</v>
      </c>
      <c r="AD264" s="2">
        <v>340.20000000000005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0+(322-0)+(0+(-0.65688-0))+0-31.7--0.0646679999999986</f>
        <v>289.70778799999999</v>
      </c>
      <c r="G265" s="3">
        <f>0+(311.9-0)+(0+(0-0))+0-31.7-0</f>
        <v>280.2</v>
      </c>
      <c r="H265" s="3">
        <f>0+(306.1-0)+(0+(-0.624444-0))+0-31.4--0.0640559999999986</f>
        <v>274.13961200000006</v>
      </c>
      <c r="I265" s="3">
        <f>0+(306.7-0)+(0+(0.625668-0))+0-31.1-0.0634439999999986</f>
        <v>276.16222399999998</v>
      </c>
      <c r="J265" s="3">
        <f>0+(314.9-0)+(0+(0.160599-0))+0-31.1-0.0158609999999968</f>
        <v>283.94473799999997</v>
      </c>
      <c r="K265" s="3">
        <f>0+(324.3-8)+(0+(0-0))+0-31.4-0</f>
        <v>284.90000000000003</v>
      </c>
      <c r="L265" s="3">
        <f>64+(314.8-39.2)+(0+(0-0))+0-31.2-0</f>
        <v>308.40000000000003</v>
      </c>
      <c r="M265" s="3">
        <f>100.9+(335.8-89.3)+(0.102918+(0.342516-0.091086))+0-29.3-0.0298860000000047</f>
        <v>318.42446200000001</v>
      </c>
      <c r="N265" s="3">
        <f>183.3+(341.3-157.6)+(-0.186966+(-0.348126--0.160752))+0-29.7--0.0302940000000047</f>
        <v>336.95595400000002</v>
      </c>
      <c r="O265" s="3">
        <f>357.3+(352.8-326.1)+(0.546669+(0.539784-0.498933))+0-29.2-0.0446760000000017</f>
        <v>355.34284400000001</v>
      </c>
      <c r="P265" s="3">
        <f>241.8+(469-326.9)+(-0.123318+(-0.23919--0.166719))+0-31.2--0.0159119999999968</f>
        <v>352.52012300000007</v>
      </c>
      <c r="Q265" s="3">
        <f>239.5+(596.1-446.8)+(-0.73287+(-1.824066--1.367208))+0-31.5--0.0963900000000036</f>
        <v>356.20666199999999</v>
      </c>
      <c r="R265" s="3">
        <f>204.1+(601.7-429.4)+(0.208182+(0.613734-0.437988))+0-28.6-0.0291720000000046</f>
        <v>348.15475600000008</v>
      </c>
      <c r="S265" s="3">
        <f>202+(555.9-396.7)+(0+(0-0))+0-31.2-0</f>
        <v>330</v>
      </c>
      <c r="T265" s="3">
        <f>243.6+(541-424.1)+(0+(0-0))+0-31.4-0</f>
        <v>329.1</v>
      </c>
      <c r="U265" s="3">
        <f>272+(475.1-380)+(-0.27744+(-0.484602--0.3876))+0-30.8--0.0314160000000049</f>
        <v>335.956974</v>
      </c>
      <c r="V265" s="3">
        <f>273.2+(458.2-358.4)+(0+(0-0))+0-26.4-0</f>
        <v>346.6</v>
      </c>
      <c r="W265" s="3">
        <f>275.5+(392.7-273.3)+(-0.140505+(-0.200277--0.139383))+0-31.9--0.0162689999999968</f>
        <v>362.81487000000004</v>
      </c>
      <c r="X265" s="3">
        <f>180.6+(436.3-225.1)+(-0.46053+(-1.112565--0.574005))+0-27.7--0.070634999999996</f>
        <v>363.17154499999998</v>
      </c>
      <c r="Y265" s="3">
        <f>121.2+(479.7-223)+(-0.247248+(-0.978588--0.45492))+0-31.2--0.0636479999999986</f>
        <v>345.99273199999999</v>
      </c>
      <c r="Z265" s="3">
        <f>121.1+(480.3-227.6)+(-0.123522+(-0.489906--0.232152))+0-31.1--0.031722000000005</f>
        <v>342.35044599999998</v>
      </c>
      <c r="AA265" s="3">
        <f>121.1+(519-280.2)+(-0.123522+(-0.52938--0.285804))+0-31--0.0316200000000049</f>
        <v>328.56452200000001</v>
      </c>
      <c r="AB265" s="3">
        <f>121.1+(570.4-339)+(-0.185283+(-0.872712--0.51867))+0-31.2--0.0477360000000018</f>
        <v>320.80841099999998</v>
      </c>
      <c r="AC265" s="3">
        <f>64.8+(604.8-321.7)+(-0.16524+(-1.54224--0.820335))+0-30.9--0.0787949999999955</f>
        <v>316.19165000000004</v>
      </c>
      <c r="AD265" s="2">
        <v>368.9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0+(592.7-267.1)+(0+(0.604554-0.272442))+0-31.2-0.031824000000005</f>
        <v>294.700288</v>
      </c>
      <c r="G266" s="3">
        <f>0+(547-230.1)+(0+(-0.55794--0.234702))+0-29.2--0.0297840000000047</f>
        <v>287.40654599999999</v>
      </c>
      <c r="H266" s="3">
        <f>0+(494.2-176.7)+(0+(-0.504084--0.180234))+0-30.5--0.0311100000000049</f>
        <v>286.70726000000002</v>
      </c>
      <c r="I266" s="3">
        <f>0+(442.5-130.4)+(0+(0.677025-0.199512))+0-30.3-0.0463590000000018</f>
        <v>282.231154</v>
      </c>
      <c r="J266" s="3">
        <f>0+(405.6-98.1)+(0+(0.206856-0.050031))+0-30.7-0.0156569999999969</f>
        <v>276.94116800000006</v>
      </c>
      <c r="K266" s="3">
        <f>0+(325.3-10.8)+(0+(-0.331806--0.011016))+0-31.3--0.031926000000005</f>
        <v>282.911136</v>
      </c>
      <c r="L266" s="3">
        <f>0+(410.3-93)+(0+(-0.209253--0.04743))+0-28.9--0.0147389999999971</f>
        <v>288.25291600000003</v>
      </c>
      <c r="M266" s="3">
        <f>0+(571.6-225)+(0+(-0.291516--0.11475))+0-25.1--0.0128009999999975</f>
        <v>321.33603500000004</v>
      </c>
      <c r="N266" s="3">
        <f>55.1+(602.1-286)+(0.028101+(0.307071-0.14586))+0-31.7-0.0161669999999968</f>
        <v>339.67314500000003</v>
      </c>
      <c r="O266" s="3">
        <f>139+(598.5-360.4)+(0.28356+(1.22094-0.735216))+0-31.4-0.0640559999999986</f>
        <v>346.40522800000008</v>
      </c>
      <c r="P266" s="3">
        <f>138.6+(631.2-391.3)+(-0.070686+(-0.321912--0.199563))+0-31.7--0.0161669999999968</f>
        <v>346.623132</v>
      </c>
      <c r="Q266" s="3">
        <f>138.1+(627.1-390.3)+(-0.140862+(-0.639642--0.398106))+0-31.5--0.032130000000005</f>
        <v>343.04973199999995</v>
      </c>
      <c r="R266" s="3">
        <f>137.2+(631.1-406.6)+(-0.139944+(-0.643722--0.414732))+0-31.6--0.032232000000005</f>
        <v>329.76329799999996</v>
      </c>
      <c r="S266" s="3">
        <f>136.9+(661.8-451)+(0.069819+(0.337518-0.23001))+0-31.4-0.0160139999999968</f>
        <v>316.46131299999996</v>
      </c>
      <c r="T266" s="3">
        <f>136.9+(651.2-434.1)+(0.209457+(0.996336-0.664173))+0-31.1-0.0475830000000018</f>
        <v>323.39403700000003</v>
      </c>
      <c r="U266" s="3">
        <f>136.9+(635.7-413.3)+(0.069819+(0.324207-0.210783))+0-31-0.0158099999999969</f>
        <v>328.46743300000009</v>
      </c>
      <c r="V266" s="3">
        <f>128.1+(559.2-326.4)+(-0.065331+(-0.285192--0.166464))+0-25.2--0.0128519999999974</f>
        <v>335.52879300000012</v>
      </c>
      <c r="W266" s="3">
        <f>125.7+(496.5-234.5)+(-0.128214+(-0.50643--0.23919))+0-29.8--0.0303960000000048</f>
        <v>357.534942</v>
      </c>
      <c r="X266" s="3">
        <f>108.2+(478.9-209.2)+(0.055182+(0.244239-0.106692))+0-31.7-0.0161669999999968</f>
        <v>346.37656199999998</v>
      </c>
      <c r="Y266" s="3">
        <f>60.5+(496.5-188.3)+(-0.030855+(-0.253215--0.096033))+0-31.5--0.0160649999999968</f>
        <v>337.02802799999995</v>
      </c>
      <c r="Z266" s="3">
        <f>46+(516.2-195.2)+(-0.16422+(-1.842834--0.696864))+0-31.1--0.111027</f>
        <v>334.70083700000004</v>
      </c>
      <c r="AA266" s="3">
        <f>0+(582.7-232.4)+(0+(-1.485885--0.59262))+0-31--0.0790499999999955</f>
        <v>318.48578500000008</v>
      </c>
      <c r="AB266" s="3">
        <f>0+(627.4-284.5)+(0+(0-0))+0-30.9-0</f>
        <v>312</v>
      </c>
      <c r="AC266" s="3">
        <f>0+(600.7-261.3)+(0+(-0.919071--0.399789))+0-30.7--0.0469710000000018</f>
        <v>308.22768900000005</v>
      </c>
      <c r="AD266" s="2">
        <v>348.79999999999995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0+(579.9-254.9)+(0+(-1.182996--0.519996))+0-30.6--0.0624239999999987</f>
        <v>293.79942399999999</v>
      </c>
      <c r="G267" s="3">
        <f>0+(467.7-144.7)+(0+(-0.477054--0.147594))+0-31--0.0316200000000049</f>
        <v>291.70216000000005</v>
      </c>
      <c r="H267" s="3">
        <f>0+(422.5-110.6)+(0+(-0.8619--0.225624))+0-31--0.0632399999999986</f>
        <v>280.32696399999998</v>
      </c>
      <c r="I267" s="3">
        <f>0+(346.5-35.6)+(0+(0.176715-0.018156))+0-31-0.0158099999999969</f>
        <v>280.04274900000001</v>
      </c>
      <c r="J267" s="3">
        <f>0+(385.3-82.7)+(0+(0-0))+0-31.3-0</f>
        <v>271.3</v>
      </c>
      <c r="K267" s="3">
        <f>0+(436.1-125.8)+(0+(0.667233-0.192474))+0-31.3-0.0478890000000018</f>
        <v>279.42687000000001</v>
      </c>
      <c r="L267" s="3">
        <f>0+(458.2-133.4)+(0+(0-0))+0-31.4-0</f>
        <v>293.39999999999998</v>
      </c>
      <c r="M267" s="3">
        <f>0+(545-201.2)+(0+(0.5559-0.205224))+0-31.8-0.0324360000000051</f>
        <v>312.31824</v>
      </c>
      <c r="N267" s="3">
        <f>0+(606.6-236.2)+(0+(0.618732-0.240924))+0-31.8-0.0324360000000051</f>
        <v>338.94537200000002</v>
      </c>
      <c r="O267" s="3">
        <f>0+(634.3-243.6)+(0+(0-0))+0-31.5-0</f>
        <v>359.19999999999993</v>
      </c>
      <c r="P267" s="3">
        <f>40.7+(599.5-257.3)+(0+(0-0))+0-30.8-0</f>
        <v>352.09999999999997</v>
      </c>
      <c r="Q267" s="3">
        <f>256.8+(524.5-389)+(-0.392904+(-0.802485--0.59517))+0-31.9--0.0488070000000018</f>
        <v>359.84858800000006</v>
      </c>
      <c r="R267" s="3">
        <f>256+(537.2-407.2)+(-0.13056+(-0.273972--0.207672))+0-31.4--0.0160139999999968</f>
        <v>354.41915400000005</v>
      </c>
      <c r="S267" s="3">
        <f>254.7+(534.7-420.4)+(-0.519588+(-1.090788--0.857616))+0-31.5--0.0642599999999986</f>
        <v>336.81150000000002</v>
      </c>
      <c r="T267" s="3">
        <f>256.1+(510.5-404)+(-0.130611+(-0.260355--0.20604))+0-31.1--0.0158609999999968</f>
        <v>331.33093499999995</v>
      </c>
      <c r="U267" s="3">
        <f>256.5+(420.5-313.5)+(0.26163+(0.42891-0.31977))+0-31.1-0.031722000000005</f>
        <v>332.73904799999997</v>
      </c>
      <c r="V267" s="3">
        <f>256.5+(270-160.3)+(-0.26163+(-0.2754--0.163506))+0-31.2--0.031824000000005</f>
        <v>334.65830000000005</v>
      </c>
      <c r="W267" s="3">
        <f>259.2+(286.1-161.2)+(0.396576+(0.437733-0.246636))+0-31.4-0.0480420000000018</f>
        <v>353.23963100000003</v>
      </c>
      <c r="X267" s="3">
        <f>258.7+(283.9-167.4)+(-0.527748+(-0.579156--0.341496))+0-27.4--0.0558959999999988</f>
        <v>347.09048799999999</v>
      </c>
      <c r="Y267" s="3">
        <f>245.9+(331.7-201.2)+(-0.376227+(-0.507501--0.307836))+0-32.1--0.0491130000000019</f>
        <v>343.77322099999992</v>
      </c>
      <c r="Z267" s="3">
        <f>1.3+(511.3-141.8)+(0.001326+(0.521526-0.144636))+0-31.6-0.032232000000005</f>
        <v>339.54598399999998</v>
      </c>
      <c r="AA267" s="3">
        <f>0+(538.6-172.7)+(0+(-1.37343--0.440385))+0-31.4--0.0800699999999954</f>
        <v>333.64702500000004</v>
      </c>
      <c r="AB267" s="3">
        <f>0+(499.9-146.2)+(0+(-0.254949--0.074562))+0-31.5--0.0160649999999968</f>
        <v>322.03567799999996</v>
      </c>
      <c r="AC267" s="3">
        <f>0+(394.7-42.6)+(0+(-1.006485--0.10863))+0-31.8--0.0810899999999954</f>
        <v>319.48323499999998</v>
      </c>
      <c r="AD267" s="2">
        <v>364.59999999999991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0+(334.4-0)+(0+(-0.511632-0))+0-31.3--0.0478890000000018</f>
        <v>302.63625699999994</v>
      </c>
      <c r="G268" s="3">
        <f>0+(329-0)+(0+(-0.50337-0))+0-30.9--0.0472770000000018</f>
        <v>297.64390700000001</v>
      </c>
      <c r="H268" s="3">
        <f>0+(331.9-0)+(0+(0.169269-0))+0-30.5-0.0155549999999969</f>
        <v>301.55371399999996</v>
      </c>
      <c r="I268" s="3">
        <f>0+(321.2-5.5)+(0+(-0.81906--0.014025))+0-23.6--0.0601799999999966</f>
        <v>291.35514499999999</v>
      </c>
      <c r="J268" s="3">
        <f>0+(347.3-0)+(0+(0.708492-0))+0-31.7-0.0646679999999986</f>
        <v>316.24382400000002</v>
      </c>
      <c r="K268" s="3">
        <f>0+(335.6-0)+(0+(0.342312-0))+0-31.8-0.0324360000000051</f>
        <v>304.10987599999999</v>
      </c>
      <c r="L268" s="3">
        <f>0+(331.1-0)+(0+(0.337722-0))+0-31.6-0.032232000000005</f>
        <v>299.80548999999996</v>
      </c>
      <c r="M268" s="3">
        <f>0+(352.7-2.6)+(0+(0.359754-0.002652))+0-32.2-0.0328440000000051</f>
        <v>318.22425799999996</v>
      </c>
      <c r="N268" s="3">
        <f>0+(402.7-49.8)+(0+(0.410754-0.050796))+0-12.1-0.0123420000000019</f>
        <v>341.14761599999997</v>
      </c>
      <c r="O268" s="3">
        <f>68.6+(388.2-114.1)+(0.034986+(0.197982-0.058191))+0-0-0</f>
        <v>342.87477700000005</v>
      </c>
      <c r="P268" s="3">
        <f>227.3+(273.6-155.7)+(-0.579615+(-0.69768--0.397035))+0-4.4--0.0112199999999994</f>
        <v>339.93096000000003</v>
      </c>
      <c r="Q268" s="3">
        <f>266.3+(247.4-163)+(-0.407439+(-0.378522--0.24939))+0-6.1--0.00933300000000035</f>
        <v>344.07276200000007</v>
      </c>
      <c r="R268" s="3">
        <f>264.4+(241.1-167.1)+(-0.67422+(-0.614805--0.426105))+0-6.1--0.0155549999999991</f>
        <v>331.45263499999999</v>
      </c>
      <c r="S268" s="3">
        <f>265.1+(288.3-220.1)+(-0.270402+(-0.294066--0.224502))+0-7--0.00714000000000112</f>
        <v>325.96717400000006</v>
      </c>
      <c r="T268" s="3">
        <f>266+(308.9-239.1)+(-0.13566+(-0.157539--0.121941))+0-7.8--0.00397799999999921</f>
        <v>327.83271999999994</v>
      </c>
      <c r="U268" s="3">
        <f>226.5+(302.9-204.6)+(-0.23103+(-0.308958--0.208692))+0-5.7--0.00581400000000091</f>
        <v>318.77451799999994</v>
      </c>
      <c r="V268" s="3">
        <f>238.2+(234.5-142.1)+(-0.364446+(-0.358785--0.217413))+0-6.8--0.0104040000000004</f>
        <v>323.30458600000003</v>
      </c>
      <c r="W268" s="3">
        <f>385.8+(185.5-190.3)+(0.787032+(0.37842-0.388212))+0-7.6-0.0155039999999997</f>
        <v>374.16173599999996</v>
      </c>
      <c r="X268" s="3">
        <f>391.8+(160.2-181.6)+(-0.99909+(-0.40851--0.46308))+0-9.6--0.0244799999999986</f>
        <v>359.87995999999993</v>
      </c>
      <c r="Y268" s="3">
        <f>146.7+(299-87.7)+(-0.149634+(-0.30498--0.089454))+0-10.9--0.0111180000000017</f>
        <v>346.74595800000003</v>
      </c>
      <c r="Z268" s="3">
        <f>0+(386.7-43.9)+(0+(-0.394434--0.044778))+0-13.2--0.0134640000000021</f>
        <v>329.26380800000004</v>
      </c>
      <c r="AA268" s="3">
        <f>0+(418.2-86.5)+(0+(-0.853128--0.17646))+0-14.7--0.0299879999999994</f>
        <v>316.35332</v>
      </c>
      <c r="AB268" s="3">
        <f>0+(427.1-106.8)+(0+(-0.871284--0.217872))+0-15--0.0305999999999993</f>
        <v>304.677188</v>
      </c>
      <c r="AC268" s="3">
        <f>0+(475.2-170.6)+(0+(-0.242352--0.087006))+0-19--0.00968999999999807</f>
        <v>285.45434399999999</v>
      </c>
      <c r="AD268" s="2">
        <v>336.90000000000003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0+(456.1-156.2)+(0+(-0.930444--0.318648))+0-16.5--0.0336599999999993</f>
        <v>282.82186400000001</v>
      </c>
      <c r="G269" s="3">
        <f>0+(407.8-111.4)+(0+(-0.415956--0.113628))+0-16.1--0.0164220000000026</f>
        <v>280.01409399999994</v>
      </c>
      <c r="H269" s="3">
        <f>0+(347.7-56.3)+(0+(-0.354654--0.057426))+0-19.2--0.0195840000000031</f>
        <v>271.92235599999998</v>
      </c>
      <c r="I269" s="3">
        <f>0+(348.7-56.3)+(0+(-0.533511--0.086139))+0-21.7--0.0332010000000013</f>
        <v>270.28582900000004</v>
      </c>
      <c r="J269" s="3">
        <f>0+(350.4-60.3)+(0+(-0.178704--0.030753))+0-24.8--0.0126479999999975</f>
        <v>265.16469699999999</v>
      </c>
      <c r="K269" s="3">
        <f>0+(349.4-57.6)+(0+(0.89097-0.14688))+0-27.3-0.069614999999996</f>
        <v>265.17447499999997</v>
      </c>
      <c r="L269" s="3">
        <f>0+(359.8-54.6)+(0+(-1.467984--0.222768))+0-28.3--0.115463999999998</f>
        <v>275.77024799999992</v>
      </c>
      <c r="M269" s="3">
        <f>98.5+(322.6-124.9)+(0.050235+(0.164526-0.063699))+0-24.3-0.0123929999999975</f>
        <v>272.03866900000008</v>
      </c>
      <c r="N269" s="3">
        <f>257.1+(304.3-223.5)+(0.393363+(0.465579-0.341955))+0-29.2-0.0446760000000017</f>
        <v>309.17231100000004</v>
      </c>
      <c r="O269" s="3">
        <f>257.1+(276.9-192.1)+(0.393363+(0.423657-0.293913))+0-27-0.0413100000000016</f>
        <v>315.38179699999995</v>
      </c>
      <c r="P269" s="3">
        <f>256.4+(265.2-182.3)+(0+(0-0))+0-28.1-0</f>
        <v>311.19999999999993</v>
      </c>
      <c r="Q269" s="3">
        <f>256.4+(282-186.8)+(0.130764+(0.14382-0.095268))+0-30.8-0.0157079999999969</f>
        <v>320.96360799999991</v>
      </c>
      <c r="R269" s="3">
        <f>254.7+(267.1-176.9)+(-0.519588+(-0.544884--0.360876))+0-30.2--0.0616079999999987</f>
        <v>314.05801199999996</v>
      </c>
      <c r="S269" s="3">
        <f>217.6+(302.8-190.4)+(0+(0-0))+0-29.4-0</f>
        <v>300.60000000000002</v>
      </c>
      <c r="T269" s="3">
        <f>226.9+(299.5-199)+(0.347157+(0.458235-0.30447))+0-29.4-0.0449820000000017</f>
        <v>298.45594</v>
      </c>
      <c r="U269" s="3">
        <f>256.7+(249.2-186.8)+(0.130917+(0.127092-0.095268))+0-30.3-0.0154529999999969</f>
        <v>288.94728799999996</v>
      </c>
      <c r="V269" s="3">
        <f>364.1+(157.2-191.5)+(-0.185691+(-0.080172--0.097665))+0-30.5--0.0155549999999969</f>
        <v>299.147357</v>
      </c>
      <c r="W269" s="3">
        <f>510.2+(93.9-261.9)+(0.260202+(0.047889-0.133569))+0-29.1-0.014840999999997</f>
        <v>313.25968100000006</v>
      </c>
      <c r="X269" s="3">
        <f>511.1+(91.1-263.6)+(-0.521322+(-0.092922--0.268872))+0-31.5--0.032130000000005</f>
        <v>306.78675800000002</v>
      </c>
      <c r="Y269" s="3">
        <f>511.9+(96.8-269.1)+(-1.305345+(-0.24684--0.686205))+0-30.7--0.0782849999999955</f>
        <v>308.11230499999999</v>
      </c>
      <c r="Z269" s="3">
        <f>516.7+(127.8-304.4)+(-0.263517+(-0.065178--0.155244))+0-30.3--0.0154529999999969</f>
        <v>309.64200200000005</v>
      </c>
      <c r="AA269" s="3">
        <f>465.1+(146.6-282.1)+(-0.711603+(-0.224298--0.431613))+0-30.8--0.0471240000000018</f>
        <v>298.34283600000003</v>
      </c>
      <c r="AB269" s="3">
        <f>262.7+(242.5-175.8)+(-0.267954+(-0.24735--0.179316))+0-30.9--0.0315180000000049</f>
        <v>298.19553000000002</v>
      </c>
      <c r="AC269" s="3">
        <f>0+(405.6-93.3)+(0+(-0.620568--0.142749))+0-31--0.0474300000000018</f>
        <v>280.86961100000002</v>
      </c>
      <c r="AD269" s="2">
        <v>314.80000000000007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0+(359.8-52.6)+(0+(-0.91749--0.13413))+0-28.6--0.0729299999999959</f>
        <v>277.88956999999994</v>
      </c>
      <c r="G270" s="3">
        <f>0+(344-39.3)+(0+(-0.52632--0.060129))+0-31--0.0474300000000018</f>
        <v>273.28123900000003</v>
      </c>
      <c r="H270" s="3">
        <f>0+(351.5-47.9)+(0+(-0.896325--0.122145))+0-30.6--0.0780299999999956</f>
        <v>272.30385000000001</v>
      </c>
      <c r="I270" s="3">
        <f>0+(343.3-39.9)+(0+(-0.350166--0.040698))+0-30.4--0.0310080000000048</f>
        <v>272.72154000000006</v>
      </c>
      <c r="J270" s="3">
        <f>0+(321.9-26.5)+(0+(0-0))+0-30.4-0</f>
        <v>265</v>
      </c>
      <c r="K270" s="3">
        <f>0+(325-27.5)+(0+(-0.663--0.0561))+0-30.1--0.0614039999999987</f>
        <v>266.85450399999996</v>
      </c>
      <c r="L270" s="3">
        <f>0+(320.4-33.7)+(0+(-0.81702--0.085935))+0-28.4--0.0724199999999959</f>
        <v>257.64133500000003</v>
      </c>
      <c r="M270" s="3">
        <f>0+(331.7-49.1)+(0+(-0.338334--0.050082))+0-31.1--0.031722000000005</f>
        <v>251.24346999999997</v>
      </c>
      <c r="N270" s="3">
        <f>0+(382.7-99.2)+(0+(0.585531-0.151776))+0-30.9-0.0472770000000018</f>
        <v>252.98647800000001</v>
      </c>
      <c r="O270" s="3">
        <f>0+(392.6-95.4)+(0+(-0.400452--0.097308))+0-30.8--0.0314160000000049</f>
        <v>266.12827200000004</v>
      </c>
      <c r="P270" s="3">
        <f>0+(397.8-93.4)+(0+(-0.608634--0.142902))+0-29.8--0.0455940000000017</f>
        <v>274.17986199999996</v>
      </c>
      <c r="Q270" s="3">
        <f>0+(467.4-155.4)+(0+(-0.476748--0.158508))+0-31.1--0.031722000000005</f>
        <v>280.61348199999998</v>
      </c>
      <c r="R270" s="3">
        <f>0+(474.9-167.8)+(0+(-0.726597--0.256734))+0-30.3--0.0463590000000018</f>
        <v>276.37649599999997</v>
      </c>
      <c r="S270" s="3">
        <f>0+(440.6-151)+(0+(-1.12353--0.38505))+0-31--0.0790499999999955</f>
        <v>257.94057000000004</v>
      </c>
      <c r="T270" s="3">
        <f>0+(356.4-64.7)+(0+(0.181764-0.032997))+0-30.6-0.0156059999999969</f>
        <v>261.233161</v>
      </c>
      <c r="U270" s="3">
        <f>11.8+(345.7-66.6)+(0+(0-0))+0-30.1-0</f>
        <v>260.8</v>
      </c>
      <c r="V270" s="3">
        <f>205.3+(262.3-166.5)+(-0.104703+(-0.133773--0.084915))+0-31.2--0.0159119999999968</f>
        <v>269.76235100000002</v>
      </c>
      <c r="W270" s="3">
        <f>464.8+(144.5-283.7)+(-0.237048+(-0.073695--0.144687))+0-31.2--0.0159119999999968</f>
        <v>294.24985600000002</v>
      </c>
      <c r="X270" s="3">
        <f>524.5+(131.3-323.5)+(-0.802485+(-0.200889--0.494955))+0-31.8--0.0486540000000018</f>
        <v>300.040235</v>
      </c>
      <c r="Y270" s="3">
        <f>526+(139.3-336)+(-1.07304+(-0.284172--0.68544))+0-30.8--0.0628319999999987</f>
        <v>297.89106000000004</v>
      </c>
      <c r="Z270" s="3">
        <f>490+(162.2-328.9)+(-0.2499+(-0.082722--0.167739))+0-24.5--0.0124949999999975</f>
        <v>298.64761200000004</v>
      </c>
      <c r="AA270" s="3">
        <f>441.7+(184.3-305.5)+(-0.675801+(-0.281979--0.467415))+0-30.2--0.0462060000000017</f>
        <v>289.855841</v>
      </c>
      <c r="AB270" s="3">
        <f>184.7+(285.1-151.8)+(-0.470985+(-0.727005--0.38709))+0-28.1--0.0716549999999959</f>
        <v>289.16075499999999</v>
      </c>
      <c r="AC270" s="3">
        <f>0+(365.3-58.1)+(0+(-0.745212--0.118524))+0-30.7--0.0626279999999987</f>
        <v>275.93594000000002</v>
      </c>
      <c r="AD270" s="2">
        <v>311.90000000000003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0+(298-0)+(0+(-0.45594-0))+0-30.3--0.0463590000000018</f>
        <v>267.29041899999999</v>
      </c>
      <c r="G271" s="3">
        <f>0+(343.2-50.4)+(0+(-0.350064--0.051408))+0-29.9--0.0304980000000048</f>
        <v>262.63184200000006</v>
      </c>
      <c r="H271" s="3">
        <f>0+(347.4-56.6)+(0+(0-0))+0-31.3-0</f>
        <v>259.49999999999994</v>
      </c>
      <c r="I271" s="3">
        <f>0+(330.3-44.9)+(0+(-0.168453--0.022899))+0-31.2--0.0159119999999968</f>
        <v>254.07035800000003</v>
      </c>
      <c r="J271" s="3">
        <f>0+(305.9-12)+(0+(0.156009-0.00612))+0-31.2-0.0159119999999968</f>
        <v>262.83397699999995</v>
      </c>
      <c r="K271" s="3">
        <f>7+(324.3-36.9)+(0+(0-0))+0-31.6-0</f>
        <v>262.8</v>
      </c>
      <c r="L271" s="3">
        <f>148.5+(285-120.2)+(0.075735+(0.14535-0.061302))+0-31.7-0.0161669999999968</f>
        <v>281.74361600000003</v>
      </c>
      <c r="M271" s="3">
        <f>142.1+(297.2-107.9)+(0.072471+(0.151572-0.055029))+0-31.7-0.0161669999999968</f>
        <v>299.852847</v>
      </c>
      <c r="N271" s="3">
        <f>269+(438.9-357.3)+(0.41157+(0.671517-0.546669))+0-31.3-0.0478890000000018</f>
        <v>319.78852899999998</v>
      </c>
      <c r="O271" s="3">
        <f>268.2+(476.8-378.8)+(0.136782+(0.243168-0.193188))+0-31.6-0.0161159999999968</f>
        <v>334.77064599999994</v>
      </c>
      <c r="P271" s="3">
        <f>271.2+(531.1-428.2)+(0.553248+(1.083444-0.873528))+0-31.7-0.0646679999999986</f>
        <v>343.09849600000007</v>
      </c>
      <c r="Q271" s="3">
        <f>513.6+(428.5-551.9)+(-0.785808+(-0.655605--0.844407))+0-32.8--0.0501840000000019</f>
        <v>356.85317800000001</v>
      </c>
      <c r="R271" s="3">
        <f>533.8+(415.8-558.9)+(-1.088952+(-0.848232--1.140156))+0-32.1--0.0654839999999986</f>
        <v>357.86845599999998</v>
      </c>
      <c r="S271" s="3">
        <f>546.5+(436.1-605)+(0+(0-0))+0-31.3-0</f>
        <v>346.3</v>
      </c>
      <c r="T271" s="3">
        <f>542.2+(423.4-598.3)+(0+(0-0))+0-31.2-0</f>
        <v>336.10000000000008</v>
      </c>
      <c r="U271" s="3">
        <f>548.6+(365.9-552.8)+(-0.279786+(-0.186609--0.281928))+0-31.3--0.0159629999999968</f>
        <v>330.23149600000005</v>
      </c>
      <c r="V271" s="3">
        <f>550.2+(266.4-446.5)+(-0.841806+(-0.407592--0.683145))+0-31.5--0.0481950000000018</f>
        <v>338.08194200000003</v>
      </c>
      <c r="W271" s="3">
        <f>551.1+(367.2-525.7)+(-0.562122+(-0.374544--0.536214))+0-31.6--0.032232000000005</f>
        <v>360.63177999999999</v>
      </c>
      <c r="X271" s="3">
        <f>549.8+(353.7-518.8)+(-1.121592+(-0.721548--1.058352))+0-31--0.0632399999999986</f>
        <v>352.978452</v>
      </c>
      <c r="Y271" s="3">
        <f>550.1+(329.3-501.7)+(-1.122204+(-0.671772--1.023468))+0-31.4--0.0640559999999986</f>
        <v>345.59354800000006</v>
      </c>
      <c r="Z271" s="3">
        <f>551.5+(346.6-527.4)+(0+(0-0))+0-31-0</f>
        <v>339.70000000000005</v>
      </c>
      <c r="AA271" s="3">
        <f>551.7+(352.5-541.7)+(-0.562734+(-0.35955--0.552534))+0-30.5--0.0311100000000049</f>
        <v>331.66136</v>
      </c>
      <c r="AB271" s="3">
        <f>551.4+(333.7-532)+(-0.281214+(-0.170187--0.27132))+0-31--0.0158099999999969</f>
        <v>321.93572899999998</v>
      </c>
      <c r="AC271" s="3">
        <f>289.9+(405.8-359.5)+(-0.443547+(-0.620874--0.550035))+0-30.1--0.0460530000000017</f>
        <v>305.63166699999999</v>
      </c>
      <c r="AD271" s="2">
        <v>357.4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143.7+(434.8-256.3)+(-0.146574+(-0.443496--0.261426))+0-30.2--0.0308040000000048</f>
        <v>291.70215999999999</v>
      </c>
      <c r="G272" s="3">
        <f>104.7+(452.3-242.8)+(-0.266985+(-1.153365--0.61914))+0-26.9--0.0685949999999961</f>
        <v>286.567385</v>
      </c>
      <c r="H272" s="3">
        <f>106.1+(439.3-225.6)+(0.108222+(0.448086-0.230112))+0-30.9-0.0315180000000049</f>
        <v>289.19467800000001</v>
      </c>
      <c r="I272" s="3">
        <f>105.9+(437.8-220.1)+(0+(0-0))+0-31.5-0</f>
        <v>292.10000000000002</v>
      </c>
      <c r="J272" s="3">
        <f>117+(451.5-264.4)+(0.11934+(0.46053-0.269688))+12-0-0</f>
        <v>316.41018200000002</v>
      </c>
      <c r="K272" s="3">
        <f>120+(426.1-284.8)+(-0.2448+(-0.869244--0.580992))+53-26.9--0.0548759999999988</f>
        <v>286.92182400000002</v>
      </c>
      <c r="L272" s="3">
        <f>196+(396.1-274)+(0+(0-0))+0-30.4-0</f>
        <v>287.70000000000005</v>
      </c>
      <c r="M272" s="3">
        <f>358.8+(304.7-327.2)+(-0.365976+(-0.310794--0.333744))+0-31.7--0.0323340000000051</f>
        <v>304.28930800000001</v>
      </c>
      <c r="N272" s="3">
        <f>433+(274.3-346.5)+(0.44166+(0.279786-0.35343))+0-32.4-0.0330480000000052</f>
        <v>328.73496800000004</v>
      </c>
      <c r="O272" s="3">
        <f>545.1+(248.6-434)+(0.278001+(0.126786-0.22134))+0-31.3-0.0159629999999968</f>
        <v>328.56748400000004</v>
      </c>
      <c r="P272" s="3">
        <f>550+(238.9-426.6)+(0+(0-0))+0-30.8-0</f>
        <v>331.49999999999994</v>
      </c>
      <c r="Q272" s="3">
        <f>549+(240.3-422.3)+(-0.83997+(-0.367659--0.646119))+0-31.8--0.0486540000000018</f>
        <v>334.68714399999999</v>
      </c>
      <c r="R272" s="3">
        <f>547.5+(224-409.2)+(-1.67535+(-0.68544--1.252152))+0-31.6--0.0966960000000037</f>
        <v>329.68805800000001</v>
      </c>
      <c r="S272" s="3">
        <f>547.3+(240.1-442.1)+(-0.837369+(-0.367353--0.676413))+0-31.5--0.0481950000000018</f>
        <v>313.319886</v>
      </c>
      <c r="T272" s="3">
        <f>550.2+(270.5-481.1)+(1.122408+(0.55182-0.981444))+0-31.2-0.0636479999999986</f>
        <v>309.02913600000005</v>
      </c>
      <c r="U272" s="3">
        <f>547.5+(252.2-465.6)+(-0.837675+(-0.385866--0.712368))+0-31.2--0.0477360000000018</f>
        <v>302.43656299999998</v>
      </c>
      <c r="V272" s="3">
        <f>550+(183.9-382.3)+(0.2805+(0.093789-0.194973))+0-31.7-0.0161669999999968</f>
        <v>320.06314900000001</v>
      </c>
      <c r="W272" s="3">
        <f>553.7+(106.6-290.3)+(-1.129548+(-0.217464--0.592212))+0-31.6--0.0644639999999986</f>
        <v>337.70966399999998</v>
      </c>
      <c r="X272" s="3">
        <f>523.1+(98-264.3)+(-0.533562+(-0.09996--0.269586))+0-32.3--0.0329460000000051</f>
        <v>324.16900999999996</v>
      </c>
      <c r="Y272" s="3">
        <f>479+(108.3-227.9)+(-0.97716+(-0.220932--0.464916))+0-33--0.0673199999999986</f>
        <v>325.73414399999996</v>
      </c>
      <c r="Z272" s="3">
        <f>411.5+(130.6-189.3)+(0.209865+(0.066606-0.096543))+0-32.7-0.0166769999999967</f>
        <v>320.26325099999997</v>
      </c>
      <c r="AA272" s="3">
        <f>372.7+(145.9-190.8)+(-0.760308+(-0.297636--0.389232))+0-31.6--0.0644639999999986</f>
        <v>295.59575199999989</v>
      </c>
      <c r="AB272" s="3">
        <f>345.5+(238.7-257.1)+(-0.528615+(-0.365211--0.393363))+0-30.4--0.0465120000000018</f>
        <v>296.24604899999997</v>
      </c>
      <c r="AC272" s="3">
        <f>263.6+(308.6-256.8)+(0.134436+(0.157386-0.130968))+0-31.9-0.0162689999999968</f>
        <v>283.64458500000001</v>
      </c>
      <c r="AD272" s="2">
        <v>338.9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106.2+(402.2-203)+(-0.27081+(-1.02561--0.51765))+0-31.7--0.0808349999999954</f>
        <v>273.00206499999996</v>
      </c>
      <c r="G273" s="3">
        <f>60.6+(319-75.9)+(0+(0-0))+0-30-0</f>
        <v>273.7</v>
      </c>
      <c r="H273" s="3">
        <f>60.6+(314.2-79.1)+(-0.030906+(-0.160242--0.040341))+0-29.3--0.014942999999997</f>
        <v>266.26413600000001</v>
      </c>
      <c r="I273" s="3">
        <f>60.7+(312.5-86.4)+(0.061914+(0.31875-0.088128))+0-28.3-0.0288660000000045</f>
        <v>258.76366999999999</v>
      </c>
      <c r="J273" s="3">
        <f>60.6+(311.4-82.7)+(0.030906+(0.158814-0.042177))+0-27.1-0.0138209999999973</f>
        <v>262.33372199999997</v>
      </c>
      <c r="K273" s="3">
        <f>63.7+(319.8-93.9)+(0.129948+(0.652392-0.191556))+0-28.5-0.0581399999999988</f>
        <v>261.63264400000003</v>
      </c>
      <c r="L273" s="3">
        <f>138.7+(321.3-158.6)+(-0.212211+(-0.491589--0.242658))+0-29.9--0.0457470000000017</f>
        <v>271.08460500000001</v>
      </c>
      <c r="M273" s="3">
        <f>165.4+(296.1-141.5)+(0+(0-0))+0-31.6-0</f>
        <v>288.39999999999998</v>
      </c>
      <c r="N273" s="3">
        <f>254.2+(339.1-241.5)+(0.388926+(0.518823-0.369495))+0-32.3-0.0494190000000019</f>
        <v>319.98883499999999</v>
      </c>
      <c r="O273" s="3">
        <f>394.6+(285.2-322)+(0.603738+(0.436356-0.49266))+0-32.1-0.0491130000000019</f>
        <v>326.19832100000002</v>
      </c>
      <c r="P273" s="3">
        <f>424.4+(241.9-302.9)+(0+(0-0))+0-32.1-0</f>
        <v>331.29999999999995</v>
      </c>
      <c r="Q273" s="3">
        <f>423.5+(244.7-307.8)+(0.215985+(0.124797-0.156978))+0-32.1-0.0163709999999967</f>
        <v>328.46743299999997</v>
      </c>
      <c r="R273" s="3">
        <f>421.4+(239.7-312)+(-1.07457+(-0.611235--0.7956))+0-31.9--0.0813449999999954</f>
        <v>316.39114000000001</v>
      </c>
      <c r="S273" s="3">
        <f>420.9+(256.7-344.8)+(-0.429318+(-0.261834--0.351696))+0-32.1--0.0327420000000051</f>
        <v>300.39328599999993</v>
      </c>
      <c r="T273" s="3">
        <f>420.8+(279.8-367.8)+(0+(0-0))+0-31.9-0</f>
        <v>300.90000000000003</v>
      </c>
      <c r="U273" s="3">
        <f>419.4+(276-370.1)+(-0.855576+(-0.56304--0.755004))+0-31.4--0.0640559999999986</f>
        <v>293.30044399999997</v>
      </c>
      <c r="V273" s="3">
        <f>418.5+(213.1-297.8)+(0.42687+(0.217362-0.303756))+0-31-0.0316200000000049</f>
        <v>303.10885599999995</v>
      </c>
      <c r="W273" s="3">
        <f>428.2+(166.6-240.4)+(0+(0-0))+0-31.5-0</f>
        <v>322.89999999999998</v>
      </c>
      <c r="X273" s="3">
        <f>561.8+(135.9-347.7)+(-1.719108+(-0.415854--1.063962))+0-31.3--0.0957780000000036</f>
        <v>317.72477799999996</v>
      </c>
      <c r="Y273" s="3">
        <f>548.7+(156.1-360.9)+(-0.839511+(-0.238833--0.552177))+0-31.2--0.0477360000000018</f>
        <v>312.2215690000001</v>
      </c>
      <c r="Z273" s="3">
        <f>540.4+(190.7-391.6)+(-0.551208+(-0.194514--0.399432))+0-30.9--0.0315180000000049</f>
        <v>308.28522799999996</v>
      </c>
      <c r="AA273" s="3">
        <f>540.6+(240.1-452.9)+(-0.551412+(-0.244902--0.461958))+0-30.5--0.0311100000000049</f>
        <v>296.99675400000007</v>
      </c>
      <c r="AB273" s="3">
        <f>539.1+(296.1-513.5)+(-1.099764+(-0.604044--1.04754))+0-30.3--0.0618119999999987</f>
        <v>290.805544</v>
      </c>
      <c r="AC273" s="3">
        <f>336.8+(385.2-412.8)+(-0.343536+(-0.392904--0.421056))+0-30.2--0.0308040000000048</f>
        <v>278.71541999999999</v>
      </c>
      <c r="AD273" s="2">
        <v>327.40000000000003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269.8+(346.8-327)+(-0.412794+(-0.530604--0.50031))+0-30.5--0.0466650000000018</f>
        <v>258.70357700000005</v>
      </c>
      <c r="G274" s="3">
        <f>251.5+(333.9-303)+(-0.76959+(-1.021734--0.92718))+0-30.4--0.0930240000000035</f>
        <v>251.22887999999998</v>
      </c>
      <c r="H274" s="3">
        <f>173.4+(332.5-225.9)+(-0.353736+(-0.6783--0.460836))+0-30.7--0.0626279999999987</f>
        <v>248.79142800000002</v>
      </c>
      <c r="I274" s="3">
        <f>110.7+(360-190)+(0+(0-0))+0-31-0</f>
        <v>249.7</v>
      </c>
      <c r="J274" s="3">
        <f>182.8+(351.1-253.2)+(0.186456+(0.358122-0.258264))+0-30.7-0.0313140000000049</f>
        <v>250.25500000000005</v>
      </c>
      <c r="K274" s="3">
        <f>211.3+(292.1-217.1)+(0+(0-0))+0-30.4-0</f>
        <v>255.90000000000006</v>
      </c>
      <c r="L274" s="3">
        <f>211+(299.6-218.4)+(-0.21522+(-0.305592--0.222768))+0-30.5--0.0311100000000049</f>
        <v>261.43306600000005</v>
      </c>
      <c r="M274" s="3">
        <f>256+(341.1-298.6)+(0.26112+(0.347922-0.304572))+0-31-0.0316200000000049</f>
        <v>267.77284999999995</v>
      </c>
      <c r="N274" s="3">
        <f>528+(251.7-422.4)+(0.53856+(0.256734-0.430848))+0-32-0.0326400000000051</f>
        <v>325.63180599999998</v>
      </c>
      <c r="O274" s="3">
        <f>545+(217.5-385.9)+(0.83385+(0.332775-0.590427))+0-32-0.0489600000000018</f>
        <v>345.12723799999998</v>
      </c>
      <c r="P274" s="3">
        <f>552.7+(221.2-418.7)+(0+(0-0))+0-32.5-0</f>
        <v>322.70000000000005</v>
      </c>
      <c r="Q274" s="3">
        <f>552.8+(222-418.4)+(0.281928+(0.11322-0.213384))+0-32.4-0.0165239999999967</f>
        <v>324.16523999999998</v>
      </c>
      <c r="R274" s="3">
        <f>547.4+(209.5-413)+(-1.675044+(-0.64107--1.26378))+0-31.8--0.0973080000000037</f>
        <v>311.14497399999999</v>
      </c>
      <c r="S274" s="3">
        <f>545.4+(230.7-450.5)+(0+(0-0))+0-31.7-0</f>
        <v>293.89999999999998</v>
      </c>
      <c r="T274" s="3">
        <f>544.8+(240.4-460.9)+(0+(0-0))+0-31.5-0</f>
        <v>292.79999999999995</v>
      </c>
      <c r="U274" s="3">
        <f>543.8+(253.3-474.2)+(0+(0-0))+0-31.6-0</f>
        <v>291.29999999999995</v>
      </c>
      <c r="V274" s="3">
        <f>543.6+(193-401)+(0+(0-0))+0-32-0</f>
        <v>303.60000000000002</v>
      </c>
      <c r="W274" s="3">
        <f>543.3+(177.9-361.7)+(-0.277083+(-0.090729--0.184467))+0-32.1--0.0163709999999967</f>
        <v>327.233026</v>
      </c>
      <c r="X274" s="3">
        <f>549.3+(165.5-361)+(-0.560286+(-0.16881--0.36822))+0-32.3--0.0329460000000051</f>
        <v>321.17206999999991</v>
      </c>
      <c r="Y274" s="3">
        <f>550.6+(146-347.3)+(0+(0-0))+0-32.4-0</f>
        <v>316.90000000000003</v>
      </c>
      <c r="Z274" s="3">
        <f>550+(146.7-358)+(-0.2805+(-0.074817--0.18258))+0-32.3--0.0164729999999967</f>
        <v>306.24373600000001</v>
      </c>
      <c r="AA274" s="3">
        <f>549.3+(200.4-416.4)+(-0.560286+(-0.204408--0.424728))+0-32--0.0326400000000051</f>
        <v>300.99267399999997</v>
      </c>
      <c r="AB274" s="3">
        <f>418.9+(262.4-357.6)+(0.213639+(0.133824-0.182376))+0-31.5-0.0160649999999968</f>
        <v>292.34902199999999</v>
      </c>
      <c r="AC274" s="3">
        <f>275.6+(334.3-304.5)+(-0.983892+(-1.193451--1.087065))+0-31.9--0.113883</f>
        <v>272.52360500000003</v>
      </c>
      <c r="AD274" s="2">
        <v>320.09999999999997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278.4+(338-309)+(-0.70992+(-0.8619--0.78795))+0-31.9--0.0813449999999954</f>
        <v>274.79747500000002</v>
      </c>
      <c r="G275" s="3">
        <f>231.4+(369.6-293.3)+(-0.59007+(-0.94248--0.747915))+0-32.5--0.0828749999999953</f>
        <v>274.49824000000007</v>
      </c>
      <c r="H275" s="3">
        <f>115.7+(409.9-231.4)+(0.059007+(0.209049-0.118014))+0-32.6-0.0166259999999967</f>
        <v>261.73341599999998</v>
      </c>
      <c r="I275" s="3">
        <f>115.7+(401.5-220.2)+(0.177021+(0.614295-0.336906))+0-32.7-0.0500310000000019</f>
        <v>264.70437900000002</v>
      </c>
      <c r="J275" s="3">
        <f>86.8+(387.8-181.2)+(0+(0-0))+0-32-0</f>
        <v>261.40000000000003</v>
      </c>
      <c r="K275" s="3">
        <f>92.4+(381.3-175.5)+(0.23562+(0.972315-0.447525))+0-31.7-0.0808349999999954</f>
        <v>267.17957500000006</v>
      </c>
      <c r="L275" s="3">
        <f>146.8+(361.6-188.3)+(0.149736+(0.368832-0.192066))+0-32.2-0.0328440000000051</f>
        <v>288.19365800000003</v>
      </c>
      <c r="M275" s="3">
        <f>224.3+(394.4-286.8)+(0+(0-0))+0-32.7-0</f>
        <v>299.2</v>
      </c>
      <c r="N275" s="3">
        <f>315.3+(365.4-328.3)+(0.321606+(0.372708-0.334866))+0-32.5-0.0331500000000052</f>
        <v>320.22629799999999</v>
      </c>
      <c r="O275" s="3">
        <f>420+(325.4-394)+(0.4284+(0.331908-0.40188))+0-32-0.0326400000000051</f>
        <v>319.72578799999997</v>
      </c>
      <c r="P275" s="3">
        <f>546.8+(284.3-469.1)+(-1.39434+(-0.724965--1.196205))+0-32.4--0.0826199999999953</f>
        <v>328.75952000000001</v>
      </c>
      <c r="Q275" s="3">
        <f>550.7+(275.3-456.5)+(-0.280857+(-0.140403--0.232815))+0-32.3--0.0164729999999967</f>
        <v>337.02802800000006</v>
      </c>
      <c r="R275" s="3">
        <f>547.5+(268.9-458.3)+(-1.396125+(-0.685695--1.168665))+0-29--0.0739499999999958</f>
        <v>328.26079499999992</v>
      </c>
      <c r="S275" s="3">
        <f>546.9+(285-489)+(-0.557838+(-0.2907--0.49878))+0-32.1--0.0327420000000051</f>
        <v>310.48298399999993</v>
      </c>
      <c r="T275" s="3">
        <f>539.6+(328.7-524.2)+(-1.100784+(-0.670548--1.069368))+0-31.8--0.0648719999999986</f>
        <v>311.66290799999996</v>
      </c>
      <c r="U275" s="3">
        <f>544.6+(246.5-456.4)+(0.833238+(0.377145-0.698292))+0-31.3-0.0478890000000018</f>
        <v>303.86420200000003</v>
      </c>
      <c r="V275" s="3">
        <f>542.8+(170.7-369.4)+(0+(0-0))+0-31.8-0</f>
        <v>312.29999999999995</v>
      </c>
      <c r="W275" s="3">
        <f>539.4+(134.6-309.3)+(-0.275094+(-0.068646--0.157743))+0-32--0.0163199999999968</f>
        <v>332.53032299999995</v>
      </c>
      <c r="X275" s="3">
        <f>514.9+(148.4-306.4)+(-0.262599+(-0.075684--0.156264))+0-31.9--0.0162689999999968</f>
        <v>324.83425</v>
      </c>
      <c r="Y275" s="3">
        <f>436.8+(180.9-265.6)+(-1.336608+(-0.553554--0.812736))+0-31.7--0.0970020000000037</f>
        <v>319.41957600000006</v>
      </c>
      <c r="Z275" s="3">
        <f>340.8+(201.6-196.2)+(-0.347616+(-0.205632--0.200124))+0-32.4--0.0330480000000052</f>
        <v>313.4799240000001</v>
      </c>
      <c r="AA275" s="3">
        <f>328.1+(204.3-203.1)+(-0.836655+(-0.520965--0.517905))+0-29.7--0.0757349999999957</f>
        <v>298.83602000000008</v>
      </c>
      <c r="AB275" s="3">
        <f>331.5+(275.3-279.2)+(0+(0-0))+0-31.9-0</f>
        <v>295.70000000000005</v>
      </c>
      <c r="AC275" s="3">
        <f>329.9+(294.6-310.8)+(-0.504747+(-0.450738--0.475524))+0-32.1--0.0491130000000019</f>
        <v>281.16915199999994</v>
      </c>
      <c r="AD275" s="2">
        <v>333.70000000000005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329.7+(240.2-261.7)+(-0.504441+(-0.367506--0.400401))+0-32--0.0489600000000018</f>
        <v>275.77741400000002</v>
      </c>
      <c r="G276" s="3">
        <f>330.3+(211.9-247)+(0+(0-0))+0-31.6-0</f>
        <v>263.60000000000002</v>
      </c>
      <c r="H276" s="3">
        <f>240.6+(146.4-100.7)+(-0.122706+(-0.074664--0.051357))+0-31.8--0.0162179999999968</f>
        <v>254.37020500000003</v>
      </c>
      <c r="I276" s="3">
        <f>241.5+(143.8-97.3)+(0.123165+(0.073338-0.049623))+0-31.6-0.0161159999999968</f>
        <v>256.53076399999998</v>
      </c>
      <c r="J276" s="3">
        <f>241.1+(154-113.5)+(0.122961+(0.07854-0.057885))+0-31.5-0.0160649999999968</f>
        <v>250.22755100000003</v>
      </c>
      <c r="K276" s="3">
        <f>253.8+(173.1-144.7)+(0.129438+(0.088281-0.073797))+0-31.4-0.0160139999999968</f>
        <v>250.92790800000003</v>
      </c>
      <c r="L276" s="3">
        <f>329.5+(185.6-220.5)+(-0.67218+(-0.378624--0.44982))+0-31.7--0.0646679999999986</f>
        <v>262.36368400000003</v>
      </c>
      <c r="M276" s="3">
        <f>333.7+(208.6-247.7)+(0.510561+(0.319158-0.378981))+0-31.5-0.0481950000000018</f>
        <v>263.502543</v>
      </c>
      <c r="N276" s="3">
        <f>432.9+(185.9-299)+(0.662337+(0.284427-0.45747))+0-30.4-0.0465120000000018</f>
        <v>289.84278199999994</v>
      </c>
      <c r="O276" s="3">
        <f>542.9+(162.1-364.4)+(0.553758+(0.165342-0.371688))+0-31.4-0.032028000000005</f>
        <v>309.51538400000004</v>
      </c>
      <c r="P276" s="3">
        <f>541.5+(172.9-380.7)+(0.276165+(0.088179-0.194157))+0-31.5-0.0160649999999968</f>
        <v>302.35412200000007</v>
      </c>
      <c r="Q276" s="3">
        <f>541.9+(175.5-377.5)+(0.276369+(0.089505-0.192525))+0-31.3-0.0159629999999968</f>
        <v>308.75738599999994</v>
      </c>
      <c r="R276" s="3">
        <f>537.9+(165.3-371.2)+(-0.548658+(-0.168606--0.378624))+0-30.9--0.0315180000000049</f>
        <v>300.79287800000003</v>
      </c>
      <c r="S276" s="3">
        <f>535.5+(164.6-387.8)+(-1.365525+(-0.41973--0.98889))+0-30.7--0.0782849999999955</f>
        <v>280.88191999999998</v>
      </c>
      <c r="T276" s="3">
        <f>545.3+(188.8-433.1)+(1.390515+(0.48144-1.104405))+0-30-0.0764999999999956</f>
        <v>271.6910499999999</v>
      </c>
      <c r="U276" s="3">
        <f>534+(177.2-418)+(0+(0-0))+0-29.9-0</f>
        <v>263.3</v>
      </c>
      <c r="V276" s="3">
        <f>534.5+(152.2-381.3)+(0.272595+(0.077622-0.194463))+0-30.7-0.0156569999999969</f>
        <v>274.84009700000001</v>
      </c>
      <c r="W276" s="3">
        <f>533.8+(113.7-315.4)+(-0.272238+(-0.057987--0.160854))+0-31.3--0.0159629999999968</f>
        <v>300.64659199999994</v>
      </c>
      <c r="X276" s="3">
        <f>534.7+(108-312.8)+(-0.818091+(-0.16524--0.478584))+0-31.5--0.0481950000000018</f>
        <v>297.94344800000005</v>
      </c>
      <c r="Y276" s="3">
        <f>421.8+(117.6-220.5)+(-1.290708+(-0.359856--0.67473))+0-31.6--0.0966960000000037</f>
        <v>286.42086199999994</v>
      </c>
      <c r="Z276" s="3">
        <f>409.6+(135.1-235.2)+(-0.835584+(-0.275604--0.479808))+0-31.6--0.0644639999999986</f>
        <v>277.33308399999999</v>
      </c>
      <c r="AA276" s="3">
        <f>260.1+(173.7-130.6)+(0.397953+(0.265761-0.199818))+0-31.6-0.0483480000000018</f>
        <v>272.01554800000002</v>
      </c>
      <c r="AB276" s="3">
        <f>206.3+(189.9-101.2)+(-0.210426+(-0.193698--0.103224))+0-31.7--0.0323340000000051</f>
        <v>263.03143399999999</v>
      </c>
      <c r="AC276" s="3">
        <f>89.8+(268.6-56.3)+(-0.137394+(-0.410958--0.086139))+0-29.7--0.0454410000000017</f>
        <v>271.983228</v>
      </c>
      <c r="AD276" s="2">
        <v>297.00000000000006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0+(302.1-11.4)+(0+(-0.616284--0.023256))+0-29.6--0.0603839999999987</f>
        <v>260.56735600000002</v>
      </c>
      <c r="G277" s="3">
        <f>0+(297.4-24.8)+(0+(0.303348-0.025296))+0-29.2-0.0297840000000047</f>
        <v>243.64826799999997</v>
      </c>
      <c r="H277" s="3">
        <f>0+(292.5-25.6)+(0+(-0.447525--0.039168))+0-29.3--0.0448290000000017</f>
        <v>237.23647199999994</v>
      </c>
      <c r="I277" s="3">
        <f>0+(296.9-25.6)+(0+(-0.302838--0.026112))+0-30.7--0.0313140000000049</f>
        <v>240.35458799999998</v>
      </c>
      <c r="J277" s="3">
        <f>0+(297.2-32.1)+(0+(-0.151572--0.016371))+0-31.1--0.0158609999999968</f>
        <v>233.88065999999998</v>
      </c>
      <c r="K277" s="3">
        <f>0+(310.3-46)+(0+(-0.791265--0.1173))+0-31.3--0.0798149999999955</f>
        <v>232.40584999999999</v>
      </c>
      <c r="L277" s="3">
        <f>0+(304.9-42.9)+(0+(-0.621996--0.087516))+0-31.7--0.0646679999999986</f>
        <v>229.83018800000005</v>
      </c>
      <c r="M277" s="3">
        <f>0+(297.1-47.4)+(0+(-0.303042--0.048348))+0-31.6--0.032232000000005</f>
        <v>217.87753800000002</v>
      </c>
      <c r="N277" s="3">
        <f>0+(339-74.7)+(0+(-0.17289--0.038097))+0-30.5--0.0155549999999969</f>
        <v>233.68076200000002</v>
      </c>
      <c r="O277" s="3">
        <f>0+(331.6-64.2)+(0+(0.338232-0.065484))+0-31.9-0.0325380000000051</f>
        <v>235.74020999999999</v>
      </c>
      <c r="P277" s="3">
        <f>0+(347.1-71)+(0+(-0.177021--0.03621))+0-32.2--0.0164219999999967</f>
        <v>243.77561100000005</v>
      </c>
      <c r="Q277" s="3">
        <f>0+(341-63.6)+(0+(-0.52173--0.097308))+0-32.4--0.0495720000000019</f>
        <v>244.62514999999999</v>
      </c>
      <c r="R277" s="3">
        <f>0+(342.4-64.8)+(0+(-0.523872--0.099144))+0-32.4--0.0495720000000019</f>
        <v>244.82484399999996</v>
      </c>
      <c r="S277" s="3">
        <f>0+(338.5-65.5)+(0+(-0.69054--0.13362))+0-32.1--0.0654839999999986</f>
        <v>240.40856400000001</v>
      </c>
      <c r="T277" s="3">
        <f>0+(341.1-66.9)+(0+(-0.347922--0.068238))+0-31.1--0.031722000000005</f>
        <v>242.85203800000008</v>
      </c>
      <c r="U277" s="3">
        <f>0+(333.5-63.3)+(0+(-0.170085--0.032283))+0-31.1--0.0158609999999968</f>
        <v>238.97805899999997</v>
      </c>
      <c r="V277" s="3">
        <f>109.1+(267-94)+(-0.111282+(-0.27234--0.09588))+0-32--0.0326400000000051</f>
        <v>249.84489800000006</v>
      </c>
      <c r="W277" s="3">
        <f>262.4+(157.5-118.7)+(0.267648+(0.16065-0.121074))+0-32.6-0.0332520000000052</f>
        <v>268.87397199999998</v>
      </c>
      <c r="X277" s="3">
        <f>271.1+(150.6-111)+(0+(0-0))+0-32.5-0</f>
        <v>278.20000000000005</v>
      </c>
      <c r="Y277" s="3">
        <f>233.4+(164.7-95.2)+(-0.476136+(-0.335988--0.194208))+0-31.4--0.0640559999999986</f>
        <v>270.94614000000001</v>
      </c>
      <c r="Z277" s="3">
        <f>200.6+(189.2-89.1)+(-0.204612+(-0.192984--0.090882))+0-31.6--0.032232000000005</f>
        <v>268.82551799999999</v>
      </c>
      <c r="AA277" s="3">
        <f>201.1+(209.4-107.1)+(0+(0-0))+0-32.2-0</f>
        <v>271.2</v>
      </c>
      <c r="AB277" s="3">
        <f>199.1+(241.4-142.5)+(-0.406164+(-0.492456--0.2907))+0-31.6--0.0644639999999986</f>
        <v>265.85654399999999</v>
      </c>
      <c r="AC277" s="3">
        <f>18.1+(307.4-33.4)+(-0.046155+(-0.78387--0.08517))+0-31.8--0.0810899999999954</f>
        <v>259.63623500000006</v>
      </c>
      <c r="AD277" s="2">
        <v>280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0+(271.9-2.1)+(0+(0.277338-0.002142))+0-31.7-0.0323340000000051</f>
        <v>238.34286199999997</v>
      </c>
      <c r="G278" s="3">
        <f>0+(291.1-22.8)+(0+(-0.742305--0.05814))+0-31.6--0.0805799999999954</f>
        <v>236.09641500000001</v>
      </c>
      <c r="H278" s="3">
        <f>0+(258.7-0)+(0+(0.131937-0))+0-31.2-0.0159119999999968</f>
        <v>227.61602500000001</v>
      </c>
      <c r="I278" s="3">
        <f>0+(265.6-0)+(0+(-0.135456-0))+0-31.5--0.0160649999999968</f>
        <v>233.98060900000004</v>
      </c>
      <c r="J278" s="3">
        <f>0+(275.7-8.7)+(0+(-0.140607--0.004437))+0-29.9--0.015248999999997</f>
        <v>236.97907899999998</v>
      </c>
      <c r="K278" s="3">
        <f>0+(282.6-13.2)+(0+(0.576504-0.026928))+0-32.1-0.0654839999999986</f>
        <v>237.78409200000004</v>
      </c>
      <c r="L278" s="3">
        <f>62.5+(276.3-46.9)+(-0.06375+(-0.281826--0.047838))+0-31.5--0.032130000000005</f>
        <v>260.13439199999999</v>
      </c>
      <c r="M278" s="3">
        <f>197.5+(263.3-161.1)+(0.100725+(0.134283-0.082161))+0-31.6-0.0161159999999968</f>
        <v>268.23673100000002</v>
      </c>
      <c r="N278" s="3">
        <f>268.2+(300.2-231.1)+(0+(0-0))+0-32.2-0</f>
        <v>305.09999999999997</v>
      </c>
      <c r="O278" s="3">
        <f>443.6+(224.3-316.8)+(0+(0-0))+0-32.3-0</f>
        <v>318.8</v>
      </c>
      <c r="P278" s="3">
        <f>530.7+(175.1-345.6)+(-1.082628+(-0.357204--0.705024))+0-32.4--0.0660959999999986</f>
        <v>327.1312880000001</v>
      </c>
      <c r="Q278" s="3">
        <f>531.6+(164.8-331.8)+(-1.084464+(-0.336192--0.676872))+0-32.4--0.0660959999999986</f>
        <v>331.52231200000006</v>
      </c>
      <c r="R278" s="3">
        <f>438.8+(194.8-271.8)+(-0.671364+(-0.298044--0.415854))+0-32.3--0.0494190000000019</f>
        <v>328.99586499999998</v>
      </c>
      <c r="S278" s="3">
        <f>409+(203.8-265.5)+(-0.41718+(-0.207876--0.27081))+0-32.2--0.0328440000000051</f>
        <v>314.77859800000004</v>
      </c>
      <c r="T278" s="3">
        <f>410.1+(194.9-259.4)+(-0.418302+(-0.198798--0.264588))+0-31.9--0.0325380000000051</f>
        <v>313.38002600000004</v>
      </c>
      <c r="U278" s="3">
        <f>411.9+(190.4-264.8)+(0+(0-0))+0-32.2-0</f>
        <v>305.3</v>
      </c>
      <c r="V278" s="3">
        <f>409.3+(157.9-219)+(-0.834972+(-0.322116--0.44676))+0-32.2--0.0656879999999986</f>
        <v>315.35536000000008</v>
      </c>
      <c r="W278" s="3">
        <f>515.8+(99.6-246.9)+(0.526116+(0.101592-0.251838))+0-33-0.0336600000000053</f>
        <v>335.84220999999997</v>
      </c>
      <c r="X278" s="3">
        <f>517.6+(81.5-234.5)+(-1.583856+(-0.24939--0.71757))+0-32.8--0.100368000000004</f>
        <v>330.78469200000001</v>
      </c>
      <c r="Y278" s="3">
        <f>439.1+(112.1-187.2)+(0.223941+(0.057171-0.095472))+0-32.6-0.0166259999999967</f>
        <v>331.56901399999998</v>
      </c>
      <c r="Z278" s="3">
        <f>521.8+(106.3-268.8)+(-1.064472+(-0.216852--0.548352))+0-32.7--0.0667079999999986</f>
        <v>325.93373599999995</v>
      </c>
      <c r="AA278" s="3">
        <f>542.7+(121.4-317.5)+(-0.830331+(-0.185742--0.485775))+0-30.4--0.0465120000000018</f>
        <v>315.71621400000004</v>
      </c>
      <c r="AB278" s="3">
        <f>478.4+(160.1-299.6)+(-0.243984+(-0.081651--0.152796))+0-31.5--0.0160649999999968</f>
        <v>307.24322599999994</v>
      </c>
      <c r="AC278" s="3">
        <f>244.5+(261.2-185.7)+(-0.74817+(-0.799272--0.568242))+0-31.3--0.0957780000000036</f>
        <v>287.81657799999999</v>
      </c>
      <c r="AD278" s="2">
        <v>329.1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179.4+(301.9-177.1)+(-0.182988+(-0.307938--0.180642))+0-31.8--0.0324360000000051</f>
        <v>272.12215199999997</v>
      </c>
      <c r="G279" s="3">
        <f>130.8+(232.5-66.4)+(0.066708+(0.118575-0.033864))+0-31.2-0.0159119999999968</f>
        <v>265.83550699999995</v>
      </c>
      <c r="H279" s="3">
        <f>130.7+(175.5-22.7)+(-0.066657+(-0.089505--0.011577))+0-31.1--0.0158609999999968</f>
        <v>252.271276</v>
      </c>
      <c r="I279" s="3">
        <f>131.1+(193.5-41.5)+(0.066861+(0.098685-0.021165))+0-31.3-0.0159629999999968</f>
        <v>251.92841800000002</v>
      </c>
      <c r="J279" s="3">
        <f>130.6+(201.5-44.6)+(-0.066606+(-0.102765--0.022746))+0-31.5--0.0160649999999968</f>
        <v>255.86944000000003</v>
      </c>
      <c r="K279" s="3">
        <f>131.2+(217.7-57.9)+(0+(0-0))+0-31-0</f>
        <v>260</v>
      </c>
      <c r="L279" s="3">
        <f>130.4+(247.6-76.8)+(-0.266016+(-0.505104--0.156672))+0-31.8--0.0648719999999986</f>
        <v>268.85042400000003</v>
      </c>
      <c r="M279" s="3">
        <f>130.6+(322.1-132.2)+(-0.266424+(-0.657084--0.269688))+0-31.4--0.0640559999999986</f>
        <v>288.51023600000002</v>
      </c>
      <c r="N279" s="3">
        <f>173.7+(282.3-114.5)+(0.265761+(0.431919-0.175185))+0-31.5-0.0481950000000018</f>
        <v>310.47429999999997</v>
      </c>
      <c r="O279" s="3">
        <f>269.6+(220.3-135.2)+(-0.412488+(-0.337059--0.206856))+0-32.6--0.0498780000000019</f>
        <v>321.60718700000001</v>
      </c>
      <c r="P279" s="3">
        <f>269+(285.2-205.8)+(0+(0-0))+0-32.3-0</f>
        <v>316.09999999999997</v>
      </c>
      <c r="Q279" s="3">
        <f>263.8+(308.2-218)+(-0.67269+(-0.78591--0.5559))+0-32.8--0.0836399999999952</f>
        <v>320.38094000000001</v>
      </c>
      <c r="R279" s="3">
        <f>264.1+(321.5-242.2)+(-0.673455+(-0.819825--0.61761))+0-32.3--0.0823649999999953</f>
        <v>310.30669499999999</v>
      </c>
      <c r="S279" s="3">
        <f>264.7+(320.6-247.6)+(-0.404991+(-0.490518--0.378828))+0-32.5--0.0497250000000019</f>
        <v>304.73304400000006</v>
      </c>
      <c r="T279" s="3">
        <f>266.6+(360-294)+(-0.135966+(-0.1836--0.14994))+0-25.1--0.0128009999999975</f>
        <v>307.34317500000003</v>
      </c>
      <c r="U279" s="3">
        <f>265.5+(328.3-269.7)+(-0.135405+(-0.167433--0.137547))+0-31.6--0.0161159999999968</f>
        <v>292.35082499999999</v>
      </c>
      <c r="V279" s="3">
        <f>228.4+(253.8-146.9)+(-0.116484+(-0.129438--0.074919))+0-31.8--0.0162179999999968</f>
        <v>303.345215</v>
      </c>
      <c r="W279" s="3">
        <f>302.1+(267.5-212)+(-0.308142+(-0.27285--0.21624))+0-32--0.0326400000000051</f>
        <v>325.26788800000003</v>
      </c>
      <c r="X279" s="3">
        <f>429.3+(260.5-328.3)+(-0.875772+(-0.53142--0.669732))+0-31.5--0.0642599999999986</f>
        <v>329.32679999999999</v>
      </c>
      <c r="Y279" s="3">
        <f>419.7+(254.3-325.6)+(-0.642141+(-0.389079--0.498168))+0-31.5--0.0481950000000018</f>
        <v>316.415143</v>
      </c>
      <c r="Z279" s="3">
        <f>323.9+(284.3-267.4)+(-0.495567+(-0.434979--0.409122))+0-31.8--0.0486540000000018</f>
        <v>308.52722999999997</v>
      </c>
      <c r="AA279" s="3">
        <f>250.3+(382.4-303.2)+(-0.255306+(-0.390048--0.309264))+0-31.8--0.0324360000000051</f>
        <v>297.39634599999999</v>
      </c>
      <c r="AB279" s="3">
        <f>248.4+(438-357.6)+(-0.63342+(-1.1169--0.91188))+0-31.7--0.0808349999999954</f>
        <v>296.34239499999995</v>
      </c>
      <c r="AC279" s="3">
        <f>220.2+(306.5-212)+(-0.673812+(-0.93789--0.64872))+0-31.7--0.0970020000000037</f>
        <v>282.13402000000002</v>
      </c>
      <c r="AD279" s="2">
        <v>327.79999999999995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179.4+(339.9-217.4)+(-0.365976+(-0.693396--0.443496))+0-31.2--0.0636479999999986</f>
        <v>270.14777199999997</v>
      </c>
      <c r="G280" s="3">
        <f>156.2+(355.7-218.6)+(-0.079662+(-0.181407--0.111486))+0-31.1--0.0158609999999968</f>
        <v>262.0662779999999</v>
      </c>
      <c r="H280" s="3">
        <f>115.6+(353.7-184.8)+(-0.29478+(-0.901935--0.47124))+0-31.1--0.0793049999999955</f>
        <v>252.75382999999999</v>
      </c>
      <c r="I280" s="3">
        <f>115.7+(355.2-187.2)+(0.059007+(0.181152-0.095472))+0-31-0.0158099999999969</f>
        <v>252.82887699999998</v>
      </c>
      <c r="J280" s="3">
        <f>115.6+(380.6-211.8)+(-0.058956+(-0.194106--0.108018))+0-30.8--0.0157079999999969</f>
        <v>253.47066399999997</v>
      </c>
      <c r="K280" s="3">
        <f>115.7+(409.4-241.3)+(0.059007+(0.208794-0.123063))+0-30.3-0.0154529999999969</f>
        <v>253.62928499999995</v>
      </c>
      <c r="L280" s="3">
        <f>115.7+(429.2-242.4)+(-0.118014+(-0.437784--0.247248))+0-30.2--0.0308040000000048</f>
        <v>272.02225399999998</v>
      </c>
      <c r="M280" s="3">
        <f>204.8+(406-296.9)+(0.208896+(0.41412-0.302838))+0-30.4-0.0310080000000048</f>
        <v>283.78917000000007</v>
      </c>
      <c r="N280" s="3">
        <f>276.1+(392.6-323.2)+(-0.563244+(-0.800904--0.659328))+0-30.8--0.0628319999999987</f>
        <v>314.05801200000008</v>
      </c>
      <c r="O280" s="3">
        <f>275.5+(446.3-364.4)+(0.140505+(0.227613-0.185844))+0-31.7-0.0161669999999968</f>
        <v>325.86610700000006</v>
      </c>
      <c r="P280" s="3">
        <f>271+(499.1-411.8)+(-0.55284+(-1.018164--0.840072))+0-31.1--0.0634439999999986</f>
        <v>326.532512</v>
      </c>
      <c r="Q280" s="3">
        <f>271.1+(503.3-408.8)+(-0.553044+(-1.026732--0.833952))+0-30.8--0.0628319999999987</f>
        <v>334.117008</v>
      </c>
      <c r="R280" s="3">
        <f>271.2+(468.4-381.1)+(-0.414936+(-0.716652--0.583083))+0-30.3--0.0463590000000018</f>
        <v>327.69785399999995</v>
      </c>
      <c r="S280" s="3">
        <f>273.3+(383.2-315.1)+(0.139383+(0.195432-0.160701))+0-30.1-0.0153509999999969</f>
        <v>311.45876299999992</v>
      </c>
      <c r="T280" s="3">
        <f>272.2+(371.8-307.6)+(-0.138822+(-0.189618--0.156876))+0-30.3--0.0154529999999969</f>
        <v>305.94388899999996</v>
      </c>
      <c r="U280" s="3">
        <f>236.8+(405.1-307.4)+(-0.120768+(-0.206601--0.156774))+0-30.5--0.0155549999999969</f>
        <v>303.84496000000007</v>
      </c>
      <c r="V280" s="3">
        <f>230.9+(354.7-243.3)+(-0.353277+(-0.542691--0.372249))+0-30.5--0.0466650000000018</f>
        <v>311.32294599999994</v>
      </c>
      <c r="W280" s="3">
        <f>271.3+(323.2-224.4)+(-0.276726+(-0.329664--0.228888))+0-31--0.0316200000000049</f>
        <v>338.75411800000006</v>
      </c>
      <c r="X280" s="3">
        <f>253.5+(299.8-188.6)+(-0.51714+(-0.611592--0.384744))+0-30.7--0.0626279999999987</f>
        <v>333.31864000000007</v>
      </c>
      <c r="Y280" s="3">
        <f>240.9+(227.7-119.5)+(0+(0-0))+0-31.4-0</f>
        <v>317.70000000000005</v>
      </c>
      <c r="Z280" s="3">
        <f>241.9+(266.2-161.4)+(0.246738+(0.271524-0.164628))+0-31.6-0.032232000000005</f>
        <v>315.42140199999994</v>
      </c>
      <c r="AA280" s="3">
        <f>257.5+(342.3-259.6)+(-0.393975+(-0.523719--0.397188))+0-31.3--0.0478890000000018</f>
        <v>308.42738299999996</v>
      </c>
      <c r="AB280" s="3">
        <f>261+(420.5-349.4)+(-0.13311+(-0.214455--0.178194))+0-30.7--0.0156569999999969</f>
        <v>301.246286</v>
      </c>
      <c r="AC280" s="3">
        <f>154.6+(463.4-297)+(-0.39423+(-1.18167--0.75735))+0-31.1--0.0793049999999955</f>
        <v>289.16075499999994</v>
      </c>
      <c r="AD280" s="2">
        <v>338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0+(485.7-188)+(0+(-0.990828--0.38352))+0-31--0.0632399999999986</f>
        <v>266.15593200000001</v>
      </c>
      <c r="G281" s="3">
        <f>0+(492.9-203)+(0+(-0.754137--0.31059))+0-30.8--0.0471240000000018</f>
        <v>258.70357699999994</v>
      </c>
      <c r="H281" s="3">
        <f>0+(480.8-191.3)+(0+(-0.490416--0.195126))+0-30.6--0.0312120000000049</f>
        <v>258.63592199999994</v>
      </c>
      <c r="I281" s="3">
        <f>0+(475.1-189.3)+(0+(0-0))+0-30.5-0</f>
        <v>255.3</v>
      </c>
      <c r="J281" s="3">
        <f>0+(447.3-162.6)+(0+(0-0))+0-30.4-0</f>
        <v>254.30000000000004</v>
      </c>
      <c r="K281" s="3">
        <f>0+(454.1-164)+(0+(0-0))+0-30.5-0</f>
        <v>259.60000000000002</v>
      </c>
      <c r="L281" s="3">
        <f>8.8+(471.1-176.1)+(-0.008976+(-0.480522--0.179622))+0-30.8--0.0314160000000049</f>
        <v>272.72154</v>
      </c>
      <c r="M281" s="3">
        <f>90.8+(506.5-280.3)+(-0.046308+(-0.258315--0.142953))+0-26.9--0.0137189999999973</f>
        <v>289.95204899999999</v>
      </c>
      <c r="N281" s="3">
        <f>243.2+(528.2-414.2)+(0.248064+(0.538764-0.422484))+0-31.2-0.031824000000005</f>
        <v>326.33252000000005</v>
      </c>
      <c r="O281" s="3">
        <f>273.3+(499.2-399.3)+(0.278766+(0.509184-0.407286))+0-31.2-0.031824000000005</f>
        <v>342.34884</v>
      </c>
      <c r="P281" s="3">
        <f>274.1+(487.1-384.1)+(0.419373+(0.745263-0.587673))+0-31.2-0.0477360000000018</f>
        <v>346.42922700000003</v>
      </c>
      <c r="Q281" s="3">
        <f>273.5+(485.3-383)+(0.139485+(0.247503-0.19533))+0-26.6-0.0135659999999973</f>
        <v>349.37809200000004</v>
      </c>
      <c r="R281" s="3">
        <f>271.8+(429.3-323.7)+(-0.415854+(-0.656829--0.495261))+0-31--0.0474300000000018</f>
        <v>345.87000800000004</v>
      </c>
      <c r="S281" s="3">
        <f>272.7+(478.9-382.1)+(-0.278154+(-0.488478--0.389742))+0-30.5--0.0311100000000049</f>
        <v>338.65421999999995</v>
      </c>
      <c r="T281" s="3">
        <f>270.8+(490.9-392)+(-0.69054+(-1.251795--0.9996))+0-30.7--0.0782849999999955</f>
        <v>338.13554999999997</v>
      </c>
      <c r="U281" s="3">
        <f>273.8+(457.8-366.5)+(0.139638+(0.233478-0.186915))+0-31.1-0.0158609999999968</f>
        <v>334.17034000000001</v>
      </c>
      <c r="V281" s="3">
        <f>272.2+(375.6-275.5)+(-0.416466+(-0.574668--0.421515))+0-31.3--0.0478890000000018</f>
        <v>340.47827000000001</v>
      </c>
      <c r="W281" s="3">
        <f>272.8+(291.4-183.4)+(-0.139128+(-0.148614--0.093534))+0-32--0.0163199999999968</f>
        <v>348.62211199999996</v>
      </c>
      <c r="X281" s="3">
        <f>271.4+(273.5-173.4)+(-0.553656+(-0.55794--0.353736))+0-32.5--0.0662999999999986</f>
        <v>338.30844000000002</v>
      </c>
      <c r="Y281" s="3">
        <f>272.5+(305.7-213.8)+(-0.27795+(-0.311814--0.218076))+0-32.3--0.0329460000000051</f>
        <v>331.76125799999994</v>
      </c>
      <c r="Z281" s="3">
        <f>235.4+(302.8-180.8)+(0+(0-0))+0-31.9-0</f>
        <v>325.5</v>
      </c>
      <c r="AA281" s="3">
        <f>181.1+(343.3-179.5)+(-0.277083+(-0.525249--0.274635))+0-31.8--0.0486540000000018</f>
        <v>312.62095699999998</v>
      </c>
      <c r="AB281" s="3">
        <f>75.1+(455.3-186.3)+(-0.153204+(-0.928812--0.380052))+0-31.6--0.0644639999999986</f>
        <v>311.86250000000001</v>
      </c>
      <c r="AC281" s="3">
        <f>0+(438.4-105)+(0+(-1.11792--0.26775))+0-31.2--0.0795599999999955</f>
        <v>301.42939000000001</v>
      </c>
      <c r="AD281" s="2">
        <v>348.00000000000006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0+(376.7-57.7)+(0+(-0.576351--0.088281))+0-31.1--0.0475830000000018</f>
        <v>287.45951299999996</v>
      </c>
      <c r="G282" s="3">
        <f>0+(355.1-30.4)+(0+(-0.543303--0.046512))+0-30.8--0.0471240000000018</f>
        <v>293.45033300000006</v>
      </c>
      <c r="H282" s="3">
        <f>0+(386.5-55.3)+(0+(-0.78846--0.112812))+0-30.8--0.0628319999999987</f>
        <v>299.78718399999997</v>
      </c>
      <c r="I282" s="3">
        <f>0+(361-27.8)+(0+(0-0))+0-30.9-0</f>
        <v>302.3</v>
      </c>
      <c r="J282" s="3">
        <f>0+(338.8-23.5)+(0+(0.345576-0.02397))+0-23.6-0.0240720000000038</f>
        <v>291.99753399999997</v>
      </c>
      <c r="K282" s="3">
        <f>0+(428.7-102.9)+(0+(0-0))+0-31.3-0</f>
        <v>294.49999999999994</v>
      </c>
      <c r="L282" s="3">
        <f>26+(408.3-112.7)+(0+(0-0))+0-31.3-0</f>
        <v>290.3</v>
      </c>
      <c r="M282" s="3">
        <f>138.1+(420-220.2)+(0+(0-0))+0-31.7-0</f>
        <v>306.2</v>
      </c>
      <c r="N282" s="3">
        <f>138+(453.2-220.4)+(-0.07038+(-0.231132--0.112404))+0-32--0.0163199999999968</f>
        <v>338.62721199999999</v>
      </c>
      <c r="O282" s="3">
        <f>138.5+(493.8-254.9)+(0.14127+(0.503676-0.259998))+0-32.1-0.0327420000000051</f>
        <v>345.65220599999998</v>
      </c>
      <c r="P282" s="3">
        <f>138.5+(480.4-239.7)+(0.070635+(0.245004-0.122247))+0-32.1-0.0163709999999967</f>
        <v>347.27702099999999</v>
      </c>
      <c r="Q282" s="3">
        <f>137.3+(474.1-232.6)+(-0.280092+(-0.967164--0.474504))+0-32.3--0.0658919999999986</f>
        <v>345.79314000000005</v>
      </c>
      <c r="R282" s="3">
        <f>138.5+(514.5-273.6)+(0.070635+(0.262395-0.139536))+0-30.9-0.0157589999999969</f>
        <v>348.67773499999998</v>
      </c>
      <c r="S282" s="3">
        <f>138+(527.1-296.6)+(0.07038+(0.268821-0.151266))+0-31.9-0.0162689999999968</f>
        <v>336.77166599999998</v>
      </c>
      <c r="T282" s="3">
        <f>138.3+(537.3-319.1)+(0.070533+(0.274023-0.162741))+0-31.7-0.0161669999999968</f>
        <v>324.96564799999993</v>
      </c>
      <c r="U282" s="3">
        <f>137.5+(508.9-292.5)+(-0.2805+(-1.038156--0.5967))+0-32.4--0.0660959999999986</f>
        <v>320.84414000000004</v>
      </c>
      <c r="V282" s="3">
        <f>146.1+(473-268.8)+(-0.298044+(-0.96492--0.548352))+0-32--0.0652799999999986</f>
        <v>317.65066799999994</v>
      </c>
      <c r="W282" s="3">
        <f>261.3+(399.8-298.6)+(-0.399789+(-0.611694--0.456858))+0-32.4--0.0495720000000019</f>
        <v>329.59494700000005</v>
      </c>
      <c r="X282" s="3">
        <f>193.1+(367.2-205.7)+(0+(0-0))+0-32.4-0</f>
        <v>322.20000000000005</v>
      </c>
      <c r="Y282" s="3">
        <f>190.3+(355.1-203.6)+(-0.097053+(-0.181101--0.103836))+0-31.9--0.0162689999999968</f>
        <v>309.74195100000009</v>
      </c>
      <c r="Z282" s="3">
        <f>189.8+(371.5-219.8)+(-0.290394+(-0.568395--0.336294))+0-32.6--0.0498780000000019</f>
        <v>308.42738299999996</v>
      </c>
      <c r="AA282" s="3">
        <f>144.6+(397.5-206.2)+(-0.442476+(-1.21635--0.630972))+0-32.6--0.0997560000000038</f>
        <v>302.37190199999998</v>
      </c>
      <c r="AB282" s="3">
        <f>90.6+(469-231.5)+(-0.046206+(-0.23919--0.118065))+0-32.8--0.0167279999999967</f>
        <v>295.14939700000002</v>
      </c>
      <c r="AC282" s="3">
        <f>70.1+(497.2-248.5)+(-0.143004+(-1.014288--0.50694))+0-32.2--0.0656879999999986</f>
        <v>286.01533599999999</v>
      </c>
      <c r="AD282" s="2">
        <v>325.5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0+(508.5-201.7)+(0+(-0.778005--0.308601))+0-32.4--0.0495720000000019</f>
        <v>273.98016800000005</v>
      </c>
      <c r="G283" s="3">
        <f>0+(452.5-155.8)+(0+(-0.692325--0.238374))+0-32.7--0.0500310000000019</f>
        <v>263.59607999999997</v>
      </c>
      <c r="H283" s="3">
        <f>0+(385.5-95.4)+(0+(-0.78642--0.194616))+0-31.4--0.0640559999999986</f>
        <v>258.17225200000001</v>
      </c>
      <c r="I283" s="3">
        <f>0+(353.8-65.9)+(0+(-0.180438--0.033609))+0-31.5--0.0160649999999968</f>
        <v>256.26923599999992</v>
      </c>
      <c r="J283" s="3">
        <f>0+(377.1-91.8)+(0+(-0.384642--0.093636))+0-30.3--0.0309060000000048</f>
        <v>254.73990000000003</v>
      </c>
      <c r="K283" s="3">
        <f>7.5+(407.4-127.1)+(0.00765+(0.415548-0.129642))+0-32.5-0.0331500000000052</f>
        <v>255.56040599999997</v>
      </c>
      <c r="L283" s="3">
        <f>89.8+(452-246.9)+(-0.137394+(-0.69156--0.377757))+0-33--0.0504900000000019</f>
        <v>261.49929300000002</v>
      </c>
      <c r="M283" s="3">
        <f>99.7+(503.8-302.9)+(0+(0-0))+0-32.3-0</f>
        <v>268.3</v>
      </c>
      <c r="N283" s="3">
        <f>139.8+(469.9-268.5)+(0.142596+(0.479298-0.27387))+0-32.1-0.0327420000000051</f>
        <v>309.41528199999999</v>
      </c>
      <c r="O283" s="3">
        <f>204.6+(444.3-295.5)+(-0.313038+(-0.679779--0.452115))+0-31.4--0.0480420000000018</f>
        <v>321.50734</v>
      </c>
      <c r="P283" s="3">
        <f>284.3+(433.8-358.4)+(-0.289986+(-0.442476--0.365568))+0-31.5--0.032130000000005</f>
        <v>327.86523600000004</v>
      </c>
      <c r="Q283" s="3">
        <f>285.9+(446.3-368.7)+(0.291618+(0.455226-0.376074))+0-31.5-0.032130000000005</f>
        <v>332.33864</v>
      </c>
      <c r="R283" s="3">
        <f>281+(438.9-361.6)+(-1.00317+(-1.566873--1.290912))+0-30.9--0.110313</f>
        <v>326.23118199999999</v>
      </c>
      <c r="S283" s="3">
        <f>284.7+(447.3-403.1)+(0+(0-0))+0-31.5-0</f>
        <v>297.39999999999998</v>
      </c>
      <c r="T283" s="3">
        <f>162.3+(517-352.6)+(-0.248319+(-0.79101--0.539478))+0-31.1--0.0475830000000018</f>
        <v>295.14773199999996</v>
      </c>
      <c r="U283" s="3">
        <f>115.7+(532.9-333.2)+(-0.118014+(-0.543558--0.339864))+0-31.4--0.032028000000005</f>
        <v>283.71032000000002</v>
      </c>
      <c r="V283" s="3">
        <f>181.6+(408.7-274.9)+(-0.092616+(-0.208437--0.140199))+0-31.7--0.0161669999999968</f>
        <v>283.55531300000001</v>
      </c>
      <c r="W283" s="3">
        <f>261.9+(462-376.7)+(0.400707+(0.70686-0.576351))+0-32.6-0.0498780000000019</f>
        <v>315.08133799999996</v>
      </c>
      <c r="X283" s="3">
        <f>290.6+(427.9-371.5)+(-0.444618+(-0.654687--0.568395))+0-32.6--0.0498780000000019</f>
        <v>313.91896799999995</v>
      </c>
      <c r="Y283" s="3">
        <f>291.2+(426.9-384.8)+(0+(0-0))+0-32.4-0</f>
        <v>300.89999999999998</v>
      </c>
      <c r="Z283" s="3">
        <f>263.5+(461-396.2)+(-0.53754+(-0.94044--0.808248))+0-32.8--0.0669119999999986</f>
        <v>294.89717999999999</v>
      </c>
      <c r="AA283" s="3">
        <f>239.8+(455.9-375.5)+(-0.244596+(-0.465018--0.38301))+0-32.9--0.0335580000000052</f>
        <v>287.00695400000006</v>
      </c>
      <c r="AB283" s="3">
        <f>170.6+(506.5-362.2)+(-0.261018+(-0.774945--0.554166))+0-32.4--0.0495720000000019</f>
        <v>282.06777500000004</v>
      </c>
      <c r="AC283" s="3">
        <f>36.1+(561.3-292.6)+(0.018411+(0.286263-0.149226))+0-32-0.0163199999999968</f>
        <v>272.93912799999993</v>
      </c>
      <c r="AD283" s="2">
        <v>316.7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0+(493.5-198.1)+(0+(-0.755055--0.303093))+0-32.1--0.0491130000000019</f>
        <v>262.89715099999995</v>
      </c>
      <c r="G284" s="3">
        <f>0+(464.1-177.3)+(0+(-0.473382--0.180846))+0-32--0.0326400000000051</f>
        <v>254.54010400000004</v>
      </c>
      <c r="H284" s="3">
        <f>0+(474.6-193.8)+(0+(-0.242046--0.098838))+0-31.9--0.0162689999999968</f>
        <v>248.77306099999998</v>
      </c>
      <c r="I284" s="3">
        <f>0+(454.7-172.5)+(0+(-1.623279--0.615825))+0-32--0.11424</f>
        <v>249.30678599999999</v>
      </c>
      <c r="J284" s="3">
        <f>0+(420.8-143.1)+(0+(0.214608-0.072981))+0-31.7-0.0161669999999968</f>
        <v>246.12546000000009</v>
      </c>
      <c r="K284" s="3">
        <f>0+(406.8-128.9)+(0+(-0.622404--0.197217))+0-31.5--0.0481950000000018</f>
        <v>246.02300799999998</v>
      </c>
      <c r="L284" s="3">
        <f>0+(437.3-160.4)+(0+(-1.115115--0.40902))+0-31.6--0.0805799999999954</f>
        <v>244.67448499999998</v>
      </c>
      <c r="M284" s="3">
        <f>0+(387.9-129.3)+(0+(0-0))+0-31.9-0</f>
        <v>226.69999999999996</v>
      </c>
      <c r="N284" s="3">
        <f>64.5+(361.6-161.7)+(0.032895+(0.184416-0.082467))+0-32.1-0.0163709999999967</f>
        <v>232.41847300000003</v>
      </c>
      <c r="O284" s="3">
        <f>195.6+(296.2-215.6)+(0.099756+(0.151062-0.109956))+0-32.1-0.0163709999999967</f>
        <v>244.22449100000003</v>
      </c>
      <c r="P284" s="3">
        <f>285.2+(320-317.2)+(-0.290904+(-0.3264--0.323544))+0-31.8--0.0324360000000051</f>
        <v>255.93867599999999</v>
      </c>
      <c r="Q284" s="3">
        <f>281+(246.3-236.4)+(0+(0-0))+0-32.4-0</f>
        <v>258.5</v>
      </c>
      <c r="R284" s="3">
        <f>279.3+(243.8-233.8)+(-0.569772+(-0.497352--0.476952))+0-32.1--0.0654839999999986</f>
        <v>256.67531200000002</v>
      </c>
      <c r="S284" s="3">
        <f>221.1+(230.1-167.9)+(-0.225522+(-0.234702--0.171258))+0-31.6--0.032232000000005</f>
        <v>251.44326599999994</v>
      </c>
      <c r="T284" s="3">
        <f>115.5+(287.4-127.1)+(-0.23562+(-0.586296--0.259284))+0-31.8--0.0648719999999986</f>
        <v>243.50223999999994</v>
      </c>
      <c r="U284" s="3">
        <f>115.6+(344.1-181.3)+(0.058956+(0.175491-0.092463))+0-31.2-0.0159119999999968</f>
        <v>247.32607199999998</v>
      </c>
      <c r="V284" s="3">
        <f>241.1+(304.5-266.9)+(-0.368883+(-0.465885--0.408357))+0-31.6--0.0483480000000018</f>
        <v>246.72193700000008</v>
      </c>
      <c r="W284" s="3">
        <f>282.7+(210.1-185.4)+(0.288354+(0.214302-0.189108))+0-32.7-0.0333540000000052</f>
        <v>274.98019399999998</v>
      </c>
      <c r="X284" s="3">
        <f>292.5+(187.7-168.5)+(-0.29835+(-0.191454--0.17187))+0-33.1--0.0337620000000053</f>
        <v>278.31582800000001</v>
      </c>
      <c r="Y284" s="3">
        <f>259.5+(196.1-152.5)+(0.397035+(0.300033-0.233325))+0-32.7-0.0500310000000019</f>
        <v>270.81371200000007</v>
      </c>
      <c r="Z284" s="3">
        <f>251.7+(214.2-164.4)+(0.385101+(0.327726-0.251532))+0-32.7-0.0500310000000019</f>
        <v>269.21126400000003</v>
      </c>
      <c r="AA284" s="3">
        <f>251.3+(251.6-201.2)+(0.256326+(0.256632-0.205224))+0-32.5-0.0331500000000052</f>
        <v>269.47458400000005</v>
      </c>
      <c r="AB284" s="3">
        <f>249.4+(307.1-264.7)+(-0.508776+(-0.626484--0.539988))+0-32--0.0652799999999986</f>
        <v>259.27000800000002</v>
      </c>
      <c r="AC284" s="3">
        <f>125.2+(418.9-255.1)+(-0.383112+(-1.281834--0.780606))+0-32.2--0.0985320000000037</f>
        <v>256.01419199999998</v>
      </c>
      <c r="AD284" s="2">
        <v>292.39999999999998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0+(413.6-131.1)+(0+(0-0))+0-32-0</f>
        <v>250.5</v>
      </c>
      <c r="G285" s="3">
        <f>0+(315.9-36.8)+(0+(0-0))+0-32.1-0</f>
        <v>246.99999999999997</v>
      </c>
      <c r="H285" s="3">
        <f>0+(316.2-44.2)+(0+(-0.161262--0.022542))+0-32--0.0163199999999968</f>
        <v>239.87760000000003</v>
      </c>
      <c r="I285" s="3">
        <f>0+(318.3-44.9)+(0+(0.486999-0.068697))+0-32-0.0489600000000018</f>
        <v>241.76934200000002</v>
      </c>
      <c r="J285" s="3">
        <f>0+(326.9-51.8)+(0+(0.666876-0.105672))+0-31.8-0.0648719999999986</f>
        <v>243.79633199999992</v>
      </c>
      <c r="K285" s="3">
        <f>0+(329.8-53.9)+(0+(0.84099-0.137445))+0-31.5-0.0803249999999954</f>
        <v>245.02322000000007</v>
      </c>
      <c r="L285" s="3">
        <f>0+(409.2-117.4)+(0+(-0.208692--0.059874))+0-31.7--0.0161669999999968</f>
        <v>259.96734899999996</v>
      </c>
      <c r="M285" s="3">
        <f>183.5+(322.9-200)+(0.18717+(0.329358-0.204))+0-31.9-0.0325380000000051</f>
        <v>274.77999</v>
      </c>
      <c r="N285" s="3">
        <f>509+(165-340.5)+(1.03836+(0.3366-0.69462))+0-32.4-0.0660959999999986</f>
        <v>301.71424400000001</v>
      </c>
      <c r="O285" s="3">
        <f>576.3+(120.2-344.9)+(0.293913+(0.061302-0.175899))+0-32.6-0.0166259999999967</f>
        <v>319.16268999999994</v>
      </c>
      <c r="P285" s="3">
        <f>577.1+(126.2-348)+(0.588642+(0.128724-0.35496))+0-31.9-0.0325380000000051</f>
        <v>323.72986800000007</v>
      </c>
      <c r="Q285" s="3">
        <f>588.1+(135.4-357.1)+(-1.199724+(-0.276216--0.728484))+0-32.9--0.0671159999999986</f>
        <v>332.81966</v>
      </c>
      <c r="R285" s="3">
        <f>584.5+(144.2-367.7)+(-0.894285+(-0.220626--0.562581))+0-31.9--0.0488070000000018</f>
        <v>328.59647700000005</v>
      </c>
      <c r="S285" s="3">
        <f>580.6+(137.2-372.3)+(0.592212+(0.139944-0.379746))+0-31.9-0.0325380000000051</f>
        <v>313.91987200000005</v>
      </c>
      <c r="T285" s="3">
        <f>515.9+(177.3-347.6)+(0+(0-0))+0-32-0</f>
        <v>313.59999999999997</v>
      </c>
      <c r="U285" s="3">
        <f>459.3+(159.4-273.2)+(0+(0-0))+0-32-0</f>
        <v>313.5</v>
      </c>
      <c r="V285" s="3">
        <f>472.9+(202.5-332.7)+(0.241179+(0.103275-0.169677))+0-31.3-0.0159629999999968</f>
        <v>311.55881399999998</v>
      </c>
      <c r="W285" s="3">
        <f>568.3+(124.1-329.4)+(0.579666+(0.126582-0.335988))+0-29.7-0.0302940000000047</f>
        <v>333.63996599999996</v>
      </c>
      <c r="X285" s="3">
        <f>566.1+(104.9-315.5)+(-0.288711+(-0.053499--0.160905))+0-31.7--0.0161669999999968</f>
        <v>323.634862</v>
      </c>
      <c r="Y285" s="3">
        <f>561.3+(99.2-311.7)+(-1.717578+(-0.303552--0.953802))+0-31.5--0.0963900000000036</f>
        <v>316.32906199999996</v>
      </c>
      <c r="Z285" s="3">
        <f>567.7+(120.5-339)+(-0.579054+(-0.12291--0.34578))+0-32.5--0.0331500000000052</f>
        <v>316.37696600000004</v>
      </c>
      <c r="AA285" s="3">
        <f>517.6+(155.9-341.6)+(-0.527952+(-0.159018--0.348432))+0-30.6--0.0312120000000049</f>
        <v>300.99267399999991</v>
      </c>
      <c r="AB285" s="3">
        <f>460.7+(205.5-337.4)+(-0.469914+(-0.20961--0.344148))+0-31.9--0.0325380000000051</f>
        <v>296.59716200000003</v>
      </c>
      <c r="AC285" s="3">
        <f>123.5+(343.7-153.3)+(-0.37791+(-1.051722--0.469098))+0-29.8--0.0911880000000034</f>
        <v>283.23065399999996</v>
      </c>
      <c r="AD285" s="2">
        <v>314.60000000000002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0+(358.8-59.7)+(0+(0.548964-0.091341))+0-31.3-0.0478890000000018</f>
        <v>268.20973400000003</v>
      </c>
      <c r="G286" s="3">
        <f>0+(353.1-56.3)+(0+(0.900405-0.143565))+0-30.5-0.0777749999999956</f>
        <v>266.97906500000005</v>
      </c>
      <c r="H286" s="3">
        <f>0+(369.1-70.7)+(0+(0.752964-0.144228))+0-30.7-0.0626279999999987</f>
        <v>268.24610800000005</v>
      </c>
      <c r="I286" s="3">
        <f>0+(421.6-125.1)+(0+(1.07508-0.319005))+0-31.5-0.0803249999999954</f>
        <v>265.67574999999999</v>
      </c>
      <c r="J286" s="3">
        <f>0+(417.8-127)+(0+(0-0))+0-31.8-0</f>
        <v>259</v>
      </c>
      <c r="K286" s="3">
        <f>0+(416.8-116.3)+(0+(0.425136-0.118626))+0-32.1-0.0327420000000051</f>
        <v>268.673768</v>
      </c>
      <c r="L286" s="3">
        <f>29.1+(376.9-93.9)+(-0.014841+(-0.192219--0.047889))+0-32--0.0163199999999968</f>
        <v>279.95714900000002</v>
      </c>
      <c r="M286" s="3">
        <f>195.1+(308.2-185.3)+(0.099501+(0.157182-0.094503))+0-31.9-0.0162689999999968</f>
        <v>286.24591099999998</v>
      </c>
      <c r="N286" s="3">
        <f>533.7+(160.5-330.3)+(-0.816561+(-0.245565--0.505359))+0-31.7--0.0485010000000018</f>
        <v>331.69173400000005</v>
      </c>
      <c r="O286" s="3">
        <f>568.6+(129.2-331.5)+(-1.44993+(-0.32946--0.845325))+0-32--0.0815999999999954</f>
        <v>333.44753500000002</v>
      </c>
      <c r="P286" s="3">
        <f>568.2+(110.5-311.6)+(-1.159128+(-0.22542--0.635664))+0-31.7--0.0646679999999986</f>
        <v>334.71578400000004</v>
      </c>
      <c r="Q286" s="3">
        <f>563.7+(119.7-305.3)+(-1.437435+(-0.305235--0.778515))+0-31.6--0.0805799999999954</f>
        <v>345.61642499999999</v>
      </c>
      <c r="R286" s="3">
        <f>566.9+(110.1-300.3)+(-0.867357+(-0.168453--0.459459))+0-31.3--0.0478890000000018</f>
        <v>344.87153799999993</v>
      </c>
      <c r="S286" s="3">
        <f>426.1+(153.3-217.8)+(0+(0-0))+0-30.7-0</f>
        <v>330.90000000000003</v>
      </c>
      <c r="T286" s="3">
        <f>422.5+(164.7-233.1)+(0.215475+(0.083997-0.118881))+0-31.5-0.0160649999999968</f>
        <v>322.76452600000005</v>
      </c>
      <c r="U286" s="3">
        <f>423.2+(185.9-258.6)+(0.431664+(0.189618-0.263772))+0-30.9-0.0315180000000049</f>
        <v>319.92599200000001</v>
      </c>
      <c r="V286" s="3">
        <f>491.4+(155.2-293.5)+(0.501228+(0.158304-0.29937))+0-31.3-0.031926000000005</f>
        <v>322.12823599999996</v>
      </c>
      <c r="W286" s="3">
        <f>568.5+(117.3-319.5)+(0.57987+(0.119646-0.32589))+0-32.1-0.0327420000000051</f>
        <v>334.54088400000001</v>
      </c>
      <c r="X286" s="3">
        <f>567.4+(102.9-312.5)+(-0.868122+(-0.157437--0.478125))+0-31.9--0.0488070000000018</f>
        <v>325.40137299999998</v>
      </c>
      <c r="Y286" s="3">
        <f>568.4+(113.1-334.6)+(-0.289884+(-0.057681--0.170646))+0-31.9--0.0162689999999968</f>
        <v>314.83935000000002</v>
      </c>
      <c r="Z286" s="3">
        <f>559.9+(130.3-345.3)+(-0.571098+(-0.132906--0.352206))+0-31.3--0.031926000000005</f>
        <v>313.28012799999999</v>
      </c>
      <c r="AA286" s="3">
        <f>321.2+(184.6-169.7)+(-0.163812+(-0.094146--0.086547))+0-31.5--0.0160649999999968</f>
        <v>304.44465400000001</v>
      </c>
      <c r="AB286" s="3">
        <f>214.9+(226.1-115.8)+(-0.109599+(-0.115311--0.059058))+0-31.2--0.0159119999999968</f>
        <v>293.85006000000004</v>
      </c>
      <c r="AC286" s="3">
        <f>71.7+(308-66.2)+(-0.073134+(-0.31416--0.067524))+0-30.8--0.0314160000000049</f>
        <v>282.41164599999996</v>
      </c>
      <c r="AD286" s="2">
        <v>313.8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0+(365.9-66.2)+(0+(0-0))+0-31.1-0</f>
        <v>268.59999999999997</v>
      </c>
      <c r="G287" s="3">
        <f>0+(378.6-86.9)+(0+(0.579258-0.132957))+0-30.7-0.0469710000000018</f>
        <v>261.39933000000008</v>
      </c>
      <c r="H287" s="3">
        <f>0+(359.5-64.8)+(0+(0.73338-0.132192))+0-30.6-0.0624239999999987</f>
        <v>264.63876399999992</v>
      </c>
      <c r="I287" s="3">
        <f>0+(352.5-60)+(0+(0-0))+0-30.6-0</f>
        <v>261.89999999999998</v>
      </c>
      <c r="J287" s="3">
        <f>0+(340.4-47.1)+(0+(-0.347208--0.048042))+0-30.8--0.0314160000000049</f>
        <v>262.23224999999991</v>
      </c>
      <c r="K287" s="3">
        <f>0+(333.1-39.6)+(0+(0.339762-0.040392))+0-30.6-0.0312120000000049</f>
        <v>263.16815800000001</v>
      </c>
      <c r="L287" s="3">
        <f>0+(332.2-27.8)+(0+(-0.84711--0.07089))+0-30.8--0.0785399999999955</f>
        <v>272.90231999999992</v>
      </c>
      <c r="M287" s="3">
        <f>256.1+(242.7-181.8)+(-0.261222+(-0.247554--0.185436))+0-31.1--0.031722000000005</f>
        <v>285.60838200000001</v>
      </c>
      <c r="N287" s="3">
        <f>377.2+(151.4-169.3)+(-0.384744+(-0.154428--0.172686))+0-31.7--0.0323340000000051</f>
        <v>327.26584799999995</v>
      </c>
      <c r="O287" s="3">
        <f>427.7+(130.2-186.7)+(0.872508+(0.265608-0.380868))+0-31.4-0.0640559999999986</f>
        <v>340.49319200000002</v>
      </c>
      <c r="P287" s="3">
        <f>427.2+(128.4-185.7)+(0.217872+(0.065484-0.094707))+0-31.4-0.0160139999999968</f>
        <v>338.67263500000001</v>
      </c>
      <c r="Q287" s="3">
        <f>423.7+(131.9-177.7)+(-1.080435+(-0.336345--0.453135))+0-31.9--0.0813449999999954</f>
        <v>345.11770000000001</v>
      </c>
      <c r="R287" s="3">
        <f>422.9+(140.3-193.6)+(-0.862716+(-0.286212--0.394944))+0-31.4--0.0640559999999986</f>
        <v>337.51007200000004</v>
      </c>
      <c r="S287" s="3">
        <f>425.9+(148.4-222.3)+(0.217209+(0.075684-0.113373))+0-31.1-0.0158609999999968</f>
        <v>321.06365900000003</v>
      </c>
      <c r="T287" s="3">
        <f>424.7+(148-226.6)+(0+(0-0))+0-31.1-0</f>
        <v>315</v>
      </c>
      <c r="U287" s="3">
        <f>421.2+(137.3-210.8)+(-0.859248+(-0.280092--0.430032))+0-31--0.0632399999999986</f>
        <v>316.05393199999997</v>
      </c>
      <c r="V287" s="3">
        <f>423.6+(127.4-200.5)+(0.432072+(0.129948-0.20451))+0-31.4-0.032028000000005</f>
        <v>319.42548199999999</v>
      </c>
      <c r="W287" s="3">
        <f>424.1+(121-181.1)+(0.648873+(0.18513-0.277083))+0-32.3-0.0494190000000019</f>
        <v>332.20750099999998</v>
      </c>
      <c r="X287" s="3">
        <f>379+(143-161.8)+(-0.77316+(-0.29172--0.330072))+0-32.2--0.0656879999999986</f>
        <v>327.33088000000004</v>
      </c>
      <c r="Y287" s="3">
        <f>348.4+(161.6-167)+(0.355368+(0.164832-0.17034))+0-30.9-0.0315180000000049</f>
        <v>312.418342</v>
      </c>
      <c r="Z287" s="3">
        <f>298.9+(189-147.3)+(0+(0-0))+0-31.3-0</f>
        <v>309.29999999999995</v>
      </c>
      <c r="AA287" s="3">
        <f>214.1+(223.4-104)+(-0.218382+(-0.227868--0.10608))+0-32.3--0.0329460000000051</f>
        <v>300.89277599999997</v>
      </c>
      <c r="AB287" s="3">
        <f>143.2+(268.6-88.7)+(-0.146064+(-0.273972--0.090474))+0-32.6--0.0332520000000052</f>
        <v>290.20368999999999</v>
      </c>
      <c r="AC287" s="3">
        <f>25.4+(340.3-56)+(-0.038862+(-0.520659--0.08568))+0-31.6--0.0483480000000018</f>
        <v>277.67450699999995</v>
      </c>
      <c r="AD287" s="2">
        <v>334.79999999999995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0+(323.5-22.1)+(0+(-0.164985--0.011271))+0-31.7--0.0161669999999968</f>
        <v>269.562453</v>
      </c>
      <c r="G288" s="3">
        <f>0+(311.6-9.5)+(0+(-0.635664--0.01938))+0-30.9--0.0630359999999986</f>
        <v>270.64675200000005</v>
      </c>
      <c r="H288" s="3">
        <f>0+(300.6-6.1)+(0+(0-0))+0-30.9-0</f>
        <v>263.60000000000002</v>
      </c>
      <c r="I288" s="3">
        <f>0+(297.7-8.8)+(0+(-0.151827--0.004488))+0-31.4--0.0160139999999968</f>
        <v>257.368675</v>
      </c>
      <c r="J288" s="3">
        <f>0+(289.7-6.7)+(0+(-0.147747--0.003417))+0-30.7--0.0156569999999969</f>
        <v>252.17132699999999</v>
      </c>
      <c r="K288" s="3">
        <f>0+(315.6-28.1)+(0+(-0.482868--0.042993))+0-31.2--0.0477360000000018</f>
        <v>255.90786100000005</v>
      </c>
      <c r="L288" s="3">
        <f>0+(315.6-28.1)+(0+(-0.482868--0.042993))+0-31.2--0.0477360000000018</f>
        <v>255.90786100000005</v>
      </c>
      <c r="M288" s="3">
        <f>23.8+(301.1-28.2)+(-0.012138+(-0.153561--0.014382))+0-31.3--0.0159629999999968</f>
        <v>265.26464600000003</v>
      </c>
      <c r="N288" s="3">
        <f>141.7+(382.6-206.3)+(0+(0-0))+0-31.8-0</f>
        <v>286.2</v>
      </c>
      <c r="O288" s="3">
        <f>418.9+(202.4-251.2)+(-0.427278+(-0.206448--0.256224))+0-32.4--0.0330480000000052</f>
        <v>337.35554600000006</v>
      </c>
      <c r="P288" s="3">
        <f>419.5+(204-251.6)+(-0.42789+(-0.20808--0.256632))+0-32.5--0.0331500000000052</f>
        <v>339.05381199999994</v>
      </c>
      <c r="Q288" s="3">
        <f>424+(210.4-243)+(1.0812+(0.53652-0.61965))+0-34-0.0866999999999951</f>
        <v>358.31136999999995</v>
      </c>
      <c r="R288" s="3">
        <f>415+(193.3-235.4)+(-1.48155+(-0.690081--0.840378))+0-32.5--0.116025</f>
        <v>339.18477199999995</v>
      </c>
      <c r="S288" s="3">
        <f>417.4+(203-274.1)+(-0.851496+(-0.41412--0.559164))+0-32.5--0.0662999999999986</f>
        <v>313.15984799999995</v>
      </c>
      <c r="T288" s="3">
        <f>419.9+(221.7-299.6)+(0.214149+(0.113067-0.152796))+0-31.6-0.0161159999999968</f>
        <v>310.55830399999991</v>
      </c>
      <c r="U288" s="3">
        <f>419.6+(201.6-291.4)+(-0.213996+(-0.102816--0.148614))+0-31--0.0158099999999969</f>
        <v>298.64761200000004</v>
      </c>
      <c r="V288" s="3">
        <f>393.6+(155.2-206)+(0+(0-0))+0-31.7-0</f>
        <v>311.10000000000002</v>
      </c>
      <c r="W288" s="3">
        <f>363.2+(130.6-125)+(0.555696+(0.199818-0.19125))+0-32-0.0489600000000018</f>
        <v>337.31530399999991</v>
      </c>
      <c r="X288" s="3">
        <f>417.2+(122-177)+(-0.851088+(-0.24888--0.36108))+0-31.9--0.0650759999999986</f>
        <v>329.62618800000001</v>
      </c>
      <c r="Y288" s="3">
        <f>364.6+(143.3-153.6)+(-0.371892+(-0.146166--0.156672))+0-30.8--0.0314160000000049</f>
        <v>323.17003000000005</v>
      </c>
      <c r="Z288" s="3">
        <f>360.2+(177.1-182.8)+(-0.367404+(-0.180642--0.186456))+0-31.5--0.032130000000005</f>
        <v>322.67054000000002</v>
      </c>
      <c r="AA288" s="3">
        <f>361.3+(208-229)+(0+(0-0))+0-31.7-0</f>
        <v>308.60000000000002</v>
      </c>
      <c r="AB288" s="3">
        <f>299.8+(259.8-225.7)+(-0.458694+(-0.397494--0.345321))+0-31.5--0.0481950000000018</f>
        <v>301.93732800000004</v>
      </c>
      <c r="AC288" s="3">
        <f>18.1+(401.9-100.1)+(-0.009231+(-0.204969--0.051051))+0-31.2--0.0159119999999968</f>
        <v>288.55276300000003</v>
      </c>
      <c r="AD288" s="2">
        <v>332.5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0+(474.7-168.5)+(0+(-0.726291--0.257805))+0-30.8--0.0471240000000018</f>
        <v>274.97863799999999</v>
      </c>
      <c r="G289" s="3">
        <f>0+(514.4-215)+(0+(0-0))+0-31.1-0</f>
        <v>268.29999999999995</v>
      </c>
      <c r="H289" s="3">
        <f>0+(386.8-95.6)+(0+(0.197268-0.048756))+0-30.9-0.0157589999999969</f>
        <v>260.43275300000005</v>
      </c>
      <c r="I289" s="3">
        <f>0+(371.4-81.9)+(0+(0.378828-0.083538))+0-30.8-0.0314160000000049</f>
        <v>258.96387400000003</v>
      </c>
      <c r="J289" s="3">
        <f>0+(304-13.9)+(0+(0.62016-0.028356))+0-29.3-0.0597719999999987</f>
        <v>261.33203200000003</v>
      </c>
      <c r="K289" s="3">
        <f>0+(301-16.6)+(0+(0.30702-0.016932))+0-29.3-0.0298860000000047</f>
        <v>255.36020199999999</v>
      </c>
      <c r="L289" s="3">
        <f>40+(314.3-50.8)+(0+(0-0))+0-30.2-0</f>
        <v>273.3</v>
      </c>
      <c r="M289" s="3">
        <f>150.6+(329.8-164)+(-0.153612+(-0.336396--0.16728))+0-31.7--0.0323340000000051</f>
        <v>284.409606</v>
      </c>
      <c r="N289" s="3">
        <f>386.2+(179.2-215.9)+(0.393924+(0.182784-0.220218))+0-32.1-0.0327420000000051</f>
        <v>317.723748</v>
      </c>
      <c r="O289" s="3">
        <f>414.6+(150.7-206.5)+(-0.211446+(-0.076857--0.105315))+0-32.5--0.0165749999999967</f>
        <v>326.13358699999998</v>
      </c>
      <c r="P289" s="3">
        <f>414.6+(141.4-201)+(-0.422892+(-0.144228--0.20502))+0-32--0.0326400000000051</f>
        <v>322.67054000000002</v>
      </c>
      <c r="Q289" s="3">
        <f>411.1+(154.3-196.5)+(-0.209661+(-0.078693--0.100215))+0-32--0.0163199999999968</f>
        <v>336.72818100000006</v>
      </c>
      <c r="R289" s="3">
        <f>412.3+(164.4-221)+(0+(0-0))+0-31.7-0</f>
        <v>324.00000000000006</v>
      </c>
      <c r="S289" s="3">
        <f>410.9+(173.4-245.7)+(-0.419118+(-0.176868--0.250614))+0-31.5--0.032130000000005</f>
        <v>306.78675800000002</v>
      </c>
      <c r="T289" s="3">
        <f>409.9+(179.3-260.7)+(-0.209049+(-0.091443--0.132957))+0-31.5--0.0160649999999968</f>
        <v>296.84852999999998</v>
      </c>
      <c r="U289" s="3">
        <f>410.8+(183.1-270.5)+(0.209508+(0.093381-0.137955))+0-31-0.0158099999999969</f>
        <v>292.54912400000001</v>
      </c>
      <c r="V289" s="3">
        <f>405.7+(131.7-210.1)+(-1.241442+(-0.403002--0.642906))+0-31.3--0.0957780000000036</f>
        <v>295.09423999999996</v>
      </c>
      <c r="W289" s="3">
        <f>410.6+(110.2-169.4)+(0.418812+(0.112404-0.172788))+0-31.5-0.032130000000005</f>
        <v>320.22629800000004</v>
      </c>
      <c r="X289" s="3">
        <f>409.5+(118.9-189.8)+(-0.626535+(-0.181917--0.290394))+0-32--0.0489600000000018</f>
        <v>306.13090200000005</v>
      </c>
      <c r="Y289" s="3">
        <f>382.8+(148.9-207.3)+(-0.780912+(-0.303756--0.422892))+0-32.1--0.0654839999999986</f>
        <v>291.70370800000001</v>
      </c>
      <c r="Z289" s="3">
        <f>254.3+(221.4-161.3)+(-0.389079+(-0.338742--0.246789))+0-31.7--0.0485010000000018</f>
        <v>282.26746899999995</v>
      </c>
      <c r="AA289" s="3">
        <f>256.7+(247.5-196.8)+(-0.392751+(-0.378675--0.301104))+0-31.5--0.0481950000000018</f>
        <v>275.47787299999999</v>
      </c>
      <c r="AB289" s="3">
        <f>258.9+(283.3-242.7)+(0+(0-0))+0-31.8-0</f>
        <v>267.7</v>
      </c>
      <c r="AC289" s="3">
        <f>246.4+(305.9-262.4)+(-0.502656+(-0.624036--0.535296))+0-31.3--0.0638519999999986</f>
        <v>258.07245599999999</v>
      </c>
      <c r="AD289" s="2">
        <v>315.90000000000003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25.9+(417.2-161.6)+(0+(0-0))+0-30.9-0</f>
        <v>250.6</v>
      </c>
      <c r="G290" s="3">
        <f>0+(443.5-168.6)+(0+(0.678555-0.257958))+0-30.9-0.0472770000000018</f>
        <v>244.37331999999995</v>
      </c>
      <c r="H290" s="3">
        <f>0+(453-183.7)+(0+(0.23103-0.093687))+0-30.1-0.0153509999999969</f>
        <v>239.32199199999999</v>
      </c>
      <c r="I290" s="3">
        <f>0+(416.3-139.4)+(0+(0.636939-0.213282))+0-30.9-0.0472770000000018</f>
        <v>246.37637999999995</v>
      </c>
      <c r="J290" s="3">
        <f>0+(376.9-102.8)+(0+(0.384438-0.104856))+0-30.7-0.0313140000000049</f>
        <v>243.64826799999997</v>
      </c>
      <c r="K290" s="3">
        <f>0+(332-63.5)+(0+(0.33864-0.06477))+0-30.9-0.0315180000000049</f>
        <v>237.84235199999998</v>
      </c>
      <c r="L290" s="3">
        <f>0+(310.2-44.7)+(0+(-1.265616--0.182376))+0-31.1--0.126887999999997</f>
        <v>233.44364800000002</v>
      </c>
      <c r="M290" s="3">
        <f>0+(306.4-62.8)+(0+(0.937584-0.192168))+0-30.9-0.0945540000000036</f>
        <v>213.35086199999995</v>
      </c>
      <c r="N290" s="3">
        <f>0+(324.9-76.1)+(0+(0.662796-0.155244))+0-31.1-0.0634439999999986</f>
        <v>218.14410799999999</v>
      </c>
      <c r="O290" s="3">
        <f>0+(314.7-55.9)+(0+(0.481491-0.085527))+0-31.2-0.0477360000000018</f>
        <v>227.948228</v>
      </c>
      <c r="P290" s="3">
        <f>0+(307.7-43.1)+(0+(-0.627708--0.087924))+0-31.1--0.0634439999999986</f>
        <v>233.02365999999998</v>
      </c>
      <c r="Q290" s="3">
        <f>0+(313.6-47.8)+(0+(-0.479808--0.073134))+0-31.4--0.0480420000000018</f>
        <v>234.04136800000001</v>
      </c>
      <c r="R290" s="3">
        <f>0+(319.2-60.3)+(0+(-0.325584--0.061506))+0-31--0.0316200000000049</f>
        <v>227.667542</v>
      </c>
      <c r="S290" s="3">
        <f>0+(347.7-90.6)+(0+(-0.177327--0.046206))+0-31.2--0.0159119999999968</f>
        <v>225.78479100000001</v>
      </c>
      <c r="T290" s="3">
        <f>0+(339.7-85.1)+(0+(-0.173247--0.043401))+0-30.6--0.0156059999999969</f>
        <v>223.88576</v>
      </c>
      <c r="U290" s="3">
        <f>0+(280.2-24.2)+(0+(-0.571608--0.049368))+0-30.8--0.0628319999999987</f>
        <v>224.74059199999996</v>
      </c>
      <c r="V290" s="3">
        <f>0+(295.4-38.9)+(0+(0.150654-0.019839))+0-30.5-0.0155549999999969</f>
        <v>226.11525999999998</v>
      </c>
      <c r="W290" s="3">
        <f>0+(340.6-46)+(0+(-0.173706--0.02346))+0-32--0.0163199999999968</f>
        <v>262.46607400000005</v>
      </c>
      <c r="X290" s="3">
        <f>0+(316.1-31.3)+(0+(-0.161211--0.015963))+0-32.4--0.0165239999999967</f>
        <v>252.27127600000003</v>
      </c>
      <c r="Y290" s="3">
        <f>0+(310.9-20.9)+(0+(-0.158559--0.010659))+0-32.7--0.0166769999999967</f>
        <v>257.16877700000003</v>
      </c>
      <c r="Z290" s="3">
        <f>0+(298.8-16.8)+(0+(-0.152388--0.008568))+0-32.1--0.0163709999999967</f>
        <v>249.77255099999999</v>
      </c>
      <c r="AA290" s="3">
        <f>0+(293-11.4)+(0+(0.44829-0.017442))+0-31.8-0.0486540000000018</f>
        <v>250.18219400000004</v>
      </c>
      <c r="AB290" s="3">
        <f>0+(292.2-3.6)+(0+(0-0))+0-31.9-0</f>
        <v>256.7</v>
      </c>
      <c r="AC290" s="3">
        <f>0+(309.3-34.8)+(0+(-0.315486--0.035496))+0-31.7--0.0323340000000051</f>
        <v>242.55234400000001</v>
      </c>
      <c r="AD290" s="2">
        <v>263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0+(358.5-86.2)+(0+(-0.548505--0.131886))+0-31.1--0.0475830000000018</f>
        <v>240.83096399999999</v>
      </c>
      <c r="G291" s="3">
        <f>0+(338.7-77.3)+(0+(0-0))+0-30.8-0</f>
        <v>230.59999999999997</v>
      </c>
      <c r="H291" s="3">
        <f>0+(341-80.1)+(0+(0.17391-0.040851))+0-31.4-0.0160139999999968</f>
        <v>229.61704499999999</v>
      </c>
      <c r="I291" s="3">
        <f>0+(281.6-23.5)+(0+(0.143616-0.011985))+0-31.2-0.0159119999999968</f>
        <v>227.01571900000008</v>
      </c>
      <c r="J291" s="3">
        <f>0+(275.6-25.4)+(0+(-0.140556--0.012954))+0-30.9--0.0157589999999969</f>
        <v>219.18815700000002</v>
      </c>
      <c r="K291" s="3">
        <f>0+(275.8-24.6)+(0+(0.421974-0.037638))+0-30.9-0.0472770000000018</f>
        <v>220.63705899999999</v>
      </c>
      <c r="L291" s="3">
        <f>0+(261.4-8.1)+(0+(0.399942-0.012393))+0-31.1-0.0475830000000018</f>
        <v>222.53996599999999</v>
      </c>
      <c r="M291" s="3">
        <f>0+(248-0)+(0+(-0.12648-0))+0-31.5--0.0160649999999968</f>
        <v>216.38958500000001</v>
      </c>
      <c r="N291" s="3">
        <f>0+(263-0)+(0+(0.13413-0))+0-31.4-0.0160139999999968</f>
        <v>231.71811600000004</v>
      </c>
      <c r="O291" s="3">
        <f>0+(271.2-0)+(0+(0.138312-0))+0-30.9-0.0157589999999969</f>
        <v>240.42255299999997</v>
      </c>
      <c r="P291" s="3">
        <f>0+(277.8-0)+(0+(-0.141678-0))+0-30.6--0.0156059999999969</f>
        <v>247.073928</v>
      </c>
      <c r="Q291" s="3">
        <f>0+(307.5-27.6)+(0+(-0.470475--0.042228))+0-30.5--0.0466650000000018</f>
        <v>249.01841799999997</v>
      </c>
      <c r="R291" s="3">
        <f>0+(336.7-67.7)+(0+(-0.343434--0.069054))+0-31.7--0.0323340000000051</f>
        <v>237.057954</v>
      </c>
      <c r="S291" s="3">
        <f>0+(340.6-78.3)+(0+(-0.347412--0.079866))+0-31.4--0.032028000000005</f>
        <v>230.66448200000002</v>
      </c>
      <c r="T291" s="3">
        <f>0+(348.4-87.8)+(0+(-0.710736--0.179112))+0-30.4--0.0620159999999987</f>
        <v>229.73039199999994</v>
      </c>
      <c r="U291" s="3">
        <f>0+(320.8-62.7)+(0+(0.81804-0.159885))+0-30.6-0.0780299999999956</f>
        <v>228.08012500000007</v>
      </c>
      <c r="V291" s="3">
        <f>0+(291-19.6)+(0+(0-0))+0-30.4-0</f>
        <v>240.99999999999997</v>
      </c>
      <c r="W291" s="3">
        <f>0+(312.5-13.4)+(0+(0.31875-0.013668))+0-32.6-0.0332520000000052</f>
        <v>266.77183000000002</v>
      </c>
      <c r="X291" s="3">
        <f>0+(323.2-20.5)+(0+(-0.494496--0.031365))+0-32.6--0.0498780000000019</f>
        <v>269.68674699999997</v>
      </c>
      <c r="Y291" s="3">
        <f>0+(303.7-11.9)+(0+(0.154887-0.006069))+0-31.9-0.0162689999999968</f>
        <v>260.03254900000002</v>
      </c>
      <c r="Z291" s="3">
        <f>0+(304.9-17.8)+(0+(0.155499-0.009078))+0-31.6-0.0161159999999968</f>
        <v>255.63030499999994</v>
      </c>
      <c r="AA291" s="3">
        <f>0+(312.6-30.8)+(0+(0.318852-0.031416))+0-32.1-0.0327420000000051</f>
        <v>249.95469400000002</v>
      </c>
      <c r="AB291" s="3">
        <f>0+(346.8-60.2)+(0+(-0.353736--0.061404))+0-31.4--0.032028000000005</f>
        <v>254.93969600000003</v>
      </c>
      <c r="AC291" s="3">
        <f>0+(387.3-111.4)+(0+(-0.987615--0.28407))+0-31.6--0.0805799999999954</f>
        <v>243.67703499999996</v>
      </c>
      <c r="AD291" s="2">
        <v>277.2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0+(278.2-12.3)+(0+(-0.425646--0.018819))+0-30.6--0.0468180000000018</f>
        <v>234.93999099999996</v>
      </c>
      <c r="G292" s="3">
        <f>0+(255.1-0)+(0+(0-0))+0-30.6-0</f>
        <v>224.5</v>
      </c>
      <c r="H292" s="3">
        <f>0+(239.8-0)+(0+(0.122298-0))+0-30.3-0.0154529999999969</f>
        <v>209.60684499999999</v>
      </c>
      <c r="I292" s="3">
        <f>0+(237.4-0)+(0+(0.363222-0))+0-30.8-0.0471240000000018</f>
        <v>206.91609800000001</v>
      </c>
      <c r="J292" s="3">
        <f>0+(253.8-12.8)+(0+(0.64719-0.03264))+0-30.2-0.0770099999999956</f>
        <v>211.33754000000002</v>
      </c>
      <c r="K292" s="3">
        <f>1.1+(259.9-14.7)+(0.001122+(0.265098-0.014994))+0-29.9-0.0304980000000048</f>
        <v>216.62072799999999</v>
      </c>
      <c r="L292" s="3">
        <f>71.9+(199.9-9.3)+(-0.220014+(-0.611694--0.028458))+0-30--0.0918000000000035</f>
        <v>231.78855000000001</v>
      </c>
      <c r="M292" s="3">
        <f>110.8+(262.4-90.7)+(0.169524+(0.401472-0.138771))+0-30.7-0.0469710000000018</f>
        <v>252.18525400000001</v>
      </c>
      <c r="N292" s="3">
        <f>165.7+(278.8-120.4)+(0+(0-0))+0-30.5-0</f>
        <v>293.60000000000002</v>
      </c>
      <c r="O292" s="3">
        <f>277.6+(193.7-131.2)+(-0.566304+(-0.395148--0.267648))+0-31.7--0.0646679999999986</f>
        <v>307.77086400000002</v>
      </c>
      <c r="P292" s="3">
        <f>280.1+(227.1-162.9)+(0.285702+(0.231642-0.166158))+0-32.1-0.0327420000000051</f>
        <v>312.51844399999999</v>
      </c>
      <c r="Q292" s="3">
        <f>279.3+(211.6-134.4)+(0+(0-0))+0-32-0</f>
        <v>324.5</v>
      </c>
      <c r="R292" s="3">
        <f>131.5+(271.8-51.2)+(-0.201195+(-0.415854--0.078336))+0-32--0.0489600000000018</f>
        <v>319.61024700000007</v>
      </c>
      <c r="S292" s="3">
        <f>110.6+(339.7-114.5)+(-0.112812+(-0.346494--0.11679))+0-31.3--0.031926000000005</f>
        <v>304.18940999999995</v>
      </c>
      <c r="T292" s="3">
        <f>110.7+(347.9-119)+(0.056457+(0.177429-0.06069))+0-31.5-0.0160649999999968</f>
        <v>308.25713100000002</v>
      </c>
      <c r="U292" s="3">
        <f>116.6+(355.6-140.1)+(0.178398+(0.544068-0.214353))+0-31.7-0.0485010000000018</f>
        <v>300.85961200000003</v>
      </c>
      <c r="V292" s="3">
        <f>249.3+(223.9-138.7)+(0.127143+(0.114189-0.070737))+0-31.6-0.0161159999999968</f>
        <v>303.05447899999996</v>
      </c>
      <c r="W292" s="3">
        <f>278.1+(152.8-62.1)+(0+(0-0))+0-31.5-0</f>
        <v>337.30000000000007</v>
      </c>
      <c r="X292" s="3">
        <f>277.9+(140.2-63.1)+(-0.141729+(-0.071502--0.032181))+0-32.8--0.0167279999999967</f>
        <v>322.03567799999996</v>
      </c>
      <c r="Y292" s="3">
        <f>267.9+(146.1-66.3)+(-0.546516+(-0.298044--0.135252))+0-32.8--0.0669119999999986</f>
        <v>314.25760399999996</v>
      </c>
      <c r="Z292" s="3">
        <f>240.7+(171.8-66.3)+(-0.122757+(-0.087618--0.033813))+0-32.4--0.0165239999999967</f>
        <v>313.63996200000003</v>
      </c>
      <c r="AA292" s="3">
        <f>155.1+(230.9-65.8)+(0+(0-0))+0-28.4-0</f>
        <v>291.80000000000007</v>
      </c>
      <c r="AB292" s="3">
        <f>120.7+(277.3-85.6)+(-0.184671+(-0.424269--0.130968))+0-31.8--0.0486540000000018</f>
        <v>280.170682</v>
      </c>
      <c r="AC292" s="3">
        <f>107.9+(332.1-139.3)+(-0.055029+(-0.169371--0.071043))+0-30.5--0.0155549999999969</f>
        <v>270.06219800000002</v>
      </c>
      <c r="AD292" s="2">
        <v>322.29999999999995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65.6+(361.6-136.1)+(-0.066912+(-0.368832--0.138822))+0-29.2--0.0297840000000047</f>
        <v>261.63286200000005</v>
      </c>
      <c r="G293" s="3">
        <f>65.6+(346.2-128.7)+(0.033456+(0.176562-0.065637))+0-30.9-0.0157589999999969</f>
        <v>252.32862200000002</v>
      </c>
      <c r="H293" s="3">
        <f>65.6+(344.6-123.7)+(-0.066912+(-0.351492--0.126174))+0-31.2--0.031824000000005</f>
        <v>255.03959399999999</v>
      </c>
      <c r="I293" s="3">
        <f>65.7+(321.2-104.2)+(0.033507+(0.163812-0.053142))+0-31.1-0.0158609999999968</f>
        <v>251.72831600000001</v>
      </c>
      <c r="J293" s="3">
        <f>96.1+(302.9-116.6)+(0.196044+(0.617916-0.237864))+0-31-0.0632399999999986</f>
        <v>251.91285599999998</v>
      </c>
      <c r="K293" s="3">
        <f>127.8+(268.3-105.5)+(0.130356+(0.273666-0.10761))+0-31.3-0.031926000000005</f>
        <v>259.56448599999999</v>
      </c>
      <c r="L293" s="3">
        <f>147+(272.2-115.9)+(0.14994+(0.277644-0.118218))+0-31.2-0.031824000000005</f>
        <v>272.37754199999995</v>
      </c>
      <c r="M293" s="3">
        <f>202.1+(248.3-138.8)+(-0.206142+(-0.253266--0.141576))+0-31.3--0.031926000000005</f>
        <v>280.014094</v>
      </c>
      <c r="N293" s="3">
        <f>379+(148.5-194.8)+(0.38658+(0.15147-0.198696))+0-30-0.0306000000000048</f>
        <v>303.00875400000001</v>
      </c>
      <c r="O293" s="3">
        <f>424.1+(138.1-199.4)+(0.432582+(0.140862-0.203388))+0-29.4-0.0299880000000047</f>
        <v>333.74006800000001</v>
      </c>
      <c r="P293" s="3">
        <f>422+(137.2-194)+(0.21522+(0.069972-0.09894))+0-29.4-0.014993999999997</f>
        <v>335.97125800000003</v>
      </c>
      <c r="Q293" s="3">
        <f>419.9+(147.6-198.5)+(-0.214149+(-0.075276--0.101235))+0-31.3--0.0159629999999968</f>
        <v>337.52777299999997</v>
      </c>
      <c r="R293" s="3">
        <f>412.3+(154.5-209.4)+(-0.841092+(-0.31518--0.427176))+0-31.1--0.0634439999999986</f>
        <v>325.63434799999993</v>
      </c>
      <c r="S293" s="3">
        <f>410.8+(159.5-232.2)+(-0.628524+(-0.244035--0.355266))+0-31.3--0.0478890000000018</f>
        <v>306.33059600000001</v>
      </c>
      <c r="T293" s="3">
        <f>398.8+(170.7-236.6)+(-1.220328+(-0.522342--0.723996))+0-31.1--0.0951660000000036</f>
        <v>300.87649199999998</v>
      </c>
      <c r="U293" s="3">
        <f>395.4+(165-231.7)+(0.604962+(0.25245-0.354501))+0-30.8-0.0471240000000018</f>
        <v>298.35578699999996</v>
      </c>
      <c r="V293" s="3">
        <f>408.6+(138.8-209.1)+(0+(0-0))+0-31-0</f>
        <v>307.30000000000007</v>
      </c>
      <c r="W293" s="3">
        <f>407.7+(121.4-169.7)+(0.207927+(0.061914-0.086547))+0-32.1-0.0163709999999967</f>
        <v>327.46692299999995</v>
      </c>
      <c r="X293" s="3">
        <f>409.8+(112.1-168.6)+(-1.04499+(-0.285855--0.42993))+0-32.2--0.0821099999999953</f>
        <v>320.28119500000003</v>
      </c>
      <c r="Y293" s="3">
        <f>398.7+(130.5-171)+(-0.406674+(-0.13311--0.17442))+0-32.2--0.0328440000000051</f>
        <v>325.66748000000001</v>
      </c>
      <c r="Z293" s="3">
        <f>400+(143.6-202)+(-0.204+(-0.073236--0.10302))+0-31.8--0.0162179999999968</f>
        <v>309.64200199999999</v>
      </c>
      <c r="AA293" s="3">
        <f>397.9+(145.3-207.9)+(-0.811716+(-0.296412--0.424116))+0-31.5--0.0642599999999986</f>
        <v>303.18024799999995</v>
      </c>
      <c r="AB293" s="3">
        <f>383.2+(223.7-276)+(-0.195432+(-0.114087--0.14076))+0-31.2--0.0159119999999968</f>
        <v>299.54715299999998</v>
      </c>
      <c r="AC293" s="3">
        <f>214.4+(349-241.8)+(-0.54672+(-0.88995--0.61659))+0-30.8--0.0785399999999955</f>
        <v>290.05845999999997</v>
      </c>
      <c r="AD293" s="2">
        <v>323.2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0+(400-93.2)+(0+(-1.02--0.23766))+0-30.8--0.0785399999999955</f>
        <v>275.2962</v>
      </c>
      <c r="G294" s="3">
        <f>0+(401.1-100.1)+(0+(-1.022805--0.255255))+0-30.7--0.0782849999999955</f>
        <v>269.61073499999998</v>
      </c>
      <c r="H294" s="3">
        <f>0+(397-105.6)+(0+(0.40494-0.107712))+0-31-0.0316200000000049</f>
        <v>260.66560799999996</v>
      </c>
      <c r="I294" s="3">
        <f>0+(348.7-53.3)+(0+(0.177837-0.027183))+0-31.1-0.0158609999999968</f>
        <v>264.43479299999996</v>
      </c>
      <c r="J294" s="3">
        <f>0+(339.3-44.1)+(0+(-0.346086--0.044982))+0-31.2--0.031824000000005</f>
        <v>263.73072000000002</v>
      </c>
      <c r="K294" s="3">
        <f>0+(326.4-33.1)+(0+(0.332928-0.033762))+0-30.9-0.0315180000000049</f>
        <v>262.66764799999999</v>
      </c>
      <c r="L294" s="3">
        <f>0+(366.2-65.4)+(0+(0.747048-0.133416))+0-31.2-0.0636479999999986</f>
        <v>270.14998399999996</v>
      </c>
      <c r="M294" s="3">
        <f>84.6+(308-74.9)+(-0.086292+(-0.31416--0.076398))+0-31.5--0.032130000000005</f>
        <v>285.90807599999999</v>
      </c>
      <c r="N294" s="3">
        <f>175.2+(248.6-62.8)+(-0.089352+(-0.126786--0.032028))+0-31.2--0.0159119999999968</f>
        <v>329.63180200000005</v>
      </c>
      <c r="O294" s="3">
        <f>209.5+(210.1-65.2)+(-0.21369+(-0.214302--0.066504))+0-19.6--0.0199920000000031</f>
        <v>334.45850399999995</v>
      </c>
      <c r="P294" s="3">
        <f>273.2+(179.5-115.1)+(-0.278664+(-0.18309--0.117402))+0-0-0</f>
        <v>337.25564800000001</v>
      </c>
      <c r="Q294" s="3">
        <f>353.7+(170.8-186.7)+(-0.360774+(-0.174216--0.190434))+0-5--0.0051000000000008</f>
        <v>332.46054400000003</v>
      </c>
      <c r="R294" s="3">
        <f>347+(198.4-215.5)+(-0.70788+(-0.404736--0.43962))+0-5.1--0.0104039999999998</f>
        <v>324.13740799999994</v>
      </c>
      <c r="S294" s="3">
        <f>330.9+(206.9-231.5)+(0.168759+(0.105519-0.118065))+0-6.5-0.00331499999999934</f>
        <v>299.95289799999995</v>
      </c>
      <c r="T294" s="3">
        <f>331.2+(212.5-239.1)+(-0.168912+(-0.108375--0.121941))+0-7.3--0.00372299999999926</f>
        <v>297.14837699999998</v>
      </c>
      <c r="U294" s="3">
        <f>330.5+(194.6-227)+(-0.33711+(-0.198492--0.23154))+0-8.3--0.00846600000000132</f>
        <v>289.50440400000002</v>
      </c>
      <c r="V294" s="3">
        <f>330.7+(154.8-181.6)+(-0.337314+(-0.157896--0.185232))+0-9.3--0.00948600000000148</f>
        <v>294.29950799999995</v>
      </c>
      <c r="W294" s="3">
        <f>395.5+(126.6-187.2)+(0.201705+(0.064566-0.095472))+0-10.4-0.00530399999999895</f>
        <v>324.66549499999996</v>
      </c>
      <c r="X294" s="3">
        <f>398.4+(113.8-174.2)+(-0.609552+(-0.174114--0.266526))+0-7.7--0.0117810000000004</f>
        <v>329.79464100000001</v>
      </c>
      <c r="Y294" s="3">
        <f>400.8+(126.3-201)+(0.204408+(0.064413-0.10251))+0-8.7-0.00443699999999912</f>
        <v>317.56187400000005</v>
      </c>
      <c r="Z294" s="3">
        <f>333.7+(176.1-182.1)+(-0.170187+(-0.089811--0.092871))+0-10.6--0.00540599999999892</f>
        <v>316.93827899999997</v>
      </c>
      <c r="AA294" s="3">
        <f>181.4+(238.6-108)+(-0.185028+(-0.243372--0.11016))+0-12.4--0.012648000000002</f>
        <v>299.29440800000003</v>
      </c>
      <c r="AB294" s="3">
        <f>174.9+(276.1-144.2)+(-0.356796+(-0.563244--0.294168))+0-14.3--0.0291719999999994</f>
        <v>291.90330000000006</v>
      </c>
      <c r="AC294" s="3">
        <f>90.7+(367.8-164.5)+(-0.231285+(-0.93789--0.419475))+0-13.4--0.0341699999999981</f>
        <v>279.88447000000002</v>
      </c>
      <c r="AD294" s="2">
        <v>335.40000000000003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10.4+(462.4-185.5)+(-0.005304+(-0.235824--0.094605))+0-15.4--0.00785399999999844</f>
        <v>271.76133099999998</v>
      </c>
      <c r="G295" s="3">
        <f>0+(421-135.6)+(0+(-0.85884--0.276624))+0-13.3--0.0271319999999994</f>
        <v>271.54491599999994</v>
      </c>
      <c r="H295" s="3">
        <f>0+(301.5-18.8)+(0+(0.153765-0.009588))+0-16.3-0.00831299999999835</f>
        <v>266.535864</v>
      </c>
      <c r="I295" s="3">
        <f>0+(295.4-10.9)+(0+(-0.451962--0.016677))+0-18.7--0.0286110000000011</f>
        <v>265.393326</v>
      </c>
      <c r="J295" s="3">
        <f>0+(287.8-10.7)+(0+(0.146778-0.005457))+0-21.6-0.0110159999999978</f>
        <v>255.63030500000005</v>
      </c>
      <c r="K295" s="3">
        <f>23.2+(301.2-42.5)+(0.011832+(0.153612-0.021675))+0-25.2-0.0128519999999974</f>
        <v>256.830917</v>
      </c>
      <c r="L295" s="3">
        <f>83.5+(241.8-31.1)+(-0.212925+(-0.61659--0.079305))+0-26.8--0.0683399999999961</f>
        <v>266.71813000000003</v>
      </c>
      <c r="M295" s="3">
        <f>122.8+(250.4-62.5)+(-0.187884+(-0.383112--0.095625))+0-28.7--0.0439110000000017</f>
        <v>281.56853999999998</v>
      </c>
      <c r="N295" s="3">
        <f>256.4+(263.8-185.9)+(0.261528+(0.269076-0.189618))+0-28.9-0.0294780000000046</f>
        <v>305.71150799999998</v>
      </c>
      <c r="O295" s="3">
        <f>400.4+(255-282.7)+(-0.204204+(-0.13005--0.144177))+0-19.3--0.00984299999999804</f>
        <v>353.21976599999999</v>
      </c>
      <c r="P295" s="3">
        <f>401.9+(258.5-274.9)+(0.614907+(0.395505-0.420597))+0-26.3-0.0402390000000015</f>
        <v>359.74957599999999</v>
      </c>
      <c r="Q295" s="3">
        <f>400.2+(261-262.2)+(0+(0-0))+0-29.8-0</f>
        <v>369.2</v>
      </c>
      <c r="R295" s="3">
        <f>367.1+(257.4-242.6)+(-0.187221+(-0.131274--0.123726))+0-26.9--0.0137189999999973</f>
        <v>354.81894999999997</v>
      </c>
      <c r="S295" s="3">
        <f>265.3+(270.3-201.5)+(-0.135303+(-0.137853--0.102765))+0-27.3--0.0139229999999972</f>
        <v>306.64353199999999</v>
      </c>
      <c r="T295" s="3">
        <f>53.3+(367.4-92.1)+(-0.027183+(-0.187374--0.046971))+0-29.8--0.015197999999997</f>
        <v>298.64761199999998</v>
      </c>
      <c r="U295" s="3">
        <f>0+(347.3-61.4)+(0+(0-0))+0-27.4-0</f>
        <v>258.50000000000006</v>
      </c>
      <c r="V295" s="3">
        <f>0+(338.9-16.4)+(0+(-0.172839--0.008364))+0-30.1--0.0153509999999969</f>
        <v>292.25087600000001</v>
      </c>
      <c r="W295" s="3">
        <f>0+(418.2-66.6)+(0+(0.213282-0.033966))+0-30.7-0.0156569999999969</f>
        <v>321.06365900000003</v>
      </c>
      <c r="X295" s="3">
        <f>0+(391.6-52.7)+(0+(-0.798864--0.107508))+0-31--0.0632399999999986</f>
        <v>307.27188400000006</v>
      </c>
      <c r="Y295" s="3">
        <f>0+(405.5-71.5)+(0+(-0.206805--0.036465))+0-30.7--0.0156569999999969</f>
        <v>303.14531699999998</v>
      </c>
      <c r="Z295" s="3">
        <f>0+(397.3-65.1)+(0+(-0.405246--0.066402))+0-31.2--0.031824000000005</f>
        <v>300.69298000000009</v>
      </c>
      <c r="AA295" s="3">
        <f>0+(359.5-33.7)+(0+(0-0))+0-31.4-0</f>
        <v>294.40000000000003</v>
      </c>
      <c r="AB295" s="3">
        <f>0+(317.5-0)+(0+(-0.485775-0))+0-29.9--0.0457470000000017</f>
        <v>287.15997200000004</v>
      </c>
      <c r="AC295" s="3">
        <f>0+(305.8-0)+(0+(-0.311916-0))+0-31.3--0.031926000000005</f>
        <v>274.22001</v>
      </c>
      <c r="AD295" s="2">
        <v>320.2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0+(331.7-21.9)+(0+(-0.845835--0.055845))+0-31.2--0.0795599999999955</f>
        <v>277.88957000000005</v>
      </c>
      <c r="G296" s="3">
        <f>0+(361-61.1)+(0+(0-0))+0-30.5-0</f>
        <v>269.39999999999998</v>
      </c>
      <c r="H296" s="3">
        <f>0+(363.2-73.3)+(0+(-0.370464--0.074766))+0-30.6--0.0312120000000049</f>
        <v>259.03551399999992</v>
      </c>
      <c r="I296" s="3">
        <f>0+(302.3-10.7)+(0+(-0.308346--0.010914))+0-31--0.0316200000000049</f>
        <v>260.33418800000004</v>
      </c>
      <c r="J296" s="3">
        <f>0+(283.9-2)+(0+(0-0))+0-29.1-0</f>
        <v>252.79999999999998</v>
      </c>
      <c r="K296" s="3">
        <f>0+(324.9-31.8)+(0+(-0.165699--0.016218))+0-30.6--0.0156059999999969</f>
        <v>262.36612499999995</v>
      </c>
      <c r="L296" s="3">
        <f>68.4+(267.9-28.2)+(0+(0-0))+0-31.7-0</f>
        <v>276.40000000000003</v>
      </c>
      <c r="M296" s="3">
        <f>235+(198.4-116.6)+(0.2397+(0.202368-0.118932))+0-32-0.0326400000000051</f>
        <v>285.09049599999997</v>
      </c>
      <c r="N296" s="3">
        <f>278.1+(188.3-125.2)+(0.283662+(0.192066-0.127704))+0-31.7-0.0323340000000051</f>
        <v>309.81569000000007</v>
      </c>
      <c r="O296" s="3">
        <f>275.7+(197.8-120.1)+(0+(0-0))+0-32.5-0</f>
        <v>320.89999999999998</v>
      </c>
      <c r="P296" s="3">
        <f>273.6+(194.6-120.5)+(0.418608+(0.297738-0.184365))+0-32.5-0.0497250000000019</f>
        <v>315.682256</v>
      </c>
      <c r="Q296" s="3">
        <f>272.1+(182.9-96.7)+(-0.277542+(-0.186558--0.098634))+0-32.8--0.0334560000000052</f>
        <v>325.16798999999997</v>
      </c>
      <c r="R296" s="3">
        <f>270.9+(179.9-96.5)+(-0.690795+(-0.458745--0.246075))+0-30.7--0.0782849999999955</f>
        <v>322.77481999999998</v>
      </c>
      <c r="S296" s="3">
        <f>270.3+(206.7-147.9)+(-0.137853+(-0.105417--0.075429))+0-31.2--0.0159119999999968</f>
        <v>297.74807100000004</v>
      </c>
      <c r="T296" s="3">
        <f>269.7+(224.9-163.9)+(-0.137547+(-0.114699--0.083589))+0-31.6--0.0161159999999968</f>
        <v>298.94745899999998</v>
      </c>
      <c r="U296" s="3">
        <f>269.6+(195.4-169.3)+(0.137496+(0.099654-0.086343))+0-31.6-0.0161159999999968</f>
        <v>264.234691</v>
      </c>
      <c r="V296" s="3">
        <f>270.5+(168.1-107.7)+(0+(0-0))+0-31.9-0</f>
        <v>299</v>
      </c>
      <c r="W296" s="3">
        <f>272.1+(193.1-95.1)+(0.138771+(0.098481-0.048501))+0-21.9-0.0111689999999978</f>
        <v>348.37758200000007</v>
      </c>
      <c r="X296" s="3">
        <f>271.8+(216.5-104.2)+(-0.69309+(-0.552075--0.26571))+0-18--0.0458999999999974</f>
        <v>365.16644500000007</v>
      </c>
      <c r="Y296" s="3">
        <f>271+(177.8-125.5)+(-0.55284+(-0.362712--0.25602))+0-16.3--0.0332519999999993</f>
        <v>306.37371999999999</v>
      </c>
      <c r="Z296" s="3">
        <f>263.6+(183.4-127.5)+(-0.67218+(-0.46767--0.325125))+0-10.3--0.0262649999999985</f>
        <v>308.41154</v>
      </c>
      <c r="AA296" s="3">
        <f>203.4+(177.5-79.5)+(-0.207468+(-0.18105--0.08109))+0-10.3--0.0105060000000016</f>
        <v>290.80307799999997</v>
      </c>
      <c r="AB296" s="3">
        <f>123.9+(193.9-7.9)+(-0.189567+(-0.296667--0.012087))+0-21.7--0.0332010000000013</f>
        <v>287.75905399999999</v>
      </c>
      <c r="AC296" s="3">
        <f>0+(304.2-0)+(0+(-0.310284-0))+0-31.9--0.0325380000000051</f>
        <v>272.02225399999998</v>
      </c>
      <c r="AD296" s="2">
        <v>356.3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0+(292.9-0)+(0+(-0.149379-0))+0-30.9--0.0157589999999969</f>
        <v>261.86637999999999</v>
      </c>
      <c r="G297" s="3">
        <f>0+(294.3-7.5)+(0+(0.450279-0.011475))+0-30.5-0.0466650000000018</f>
        <v>256.692139</v>
      </c>
      <c r="H297" s="3">
        <f>0+(300.3-6.6)+(0+(-0.153153--0.003366))+0-30.4--0.0155039999999969</f>
        <v>263.16571700000003</v>
      </c>
      <c r="I297" s="3">
        <f>0+(311.3-20.4)+(0+(0.476289-0.031212))+0-28.7-0.0439110000000017</f>
        <v>262.60116600000009</v>
      </c>
      <c r="J297" s="3">
        <f>0+(297.4-10.9)+(0+(0-0))+0-29.6-0</f>
        <v>256.89999999999998</v>
      </c>
      <c r="K297" s="3">
        <f>0+(285.5-6.6)+(0+(0.58242-0.013464))+0-29.3-0.0597719999999987</f>
        <v>250.10918399999997</v>
      </c>
      <c r="L297" s="3">
        <f>0+(302.2-10.2)+(0+(-0.616488--0.020808))+0-31.8--0.0648719999999986</f>
        <v>259.66919199999995</v>
      </c>
      <c r="M297" s="3">
        <f>0+(315.6-11.1)+(0+(-0.160956--0.005661))+0-31.5--0.0160649999999968</f>
        <v>272.86076999999995</v>
      </c>
      <c r="N297" s="3">
        <f>0+(369.8-43)+(0+(-0.188598--0.02193))+0-31.5--0.0160649999999968</f>
        <v>295.14939699999996</v>
      </c>
      <c r="O297" s="3">
        <f>0+(366.5-33.5)+(0+(0.37383-0.03417))+0-32.7-0.0333540000000052</f>
        <v>300.60630599999996</v>
      </c>
      <c r="P297" s="3">
        <f>0+(397.6-68.3)+(0+(-0.202776--0.034833))+0-32.5--0.0165749999999967</f>
        <v>296.64863200000002</v>
      </c>
      <c r="Q297" s="3">
        <f>0+(372.6-46.9)+(0+(0-0))+0-31.7-0</f>
        <v>294.00000000000006</v>
      </c>
      <c r="R297" s="3">
        <f>0+(346.9-24.4)+(0+(-0.530757--0.037332))+0-31.5--0.0481950000000018</f>
        <v>290.55477000000002</v>
      </c>
      <c r="S297" s="3">
        <f>0+(343.9-40.9)+(0+(0-0))+0-31.8-0</f>
        <v>271.2</v>
      </c>
      <c r="T297" s="3">
        <f>0+(306.4-6.5)+(0+(-0.78132--0.016575))+0-31.5--0.0803249999999954</f>
        <v>267.71557999999999</v>
      </c>
      <c r="U297" s="3">
        <f>0+(306.9-7.3)+(0+(-0.469557--0.011169))+0-28.6--0.0437580000000017</f>
        <v>270.58536999999995</v>
      </c>
      <c r="V297" s="3">
        <f>0+(305.4-0)+(0+(-0.467262-0))+0-31.8--0.0486540000000018</f>
        <v>273.18139199999996</v>
      </c>
      <c r="W297" s="3">
        <f>0+(345.5-21.1)+(0+(0.176205-0.010761))+0-32.6-0.0166259999999967</f>
        <v>291.94881799999996</v>
      </c>
      <c r="X297" s="3">
        <f>0+(344-12.4)+(0+(-0.35088--0.012648))+0-32.8--0.0334560000000052</f>
        <v>298.49522400000001</v>
      </c>
      <c r="Y297" s="3">
        <f>0+(324.4-1.6)+(0+(-0.330888--0.001632))+0-32.7--0.0333540000000052</f>
        <v>289.80409800000001</v>
      </c>
      <c r="Z297" s="3">
        <f>0+(312.7-0)+(0+(-0.797385-0))+0-31.9--0.0813449999999954</f>
        <v>280.08395999999999</v>
      </c>
      <c r="AA297" s="3">
        <f>0+(307.6-0)+(0+(0-0))+0-32.8-0</f>
        <v>274.8</v>
      </c>
      <c r="AB297" s="3">
        <f>0+(300.2-0)+(0+(-0.76551-0))+0-32.7--0.0833849999999953</f>
        <v>266.81787500000002</v>
      </c>
      <c r="AC297" s="3">
        <f>0+(302-11.5)+(0+(-0.30804--0.01173))+0-32.7--0.0333540000000052</f>
        <v>257.53704400000004</v>
      </c>
      <c r="AD297" s="2">
        <v>275.8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0+(284.2-0)+(0+(-0.289884-0))+0-32.3--0.0329460000000051</f>
        <v>251.64306200000001</v>
      </c>
      <c r="G298" s="3">
        <f>0+(276.1-0)+(0+(0-0))+0-31.6-0</f>
        <v>244.50000000000003</v>
      </c>
      <c r="H298" s="3">
        <f>0+(270.1-1.5)+(0+(-0.137751--0.000765))+0-31.7--0.0161669999999968</f>
        <v>236.77918100000005</v>
      </c>
      <c r="I298" s="3">
        <f>0+(264.3-0)+(0+(0.404379-0))+0-31.3-0.0478890000000018</f>
        <v>233.35649000000001</v>
      </c>
      <c r="J298" s="3">
        <f>0+(275.4-5.5)+(0+(-0.70227--0.014025))+0-31.1--0.0793049999999955</f>
        <v>238.19105999999999</v>
      </c>
      <c r="K298" s="3">
        <f>0+(264.1-0)+(0+(0.134691-0))+0-31.1-0.0158609999999968</f>
        <v>233.11883</v>
      </c>
      <c r="L298" s="3">
        <f>0+(256.2-0)+(0+(-0.65331-0))+0-31.3--0.0798149999999955</f>
        <v>224.32650499999997</v>
      </c>
      <c r="M298" s="3">
        <f>0+(239.4-0)+(0+(-0.976752-0))+0-31.6--0.128927999999997</f>
        <v>206.95217600000001</v>
      </c>
      <c r="N298" s="3">
        <f>0+(247.9-0)+(0+(-0.126429-0))+0-31.5--0.0160649999999968</f>
        <v>216.289636</v>
      </c>
      <c r="O298" s="3">
        <f>0+(307.6-61.8)+(0+(-0.313752--0.063036))+0-31.2--0.031824000000005</f>
        <v>214.38110800000001</v>
      </c>
      <c r="P298" s="3">
        <f>0+(353.5-102.8)+(0+(0.540855-0.157284))+0-31.3-0.0478890000000018</f>
        <v>219.73568199999997</v>
      </c>
      <c r="Q298" s="3">
        <f>0+(317-64.1)+(0+(-0.80835--0.163455))+0-30.1--0.0767549999999956</f>
        <v>222.23186000000001</v>
      </c>
      <c r="R298" s="3">
        <f>0+(349.4-102.8)+(0+(-0.89097--0.26214))+0-30.8--0.0785399999999955</f>
        <v>215.24970999999996</v>
      </c>
      <c r="S298" s="3">
        <f>0+(383.1-143)+(0+(0-0))+0-30.4-0</f>
        <v>209.70000000000002</v>
      </c>
      <c r="T298" s="3">
        <f>0+(375.9-135.2)+(0+(-0.383418--0.137904))+0-30.5--0.0311100000000049</f>
        <v>209.98559600000002</v>
      </c>
      <c r="U298" s="3">
        <f>0+(391.8-158.4)+(0+(0-0))+0-29.8-0</f>
        <v>203.6</v>
      </c>
      <c r="V298" s="3">
        <f>0+(333.5-94.2)+(0+(0.170085-0.048042))+0-30.3-0.0154529999999969</f>
        <v>209.10658999999998</v>
      </c>
      <c r="W298" s="3">
        <f>0+(285.4-12.4)+(0+(-0.145554--0.006324))+0-31.5--0.0160649999999968</f>
        <v>241.376835</v>
      </c>
      <c r="X298" s="3">
        <f>0+(287.7-9.7)+(0+(-0.146727--0.004947))+0-31.8--0.0162179999999968</f>
        <v>246.07443800000001</v>
      </c>
      <c r="Y298" s="3">
        <f>0+(278.2-1.9)+(0+(0-0))+0-31.9-0</f>
        <v>244.4</v>
      </c>
      <c r="Z298" s="3">
        <f>0+(278-3.3)+(0+(0.14178-0.001683))+0-31.5-0.0160649999999968</f>
        <v>243.32403200000002</v>
      </c>
      <c r="AA298" s="3">
        <f>0+(285.3-13)+(0+(0.582012-0.02652))+0-31.2-0.0636479999999986</f>
        <v>241.59184400000004</v>
      </c>
      <c r="AB298" s="3">
        <f>0+(302-28.3)+(0+(0-0))+0-30.7-0</f>
        <v>243</v>
      </c>
      <c r="AC298" s="3">
        <f>0+(340.7-73.3)+(0+(-1.216299--0.261681))+0-30.6--0.109242</f>
        <v>235.954624</v>
      </c>
      <c r="AD298" s="2">
        <v>251.8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0+(288.1-29.1)+(0+(-0.587724--0.059364))+0-31.3--0.0638519999999986</f>
        <v>227.23549199999997</v>
      </c>
      <c r="G299" s="3">
        <f>0+(241.6-0)+(0+(-0.492864-0))+0-30.9--0.0630359999999986</f>
        <v>210.270172</v>
      </c>
      <c r="H299" s="3">
        <f>0+(235.5-0)+(0+(-0.360315-0))+0-31.2--0.0477360000000018</f>
        <v>203.98742100000001</v>
      </c>
      <c r="I299" s="3">
        <f>0+(234.8-0)+(0+(-0.359244-0))+0-31--0.0474300000000018</f>
        <v>203.48818600000001</v>
      </c>
      <c r="J299" s="3">
        <f>0+(234.9-0)+(0+(0.239598-0))+0-30.8-0.0314160000000049</f>
        <v>204.30818199999999</v>
      </c>
      <c r="K299" s="3">
        <f>0+(237.3-0)+(0+(0.484092-0))+0-30.9-0.0630359999999986</f>
        <v>206.821056</v>
      </c>
      <c r="L299" s="3">
        <f>0+(238.8-0)+(0+(-0.487152-0))+0-31.1--0.0634439999999986</f>
        <v>207.27629200000001</v>
      </c>
      <c r="M299" s="3">
        <f>0+(227.2-0)+(0+(0.115872-0))+0-31.5-0.0160649999999968</f>
        <v>195.79980699999999</v>
      </c>
      <c r="N299" s="3">
        <f>0+(234.5-0)+(0+(-0.358785-0))+0-31.8--0.0486540000000018</f>
        <v>202.38986899999998</v>
      </c>
      <c r="O299" s="3">
        <f>0+(238.8-0)+(0+(-0.121788-0))+0-31.2--0.0159119999999968</f>
        <v>207.494124</v>
      </c>
      <c r="P299" s="3">
        <f>0+(252.4-4.7)+(0+(-0.514896--0.009588))+0-30.9--0.0630359999999986</f>
        <v>216.35772800000001</v>
      </c>
      <c r="Q299" s="3">
        <f>0+(258-5.8)+(0+(-0.13158--0.002958))+0-31.2--0.0159119999999968</f>
        <v>220.88728999999998</v>
      </c>
      <c r="R299" s="3">
        <f>0+(303.7-47.4)+(0+(-1.084209--0.169218))+0-30.2--0.107814</f>
        <v>225.29282300000003</v>
      </c>
      <c r="S299" s="3">
        <f>0+(308-53.1)+(0+(0-0))+0-31.2-0</f>
        <v>223.70000000000002</v>
      </c>
      <c r="T299" s="3">
        <f>0+(276.2-24.9)+(0+(-0.281724--0.025398))+0-30.3--0.0309060000000048</f>
        <v>220.77457999999999</v>
      </c>
      <c r="U299" s="3">
        <f>0+(267.8-17.5)+(0+(0-0))+0-30.2-0</f>
        <v>220.10000000000002</v>
      </c>
      <c r="V299" s="3">
        <f>0+(253.5-0)+(0+(-0.129285-0))+0-30.3--0.0154529999999969</f>
        <v>223.08616799999999</v>
      </c>
      <c r="W299" s="3">
        <f>0+(343.8-63)+(0+(0.175338-0.03213))+0-29.1-0.014840999999997</f>
        <v>251.82836700000004</v>
      </c>
      <c r="X299" s="3">
        <f>0+(365.3-73.1)+(0+(-0.558909--0.111843))+0-31.1--0.0475830000000018</f>
        <v>260.70051699999999</v>
      </c>
      <c r="Y299" s="3">
        <f>0+(397.4-106.4)+(0+(-0.608022--0.162792))+0-31.8--0.0486540000000018</f>
        <v>258.80342400000001</v>
      </c>
      <c r="Z299" s="3">
        <f>0+(361.4-70.2)+(0+(-0.184314--0.035802))+0-32.1--0.0163709999999967</f>
        <v>258.96785899999998</v>
      </c>
      <c r="AA299" s="3">
        <f>0+(312.2-28.8)+(0+(-0.159222--0.014688))+0-31.7--0.0161669999999968</f>
        <v>251.57163299999996</v>
      </c>
      <c r="AB299" s="3">
        <f>0+(276.8-0)+(0+(-0.564672-0))+0-31.4--0.0640559999999986</f>
        <v>244.89938400000003</v>
      </c>
      <c r="AC299" s="3">
        <f>0+(308.7-42.7)+(0+(-0.472311--0.065331))+0-31.1--0.0475830000000018</f>
        <v>234.54060300000003</v>
      </c>
      <c r="AD299" s="2">
        <v>257.8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0+(446.6-182.4)+(0+(0.227766-0.093024))+0-30.9-0.0157589999999969</f>
        <v>233.41898300000005</v>
      </c>
      <c r="G300" s="3">
        <f>0+(411.3-152.2)+(0+(0.419526-0.155244))+0-30.8-0.0314160000000049</f>
        <v>228.53286599999998</v>
      </c>
      <c r="H300" s="3">
        <f>0+(372.9-121.5)+(0+(0.190179-0.061965))+0-30.5-0.0155549999999969</f>
        <v>221.01265899999999</v>
      </c>
      <c r="I300" s="3">
        <f>0+(368.5-116.5)+(0+(0.563805-0.178245))+0-30.6-0.0468180000000018</f>
        <v>221.738742</v>
      </c>
      <c r="J300" s="3">
        <f>0+(378.8-128.9)+(0+(0.772752-0.262956))+0-30.2-0.0616079999999987</f>
        <v>220.148188</v>
      </c>
      <c r="K300" s="3">
        <f>0+(380.1-123.5)+(0+(0-0))+0-30.4-0</f>
        <v>226.20000000000002</v>
      </c>
      <c r="L300" s="3">
        <f>0+(398.6-131.3)+(0+(0.406572-0.133926))+0-30.5-0.0311100000000049</f>
        <v>237.04153600000001</v>
      </c>
      <c r="M300" s="3">
        <f>0+(426.3-144.7)+(0+(0.652239-0.221391))+0-30.6-0.0468180000000018</f>
        <v>251.38403000000005</v>
      </c>
      <c r="N300" s="3">
        <f>0+(323.3-28.7)+(0+(0.494649-0.043911))+0-30.6-0.0468180000000018</f>
        <v>264.40391999999997</v>
      </c>
      <c r="O300" s="3">
        <f>125.1+(194-12)+(0.319005+(0.4947-0.0306))+0-30.6-0.0780299999999956</f>
        <v>277.20507499999997</v>
      </c>
      <c r="P300" s="3">
        <f>143.3+(174-0)+(0.146166+(0.17748-0))+0-30.6-0.0312120000000049</f>
        <v>286.992434</v>
      </c>
      <c r="Q300" s="3">
        <f>143+(280.5-94.2)+(0.29172+(0.57222-0.192168))+0-32.1-0.0654839999999986</f>
        <v>297.80628799999994</v>
      </c>
      <c r="R300" s="3">
        <f>140.8+(238-45.5)+(-0.143616+(-0.24276--0.04641))+0-31.7--0.0323340000000051</f>
        <v>301.29236800000001</v>
      </c>
      <c r="S300" s="3">
        <f>140+(182.1-3.2)+(0.0714+(0.092871-0.001632))+0-31.1-0.0158609999999968</f>
        <v>287.94677799999999</v>
      </c>
      <c r="T300" s="3">
        <f>140.1+(236.4-59.9)+(0+(0-0))+0-31.7-0</f>
        <v>284.90000000000003</v>
      </c>
      <c r="U300" s="3">
        <f>139.9+(247.5-74.4)+(-0.142698+(-0.25245--0.075888))+0-31.2--0.031824000000005</f>
        <v>281.51256400000005</v>
      </c>
      <c r="V300" s="3">
        <f>140.2+(238.3-58.7)+(0+(0-0))+0-32-0</f>
        <v>287.8</v>
      </c>
      <c r="W300" s="3">
        <f>140.2+(317.8-121.9)+(0+(0-0))+0-32.9-0</f>
        <v>303.20000000000005</v>
      </c>
      <c r="X300" s="3">
        <f>139.7+(376.6-180.9)+(-0.213741+(-0.576198--0.276777))+0-33.3--0.0509490000000019</f>
        <v>301.63778699999995</v>
      </c>
      <c r="Y300" s="3">
        <f>140.1+(368-179.7)+(-0.142902+(-0.37536--0.183294))+0-33--0.0336600000000053</f>
        <v>295.09869199999997</v>
      </c>
      <c r="Z300" s="3">
        <f>141.4+(348.2-171.2)+(-0.144228+(-0.355164--0.174624))+0-33.1--0.0337620000000053</f>
        <v>285.00899399999997</v>
      </c>
      <c r="AA300" s="3">
        <f>142.1+(291.3-124)+(-0.072471+(-0.148563--0.06324))+0-32.7--0.0166769999999967</f>
        <v>276.55888299999998</v>
      </c>
      <c r="AB300" s="3">
        <f>142.1+(310.8-146.8)+(-0.217413+(-0.475524--0.224604))+0-31.9--0.0488070000000018</f>
        <v>273.78047400000008</v>
      </c>
      <c r="AC300" s="3">
        <f>119.3+(346.5-170.6)+(-0.243372+(-0.70686--0.348024))+0-31.9--0.0650759999999986</f>
        <v>262.76286799999997</v>
      </c>
      <c r="AD300" s="2">
        <v>305.39999999999998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1.2+(412.6-129.5)+(-0.00306+(-1.05213--0.330225))+0-31.9--0.0813449999999954</f>
        <v>251.75638000000001</v>
      </c>
      <c r="G301" s="3">
        <f>0+(435.2-153.5)+(0+(-1.10976--0.391425))+0-31.7--0.0808349999999954</f>
        <v>249.36249999999998</v>
      </c>
      <c r="H301" s="3">
        <f>0+(451.5-169)+(0+(-0.92106--0.34476))+0-31.8--0.0648719999999986</f>
        <v>250.18857199999999</v>
      </c>
      <c r="I301" s="3">
        <f>0+(443.6-171.5)+(0+(-0.226236--0.087465))+0-31.6--0.0161159999999968</f>
        <v>240.37734500000002</v>
      </c>
      <c r="J301" s="3">
        <f>0+(433.1-165.1)+(0+(-0.883524--0.336804))+0-31.4--0.0640559999999986</f>
        <v>236.11733599999999</v>
      </c>
      <c r="K301" s="3">
        <f>0+(436.3-162)+(0+(1.112565-0.4131))+0-31.6-0.0805799999999954</f>
        <v>243.31888499999999</v>
      </c>
      <c r="L301" s="3">
        <f>0+(396.8-111.6)+(0+(0-0))+0-31.6-0</f>
        <v>253.60000000000005</v>
      </c>
      <c r="M301" s="3">
        <f>0+(389.6-94.1)+(0+(-0.198696--0.047991))+0-31.8--0.0162179999999968</f>
        <v>263.56551299999995</v>
      </c>
      <c r="N301" s="3">
        <f>0+(343.6-18.9)+(0+(-0.350472--0.019278))+0-31--0.0316200000000049</f>
        <v>293.4004260000001</v>
      </c>
      <c r="O301" s="3">
        <f>0+(331.2-2.8)+(0+(0.168912-0.001428))+0-31.6-0.0161159999999968</f>
        <v>296.95136799999995</v>
      </c>
      <c r="P301" s="3">
        <f>0+(336.9-1.3)+(0+(-0.171819--0.000663))+0-31.1--0.0158609999999968</f>
        <v>304.34470499999992</v>
      </c>
      <c r="Q301" s="3">
        <f>0+(345-0)+(0+(-0.52785-0))+0-31.7--0.0485010000000018</f>
        <v>312.820651</v>
      </c>
      <c r="R301" s="3">
        <f>0+(335.9-0)+(0+(-0.856545-0))+0-31.4--0.0800699999999954</f>
        <v>303.723525</v>
      </c>
      <c r="S301" s="3">
        <f>0+(347-27.4)+(0+(-0.17697--0.013974))+0-31.5--0.0160649999999968</f>
        <v>287.95306899999997</v>
      </c>
      <c r="T301" s="3">
        <f>0+(378.3-62.3)+(0+(0.192933-0.031773))+0-31.1-0.0158609999999968</f>
        <v>285.045299</v>
      </c>
      <c r="U301" s="3">
        <f>0+(378.4-63.4)+(0+(0.192984-0.032334))+0-31.2-0.0159119999999968</f>
        <v>283.94473799999997</v>
      </c>
      <c r="V301" s="3">
        <f>0+(398.8-86.7)+(0+(0.203388-0.044217))+0-31.7-0.0161669999999968</f>
        <v>280.54300400000005</v>
      </c>
      <c r="W301" s="3">
        <f>54.5+(416-130.8)+(0.027795+(0.21216-0.066708))+0-32.5-0.0165749999999967</f>
        <v>307.356672</v>
      </c>
      <c r="X301" s="3">
        <f>143.9+(361.8-160.2)+(-0.146778+(-0.369036--0.163404))+0-32.5--0.0331500000000052</f>
        <v>312.68073999999996</v>
      </c>
      <c r="Y301" s="3">
        <f>103.5+(353.4-117.6)+(-0.10557+(-0.360468--0.119952))+0-32.2--0.0328440000000051</f>
        <v>306.78675799999996</v>
      </c>
      <c r="Z301" s="3">
        <f>0+(405.6-77.6)+(0+(0.206856-0.039576))+0-31.9-0.0162689999999968</f>
        <v>296.25101100000001</v>
      </c>
      <c r="AA301" s="3">
        <f>0+(361.1-59.1)+(0+(0.184161-0.030141))+0-15.7-0.00800699999999841</f>
        <v>286.44601299999999</v>
      </c>
      <c r="AB301" s="3">
        <f>0+(329.6-24.2)+(0+(-0.168096--0.012342))+0-22.7--0.0115769999999977</f>
        <v>282.55582300000003</v>
      </c>
      <c r="AC301" s="3">
        <f>0+(315.8-18.7)+(0+(-0.161058--0.009537))+0-30.8--0.0157079999999969</f>
        <v>266.16418700000003</v>
      </c>
      <c r="AD301" s="2">
        <v>311.70000000000005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0+(287.7-2.9)+(0+(-0.293454--0.002958))+0-30.9--0.0315180000000049</f>
        <v>253.64102199999999</v>
      </c>
      <c r="G302" s="3">
        <f>0+(309.9-24.2)+(0+(-0.158049--0.012342))+0-30.4--0.0155039999999969</f>
        <v>255.16979699999996</v>
      </c>
      <c r="H302" s="3">
        <f>0+(307.4-35.1)+(0+(0.313548-0.035802))+0-30.4-0.0310080000000048</f>
        <v>242.14673799999991</v>
      </c>
      <c r="I302" s="3">
        <f>0+(308-27.8)+(0+(-0.47124--0.042534))+0-30.7--0.0469710000000018</f>
        <v>249.11826500000004</v>
      </c>
      <c r="J302" s="3">
        <f>0+(309.2-24.5)+(0+(0-0))+0-30.4-0</f>
        <v>254.29999999999998</v>
      </c>
      <c r="K302" s="3">
        <f>0+(315.6-40.4)+(0+(0.160956-0.020604))+0-30.8-0.0157079999999969</f>
        <v>244.52464400000005</v>
      </c>
      <c r="L302" s="3">
        <f>0+(339.7-49.7)+(0+(-0.173247--0.025347))+0-30.7--0.0156569999999969</f>
        <v>259.16775699999999</v>
      </c>
      <c r="M302" s="3">
        <f>0+(344.8-46.1)+(0+(0.175848-0.023511))+0-31.4-0.0160139999999968</f>
        <v>267.43632300000002</v>
      </c>
      <c r="N302" s="3">
        <f>0+(356.5-29)+(0+(0-0))+0-31.6-0</f>
        <v>295.89999999999998</v>
      </c>
      <c r="O302" s="3">
        <f>30.2+(330.8-22.4)+(0.015402+(0.168708-0.011424))+0-31.5-0.0160649999999968</f>
        <v>307.25662100000005</v>
      </c>
      <c r="P302" s="3">
        <f>139.3+(258.7-58.5)+(0+(0-0))+0-31.4-0</f>
        <v>308.10000000000002</v>
      </c>
      <c r="Q302" s="3">
        <f>237.3+(168.9-59.2)+(-0.363069+(-0.258417--0.090576))+0-32--0.0489600000000018</f>
        <v>314.51805000000002</v>
      </c>
      <c r="R302" s="3">
        <f>280.3+(129.4-59.3)+(0.142953+(0.065994-0.030243))+0-31.4-0.0160139999999968</f>
        <v>319.16269000000005</v>
      </c>
      <c r="S302" s="3">
        <f>283.1+(138.9-81.2)+(0.288762+(0.141678-0.082824))+0-32.1-0.0327420000000051</f>
        <v>309.01487400000002</v>
      </c>
      <c r="T302" s="3">
        <f>281.5+(152.3-96.2)+(0+(0-0))+0-31.3-0</f>
        <v>306.3</v>
      </c>
      <c r="U302" s="3">
        <f>280.4+(152.6-101.1)+(-0.572016+(-0.311304--0.206244))+0-31.3--0.0638519999999986</f>
        <v>299.98677599999996</v>
      </c>
      <c r="V302" s="3">
        <f>279.6+(206.7-157.7)+(-0.427788+(-0.316251--0.241281))+0-32--0.0489600000000018</f>
        <v>296.14620200000007</v>
      </c>
      <c r="W302" s="3">
        <f>282.7+(365.3-294.6)+(0.720885+(0.931515-0.75123))+0-32.9-0.0838949999999952</f>
        <v>321.317275</v>
      </c>
      <c r="X302" s="3">
        <f>281.3+(333.8-261.4)+(-0.430389+(-0.510714--0.399942))+0-32.7--0.0500310000000019</f>
        <v>320.50887000000006</v>
      </c>
      <c r="Y302" s="3">
        <f>282+(283.8-224.2)+(-0.43146+(-0.434214--0.343026))+0-32.4--0.0495720000000019</f>
        <v>308.72692400000005</v>
      </c>
      <c r="Z302" s="3">
        <f>284.8+(258-206.6)+(-0.290496+(-0.26316--0.210732))+0-32.3--0.0329460000000051</f>
        <v>303.59002200000003</v>
      </c>
      <c r="AA302" s="3">
        <f>284.7+(138.7-100.2)+(0.145197+(0.070737-0.051102))+0-31.4-0.0160139999999968</f>
        <v>291.94881800000002</v>
      </c>
      <c r="AB302" s="3">
        <f>243.9+(214.5-147.2)+(0+(0-0))+0-30.9-0</f>
        <v>280.30000000000007</v>
      </c>
      <c r="AC302" s="3">
        <f>81.1+(242.5-23.5)+(0.041361+(0.123675-0.011985))+0-31.7-0.0161669999999968</f>
        <v>268.53688400000004</v>
      </c>
      <c r="AD302" s="2">
        <v>339.09999999999997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20.2+(285.1-15.8)+(-0.010302+(-0.145401--0.008058))+0-31.4--0.0160139999999968</f>
        <v>257.968369</v>
      </c>
      <c r="G303" s="3">
        <f>0+(319.3-33.1)+(0+(-0.488529--0.050643))+0-31.6--0.0483480000000018</f>
        <v>254.21046200000001</v>
      </c>
      <c r="H303" s="3">
        <f>0+(312.8-30.8)+(0+(-0.478584--0.047124))+0-31.6--0.0483480000000018</f>
        <v>250.01688799999999</v>
      </c>
      <c r="I303" s="3">
        <f>0+(317.4-37.5)+(0+(0.161874-0.019125))+0-31.3-0.0159629999999968</f>
        <v>248.72678599999995</v>
      </c>
      <c r="J303" s="3">
        <f>0+(313-33.9)+(0+(0-0))+0-31.2-0</f>
        <v>247.90000000000003</v>
      </c>
      <c r="K303" s="3">
        <f>0+(303.2-27.5)+(0+(0-0))+0-31.1-0</f>
        <v>244.6</v>
      </c>
      <c r="L303" s="3">
        <f>0+(334.9-49.6)+(0+(-0.341598--0.050592))+0-31--0.0316200000000049</f>
        <v>254.04061399999998</v>
      </c>
      <c r="M303" s="3">
        <f>0+(344.8-43.9)+(0+(0.175848-0.022389))+0-32.3-0.0164729999999967</f>
        <v>268.736986</v>
      </c>
      <c r="N303" s="3">
        <f>0+(374.8-44.3)+(0+(0.382296-0.045186))+0-32.3-0.0329460000000051</f>
        <v>298.504164</v>
      </c>
      <c r="O303" s="3">
        <f>0+(376.5-44.3)+(0+(0.576045-0.067779))+0-32.2-0.0492660000000019</f>
        <v>300.459</v>
      </c>
      <c r="P303" s="3">
        <f>0+(393.7-44.5)+(0+(-0.401574--0.04539))+0-32.3--0.0329460000000051</f>
        <v>316.57676199999997</v>
      </c>
      <c r="Q303" s="3">
        <f>0+(370.5-19.4)+(0+(0.37791-0.019788))+0-33.2-0.0338640000000053</f>
        <v>318.22425800000002</v>
      </c>
      <c r="R303" s="3">
        <f>0+(369.9-29.5)+(0+(-0.565947--0.045135))+0-31.8--0.0486540000000018</f>
        <v>308.12784199999999</v>
      </c>
      <c r="S303" s="3">
        <f>0+(352.6-15.6)+(0+(0.179826-0.007956))+0-32.5-0.0165749999999967</f>
        <v>304.65529500000002</v>
      </c>
      <c r="T303" s="3">
        <f>0+(336.7-10.4)+(0+(-0.515151--0.015912))+0-32.5--0.0497250000000019</f>
        <v>293.35048600000005</v>
      </c>
      <c r="U303" s="3">
        <f>0+(331.2-12.8)+(0+(-0.337824--0.013056))+0-31.8--0.0324360000000051</f>
        <v>286.30766799999998</v>
      </c>
      <c r="V303" s="3">
        <f>0+(377.7-49.3)+(0+(-0.192627--0.025143))+0-31.7--0.0161669999999968</f>
        <v>296.54868299999998</v>
      </c>
      <c r="W303" s="3">
        <f>0+(446.3-88.6)+(0+(0-0))+0-32.3-0</f>
        <v>325.40000000000003</v>
      </c>
      <c r="X303" s="3">
        <f>0+(402.5-47.4)+(0+(-0.615825--0.072522))+0-32.4--0.0495720000000019</f>
        <v>322.20626900000008</v>
      </c>
      <c r="Y303" s="3">
        <f>0+(386.5-37.6)+(0+(-0.591345--0.057528))+0-31.6--0.0483480000000018</f>
        <v>316.81453099999993</v>
      </c>
      <c r="Z303" s="3">
        <f>0+(387.8-44.9)+(0+(-0.395556--0.045798))+0-31.8--0.0324360000000051</f>
        <v>310.78267800000003</v>
      </c>
      <c r="AA303" s="3">
        <f>0+(405.6-77.8)+(0+(-0.413712--0.079356))+0-31.8--0.0324360000000051</f>
        <v>295.69808</v>
      </c>
      <c r="AB303" s="3">
        <f>0+(351.2-34.3)+(0+(-0.537336--0.052479))+0-31.6--0.0483480000000018</f>
        <v>284.86349099999995</v>
      </c>
      <c r="AC303" s="3">
        <f>0+(306.4-1.5)+(0+(-0.468792--0.002295))+0-31.3--0.0478890000000018</f>
        <v>273.18139199999996</v>
      </c>
      <c r="AD303" s="2">
        <v>321.5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0+(315.2-20.1)+(0+(-0.643008--0.041004))+0-31.1--0.0634439999999986</f>
        <v>263.46143999999993</v>
      </c>
      <c r="G304" s="3">
        <f>0+(299.1-10.6)+(0+(0-0))+0-30.9-0</f>
        <v>257.60000000000002</v>
      </c>
      <c r="H304" s="3">
        <f>0+(290.7-8.4)+(0+(-0.741285--0.02142))+0-31--0.0790499999999955</f>
        <v>250.65918499999998</v>
      </c>
      <c r="I304" s="3">
        <f>0+(285.9-10.5)+(0+(-0.437427--0.016065))+0-31--0.0474300000000018</f>
        <v>244.02606799999998</v>
      </c>
      <c r="J304" s="3">
        <f>0+(287.2-16.4)+(0+(0.146472-0.008364))+0-31-0.0158099999999969</f>
        <v>239.92229800000001</v>
      </c>
      <c r="K304" s="3">
        <f>0+(322.6-48.6)+(0+(0.658104-0.099144))+0-30.7-0.0626279999999987</f>
        <v>243.79633200000004</v>
      </c>
      <c r="L304" s="3">
        <f>0+(338.5-59.1)+(0+(-0.34527--0.060282))+0-31.3--0.031926000000005</f>
        <v>247.84693799999997</v>
      </c>
      <c r="M304" s="3">
        <f>0+(358.3-68.1)+(0+(-0.182733--0.034731))+0-31.8--0.0162179999999968</f>
        <v>258.268216</v>
      </c>
      <c r="N304" s="3">
        <f>0+(384.8-66.6)+(0+(0-0))+0-32-0</f>
        <v>286.20000000000005</v>
      </c>
      <c r="O304" s="3">
        <f>0+(409-71)+(0+(0.20859-0.03621))+0-31.6-0.0161159999999968</f>
        <v>306.55626399999994</v>
      </c>
      <c r="P304" s="3">
        <f>0+(404.8-56.3)+(0+(0.619344-0.086139))+0-31.7-0.0485010000000018</f>
        <v>317.28470400000003</v>
      </c>
      <c r="Q304" s="3">
        <f>0+(389.6-43.4)+(0+(-0.397392--0.044268))+0-32.5--0.0331500000000052</f>
        <v>313.38002600000004</v>
      </c>
      <c r="R304" s="3">
        <f>0+(377.6-35.8)+(0+(-0.385152--0.036516))+0-32.5--0.0331500000000052</f>
        <v>308.98451399999999</v>
      </c>
      <c r="S304" s="3">
        <f>0+(342.4-18.4)+(0+(-0.174624--0.009384))+0-32.3--0.0164729999999967</f>
        <v>291.55123300000002</v>
      </c>
      <c r="T304" s="3">
        <f>0+(323.7-7.7)+(0+(0-0))+0-32.4-0</f>
        <v>283.60000000000002</v>
      </c>
      <c r="U304" s="3">
        <f>0+(327.5-20.8)+(0+(-0.33405--0.021216))+0-31.4--0.032028000000005</f>
        <v>275.01919400000003</v>
      </c>
      <c r="V304" s="3">
        <f>0+(317.4-9.1)+(0+(0-0))+0-30.2-0</f>
        <v>278.09999999999997</v>
      </c>
      <c r="W304" s="3">
        <f>0+(355.7-18.2)+(0+(-0.181407--0.009282))+0-32.9--0.0167789999999967</f>
        <v>304.44465400000001</v>
      </c>
      <c r="X304" s="3">
        <f>0+(364.5-27.7)+(0+(-0.557685--0.042381))+0-32.6--0.0498780000000019</f>
        <v>303.73457399999995</v>
      </c>
      <c r="Y304" s="3">
        <f>0+(355.8-25.6)+(0+(-0.362916--0.026112))+0-32.3--0.0329460000000051</f>
        <v>297.59614199999999</v>
      </c>
      <c r="Z304" s="3">
        <f>0+(364.3-35.7)+(0+(0.185793-0.018207))+0-32-0.0163199999999968</f>
        <v>296.75126600000004</v>
      </c>
      <c r="AA304" s="3">
        <f>0+(348.1-27.5)+(0+(-0.177531--0.014025))+0-32.2--0.0164219999999967</f>
        <v>288.25291600000003</v>
      </c>
      <c r="AB304" s="3">
        <f>0+(316.2-7.7)+(0+(-0.80631--0.019635))+0-31.8--0.0810899999999954</f>
        <v>275.994415</v>
      </c>
      <c r="AC304" s="3">
        <f>0+(304-2.9)+(0+(-0.7752--0.007395))+0-31.6--0.0805799999999954</f>
        <v>268.81277499999999</v>
      </c>
      <c r="AD304" s="2">
        <v>304.10000000000002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0+(324.4-31.5)+(0+(-0.661776--0.06426))+0-31.5--0.0642599999999986</f>
        <v>260.86674399999998</v>
      </c>
      <c r="G305" s="3">
        <f>0+(350.6-69.4)+(0+(-0.89403--0.17697))+0-30.9--0.0787949999999955</f>
        <v>249.66173500000002</v>
      </c>
      <c r="H305" s="3">
        <f>0+(332.8-53.1)+(0+(-0.678912--0.108324))+0-31.3--0.0638519999999986</f>
        <v>247.89326399999999</v>
      </c>
      <c r="I305" s="3">
        <f>0+(320.5-41.4)+(0+(0.163455-0.021114))+0-31.3-0.0159629999999968</f>
        <v>247.926378</v>
      </c>
      <c r="J305" s="3">
        <f>0+(314.8-41.8)+(0+(-0.160548--0.021318))+0-31.6--0.0161159999999968</f>
        <v>241.27688600000002</v>
      </c>
      <c r="K305" s="3">
        <f>0+(319.8-52.6)+(0+(0.326196-0.053652))+0-30.8-0.0314160000000049</f>
        <v>236.64112799999995</v>
      </c>
      <c r="L305" s="3">
        <f>0+(331.5-61.7)+(0+(-0.33813--0.062934))+0-30.9--0.0315180000000049</f>
        <v>238.65632200000002</v>
      </c>
      <c r="M305" s="3">
        <f>0+(294.1-48.7)+(0+(-0.449973--0.074511))+0-30.4--0.0465120000000018</f>
        <v>214.67105000000004</v>
      </c>
      <c r="N305" s="3">
        <f>0+(292.1-38.9)+(0+(-0.148971--0.019839))+0-30.6--0.0156059999999969</f>
        <v>222.48647400000002</v>
      </c>
      <c r="O305" s="3">
        <f>0+(305.3-20.2)+(0+(0.311406-0.020604))+0-31.5-0.032130000000005</f>
        <v>253.85867200000001</v>
      </c>
      <c r="P305" s="3">
        <f>0+(288.6-12.6)+(0+(0-0))+0-31.6-0</f>
        <v>244.4</v>
      </c>
      <c r="Q305" s="3">
        <f>90.8+(288.9-99.5)+(-0.138924+(-0.442017--0.152235))+0-31.3--0.0478890000000018</f>
        <v>248.519183</v>
      </c>
      <c r="R305" s="3">
        <f>120.9+(294.8-131.2)+(0+(0-0))+0-30.3-0</f>
        <v>254.2</v>
      </c>
      <c r="S305" s="3">
        <f>110.1+(317.8-149.9)+(-0.056151+(-0.162078--0.076449))+0-31.3--0.0159629999999968</f>
        <v>246.574183</v>
      </c>
      <c r="T305" s="3">
        <f>101.2+(316.1-142.4)+(0.103224+(0.322422-0.145248))+0-31.7-0.0323340000000051</f>
        <v>243.44806400000004</v>
      </c>
      <c r="U305" s="3">
        <f>100.8+(281.6-117.1)+(-0.102816+(-0.287232--0.119442))+0-31.8--0.0324360000000051</f>
        <v>233.26183000000003</v>
      </c>
      <c r="V305" s="3">
        <f>100.9+(245.7-76.1)+(-0.051459+(-0.125307--0.038811))+0-31.1--0.0158609999999968</f>
        <v>239.27790600000003</v>
      </c>
      <c r="W305" s="3">
        <f>101+(305.9-111.3)+(0.05151+(0.156009-0.056763))+0-32-0.0163199999999968</f>
        <v>263.73443599999996</v>
      </c>
      <c r="X305" s="3">
        <f>100.5+(362.9-153.3)+(-0.10251+(-0.370158--0.156366))+0-32--0.0326400000000051</f>
        <v>277.81633799999997</v>
      </c>
      <c r="Y305" s="3">
        <f>123.8+(353.9-166.7)+(0+(0-0))+0-32.1-0</f>
        <v>278.89999999999998</v>
      </c>
      <c r="Z305" s="3">
        <f>137.6+(300.5-132.1)+(-0.140352+(-0.30651--0.134742))+0-31.7--0.0323340000000051</f>
        <v>274.02021400000001</v>
      </c>
      <c r="AA305" s="3">
        <f>65.6+(312.9-78.5)+(0.033456+(0.159579-0.040035))+0-32-0.0163199999999968</f>
        <v>268.13668000000001</v>
      </c>
      <c r="AB305" s="3">
        <f>22.6+(267.3-0)+(0.023052+(0.272646-0))+0-30.8-0.0314160000000049</f>
        <v>259.36428200000006</v>
      </c>
      <c r="AC305" s="3">
        <f>0+(298.8-13.6)+(0+(-0.304776--0.013872))+0-31.5--0.032130000000005</f>
        <v>253.44122599999997</v>
      </c>
      <c r="AD305" s="2">
        <v>271.8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0+(348.5-81.4)+(0+(0-0))+0-27.5-0</f>
        <v>239.60000000000002</v>
      </c>
      <c r="G306" s="3">
        <f>0+(370.7-102.7)+(0+(0.189057-0.052377))+0-32.2-0.0164219999999967</f>
        <v>235.92025800000002</v>
      </c>
      <c r="H306" s="3">
        <f>0+(368.3-102.1)+(0+(-0.563499--0.156213))+0-31.2--0.0477360000000018</f>
        <v>234.64045000000007</v>
      </c>
      <c r="I306" s="3">
        <f>0+(368.7-104.9)+(0+(0.376074-0.106998))+0-30.9-0.0315180000000049</f>
        <v>233.13755799999993</v>
      </c>
      <c r="J306" s="3">
        <f>0+(383.9-119.7)+(0+(0.391578-0.122094))+0-30.4-0.0310080000000048</f>
        <v>234.03847599999995</v>
      </c>
      <c r="K306" s="3">
        <f>27.1+(323.6-88.4)+(0.027642+(0.330072-0.090168))+0-30.8-0.0314160000000049</f>
        <v>231.73612999999997</v>
      </c>
      <c r="L306" s="3">
        <f>115.6+(240.6-80.8)+(0+(0-0))+0-31.2-0</f>
        <v>244.2</v>
      </c>
      <c r="M306" s="3">
        <f>125.3+(305.1-142.7)+(-0.063903+(-0.155601--0.072777))+0-32.5--0.0165749999999967</f>
        <v>255.06984800000004</v>
      </c>
      <c r="N306" s="3">
        <f>275.3+(344.8-297)+(0.140403+(0.175848-0.15147))+0-31.8-0.0162179999999968</f>
        <v>291.44856300000004</v>
      </c>
      <c r="O306" s="3">
        <f>278.8+(411.3-350.2)+(0+(0-0))+0-32-0</f>
        <v>307.90000000000003</v>
      </c>
      <c r="P306" s="3">
        <f>279.3+(521.2-447.5)+(0+(0-0))+0-31.7-0</f>
        <v>321.30000000000007</v>
      </c>
      <c r="Q306" s="3">
        <f>279.1+(570.7-478.5)+(-0.142341+(-0.291057--0.244035))+0-30.8--0.0157079999999969</f>
        <v>340.32634500000006</v>
      </c>
      <c r="R306" s="3">
        <f>273.1+(602.5-511.3)+(-0.417843+(-0.921825--0.782289))+0-31--0.0474300000000018</f>
        <v>332.79005100000001</v>
      </c>
      <c r="S306" s="3">
        <f>274.4+(643.8-571.8)+(-0.139944+(-0.328338--0.291618))+0-29.5--0.015044999999997</f>
        <v>316.73838099999995</v>
      </c>
      <c r="T306" s="3">
        <f>274.1+(617.2-546.2)+(-0.279582+(-0.629544--0.557124))+0-29.4--0.0299880000000047</f>
        <v>315.37798600000002</v>
      </c>
      <c r="U306" s="3">
        <f>272.5+(577.4-508.5)+(0.27795+(0.588948-0.51867))+0-29.6-0.0301920000000047</f>
        <v>312.11803599999996</v>
      </c>
      <c r="V306" s="3">
        <f>269.4+(527-451.1)+(-0.137394+(-0.26877--0.230061))+0-30.3--0.0154529999999969</f>
        <v>314.83934999999991</v>
      </c>
      <c r="W306" s="3">
        <f>271.8+(387-296)+(0+(0-0))+0-31-0</f>
        <v>331.8</v>
      </c>
      <c r="X306" s="3">
        <f>276.4+(347.1-263.1)+(-0.140964+(-0.177021--0.134181))+0-31.3--0.0159629999999968</f>
        <v>328.93215899999996</v>
      </c>
      <c r="Y306" s="3">
        <f>279.2+(334.8-260.9)+(-0.427176+(-0.512244--0.399177))+0-31.5--0.0481950000000018</f>
        <v>321.10795200000007</v>
      </c>
      <c r="Z306" s="3">
        <f>281.5+(369-300)+(0+(0-0))+0-29.2-0</f>
        <v>321.3</v>
      </c>
      <c r="AA306" s="3">
        <f>105.8+(479.3-246.3)+(0+(0-0))+0-31.2-0</f>
        <v>307.60000000000002</v>
      </c>
      <c r="AB306" s="3">
        <f>0+(565.8-232.5)+(0+(-1.154232--0.4743))+0-30.9--0.0630359999999986</f>
        <v>301.78310399999998</v>
      </c>
      <c r="AC306" s="3">
        <f>0+(536.9-219.9)+(0+(-1.369095--0.560745))+0-30.8--0.0785399999999955</f>
        <v>285.47018999999995</v>
      </c>
      <c r="AD306" s="2">
        <v>314.79999999999995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0+(515.7-210.8)+(0+(0-0))+0-28.8-0</f>
        <v>276.10000000000002</v>
      </c>
      <c r="G307" s="3">
        <f>0+(512.6-218)+(0+(0.261426-0.11118))+0-30.6-0.0156059999999969</f>
        <v>264.13463999999999</v>
      </c>
      <c r="H307" s="3">
        <f>0+(496.5-204.1)+(0+(0-0))+0-31.8-0</f>
        <v>260.59999999999997</v>
      </c>
      <c r="I307" s="3">
        <f>0+(474.3-181.5)+(0+(-0.725679--0.277695))+0-31.7--0.0485010000000018</f>
        <v>260.70051699999999</v>
      </c>
      <c r="J307" s="3">
        <f>0+(460.8-169.1)+(0+(-0.940032--0.344964))+0-31.7--0.0646679999999986</f>
        <v>259.46960000000001</v>
      </c>
      <c r="K307" s="3">
        <f>0+(488.8-197.2)+(0+(0.997152-0.402288))+0-31.7-0.0646679999999986</f>
        <v>260.43019600000002</v>
      </c>
      <c r="L307" s="3">
        <f>59.5+(488.1-243.6)+(-0.030345+(-0.248931--0.124236))+0-31.7--0.0161669999999968</f>
        <v>272.16112700000002</v>
      </c>
      <c r="M307" s="3">
        <f>258.1+(449.9-385.2)+(-0.263262+(-0.458898--0.392904))+0-31--0.0316200000000049</f>
        <v>291.50236400000006</v>
      </c>
      <c r="N307" s="3">
        <f>282.8+(408.9-340.5)+(-0.144228+(-0.208539--0.173655))+0-31.3--0.0159629999999968</f>
        <v>319.736851</v>
      </c>
      <c r="O307" s="3">
        <f>281.2+(454.1-382.4)+(0.430236+(0.694773-0.585072))+0-31.6-0.0483480000000018</f>
        <v>321.79158900000004</v>
      </c>
      <c r="P307" s="3">
        <f>279.8+(455.4-377.7)+(0.285396+(0.464508-0.385254))+0-31.5-0.032130000000005</f>
        <v>326.33251999999999</v>
      </c>
      <c r="Q307" s="3">
        <f>278.1+(513.6-422.7)+(-0.283662+(-0.523872--0.431154))+0-31.3--0.031926000000005</f>
        <v>337.35554600000006</v>
      </c>
      <c r="R307" s="3">
        <f>275.5+(551.3-459.1)+(-0.56202+(-1.124652--0.936564))+0-30.6--0.0624239999999987</f>
        <v>336.41231599999992</v>
      </c>
      <c r="S307" s="3">
        <f>276.4+(614.4-543.7)+(0.281928+(0.626688-0.554574))+0-30.3-0.0309060000000048</f>
        <v>317.12313599999987</v>
      </c>
      <c r="T307" s="3">
        <f>273.5+(623.7-554.4)+(0.139485+(0.318087-0.282744))+0-30.4-0.0155039999999969</f>
        <v>312.55932400000006</v>
      </c>
      <c r="U307" s="3">
        <f>271.2+(618.5-547)+(-0.69156+(-1.577175--1.39485))+0-30.2--0.0770099999999956</f>
        <v>311.703125</v>
      </c>
      <c r="V307" s="3">
        <f>272.8+(500.4-433.1)+(0.139128+(0.255204-0.220881))+0-30.3-0.0154529999999969</f>
        <v>309.95799799999998</v>
      </c>
      <c r="W307" s="3">
        <f>271.7+(348-250)+(0.415701+(0.53244-0.3825))+0-31.2-0.0477360000000018</f>
        <v>339.01790500000004</v>
      </c>
      <c r="X307" s="3">
        <f>270.5+(328-228.4)+(-0.137955+(-0.16728--0.116484))+0-31.7--0.0161669999999968</f>
        <v>338.22741600000001</v>
      </c>
      <c r="Y307" s="3">
        <f>263.1+(348.2-246.4)+(-0.402543+(-0.532746--0.376992))+0-31.4--0.0480420000000018</f>
        <v>332.98974500000003</v>
      </c>
      <c r="Z307" s="3">
        <f>263.5+(364.9-270.8)+(-0.403155+(-0.558297--0.414324))+0-31.1--0.0475830000000018</f>
        <v>326.00045499999993</v>
      </c>
      <c r="AA307" s="3">
        <f>263.4+(447.6-363.4)+(-0.537336+(-0.913104--0.741336))+0-30.9--0.0630359999999986</f>
        <v>316.05393200000003</v>
      </c>
      <c r="AB307" s="3">
        <f>132.9+(546.4-338.7)+(-0.203337+(-0.835992--0.518211))+0-30.9--0.0472770000000018</f>
        <v>309.22615900000005</v>
      </c>
      <c r="AC307" s="3">
        <f>0+(641.3-316.8)+(0+(-0.327063--0.161568))+0-31.3--0.0159629999999968</f>
        <v>293.05046799999991</v>
      </c>
      <c r="AD307" s="2">
        <v>339.3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0+(514.4-200.7)+(0+(0-0))+0-30.9-0</f>
        <v>282.8</v>
      </c>
      <c r="G308" s="3">
        <f>0+(469.3-168.1)+(0+(-0.957372--0.342924))+0-30.1--0.0614039999999987</f>
        <v>270.54695600000002</v>
      </c>
      <c r="H308" s="3">
        <f>0+(493.3-196.7)+(0+(0.503166-0.200634))+0-31.2-0.031824000000005</f>
        <v>265.67070799999999</v>
      </c>
      <c r="I308" s="3">
        <f>0+(499.2-200.5)+(0+(0.254592-0.102255))+0-30.9-0.0157589999999969</f>
        <v>267.936578</v>
      </c>
      <c r="J308" s="3">
        <f>0+(498.9-199.2)+(0+(-0.254439--0.101592))+0-31.1--0.0158609999999968</f>
        <v>268.46301399999993</v>
      </c>
      <c r="K308" s="3">
        <f>0+(517.6-219)+(0+(0.263976-0.11169))+0-31.4-0.0160139999999968</f>
        <v>267.33627200000006</v>
      </c>
      <c r="L308" s="3">
        <f>74.7+(499.3-263.7)+(0+(0-0))+0-31.5-0</f>
        <v>278.8</v>
      </c>
      <c r="M308" s="3">
        <f>110.7+(522.9-306.3)+(0.225828+(1.066716-0.624852))+0-31.4-0.0640559999999986</f>
        <v>296.50363599999997</v>
      </c>
      <c r="N308" s="3">
        <f>189.3+(502.4-340.5)+(0.193086+(0.512448-0.34731))+0-31.8-0.0324360000000051</f>
        <v>319.72578799999997</v>
      </c>
      <c r="O308" s="3">
        <f>273.4+(518.9-424.1)+(-0.278868+(-0.529278--0.432582))+0-31.3--0.031926000000005</f>
        <v>336.55636199999992</v>
      </c>
      <c r="P308" s="3">
        <f>273.5+(521.4-430.1)+(0.139485+(0.265914-0.219351))+0-31.4-0.0160139999999968</f>
        <v>333.57003400000002</v>
      </c>
      <c r="Q308" s="3">
        <f>270.9+(518-416.5)+(-0.138159+(-0.26418--0.212415))+0-31.6--0.0161159999999968</f>
        <v>340.62619199999995</v>
      </c>
      <c r="R308" s="3">
        <f>267.5+(506-407.7)+(-0.5457+(-1.03224--0.831708))+0-27--0.0550799999999988</f>
        <v>338.10884799999997</v>
      </c>
      <c r="S308" s="3">
        <f>219.6+(533.8-396)+(-0.447984+(-1.088952--0.80784))+0-31.1--0.0634439999999986</f>
        <v>325.63434799999993</v>
      </c>
      <c r="T308" s="3">
        <f>115.5+(599.9-364.2)+(-0.11781+(-0.611898--0.371484))+0-31.1--0.031722000000005</f>
        <v>319.77349799999996</v>
      </c>
      <c r="U308" s="3">
        <f>115.8+(610.9-370.5)+(-0.118116+(-0.623118--0.37791))+0-31--0.0316200000000049</f>
        <v>324.86829600000004</v>
      </c>
      <c r="V308" s="3">
        <f>217.6+(504.1-372.7)+(0+(0-0))+0-31.3-0</f>
        <v>317.7</v>
      </c>
      <c r="W308" s="3">
        <f>253.7+(402.9-287.2)+(0.258774+(0.410958-0.292944))+0-31.7-0.0323340000000051</f>
        <v>338.04445399999997</v>
      </c>
      <c r="X308" s="3">
        <f>252.9+(385.9-277.2)+(0+(0-0))+0-31-0</f>
        <v>330.6</v>
      </c>
      <c r="Y308" s="3">
        <f>253+(396.7-293.3)+(-0.25806+(-0.404634--0.299166))+0-31--0.0316200000000049</f>
        <v>325.06809200000004</v>
      </c>
      <c r="Z308" s="3">
        <f>251.2+(437.5-331.5)+(-0.64056+(-1.115625--0.845325))+0-31--0.0790499999999955</f>
        <v>325.36818999999997</v>
      </c>
      <c r="AA308" s="3">
        <f>252.7+(487-400.3)+(-0.128877+(-0.24837--0.204153))+0-31.4--0.0160139999999968</f>
        <v>307.84291999999999</v>
      </c>
      <c r="AB308" s="3">
        <f>69.2+(582.5-317.8)+(-0.105876+(-0.891225--0.486234))+0-31--0.0474300000000018</f>
        <v>302.43656299999998</v>
      </c>
      <c r="AC308" s="3">
        <f>0+(557.9-240.1)+(0+(-0.569058--0.244902))+0-30.8--0.0314160000000049</f>
        <v>286.70725999999991</v>
      </c>
      <c r="AD308" s="2">
        <v>338.19999999999993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0+(493.5-187.6)+(0+(-1.00674--0.382704))+0-30.7--0.0626279999999987</f>
        <v>274.63859200000002</v>
      </c>
      <c r="G309" s="3">
        <f>0+(435.9-135.3)+(0+(-0.666927--0.207009))+0-30.4--0.0465120000000018</f>
        <v>269.78659399999998</v>
      </c>
      <c r="H309" s="3">
        <f>0+(408.3-114.2)+(0+(-0.208233--0.058242))+0-30.5--0.0155549999999969</f>
        <v>263.46556400000003</v>
      </c>
      <c r="I309" s="3">
        <f>0+(424.1-133.5)+(0+(-0.216291--0.068085))+0-30.7--0.0156569999999969</f>
        <v>259.76745099999999</v>
      </c>
      <c r="J309" s="3">
        <f>0+(390.1-99.6)+(0+(-0.397902--0.101592))+0-30.5--0.0311100000000049</f>
        <v>259.73480000000001</v>
      </c>
      <c r="K309" s="3">
        <f>0+(350.2-59.3)+(0+(0.357204-0.060486))+0-30.7-0.0313140000000049</f>
        <v>260.46540399999998</v>
      </c>
      <c r="L309" s="3">
        <f>107.4+(332-133)+(-0.109548+(-0.33864--0.13566))+0-31.4--0.032028000000005</f>
        <v>274.71950000000004</v>
      </c>
      <c r="M309" s="3">
        <f>120.1+(525.7-326.7)+(0.183753+(0.804321-0.499851))+0-31.2-0.0477360000000018</f>
        <v>288.34048700000005</v>
      </c>
      <c r="N309" s="3">
        <f>277.2+(545.1-469.7)+(0.424116+(0.834003-0.718641))+0-31.3-0.0478890000000018</f>
        <v>321.79158899999999</v>
      </c>
      <c r="O309" s="3">
        <f>275.6+(598.4-506)+(0.140556+(0.305184-0.25806))+0-31.7-0.0161669999999968</f>
        <v>336.47151300000002</v>
      </c>
      <c r="P309" s="3">
        <f>275.6+(584-489.4)+(0.140556+(0.29784-0.249594))+0-31-0.0158099999999969</f>
        <v>339.37299200000007</v>
      </c>
      <c r="Q309" s="3">
        <f>264.2+(579.5-475.6)+(-0.943194+(-2.068815--1.697892))+0-31--0.11067</f>
        <v>335.89655299999998</v>
      </c>
      <c r="R309" s="3">
        <f>200.2+(621.5-456.1)+(-0.306306+(-0.950895--0.697833))+0-30.5--0.0466650000000018</f>
        <v>334.58729699999998</v>
      </c>
      <c r="S309" s="3">
        <f>197.9+(621.2-465.1)+(-0.605574+(-1.900872--1.423206))+0-31--0.0948600000000036</f>
        <v>322.01161999999999</v>
      </c>
      <c r="T309" s="3">
        <f>201.1+(635.1-485.8)+(0+(0-0))+0-30.5-0</f>
        <v>319.89999999999998</v>
      </c>
      <c r="U309" s="3">
        <f>200.9+(630.7-491.1)+(-0.204918+(-0.643314--0.500922))+0-31--0.0316200000000049</f>
        <v>309.18431000000004</v>
      </c>
      <c r="V309" s="3">
        <f>200.7+(597.8-457.8)+(0+(0-0))+0-30.6-0</f>
        <v>310.09999999999991</v>
      </c>
      <c r="W309" s="3">
        <f>230.6+(449.6-315.9)+(0.117606+(0.229296-0.161109))+0-31.2-0.0159119999999968</f>
        <v>333.26988100000005</v>
      </c>
      <c r="X309" s="3">
        <f>270.7+(438.7-334.8)+(0+(0-0))+0-31.5-0</f>
        <v>343.09999999999997</v>
      </c>
      <c r="Y309" s="3">
        <f>197.3+(481.3-310.5)+(-0.402492+(-0.981852--0.63342))+0-31.1--0.0634439999999986</f>
        <v>336.31252000000001</v>
      </c>
      <c r="Z309" s="3">
        <f>115.7+(565.5-316.4)+(-0.118014+(-0.57681--0.322728))+0-31.7--0.0323340000000051</f>
        <v>332.76023800000002</v>
      </c>
      <c r="AA309" s="3">
        <f>115.7+(623.5-386.3)+(-0.354042+(-1.90791--1.182078))+0-30.5--0.0933300000000035</f>
        <v>321.41345599999994</v>
      </c>
      <c r="AB309" s="3">
        <f>19.3+(625.7-297.8)+(-0.039372+(-1.276428--0.607512))+0-30.3--0.0618119999999987</f>
        <v>316.25352400000003</v>
      </c>
      <c r="AC309" s="3">
        <f>0+(516.9-191.5)+(0+(-1.318095--0.488325))+0-29--0.0739499999999958</f>
        <v>295.64417999999995</v>
      </c>
      <c r="AD309" s="2">
        <v>335.2000000000001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0+(515.6-204.2)+(0+(-1.31478--0.52071))+0-29.3--0.0747149999999958</f>
        <v>281.38064500000002</v>
      </c>
      <c r="G310" s="3">
        <f>0+(483.1-180.1)+(0+(-0.492762--0.183702))+0-30.3--0.0309060000000048</f>
        <v>272.42184600000002</v>
      </c>
      <c r="H310" s="3">
        <f>0+(486.3-187.4)+(0+(-1.240065--0.47787))+0-29.5--0.0752249999999957</f>
        <v>268.71302999999995</v>
      </c>
      <c r="I310" s="3">
        <f>0+(455.8-150.9)+(0+(0.697374-0.230877))+0-30-0.0459000000000017</f>
        <v>275.32059699999996</v>
      </c>
      <c r="J310" s="3">
        <f>0+(429.7-135.4)+(0+(0.657441-0.207162))+0-30.5-0.0466650000000018</f>
        <v>264.20361399999996</v>
      </c>
      <c r="K310" s="3">
        <f>0+(471.5-172.9)+(0+(0-0))+0-29.4-0</f>
        <v>269.20000000000005</v>
      </c>
      <c r="L310" s="3">
        <f>0+(591.8-276.7)+(0+(0-0))+0-30.9-0</f>
        <v>284.2</v>
      </c>
      <c r="M310" s="3">
        <f>0+(633.3-306.4)+(0+(-0.322983--0.156264))+0-32--0.0163199999999968</f>
        <v>294.74960099999998</v>
      </c>
      <c r="N310" s="3">
        <f>0+(613.4-262.8)+(0+(-0.312834--0.134028))+0-31.9--0.0162689999999968</f>
        <v>318.537463</v>
      </c>
      <c r="O310" s="3">
        <f>0+(647.7-281.7)+(0+(-0.330327--0.143667))+0-31.7--0.0161669999999968</f>
        <v>334.12950700000005</v>
      </c>
      <c r="P310" s="3">
        <f>0+(712.5-338)+(0+(0.72675-0.34476))+0-31.8-0.0324360000000051</f>
        <v>343.04955399999994</v>
      </c>
      <c r="Q310" s="3">
        <f>0+(708-327)+(0+(-0.36108--0.16677))+0-31.9--0.0162689999999968</f>
        <v>348.92195900000007</v>
      </c>
      <c r="R310" s="3">
        <f>0+(690.7-316.5)+(0+(-1.409028--0.64566))+0-32--0.0652799999999986</f>
        <v>341.501912</v>
      </c>
      <c r="S310" s="3">
        <f>0+(706.2-351.7)+(0+(0-0))+0-31.7-0</f>
        <v>322.80000000000007</v>
      </c>
      <c r="T310" s="3">
        <f>0+(720-364.6)+(0+(0.3672-0.185946))+0-31.1-0.0158609999999968</f>
        <v>324.46539300000001</v>
      </c>
      <c r="U310" s="3">
        <f>0+(709.9-361.9)+(0+(-1.810245--0.922845))+0-30.4--0.0775199999999956</f>
        <v>316.79012</v>
      </c>
      <c r="V310" s="3">
        <f>0+(668.7-331.1)+(0+(-0.682074--0.337722))+0-30.8--0.0314160000000049</f>
        <v>306.48706399999998</v>
      </c>
      <c r="W310" s="3">
        <f>0+(587-214.6)+(0+(0.89811-0.328338))+0-31.4-0.0480420000000018</f>
        <v>341.52172999999999</v>
      </c>
      <c r="X310" s="3">
        <f>0+(546-190.8)+(0+(-0.27846--0.097308))+0-31.6--0.0161159999999968</f>
        <v>323.43496399999998</v>
      </c>
      <c r="Y310" s="3">
        <f>0+(559.1-202.8)+(0+(-0.285141--0.103428))+0-31.2--0.0159119999999968</f>
        <v>324.93419900000004</v>
      </c>
      <c r="Z310" s="3">
        <f>0+(579.4-263.2)+(0+(-0.295494--0.134232))+0-30.9--0.0157589999999969</f>
        <v>285.15449699999999</v>
      </c>
      <c r="AA310" s="3">
        <f>0+(613-280.9)+(0+(-0.93789--0.429777))+0-30.7--0.0469710000000018</f>
        <v>300.93885800000004</v>
      </c>
      <c r="AB310" s="3">
        <f>0+(655.5-343.6)+(0+(-1.671525--0.87618))+0-31.1--0.0793049999999955</f>
        <v>280.08395999999993</v>
      </c>
      <c r="AC310" s="3">
        <f>0+(637.4-290.1)+(0+(-1.62537--0.739755))+0-30.4--0.0775199999999956</f>
        <v>316.091905</v>
      </c>
      <c r="AD310" s="2">
        <v>329.79999999999995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0+(497.7-177.9)+(0+(-0.253827--0.090729))+0-30.4--0.0155039999999969</f>
        <v>289.25240600000001</v>
      </c>
      <c r="G311" s="3">
        <f>0+(462.5-151.2)+(0+(-0.9435--0.308448))+0-30.8--0.0628319999999987</f>
        <v>279.92778000000004</v>
      </c>
      <c r="H311" s="3">
        <f>0+(456.2-162.4)+(0+(0-0))+0-30.2-0</f>
        <v>263.59999999999997</v>
      </c>
      <c r="I311" s="3">
        <f>0+(424.8-148.7)+(0+(-0.649944--0.227511))+0-30.2--0.0462060000000017</f>
        <v>245.52377300000003</v>
      </c>
      <c r="J311" s="3">
        <f>0+(407.5-140.8)+(0+(0.207825-0.071808))+0-29.6-0.015095999999997</f>
        <v>237.22092099999998</v>
      </c>
      <c r="K311" s="3">
        <f>0+(433.6-139.1)+(0+(0.442272-0.141882))+0-29.8-0.0303960000000048</f>
        <v>264.96999399999999</v>
      </c>
      <c r="L311" s="3">
        <f>0+(431.6-137.9)+(0+(0-0))+0-30.4-0</f>
        <v>263.30000000000007</v>
      </c>
      <c r="M311" s="3">
        <f>0+(512.4-211.1)+(0+(0.522648-0.215322))+0-30.4-0.0310080000000048</f>
        <v>271.17631799999998</v>
      </c>
      <c r="N311" s="3">
        <f>0+(515-198.2)+(0+(0.26265-0.101082))+0-26.4-0.0134639999999973</f>
        <v>290.54810400000002</v>
      </c>
      <c r="O311" s="3">
        <f>0+(632-303.7)+(0+(0-0))+0-0-0</f>
        <v>328.3</v>
      </c>
      <c r="P311" s="3">
        <f>0+(613.8-310.7)+(0+(0.313038-0.158457))+0-2.5-0.00127499999999975</f>
        <v>300.75330599999995</v>
      </c>
      <c r="Q311" s="3">
        <f>0+(603.8-300.4)+(0+(-0.923814--0.459612))+0-4.9--0.00749700000000028</f>
        <v>298.043295</v>
      </c>
      <c r="R311" s="3">
        <f>0+(624.1-334.3)+(0+(-1.273164--0.681972))+0-5.1--0.0104039999999998</f>
        <v>284.119212</v>
      </c>
      <c r="S311" s="3">
        <f>0+(655-389.1)+(0+(-0.33405--0.198441))+0-6.5--0.00331499999999934</f>
        <v>259.26770599999998</v>
      </c>
      <c r="T311" s="3">
        <f>0+(635.9-378.5)+(0+(-1.297236--0.77214))+0-7.5--0.0152999999999997</f>
        <v>249.39020399999995</v>
      </c>
      <c r="U311" s="3">
        <f>0+(599.8-343.6)+(0+(-1.835388--1.051416))+0-4.8--0.0146880000000006</f>
        <v>250.63071599999992</v>
      </c>
      <c r="V311" s="3">
        <f>0+(596.4-335.3)+(0+(0.304164-0.171003))+0-5.1-0.00260099999999948</f>
        <v>256.13055999999989</v>
      </c>
      <c r="W311" s="3">
        <f>0+(447.9-148.9)+(0+(0.456858-0.151878))+0-6.5-0.00663000000000104</f>
        <v>292.79835000000003</v>
      </c>
      <c r="X311" s="3">
        <f>0+(391.1-81.1)+(0+(0.199461-0.041361))+0-7.7-0.00392699999999922</f>
        <v>302.45417300000003</v>
      </c>
      <c r="Y311" s="3">
        <f>0+(391.6-77.6)+(0+(-0.99858--0.19788))+0-8.5--0.0216749999999988</f>
        <v>304.72097500000001</v>
      </c>
      <c r="Z311" s="3">
        <f>0+(419.6-112.5)+(0+(-0.855984--0.2295))+0-10--0.0203999999999996</f>
        <v>296.49391600000001</v>
      </c>
      <c r="AA311" s="3">
        <f>0+(500.9-205.6)+(0+(0.510918-0.209712))+0-9.5-0.00969000000000152</f>
        <v>286.09151599999996</v>
      </c>
      <c r="AB311" s="3">
        <f>0+(548.7-261.5)+(0+(-0.839511--0.400095))+0-10.3--0.0157590000000006</f>
        <v>276.47634300000004</v>
      </c>
      <c r="AC311" s="3">
        <f>0+(584.5-311.2)+(0+(0-0))+0-11.6-0</f>
        <v>261.7</v>
      </c>
      <c r="AD311" s="2">
        <v>299.09999999999997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0+(493.9-223.2)+(0+(-0.503778--0.227664))+0-14.6--0.0148920000000023</f>
        <v>255.83877799999999</v>
      </c>
      <c r="G312" s="3">
        <f>0+(388.4-121.2)+(0+(-0.792336--0.247248))+0-16.5--0.0336599999999993</f>
        <v>250.18857199999997</v>
      </c>
      <c r="H312" s="3">
        <f>0+(317.4-51.3)+(0+(-0.647496--0.104652))+0-15.8--0.0322319999999993</f>
        <v>249.78938799999995</v>
      </c>
      <c r="I312" s="3">
        <f>0+(289.1-22.1)+(0+(-0.147441--0.011271))+0-18--0.00917999999999817</f>
        <v>248.87300999999999</v>
      </c>
      <c r="J312" s="3">
        <f>0+(257.2-3.4)+(0+(0-0))+0-20.6-0</f>
        <v>233.2</v>
      </c>
      <c r="K312" s="3">
        <f>0+(269.7-7.8)+(0+(0.412641-0.011934))+0-23.8-0.0364140000000014</f>
        <v>238.46429299999997</v>
      </c>
      <c r="L312" s="3">
        <f>0+(276.7-11.2)+(0+(-0.705585--0.02856))+0-26.1--0.0665549999999962</f>
        <v>238.78952999999998</v>
      </c>
      <c r="M312" s="3">
        <f>0+(341.9-86.9)+(0+(-0.871845--0.221595))+0-27.3--0.069614999999996</f>
        <v>227.11936499999996</v>
      </c>
      <c r="N312" s="3">
        <f>0+(351.4-89.7)+(0+(0.179214-0.045747))+0-25.2-0.0128519999999974</f>
        <v>236.62061499999999</v>
      </c>
      <c r="O312" s="3">
        <f>0+(398.9-126.9)+(0+(-0.610317--0.194157))+0-26.4--0.0403920000000015</f>
        <v>245.224232</v>
      </c>
      <c r="P312" s="3">
        <f>0+(447.9-186.7)+(0+(0-0))+0-28-0</f>
        <v>233.2</v>
      </c>
      <c r="Q312" s="3">
        <f>0+(408.3-134.6)+(0+(-0.208233--0.068646))+0-28.2--0.0143819999999971</f>
        <v>245.37479500000003</v>
      </c>
      <c r="R312" s="3">
        <f>0+(440.8-170.9)+(0+(-0.449616--0.174318))+0-27.2--0.0277440000000043</f>
        <v>242.45244599999998</v>
      </c>
      <c r="S312" s="3">
        <f>0+(499.1-243.1)+(0+(-0.509082--0.247962))+0-26.6--0.0271320000000042</f>
        <v>229.16601199999999</v>
      </c>
      <c r="T312" s="3">
        <f>0+(520.9-271.8)+(0+(-0.265659--0.138618))+0-27.6--0.0140759999999972</f>
        <v>221.38703499999997</v>
      </c>
      <c r="U312" s="3">
        <f>0+(515.7-270.2)+(0+(-0.789021--0.413406))+0-27.1--0.0414630000000016</f>
        <v>218.06584800000005</v>
      </c>
      <c r="V312" s="3">
        <f>0+(440.8-139)+(0+(-0.224808--0.07089))+0-32--0.0163199999999968</f>
        <v>269.66240200000004</v>
      </c>
      <c r="W312" s="3">
        <f>0+(461.2-100)+(0+(0-0))+0-32-0</f>
        <v>329.2</v>
      </c>
      <c r="X312" s="3">
        <f>0+(434.7-128)+(0+(-0.443394--0.13056))+0-30--0.0306000000000048</f>
        <v>276.41776599999997</v>
      </c>
      <c r="Y312" s="3">
        <f>0+(432.9-127.2)+(0+(-1.324674--0.389232))+0-27.6--0.0844560000000032</f>
        <v>277.24901399999993</v>
      </c>
      <c r="Z312" s="3">
        <f>0+(439.6-127.4)+(0+(-1.12098--0.32487))+0-27.8--0.070889999999996</f>
        <v>283.67478000000006</v>
      </c>
      <c r="AA312" s="3">
        <f>0+(421.8-116.8)+(0+(-0.860472--0.238272))+0-31.6--0.0644639999999986</f>
        <v>272.84226399999994</v>
      </c>
      <c r="AB312" s="3">
        <f>0+(325.3-26.6)+(0+(-0.331806--0.027132))+0-31.7--0.0323340000000051</f>
        <v>266.72766000000001</v>
      </c>
      <c r="AC312" s="3">
        <f>0+(309.4-12.5)+(0+(-0.631176--0.0255))+0-31.1--0.0634439999999986</f>
        <v>265.25776799999994</v>
      </c>
      <c r="AD312" s="2">
        <v>306.89999999999998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0+(278.5-0)+(0+(-0.142035-0))+0-30.8--0.0157079999999969</f>
        <v>247.57367299999996</v>
      </c>
      <c r="G313" s="3">
        <f>0+(276.5-0)+(0+(-0.423045-0))+0-30.5--0.0466650000000018</f>
        <v>245.62361999999999</v>
      </c>
      <c r="H313" s="3">
        <f>0+(276.4-0)+(0+(-0.281928-0))+0-30.5--0.0311100000000049</f>
        <v>245.649182</v>
      </c>
      <c r="I313" s="3">
        <f>0+(265.8-0)+(0+(-0.542232-0))+0-30.5--0.0622199999999987</f>
        <v>234.819988</v>
      </c>
      <c r="J313" s="3">
        <f>0+(271.3-5.2)+(0+(-0.138363--0.002652))+0-30.2--0.0154019999999969</f>
        <v>235.77969100000001</v>
      </c>
      <c r="K313" s="3">
        <f>0+(290.5-16.4)+(0+(0.59262-0.033456))+0-30.1-0.0614039999999987</f>
        <v>244.49776000000003</v>
      </c>
      <c r="L313" s="3">
        <f>0+(368.5-78.6)+(0+(0-0))+0-29.9-0</f>
        <v>260</v>
      </c>
      <c r="M313" s="3">
        <f>0+(501.6-191.2)+(0+(-0.255816--0.097512))+0-30.6--0.0156059999999969</f>
        <v>279.65730200000002</v>
      </c>
      <c r="N313" s="3">
        <f>0+(513.5-155.3)+(0+(-0.261885--0.079203))+0-30.7--0.0156569999999969</f>
        <v>327.33297499999998</v>
      </c>
      <c r="O313" s="3">
        <f>0+(525.7-180.7)+(0+(0-0))+0-29-0</f>
        <v>316.00000000000006</v>
      </c>
      <c r="P313" s="3">
        <f>0+(560.2-194.2)+(0+(0.285702-0.099042))+0-31.1-0.0158609999999968</f>
        <v>335.07079900000008</v>
      </c>
      <c r="Q313" s="3">
        <f>0+(581.1-211.7)+(0+(-0.592722--0.215934))+0-31.6--0.032232000000005</f>
        <v>337.45544400000006</v>
      </c>
      <c r="R313" s="3">
        <f>0+(566.3-201.4)+(0+(-1.732878--0.616284))+0-31.5--0.0963900000000036</f>
        <v>332.37979599999994</v>
      </c>
      <c r="S313" s="3">
        <f>0+(580.6-233)+(0+(-1.48053--0.59415))+0-31.2--0.0795599999999955</f>
        <v>315.59318000000007</v>
      </c>
      <c r="T313" s="3">
        <f>0+(585.6-238.9)+(0+(0-0))+0-30.7-0</f>
        <v>316.00000000000006</v>
      </c>
      <c r="U313" s="3">
        <f>0+(569.9-221.7)+(0+(-0.871947--0.339201))+0-30.8--0.0471240000000018</f>
        <v>316.914378</v>
      </c>
      <c r="V313" s="3">
        <f>0+(569.4-220.9)+(0+(0.871182-0.337977))+0-31.3-0.0478890000000018</f>
        <v>317.685316</v>
      </c>
      <c r="W313" s="3">
        <f>0+(544.9-166.8)+(0+(1.111596-0.340272))+0-32.3-0.0658919999999986</f>
        <v>346.50543199999993</v>
      </c>
      <c r="X313" s="3">
        <f>0+(513.2-134.7)+(0+(-0.785196--0.206091))+0-32.1--0.0491130000000019</f>
        <v>345.87000799999998</v>
      </c>
      <c r="Y313" s="3">
        <f>0+(497.8-108.8)+(0+(0-0))+0-32.6-0</f>
        <v>356.4</v>
      </c>
      <c r="Z313" s="3">
        <f>0+(508.1-141.2)+(0+(-0.518262--0.144024))+0-32.4--0.0330480000000052</f>
        <v>334.15881000000007</v>
      </c>
      <c r="AA313" s="3">
        <f>0+(522.8-188.8)+(0+(-0.799884--0.288864))+0-29.1--0.0445230000000017</f>
        <v>304.43350299999997</v>
      </c>
      <c r="AB313" s="3">
        <f>0+(481.3-135)+(0+(-0.490926--0.1377))+0-31--0.0316200000000049</f>
        <v>314.97839400000004</v>
      </c>
      <c r="AC313" s="3">
        <f>0+(450.5-113.8)+(0+(-0.91902--0.232152))+0-30.5--0.0622199999999987</f>
        <v>305.57535200000001</v>
      </c>
      <c r="AD313" s="2">
        <v>335.29999999999995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0+(370.8-53.7)+(0+(-0.756432--0.109548))+0-28.4--0.0579359999999988</f>
        <v>288.11105200000003</v>
      </c>
      <c r="G314" s="3">
        <f>0+(346.6-33.1)+(0+(-0.353532--0.033762))+0-29.1--0.0296820000000046</f>
        <v>284.10991199999995</v>
      </c>
      <c r="H314" s="3">
        <f>0+(363-56.6)+(0+(-0.18513--0.028866))+0-30.5--0.0155549999999969</f>
        <v>275.75929099999996</v>
      </c>
      <c r="I314" s="3">
        <f>0+(368.3-62.4)+(0+(0.375666-0.063648))+0-31.1-0.031722000000005</f>
        <v>275.08029600000003</v>
      </c>
      <c r="J314" s="3">
        <f>0+(369-61.1)+(0+(-0.94095--0.155805))+0-30.8--0.0785399999999955</f>
        <v>276.39339499999994</v>
      </c>
      <c r="K314" s="3">
        <f>0+(368.1-54.5)+(0+(0.938655-0.138975))+0-31.2-0.0795599999999955</f>
        <v>283.12012000000004</v>
      </c>
      <c r="L314" s="3">
        <f>0+(391.4-77.4)+(0+(0-0))+0-31-0</f>
        <v>283</v>
      </c>
      <c r="M314" s="3">
        <f>0+(447-113.4)+(0+(-0.68391--0.173502))+0-31.7--0.0485010000000018</f>
        <v>301.43809300000004</v>
      </c>
      <c r="N314" s="3">
        <f>0+(571.4-208.1)+(0+(-0.582828--0.212262))+0-31.5--0.032130000000005</f>
        <v>331.46156399999995</v>
      </c>
      <c r="O314" s="3">
        <f>0+(642.9-271.5)+(0+(-0.983637--0.415395))+0-32--0.0489600000000018</f>
        <v>338.880718</v>
      </c>
      <c r="P314" s="3">
        <f>0+(667.1-300.7)+(0+(-0.680442--0.306714))+0-32.6--0.0332520000000052</f>
        <v>333.45952399999999</v>
      </c>
      <c r="Q314" s="3">
        <f>0+(647.5-277.4)+(0+(-1.651125--0.70737))+0-32.1--0.0818549999999953</f>
        <v>337.13810000000001</v>
      </c>
      <c r="R314" s="3">
        <f>0+(646.1-275.3)+(0+(-1.318044--0.561612))+0-31.2--0.0636479999999986</f>
        <v>338.90721600000001</v>
      </c>
      <c r="S314" s="3">
        <f>0+(612.1-262.1)+(0+(-1.248684--0.534684))+0-31.1--0.0634439999999986</f>
        <v>318.24944399999998</v>
      </c>
      <c r="T314" s="3">
        <f>0+(566.5-204.9)+(0+(-0.57783--0.208998))+0-30.7--0.0313140000000049</f>
        <v>330.56248200000005</v>
      </c>
      <c r="U314" s="3">
        <f>0+(562.6-211.6)+(0+(0.573852-0.215832))+0-30.7-0.0313140000000049</f>
        <v>320.62670600000001</v>
      </c>
      <c r="V314" s="3">
        <f>0+(557.6-206.8)+(0+(0.284376-0.105468))+0-31.3-0.0159629999999968</f>
        <v>319.66294499999998</v>
      </c>
      <c r="W314" s="3">
        <f>0+(527.9-147.5)+(0+(0.538458-0.15045))+0-31.4-0.032028000000005</f>
        <v>349.35597999999999</v>
      </c>
      <c r="X314" s="3">
        <f>0+(515.3-134.1)+(0+(-1.576818--0.410346))+0-31.3--0.0957780000000036</f>
        <v>348.82930599999992</v>
      </c>
      <c r="Y314" s="3">
        <f>0+(511.9-145.9)+(0+(-1.305345--0.372045))+0-32.3--0.0823649999999953</f>
        <v>332.849065</v>
      </c>
      <c r="Z314" s="3">
        <f>0+(521.6-147.9)+(0+(-0.798048--0.226287))+0-31.8--0.0486540000000018</f>
        <v>341.37689300000005</v>
      </c>
      <c r="AA314" s="3">
        <f>0+(529.3-176.3)+(0+(-0.269943--0.089913))+0-31.6--0.0161159999999968</f>
        <v>321.23608599999994</v>
      </c>
      <c r="AB314" s="3">
        <f>0+(480.3-136.1)+(0+(-0.489906--0.138822))+0-31.3--0.031926000000005</f>
        <v>312.58084200000002</v>
      </c>
      <c r="AC314" s="3">
        <f>0+(393.4-60.3)+(0+(-1.00317--0.153765))+0-30.8--0.0785399999999955</f>
        <v>301.52913499999994</v>
      </c>
      <c r="AD314" s="2">
        <v>349.4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0+(345.9-33.4)+(0+(-0.352818--0.034068))+0-30.3--0.0309060000000048</f>
        <v>281.91215599999998</v>
      </c>
      <c r="G315" s="3">
        <f>0+(340.2-32)+(0+(-0.520506--0.04896))+0-30.6--0.0468180000000018</f>
        <v>277.17527199999995</v>
      </c>
      <c r="H315" s="3">
        <f>0+(345.5-34.2)+(0+(0-0))+0-30.4-0</f>
        <v>280.90000000000003</v>
      </c>
      <c r="I315" s="3">
        <f>0+(354.2-39.7)+(0+(-0.361284--0.040494))+0-30.8--0.0314160000000049</f>
        <v>283.41062599999998</v>
      </c>
      <c r="J315" s="3">
        <f>0+(361.9-53.4)+(0+(0.184569-0.027234))+0-30.7-0.0156569999999969</f>
        <v>277.94167800000002</v>
      </c>
      <c r="K315" s="3">
        <f>0+(358.8-51.6)+(0+(-0.182988--0.026316))+0-30.4--0.0155039999999969</f>
        <v>276.65883200000002</v>
      </c>
      <c r="L315" s="3">
        <f>0+(372.7-62.8)+(0+(-0.190077--0.032028))+0-30.4--0.0155039999999969</f>
        <v>279.35745500000002</v>
      </c>
      <c r="M315" s="3">
        <f>0+(497.7-166.6)+(0+(0-0))+0-30.5-0</f>
        <v>300.60000000000002</v>
      </c>
      <c r="N315" s="3">
        <f>0+(565.3-207.7)+(0+(0-0))+0-30.6-0</f>
        <v>326.99999999999994</v>
      </c>
      <c r="O315" s="3">
        <f>0+(606.8-235.6)+(0+(-0.618936--0.240312))+0-31--0.0316200000000049</f>
        <v>339.85299599999996</v>
      </c>
      <c r="P315" s="3">
        <f>0+(599-242.5)+(0+(0-0))+0-31.1-0</f>
        <v>325.39999999999998</v>
      </c>
      <c r="Q315" s="3">
        <f>0+(609.1-237.4)+(0+(-0.310641--0.121074))+0-31.6--0.0161159999999968</f>
        <v>339.92654900000002</v>
      </c>
      <c r="R315" s="3">
        <f>0+(616-248.2)+(0+(-1.5708--0.63291))+0-31.1--0.0793049999999955</f>
        <v>335.84141499999998</v>
      </c>
      <c r="S315" s="3">
        <f>0+(608.1-248.7)+(0+(0-0))+0-31.5-0</f>
        <v>327.90000000000003</v>
      </c>
      <c r="T315" s="3">
        <f>0+(563.1-218.2)+(0+(-0.287181--0.111282))+0-30.9--0.0157589999999969</f>
        <v>313.83986000000004</v>
      </c>
      <c r="U315" s="3">
        <f>0+(529.3-177.6)+(0+(-0.539886--0.181152))+0-31.6--0.032232000000005</f>
        <v>319.7734979999999</v>
      </c>
      <c r="V315" s="3">
        <f>0+(535.7-180.7)+(0+(0.273207-0.092157))+0-32-0.0163199999999968</f>
        <v>323.16473000000008</v>
      </c>
      <c r="W315" s="3">
        <f>0+(501.4-126.7)+(0+(0.255714-0.064617))+0-32.9-0.0167789999999967</f>
        <v>341.97431800000004</v>
      </c>
      <c r="X315" s="3">
        <f>0+(486.6-121)+(0+(-0.992664--0.24684))+0-33.2--0.0677279999999986</f>
        <v>331.72190399999999</v>
      </c>
      <c r="Y315" s="3">
        <f>0+(469.3-101.7)+(0+(-0.957372--0.207468))+0-32.8--0.0669119999999986</f>
        <v>334.117008</v>
      </c>
      <c r="Z315" s="3">
        <f>0+(448.8-85.7)+(0+(-0.457776--0.087414))+0-32.2--0.0328440000000051</f>
        <v>330.56248200000005</v>
      </c>
      <c r="AA315" s="3">
        <f>0+(440.2-90.8)+(0+(-0.449004--0.092616))+0-31.5--0.032130000000005</f>
        <v>317.57574199999999</v>
      </c>
      <c r="AB315" s="3">
        <f>0+(449.3-112.4)+(0+(-0.687429--0.171972))+0-31.2--0.0477360000000018</f>
        <v>305.23227899999995</v>
      </c>
      <c r="AC315" s="3">
        <f>0+(370.5-41.8)+(0+(-0.37791--0.042636))+0-31.2--0.031824000000005</f>
        <v>297.19655</v>
      </c>
      <c r="AD315" s="2">
        <v>323.39999999999998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0+(346.9-32.7)+(0+(-0.884595--0.083385))+0-30.6--0.0780299999999956</f>
        <v>282.87681999999995</v>
      </c>
      <c r="G316" s="3">
        <f>0+(329.9-23.8)+(0+(0-0))+0-31.2-0</f>
        <v>274.89999999999998</v>
      </c>
      <c r="H316" s="3">
        <f>0+(302.3-11.7)+(0+(-0.770865--0.029835))+0-31.1--0.0793049999999955</f>
        <v>258.83827499999995</v>
      </c>
      <c r="I316" s="3">
        <f>0+(309.8-12.3)+(0+(-0.157998--0.006273))+0-31--0.0158099999999969</f>
        <v>266.36408499999999</v>
      </c>
      <c r="J316" s="3">
        <f>0+(304.1-7.9)+(0+(0.310182-0.008058))+0-30.9-0.0315180000000049</f>
        <v>265.57060600000005</v>
      </c>
      <c r="K316" s="3">
        <f>0+(316.9-17)+(0+(0.323238-0.01734))+0-30.4-0.0310080000000048</f>
        <v>269.77489000000003</v>
      </c>
      <c r="L316" s="3">
        <f>0+(326-21.8)+(0+(-0.49878--0.033354))+0-31.3--0.0478890000000018</f>
        <v>272.482463</v>
      </c>
      <c r="M316" s="3">
        <f>0+(330.7-34.7)+(0+(-0.337314--0.035394))+0-31.1--0.031722000000005</f>
        <v>264.62980199999998</v>
      </c>
      <c r="N316" s="3">
        <f>0+(363.3-39.6)+(0+(-0.185283--0.020196))+0-31.2--0.0159119999999968</f>
        <v>292.35082499999999</v>
      </c>
      <c r="O316" s="3">
        <f>0+(387.4-51.1)+(0+(0.592722-0.078183))+0-31.6-0.0483480000000018</f>
        <v>305.16619099999997</v>
      </c>
      <c r="P316" s="3">
        <f>0+(416.2-85)+(0+(0.849048-0.1734))+0-32.1-0.0654839999999986</f>
        <v>299.71016399999996</v>
      </c>
      <c r="Q316" s="3">
        <f>0+(412.3-72.4)+(0+(-0.210273--0.036924))+0-31.8--0.0162179999999968</f>
        <v>307.94286899999997</v>
      </c>
      <c r="R316" s="3">
        <f>0+(405.6-77.6)+(0+(-0.827424--0.158304))+0-31.6--0.0644639999999986</f>
        <v>295.79534399999994</v>
      </c>
      <c r="S316" s="3">
        <f>0+(431.1-114.7)+(0+(-0.879444--0.233988))+0-30.8--0.0628319999999987</f>
        <v>285.01737600000001</v>
      </c>
      <c r="T316" s="3">
        <f>0+(467.5-155.7)+(0+(0-0))+0-30.8-0</f>
        <v>281</v>
      </c>
      <c r="U316" s="3">
        <f>0+(444.9-132)+(0+(-1.361394--0.40392))+0-30.8--0.0942480000000036</f>
        <v>281.23677399999997</v>
      </c>
      <c r="V316" s="3">
        <f>0+(421.2-104.9)+(0+(0-0))+0-31.7-0</f>
        <v>284.59999999999997</v>
      </c>
      <c r="W316" s="3">
        <f>0+(381.2-43.7)+(0+(0-0))+0-32.8-0</f>
        <v>304.7</v>
      </c>
      <c r="X316" s="3">
        <f>0+(399.6-46.5)+(0+(-1.01898--0.118575))+0-32.8--0.0836399999999952</f>
        <v>319.48323500000004</v>
      </c>
      <c r="Y316" s="3">
        <f>0+(397.7-44.5)+(0+(-1.014135--0.113475))+0-32.9--0.0838949999999952</f>
        <v>319.48323499999998</v>
      </c>
      <c r="Z316" s="3">
        <f>0+(384.5-33.7)+(0+(-0.39219--0.034374))+0-32.5--0.0331500000000052</f>
        <v>317.97533399999998</v>
      </c>
      <c r="AA316" s="3">
        <f>0+(384.9-30.3)+(0+(-0.785196--0.061812))+0-32.2--0.0656879999999986</f>
        <v>321.74230399999999</v>
      </c>
      <c r="AB316" s="3">
        <f>0+(399.7-48.7)+(0+(-0.203847--0.024837))+0-32.3--0.0164729999999967</f>
        <v>318.537463</v>
      </c>
      <c r="AC316" s="3">
        <f>0+(348.3-15)+(0+(-0.710532--0.0306))+0-31.7--0.0646679999999986</f>
        <v>300.984736</v>
      </c>
      <c r="AD316" s="2">
        <v>322.10000000000002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0+(329.1-22.5)+(0+(-0.167841--0.011475))+0-31.2--0.0159119999999968</f>
        <v>275.25954600000006</v>
      </c>
      <c r="G317" s="3">
        <f>0+(306.9-11.5)+(0+(-0.156519--0.005865))+0-31.2--0.0159119999999968</f>
        <v>264.06525800000003</v>
      </c>
      <c r="H317" s="3">
        <f>0+(345-57)+(0+(0-0))+0-31.5-0</f>
        <v>256.5</v>
      </c>
      <c r="I317" s="3">
        <f>0+(358.2-67.4)+(0+(-0.182682--0.034374))+0-30.7--0.0156569999999969</f>
        <v>259.96734899999996</v>
      </c>
      <c r="J317" s="3">
        <f>0+(353.7-62.3)+(0+(-0.541161--0.095319))+0-27.6--0.0422280000000016</f>
        <v>263.39638599999995</v>
      </c>
      <c r="K317" s="3">
        <f>0+(379.3-82.2)+(0+(0.193443-0.041922))+0-30.8-0.0157079999999969</f>
        <v>266.435813</v>
      </c>
      <c r="L317" s="3">
        <f>0+(434.3-139)+(0+(-0.442986--0.14178))+0-30.9--0.0315180000000049</f>
        <v>264.13031200000006</v>
      </c>
      <c r="M317" s="3">
        <f>0+(512.2-202.2)+(0+(-0.783666--0.309366))+0-31.4--0.0480420000000018</f>
        <v>278.17374200000006</v>
      </c>
      <c r="N317" s="3">
        <f>0+(551.9-209.4)+(0+(-0.562938--0.213588))+0-31.3--0.031926000000005</f>
        <v>310.88257599999997</v>
      </c>
      <c r="O317" s="3">
        <f>0+(634.2-283.9)+(0+(-0.323442--0.144789))+0-31.3--0.0159629999999968</f>
        <v>318.83731000000006</v>
      </c>
      <c r="P317" s="3">
        <f>0+(624.2-265.1)+(0+(-0.955026--0.405603))+0-31.8--0.0486540000000018</f>
        <v>326.79923100000002</v>
      </c>
      <c r="Q317" s="3">
        <f>0+(622.3-264.6)+(0+(0-0))+0-32.3-0</f>
        <v>325.39999999999992</v>
      </c>
      <c r="R317" s="3">
        <f>0+(614.3-261.6)+(0+(-1.253172--0.533664))+0-31.3--0.0638519999999986</f>
        <v>320.7443439999999</v>
      </c>
      <c r="S317" s="3">
        <f>0+(616.6-287.6)+(0+(-1.257864--0.586704))+0-31.1--0.0634439999999986</f>
        <v>297.292284</v>
      </c>
      <c r="T317" s="3">
        <f>0+(605.3-277.7)+(0+(0.308703-0.141627))+0-31-0.0158099999999969</f>
        <v>296.75126599999999</v>
      </c>
      <c r="U317" s="3">
        <f>0+(574.5-250.5)+(0+(-1.17198--0.51102))+0-31.1--0.0634439999999986</f>
        <v>292.30248399999999</v>
      </c>
      <c r="V317" s="3">
        <f>0+(543.7-219.2)+(0+(-0.277287--0.111792))+0-31.4--0.0160139999999968</f>
        <v>292.95051900000004</v>
      </c>
      <c r="W317" s="3">
        <f>0+(504.4-187.4)+(0+(0.514488-0.191148))+0-31.8-0.0324360000000051</f>
        <v>285.49090399999994</v>
      </c>
      <c r="X317" s="3">
        <f>0+(485.9-119.3)+(0+(-0.247809--0.060843))+0-32.8--0.0167279999999967</f>
        <v>333.62976199999997</v>
      </c>
      <c r="Y317" s="3">
        <f>0+(490.5-134.6)+(0+(-0.750465--0.205938))+0-32.1--0.0491130000000019</f>
        <v>323.30458599999992</v>
      </c>
      <c r="Z317" s="3">
        <f>0+(517.5-174.9)+(0+(0.263925-0.089199))+0-32.7-0.0166769999999967</f>
        <v>310.05804900000004</v>
      </c>
      <c r="AA317" s="3">
        <f>0+(523.5-191.8)+(0+(-0.800955--0.293454))+0-31.6--0.0483480000000018</f>
        <v>299.64084699999995</v>
      </c>
      <c r="AB317" s="3">
        <f>0+(552.1-224.9)+(0+(-1.407855--0.573495))+0-29.2--0.0744599999999958</f>
        <v>297.24010000000004</v>
      </c>
      <c r="AC317" s="3">
        <f>0+(471.7-154.1)+(0+(-0.481134--0.157182))+0-30--0.0306000000000048</f>
        <v>287.306648</v>
      </c>
      <c r="AD317" s="2">
        <v>321.49999999999994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0+(424.2-131.9)+(0+(-0.865368--0.269076))+0-27.3--0.0556919999999988</f>
        <v>264.45939999999996</v>
      </c>
      <c r="G318" s="3">
        <f>0+(374.3-83.6)+(0+(-0.381786--0.085272))+0-32.4--0.0330480000000052</f>
        <v>258.03653400000007</v>
      </c>
      <c r="H318" s="3">
        <f>0+(354.8-62.7)+(0+(0-0))+0-32.3-0</f>
        <v>259.8</v>
      </c>
      <c r="I318" s="3">
        <f>0+(355.5-70.1)+(0+(-0.181305--0.035751))+0-32.3--0.0164729999999967</f>
        <v>252.97091899999995</v>
      </c>
      <c r="J318" s="3">
        <f>0+(358.1-81)+(0+(0-0))+0-32.3-0</f>
        <v>244.8</v>
      </c>
      <c r="K318" s="3">
        <f>0+(378.8-96.3)+(0+(0.193188-0.049113))+0-32.6-0.0166259999999967</f>
        <v>250.02744899999999</v>
      </c>
      <c r="L318" s="3">
        <f>0+(479.9-193.1)+(0+(-0.489498--0.196962))+0-29.8--0.0303960000000048</f>
        <v>256.73785999999996</v>
      </c>
      <c r="M318" s="3">
        <f>0+(541.8-236.4)+(0+(0.828954-0.361692))+0-32.3-0.0494190000000019</f>
        <v>273.51784299999997</v>
      </c>
      <c r="N318" s="3">
        <f>0+(576.3-243.2)+(0+(0-0))+0-32.9-0</f>
        <v>300.2</v>
      </c>
      <c r="O318" s="3">
        <f>0+(553.2-214.4)+(0+(0.282132-0.109344))+0-32.1-0.0163709999999967</f>
        <v>306.85641700000008</v>
      </c>
      <c r="P318" s="3">
        <f>0+(551.3-210.4)+(0+(0-0))+0-31.6-0</f>
        <v>309.29999999999995</v>
      </c>
      <c r="Q318" s="3">
        <f>0+(547.9-201.3)+(0+(-0.558858--0.205326))+0-32.1--0.0327420000000051</f>
        <v>314.17920999999996</v>
      </c>
      <c r="R318" s="3">
        <f>0+(540-201.6)+(0+(-1.1016--0.411264))+0-32.2--0.0656879999999986</f>
        <v>305.57535200000001</v>
      </c>
      <c r="S318" s="3">
        <f>0+(568.8-248.4)+(0+(0.580176-0.253368))+0-31.9-0.0325380000000051</f>
        <v>288.79427000000004</v>
      </c>
      <c r="T318" s="3">
        <f>0+(577.5-261.3)+(0+(-0.58905--0.266526))+0-31.2--0.031824000000005</f>
        <v>284.70930000000004</v>
      </c>
      <c r="U318" s="3">
        <f>0+(577.8-261.9)+(0+(1.178712-0.534276))+0-31.5-0.0642599999999986</f>
        <v>284.98017599999997</v>
      </c>
      <c r="V318" s="3">
        <f>0+(555.5-239.8)+(0+(0-0))+0-30.7-0</f>
        <v>285</v>
      </c>
      <c r="W318" s="3">
        <f>0+(507.4-167.1)+(0+(-0.258774--0.085221))+0-32.3--0.0164729999999967</f>
        <v>307.84291999999994</v>
      </c>
      <c r="X318" s="3">
        <f>0+(481.1-142.2)+(0+(-0.490722--0.145044))+0-32.3--0.0329460000000051</f>
        <v>306.28726799999998</v>
      </c>
      <c r="Y318" s="3">
        <f>0+(482.1-142.3)+(0+(-1.475226--0.435438))+0-32--0.0979200000000037</f>
        <v>306.85813200000001</v>
      </c>
      <c r="Z318" s="3">
        <f>0+(519.8-177.3)+(0+(0.530196-0.180846))+0-32.3-0.0329460000000051</f>
        <v>310.51640399999997</v>
      </c>
      <c r="AA318" s="3">
        <f>0+(501.9-155.7)+(0+(-1.279845--0.397035))+0-31.9--0.0813449999999954</f>
        <v>313.498535</v>
      </c>
      <c r="AB318" s="3">
        <f>0+(454.7-124.4)+(0+(-0.927588--0.253776))+0-31.5--0.0642599999999986</f>
        <v>298.19044799999995</v>
      </c>
      <c r="AC318" s="3">
        <f>0+(422.3-99.4)+(0+(-0.861492--0.202776))+0-31.5--0.0642599999999986</f>
        <v>290.80554399999994</v>
      </c>
      <c r="AD318" s="2">
        <v>303.3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0+(358.4-53.2)+(0+(-0.548352--0.081396))+0-31.4--0.0480420000000018</f>
        <v>273.38108600000004</v>
      </c>
      <c r="G319" s="3">
        <f>0+(338.7-36.7)+(0+(-0.863685--0.093585))+0-31--0.0790499999999955</f>
        <v>270.30894999999998</v>
      </c>
      <c r="H319" s="3">
        <f>0+(303.1-14.5)+(0+(0.309162-0.01479))+0-30.8-0.0314160000000049</f>
        <v>258.06295600000004</v>
      </c>
      <c r="I319" s="3">
        <f>0+(310.1-22.9)+(0+(-0.158151--0.011679))+0-30.9--0.0157589999999969</f>
        <v>256.16928700000005</v>
      </c>
      <c r="J319" s="3">
        <f>0+(280.2-3.6)+(0+(-0.142902--0.001836))+0-30.5--0.0155549999999969</f>
        <v>245.97448899999995</v>
      </c>
      <c r="K319" s="3">
        <f>0+(290.2-2.1)+(0+(0.296004-0.002142))+0-30.4-0.0310080000000048</f>
        <v>257.96285399999999</v>
      </c>
      <c r="L319" s="3">
        <f>0+(314.7-29)+(0+(-0.320994--0.02958))+0-30.9--0.0315180000000049</f>
        <v>254.54010400000001</v>
      </c>
      <c r="M319" s="3">
        <f>0+(329.4-55.4)+(0+(0-0))+0-31-0</f>
        <v>243</v>
      </c>
      <c r="N319" s="3">
        <f>0+(379.4-105.8)+(0+(0.193494-0.053958))+0-31.1-0.0158609999999968</f>
        <v>242.62367499999999</v>
      </c>
      <c r="O319" s="3">
        <f>0+(348.1-58)+(0+(0.177531-0.02958))+0-30.8-0.0157079999999969</f>
        <v>259.43224299999997</v>
      </c>
      <c r="P319" s="3">
        <f>0+(356.5-59.4)+(0+(-0.545445--0.090882))+0-31.1--0.0475830000000018</f>
        <v>265.59301999999997</v>
      </c>
      <c r="Q319" s="3">
        <f>0+(351.7-62.7)+(0+(-0.717468--0.127908))+0-29.7--0.0605879999999987</f>
        <v>258.771028</v>
      </c>
      <c r="R319" s="3">
        <f>0+(366.1-84.4)+(0+(-0.186711--0.043044))+0-30.8--0.0157079999999969</f>
        <v>250.77204100000003</v>
      </c>
      <c r="S319" s="3">
        <f>0+(361.6-85.3)+(0+(-0.737664--0.174012))+0-31.1--0.0634439999999986</f>
        <v>244.69979200000003</v>
      </c>
      <c r="T319" s="3">
        <f>0+(378.5-110.7)+(0+(-0.579105--0.169371))+0-30.8--0.0471240000000018</f>
        <v>236.63738999999998</v>
      </c>
      <c r="U319" s="3">
        <f>0+(397.4-128.1)+(0+(0.608022-0.195993))+0-30-0.0459000000000017</f>
        <v>239.66612899999998</v>
      </c>
      <c r="V319" s="3">
        <f>0+(429.1-153.8)+(0+(-0.437682--0.156876))+0-30.1--0.0307020000000048</f>
        <v>244.94989600000002</v>
      </c>
      <c r="W319" s="3">
        <f>0+(321.2-25.2)+(0+(-0.81906--0.06426))+0-31.1--0.0793049999999955</f>
        <v>264.22450499999997</v>
      </c>
      <c r="X319" s="3">
        <f>0+(344.1-24.9)+(0+(-0.526473--0.038097))+0-32.3--0.0494190000000019</f>
        <v>286.46104300000002</v>
      </c>
      <c r="Y319" s="3">
        <f>0+(359.9-42.8)+(0+(-0.183549--0.021828))+0-31.9--0.0162689999999968</f>
        <v>285.05454800000001</v>
      </c>
      <c r="Z319" s="3">
        <f>0+(404.5-94.8)+(0+(-0.206295--0.048348))+0-31.1--0.0158609999999968</f>
        <v>278.45791399999996</v>
      </c>
      <c r="AA319" s="3">
        <f>0+(480.3-166.7)+(0+(0.244953-0.085017))+0-31.6-0.0161159999999968</f>
        <v>282.14382000000001</v>
      </c>
      <c r="AB319" s="3">
        <f>0+(453.7-144.6)+(0+(-0.694161--0.221238))+0-30.6--0.0468180000000018</f>
        <v>278.07389499999999</v>
      </c>
      <c r="AC319" s="3">
        <f>0+(317.7-19.9)+(0+(-0.648108--0.040596))+0-31--0.0632399999999986</f>
        <v>266.25572800000003</v>
      </c>
      <c r="AD319" s="2">
        <v>284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0+(326.3-44.9)+(0+(-0.665652--0.091596))+0-31.1--0.0634439999999986</f>
        <v>249.78938800000006</v>
      </c>
      <c r="G320" s="3">
        <f>0+(338.2-64.6)+(0+(-0.172482--0.032946))+0-30.4--0.0155039999999969</f>
        <v>243.07596799999999</v>
      </c>
      <c r="H320" s="3">
        <f>0+(335.1-60.2)+(0+(-0.683604--0.122808))+0-30.9--0.0630359999999986</f>
        <v>243.50224000000006</v>
      </c>
      <c r="I320" s="3">
        <f>0+(337.8-66.7)+(0+(-0.172278--0.034017))+0-30.9--0.0157589999999969</f>
        <v>240.07749800000002</v>
      </c>
      <c r="J320" s="3">
        <f>0+(331.9-61.3)+(0+(0.846345-0.156315))+0-30.7-0.0782849999999955</f>
        <v>240.51174499999996</v>
      </c>
      <c r="K320" s="3">
        <f>0+(322.9-53.6)+(0+(0.494037-0.082008))+0-30.5-0.0466650000000018</f>
        <v>239.16536399999998</v>
      </c>
      <c r="L320" s="3">
        <f>0+(393.7-107.1)+(0+(0.602361-0.163863))+0-31-0.0474300000000018</f>
        <v>255.99106800000001</v>
      </c>
      <c r="M320" s="3">
        <f>0+(483.1-178.9)+(0+(-0.739143--0.273717))+0-31.4--0.0480420000000018</f>
        <v>272.3826160000001</v>
      </c>
      <c r="N320" s="3">
        <f>0+(569.6-237)+(0+(0.580992-0.24174))+0-30.1-0.0307020000000048</f>
        <v>302.80854999999997</v>
      </c>
      <c r="O320" s="3">
        <f>0+(550.9-207.5)+(0+(0-0))+0-32-0</f>
        <v>311.39999999999998</v>
      </c>
      <c r="P320" s="3">
        <f>0+(545-202.9)+(0+(0.5559-0.206958))+0-31.8-0.0324360000000051</f>
        <v>310.61650600000002</v>
      </c>
      <c r="Q320" s="3">
        <f>0+(551.6-198.6)+(0+(-0.562632--0.202572))+0-30.8--0.0314160000000049</f>
        <v>321.87135599999999</v>
      </c>
      <c r="R320" s="3">
        <f>0+(566.4-220)+(0+(-1.44432--0.561))+0-31--0.0790499999999955</f>
        <v>314.59572999999995</v>
      </c>
      <c r="S320" s="3">
        <f>0+(572.3-240.8)+(0+(-0.291873--0.122808))+0-30--0.015299999999997</f>
        <v>301.34623499999998</v>
      </c>
      <c r="T320" s="3">
        <f>0+(582-255.1)+(0+(-1.4841--0.650505))+0-31.9--0.0813449999999954</f>
        <v>294.24775</v>
      </c>
      <c r="U320" s="3">
        <f>0+(577.2-250.9)+(0+(-0.588744--0.255918))+0-31.6--0.032232000000005</f>
        <v>294.39940600000006</v>
      </c>
      <c r="V320" s="3">
        <f>0+(550.8-222.5)+(0+(0.280908-0.113475))+0-31.1-0.0158609999999968</f>
        <v>297.35157199999998</v>
      </c>
      <c r="W320" s="3">
        <f>0+(418.5-59.8)+(0+(0-0))+0-31.5-0</f>
        <v>327.2</v>
      </c>
      <c r="X320" s="3">
        <f>0+(410.9-45.8)+(0+(-0.209559--0.023358))+0-32.2--0.0164219999999967</f>
        <v>332.73022099999997</v>
      </c>
      <c r="Y320" s="3">
        <f>0+(391-31.5)+(0+(-1.19646--0.09639))+0-31.9--0.0976140000000037</f>
        <v>326.59754400000003</v>
      </c>
      <c r="Z320" s="3">
        <f>0+(402.7-37)+(0+(-0.821508--0.07548))+0-31.2--0.0636479999999986</f>
        <v>333.81761999999998</v>
      </c>
      <c r="AA320" s="3">
        <f>0+(414.6-73)+(0+(-0.211446--0.03723))+0-31.9--0.0162689999999968</f>
        <v>309.54205300000007</v>
      </c>
      <c r="AB320" s="3">
        <f>0+(451.5-126.2)+(0+(-0.92106--0.257448))+0-31.8--0.0648719999999986</f>
        <v>292.90125999999998</v>
      </c>
      <c r="AC320" s="3">
        <f>0+(471.7-156.4)+(0+(-0.721701--0.239292))+0-31.1--0.0475830000000018</f>
        <v>283.76517399999989</v>
      </c>
      <c r="AD320" s="2">
        <v>337.8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0+(453.2-142.1)+(0+(-0.924528--0.289884))+0-31.4--0.0640559999999986</f>
        <v>279.12941200000006</v>
      </c>
      <c r="G321" s="3">
        <f>0+(403.8-102.3)+(0+(-0.617814--0.156519))+0-30.3--0.0463590000000018</f>
        <v>270.78506399999998</v>
      </c>
      <c r="H321" s="3">
        <f>0+(380.5-85)+(0+(0-0))+0-28.1-0</f>
        <v>267.39999999999998</v>
      </c>
      <c r="I321" s="3">
        <f>0+(390.8-97)+(0+(-0.199308--0.04947))+0-30.3--0.0154529999999969</f>
        <v>263.36561499999999</v>
      </c>
      <c r="J321" s="3">
        <f>0+(379.8-85.5)+(0+(0.193698-0.043605))+0-31.7-0.0161669999999968</f>
        <v>262.73392600000005</v>
      </c>
      <c r="K321" s="3">
        <f>0+(388.9-92.2)+(0+(0.396678-0.094044))+0-31.3-0.031926000000005</f>
        <v>265.67070799999999</v>
      </c>
      <c r="L321" s="3">
        <f>0+(402.2-98.3)+(0+(0.410244-0.100266))+0-30.4-0.0310080000000048</f>
        <v>273.77897000000002</v>
      </c>
      <c r="M321" s="3">
        <f>0+(462.1-142.9)+(0+(0.235671-0.072879))+0-31.1-0.0158609999999968</f>
        <v>288.24693100000007</v>
      </c>
      <c r="N321" s="3">
        <f>0+(558.5-206.2)+(0+(-1.13934--0.420648))+0-29.4--0.0599759999999987</f>
        <v>322.24128400000006</v>
      </c>
      <c r="O321" s="3">
        <f>0+(542.1-170.5)+(0+(0.829413-0.260865))+0-30.3-0.0463590000000018</f>
        <v>341.82218900000004</v>
      </c>
      <c r="P321" s="3">
        <f>0+(502.7-137.5)+(0+(-0.512754--0.14025))+0-30--0.0306000000000048</f>
        <v>334.85809599999999</v>
      </c>
      <c r="Q321" s="3">
        <f>0+(497.7-137.6)+(0+(-1.015308--0.280704))+0-31.4--0.0640559999999986</f>
        <v>328.02945200000005</v>
      </c>
      <c r="R321" s="3">
        <f>0+(518.2-157.9)+(0+(-1.32141--0.402645))+0-31.7--0.0808349999999954</f>
        <v>327.76207000000005</v>
      </c>
      <c r="S321" s="3">
        <f>0+(534.7-200.6)+(0+(0.272697-0.102306))+0-31-0.0158099999999969</f>
        <v>303.25458100000003</v>
      </c>
      <c r="T321" s="3">
        <f>0+(542.5-210)+(0+(-0.55335--0.2142))+0-30.8--0.0314160000000049</f>
        <v>301.39226599999995</v>
      </c>
      <c r="U321" s="3">
        <f>116.1+(483.3-275.9)+(-0.059211+(-0.246483--0.140709))+0-31.7--0.0161669999999968</f>
        <v>291.65118200000001</v>
      </c>
      <c r="V321" s="3">
        <f>284.8+(377-335.3)+(0+(0-0))+0-31.3-0</f>
        <v>295.2</v>
      </c>
      <c r="W321" s="3">
        <f>90.1+(376.2-105.2)+(0+(0-0))+0-32.4-0</f>
        <v>328.70000000000005</v>
      </c>
      <c r="X321" s="3">
        <f>0+(414.2-54.1)+(0+(0.211242-0.027591))+0-31.5-0.0160649999999968</f>
        <v>328.76758599999999</v>
      </c>
      <c r="Y321" s="3">
        <f>0+(403.4-51)+(0+(-0.617202--0.07803))+0-32--0.0489600000000018</f>
        <v>319.90978799999999</v>
      </c>
      <c r="Z321" s="3">
        <f>0+(387.2-41.7)+(0+(-0.394944--0.042534))+0-31.5--0.032130000000005</f>
        <v>313.67971999999997</v>
      </c>
      <c r="AA321" s="3">
        <f>0+(443.7-110.7)+(0+(-0.678861--0.169371))+0-31.7--0.0485010000000018</f>
        <v>300.83901099999997</v>
      </c>
      <c r="AB321" s="3">
        <f>0+(525-199)+(0+(-0.5355--0.20298))+0-31--0.0316200000000049</f>
        <v>294.69910000000004</v>
      </c>
      <c r="AC321" s="3">
        <f>0+(544.2-228.4)+(0+(-1.38771--0.58242))+0-30.6--0.0780299999999956</f>
        <v>284.47274000000004</v>
      </c>
      <c r="AD321" s="2">
        <v>332.8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0+(513-208.9)+(0+(-0.26163--0.106539))+0-30.6--0.0156059999999969</f>
        <v>273.36051499999996</v>
      </c>
      <c r="G322" s="3">
        <f>0+(470.1-172.7)+(0+(0-0))+0-31-0</f>
        <v>266.40000000000003</v>
      </c>
      <c r="H322" s="3">
        <f>0+(409.8-123.8)+(0+(0-0))+0-30.8-0</f>
        <v>255.2</v>
      </c>
      <c r="I322" s="3">
        <f>0+(381.7-98.6)+(0+(0-0))+0-30.9-0</f>
        <v>252.20000000000002</v>
      </c>
      <c r="J322" s="3">
        <f>0+(389.4-106.3)+(0+(0.794376-0.216852))+0-30.1-0.0614039999999987</f>
        <v>253.51611999999994</v>
      </c>
      <c r="K322" s="3">
        <f>0+(394-118.7)+(0+(0.60282-0.181611))+0-18.6-0.0284580000000011</f>
        <v>257.09275099999996</v>
      </c>
      <c r="L322" s="3">
        <f>0+(449.6-152.4)+(0+(0.458592-0.155448))+0-30.1-0.0307020000000048</f>
        <v>267.37244199999998</v>
      </c>
      <c r="M322" s="3">
        <f>0+(511.9-198.6)+(0+(-0.522138--0.202572))+0-29.8--0.0303960000000048</f>
        <v>283.21082999999993</v>
      </c>
      <c r="N322" s="3">
        <f>0+(607.2-267.8)+(0+(-0.929016--0.409734))+0-30.1--0.0460530000000017</f>
        <v>308.82677100000006</v>
      </c>
      <c r="O322" s="3">
        <f>0+(674.1-332.4)+(0+(0.343791-0.169524))+0-25.4-0.0129539999999974</f>
        <v>316.46131300000008</v>
      </c>
      <c r="P322" s="3">
        <f>0+(660.2-312.5)+(0+(0-0))+0-25-0</f>
        <v>322.70000000000005</v>
      </c>
      <c r="Q322" s="3">
        <f>0+(700.2-344.3)+(0+(0.357102-0.175593))+0-28.3-0.0144329999999971</f>
        <v>327.76707600000003</v>
      </c>
      <c r="R322" s="3">
        <f>0+(733.9-385.9)+(0+(-1.871445--0.984045))+0-30.6--0.0780299999999956</f>
        <v>316.59062999999998</v>
      </c>
      <c r="S322" s="3">
        <f>0+(720.1-388.4)+(0+(0-0))+0-30.5-0</f>
        <v>301.20000000000005</v>
      </c>
      <c r="T322" s="3">
        <f>0+(714.9-384.7)+(0+(-0.364599--0.196197))+0-31--0.0158099999999969</f>
        <v>299.04740799999996</v>
      </c>
      <c r="U322" s="3">
        <f>0+(704.9-379.4)+(0+(-1.797495--0.96747))+0-31.7--0.0808349999999954</f>
        <v>293.05081000000001</v>
      </c>
      <c r="V322" s="3">
        <f>0+(668.3-339.5)+(0+(-1.022499--0.519435))+0-31.3--0.0478890000000018</f>
        <v>297.04482499999995</v>
      </c>
      <c r="W322" s="3">
        <f>42.8+(547.9-239.8)+(-0.021828+(-0.279429--0.122298))+0-31.6--0.0161159999999968</f>
        <v>319.13715699999995</v>
      </c>
      <c r="X322" s="3">
        <f>136+(469.8-239.6)+(-0.20808+(-0.718794--0.366588))+0-31.5--0.0481950000000018</f>
        <v>334.18790900000005</v>
      </c>
      <c r="Y322" s="3">
        <f>135.2+(483.9-255.3)+(-0.413712+(-1.480734--0.781218))+0-30.9--0.0945540000000036</f>
        <v>331.881326</v>
      </c>
      <c r="Z322" s="3">
        <f>90.9+(542.1-271.3)+(-0.139077+(-0.829413--0.415089))+0-31.1--0.0475830000000018</f>
        <v>330.09418199999999</v>
      </c>
      <c r="AA322" s="3">
        <f>65.6+(620.2-334.1)+(-0.133824+(-1.265208--0.681564))+0-31.1--0.0634439999999986</f>
        <v>319.94597600000003</v>
      </c>
      <c r="AB322" s="3">
        <f>40.4+(596.9-299.8)+(-0.10302+(-1.522095--0.76449))+0-31.4--0.0800699999999954</f>
        <v>305.31944499999992</v>
      </c>
      <c r="AC322" s="3">
        <f>0+(552.4-227.7)+(0+(-0.563448--0.232254))+0-31.1--0.031722000000005</f>
        <v>293.30052799999999</v>
      </c>
      <c r="AD322" s="2">
        <v>339.1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0+(547.9-236.4)+(0+(-1.117716--0.482256))+0-30.6--0.0624239999999987</f>
        <v>280.32696399999998</v>
      </c>
      <c r="G323" s="3">
        <f>0+(532.3-228.9)+(0+(-0.271473--0.116739))+0-29--0.0147899999999971</f>
        <v>274.26005599999996</v>
      </c>
      <c r="H323" s="3">
        <f>0+(510.4-213.2)+(0+(0-0))+0-28.7-0</f>
        <v>268.5</v>
      </c>
      <c r="I323" s="3">
        <f>0+(502.6-212)+(0+(0-0))+0-28.4-0</f>
        <v>262.20000000000005</v>
      </c>
      <c r="J323" s="3">
        <f>0+(493.9-200.1)+(0+(0.755667-0.306153))+0-28-0.0428400000000016</f>
        <v>266.20667399999996</v>
      </c>
      <c r="K323" s="3">
        <f>0+(509.1-215.3)+(0+(-0.778923--0.329409))+0-24--0.0367200000000014</f>
        <v>269.38720599999999</v>
      </c>
      <c r="L323" s="3">
        <f>0+(602.2-292.7)+(0+(0-0))+0-30.1-0</f>
        <v>279.40000000000003</v>
      </c>
      <c r="M323" s="3">
        <f>0+(690.8-371.7)+(0+(0-0))+0-30.2-0</f>
        <v>288.89999999999998</v>
      </c>
      <c r="N323" s="3">
        <f>0+(706.7-359.9)+(0+(0-0))+0-26.5-0</f>
        <v>320.30000000000007</v>
      </c>
      <c r="O323" s="3">
        <f>0+(711.2-355.5)+(0+(0-0))+0-29.8-0</f>
        <v>325.90000000000003</v>
      </c>
      <c r="P323" s="3">
        <f>0+(705.8-341.4)+(0+(-1.079874--0.522342))+0-29.6--0.0452880000000017</f>
        <v>334.287756</v>
      </c>
      <c r="Q323" s="3">
        <f>0+(710.3-343.3)+(0+(-0.724506--0.350166))+0-30.8--0.0314160000000049</f>
        <v>335.85707599999989</v>
      </c>
      <c r="R323" s="3">
        <f>0+(706.8-347)+(0+(-1.081404--0.53091))+0-31.3--0.0478890000000018</f>
        <v>327.99739499999993</v>
      </c>
      <c r="S323" s="3">
        <f>0+(712.8-368.9)+(0+(-1.090584--0.564417))+0-31--0.0474300000000018</f>
        <v>312.42126300000001</v>
      </c>
      <c r="T323" s="3">
        <f>44+(718.4-417.6)+(-0.02244+(-0.366384--0.212976))+0-30.3--0.0154529999999969</f>
        <v>314.33960499999995</v>
      </c>
      <c r="U323" s="3">
        <f>154+(679.1-493.3)+(-0.15708+(-0.692682--0.503166))+0-30.6--0.0312120000000049</f>
        <v>308.88461599999999</v>
      </c>
      <c r="V323" s="3">
        <f>279.1+(637.8-579.3)+(-0.427023+(-0.975834--0.886329))+0-29.2--0.0446760000000017</f>
        <v>307.92814800000002</v>
      </c>
      <c r="W323" s="3">
        <f>280+(465.7-388.4)+(0+(0-0))+0-29.8-0</f>
        <v>327.5</v>
      </c>
      <c r="X323" s="3">
        <f>282.9+(383-295.3)+(0+(0-0))+0-30.4-0</f>
        <v>340.2</v>
      </c>
      <c r="Y323" s="3">
        <f>285.5+(397.7-324.8)+(-0.87363+(-1.216962--0.993888))+0-30.6--0.0936360000000035</f>
        <v>326.79693199999997</v>
      </c>
      <c r="Z323" s="3">
        <f>286.7+(450.5-371.2)+(0+(0-0))+0-31-0</f>
        <v>335</v>
      </c>
      <c r="AA323" s="3">
        <f>287.5+(495.2-432)+(-0.146625+(-0.252552--0.22032))+0-30.9--0.0157589999999969</f>
        <v>319.63690200000002</v>
      </c>
      <c r="AB323" s="3">
        <f>273.2+(526.7-465.6)+(-0.278664+(-0.537234--0.474912))+0-30--0.0306000000000048</f>
        <v>303.98961400000002</v>
      </c>
      <c r="AC323" s="3">
        <f>37.3+(598.2-318.2)+(-0.057069+(-0.915246--0.486846))+0-30.1--0.0460530000000017</f>
        <v>286.76058400000005</v>
      </c>
      <c r="AD323" s="2">
        <v>325.39999999999998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0+(509.7-212.7)+(0+(-1.299735--0.542385))+0-28.1--0.0716549999999959</f>
        <v>268.21430500000002</v>
      </c>
      <c r="G324" s="3">
        <f>0+(432.1-142)+(0+(-0.881484--0.28968))+0-31.4--0.0640559999999986</f>
        <v>258.17225200000001</v>
      </c>
      <c r="H324" s="3">
        <f>0+(437.5-139.4)+(0+(-0.223125--0.071094))+0-30.9--0.0157589999999969</f>
        <v>267.06372800000003</v>
      </c>
      <c r="I324" s="3">
        <f>0+(436-137.9)+(0+(0-0))+0-30.3-0</f>
        <v>267.8</v>
      </c>
      <c r="J324" s="3">
        <f>0+(414.6-125)+(0+(0-0))+0-30.9-0</f>
        <v>258.70000000000005</v>
      </c>
      <c r="K324" s="3">
        <f>0+(385.1-95.1)+(0+(0.589203-0.145503))+0-31.2-0.0477360000000018</f>
        <v>259.195964</v>
      </c>
      <c r="L324" s="3">
        <f>0+(451.5-148.9)+(0+(0-0))+0-31.2-0</f>
        <v>271.40000000000003</v>
      </c>
      <c r="M324" s="3">
        <f>0+(550.6-231.4)+(0+(1.123224-0.472056))+0-31.5-0.0642599999999986</f>
        <v>288.28690800000004</v>
      </c>
      <c r="N324" s="3">
        <f>41.4+(685.2-371.6)+(0+(0-0))+0-31.2-0</f>
        <v>323.8</v>
      </c>
      <c r="O324" s="3">
        <f>94.7+(700.5-421.8)+(0+(0-0))+0-31.2-0</f>
        <v>342.2</v>
      </c>
      <c r="P324" s="3">
        <f>112.3+(668.3-412.1)+(-0.114546+(-0.681666--0.420342))+0-31--0.0316200000000049</f>
        <v>337.15574999999995</v>
      </c>
      <c r="Q324" s="3">
        <f>140.5+(626.7-401.8)+(-0.14331+(-0.639234--0.409836))+0-31.1--0.031722000000005</f>
        <v>333.95901400000002</v>
      </c>
      <c r="R324" s="3">
        <f>139.7+(633.1-412.4)+(-0.427482+(-1.937286--1.261944))+0-30.5--0.0933300000000035</f>
        <v>328.89050600000002</v>
      </c>
      <c r="S324" s="3">
        <f>73.9+(642.9-370.2)+(-0.113067+(-0.983637--0.566406))+0-31--0.0474300000000018</f>
        <v>315.11713200000003</v>
      </c>
      <c r="T324" s="3">
        <f>0+(662.9-323.3)+(0+(-1.690395--0.824415))+0-31--0.0790499999999955</f>
        <v>307.81306999999998</v>
      </c>
      <c r="U324" s="3">
        <f>0+(667.3-334.7)+(0+(-0.340323--0.170697))+0-31--0.0158099999999969</f>
        <v>301.44618399999996</v>
      </c>
      <c r="V324" s="3">
        <f>0+(634-303.4)+(0+(-0.32334--0.154734))+0-31--0.0158099999999969</f>
        <v>299.447204</v>
      </c>
      <c r="W324" s="3">
        <f>0+(509.5-152.5)+(0+(-0.779535--0.233325))+0-29.9--0.0457470000000017</f>
        <v>326.59953700000005</v>
      </c>
      <c r="X324" s="3">
        <f>0+(443.2-73.9)+(0+(-0.904128--0.150756))+0-30.7--0.0626279999999987</f>
        <v>337.90925599999997</v>
      </c>
      <c r="Y324" s="3">
        <f>0+(452.6-87.9)+(0+(-0.692478--0.134487))+0-30.4--0.0465120000000018</f>
        <v>333.78852100000006</v>
      </c>
      <c r="Z324" s="3">
        <f>0+(469-115.2)+(0+(-0.47838--0.117504))+0-31--0.0316200000000049</f>
        <v>322.47074400000002</v>
      </c>
      <c r="AA324" s="3">
        <f>0+(385-43.2)+(0+(-0.3927--0.044064))+0-31--0.0316200000000049</f>
        <v>310.48298400000004</v>
      </c>
      <c r="AB324" s="3">
        <f>0+(441-109.9)+(0+(-0.67473--0.168147))+0-30.7--0.0469710000000018</f>
        <v>299.94038800000004</v>
      </c>
      <c r="AC324" s="3">
        <f>0+(408.6-90.9)+(0+(-0.833544--0.185436))+0-30.5--0.0622199999999987</f>
        <v>286.61411200000009</v>
      </c>
      <c r="AD324" s="2">
        <v>348.1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0+(367.5-56.6)+(0+(-0.562275--0.086598))+0-30.9--0.0472770000000018</f>
        <v>279.57159999999999</v>
      </c>
      <c r="G325" s="3">
        <f>0+(304.2-3.1)+(0+(-0.77571--0.007905))+0-30.5--0.0777749999999956</f>
        <v>269.90996999999993</v>
      </c>
      <c r="H325" s="3">
        <f>0+(294.9-0)+(0+(-0.451197-0))+0-30.6--0.0468180000000018</f>
        <v>263.89562100000001</v>
      </c>
      <c r="I325" s="3">
        <f>0+(307.1-11.7)+(0+(-0.469863--0.017901))+0-30.7--0.0469710000000018</f>
        <v>264.29500900000005</v>
      </c>
      <c r="J325" s="3">
        <f>0+(306.5-12.4)+(0+(-0.156315--0.006324))+0-31.2--0.0159119999999968</f>
        <v>262.76592100000005</v>
      </c>
      <c r="K325" s="3">
        <f>0+(295.9-0)+(0+(0.301818-0))+0-31.5-0.032130000000005</f>
        <v>264.66968800000001</v>
      </c>
      <c r="L325" s="3">
        <f>0+(350.7-51.1)+(0+(-0.536571--0.078183))+0-31.4--0.0480420000000018</f>
        <v>267.78965399999998</v>
      </c>
      <c r="M325" s="3">
        <f>0+(438.1-127.3)+(0+(-0.223431--0.064923))+0-31.8--0.0162179999999968</f>
        <v>278.85771</v>
      </c>
      <c r="N325" s="3">
        <f>0+(499.4-158.8)+(0+(0-0))+0-31.8-0</f>
        <v>308.79999999999995</v>
      </c>
      <c r="O325" s="3">
        <f>0+(522-169.7)+(0+(0.53244-0.173094))+0-31.3-0.031926000000005</f>
        <v>321.32742000000002</v>
      </c>
      <c r="P325" s="3">
        <f>0+(527.2-177)+(0+(0.268872-0.09027))+0-32.2-0.0164219999999967</f>
        <v>318.16218000000009</v>
      </c>
      <c r="Q325" s="3">
        <f>0+(520.1-163.6)+(0+(-0.530502--0.166872))+0-31.9--0.0325380000000051</f>
        <v>324.26890800000001</v>
      </c>
      <c r="R325" s="3">
        <f>0+(546.7-194.5)+(0+(-1.672902--0.59517))+0-32--0.0979200000000037</f>
        <v>319.22018800000001</v>
      </c>
      <c r="S325" s="3">
        <f>0+(583.8-250.4)+(0+(-1.190952--0.510816))+0-31.8--0.0648719999999986</f>
        <v>300.98473599999994</v>
      </c>
      <c r="T325" s="3">
        <f>0+(594.6-263.4)+(0+(0-0))+0-30.9-0</f>
        <v>300.30000000000007</v>
      </c>
      <c r="U325" s="3">
        <f>0+(579.7-251.9)+(0+(-0.886941--0.385407))+0-31.6--0.0483480000000018</f>
        <v>295.74681400000003</v>
      </c>
      <c r="V325" s="3">
        <f>0+(554.7-229.3)+(0+(-0.565794--0.233886))+0-31.6--0.032232000000005</f>
        <v>293.50032400000003</v>
      </c>
      <c r="W325" s="3">
        <f>0+(434.7-89)+(0+(0.665091-0.13617))+0-31.2-0.0477360000000018</f>
        <v>314.98118500000004</v>
      </c>
      <c r="X325" s="3">
        <f>0+(383.5-29.9)+(0+(-0.39117--0.030498))+0-31.7--0.0323340000000051</f>
        <v>321.571662</v>
      </c>
      <c r="Y325" s="3">
        <f>0+(446.6-107.7)+(0+(-0.455532--0.109854))+0-32.3--0.0329460000000051</f>
        <v>306.28726799999998</v>
      </c>
      <c r="Z325" s="3">
        <f>0+(511.5-172.3)+(0+(-0.782595--0.263619))+0-30.1--0.0460530000000017</f>
        <v>308.62707699999999</v>
      </c>
      <c r="AA325" s="3">
        <f>0+(564.9-229.5)+(0+(-0.864297--0.351135))+0-30.9--0.0472770000000018</f>
        <v>304.03411499999999</v>
      </c>
      <c r="AB325" s="3">
        <f>0+(631.5-307.7)+(0+(0.322065-0.156927))+0-30.6-0.0156059999999969</f>
        <v>293.34953200000001</v>
      </c>
      <c r="AC325" s="3">
        <f>0+(598.4-281.2)+(0+(-0.610368--0.286824))+0-30.3--0.0309060000000048</f>
        <v>286.60736199999997</v>
      </c>
      <c r="AD325" s="2">
        <v>317.50000000000006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0+(535.3-234.6)+(0+(-0.273003--0.119646))+0-28.6--0.0145859999999971</f>
        <v>271.96122899999989</v>
      </c>
      <c r="G326" s="3">
        <f>0+(539.1-245.2)+(0+(-0.274941--0.125052))+0-30.1--0.0153509999999969</f>
        <v>263.66546200000005</v>
      </c>
      <c r="H326" s="3">
        <f>0+(461.2-166.6)+(0+(-0.235212--0.084966))+0-30.5--0.0155549999999969</f>
        <v>263.96530900000005</v>
      </c>
      <c r="I326" s="3">
        <f>0+(374.2-92.3)+(0+(0.190842-0.047073))+0-30.7-0.0156569999999969</f>
        <v>251.328112</v>
      </c>
      <c r="J326" s="3">
        <f>0+(283.2-7.8)+(0+(-0.433296--0.011934))+0-31.5--0.0481950000000018</f>
        <v>243.52683299999998</v>
      </c>
      <c r="K326" s="3">
        <f>0+(342.1-67.5)+(0+(0-0))+0-31.1-0</f>
        <v>243.50000000000003</v>
      </c>
      <c r="L326" s="3">
        <f>0+(438.8-164)+(0+(-1.342728--0.50184))+0-31.2--0.0954720000000036</f>
        <v>242.85458400000002</v>
      </c>
      <c r="M326" s="3">
        <f>0+(393.6-125.8)+(0+(-0.401472--0.128316))+0-31.1--0.031722000000005</f>
        <v>236.45856600000005</v>
      </c>
      <c r="N326" s="3">
        <f>0+(436.7-162)+(0+(0.445434-0.16524))+0-31.3-0.031926000000005</f>
        <v>243.64826799999997</v>
      </c>
      <c r="O326" s="3">
        <f>0+(424-141.7)+(0+(1.0812-0.361335))+0-31.1-0.0793049999999955</f>
        <v>251.84056000000004</v>
      </c>
      <c r="P326" s="3">
        <f>0+(405.3-114.4)+(0+(0.413406-0.116688))+0-31.4-0.032028000000005</f>
        <v>259.76468999999997</v>
      </c>
      <c r="Q326" s="3">
        <f>0+(390.2-99.1)+(0+(-0.796008--0.202164))+0-31.4--0.0640559999999986</f>
        <v>259.17021200000005</v>
      </c>
      <c r="R326" s="3">
        <f>0+(423.6-141.4)+(0+(0-0))+0-30.9-0</f>
        <v>251.30000000000004</v>
      </c>
      <c r="S326" s="3">
        <f>0+(403.3-131.3)+(0+(-0.411366--0.133926))+0-31.5--0.032130000000005</f>
        <v>240.25468999999998</v>
      </c>
      <c r="T326" s="3">
        <f>0+(395.4-128.6)+(0+(0.604962-0.196758))+0-31.1-0.0475830000000018</f>
        <v>236.06062099999997</v>
      </c>
      <c r="U326" s="3">
        <f>0+(363-101.2)+(0+(-0.37026--0.103224))+0-30--0.0306000000000048</f>
        <v>231.56356399999999</v>
      </c>
      <c r="V326" s="3">
        <f>0+(353.4-89)+(0+(0.180234-0.04539))+0-30.7-0.0156569999999969</f>
        <v>233.81918699999997</v>
      </c>
      <c r="W326" s="3">
        <f>0+(323.6-23)+(0+(-0.330072--0.02346))+0-31.3--0.031926000000005</f>
        <v>269.02531400000004</v>
      </c>
      <c r="X326" s="3">
        <f>0+(329.8-12.5)+(0+(0.336396-0.01275))+0-32.1-0.0327420000000051</f>
        <v>285.490904</v>
      </c>
      <c r="Y326" s="3">
        <f>0+(340.7-21.3)+(0+(-0.521271--0.032589))+0-32.9--0.0503370000000019</f>
        <v>286.06165500000003</v>
      </c>
      <c r="Z326" s="3">
        <f>0+(396.3-84.7)+(0+(-0.606339--0.129591))+0-32.7--0.0500310000000019</f>
        <v>278.47328300000004</v>
      </c>
      <c r="AA326" s="3">
        <f>0+(438.9-141.4)+(0+(-1.119195--0.36057))+0-32--0.0815999999999954</f>
        <v>264.82297499999999</v>
      </c>
      <c r="AB326" s="3">
        <f>0+(407.7-107.7)+(0+(-0.207927--0.054927))+0-31.6--0.0161159999999968</f>
        <v>268.26311599999997</v>
      </c>
      <c r="AC326" s="3">
        <f>0+(369.6-70.2)+(0+(-0.94248--0.17901))+0-31.7--0.0808349999999954</f>
        <v>267.01736500000004</v>
      </c>
      <c r="AD326" s="2">
        <v>288.90000000000003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0+(377.2-90.9)+(0+(-0.577116--0.139077))+0-31.7--0.0485010000000018</f>
        <v>254.21046199999998</v>
      </c>
      <c r="G327" s="3">
        <f>0+(277.7-5.9)+(0+(-0.708135--0.015045))+0-31.7--0.0808349999999954</f>
        <v>239.48774500000005</v>
      </c>
      <c r="H327" s="3">
        <f>0+(285.8-16.8)+(0+(-0.145758--0.008568))+0-31.5--0.0160649999999968</f>
        <v>237.37887500000002</v>
      </c>
      <c r="I327" s="3">
        <f>0+(297.8-24)+(0+(-0.151878--0.01224))+0-31.2--0.0159119999999968</f>
        <v>242.47627400000002</v>
      </c>
      <c r="J327" s="3">
        <f>0+(289.1-16.7)+(0+(-0.294882--0.017034))+0-30.9--0.0315180000000049</f>
        <v>241.25367000000003</v>
      </c>
      <c r="K327" s="3">
        <f>0+(301.1-24.9)+(0+(0.614244-0.050796))+0-31-0.0632399999999986</f>
        <v>245.70020800000003</v>
      </c>
      <c r="L327" s="3">
        <f>0+(437.8-157.2)+(0+(-0.223278--0.080172))+0-31.4--0.0160139999999968</f>
        <v>249.07290800000001</v>
      </c>
      <c r="M327" s="3">
        <f>0+(553.6-251.2)+(0+(0.282336-0.128112))+0-31.1-0.0158609999999968</f>
        <v>271.43836300000004</v>
      </c>
      <c r="N327" s="3">
        <f>0+(700.2-368)+(0+(-0.714204--0.37536))+0-30.6--0.0312120000000049</f>
        <v>301.29236800000001</v>
      </c>
      <c r="O327" s="3">
        <f>0+(692.4-351.5)+(0+(0.706248-0.35853))+0-30.9-0.0315180000000049</f>
        <v>310.31619999999998</v>
      </c>
      <c r="P327" s="3">
        <f>0+(671.5-322.5)+(0+(-1.712325--0.822375))+0-31.1--0.0793049999999955</f>
        <v>317.08935499999995</v>
      </c>
      <c r="Q327" s="3">
        <f>0+(626.1-281.5)+(0+(0.319311-0.143565))+0-31.6-0.0161159999999968</f>
        <v>313.15962999999999</v>
      </c>
      <c r="R327" s="3">
        <f>0+(551.5-215.6)+(0+(-0.281265--0.109956))+0-31.3--0.0159629999999968</f>
        <v>304.44465399999996</v>
      </c>
      <c r="S327" s="3">
        <f>0+(449.1-124.4)+(0+(0.229041-0.063444))+0-30.7-0.0156569999999969</f>
        <v>294.14994000000007</v>
      </c>
      <c r="T327" s="3">
        <f>0+(536.1-212.4)+(0+(0-0))+0-30.6-0</f>
        <v>293.10000000000002</v>
      </c>
      <c r="U327" s="3">
        <f>0+(545.2-224.9)+(0+(0-0))+0-31-0</f>
        <v>289.30000000000007</v>
      </c>
      <c r="V327" s="3">
        <f>0+(644.3-322.4)+(0+(-0.328593--0.164424))+0-30.9--0.0157589999999969</f>
        <v>290.85158999999999</v>
      </c>
      <c r="W327" s="3">
        <f>0+(532.2-196.2)+(0+(0.814266-0.300186))+0-31.2-0.0477360000000018</f>
        <v>305.26634400000006</v>
      </c>
      <c r="X327" s="3">
        <f>0+(432.4-83.4)+(0+(-0.661572--0.127602))+0-31.9--0.0488070000000018</f>
        <v>316.61483700000002</v>
      </c>
      <c r="Y327" s="3">
        <f>0+(423.5-76.6)+(0+(-0.86394--0.156264))+0-31.6--0.0644639999999986</f>
        <v>314.65678799999995</v>
      </c>
      <c r="Z327" s="3">
        <f>0+(438-104.1)+(0+(-0.44676--0.106182))+0-31.5--0.032130000000005</f>
        <v>302.09155199999998</v>
      </c>
      <c r="AA327" s="3">
        <f>0+(478.9-154.6)+(0+(-0.488478--0.157692))+0-31.5--0.032130000000005</f>
        <v>292.50134399999996</v>
      </c>
      <c r="AB327" s="3">
        <f>0+(478.2-158.2)+(0+(-0.243882--0.080682))+0-31.5--0.0160649999999968</f>
        <v>288.35286499999995</v>
      </c>
      <c r="AC327" s="3">
        <f>0+(440.3-127.7)+(0+(-1.122765--0.325635))+0-31.4--0.0800699999999954</f>
        <v>280.48294000000004</v>
      </c>
      <c r="AD327" s="2">
        <v>319.10000000000002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0+(297.2-0)+(0+(-0.606288-0))+0-31.4--0.0640559999999986</f>
        <v>265.257768</v>
      </c>
      <c r="G328" s="3">
        <f>0+(283.3-0)+(0+(0.288966-0))+0-30.9-0.0315180000000049</f>
        <v>252.65744800000002</v>
      </c>
      <c r="H328" s="3">
        <f>0+(278.8-0)+(0+(-0.142188-0))+0-31.2--0.0159119999999968</f>
        <v>247.47372400000003</v>
      </c>
      <c r="I328" s="3">
        <f>0+(276.6-0)+(0+(0.141066-0))+0-31.3-0.0159629999999968</f>
        <v>245.42510300000004</v>
      </c>
      <c r="J328" s="3">
        <f>0+(276.8-0)+(0+(-0.141168-0))+0-31--0.0158099999999969</f>
        <v>245.67464200000001</v>
      </c>
      <c r="K328" s="3">
        <f>0+(310.4-30.5)+(0+(0.474912-0.046665))+0-31.1-0.0475830000000018</f>
        <v>249.18066399999998</v>
      </c>
      <c r="L328" s="3">
        <f>0+(302.2-18.7)+(0+(0-0))+0-31.2-0</f>
        <v>252.3</v>
      </c>
      <c r="M328" s="3">
        <f>0+(297.7-26.7)+(0+(0.151827-0.013617))+0-31.5-0.0160649999999968</f>
        <v>239.62214500000002</v>
      </c>
      <c r="N328" s="3">
        <f>0+(297.8-16.4)+(0+(0.151878-0.008364))+0-31.5-0.0160649999999968</f>
        <v>250.02744900000002</v>
      </c>
      <c r="O328" s="3">
        <f>0+(298.2-7)+(0+(0-0))+0-32-0</f>
        <v>259.2</v>
      </c>
      <c r="P328" s="3">
        <f>0+(301-4.1)+(0+(-0.15351--0.002091))+0-31.5--0.0160649999999968</f>
        <v>265.26464599999997</v>
      </c>
      <c r="Q328" s="3">
        <f>0+(305.6-10.6)+(0+(-0.155856--0.005406))+0-31.7--0.0161669999999968</f>
        <v>263.16571700000003</v>
      </c>
      <c r="R328" s="3">
        <f>0+(301.8-6.5)+(0+(-0.153918--0.003315))+0-32.2--0.0164219999999967</f>
        <v>262.96581900000001</v>
      </c>
      <c r="S328" s="3">
        <f>0+(321.9-34.9)+(0+(0.164169-0.017799))+0-32.3-0.0164729999999967</f>
        <v>254.82989699999999</v>
      </c>
      <c r="T328" s="3">
        <f>0+(352-58)+(0+(0.17952-0.02958))+0-32-0.0163199999999968</f>
        <v>262.13362000000001</v>
      </c>
      <c r="U328" s="3">
        <f>0+(384.1-95.1)+(0+(-0.783564--0.194004))+0-32.1--0.0654839999999986</f>
        <v>256.375924</v>
      </c>
      <c r="V328" s="3">
        <f>0+(373.9-90)+(0+(0.572067-0.1377))+0-32.3-0.0494190000000019</f>
        <v>251.98494799999997</v>
      </c>
      <c r="W328" s="3">
        <f>0+(429.5-110.6)+(0+(0.219045-0.056406))+0-33.8-0.0172379999999966</f>
        <v>285.24540099999996</v>
      </c>
      <c r="X328" s="3">
        <f>0+(466.7-130.1)+(0+(0-0))+0-34.5-0</f>
        <v>302.10000000000002</v>
      </c>
      <c r="Y328" s="3">
        <f>0+(453.8-120)+(0+(-0.694314--0.1836))+0-34.6--0.052938000000002</f>
        <v>298.74222399999996</v>
      </c>
      <c r="Z328" s="3">
        <f>0+(439.3-107.1)+(0+(-0.896172--0.218484))+0-33.8--0.0689519999999985</f>
        <v>297.79126400000007</v>
      </c>
      <c r="AA328" s="3">
        <f>0+(409.1-78.1)+(0+(-1.043205--0.199155))+0-32.8--0.0836399999999952</f>
        <v>297.43959000000001</v>
      </c>
      <c r="AB328" s="3">
        <f>0+(379.7-59.7)+(0+(-0.193647--0.030447))+0-32.8--0.0167279999999967</f>
        <v>287.05352799999997</v>
      </c>
      <c r="AC328" s="3">
        <f>0+(341.5-32.6)+(0+(-0.522495--0.049878))+0-32.3--0.0494190000000019</f>
        <v>276.17680199999995</v>
      </c>
      <c r="AD328" s="2">
        <v>300.39999999999998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0+(346.7-50.7)+(0+(0-0))+0-31.7-0</f>
        <v>264.3</v>
      </c>
      <c r="G329" s="3">
        <f>0+(348.3-53.2)+(0+(-0.177633--0.027132))+0-31.7--0.0161669999999968</f>
        <v>263.26566600000001</v>
      </c>
      <c r="H329" s="3">
        <f>0+(341-54.4)+(0+(0-0))+0-31.1-0</f>
        <v>255.50000000000003</v>
      </c>
      <c r="I329" s="3">
        <f>0+(358.9-73.6)+(0+(-0.183039--0.037536))+0-30.3--0.0154529999999969</f>
        <v>254.86994999999993</v>
      </c>
      <c r="J329" s="3">
        <f>0+(352.2-74.3)+(0+(0-0))+0-31.6-0</f>
        <v>246.29999999999998</v>
      </c>
      <c r="K329" s="3">
        <f>0+(354.7-73.9)+(0+(0.361794-0.075378))+0-31.1-0.031722000000005</f>
        <v>249.95469399999993</v>
      </c>
      <c r="L329" s="3">
        <f>0+(361.9-70.1)+(0+(-0.369138--0.071502))+0-31--0.0316200000000049</f>
        <v>260.53398399999998</v>
      </c>
      <c r="M329" s="3">
        <f>0+(372.4-64.8)+(0+(-0.189924--0.033048))+0-31.9--0.0162689999999968</f>
        <v>275.559393</v>
      </c>
      <c r="N329" s="3">
        <f>0+(443.5-108.2)+(0+(-0.45237--0.110364))+0-30.4--0.0310080000000048</f>
        <v>304.58900199999999</v>
      </c>
      <c r="O329" s="3">
        <f>0+(549.8-194)+(0+(-1.40199--0.4947))+0-31.1--0.0793049999999955</f>
        <v>323.87201499999992</v>
      </c>
      <c r="P329" s="3">
        <f>0+(563.6-204.6)+(0+(-0.862308--0.313038))+0-30.6--0.0468180000000018</f>
        <v>327.89754800000003</v>
      </c>
      <c r="Q329" s="3">
        <f>0+(553.7-192.3)+(0+(-1.411935--0.490365))+0-30.2--0.0770099999999956</f>
        <v>330.35544000000004</v>
      </c>
      <c r="R329" s="3">
        <f>0+(572.8-222.1)+(0+(-0.584256--0.226542))+0-29.5--0.0300900000000047</f>
        <v>320.87237599999997</v>
      </c>
      <c r="S329" s="3">
        <f>0+(569.1-234.8)+(0+(-1.451205--0.59874))+0-30--0.0764999999999956</f>
        <v>303.52403500000003</v>
      </c>
      <c r="T329" s="3">
        <f>0+(615.2-284.4)+(0+(-0.313752--0.145044))+0-31.2--0.0159119999999968</f>
        <v>299.44720400000011</v>
      </c>
      <c r="U329" s="3">
        <f>0+(604-276.2)+(0+(0.30804-0.140862))+0-29.6-0.015095999999997</f>
        <v>298.352082</v>
      </c>
      <c r="V329" s="3">
        <f>0+(580.1-253.2)+(0+(-0.591702--0.258264))+0-30.6--0.0312120000000049</f>
        <v>295.99777399999999</v>
      </c>
      <c r="W329" s="3">
        <f>0+(405.9-61.7)+(0+(-0.207009--0.031467))+0-31.2--0.0159119999999968</f>
        <v>312.84037000000001</v>
      </c>
      <c r="X329" s="3">
        <f>0+(370-10.7)+(0+(0-0))+0-28.1-0</f>
        <v>331.2</v>
      </c>
      <c r="Y329" s="3">
        <f>0+(366.3-4.5)+(0+(-0.186813--0.002295))+0-32--0.0163199999999968</f>
        <v>329.63180199999999</v>
      </c>
      <c r="Z329" s="3">
        <f>0+(388.6-27.8)+(0+(0-0))+0-31.9-0</f>
        <v>328.90000000000003</v>
      </c>
      <c r="AA329" s="3">
        <f>0+(442.8-98.9)+(0+(-0.677484--0.151317))+0-31.3--0.0478890000000018</f>
        <v>312.12172199999998</v>
      </c>
      <c r="AB329" s="3">
        <f>0+(487.5-154.4)+(0+(-0.9945--0.314976))+0-31.8--0.0648719999999986</f>
        <v>300.68534799999998</v>
      </c>
      <c r="AC329" s="3">
        <f>0+(519.3-197.7)+(0+(-1.324215--0.504135))+0-31.7--0.0808349999999954</f>
        <v>289.16075499999994</v>
      </c>
      <c r="AD329" s="2">
        <v>332.5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0+(472.7-166)+(0+(-0.241077--0.08466))+0-31.8--0.0162179999999968</f>
        <v>274.75980099999998</v>
      </c>
      <c r="G330" s="3">
        <f>0+(351-57.9)+(0+(-0.35802--0.059058))+0-31.4--0.032028000000005</f>
        <v>261.43306600000005</v>
      </c>
      <c r="H330" s="3">
        <f>0+(325.7-36)+(0+(0.166107-0.01836))+0-31.5-0.0160649999999968</f>
        <v>258.331682</v>
      </c>
      <c r="I330" s="3">
        <f>0+(277.5-1.8)+(0+(-0.28305--0.001836))+0-31.2--0.031824000000005</f>
        <v>244.25061000000002</v>
      </c>
      <c r="J330" s="3">
        <f>0+(277.9-0)+(0+(-0.283458-0))+0-32.1--0.0327420000000051</f>
        <v>245.549284</v>
      </c>
      <c r="K330" s="3">
        <f>0+(297.7-11.1)+(0+(-0.455481--0.016983))+0-31.6--0.0483480000000018</f>
        <v>254.60984999999999</v>
      </c>
      <c r="L330" s="3">
        <f>0+(382.8-91.2)+(0+(-0.585684--0.139536))+0-32.1--0.0491130000000019</f>
        <v>259.10296499999998</v>
      </c>
      <c r="M330" s="3">
        <f>0+(537.7-226.9)+(0+(-0.822681--0.347157))+0-30.6--0.0468180000000018</f>
        <v>279.77129400000001</v>
      </c>
      <c r="N330" s="3">
        <f>0+(583.8-239.8)+(0+(0-0))+0-31.4-0</f>
        <v>312.59999999999997</v>
      </c>
      <c r="O330" s="3">
        <f>0+(548.3-197.4)+(0+(-0.559266--0.201348))+0-31.4--0.032028000000005</f>
        <v>319.17411000000004</v>
      </c>
      <c r="P330" s="3">
        <f>0+(488.2-136.7)+(0+(-0.248982--0.069717))+0-31.7--0.0161669999999968</f>
        <v>319.63690200000002</v>
      </c>
      <c r="Q330" s="3">
        <f>0+(520.5-166.1)+(0+(-0.53091--0.169422))+0-31.5--0.032130000000005</f>
        <v>322.57064199999996</v>
      </c>
      <c r="R330" s="3">
        <f>0+(497.4-146)+(0+(-1.014696--0.29784))+0-31.5--0.0642599999999986</f>
        <v>319.24740399999996</v>
      </c>
      <c r="S330" s="3">
        <f>0+(505-162.9)+(0+(0-0))+0-31-0</f>
        <v>311.10000000000002</v>
      </c>
      <c r="T330" s="3">
        <f>0+(433.6-92.4)+(0+(0.442272-0.094248))+0-31.2-0.031824000000005</f>
        <v>310.31620000000004</v>
      </c>
      <c r="U330" s="3">
        <f>0+(453.5-118.2)+(0+(-0.231285--0.060282))+0-32--0.0163199999999968</f>
        <v>303.14531700000003</v>
      </c>
      <c r="V330" s="3">
        <f>0+(507.2-173)+(0+(-0.517344--0.17646))+0-31.3--0.031926000000005</f>
        <v>302.59104199999996</v>
      </c>
      <c r="W330" s="3">
        <f>0+(375.3-20.5)+(0+(0.574209-0.031365))+0-32.4-0.0495720000000019</f>
        <v>322.89327200000002</v>
      </c>
      <c r="X330" s="3">
        <f>0+(374.8-0)+(0+(-0.382296-0))+0-31.8--0.0324360000000051</f>
        <v>342.65014000000002</v>
      </c>
      <c r="Y330" s="3">
        <f>0+(436.1-70.4)+(0+(-0.222411--0.035904))+0-32--0.0163199999999968</f>
        <v>333.52981300000005</v>
      </c>
      <c r="Z330" s="3">
        <f>0+(439.5-80.9)+(0+(0-0))+0-31.7-0</f>
        <v>326.90000000000003</v>
      </c>
      <c r="AA330" s="3">
        <f>0+(407.5-51.6)+(0+(0-0))+0-31.5-0</f>
        <v>324.39999999999998</v>
      </c>
      <c r="AB330" s="3">
        <f>0+(349.8-6.1)+(0+(-1.248786--0.021777))+0-31.1--0.111027</f>
        <v>311.48401799999994</v>
      </c>
      <c r="AC330" s="3">
        <f>0+(351.3-17.8)+(0+(-1.254141--0.063546))+0-31.8--0.113526</f>
        <v>300.62293099999999</v>
      </c>
      <c r="AD330" s="2">
        <v>339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0+(320.9-15.5)+(0+(0-0))+0-31.6-0</f>
        <v>273.79999999999995</v>
      </c>
      <c r="G331" s="3">
        <f>0+(295.7-0)+(0+(0-0))+0-31.6-0</f>
        <v>264.09999999999997</v>
      </c>
      <c r="H331" s="3">
        <f>0+(300.6-7)+(0+(0.153306-0.00357))+0-31.9-0.0162689999999968</f>
        <v>261.83346700000004</v>
      </c>
      <c r="I331" s="3">
        <f>0+(290.3-0)+(0+(0-0))+0-31.5-0</f>
        <v>258.8</v>
      </c>
      <c r="J331" s="3">
        <f>0+(387.9-92.7)+(0+(0-0))+0-30.8-0</f>
        <v>264.39999999999998</v>
      </c>
      <c r="K331" s="3">
        <f>0+(416.4-115.3)+(0+(0.424728-0.117606))+0-31-0.0316200000000049</f>
        <v>270.37550199999993</v>
      </c>
      <c r="L331" s="3">
        <f>0+(487.8-186.7)+(0+(0-0))+0-31.2-0</f>
        <v>269.90000000000003</v>
      </c>
      <c r="M331" s="3">
        <f>0+(536.8-219)+(0+(-0.547536--0.22338))+0-30--0.0306000000000048</f>
        <v>287.50644399999993</v>
      </c>
      <c r="N331" s="3">
        <f>0+(521.1-182.6)+(0+(0.531522-0.186252))+0-30.8-0.0314160000000049</f>
        <v>308.01385400000004</v>
      </c>
      <c r="O331" s="3">
        <f>0+(482.9-123.8)+(0+(-1.231395--0.31569))+0-30.9--0.0787949999999955</f>
        <v>327.36309</v>
      </c>
      <c r="P331" s="3">
        <f>0+(476.1-108)+(0+(-0.242811--0.05508))+0-31.2--0.0159119999999968</f>
        <v>336.72818100000006</v>
      </c>
      <c r="Q331" s="3">
        <f>0+(433.4-60.8)+(0+(-0.663102--0.093024))+0-31.5--0.0481950000000018</f>
        <v>340.57811699999996</v>
      </c>
      <c r="R331" s="3">
        <f>0+(396-21.8)+(0+(-0.20196--0.011118))+0-30.9--0.0157589999999969</f>
        <v>343.12491700000004</v>
      </c>
      <c r="S331" s="3">
        <f>0+(364.9-2.8)+(0+(-0.372198--0.002856))+0-31.1--0.031722000000005</f>
        <v>330.66237999999993</v>
      </c>
      <c r="T331" s="3">
        <f>0+(397-32.1)+(0+(0.40494-0.032742))+0-31.1-0.031722000000005</f>
        <v>334.14047599999998</v>
      </c>
      <c r="U331" s="3">
        <f>0+(408.1-53.6)+(0+(-0.208131--0.027336))+0-31.1--0.0158609999999968</f>
        <v>323.23506599999996</v>
      </c>
      <c r="V331" s="3">
        <f>0+(444.1-94)+(0+(-1.132455--0.2397))+0-27.2--0.0693599999999961</f>
        <v>322.07660500000003</v>
      </c>
      <c r="W331" s="3">
        <f>0+(363.6-0)+(0+(0.556308-0))+0-28.9-0.0442170000000017</f>
        <v>335.21209100000004</v>
      </c>
      <c r="X331" s="3">
        <f>0+(367.8-0)+(0+(0-0))+0-31.5-0</f>
        <v>336.3</v>
      </c>
      <c r="Y331" s="3">
        <f>0+(356.1-0)+(0+(-0.726444-0))+0-29.1--0.0593639999999987</f>
        <v>326.33292</v>
      </c>
      <c r="Z331" s="3">
        <f>0+(389.5-35.8)+(0+(-0.79458--0.073032))+0-26.8--0.0546719999999988</f>
        <v>326.23312399999998</v>
      </c>
      <c r="AA331" s="3">
        <f>0+(457.1-112.6)+(0+(-0.233121--0.057426))+0-30--0.015299999999997</f>
        <v>314.33960500000001</v>
      </c>
      <c r="AB331" s="3">
        <f>0+(467.4-129.6)+(0+(-0.953496--0.264384))+0-32--0.0652799999999986</f>
        <v>305.1761679999999</v>
      </c>
      <c r="AC331" s="3">
        <f>0+(472.7-144.6)+(0+(-0.964308--0.294984))+0-30.4--0.0620159999999987</f>
        <v>297.092692</v>
      </c>
      <c r="AD331" s="2">
        <v>332.1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0+(424.5-109.6)+(0+(-0.86598--0.223584))+0-29.8--0.0607919999999987</f>
        <v>284.51839599999994</v>
      </c>
      <c r="G332" s="3">
        <f>0+(301.8-4.3)+(0+(-0.153918--0.002193))+0-28.6--0.0145859999999971</f>
        <v>268.76286099999999</v>
      </c>
      <c r="H332" s="3">
        <f>0+(302.3-4.3)+(0+(-0.308346--0.004386))+0-31--0.0316200000000049</f>
        <v>266.72766000000001</v>
      </c>
      <c r="I332" s="3">
        <f>0+(285-0)+(0+(-0.2907-0))+0-30.2--0.0308040000000048</f>
        <v>254.54010400000001</v>
      </c>
      <c r="J332" s="3">
        <f>0+(289-0)+(0+(0.14739-0))+0-31.3-0.0159629999999968</f>
        <v>257.83142699999996</v>
      </c>
      <c r="K332" s="3">
        <f>0+(294.4-0)+(0+(-0.150144-0))+0-28.6--0.0145859999999971</f>
        <v>265.66444199999995</v>
      </c>
      <c r="L332" s="3">
        <f>0+(349.3-45.1)+(0+(-0.712572--0.092004))+0-29.9--0.0609959999999987</f>
        <v>273.74042800000001</v>
      </c>
      <c r="M332" s="3">
        <f>0+(374-66.6)+(0+(0.38148-0.067932))+0-27.2-0.0277440000000043</f>
        <v>280.48580400000003</v>
      </c>
      <c r="N332" s="3">
        <f>0+(379.6-39)+(0+(-0.387192--0.03978))+0-29.2--0.0297840000000047</f>
        <v>311.08237200000002</v>
      </c>
      <c r="O332" s="3">
        <f>0+(397.2-51.9)+(0+(1.01286-0.132345))+0-28.8-0.0734399999999958</f>
        <v>317.307075</v>
      </c>
      <c r="P332" s="3">
        <f>0+(354.7-5.6)+(0+(-0.542691--0.008568))+0-28.9--0.0442170000000017</f>
        <v>319.71009399999997</v>
      </c>
      <c r="Q332" s="3">
        <f>0+(367.6-12.4)+(0+(-0.374952--0.012648))+0-28--0.0285600000000045</f>
        <v>326.86625600000008</v>
      </c>
      <c r="R332" s="3">
        <f>0+(365.2-16.8)+(0+(-1.303764--0.059976))+0-29.5--0.105315</f>
        <v>317.761527</v>
      </c>
      <c r="S332" s="3">
        <f>0+(349.9-14.3)+(0+(-0.178449--0.007293))+0-27.9--0.0142289999999972</f>
        <v>307.54307299999999</v>
      </c>
      <c r="T332" s="3">
        <f>0+(355.8-25.2)+(0+(-0.181458--0.012852))+0-28.7--0.0146369999999971</f>
        <v>301.74603100000002</v>
      </c>
      <c r="U332" s="3">
        <f>0+(357.2-35.4)+(0+(-0.364344--0.036108))+0-26.7--0.0272340000000043</f>
        <v>294.79899800000004</v>
      </c>
      <c r="V332" s="3">
        <f>0+(357.9-44.9)+(0+(0.365058-0.045798))+0-25.7-0.0262140000000041</f>
        <v>287.59304600000002</v>
      </c>
      <c r="W332" s="3">
        <f>0+(311.4-0)+(0+(0.317628-0))+0-28.8-0.0293760000000046</f>
        <v>282.88825199999997</v>
      </c>
      <c r="X332" s="3">
        <f>0+(336.6-0)+(0+(-0.514998-0))+0-30.4--0.0465120000000018</f>
        <v>305.73151400000006</v>
      </c>
      <c r="Y332" s="3">
        <f>0+(334.8-0)+(0+(0.170748-0))+0-29.1-0.014840999999997</f>
        <v>305.855907</v>
      </c>
      <c r="Z332" s="3">
        <f>0+(330.5-0)+(0+(-0.33711-0))+0-30.5--0.0311100000000049</f>
        <v>299.69400000000002</v>
      </c>
      <c r="AA332" s="3">
        <f>0+(337.1-10.4)+(0+(0-0))+0-31.4-0</f>
        <v>295.30000000000007</v>
      </c>
      <c r="AB332" s="3">
        <f>0+(350.7-36.5)+(0+(-0.357714--0.03723))+0-30.4--0.0310080000000048</f>
        <v>283.51052399999998</v>
      </c>
      <c r="AC332" s="3">
        <f>0+(297.9-0)+(0+(0.151929-0))+0-31.5-0.0160649999999968</f>
        <v>266.535864</v>
      </c>
      <c r="AD332" s="2">
        <v>306.40000000000003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0+(282.8-0)+(0+(0.144228-0))+0-31.4-0.0160139999999968</f>
        <v>251.52821400000002</v>
      </c>
      <c r="G333" s="3">
        <f>0+(280.8-0)+(0+(0.143208-0))+0-32.3-0.0164729999999967</f>
        <v>248.62673500000002</v>
      </c>
      <c r="H333" s="3">
        <f>0+(269.3-0)+(0+(0-0))+0-32-0</f>
        <v>237.3</v>
      </c>
      <c r="I333" s="3">
        <f>0+(270.9-0)+(0+(-0.138159-0))+0-31.6--0.0161159999999968</f>
        <v>239.17795700000002</v>
      </c>
      <c r="J333" s="3">
        <f>0+(274.4-0)+(0+(-0.279888-0))+0-31.6--0.032232000000005</f>
        <v>242.55234399999995</v>
      </c>
      <c r="K333" s="3">
        <f>0+(270.3-0)+(0+(0.413559-0))+0-31.9-0.0488070000000018</f>
        <v>238.76475200000002</v>
      </c>
      <c r="L333" s="3">
        <f>0+(259.7-0)+(0+(-0.132447-0))+0-31.2--0.0159119999999968</f>
        <v>228.38346499999997</v>
      </c>
      <c r="M333" s="3">
        <f>0+(259.4-5.9)+(0+(0.264588-0.006018))+0-30.7-0.0313140000000049</f>
        <v>223.02725599999997</v>
      </c>
      <c r="N333" s="3">
        <f>0+(306.3-36.7)+(0+(-0.156213--0.018717))+0-30.9--0.0157589999999969</f>
        <v>238.57826300000002</v>
      </c>
      <c r="O333" s="3">
        <f>0+(288.1-9.9)+(0+(-0.146931--0.005049))+0-29.1--0.014840999999997</f>
        <v>248.97295900000003</v>
      </c>
      <c r="P333" s="3">
        <f>0+(276.5-0)+(0+(-0.56406-0))+0-29.8--0.0607919999999987</f>
        <v>246.196732</v>
      </c>
      <c r="Q333" s="3">
        <f>0+(278.3-0)+(0+(-0.425799-0))+0-31.6--0.0483480000000018</f>
        <v>246.32254900000004</v>
      </c>
      <c r="R333" s="3">
        <f>0+(274-0)+(0+(-0.97818-0))+0-30.7--0.109599</f>
        <v>242.43141900000001</v>
      </c>
      <c r="S333" s="3">
        <f>0+(260.7-0)+(0+(-0.265914-0))+0-30.8--0.0314160000000049</f>
        <v>229.66550199999998</v>
      </c>
      <c r="T333" s="3">
        <f>0+(261.2-0)+(0+(-0.133212-0))+0-30.5--0.0155549999999969</f>
        <v>230.58234299999998</v>
      </c>
      <c r="U333" s="3">
        <f>0+(292-27)+(0+(0.14892-0.01377))+0-29.6-0.015095999999997</f>
        <v>235.52005400000002</v>
      </c>
      <c r="V333" s="3">
        <f>0+(285.9-22.5)+(0+(0-0))+0-31-0</f>
        <v>232.39999999999998</v>
      </c>
      <c r="W333" s="3">
        <f>0+(349.3-63)+(0+(0-0))+0-31.1-0</f>
        <v>255.20000000000002</v>
      </c>
      <c r="X333" s="3">
        <f>0+(355-36.3)+(0+(-0.18105--0.018513))+0-31.9--0.0162689999999968</f>
        <v>286.65373200000005</v>
      </c>
      <c r="Y333" s="3">
        <f>0+(328.1-7.1)+(0+(-0.669324--0.014484))+0-31.4--0.0640559999999986</f>
        <v>289.00921600000004</v>
      </c>
      <c r="Z333" s="3">
        <f>0+(319-4.7)+(0+(-0.16269--0.002397))+0-32.1--0.0163709999999967</f>
        <v>282.05607799999996</v>
      </c>
      <c r="AA333" s="3">
        <f>0+(310.8-0)+(0+(-0.634032-0))+0-32.4--0.0660959999999986</f>
        <v>277.83206400000006</v>
      </c>
      <c r="AB333" s="3">
        <f>0+(308.8-0)+(0+(-0.78744-0))+0-32.9--0.0838949999999952</f>
        <v>275.19645500000001</v>
      </c>
      <c r="AC333" s="3">
        <f>0+(292.6-0)+(0+(-1.044582-0))+0-31.1--0.111027</f>
        <v>260.56644499999999</v>
      </c>
      <c r="AD333" s="2">
        <v>288.50000000000006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0+(292-11.3)+(0+(-0.7446--0.028815))+0-32--0.0815999999999954</f>
        <v>248.06581500000001</v>
      </c>
      <c r="G334" s="3">
        <f>0+(300.7-25.8)+(0+(-0.766785--0.06579))+0-31.2--0.0795599999999955</f>
        <v>243.078565</v>
      </c>
      <c r="H334" s="3">
        <f>0+(282.6-14.4)+(0+(-0.576504--0.029376))+0-31.5--0.0642599999999986</f>
        <v>236.21713200000005</v>
      </c>
      <c r="I334" s="3">
        <f>0+(286.9-23.9)+(0+(0.146319-0.012189))+0-29.5-0.015044999999997</f>
        <v>233.61908500000004</v>
      </c>
      <c r="J334" s="3">
        <f>0+(290.6-28.2)+(0+(-0.148206--0.014382))+0-31.3--0.0159629999999968</f>
        <v>230.98213900000002</v>
      </c>
      <c r="K334" s="3">
        <f>0+(305-39.3)+(0+(-0.3111--0.040086))+0-31.7--0.0323340000000051</f>
        <v>233.76132000000001</v>
      </c>
      <c r="L334" s="3">
        <f>0+(311.1-34.8)+(0+(-0.634644--0.070992))+0-31.2--0.0636479999999986</f>
        <v>244.59999600000003</v>
      </c>
      <c r="M334" s="3">
        <f>0+(308-8.6)+(0+(-0.15708--0.004386))+0-32.2--0.0164219999999967</f>
        <v>267.06372799999997</v>
      </c>
      <c r="N334" s="3">
        <f>0+(333.1-3.8)+(0+(0.169881-0.001938))+0-31.8-0.0162179999999968</f>
        <v>297.651725</v>
      </c>
      <c r="O334" s="3">
        <f>0+(352.4-8.3)+(0+(0.718896-0.016932))+0-28.6-0.0583439999999988</f>
        <v>316.14361999999994</v>
      </c>
      <c r="P334" s="3">
        <f>0+(336.5-0)+(0+(-0.34323-0))+0-23.1--0.0235620000000037</f>
        <v>313.080332</v>
      </c>
      <c r="Q334" s="3">
        <f>0+(346.1-0)+(0+(0-0))+0-30.5-0</f>
        <v>315.60000000000002</v>
      </c>
      <c r="R334" s="3">
        <f>0+(345.1-0)+(0+(-0.880005-0))+0-31.3--0.0798149999999955</f>
        <v>312.99981000000002</v>
      </c>
      <c r="S334" s="3">
        <f>0+(321-0)+(0+(0.16371-0))+0-31.6-0.0161159999999968</f>
        <v>289.54759399999995</v>
      </c>
      <c r="T334" s="3">
        <f>0+(319.8-0)+(0+(0-0))+0-31.1-0</f>
        <v>288.7</v>
      </c>
      <c r="U334" s="3">
        <f>0+(313.1-0)+(0+(0-0))+0-32.2-0</f>
        <v>280.90000000000003</v>
      </c>
      <c r="V334" s="3">
        <f>0+(324-0)+(0+(0.49572-0))+0-32.5-0.0497250000000019</f>
        <v>291.94599499999998</v>
      </c>
      <c r="W334" s="3">
        <f>0+(403.8-57.9)+(0+(0.617814-0.088587))+0-32.7-0.0500310000000019</f>
        <v>313.67919600000005</v>
      </c>
      <c r="X334" s="3">
        <f>0+(393.2-26.7)+(0+(0.601596-0.040851))+0-32.5-0.0497250000000019</f>
        <v>334.51101999999997</v>
      </c>
      <c r="Y334" s="3">
        <f>0+(378.5-16.7)+(0+(-0.579105--0.025551))+0-31.6--0.0483480000000018</f>
        <v>329.69479399999994</v>
      </c>
      <c r="Z334" s="3">
        <f>0+(350.1-0)+(0+(-0.357102-0))+0-30.5--0.0311100000000049</f>
        <v>319.27400800000004</v>
      </c>
      <c r="AA334" s="3">
        <f>0+(318.1-0)+(0+(-0.324462-0))+0-29.8--0.0303960000000048</f>
        <v>288.00593400000002</v>
      </c>
      <c r="AB334" s="3">
        <f>0+(332.4-0)+(0+(-1.186668-0))+0-28.9--0.103173</f>
        <v>302.41650500000003</v>
      </c>
      <c r="AC334" s="3">
        <f>0+(317.6-0)+(0+(-0.647904-0))+0-30.2--0.0616079999999987</f>
        <v>286.81370400000003</v>
      </c>
      <c r="AD334" s="2">
        <v>333.8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0+(303.6-0)+(0+(-0.309672-0))+0-30.9--0.0315180000000049</f>
        <v>272.42184600000007</v>
      </c>
      <c r="G335" s="3">
        <f>0+(300.4-0)+(0+(-0.612816-0))+0-30.1--0.0614039999999987</f>
        <v>269.74858799999993</v>
      </c>
      <c r="H335" s="3">
        <f>0+(297.4-0)+(0+(0-0))+0-28.2-0</f>
        <v>269.2</v>
      </c>
      <c r="I335" s="3">
        <f>0+(294.6-0)+(0+(-0.450738-0))+0-29.6--0.0452880000000017</f>
        <v>264.59455000000003</v>
      </c>
      <c r="J335" s="3">
        <f>0+(296-0)+(0+(0.15096-0))+0-29.8-0.015197999999997</f>
        <v>266.33576199999999</v>
      </c>
      <c r="K335" s="3">
        <f>0+(288.8-0)+(0+(0-0))+0-30.9-0</f>
        <v>257.90000000000003</v>
      </c>
      <c r="L335" s="3">
        <f>0+(299-0)+(0+(-0.30498-0))+0-31.5--0.032130000000005</f>
        <v>267.22714999999999</v>
      </c>
      <c r="M335" s="3">
        <f>0+(317.9-0)+(0+(0-0))+0-32.2-0</f>
        <v>285.7</v>
      </c>
      <c r="N335" s="3">
        <f>0+(356-6.8)+(0+(-0.18156--0.003468))+0-31.1--0.0158609999999968</f>
        <v>317.93776899999995</v>
      </c>
      <c r="O335" s="3">
        <f>0+(352-0)+(0+(0.53856-0))+0-31.4-0.0480420000000018</f>
        <v>321.09051800000003</v>
      </c>
      <c r="P335" s="3">
        <f>0+(354.4-0)+(0+(0.361488-0))+0-31.6-0.032232000000005</f>
        <v>323.12925599999994</v>
      </c>
      <c r="Q335" s="3">
        <f>0+(364.5-0)+(0+(-0.185895-0))+0-31.2--0.0159119999999968</f>
        <v>333.13001700000001</v>
      </c>
      <c r="R335" s="3">
        <f>0+(357.4-0)+(0+(0-0))+0-31.7-0</f>
        <v>325.7</v>
      </c>
      <c r="S335" s="3">
        <f>0+(355.4-7.2)+(0+(-0.725016--0.014688))+0-32--0.0652799999999986</f>
        <v>315.55495199999996</v>
      </c>
      <c r="T335" s="3">
        <f>0+(389-41.9)+(0+(-0.19839--0.021369))+0-32--0.0163199999999968</f>
        <v>314.93929900000001</v>
      </c>
      <c r="U335" s="3">
        <f>0+(374.4-33.6)+(0+(-0.381888--0.034272))+0-31.5--0.032130000000005</f>
        <v>308.98451399999993</v>
      </c>
      <c r="V335" s="3">
        <f>0+(363.4-15.9)+(0+(-0.185334--0.008109))+0-31.6--0.0161159999999968</f>
        <v>315.73889099999997</v>
      </c>
      <c r="W335" s="3">
        <f>48.7+(307-0)+(0.024837+(0.15657-0))+0-32.1-0.0163709999999967</f>
        <v>323.76503599999995</v>
      </c>
      <c r="X335" s="3">
        <f>133.1+(239.5-0)+(0.067881+(0.122145-0))+0-32.2-0.0164219999999967</f>
        <v>340.57360400000005</v>
      </c>
      <c r="Y335" s="3">
        <f>136.3+(227.2-0)+(-0.278052+(-0.463488-0))+0-32.4--0.0660959999999986</f>
        <v>330.42455600000005</v>
      </c>
      <c r="Z335" s="3">
        <f>137.6+(234.6-8.9)+(-0.140352+(-0.239292--0.009078))+0-31.4--0.032028000000005</f>
        <v>331.56146200000001</v>
      </c>
      <c r="AA335" s="3">
        <f>138.1+(293.6-82.9)+(0+(0-0))+0-32-0</f>
        <v>316.8</v>
      </c>
      <c r="AB335" s="3">
        <f>139.1+(322.4-123.5)+(0+(0-0))+0-31.6-0</f>
        <v>306.39999999999998</v>
      </c>
      <c r="AC335" s="3">
        <f>27.6+(344.8-46.1)+(-0.07038+(-0.87924--0.117555))+0-31.5--0.0803249999999954</f>
        <v>294.04826000000003</v>
      </c>
      <c r="AD335" s="2">
        <v>339.7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0+(312.4-0)+(0+(-0.318648-0))+0-30.9--0.0315180000000049</f>
        <v>281.21287000000001</v>
      </c>
      <c r="G336" s="3">
        <f>0+(298.9-0)+(0+(0.457317-0))+0-30.6-0.0468180000000018</f>
        <v>268.71049899999991</v>
      </c>
      <c r="H336" s="3">
        <f>0+(297.9-0)+(0+(0-0))+0-30.4-0</f>
        <v>267.5</v>
      </c>
      <c r="I336" s="3">
        <f>0+(290.1-0)+(0+(0-0))+0-30.7-0</f>
        <v>259.40000000000003</v>
      </c>
      <c r="J336" s="3">
        <f>0+(289.2-0)+(0+(0-0))+0-30.5-0</f>
        <v>258.7</v>
      </c>
      <c r="K336" s="3">
        <f>0+(290.7-0)+(0+(0.593028-0))+0-28.9-0.0589559999999987</f>
        <v>262.33407199999999</v>
      </c>
      <c r="L336" s="3">
        <f>0+(303.9-8.3)+(0+(-0.774945--0.021165))+0-29.2--0.0744599999999958</f>
        <v>265.72067999999996</v>
      </c>
      <c r="M336" s="3">
        <f>85.2+(315.1-87.9)+(0.043452+(0.160701-0.044829))+0-31.2-0.0159119999999968</f>
        <v>281.34341200000006</v>
      </c>
      <c r="N336" s="3">
        <f>202.9+(299.7-158.3)+(-0.103479+(-0.152847--0.080733))+0-31.7--0.0161669999999968</f>
        <v>312.44057399999997</v>
      </c>
      <c r="O336" s="3">
        <f>269.1+(224.2-137.9)+(0.411723+(0.343026-0.210987))+0-31.4-0.0480420000000018</f>
        <v>324.49572000000001</v>
      </c>
      <c r="P336" s="3">
        <f>267.5+(202.3-107)+(-0.136425+(-0.103173--0.05457))+0-31.1--0.0158609999999968</f>
        <v>331.53083299999997</v>
      </c>
      <c r="Q336" s="3">
        <f>267.8+(213.3-112.4)+(0.409734+(0.326349-0.171972))+0-31.4-0.0480420000000018</f>
        <v>337.81606900000008</v>
      </c>
      <c r="R336" s="3">
        <f>263.9+(198.4-107.8)+(-0.807534+(-0.607104--0.329868))+0-23.3--0.0712980000000027</f>
        <v>330.18652800000001</v>
      </c>
      <c r="S336" s="3">
        <f>265.8+(208.7-143.9)+(-0.406674+(-0.319311--0.220167))+0-20.7--0.0316710000000012</f>
        <v>309.42585300000007</v>
      </c>
      <c r="T336" s="3">
        <f>267+(259.2-182.3)+(0.13617+(0.132192-0.092973))+0-31.6-0.0161159999999968</f>
        <v>312.45927299999994</v>
      </c>
      <c r="U336" s="3">
        <f>264.9+(292.8-210.3)+(0+(0-0))+0-31.9-0</f>
        <v>315.5</v>
      </c>
      <c r="V336" s="3">
        <f>270.5+(215.1-140.9)+(-0.27591+(-0.219402--0.143718))+0-31.4--0.032028000000005</f>
        <v>312.98043400000006</v>
      </c>
      <c r="W336" s="3">
        <f>264.7+(123.4-37.1)+(-0.539988+(-0.251736--0.075684))+0-32--0.0652799999999986</f>
        <v>318.34923999999995</v>
      </c>
      <c r="X336" s="3">
        <f>357+(78.9-64.5)+(-0.18207+(-0.040239--0.032895))+0-32.2--0.0164219999999967</f>
        <v>339.02700799999997</v>
      </c>
      <c r="Y336" s="3">
        <f>379.4+(68.2-78.8)+(-0.580482+(-0.104346--0.120564))+0-31.6--0.0483480000000018</f>
        <v>336.68408399999993</v>
      </c>
      <c r="Z336" s="3">
        <f>279.2+(128.7-49.5)+(-0.427176+(-0.196911--0.075735))+0-31.5--0.0481950000000018</f>
        <v>326.39984299999998</v>
      </c>
      <c r="AA336" s="3">
        <f>205+(232-96.2)+(-0.52275+(-0.5916--0.24531))+0-31.3--0.0798149999999955</f>
        <v>308.71077500000001</v>
      </c>
      <c r="AB336" s="3">
        <f>196.1+(293.1-157.7)+(-0.300033+(-0.448443--0.241281))+0-31.2--0.0477360000000018</f>
        <v>299.84054099999997</v>
      </c>
      <c r="AC336" s="3">
        <f>140+(259.1-31.1)+(-0.357+(-0.660705--0.079305))+0-31--0.0790499999999955</f>
        <v>336.14064999999999</v>
      </c>
      <c r="AD336" s="2">
        <v>336.79999999999995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140.1+(205.4-38.1)+(-0.142902+(-0.209508--0.038862))+0-30.6--0.0312120000000049</f>
        <v>276.51766399999991</v>
      </c>
      <c r="G337" s="3">
        <f>121.3+(185.9-6.1)+(0.061863+(0.094809-0.003111))+0-30.4-0.0155039999999969</f>
        <v>270.83805700000005</v>
      </c>
      <c r="H337" s="3">
        <f>65.6+(262.9-34)+(0.133824+(0.536316-0.06936))+0-30.7-0.0626279999999987</f>
        <v>264.33815199999998</v>
      </c>
      <c r="I337" s="3">
        <f>65.6+(257.3-28.7)+(0+(0-0))+0-30.9-0</f>
        <v>263.30000000000007</v>
      </c>
      <c r="J337" s="3">
        <f>65.6+(281.7-53.7)+(-0.033456+(-0.143667--0.027387))+0-29.8--0.015197999999997</f>
        <v>263.66546199999999</v>
      </c>
      <c r="K337" s="3">
        <f>131.9+(214.2-51.3)+(-0.336345+(-0.54621--0.130815))+0-30.5--0.0777749999999956</f>
        <v>263.62603499999994</v>
      </c>
      <c r="L337" s="3">
        <f>140+(257.2-86)+(-0.1428+(-0.262344--0.08772))+0-31.3--0.031926000000005</f>
        <v>279.61450199999996</v>
      </c>
      <c r="M337" s="3">
        <f>140.6+(275-91.8)+(-0.071706+(-0.14025--0.046818))+0-30.8--0.0157079999999969</f>
        <v>292.85056999999995</v>
      </c>
      <c r="N337" s="3">
        <f>138.2+(312.8-103.4)+(0+(0-0))+0-31.7-0</f>
        <v>315.90000000000003</v>
      </c>
      <c r="O337" s="3">
        <f>138.1+(294.3-88)+(0+(0-0))+0.5-31.2-0</f>
        <v>313.7</v>
      </c>
      <c r="P337" s="3">
        <f>135.4+(290.4-69.6)+(0+(0-0))+0-31.7-0</f>
        <v>324.5</v>
      </c>
      <c r="Q337" s="3">
        <f>133.7+(301.8-72.5)+(-0.204561+(-0.461754--0.110925))+0-31.9--0.0488070000000018</f>
        <v>330.59341700000004</v>
      </c>
      <c r="R337" s="3">
        <f>133.6+(305.3-85.3)+(-0.136272+(-0.311406--0.087006))+0-31--0.0316200000000049</f>
        <v>322.27094800000003</v>
      </c>
      <c r="S337" s="3">
        <f>133.9+(226.3-12.8)+(0.136578+(0.230826-0.013056))+0-30.4-0.0310080000000048</f>
        <v>317.32334000000003</v>
      </c>
      <c r="T337" s="3">
        <f>132.5+(233.8-17.8)+(0.067575+(0.119238-0.009078))+0-31.3-0.0159629999999968</f>
        <v>317.36177199999997</v>
      </c>
      <c r="U337" s="3">
        <f>130.9+(289.7-71.3)+(-0.066759+(-0.147747--0.036363))+0-31.2--0.0159119999999968</f>
        <v>317.937769</v>
      </c>
      <c r="V337" s="3">
        <f>158.5+(292.6-100.3)+(0+(0-0))+0-31.9-0</f>
        <v>318.90000000000003</v>
      </c>
      <c r="W337" s="3">
        <f>255.4+(171.2-62.9)+(0.390762+(0.261936-0.096237))+0-32.6-0.0498780000000019</f>
        <v>331.606583</v>
      </c>
      <c r="X337" s="3">
        <f>257+(164.3-44.1)+(-0.26214+(-0.167586--0.044982))+0-32.9--0.0335580000000052</f>
        <v>343.94881400000008</v>
      </c>
      <c r="Y337" s="3">
        <f>263.3+(129.2-29.7)+(0.268566+(0.131784-0.030294))+0-32.7-0.0333540000000052</f>
        <v>330.43670199999997</v>
      </c>
      <c r="Z337" s="3">
        <f>270.2+(142.1-57.8)+(0+(0-0))+0-24.8-0</f>
        <v>329.7</v>
      </c>
      <c r="AA337" s="3">
        <f>215.3+(205.9-70.5)+(-0.109803+(-0.105009--0.035955))+0-32.1--0.0163709999999967</f>
        <v>318.43751400000002</v>
      </c>
      <c r="AB337" s="3">
        <f>139.9+(307-103.6)+(-0.356745+(-0.78285--0.26418))+0-31.6--0.0805799999999954</f>
        <v>310.90516500000001</v>
      </c>
      <c r="AC337" s="3">
        <f>140.1+(362.6-167.3)+(-0.214353+(-0.554778--0.255969))+0-31.5--0.0481950000000018</f>
        <v>303.43503299999998</v>
      </c>
      <c r="AD337" s="2">
        <v>340.1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141.3+(323.7-142.9)+(-0.144126+(-0.330174--0.145758))+0-31.7--0.0323340000000051</f>
        <v>290.103792</v>
      </c>
      <c r="G338" s="3">
        <f>141.8+(257.7-87.6)+(-0.289272+(-0.525708--0.178704))+0-30.2--0.0616079999999987</f>
        <v>281.12533199999996</v>
      </c>
      <c r="H338" s="3">
        <f>141.3+(252.3-87.6)+(0+(0-0))+0-31.4-0</f>
        <v>274.60000000000002</v>
      </c>
      <c r="I338" s="3">
        <f>141.5+(239.3-78.7)+(0+(0-0))+0-30.8-0</f>
        <v>271.3</v>
      </c>
      <c r="J338" s="3">
        <f>109.3+(270.5-75.2)+(0.055743+(0.137955-0.038352))+0-31.9-0.0162689999999968</f>
        <v>272.83907700000003</v>
      </c>
      <c r="K338" s="3">
        <f>91.3+(289.6-72.4)+(0.093126+(0.295392-0.073848))+0-31.9-0.0325380000000051</f>
        <v>276.88213200000001</v>
      </c>
      <c r="L338" s="3">
        <f>90.9+(347.1-125.1)+(0.046359+(0.177021-0.063801))+0-31.8-0.0162179999999968</f>
        <v>281.24336100000005</v>
      </c>
      <c r="M338" s="3">
        <f>120.2+(385-177.5)+(0+(0-0))+0-30.5-0</f>
        <v>297.2</v>
      </c>
      <c r="N338" s="3">
        <f>136.2+(365.7-140.4)+(-0.069462+(-0.186507--0.071604))+0-31.2--0.0159119999999968</f>
        <v>330.13154700000001</v>
      </c>
      <c r="O338" s="3">
        <f>136.2+(348.1-116.8)+(0.138924+(0.355062-0.119136))+0-32.5-0.0331500000000052</f>
        <v>335.3417</v>
      </c>
      <c r="P338" s="3">
        <f>136.2+(316.6-81.2)+(0+(0-0))+0-32-0</f>
        <v>339.6</v>
      </c>
      <c r="Q338" s="3">
        <f>135.9+(330.2-86.3)+(-0.207927+(-0.505206--0.132039))+0-32.5--0.0497250000000019</f>
        <v>346.76863099999997</v>
      </c>
      <c r="R338" s="3">
        <f>134.9+(309.3-71)+(-0.275196+(-0.630972--0.14484))+0-31.7--0.0646679999999986</f>
        <v>340.80334000000005</v>
      </c>
      <c r="S338" s="3">
        <f>136.1+(315.2-87.7)+(0.138822+(0.321504-0.089454))+0-32-0.0326400000000051</f>
        <v>331.93823200000003</v>
      </c>
      <c r="T338" s="3">
        <f>240.7+(297.3-182.4)+(-0.122757+(-0.151623--0.093024))+0-30.5--0.0155549999999969</f>
        <v>324.93419900000004</v>
      </c>
      <c r="U338" s="3">
        <f>136.9+(324.2-106.3)+(0.139638+(0.330684-0.108426))+0-30.6-0.0312120000000049</f>
        <v>324.53068399999995</v>
      </c>
      <c r="V338" s="3">
        <f>134.8+(265.5-60.4)+(-0.068748+(-0.135405--0.030804))+0-19.3--0.00984299999999804</f>
        <v>320.43649399999998</v>
      </c>
      <c r="W338" s="3">
        <f>132.5+(218.4-0)+(-0.202725+(-0.334152-0))+0-23.5--0.0359550000000014</f>
        <v>326.89907799999997</v>
      </c>
      <c r="X338" s="3">
        <f>131.1+(249.5-5.6)+(0.066861+(0.127245-0.002856))+0-31.9-0.0162689999999968</f>
        <v>343.27498100000003</v>
      </c>
      <c r="Y338" s="3">
        <f>130+(241.3-2.2)+(-0.3315+(-0.615315--0.00561))+0-32.8--0.0836399999999952</f>
        <v>335.44243499999999</v>
      </c>
      <c r="Z338" s="3">
        <f>130.8+(233.1-0)+(-0.066708+(-0.118881-0))+0-33.1--0.0168809999999966</f>
        <v>330.63129199999997</v>
      </c>
      <c r="AA338" s="3">
        <f>130.8+(221.6-0)+(-0.200124+(-0.339048-0))+0-32.3--0.0494190000000019</f>
        <v>319.61024699999996</v>
      </c>
      <c r="AB338" s="3">
        <f>130.4+(271.8-55.1)+(-0.199512+(-0.415854--0.084303))+0-29.8--0.0455940000000017</f>
        <v>316.81453099999999</v>
      </c>
      <c r="AC338" s="3">
        <f>129.6+(296.8-90.9)+(-0.33048+(-0.75684--0.231795))+0-30--0.0764999999999956</f>
        <v>304.72097500000001</v>
      </c>
      <c r="AD338" s="2">
        <v>340.3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130.4+(302-112.9)+(-0.199512+(-0.46206--0.172737))+0-30.5--0.0466650000000018</f>
        <v>288.55783000000002</v>
      </c>
      <c r="G339" s="3">
        <f>132+(274.3-91.7)+(0+(0-0))+0-30.3-0</f>
        <v>284.3</v>
      </c>
      <c r="H339" s="3">
        <f>106.5+(228.4-17.9)+(0.162945+(0.349452-0.027387))+0-29.7-0.0454410000000017</f>
        <v>287.73956900000002</v>
      </c>
      <c r="I339" s="3">
        <f>90.4+(206-0)+(-0.092208+(-0.21012-0))+0-30.2--0.0308040000000048</f>
        <v>265.92847599999999</v>
      </c>
      <c r="J339" s="3">
        <f>99.9+(197-0)+(0.152847+(0.30141-0))+0-29.4-0.0449820000000017</f>
        <v>267.90927499999998</v>
      </c>
      <c r="K339" s="3">
        <f>118.3+(179.4-0)+(0+(0-0))+0-29.4-0</f>
        <v>268.3</v>
      </c>
      <c r="L339" s="3">
        <f>135.5+(185.2-18.2)+(-0.27642+(-0.377808--0.037128))+0-26.6--0.0542639999999988</f>
        <v>275.33716399999997</v>
      </c>
      <c r="M339" s="3">
        <f>136.6+(216.3-39.9)+(0.069666+(0.110313-0.020349))+0-30.4-0.0155039999999969</f>
        <v>282.74412599999999</v>
      </c>
      <c r="N339" s="3">
        <f>136.4+(271.4-68.3)+(0.139128+(0.276828-0.069666))+0-31.6-0.032232000000005</f>
        <v>308.21405799999997</v>
      </c>
      <c r="O339" s="3">
        <f>136.2+(236.8-23.7)+(0.208386+(0.362304-0.036261))+0-31.4-0.0480420000000018</f>
        <v>318.38638700000001</v>
      </c>
      <c r="P339" s="3">
        <f>136+(220.1-0)+(0+(0-0))+0-31.9-0</f>
        <v>324.20000000000005</v>
      </c>
      <c r="Q339" s="3">
        <f>136.1+(219.2-0)+(0+(0-0))+0-32.1-0</f>
        <v>323.19999999999993</v>
      </c>
      <c r="R339" s="3">
        <f>135.6+(221.4-0)+(-0.138312+(-0.225828-0))+0-32.4--0.0330480000000052</f>
        <v>324.26890800000001</v>
      </c>
      <c r="S339" s="3">
        <f>135.9+(307.4-93.6)+(0.069309+(0.156774-0.047736))+0-33.2-0.0169319999999966</f>
        <v>316.66141499999998</v>
      </c>
      <c r="T339" s="3">
        <f>135.1+(331.5-120.4)+(-0.137802+(-0.33813--0.122808))+0-32.4--0.0330480000000052</f>
        <v>313.47992400000004</v>
      </c>
      <c r="U339" s="3">
        <f>134.7+(327.7-123.7)+(-0.137394+(-0.334254--0.126174))+0-31.4--0.032028000000005</f>
        <v>306.98655400000001</v>
      </c>
      <c r="V339" s="3">
        <f>135.5+(299.2-101.2)+(0.207315+(0.457776-0.154836))+0-31.3-0.0478890000000018</f>
        <v>302.66236599999996</v>
      </c>
      <c r="W339" s="3">
        <f>135.3+(202.6-0)+(-0.207009+(-0.309978-0))+0-32.3--0.0494190000000019</f>
        <v>305.13243199999999</v>
      </c>
      <c r="X339" s="3">
        <f>136.1+(231.5-11.2)+(0+(0-0))+0-32.3-0</f>
        <v>324.09999999999997</v>
      </c>
      <c r="Y339" s="3">
        <f>134.7+(226.1-10.8)+(-0.412182+(-0.691866--0.033048))+0-26.9--0.0823140000000031</f>
        <v>322.11131399999999</v>
      </c>
      <c r="Z339" s="3">
        <f>136.1+(216.6-3.9)+(0.138822+(0.220932-0.003978))+0-31.5-0.032130000000005</f>
        <v>317.62364599999995</v>
      </c>
      <c r="AA339" s="3">
        <f>136+(238.6-26.9)+(-0.06936+(-0.121686--0.013719))+0-31.7--0.0161669999999968</f>
        <v>315.83884</v>
      </c>
      <c r="AB339" s="3">
        <f>136+(329.8-121.1)+(0+(0-0))+0-31.5-0</f>
        <v>313.20000000000005</v>
      </c>
      <c r="AC339" s="3">
        <f>50.3+(404-118.9)+(-0.076959+(-0.61812--0.181917))+0-31.6--0.0483480000000018</f>
        <v>303.33518599999996</v>
      </c>
      <c r="AD339" s="2">
        <v>327.7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0+(473.6-156.3)+(0+(-0.724608--0.239139))+0-31.6--0.0483480000000018</f>
        <v>285.26287899999994</v>
      </c>
      <c r="G340" s="3">
        <f>0+(454-141.9)+(0+(-1.1577--0.361845))+0-31.3--0.0798149999999955</f>
        <v>280.08395999999999</v>
      </c>
      <c r="H340" s="3">
        <f>0+(373-74.1)+(0+(-0.19023--0.037791))+0-31.3--0.0159629999999968</f>
        <v>267.46352399999995</v>
      </c>
      <c r="I340" s="3">
        <f>0+(360.5-71.6)+(0+(0.183855-0.036516))+0-26.4-0.0134639999999973</f>
        <v>262.63387499999999</v>
      </c>
      <c r="J340" s="3">
        <f>0+(402.9-106.2)+(0+(0.205479-0.054162))+0-31.4-0.0160139999999968</f>
        <v>265.43530300000003</v>
      </c>
      <c r="K340" s="3">
        <f>0+(363.9-69)+(0+(0.742356-0.14076))+0-31.3-0.0638519999999986</f>
        <v>264.13774399999994</v>
      </c>
      <c r="L340" s="3">
        <f>0+(387.4-103.6)+(0+(-0.395148--0.105672))+0-31.2--0.031824000000005</f>
        <v>252.34234799999999</v>
      </c>
      <c r="M340" s="3">
        <f>0+(376.5-97.3)+(0+(-0.192015--0.049623))+0-29.1--0.014840999999997</f>
        <v>249.97244900000001</v>
      </c>
      <c r="N340" s="3">
        <f>0+(324.5-28.1)+(0+(-0.33099--0.028662))+0-30.4--0.0310080000000048</f>
        <v>265.72868</v>
      </c>
      <c r="O340" s="3">
        <f>0+(336.1-33.9)+(0+(0.342822-0.034578))+0-31.8-0.0324360000000051</f>
        <v>270.67580800000002</v>
      </c>
      <c r="P340" s="3">
        <f>0+(364.8-52.1)+(0+(0-0))+0-32.3-0</f>
        <v>280.39999999999998</v>
      </c>
      <c r="Q340" s="3">
        <f>0+(397.7-80.9)+(0+(0-0))+0-31.7-0</f>
        <v>285.09999999999997</v>
      </c>
      <c r="R340" s="3">
        <f>0+(416.9-100.6)+(0+(-0.637857--0.153918))+0-31.4--0.0480420000000018</f>
        <v>284.46410299999997</v>
      </c>
      <c r="S340" s="3">
        <f>0+(437.3-139.9)+(0+(-0.223023--0.071349))+0-31.3--0.0159629999999968</f>
        <v>265.96428899999995</v>
      </c>
      <c r="T340" s="3">
        <f>0+(452-156)+(0+(-0.46104--0.15912))+0-30.9--0.0315180000000049</f>
        <v>264.82959800000003</v>
      </c>
      <c r="U340" s="3">
        <f>0+(432.3-138.5)+(0+(-0.440946--0.14127))+0-31.2--0.031824000000005</f>
        <v>262.33214800000007</v>
      </c>
      <c r="V340" s="3">
        <f>0+(350.3-55.2)+(0+(0-0))+0-31.5-0</f>
        <v>263.60000000000002</v>
      </c>
      <c r="W340" s="3">
        <f>0+(315.7-6.5)+(0+(-0.161007--0.003315))+0-32.5--0.0165749999999967</f>
        <v>276.55888299999998</v>
      </c>
      <c r="X340" s="3">
        <f>0+(340.5-2.2)+(0+(-0.173655--0.001122))+0-31--0.0158099999999969</f>
        <v>307.14327700000001</v>
      </c>
      <c r="Y340" s="3">
        <f>0+(368.9-22.1)+(0+(0-0))+0-32.7-0</f>
        <v>314.09999999999997</v>
      </c>
      <c r="Z340" s="3">
        <f>0+(384.3-42.7)+(0+(-0.391986--0.043554))+0-32.4--0.0330480000000052</f>
        <v>308.88461600000005</v>
      </c>
      <c r="AA340" s="3">
        <f>0+(419.2-87.2)+(0+(-0.213792--0.044472))+0-31.8--0.0162179999999968</f>
        <v>300.04689799999994</v>
      </c>
      <c r="AB340" s="3">
        <f>0+(401.1-73.9)+(0+(-1.022805--0.188445))+0-31.7--0.0808349999999954</f>
        <v>294.74647500000003</v>
      </c>
      <c r="AC340" s="3">
        <f>0+(460.8-143.5)+(0+(-1.17504--0.365925))+0-31.6--0.0805799999999954</f>
        <v>284.97146499999997</v>
      </c>
      <c r="AD340" s="2">
        <v>336.50000000000006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0+(443-141.7)+(0+(-0.45186--0.144534))+0-31--0.0316200000000049</f>
        <v>270.02429400000005</v>
      </c>
      <c r="G341" s="3">
        <f>0+(365.6-75)+(0+(0.372912-0.0765))+0-30-0.0306000000000048</f>
        <v>260.86581200000001</v>
      </c>
      <c r="H341" s="3">
        <f>0+(325.7-35.1)+(0+(0.332214-0.035802))+0-31.4-0.032028000000005</f>
        <v>259.46438399999994</v>
      </c>
      <c r="I341" s="3">
        <f>0+(289.6-2.1)+(0+(0.147696-0.001071))+0-31.5-0.0160649999999968</f>
        <v>256.13056</v>
      </c>
      <c r="J341" s="3">
        <f>0+(311.7-19.6)+(0+(-0.158967--0.009996))+0-31.2--0.0159119999999968</f>
        <v>260.76694099999997</v>
      </c>
      <c r="K341" s="3">
        <f>0+(298.6-8.1)+(0+(0.304572-0.008262))+0-31.4-0.032028000000005</f>
        <v>259.364282</v>
      </c>
      <c r="L341" s="3">
        <f>0+(353.4-52.4)+(0+(0.180234-0.026724))+0-30.9-0.0157589999999969</f>
        <v>270.237751</v>
      </c>
      <c r="M341" s="3">
        <f>0+(367.6-45.6)+(0+(0.187476-0.023256))+0-32.4-0.0165239999999967</f>
        <v>289.74769600000002</v>
      </c>
      <c r="N341" s="3">
        <f>0+(412.6-53.6)+(0+(0.420852-0.054672))+0-32.2-0.0328440000000051</f>
        <v>327.13333599999999</v>
      </c>
      <c r="O341" s="3">
        <f>99.8+(417.1-153.6)+(0.203592+(0.850884-0.313344))+0-31.9-0.0650759999999986</f>
        <v>332.07605600000005</v>
      </c>
      <c r="P341" s="3">
        <f>135.9+(383.9-153.2)+(0+(0-0))+0-31.2-0</f>
        <v>335.40000000000003</v>
      </c>
      <c r="Q341" s="3">
        <f>136+(386.5-159.3)+(0+(0-0))+0-31.2-0</f>
        <v>332</v>
      </c>
      <c r="R341" s="3">
        <f>132.9+(396.6-172.2)+(-0.135558+(-0.404532--0.175644))+0-30.7--0.0313140000000049</f>
        <v>326.2668680000001</v>
      </c>
      <c r="S341" s="3">
        <f>130.5+(389-170.4)+(-0.26622+(-0.79356--0.347616))+0-30.5--0.0622199999999987</f>
        <v>317.95005600000007</v>
      </c>
      <c r="T341" s="3">
        <f>131.2+(444.8-231.3)+(0+(0-0))+0-29.3-0</f>
        <v>315.39999999999998</v>
      </c>
      <c r="U341" s="3">
        <f>131.1+(419.8-203.5)+(0.066861+(0.214098-0.103785))+0-30.3-0.0154529999999969</f>
        <v>317.26172099999997</v>
      </c>
      <c r="V341" s="3">
        <f>176.3+(391.8-216.9)+(0+(0-0))+0-31.2-0</f>
        <v>320.00000000000006</v>
      </c>
      <c r="W341" s="3">
        <f>270.8+(240.6-148.5)+(-0.276216+(-0.245412--0.15147))+0-31.7--0.0323340000000051</f>
        <v>330.86217599999998</v>
      </c>
      <c r="X341" s="3">
        <f>275.4+(185.4-80.3)+(-0.421362+(-0.283662--0.122859))+0-30.7--0.0469710000000018</f>
        <v>349.26480600000002</v>
      </c>
      <c r="Y341" s="3">
        <f>276.1+(196.4-104)+(-0.281622+(-0.200328--0.10608))+0-30.5--0.0311100000000049</f>
        <v>337.65523999999999</v>
      </c>
      <c r="Z341" s="3">
        <f>276.3+(228.5-141.9)+(0.140913+(0.116535-0.072369))+0-30.6-0.0156059999999969</f>
        <v>332.46947299999994</v>
      </c>
      <c r="AA341" s="3">
        <f>262.6+(276.8-185.5)+(-0.267852+(-0.282336--0.18921))+0-29.8--0.0303960000000048</f>
        <v>323.76941800000003</v>
      </c>
      <c r="AB341" s="3">
        <f>129.4+(402.3-186.9)+(-0.131988+(-0.410346--0.190638))+0-29.3--0.0298860000000047</f>
        <v>315.17818999999997</v>
      </c>
      <c r="AC341" s="3">
        <f>14+(352.2-32.2)+(-0.00714+(-0.179622--0.016422))+0-29.3--0.014942999999997</f>
        <v>304.544603</v>
      </c>
      <c r="AD341" s="2">
        <v>347.3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0+(328.1-9.4)+(0+(-0.836655--0.02397))+0-30.5--0.0777749999999956</f>
        <v>287.46509000000003</v>
      </c>
      <c r="G342" s="3">
        <f>0+(302.5-0)+(0+(-0.154275-0))+0-30--0.015299999999997</f>
        <v>272.36102500000004</v>
      </c>
      <c r="H342" s="3">
        <f>0+(299.5-0)+(0+(-0.30549-0))+0-31--0.0316200000000049</f>
        <v>268.22613000000001</v>
      </c>
      <c r="I342" s="3">
        <f>0+(299.3-0)+(0+(-0.457929-0))+0-31.5--0.0481950000000018</f>
        <v>267.39026600000005</v>
      </c>
      <c r="J342" s="3">
        <f>0+(295.9-0)+(0+(0.150909-0))+0-30.7-0.0156569999999969</f>
        <v>265.33525200000003</v>
      </c>
      <c r="K342" s="3">
        <f>0+(302.1-0)+(0+(-0.154071-0))+0-28.3--0.0144329999999971</f>
        <v>273.66036200000002</v>
      </c>
      <c r="L342" s="3">
        <f>0+(312.7-3.6)+(0+(-0.159477--0.001836))+0-30.7--0.0156569999999969</f>
        <v>278.25801599999994</v>
      </c>
      <c r="M342" s="3">
        <f>0+(403.4-74.7)+(0+(0.205734-0.038097))+0-30.5-0.0155549999999969</f>
        <v>298.352082</v>
      </c>
      <c r="N342" s="3">
        <f>0+(451.6-101.2)+(0+(0.230316-0.051612))+0-28.2-0.0143819999999971</f>
        <v>322.36432200000002</v>
      </c>
      <c r="O342" s="3">
        <f>0+(471.4-109.6)+(0+(0-0))+0-30.8-0</f>
        <v>330.99999999999994</v>
      </c>
      <c r="P342" s="3">
        <f>0+(500.4-132.5)+(0+(0-0))+0-30.7-0</f>
        <v>337.2</v>
      </c>
      <c r="Q342" s="3">
        <f>0+(469-96.8)+(0+(-0.23919--0.049368))+0-31.4--0.0160139999999968</f>
        <v>340.626192</v>
      </c>
      <c r="R342" s="3">
        <f>0+(451-82.8)+(0+(-0.92004--0.168912))+0-31.1--0.0634439999999986</f>
        <v>336.41231599999998</v>
      </c>
      <c r="S342" s="3">
        <f>0+(418-64.2)+(0+(0.42636-0.065484))+0-31.9-0.0325380000000051</f>
        <v>322.22833800000006</v>
      </c>
      <c r="T342" s="3">
        <f>0+(409.5-53.8)+(0+(0.208845-0.027438))+0-31.6-0.0161159999999968</f>
        <v>324.26529099999993</v>
      </c>
      <c r="U342" s="3">
        <f>0+(512.9-101.3)+(0+(0.523158-0.103326))+0-32.4-0.0330480000000052</f>
        <v>379.58678399999997</v>
      </c>
      <c r="V342" s="3">
        <f>0+(415.4-51.4)+(0+(0.423708-0.052428))+0-30.2-0.0308040000000048</f>
        <v>334.14047600000004</v>
      </c>
      <c r="W342" s="3">
        <f>48+(323.5-0)+(-0.09792+(-0.65994-0))+0-30.2--0.0616079999999987</f>
        <v>340.603748</v>
      </c>
      <c r="X342" s="3">
        <f>264+(203.4-74.7)+(-0.13464+(-0.103734--0.038097))+0-31.7--0.0161669999999968</f>
        <v>360.81588999999997</v>
      </c>
      <c r="Y342" s="3">
        <f>271+(206.4-98.1)+(-0.55284+(-0.421056--0.200124))+0-31.2--0.0636479999999986</f>
        <v>347.38987600000002</v>
      </c>
      <c r="Z342" s="3">
        <f>228.4+(183.3-40.7)+(-0.58242+(-0.467415--0.103785))+0-31.2--0.0795599999999955</f>
        <v>338.93351000000001</v>
      </c>
      <c r="AA342" s="3">
        <f>198.7+(231.1-73)+(0+(0-0))+0-30.8-0</f>
        <v>325.99999999999994</v>
      </c>
      <c r="AB342" s="3">
        <f>200.2+(296-148)+(-0.102102+(-0.15096--0.07548))+0-30.9--0.0157589999999969</f>
        <v>317.13817700000004</v>
      </c>
      <c r="AC342" s="3">
        <f>201.2+(296.2-165.7)+(-0.307836+(-0.453186--0.253521))+0-31.1--0.0475830000000018</f>
        <v>300.14008199999995</v>
      </c>
      <c r="AD342" s="2">
        <v>363.3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200.9+(307.2-195.7)+(-0.204918+(-0.313344--0.199614))+0-31.2--0.031824000000005</f>
        <v>280.91317600000002</v>
      </c>
      <c r="G343" s="3">
        <f>222.9+(208.2-116.6)+(0.113679+(0.106182-0.059466))+0-31.8-0.0162179999999968</f>
        <v>282.844177</v>
      </c>
      <c r="H343" s="3">
        <f>271.8+(196.5-155.9)+(-0.277236+(-0.20043--0.159018))+0-31.4--0.032028000000005</f>
        <v>280.71338000000003</v>
      </c>
      <c r="I343" s="3">
        <f>271.9+(192.3-156.6)+(0.138669+(0.098073-0.079866))+0-31.1-0.0158609999999968</f>
        <v>276.64101500000004</v>
      </c>
      <c r="J343" s="3">
        <f>271.9+(190.6-156.3)+(0+(0-0))+0-30.7-0</f>
        <v>275.49999999999994</v>
      </c>
      <c r="K343" s="3">
        <f>269.1+(202.5-160.3)+(-0.411723+(-0.309825--0.245259))+0-30.7--0.0469710000000018</f>
        <v>280.170682</v>
      </c>
      <c r="L343" s="3">
        <f>202.7+(288.6-170.3)+(0+(0-0))+0-31.5-0</f>
        <v>289.5</v>
      </c>
      <c r="M343" s="3">
        <f>212.7+(331.1-209.7)+(0.108477+(0.168861-0.106947))+0-31.1-0.0158609999999968</f>
        <v>303.15453000000002</v>
      </c>
      <c r="N343" s="3">
        <f>272.3+(322.8-228.4)+(-0.138873+(-0.164628--0.116484))+0-31.3--0.0159629999999968</f>
        <v>335.22894600000001</v>
      </c>
      <c r="O343" s="3">
        <f>270.8+(313.6-209.3)+(-0.414324+(-0.479808--0.320229))+0-30.6--0.0468180000000018</f>
        <v>343.97291500000006</v>
      </c>
      <c r="P343" s="3">
        <f>271.1+(315.1-229.5)+(-0.414783+(-0.482103--0.351135))+0-4.2--0.00642600000000024</f>
        <v>351.96067500000004</v>
      </c>
      <c r="Q343" s="3">
        <f>271.3+(300.9-216.9)+(-0.553452+(-0.613836--0.442476))+0-3--0.00611999999999987</f>
        <v>351.58130799999998</v>
      </c>
      <c r="R343" s="3">
        <f>269.2+(350.1-271.6)+(0+(0-0))+0-6.3-0</f>
        <v>341.4</v>
      </c>
      <c r="S343" s="3">
        <f>219.8+(391.9-272.9)+(-0.336294+(-0.599607--0.417537))+0-7--0.0107100000000004</f>
        <v>331.29234600000001</v>
      </c>
      <c r="T343" s="3">
        <f>202.5+(433.9-294.6)+(0.20655+(0.442578-0.300492))+0-7.8-0.00795600000000124</f>
        <v>334.34067999999996</v>
      </c>
      <c r="U343" s="3">
        <f>201.5+(418.8-277.3)+(-0.102765+(-0.213588--0.141423))+0-8.8--0.00448799999999911</f>
        <v>334.02955799999995</v>
      </c>
      <c r="V343" s="3">
        <f>255.1+(383.9-303.9)+(0+(0-0))+0-8.5-0</f>
        <v>326.60000000000002</v>
      </c>
      <c r="W343" s="3">
        <f>281.5+(241.5-180.6)+(-0.28713+(-0.24633--0.184212))+0-7.5--0.0076500000000012</f>
        <v>334.558402</v>
      </c>
      <c r="X343" s="3">
        <f>282.5+(216.9-134.8)+(-0.144075+(-0.110619--0.068748))+0-8.7--0.00443699999999912</f>
        <v>355.71849100000003</v>
      </c>
      <c r="Y343" s="3">
        <f>280.3+(232.4-152.2)+(-0.714765+(-0.59262--0.38811))+0-11.1--0.0283049999999984</f>
        <v>348.50902999999994</v>
      </c>
      <c r="Z343" s="3">
        <f>282.4+(266.8-194.8)+(0+(0-0))+0-12.5-0</f>
        <v>341.9</v>
      </c>
      <c r="AA343" s="3">
        <f>281.7+(338.7-268.2)+(-0.287334+(-0.345474--0.273564))+0-14--0.0142800000000022</f>
        <v>337.85503599999998</v>
      </c>
      <c r="AB343" s="3">
        <f>281.8+(395.2-332.9)+(-0.287436+(-0.403104--0.339558))+0-14.8--0.0150960000000024</f>
        <v>328.96411400000005</v>
      </c>
      <c r="AC343" s="3">
        <f>280.2+(307.9-262.7)+(-0.71451+(-0.785145--0.669885))+0-18.4--0.0469199999999973</f>
        <v>306.21715</v>
      </c>
      <c r="AD343" s="2">
        <v>356.4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280.5+(127.1-96.3)+(-0.429165+(-0.194463--0.147339))+0-19.9--0.0304470000000011</f>
        <v>290.95415800000001</v>
      </c>
      <c r="G344" s="3">
        <f>231.3+(86.9-17.6)+(-0.353889+(-0.132957--0.026928))+0-18.8--0.0287640000000011</f>
        <v>281.36884600000002</v>
      </c>
      <c r="H344" s="3">
        <f>201.1+(122.6-25.5)+(-0.102561+(-0.062526--0.013005))+0-19--0.00968999999999807</f>
        <v>279.05760799999996</v>
      </c>
      <c r="I344" s="3">
        <f>201.3+(120.6-22)+(-0.205326+(-0.123012--0.02244))+0-22--0.0224400000000035</f>
        <v>277.61654199999998</v>
      </c>
      <c r="J344" s="3">
        <f>201.5+(134.5-30.9)+(0.102765+(0.068595-0.015759))+0-25.5-0.0130049999999974</f>
        <v>279.74259599999999</v>
      </c>
      <c r="K344" s="3">
        <f>243.1+(98.8-35.6)+(0.495924+(0.201552-0.072624))+0-27.6-0.0563039999999988</f>
        <v>279.26854799999995</v>
      </c>
      <c r="L344" s="3">
        <f>281.3+(40-9.4)+(-0.143463+(-0.0204--0.004794))+0-28--0.0142799999999972</f>
        <v>283.75521100000003</v>
      </c>
      <c r="M344" s="3">
        <f>282+(113.6-69.5)+(-0.14382+(-0.057936--0.035445))+0-28.6--0.0145859999999971</f>
        <v>297.348275</v>
      </c>
      <c r="N344" s="3">
        <f>281.8+(237.8-157.6)+(-0.143718+(-0.121278--0.080376))+0-28.7--0.0146369999999971</f>
        <v>333.13001700000001</v>
      </c>
      <c r="O344" s="3">
        <f>280.7+(235.2-143.9)+(-0.572628+(-0.479808--0.293556))+0-28.8--0.0587519999999987</f>
        <v>342.49987200000004</v>
      </c>
      <c r="P344" s="3">
        <f>282.2+(307.1-212.6)+(-0.143922+(-0.156621--0.108426))+0-28.9--0.0147389999999971</f>
        <v>347.62262200000009</v>
      </c>
      <c r="Q344" s="3">
        <f>281.3+(348.9-248.8)+(-0.286926+(-0.355878--0.253776))+0-29.3--0.0298860000000047</f>
        <v>351.74085799999995</v>
      </c>
      <c r="R344" s="3">
        <f>280+(297.8-200.7)+(-0.5712+(-0.607512--0.409428))+0-29--0.0591599999999987</f>
        <v>347.38987600000002</v>
      </c>
      <c r="S344" s="3">
        <f>280+(253.3-168.8)+(-0.4284+(-0.387549--0.258264))+0-29--0.0443700000000017</f>
        <v>334.98668500000002</v>
      </c>
      <c r="T344" s="3">
        <f>275.6+(215.6-134.7)+(0.140556+(0.109956-0.068697))+0-28.9-0.0147389999999971</f>
        <v>327.76707599999997</v>
      </c>
      <c r="U344" s="3">
        <f>273.3+(221.6-132.4)+(0.278766+(0.226032-0.135048))+0-29.5-0.0300900000000047</f>
        <v>333.33965999999998</v>
      </c>
      <c r="V344" s="3">
        <f>272.9+(188.5-106.7)+(0.139179+(0.096135-0.054417))+0-27.8-0.0141779999999972</f>
        <v>327.06671899999998</v>
      </c>
      <c r="W344" s="3">
        <f>273.2+(141.5-46.3)+(0.139332+(0.072165-0.023613))+0-30.2-0.0154019999999969</f>
        <v>338.37248199999999</v>
      </c>
      <c r="X344" s="3">
        <f>280.9+(156.2-42.7)+(0+(0-0))+0-31.2-0</f>
        <v>363.2</v>
      </c>
      <c r="Y344" s="3">
        <f>281.2+(128.7-21)+(0+(0-0))+0-30.5-0</f>
        <v>358.4</v>
      </c>
      <c r="Z344" s="3">
        <f>281.9+(117.1-21.3)+(-0.143769+(-0.059721--0.010863))+0-30.2--0.0154019999999969</f>
        <v>347.32277499999998</v>
      </c>
      <c r="AA344" s="3">
        <f>282.4+(110.1-18.5)+(0+(0-0))+0-30.2-0</f>
        <v>343.8</v>
      </c>
      <c r="AB344" s="3">
        <f>280.9+(123.4-34.1)+(-0.573036+(-0.251736--0.069564))+0-30.6--0.0624239999999987</f>
        <v>338.90721600000001</v>
      </c>
      <c r="AC344" s="3">
        <f>281.9+(126.4-64.1)+(-0.143769+(-0.064464--0.032691))+0-30.2--0.0154019999999969</f>
        <v>313.83985999999999</v>
      </c>
      <c r="AD344" s="2">
        <v>356.5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279.8+(133-84.4)+(-0.71349+(-0.33915--0.21522))+0-30.3--0.0772649999999956</f>
        <v>297.33984499999997</v>
      </c>
      <c r="G345" s="3">
        <f>211.9+(192-84.2)+(-0.324207+(-0.29376--0.128826))+0-30--0.0459000000000017</f>
        <v>289.25675899999999</v>
      </c>
      <c r="H345" s="3">
        <f>181.5+(241.2-109.8)+(0+(0-0))+0-30.1-0</f>
        <v>282.79999999999995</v>
      </c>
      <c r="I345" s="3">
        <f>182+(245.1-121.1)+(0.09282+(0.125001-0.061761))+0-30.5-0.0155549999999969</f>
        <v>275.64050500000002</v>
      </c>
      <c r="J345" s="3">
        <f>179.6+(274.6-146.9)+(-0.366384+(-0.560184--0.299676))+0-28.7--0.0585479999999987</f>
        <v>278.031656</v>
      </c>
      <c r="K345" s="3">
        <f>261.8+(176.2-130.2)+(0.133518+(0.089862-0.066402))+0-30.2-0.0154019999999969</f>
        <v>277.74157600000001</v>
      </c>
      <c r="L345" s="3">
        <f>282.3+(101.8-80.2)+(0.143973+(0.051918-0.040902))+0-30.6-0.0156059999999969</f>
        <v>273.43938299999996</v>
      </c>
      <c r="M345" s="3">
        <f>282.7+(107.2-68.8)+(-0.144177+(-0.054672--0.035088))+0-30.3--0.0154529999999969</f>
        <v>290.65169199999997</v>
      </c>
      <c r="N345" s="3">
        <f>278.4+(152.6-71.9)+(0+(0-0))+0-30.4-0</f>
        <v>328.7</v>
      </c>
      <c r="O345" s="3">
        <f>276.9+(191.5-106.1)+(-0.141219+(-0.097665--0.054111))+0-28.5--0.0145349999999971</f>
        <v>333.62976199999997</v>
      </c>
      <c r="P345" s="3">
        <f>281+(191.6-102.8)+(-0.42993+(-0.293148--0.157284))+0-30.4--0.0465120000000018</f>
        <v>338.88071800000006</v>
      </c>
      <c r="Q345" s="3">
        <f>278.6+(210.9-120.2)+(-0.142086+(-0.107559--0.061302))+0-30.5--0.0155549999999969</f>
        <v>338.62721200000004</v>
      </c>
      <c r="R345" s="3">
        <f>276.9+(222.8-132)+(-0.141219+(-0.113628--0.06732))+0-29--0.0147899999999971</f>
        <v>338.527263</v>
      </c>
      <c r="S345" s="3">
        <f>275.3+(210.8-136.8)+(0.421209+(0.322524-0.209304))+0-29-0.0443700000000017</f>
        <v>320.79005899999999</v>
      </c>
      <c r="T345" s="3">
        <f>274+(214.8-152)+(0.27948+(0.219096-0.15504))+0-25.9-0.0264180000000041</f>
        <v>311.21711800000003</v>
      </c>
      <c r="U345" s="3">
        <f>273.2+(205.8-139.3)+(-0.278664+(-0.209916--0.142086))+0-30--0.0306000000000048</f>
        <v>309.38410599999997</v>
      </c>
      <c r="V345" s="3">
        <f>279.4+(218.8-166.7)+(0.142494+(0.111588-0.085017))+0-25.9-0.0132089999999974</f>
        <v>305.75585599999999</v>
      </c>
      <c r="W345" s="3">
        <f>323.8+(156.1-136.8)+(0.165138+(0.079611-0.069768))+0-28.4-0.0144839999999971</f>
        <v>314.86049700000007</v>
      </c>
      <c r="X345" s="3">
        <f>378.7+(117-130)+(-0.193137+(-0.05967--0.0663))+0-29.6--0.015095999999997</f>
        <v>335.92858899999993</v>
      </c>
      <c r="Y345" s="3">
        <f>407.3+(86-122.3)+(-1.038615+(-0.2193--0.311865))+0-29.6--0.0754799999999957</f>
        <v>340.52942999999993</v>
      </c>
      <c r="Z345" s="3">
        <f>331.5+(107.1-75.5)+(-0.67626+(-0.218484--0.15402))+0-30.4--0.0620159999999987</f>
        <v>332.02129200000002</v>
      </c>
      <c r="AA345" s="3">
        <f>304.9+(124.9-67)+(-0.777495+(-0.318495--0.17085))+0-30.6--0.0780299999999956</f>
        <v>331.35288999999995</v>
      </c>
      <c r="AB345" s="3">
        <f>279.9+(159.1-92.4)+(-0.142749+(-0.081141--0.047124))+0-30.2--0.0154019999999969</f>
        <v>316.23863599999999</v>
      </c>
      <c r="AC345" s="3">
        <f>281.4+(127-82.7)+(-0.430542+(-0.19431--0.126531))+0-21--0.0321300000000012</f>
        <v>304.23380900000001</v>
      </c>
      <c r="AD345" s="2">
        <v>337.90000000000003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283.6+(74.8-45.4)+(-0.144636+(-0.038148--0.023154))+0-29.3--0.014942999999997</f>
        <v>283.55531300000001</v>
      </c>
      <c r="G346" s="3">
        <f>283.7+(80.7-58.4)+(-0.144687+(-0.041157--0.029784))+0-26.9--0.0137189999999973</f>
        <v>278.95765899999998</v>
      </c>
      <c r="H346" s="3">
        <f>283.2+(88.9-75.2)+(0.144432+(0.045339-0.038352))+0-20.9-0.0106589999999979</f>
        <v>276.14076</v>
      </c>
      <c r="I346" s="3">
        <f>266.3+(105.1-77.1)+(-0.271626+(-0.107202--0.078642))+0-22.2--0.0226440000000035</f>
        <v>271.82245800000004</v>
      </c>
      <c r="J346" s="3">
        <f>143.9+(217.9-68.3)+(0.146778+(0.222258-0.069666))+0-27-0.0275400000000043</f>
        <v>266.77183000000002</v>
      </c>
      <c r="K346" s="3">
        <f>131.2+(259.1-89.4)+(0.066912+(0.132141-0.045594))+0-28.9-0.0147389999999971</f>
        <v>272.13871999999998</v>
      </c>
      <c r="L346" s="3">
        <f>131.2+(207.3-36.2)+(-0.401472+(-0.634338--0.110772))+0-28.7--0.0878220000000033</f>
        <v>272.76278400000007</v>
      </c>
      <c r="M346" s="3">
        <f>131.2+(206.1-18.3)+(0.066912+(0.105111-0.009333))+0-28.8-0.0146879999999971</f>
        <v>290.34800200000001</v>
      </c>
      <c r="N346" s="3">
        <f>203.6+(291.7-153.6)+(0+(0-0))+0-30.6-0</f>
        <v>311.09999999999997</v>
      </c>
      <c r="O346" s="3">
        <f>271.4+(281-193)+(-0.276828+(-0.28662--0.19686))+0-30.4--0.0310080000000048</f>
        <v>328.66442000000001</v>
      </c>
      <c r="P346" s="3">
        <f>272.4+(353.8-258)+(0.138924+(0.180438-0.13158))+0-30.5-0.0155549999999969</f>
        <v>337.87222700000001</v>
      </c>
      <c r="Q346" s="3">
        <f>270.2+(368.8-275.3)+(-0.551208+(-0.752352--0.561612))+0-22.2--0.045287999999999</f>
        <v>340.80333999999999</v>
      </c>
      <c r="R346" s="3">
        <f>270.7+(401.3-317.7)+(-0.276114+(-0.409326--0.324054))+0-25.2--0.025704000000004</f>
        <v>328.76431800000006</v>
      </c>
      <c r="S346" s="3">
        <f>268.6+(335.7-269.2)+(-0.68493+(-0.856035--0.68646))+0-27.4--0.069869999999996</f>
        <v>306.91536500000001</v>
      </c>
      <c r="T346" s="3">
        <f>268.9+(266.1-203.3)+(-0.274278+(-0.271422--0.207366))+0-29.3--0.0298860000000047</f>
        <v>302.09155199999998</v>
      </c>
      <c r="U346" s="3">
        <f>268.6+(255.6-205.1)+(-0.821916+(-0.782136--0.627606))+0-27.1--0.0829260000000031</f>
        <v>291.10647999999998</v>
      </c>
      <c r="V346" s="3">
        <f>268.7+(283.8-233.6)+(0+(0-0))+0-29.1-0</f>
        <v>289.79999999999995</v>
      </c>
      <c r="W346" s="3">
        <f>269.2+(226.7-160.9)+(-0.274584+(-0.231234--0.164118))+0-30.3--0.0309060000000048</f>
        <v>304.389206</v>
      </c>
      <c r="X346" s="3">
        <f>271.3+(168.9-76.4)+(0.276726+(0.172278-0.077928))+0-31-0.0316200000000049</f>
        <v>333.139456</v>
      </c>
      <c r="Y346" s="3">
        <f>271+(187.3-97.7)+(-0.41463+(-0.286569--0.149481))+0-30.4--0.0465120000000018</f>
        <v>329.69479400000006</v>
      </c>
      <c r="Z346" s="3">
        <f>261.7+(188.1-91.8)+(-0.533868+(-0.383724--0.187272))+0-29.8--0.0607919999999987</f>
        <v>327.53047199999997</v>
      </c>
      <c r="AA346" s="3">
        <f>261.4+(208.9-116.5)+(-0.133314+(-0.106539--0.059415))+0-30.8--0.0157079999999969</f>
        <v>322.83526999999998</v>
      </c>
      <c r="AB346" s="3">
        <f>217.9+(226.5-98.7)+(-0.222258+(-0.23103--0.100674))+0-30.6--0.0312120000000049</f>
        <v>314.77859799999993</v>
      </c>
      <c r="AC346" s="3">
        <f>275.4+(220.5-158.9)+(-0.140454+(-0.112455--0.081039))+0-30.2--0.0154019999999969</f>
        <v>306.64353199999999</v>
      </c>
      <c r="AD346" s="2">
        <v>330.50000000000006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274.6+(186.4-141.9)+(-0.280092+(-0.190128--0.144738))+0-30.6--0.0312120000000049</f>
        <v>288.20572999999996</v>
      </c>
      <c r="G347" s="3">
        <f>274.5+(181.3-141.3)+(-0.139995+(-0.092463--0.072063))+0-30.6--0.0156059999999969</f>
        <v>283.75521099999997</v>
      </c>
      <c r="H347" s="3">
        <f>268.4+(190.8-151.2)+(-0.273768+(-0.194616--0.154224))+0-30.6--0.0312120000000049</f>
        <v>277.11705199999994</v>
      </c>
      <c r="I347" s="3">
        <f>252.3+(223.9-171)+(0.128673+(0.114189-0.08721))+0-30-0.015299999999997</f>
        <v>275.340352</v>
      </c>
      <c r="J347" s="3">
        <f>250.1+(232.1-181.5)+(-0.510204+(-0.473484--0.37026))+0-29.4--0.0599759999999987</f>
        <v>270.74654800000002</v>
      </c>
      <c r="K347" s="3">
        <f>252.4+(232.6-179.4)+(0.128724+(0.118626-0.091494))+0-29.7-0.015146999999997</f>
        <v>276.04070899999999</v>
      </c>
      <c r="L347" s="3">
        <f>206.2+(240.1-158)+(-0.630972+(-0.734706--0.48348))+0-30.1--0.0921060000000035</f>
        <v>257.40990799999992</v>
      </c>
      <c r="M347" s="3">
        <f>131.2+(271.4-123.5)+(-0.200736+(-0.415242--0.188955))+0-30--0.0459000000000017</f>
        <v>248.71887699999994</v>
      </c>
      <c r="N347" s="3">
        <f>179.9+(266.8-153.7)+(-0.091749+(-0.136068--0.078387))+0-30.6--0.0156059999999969</f>
        <v>262.26617599999997</v>
      </c>
      <c r="O347" s="3">
        <f>262.9+(230.9-185.1)+(-0.134079+(-0.117759--0.094401))+0-30.4--0.0155039999999969</f>
        <v>278.15806700000002</v>
      </c>
      <c r="P347" s="3">
        <f>262.8+(217.7-167.7)+(-0.134028+(-0.111027--0.085527))+0-30.1--0.0153509999999969</f>
        <v>282.55582299999998</v>
      </c>
      <c r="Q347" s="3">
        <f>262.3+(195.2-141.8)+(0+(0-0))+0-30.1-0</f>
        <v>285.59999999999997</v>
      </c>
      <c r="R347" s="3">
        <f>261.1+(144.9-92.5)+(-0.399483+(-0.221697--0.141525))+0-29.6--0.0452880000000017</f>
        <v>283.46563300000003</v>
      </c>
      <c r="S347" s="3">
        <f>258.3+(160.1-119.2)+(0.263466+(0.163302-0.121584))+0-30.1-0.0307020000000048</f>
        <v>269.37448199999994</v>
      </c>
      <c r="T347" s="3">
        <f>258.1+(167.6-135.9)+(0+(0-0))+0-29.7-0</f>
        <v>260.10000000000002</v>
      </c>
      <c r="U347" s="3">
        <f>257.2+(165.9-134.8)+(-0.393516+(-0.253827--0.206244))+0-30--0.0459000000000017</f>
        <v>257.90480099999996</v>
      </c>
      <c r="V347" s="3">
        <f>258.2+(166.6-132.5)+(0.263364+(0.169932-0.13515))+0-30.3-0.0309060000000048</f>
        <v>262.2672399999999</v>
      </c>
      <c r="W347" s="3">
        <f>258.4+(254.9-205.4)+(0.131784+(0.129999-0.104754))+0-31.3-0.0159629999999968</f>
        <v>276.74106599999999</v>
      </c>
      <c r="X347" s="3">
        <f>261.4+(289.2-217.2)+(0+(0-0))+0-31.7-0</f>
        <v>301.7</v>
      </c>
      <c r="Y347" s="3">
        <f>262.7+(235.3-157)+(-0.133977+(-0.120003--0.08007))+0-31.3--0.0159629999999968</f>
        <v>309.54205300000001</v>
      </c>
      <c r="Z347" s="3">
        <f>265.9+(210.6-131.3)+(-0.135609+(-0.107406--0.066963))+0-30.6--0.0156059999999969</f>
        <v>314.43955399999987</v>
      </c>
      <c r="AA347" s="3">
        <f>265+(174.6-103.2)+(-0.13515+(-0.089046--0.052632))+0-30.7--0.0156569999999969</f>
        <v>305.54409299999998</v>
      </c>
      <c r="AB347" s="3">
        <f>261.2+(147.8-78.8)+(-0.266424+(-0.150756--0.080376))+0-31.2--0.031824000000005</f>
        <v>298.69502000000006</v>
      </c>
      <c r="AC347" s="3">
        <f>262.1+(137.6-85)+(0.133671+(0.070176-0.04335))+0-29.1-0.014840999999997</f>
        <v>285.74565600000005</v>
      </c>
      <c r="AD347" s="2">
        <v>309.8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259.3+(154.9-112.1)+(-0.661215+(-0.394995--0.285855))+0-28.1--0.0716549999999959</f>
        <v>273.30130000000003</v>
      </c>
      <c r="G348" s="3">
        <f>262.8+(147.6-122.9)+(0.268056+(0.150552-0.125358))+0-29.6-0.0301920000000047</f>
        <v>258.16305799999998</v>
      </c>
      <c r="H348" s="3">
        <f>260.4+(159.4-127.8)+(-0.531216+(-0.325176--0.260712))+0-30.4--0.0620159999999987</f>
        <v>261.06633599999998</v>
      </c>
      <c r="I348" s="3">
        <f>163.6+(240.3-116.7)+(-0.166872+(-0.245106--0.119034))+0-30.5--0.0311100000000049</f>
        <v>256.43816600000002</v>
      </c>
      <c r="J348" s="3">
        <f>200.1+(203.6-117.4)+(0.102051+(0.103836-0.059874))+0-30.2-0.0154019999999969</f>
        <v>256.23061099999995</v>
      </c>
      <c r="K348" s="3">
        <f>202+(196.7-110.8)+(0+(0-0))+0-28.6-0</f>
        <v>259.29999999999995</v>
      </c>
      <c r="L348" s="3">
        <f>201.2+(212.3-114.5)+(-0.102612+(-0.108273--0.058395))+0-31.2--0.0159119999999968</f>
        <v>267.66342200000003</v>
      </c>
      <c r="M348" s="3">
        <f>220.2+(228.4-126.4)+(0.224604+(0.232968-0.128928))+0-32-0.0326400000000051</f>
        <v>290.49600399999997</v>
      </c>
      <c r="N348" s="3">
        <f>297.6+(221.3-160.6)+(0+(0-0))+0-30-0</f>
        <v>328.30000000000007</v>
      </c>
      <c r="O348" s="3">
        <f>382.8+(177-186.6)+(0.585684+(0.27081-0.285498))+0-32.1-0.0491130000000019</f>
        <v>341.62188300000003</v>
      </c>
      <c r="P348" s="3">
        <f>394.1+(193.9-216.6)+(0.200991+(0.098889-0.110466))+0-31.8-0.0162179999999968</f>
        <v>339.77319600000004</v>
      </c>
      <c r="Q348" s="3">
        <f>392+(228.6-249.4)+(0+(0-0))+0-31.1-0</f>
        <v>340.09999999999997</v>
      </c>
      <c r="R348" s="3">
        <f>388.3+(244.7-274.1)+(-0.198033+(-0.124797--0.139791))+0-32--0.0163199999999968</f>
        <v>326.73328099999998</v>
      </c>
      <c r="S348" s="3">
        <f>371.9+(284.2-308)+(-0.379338+(-0.289884--0.31416))+0-32.1--0.0327420000000051</f>
        <v>315.67767999999995</v>
      </c>
      <c r="T348" s="3">
        <f>307.6+(333.2-297)+(-0.313752+(-0.339864--0.30294))+0-32.1--0.0327420000000051</f>
        <v>311.38206599999995</v>
      </c>
      <c r="U348" s="3">
        <f>308.3+(293.3-262.5)+(-0.157233+(-0.149583--0.133875))+0-32--0.0163199999999968</f>
        <v>306.94337900000005</v>
      </c>
      <c r="V348" s="3">
        <f>308.9+(278.9-248.2)+(-0.157539+(-0.142239--0.126582))+0-31.7--0.0161669999999968</f>
        <v>307.74297099999995</v>
      </c>
      <c r="W348" s="3">
        <f>334.7+(164.6-145.5)+(-0.170697+(-0.083946--0.074205))+0-31.6--0.0161159999999968</f>
        <v>322.03567799999996</v>
      </c>
      <c r="X348" s="3">
        <f>362.3+(133.7-111.7)+(0.369546+(0.136374-0.113934))+0-32.6-0.0332520000000052</f>
        <v>352.05873399999996</v>
      </c>
      <c r="Y348" s="3">
        <f>357.8+(125.7-101.4)+(-0.91239+(-0.320535--0.25857))+0-31.9--0.0813449999999954</f>
        <v>349.30699000000004</v>
      </c>
      <c r="Z348" s="3">
        <f>218.3+(154.5-2.6)+(-0.222666+(-0.15759--0.002652))+0-31.8--0.0324360000000051</f>
        <v>338.05483200000003</v>
      </c>
      <c r="AA348" s="3">
        <f>181.1+(220.8-38.2)+(-0.461805+(-0.56304--0.09741))+0-30.8--0.0785399999999955</f>
        <v>332.05110500000001</v>
      </c>
      <c r="AB348" s="3">
        <f>167.8+(262.1-69)+(-0.42789+(-0.668355--0.17595))+0-29.9--0.0762449999999957</f>
        <v>330.15595000000002</v>
      </c>
      <c r="AC348" s="3">
        <f>136.3+(236.2-25.6)+(-0.069513+(-0.120462--0.013056))+0-30.6--0.0156059999999969</f>
        <v>316.13868699999995</v>
      </c>
      <c r="AD348" s="2">
        <v>355.8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180+(207-59.3)+(-0.3672+(-0.42228--0.120972))+0-30.8--0.0628319999999987</f>
        <v>296.29432400000002</v>
      </c>
      <c r="G349" s="3">
        <f>179.8+(182.8-41.8)+(-0.183396+(-0.186456--0.042636))+0-31.6--0.032232000000005</f>
        <v>288.90501599999999</v>
      </c>
      <c r="H349" s="3">
        <f>180.6+(162.3-33)+(-0.276318+(-0.248319--0.05049))+0-31.6--0.0483480000000018</f>
        <v>277.87420099999991</v>
      </c>
      <c r="I349" s="3">
        <f>180.5+(161.4-42.1)+(-0.36822+(-0.329256--0.085884))+0-31.6--0.0644639999999986</f>
        <v>267.652872</v>
      </c>
      <c r="J349" s="3">
        <f>181.9+(154.4-41.7)+(0.092769+(0.078744-0.021267))+0-29.7-0.015146999999997</f>
        <v>265.035099</v>
      </c>
      <c r="K349" s="3">
        <f>182.5+(192.6-68)+(0.279225+(0.294678-0.10404))+0-31.4-0.0480420000000018</f>
        <v>276.12182100000001</v>
      </c>
      <c r="L349" s="3">
        <f>182.3+(158-30.5)+(0.278919+(0.24174-0.046665))+0-31.2-0.0477360000000018</f>
        <v>279.02625800000004</v>
      </c>
      <c r="M349" s="3">
        <f>210.2+(181.9-61.6)+(0.214404+(0.185538-0.062832))+0-31.2-0.031824000000005</f>
        <v>299.60528599999998</v>
      </c>
      <c r="N349" s="3">
        <f>270+(212.6-133)+(0+(0-0))+0-31.2-0</f>
        <v>318.40000000000003</v>
      </c>
      <c r="O349" s="3">
        <f>262.6+(274.5-205.8)+(-0.401778+(-0.419985--0.314874))+0-31--0.0474300000000018</f>
        <v>299.84054100000003</v>
      </c>
      <c r="P349" s="3">
        <f>265+(191-64)+(0+(0-0))+0-32-0</f>
        <v>360</v>
      </c>
      <c r="Q349" s="3">
        <f>264+(177.3-65.1)+(-0.6732+(-0.452115--0.166005))+0-32.9--0.0838949999999952</f>
        <v>342.42458500000004</v>
      </c>
      <c r="R349" s="3">
        <f>259.2+(245.5-147.2)+(-0.264384+(-0.25041--0.150144))+0-21.5--0.0219300000000034</f>
        <v>335.65728000000001</v>
      </c>
      <c r="S349" s="3">
        <f>257.6+(287.4-195.2)+(0.262752+(0.293148-0.199104))+0-31.8-0.0324360000000051</f>
        <v>318.32435999999996</v>
      </c>
      <c r="T349" s="3">
        <f>251.5+(284.3-193.4)+(-0.51306+(-0.579972--0.394536))+0-31.4--0.0640559999999986</f>
        <v>310.36556000000002</v>
      </c>
      <c r="U349" s="3">
        <f>253+(264.8-178.7)+(0+(0-0))+0-31-0</f>
        <v>308.10000000000002</v>
      </c>
      <c r="V349" s="3">
        <f>253.5+(239.7-153.6)+(-0.129285+(-0.122247--0.078336))+0-31.4--0.0160139999999968</f>
        <v>308.04281800000001</v>
      </c>
      <c r="W349" s="3">
        <f>254.3+(226.5-132.4)+(0+(0-0))+0-31.3-0</f>
        <v>317.09999999999997</v>
      </c>
      <c r="X349" s="3">
        <f>258.2+(261-133.8)+(0+(0-0))+0-32-0</f>
        <v>353.4</v>
      </c>
      <c r="Y349" s="3">
        <f>263.2+(191-76.9)+(-0.134232+(-0.09741--0.039219))+0-31.5--0.0160649999999968</f>
        <v>345.6236419999999</v>
      </c>
      <c r="Z349" s="3">
        <f>260.3+(170.2-52.7)+(-0.663765+(-0.43401--0.134385))+0-31.2--0.0795599999999955</f>
        <v>345.71617000000003</v>
      </c>
      <c r="AA349" s="3">
        <f>263.3+(185.7-85)+(0+(0-0))+0-31.2-0</f>
        <v>332.8</v>
      </c>
      <c r="AB349" s="3">
        <f>260.9+(250.4-161)+(-0.665295+(-0.63852--0.41055))+0-29.7--0.0757349999999957</f>
        <v>319.78246999999999</v>
      </c>
      <c r="AC349" s="3">
        <f>260.8+(189.7-107.6)+(-0.66504+(-0.483735--0.27438))+0-30.5--0.0777749999999956</f>
        <v>311.60337999999996</v>
      </c>
      <c r="AD349" s="2">
        <v>351.5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266.5+(172-112.1)+(-0.27183+(-0.17544--0.114342))+0-30.9--0.0315180000000049</f>
        <v>295.19859000000002</v>
      </c>
      <c r="G350" s="3">
        <f>272+(145.1-99.8)+(0.13872+(0.074001-0.050898))+0-31-0.0158099999999969</f>
        <v>286.44601300000005</v>
      </c>
      <c r="H350" s="3">
        <f>224.9+(152-60.1)+(0+(0-0))+0-31.6-0</f>
        <v>285.2</v>
      </c>
      <c r="I350" s="3">
        <f>168+(214.5-69.2)+(-0.25704+(-0.328185--0.105876))+0-30.3--0.0463590000000018</f>
        <v>282.56700999999998</v>
      </c>
      <c r="J350" s="3">
        <f>131.3+(190.1-12.3)+(0.133926+(0.193902-0.012546))+0-30.5-0.0311100000000049</f>
        <v>278.88417200000004</v>
      </c>
      <c r="K350" s="3">
        <f>131.2+(183.1-2.4)+(-0.133824+(-0.186762--0.002448))+0-31--0.0316200000000049</f>
        <v>280.61348200000003</v>
      </c>
      <c r="L350" s="3">
        <f>131.2+(249.1-63.3)+(-0.133824+(-0.254082--0.064566))+0-31.3--0.031926000000005</f>
        <v>285.40858600000001</v>
      </c>
      <c r="M350" s="3">
        <f>189.7+(365.6-225.1)+(0.193494+(0.372912-0.229602))+0-26.7-0.0272340000000043</f>
        <v>303.80957000000001</v>
      </c>
      <c r="N350" s="3">
        <f>220.7+(371-225)+(0+(0-0))+0-32-0</f>
        <v>334.7</v>
      </c>
      <c r="O350" s="3">
        <f>262.4+(354.9-241.2)+(0+(0-0))+0-32-0</f>
        <v>344.09999999999997</v>
      </c>
      <c r="P350" s="3">
        <f>261.8+(331.1-218.7)+(0.133518+(0.168861-0.111537))+0-32-0.0163199999999968</f>
        <v>342.37452200000001</v>
      </c>
      <c r="Q350" s="3">
        <f>262.6+(337.2-222.9)+(0.401778+(0.515916-0.341037))+0-31.4-0.0480420000000018</f>
        <v>346.028615</v>
      </c>
      <c r="R350" s="3">
        <f>260.5+(340.7-235.2)+(-0.53142+(-0.695028--0.479808))+0-31.5--0.0642599999999986</f>
        <v>333.81761999999998</v>
      </c>
      <c r="S350" s="3">
        <f>241.2+(378.5-266.8)+(-0.246024+(-0.38607--0.272136))+0-30.6--0.0312120000000049</f>
        <v>321.97125399999993</v>
      </c>
      <c r="T350" s="3">
        <f>221.6+(384.1-255.4)+(0+(0-0))+0-29-0</f>
        <v>321.3</v>
      </c>
      <c r="U350" s="3">
        <f>222.1+(368.7-242.4)+(0.113271+(0.188037-0.123624))+0-29.5-0.015044999999997</f>
        <v>319.06263899999999</v>
      </c>
      <c r="V350" s="3">
        <f>233.3+(356.6-239.5)+(-0.118983+(-0.181866--0.122145))+0-29.4--0.014993999999997</f>
        <v>320.83629000000008</v>
      </c>
      <c r="W350" s="3">
        <f>256.6+(271.8-165.6)+(-0.130866+(-0.138618--0.084456))+0-30.9--0.0157589999999969</f>
        <v>331.73073100000011</v>
      </c>
      <c r="X350" s="3">
        <f>259.8+(267.4-143.3)+(-0.264996+(-0.272748--0.146166))+0-31.7--0.0323340000000051</f>
        <v>351.840756</v>
      </c>
      <c r="Y350" s="3">
        <f>261.5+(272.2-157.9)+(-0.400095+(-0.416466--0.241587))+0-31.3--0.0478890000000018</f>
        <v>343.97291499999994</v>
      </c>
      <c r="Z350" s="3">
        <f>262+(296.1-190.3)+(0+(0-0))+0-30.4-0</f>
        <v>337.40000000000003</v>
      </c>
      <c r="AA350" s="3">
        <f>262.2+(369-267.9)+(0+(0-0))+0-30.2-0</f>
        <v>333.1</v>
      </c>
      <c r="AB350" s="3">
        <f>258.2+(388.4-289.9)+(-0.65841+(-0.99042--0.739245))+0-29.4--0.0749699999999957</f>
        <v>326.46538500000003</v>
      </c>
      <c r="AC350" s="3">
        <f>256.7+(439.3-352.1)+(-1.047336+(-1.792344--1.436568))+0-30.3--0.123623999999997</f>
        <v>312.32051199999995</v>
      </c>
      <c r="AD350" s="2">
        <v>352.9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260.3+(379.5-313.4)+(-0.531012+(-0.77418--0.639336))+0-29.3--0.0597719999999987</f>
        <v>296.49391600000001</v>
      </c>
      <c r="G351" s="3">
        <f>260.4+(324-267)+(-0.398412+(-0.49572--0.40851))+0-30--0.0459000000000017</f>
        <v>286.96027800000002</v>
      </c>
      <c r="H351" s="3">
        <f>260.4+(289.6-240)+(-0.531216+(-0.590784--0.4896))+0-31--0.0632399999999986</f>
        <v>278.43083999999999</v>
      </c>
      <c r="I351" s="3">
        <f>261+(276.6-227.2)+(-0.26622+(-0.282132--0.231744))+0-31.7--0.0323340000000051</f>
        <v>278.41572600000006</v>
      </c>
      <c r="J351" s="3">
        <f>263.4+(283.2-235.2)+(0.537336+(0.577728-0.479808))+0-31.8-0.0648719999999986</f>
        <v>280.17038400000001</v>
      </c>
      <c r="K351" s="3">
        <f>262.8+(260.6-209.4)+(0+(0-0))+0-31.3-0</f>
        <v>282.7</v>
      </c>
      <c r="L351" s="3">
        <f>263.4+(285-233)+(0.403002+(0.43605-0.35649))+0-30.8-0.0471240000000018</f>
        <v>285.03543799999994</v>
      </c>
      <c r="M351" s="3">
        <f>262.2+(424.5-356.6)+(0.133722+(0.216495-0.181866))+0-31.4-0.0160139999999968</f>
        <v>298.85233699999998</v>
      </c>
      <c r="N351" s="3">
        <f>261.3+(433.8-327.2)+(0.133263+(0.221238-0.166872))+0-31.4-0.0160139999999968</f>
        <v>336.67161500000009</v>
      </c>
      <c r="O351" s="3">
        <f>259.9+(420.7-305.9)+(0.265098+(0.429114-0.312018))+0-30.5-0.0311100000000049</f>
        <v>344.551084</v>
      </c>
      <c r="P351" s="3">
        <f>256.6+(385.5-263)+(0+(0-0))+0-30.9-0</f>
        <v>348.20000000000005</v>
      </c>
      <c r="Q351" s="3">
        <f>256.5+(389.6-258.8)+(-0.392445+(-0.596088--0.395964))+0-31.1--0.0475830000000018</f>
        <v>355.65501399999994</v>
      </c>
      <c r="R351" s="3">
        <f>255.4+(404.8-275.7)+(-0.781524+(-1.238688--0.843642))+0-31.1--0.0951660000000036</f>
        <v>352.31859599999996</v>
      </c>
      <c r="S351" s="3">
        <f>257.5+(433.3-323.6)+(0.26265+(0.441966-0.330072))+0-31.6-0.032232000000005</f>
        <v>335.94231199999996</v>
      </c>
      <c r="T351" s="3">
        <f>252.5+(478.4-367.7)+(0+(0-0))+0-30.6-0</f>
        <v>332.59999999999997</v>
      </c>
      <c r="U351" s="3">
        <f>251.9+(511.6-402.4)+(-0.128469+(-0.260916--0.205224))+0-27.8--0.0141779999999972</f>
        <v>333.13001700000001</v>
      </c>
      <c r="V351" s="3">
        <f>252.3+(482.1-366.3)+(-0.128673+(-0.245871--0.186813))+0-31.1--0.0158609999999968</f>
        <v>336.82812999999999</v>
      </c>
      <c r="W351" s="3">
        <f>320.7+(340.7-284)+(-0.163557+(-0.173757--0.14484))+0-30.5--0.0155549999999969</f>
        <v>346.72308099999998</v>
      </c>
      <c r="X351" s="3">
        <f>381.7+(291-276.2)+(-0.194667+(-0.14841--0.140862))+0-30--0.015299999999997</f>
        <v>366.313085</v>
      </c>
      <c r="Y351" s="3">
        <f>382.8+(329-321.8)+(-0.195228+(-0.16779--0.164118))+0-31.5--0.0160649999999968</f>
        <v>358.31716499999999</v>
      </c>
      <c r="Z351" s="3">
        <f>384.1+(292.7-294)+(-0.587673+(-0.447831--0.44982))+0-31.3--0.0478890000000018</f>
        <v>350.96220499999998</v>
      </c>
      <c r="AA351" s="3">
        <f>383.4+(287.5-302.2)+(-0.782136+(-0.5865--0.616488))+0-30.8--0.0628319999999987</f>
        <v>337.21068400000001</v>
      </c>
      <c r="AB351" s="3">
        <f>383.4+(295.2-321)+(-0.97767+(-0.75276--0.81855))+0-30.8--0.0785399999999955</f>
        <v>325.96665999999993</v>
      </c>
      <c r="AC351" s="3">
        <f>264.5+(368.1-285.4)+(-0.404685+(-0.563193--0.436662))+0-30.8--0.0471240000000018</f>
        <v>315.91590800000006</v>
      </c>
      <c r="AD351" s="2">
        <v>363.6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258.8+(385.8-308.3)+(-0.263976+(-0.393516--0.314466))+0-29.8--0.0303960000000048</f>
        <v>306.18736999999999</v>
      </c>
      <c r="G352" s="3">
        <f>256.9+(303.3-237.9)+(-0.524076+(-0.618732--0.485316))+0-30.9--0.0630359999999986</f>
        <v>290.805544</v>
      </c>
      <c r="H352" s="3">
        <f>164.6+(245.7-100.1)+(0.251838+(0.375921-0.153153))+0-30.9-0.0472770000000018</f>
        <v>279.727329</v>
      </c>
      <c r="I352" s="3">
        <f>162+(281.6-129.7)+(0.08262+(0.143616-0.066147))+0-30.8-0.0157079999999969</f>
        <v>283.24438100000003</v>
      </c>
      <c r="J352" s="3">
        <f>212.2+(264.8-162.6)+(0.432888+(0.540192-0.331704))+0-30.8-0.0628319999999987</f>
        <v>284.17854399999993</v>
      </c>
      <c r="K352" s="3">
        <f>222.6+(230.1-141.1)+(-0.56763+(-0.586755--0.359805))+0-30.7--0.0782849999999955</f>
        <v>280.18370500000003</v>
      </c>
      <c r="L352" s="3">
        <f>261.5+(275.4-225.9)+(0+(0-0))+0-30.6-0</f>
        <v>280.39999999999998</v>
      </c>
      <c r="M352" s="3">
        <f>261.1+(385.6-313.9)+(0+(0-0))+0-30.6-0</f>
        <v>302.20000000000005</v>
      </c>
      <c r="N352" s="3">
        <f>263.6+(420.6-323.7)+(0.403308+(0.643518-0.495261))+0-31.2-0.0477360000000018</f>
        <v>329.80382900000006</v>
      </c>
      <c r="O352" s="3">
        <f>264.7+(388.1-286)+(0.404991+(0.593793-0.43758))+0-26.5-0.0405450000000015</f>
        <v>340.82065899999998</v>
      </c>
      <c r="P352" s="3">
        <f>267.1+(425.4-323.2)+(0.136221+(0.216954-0.164832))+0-31-0.0158099999999969</f>
        <v>338.472533</v>
      </c>
      <c r="Q352" s="3">
        <f>267.2+(431.3-319.8)+(-0.408816+(-0.659889--0.489294))+0-30.4--0.0465120000000018</f>
        <v>347.76710100000003</v>
      </c>
      <c r="R352" s="3">
        <f>266+(407.9-286.5)+(-0.40698+(-0.624087--0.438345))+0-30.9--0.0472770000000018</f>
        <v>355.95455500000003</v>
      </c>
      <c r="S352" s="3">
        <f>265.6+(397.8-293.5)+(-0.406368+(-0.608634--0.449055))+0-30.9--0.0472770000000018</f>
        <v>338.48133000000007</v>
      </c>
      <c r="T352" s="3">
        <f>267.7+(432.5-325.5)+(-0.136527+(-0.220575--0.166005))+0-30.8--0.0157079999999969</f>
        <v>343.72461099999998</v>
      </c>
      <c r="U352" s="3">
        <f>272.8+(440.9-344.1)+(-0.278256+(-0.449718--0.350982))+0-30.6--0.0312120000000049</f>
        <v>338.65421999999995</v>
      </c>
      <c r="V352" s="3">
        <f>277.1+(385.8-286.1)+(0+(0-0))+0-31.5-0</f>
        <v>345.3</v>
      </c>
      <c r="W352" s="3">
        <f>287+(280.3-183)+(0+(0-0))+0-31.4-0</f>
        <v>352.90000000000003</v>
      </c>
      <c r="X352" s="3">
        <f>535.7+(186.5-322.4)+(-0.546414+(-0.19023--0.328848))+0-31.4--0.032028000000005</f>
        <v>368.0242320000001</v>
      </c>
      <c r="Y352" s="3">
        <f>563.1+(184.9-355.5)+(-2.010267+(-0.660093--1.269135))+0-32.2--0.114954</f>
        <v>359.01372900000001</v>
      </c>
      <c r="Z352" s="3">
        <f>571.2+(242.3-437.4)+(0+(0-0))+0-30.1-0</f>
        <v>346.00000000000006</v>
      </c>
      <c r="AA352" s="3">
        <f>528.9+(254.1-412.3)+(-1.618434+(-0.777546--1.261638))+0-30.9--0.0945540000000036</f>
        <v>338.76021199999997</v>
      </c>
      <c r="AB352" s="3">
        <f>368.2+(396.4-405.7)+(-1.502256+(-1.617312--1.655256))+0-29.2--0.119135999999997</f>
        <v>328.35482399999995</v>
      </c>
      <c r="AC352" s="3">
        <f>300.8+(426.5-378.6)+(-0.613632+(-0.87006--0.772344))+0-29.8--0.0607919999999987</f>
        <v>318.24944399999998</v>
      </c>
      <c r="AD352" s="2">
        <v>371.4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290.4+(393.1-360.6)+(-0.148104+(-0.200481--0.183906))+0-28.2--0.0143819999999971</f>
        <v>294.54970300000002</v>
      </c>
      <c r="G353" s="3">
        <f>218.3+(288-193.6)+(-0.222666+(-0.29376--0.197472))+0-28.7--0.0292740000000046</f>
        <v>283.71032000000002</v>
      </c>
      <c r="H353" s="3">
        <f>209+(206.1-112.8)+(0.10659+(0.105111-0.057528))+0-28.8-0.0146879999999971</f>
        <v>273.63948500000004</v>
      </c>
      <c r="I353" s="3">
        <f>222.5+(213.7-132.1)+(0.113475+(0.108987-0.067371))+0-28.9-0.0147389999999971</f>
        <v>275.34035200000005</v>
      </c>
      <c r="J353" s="3">
        <f>223.1+(222.7-144.5)+(0.341343+(0.340731-0.221085))+0-27.9-0.0426870000000016</f>
        <v>273.81830199999996</v>
      </c>
      <c r="K353" s="3">
        <f>221.2+(285.3-205.9)+(-0.338436+(-0.436509--0.315027))+0-28--0.0428400000000016</f>
        <v>272.18292200000002</v>
      </c>
      <c r="L353" s="3">
        <f>203.2+(307.8-212.3)+(-0.103632+(-0.156978--0.108273))+0-29.9--0.015248999999997</f>
        <v>268.66291200000001</v>
      </c>
      <c r="M353" s="3">
        <f>248+(341.8-272.4)+(0.25296+(0.348636-0.277848))+0-30.6-0.0312120000000049</f>
        <v>287.09253600000005</v>
      </c>
      <c r="N353" s="3">
        <f>283.9+(461.5-399.5)+(0.144789+(0.235365-0.203745))+0-31-0.0158099999999969</f>
        <v>315.06059899999997</v>
      </c>
      <c r="O353" s="3">
        <f>285.2+(412.2-340.6)+(0+(0-0))+0-31.2-0</f>
        <v>325.59999999999997</v>
      </c>
      <c r="P353" s="3">
        <f>284+(374.3-297.9)+(0+(0-0))+0-30.6-0</f>
        <v>329.8</v>
      </c>
      <c r="Q353" s="3">
        <f>283.2+(442.1-369.9)+(-0.144432+(-0.225471--0.188649))+0-27.7--0.0141269999999972</f>
        <v>327.532873</v>
      </c>
      <c r="R353" s="3">
        <f>283.3+(422.5-357.5)+(-0.577932+(-0.8619--0.7293))+0-27.4--0.0558959999999988</f>
        <v>320.24536400000005</v>
      </c>
      <c r="S353" s="3">
        <f>282.3+(442.1-386.4)+(-0.143973+(-0.225471--0.197064))+0-29.6--0.015095999999997</f>
        <v>308.24271600000003</v>
      </c>
      <c r="T353" s="3">
        <f>284.1+(446.5-398.9)+(0.144891+(0.227715-0.203439))+0-30.6-0.0156059999999969</f>
        <v>301.25356100000005</v>
      </c>
      <c r="U353" s="3">
        <f>284.4+(423.9-385.1)+(0.290088+(0.432378-0.392802))+0-28.6-0.0291720000000046</f>
        <v>294.90049199999987</v>
      </c>
      <c r="V353" s="3">
        <f>282.5+(374.4-332.2)+(-0.432225+(-0.572832--0.508266))+0-29--0.0443700000000017</f>
        <v>295.24757900000003</v>
      </c>
      <c r="W353" s="3">
        <f>284.5+(366.4-314.9)+(0.58038+(0.747456-0.642396))+0-29.6-0.0603839999999987</f>
        <v>307.02505600000001</v>
      </c>
      <c r="X353" s="3">
        <f>282.8+(295.8-227)+(-0.288456+(-0.301716--0.23154))+0-23.6--0.0240720000000038</f>
        <v>327.66543999999999</v>
      </c>
      <c r="Y353" s="3">
        <f>288.4+(239.8-176.5)+(-0.588336+(-0.489192--0.36006))+0-26--0.0530399999999989</f>
        <v>325.035572</v>
      </c>
      <c r="Z353" s="3">
        <f>290.3+(234.5-173)+(-0.592212+(-0.47838--0.35292))+0-29.9--0.0609959999999987</f>
        <v>321.24332400000003</v>
      </c>
      <c r="AA353" s="3">
        <f>292.9+(313.3-259.3)+(0.448137+(0.479349-0.396729))+0-30-0.0459000000000017</f>
        <v>317.38485699999995</v>
      </c>
      <c r="AB353" s="3">
        <f>288.7+(354-305.6)+(-0.736185+(-0.9027--0.77928))+0-31.4--0.0800699999999954</f>
        <v>304.92046499999998</v>
      </c>
      <c r="AC353" s="3">
        <f>292.5+(384.7-351.3)+(0+(0-0))+0-31.7-0</f>
        <v>294.2</v>
      </c>
      <c r="AD353" s="2">
        <v>326.29999999999995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212.5+(418.1-307.6)+(-0.21675+(-0.426462--0.313752))+0-30.2--0.0308040000000048</f>
        <v>292.50134400000002</v>
      </c>
      <c r="G354" s="3">
        <f>0+(437.2-131.7)+(0+(0-0))+0-30.9-0</f>
        <v>274.60000000000002</v>
      </c>
      <c r="H354" s="3">
        <f>0+(383-83.2)+(0+(0-0))+0-32.4-0</f>
        <v>267.40000000000003</v>
      </c>
      <c r="I354" s="3">
        <f>0+(372.8-75.6)+(0+(-0.95064--0.19278))+0-31.8--0.0810899999999954</f>
        <v>264.72323000000006</v>
      </c>
      <c r="J354" s="3">
        <f>0+(373.5-80.6)+(0+(-0.190485--0.041106))+0-31.5--0.0160649999999968</f>
        <v>261.26668599999994</v>
      </c>
      <c r="K354" s="3">
        <f>0+(373-87)+(0+(0-0))+0-30.2-0</f>
        <v>255.8</v>
      </c>
      <c r="L354" s="3">
        <f>0+(395.4-115.1)+(0+(-0.403308--0.117402))+0-31.2--0.031824000000005</f>
        <v>248.84591799999995</v>
      </c>
      <c r="M354" s="3">
        <f>0+(430.9-156.2)+(0+(0.219759-0.079662))+0-30.3-0.0154529999999969</f>
        <v>244.524644</v>
      </c>
      <c r="N354" s="3">
        <f>0+(459.6-170.7)+(0+(-0.703188--0.261171))+0-31.7--0.0485010000000018</f>
        <v>256.80648400000001</v>
      </c>
      <c r="O354" s="3">
        <f>0+(478.7-176.3)+(0+(0.732411-0.269739))+0-30.6-0.0468180000000018</f>
        <v>272.21585399999992</v>
      </c>
      <c r="P354" s="3">
        <f>0+(463.2-148.8)+(0+(0-0))+0-31.6-0</f>
        <v>282.79999999999995</v>
      </c>
      <c r="Q354" s="3">
        <f>0+(459.7-143.7)+(0+(0.468894-0.146574))+0-30.4-0.0310080000000048</f>
        <v>285.89131200000003</v>
      </c>
      <c r="R354" s="3">
        <f>0+(480.6-170)+(0+(-0.245106--0.0867))+0-29.7--0.015146999999997</f>
        <v>280.75674100000003</v>
      </c>
      <c r="S354" s="3">
        <f>0+(496.6-201.9)+(0+(-1.013064--0.411876))+0-31.3--0.0638519999999986</f>
        <v>262.86266400000005</v>
      </c>
      <c r="T354" s="3">
        <f>0+(537-245.3)+(0+(-0.54774--0.250206))+0-31.3--0.031926000000005</f>
        <v>260.13439199999999</v>
      </c>
      <c r="U354" s="3">
        <f>0+(510.1-222.2)+(0+(-0.260151--0.113322))+0-31.1--0.0158609999999968</f>
        <v>256.66903199999996</v>
      </c>
      <c r="V354" s="3">
        <f>0+(507.1-221.4)+(0+(-0.517242--0.225828))+0-30.8--0.0314160000000049</f>
        <v>254.64000200000007</v>
      </c>
      <c r="W354" s="3">
        <f>0+(398.2-85.1)+(0+(-0.609246--0.130203))+0-30.6--0.0468180000000018</f>
        <v>282.06777499999998</v>
      </c>
      <c r="X354" s="3">
        <f>0+(337.7-0)+(0+(0.516681-0))+0-31.3-0.0478890000000018</f>
        <v>306.86879199999998</v>
      </c>
      <c r="Y354" s="3">
        <f>0+(341.1-0)+(0+(-0.347922-0))+0-31.1--0.031722000000005</f>
        <v>309.68380000000002</v>
      </c>
      <c r="Z354" s="3">
        <f>0+(336.7-1.8)+(0+(-0.686868--0.003672))+0-31.8--0.0648719999999986</f>
        <v>302.48167599999994</v>
      </c>
      <c r="AA354" s="3">
        <f>0+(367.5-32.6)+(0+(-0.7497--0.066504))+0-31.4--0.0640559999999986</f>
        <v>302.88085999999998</v>
      </c>
      <c r="AB354" s="3">
        <f>0+(411.2-91.8)+(0+(-1.258272--0.280908))+0-31.7--0.0970020000000037</f>
        <v>286.819638</v>
      </c>
      <c r="AC354" s="3">
        <f>0+(444.8-135.8)+(0+(-0.907392--0.277032))+0-31.2--0.0636479999999986</f>
        <v>277.23328800000002</v>
      </c>
      <c r="AD354" s="2">
        <v>313.7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0+(476.2-176.9)+(0+(-0.728586--0.270657))+0-29.9--0.0457470000000017</f>
        <v>268.987818</v>
      </c>
      <c r="G355" s="3">
        <f>0+(497.5-207.7)+(0+(0-0))+0-31.6-0</f>
        <v>258.2</v>
      </c>
      <c r="H355" s="3">
        <f>0+(472.1-191.4)+(0+(-0.722313--0.292842))+0-31.7--0.0485010000000018</f>
        <v>248.61903000000009</v>
      </c>
      <c r="I355" s="3">
        <f>0+(466.3-180.6)+(0+(0.237813-0.092106))+0-31.7-0.0161669999999968</f>
        <v>254.12954000000008</v>
      </c>
      <c r="J355" s="3">
        <f>0+(443.7-155.1)+(0+(1.131435-0.395505))+0-31.6-0.0805799999999954</f>
        <v>257.65535</v>
      </c>
      <c r="K355" s="3">
        <f>21+(445.7-177.3)+(0.03213+(0.681921-0.271269))+0-31.5-0.0481950000000018</f>
        <v>258.29458699999998</v>
      </c>
      <c r="L355" s="3">
        <f>134.1+(501.8-339.2)+(-0.068391+(-0.255918--0.172992))+0-31.7--0.0161669999999968</f>
        <v>264.86485000000005</v>
      </c>
      <c r="M355" s="3">
        <f>294+(454.3-422.8)+(0.29988+(0.463386-0.431256))+0-31.8-0.0324360000000051</f>
        <v>293.999574</v>
      </c>
      <c r="N355" s="3">
        <f>400.2+(492.6-535.1)+(0.204102+(0.251226-0.272901))+0-31.6-0.0161159999999968</f>
        <v>326.26631099999997</v>
      </c>
      <c r="O355" s="3">
        <f>403.7+(526.4-559.7)+(0.617661+(0.805392-0.856341))+0-31.5-0.0481950000000018</f>
        <v>339.41851699999989</v>
      </c>
      <c r="P355" s="3">
        <f>411.8+(493-535)+(0.630054+(0.75429-0.81855))+0-31.7-0.0485010000000018</f>
        <v>338.61729300000002</v>
      </c>
      <c r="Q355" s="3">
        <f>425.6+(493.9-544.8)+(-1.08528+(-1.259445--1.38924))+0-31.3--0.0798149999999955</f>
        <v>342.52433000000002</v>
      </c>
      <c r="R355" s="3">
        <f>549.9+(444.6-618.5)+(0+(0-0))+0-31.4-0</f>
        <v>344.6</v>
      </c>
      <c r="S355" s="3">
        <f>531.1+(386.7-563)+(0+(0-0))+0-31.8-0</f>
        <v>323</v>
      </c>
      <c r="T355" s="3">
        <f>423+(443.2-519.5)+(0+(0-0))+0-31.4-0</f>
        <v>315.3</v>
      </c>
      <c r="U355" s="3">
        <f>533+(414.8-599.4)+(0.54366+(0.423096-0.611388))+0-31.3-0.031926000000005</f>
        <v>317.42344200000002</v>
      </c>
      <c r="V355" s="3">
        <f>533.3+(386.1-569.7)+(0.815949+(0.590733-0.871641))+0-31.2-0.0477360000000018</f>
        <v>318.98730499999994</v>
      </c>
      <c r="W355" s="3">
        <f>528.2+(328.7-492.4)+(0.538764+(0.335274-0.502248))+0-30.8-0.0314160000000049</f>
        <v>334.04037400000004</v>
      </c>
      <c r="X355" s="3">
        <f>539.5+(239.3-393.9)+(0.55029+(0.244086-0.401778))+0-31.3-0.031926000000005</f>
        <v>353.96067200000005</v>
      </c>
      <c r="Y355" s="3">
        <f>559+(193.5-370.8)+(0+(0-0))+0-31.4-0</f>
        <v>350.3</v>
      </c>
      <c r="Z355" s="3">
        <f>520.6+(228.5-374.3)+(0+(0-0))+0-31.8-0</f>
        <v>343</v>
      </c>
      <c r="AA355" s="3">
        <f>203.4+(420.1-259.4)+(0.103734+(0.214251-0.132294))+0-30.5-0.0155549999999969</f>
        <v>333.77013600000004</v>
      </c>
      <c r="AB355" s="3">
        <f>50.1+(554.5-251.4)+(-0.076653+(-0.848385--0.384642))+0-31.7--0.0485010000000018</f>
        <v>321.00810500000006</v>
      </c>
      <c r="AC355" s="3">
        <f>14.2+(571.4-245.7)+(0.021726+(0.874242-0.375921))+0-32.2-0.0492660000000019</f>
        <v>308.17078099999998</v>
      </c>
      <c r="AD355" s="2">
        <v>359.59999999999997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0+(620.8-289.9)+(0+(-1.266432--0.591396))+0-32--0.0652799999999986</f>
        <v>298.29024399999997</v>
      </c>
      <c r="G356" s="3">
        <f>0+(601.1-278.3)+(0+(-1.226244--0.567732))+0-31.9--0.0650759999999986</f>
        <v>290.30656400000004</v>
      </c>
      <c r="H356" s="3">
        <f>0+(546.4-226.1)+(0+(-0.835992--0.345933))+0-31.8--0.0486540000000018</f>
        <v>288.05859499999997</v>
      </c>
      <c r="I356" s="3">
        <f>0+(539.1-220.5)+(0+(-0.549882--0.22491))+0-31.9--0.0325380000000051</f>
        <v>286.40756600000003</v>
      </c>
      <c r="J356" s="3">
        <f>0+(561.8-237)+(0+(-0.286518--0.12087))+0-31.7--0.0161669999999968</f>
        <v>292.95051899999999</v>
      </c>
      <c r="K356" s="3">
        <f>0+(575.3-252.4)+(0+(-0.586806--0.257448))+0-31.8--0.0324360000000051</f>
        <v>290.80307799999997</v>
      </c>
      <c r="L356" s="3">
        <f>14.8+(582.9-277.6)+(-0.015096+(-0.594558--0.283152))+0-31.3--0.031926000000005</f>
        <v>288.50542399999995</v>
      </c>
      <c r="M356" s="3">
        <f>239.3+(497.6-393.5)+(0+(0-0))+0-31.5-0</f>
        <v>311.90000000000003</v>
      </c>
      <c r="N356" s="3">
        <f>376.5+(489.4-491.7)+(0.960075+(1.24797-1.253835))+0-31.7-0.0808349999999954</f>
        <v>343.37337500000001</v>
      </c>
      <c r="O356" s="3">
        <f>415.5+(431.8-459.8)+(0+(0-0))+0-32.4-0</f>
        <v>355.1</v>
      </c>
      <c r="P356" s="3">
        <f>454.8+(382.9-449.6)+(0+(0-0))+0-32.2-0</f>
        <v>355.9</v>
      </c>
      <c r="Q356" s="3">
        <f>519.6+(346.7-474.5)+(-0.264996+(-0.176817--0.241995))+0-32.2--0.0164219999999967</f>
        <v>359.41660400000001</v>
      </c>
      <c r="R356" s="3">
        <f>522.7+(325.8-463.9)+(-1.599462+(-0.996948--1.419534))+0-31.6--0.0966960000000037</f>
        <v>351.91982000000007</v>
      </c>
      <c r="S356" s="3">
        <f>526.2+(348.7-512.4)+(-0.268362+(-0.177837--0.261324))+0-32.1--0.0163709999999967</f>
        <v>330.23149600000005</v>
      </c>
      <c r="T356" s="3">
        <f>524.3+(362.5-527.8)+(-1.604358+(-1.10925--1.615068))+0-27.8--0.0850680000000032</f>
        <v>330.18652799999995</v>
      </c>
      <c r="U356" s="3">
        <f>525+(384.6-547)+(0.26775+(0.196146-0.27897))+0-32.3-0.0164729999999967</f>
        <v>330.46845300000001</v>
      </c>
      <c r="V356" s="3">
        <f>522.2+(369-532.3)+(0.532644+(0.37638-0.542946))+0-32.4-0.0330480000000052</f>
        <v>326.83303000000012</v>
      </c>
      <c r="W356" s="3">
        <f>524.6+(344.4-500)+(0.535092+(0.351288-0.51))+0-32.2-0.0328440000000051</f>
        <v>337.14353599999998</v>
      </c>
      <c r="X356" s="3">
        <f>524.6+(289.3-410.5)+(0+(0-0))+0-32.5-0</f>
        <v>370.90000000000003</v>
      </c>
      <c r="Y356" s="3">
        <f>524.8+(282.7-406.9)+(0+(0-0))+0-31.7-0</f>
        <v>368.9</v>
      </c>
      <c r="Z356" s="3">
        <f>523.4+(296.3-424.2)+(-1.067736+(-0.604452--0.865368))+0-30.3--0.0618119999999987</f>
        <v>364.45499199999995</v>
      </c>
      <c r="AA356" s="3">
        <f>459.4+(316.6-388.3)+(-0.702882+(-0.484398--0.594099))+0-29.3--0.0448290000000017</f>
        <v>357.85164799999995</v>
      </c>
      <c r="AB356" s="3">
        <f>22.9+(472.1-124.4)+(-0.023358+(-0.481542--0.126888))+0-29.2--0.0297840000000047</f>
        <v>341.05177200000003</v>
      </c>
      <c r="AC356" s="3">
        <f>0+(515.9-159.3)+(0+(-1.315545--0.406215))+0-30.6--0.0780299999999956</f>
        <v>325.16869999999994</v>
      </c>
      <c r="AD356" s="2">
        <v>379.40000000000003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4.3+(524.9-184)+(-0.004386+(-0.535398--0.18768))+0-32.2--0.0328440000000051</f>
        <v>312.68074000000001</v>
      </c>
      <c r="G357" s="3">
        <f>75.1+(437.7-183.4)+(-0.076602+(-0.446454--0.187068))+0-27.2--0.0277440000000043</f>
        <v>301.89175599999999</v>
      </c>
      <c r="H357" s="3">
        <f>52.5+(416.1-136.8)+(0+(0-0))+0-32.5-0</f>
        <v>299.3</v>
      </c>
      <c r="I357" s="3">
        <f>79.5+(414.3-170)+(0.121635+(0.633879-0.2601))+0-32.3-0.0494190000000019</f>
        <v>291.94599499999998</v>
      </c>
      <c r="J357" s="3">
        <f>131.9+(397.6-203)+(-0.067269+(-0.202776--0.10353))+0-31.4--0.0160139999999968</f>
        <v>294.949499</v>
      </c>
      <c r="K357" s="3">
        <f>131.2+(391.8-196.3)+(0.066912+(0.199818-0.100113))+0-31.8-0.0162179999999968</f>
        <v>295.05039899999997</v>
      </c>
      <c r="L357" s="3">
        <f>131.3+(468.8-268.4)+(0+(0-0))+0-31.9-0</f>
        <v>299.80000000000007</v>
      </c>
      <c r="M357" s="3">
        <f>131.5+(488.5-268.3)+(0.13413+(0.49827-0.273666))+0-31-0.0316200000000049</f>
        <v>321.02711399999998</v>
      </c>
      <c r="N357" s="3">
        <f>231.9+(437.1-285.6)+(0.118269+(0.222921-0.145656))+0-30.2-0.0154019999999969</f>
        <v>353.380132</v>
      </c>
      <c r="O357" s="3">
        <f>269.3+(424.8-307.8)+(0.274686+(0.433296-0.313956))+0-30.3-0.0309060000000048</f>
        <v>356.36311999999998</v>
      </c>
      <c r="P357" s="3">
        <f>269.1+(411.2-287.4)+(-0.137241+(-0.209712--0.146574))+0-30.1--0.0153509999999969</f>
        <v>362.61497200000002</v>
      </c>
      <c r="Q357" s="3">
        <f>267.4+(403.7-274.1)+(-0.68187+(-1.029435--0.698955))+0-30.7--0.0782849999999955</f>
        <v>365.36593499999992</v>
      </c>
      <c r="R357" s="3">
        <f>266+(410.2-283.7)+(-0.54264+(-0.836808--0.578748))+0-31.9--0.0650759999999986</f>
        <v>359.86437599999999</v>
      </c>
      <c r="S357" s="3">
        <f>266.2+(415.2-312.5)+(0+(0-0))+0-31.9-0</f>
        <v>337</v>
      </c>
      <c r="T357" s="3">
        <f>265.1+(438.3-329.8)+(-0.135201+(-0.223533--0.168198))+0-31.9--0.0162689999999968</f>
        <v>341.52573300000006</v>
      </c>
      <c r="U357" s="3">
        <f>266.8+(439.4-334.1)+(0+(0-0))+0-31.6-0</f>
        <v>340.49999999999994</v>
      </c>
      <c r="V357" s="3">
        <f>290.2+(406.5-335.5)+(-0.592008+(-0.82926--0.68442))+0-27.2--0.0554879999999988</f>
        <v>333.31864000000002</v>
      </c>
      <c r="W357" s="3">
        <f>352.1+(363.2-341.8)+(0+(0-0))+0-17.7-0</f>
        <v>355.8</v>
      </c>
      <c r="X357" s="3">
        <f>492.4+(239.5-339)+(-0.251124+(-0.122145--0.17289))+0-19.6--0.00999599999999801</f>
        <v>373.10961699999996</v>
      </c>
      <c r="Y357" s="3">
        <f>486.5+(220.9-310.5)+(-0.49623+(-0.225318--0.31671))+0-31.8--0.0324360000000051</f>
        <v>364.727598</v>
      </c>
      <c r="Z357" s="3">
        <f>506.7+(233.7-352.9)+(-0.516834+(-0.238374--0.359958))+0-30.7--0.0313140000000049</f>
        <v>356.43606400000004</v>
      </c>
      <c r="AA357" s="3">
        <f>375+(310-305.8)+(-0.95625+(-0.7905--0.77979))+0-30--0.0764999999999956</f>
        <v>348.30954000000003</v>
      </c>
      <c r="AB357" s="3">
        <f>30.2+(450.7-127.7)+(-0.046206+(-0.689571--0.195381))+0-27.6--0.0422280000000016</f>
        <v>325.101832</v>
      </c>
      <c r="AC357" s="3">
        <f>0+(467.4-120.7)+(0+(-0.715122--0.184671))+0-31.2--0.0477360000000018</f>
        <v>315.01728499999996</v>
      </c>
      <c r="AD357" s="2">
        <v>364.9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0+(432.3-114.6)+(0+(0.220473-0.058446))+0-26.7-0.0136169999999973</f>
        <v>291.14841000000007</v>
      </c>
      <c r="G358" s="3">
        <f>0+(385.9-78.6)+(0+(-0.590427--0.120258))+0-30.4--0.0465120000000018</f>
        <v>276.47634299999999</v>
      </c>
      <c r="H358" s="3">
        <f>0+(332.9-26.4)+(0+(0-0))+0-31-0</f>
        <v>275.5</v>
      </c>
      <c r="I358" s="3">
        <f>0+(335.3-25)+(0+(-0.855015--0.06375))+0-31.7--0.0808349999999954</f>
        <v>277.88956999999999</v>
      </c>
      <c r="J358" s="3">
        <f>0+(325.8-20.1)+(0+(0-0))+0-31.1-0</f>
        <v>274.59999999999997</v>
      </c>
      <c r="K358" s="3">
        <f>0+(339.6-23)+(0+(0.346392-0.02346))+0-29.3-0.0298860000000047</f>
        <v>287.59304600000002</v>
      </c>
      <c r="L358" s="3">
        <f>0+(397.1-92.4)+(0+(-0.405042--0.094248))+0-25.9--0.0264180000000041</f>
        <v>278.51562400000006</v>
      </c>
      <c r="M358" s="3">
        <f>0+(422.4-100.2)+(0+(0.430848-0.102204))+0-32.2-0.0328440000000051</f>
        <v>290.29579999999999</v>
      </c>
      <c r="N358" s="3">
        <f>0+(486.4-136.7)+(0+(-0.248064--0.069717))+0-31.5--0.0160649999999968</f>
        <v>318.03771799999998</v>
      </c>
      <c r="O358" s="3">
        <f>0+(540-163.5)+(0+(0.2754-0.083385))+0-32.1-0.0163709999999967</f>
        <v>344.57564400000001</v>
      </c>
      <c r="P358" s="3">
        <f>0+(560.9-195.9)+(0+(-0.858177--0.299727))+0-31.5--0.0481950000000018</f>
        <v>332.98974500000003</v>
      </c>
      <c r="Q358" s="3">
        <f>0+(537.1-179.5)+(0+(0-0))+0-31.4-0</f>
        <v>326.20000000000005</v>
      </c>
      <c r="R358" s="3">
        <f>0+(483.1-116.5)+(0+(-0.492762--0.11883))+0-31.3--0.031926000000005</f>
        <v>334.95799399999999</v>
      </c>
      <c r="S358" s="3">
        <f>0+(359.1-26.1)+(0+(-0.366282--0.026622))+0-30.8--0.0314160000000049</f>
        <v>301.89175599999999</v>
      </c>
      <c r="T358" s="3">
        <f>0+(367.2-26.7)+(0+(0.374544-0.027234))+0-30.7-0.0313140000000049</f>
        <v>310.115996</v>
      </c>
      <c r="U358" s="3">
        <f>0+(376.8-31)+(0+(0.192168-0.01581))+0-31.4-0.0160139999999968</f>
        <v>314.56034400000004</v>
      </c>
      <c r="V358" s="3">
        <f>0+(381-19.6)+(0+(0-0))+0-31-0</f>
        <v>330.4</v>
      </c>
      <c r="W358" s="3">
        <f>0+(379.6-34)+(0+(0.193596-0.01734))+0-30.5-0.0155549999999969</f>
        <v>315.26070100000004</v>
      </c>
      <c r="X358" s="3">
        <f>0+(449.6-67)+(0+(0-0))+0-32.7-0</f>
        <v>349.90000000000003</v>
      </c>
      <c r="Y358" s="3">
        <f>0+(418.7-47)+(0+(-1.281222--0.14382))+0-31.3--0.0957780000000036</f>
        <v>339.35837599999996</v>
      </c>
      <c r="Z358" s="3">
        <f>0+(427.3-36.6)+(0+(-0.435846--0.037332))+0-31--0.0316200000000049</f>
        <v>359.33310600000004</v>
      </c>
      <c r="AA358" s="3">
        <f>0+(444.1-73.2)+(0+(-0.905964--0.149328))+0-31--0.0632399999999986</f>
        <v>339.20660400000003</v>
      </c>
      <c r="AB358" s="3">
        <f>0+(400.8-39.5)+(0+(-0.817632--0.08058))+0-30.6--0.0624239999999987</f>
        <v>330.025372</v>
      </c>
      <c r="AC358" s="3">
        <f>0+(351.3-13.1)+(0+(-0.895815--0.033405))+0-29.7--0.0757349999999957</f>
        <v>307.713325</v>
      </c>
      <c r="AD358" s="2">
        <v>353.2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0+(314.1-0)+(0+(-0.800955-0))+0-30.7--0.0782849999999955</f>
        <v>282.67733000000004</v>
      </c>
      <c r="G359" s="3">
        <f>0+(322.9-2.7)+(0+(-0.823395--0.006885))+0-28--0.0713999999999959</f>
        <v>291.45488999999998</v>
      </c>
      <c r="H359" s="3">
        <f>0+(326.7-17.5)+(0+(-0.166617--0.008925))+0-32.8--0.0167279999999967</f>
        <v>276.25903599999998</v>
      </c>
      <c r="I359" s="3">
        <f>0+(330.9-14.5)+(0+(-0.168759--0.007395))+0-33--0.0168299999999967</f>
        <v>283.25546599999996</v>
      </c>
      <c r="J359" s="3">
        <f>0+(310.2-7.5)+(0+(-0.79101--0.019125))+0-33.1--0.0844049999999952</f>
        <v>268.91251999999997</v>
      </c>
      <c r="K359" s="3">
        <f>0+(323.1-18.9)+(0+(-0.164781--0.009639))+0-32.5--0.0165749999999967</f>
        <v>271.56143300000002</v>
      </c>
      <c r="L359" s="3">
        <f>0+(336.6-20.4)+(0+(-0.514998--0.031212))+0-32.4--0.0495720000000019</f>
        <v>283.36578600000007</v>
      </c>
      <c r="M359" s="3">
        <f>0+(339.2-14.4)+(0+(0-0))+0-32.6-0</f>
        <v>292.2</v>
      </c>
      <c r="N359" s="3">
        <f>22.4+(402.9-60.2)+(0.011424+(0.205479-0.030702))+0-32.1-0.0163709999999967</f>
        <v>333.16982999999993</v>
      </c>
      <c r="O359" s="3">
        <f>95+(379-91.8)+(-0.1938+(-0.77316--0.187272))+0-32.1--0.0654839999999986</f>
        <v>349.38579599999997</v>
      </c>
      <c r="P359" s="3">
        <f>133.1+(330.3-109.8)+(-0.135762+(-0.336906--0.111996))+0-31.2--0.031824000000005</f>
        <v>322.07115200000004</v>
      </c>
      <c r="Q359" s="3">
        <f>211.9+(319.2-167.2)+(0+(0-0))+0-31.2-0</f>
        <v>332.7</v>
      </c>
      <c r="R359" s="3">
        <f>250.1+(308.6-186)+(-0.510204+(-0.629544--0.37944))+0-31.6--0.0644639999999986</f>
        <v>340.404156</v>
      </c>
      <c r="S359" s="3">
        <f>203.6+(352.5-202.8)+(-0.103836+(-0.179775--0.103428))+0-32.2--0.0164219999999967</f>
        <v>320.93623899999994</v>
      </c>
      <c r="T359" s="3">
        <f>197.4+(375.4-223.9)+(0+(0-0))+0-32.1-0</f>
        <v>316.79999999999995</v>
      </c>
      <c r="U359" s="3">
        <f>209.1+(349-216)+(0.213282+(0.35598-0.22032))+0-32.1-0.0327420000000051</f>
        <v>310.31620000000004</v>
      </c>
      <c r="V359" s="3">
        <f>230.3+(380.3-270.3)+(-0.587265+(-0.969765--0.689265))+0-31.7--0.0808349999999954</f>
        <v>307.81306999999998</v>
      </c>
      <c r="W359" s="3">
        <f>262.1+(381.4-271.5)+(0+(0-0))+0-32.1-0</f>
        <v>339.9</v>
      </c>
      <c r="X359" s="3">
        <f>261.5+(341.3-206.8)+(-0.26673+(-0.348126--0.210936))+0-32.2--0.0328440000000051</f>
        <v>363.42892399999999</v>
      </c>
      <c r="Y359" s="3">
        <f>260.3+(314.5-188.9)+(-0.663765+(-0.801975--0.481695))+0-28.9--0.0736949999999958</f>
        <v>356.08965000000001</v>
      </c>
      <c r="Z359" s="3">
        <f>260.8+(336.8-216.1)+(-0.532032+(-0.687072--0.440844))+0-32.5--0.0662999999999986</f>
        <v>348.28804000000002</v>
      </c>
      <c r="AA359" s="3">
        <f>258.7+(373.6-258.2)+(-0.923559+(-1.333752--0.921774))+0-32.2--0.114954</f>
        <v>340.67941700000006</v>
      </c>
      <c r="AB359" s="3">
        <f>159.4+(421.8-216.8)+(-0.325176+(-0.860472--0.442272))+0-32--0.0652799999999986</f>
        <v>331.72190399999994</v>
      </c>
      <c r="AC359" s="3">
        <f>0+(465.4-116.7)+(0+(-0.474708--0.119034))+0-32.1--0.0327420000000051</f>
        <v>316.27706799999993</v>
      </c>
      <c r="AD359" s="2">
        <v>357.5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0+(374.6-41.8)+(0+(-1.146276--0.127908))+0-31.8--0.0973080000000037</f>
        <v>300.07893999999999</v>
      </c>
      <c r="G360" s="3">
        <f>1.6+(358.5-34.8)+(-0.002448+(-0.548505--0.053244))+0-31.7--0.0485010000000018</f>
        <v>293.15079200000002</v>
      </c>
      <c r="H360" s="3">
        <f>61.9+(327.8-68.3)+(-0.094707+(-0.501534--0.104499))+0-31.8--0.0486540000000018</f>
        <v>289.15691199999998</v>
      </c>
      <c r="I360" s="3">
        <f>83.9+(294.8-67.5)+(-0.042789+(-0.150348--0.034425))+0-31.9--0.0162689999999968</f>
        <v>279.15755700000011</v>
      </c>
      <c r="J360" s="3">
        <f>46+(333.4-61.5)+(-0.04692+(-0.340068--0.06273))+0-31.5--0.032130000000005</f>
        <v>286.10787199999999</v>
      </c>
      <c r="K360" s="3">
        <f>126.6+(295.5-106.4)+(0.129132+(0.30141-0.108528))+0-31.3-0.031926000000005</f>
        <v>284.690088</v>
      </c>
      <c r="L360" s="3">
        <f>94.1+(355-143.2)+(-0.191964+(-0.7242--0.292128))+0-28.1--0.0573239999999988</f>
        <v>277.23328799999996</v>
      </c>
      <c r="M360" s="3">
        <f>1.5+(359.2-44.2)+(0.000765+(0.183192-0.022542))+0-31.8-0.0162179999999968</f>
        <v>284.84519699999998</v>
      </c>
      <c r="N360" s="3">
        <f>6.5+(355.2-8.1)+(0.003315+(0.181152-0.004131))+0-32.1-0.0163709999999967</f>
        <v>321.66396499999996</v>
      </c>
      <c r="O360" s="3">
        <f>0+(348.1-0)+(0+(0.710124-0))+0-32.3-0.0658919999999986</f>
        <v>316.444232</v>
      </c>
      <c r="P360" s="3">
        <f>27+(330.1-0)+(-0.02754+(-0.336702-0))+0-31.9--0.0325380000000051</f>
        <v>324.86829600000004</v>
      </c>
      <c r="Q360" s="3">
        <f>0+(360.3-0)+(0+(-0.918765-0))+0-32--0.0815999999999954</f>
        <v>327.46283499999998</v>
      </c>
      <c r="R360" s="3">
        <f>0+(341.6-0)+(0+(-0.87108-0))+0-32.1--0.0818549999999953</f>
        <v>308.71077500000001</v>
      </c>
      <c r="S360" s="3">
        <f>0+(330.1-8.5)+(0+(-0.673404--0.01734))+0-31.5--0.0642599999999986</f>
        <v>289.508196</v>
      </c>
      <c r="T360" s="3">
        <f>0+(398.3-83.1)+(0+(0.406266-0.084762))+0-31.5-0.032130000000005</f>
        <v>283.98937400000005</v>
      </c>
      <c r="U360" s="3">
        <f>0+(380.8-71)+(0+(0-0))+0-31-0</f>
        <v>278.8</v>
      </c>
      <c r="V360" s="3">
        <f>0+(381.8-66.1)+(0+(-0.584154--0.101133))+0-31--0.0474300000000018</f>
        <v>284.26440900000006</v>
      </c>
      <c r="W360" s="3">
        <f>0+(379.3-37.3)+(0+(0.386886-0.038046))+0-31.4-0.032028000000005</f>
        <v>310.91681199999999</v>
      </c>
      <c r="X360" s="3">
        <f>0+(471.4-91.6)+(0+(0.480828-0.093432))+0-33.7-0.0343740000000054</f>
        <v>346.45302199999998</v>
      </c>
      <c r="Y360" s="3">
        <f>0+(453.3-78.3)+(0+(-0.693549--0.119799))+0-34.7--0.053091000000002</f>
        <v>339.77934099999999</v>
      </c>
      <c r="Z360" s="3">
        <f>0+(429.4-58.9)+(0+(-0.656982--0.090117))+0-33.8--0.0517140000000019</f>
        <v>336.18484899999999</v>
      </c>
      <c r="AA360" s="3">
        <f>0+(379.7-24.3)+(0+(-0.193647--0.012393))+0-34.4--0.0175439999999965</f>
        <v>320.83628999999996</v>
      </c>
      <c r="AB360" s="3">
        <f>0+(338.5-0)+(0+(-0.863175-0))+0-33.3--0.0849149999999952</f>
        <v>304.42174</v>
      </c>
      <c r="AC360" s="3">
        <f>0+(352.1-26.7)+(0+(-0.538713--0.040851))+0-33--0.0504900000000019</f>
        <v>291.95262800000006</v>
      </c>
      <c r="AD360" s="2">
        <v>342.6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0+(342.3-27)+(0+(-0.698292--0.05508))+0-33--0.0673199999999986</f>
        <v>281.724108</v>
      </c>
      <c r="G361" s="3">
        <f>0+(337.3-29.1)+(0+(-0.688092--0.059364))+0-32.4--0.0660959999999986</f>
        <v>275.237368</v>
      </c>
      <c r="H361" s="3">
        <f>0+(295.6-16.1)+(0+(-0.301512--0.016422))+0-31.7--0.0323340000000051</f>
        <v>247.54724399999998</v>
      </c>
      <c r="I361" s="3">
        <f>0+(313.5-63.5)+(0+(0.479655-0.097155))+0-32.1-0.0491130000000019</f>
        <v>218.23338699999999</v>
      </c>
      <c r="J361" s="3">
        <f>0+(304.7-17.2)+(0+(-0.621588--0.035088))+0-30.5--0.0622199999999987</f>
        <v>256.47572000000002</v>
      </c>
      <c r="K361" s="3">
        <f>0+(315.1-21.5)+(0+(-0.321402--0.02193))+0-31.2--0.031824000000005</f>
        <v>262.13235200000008</v>
      </c>
      <c r="L361" s="3">
        <f>0+(298.9-24.1)+(0+(-0.152439--0.012291))+0-29.2--0.014891999999997</f>
        <v>245.47474399999996</v>
      </c>
      <c r="M361" s="3">
        <f>0+(327.1-43.9)+(0+(0.166821-0.022389))+0-30.2-0.0154019999999969</f>
        <v>253.12903000000006</v>
      </c>
      <c r="N361" s="3">
        <f>0+(335-37)+(0+(-0.17085--0.01887))+0-31.6--0.0161159999999968</f>
        <v>266.26413600000001</v>
      </c>
      <c r="O361" s="3">
        <f>0+(336.6-30.3)+(0+(-0.171666--0.015453))+0-31.9--0.0162689999999968</f>
        <v>274.26005600000008</v>
      </c>
      <c r="P361" s="3">
        <f>0+(352.8-38.3)+(0+(0.539784-0.058599))+0-32.1-0.0491130000000019</f>
        <v>282.83207199999998</v>
      </c>
      <c r="Q361" s="3">
        <f>0+(362.4-34.5)+(0+(-0.739296--0.07038))+0-31.8--0.0648719999999986</f>
        <v>295.49595599999992</v>
      </c>
      <c r="R361" s="3">
        <f>0+(362.4-36.2)+(0+(-0.369648--0.036924))+0-31.8--0.0324360000000051</f>
        <v>294.09971200000001</v>
      </c>
      <c r="S361" s="3">
        <f>0+(362.4-48.3)+(0+(-0.739296--0.098532))+0-31.9--0.0650759999999986</f>
        <v>281.62431199999997</v>
      </c>
      <c r="T361" s="3">
        <f>0+(379.2-87.2)+(0+(0.386784-0.088944))+0-31.2-0.031824000000005</f>
        <v>261.06601599999999</v>
      </c>
      <c r="U361" s="3">
        <f>0+(377.4-90)+(0+(0.192474-0.0459))+0-29.6-0.015095999999997</f>
        <v>257.93147799999997</v>
      </c>
      <c r="V361" s="3">
        <f>0+(369.9-74.6)+(0+(0.377298-0.076092))+0-29.8-0.0303960000000048</f>
        <v>265.77080999999993</v>
      </c>
      <c r="W361" s="3">
        <f>0+(398-89.4)+(0+(0-0))+0-31.2-0</f>
        <v>277.40000000000003</v>
      </c>
      <c r="X361" s="3">
        <f>0+(488.7-134.7)+(0+(0.498474-0.137394))+0-32.6-0.0332520000000052</f>
        <v>321.72782799999999</v>
      </c>
      <c r="Y361" s="3">
        <f>0+(479.6-120.2)+(0+(-0.244596--0.061302))+0-33.4--0.0170339999999966</f>
        <v>325.83374000000009</v>
      </c>
      <c r="Z361" s="3">
        <f>0+(454.7-91.6)+(0+(-0.463794--0.093432))+0-34.3--0.0349860000000055</f>
        <v>328.46462400000001</v>
      </c>
      <c r="AA361" s="3">
        <f>0+(429.3-75.9)+(0+(-0.437886--0.077418))+0-33.7--0.0343740000000054</f>
        <v>319.37390599999998</v>
      </c>
      <c r="AB361" s="3">
        <f>0+(401.8-58.4)+(0+(-1.02459--0.14892))+0-33.3--0.0849149999999952</f>
        <v>309.30924500000003</v>
      </c>
      <c r="AC361" s="3">
        <f>0+(396.5-61.1)+(0+(-0.606645--0.093483))+0-32.8--0.0501840000000019</f>
        <v>302.13702199999994</v>
      </c>
      <c r="AD361" s="2">
        <v>319.3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0+(386.5-69)+(0+(-1.18269--0.21114))+0-32.2--0.0985320000000037</f>
        <v>284.42698200000001</v>
      </c>
      <c r="G362" s="3">
        <f>0+(363.8-58.6)+(0+(-0.92769--0.14943))+0-31.9--0.0813449999999954</f>
        <v>272.60308500000002</v>
      </c>
      <c r="H362" s="3">
        <f>0+(357.9-57.9)+(0+(-0.730116--0.118116))+0-31.2--0.0636479999999986</f>
        <v>268.25164799999999</v>
      </c>
      <c r="I362" s="3">
        <f>0+(355.7-54.1)+(0+(0-0))+0-31.6-0</f>
        <v>269.99999999999994</v>
      </c>
      <c r="J362" s="3">
        <f>0+(365.5-59)+(0+(0.559215-0.09027))+0-31.5-0.0481950000000018</f>
        <v>275.42075</v>
      </c>
      <c r="K362" s="3">
        <f>0+(348.4-46.7)+(0+(0-0))+0-31.5-0</f>
        <v>270.2</v>
      </c>
      <c r="L362" s="3">
        <f>0+(312.9-16.5)+(0+(-0.159579--0.008415))+0-31.6--0.0161159999999968</f>
        <v>264.66495199999997</v>
      </c>
      <c r="M362" s="3">
        <f>16.9+(348.9-57)+(0+(0-0))+0-32.1-0</f>
        <v>276.69999999999993</v>
      </c>
      <c r="N362" s="3">
        <f>65.6+(347.6-69)+(-0.033456+(-0.177276--0.03519))+0-32--0.0163199999999968</f>
        <v>312.04077800000005</v>
      </c>
      <c r="O362" s="3">
        <f>65.7+(340-57.2)+(-0.033507+(-0.1734--0.029172))+0-30.6--0.0156059999999969</f>
        <v>317.73787099999998</v>
      </c>
      <c r="P362" s="3">
        <f>82.7+(323.7-63.7)+(0.042177+(0.165087-0.032487))+0-30.8-0.0157079999999969</f>
        <v>312.05906899999997</v>
      </c>
      <c r="Q362" s="3">
        <f>129.4+(309.7-90.3)+(0+(0-0))+0-31-0</f>
        <v>317.79999999999995</v>
      </c>
      <c r="R362" s="3">
        <f>128.8+(301.6-95.2)+(-0.197064+(-0.461448--0.145656))+0-31.2--0.0477360000000018</f>
        <v>303.53488000000004</v>
      </c>
      <c r="S362" s="3">
        <f>128+(316-127.3)+(0.06528+(0.16116-0.064923))+0-31.3-0.0159629999999968</f>
        <v>285.54555399999998</v>
      </c>
      <c r="T362" s="3">
        <f>127.1+(337.7-137.5)+(-0.129642+(-0.344454--0.14025))+0-32.6--0.0332520000000052</f>
        <v>294.39940599999994</v>
      </c>
      <c r="U362" s="3">
        <f>127.2+(343.7-152.4)+(-0.259488+(-0.701148--0.310896))+0-30.8--0.0628319999999987</f>
        <v>287.11309199999999</v>
      </c>
      <c r="V362" s="3">
        <f>127.4+(328.7-148.8)+(-0.389844+(-1.005822--0.455328))+0-31.4--0.0960840000000036</f>
        <v>275.055746</v>
      </c>
      <c r="W362" s="3">
        <f>128+(289.4-85.9)+(-0.52224+(-1.180752--0.350472))+0-30.7--0.125255999999997</f>
        <v>299.57273599999996</v>
      </c>
      <c r="X362" s="3">
        <f>129.1+(324.3-87)+(0+(0-0))+0-33.2-0</f>
        <v>333.2</v>
      </c>
      <c r="Y362" s="3">
        <f>131.4+(315.9-76.7)+(-0.33507+(-0.805545--0.195585))+0-33.7--0.0859349999999951</f>
        <v>336.04090500000007</v>
      </c>
      <c r="Z362" s="3">
        <f>132.5+(288.2-56.9)+(-0.337875+(-0.73491--0.145095))+0-29.9--0.0762449999999957</f>
        <v>333.04855499999996</v>
      </c>
      <c r="AA362" s="3">
        <f>132.7+(299.2-79.5)+(-0.270708+(-0.610368--0.16218))+0-32.1--0.0654839999999986</f>
        <v>319.64658800000001</v>
      </c>
      <c r="AB362" s="3">
        <f>132.1+(296.4-78.5)+(-0.067371+(-0.151164--0.040035))+0-31.5--0.0160649999999968</f>
        <v>318.33756499999998</v>
      </c>
      <c r="AC362" s="3">
        <f>119.7+(318.3-93.3)+(-0.305235+(-0.811665--0.237915))+0-30.1--0.0767549999999956</f>
        <v>313.79776999999996</v>
      </c>
      <c r="AD362" s="2">
        <v>331.5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109.5+(297.9-80.8)+(-0.33507+(-0.911574--0.247248))+0-32.4--0.0991440000000037</f>
        <v>293.29974800000002</v>
      </c>
      <c r="G363" s="3">
        <f>99.7+(291.9-72.6)+(-0.254235+(-0.744345--0.18513))+0-32.3--0.0823649999999953</f>
        <v>285.96891499999998</v>
      </c>
      <c r="H363" s="3">
        <f>90.3+(326.5-94.9)+(-0.184212+(-0.66606--0.193596))+0-32.5--0.0662999999999986</f>
        <v>288.80962399999999</v>
      </c>
      <c r="I363" s="3">
        <f>89.7+(317.9-91.1)+(-0.274482+(-0.972774--0.278766))+0-32.2--0.0985320000000037</f>
        <v>283.43004200000001</v>
      </c>
      <c r="J363" s="3">
        <f>90.3+(326-109.6)+(-0.138159+(-0.49878--0.167688))+0-32.3--0.0494190000000019</f>
        <v>273.98016799999999</v>
      </c>
      <c r="K363" s="3">
        <f>90.8+(317.4-94.3)+(-0.046308+(-0.161874--0.048093))+0-32--0.0163199999999968</f>
        <v>281.75623099999996</v>
      </c>
      <c r="L363" s="3">
        <f>90.8+(300.4-83.4)+(0+(0-0))+0-31.9-0</f>
        <v>275.89999999999998</v>
      </c>
      <c r="M363" s="3">
        <f>91.1+(321.9-97.6)+(0.092922+(0.328338-0.099552))+0-31-0.0316200000000049</f>
        <v>284.69008799999995</v>
      </c>
      <c r="N363" s="3">
        <f>98.3+(296.6-58.5)+(-0.050133+(-0.151266--0.029835))+0-29.7--0.015146999999997</f>
        <v>306.54358300000007</v>
      </c>
      <c r="O363" s="3">
        <f>126.2+(311.8-84.8)+(0+(0-0))+0-30.2-0</f>
        <v>323</v>
      </c>
      <c r="P363" s="3">
        <f>125.2+(310.2-78)+(-0.31926+(-0.79101--0.1989))+0-31.5--0.0803249999999954</f>
        <v>325.06895500000002</v>
      </c>
      <c r="Q363" s="3">
        <f>125.8+(305.5-85.5)+(-0.064158+(-0.155805--0.043605))+0-30.9--0.0157589999999969</f>
        <v>314.73940100000004</v>
      </c>
      <c r="R363" s="3">
        <f>124.6+(307.9-95.1)+(-0.381276+(-0.942174--0.291006))+0-31.2--0.0954720000000036</f>
        <v>305.26302800000002</v>
      </c>
      <c r="S363" s="3">
        <f>115.3+(296.3-75.8)+(0.058803+(0.151113-0.038658))+0-32.7-0.0166769999999967</f>
        <v>303.25458100000003</v>
      </c>
      <c r="T363" s="3">
        <f>100.3+(295.7-63.1)+(-0.204612+(-0.603228--0.128724))+0-32.5--0.0662999999999986</f>
        <v>299.78718399999997</v>
      </c>
      <c r="U363" s="3">
        <f>100.4+(289.7-64.7)+(-0.153612+(-0.443241--0.098991))+0-32.1--0.0491130000000019</f>
        <v>292.85125099999993</v>
      </c>
      <c r="V363" s="3">
        <f>100.9+(293.4-64.7)+(0+(0-0))+0-32.8-0</f>
        <v>296.8</v>
      </c>
      <c r="W363" s="3">
        <f>111+(324.3-112)+(0+(0-0))+0-32.8-0</f>
        <v>290.5</v>
      </c>
      <c r="X363" s="3">
        <f>125+(399.3-177)+(0.06375+(0.203643-0.09027))+0-32.8-0.0167279999999967</f>
        <v>314.66039499999999</v>
      </c>
      <c r="Y363" s="3">
        <f>126+(389.3-151)+(-0.06426+(-0.198543--0.07701))+0-32.8--0.0167279999999967</f>
        <v>331.33093500000001</v>
      </c>
      <c r="Z363" s="3">
        <f>125.9+(360.3-118.4)+(-0.064209+(-0.183753--0.060384))+0-33.8--0.0172379999999966</f>
        <v>333.82966000000005</v>
      </c>
      <c r="AA363" s="3">
        <f>126+(334-97.3)+(-0.06426+(-0.17034--0.049623))+0-33.6--0.0171359999999966</f>
        <v>328.93215899999996</v>
      </c>
      <c r="AB363" s="3">
        <f>125.2+(296.9-76)+(-0.31926+(-0.757095--0.1938))+0-33--0.0841499999999952</f>
        <v>312.30159499999996</v>
      </c>
      <c r="AC363" s="3">
        <f>72.6+(346.5-85.7)+(-0.148104+(-0.70686--0.174828))+0-32.7--0.0667079999999986</f>
        <v>300.08657199999999</v>
      </c>
      <c r="AD363" s="2">
        <v>314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65.7+(340.2-88.7)+(-0.134028+(-0.694008--0.180948))+0-32.2--0.0656879999999986</f>
        <v>284.41860000000003</v>
      </c>
      <c r="G364" s="3">
        <f>65.6+(308.2-75.1)+(-0.100368+(-0.471546--0.114903))+0-32.1--0.0491130000000019</f>
        <v>266.19210199999992</v>
      </c>
      <c r="H364" s="3">
        <f>65.6+(306.8-79)+(-0.16728+(-0.78234--0.20145))+0-31.9--0.0813449999999954</f>
        <v>260.83317499999998</v>
      </c>
      <c r="I364" s="3">
        <f>65.6+(332.2-99)+(0.033456+(0.169422-0.05049))+0-32.2-0.0164219999999967</f>
        <v>266.73596599999996</v>
      </c>
      <c r="J364" s="3">
        <f>65.6+(344.1-112.9)+(-0.133824+(-0.701964--0.230316))+0-31.6--0.0644639999999986</f>
        <v>264.65899199999996</v>
      </c>
      <c r="K364" s="3">
        <f>65.6+(342.2-117.1)+(-0.066912+(-0.349044--0.119442))+0-22.5--0.0229500000000036</f>
        <v>267.92643599999997</v>
      </c>
      <c r="L364" s="3">
        <f>65.6+(303.8-98.9)+(0+(0-0))+0-7-0</f>
        <v>263.5</v>
      </c>
      <c r="M364" s="3">
        <f>65.6+(279.4-77.1)+(-0.100368+(-0.427482--0.117963))+0-6.9--0.0105570000000004</f>
        <v>260.60066999999998</v>
      </c>
      <c r="N364" s="3">
        <f>65.7+(319.3-89.9)+(-0.033507+(-0.162843--0.045849))+0-7--0.00356999999999929</f>
        <v>287.95306900000003</v>
      </c>
      <c r="O364" s="3">
        <f>121.4+(299.2-117.1)+(-0.30957+(-0.76296--0.298605))+0-7--0.017849999999999</f>
        <v>295.74392499999999</v>
      </c>
      <c r="P364" s="3">
        <f>125.8+(295.3-133.2)+(0.064158+(0.150603-0.067932))+0-7.1-0.00362099999999928</f>
        <v>280.94320800000003</v>
      </c>
      <c r="Q364" s="3">
        <f>126.1+(299-125.8)+(0.064311+(0.15249-0.064158))+0-7.1-0.00362099999999928</f>
        <v>292.34902199999993</v>
      </c>
      <c r="R364" s="3">
        <f>124.8+(306.9-140.7)+(-0.381888+(-0.939114--0.430542))+0-7.1--0.0217260000000008</f>
        <v>283.03126599999996</v>
      </c>
      <c r="S364" s="3">
        <f>124.7+(298.4-139.6)+(-0.254388+(-0.608736--0.284784))+0-7--0.0142799999999997</f>
        <v>275.93593999999996</v>
      </c>
      <c r="T364" s="3">
        <f>124.3+(306.2-159.8)+(-0.126786+(-0.312324--0.162996))+0-7--0.00714000000000112</f>
        <v>263.43102599999997</v>
      </c>
      <c r="U364" s="3">
        <f>124.9+(312.2-174.1)+(-0.063699+(-0.159222--0.088791))+0-7.1--0.00362099999999928</f>
        <v>255.76949099999999</v>
      </c>
      <c r="V364" s="3">
        <f>124.9+(300.8-160.1)+(-0.191097+(-0.460224--0.244953))+0-6.9--0.0105570000000004</f>
        <v>258.30418900000006</v>
      </c>
      <c r="W364" s="3">
        <f>126.1+(307.6-152.1)+(0.128622+(0.313752-0.155142))+0-6.9-0.0070380000000011</f>
        <v>274.98019400000004</v>
      </c>
      <c r="X364" s="3">
        <f>126.3+(397.8-155)+(0.128826+(0.405756-0.1581))+0-8-0.00816000000000128</f>
        <v>361.46832200000006</v>
      </c>
      <c r="Y364" s="3">
        <f>126+(358.4-157.8)+(-0.06426+(-0.182784--0.080478))+0-9.5--0.00484499999999904</f>
        <v>316.93827899999997</v>
      </c>
      <c r="Z364" s="3">
        <f>124.9+(334.7-146.3)+(-0.318495+(-0.853485--0.373065))+0-10.9--0.0277949999999984</f>
        <v>301.62887999999998</v>
      </c>
      <c r="AA364" s="3">
        <f>126.1+(278.1-91.4)+(0+(0-0))+0-10.9-0</f>
        <v>301.90000000000003</v>
      </c>
      <c r="AB364" s="3">
        <f>127.8+(265.2-87.2)+(-0.260712+(-0.541008--0.177888))+0-11.9--0.0242759999999995</f>
        <v>293.30044400000003</v>
      </c>
      <c r="AC364" s="3">
        <f>111.6+(193.6-22)+(-0.28458+(-0.49368--0.0561))+0-14.5--0.0369749999999979</f>
        <v>268.014815</v>
      </c>
      <c r="AD364" s="2">
        <v>292.5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90.7+(179.8-12.1)+(0+(0-0))+0-15.3-0</f>
        <v>243.10000000000002</v>
      </c>
      <c r="G365" s="3">
        <f>89.7+(192.7-19.5)+(-0.182988+(-0.393108--0.03978))+0-19.3--0.0393719999999992</f>
        <v>243.10305599999995</v>
      </c>
      <c r="H365" s="3">
        <f>89.6+(177.1-13.3)+(-0.274176+(-0.541926--0.040698))+0-16.5--0.0504900000000019</f>
        <v>236.17508599999996</v>
      </c>
      <c r="I365" s="3">
        <f>90.4+(184.9-20.9)+(-0.092208+(-0.188598--0.021318))+0-20--0.0204000000000032</f>
        <v>234.160912</v>
      </c>
      <c r="J365" s="3">
        <f>90.6+(174.1-10.3)+(-0.092412+(-0.177582--0.010506))+0-23--0.0234600000000037</f>
        <v>231.16397199999997</v>
      </c>
      <c r="K365" s="3">
        <f>97.5+(178.1-15.3)+(0.09945+(0.181662-0.015606))+0-25.5-0.0260100000000041</f>
        <v>235.03949599999996</v>
      </c>
      <c r="L365" s="3">
        <f>72.8+(188.7-14.9)+(-0.074256+(-0.192474--0.015198))+0-27.3--0.0278460000000044</f>
        <v>219.07631399999997</v>
      </c>
      <c r="M365" s="3">
        <f>100.8+(178.7-33.7)+(0.102816+(0.182274-0.034374))+0-25.7-0.0262140000000041</f>
        <v>220.32450200000002</v>
      </c>
      <c r="N365" s="3">
        <f>130+(182.3-46.3)+(-0.0663+(-0.092973--0.023613))+0-28.8--0.0146879999999971</f>
        <v>237.07902800000002</v>
      </c>
      <c r="O365" s="3">
        <f>130.5+(215.8-63.7)+(0+(0-0))+0-29.3-0</f>
        <v>253.3</v>
      </c>
      <c r="P365" s="3">
        <f>130+(209-49.9)+(-0.0663+(-0.10659--0.025449))+0-31.7--0.0161669999999968</f>
        <v>257.26872600000002</v>
      </c>
      <c r="Q365" s="3">
        <f>130.4+(205.5-48.9)+(0.266016+(0.41922-0.099756))+0-32-0.0652799999999986</f>
        <v>255.52020000000002</v>
      </c>
      <c r="R365" s="3">
        <f>125.8+(199.6-50.6)+(-0.256632+(-0.407184--0.103224))+0-31--0.0632399999999986</f>
        <v>243.30264800000003</v>
      </c>
      <c r="S365" s="3">
        <f>125.8+(211.1-78.4)+(-0.128316+(-0.215322--0.079968))+0-30.7--0.0313140000000049</f>
        <v>227.56764400000003</v>
      </c>
      <c r="T365" s="3">
        <f>89.1+(218.5-56)+(-0.181764+(-0.44574--0.11424))+0-30.7--0.0626279999999987</f>
        <v>220.449364</v>
      </c>
      <c r="U365" s="3">
        <f>65.7+(220.4-36.7)+(-0.100521+(-0.337212--0.056151))+0-31--0.0474300000000018</f>
        <v>218.06584799999996</v>
      </c>
      <c r="V365" s="3">
        <f>65.6+(218.1-31.9)+(0.133824+(0.444924-0.065076))+0-31.1-0.0634439999999986</f>
        <v>221.150228</v>
      </c>
      <c r="W365" s="3">
        <f>65.7+(275.7-77.3)+(-0.134028+(-0.562428--0.157692))+0-31.7--0.0646679999999986</f>
        <v>231.92590399999997</v>
      </c>
      <c r="X365" s="3">
        <f>92.5+(320.1-110.3)+(0.09435+(0.326502-0.112506))+0-32.9-0.0335580000000052</f>
        <v>269.67478799999998</v>
      </c>
      <c r="Y365" s="3">
        <f>132.9+(267.6-92.8)+(-0.203337+(-0.409428--0.141984))+0-32.9--0.0503370000000019</f>
        <v>274.37955600000009</v>
      </c>
      <c r="Z365" s="3">
        <f>80.8+(254.9-37.3)+(0.082416+(0.259998-0.038046))+0-32.3-0.0329460000000051</f>
        <v>266.37142200000005</v>
      </c>
      <c r="AA365" s="3">
        <f>80.8+(222.5-22.9)+(0.082416+(0.22695-0.023358))+0-31.7-0.0323340000000051</f>
        <v>248.95367399999998</v>
      </c>
      <c r="AB365" s="3">
        <f>80.1+(230.7-28.6)+(-0.122553+(-0.352971--0.043758))+0-31.4--0.0480420000000018</f>
        <v>250.41627600000001</v>
      </c>
      <c r="AC365" s="3">
        <f>4.2+(278.8-9.2)+(-0.004284+(-0.284376--0.009384))+0-32--0.0326400000000051</f>
        <v>241.55336400000004</v>
      </c>
      <c r="AD365" s="2">
        <v>279.29999999999995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233.83235199999996</v>
      </c>
      <c r="G366" s="1">
        <v>217.89142800000002</v>
      </c>
      <c r="H366" s="1">
        <v>217.47326500000003</v>
      </c>
      <c r="I366" s="1">
        <v>210.30652400000005</v>
      </c>
      <c r="J366" s="1">
        <v>208.722196</v>
      </c>
      <c r="K366" s="1">
        <v>201.28162900000001</v>
      </c>
      <c r="L366" s="1">
        <v>183.88059800000002</v>
      </c>
      <c r="M366" s="1">
        <v>184.2</v>
      </c>
      <c r="N366" s="1">
        <v>185.1</v>
      </c>
      <c r="O366" s="1">
        <v>196.49999999999997</v>
      </c>
      <c r="P366" s="1">
        <v>200.10000000000002</v>
      </c>
      <c r="Q366" s="1">
        <v>198.81796300000002</v>
      </c>
      <c r="R366" s="1">
        <v>197.04825299999999</v>
      </c>
      <c r="S366" s="1">
        <v>199.62712800000003</v>
      </c>
      <c r="T366" s="1">
        <v>192.53032999999999</v>
      </c>
      <c r="U366" s="1">
        <v>185.449455</v>
      </c>
      <c r="V366" s="1">
        <v>180.47778199999999</v>
      </c>
      <c r="W366" s="1">
        <v>191.06049299999998</v>
      </c>
      <c r="X366" s="1">
        <v>222.37061299999999</v>
      </c>
      <c r="Y366" s="1">
        <v>230.16643099999999</v>
      </c>
      <c r="Z366" s="1">
        <v>229.03292000000002</v>
      </c>
      <c r="AA366" s="1">
        <v>225.54235500000004</v>
      </c>
      <c r="AB366" s="1">
        <v>223.15000500000005</v>
      </c>
      <c r="AC366" s="1">
        <v>222.81474600000001</v>
      </c>
      <c r="AD366" s="1">
        <v>224.39999999999995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0+(795-201.6)+(0+(-0.8109--0.205632))+0-0-0</f>
        <v>592.79473199999995</v>
      </c>
      <c r="G1" s="3">
        <f>0+(695.6-143.7)+(0+(-1.419024--0.293148))+0-0-0</f>
        <v>550.77412400000014</v>
      </c>
      <c r="H1" s="3">
        <f>0+(590.1-79.6)+(0+(-1.504755--0.20298))+0-0-0</f>
        <v>509.19822499999998</v>
      </c>
      <c r="I1" s="3">
        <f>0+(557.5-66.4)+(0+(-0.852975--0.101592))+0-0-0</f>
        <v>490.34861700000005</v>
      </c>
      <c r="J1" s="3">
        <f>0+(556.1-64.4)+(0+(-0.283611--0.032844))+0-0-0</f>
        <v>491.44923300000005</v>
      </c>
      <c r="K1" s="3">
        <f>0+(555.8-67.3)+(0+(0-0))+0-0-0</f>
        <v>488.49999999999994</v>
      </c>
      <c r="L1" s="3">
        <f>0+(572.8-114.9)+(0+(-0.292128--0.058599))+0-0-0</f>
        <v>457.666471</v>
      </c>
      <c r="M1" s="3">
        <f>0+(642.6-140.4)+(0+(0-0))+0-0-0</f>
        <v>502.20000000000005</v>
      </c>
      <c r="N1" s="3">
        <f>0+(723.1-193.7)+(0+(-0.737562--0.197574))+0-0-0</f>
        <v>528.8600120000001</v>
      </c>
      <c r="O1" s="3">
        <f>0+(746.5-230.5)+(0+(-1.142145--0.352665))+0-0-0</f>
        <v>515.21051999999997</v>
      </c>
      <c r="P1" s="3">
        <f>0+(733.4-233.9)+(0+(-1.122102--0.357867))+0-0-0</f>
        <v>498.73576500000001</v>
      </c>
      <c r="Q1" s="3">
        <f>0+(680.6-187.4)+(0+(-0.347106--0.095574))+0-0-0</f>
        <v>492.94846800000005</v>
      </c>
      <c r="R1" s="3">
        <f>0+(618.7-124.7)+(0+(0-0))+0-0-0</f>
        <v>494.00000000000006</v>
      </c>
      <c r="S1" s="3">
        <f>0+(615.2-123.9)+(0+(0.313752-0.063189))+0-0-0</f>
        <v>491.55056300000007</v>
      </c>
      <c r="T1" s="3">
        <f>0+(634.2-147.2)+(0+(-1.61721--0.37536))+0-0-0</f>
        <v>485.75815000000006</v>
      </c>
      <c r="U1" s="3">
        <f>0+(633.1-150.4)+(0+(-0.968643--0.230112))+0-0-0</f>
        <v>481.96146900000002</v>
      </c>
      <c r="V1" s="3">
        <f>0+(626.6-141)+(0+(-0.958698--0.21573))+0-0-0</f>
        <v>484.857032</v>
      </c>
      <c r="W1" s="3">
        <f>0+(555.7-63.2)+(0+(-0.566814--0.064464))+0-0-0</f>
        <v>491.99765000000008</v>
      </c>
      <c r="X1" s="3">
        <f>0+(624.6-73.3)+(0+(-0.637092--0.074766))+0-0-0</f>
        <v>550.73767400000008</v>
      </c>
      <c r="Y1" s="3">
        <f>0+(864.2-248)+(0+(-0.881484--0.25296))+0-0-0</f>
        <v>615.57147600000008</v>
      </c>
      <c r="Z1" s="3">
        <f>0+(867.8-255.3)+(0+(-1.327734--0.390609))+0-0-0</f>
        <v>611.56287499999996</v>
      </c>
      <c r="AA1" s="3">
        <f>0+(903.7-299.7)+(0+(-1.382661--0.458541))+0-0-0</f>
        <v>603.07587999999998</v>
      </c>
      <c r="AB1" s="3">
        <f>0+(938.3-342.3)+(0+(-1.435599--0.523719))+0-0-0</f>
        <v>595.08812</v>
      </c>
      <c r="AC1" s="3">
        <f>0+(809.4-243.6)+(0+(-2.889558--0.869652))+0-0-0</f>
        <v>563.78009399999996</v>
      </c>
      <c r="AD1" s="2">
        <v>624.59999999999991</v>
      </c>
      <c r="AE1" s="3">
        <f>0+(883.4-258.8)+(0+(0-0))+0-0-0</f>
        <v>624.59999999999991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486.64004699999998</v>
      </c>
      <c r="G2" s="3">
        <f>0+(553.5-144)+(0+(0-0))+0-0-0</f>
        <v>409.5</v>
      </c>
      <c r="H2" s="3">
        <f>0+(592-64.9)+(0+(-0.90576--0.099297))+0-0-0</f>
        <v>526.29353700000001</v>
      </c>
      <c r="I2" s="3">
        <f>0+(547.1-72.4)+(0+(-0.837063--0.110772))+0-0-0</f>
        <v>473.97370900000004</v>
      </c>
      <c r="J2" s="3">
        <f>0+(571.8-90.9)+(0+(-0.874854--0.139077))+0-0-0</f>
        <v>480.16422299999999</v>
      </c>
      <c r="K2" s="3">
        <f>0+(583.3-102.7)+(0+(0.892449-0.157131))+0-0-0</f>
        <v>481.33531799999997</v>
      </c>
      <c r="L2" s="3">
        <f>0+(591.2-111.1)+(0+(-0.904536--0.169983))+0-0-0</f>
        <v>479.36544700000002</v>
      </c>
      <c r="M2" s="3">
        <f>0+(599.1-142.3)+(0+(0.305541-0.072573))+0-0-0</f>
        <v>457.03296800000004</v>
      </c>
      <c r="N2" s="3">
        <f>0+(569-108.9)+(0+(0.29019-0.055539))+0-0-0</f>
        <v>460.33465100000001</v>
      </c>
      <c r="O2" s="3">
        <f>0+(662.1-171.7)+(0+(0.337671-0.087567))+0-0-0</f>
        <v>490.65010400000006</v>
      </c>
      <c r="P2" s="3">
        <f>0+(738.8-222.4)+(0+(0-0))+0-0-0</f>
        <v>516.4</v>
      </c>
      <c r="Q2" s="3">
        <f>0+(775.4-259.7)+(0+(-0.790908--0.264894))+0-0-0</f>
        <v>515.17398600000001</v>
      </c>
      <c r="R2" s="3">
        <f>0+(738.3-243.7)+(0+(0-0))+0-0-0</f>
        <v>494.59999999999997</v>
      </c>
      <c r="S2" s="3">
        <f>0+(677.6-165.7)+(0+(0-0))+0-0-0</f>
        <v>511.90000000000003</v>
      </c>
      <c r="T2" s="3">
        <f>0+(661.9-152.2)+(0+(-0.675138--0.155244))+0-0-0</f>
        <v>509.18010599999997</v>
      </c>
      <c r="U2" s="3">
        <f>0+(644.4-141.1)+(0+(-1.314576--0.287844))+0-0-0</f>
        <v>502.27326799999997</v>
      </c>
      <c r="V2" s="3">
        <f>0+(602.5-108.7)+(0+(0.61455-0.110874))+0-0-0</f>
        <v>494.303676</v>
      </c>
      <c r="W2" s="3">
        <f>0+(505.9-29.8)+(0+(-0.516018--0.030396))+0-0-0</f>
        <v>475.61437799999999</v>
      </c>
      <c r="X2" s="3">
        <f>0+(498.6-15.9)+(0+(-0.508572--0.016218))+0-0-0</f>
        <v>482.20764600000007</v>
      </c>
      <c r="Y2" s="3">
        <f>0+(562.9-20.1)+(0+(0-0))+0-0-0</f>
        <v>542.79999999999995</v>
      </c>
      <c r="Z2" s="3">
        <f>0+(789.2-176.5)+(0+(-1.207476--0.270045))+0-0-0</f>
        <v>611.7625690000001</v>
      </c>
      <c r="AA2" s="3">
        <f>0+(877.8-266.8)+(0+(-0.895356--0.272136))+0-0-0</f>
        <v>610.37678000000005</v>
      </c>
      <c r="AB2" s="3">
        <f>0+(988.8-385.6)+(0+(1.008576-0.393312))+0-0-0</f>
        <v>603.81526399999996</v>
      </c>
      <c r="AC2" s="3">
        <f>0+(934.3-344.6)+(0+(-0.476493--0.175746))+0-0-0</f>
        <v>589.39925299999993</v>
      </c>
      <c r="AD2" s="2">
        <v>619.1</v>
      </c>
      <c r="AE2" s="3">
        <f>0+(744-124.9)+(0+(0-0))+0-0-0</f>
        <v>619.1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0+(826.7-267.7)+(0+(-1.264851--0.409581))+0-0-0</f>
        <v>558.14472999999998</v>
      </c>
      <c r="G3" s="3">
        <f>0+(631.4-109.3)+(0+(-0.322014--0.055743))+0-0-0</f>
        <v>521.83372900000006</v>
      </c>
      <c r="H3" s="3">
        <f>0+(576.5-84.3)+(0+(-0.294015--0.042993))+0-0-0</f>
        <v>491.94897800000001</v>
      </c>
      <c r="I3" s="3">
        <f>0+(582.8-106.8)+(0+(1.188912-0.217872))+0-0-0</f>
        <v>476.97103999999996</v>
      </c>
      <c r="J3" s="3">
        <f>0+(606.9-123.4)+(0+(0-0))+0-0-0</f>
        <v>483.5</v>
      </c>
      <c r="K3" s="3">
        <f>0+(596-111.4)+(0+(0.30396-0.056814))+0-0-0</f>
        <v>484.84714600000001</v>
      </c>
      <c r="L3" s="3">
        <f>0+(579.9-104.8)+(0+(0.295749-0.053448))+0-0-0</f>
        <v>475.34230099999996</v>
      </c>
      <c r="M3" s="3">
        <f>0+(576.2-129.6)+(0+(-1.175448--0.264384))+0-0-0</f>
        <v>445.68893600000001</v>
      </c>
      <c r="N3" s="3">
        <f>0+(595.8-126.2)+(0+(-0.303858--0.064362))+0-0-0</f>
        <v>469.36050399999999</v>
      </c>
      <c r="O3" s="3">
        <f>0+(655.1-143.5)+(0+(0.334101-0.073185))+0-0-0</f>
        <v>511.86091600000003</v>
      </c>
      <c r="P3" s="3">
        <f>0+(736.9-204)+(0+(-0.375819--0.10404))+0-0-0</f>
        <v>532.62822099999994</v>
      </c>
      <c r="Q3" s="3">
        <f>0+(806.6-266.3)+(0+(0-0))+0-0-0</f>
        <v>540.29999999999995</v>
      </c>
      <c r="R3" s="3">
        <f>0+(823.3-274)+(0+(-2.099415--0.6987))+0-0-0</f>
        <v>547.89928499999996</v>
      </c>
      <c r="S3" s="3">
        <f>0+(784.6-242.1)+(0+(0.800292-0.246942))+0-0-0</f>
        <v>543.05335000000002</v>
      </c>
      <c r="T3" s="3">
        <f>0+(751.2-226.5)+(0+(-0.766224--0.23103))+0-0-0</f>
        <v>524.164806</v>
      </c>
      <c r="U3" s="3">
        <f>0+(765-254.3)+(0+(-1.5606--0.518772))+0-0-0</f>
        <v>509.65817199999998</v>
      </c>
      <c r="V3" s="3">
        <f>0+(754.6-235.8)+(0+(0-0))+0-0-0</f>
        <v>518.79999999999995</v>
      </c>
      <c r="W3" s="3">
        <f>0+(731.9-209.3)+(0+(0.373269-0.106743))+0-0-0</f>
        <v>522.86652599999991</v>
      </c>
      <c r="X3" s="3">
        <f>0+(690.6-158.1)+(0+(-1.056618--0.241893))+0-0-0</f>
        <v>531.68527500000005</v>
      </c>
      <c r="Y3" s="3">
        <f>0+(751.6-163.8)+(0+(0-0))+0-0-0</f>
        <v>587.79999999999995</v>
      </c>
      <c r="Z3" s="3">
        <f>0+(824.4-189.1)+(0+(-2.522664--0.578646))+0-0-0</f>
        <v>633.35598199999993</v>
      </c>
      <c r="AA3" s="3">
        <f>0+(951.3-320.9)+(0+(-0.485163--0.163659))+0-0-0</f>
        <v>630.07849599999997</v>
      </c>
      <c r="AB3" s="3">
        <f>0+(965.1-345.5)+(0+(-0.984402--0.35241))+0-0-0</f>
        <v>618.96800800000005</v>
      </c>
      <c r="AC3" s="3">
        <f>0+(935.1-326.9)+(0+(-1.430703--0.500157))+0-0-0</f>
        <v>607.269454</v>
      </c>
      <c r="AD3" s="2">
        <v>635.29999999999995</v>
      </c>
      <c r="AE3" s="3">
        <f>0+(821.5-186.2)+(0+(0-0))+0-0-0</f>
        <v>635.29999999999995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0+(816.2-233.1)+(0+(-0.832524--0.237762))+0-0-0</f>
        <v>582.50523800000008</v>
      </c>
      <c r="G4" s="3">
        <f>0+(663.9-113.3)+(0+(-1.015767--0.173349))+0-0-0</f>
        <v>549.75758200000007</v>
      </c>
      <c r="H4" s="3">
        <f>0+(540.5-24.2)+(0+(-0.275655--0.012342))+0-0-0</f>
        <v>516.03668699999992</v>
      </c>
      <c r="I4" s="3">
        <f>0+(548.4-50.3)+(0+(0-0))+0-0-0</f>
        <v>498.09999999999997</v>
      </c>
      <c r="J4" s="3">
        <f>0+(543.7-46.9)+(0+(-0.831861--0.071757))+0-0-0</f>
        <v>496.03989600000006</v>
      </c>
      <c r="K4" s="3">
        <f>0+(539.7-34.9)+(0+(-0.275247--0.017799))+0-0-0</f>
        <v>504.54255200000006</v>
      </c>
      <c r="L4" s="3">
        <f>0+(568.7-64)+(0+(-1.160148--0.13056))+0-0-0</f>
        <v>503.67041200000006</v>
      </c>
      <c r="M4" s="3">
        <f>0+(602.8-120.4)+(0+(-1.844568--0.368424))+0-0-0</f>
        <v>480.923856</v>
      </c>
      <c r="N4" s="3">
        <f>0+(622.2-127.6)+(0+(0.634644-0.130152))+0-0-0</f>
        <v>495.10449200000005</v>
      </c>
      <c r="O4" s="3">
        <f>0+(709.4-184.1)+(0+(0.361794-0.093891))+0-0-0</f>
        <v>525.567903</v>
      </c>
      <c r="P4" s="3">
        <f>0+(772.1-220.8)+(0+(0.787542-0.225216))+0-0-0</f>
        <v>551.86232599999994</v>
      </c>
      <c r="Q4" s="3">
        <f>0+(818.9-259.7)+(0+(0-0))+0-0-0</f>
        <v>559.20000000000005</v>
      </c>
      <c r="R4" s="3">
        <f>0+(827.3-265.4)+(0+(-2.109615--0.67677))+0-0-0</f>
        <v>560.46715499999993</v>
      </c>
      <c r="S4" s="3">
        <f>0+(809.1-252.4)+(0+(-1.650564--0.514896))+0-0-0</f>
        <v>555.56433200000004</v>
      </c>
      <c r="T4" s="3">
        <f>0+(762.4-222.4)+(0+(-0.777648--0.226848))+0-0-0</f>
        <v>539.44920000000002</v>
      </c>
      <c r="U4" s="3">
        <f>0+(755-227.6)+(0+(-1.15515--0.348228))+0-0-0</f>
        <v>526.59307799999999</v>
      </c>
      <c r="V4" s="3">
        <f>0+(727.3-201.7)+(0+(0.370923-0.102867))+0-0-0</f>
        <v>525.86805599999991</v>
      </c>
      <c r="W4" s="3">
        <f>0+(690.9-160.7)+(0+(1.409436-0.327828))+0-0-0</f>
        <v>531.28160800000001</v>
      </c>
      <c r="X4" s="3">
        <f>0+(652.9-112.3)+(0+(-0.332979--0.057273))+0-0-0</f>
        <v>540.32429400000001</v>
      </c>
      <c r="Y4" s="3">
        <f>0+(673.8-88.1)+(0+(0-0))+0-0-0</f>
        <v>585.69999999999993</v>
      </c>
      <c r="Z4" s="3">
        <f>0+(815.3-172.4)+(0+(-2.079015--0.43962))+0-0-0</f>
        <v>641.26060499999994</v>
      </c>
      <c r="AA4" s="3">
        <f>0+(902.3-262.9)+(0+(-1.840692--0.536316))+0-0-0</f>
        <v>638.09562399999993</v>
      </c>
      <c r="AB4" s="3">
        <f>0+(872.2-246)+(0+(0-0))+0-0-0</f>
        <v>626.20000000000005</v>
      </c>
      <c r="AC4" s="3">
        <f>0+(807.9-197.7)+(0+(0.412029-0.100827))+0-0-0</f>
        <v>610.51120200000003</v>
      </c>
      <c r="AD4" s="2">
        <v>667.6</v>
      </c>
      <c r="AE4" s="3">
        <f>0+(842.5-174.9)+(0+(0-0))+0-0-0</f>
        <v>667.6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0+(692.7-125.7)+(0+(-1.766385--0.320535))+0-0-0</f>
        <v>565.55415000000005</v>
      </c>
      <c r="G5" s="3">
        <f>0+(619.8-80.7)+(0+(-1.264392--0.164628))+0-0-0</f>
        <v>538.00023599999986</v>
      </c>
      <c r="H5" s="3">
        <f>0+(688.7-169.6)+(0+(0.351237-0.086496))+0-0-0</f>
        <v>519.36474099999998</v>
      </c>
      <c r="I5" s="3">
        <f>0+(664-156.5)+(0+(-2.03184--0.47889))+0-0-0</f>
        <v>505.94704999999999</v>
      </c>
      <c r="J5" s="3">
        <f>0+(646.4-146.9)+(0+(-0.659328--0.149838))+0-0-0</f>
        <v>498.99050999999997</v>
      </c>
      <c r="K5" s="3">
        <f>0+(643-143.9)+(0+(0.65586-0.146778))+0-0-0</f>
        <v>499.609082</v>
      </c>
      <c r="L5" s="3">
        <f>0+(681.1-172.4)+(0+(-1.042083--0.263772))+0-0-0</f>
        <v>507.92168900000007</v>
      </c>
      <c r="M5" s="3">
        <f>0+(709.2-208.7)+(0+(-0.361692--0.106437))+0-0-0</f>
        <v>500.24474500000008</v>
      </c>
      <c r="N5" s="3">
        <f>0+(718.9-200.6)+(0+(0.366639-0.102306))+0-0-0</f>
        <v>518.56433299999992</v>
      </c>
      <c r="O5" s="3">
        <f>0+(693.7-141.6)+(0+(0.353787-0.072216))+0-0-0</f>
        <v>552.38157100000001</v>
      </c>
      <c r="P5" s="3">
        <f>0+(691.2-101.3)+(0+(0-0))+0-0-0</f>
        <v>589.90000000000009</v>
      </c>
      <c r="Q5" s="3">
        <f>0+(739.6-128.1)+(0+(0.377196-0.065331))+0-0-0</f>
        <v>611.81186500000001</v>
      </c>
      <c r="R5" s="3">
        <f>0+(735.3-115.2)+(0+(-1.500012--0.235008))+0-0-0</f>
        <v>618.83499599999993</v>
      </c>
      <c r="S5" s="3">
        <f>0+(767.1-148.3)+(0+(-1.173663--0.226899))+0-0-0</f>
        <v>617.85323599999992</v>
      </c>
      <c r="T5" s="3">
        <f>0+(740.2-132.7)+(0+(-0.377502--0.067677))+0-0-0</f>
        <v>607.19017499999995</v>
      </c>
      <c r="U5" s="3">
        <f>0+(712.6-116.5)+(0+(-1.81713--0.297075))+0-0-0</f>
        <v>594.57994500000007</v>
      </c>
      <c r="V5" s="3">
        <f>0+(673.3-81.4)+(0+(0-0))+0-0-0</f>
        <v>591.9</v>
      </c>
      <c r="W5" s="3">
        <f>0+(652.1-58.7)+(0+(0.332571-0.029937))+0-0-0</f>
        <v>593.70263399999999</v>
      </c>
      <c r="X5" s="3">
        <f>0+(662.3-67.1)+(0+(0-0))+0-0-0</f>
        <v>595.19999999999993</v>
      </c>
      <c r="Y5" s="3">
        <f>0+(719.5-82)+(0+(0.73389-0.08364))+0-0-0</f>
        <v>638.15025000000003</v>
      </c>
      <c r="Z5" s="3">
        <f>0+(891.2-189.8)+(0+(-0.909024--0.193596))+0-0-0</f>
        <v>700.68457200000012</v>
      </c>
      <c r="AA5" s="3">
        <f>0+(927.7-232.9)+(0+(-1.419381--0.356337))+0-0-0</f>
        <v>693.73695600000008</v>
      </c>
      <c r="AB5" s="3">
        <f>0+(878.3-198.3)+(0+(0.447933-0.101133))+0-0-0</f>
        <v>680.34680000000003</v>
      </c>
      <c r="AC5" s="3">
        <f>0+(731.6-68)+(0+(-1.492464--0.13872))+0-0-0</f>
        <v>662.24625600000002</v>
      </c>
      <c r="AD5" s="2">
        <v>721.90000000000009</v>
      </c>
      <c r="AE5" s="3">
        <f>0+(913.6-191.7)+(0+(0-0))+0-0-0</f>
        <v>721.90000000000009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0+(765.9-127.6)+(0+(-1.171827--0.195228))+0-0-0</f>
        <v>637.32340099999999</v>
      </c>
      <c r="G6" s="3">
        <f>0+(710.7-106.6)+(0+(-1.812285--0.27183))+0-0-0</f>
        <v>602.55954500000007</v>
      </c>
      <c r="H6" s="3">
        <f>0+(673.1-103.7)+(0+(-1.029843--0.158661))+0-0-0</f>
        <v>568.528818</v>
      </c>
      <c r="I6" s="3">
        <f>0+(700-142)+(0+(0-0))+0-0-0</f>
        <v>558</v>
      </c>
      <c r="J6" s="3">
        <f>0+(721.3-162)+(0+(0-0))+0-0-0</f>
        <v>559.29999999999995</v>
      </c>
      <c r="K6" s="3">
        <f>0+(714.1-155.3)+(0+(0.364191-0.079203))+0-0-0</f>
        <v>559.08498799999995</v>
      </c>
      <c r="L6" s="3">
        <f>0+(736.2-179)+(0+(-0.375462--0.09129))+0-0-0</f>
        <v>556.91582800000003</v>
      </c>
      <c r="M6" s="3">
        <f>0+(777.5-228.6)+(0+(0-0))+0-0-0</f>
        <v>548.9</v>
      </c>
      <c r="N6" s="3">
        <f>0+(811.5-227)+(0+(0-0))+0-0-0</f>
        <v>584.5</v>
      </c>
      <c r="O6" s="3">
        <f>0+(828.3-199.7)+(0+(1.689732-0.407388))+0-0-0</f>
        <v>629.88234399999988</v>
      </c>
      <c r="P6" s="3">
        <f>0+(743.2-97.8)+(0+(0.758064-0.099756))+0-0-0</f>
        <v>646.05830800000012</v>
      </c>
      <c r="Q6" s="3">
        <f>0+(783.3-114)+(0+(-1.597932--0.23256))+0-0-0</f>
        <v>667.93462799999998</v>
      </c>
      <c r="R6" s="3">
        <f>0+(782.5-112.8)+(0+(-0.79815--0.115056))+0-0-0</f>
        <v>669.01690600000006</v>
      </c>
      <c r="S6" s="3">
        <f>0+(741.9-85)+(0+(-1.513476--0.1734))+0-0-0</f>
        <v>655.55992400000002</v>
      </c>
      <c r="T6" s="3">
        <f>0+(734-92)+(0+(0.37434-0.04692))+0-0-0</f>
        <v>642.32741999999996</v>
      </c>
      <c r="U6" s="3">
        <f>0+(762.2-122.2)+(0+(-1.166166--0.186966))+0-0-0</f>
        <v>639.02080000000001</v>
      </c>
      <c r="V6" s="3">
        <f>0+(775-139.6)+(0+(-0.7905--0.142392))+0-0-0</f>
        <v>634.751892</v>
      </c>
      <c r="W6" s="3">
        <f>0+(734.2-115.1)+(0+(-2.621094--0.410907))+0-0-0</f>
        <v>616.889813</v>
      </c>
      <c r="X6" s="3">
        <f>0+(721.4-104.7)+(0+(-0.367914--0.053397))+0-0-0</f>
        <v>616.38548299999991</v>
      </c>
      <c r="Y6" s="3">
        <f>0+(789.3-111.3)+(0+(0.805086-0.113526))+0-0-0</f>
        <v>678.69155999999998</v>
      </c>
      <c r="Z6" s="3">
        <f>0+(999.6-260.2)+(0+(-1.529388--0.398106))+0-0-0</f>
        <v>738.26871800000004</v>
      </c>
      <c r="AA6" s="3">
        <f>0+(1048.3-326.7)+(0+(-1.069266--0.333234))+0-0-0</f>
        <v>720.86396799999989</v>
      </c>
      <c r="AB6" s="3">
        <f>0+(1039.4-317)+(0+(-0.530094--0.16167))+0-0-0</f>
        <v>722.03157600000009</v>
      </c>
      <c r="AC6" s="3">
        <f>0+(964.3-255.8)+(0+(0-0))+0-0-0</f>
        <v>708.5</v>
      </c>
      <c r="AD6" s="2">
        <v>742.09999999999991</v>
      </c>
      <c r="AE6" s="3">
        <f>0+(1007.9-265.8)+(0+(0-0))+0-0-0</f>
        <v>742.09999999999991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0+(823.1-148.6)+(0+(-0.839562--0.151572))+0-0-0</f>
        <v>673.81200999999999</v>
      </c>
      <c r="G7" s="3">
        <f>0+(740.3-107)+(0+(-0.755106--0.10914))+0-0-0</f>
        <v>632.65403399999991</v>
      </c>
      <c r="H7" s="3">
        <f>0+(731.2-112.7)+(0+(-0.745824--0.114954))+0-0-0</f>
        <v>617.86913000000004</v>
      </c>
      <c r="I7" s="3">
        <f>0+(752.8-143.7)+(0+(0.383928-0.073287))+0-0-0</f>
        <v>609.41064099999994</v>
      </c>
      <c r="J7" s="3">
        <f>0+(747-142.3)+(0+(-0.76194--0.145146))+0-0-0</f>
        <v>604.08320600000002</v>
      </c>
      <c r="K7" s="3">
        <f>0+(731.7-129.1)+(0+(1.865835-0.329205))+0-0-0</f>
        <v>604.13662999999997</v>
      </c>
      <c r="L7" s="3">
        <f>0+(746.3-146.7)+(0+(0.380613-0.074817))+0-0-0</f>
        <v>599.9057959999999</v>
      </c>
      <c r="M7" s="3">
        <f>0+(785.1-185.3)+(0+(0-0))+0-0-0</f>
        <v>599.79999999999995</v>
      </c>
      <c r="N7" s="3">
        <f>0+(798.7-176.6)+(0+(-1.222011--0.270198))+0-0-0</f>
        <v>621.14818700000001</v>
      </c>
      <c r="O7" s="3">
        <f>0+(793.7-129.4)+(0+(-0.809574--0.131988))+0-0-0</f>
        <v>663.62241400000005</v>
      </c>
      <c r="P7" s="3">
        <f>0+(823-132.6)+(0+(0.83946-0.135252))+0-0-0</f>
        <v>691.10420799999997</v>
      </c>
      <c r="Q7" s="3">
        <f>0+(843.9-142.1)+(0+(-1.721556--0.289884))+0-0-0</f>
        <v>700.36832799999991</v>
      </c>
      <c r="R7" s="3">
        <f>0+(817.1-119.8)+(0+(-1.250163--0.183294))+0-0-0</f>
        <v>696.23313100000007</v>
      </c>
      <c r="S7" s="3">
        <f>0+(816.5-129.7)+(0+(-1.66566--0.264588))+0-0-0</f>
        <v>685.39892799999996</v>
      </c>
      <c r="T7" s="3">
        <f>0+(798.7-125.2)+(0+(-1.629348--0.255408))+0-0-0</f>
        <v>672.12606000000005</v>
      </c>
      <c r="U7" s="3">
        <f>0+(779.3-131.4)+(0+(0-0))+0-0-0</f>
        <v>647.9</v>
      </c>
      <c r="V7" s="3">
        <f>0+(775.5-128.4)+(0+(-1.186515--0.196452))+0-0-0</f>
        <v>646.10993700000006</v>
      </c>
      <c r="W7" s="3">
        <f>0+(743.4-97.2)+(0+(0.758268-0.099144))+0-0-0</f>
        <v>646.85912399999995</v>
      </c>
      <c r="X7" s="3">
        <f>0+(772-120.7)+(0+(-1.9686--0.307785))+0-0-0</f>
        <v>649.639185</v>
      </c>
      <c r="Y7" s="3">
        <f>0+(826.5-131.9)+(0+(0.421515-0.067269))+0-0-0</f>
        <v>694.95424600000001</v>
      </c>
      <c r="Z7" s="3">
        <f>0+(968-222.8)+(0+(-0.98736--0.227256))+0-0-0</f>
        <v>744.43989600000009</v>
      </c>
      <c r="AA7" s="3">
        <f>0+(1017.6-282.9)+(0+(-2.59488--0.721395))+0-0-0</f>
        <v>732.82651500000009</v>
      </c>
      <c r="AB7" s="3">
        <f>0+(986.1-261.7)+(0+(-2.514555--0.667335))+0-0-0</f>
        <v>722.5527800000001</v>
      </c>
      <c r="AC7" s="3">
        <f>0+(893.6-180.4)+(0+(0.911472-0.184008))+0-0-0</f>
        <v>713.9274640000001</v>
      </c>
      <c r="AD7" s="2">
        <v>738.5</v>
      </c>
      <c r="AE7" s="3">
        <f>0+(965.7-227.2)+(0+(0-0))+0-0-0</f>
        <v>738.5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0+(810.2-129.1)+(0+(-1.652808--0.263364))+0-0-0</f>
        <v>679.710556</v>
      </c>
      <c r="G8" s="3">
        <f>0+(713.2-72.4)+(0+(-1.454928--0.147696))+0-0-0</f>
        <v>639.49276800000007</v>
      </c>
      <c r="H8" s="3">
        <f>0+(730-105.8)+(0+(1.4892-0.215832))+0-0-0</f>
        <v>625.47336800000005</v>
      </c>
      <c r="I8" s="3">
        <f>0+(734-118.5)+(0+(0.74868-0.12087))+0-0-0</f>
        <v>616.12780999999995</v>
      </c>
      <c r="J8" s="3">
        <f>0+(655.6-49.6)+(0+(-1.67178--0.12648))+0-0-0</f>
        <v>604.4547</v>
      </c>
      <c r="K8" s="3">
        <f>0+(660.6-49.5)+(0+(-0.673812--0.05049))+0-0-0</f>
        <v>610.47667799999999</v>
      </c>
      <c r="L8" s="3">
        <f>0+(709.7-94.3)+(0+(1.809735-0.240465))+0-0-0</f>
        <v>616.96927000000005</v>
      </c>
      <c r="M8" s="3">
        <f>0+(720-114.8)+(0+(-1.1016--0.175644))+0-0-0</f>
        <v>604.274044</v>
      </c>
      <c r="N8" s="3">
        <f>0+(752.5-119.7)+(0+(0.76755-0.122094))+0-0-0</f>
        <v>633.44545599999992</v>
      </c>
      <c r="O8" s="3">
        <f>0+(789.3-102)+(0+(0.805086-0.10404))+0-0-0</f>
        <v>688.00104599999997</v>
      </c>
      <c r="P8" s="3">
        <f>0+(845.6-128.3)+(0+(0.862512-0.130866))+0-0-0</f>
        <v>718.03164599999991</v>
      </c>
      <c r="Q8" s="3">
        <f>0+(887.5-157.2)+(0+(0.452625-0.080172))+0-0-0</f>
        <v>730.6724529999999</v>
      </c>
      <c r="R8" s="3">
        <f>0+(886.3-143)+(0+(0-0))+0-0-0</f>
        <v>743.3</v>
      </c>
      <c r="S8" s="3">
        <f>0+(855.5-124.4)+(0+(-1.74522--0.253776))+0-0-0</f>
        <v>729.60855600000002</v>
      </c>
      <c r="T8" s="3">
        <f>0+(809.4-91.8)+(0+(-1.238382--0.140454))+0-0-0</f>
        <v>716.502072</v>
      </c>
      <c r="U8" s="3">
        <f>0+(788.8-76.1)+(0+(-0.804576--0.077622))+0-0-0</f>
        <v>711.97304599999995</v>
      </c>
      <c r="V8" s="3">
        <f>0+(793.2-88.4)+(0+(-1.213596--0.135252))+0-0-0</f>
        <v>703.72165600000005</v>
      </c>
      <c r="W8" s="3">
        <f>0+(770.6-80.2)+(0+(-0.786012--0.081804))+0-0-0</f>
        <v>689.69579199999998</v>
      </c>
      <c r="X8" s="3">
        <f>0+(776.3-86.4)+(0+(0.395913-0.044064))+0-0-0</f>
        <v>690.25184899999999</v>
      </c>
      <c r="Y8" s="3">
        <f>0+(794.2-67.4)+(0+(0.810084-0.068748))+0-0-0</f>
        <v>727.54133600000011</v>
      </c>
      <c r="Z8" s="3">
        <f>0+(886.7-123.1)+(0+(-1.356651--0.188343))+0-0-0</f>
        <v>762.431692</v>
      </c>
      <c r="AA8" s="3">
        <f>0+(965.8-209.1)+(0+(-0.492558--0.106641))+0-0-0</f>
        <v>756.31408299999998</v>
      </c>
      <c r="AB8" s="3">
        <f>0+(923.8-181.7)+(0+(0-0))+0-0-0</f>
        <v>742.09999999999991</v>
      </c>
      <c r="AC8" s="3">
        <f>0+(853.8-135.9)+(0+(-0.435438--0.069309))+0-0-0</f>
        <v>717.53387099999998</v>
      </c>
      <c r="AD8" s="2">
        <v>753</v>
      </c>
      <c r="AE8" s="3">
        <f>0+(878.5-125.5)+(0+(0-0))+0-0-0</f>
        <v>753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0+(702.5-34)+(0+(-0.71655--0.03468))+0-0-0</f>
        <v>667.81813</v>
      </c>
      <c r="G9" s="3">
        <f>0+(687.8-65.3)+(0+(-1.052334--0.099909))+0-0-0</f>
        <v>621.54757500000005</v>
      </c>
      <c r="H9" s="3">
        <f>0+(687.6-92.2)+(0+(-0.350676--0.047022))+0-0-0</f>
        <v>595.09634599999993</v>
      </c>
      <c r="I9" s="3">
        <f>0+(688.4-100)+(0+(-0.702168--0.102))+0-0-0</f>
        <v>587.79983199999992</v>
      </c>
      <c r="J9" s="3">
        <f>0+(695.7-118.8)+(0+(-0.709614--0.121176))+0-0-0</f>
        <v>576.31156200000009</v>
      </c>
      <c r="K9" s="3">
        <f>0+(687.5-107.1)+(0+(0.350625-0.054621))+0-0-0</f>
        <v>580.69600400000002</v>
      </c>
      <c r="L9" s="3">
        <f>0+(681-89.2)+(0+(0.69462-0.090984))+0-0-0</f>
        <v>592.40363600000001</v>
      </c>
      <c r="M9" s="3">
        <f>0+(679.4-96.3)+(0+(-0.346494--0.049113))+0-0-0</f>
        <v>582.80261900000005</v>
      </c>
      <c r="N9" s="3">
        <f>0+(694.5-79.8)+(0+(-0.354195--0.040698))+0-0-0</f>
        <v>614.38650300000006</v>
      </c>
      <c r="O9" s="3">
        <f>0+(666.9-12.6)+(0+(-0.340119--0.006426))+0-0-0</f>
        <v>653.96630699999992</v>
      </c>
      <c r="P9" s="3">
        <f>0+(702.4-29.2)+(0+(0-0))+0-0-0</f>
        <v>673.19999999999993</v>
      </c>
      <c r="Q9" s="3">
        <f>0+(727.3-43)+(0+(0.741846-0.04386))+0-0-0</f>
        <v>684.99798599999997</v>
      </c>
      <c r="R9" s="3">
        <f>0+(751.6-61.3)+(0+(0-0))+0-0-0</f>
        <v>690.30000000000007</v>
      </c>
      <c r="S9" s="3">
        <f>0+(748.1-64.7)+(0+(-1.907655--0.164985))+0-0-0</f>
        <v>681.65733</v>
      </c>
      <c r="T9" s="3">
        <f>0+(716-54.4)+(0+(-0.73032--0.055488))+0-0-0</f>
        <v>660.92516799999999</v>
      </c>
      <c r="U9" s="3">
        <f>0+(681.1-38.4)+(0+(-1.042083--0.058752))+0-0-0</f>
        <v>641.71666900000002</v>
      </c>
      <c r="V9" s="3">
        <f>0+(683.6-48.7)+(0+(0-0))+0-0-0</f>
        <v>634.9</v>
      </c>
      <c r="W9" s="3">
        <f>0+(661.7-27)+(0+(1.687335-0.06885))+0-0-0</f>
        <v>636.31848500000001</v>
      </c>
      <c r="X9" s="3">
        <f>0+(667.6-25.9)+(0+(1.361904-0.052836))+0-0-0</f>
        <v>643.00906800000007</v>
      </c>
      <c r="Y9" s="3">
        <f>0+(719.4-27.7)+(0+(0.733788-0.028254))+0-0-0</f>
        <v>692.40553399999988</v>
      </c>
      <c r="Z9" s="3">
        <f>0+(869.9-117.5)+(0+(0.443649-0.059925))+0-0-0</f>
        <v>752.78372400000001</v>
      </c>
      <c r="AA9" s="3">
        <f>0+(891.7-144.4)+(0+(0-0))+0-0-0</f>
        <v>747.30000000000007</v>
      </c>
      <c r="AB9" s="3">
        <f>0+(858.3-123)+(0+(-1.313199--0.18819))+0-0-0</f>
        <v>734.17499099999998</v>
      </c>
      <c r="AC9" s="3">
        <f>0+(810.7-95.4)+(0+(-0.413457--0.048654))+0-0-0</f>
        <v>714.93519700000002</v>
      </c>
      <c r="AD9" s="2">
        <v>746.5</v>
      </c>
      <c r="AE9" s="3">
        <f>0+(890.7-144.2)+(0+(0-0))+0-0-0</f>
        <v>746.5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0+(685.9-28.7)+(0+(-1.049427--0.043911))+0-0-0</f>
        <v>656.19448399999987</v>
      </c>
      <c r="G10" s="3">
        <f>0+(642.1-22.8)+(0+(0-0))+0-0-0</f>
        <v>619.30000000000007</v>
      </c>
      <c r="H10" s="3">
        <f>0+(668-66)+(0+(-1.02204--0.10098))+0-0-0</f>
        <v>601.07893999999999</v>
      </c>
      <c r="I10" s="3">
        <f>0+(701.6-114.1)+(0+(-1.073448--0.174573))+0-0-0</f>
        <v>586.60112500000002</v>
      </c>
      <c r="J10" s="3">
        <f>0+(698.3-115.1)+(0+(-1.068399--0.176103))+0-0-0</f>
        <v>582.30770399999994</v>
      </c>
      <c r="K10" s="3">
        <f>0+(677.9-101.1)+(0+(0-0))+0-0-0</f>
        <v>576.79999999999995</v>
      </c>
      <c r="L10" s="3">
        <f>0+(677.2-98.3)+(0+(0-0))+0-0-0</f>
        <v>578.90000000000009</v>
      </c>
      <c r="M10" s="3">
        <f>0+(685.9-109.6)+(0+(-0.349809--0.055896))+0-0-0</f>
        <v>576.00608699999998</v>
      </c>
      <c r="N10" s="3">
        <f>0+(716.3-120.7)+(0+(0-0))+0-0-0</f>
        <v>595.59999999999991</v>
      </c>
      <c r="O10" s="3">
        <f>0+(737.6-97.9)+(0+(-0.752352--0.099858))+0-0-0</f>
        <v>639.047506</v>
      </c>
      <c r="P10" s="3">
        <f>0+(697.8-29.9)+(0+(-0.355878--0.015249))+0-0-0</f>
        <v>667.55937099999994</v>
      </c>
      <c r="Q10" s="3">
        <f>0+(738.9-51.2)+(0+(-0.753678--0.052224))+0-0-0</f>
        <v>686.99854599999992</v>
      </c>
      <c r="R10" s="3">
        <f>0+(771.2-75.7)+(0+(-0.393312--0.038607))+0-0-0</f>
        <v>695.14529500000003</v>
      </c>
      <c r="S10" s="3">
        <f>0+(750.3-73.7)+(0+(-1.530612--0.150348))+0-0-0</f>
        <v>675.2197359999999</v>
      </c>
      <c r="T10" s="3">
        <f>0+(713-54.6)+(0+(0.36363-0.027846))+0-0-0</f>
        <v>658.73578399999997</v>
      </c>
      <c r="U10" s="3">
        <f>0+(754.6-96.6)+(0+(-0.769692--0.098532))+0-0-0</f>
        <v>657.32884000000001</v>
      </c>
      <c r="V10" s="3">
        <f>0+(821.8-171.5)+(0+(-0.419118--0.087465))+0-0-0</f>
        <v>649.96834699999999</v>
      </c>
      <c r="W10" s="3">
        <f>0+(807.6-158.5)+(0+(-1.235628--0.242505))+0-0-0</f>
        <v>648.10687700000005</v>
      </c>
      <c r="X10" s="3">
        <f>0+(800-149.2)+(0+(-0.816--0.152184))+0-0-0</f>
        <v>650.13618399999996</v>
      </c>
      <c r="Y10" s="3">
        <f>0+(892.6-198.4)+(0+(0.910452-0.202368))+0-0-0</f>
        <v>694.90808400000003</v>
      </c>
      <c r="Z10" s="3">
        <f>0+(1107.8-360.1)+(0+(-3.389868--1.101906))+0-0-0</f>
        <v>745.41203799999994</v>
      </c>
      <c r="AA10" s="3">
        <f>0+(1056.2-323.3)+(0+(0-0))+0-0-0</f>
        <v>732.90000000000009</v>
      </c>
      <c r="AB10" s="3">
        <f>0+(1025.2-303.6)+(0+(-0.522852--0.154836))+0-0-0</f>
        <v>721.23198400000001</v>
      </c>
      <c r="AC10" s="3">
        <f>0+(991.5-284)+(0+(-2.02266--0.57936))+0-0-0</f>
        <v>706.05669999999998</v>
      </c>
      <c r="AD10" s="2">
        <v>759.69999999999993</v>
      </c>
      <c r="AE10" s="3">
        <f>0+(1117.6-357.9)+(0+(0-0))+0-0-0</f>
        <v>759.69999999999993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0+(892-211.7)+(0+(-0.90984--0.215934))+0-0-0</f>
        <v>679.60609399999998</v>
      </c>
      <c r="G11" s="3">
        <f>0+(729-82.5)+(0+(-1.11537--0.126225))+0-0-0</f>
        <v>645.51085499999999</v>
      </c>
      <c r="H11" s="3">
        <f>0+(636.2-32.5)+(0+(-0.973386--0.049725))+0-0-0</f>
        <v>602.77633900000001</v>
      </c>
      <c r="I11" s="3">
        <f>0+(663.7-64.6)+(0+(-0.338487--0.032946))+0-0-0</f>
        <v>598.79445900000007</v>
      </c>
      <c r="J11" s="3">
        <f>0+(647-53.6)+(0+(0.65994-0.054672))+0-0-0</f>
        <v>594.005268</v>
      </c>
      <c r="K11" s="3">
        <f>0+(630.9-40.7)+(0+(0-0))+0-0-0</f>
        <v>590.19999999999993</v>
      </c>
      <c r="L11" s="3">
        <f>0+(632.6-51.9)+(0+(-1.290504--0.105876))+0-0-0</f>
        <v>579.51537200000007</v>
      </c>
      <c r="M11" s="3">
        <f>0+(675.9-108.3)+(0+(-0.344709--0.055233))+0-0-0</f>
        <v>567.31052399999999</v>
      </c>
      <c r="N11" s="3">
        <f>0+(677.5-87.2)+(0+(-0.69105--0.088944))+0-0-0</f>
        <v>589.69789399999991</v>
      </c>
      <c r="O11" s="3">
        <f>0+(740.1-121.5)+(0+(-0.377451--0.061965))+0-0-0</f>
        <v>618.28451400000006</v>
      </c>
      <c r="P11" s="3">
        <f>0+(754.3-94.8)+(0+(-0.769386--0.096696))+0-0-0</f>
        <v>658.82731000000001</v>
      </c>
      <c r="Q11" s="3">
        <f>0+(787.5-109.9)+(0+(-1.204875--0.168147))+0-0-0</f>
        <v>676.56327199999998</v>
      </c>
      <c r="R11" s="3">
        <f>0+(802.9-126.4)+(0+(-0.818958--0.128928))+0-0-0</f>
        <v>675.80997000000002</v>
      </c>
      <c r="S11" s="3">
        <f>0+(812.9-138)+(0+(-1.243737--0.21114))+0-0-0</f>
        <v>673.86740299999997</v>
      </c>
      <c r="T11" s="3">
        <f>0+(766.9-121.3)+(0+(-1.173357--0.185589))+0-0-0</f>
        <v>644.61223200000006</v>
      </c>
      <c r="U11" s="3">
        <f>0+(710.6-84.6)+(0+(-1.087218--0.129438))+0-0-0</f>
        <v>625.04222000000004</v>
      </c>
      <c r="V11" s="3">
        <f>0+(682.3-55)+(0+(-2.087838--0.1683))+0-0-0</f>
        <v>625.38046199999997</v>
      </c>
      <c r="W11" s="3">
        <f>0+(623.7-18.2)+(0+(-0.636174--0.018564))+0-0-0</f>
        <v>604.88238999999999</v>
      </c>
      <c r="X11" s="3">
        <f>0+(626.7-18.8)+(0+(0.319617-0.009588))+0-0-0</f>
        <v>608.21002900000008</v>
      </c>
      <c r="Y11" s="3">
        <f>0+(679.3-33)+(0+(0-0))+0-0-0</f>
        <v>646.29999999999995</v>
      </c>
      <c r="Z11" s="3">
        <f>0+(860.9-147.8)+(0+(-1.756236--0.301512))+0-0-0</f>
        <v>711.64527599999985</v>
      </c>
      <c r="AA11" s="3">
        <f>0+(899.6-190.5)+(0+(-0.917592--0.19431))+0-0-0</f>
        <v>708.37671799999998</v>
      </c>
      <c r="AB11" s="3">
        <f>0+(855.8-164.2)+(0+(-0.436458--0.083742))+0-0-0</f>
        <v>691.24728399999992</v>
      </c>
      <c r="AC11" s="3">
        <f>0+(820.3-135.8)+(0+(-1.255059--0.207774))+0-0-0</f>
        <v>683.45271500000001</v>
      </c>
      <c r="AD11" s="2">
        <v>696.5</v>
      </c>
      <c r="AE11" s="3">
        <f>0+(846.4-149.9)+(0+(0-0))+0-0-0</f>
        <v>696.5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0+(743.6-95.8)+(0+(-1.137708--0.146574))+0-0-0</f>
        <v>646.80886600000008</v>
      </c>
      <c r="G12" s="3">
        <f>0+(624.3-33.8)+(0+(-0.636786--0.034476))+0-0-0</f>
        <v>589.89769000000001</v>
      </c>
      <c r="H12" s="3">
        <f>0+(626.2-55.1)+(0+(0.638724-0.056202))+0-0-0</f>
        <v>571.68252200000006</v>
      </c>
      <c r="I12" s="3">
        <f>0+(624.8-61.9)+(0+(0.955944-0.094707))+0-0-0</f>
        <v>563.76123699999994</v>
      </c>
      <c r="J12" s="3">
        <f>0+(598.3-53.1)+(0+(0.305133-0.027081))+0-0-0</f>
        <v>545.47805199999993</v>
      </c>
      <c r="K12" s="3">
        <f>0+(598.7-57.3)+(0+(0.916011-0.087669))+0-0-0</f>
        <v>542.22834200000011</v>
      </c>
      <c r="L12" s="3">
        <f>0+(598.9-53.6)+(0+(-0.916317--0.082008))+0-0-0</f>
        <v>544.46569099999999</v>
      </c>
      <c r="M12" s="3">
        <f>0+(574.8-60.2)+(0+(-0.586296--0.061404))+0-0-0</f>
        <v>514.07510799999989</v>
      </c>
      <c r="N12" s="3">
        <f>0+(602.1-72)+(0+(-0.307071--0.03672))+0-0-0</f>
        <v>529.82964900000002</v>
      </c>
      <c r="O12" s="3">
        <f>0+(637.8-68.9)+(0+(0.650556-0.070278))+0-0-0</f>
        <v>569.480278</v>
      </c>
      <c r="P12" s="3">
        <f>0+(697.1-84.7)+(0+(1.066563-0.129591))+0-0-0</f>
        <v>613.33697199999995</v>
      </c>
      <c r="Q12" s="3">
        <f>0+(730.4-111.4)+(0+(-0.372504--0.056814))+0-0-0</f>
        <v>618.68430999999998</v>
      </c>
      <c r="R12" s="3">
        <f>0+(736.7-126.2)+(0+(-0.751434--0.128724))+0-0-0</f>
        <v>609.87729000000002</v>
      </c>
      <c r="S12" s="3">
        <f>0+(757.3-155.4)+(0+(0-0))+0-0-0</f>
        <v>601.9</v>
      </c>
      <c r="T12" s="3">
        <f>0+(741.9-139.3)+(0+(0.378369-0.071043))+0-0-0</f>
        <v>602.9073259999999</v>
      </c>
      <c r="U12" s="3">
        <f>0+(734.5-137.8)+(0+(-0.374595--0.070278))+0-0-0</f>
        <v>596.39568300000008</v>
      </c>
      <c r="V12" s="3">
        <f>0+(744.2-144.7)+(0+(1.138626-0.221391))+0-0-0</f>
        <v>600.41723500000001</v>
      </c>
      <c r="W12" s="3">
        <f>0+(706.4-107.2)+(0+(-0.720528--0.109344))+0-0-0</f>
        <v>598.58881599999995</v>
      </c>
      <c r="X12" s="3">
        <f>0+(744.5-140.8)+(0+(-0.379695--0.071808))+0-0-0</f>
        <v>603.39211299999999</v>
      </c>
      <c r="Y12" s="3">
        <f>0+(748.1-97.5)+(0+(0.763062-0.09945))+0-0-0</f>
        <v>651.26361199999997</v>
      </c>
      <c r="Z12" s="3">
        <f>0+(913.6-204.1)+(0+(0.465936-0.104091))+0-0-0</f>
        <v>709.86184500000002</v>
      </c>
      <c r="AA12" s="3">
        <f>0+(899.1-205.2)+(0+(0.458541-0.104652))+0-0-0</f>
        <v>694.25388900000007</v>
      </c>
      <c r="AB12" s="3">
        <f>0+(873-181.3)+(0+(-0.89046--0.184926))+0-0-0</f>
        <v>690.9944660000001</v>
      </c>
      <c r="AC12" s="3">
        <f>0+(800.2-127.1)+(0+(-0.408102--0.064821))+0-0-0</f>
        <v>672.75671899999998</v>
      </c>
      <c r="AD12" s="2">
        <v>710</v>
      </c>
      <c r="AE12" s="3">
        <f>0+(925.4-215.4)+(0+(0-0))+0-0-0</f>
        <v>710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0+(773.3-119.1)+(0+(-0.394383--0.060741))+0-0-0</f>
        <v>653.86635799999988</v>
      </c>
      <c r="G13" s="3">
        <f>0+(709.8-90.5)+(0+(-0.723996--0.09231))+0-0-0</f>
        <v>618.66831400000001</v>
      </c>
      <c r="H13" s="3">
        <f>0+(720.9-123.6)+(0+(-0.735318--0.126072))+0-0-0</f>
        <v>596.69075399999997</v>
      </c>
      <c r="I13" s="3">
        <f>0+(686.7-107)+(0+(0-0))+0-0-0</f>
        <v>579.70000000000005</v>
      </c>
      <c r="J13" s="3">
        <f>0+(670.4-96)+(0+(0.341904-0.04896))+0-0-0</f>
        <v>574.69294400000001</v>
      </c>
      <c r="K13" s="3">
        <f>0+(659.7-92.2)+(0+(0.672894-0.094044))+0-0-0</f>
        <v>568.07884999999999</v>
      </c>
      <c r="L13" s="3">
        <f>0+(659.9-103.8)+(0+(0-0))+0-0-0</f>
        <v>556.1</v>
      </c>
      <c r="M13" s="3">
        <f>0+(602.1-72)+(0+(-0.307071--0.03672))+0-0-0</f>
        <v>529.82964900000002</v>
      </c>
      <c r="N13" s="3">
        <f>0+(626.5-83.6)+(0+(0.63903-0.085272))+0-0-0</f>
        <v>543.45375799999999</v>
      </c>
      <c r="O13" s="3">
        <f>0+(652.3-92.7)+(0+(-0.332673--0.047277))+0-0-0</f>
        <v>559.31460399999992</v>
      </c>
      <c r="P13" s="3">
        <f>0+(652.5-93.6)+(0+(-1.663875--0.23868))+0-0-0</f>
        <v>557.47480499999995</v>
      </c>
      <c r="Q13" s="3">
        <f>0+(622.7-78.6)+(0+(-0.317577--0.040086))+0-0-0</f>
        <v>543.82250899999997</v>
      </c>
      <c r="R13" s="3">
        <f>0+(649.9-113.9)+(0+(0-0))+0-0-0</f>
        <v>536</v>
      </c>
      <c r="S13" s="3">
        <f>0+(632.7-109.9)+(0+(0-0))+0-0-0</f>
        <v>522.80000000000007</v>
      </c>
      <c r="T13" s="3">
        <f>0+(619-100.4)+(0+(-0.63138--0.102408))+0-0-0</f>
        <v>518.07102800000007</v>
      </c>
      <c r="U13" s="3">
        <f>0+(587.7-75)+(0+(-0.299727--0.03825))+0-0-0</f>
        <v>512.43852300000003</v>
      </c>
      <c r="V13" s="3">
        <f>0+(569.2-52.8)+(0+(0.290292-0.026928))+0-0-0</f>
        <v>516.66336400000012</v>
      </c>
      <c r="W13" s="3">
        <f>0+(537.9-23.8)+(0+(-0.274329--0.012138))+0-0-0</f>
        <v>513.83780899999999</v>
      </c>
      <c r="X13" s="3">
        <f>0+(578.7-37.2)+(0+(-0.590274--0.037944))+0-0-0</f>
        <v>540.94767000000002</v>
      </c>
      <c r="Y13" s="3">
        <f>0+(683.2-78.9)+(0+(0.348432-0.040239))+0-0-0</f>
        <v>604.60819300000003</v>
      </c>
      <c r="Z13" s="3">
        <f>0+(928.9-231.3)+(0+(-0.947478--0.235926))+0-0-0</f>
        <v>696.88844799999993</v>
      </c>
      <c r="AA13" s="3">
        <f>0+(964.7-264.8)+(0+(-0.491997--0.135048))+0-0-0</f>
        <v>699.5430510000001</v>
      </c>
      <c r="AB13" s="3">
        <f>0+(929.7-246.7)+(0+(-0.948294--0.251634))+0-0-0</f>
        <v>682.30334000000005</v>
      </c>
      <c r="AC13" s="3">
        <f>0+(840.2-178.8)+(0+(-0.428502--0.091188))+0-0-0</f>
        <v>661.0626860000001</v>
      </c>
      <c r="AD13" s="2">
        <v>706</v>
      </c>
      <c r="AE13" s="3">
        <f>0+(942.5-236.5)+(0+(0-0))+0-0-0</f>
        <v>706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0+(745.6-130.5)+(0+(-0.760512--0.13311))+0-0-0</f>
        <v>614.47259800000006</v>
      </c>
      <c r="G14" s="3">
        <f>0+(737.4-148.7)+(0+(-0.752148--0.151674))+0-0-0</f>
        <v>588.09952600000008</v>
      </c>
      <c r="H14" s="3">
        <f>0+(692.7-119.7)+(0+(-0.706554--0.122094))+0-0-0</f>
        <v>572.41553999999996</v>
      </c>
      <c r="I14" s="3">
        <f>0+(673.8-104.7)+(0+(-0.687276--0.106794))+0-0-0</f>
        <v>568.51951799999995</v>
      </c>
      <c r="J14" s="3">
        <f>0+(709.7-139.3)+(0+(-0.723894--0.142086))+0-0-0</f>
        <v>569.81819200000007</v>
      </c>
      <c r="K14" s="3">
        <f>0+(725.7-150.8)+(0+(0.370107-0.076908))+0-0-0</f>
        <v>575.19319900000005</v>
      </c>
      <c r="L14" s="3">
        <f>0+(782.4-176.5)+(0+(0-0))+0-0-0</f>
        <v>605.9</v>
      </c>
      <c r="M14" s="3">
        <f>0+(877.7-238.2)+(0+(0.447627-0.121482))+0-0-0</f>
        <v>639.826145</v>
      </c>
      <c r="N14" s="3">
        <f>0+(974.5-273.8)+(0+(-0.496995--0.139638))+0-0-0</f>
        <v>700.34264300000007</v>
      </c>
      <c r="O14" s="3">
        <f>0+(1002.8-263.5)+(0+(0-0))+0-0-0</f>
        <v>739.3</v>
      </c>
      <c r="P14" s="3">
        <f>0+(1052.5-279.7)+(0+(0-0))+0-0-0</f>
        <v>772.8</v>
      </c>
      <c r="Q14" s="3">
        <f>0+(1117.8-326.4)+(0+(-0.570078--0.166464))+0-0-0</f>
        <v>790.99638600000003</v>
      </c>
      <c r="R14" s="3">
        <f>0+(1117.4-326.2)+(0+(-1.139748--0.332724))+0-0-0</f>
        <v>790.39297600000009</v>
      </c>
      <c r="S14" s="3">
        <f>0+(1090.3-308.6)+(0+(-2.224212--0.629544))+0-0-0</f>
        <v>780.10533199999998</v>
      </c>
      <c r="T14" s="3">
        <f>0+(1047.5-270.8)+(0+(-1.602675--0.414324))+0-0-0</f>
        <v>775.51164900000003</v>
      </c>
      <c r="U14" s="3">
        <f>0+(1041-279.6)+(0+(-1.06182--0.285192))+0-0-0</f>
        <v>760.62337200000002</v>
      </c>
      <c r="V14" s="3">
        <f>0+(1018.5-270.9)+(0+(0-0))+0-0-0</f>
        <v>747.6</v>
      </c>
      <c r="W14" s="3">
        <f>0+(1029.9-276.7)+(0+(-0.525249--0.141117))+0-0-0</f>
        <v>752.81586800000002</v>
      </c>
      <c r="X14" s="3">
        <f>0+(1034-278.1)+(0+(-0.52734--0.141831))+0-0-0</f>
        <v>755.51449100000002</v>
      </c>
      <c r="Y14" s="3">
        <f>0+(1093.6-307.6)+(0+(0.557736-0.156876))+0-0-0</f>
        <v>786.40085999999985</v>
      </c>
      <c r="Z14" s="3">
        <f>0+(1213.4-357)+(0+(-3.713004--1.09242))+0-0-0</f>
        <v>853.77941600000008</v>
      </c>
      <c r="AA14" s="3">
        <f>0+(1203.4-359.3)+(0+(-1.841202--0.549729))+0-0-0</f>
        <v>842.80852700000014</v>
      </c>
      <c r="AB14" s="3">
        <f>0+(1166.3-344.4)+(0+(-0.594813--0.175644))+0-0-0</f>
        <v>821.48083099999997</v>
      </c>
      <c r="AC14" s="3">
        <f>0+(1085.5-292.1)+(0+(-1.660815--0.446913))+0-0-0</f>
        <v>792.18609800000002</v>
      </c>
      <c r="AD14" s="2">
        <v>857.5</v>
      </c>
      <c r="AE14" s="3">
        <f>0+(1209-351.5)+(0+(0-0))+0-0-0</f>
        <v>857.5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0+(1026.5-273.5)+(0+(-2.09406--0.55794))+0-0-0</f>
        <v>751.46388000000002</v>
      </c>
      <c r="G15" s="3">
        <f>0+(1018.8-304.6)+(0+(-2.59794--0.77673))+0-0-0</f>
        <v>712.37878999999998</v>
      </c>
      <c r="H15" s="3">
        <f>0+(1026.3-327.2)+(0+(-2.617065--0.83436))+0-0-0</f>
        <v>697.31729499999994</v>
      </c>
      <c r="I15" s="3">
        <f>0+(1005.7-319.2)+(0+(-1.025814--0.325584))+0-0-0</f>
        <v>685.79976999999997</v>
      </c>
      <c r="J15" s="3">
        <f>0+(999.2-310.7)+(0+(0.509592-0.158457))+0-0-0</f>
        <v>688.851135</v>
      </c>
      <c r="K15" s="3">
        <f>0+(981-305.7)+(0+(-0.50031--0.155907))+0-0-0</f>
        <v>674.9555969999999</v>
      </c>
      <c r="L15" s="3">
        <f>0+(975.9-287.7)+(0+(0.497709-0.146727))+0-0-0</f>
        <v>688.55098200000009</v>
      </c>
      <c r="M15" s="3">
        <f>0+(977.5-253.1)+(0+(-0.498525--0.129081))+0-0-0</f>
        <v>724.03055599999993</v>
      </c>
      <c r="N15" s="3">
        <f>0+(1091.5-303.8)+(0+(0-0))+0-0-0</f>
        <v>787.7</v>
      </c>
      <c r="O15" s="3">
        <f>0+(1170.2-333.2)+(0+(-1.193604--0.339864))+0-0-0</f>
        <v>836.14625999999998</v>
      </c>
      <c r="P15" s="3">
        <f>0+(1152.3-307.2)+(0+(-0.587673--0.156672))+0-0-0</f>
        <v>844.66899899999987</v>
      </c>
      <c r="Q15" s="3">
        <f>0+(1148.7-285.8)+(0+(-2.929185--0.72879))+0-0-0</f>
        <v>860.69960500000013</v>
      </c>
      <c r="R15" s="3">
        <f>0+(1108-293.2)+(0+(-1.13016--0.299064))+0-0-0</f>
        <v>813.96890399999995</v>
      </c>
      <c r="S15" s="3">
        <f>0+(1036-267.9)+(0+(-2.6418--0.683145))+0-0-0</f>
        <v>766.141345</v>
      </c>
      <c r="T15" s="3">
        <f>0+(1098-241.4)+(0+(-2.7999--0.61557))+0-0-0</f>
        <v>854.41566999999998</v>
      </c>
      <c r="U15" s="3">
        <f>0+(1051-277.9)+(0+(-1.07202--0.283458))+0-0-0</f>
        <v>772.31143800000007</v>
      </c>
      <c r="V15" s="3">
        <f>0+(1082-303.5)+(0+(-2.20728--0.61914))+0-0-0</f>
        <v>776.91186000000005</v>
      </c>
      <c r="W15" s="3">
        <f>0+(1040-295.2)+(0+(-0.5304--0.150552))+0-0-0</f>
        <v>744.42015199999992</v>
      </c>
      <c r="X15" s="3">
        <f>0+(1006-260.4)+(0+(0-0))+0-0-0</f>
        <v>745.6</v>
      </c>
      <c r="Y15" s="3">
        <f>0+(1055-138.9)+(0+(0.53805-0.070839))+0-0-0</f>
        <v>916.56721100000004</v>
      </c>
      <c r="Z15" s="3">
        <f>0+(1110-249.8)+(0+(1.1322-0.254796))+0-0-0</f>
        <v>861.077404</v>
      </c>
      <c r="AA15" s="3">
        <f>0+(1071-281.9)+(0+(-1.63863--0.431307))+0-0-0</f>
        <v>787.89267700000005</v>
      </c>
      <c r="AB15" s="3">
        <f>0+(1094-335.2)+(0+(0-0))+0-0-0</f>
        <v>758.8</v>
      </c>
      <c r="AC15" s="3">
        <f>0+(1128-354.4)+(0+(-1.15056--0.361488))+0-0-0</f>
        <v>772.81092799999999</v>
      </c>
      <c r="AD15" s="2">
        <v>875.3</v>
      </c>
      <c r="AE15" s="3">
        <f>0+(1149.1-273.8)+(0+(0-0))+0-0-0</f>
        <v>875.3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0+(1130-371.9)+(0+(0-0))+0-0-0</f>
        <v>758.1</v>
      </c>
      <c r="G16" s="3">
        <f>0+(1063.4-329.8)+(0+(0-0))+0-0-0</f>
        <v>733.60000000000014</v>
      </c>
      <c r="H16" s="3">
        <f>0+(1009.1-303.4)+(0+(0-0))+0-0-0</f>
        <v>705.7</v>
      </c>
      <c r="I16" s="3">
        <f>0+(1005.7-304)+(0+(0-0))+0-0-0</f>
        <v>701.7</v>
      </c>
      <c r="J16" s="3">
        <f>0+(968.7-268.1)+(0+(0-0))+0-0-0</f>
        <v>700.6</v>
      </c>
      <c r="K16" s="3">
        <f>0+(934.4-241)+(0+(0-0))+0-0-0</f>
        <v>693.4</v>
      </c>
      <c r="L16" s="3">
        <f>0+(961.1-249.4)+(0+(0.490161-0.127194))+0-0-0</f>
        <v>712.06296700000007</v>
      </c>
      <c r="M16" s="3">
        <f>0+(943.9-207.4)+(0+(1.444167-0.317322))+0-0-0</f>
        <v>737.626845</v>
      </c>
      <c r="N16" s="3">
        <f>0+(1051.4-259.8)+(0+(-1.072428--0.264996))+0-0-0</f>
        <v>790.79256800000019</v>
      </c>
      <c r="O16" s="3">
        <f>0+(1127.5-295.7)+(0+(-1.15005--0.301614))+0-0-0</f>
        <v>830.95156399999996</v>
      </c>
      <c r="P16" s="3">
        <f>0+(1115.5-268.9)+(0+(-1.706715--0.411417))+0-0-0</f>
        <v>845.30470200000002</v>
      </c>
      <c r="Q16" s="3">
        <f>0+(1076.4-226.3)+(0+(0-0))+0-0-0</f>
        <v>850.10000000000014</v>
      </c>
      <c r="R16" s="3">
        <f>0+(1046-217.4)+(0+(-3.20076--0.665244))+0-0-0</f>
        <v>826.06448399999999</v>
      </c>
      <c r="S16" s="3">
        <f>0+(1013.7-199.9)+(0+(0.516987-0.101949))+0-0-0</f>
        <v>814.21503800000005</v>
      </c>
      <c r="T16" s="3">
        <f>0+(996.1-180)+(0+(-1.016022--0.1836))+0-0-0</f>
        <v>815.26757800000007</v>
      </c>
      <c r="U16" s="3">
        <f>0+(997.9-189.9)+(0+(-0.508929--0.096849))+0-0-0</f>
        <v>807.58792000000005</v>
      </c>
      <c r="V16" s="3">
        <f>0+(1003-199.8)+(0+(-1.02306--0.203796))+0-0-0</f>
        <v>802.38073600000007</v>
      </c>
      <c r="W16" s="3">
        <f>0+(1038.6-249.4)+(0+(0-0))+0-0-0</f>
        <v>789.19999999999993</v>
      </c>
      <c r="X16" s="3">
        <f>0+(1038.9-262.7)+(0+(-0.529839--0.133977))+0-0-0</f>
        <v>775.80413800000008</v>
      </c>
      <c r="Y16" s="3">
        <f>0+(1020.8-215)+(0+(0.520608-0.10965))+0-0-0</f>
        <v>806.21095800000001</v>
      </c>
      <c r="Z16" s="3">
        <f>0+(1120.5-236)+(0+(-1.714365--0.36108))+0-0-0</f>
        <v>883.14671499999997</v>
      </c>
      <c r="AA16" s="3">
        <f>0+(1133.9-268.6)+(0+(-3.469734--0.821916))+0-0-0</f>
        <v>862.65218200000004</v>
      </c>
      <c r="AB16" s="3">
        <f>0+(1135-297)+(0+(-2.89425--0.75735))+0-0-0</f>
        <v>835.86310000000003</v>
      </c>
      <c r="AC16" s="3">
        <f>0+(1119.3-296.8)+(0+(-2.283372--0.605472))+0-0-0</f>
        <v>820.82209999999998</v>
      </c>
      <c r="AD16" s="2">
        <v>891.19999999999993</v>
      </c>
      <c r="AE16" s="3">
        <f>0+(1143.8-252.6)+(0+(0-0))+0-0-0</f>
        <v>891.19999999999993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0+(1047.3-274.6)+(0+(-0.534123--0.140046))+0-0-0</f>
        <v>772.30592299999989</v>
      </c>
      <c r="G17" s="3">
        <f>0+(948.2-229.9)+(0+(-1.450746--0.351747))+0-0-0</f>
        <v>717.20100100000002</v>
      </c>
      <c r="H17" s="3">
        <f>0+(931.4-230.4)+(0+(0.950028-0.235008))+0-0-0</f>
        <v>701.71501999999998</v>
      </c>
      <c r="I17" s="3">
        <f>0+(938.6-245.6)+(0+(0.957372-0.250512))+0-0-0</f>
        <v>693.70686000000001</v>
      </c>
      <c r="J17" s="3">
        <f>0+(922.5-236.6)+(0+(-0.94095--0.241332))+0-0-0</f>
        <v>685.20038199999999</v>
      </c>
      <c r="K17" s="3">
        <f>0+(891.7-205.2)+(0+(0.454767-0.104652))+0-0-0</f>
        <v>686.85011499999996</v>
      </c>
      <c r="L17" s="3">
        <f>0+(889.1-192.7)+(0+(-0.906882--0.196554))+0-0-0</f>
        <v>695.68967200000009</v>
      </c>
      <c r="M17" s="3">
        <f>0+(904-191.4)+(0+(0.92208-0.195228))+0-0-0</f>
        <v>713.32685200000003</v>
      </c>
      <c r="N17" s="3">
        <f>0+(993.5-229.4)+(0+(1.01337-0.233988))+0-0-0</f>
        <v>764.87938200000008</v>
      </c>
      <c r="O17" s="3">
        <f>0+(1008.6-206.5)+(0+(1.543158-0.315945))+0-0-0</f>
        <v>803.32721300000003</v>
      </c>
      <c r="P17" s="3">
        <f>0+(970.7-153.5)+(0+(1.485171-0.234855))+0-0-0</f>
        <v>818.45031600000004</v>
      </c>
      <c r="Q17" s="3">
        <f>0+(960.1-130.1)+(0+(0-0))+0-0-0</f>
        <v>830</v>
      </c>
      <c r="R17" s="3">
        <f>0+(956.7-134.8)+(0+(0-0))+0-0-0</f>
        <v>821.90000000000009</v>
      </c>
      <c r="S17" s="3">
        <f>0+(920.6-124.9)+(0+(-2.817036--0.382194))+0-0-0</f>
        <v>793.26515800000004</v>
      </c>
      <c r="T17" s="3">
        <f>0+(933-153.9)+(0+(0-0))+0-0-0</f>
        <v>779.1</v>
      </c>
      <c r="U17" s="3">
        <f>0+(962.3-193.8)+(0+(0-0))+0-0-0</f>
        <v>768.5</v>
      </c>
      <c r="V17" s="3">
        <f>0+(1003.8-238.8)+(0+(-1.023876--0.243576))+0-0-0</f>
        <v>764.21969999999999</v>
      </c>
      <c r="W17" s="3">
        <f>0+(1073.1-306.4)+(0+(-1.641843--0.468792))+0-0-0</f>
        <v>765.52694899999995</v>
      </c>
      <c r="X17" s="3">
        <f>0+(1057.2-300.2)+(0+(-0.539172--0.153102))+0-0-0</f>
        <v>756.61392999999998</v>
      </c>
      <c r="Y17" s="3">
        <f>0+(983-212.7)+(0+(1.50399-0.325431))+0-0-0</f>
        <v>771.4785589999999</v>
      </c>
      <c r="Z17" s="3">
        <f>0+(1066.8-226.3)+(0+(0-0))+0-0-0</f>
        <v>840.5</v>
      </c>
      <c r="AA17" s="3">
        <f>0+(1104.8-270.6)+(0+(-1.690344--0.414018))+0-0-0</f>
        <v>832.92367399999989</v>
      </c>
      <c r="AB17" s="3">
        <f>0+(1122.9-308.3)+(0+(-2.290716--0.628932))+0-0-0</f>
        <v>812.93821600000012</v>
      </c>
      <c r="AC17" s="3">
        <f>0+(1104.5-308.7)+(0+(-2.816475--0.787185))+0-0-0</f>
        <v>793.77071000000001</v>
      </c>
      <c r="AD17" s="2">
        <v>848.69999999999993</v>
      </c>
      <c r="AE17" s="3">
        <f>0+(1086.1-237.4)+(0+(0-0))+0-0-0</f>
        <v>848.69999999999993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0+(1105.5-335.2)+(0+(1.691415-0.512856))+0-0-0</f>
        <v>771.4785589999999</v>
      </c>
      <c r="G18" s="3">
        <f>0+(1083-350.5)+(0+(-1.65699--0.536265))+0-0-0</f>
        <v>731.37927500000001</v>
      </c>
      <c r="H18" s="3">
        <f>0+(1055.1-341.9)+(0+(-0.538101--0.174369))+0-0-0</f>
        <v>712.8362679999999</v>
      </c>
      <c r="I18" s="3">
        <f>0+(1013.4-307.5)+(0+(-2.58417--0.784125))+0-0-0</f>
        <v>704.09995500000002</v>
      </c>
      <c r="J18" s="3">
        <f>0+(1011.8-317.2)+(0+(2.064072-0.647088))+0-0-0</f>
        <v>696.01698399999987</v>
      </c>
      <c r="K18" s="3">
        <f>0+(970.2-287.8)+(0+(-0.494802--0.146778))+0-0-0</f>
        <v>682.05197600000008</v>
      </c>
      <c r="L18" s="3">
        <f>0+(950-285.4)+(0+(-1.938--0.582216))+0-0-0</f>
        <v>663.24421600000005</v>
      </c>
      <c r="M18" s="3">
        <f>0+(905-257.2)+(0+(-1.38465--0.393516))+0-0-0</f>
        <v>646.80886599999997</v>
      </c>
      <c r="N18" s="3">
        <f>0+(958.3-292.5)+(0+(-0.488733--0.149175))+0-0-0</f>
        <v>665.46044199999994</v>
      </c>
      <c r="O18" s="3">
        <f>0+(1031.5-335.5)+(0+(0-0))+0-0-0</f>
        <v>696</v>
      </c>
      <c r="P18" s="3">
        <f>0+(1024.1-307.9)+(0+(0-0))+0-0-0</f>
        <v>716.19999999999993</v>
      </c>
      <c r="Q18" s="3">
        <f>0+(999.6-273.2)+(0+(0.509796-0.139332))+0-0-0</f>
        <v>726.77046400000006</v>
      </c>
      <c r="R18" s="3">
        <f>0+(991.3-262.7)+(0+(-0.505563--0.133977))+0-0-0</f>
        <v>728.22841399999993</v>
      </c>
      <c r="S18" s="3">
        <f>0+(993.8-281.6)+(0+(-1.013676--0.287232))+0-0-0</f>
        <v>711.47355599999992</v>
      </c>
      <c r="T18" s="3">
        <f>0+(1039.6-338)+(0+(-0.530196--0.17238))+0-0-0</f>
        <v>701.24218399999995</v>
      </c>
      <c r="U18" s="3">
        <f>0+(1045.7-342.3)+(0+(-2.666535--0.872865))+0-0-0</f>
        <v>701.60633000000007</v>
      </c>
      <c r="V18" s="3">
        <f>0+(1024-336.6)+(0+(0-0))+0-0-0</f>
        <v>687.4</v>
      </c>
      <c r="W18" s="3">
        <f>0+(1029.5-343.4)+(0+(-2.625225--0.87567))+0-0-0</f>
        <v>684.35044500000004</v>
      </c>
      <c r="X18" s="3">
        <f>0+(992.6-305)+(0+(-0.506226--0.15555))+0-0-0</f>
        <v>687.249324</v>
      </c>
      <c r="Y18" s="3">
        <f>0+(939.9-208)+(0+(-0.479349--0.10608))+0-0-0</f>
        <v>731.52673099999993</v>
      </c>
      <c r="Z18" s="3">
        <f>0+(1096.1-294.2)+(0+(-1.677033--0.450126))+0-0-0</f>
        <v>800.67309299999988</v>
      </c>
      <c r="AA18" s="3">
        <f>0+(1114.1-320.9)+(0+(-2.272764--0.654636))+0-0-0</f>
        <v>791.58187199999998</v>
      </c>
      <c r="AB18" s="3">
        <f>0+(1083.4-304.7)+(0+(-0.552534--0.155397))+0-0-0</f>
        <v>778.302863</v>
      </c>
      <c r="AC18" s="3">
        <f>0+(1027.2-281.7)+(0+(0.523872-0.143667))+0-0-0</f>
        <v>745.88020500000005</v>
      </c>
      <c r="AD18" s="2">
        <v>813.2</v>
      </c>
      <c r="AE18" s="3">
        <f>0+(1125.4-312.2)+(0+(0-0))+0-0-0</f>
        <v>813.2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0+(1015.4-315.2)+(0+(-2.58927--0.80376))+0-0-0</f>
        <v>698.41449</v>
      </c>
      <c r="G19" s="3">
        <f>0+(1006.4-333.5)+(0+(-2.56632--0.850425))+0-0-0</f>
        <v>671.18410499999993</v>
      </c>
      <c r="H19" s="3">
        <f>0+(1014.3-354.9)+(0+(1.551879-0.542997))+0-0-0</f>
        <v>660.40888199999995</v>
      </c>
      <c r="I19" s="3">
        <f>0+(1028.4-363.3)+(0+(2.62242-0.926415))+0-0-0</f>
        <v>666.79600500000015</v>
      </c>
      <c r="J19" s="3">
        <f>0+(1017.9-350.6)+(0+(-2.595645--0.89403))+0-0-0</f>
        <v>665.59838500000001</v>
      </c>
      <c r="K19" s="3">
        <f>0+(1000.4-335.8)+(0+(0-0))+0-0-0</f>
        <v>664.59999999999991</v>
      </c>
      <c r="L19" s="3">
        <f>0+(1005.1-318.7)+(0+(-2.050404--0.650148))+0-0-0</f>
        <v>684.99974400000008</v>
      </c>
      <c r="M19" s="3">
        <f>0+(1021.6-279.9)+(0+(0.521016-0.142749))+0-0-0</f>
        <v>742.0782670000001</v>
      </c>
      <c r="N19" s="3">
        <f>0+(1145.2-336)+(0+(1.168104-0.34272))+0-0-0</f>
        <v>810.02538400000003</v>
      </c>
      <c r="O19" s="3">
        <f>0+(1196.3-354.8)+(0+(0-0))+0-0-0</f>
        <v>841.5</v>
      </c>
      <c r="P19" s="3">
        <f>0+(1151.9-297.3)+(0+(-0.587469--0.151623))+0-0-0</f>
        <v>854.16415400000017</v>
      </c>
      <c r="Q19" s="3">
        <f>0+(1102.9-235)+(0+(-2.249916--0.4794))+0-0-0</f>
        <v>866.12948400000005</v>
      </c>
      <c r="R19" s="3">
        <f>0+(1099.8-237.9)+(0+(1.121796-0.242658))+0-0-0</f>
        <v>862.77913799999999</v>
      </c>
      <c r="S19" s="3">
        <f>0+(1079.8-243.8)+(0+(-1.652094--0.373014))+0-0-0</f>
        <v>834.72091999999998</v>
      </c>
      <c r="T19" s="3">
        <f>0+(1049.5-216.5)+(0+(-0.535245--0.110415))+0-0-0</f>
        <v>832.57516999999996</v>
      </c>
      <c r="U19" s="3">
        <f>0+(1078-244.6)+(0+(-1.64934--0.374238))+0-0-0</f>
        <v>832.12489800000003</v>
      </c>
      <c r="V19" s="3">
        <f>0+(1077.7-248.9)+(0+(0.549627-0.126939))+0-0-0</f>
        <v>829.22268800000006</v>
      </c>
      <c r="W19" s="3">
        <f>0+(1074.9-251.4)+(0+(-1.096398--0.256428))+0-0-0</f>
        <v>822.66003000000012</v>
      </c>
      <c r="X19" s="3">
        <f>0+(1015.1-214.3)+(0+(-2.070804--0.437172))+0-0-0</f>
        <v>799.16636799999992</v>
      </c>
      <c r="Y19" s="3">
        <f>0+(999.9-182.6)+(0+(0.509949-0.093126))+0-0-0</f>
        <v>817.71682299999998</v>
      </c>
      <c r="Z19" s="3">
        <f>0+(1161.8-262.6)+(0+(-1.777554--0.401778))+0-0-0</f>
        <v>897.82422399999996</v>
      </c>
      <c r="AA19" s="3">
        <f>0+(1221.2-330.9)+(0+(-3.11406--0.843795))+0-0-0</f>
        <v>888.02973500000007</v>
      </c>
      <c r="AB19" s="3">
        <f>0+(1190.7-334.6)+(0+(-2.429028--0.682584))+0-0-0</f>
        <v>854.35355600000003</v>
      </c>
      <c r="AC19" s="3">
        <f>0+(1122.6-295.3)+(0+(-2.290104--0.602412))+0-0-0</f>
        <v>825.61230799999998</v>
      </c>
      <c r="AD19" s="2">
        <v>905.40000000000009</v>
      </c>
      <c r="AE19" s="3">
        <f>0+(1188.9-283.5)+(0+(0-0))+0-0-0</f>
        <v>905.40000000000009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0+(1069.5-278.1)+(0+(0-0))+0-0-0</f>
        <v>791.4</v>
      </c>
      <c r="G20" s="3">
        <f>0+(1004.6-266.6)+(0+(-2.049384--0.543864))+0-0-0</f>
        <v>736.49447999999995</v>
      </c>
      <c r="H20" s="3">
        <f>0+(1034.4-294)+(0+(-2.110176--0.59976))+0-0-0</f>
        <v>738.88958400000013</v>
      </c>
      <c r="I20" s="3">
        <f>0+(978.9-255.5)+(0+(-0.998478--0.26061))+0-0-0</f>
        <v>722.66213199999993</v>
      </c>
      <c r="J20" s="3">
        <f>0+(963-243.7)+(0+(-1.47339--0.372861))+0-0-0</f>
        <v>718.1994709999999</v>
      </c>
      <c r="K20" s="3">
        <f>0+(924-203.2)+(0+(0.47124-0.103632))+0-0-0</f>
        <v>721.16760799999997</v>
      </c>
      <c r="L20" s="3">
        <f>0+(899.5-169.5)+(0+(0-0))+0-0-0</f>
        <v>730</v>
      </c>
      <c r="M20" s="3">
        <f>0+(889.9-136.6)+(0+(-0.453849--0.069666))+0-0-0</f>
        <v>752.91581699999995</v>
      </c>
      <c r="N20" s="3">
        <f>0+(973.3-161.6)+(0+(-1.489149--0.247248))+0-0-0</f>
        <v>810.45809899999995</v>
      </c>
      <c r="O20" s="3">
        <f>0+(1035.6-183.7)+(0+(0.528156-0.093687))+0-0-0</f>
        <v>852.3344689999999</v>
      </c>
      <c r="P20" s="3">
        <f>0+(1081.9-219.4)+(0+(0-0))+0-0-0</f>
        <v>862.50000000000011</v>
      </c>
      <c r="Q20" s="3">
        <f>0+(1126.6-242.2)+(0+(1.149132-0.247044))+0-0-0</f>
        <v>885.30208799999991</v>
      </c>
      <c r="R20" s="3">
        <f>0+(1117.7-234.8)+(0+(0.570027-0.119748))+0-0-0</f>
        <v>883.35027900000011</v>
      </c>
      <c r="S20" s="3">
        <f>0+(1086.9-226.5)+(0+(-3.325914--0.69309))+0-0-0</f>
        <v>857.76717600000006</v>
      </c>
      <c r="T20" s="3">
        <f>0+(1042.8-190.4)+(0+(-1.063656--0.194208))+0-0-0</f>
        <v>851.53055199999994</v>
      </c>
      <c r="U20" s="3">
        <f>0+(1041.2-193.4)+(0+(-1.593036--0.295902))+0-0-0</f>
        <v>846.50286600000004</v>
      </c>
      <c r="V20" s="3">
        <f>0+(1011.4-174.5)+(0+(-0.515814--0.088995))+0-0-0</f>
        <v>836.47318099999995</v>
      </c>
      <c r="W20" s="3">
        <f>0+(1062.9-231.2)+(0+(0.542079-0.117912))+0-0-0</f>
        <v>832.12416700000006</v>
      </c>
      <c r="X20" s="3">
        <f>0+(1078.8-254.4)+(0+(-1.650564--0.389232))+0-0-0</f>
        <v>823.13866799999994</v>
      </c>
      <c r="Y20" s="3">
        <f>0+(1142.2-279.1)+(0+(-1.165044--0.284682))+0-0-0</f>
        <v>862.21963800000003</v>
      </c>
      <c r="Z20" s="3">
        <f>0+(1325.6-403.4)+(0+(-3.38028--1.02867))+0-0-0</f>
        <v>919.84838999999988</v>
      </c>
      <c r="AA20" s="3">
        <f>0+(1306.3-406.5)+(0+(-2.664852--0.82926))+0-0-0</f>
        <v>897.96440799999993</v>
      </c>
      <c r="AB20" s="3">
        <f>0+(1248.2-366.8)+(0+(-1.273164--0.374136))+0-0-0</f>
        <v>880.50097200000005</v>
      </c>
      <c r="AC20" s="3">
        <f>0+(1185-341.7)+(0+(-1.81305--0.522801))+0-0-0</f>
        <v>842.00975099999994</v>
      </c>
      <c r="AD20" s="2">
        <v>921.8</v>
      </c>
      <c r="AE20" s="3">
        <f>0+(1338.1-416.3)+(0+(0-0))+0-0-0</f>
        <v>921.8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0+(1160.5-362.5)+(0+(-1.775565--0.554625))+0-0-0</f>
        <v>796.77905999999996</v>
      </c>
      <c r="G21" s="3">
        <f>0+(1149.1-388.8)+(0+(-2.344164--0.793152))+0-0-0</f>
        <v>758.74898799999994</v>
      </c>
      <c r="H21" s="3">
        <f>0+(1077.2-333)+(0+(-1.098744--0.33966))+0-0-0</f>
        <v>743.44091600000002</v>
      </c>
      <c r="I21" s="3">
        <f>0+(1019.6-282.9)+(0+(-1.559988--0.432837))+0-0-0</f>
        <v>735.57284900000002</v>
      </c>
      <c r="J21" s="3">
        <f>0+(934.2-203.6)+(0+(-0.476442--0.103836))+0-0-0</f>
        <v>730.227394</v>
      </c>
      <c r="K21" s="3">
        <f>0+(921.2-203.4)+(0+(0.469812-0.103734))+0-0-0</f>
        <v>718.16607800000008</v>
      </c>
      <c r="L21" s="3">
        <f>0+(912.3-178.5)+(0+(-3.256911--0.637245))+0-0-0</f>
        <v>731.1803339999999</v>
      </c>
      <c r="M21" s="3">
        <f>0+(927.9-160.8)+(0+(0-0))+0-0-0</f>
        <v>767.09999999999991</v>
      </c>
      <c r="N21" s="3">
        <f>0+(931.4-99.9)+(0+(0.475014-0.050949))+0-0-0</f>
        <v>831.92406500000004</v>
      </c>
      <c r="O21" s="3">
        <f>0+(984.2-112.2)+(0+(-1.003884--0.114444))+0-0-0</f>
        <v>871.11055999999996</v>
      </c>
      <c r="P21" s="3">
        <f>0+(1016.5-126)+(0+(0.518415-0.06426))+0-0-0</f>
        <v>890.95415500000001</v>
      </c>
      <c r="Q21" s="3">
        <f>0+(989.1-104.5)+(0+(0-0))+0-0-0</f>
        <v>884.6</v>
      </c>
      <c r="R21" s="3">
        <f>0+(971.8-101.9)+(0+(0-0))+0-0-0</f>
        <v>869.9</v>
      </c>
      <c r="S21" s="3">
        <f>0+(926.3-82.2)+(0+(-2.362065--0.20961))+0-0-0</f>
        <v>841.94754499999988</v>
      </c>
      <c r="T21" s="3">
        <f>0+(913.1-69.7)+(0+(0-0))+0-0-0</f>
        <v>843.4</v>
      </c>
      <c r="U21" s="3">
        <f>0+(902.6-72)+(0+(-0.920652--0.07344))+0-0-0</f>
        <v>829.75278800000001</v>
      </c>
      <c r="V21" s="3">
        <f>0+(903.9-73.7)+(0+(-1.382967--0.112761))+0-0-0</f>
        <v>828.9297939999999</v>
      </c>
      <c r="W21" s="3">
        <f>0+(896.6-69)+(0+(-0.457266--0.03519))+0-0-0</f>
        <v>827.17792400000008</v>
      </c>
      <c r="X21" s="3">
        <f>0+(893.6-74.8)+(0+(-1.367208--0.114444))+0-0-0</f>
        <v>817.54723600000011</v>
      </c>
      <c r="Y21" s="3">
        <f>0+(944.6-120.6)+(0+(-0.481746--0.061506))+0-0-0</f>
        <v>823.57975999999996</v>
      </c>
      <c r="Z21" s="3">
        <f>0+(970.5-76)+(0+(-0.98991--0.07752))+0-0-0</f>
        <v>893.58761000000004</v>
      </c>
      <c r="AA21" s="3">
        <f>0+(984-94.3)+(0+(-0.50184--0.048093))+0-0-0</f>
        <v>889.24625300000002</v>
      </c>
      <c r="AB21" s="3">
        <f>0+(1002.7-149.7)+(0+(-2.045508--0.305388))+0-0-0</f>
        <v>851.25987999999995</v>
      </c>
      <c r="AC21" s="3">
        <f>0+(1041.2-213.7)+(0+(0.531012-0.108987))+0-0-0</f>
        <v>827.92202499999996</v>
      </c>
      <c r="AD21" s="2">
        <v>901.2</v>
      </c>
      <c r="AE21" s="3">
        <f>0+(983.6-82.4)+(0+(0-0))+0-0-0</f>
        <v>901.2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0+(1078.9-295.8)+(0+(0.550239-0.150858))+0-0-0</f>
        <v>783.49938100000008</v>
      </c>
      <c r="G22" s="3">
        <f>0+(1073-312.9)+(0+(-0.54723--0.159579))+0-0-0</f>
        <v>759.71234900000002</v>
      </c>
      <c r="H22" s="3">
        <f>0+(1021.8-284.9)+(0+(-0.521118--0.145299))+0-0-0</f>
        <v>736.524181</v>
      </c>
      <c r="I22" s="3">
        <f>0+(1005.2-278.1)+(0+(0-0))+0-0-0</f>
        <v>727.1</v>
      </c>
      <c r="J22" s="3">
        <f>0+(1010.9-278.7)+(0+(0-0))+0-0-0</f>
        <v>732.2</v>
      </c>
      <c r="K22" s="3">
        <f>0+(1010.1-276.2)+(0+(-1.545453--0.422586))+0-0-0</f>
        <v>732.77713300000005</v>
      </c>
      <c r="L22" s="3">
        <f>0+(1007.7-257.1)+(0+(-1.027854--0.262242))+0-0-0</f>
        <v>749.83438799999999</v>
      </c>
      <c r="M22" s="3">
        <f>0+(1024.1-235.1)+(0+(1.044582-0.239802))+0-0-0</f>
        <v>789.80477999999994</v>
      </c>
      <c r="N22" s="3">
        <f>0+(1080.2-235.7)+(0+(2.203608-0.480828))+0-0-0</f>
        <v>846.22277999999994</v>
      </c>
      <c r="O22" s="3">
        <f>0+(1086.4-202.6)+(0+(-1.108128--0.206652))+0-0-0</f>
        <v>882.89852400000007</v>
      </c>
      <c r="P22" s="3">
        <f>0+(1102-202.9)+(0+(-0.56202--0.103479))+0-0-0</f>
        <v>898.64145900000005</v>
      </c>
      <c r="Q22" s="3">
        <f>0+(1119.5-217.3)+(0+(1.14189-0.221646))+0-0-0</f>
        <v>903.12024400000007</v>
      </c>
      <c r="R22" s="3">
        <f>0+(1116.5-229.3)+(0+(0-0))+0-0-0</f>
        <v>887.2</v>
      </c>
      <c r="S22" s="3">
        <f>0+(1102-220.1)+(0+(-2.24808--0.449004))+0-0-0</f>
        <v>880.10092399999996</v>
      </c>
      <c r="T22" s="3">
        <f>0+(1071.1-206.4)+(0+(1.092522-0.210528))+0-0-0</f>
        <v>865.5819939999999</v>
      </c>
      <c r="U22" s="3">
        <f>0+(1062.4-203.6)+(0+(1.083648-0.207672))+0-0-0</f>
        <v>859.67597600000011</v>
      </c>
      <c r="V22" s="3">
        <f>0+(1054.1-204.9)+(0+(-1.612773--0.313497))+0-0-0</f>
        <v>847.90072399999997</v>
      </c>
      <c r="W22" s="3">
        <f>0+(1035.8-195.4)+(0+(-0.528258--0.099654))+0-0-0</f>
        <v>839.97139600000003</v>
      </c>
      <c r="X22" s="3">
        <f>0+(1010.5-176.5)+(0+(-2.576775--0.450075))+0-0-0</f>
        <v>831.87329999999997</v>
      </c>
      <c r="Y22" s="3">
        <f>0+(1005.9-161.3)+(0+(1.026018-0.164526))+0-0-0</f>
        <v>845.46149199999991</v>
      </c>
      <c r="Z22" s="3">
        <f>0+(1194.9-276.2)+(0+(-0.609399--0.140862))+0-0-0</f>
        <v>918.23146300000008</v>
      </c>
      <c r="AA22" s="3">
        <f>0+(1196.1-295.2)+(0+(-2.440044--0.602208))+0-0-0</f>
        <v>899.06216399999983</v>
      </c>
      <c r="AB22" s="3">
        <f>0+(1155.1-289.3)+(0+(-1.178202--0.295086))+0-0-0</f>
        <v>864.91688399999998</v>
      </c>
      <c r="AC22" s="3">
        <f>0+(1063.8-225.6)+(0+(-2.170152--0.460224))+0-0-0</f>
        <v>836.49007199999994</v>
      </c>
      <c r="AD22" s="2">
        <v>942.69999999999993</v>
      </c>
      <c r="AE22" s="3">
        <f>0+(1247.8-305.1)+(0+(0-0))+0-0-0</f>
        <v>942.69999999999993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0+(1111.5-316.4)+(0+(-0.566865--0.161364))+0-0-0</f>
        <v>794.69449900000006</v>
      </c>
      <c r="G23" s="3">
        <f>0+(1148.9-383.2)+(0+(-1.757817--0.586296))+0-0-0</f>
        <v>764.52847900000006</v>
      </c>
      <c r="H23" s="3">
        <f>0+(1090.2-341.4)+(0+(0-0))+0-0-0</f>
        <v>748.80000000000007</v>
      </c>
      <c r="I23" s="3">
        <f>0+(1047.7-309.1)+(0+(-2.671635--0.788205))+0-0-0</f>
        <v>736.71657000000005</v>
      </c>
      <c r="J23" s="3">
        <f>0+(1032.2-314.7)+(0+(1.052844-0.320994))+0-0-0</f>
        <v>718.23185000000001</v>
      </c>
      <c r="K23" s="3">
        <f>0+(1003.9-285.5)+(0+(-0.511989--0.145605))+0-0-0</f>
        <v>718.03361599999994</v>
      </c>
      <c r="L23" s="3">
        <f>0+(982.3-253.3)+(0+(-2.504865--0.645915))+0-0-0</f>
        <v>727.14104999999995</v>
      </c>
      <c r="M23" s="3">
        <f>0+(965.7-192.5)+(0+(-0.492507--0.098175))+0-0-0</f>
        <v>772.80566800000008</v>
      </c>
      <c r="N23" s="3">
        <f>0+(1028.9-191.4)+(0+(-0.524739--0.097614))+0-0-0</f>
        <v>837.07287500000007</v>
      </c>
      <c r="O23" s="3">
        <f>0+(1128.2-245.2)+(0+(0.575382-0.125052))+0-0-0</f>
        <v>883.45033000000001</v>
      </c>
      <c r="P23" s="3">
        <f>0+(1162.4-263.6)+(0+(1.185648-0.268872))+0-0-0</f>
        <v>899.7167760000001</v>
      </c>
      <c r="Q23" s="3">
        <f>0+(1189.3-279.9)+(0+(0-0))+0-0-0</f>
        <v>909.4</v>
      </c>
      <c r="R23" s="3">
        <f>0+(1159.5-258.7)+(0+(-1.18269--0.263874))+0-0-0</f>
        <v>899.88118399999996</v>
      </c>
      <c r="S23" s="3">
        <f>0+(1109.2-242.6)+(0+(-0.565692--0.123726))+0-0-0</f>
        <v>866.15803400000004</v>
      </c>
      <c r="T23" s="3">
        <f>0+(1076.7-211.2)+(0+(-2.196468--0.430848))+0-0-0</f>
        <v>863.73437999999999</v>
      </c>
      <c r="U23" s="3">
        <f>0+(1071.8-209)+(0+(0-0))+0-0-0</f>
        <v>862.8</v>
      </c>
      <c r="V23" s="3">
        <f>0+(1044.9-195.7)+(0+(-1.598697--0.299421))+0-0-0</f>
        <v>847.90072400000008</v>
      </c>
      <c r="W23" s="3">
        <f>0+(1048.1-211.3)+(0+(-0.534531--0.107763))+0-0-0</f>
        <v>836.37323199999992</v>
      </c>
      <c r="X23" s="3">
        <f>0+(1044.4-222.9)+(0+(-2.130576--0.454716))+8.4-0-0</f>
        <v>828.22414000000015</v>
      </c>
      <c r="Y23" s="3">
        <f>0+(1063.1-219.3)+(0+(0.542181-0.111843))+0-0-0</f>
        <v>844.23033799999996</v>
      </c>
      <c r="Z23" s="3">
        <f>0+(1069.1-272.1)+(0+(-0.545241--0.138771))+0-0-0</f>
        <v>796.59352999999987</v>
      </c>
      <c r="AA23" s="3">
        <f>0+(1106.9-250)+(0+(-1.129038--0.255))+0-0-0</f>
        <v>856.02596200000005</v>
      </c>
      <c r="AB23" s="3">
        <f>0+(1136.2-260.1)+(0+(0-0))+0-0-0</f>
        <v>876.1</v>
      </c>
      <c r="AC23" s="3">
        <f>0+(1132.4-287.8)+(0+(-2.310096--0.587112))+0-0-0</f>
        <v>842.87701600000014</v>
      </c>
      <c r="AD23" s="2">
        <v>923.30000000000007</v>
      </c>
      <c r="AE23" s="3">
        <f>0+(1147.2-223.9)+(0+(0-0))+0-0-0</f>
        <v>923.30000000000007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0+(1111.2-325.1)+(0+(-1.133424--0.331602))+0-0-0</f>
        <v>785.29817800000001</v>
      </c>
      <c r="G24" s="3">
        <f>0+(1151.5-399.8)+(0+(-1.17453--0.407796))+0-0-0</f>
        <v>750.933266</v>
      </c>
      <c r="H24" s="3">
        <f>0+(1123.9-391.6)+(0+(-2.865945--0.99858))+0-0-0</f>
        <v>730.43263500000012</v>
      </c>
      <c r="I24" s="3">
        <f>0+(1142.1-414.1)+(0+(-1.164942--0.422382))+0-0-0</f>
        <v>727.25743999999986</v>
      </c>
      <c r="J24" s="3">
        <f>0+(1099.3-380.7)+(0+(0.560643-0.194157))+0-0-0</f>
        <v>718.96648599999992</v>
      </c>
      <c r="K24" s="3">
        <f>0+(1078.5-368.1)+(0+(0.550035-0.187731))+0-0-0</f>
        <v>710.76230399999997</v>
      </c>
      <c r="L24" s="3">
        <f>0+(1075.2-353)+(0+(-1.096704--0.36006))+0-0-0</f>
        <v>721.46335600000009</v>
      </c>
      <c r="M24" s="3">
        <f>0+(1031-296)+(0+(1.05162-0.30192))+0-0-0</f>
        <v>735.74969999999996</v>
      </c>
      <c r="N24" s="3">
        <f>0+(924-131.8)+(0+(1.88496-0.268872))+0-0-0</f>
        <v>793.81608800000004</v>
      </c>
      <c r="O24" s="3">
        <f>0+(1017.2-180.2)+(0+(0.518772-0.091902))+0-0-0</f>
        <v>837.42687000000001</v>
      </c>
      <c r="P24" s="3">
        <f>0+(1015.3-161.4)+(0+(0-0))+0-0-0</f>
        <v>853.9</v>
      </c>
      <c r="Q24" s="3">
        <f>0+(1039.4-167.8)+(0+(-0.530094--0.085578))+0-0-0</f>
        <v>871.15548400000011</v>
      </c>
      <c r="R24" s="3">
        <f>0+(997.4-136.3)+(0+(-1.017348--0.139026))+0-0-0</f>
        <v>860.22167799999988</v>
      </c>
      <c r="S24" s="3">
        <f>0+(931.8-104.9)+(0+(-0.950436--0.106998))+0-0-0</f>
        <v>826.05656199999999</v>
      </c>
      <c r="T24" s="3">
        <f>0+(893.2-81)+(0+(-0.911064--0.08262))+0-0-0</f>
        <v>811.37155600000006</v>
      </c>
      <c r="U24" s="3">
        <f>0+(890.3-78.3)+(0+(-0.454053--0.039933))+0-0-0</f>
        <v>811.58587999999997</v>
      </c>
      <c r="V24" s="3">
        <f>0+(871.6-77.3)+(0+(0-0))+0-0-0</f>
        <v>794.30000000000007</v>
      </c>
      <c r="W24" s="3">
        <f>0+(861.3-78.4)+(0+(-0.878526--0.079968))+0-0-0</f>
        <v>782.10144200000002</v>
      </c>
      <c r="X24" s="3">
        <f>0+(945.9-162.5)+(0+(0.964818-0.16575))+0-0-0</f>
        <v>784.19906800000001</v>
      </c>
      <c r="Y24" s="3">
        <f>0+(934.5-129.2)+(0+(0-0))+0-0-0</f>
        <v>805.3</v>
      </c>
      <c r="Z24" s="3">
        <f>0+(1056.4-177.8)+(0+(-2.155056--0.362712))+0-0-0</f>
        <v>876.80765600000018</v>
      </c>
      <c r="AA24" s="3">
        <f>0+(1087.5-223.8)+(0+(-1.10925--0.228276))+0-0-0</f>
        <v>862.81902600000001</v>
      </c>
      <c r="AB24" s="3">
        <f>0+(1063-218.3)+(0+(-2.16852--0.445332))+0-0-0</f>
        <v>842.976812</v>
      </c>
      <c r="AC24" s="3">
        <f>0+(1024.2-207.6)+(0+(-1.567026--0.317628))+0-0-0</f>
        <v>815.35060199999998</v>
      </c>
      <c r="AD24" s="2">
        <v>909.9</v>
      </c>
      <c r="AE24" s="3">
        <f>0+(1099-189.1)+(0+(0-0))+0-0-0</f>
        <v>909.9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0+(984.7-214.9)+(0+(-1.004394--0.219198))+0-0-0</f>
        <v>769.01480400000003</v>
      </c>
      <c r="G25" s="3">
        <f>0+(971.6-222.3)+(0+(-1.486548--0.340119))+0-0-0</f>
        <v>748.15357099999994</v>
      </c>
      <c r="H25" s="3">
        <f>0+(864.4-150)+(0+(-0.881688--0.153))+0-0-0</f>
        <v>713.67131199999994</v>
      </c>
      <c r="I25" s="3">
        <f>0+(833.9-126.4)+(0+(-0.850578--0.128928))+0-0-0</f>
        <v>706.77835000000005</v>
      </c>
      <c r="J25" s="3">
        <f>0+(848.3-149.8)+(0+(0.865266-0.152796))+0-0-0</f>
        <v>699.21247000000005</v>
      </c>
      <c r="K25" s="3">
        <f>0+(833.5-147)+(0+(-0.425085--0.07497))+0-0-0</f>
        <v>686.14988500000004</v>
      </c>
      <c r="L25" s="3">
        <f>0+(850.1-176.6)+(0+(-2.601306--0.540396))+0-0-0</f>
        <v>671.43908999999996</v>
      </c>
      <c r="M25" s="3">
        <f>0+(827.7-160.3)+(0+(-0.422127--0.081753))+0-0-0</f>
        <v>667.05962600000009</v>
      </c>
      <c r="N25" s="3">
        <f>0+(898.1-205.1)+(0+(0.458031-0.104601))+0-0-0</f>
        <v>693.35343</v>
      </c>
      <c r="O25" s="3">
        <f>0+(923-203.5)+(0+(-0.47073--0.103785))+0-0-0</f>
        <v>719.13305500000001</v>
      </c>
      <c r="P25" s="3">
        <f>0+(908.2-169.3)+(0+(0.463182-0.086343))+0-0-0</f>
        <v>739.27683900000011</v>
      </c>
      <c r="Q25" s="3">
        <f>0+(891.2-123.9)+(0+(-0.909024--0.126378))+0-0-0</f>
        <v>766.51735400000007</v>
      </c>
      <c r="R25" s="3">
        <f>0+(911.5-145.5)+(0+(0.464865-0.074205))+0-0-0</f>
        <v>766.39066000000003</v>
      </c>
      <c r="S25" s="3">
        <f>0+(931.5-179.7)+(0+(0.475065-0.091647))+0-0-0</f>
        <v>752.18341799999996</v>
      </c>
      <c r="T25" s="3">
        <f>0+(956.6-222.9)+(0+(0.487866-0.113679))+0-0-0</f>
        <v>734.07418700000005</v>
      </c>
      <c r="U25" s="3">
        <f>0+(958.7-244.6)+(0+(-0.977874--0.249492))+0-0-0</f>
        <v>713.37161800000001</v>
      </c>
      <c r="V25" s="3">
        <f>0+(935.1-230.8)+(0+(0.953802-0.235416))+0-0-0</f>
        <v>705.01838599999996</v>
      </c>
      <c r="W25" s="3">
        <f>0+(936.3-223.8)+(0+(1.432539-0.342414))+0-0-0</f>
        <v>713.59012499999994</v>
      </c>
      <c r="X25" s="3">
        <f>0+(919.5-201.7)+(0+(-1.406835--0.308601))+0-0-0</f>
        <v>716.70176599999991</v>
      </c>
      <c r="Y25" s="3">
        <f>0+(936.2-190)+(0+(0.477462-0.0969))+0-0-0</f>
        <v>746.5805620000001</v>
      </c>
      <c r="Z25" s="3">
        <f>0+(1078.5-264.9)+(0+(-1.650105--0.405297))+0-0-0</f>
        <v>812.35519199999999</v>
      </c>
      <c r="AA25" s="3">
        <f>0+(1086.7-284.2)+(0+(-2.771085--0.72471))+0-0-0</f>
        <v>800.45362499999999</v>
      </c>
      <c r="AB25" s="3">
        <f>0+(1068.1-281.2)+(0+(-1.089462--0.286824))+0-0-0</f>
        <v>786.09736199999986</v>
      </c>
      <c r="AC25" s="3">
        <f>0+(1018.2-266.3)+(0+(-0.519282--0.135813))+0-0-0</f>
        <v>751.5165310000001</v>
      </c>
      <c r="AD25" s="2">
        <v>814.90000000000009</v>
      </c>
      <c r="AE25" s="3">
        <f>0+(1104.9-290)+(0+(0-0))+0-0-0</f>
        <v>814.90000000000009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0+(951-254.3)+(0+(-0.48501--0.129693))+0-0-0</f>
        <v>696.34468300000003</v>
      </c>
      <c r="G26" s="3">
        <f>0+(1021.8-360.9)+(0+(0.521118-0.184059))+0-0-0</f>
        <v>661.23705899999993</v>
      </c>
      <c r="H26" s="3">
        <f>0+(1001.6-346.9)+(0+(-0.510816--0.176919))+0-0-0</f>
        <v>654.36610300000007</v>
      </c>
      <c r="I26" s="3">
        <f>0+(968.7-321.2)+(0+(-0.988074--0.327624))+0-0-0</f>
        <v>646.83955000000003</v>
      </c>
      <c r="J26" s="3">
        <f>0+(935.1-291.5)+(0+(1.907604-0.59466))+0-0-0</f>
        <v>644.91294400000004</v>
      </c>
      <c r="K26" s="3">
        <f>0+(914.1-260.4)+(0+(-0.932382--0.265608))+0-0-0</f>
        <v>653.03322600000001</v>
      </c>
      <c r="L26" s="3">
        <f>0+(923.7-243.5)+(0+(1.413261-0.372555))+0-0-0</f>
        <v>681.24070600000005</v>
      </c>
      <c r="M26" s="3">
        <f>0+(934.8-204.3)+(0+(-0.476748--0.104193))+0-0-0</f>
        <v>730.12744499999997</v>
      </c>
      <c r="N26" s="3">
        <f>0+(964.9-177.4)+(0+(-0.492099--0.090474))+0-0-0</f>
        <v>787.09837500000003</v>
      </c>
      <c r="O26" s="3">
        <f>0+(1084.5-244.4)+(0+(-1.10619--0.249288))+0-0-0</f>
        <v>839.24309800000003</v>
      </c>
      <c r="P26" s="3">
        <f>0+(1100.6-233.3)+(0+(-1.683918--0.356949))+0-0-0</f>
        <v>865.97303099999999</v>
      </c>
      <c r="Q26" s="3">
        <f>0+(1101.7-217)+(0+(-2.247468--0.44268))+0-0-0</f>
        <v>882.89521200000001</v>
      </c>
      <c r="R26" s="3">
        <f>0+(1097.7-225.1)+(0+(-1.679481--0.344403))+0-0-0</f>
        <v>871.26492200000007</v>
      </c>
      <c r="S26" s="3">
        <f>0+(1081.8-221.5)+(0+(-2.206872--0.45186))+0-0-0</f>
        <v>858.54498799999999</v>
      </c>
      <c r="T26" s="3">
        <f>0+(1021.6-172.2)+(0+(-1.563048--0.263466))+0-0-0</f>
        <v>848.1004180000001</v>
      </c>
      <c r="U26" s="3">
        <f>0+(1002.5-160.1)+(0+(-3.06765--0.489906))+0-0-0</f>
        <v>839.82225599999992</v>
      </c>
      <c r="V26" s="3">
        <f>0+(964.9-134.6)+(0+(-0.492099--0.068646))+0-0-0</f>
        <v>829.87654699999996</v>
      </c>
      <c r="W26" s="3">
        <f>0+(953.6-133.2)+(0+(-2.43168--0.33966))+0-0-0</f>
        <v>818.30798000000004</v>
      </c>
      <c r="X26" s="3">
        <f>0+(954.6-141.5)+(0+(-0.486846--0.072165))+0-0-0</f>
        <v>812.68531900000005</v>
      </c>
      <c r="Y26" s="3">
        <f>0+(958-134.4)+(0+(0.48858-0.068544))+0-0-0</f>
        <v>824.020036</v>
      </c>
      <c r="Z26" s="3">
        <f>0+(1074.2-195.2)+(0+(-2.73921--0.49776))+0-0-0</f>
        <v>876.75855000000001</v>
      </c>
      <c r="AA26" s="3">
        <f>0+(1080-210.2)+(0+(-2.754--0.53601))+0-0-0</f>
        <v>867.58200999999997</v>
      </c>
      <c r="AB26" s="3">
        <f>0+(1054.7-206.1)+(0+(-0.537897--0.105111))+0-0-0</f>
        <v>848.16721400000006</v>
      </c>
      <c r="AC26" s="3">
        <f>0+(1000.4-177.6)+(0+(-2.040816--0.362304))+0-0-0</f>
        <v>821.121488</v>
      </c>
      <c r="AD26" s="2">
        <v>893.30000000000007</v>
      </c>
      <c r="AE26" s="3">
        <f>0+(1118.9-225.6)+(0+(0-0))+0-0-0</f>
        <v>893.30000000000007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0+(942.9-156.7)+(0+(-1.923516--0.319668))+0-0-0</f>
        <v>784.59615200000007</v>
      </c>
      <c r="G27" s="3">
        <f>0+(917.4-171)+(0+(-1.403622--0.26163))+0-0-0</f>
        <v>745.25800800000002</v>
      </c>
      <c r="H27" s="3">
        <f>0+(874.5-160.7)+(0+(0-0))+0-0-0</f>
        <v>713.8</v>
      </c>
      <c r="I27" s="3">
        <f>0+(887.6-173.8)+(0+(-0.905352--0.177276))+0-0-0</f>
        <v>713.07192399999997</v>
      </c>
      <c r="J27" s="3">
        <f>0+(882.9-175.1)+(0+(0-0))+0-0-0</f>
        <v>707.8</v>
      </c>
      <c r="K27" s="3">
        <f>0+(874.4-172.7)+(0+(0-0))+0-0-0</f>
        <v>701.7</v>
      </c>
      <c r="L27" s="3">
        <f>0+(910.1-188.1)+(0+(1.392453-0.287793))+0-0-0</f>
        <v>723.10465999999997</v>
      </c>
      <c r="M27" s="3">
        <f>0+(942.8-189.6)+(0+(-0.961656--0.193392))+0-0-0</f>
        <v>752.43173599999989</v>
      </c>
      <c r="N27" s="3">
        <f>0+(987.1-179.4)+(0+(-0.503421--0.091494))+0-0-0</f>
        <v>807.28807300000005</v>
      </c>
      <c r="O27" s="3">
        <f>0+(1083-227.2)+(0+(0-0))+0-0-0</f>
        <v>855.8</v>
      </c>
      <c r="P27" s="3">
        <f>0+(1112.6-247)+(0+(-1.134852--0.25194))+0-0-0</f>
        <v>864.71708799999988</v>
      </c>
      <c r="Q27" s="3">
        <f>0+(1084.6-207.4)+(0+(-1.659438--0.317322))+0-0-0</f>
        <v>875.8578839999999</v>
      </c>
      <c r="R27" s="3">
        <f>0+(1029.6-166.8)+(0+(-1.050192--0.170136))+0-0-0</f>
        <v>861.91994399999999</v>
      </c>
      <c r="S27" s="3">
        <f>0+(1006.8-158.1)+(0+(-2.053872--0.322524))+0-0-0</f>
        <v>846.96865199999991</v>
      </c>
      <c r="T27" s="3">
        <f>0+(979.1-147.1)+(0+(-0.499341--0.075021))+0-0-0</f>
        <v>831.57568000000003</v>
      </c>
      <c r="U27" s="3">
        <f>0+(996.8-163.8)+(0+(-2.54184--0.41769))+0-0-0</f>
        <v>830.87585000000001</v>
      </c>
      <c r="V27" s="3">
        <f>0+(1005.6-177)+(0+(-3.077136--0.54162))+0-0-0</f>
        <v>826.06448399999999</v>
      </c>
      <c r="W27" s="3">
        <f>0+(1009.9-191.2)+(0+(-1.545147--0.292536))+0-0-0</f>
        <v>817.44738900000004</v>
      </c>
      <c r="X27" s="3">
        <f>0+(1056.1-246)+(0+(-1.077222--0.25092))+0-0-0</f>
        <v>809.27369799999985</v>
      </c>
      <c r="Y27" s="3">
        <f>0+(1065.6-243.1)+(0+(0.543456-0.123981))+0-0-0</f>
        <v>822.91947499999992</v>
      </c>
      <c r="Z27" s="3">
        <f>0+(1173.6-278.2)+(0+(-1.795608--0.425646))+0-0-0</f>
        <v>894.03003799999988</v>
      </c>
      <c r="AA27" s="3">
        <f>0+(1146.6-263)+(0+(-1.754298--0.40239))+0-0-0</f>
        <v>882.24809199999993</v>
      </c>
      <c r="AB27" s="3">
        <f>0+(1092.5-245.6)+(0+(-1.11435--0.250512))+0-0-0</f>
        <v>846.03616199999999</v>
      </c>
      <c r="AC27" s="3">
        <f>0+(1018-193.4)+(0+(0-0))+0-0-0</f>
        <v>824.6</v>
      </c>
      <c r="AD27" s="2">
        <v>920.4</v>
      </c>
      <c r="AE27" s="3">
        <f>0+(1245.3-324.9)+(0+(0-0))+0-0-0</f>
        <v>920.4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0+(982.7-198.3)+(0+(-1.503531--0.303399))+0-0-0</f>
        <v>783.19986800000004</v>
      </c>
      <c r="G28" s="3">
        <f>0+(847.1-116.4)+(0+(-1.296063--0.178092))+0-0-0</f>
        <v>729.58202900000003</v>
      </c>
      <c r="H28" s="3">
        <f>0+(864.5-153.6)+(0+(-1.322685--0.235008))+0-0-0</f>
        <v>709.81232299999999</v>
      </c>
      <c r="I28" s="3">
        <f>0+(890-182.9)+(0+(0-0))+0-0-0</f>
        <v>707.1</v>
      </c>
      <c r="J28" s="3">
        <f>0+(911.1-204.5)+(0+(0.929322-0.20859))+0-0-0</f>
        <v>707.32073200000002</v>
      </c>
      <c r="K28" s="3">
        <f>0+(884.7-173.9)+(0+(0-0))+0-0-0</f>
        <v>710.80000000000007</v>
      </c>
      <c r="L28" s="3">
        <f>0+(927-192)+(0+(-1.41831--0.29376))+0-0-0</f>
        <v>733.87545</v>
      </c>
      <c r="M28" s="3">
        <f>0+(985.8-186.1)+(0+(0-0))+0-0-0</f>
        <v>799.69999999999993</v>
      </c>
      <c r="N28" s="3">
        <f>0+(989.9-112)+(0+(-0.504849--0.05712))+0-0-0</f>
        <v>877.452271</v>
      </c>
      <c r="O28" s="3">
        <f>0+(1113.8-146.7)+(0+(-1.136076--0.149634))+0-0-0</f>
        <v>966.1135579999999</v>
      </c>
      <c r="P28" s="3">
        <f>0+(1140.6-150.3)+(0+(0.581706-0.076653))+0-0-0</f>
        <v>990.80505299999993</v>
      </c>
      <c r="Q28" s="3">
        <f>0+(1152-143.6)+(0+(0.58752-0.073236))+0-0-0</f>
        <v>1008.914284</v>
      </c>
      <c r="R28" s="3">
        <f>0+(1179-216.9)+(0+(0.60129-0.110619))+0-0-0</f>
        <v>962.59067100000004</v>
      </c>
      <c r="S28" s="3">
        <f>0+(1183.8-241.3)+(0+(0.603738-0.123063))+0-0-0</f>
        <v>942.98067500000002</v>
      </c>
      <c r="T28" s="3">
        <f>0+(1294.6-335.8)+(0+(1.980738-0.513774))+0-0-0</f>
        <v>960.26696399999992</v>
      </c>
      <c r="U28" s="3">
        <f>0+(1209.5-267.4)+(0+(-1.23369--0.272748))+0-0-0</f>
        <v>941.13905799999998</v>
      </c>
      <c r="V28" s="3">
        <f>0+(1117.5-205.2)+(0+(-0.569925--0.104652))+0-0-0</f>
        <v>911.83472699999993</v>
      </c>
      <c r="W28" s="3">
        <f>0+(1076.8-161.7)+(0+(-0.549168--0.082467))+0-0-0</f>
        <v>914.63329899999997</v>
      </c>
      <c r="X28" s="3">
        <f>0+(1039.3-149.5)+(0+(-2.120172--0.30498))+0-0-0</f>
        <v>887.98480799999993</v>
      </c>
      <c r="Y28" s="3">
        <f>0+(1044-148.7)+(0+(1.59732-0.227511))+0-0-0</f>
        <v>896.66980899999999</v>
      </c>
      <c r="Z28" s="3">
        <f>0+(1147.8-175.2)+(0+(-0.585378--0.089352))+0-0-0</f>
        <v>972.10397399999988</v>
      </c>
      <c r="AA28" s="3">
        <f>0+(1128.2-160.1)+(0+(-1.726146--0.244953))+0-0-0</f>
        <v>966.61880700000006</v>
      </c>
      <c r="AB28" s="3">
        <f>0+(1052.6-86.2)+(0+(-2.68413--0.21981))+0-0-0</f>
        <v>963.93567999999982</v>
      </c>
      <c r="AC28" s="3">
        <f>0+(1007.1-130.3)+(0+(0.513621-0.066453))+0-0-0</f>
        <v>877.24716799999999</v>
      </c>
      <c r="AD28" s="2">
        <v>891.5</v>
      </c>
      <c r="AE28" s="3">
        <f>0+(1163.7-272.2)+(0+(0-0))+0-0-0</f>
        <v>891.5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0+(1070.4-256.7)+(0+(-1.091808--0.261834))+0-0-0</f>
        <v>812.87002600000005</v>
      </c>
      <c r="G29" s="3">
        <f>0+(1077-332)+(0+(-2.19708--0.67728))+0-0-0</f>
        <v>743.48019999999997</v>
      </c>
      <c r="H29" s="3">
        <f>0+(1075.1-362.6)+(0+(-0.548301--0.184926))+0-0-0</f>
        <v>712.13662499999987</v>
      </c>
      <c r="I29" s="3">
        <f>0+(1010.1-304.6)+(0+(0.515151-0.155346))+0-0-0</f>
        <v>705.85980500000005</v>
      </c>
      <c r="J29" s="3">
        <f>0+(908.5-236.5)+(0+(-0.463335--0.120615))+0-0-0</f>
        <v>671.65728000000001</v>
      </c>
      <c r="K29" s="3">
        <f>0+(884.9-188.9)+(0+(0.451299-0.096339))+0-0-0</f>
        <v>696.35496000000001</v>
      </c>
      <c r="L29" s="3">
        <f>0+(866-157)+(0+(-0.88332--0.16014))+0-0-0</f>
        <v>708.27682000000004</v>
      </c>
      <c r="M29" s="3">
        <f>0+(939.2-195.2)+(0+(0.957984-0.199104))+0-0-0</f>
        <v>744.75887999999998</v>
      </c>
      <c r="N29" s="3">
        <f>0+(983.7-98.8)+(0+(1.003374-0.100776))+0-0-0</f>
        <v>885.8025980000001</v>
      </c>
      <c r="O29" s="3">
        <f>0+(943.2-120.8)+(0+(0.962064-0.123216))+0-0-0</f>
        <v>823.23884800000008</v>
      </c>
      <c r="P29" s="3">
        <f>0+(1036-166.7)+(0+(1.05672-0.170034))+0-0-0</f>
        <v>870.18668600000001</v>
      </c>
      <c r="Q29" s="3">
        <f>0+(1067.6-161.6)+(0+(-3.266856--0.494496))+0-0-0</f>
        <v>903.22763999999984</v>
      </c>
      <c r="R29" s="3">
        <f>0+(1054.7-179.9)+(0+(1.075794-0.183498))+0-0-0</f>
        <v>875.69229600000006</v>
      </c>
      <c r="S29" s="3">
        <f>0+(1053.4-183.6)+(0+(-1.074468--0.187272))+0-0-0</f>
        <v>868.91280400000005</v>
      </c>
      <c r="T29" s="3">
        <f>0+(996.6-156.8)+(0+(-3.049596--0.479808))+0-0-0</f>
        <v>837.23021199999994</v>
      </c>
      <c r="U29" s="3">
        <f>0+(990.8-186.6)+(0+(-2.021232--0.380664))+0-0-0</f>
        <v>802.5594319999999</v>
      </c>
      <c r="V29" s="3">
        <f>0+(1050.7-217.7)+(0+(-0.535857--0.111027))+0-0-0</f>
        <v>832.57516999999996</v>
      </c>
      <c r="W29" s="3">
        <f>0+(1004.7-184.2)+(0+(2.049588-0.375768))+0-0-0</f>
        <v>822.17381999999998</v>
      </c>
      <c r="X29" s="3">
        <f>0+(1040.7-170.6)+(0+(-1.061514--0.174012))+0-0-0</f>
        <v>869.21249799999998</v>
      </c>
      <c r="Y29" s="3">
        <f>0+(995.5-165.9)+(0+(-1.01541--0.169218))+0-0-0</f>
        <v>828.75380800000005</v>
      </c>
      <c r="Z29" s="3">
        <f>0+(1066.6-169.9)+(0+(-1.631898--0.259947))+0-0-0</f>
        <v>895.32804899999996</v>
      </c>
      <c r="AA29" s="3">
        <f>0+(1084.7-201.3)+(0+(-1.106394--0.205326))+0-0-0</f>
        <v>882.49893200000008</v>
      </c>
      <c r="AB29" s="3">
        <f>0+(1019.3-168.8)+(0+(-1.039686--0.172176))+0-0-0</f>
        <v>849.63248999999996</v>
      </c>
      <c r="AC29" s="3">
        <f>0+(1001.6-177.4)+(0+(-1.021632--0.180948))+0-0-0</f>
        <v>823.35931600000004</v>
      </c>
      <c r="AD29" s="2">
        <v>905.30000000000007</v>
      </c>
      <c r="AE29" s="3">
        <f>0+(1088.9-183.6)+(0+(0-0))+0-0-0</f>
        <v>905.30000000000007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0+(1007.2-235.9)+(0+(-1.541016--0.360927))+0-0-0</f>
        <v>770.11991100000012</v>
      </c>
      <c r="G30" s="3">
        <f>0+(1037.3-293.2)+(0+(-0.529023--0.149532))+0-0-0</f>
        <v>743.72050899999988</v>
      </c>
      <c r="H30" s="3">
        <f>0+(1012.8-300.3)+(0+(1.549584-0.459459))+0-0-0</f>
        <v>713.59012499999994</v>
      </c>
      <c r="I30" s="3">
        <f>0+(1003.1-294.3)+(0+(-1.023162--0.300186))+0-0-0</f>
        <v>708.07702399999994</v>
      </c>
      <c r="J30" s="3">
        <f>0+(1012.5-303.3)+(0+(-1.03275--0.309366))+0-0-0</f>
        <v>708.47661600000004</v>
      </c>
      <c r="K30" s="3">
        <f>0+(989.5-278.7)+(0+(-2.01858--0.568548))+0-0-0</f>
        <v>709.34996799999999</v>
      </c>
      <c r="L30" s="3">
        <f>0+(952.5-236.7)+(0+(-1.9431--0.482868))+0-0-0</f>
        <v>714.33976799999994</v>
      </c>
      <c r="M30" s="3">
        <f>0+(927.8-197.2)+(0+(0.473178-0.100572))+0-0-0</f>
        <v>730.97260599999993</v>
      </c>
      <c r="N30" s="3">
        <f>0+(874.8-76.6)+(0+(0.446148-0.039066))+0-0-0</f>
        <v>798.60708199999988</v>
      </c>
      <c r="O30" s="3">
        <f>0+(936.3-96.7)+(0+(0.477513-0.049317))+0-0-0</f>
        <v>840.02819599999987</v>
      </c>
      <c r="P30" s="3">
        <f>0+(961.6-103.7)+(0+(0.490416-0.052887))+0-0-0</f>
        <v>858.33752900000002</v>
      </c>
      <c r="Q30" s="3">
        <f>0+(980.5-99.2)+(0+(-0.500055--0.050592))+0-0-0</f>
        <v>880.85053699999992</v>
      </c>
      <c r="R30" s="3">
        <f>0+(963.9-94.6)+(0+(0.491589-0.048246))+0-0-0</f>
        <v>869.74334299999998</v>
      </c>
      <c r="S30" s="3">
        <f>0+(941.1-103.5)+(0+(-2.399805--0.263925))+0-0-0</f>
        <v>835.46411999999998</v>
      </c>
      <c r="T30" s="3">
        <f>0+(956.7-129.4)+(0+(-0.487917--0.065994))+0-0-0</f>
        <v>826.87807700000008</v>
      </c>
      <c r="U30" s="3">
        <f>0+(936.9-118.5)+(0+(-1.911276--0.24174))+0-0-0</f>
        <v>816.73046399999998</v>
      </c>
      <c r="V30" s="3">
        <f>0+(917.7-114.9)+(0+(-0.468027--0.058599))+0-0-0</f>
        <v>802.39057200000002</v>
      </c>
      <c r="W30" s="3">
        <f>0+(902.6-111.2)+(0+(-1.841304--0.226848))+0-0-0</f>
        <v>789.78554399999996</v>
      </c>
      <c r="X30" s="3">
        <f>0+(886.8-119)+(0+(-1.356804--0.18207))+0-0-0</f>
        <v>766.62526600000001</v>
      </c>
      <c r="Y30" s="3">
        <f>0+(866.7-88.7)+(0+(-2.210085--0.226185))+0-0-0</f>
        <v>776.01610000000005</v>
      </c>
      <c r="Z30" s="3">
        <f>0+(1011.8-133.5)+(0+(-1.548054--0.204255))+0-0-0</f>
        <v>876.95620099999996</v>
      </c>
      <c r="AA30" s="3">
        <f>0+(1086.7-205.3)+(0+(-2.771085--0.523515))+0-0-0</f>
        <v>879.15243000000009</v>
      </c>
      <c r="AB30" s="3">
        <f>0+(1046.9-197.5)+(0+(-1.601757--0.302175))+0-0-0</f>
        <v>848.1004180000001</v>
      </c>
      <c r="AC30" s="3">
        <f>0+(952.7-123.7)+(0+(-1.943508--0.252348))+0-0-0</f>
        <v>827.30884000000003</v>
      </c>
      <c r="AD30" s="2">
        <v>908.3</v>
      </c>
      <c r="AE30" s="3">
        <f>0+(1081.3-173)+(0+(0-0))+0-0-0</f>
        <v>908.3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0+(885.3-117.5)+(0+(-1.806012--0.2397))+0-0-0</f>
        <v>766.23368799999992</v>
      </c>
      <c r="G31" s="3">
        <f>0+(936.4-209.2)+(0+(-1.432692--0.320076))+0-0-0</f>
        <v>726.08738400000004</v>
      </c>
      <c r="H31" s="3">
        <f>0+(970.1-254.2)+(0+(-2.473755--0.64821))+0-0-0</f>
        <v>714.07445500000006</v>
      </c>
      <c r="I31" s="3">
        <f>0+(922.6-215.4)+(0+(0-0))+0-0-0</f>
        <v>707.2</v>
      </c>
      <c r="J31" s="3">
        <f>0+(897.7-195.3)+(0+(-0.457827--0.099603))+0-0-0</f>
        <v>702.04177600000014</v>
      </c>
      <c r="K31" s="3">
        <f>0+(899.7-196.7)+(0+(0.458847-0.100317))+0-0-0</f>
        <v>703.35852999999997</v>
      </c>
      <c r="L31" s="3">
        <f>0+(893.5-190.7)+(0+(-0.455685--0.097257))+0-0-0</f>
        <v>702.44157199999995</v>
      </c>
      <c r="M31" s="3">
        <f>0+(858.9-131.3)+(0+(0.438039-0.066963))+0-0-0</f>
        <v>727.97107599999993</v>
      </c>
      <c r="N31" s="3">
        <f>0+(841.9-66.2)+(0+(-0.429369--0.033762))+0-0-0</f>
        <v>775.30439299999989</v>
      </c>
      <c r="O31" s="3">
        <f>0+(977-149.3)+(0+(-0.99654--0.152286))+0-0-0</f>
        <v>826.85574600000007</v>
      </c>
      <c r="P31" s="3">
        <f>0+(1065.2-211.2)+(0+(0.543252-0.107712))+0-0-0</f>
        <v>854.43553999999995</v>
      </c>
      <c r="Q31" s="3">
        <f>0+(1016.5-160.8)+(0+(-3.11049--0.492048))+0-0-0</f>
        <v>853.08155800000009</v>
      </c>
      <c r="R31" s="3">
        <f>0+(988.3-149.8)+(0+(-2.016132--0.305592))+0-0-0</f>
        <v>836.78945999999996</v>
      </c>
      <c r="S31" s="3">
        <f>0+(985.8-170.5)+(0+(-2.51379--0.434775))+0-0-0</f>
        <v>813.22098499999993</v>
      </c>
      <c r="T31" s="3">
        <f>0+(950.3-147.9)+(0+(0-0))+0-0-0</f>
        <v>802.4</v>
      </c>
      <c r="U31" s="3">
        <f>0+(916.3-122.7)+(0+(-0.934626--0.125154))+0-0-0</f>
        <v>792.79052799999988</v>
      </c>
      <c r="V31" s="3">
        <f>0+(908.4-118.2)+(0+(-0.463284--0.060282))+0-0-0</f>
        <v>789.79699799999992</v>
      </c>
      <c r="W31" s="3">
        <f>0+(916.2-132.9)+(0+(-0.934524--0.135558))+0-0-0</f>
        <v>782.50103400000012</v>
      </c>
      <c r="X31" s="3">
        <f>0+(929-171.3)+(0+(0.94758-0.174726))+0-0-0</f>
        <v>758.4728540000001</v>
      </c>
      <c r="Y31" s="3">
        <f>0+(1009.9-240.2)+(0+(0.515049-0.122502))+0-0-0</f>
        <v>770.09254700000008</v>
      </c>
      <c r="Z31" s="3">
        <f>0+(1174.1-311.4)+(0+(-1.796373--0.476442))+0-0-0</f>
        <v>861.38006899999993</v>
      </c>
      <c r="AA31" s="3">
        <f>0+(1125.6-275.6)+(0+(-1.722168--0.421668))+0-0-0</f>
        <v>848.69949999999983</v>
      </c>
      <c r="AB31" s="3">
        <f>0+(1026.2-199.4)+(0+(-1.570086--0.305082))+0-0-0</f>
        <v>825.53499600000009</v>
      </c>
      <c r="AC31" s="3">
        <f>0+(1118.6-308.1)+(0+(-1.140972--0.314262))+0-0-0</f>
        <v>809.67328999999984</v>
      </c>
      <c r="AD31" s="2">
        <v>864.4</v>
      </c>
      <c r="AE31" s="3">
        <f>0+(1187.8-323.4)+(0+(0-0))+0-0-0</f>
        <v>864.4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0+(1154.6-380.8)+(0+(-0.588846--0.194208))+0-0-0</f>
        <v>773.40536199999997</v>
      </c>
      <c r="G32" s="3">
        <f>0+(1123.6-375.2)+(0+(-1.146072--0.382704))+0-0-0</f>
        <v>747.63663199999985</v>
      </c>
      <c r="H32" s="3">
        <f>0+(1001.5-284.1)+(0+(-1.02153--0.289782))+0-0-0</f>
        <v>716.66825199999994</v>
      </c>
      <c r="I32" s="3">
        <f>0+(1000.2-301)+(0+(0-0))+0-0-0</f>
        <v>699.2</v>
      </c>
      <c r="J32" s="3">
        <f>0+(1010.7-302.7)+(0+(0-0))+0-0-0</f>
        <v>708</v>
      </c>
      <c r="K32" s="3">
        <f>0+(983.7-288.4)+(0+(-1.003374--0.294168))+0-0-0</f>
        <v>694.59079400000007</v>
      </c>
      <c r="L32" s="3">
        <f>0+(1012.2-345.1)+(0+(0-0))+0-0-0</f>
        <v>667.1</v>
      </c>
      <c r="M32" s="3">
        <f>0+(1008.9-347.9)+(0+(0-0))+0-0-0</f>
        <v>661</v>
      </c>
      <c r="N32" s="3">
        <f>0+(966-287)+(0+(0.98532-0.29274))+0-0-0</f>
        <v>679.69258000000002</v>
      </c>
      <c r="O32" s="3">
        <f>0+(1058.4-350)+(0+(1.079568-0.357))+0-0-0</f>
        <v>709.12256800000011</v>
      </c>
      <c r="P32" s="3">
        <f>0+(1080-347.5)+(0+(0-0))+0-0-0</f>
        <v>732.5</v>
      </c>
      <c r="Q32" s="3">
        <f>0+(1060.6-323.9)+(0+(-1.622718--0.495567))+0-0-0</f>
        <v>735.57284899999991</v>
      </c>
      <c r="R32" s="3">
        <f>0+(1084.2-352.9)+(0+(0-0))+0-0-0</f>
        <v>731.30000000000007</v>
      </c>
      <c r="S32" s="3">
        <f>0+(1073.8-354.9)+(0+(-2.190552--0.723996))+0-0-0</f>
        <v>717.43344400000001</v>
      </c>
      <c r="T32" s="3">
        <f>0+(1088.8-380.4)+(0+(0-0))+0-0-0</f>
        <v>708.4</v>
      </c>
      <c r="U32" s="3">
        <f>0+(1085.3-379.5)+(0+(-3.321018--1.16127))+0-0-0</f>
        <v>703.64025199999992</v>
      </c>
      <c r="V32" s="3">
        <f>0+(1023.5-325)+(0+(0.521985-0.16575))+0-0-0</f>
        <v>698.85623499999997</v>
      </c>
      <c r="W32" s="3">
        <f>0+(1027.5-319.1)+(0+(-0.524025--0.162741))+0-0-0</f>
        <v>708.03871600000002</v>
      </c>
      <c r="X32" s="3">
        <f>0+(996.6-293.9)+(0+(0-0))+0-0-0</f>
        <v>702.7</v>
      </c>
      <c r="Y32" s="3">
        <f>0+(999.8-280.3)+(0+(0-0))+0-0-0</f>
        <v>719.5</v>
      </c>
      <c r="Z32" s="3">
        <f>0+(1102-306)+(0+(-1.12404--0.31212))+0-0-0</f>
        <v>795.18808000000001</v>
      </c>
      <c r="AA32" s="3">
        <f>0+(1163.1-358.9)+(0+(-1.779543--0.549117))+0-0-0</f>
        <v>802.96957399999997</v>
      </c>
      <c r="AB32" s="3">
        <f>0+(1200.3-417.3)+(0+(-2.448612--0.851292))+0-0-0</f>
        <v>781.40268000000003</v>
      </c>
      <c r="AC32" s="3">
        <f>0+(1109.8-361.4)+(0+(-0.565998--0.184314))+0-0-0</f>
        <v>748.01831600000003</v>
      </c>
      <c r="AD32" s="2">
        <v>813.99999999999989</v>
      </c>
      <c r="AE32" s="3">
        <f>0+(1182.1-368.1)+(0+(0-0))+0-0-0</f>
        <v>813.99999999999989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0+(1041.8-334.1)+(0+(-1.062636--0.340782))+0-0-0</f>
        <v>706.97814599999992</v>
      </c>
      <c r="G33" s="3">
        <f>0+(1042.4-363.8)+(0+(-1.063248--0.371076))+0-0-0</f>
        <v>677.90782800000011</v>
      </c>
      <c r="H33" s="3">
        <f>0+(1017.7-350.9)+(0+(-2.595135--0.894795))+0-0-0</f>
        <v>665.09966000000009</v>
      </c>
      <c r="I33" s="3">
        <f>0+(996-331)+(0+(1.01592-0.33762))+0-0-0</f>
        <v>665.67830000000004</v>
      </c>
      <c r="J33" s="3">
        <f>0+(979.5-317.2)+(0+(0.99909-0.323544))+0-0-0</f>
        <v>662.97554600000001</v>
      </c>
      <c r="K33" s="3">
        <f>0+(977.9-312.3)+(0+(0.498729-0.159273))+0-0-0</f>
        <v>665.93945599999995</v>
      </c>
      <c r="L33" s="3">
        <f>0+(1013.4-315.3)+(0+(-0.516834--0.160803))+0-0-0</f>
        <v>697.74396899999988</v>
      </c>
      <c r="M33" s="3">
        <f>0+(1132.3-372.5)+(0+(0.577473-0.189975))+0-0-0</f>
        <v>760.18749800000001</v>
      </c>
      <c r="N33" s="3">
        <f>0+(1213.2-375.8)+(0+(0-0))+0-0-0</f>
        <v>837.40000000000009</v>
      </c>
      <c r="O33" s="3">
        <f>0+(1212.2-335.7)+(0+(0.618222-0.171207))+0-0-0</f>
        <v>876.94701499999996</v>
      </c>
      <c r="P33" s="3">
        <f>0+(1223.9-326.4)+(0+(1.248378-0.332928))+0-0-0</f>
        <v>898.41545000000008</v>
      </c>
      <c r="Q33" s="3">
        <f>0+(1192.9-294.4)+(0+(-0.608379--0.150144))+0-0-0</f>
        <v>898.04176500000017</v>
      </c>
      <c r="R33" s="3">
        <f>0+(1181.3-282.5)+(0+(-2.409852--0.5763))+0-0-0</f>
        <v>896.9664479999999</v>
      </c>
      <c r="S33" s="3">
        <f>0+(1185.2-312.9)+(0+(-3.02226--0.797895))+0-0-0</f>
        <v>870.07563500000003</v>
      </c>
      <c r="T33" s="3">
        <f>0+(1175.1-304)+(0+(-1.198602--0.31008))+0-0-0</f>
        <v>870.21147799999994</v>
      </c>
      <c r="U33" s="3">
        <f>0+(1167.5-303.7)+(0+(1.19085-0.309774))+0-0-0</f>
        <v>864.68107599999996</v>
      </c>
      <c r="V33" s="3">
        <f>0+(1165.6-306.6)+(0+(-1.783368--0.469098))+0-0-0</f>
        <v>857.68572999999992</v>
      </c>
      <c r="W33" s="3">
        <f>0+(1108-260.7)+(0+(-0.56508--0.132957))+0-0-0</f>
        <v>846.86787699999991</v>
      </c>
      <c r="X33" s="3">
        <f>0+(1049.6-223.7)+(0+(-2.67648--0.570435))+0-0-0</f>
        <v>823.79395499999987</v>
      </c>
      <c r="Y33" s="3">
        <f>0+(1084.4-193.1)+(0+(0.553044-0.098481))+0-0-0</f>
        <v>891.75456300000008</v>
      </c>
      <c r="Z33" s="3">
        <f>0+(1167.8-246.9)+(0+(-2.382312--0.503676))+0-0-0</f>
        <v>919.02136399999995</v>
      </c>
      <c r="AA33" s="3">
        <f>0+(1217.7-303.2)+(0+(-3.105135--0.77316))+0-0-0</f>
        <v>912.16802499999994</v>
      </c>
      <c r="AB33" s="3">
        <f>0+(1183.3-301)+(0+(-3.017415--0.76755))+0-0-0</f>
        <v>880.05013499999995</v>
      </c>
      <c r="AC33" s="3">
        <f>0+(1079.9-235.4)+(0+(-1.652247--0.360162))+0-0-0</f>
        <v>843.20791500000007</v>
      </c>
      <c r="AD33" s="2">
        <v>935.2</v>
      </c>
      <c r="AE33" s="3">
        <f>0+(1227-291.8)+(0+(0-0))+0-0-0</f>
        <v>935.2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0+(1086.9-287.4)+(0+(-1.108638--0.293148))+0-0-0</f>
        <v>798.68451000000016</v>
      </c>
      <c r="G34" s="3">
        <f>0+(1092.2-317.1)+(0+(-1.114044--0.323442))+0-0-0</f>
        <v>774.30939799999999</v>
      </c>
      <c r="H34" s="3">
        <f>0+(1088.2-329.7)+(0+(-1.109964--0.336294))+0-0-0</f>
        <v>757.72632999999996</v>
      </c>
      <c r="I34" s="3">
        <f>0+(1076.9-330)+(0+(-0.549219--0.1683))+0-0-0</f>
        <v>746.51908100000014</v>
      </c>
      <c r="J34" s="3">
        <f>0+(1070.8-320.5)+(0+(-2.184432--0.65382))+0-0-0</f>
        <v>748.76938799999994</v>
      </c>
      <c r="K34" s="3">
        <f>0+(1048.9-298.6)+(0+(1.069878-0.304572))+0-0-0</f>
        <v>751.06530600000008</v>
      </c>
      <c r="L34" s="3">
        <f>0+(1011.3-259.8)+(0+(-0.515763--0.132498))+0-0-0</f>
        <v>751.11673499999995</v>
      </c>
      <c r="M34" s="3">
        <f>0+(949.3-164.1)+(0+(1.452429-0.251073))+0-0-0</f>
        <v>786.40135599999996</v>
      </c>
      <c r="N34" s="3">
        <f>0+(1010.1-161.7)+(0+(1.030302-0.164934))+0-0-0</f>
        <v>849.26536800000008</v>
      </c>
      <c r="O34" s="3">
        <f>0+(1096.1-175.8)+(0+(-0.559011--0.089658))+0-0-0</f>
        <v>919.830647</v>
      </c>
      <c r="P34" s="3">
        <f>4.6+(1211.4-279)+(-0.002346+(-0.617814--0.14229))+0-0-0</f>
        <v>936.52213000000006</v>
      </c>
      <c r="Q34" s="3">
        <f>8.1+(1222.3-288.1)+(-0.012393+(-1.870119--0.440793))+0-0-0</f>
        <v>940.85828099999992</v>
      </c>
      <c r="R34" s="3">
        <f>27.8+(1181-305.2)+(0+(0-0))+0-0-0</f>
        <v>903.59999999999991</v>
      </c>
      <c r="S34" s="3">
        <f>0+(1154.1-265.6)+(0+(-2.942955--0.67728))+0-0-0</f>
        <v>886.2343249999999</v>
      </c>
      <c r="T34" s="3">
        <f>0+(1090.9-225.6)+(0+(1.112718-0.230112))+0-0-0</f>
        <v>866.18260600000008</v>
      </c>
      <c r="U34" s="3">
        <f>0+(1073.4-202.4)+(0+(-1.642302--0.309672))+0-0-0</f>
        <v>869.66737000000012</v>
      </c>
      <c r="V34" s="3">
        <f>0+(1047.1-187.6)+(0+(-0.534021--0.095676))+0-0-0</f>
        <v>859.06165499999986</v>
      </c>
      <c r="W34" s="3">
        <f>0+(1042.6-198.9)+(0+(-1.595178--0.304317))+0-0-0</f>
        <v>842.40913899999998</v>
      </c>
      <c r="X34" s="3">
        <f>0+(1011.5-185.3)+(0+(-0.515865--0.094503))+0-0-0</f>
        <v>825.778638</v>
      </c>
      <c r="Y34" s="3">
        <f>0+(1019.7-190.5)+(0+(0-0))+0-0-0</f>
        <v>829.2</v>
      </c>
      <c r="Z34" s="3">
        <f>0+(1221.9-297.7)+(0+(0-0))+0-0-0</f>
        <v>924.2</v>
      </c>
      <c r="AA34" s="3">
        <f>0+(1259.2-341.2)+(0+(-2.568768--0.696048))+0-0-0</f>
        <v>916.12728000000004</v>
      </c>
      <c r="AB34" s="3">
        <f>0+(1207.9-320.3)+(0+(-1.232058--0.326706))+0-0-0</f>
        <v>886.69464800000014</v>
      </c>
      <c r="AC34" s="3">
        <f>0+(1101-247.8)+(0+(-0.56151--0.126378))+0-0-0</f>
        <v>852.76486800000009</v>
      </c>
      <c r="AD34" s="2">
        <v>925.30000000000007</v>
      </c>
      <c r="AE34" s="3">
        <f>0+(1272.2-346.9)+(0+(0-0))+0-0-0</f>
        <v>925.30000000000007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0+(1094.7-292.8)+(0+(-2.233188--0.597312))+0-0-0</f>
        <v>800.26412400000004</v>
      </c>
      <c r="G35" s="3">
        <f>0+(1076.9-305.6)+(0+(-0.549219--0.155856))+0-0-0</f>
        <v>770.90663700000005</v>
      </c>
      <c r="H35" s="3">
        <f>0+(1047.2-301.9)+(0+(-0.534072--0.153969))+0-0-0</f>
        <v>744.91989700000011</v>
      </c>
      <c r="I35" s="3">
        <f>0+(1041.8-306.1)+(0+(1.593954-0.468333))+0-0-0</f>
        <v>736.82562099999996</v>
      </c>
      <c r="J35" s="3">
        <f>0+(1015.5-290.7)+(0+(-1.553715--0.444771))+0-0-0</f>
        <v>723.691056</v>
      </c>
      <c r="K35" s="3">
        <f>0+(1019.7-289.2)+(0+(-0.520047--0.147492))+0-0-0</f>
        <v>730.12744499999997</v>
      </c>
      <c r="L35" s="3">
        <f>0+(996.4-252)+(0+(-2.032656--0.51408))+0-0-0</f>
        <v>742.88142399999992</v>
      </c>
      <c r="M35" s="3">
        <f>0+(1030.9-240.5)+(0+(2.103036-0.49062))+0-0-0</f>
        <v>792.01241600000014</v>
      </c>
      <c r="N35" s="3">
        <f>0+(1137.5-280.7)+(0+(0.580125-0.143157))+0-0-0</f>
        <v>857.23696799999993</v>
      </c>
      <c r="O35" s="3">
        <f>0+(1215.4-324.6)+(0+(0.619854-0.165546))+0-0-0</f>
        <v>891.25430800000004</v>
      </c>
      <c r="P35" s="3">
        <f>0+(1291.4-373.1)+(0+(-0.658614--0.190281))+0-0-0</f>
        <v>917.83166700000004</v>
      </c>
      <c r="Q35" s="3">
        <f>0+(1254.3-328.3)+(0+(1.279386-0.334866))+0-0-0</f>
        <v>926.94452000000001</v>
      </c>
      <c r="R35" s="3">
        <f>6.6+(1154.4-253.8)+(-0.006732+(-1.177488--0.258876))+0-0-0</f>
        <v>906.27465600000016</v>
      </c>
      <c r="S35" s="3">
        <f>42.9+(1070.2-230)+(0.043758+(1.091604-0.2346))+0-0-0</f>
        <v>884.00076200000001</v>
      </c>
      <c r="T35" s="3">
        <f>25.2+(1062.7-208.4)+(0.025704+(1.083954-0.212568))+0-0-0</f>
        <v>880.39709000000016</v>
      </c>
      <c r="U35" s="3">
        <f>19.1+(1061-207)+(-0.009741+(-0.54111--0.10557))+0-0-0</f>
        <v>872.654719</v>
      </c>
      <c r="V35" s="3">
        <f>0+(1011.9-155.9)+(0+(-2.064276--0.318036))+0-0-0</f>
        <v>854.25376000000006</v>
      </c>
      <c r="W35" s="3">
        <f>0+(929.7-103.4)+(0+(-2.370735--0.26367))+0-0-0</f>
        <v>824.19293500000003</v>
      </c>
      <c r="X35" s="3">
        <f>0+(864.7-66.4)+(0+(-3.086979--0.237048))+0-0-0</f>
        <v>795.4500690000001</v>
      </c>
      <c r="Y35" s="3">
        <f>0+(934.3-111)+(0+(0.476493-0.05661))+0-0-0</f>
        <v>823.71988299999998</v>
      </c>
      <c r="Z35" s="3">
        <f>0+(1032.1-116.3)+(0+(-0.526371--0.059313))+0-0-0</f>
        <v>915.332942</v>
      </c>
      <c r="AA35" s="3">
        <f>0+(1087.1-162.8)+(0+(-4.435368--0.664224))+0-0-0</f>
        <v>920.52885599999991</v>
      </c>
      <c r="AB35" s="3">
        <f>0+(1134.4-243.2)+(0+(-2.89272--0.62016))+0-0-0</f>
        <v>888.92744000000005</v>
      </c>
      <c r="AC35" s="3">
        <f>0+(1186.2-326.3)+(0+(-1.814886--0.499239))+0-0-0</f>
        <v>858.58435300000008</v>
      </c>
      <c r="AD35" s="2">
        <v>933.6</v>
      </c>
      <c r="AE35" s="3">
        <f>0+(1082.5-148.9)+(0+(0-0))+0-0-0</f>
        <v>933.6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0+(1224.8-407.5)+(0+(-2.498592--0.8313))+0-0-0</f>
        <v>815.63270799999998</v>
      </c>
      <c r="G36" s="3">
        <f>0+(1184.1-415.6)+(0+(-2.415564--0.847824))+0-0-0</f>
        <v>766.93225999999993</v>
      </c>
      <c r="H36" s="3">
        <f>0+(1205.9-449.3)+(0+(-3.075045--1.145715))+0-0-0</f>
        <v>754.67067000000009</v>
      </c>
      <c r="I36" s="3">
        <f>0+(1146.9-405.1)+(0+(1.169838-0.413202))+0-0-0</f>
        <v>742.55663600000003</v>
      </c>
      <c r="J36" s="3">
        <f>0+(1120.4-382.3)+(0+(-0.571404--0.194973))+0-0-0</f>
        <v>737.72356900000011</v>
      </c>
      <c r="K36" s="3">
        <f>0+(1101.9-371)+(0+(0-0))+0-0-0</f>
        <v>730.90000000000009</v>
      </c>
      <c r="L36" s="3">
        <f>0+(1113.3-371.1)+(0+(-0.567783--0.189261))+0-0-0</f>
        <v>741.82147799999996</v>
      </c>
      <c r="M36" s="3">
        <f>0+(1139.8-346.4)+(0+(1.162596-0.353328))+0-0-0</f>
        <v>794.20926799999995</v>
      </c>
      <c r="N36" s="3">
        <f>0+(1242.9-375)+(0+(0.633879-0.19125))+0-0-0</f>
        <v>868.3426290000001</v>
      </c>
      <c r="O36" s="3">
        <f>0+(1264.9-379.5)+(0+(0.645099-0.193545))+0-0-0</f>
        <v>885.85155400000008</v>
      </c>
      <c r="P36" s="3">
        <f>44.5+(1228.8-355.6)+(-0.068085+(-1.880064--0.544068))+0-0-0</f>
        <v>916.29591899999991</v>
      </c>
      <c r="Q36" s="3">
        <f>43.2+(1175.4-299.1)+(-0.022032+(-0.599454--0.152541))+0-0-0</f>
        <v>919.03105500000015</v>
      </c>
      <c r="R36" s="3">
        <f>53.2+(1172.5-317.6)+(-0.108528+(-2.3919--0.647904))+0-0-0</f>
        <v>906.24747600000001</v>
      </c>
      <c r="S36" s="3">
        <f>68.7+(1167.8-341.5)+(-0.070074+(-1.191156--0.34833))+0-0-0</f>
        <v>894.08709999999996</v>
      </c>
      <c r="T36" s="3">
        <f>32.9+(1145.5-296.6)+(0.033558+(1.16841-0.302532))+0-0-0</f>
        <v>882.69943599999999</v>
      </c>
      <c r="U36" s="3">
        <f>118.8+(1081-325.6)+(-0.181764+(-1.65393--0.498168))+0-0-0</f>
        <v>872.86247399999991</v>
      </c>
      <c r="V36" s="3">
        <f>23.3+(1182.4-332)+(-0.035649+(-1.809072--0.50796))+0-0-0</f>
        <v>872.36323900000002</v>
      </c>
      <c r="W36" s="3">
        <f>0+(1206.6-331.5)+(0+(-3.692196--1.01439))+0-0-0</f>
        <v>872.42219399999988</v>
      </c>
      <c r="X36" s="3">
        <f>0+(1182-326.1)+(0+(-2.41128--0.665244))+0-0-0</f>
        <v>854.15396399999997</v>
      </c>
      <c r="Y36" s="3">
        <f>0+(1150.2-283.9)+(0+(0-0))+0-0-0</f>
        <v>866.30000000000007</v>
      </c>
      <c r="Z36" s="3">
        <f>0+(1168.4-245.8)+(0+(-1.787652--0.376074))+0-0-0</f>
        <v>921.18842200000017</v>
      </c>
      <c r="AA36" s="3">
        <f>0+(1217.1-296.5)+(0+(-2.482884--0.60486))+0-0-0</f>
        <v>918.72197599999993</v>
      </c>
      <c r="AB36" s="3">
        <f>0+(1264-372.7)+(0+(0-0))+0-0-0</f>
        <v>891.3</v>
      </c>
      <c r="AC36" s="3">
        <f>0+(1228.4-364.1)+(0+(-1.252968--0.371382))+0-0-0</f>
        <v>863.4184140000001</v>
      </c>
      <c r="AD36" s="2">
        <v>927.90000000000009</v>
      </c>
      <c r="AE36" s="3">
        <f>40+(1154.2-226.3)+(0+(0-0))+0-0-0</f>
        <v>967.90000000000009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0+(1240.9-410.7)+(0+(-1.265718--0.418914))+0-0-0</f>
        <v>829.35319600000003</v>
      </c>
      <c r="G37" s="3">
        <f>0+(1225.2-440.1)+(0+(-1.249704--0.448902))+0-0-0</f>
        <v>784.29919800000005</v>
      </c>
      <c r="H37" s="3">
        <f>0+(1190.6-437.8)+(0+(-1.214412--0.446556))+0-0-0</f>
        <v>752.0321439999999</v>
      </c>
      <c r="I37" s="3">
        <f>0+(1186-448.3)+(0+(0-0))+0-0-0</f>
        <v>737.7</v>
      </c>
      <c r="J37" s="3">
        <f>0+(1137.7-399.5)+(0+(-1.160454--0.40749))+0-0-0</f>
        <v>737.44703600000003</v>
      </c>
      <c r="K37" s="3">
        <f>0+(1067.6-335)+(0+(-1.633428--0.51255))+0-0-0</f>
        <v>731.47912199999996</v>
      </c>
      <c r="L37" s="3">
        <f>0+(1059.9-354.4)+(0+(-2.702745--0.90372))+0-0-0</f>
        <v>703.70097500000008</v>
      </c>
      <c r="M37" s="3">
        <f>0+(1056.3-339.9)+(0+(0-0))+0-0-0</f>
        <v>716.4</v>
      </c>
      <c r="N37" s="3">
        <f>0+(1178.8-418.7)+(0+(0-0))+0-0-0</f>
        <v>760.09999999999991</v>
      </c>
      <c r="O37" s="3">
        <f>0+(1236.9-446.3)+(0+(0-0))+0-0-0</f>
        <v>790.60000000000014</v>
      </c>
      <c r="P37" s="3">
        <f>0+(1277.7-462.4)+(0+(-2.606508--0.943296))+0-0-0</f>
        <v>813.63678800000002</v>
      </c>
      <c r="Q37" s="3">
        <f>0+(1239.2-431.7)+(0+(0.631992-0.220167))+0-0-0</f>
        <v>807.91182500000002</v>
      </c>
      <c r="R37" s="3">
        <f>0+(1233.8-424.4)+(0+(-2.516952--0.865776))+0-0-0</f>
        <v>807.74882400000001</v>
      </c>
      <c r="S37" s="3">
        <f>0+(1227.1-422.7)+(0+(0-0))+0-0-0</f>
        <v>804.39999999999986</v>
      </c>
      <c r="T37" s="3">
        <f>0+(1207.6-409.2)+(0+(-0.615876--0.208692))+0-0-0</f>
        <v>797.99281599999983</v>
      </c>
      <c r="U37" s="3">
        <f>0+(1189.4-403.7)+(0+(-2.426376--0.823548))+0-0-0</f>
        <v>784.097172</v>
      </c>
      <c r="V37" s="3">
        <f>0+(1223.4-442.8)+(0+(-0.623934--0.225828))+0-0-0</f>
        <v>780.20189400000015</v>
      </c>
      <c r="W37" s="3">
        <f>0+(1187.7-402.1)+(0+(-2.422908--0.820284))+0-0-0</f>
        <v>783.99737600000003</v>
      </c>
      <c r="X37" s="3">
        <f>0+(1133.4-356.6)+(0+(-2.312136--0.727464))+0-0-0</f>
        <v>775.21532800000011</v>
      </c>
      <c r="Y37" s="3">
        <f>0+(1052.8-273)+(0+(-0.536928--0.13923))+0-0-0</f>
        <v>779.40230199999996</v>
      </c>
      <c r="Z37" s="3">
        <f>0+(1136.6-297.5)+(0+(-1.738998--0.455175))+0-0-0</f>
        <v>837.81617699999993</v>
      </c>
      <c r="AA37" s="3">
        <f>0+(1137-288)+(0+(-1.73961--0.44064))+0-0-0</f>
        <v>847.70102999999995</v>
      </c>
      <c r="AB37" s="3">
        <f>0+(1115-287.4)+(0+(-0.56865--0.146574))+0-0-0</f>
        <v>827.17792400000008</v>
      </c>
      <c r="AC37" s="3">
        <f>0+(1139.8-326.2)+(0+(-0.581298--0.166362))+0-0-0</f>
        <v>813.1850639999999</v>
      </c>
      <c r="AD37" s="2">
        <v>863.5</v>
      </c>
      <c r="AE37" s="3">
        <f>0+(1221.5-358)+(0+(0-0))+0-0-0</f>
        <v>863.5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0+(1059.6-278.4)+(0+(-0.540396--0.141984))+0-0-0</f>
        <v>780.80158799999992</v>
      </c>
      <c r="G38" s="3">
        <f>0+(1035.5-294.8)+(0+(-2.11242--0.601392))+0-0-0</f>
        <v>739.18897200000004</v>
      </c>
      <c r="H38" s="3">
        <f>0+(1016.6-313.6)+(0+(-0.518466--0.159936))+0-0-0</f>
        <v>702.64147000000003</v>
      </c>
      <c r="I38" s="3">
        <f>0+(1034.1-332.6)+(0+(-0.527391--0.169626))+0-0-0</f>
        <v>701.14223499999991</v>
      </c>
      <c r="J38" s="3">
        <f>0+(998.3-309)+(0+(-1.018266--0.31518))+0-0-0</f>
        <v>688.59691399999997</v>
      </c>
      <c r="K38" s="3">
        <f>0+(990.6-305.8)+(0+(-1.010412--0.311916))+0-0-0</f>
        <v>684.10150399999998</v>
      </c>
      <c r="L38" s="3">
        <f>0+(995.5-304.9)+(0+(-2.03082--0.621996))+0-0-0</f>
        <v>689.19117600000004</v>
      </c>
      <c r="M38" s="3">
        <f>0+(976.6-259.9)+(0+(0.498066-0.132549))+0-0-0</f>
        <v>717.065517</v>
      </c>
      <c r="N38" s="3">
        <f>0+(938.1-160.2)+(0+(0.478431-0.081702))+0-0-0</f>
        <v>778.29672900000014</v>
      </c>
      <c r="O38" s="3">
        <f>0+(1017.6-191.8)+(0+(-0.518976--0.097818))+0-0-0</f>
        <v>825.37884199999996</v>
      </c>
      <c r="P38" s="3">
        <f>0+(1070.1-232.1)+(0+(1.091502-0.236742))+0-0-0</f>
        <v>838.85475999999994</v>
      </c>
      <c r="Q38" s="3">
        <f>0+(1067.9-218.1)+(0+(0-0))+0-0-0</f>
        <v>849.80000000000007</v>
      </c>
      <c r="R38" s="3">
        <f>0+(1054.5-214.2)+(0+(-1.07559--0.218484))+0-0-0</f>
        <v>839.44289399999991</v>
      </c>
      <c r="S38" s="3">
        <f>0+(995.6-174.1)+(0+(-0.507756--0.088791))+0-0-0</f>
        <v>821.08103500000004</v>
      </c>
      <c r="T38" s="3">
        <f>0+(948.7-146.4)+(0+(-0.967674--0.149328))+0-0-0</f>
        <v>801.48165400000005</v>
      </c>
      <c r="U38" s="3">
        <f>0+(956.8-158.5)+(0+(-1.463904--0.242505))+0-0-0</f>
        <v>797.07860099999994</v>
      </c>
      <c r="V38" s="3">
        <f>0+(952.5-161.3)+(0+(0-0))+0-0-0</f>
        <v>791.2</v>
      </c>
      <c r="W38" s="3">
        <f>0+(946.8-159.1)+(0+(-0.482868--0.081141))+0-0-0</f>
        <v>787.29827299999988</v>
      </c>
      <c r="X38" s="3">
        <f>0+(995.2-201.4)+(0+(-1.522656--0.308142))+0-0-0</f>
        <v>792.58548600000006</v>
      </c>
      <c r="Y38" s="3">
        <f>0+(967.7-166.5)+(0+(-0.493527--0.084915))+0-0-0</f>
        <v>800.7913880000001</v>
      </c>
      <c r="Z38" s="3">
        <f>0+(1039.6-182.4)+(0+(-1.060392--0.186048))+0-0-0</f>
        <v>856.32565599999998</v>
      </c>
      <c r="AA38" s="3">
        <f>0+(1115.3-254.3)+(0+(-1.706409--0.389079))+0-0-0</f>
        <v>859.68267000000003</v>
      </c>
      <c r="AB38" s="3">
        <f>0+(1091-250.3)+(0+(-1.11282--0.255306))+0-0-0</f>
        <v>839.84248600000001</v>
      </c>
      <c r="AC38" s="3">
        <f>0+(1027.3-220.7)+(0+(1.571769-0.337671))+0-0-0</f>
        <v>807.83409799999993</v>
      </c>
      <c r="AD38" s="2">
        <v>892.60000000000014</v>
      </c>
      <c r="AE38" s="3">
        <f>0+(1081.4-188.8)+(0+(0-0))+0-0-0</f>
        <v>892.60000000000014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0+(1075.9-300.4)+(0+(0-0))+0-0-0</f>
        <v>775.50000000000011</v>
      </c>
      <c r="G39" s="3">
        <f>0+(1117.7-374.6)+(0+(-0.570027--0.191046))+0-0-0</f>
        <v>742.72101900000007</v>
      </c>
      <c r="H39" s="3">
        <f>0+(1089.7-368.5)+(0+(1.667241-0.563805))+0-0-0</f>
        <v>722.30343600000003</v>
      </c>
      <c r="I39" s="3">
        <f>0+(1050.3-351.5)+(0+(-2.142612--0.71706))+0-0-0</f>
        <v>697.37444799999992</v>
      </c>
      <c r="J39" s="3">
        <f>0+(1050.1-350.8)+(0+(-1.606653--0.536724))+0-0-0</f>
        <v>698.23007099999995</v>
      </c>
      <c r="K39" s="3">
        <f>0+(998.9-301.2)+(0+(-1.018878--0.307224))+0-0-0</f>
        <v>696.98834600000009</v>
      </c>
      <c r="L39" s="3">
        <f>0+(968.1-304.4)+(0+(-3.456117--1.086708))+0-0-0</f>
        <v>661.33059100000003</v>
      </c>
      <c r="M39" s="3">
        <f>0+(963.3-308.3)+(0+(0.491283-0.157233))+0-0-0</f>
        <v>655.33405000000005</v>
      </c>
      <c r="N39" s="3">
        <f>0+(774.5-91.6)+(0+(0.394995-0.046716))+0-0-0</f>
        <v>683.24827900000003</v>
      </c>
      <c r="O39" s="3">
        <f>0+(847.2-119.6)+(0+(-0.864144--0.121992))+0-0-0</f>
        <v>726.85784799999999</v>
      </c>
      <c r="P39" s="3">
        <f>0+(874.7-141.1)+(0+(-1.338291--0.215883))+0-0-0</f>
        <v>732.47759200000007</v>
      </c>
      <c r="Q39" s="3">
        <f>0+(858.2-120.5)+(0+(-1.750728--0.24582))+0-0-0</f>
        <v>736.19509200000005</v>
      </c>
      <c r="R39" s="3">
        <f>0+(866-130.1)+(0+(0-0))+0-0-0</f>
        <v>735.9</v>
      </c>
      <c r="S39" s="3">
        <f>0+(851.8-140.6)+(0+(-1.303254--0.215118))+0-0-0</f>
        <v>710.11186399999997</v>
      </c>
      <c r="T39" s="3">
        <f>0+(834.4-126.9)+(0+(-0.425544--0.064719))+0-0-0</f>
        <v>707.13917500000002</v>
      </c>
      <c r="U39" s="3">
        <f>0+(812.5-113.8)+(0+(-0.82875--0.116076))+0-0-0</f>
        <v>697.98732600000005</v>
      </c>
      <c r="V39" s="3">
        <f>0+(790.6-94.7)+(0+(-0.806412--0.096594))+0-0-0</f>
        <v>695.19018199999994</v>
      </c>
      <c r="W39" s="3">
        <f>0+(828.3-137.6)+(0+(-1.267299--0.210528))+0-0-0</f>
        <v>689.64322899999991</v>
      </c>
      <c r="X39" s="3">
        <f>0+(888.3-189.4)+(0+(-1.359099--0.289782))+0-0-0</f>
        <v>697.83068300000002</v>
      </c>
      <c r="Y39" s="3">
        <f>0+(897.2-174.1)+(0+(-0.915144--0.177582))+0-0-0</f>
        <v>722.362438</v>
      </c>
      <c r="Z39" s="3">
        <f>0+(942.1-141.9)+(0+(-0.480471--0.072369))+0-0-0</f>
        <v>799.79189800000006</v>
      </c>
      <c r="AA39" s="3">
        <f>0+(986.8-159.3)+(0+(-1.006536--0.162486))+0-0-0</f>
        <v>826.65594999999996</v>
      </c>
      <c r="AB39" s="3">
        <f>0+(996-192.1)+(0+(0.50796-0.097971))+0-0-0</f>
        <v>804.30998899999997</v>
      </c>
      <c r="AC39" s="3">
        <f>0+(1077.3-292.9)+(0+(-1.648269--0.448137))+0-0-0</f>
        <v>783.19986799999992</v>
      </c>
      <c r="AD39" s="2">
        <v>839.1</v>
      </c>
      <c r="AE39" s="3">
        <f>0+(994.1-155)+(0+(0-0))+0-0-0</f>
        <v>839.1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0+(1137.4-397)+(0+(-0.580074--0.20247))+0-0-0</f>
        <v>740.02239600000007</v>
      </c>
      <c r="G40" s="3">
        <f>0+(1043.3-353.1)+(0+(-1.596249--0.540243))+0-0-0</f>
        <v>689.14399399999991</v>
      </c>
      <c r="H40" s="3">
        <f>0+(1049.6-372.8)+(0+(1.070592-0.380256))+0-0-0</f>
        <v>677.49033599999996</v>
      </c>
      <c r="I40" s="3">
        <f>0+(1026.5-356.2)+(0+(0.523515-0.181662))+0-0-0</f>
        <v>670.64185299999997</v>
      </c>
      <c r="J40" s="3">
        <f>0+(1025.1-355.1)+(0+(0-0))+0-0-0</f>
        <v>669.99999999999989</v>
      </c>
      <c r="K40" s="3">
        <f>0+(994.9-317.5)+(0+(-1.522197--0.485775))+0-0-0</f>
        <v>676.36357799999996</v>
      </c>
      <c r="L40" s="3">
        <f>0+(1012.6-304.9)+(0+(-0.516426--0.155499))+0-0-0</f>
        <v>707.3390730000001</v>
      </c>
      <c r="M40" s="3">
        <f>0+(1047.6-270.6)+(0+(0.534276-0.138006))+0-0-0</f>
        <v>777.39626999999984</v>
      </c>
      <c r="N40" s="3">
        <f>0+(1015.5-166.4)+(0+(0.517905-0.084864))+0-0-0</f>
        <v>849.53304100000003</v>
      </c>
      <c r="O40" s="3">
        <f>0+(1054.9-156.8)+(0+(0-0))+0-0-0</f>
        <v>898.10000000000014</v>
      </c>
      <c r="P40" s="3">
        <f>0+(1104.6-179.3)+(0+(0-0))+0-0-0</f>
        <v>925.3</v>
      </c>
      <c r="Q40" s="3">
        <f>17.4+(1073.2-156.8)+(-0.026622+(-1.641996--0.239904))+0-0-0</f>
        <v>932.37128600000005</v>
      </c>
      <c r="R40" s="3">
        <f>124.5+(937.8-147.3)+(-0.25398+(-1.913112--0.300492))+0-0-0</f>
        <v>913.13340000000005</v>
      </c>
      <c r="S40" s="3">
        <f>124.5+(897.1-131.5)+(-0.12699+(-0.915042--0.13413))+0-0-0</f>
        <v>889.19209799999999</v>
      </c>
      <c r="T40" s="3">
        <f>124.5+(886-114)+(0+(0-0))+0-0-0</f>
        <v>896.5</v>
      </c>
      <c r="U40" s="3">
        <f>116+(869.6-106.8)+(-0.11832+(-0.886992--0.108936))+0-0-0</f>
        <v>877.90362400000004</v>
      </c>
      <c r="V40" s="3">
        <f>125.8+(846.1-105.9)+(-0.128316+(-0.863022--0.108018))+0-0-0</f>
        <v>865.11667999999997</v>
      </c>
      <c r="W40" s="3">
        <f>67.9+(885.4-98.3)+(-0.069258+(-0.903108--0.100266))+0-0-0</f>
        <v>854.12789999999995</v>
      </c>
      <c r="X40" s="3">
        <f>59.1+(927.6-151.7)+(-0.090423+(-1.419228--0.232101))+0-0-0</f>
        <v>833.72245000000009</v>
      </c>
      <c r="Y40" s="3">
        <f>0+(1045.8-202.8)+(0+(-1.600074--0.310284))+0-0-0</f>
        <v>841.71020999999996</v>
      </c>
      <c r="Z40" s="3">
        <f>0+(1030.4-104.9)+(0+(-2.102016--0.213996))+0-0-0</f>
        <v>923.61198000000013</v>
      </c>
      <c r="AA40" s="3">
        <f>0+(1093-159.2)+(0+(-1.11486--0.162384))+0-0-0</f>
        <v>932.84752399999991</v>
      </c>
      <c r="AB40" s="3">
        <f>0+(1110.5-209.8)+(0+(-1.699065--0.320994))+0-0-0</f>
        <v>899.32192900000007</v>
      </c>
      <c r="AC40" s="3">
        <f>0+(1181.9-318.5)+(0+(-2.411076--0.64974))+0-0-0</f>
        <v>861.63866400000006</v>
      </c>
      <c r="AD40" s="2">
        <v>940.49999999999989</v>
      </c>
      <c r="AE40" s="3">
        <f>0+(1067.1-126.6)+(0+(0-0))+0-0-0</f>
        <v>940.49999999999989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0+(1242.4-413.8)+(0+(-1.900872--0.633114))+0-0-0</f>
        <v>827.33224200000018</v>
      </c>
      <c r="G41" s="3">
        <f>0+(1145.5-363.9)+(0+(-1.752615--0.556767))+0-0-0</f>
        <v>780.40415200000007</v>
      </c>
      <c r="H41" s="3">
        <f>0+(1104.8-349.6)+(0+(0.563448-0.178296))+0-0-0</f>
        <v>755.58515199999988</v>
      </c>
      <c r="I41" s="3">
        <f>0+(1129.3-368.3)+(0+(1.151886-0.375666))+0-0-0</f>
        <v>761.77621999999997</v>
      </c>
      <c r="J41" s="3">
        <f>0+(1112.9-355.4)+(0+(-0.567579--0.181254))+0-0-0</f>
        <v>757.11367500000006</v>
      </c>
      <c r="K41" s="3">
        <f>0+(1115.7-346.9)+(0+(-2.276028--0.707676))+0-0-0</f>
        <v>767.23164800000006</v>
      </c>
      <c r="L41" s="3">
        <f>0+(1084.5-324.8)+(0+(-1.659285--0.496944))+0-0-0</f>
        <v>758.53765900000008</v>
      </c>
      <c r="M41" s="3">
        <f>0+(1062-259.8)+(0+(0-0))+0-0-0</f>
        <v>802.2</v>
      </c>
      <c r="N41" s="3">
        <f>0+(1110.4-247.3)+(0+(0.566304-0.126123))+0-0-0</f>
        <v>863.54018100000019</v>
      </c>
      <c r="O41" s="3">
        <f>0+(1051.6-134.9)+(0+(0.536316-0.068799))+0-0-0</f>
        <v>917.16751699999998</v>
      </c>
      <c r="P41" s="3">
        <f>0+(1039.8-105.8)+(0+(-0.530298--0.053958))+0-0-0</f>
        <v>933.52365999999995</v>
      </c>
      <c r="Q41" s="3">
        <f>15.2+(983.7-84.5)+(-0.023256+(-1.505061--0.129285))+0-0-0</f>
        <v>913.00096800000006</v>
      </c>
      <c r="R41" s="3">
        <f>84.2+(927.3-124.7)+(-0.085884+(-0.945846--0.127194))+0-0-0</f>
        <v>885.89546399999995</v>
      </c>
      <c r="S41" s="3">
        <f>122.6+(908.4-163.4)+(-0.250104+(-1.853136--0.333336))+0-0-0</f>
        <v>865.83009600000003</v>
      </c>
      <c r="T41" s="3">
        <f>121.8+(941.4-195.5)+(-0.062118+(-0.480114--0.099705))+0-0-0</f>
        <v>867.25747299999989</v>
      </c>
      <c r="U41" s="3">
        <f>122.7+(928.2-193.5)+(-0.250308+(-1.893528--0.39474))+0-0-0</f>
        <v>855.65090400000008</v>
      </c>
      <c r="V41" s="3">
        <f>79.4+(952.1-190.2)+(-0.080988+(-0.971142--0.194004))+0-0-0</f>
        <v>840.4418740000001</v>
      </c>
      <c r="W41" s="3">
        <f>23+(984.8-163.4)+(-0.05865+(-2.51124--0.41667))+0-0-0</f>
        <v>842.24677999999994</v>
      </c>
      <c r="X41" s="3">
        <f>0+(1058.8-241.3)+(0+(-4.859892--1.107567))+0-0-0</f>
        <v>813.74767499999996</v>
      </c>
      <c r="Y41" s="3">
        <f>0+(1075.3-258.7)+(0+(0-0))+0-0-0</f>
        <v>816.59999999999991</v>
      </c>
      <c r="Z41" s="3">
        <f>0+(1099-206.3)+(0+(-0.56049--0.105213))+0-0-0</f>
        <v>892.24472300000002</v>
      </c>
      <c r="AA41" s="3">
        <f>0+(1105-199.6)+(0+(-3.3813--0.610776))+0-0-0</f>
        <v>902.62947599999995</v>
      </c>
      <c r="AB41" s="3">
        <f>0+(1124.3-238.6)+(0+(0-0))+0-0-0</f>
        <v>885.69999999999993</v>
      </c>
      <c r="AC41" s="3">
        <f>0+(1173.1-329.4)+(0+(0-0))+0-0-0</f>
        <v>843.69999999999993</v>
      </c>
      <c r="AD41" s="2">
        <v>944.49999999999989</v>
      </c>
      <c r="AE41" s="3">
        <f>0+(1115.1-170.6)+(0+(0-0))+0-0-0</f>
        <v>944.49999999999989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0+(1181.2-343.4)+(0+(-1.204824--0.350268))+0-0-0</f>
        <v>836.94544400000007</v>
      </c>
      <c r="G42" s="3">
        <f>0+(1202.5-414.9)+(0+(-1.22655--0.423198))+0-0-0</f>
        <v>786.796648</v>
      </c>
      <c r="H42" s="3">
        <f>0+(1185.5-416)+(0+(0-0))+0-0-0</f>
        <v>769.5</v>
      </c>
      <c r="I42" s="3">
        <f>0+(1176.4-421.8)+(0+(1.199928-0.430236))+0-0-0</f>
        <v>755.3696920000001</v>
      </c>
      <c r="J42" s="3">
        <f>0+(1133.5-389.2)+(0+(-1.15617--0.396984))+0-0-0</f>
        <v>743.54081399999995</v>
      </c>
      <c r="K42" s="3">
        <f>0+(1135.4-377.7)+(0+(-0.579054--0.192627))+0-0-0</f>
        <v>757.31357300000002</v>
      </c>
      <c r="L42" s="3">
        <f>0+(1092.9-338.2)+(0+(-2.786895--0.86241))+0-0-0</f>
        <v>752.77551500000004</v>
      </c>
      <c r="M42" s="3">
        <f>0+(1014.2-209.6)+(0+(1.551726-0.320688))+0-0-0</f>
        <v>805.83103800000004</v>
      </c>
      <c r="N42" s="3">
        <f>0+(909.4-48.2)+(0+(0-0))+0-0-0</f>
        <v>861.19999999999993</v>
      </c>
      <c r="O42" s="3">
        <f>0+(943.6-51)+(0+(0.481236-0.02601))+0-0-0</f>
        <v>893.05522600000006</v>
      </c>
      <c r="P42" s="3">
        <f>0+(973-79.2)+(0+(-0.49623--0.040392))+0-0-0</f>
        <v>893.34416199999998</v>
      </c>
      <c r="Q42" s="3">
        <f>0+(979.4-74.8)+(0+(-2.49747--0.19074))+0-0-0</f>
        <v>902.29327000000001</v>
      </c>
      <c r="R42" s="3">
        <f>0+(976.3-105.2)+(0+(-1.991652--0.214608))+0-0-0</f>
        <v>869.32295599999986</v>
      </c>
      <c r="S42" s="3">
        <f>0+(978.9-122.8)+(0+(-1.497717--0.187884))+0-0-0</f>
        <v>854.790167</v>
      </c>
      <c r="T42" s="3">
        <f>0+(1007.7-154.2)+(0+(1.541781-0.235926))+0-0-0</f>
        <v>854.80585499999995</v>
      </c>
      <c r="U42" s="3">
        <f>0+(1013.7-174.9)+(0+(-2.584935--0.445995))+0-0-0</f>
        <v>836.66106000000002</v>
      </c>
      <c r="V42" s="3">
        <f>0+(1033.7-187.5)+(0+(-1.054374--0.19125))+0-0-0</f>
        <v>845.33687600000007</v>
      </c>
      <c r="W42" s="3">
        <f>0+(1014.7-183.8)+(0+(-2.587485--0.46869))+0-0-0</f>
        <v>828.78120500000011</v>
      </c>
      <c r="X42" s="3">
        <f>0+(1014.6-183.8)+(0+(-2.58723--0.46869))+0-0-0</f>
        <v>828.6814599999999</v>
      </c>
      <c r="Y42" s="3">
        <f>0+(1058.4-249.4)+(0+(-2.69892--0.63597))+0-0-0</f>
        <v>806.93705000000011</v>
      </c>
      <c r="Z42" s="3">
        <f>0+(1123.5-246.8)+(0+(-1.718955--0.377604))+0-0-0</f>
        <v>875.35864900000001</v>
      </c>
      <c r="AA42" s="3">
        <f>0+(1118.6-217.8)+(0+(-1.711458--0.333234))+0-0-0</f>
        <v>899.42177599999991</v>
      </c>
      <c r="AB42" s="3">
        <f>0+(1122.9-245.6)+(0+(1.718037-0.375768))+0-0-0</f>
        <v>878.64226900000006</v>
      </c>
      <c r="AC42" s="3">
        <f>0+(1163.9-308.4)+(0+(-2.967945--0.78642))+0-0-0</f>
        <v>853.31847500000015</v>
      </c>
      <c r="AD42" s="2">
        <v>915.09999999999991</v>
      </c>
      <c r="AE42" s="3">
        <f>0+(1148.8-233.7)+(0+(0-0))+0-0-0</f>
        <v>915.09999999999991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0+(1170.3-358.6)+(0+(-1.790559--0.548658))+0-0-0</f>
        <v>810.45809899999995</v>
      </c>
      <c r="G43" s="3">
        <f>0+(1201.9-415.6)+(0+(-2.451876--0.847824))+0-0-0</f>
        <v>784.69594800000004</v>
      </c>
      <c r="H43" s="3">
        <f>0+(1169.2-407.4)+(0+(-1.788876--0.623322))+0-0-0</f>
        <v>760.63444600000003</v>
      </c>
      <c r="I43" s="3">
        <f>0+(1123.7-380.4)+(0+(-2.865435--0.97002))+0-0-0</f>
        <v>741.40458500000011</v>
      </c>
      <c r="J43" s="3">
        <f>0+(1101-356.7)+(0+(0.56151-0.181917))+0-0-0</f>
        <v>744.67959299999995</v>
      </c>
      <c r="K43" s="3">
        <f>0+(1078.7-334.5)+(0+(-2.200548--0.68238))+0-0-0</f>
        <v>742.6818320000001</v>
      </c>
      <c r="L43" s="3">
        <f>0+(1019.2-259.7)+(0+(1.039584-0.264894))+0-0-0</f>
        <v>760.27468999999996</v>
      </c>
      <c r="M43" s="3">
        <f>0+(871.4-59.2)+(0+(0-0))+0-0-0</f>
        <v>812.19999999999993</v>
      </c>
      <c r="N43" s="3">
        <f>0+(957.2-88.8)+(0+(0.976344-0.090576))+0-0-0</f>
        <v>869.28576800000008</v>
      </c>
      <c r="O43" s="3">
        <f>0+(1033.8-87.1)+(0+(0-0))+0-0-0</f>
        <v>946.69999999999993</v>
      </c>
      <c r="P43" s="3">
        <f>0+(1005.3-79)+(0+(-0.512703--0.04029))+0-0-0</f>
        <v>925.82758699999999</v>
      </c>
      <c r="Q43" s="3">
        <f>0+(1008.7-74.1)+(0+(0.514437-0.037791))+0-0-0</f>
        <v>935.07664599999998</v>
      </c>
      <c r="R43" s="3">
        <f>0+(992.3-93.4)+(0+(-2.024292--0.190536))+0-0-0</f>
        <v>897.06624399999998</v>
      </c>
      <c r="S43" s="3">
        <f>0+(989.6-113.1)+(0+(-1.009392--0.115362))+0-0-0</f>
        <v>875.60596999999996</v>
      </c>
      <c r="T43" s="3">
        <f>0+(1003-119.5)+(0+(-1.02306--0.12189))+0-0-0</f>
        <v>882.59883000000002</v>
      </c>
      <c r="U43" s="3">
        <f>0+(1013.8-127.5)+(0+(-3.102228--0.39015))+0-0-0</f>
        <v>883.58792199999993</v>
      </c>
      <c r="V43" s="3">
        <f>0+(1012.3-133.9)+(0+(-2.065092--0.273156))+0-0-0</f>
        <v>876.60806400000001</v>
      </c>
      <c r="W43" s="3">
        <f>0+(963.5-93.6)+(0+(-1.474155--0.143208))+0-0-0</f>
        <v>868.56905299999994</v>
      </c>
      <c r="X43" s="3">
        <f>0+(1028.1-166.8)+(0+(-2.097324--0.340272))+0-0-0</f>
        <v>859.54294799999991</v>
      </c>
      <c r="Y43" s="3">
        <f>0+(1207.9-359.1)+(0+(-0.616029--0.183141))+0-0-0</f>
        <v>848.36711200000002</v>
      </c>
      <c r="Z43" s="3">
        <f>0+(1205.6-280.5)+(0+(-1.229712--0.28611))+0-0-0</f>
        <v>924.15639799999985</v>
      </c>
      <c r="AA43" s="3">
        <f>0+(1201-280.6)+(0+(-2.45004--0.572424))+0-0-0</f>
        <v>918.52238399999999</v>
      </c>
      <c r="AB43" s="3">
        <f>0+(1256.8-363.8)+(0+(-1.922904--0.556614))+0-0-0</f>
        <v>891.63370999999995</v>
      </c>
      <c r="AC43" s="3">
        <f>0+(1225-357.6)+(0+(-3.12375--0.91188))+0-0-0</f>
        <v>865.18813</v>
      </c>
      <c r="AD43" s="2">
        <v>935.89999999999986</v>
      </c>
      <c r="AE43" s="3">
        <f>0+(1215.6-279.7)+(0+(0-0))+0-0-0</f>
        <v>935.89999999999986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0+(1170-356)+(0+(-1.1934--0.36312))+0-0-0</f>
        <v>813.16971999999998</v>
      </c>
      <c r="G44" s="3">
        <f>0+(1134.3-351.6)+(0+(0-0))+0-0-0</f>
        <v>782.69999999999993</v>
      </c>
      <c r="H44" s="3">
        <f>0+(1123.3-360.3)+(0+(-2.864415--0.918765))+0-0-0</f>
        <v>761.05435</v>
      </c>
      <c r="I44" s="3">
        <f>0+(1171.8-399)+(0+(0-0))+0-0-0</f>
        <v>772.8</v>
      </c>
      <c r="J44" s="3">
        <f>0+(1147.6-382.1)+(0+(-2.341104--0.779484))+0-0-0</f>
        <v>763.93837999999994</v>
      </c>
      <c r="K44" s="3">
        <f>0+(1140.9-381.7)+(0+(-2.909295--0.973335))+0-0-0</f>
        <v>757.26404000000002</v>
      </c>
      <c r="L44" s="3">
        <f>0+(1140.9-381.7)+(0+(-2.909295--0.973335))+0-0-0</f>
        <v>757.26404000000002</v>
      </c>
      <c r="M44" s="3">
        <f>0+(1126.4-367.6)+(0+(-4.021248--1.312332))+0-0-0</f>
        <v>756.09108400000002</v>
      </c>
      <c r="N44" s="3">
        <f>0+(1164-354.1)+(0+(0.59364-0.180591))+0-0-0</f>
        <v>810.31304899999998</v>
      </c>
      <c r="O44" s="3">
        <f>0+(926.5-68.4)+(0+(0.472515-0.034884))+0-0-0</f>
        <v>858.53763100000003</v>
      </c>
      <c r="P44" s="3">
        <f>0+(939.9-63.1)+(0+(0-0))+0-0-0</f>
        <v>876.8</v>
      </c>
      <c r="Q44" s="3">
        <f>0+(963.7-42.5)+(0+(0.491487-0.021675))+0-0-0</f>
        <v>921.66981200000009</v>
      </c>
      <c r="R44" s="3">
        <f>0+(942.2-38.9)+(0+(-1.441566--0.059517))+0-0-0</f>
        <v>901.91795100000002</v>
      </c>
      <c r="S44" s="3">
        <f>0+(935.1-52.9)+(0+(0-0))+0-0-0</f>
        <v>882.2</v>
      </c>
      <c r="T44" s="3">
        <f>0+(962.9-74.2)+(0+(-1.964316--0.151368))+0-0-0</f>
        <v>886.88705199999993</v>
      </c>
      <c r="U44" s="3">
        <f>0+(953.9-79.6)+(0+(-1.945956--0.162384))+0-0-0</f>
        <v>872.51642799999991</v>
      </c>
      <c r="V44" s="3">
        <f>0+(958.3-84.3)+(0+(-1.954932--0.171972))+0-0-0</f>
        <v>872.21704</v>
      </c>
      <c r="W44" s="3">
        <f>0+(965.5-91.8)+(0+(-3.93924--0.374544))+0-0-0</f>
        <v>870.13530400000002</v>
      </c>
      <c r="X44" s="3">
        <f>0+(995.8-122.3)+(0+(-4.570722--0.561357))+0-0-0</f>
        <v>869.490635</v>
      </c>
      <c r="Y44" s="3">
        <f>0+(1084.1-206.1)+(0+(0-0))+0-0-0</f>
        <v>877.99999999999989</v>
      </c>
      <c r="Z44" s="3">
        <f>0+(1084.7-161.5)+(0+(1.106394-0.16473))+0-0-0</f>
        <v>924.14166399999999</v>
      </c>
      <c r="AA44" s="3">
        <f>0+(1061.4-150.7)+(0+(-3.789198--0.537999))+0-0-0</f>
        <v>907.448801</v>
      </c>
      <c r="AB44" s="3">
        <f>0+(1121.6-238.9)+(0+(-1.144032--0.243678))+0-0-0</f>
        <v>881.79964599999994</v>
      </c>
      <c r="AC44" s="3">
        <f>0+(1162.6-309.9)+(0+(-2.371704--0.632196))+0-0-0</f>
        <v>850.96049199999993</v>
      </c>
      <c r="AD44" s="2">
        <v>924.1</v>
      </c>
      <c r="AE44" s="3">
        <f>0+(1041.5-117.4)+(0+(0-0))+0-0-0</f>
        <v>924.1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0+(1137.9-326.3)+(0+(-0.580329--0.166413))+0-0-0</f>
        <v>811.18608400000016</v>
      </c>
      <c r="G45" s="3">
        <f>0+(1101.2-330.7)+(0+(-1.123224--0.337314))+0-0-0</f>
        <v>769.71409000000006</v>
      </c>
      <c r="H45" s="3">
        <f>0+(1102.4-343.9)+(0+(-2.81112--0.876945))+0-0-0</f>
        <v>756.56582500000013</v>
      </c>
      <c r="I45" s="3">
        <f>0+(1092.9-344.3)+(0+(-0.557379--0.175593))+0-0-0</f>
        <v>748.2182140000001</v>
      </c>
      <c r="J45" s="3">
        <f>0+(1092.9-344)+(0+(-1.114758--0.35088))+0-0-0</f>
        <v>748.13612200000011</v>
      </c>
      <c r="K45" s="3">
        <f>0+(1081.7-341.4)+(0+(-2.206668--0.696456))+0-0-0</f>
        <v>738.78978800000004</v>
      </c>
      <c r="L45" s="3">
        <f>0+(1074.1-335.8)+(0+(-1.095582--0.342516))+0-0-0</f>
        <v>737.54693399999996</v>
      </c>
      <c r="M45" s="3">
        <f>0+(1066.3-294.1)+(0+(-0.543813--0.149991))+0-0-0</f>
        <v>771.80617799999993</v>
      </c>
      <c r="N45" s="3">
        <f>0+(1147-261.6)+(0+(0-0))+0-0-0</f>
        <v>885.4</v>
      </c>
      <c r="O45" s="3">
        <f>0+(1121.1-245.3)+(0+(0.571761-0.125103))+0-0-0</f>
        <v>876.24665799999991</v>
      </c>
      <c r="P45" s="3">
        <f>0+(1130.7-238.6)+(0+(1.729971-0.365058))+0-0-0</f>
        <v>893.46491300000002</v>
      </c>
      <c r="Q45" s="3">
        <f>0+(1119.6-227.3)+(0+(-0.570996--0.115923))+0-0-0</f>
        <v>891.84492699999998</v>
      </c>
      <c r="R45" s="3">
        <f>0+(1142.8-254.6)+(0+(-1.165656--0.259692))+0-0-0</f>
        <v>887.29403599999989</v>
      </c>
      <c r="S45" s="3">
        <f>0+(1175.2-311.2)+(0+(-1.798056--0.476136))+0-0-0</f>
        <v>862.67808000000002</v>
      </c>
      <c r="T45" s="3">
        <f>0+(1189.4-335.6)+(0+(-1.819782--0.513468))+0-0-0</f>
        <v>852.49368600000003</v>
      </c>
      <c r="U45" s="3">
        <f>0+(1222-378.8)+(0+(-1.24644--0.386376))+0-0-0</f>
        <v>842.33993600000008</v>
      </c>
      <c r="V45" s="3">
        <f>0+(1223.8-378.7)+(0+(-3.744828--1.158822))+0-0-0</f>
        <v>842.51399399999991</v>
      </c>
      <c r="W45" s="3">
        <f>0+(1085.9-277.6)+(0+(-1.661427--0.424728))+0-0-0</f>
        <v>807.06330100000002</v>
      </c>
      <c r="X45" s="3">
        <f>0+(989.2-268.1)+(0+(-0.504492--0.136731))+0-0-0</f>
        <v>720.73223900000005</v>
      </c>
      <c r="Y45" s="3">
        <f>0+(1024.1-254.7)+(0+(0.522291-0.129897))+0-0-0</f>
        <v>769.79239399999983</v>
      </c>
      <c r="Z45" s="3">
        <f>0+(1073.3-236.9)+(0+(-1.094766--0.241638))+0-0-0</f>
        <v>835.54687200000001</v>
      </c>
      <c r="AA45" s="3">
        <f>0+(1116.6-288.7)+(0+(-1.708398--0.441711))+0-0-0</f>
        <v>826.63331299999982</v>
      </c>
      <c r="AB45" s="3">
        <f>0+(1108.1-297.1)+(0+(-3.390786--0.909126))+0-0-0</f>
        <v>808.51833999999985</v>
      </c>
      <c r="AC45" s="3">
        <f>0+(1085.4-302.7)+(0+(-1.107108--0.308754))+0-0-0</f>
        <v>781.90164600000003</v>
      </c>
      <c r="AD45" s="2">
        <v>836.19999999999993</v>
      </c>
      <c r="AE45" s="3">
        <f>0+(1139.1-302.9)+(0+(0-0))+0-0-0</f>
        <v>836.19999999999993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0+(1103.1-355.3)+(0+(-2.250324--0.724812))+0-0-0</f>
        <v>746.27448799999991</v>
      </c>
      <c r="G46" s="3">
        <f>0+(1061.7-347.1)+(0+(-1.082934--0.354042))+0-0-0</f>
        <v>713.87110800000005</v>
      </c>
      <c r="H46" s="3">
        <f>0+(1000.5-297)+(0+(-0.510255--0.15147))+0-0-0</f>
        <v>703.14121499999999</v>
      </c>
      <c r="I46" s="3">
        <f>0+(940.2-258.6)+(0+(1.918008-0.527544))+0-0-0</f>
        <v>682.99046399999997</v>
      </c>
      <c r="J46" s="3">
        <f>0+(949.7-271.3)+(0+(0-0))+0-0-0</f>
        <v>678.40000000000009</v>
      </c>
      <c r="K46" s="3">
        <f>0+(947.7-276.3)+(0+(-1.449981--0.422739))+0-0-0</f>
        <v>670.37275800000009</v>
      </c>
      <c r="L46" s="3">
        <f>0+(985.8-338.1)+(0+(-1.005516--0.344862))+0-0-0</f>
        <v>647.03934599999991</v>
      </c>
      <c r="M46" s="3">
        <f>0+(982.5-334.3)+(0+(-1.00215--0.340986))+0-0-0</f>
        <v>647.53883600000006</v>
      </c>
      <c r="N46" s="3">
        <f>0+(954.7-318.7)+(0+(-0.486897--0.162537))+0-0-0</f>
        <v>635.67564000000004</v>
      </c>
      <c r="O46" s="3">
        <f>0+(941.9-245.1)+(0+(0-0))+0-0-0</f>
        <v>696.8</v>
      </c>
      <c r="P46" s="3">
        <f>0+(900.1-180.5)+(0+(0-0))+0-0-0</f>
        <v>719.6</v>
      </c>
      <c r="Q46" s="3">
        <f>0+(930.6-191.8)+(0+(-1.423818--0.293454))+0-0-0</f>
        <v>737.66963599999997</v>
      </c>
      <c r="R46" s="3">
        <f>0+(1003.5-266.5)+(0+(-0.511785--0.135915))+0-0-0</f>
        <v>736.62413000000004</v>
      </c>
      <c r="S46" s="3">
        <f>0+(1007.2-288.4)+(0+(0-0))+0-0-0</f>
        <v>718.80000000000007</v>
      </c>
      <c r="T46" s="3">
        <f>0+(1064.5-359.3)+(0+(-2.714475--0.916215))+0-0-0</f>
        <v>703.40174000000002</v>
      </c>
      <c r="U46" s="3">
        <f>0+(1064.1-378.4)+(0+(-1.628073--0.578952))+0-0-0</f>
        <v>684.65087899999992</v>
      </c>
      <c r="V46" s="3">
        <f>0+(1052.8-370.5)+(0+(-2.68464--0.944775))+0-0-0</f>
        <v>680.56013499999995</v>
      </c>
      <c r="W46" s="3">
        <f>0+(980.2-287)+(0+(-0.999804--0.29274))+0-0-0</f>
        <v>692.4929360000001</v>
      </c>
      <c r="X46" s="3">
        <f>0+(965.2-277)+(0+(-1.476756--0.42381))+0-0-0</f>
        <v>687.14705400000003</v>
      </c>
      <c r="Y46" s="3">
        <f>0+(972.5-272.7)+(0+(-0.495975--0.139077))+0-0-0</f>
        <v>699.44310199999995</v>
      </c>
      <c r="Z46" s="3">
        <f>0+(1003.9-223.8)+(0+(0-0))+0-0-0</f>
        <v>780.09999999999991</v>
      </c>
      <c r="AA46" s="3">
        <f>0+(990.4-187.5)+(0+(-2.020416--0.3825))+0-0-0</f>
        <v>801.26208399999996</v>
      </c>
      <c r="AB46" s="3">
        <f>0+(1034.5-249.4)+(0+(-2.11038--0.508776))+0-0-0</f>
        <v>783.49839600000007</v>
      </c>
      <c r="AC46" s="3">
        <f>0+(1064.5-314.3)+(0+(-1.628685--0.480879))+0-0-0</f>
        <v>749.0521940000001</v>
      </c>
      <c r="AD46" s="2">
        <v>796.40000000000009</v>
      </c>
      <c r="AE46" s="3">
        <f>0+(988.2-191.8)+(0+(0-0))+0-0-0</f>
        <v>796.40000000000009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0+(1080.7-363)+(0+(-0.551157--0.18513))+0-0-0</f>
        <v>717.33397300000001</v>
      </c>
      <c r="G47" s="3">
        <f>0+(1047.3-367.9)+(0+(-1.602369--0.562887))+0-0-0</f>
        <v>678.36051799999996</v>
      </c>
      <c r="H47" s="3">
        <f>0+(1055.5-391.3)+(0+(-1.07661--0.399126))+0-0-0</f>
        <v>663.522516</v>
      </c>
      <c r="I47" s="3">
        <f>0+(1054.8-397.8)+(0+(-2.68974--1.01439))+0-0-0</f>
        <v>655.32465000000002</v>
      </c>
      <c r="J47" s="3">
        <f>0+(1037.7-376)+(0+(-2.646135--0.9588))+0-0-0</f>
        <v>660.01266500000008</v>
      </c>
      <c r="K47" s="3">
        <f>0+(1035.8-369.3)+(0+(-1.584774--0.565029))+0-0-0</f>
        <v>665.48025500000006</v>
      </c>
      <c r="L47" s="3">
        <f>0+(1047.4-354.4)+(0+(-3.205044--1.084464))+0-0-0</f>
        <v>690.8794200000001</v>
      </c>
      <c r="M47" s="3">
        <f>0+(1070.1-323)+(0+(-0.545751--0.16473))+0-0-0</f>
        <v>746.71897899999988</v>
      </c>
      <c r="N47" s="3">
        <f>0+(1188.8-372)+(0+(3.03144-0.9486))+0-0-0</f>
        <v>818.88283999999999</v>
      </c>
      <c r="O47" s="3">
        <f>0+(1145.3-277.1)+(0+(-1.168206--0.282642))+0-0-0</f>
        <v>867.31443599999989</v>
      </c>
      <c r="P47" s="3">
        <f>0+(1124.8-242.1)+(0+(-1.147296--0.246942))+0-0-0</f>
        <v>881.79964599999994</v>
      </c>
      <c r="Q47" s="3">
        <f>0+(1083.4-212.1)+(0+(-2.210136--0.432684))+0-0-0</f>
        <v>869.52254800000003</v>
      </c>
      <c r="R47" s="3">
        <f>0+(1058.4-170.2)+(0+(0.539784-0.086802))+0-0-0</f>
        <v>888.65298200000007</v>
      </c>
      <c r="S47" s="3">
        <f>0+(1067-210.1)+(0+(-1.63251--0.321453))+0-0-0</f>
        <v>855.58894299999997</v>
      </c>
      <c r="T47" s="3">
        <f>0+(1095.3-236.4)+(0+(0.558603-0.120564))+0-0-0</f>
        <v>859.33803899999998</v>
      </c>
      <c r="U47" s="3">
        <f>0+(1077.3-230.2)+(0+(0.549423-0.117402))+0-0-0</f>
        <v>847.53202099999987</v>
      </c>
      <c r="V47" s="3">
        <f>0+(1077.8-223.3)+(0+(-2.198712--0.455532))+0-0-0</f>
        <v>852.75681999999995</v>
      </c>
      <c r="W47" s="3">
        <f>0+(1107.4-263.4)+(0+(-3.388644--0.806004))+0-0-0</f>
        <v>841.41736000000014</v>
      </c>
      <c r="X47" s="3">
        <f>0+(1040.9-206.1)+(0+(-3.716013--0.735777))+0-0-0</f>
        <v>831.81976400000008</v>
      </c>
      <c r="Y47" s="3">
        <f>0+(1041-199.9)+(0+(-2.12364--0.407796))+0-0-0</f>
        <v>839.38415600000008</v>
      </c>
      <c r="Z47" s="3">
        <f>0+(1061.9-171.7)+(0+(-1.083138--0.175134))+0-0-0</f>
        <v>889.29199600000004</v>
      </c>
      <c r="AA47" s="3">
        <f>0+(1070.3-164.7)+(0+(-3.275118--0.503982))+0-0-0</f>
        <v>902.82886399999995</v>
      </c>
      <c r="AB47" s="3">
        <f>0+(1120.3-250.5)+(0+(-2.285412--0.51102))+0-0-0</f>
        <v>868.02560799999992</v>
      </c>
      <c r="AC47" s="3">
        <f>0+(1162.1-324.1)+(0+(-1.185342--0.330582))+0-0-0</f>
        <v>837.14523999999983</v>
      </c>
      <c r="AD47" s="2">
        <v>910.09999999999991</v>
      </c>
      <c r="AE47" s="3">
        <f>0+(1059.8-149.7)+(0+(0-0))+0-0-0</f>
        <v>910.09999999999991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0+(1138.7-348.9)+(0+(-1.742211--0.533817))+0-0-0</f>
        <v>788.59160600000007</v>
      </c>
      <c r="G48" s="3">
        <f>0+(1085-331.4)+(0+(-1.66005--0.507042))+0-0-0</f>
        <v>752.44699200000002</v>
      </c>
      <c r="H48" s="3">
        <f>0+(1086.7-349.7)+(0+(0-0))+0-0-0</f>
        <v>737</v>
      </c>
      <c r="I48" s="3">
        <f>0+(1127.7-384.9)+(0+(-1.150254--0.392598))+0-0-0</f>
        <v>742.04234400000007</v>
      </c>
      <c r="J48" s="3">
        <f>0+(1107.5-378.2)+(0+(-1.694475--0.578646))+0-0-0</f>
        <v>728.18417099999999</v>
      </c>
      <c r="K48" s="3">
        <f>0+(1064.2-333.1)+(0+(-2.71371--0.849405))+2.4-0-0</f>
        <v>731.63569500000006</v>
      </c>
      <c r="L48" s="3">
        <f>0+(1046.8-314.6)+(0+(0-0))+1.5-0-0</f>
        <v>733.69999999999993</v>
      </c>
      <c r="M48" s="3">
        <f>0+(1166.2-381.1)+(0+(-0.594762--0.194361))+0-0-0</f>
        <v>784.69959900000003</v>
      </c>
      <c r="N48" s="3">
        <f>0+(1173.8-333.7)+(0+(0-0))+0-0-0</f>
        <v>840.09999999999991</v>
      </c>
      <c r="O48" s="3">
        <f>0+(1202.4-320.4)+(0+(-0.613224--0.163404))+0-0-0</f>
        <v>881.55018000000007</v>
      </c>
      <c r="P48" s="3">
        <f>0+(1178.2-282.3)+(0+(-0.600882--0.143973))+0-0-0</f>
        <v>895.44309100000009</v>
      </c>
      <c r="Q48" s="3">
        <f>0+(1169-263)+(0+(-0.59619--0.13413))+0-0-0</f>
        <v>905.53794000000005</v>
      </c>
      <c r="R48" s="3">
        <f>0+(1165.4-269.6)+(0+(0-0))+0-0-0</f>
        <v>895.80000000000007</v>
      </c>
      <c r="S48" s="3">
        <f>0+(1146.4-275.6)+(0+(-2.338656--0.562224))+0-0-0</f>
        <v>869.02356800000007</v>
      </c>
      <c r="T48" s="3">
        <f>0+(1147.3-277.8)+(0+(-0.585123--0.141678))+0-0-0</f>
        <v>869.056555</v>
      </c>
      <c r="U48" s="3">
        <f>0+(1143.7-279.5)+(0+(-1.166574--0.28509))+0-0-0</f>
        <v>863.31851600000005</v>
      </c>
      <c r="V48" s="3">
        <f>0+(1113.9-253.1)+(0+(-2.840445--0.645405))+0-0-0</f>
        <v>858.60496000000012</v>
      </c>
      <c r="W48" s="3">
        <f>0+(1143.7-287.3)+(0+(-1.166574--0.293046))+0-0-0</f>
        <v>855.52647200000013</v>
      </c>
      <c r="X48" s="3">
        <f>0+(1104.8-276)+(0+(-3.380688--0.84456))+0-0-0</f>
        <v>826.26387199999999</v>
      </c>
      <c r="Y48" s="3">
        <f>0+(1101.8-286.2)+(0+(0-0))+0-0-0</f>
        <v>815.59999999999991</v>
      </c>
      <c r="Z48" s="3">
        <f>0+(1098.7-218.1)+(0+(-1.120674--0.222462))+0-0-0</f>
        <v>879.70178800000008</v>
      </c>
      <c r="AA48" s="3">
        <f>0+(1084.8-183.7)+(0+(-2.76624--0.468435))+0-0-0</f>
        <v>898.80219499999987</v>
      </c>
      <c r="AB48" s="3">
        <f>0+(1053.4-182.2)+(0+(-1.611702--0.278766))+0-0-0</f>
        <v>869.86706400000003</v>
      </c>
      <c r="AC48" s="3">
        <f>0+(1030.3-189.9)+(0+(-2.101812--0.387396))+0-0-0</f>
        <v>838.68558399999995</v>
      </c>
      <c r="AD48" s="2">
        <v>906.5</v>
      </c>
      <c r="AE48" s="3">
        <f>0+(1109.7-203.2)+(0+(0-0))+0-0-0</f>
        <v>906.5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0+(1099-296)+(0+(-3.92343--1.05672))+0-0-0</f>
        <v>800.13328999999999</v>
      </c>
      <c r="G49" s="3">
        <f>0+(1170.1-403.6)+(0+(-4.177257--1.440852))+0-0-0</f>
        <v>763.7635949999999</v>
      </c>
      <c r="H49" s="3">
        <f>0+(1167.5-408.7)+(0+(-1.19085--0.416874))+0-0-0</f>
        <v>758.02602400000001</v>
      </c>
      <c r="I49" s="3">
        <f>0+(1094.7-356.5)+(0+(-0.558297--0.181815))+0-0-0</f>
        <v>737.82351800000004</v>
      </c>
      <c r="J49" s="3">
        <f>0+(1084.5-347.4)+(0+(-0.553095--0.177174))+0-0-0</f>
        <v>736.72407900000007</v>
      </c>
      <c r="K49" s="3">
        <f>0+(1077.1-337.6)+(0+(-2.197284--0.688704))+0-0-0</f>
        <v>737.99141999999983</v>
      </c>
      <c r="L49" s="3">
        <f>0+(1086.3-342.3)+(0+(-2.216052--0.698292))+0-0-0</f>
        <v>742.48224000000005</v>
      </c>
      <c r="M49" s="3">
        <f>0+(1057.8-246.6)+(0+(2.69739-0.62883))+0-0-0</f>
        <v>813.26855999999998</v>
      </c>
      <c r="N49" s="3">
        <f>0+(1066.8-211.4)+(0+(0.544068-0.107814))+0-0-0</f>
        <v>855.83625399999994</v>
      </c>
      <c r="O49" s="3">
        <f>0+(1144.4-253.5)+(0+(-0.583644--0.129285))+0-0-0</f>
        <v>890.44564100000014</v>
      </c>
      <c r="P49" s="3">
        <f>0+(1137.5-235)+(0+(-0.580125--0.11985))+0-0-0</f>
        <v>902.03972499999998</v>
      </c>
      <c r="Q49" s="3">
        <f>0+(1146.1-231.9)+(0+(-0.584511--0.118269))+0-0-0</f>
        <v>913.73375799999997</v>
      </c>
      <c r="R49" s="3">
        <f>0+(1098.9-200.2)+(0+(-3.362634--0.612612))+0-0-0</f>
        <v>895.9499780000001</v>
      </c>
      <c r="S49" s="3">
        <f>0+(1131.1-246.9)+(0+(-1.730583--0.377757))+0-0-0</f>
        <v>882.84717399999988</v>
      </c>
      <c r="T49" s="3">
        <f>0+(1128.7-245.6)+(0+(0.575637-0.125256))+0-0-0</f>
        <v>883.55038100000002</v>
      </c>
      <c r="U49" s="3">
        <f>0+(1116.9-241.2)+(0+(-2.848095--0.61506))+0-0-0</f>
        <v>873.46696500000007</v>
      </c>
      <c r="V49" s="3">
        <f>0+(1119.8-251.7)+(0+(-2.85549--0.641835))+0-0-0</f>
        <v>865.88634499999989</v>
      </c>
      <c r="W49" s="3">
        <f>0+(1105.3-244.9)+(0+(-2.818515--0.624495))+0-0-0</f>
        <v>858.20597999999995</v>
      </c>
      <c r="X49" s="3">
        <f>0+(1026.4-185.2)+(0+(-1.046928--0.188904))+0-0-0</f>
        <v>840.34197600000005</v>
      </c>
      <c r="Y49" s="3">
        <f>0+(964.7-131.8)+(0+(-0.491997--0.067218))+0-0-0</f>
        <v>832.47522100000015</v>
      </c>
      <c r="Z49" s="3">
        <f>0+(1046.9-144.1)+(0+(-1.601757--0.220473))+0-0-0</f>
        <v>901.41871600000002</v>
      </c>
      <c r="AA49" s="3">
        <f>0+(1098-190.6)+(0+(-2.7999--0.48603))+0-0-0</f>
        <v>905.08613000000003</v>
      </c>
      <c r="AB49" s="3">
        <f>0+(1084.4-201)+(0+(-1.659132--0.30753))+0-0-0</f>
        <v>882.04839800000013</v>
      </c>
      <c r="AC49" s="3">
        <f>0+(1073.4-232.3)+(0+(-1.642302--0.355419))+0-0-0</f>
        <v>839.81311700000015</v>
      </c>
      <c r="AD49" s="2">
        <v>915.7</v>
      </c>
      <c r="AE49" s="3">
        <f>0+(1097.4-181.7)+(0+(0-0))+0-0-0</f>
        <v>915.7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0+(1097.6-297.9)+(0+(-2.79888--0.759645))+0-0-0</f>
        <v>797.66076499999997</v>
      </c>
      <c r="G50" s="3">
        <f>0+(1105.8-334)+(0+(-1.691874--0.51102))+0-0-0</f>
        <v>770.619146</v>
      </c>
      <c r="H50" s="3">
        <f>0+(1061.9-318.6)+(0+(-2.707845--0.81243))+0-0-0</f>
        <v>741.40458500000011</v>
      </c>
      <c r="I50" s="3">
        <f>0+(1100.2-350)+(0+(-2.244408--0.714))+0-0-0</f>
        <v>748.66959200000008</v>
      </c>
      <c r="J50" s="3">
        <f>0+(1093.1-348.6)+(0+(-1.672443--0.533358))+0-0-0</f>
        <v>743.36091499999986</v>
      </c>
      <c r="K50" s="3">
        <f>0+(1077.8-338.9)+(0+(-1.099356--0.345678))+0-0-0</f>
        <v>738.14632199999994</v>
      </c>
      <c r="L50" s="3">
        <f>0+(1033.7-293)+(0+(-2.108748--0.59772))+0-0-0</f>
        <v>739.18897200000004</v>
      </c>
      <c r="M50" s="3">
        <f>0+(1039.4-246.3)+(0+(1.060188-0.251226))+0-0-0</f>
        <v>793.90896200000009</v>
      </c>
      <c r="N50" s="3">
        <f>0+(1010.6-148.2)+(0+(-1.030812--0.151164))+0-0-0</f>
        <v>861.52035200000012</v>
      </c>
      <c r="O50" s="3">
        <f>0+(1021.5-122.3)+(0+(0-0))+0-0-0</f>
        <v>899.2</v>
      </c>
      <c r="P50" s="3">
        <f>0+(1093.8-169.5)+(0+(0-0))+0-0-0</f>
        <v>924.3</v>
      </c>
      <c r="Q50" s="3">
        <f>0+(1161.9-200.1)+(0+(0-0))+0-0-0</f>
        <v>961.80000000000007</v>
      </c>
      <c r="R50" s="3">
        <f>0+(1089-191.9)+(0+(0-0))+0-0-0</f>
        <v>897.1</v>
      </c>
      <c r="S50" s="3">
        <f>58.8+(1013.6-170.2)+(-0.14994+(-2.58468--0.43401))+0-0-0</f>
        <v>899.89939000000004</v>
      </c>
      <c r="T50" s="3">
        <f>116+(983-152.2)+(-0.2958+(-2.50665--0.38811))+0-0-0</f>
        <v>944.38565999999992</v>
      </c>
      <c r="U50" s="3">
        <f>119.6+(995.9-219.6)+(-0.182988+(-1.523727--0.335988))+0-0-0</f>
        <v>894.52927299999999</v>
      </c>
      <c r="V50" s="3">
        <f>114+(993.4-211.3)+(-0.23256+(-2.026536--0.431052))+0-0-0</f>
        <v>894.27195599999993</v>
      </c>
      <c r="W50" s="3">
        <f>60.6+(951.3-135.8)+(-0.15453+(-2.425815--0.34629))+0-0-0</f>
        <v>873.86594500000001</v>
      </c>
      <c r="X50" s="3">
        <f>0+(988.2-128.3)+(0+(-2.51991--0.327165))+0-0-0</f>
        <v>857.70725500000015</v>
      </c>
      <c r="Y50" s="3">
        <f>0+(1022.7-166.3)+(0+(-1.043154--0.169626))+0-0-0</f>
        <v>855.52647200000013</v>
      </c>
      <c r="Z50" s="3">
        <f>0+(1009.8-103.2)+(0+(-1.544994--0.157896))+0-0-0</f>
        <v>905.21290199999987</v>
      </c>
      <c r="AA50" s="3">
        <f>0+(1073.2-145.1)+(0+(-3.283992--0.444006))+0-0-0</f>
        <v>925.26001400000007</v>
      </c>
      <c r="AB50" s="3">
        <f>0+(1091.5-187.3)+(0+(-0.556665--0.095523))+0-0-0</f>
        <v>903.73885800000005</v>
      </c>
      <c r="AC50" s="3">
        <f>0+(1100.6-239.3)+(0+(-1.683918--0.366129))+0-0-0</f>
        <v>859.98221100000001</v>
      </c>
      <c r="AD50" s="2">
        <v>939.19999999999993</v>
      </c>
      <c r="AE50" s="3">
        <f>0+(1088.6-149.4)+(0+(0-0))+0-0-0</f>
        <v>939.19999999999993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0+(1121.8-317.1)+(0+(-2.86059--0.808605))+0-0-0</f>
        <v>802.64801499999999</v>
      </c>
      <c r="G51" s="3">
        <f>0+(1134.4-353.9)+(0+(-2.89272--0.902445))+0-0-0</f>
        <v>778.50972500000012</v>
      </c>
      <c r="H51" s="3">
        <f>0+(1178.7-413.3)+(0+(-2.404548--0.843132))+0-0-0</f>
        <v>763.83858400000008</v>
      </c>
      <c r="I51" s="3">
        <f>0+(1135.4-381.8)+(0+(-0.579054--0.194718))+0-0-0</f>
        <v>753.21566400000017</v>
      </c>
      <c r="J51" s="3">
        <f>0+(1074.9-329.4)+(0+(1.644597-0.503982))+0-0-0</f>
        <v>746.64061500000014</v>
      </c>
      <c r="K51" s="3">
        <f>0+(1065.6-316.1)+(0+(-1.630368--0.483633))+0-0-0</f>
        <v>748.35326499999985</v>
      </c>
      <c r="L51" s="3">
        <f>0+(1058.9-301.6)+(0+(-0.540039--0.153816))+0-0-0</f>
        <v>756.9137770000001</v>
      </c>
      <c r="M51" s="3">
        <f>0+(1014.5-205.6)+(0+(-2.06958--0.419424))+0-0-0</f>
        <v>807.24984399999994</v>
      </c>
      <c r="N51" s="3">
        <f>0+(1047-166.7)+(0+(-1.60191--0.255051))+0-0-0</f>
        <v>878.95314099999996</v>
      </c>
      <c r="O51" s="3">
        <f>0+(1018-101.3)+(0+(-1.03836--0.103326))+0-0-0</f>
        <v>915.76496600000007</v>
      </c>
      <c r="P51" s="3">
        <f>0+(1036.3-100.5)+(0+(-1.057026--0.10251))+0-0-0</f>
        <v>934.84548399999994</v>
      </c>
      <c r="Q51" s="3">
        <f>0+(1060.1-109.6)+(0+(-1.081302--0.111792))+0-0-0</f>
        <v>949.53048999999987</v>
      </c>
      <c r="R51" s="3">
        <f>0+(1051.2-129.5)+(0+(-0.536112--0.066045))+0-0-0</f>
        <v>921.22993300000007</v>
      </c>
      <c r="S51" s="3">
        <f>0+(1065.4-146.7)+(0+(-2.173416--0.299268))+0-0-0</f>
        <v>916.82585200000005</v>
      </c>
      <c r="T51" s="3">
        <f>0+(1065.4-146.7)+(0+(-2.173416--0.299268))+0-0-0</f>
        <v>916.82585200000005</v>
      </c>
      <c r="U51" s="3">
        <f>0+(1105.7-185.7)+(0+(0-0))+0-0-0</f>
        <v>920</v>
      </c>
      <c r="V51" s="3">
        <f>64.3+(1073.1-230.7)+(-0.131172+(-2.189124--0.470628))+0-0-0</f>
        <v>904.85033199999987</v>
      </c>
      <c r="W51" s="3">
        <f>119.5+(1032.9-252.1)+(-0.36567+(-3.160674--0.771426))+0-0-0</f>
        <v>897.54508200000009</v>
      </c>
      <c r="X51" s="3">
        <f>119.5+(1032.9-252.1)+(-0.36567+(-3.160674--0.771426))+0-0-0</f>
        <v>897.54508200000009</v>
      </c>
      <c r="Y51" s="3">
        <f>25+(977.1-182.4)+(-0.08925+(-3.488247--0.651168))+0-0-0</f>
        <v>816.77367100000004</v>
      </c>
      <c r="Z51" s="3">
        <f>0+(1097.1-188.1)+(0+(-0.559521--0.095931))+0-0-0</f>
        <v>908.53640999999993</v>
      </c>
      <c r="AA51" s="3">
        <f>0+(1132.1-201.7)+(0+(-3.464226--0.617202))+0-0-0</f>
        <v>927.55297599999983</v>
      </c>
      <c r="AB51" s="3">
        <f>0+(1129.7-225.2)+(0+(-1.728441--0.344556))+0-0-0</f>
        <v>903.11611500000004</v>
      </c>
      <c r="AC51" s="3">
        <f>0+(1164.2-284.7)+(0+(-2.374968--0.580788))+0-0-0</f>
        <v>877.70582000000002</v>
      </c>
      <c r="AD51" s="2">
        <v>944</v>
      </c>
      <c r="AE51" s="3">
        <f>0+(1121.5-177.5)+(0+(0-0))+0-0-0</f>
        <v>944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0+(1150-321.1)+(0+(-2.9325--0.818805))+0-0-0</f>
        <v>826.78630499999997</v>
      </c>
      <c r="G52" s="3">
        <f>0+(1109.4-317.2)+(0+(-2.263176--0.647088))+0-0-0</f>
        <v>790.58391200000005</v>
      </c>
      <c r="H52" s="3">
        <f>0+(1099.5-330.5)+(0+(-1.682235--0.505665))+0-0-0</f>
        <v>767.82343000000003</v>
      </c>
      <c r="I52" s="3">
        <f>0+(1132.9-365.9)+(0+(2.888895-0.933045))+0-0-0</f>
        <v>768.95585000000017</v>
      </c>
      <c r="J52" s="3">
        <f>0+(1119.4-360.4)+(0+(-1.712682--0.551412))+0-0-0</f>
        <v>757.83873000000017</v>
      </c>
      <c r="K52" s="3">
        <f>0+(1093.5-347.1)+(0+(-0.557685--0.177021))+0-0-0</f>
        <v>746.01933599999995</v>
      </c>
      <c r="L52" s="3">
        <f>0+(1085.5-343.3)+(0+(-1.10721--0.350166))+0-0-0</f>
        <v>741.44295600000009</v>
      </c>
      <c r="M52" s="3">
        <f>0+(1019.3-239.4)+(0+(0.519843-0.122094))+0-0-0</f>
        <v>780.29774899999995</v>
      </c>
      <c r="N52" s="3">
        <f>0+(1005.8-164.2)+(0+(0-0))+0-0-0</f>
        <v>841.59999999999991</v>
      </c>
      <c r="O52" s="3">
        <f>0+(1042-157)+(0+(-1.06284--0.16014))+0-0-0</f>
        <v>884.09730000000002</v>
      </c>
      <c r="P52" s="3">
        <f>0+(1071.9-178.1)+(0+(0.546669-0.090831))+0-0-0</f>
        <v>894.25583800000004</v>
      </c>
      <c r="Q52" s="3">
        <f>0+(1042.1-125)+(0+(-0.531471--0.06375))+0-0-0</f>
        <v>916.63227899999993</v>
      </c>
      <c r="R52" s="3">
        <f>0+(1042.2-144)+(0+(1.063044-0.14688))+0-0-0</f>
        <v>899.11616400000003</v>
      </c>
      <c r="S52" s="3">
        <f>0+(1063.4-189.4)+(0+(-2.169336--0.386376))+0-0-0</f>
        <v>872.21704000000011</v>
      </c>
      <c r="T52" s="3">
        <f>0+(1083.5-216.7)+(0+(0.552585-0.110517))+0-0-0</f>
        <v>867.2420679999999</v>
      </c>
      <c r="U52" s="3">
        <f>0+(1079.8-228.4)+(0+(-1.101396--0.232968))+0-0-0</f>
        <v>850.53157199999998</v>
      </c>
      <c r="V52" s="3">
        <f>0+(1095.1-256.9)+(0+(-2.234004--0.524076))+0-0-0</f>
        <v>836.49007199999994</v>
      </c>
      <c r="W52" s="3">
        <f>0+(1115.9-271.3)+(0+(0.569109-0.138363))+0-0-0</f>
        <v>845.03074600000014</v>
      </c>
      <c r="X52" s="3">
        <f>0+(1052.7-222.1)+(0+(-3.758139--0.792897))+0-0-0</f>
        <v>827.63475800000003</v>
      </c>
      <c r="Y52" s="3">
        <f>0+(1017.7-195.5)+(0+(-1.557081--0.299115))+0-0-0</f>
        <v>820.94203400000004</v>
      </c>
      <c r="Z52" s="3">
        <f>0+(1024.7-140.2)+(0+(-1.045194--0.143004))+0-0-0</f>
        <v>883.59780999999998</v>
      </c>
      <c r="AA52" s="3">
        <f>0+(993.8-100.9)+(0+(-3.041028--0.308754))+0-0-0</f>
        <v>890.16772600000002</v>
      </c>
      <c r="AB52" s="3">
        <f>0+(1032.4-164.6)+(0+(0-0))+0-0-0</f>
        <v>867.80000000000007</v>
      </c>
      <c r="AC52" s="3">
        <f>0+(1130.8-284.9)+(0+(-0.576708--0.145299))+0-0-0</f>
        <v>845.46859099999995</v>
      </c>
      <c r="AD52" s="2">
        <v>901.7</v>
      </c>
      <c r="AE52" s="3">
        <f>0+(984.6-82.9)+(0+(0-0))+0-0-0</f>
        <v>901.7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0+(1146.8-344.9)+(0+(-2.92434--0.879495))+0-0-0</f>
        <v>799.85515499999997</v>
      </c>
      <c r="G53" s="3">
        <f>0+(1102-330.5)+(0+(-0.56202--0.168555))+0-0-0</f>
        <v>771.10653500000001</v>
      </c>
      <c r="H53" s="3">
        <f>0+(1127.3-375.1)+(0+(-1.724769--0.573903))+0-0-0</f>
        <v>751.04913399999998</v>
      </c>
      <c r="I53" s="3">
        <f>0+(1097.4-362.1)+(0+(-2.238696--0.738684))+0-0-0</f>
        <v>733.7999880000001</v>
      </c>
      <c r="J53" s="3">
        <f>0+(1071.1-342.6)+(0+(0-0))+0-0-0</f>
        <v>728.49999999999989</v>
      </c>
      <c r="K53" s="3">
        <f>0+(1068.5-350.6)+(0+(-2.17974--0.715224))+0-0-0</f>
        <v>716.43548399999997</v>
      </c>
      <c r="L53" s="3">
        <f>0+(1042.7-360.2)+(0+(-2.127108--0.734808))+0-0-0</f>
        <v>681.10770000000002</v>
      </c>
      <c r="M53" s="3">
        <f>0+(1013.1-326.9)+(0+(0-0))+0-0-0</f>
        <v>686.2</v>
      </c>
      <c r="N53" s="3">
        <f>0+(999.1-283.6)+(0+(-1.019082--0.289272))+0-0-0</f>
        <v>714.77018999999996</v>
      </c>
      <c r="O53" s="3">
        <f>0+(964.9-207)+(0+(0-0))+0-0-0</f>
        <v>757.9</v>
      </c>
      <c r="P53" s="3">
        <f>0+(936.8-186.3)+(0+(0-0))+0-0-0</f>
        <v>750.5</v>
      </c>
      <c r="Q53" s="3">
        <f>0+(1000.7-209.9)+(0+(-0.510357--0.107049))+0-0-0</f>
        <v>790.39669200000003</v>
      </c>
      <c r="R53" s="3">
        <f>0+(998.8-209.6)+(0+(-0.509388--0.106896))+0-0-0</f>
        <v>788.79750799999988</v>
      </c>
      <c r="S53" s="3">
        <f>0+(1006.4-236.5)+(0+(-1.026528--0.24123))+0-0-0</f>
        <v>769.11470199999997</v>
      </c>
      <c r="T53" s="3">
        <f>0+(1053.5-293)+(0+(-1.611855--0.44829))+0-0-0</f>
        <v>759.33643500000005</v>
      </c>
      <c r="U53" s="3">
        <f>0+(1064.2-305.7)+(0+(-1.085484--0.311814))+0-0-0</f>
        <v>757.72632999999996</v>
      </c>
      <c r="V53" s="3">
        <f>0+(1049.2-297.4)+(0+(0.535092-0.151674))+0-0-0</f>
        <v>752.18341800000007</v>
      </c>
      <c r="W53" s="3">
        <f>0+(1072.3-309.6)+(0+(-0.546873--0.157896))+0-0-0</f>
        <v>762.31102299999998</v>
      </c>
      <c r="X53" s="3">
        <f>0+(1103.2-330.4)+(0+(-2.81316--0.84252))+0-0-0</f>
        <v>770.82936000000007</v>
      </c>
      <c r="Y53" s="3">
        <f>0+(1025.8-253.1)+(0+(-1.569474--0.387243))+0-0-0</f>
        <v>771.51776899999993</v>
      </c>
      <c r="Z53" s="3">
        <f>0+(1062-231.7)+(0+(-1.62486--0.354501))+0-0-0</f>
        <v>829.02964099999997</v>
      </c>
      <c r="AA53" s="3">
        <f>0+(1118-298.3)+(0+(-1.71054--0.456399))+0-0-0</f>
        <v>818.44585900000004</v>
      </c>
      <c r="AB53" s="3">
        <f>0+(1154.1-342.3)+(0+(1.177182-0.349146))+0-0-0</f>
        <v>812.62803599999995</v>
      </c>
      <c r="AC53" s="3">
        <f>0+(1101.7-325.8)+(0+(-1.123734--0.332316))+0-0-0</f>
        <v>775.10858200000007</v>
      </c>
      <c r="AD53" s="2">
        <v>867</v>
      </c>
      <c r="AE53" s="3">
        <f>0+(1131-264)+(0+(0-0))+0-0-0</f>
        <v>867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0+(1097.8-358.4)+(0+(-0.559878--0.182784))+0-0-0</f>
        <v>739.02290599999992</v>
      </c>
      <c r="G54" s="3">
        <f>0+(1107.9-403.4)+(0+(-2.825145--1.02867))+0-0-0</f>
        <v>702.70352500000013</v>
      </c>
      <c r="H54" s="3">
        <f>0+(1024.4-341.8)+(0+(0-0))+0-0-0</f>
        <v>682.60000000000014</v>
      </c>
      <c r="I54" s="3">
        <f>0+(1002.9-323.6)+(0+(-1.534437--0.495108))+0-0-0</f>
        <v>678.260671</v>
      </c>
      <c r="J54" s="3">
        <f>0+(1019.3-340.7)+(0+(1.559529-0.521271))+0-0-0</f>
        <v>679.63825799999995</v>
      </c>
      <c r="K54" s="3">
        <f>0+(1034.6-349.8)+(0+(-1.055292--0.356796))+0-0-0</f>
        <v>684.10150399999998</v>
      </c>
      <c r="L54" s="3">
        <f>0+(1026.3-317.1)+(0+(-1.570239--0.485163))+0-0-0</f>
        <v>708.11492399999997</v>
      </c>
      <c r="M54" s="3">
        <f>0+(1065.2-286.3)+(0+(0.543252-0.146013))+0-0-0</f>
        <v>779.2972390000001</v>
      </c>
      <c r="N54" s="3">
        <f>0+(1142.7-295.6)+(0+(2.331108-0.603024))+0-0-0</f>
        <v>848.82808399999999</v>
      </c>
      <c r="O54" s="3">
        <f>0+(1175.7-274.5)+(0+(-0.599607--0.139995))+0-0-0</f>
        <v>900.74038800000005</v>
      </c>
      <c r="P54" s="3">
        <f>0+(1142.4-227)+(0+(0-0))+0-0-0</f>
        <v>915.40000000000009</v>
      </c>
      <c r="Q54" s="3">
        <f>15.6+(1101.6-187.4)+(-0.015912+(-1.123632--0.191148))+0-0-0</f>
        <v>928.85160399999995</v>
      </c>
      <c r="R54" s="3">
        <f>111.7+(1049.1-225.3)+(-0.056967+(-0.535041--0.114903))+0-0-0</f>
        <v>935.02289499999995</v>
      </c>
      <c r="S54" s="3">
        <f>114.4+(1058.7-265.8)+(-0.116688+(-1.079874--0.271116))+0-0-0</f>
        <v>906.3745540000001</v>
      </c>
      <c r="T54" s="3">
        <f>114.5+(1106.1-306.8)+(-0.058395+(-0.564111--0.156468))+0-0-0</f>
        <v>913.33396199999993</v>
      </c>
      <c r="U54" s="3">
        <f>114+(1095.4-298.6)+(-0.17442+(-1.675962--0.456858))+0-0-0</f>
        <v>909.40647600000011</v>
      </c>
      <c r="V54" s="3">
        <f>114.8+(1061.1-273.9)+(0+(0-0))+0-0-0</f>
        <v>901.99999999999989</v>
      </c>
      <c r="W54" s="3">
        <f>114.2+(1036.1-258.8)+(-0.174726+(-1.585233--0.395964))+0-0-0</f>
        <v>890.13600499999995</v>
      </c>
      <c r="X54" s="3">
        <f>96.8+(1072.1-291.4)+(-0.24684+(-2.733855--0.74307))+0-0-0</f>
        <v>875.26237499999991</v>
      </c>
      <c r="Y54" s="3">
        <f>45+(1078-249.5)+(-0.06885+(-1.64934--0.381735))+0-0-0</f>
        <v>872.163545</v>
      </c>
      <c r="Z54" s="3">
        <f>98.8+(1063.4-226.5)+(-0.050388+(-0.542334--0.115515))+0-0-0</f>
        <v>935.22279300000002</v>
      </c>
      <c r="AA54" s="3">
        <f>100.9+(1048.7-204.3)+(-0.205836+(-2.139348--0.416772))+0-0-0</f>
        <v>943.37158800000009</v>
      </c>
      <c r="AB54" s="3">
        <f>100.9+(1108-300.4)+(-0.051459+(-0.56508--0.153204))+0-0-0</f>
        <v>908.03666499999997</v>
      </c>
      <c r="AC54" s="3">
        <f>100.9+(1160.1-374)+(0.051459+(0.591651-0.19074))+0-0-0</f>
        <v>887.45236999999986</v>
      </c>
      <c r="AD54" s="2">
        <v>948.39999999999986</v>
      </c>
      <c r="AE54" s="3">
        <f>101+(1047.1-199.7)+(0+(0-0))+0-0-0</f>
        <v>948.39999999999986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11.1+(1198.7-374.8)+(-0.011322+(-1.222674--0.382296))+0-0-0</f>
        <v>834.14830000000006</v>
      </c>
      <c r="G55" s="3">
        <f>0+(1183.2-391.6)+(0+(-3.01716--0.99858))+0-0-0</f>
        <v>789.58141999999998</v>
      </c>
      <c r="H55" s="3">
        <f>0+(1101-332)+(0+(-1.68453--0.50796))+0-0-0</f>
        <v>767.82343000000003</v>
      </c>
      <c r="I55" s="3">
        <f>0+(1090.5-327.5)+(0+(-1.11231--0.33405))+0-0-0</f>
        <v>762.22173999999995</v>
      </c>
      <c r="J55" s="3">
        <f>0+(1098.1-341.1)+(0+(-1.120062--0.347922))+0-0-0</f>
        <v>756.22785999999985</v>
      </c>
      <c r="K55" s="3">
        <f>0+(1082.7-333.8)+(0+(-2.760885--0.85119))+0-0-0</f>
        <v>746.99030500000003</v>
      </c>
      <c r="L55" s="3">
        <f>0+(1083.8-320.1)+(0+(-2.210952--0.653004))+0-0-0</f>
        <v>762.14205199999992</v>
      </c>
      <c r="M55" s="3">
        <f>0+(1109.9-289.5)+(0+(1.698147-0.442935))+0-0-0</f>
        <v>821.65521200000012</v>
      </c>
      <c r="N55" s="3">
        <f>0+(1154.3-257.2)+(0+(1.177386-0.262344))+0-0-0</f>
        <v>898.01504199999988</v>
      </c>
      <c r="O55" s="3">
        <f>0+(1207.8-271.9)+(0+(0-0))+0-0-0</f>
        <v>935.9</v>
      </c>
      <c r="P55" s="3">
        <f>0+(1142.2-188.2)+(0+(0-0))+0-0-0</f>
        <v>954</v>
      </c>
      <c r="Q55" s="3">
        <f>0+(1092.6-136.5)+(0+(0-0))+0-0-0</f>
        <v>956.09999999999991</v>
      </c>
      <c r="R55" s="3">
        <f>33.2+(1110.2-209.9)+(-0.016932+(-0.566202--0.107049))+0-0-0</f>
        <v>933.0239150000001</v>
      </c>
      <c r="S55" s="3">
        <f>112.3+(1025.2-190.9)+(-0.114546+(-1.045704--0.194718))+0-0-0</f>
        <v>945.63446799999997</v>
      </c>
      <c r="T55" s="3">
        <f>111.8+(1010-191.8)+(0+(0-0))+0-0-0</f>
        <v>930</v>
      </c>
      <c r="U55" s="3">
        <f>110.6+(1010.2-183.4)+(-0.225624+(-2.060808--0.374136))+0-0-0</f>
        <v>935.48770400000012</v>
      </c>
      <c r="V55" s="3">
        <f>110.9+(1018.5-205.5)+(-0.282795+(-2.597175--0.524025))+0-0-0</f>
        <v>921.54405499999996</v>
      </c>
      <c r="W55" s="3">
        <f>109.8+(1054.3-247.4)+(-0.391986+(-3.763851--0.883218))+0-0-0</f>
        <v>913.42738099999997</v>
      </c>
      <c r="X55" s="3">
        <f>109.7+(952.6-187.1)+(-0.391629+(-3.400782--0.667947))+0-0-0</f>
        <v>872.07553600000006</v>
      </c>
      <c r="Y55" s="3">
        <f>112+(936.5-197.7)+(-0.05712+(-0.477615--0.100827))+0-0-0</f>
        <v>850.36609199999998</v>
      </c>
      <c r="Z55" s="3">
        <f>112.2+(1009.4-187.4)+(0.057222+(0.514794-0.095574))+0-0-0</f>
        <v>934.67644200000007</v>
      </c>
      <c r="AA55" s="3">
        <f>110.8+(995.5-164.4)+(-0.339048+(-3.04623--0.503064))+0-0-0</f>
        <v>939.017786</v>
      </c>
      <c r="AB55" s="3">
        <f>111+(1001.8-210.5)+(-0.28305+(-2.55459--0.536775))+0-0-0</f>
        <v>899.99913499999991</v>
      </c>
      <c r="AC55" s="3">
        <f>101.6+(1036.2-264.5)+(-0.25908+(-2.64231--0.674475))+0-0-0</f>
        <v>871.07308500000011</v>
      </c>
      <c r="AD55" s="2">
        <v>953.59999999999991</v>
      </c>
      <c r="AE55" s="3">
        <f>110+(1002.1-158.5)+(0+(0-0))+0-0-0</f>
        <v>953.6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0+(1103.9-275.1)+(0+(-1.125978--0.280602))+0-0-0</f>
        <v>827.95462400000008</v>
      </c>
      <c r="G56" s="3">
        <f>0+(1093.1-291.8)+(0+(-0.557481--0.148818))+0-0-0</f>
        <v>800.89133699999991</v>
      </c>
      <c r="H56" s="3">
        <f>0+(1087.5-309.1)+(0+(-2.2185--0.630564))+0-0-0</f>
        <v>776.81206399999996</v>
      </c>
      <c r="I56" s="3">
        <f>0+(1088.1-318.8)+(0+(-1.664793--0.487764))+0-0-0</f>
        <v>768.12297100000001</v>
      </c>
      <c r="J56" s="3">
        <f>0+(1112.7-338.9)+(0+(0-0))+0-0-0</f>
        <v>773.80000000000007</v>
      </c>
      <c r="K56" s="3">
        <f>0+(1090.2-316.9)+(0+(-2.224008--0.646476))+0-0-0</f>
        <v>771.72246800000005</v>
      </c>
      <c r="L56" s="3">
        <f>0+(1086.7-312.1)+(0+(-0.554217--0.159171))+0-0-0</f>
        <v>774.20495400000004</v>
      </c>
      <c r="M56" s="3">
        <f>0+(1124-291.8)+(0+(-0.57324--0.148818))+0-0-0</f>
        <v>831.775578</v>
      </c>
      <c r="N56" s="3">
        <f>0+(1142.3-250.3)+(0+(0.582573-0.127653))+0-0-0</f>
        <v>892.45492000000002</v>
      </c>
      <c r="O56" s="3">
        <f>0+(1125.1-182.4)+(0+(0.573801-0.093024))+0-0-0</f>
        <v>943.18077699999992</v>
      </c>
      <c r="P56" s="3">
        <f>0+(1117.3-158.2)+(0+(-1.139646--0.161364))+0-0-0</f>
        <v>958.12171799999987</v>
      </c>
      <c r="Q56" s="3">
        <f>0+(1086.4-108)+(0+(0-0))+0-0-0</f>
        <v>978.40000000000009</v>
      </c>
      <c r="R56" s="3">
        <f>0+(1072.5-98.6)+(0+(0-0))+0-0-0</f>
        <v>973.9</v>
      </c>
      <c r="S56" s="3">
        <f>0+(1065.4-108.7)+(0+(-1.630062--0.166311))+0-0-0</f>
        <v>955.23624900000004</v>
      </c>
      <c r="T56" s="3">
        <f>0+(1063.6-109.2)+(0+(-2.71218--0.27846))+0-0-0</f>
        <v>951.96627999999987</v>
      </c>
      <c r="U56" s="3">
        <f>20.8+(1063.7-131.8)+(-0.05304+(-2.712435--0.33609))+0-0-0</f>
        <v>950.27061500000002</v>
      </c>
      <c r="V56" s="3">
        <f>6+(1067.1-142.2)+(-0.01224+(-2.176884--0.290088))+0-0-0</f>
        <v>929.00096399999984</v>
      </c>
      <c r="W56" s="3">
        <f>0+(1074.2-149.5)+(0+(-1.095684--0.15249))+0-0-0</f>
        <v>923.7568060000001</v>
      </c>
      <c r="X56" s="3">
        <f>0+(1077.1-158.4)+(0+(-2.746605--0.40392))+0-0-0</f>
        <v>916.35731499999997</v>
      </c>
      <c r="Y56" s="3">
        <f>0+(994.5-98.5)+(0+(0.507195-0.050235))+0-0-0</f>
        <v>896.45695999999998</v>
      </c>
      <c r="Z56" s="3">
        <f>0+(980.4-28.1)+(0+(0-0))+0-0-0</f>
        <v>952.3</v>
      </c>
      <c r="AA56" s="3">
        <f>0+(1047.5-77.4)+(0+(-3.20535--0.236844))+0-0-0</f>
        <v>967.13149399999998</v>
      </c>
      <c r="AB56" s="3">
        <f>0+(1075.7-128.3)+(0+(-1.645821--0.196299))+0-0-0</f>
        <v>945.95047800000009</v>
      </c>
      <c r="AC56" s="3">
        <f>0+(1103.8-200.6)+(0+(-1.688814--0.306918))+0-0-0</f>
        <v>901.81810399999995</v>
      </c>
      <c r="AD56" s="2">
        <v>972.3</v>
      </c>
      <c r="AE56" s="3">
        <f>0+(1053.5-81.2)+(0+(0-0))+0-0-0</f>
        <v>972.3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0+(1172.5-314.4)+(0+(-1.19595--0.320688))+0-0-0</f>
        <v>857.224738</v>
      </c>
      <c r="G57" s="3">
        <f>0+(1152.1-335.1)+(0+(-1.762713--0.512703))+0-0-0</f>
        <v>815.74998999999991</v>
      </c>
      <c r="H57" s="3">
        <f>0+(1128.3-327.7)+(0+(-0.575433--0.167127))+0-0-0</f>
        <v>800.19169399999987</v>
      </c>
      <c r="I57" s="3">
        <f>0+(1155-368.7)+(0+(0.58905-0.188037))+0-0-0</f>
        <v>786.70101299999999</v>
      </c>
      <c r="J57" s="3">
        <f>0+(1135-352.6)+(0+(0-0))+0-0-0</f>
        <v>782.4</v>
      </c>
      <c r="K57" s="3">
        <f>0+(1132.4-347.2)+(0+(-1.732572--0.531216))+0-0-0</f>
        <v>783.99864400000001</v>
      </c>
      <c r="L57" s="3">
        <f>0+(1129.2-336.6)+(0+(0-0))+0-0-0</f>
        <v>792.6</v>
      </c>
      <c r="M57" s="3">
        <f>0+(1139-290.8)+(0+(0-0))+0-0-0</f>
        <v>848.2</v>
      </c>
      <c r="N57" s="3">
        <f>0+(1176.5-256.4)+(0+(-1.20003--0.261528))+0-0-0</f>
        <v>919.16149800000005</v>
      </c>
      <c r="O57" s="3">
        <f>0+(1214.4-262)+(0+(-0.619344--0.13362))+0-0-0</f>
        <v>951.91427600000009</v>
      </c>
      <c r="P57" s="3">
        <f>0+(1249.5-267.7)+(0+(3.186225-0.682635))+0-0-0</f>
        <v>984.30358999999999</v>
      </c>
      <c r="Q57" s="3">
        <f>30.8+(1187.9-215.7)+(0.015708+(0.605829-0.110007))+0-0-0</f>
        <v>1003.51153</v>
      </c>
      <c r="R57" s="3">
        <f>118.3+(1128.9-259.5)+(0.120666+(1.151478-0.26469))+0-0-0</f>
        <v>988.7074540000001</v>
      </c>
      <c r="S57" s="3">
        <f>117.8+(1132.7-297.1)+(0+(0-0))+0-0-0</f>
        <v>953.4</v>
      </c>
      <c r="T57" s="3">
        <f>116.2+(1227.5-388.6)+(0.118524+(1.25205-0.396372))+0-0-0</f>
        <v>956.07420200000001</v>
      </c>
      <c r="U57" s="3">
        <f>112+(1172.5-332.7)+(0+(0-0))+0-0-0</f>
        <v>951.8</v>
      </c>
      <c r="V57" s="3">
        <f>110.8+(1093.3-266.6)+(-0.28254+(-2.787915--0.67983))+0-0-0</f>
        <v>935.10937499999989</v>
      </c>
      <c r="W57" s="3">
        <f>101.2+(1120.7-279.9)+(-0.154836+(-1.714671--0.428247))+0-0-0</f>
        <v>940.55874000000006</v>
      </c>
      <c r="X57" s="3">
        <f>43.2+(1110.7-245.6)+(-0.154224+(-3.965199--0.876792))+0-0-0</f>
        <v>905.05736900000011</v>
      </c>
      <c r="Y57" s="3">
        <f>46+(1093.4-244.7)+(-0.02346+(-0.557634--0.124797))+0-0-0</f>
        <v>894.2437030000001</v>
      </c>
      <c r="Z57" s="3">
        <f>100.8+(1066.7-213.8)+(-0.102816+(-1.088034--0.218076))+0-0-0</f>
        <v>952.72722600000009</v>
      </c>
      <c r="AA57" s="3">
        <f>114.6+(1100.2-249.5)+(-0.233784+(-2.244408--0.50898))+0-0-0</f>
        <v>963.3307880000001</v>
      </c>
      <c r="AB57" s="3">
        <f>113.7+(1149.8-327.7)+(-0.347922+(-3.518388--1.002762))+0-0-0</f>
        <v>932.93645199999992</v>
      </c>
      <c r="AC57" s="3">
        <f>15.6+(1245.8-353.4)+(-0.031824+(-2.541432--0.720936))+0-0-0</f>
        <v>906.14768000000004</v>
      </c>
      <c r="AD57" s="2">
        <v>980.3</v>
      </c>
      <c r="AE57" s="3">
        <f>114+(1108-241.7)+(0+(0-0))+0-0-0</f>
        <v>980.3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0+(1123-274.9)+(0+(-0.57273--0.140199))+0-0-0</f>
        <v>847.66746899999998</v>
      </c>
      <c r="G58" s="3">
        <f>0+(1104.4-298.2)+(0+(-2.81622--0.76041))+0-0-0</f>
        <v>804.14419000000009</v>
      </c>
      <c r="H58" s="3">
        <f>0+(1159.2-371.7)+(0+(-2.364768--0.758268))+0-0-0</f>
        <v>785.89350000000002</v>
      </c>
      <c r="I58" s="3">
        <f>0+(1175.6-393.4)+(0+(-1.798668--0.601902))+0-0-0</f>
        <v>781.00323399999991</v>
      </c>
      <c r="J58" s="3">
        <f>0+(1159.1-379.2)+(0+(-2.955705--0.96696))+0-0-0</f>
        <v>777.91125499999987</v>
      </c>
      <c r="K58" s="3">
        <f>0+(1151.2-366.9)+(0+(-2.93556--0.935595))+0-0-0</f>
        <v>782.30003500000009</v>
      </c>
      <c r="L58" s="3">
        <f>0+(1089.1-310.6)+(0+(0.555441-0.158406))+0-0-0</f>
        <v>778.89703499999985</v>
      </c>
      <c r="M58" s="3">
        <f>0+(1173.3-318.3)+(0+(1.795149-0.486999))+0-0-0</f>
        <v>856.30814999999996</v>
      </c>
      <c r="N58" s="3">
        <f>17.1+(1214.1-319.7)+(0.017442+(1.238382-0.326094))+0-0-0</f>
        <v>912.42972999999984</v>
      </c>
      <c r="O58" s="3">
        <f>48+(1184-275.7)+(-0.07344+(-1.81152--0.421821))+0-0-0</f>
        <v>954.836861</v>
      </c>
      <c r="P58" s="3">
        <f>65.1+(1116.1-222.4)+(-0.099603+(-1.707633--0.340272))+0-0-0</f>
        <v>957.33303599999999</v>
      </c>
      <c r="Q58" s="3">
        <f>123.4+(1066.9-205.1)+(-0.188802+(-1.632357--0.313803))+0-0-0</f>
        <v>983.69264400000009</v>
      </c>
      <c r="R58" s="3">
        <f>122.6+(1045.8-187.9)+(0+(0-0))+0-0-0</f>
        <v>980.5</v>
      </c>
      <c r="S58" s="3">
        <f>121.9+(1068.8-242.5)+(0.124338+(1.090176-0.24735))+0-0-0</f>
        <v>949.16716399999996</v>
      </c>
      <c r="T58" s="3">
        <f>121.1+(1004.4-185.5)+(-0.185283+(-1.536732--0.283815))+0-0-0</f>
        <v>938.56179999999995</v>
      </c>
      <c r="U58" s="3">
        <f>120.4+(997.4-186.9)+(0.122808+(1.017348-0.190638))+0-0-0</f>
        <v>931.84951799999999</v>
      </c>
      <c r="V58" s="3">
        <f>120.1+(1068.5-265.5)+(-0.061251+(-0.544935--0.135405))+0-0-0</f>
        <v>922.62921900000003</v>
      </c>
      <c r="W58" s="3">
        <f>111+(1078.2-269.7)+(-0.28305+(-2.74941--0.687735))+0-0-0</f>
        <v>917.15527499999996</v>
      </c>
      <c r="X58" s="3">
        <f>14.6+(1140.4-254.5)+(-0.03723+(-2.90802--0.648975))+0-0-0</f>
        <v>898.20372500000008</v>
      </c>
      <c r="Y58" s="3">
        <f>0+(1127.9-248.6)+(0+(-1.150458--0.253572))+0-0-0</f>
        <v>878.40311400000007</v>
      </c>
      <c r="Z58" s="3">
        <f>0+(1176.9-231.4)+(0+(0-0))+0-0-0</f>
        <v>945.50000000000011</v>
      </c>
      <c r="AA58" s="3">
        <f>0+(1205.4-223.4)+(0+(-3.07377--0.56967))+0-0-0</f>
        <v>979.49590000000012</v>
      </c>
      <c r="AB58" s="3">
        <f>0+(1163.9-222.4)+(0+(-2.967945--0.56712))+0-0-0</f>
        <v>939.09917500000006</v>
      </c>
      <c r="AC58" s="3">
        <f>0+(1177.9-274.7)+(0+(-0.600729--0.140097))+0-0-0</f>
        <v>902.73936800000001</v>
      </c>
      <c r="AD58" s="2">
        <v>992.40000000000009</v>
      </c>
      <c r="AE58" s="3">
        <f>0+(1225.4-233)+(0+(0-0))+0-0-0</f>
        <v>992.40000000000009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0+(1184.4-335)+(0+(-4.228308--1.19595))+0-0-0</f>
        <v>846.36764200000005</v>
      </c>
      <c r="G59" s="3">
        <f>0+(1142.9-321.8)+(0+(-0.582879--0.164118))+0-0-0</f>
        <v>820.68123900000012</v>
      </c>
      <c r="H59" s="3">
        <f>0+(1092.4-286.4)+(0+(0-0))+0-0-0</f>
        <v>806.00000000000011</v>
      </c>
      <c r="I59" s="3">
        <f>0+(1101.4-300.2)+(0+(-1.685142--0.459306))+0-0-0</f>
        <v>799.97416400000009</v>
      </c>
      <c r="J59" s="3">
        <f>0+(1091.6-300.6)+(0+(-2.78358--0.76653))+0-0-0</f>
        <v>788.98294999999985</v>
      </c>
      <c r="K59" s="3">
        <f>0+(1113.1-318)+(0+(-2.270724--0.64872))+0-0-0</f>
        <v>793.47799599999996</v>
      </c>
      <c r="L59" s="3">
        <f>0+(1090.5-303.1)+(0+(-1.668465--0.463743))+0-0-0</f>
        <v>786.19527800000003</v>
      </c>
      <c r="M59" s="3">
        <f>0+(1037.3-214.3)+(0+(0-0))+0-0-0</f>
        <v>823</v>
      </c>
      <c r="N59" s="3">
        <f>0+(1180.2-285.7)+(0+(0.601902-0.145707))+0-0-0</f>
        <v>894.95619499999998</v>
      </c>
      <c r="O59" s="3">
        <f>104.8+(1136.5-297.7)+(-0.053448+(-0.579615--0.151827))+0-0-0</f>
        <v>943.11876399999994</v>
      </c>
      <c r="P59" s="3">
        <f>120.6+(1094.8-259.8)+(0+(0-0))+0-0-0</f>
        <v>955.6</v>
      </c>
      <c r="Q59" s="3">
        <f>120.2+(1072.4-222.4)+(-0.061302+(-0.546924--0.113424))+0-0-0</f>
        <v>969.70519800000011</v>
      </c>
      <c r="R59" s="3">
        <f>119.6+(1016-181.2)+(0.121992+(1.03632-0.184824))+0-0-0</f>
        <v>955.37348799999995</v>
      </c>
      <c r="S59" s="3">
        <f>119.4+(994.4-201.4)+(-0.182682+(-1.521432--0.308142))+0-0-0</f>
        <v>911.00402799999995</v>
      </c>
      <c r="T59" s="3">
        <f>119.1+(1028.5-255)+(0.060741+(0.524535-0.13005))+0-0-0</f>
        <v>893.05522600000006</v>
      </c>
      <c r="U59" s="3">
        <f>113.7+(995.3-226.2)+(-0.347922+(-3.045618--0.692172))+0-0-0</f>
        <v>880.09863199999995</v>
      </c>
      <c r="V59" s="3">
        <f>79.5+(1005.9-216.6)+(-0.16218+(-2.052036--0.441864))+0-0-0</f>
        <v>867.027648</v>
      </c>
      <c r="W59" s="3">
        <f>79.1+(999.3-205)+(-0.201705+(-2.548215--0.52275))+0-0-0</f>
        <v>871.17282999999998</v>
      </c>
      <c r="X59" s="3">
        <f>68.5+(977.9-176.6)+(-0.20961+(-2.992374--0.540396))+0-0-0</f>
        <v>867.1384119999999</v>
      </c>
      <c r="Y59" s="3">
        <f>0+(1037-177.7)+(0+(1.05774-0.181254))+0-0-0</f>
        <v>860.17648599999995</v>
      </c>
      <c r="Z59" s="3">
        <f>0+(1059.2-143.1)+(0+(-0.540192--0.072981))+0-0-0</f>
        <v>915.632789</v>
      </c>
      <c r="AA59" s="3">
        <f>0+(1094.9-152.1)+(0+(-2.791995--0.387855))+0-0-0</f>
        <v>940.39586000000008</v>
      </c>
      <c r="AB59" s="3">
        <f>0+(1089.4-166.1)+(0+(-1.666782--0.254133))+0-0-0</f>
        <v>921.88735100000008</v>
      </c>
      <c r="AC59" s="3">
        <f>0+(1087.4-201.3)+(0+(-1.109148--0.205326))+0-0-0</f>
        <v>885.19617800000015</v>
      </c>
      <c r="AD59" s="2">
        <v>957.2</v>
      </c>
      <c r="AE59" s="3">
        <f>0+(1084.5-127.3)+(0+(0-0))+0-0-0</f>
        <v>957.2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0+(1137.9-292.9)+(0+(-1.160658--0.298758))+0-0-0</f>
        <v>844.13810000000012</v>
      </c>
      <c r="G60" s="3">
        <f>0+(1102.5-289.4)+(0+(1.12455-0.295188))+0-0-0</f>
        <v>813.92936199999997</v>
      </c>
      <c r="H60" s="3">
        <f>0+(1103.9-319.1)+(0+(-0.562989--0.162741))+0-0-0</f>
        <v>784.39975200000003</v>
      </c>
      <c r="I60" s="3">
        <f>0+(1135-358.4)+(0+(0-0))+0-0-0</f>
        <v>776.6</v>
      </c>
      <c r="J60" s="3">
        <f>0+(1140.4-374.6)+(0+(0-0))+0-0-0</f>
        <v>765.80000000000007</v>
      </c>
      <c r="K60" s="3">
        <f>0+(1055.5-310.6)+(0+(-1.614915--0.475218))+0-0-0</f>
        <v>743.76030300000002</v>
      </c>
      <c r="L60" s="3">
        <f>0+(1035.5-316.8)+(0+(-1.584315--0.484704))+0-0-0</f>
        <v>717.60038900000006</v>
      </c>
      <c r="M60" s="3">
        <f>0+(1016.3-288.9)+(0+(-1.554939--0.442017))+0-0-0</f>
        <v>726.28707799999995</v>
      </c>
      <c r="N60" s="3">
        <f>0+(1092.1-329.8)+(0+(0-0))+0-0-0</f>
        <v>762.3</v>
      </c>
      <c r="O60" s="3">
        <f>0+(1127.1-344.7)+(0+(-0.574821--0.175797))+0-0-0</f>
        <v>782.00097599999981</v>
      </c>
      <c r="P60" s="3">
        <f>0+(1117.9-318.9)+(0+(1.140258-0.325278))+0-0-0</f>
        <v>799.81498000000011</v>
      </c>
      <c r="Q60" s="3">
        <f>0+(1167.6-342.1)+(0+(1.786428-0.523413))+0-0-0</f>
        <v>826.76301499999988</v>
      </c>
      <c r="R60" s="3">
        <f>0+(1162.3-341.8)+(0+(0-0))+0-0-0</f>
        <v>820.5</v>
      </c>
      <c r="S60" s="3">
        <f>0+(1102.2-296.2)+(0+(-0.562122--0.151062))+0-0-0</f>
        <v>805.58893999999998</v>
      </c>
      <c r="T60" s="3">
        <f>0+(1056.1-259.6)+(0+(-1.077222--0.264792))+0-0-0</f>
        <v>795.68756999999994</v>
      </c>
      <c r="U60" s="3">
        <f>0+(1055-257)+(0+(-1.0761--0.26214))+0-0-0</f>
        <v>797.18604000000005</v>
      </c>
      <c r="V60" s="3">
        <f>0+(1038.4-247.3)+(0+(-2.118336--0.504492))+0-0-0</f>
        <v>789.48615600000016</v>
      </c>
      <c r="W60" s="3">
        <f>0+(1100.1-304)+(0+(-2.244204--0.62016))+0-0-0</f>
        <v>794.47595599999988</v>
      </c>
      <c r="X60" s="3">
        <f>0+(1123.1-324.2)+(0+(-1.718343--0.496026))+0-0-0</f>
        <v>797.67768299999989</v>
      </c>
      <c r="Y60" s="3">
        <f>0+(1107.4-305.8)+(0+(-0.564774--0.155958))+0-0-0</f>
        <v>801.19118400000013</v>
      </c>
      <c r="Z60" s="3">
        <f>0+(1076.3-223)+(0+(0-0))+0-0-0</f>
        <v>853.3</v>
      </c>
      <c r="AA60" s="3">
        <f>0+(1114.1-222.9)+(0+(-1.704573--0.341037))+0-0-0</f>
        <v>889.83646399999998</v>
      </c>
      <c r="AB60" s="3">
        <f>0+(1099.7-229.4)+(0+(-2.243388--0.467976))+0-0-0</f>
        <v>868.52458800000011</v>
      </c>
      <c r="AC60" s="3">
        <f>0+(1076.1-244.7)+(0+(-2.195244--0.499188))+0-0-0</f>
        <v>829.70394399999986</v>
      </c>
      <c r="AD60" s="2">
        <v>895.2</v>
      </c>
      <c r="AE60" s="3">
        <f>0+(1108.9-213.7)+(0+(0-0))+0-0-0</f>
        <v>895.2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0+(1112.1-336.8)+(0+(-0.567171--0.171768))+0-0-0</f>
        <v>774.90459699999997</v>
      </c>
      <c r="G61" s="3">
        <f>0+(1140.2-392.4)+(0+(-2.90751--1.00062))+0-0-0</f>
        <v>745.89311000000009</v>
      </c>
      <c r="H61" s="3">
        <f>0+(1172.7-439.5)+(0+(-2.392308--0.89658))+0-0-0</f>
        <v>731.70427200000006</v>
      </c>
      <c r="I61" s="3">
        <f>0+(1200.4-475.4)+(0+(-2.448816--0.969816))+0-0-0</f>
        <v>723.52100000000007</v>
      </c>
      <c r="J61" s="3">
        <f>0+(1140.8-426)+(0+(0.581808-0.21726))+0-0-0</f>
        <v>715.16454799999997</v>
      </c>
      <c r="K61" s="3">
        <f>0+(1120.1-392.8)+(0+(-2.285004--0.801312))+0-0-0</f>
        <v>725.81630799999994</v>
      </c>
      <c r="L61" s="3">
        <f>0+(1092.4-348.5)+(0+(-0.557124--0.177735))+0-0-0</f>
        <v>743.52061100000014</v>
      </c>
      <c r="M61" s="3">
        <f>0+(1020.7-201.2)+(0+(1.041114-0.205224))+0-0-0</f>
        <v>820.33588999999995</v>
      </c>
      <c r="N61" s="3">
        <f>0+(1141.8-245.9)+(0+(0-0))+0-0-0</f>
        <v>895.9</v>
      </c>
      <c r="O61" s="3">
        <f>0+(1210.4-253.5)+(0+(1.234608-0.25857))+0-0-0</f>
        <v>957.87603800000011</v>
      </c>
      <c r="P61" s="3">
        <f>0+(1209.8-229.5)+(0+(0-0))+0-0-0</f>
        <v>980.3</v>
      </c>
      <c r="Q61" s="3">
        <f>0+(1172.4-186.3)+(0+(0-0))+0-0-0</f>
        <v>986.10000000000014</v>
      </c>
      <c r="R61" s="3">
        <f>37.4+(1103.5-158.2)+(-0.019074+(-0.562785--0.080682))+0-0-0</f>
        <v>982.19882299999995</v>
      </c>
      <c r="S61" s="3">
        <f>108.4+(1040.6-190.5)+(-0.221136+(-2.122824--0.38862))+0-0-0</f>
        <v>956.54465999999991</v>
      </c>
      <c r="T61" s="3">
        <f>109.8+(1058.9-204)+(0+(0-0))+0-0-0</f>
        <v>964.7</v>
      </c>
      <c r="U61" s="3">
        <f>108.6+(1090.6-241.2)+(-0.221544+(-2.224824--0.492048))+0-0-0</f>
        <v>956.04567999999983</v>
      </c>
      <c r="V61" s="3">
        <f>108.9+(1113.5-266.8)+(-0.277695+(-2.839425--0.68034))+0-0-0</f>
        <v>953.16322000000002</v>
      </c>
      <c r="W61" s="3">
        <f>109.1+(1165.8-333.8)+(-0.166923+(-1.783674--0.510714))+0-0-0</f>
        <v>939.66011700000001</v>
      </c>
      <c r="X61" s="3">
        <f>92.1+(1189.3-352.3)+(-0.328797+(-4.245801--1.257711))+0-0-0</f>
        <v>925.78311300000007</v>
      </c>
      <c r="Y61" s="3">
        <f>43+(1131.2-270.4)+(-0.10965+(-2.88456--0.68952))+0-0-0</f>
        <v>901.49531000000002</v>
      </c>
      <c r="Z61" s="3">
        <f>66.5+(1202.4-310.2)+(-0.033915+(-0.613224--0.158202))+0-0-0</f>
        <v>958.21106300000008</v>
      </c>
      <c r="AA61" s="3">
        <f>114.3+(1158.9-285)+(-0.291465+(-2.955195--0.72675))+0-0-0</f>
        <v>985.68009000000006</v>
      </c>
      <c r="AB61" s="3">
        <f>20.2+(1230.9-290.4)+(-0.041208+(-2.511036--0.592416))+0-0-0</f>
        <v>958.74017200000014</v>
      </c>
      <c r="AC61" s="3">
        <f>0+(1243.5-319.3)+(0+(-2.53674--0.651372))+0-0-0</f>
        <v>922.31463200000007</v>
      </c>
      <c r="AD61" s="2">
        <v>1002.9</v>
      </c>
      <c r="AE61" s="3">
        <f>115+(1177.8-289.9)+(0+(0-0))+0-0-0</f>
        <v>1002.9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0+(1213.6-341.6)+(0+(-3.09468--0.87108))+0-0-0</f>
        <v>869.77639999999985</v>
      </c>
      <c r="G62" s="3">
        <f>0+(1164.7-328.5)+(0+(-2.969985--0.837675))+0-0-0</f>
        <v>834.06769000000008</v>
      </c>
      <c r="H62" s="3">
        <f>0+(1185-367.5)+(0+(-1.81305--0.562275))+0-0-0</f>
        <v>816.24922500000002</v>
      </c>
      <c r="I62" s="3">
        <f>0+(1183.2-372.3)+(0+(-0.603432--0.189873))+0-0-0</f>
        <v>810.48644100000013</v>
      </c>
      <c r="J62" s="3">
        <f>0+(1175-376.4)+(0+(-1.79775--0.575892))+0-0-0</f>
        <v>797.37814200000003</v>
      </c>
      <c r="K62" s="3">
        <f>0+(1173.9-372.9)+(0+(-2.993445--0.950895))+0-0-0</f>
        <v>798.95745000000011</v>
      </c>
      <c r="L62" s="3">
        <f>0+(1119.9-319.8)+(0+(-0.571149--0.163098))+0-0-0</f>
        <v>799.69194900000014</v>
      </c>
      <c r="M62" s="3">
        <f>0+(1113.8-252)+(0+(-1.136076--0.25704))+0-0-0</f>
        <v>860.92096399999991</v>
      </c>
      <c r="N62" s="3">
        <f>0+(1138-208)+(0+(0.58038-0.10608))+0-0-0</f>
        <v>930.47429999999997</v>
      </c>
      <c r="O62" s="3">
        <f>0+(1237.5-261.1)+(0+(-1.26225--0.266322))+0-0-0</f>
        <v>975.40407199999993</v>
      </c>
      <c r="P62" s="3">
        <f>39.9+(1232.7-284.1)+(0.061047+(1.886031-0.434673))+0-0-0</f>
        <v>990.01240499999994</v>
      </c>
      <c r="Q62" s="3">
        <f>115+(1157.7-270.9)+(0.17595+(1.771281-0.414477))+0-0-0</f>
        <v>1003.332754</v>
      </c>
      <c r="R62" s="3">
        <f>115.1+(1093.8-220.5)+(0+(0-0))+0-0-0</f>
        <v>988.4</v>
      </c>
      <c r="S62" s="3">
        <f>114.7+(1097.5-248.8)+(0+(0-0))+0-0-0</f>
        <v>963.40000000000009</v>
      </c>
      <c r="T62" s="3">
        <f>114+(1111.1-281.2)+(-0.17442+(-1.699983--0.430236))+0-0-0</f>
        <v>942.45583299999987</v>
      </c>
      <c r="U62" s="3">
        <f>114+(1146.2-303.5)+(-0.23256+(-2.338248--0.61914))+0-0-0</f>
        <v>954.748332</v>
      </c>
      <c r="V62" s="3">
        <f>114+(1194.4-351.9)+(-0.2907+(-3.04572--0.897345))+0-0-0</f>
        <v>954.06092500000011</v>
      </c>
      <c r="W62" s="3">
        <f>114.7+(1202.1-391)+(-0.058497+(-0.613071--0.19941))+0-0-0</f>
        <v>925.32784199999992</v>
      </c>
      <c r="X62" s="3">
        <f>114.3+(1138.1-326.5)+(-0.233172+(-2.321724--0.66606))+0-0-0</f>
        <v>924.01116399999989</v>
      </c>
      <c r="Y62" s="3">
        <f>114.7+(1091.6-292.9)+(-0.058497+(-0.556716--0.149379))+0-0-0</f>
        <v>912.934166</v>
      </c>
      <c r="Z62" s="3">
        <f>115+(1126.3-280.9)+(0.05865+(0.574413-0.143259))+0-0-0</f>
        <v>960.88980400000003</v>
      </c>
      <c r="AA62" s="3">
        <f>114.4+(1159.8-293.9)+(-0.233376+(-2.365992--0.599556))+0-0-0</f>
        <v>978.30018799999993</v>
      </c>
      <c r="AB62" s="3">
        <f>114.5+(1187.3-352.3)+(-0.175185+(-1.816569--0.539019))+0-0-0</f>
        <v>948.04726500000004</v>
      </c>
      <c r="AC62" s="3">
        <f>84.9+(1219.7-391.4)+(-0.173196+(-2.488188--0.798456))+0-0-0</f>
        <v>911.33707200000003</v>
      </c>
      <c r="AD62" s="2">
        <v>1008.6000000000001</v>
      </c>
      <c r="AE62" s="3">
        <f>115+(1173.9-280.3)+(0+(0-0))+0-0-0</f>
        <v>1008.6000000000001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0+(1268.4-399.3)+(0+(-1.293768--0.407286))+0-0-0</f>
        <v>868.21351800000014</v>
      </c>
      <c r="G63" s="3">
        <f>0+(1204.3-363.6)+(0+(-3.070965--0.92718))+0-0-0</f>
        <v>838.55621499999995</v>
      </c>
      <c r="H63" s="3">
        <f>0+(1233.4-412.1)+(0+(-1.258068--0.420342))+0-0-0</f>
        <v>820.46227400000009</v>
      </c>
      <c r="I63" s="3">
        <f>0+(1197.3-382)+(0+(-1.831869--0.58446))+0-0-0</f>
        <v>814.05259100000001</v>
      </c>
      <c r="J63" s="3">
        <f>0+(1165.4-360.1)+(0+(0-0))+0-0-0</f>
        <v>805.30000000000007</v>
      </c>
      <c r="K63" s="3">
        <f>0+(1154.8-354.5)+(0+(-1.766844--0.542385))+0-0-0</f>
        <v>799.07554099999993</v>
      </c>
      <c r="L63" s="3">
        <f>0+(1072.4-263.6)+(0+(-1.093848--0.268872))+0-0-0</f>
        <v>807.97502400000008</v>
      </c>
      <c r="M63" s="3">
        <f>0+(1026.9-162.2)+(0+(-1.571157--0.248166))+0-0-0</f>
        <v>863.37700900000004</v>
      </c>
      <c r="N63" s="3">
        <f>0+(1055.4-118)+(0+(-0.538254--0.06018))+0-0-0</f>
        <v>936.9219260000001</v>
      </c>
      <c r="O63" s="3">
        <f>0+(1207.1-219.8)+(0+(0-0))+0-0-0</f>
        <v>987.3</v>
      </c>
      <c r="P63" s="3">
        <f>106.9+(1157.8-259.2)+(0+(0-0))+0-0-0</f>
        <v>1005.4999999999999</v>
      </c>
      <c r="Q63" s="3">
        <f>115+(1142.7-240.8)+(0.05865+(0.582777-0.122808))+0-0-0</f>
        <v>1017.418619</v>
      </c>
      <c r="R63" s="3">
        <f>114.9+(1099-200.9)+(-0.058599+(-0.56049--0.102459))+0-0-0</f>
        <v>1012.48337</v>
      </c>
      <c r="S63" s="3">
        <f>113.7+(1093.5-228.2)+(-0.115974+(-1.11537--0.232764))+0-0-0</f>
        <v>978.00142000000005</v>
      </c>
      <c r="T63" s="3">
        <f>112.7+(1104.9-237.7)+(-0.057477+(-0.563499--0.121227))+0-0-0</f>
        <v>979.40025100000014</v>
      </c>
      <c r="U63" s="3">
        <f>112.6+(1165.9-301.2)+(-0.114852+(-1.189218--0.307224))+0-0-0</f>
        <v>976.30315400000006</v>
      </c>
      <c r="V63" s="3">
        <f>111.7+(1147.6-289)+(-0.341802+(-3.511656--0.88434))+0-0-0</f>
        <v>967.33088199999997</v>
      </c>
      <c r="W63" s="3">
        <f>112.6+(1173.7-333.4)+(-0.172278+(-1.795761--0.510102))+0-0-0</f>
        <v>951.44206300000008</v>
      </c>
      <c r="X63" s="3">
        <f>104.5+(1178.6-346.3)+(-0.373065+(-4.207602--1.236291))+0-0-0</f>
        <v>933.45562399999994</v>
      </c>
      <c r="Y63" s="3">
        <f>78.1+(1102.3-259)+(-0.199155+(-2.810865--0.66045))+0-0-0</f>
        <v>919.05043000000001</v>
      </c>
      <c r="Z63" s="3">
        <f>96.8+(1138.9-264.1)+(0.049368+(0.580839-0.134691))+0-0-0</f>
        <v>972.09551599999998</v>
      </c>
      <c r="AA63" s="3">
        <f>114.3+(1135.3-254.1)+(-0.174879+(-1.737009--0.388773))+0-0-0</f>
        <v>993.97688499999992</v>
      </c>
      <c r="AB63" s="3">
        <f>114.1+(1145.1-285.9)+(-0.232764+(-2.336004--0.583236))+0-0-0</f>
        <v>971.31446799999992</v>
      </c>
      <c r="AC63" s="3">
        <f>22.5+(1242.9-320)+(-0.02295+(-1.267758--0.3264))+0-0-0</f>
        <v>944.43569200000013</v>
      </c>
      <c r="AD63" s="2">
        <v>988.7</v>
      </c>
      <c r="AE63" s="3">
        <f>115+(1158-284.3)+(0+(0-0))+0-0-0</f>
        <v>988.7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0+(1265-373.8)+(0+(-1.93545--0.571914))+0-0-0</f>
        <v>889.83646400000009</v>
      </c>
      <c r="G64" s="3">
        <f>0+(1218.2-374.5)+(0+(-2.485128--0.76398))+0-0-0</f>
        <v>841.97885200000007</v>
      </c>
      <c r="H64" s="3">
        <f>0+(1236.1-407.3)+(0+(-3.152055--1.038615))+0-0-0</f>
        <v>826.68655999999999</v>
      </c>
      <c r="I64" s="3">
        <f>0+(1253.7-429.8)+(0+(-1.918161--0.657594))+0-0-0</f>
        <v>822.63943300000005</v>
      </c>
      <c r="J64" s="3">
        <f>0+(1253.4-437.8)+(0+(-1.917702--0.669834))+0-0-0</f>
        <v>814.3521320000001</v>
      </c>
      <c r="K64" s="3">
        <f>0+(1246-438.6)+(0+(-3.81276--1.342116))+0-0-0</f>
        <v>804.92935599999998</v>
      </c>
      <c r="L64" s="3">
        <f>0+(1186.6-375.9)+(0+(0.605166-0.191709))+0-0-0</f>
        <v>811.11345699999993</v>
      </c>
      <c r="M64" s="3">
        <f>0+(1201.5-329.5)+(0+(-0.612765--0.168045))+0-0-0</f>
        <v>871.55528000000004</v>
      </c>
      <c r="N64" s="3">
        <f>0+(1219.7-290.5)+(0+(0.622047-0.148155))+0-0-0</f>
        <v>929.67389200000002</v>
      </c>
      <c r="O64" s="3">
        <f>0+(1178-201.4)+(0+(0-0))+0-0-0</f>
        <v>976.6</v>
      </c>
      <c r="P64" s="3">
        <f>87.9+(1150.1-222)+(0+(0-0))+0-0-0</f>
        <v>1015.9999999999999</v>
      </c>
      <c r="Q64" s="3">
        <f>117+(1143.6-231.5)+(0+(0-0))+0-0-0</f>
        <v>1029.0999999999999</v>
      </c>
      <c r="R64" s="3">
        <f>116.8+(1109.3-209.1)+(0+(0-0))+0-0-0</f>
        <v>1016.9999999999999</v>
      </c>
      <c r="S64" s="3">
        <f>116+(1128.8-259.7)+(-0.23664+(-2.302752--0.529788))+0-0-0</f>
        <v>983.09039599999994</v>
      </c>
      <c r="T64" s="3">
        <f>100.6+(1193-307.2)+(-0.051306+(-0.60843--0.156672))+0-0-0</f>
        <v>985.89693599999998</v>
      </c>
      <c r="U64" s="3">
        <f>74.2+(1178.5-310.7)+(-0.151368+(-2.40414--0.633828))+0-0-0</f>
        <v>940.07831999999996</v>
      </c>
      <c r="V64" s="3">
        <f>21.2+(1247.6-334.3)+(-0.075684+(-4.453932--1.193451))+0-0-0</f>
        <v>931.16383499999995</v>
      </c>
      <c r="W64" s="3">
        <f>0+(1248.6-286.9)+(0+(-3.820716--0.877914))+0-0-0</f>
        <v>958.7571979999999</v>
      </c>
      <c r="X64" s="3">
        <f>0+(1162.1-252.8)+(0+(-1.185342--0.257856))+0-0-0</f>
        <v>908.37251399999991</v>
      </c>
      <c r="Y64" s="3">
        <f>0+(1123.2-230.8)+(0+(0-0))+0-0-0</f>
        <v>892.40000000000009</v>
      </c>
      <c r="Z64" s="3">
        <f>0+(1215.3-263.7)+(0+(-1.239606--0.268974))+0-0-0</f>
        <v>950.62936799999989</v>
      </c>
      <c r="AA64" s="3">
        <f>0+(1284.7-314.8)+(0+(-3.275985--0.80274))+0-0-0</f>
        <v>967.42675500000007</v>
      </c>
      <c r="AB64" s="3">
        <f>0+(1260.6-317.7)+(0+(-2.571624--0.648108))+0-0-0</f>
        <v>940.97648399999991</v>
      </c>
      <c r="AC64" s="3">
        <f>0+(1276.3-374.9)+(0+(-4.556391--1.338393))+0-0-0</f>
        <v>898.18200200000001</v>
      </c>
      <c r="AD64" s="2">
        <v>982.39999999999986</v>
      </c>
      <c r="AE64" s="3">
        <f>0+(1268.6-286.2)+(0+(0-0))+0-0-0</f>
        <v>982.39999999999986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0+(1246.7-388.2)+(0+(-4.450719--1.385874))+0-0-0</f>
        <v>855.43515500000001</v>
      </c>
      <c r="G65" s="3">
        <f>0+(1211.6-381.1)+(0+(-3.707496--1.166166))+0-0-0</f>
        <v>827.95866999999987</v>
      </c>
      <c r="H65" s="3">
        <f>0+(1201.7-396.3)+(0+(-2.451468--0.808452))+0-0-0</f>
        <v>803.7569840000001</v>
      </c>
      <c r="I65" s="3">
        <f>0+(1219.1-414.7)+(0+(-2.486964--0.845988))+0-0-0</f>
        <v>802.75902399999984</v>
      </c>
      <c r="J65" s="3">
        <f>0+(1147-350.7)+(0+(-2.33988--0.715428))+0-0-0</f>
        <v>794.67554799999994</v>
      </c>
      <c r="K65" s="3">
        <f>0+(1122.3-330.5)+(0+(-1.717119--0.505665))+0-0-0</f>
        <v>790.58854599999995</v>
      </c>
      <c r="L65" s="3">
        <f>0+(1142.6-349.9)+(0+(-2.330904--0.713796))+0-0-0</f>
        <v>791.0828919999999</v>
      </c>
      <c r="M65" s="3">
        <f>0+(1151.1-300.3)+(0+(0.587061-0.153153))+0-0-0</f>
        <v>851.23390799999993</v>
      </c>
      <c r="N65" s="3">
        <f>0+(1256.8-339.4)+(0+(-1.281936--0.346188))+0-0-0</f>
        <v>916.46425199999999</v>
      </c>
      <c r="O65" s="3">
        <f>0+(1187.4-295.6)+(0+(-3.633444--0.904536))+0-0-0</f>
        <v>889.07109200000002</v>
      </c>
      <c r="P65" s="3">
        <f>46.1+(1153.6-227)+(0.023511+(0.588336-0.11577))+0-0-0</f>
        <v>973.19607699999995</v>
      </c>
      <c r="Q65" s="3">
        <f>42.9+(1153.2-209.5)+(0+(0-0))+0-0-0</f>
        <v>986.6</v>
      </c>
      <c r="R65" s="3">
        <f>43+(1172.5-242.1)+(0+(0-0))+0-0-0</f>
        <v>973.4</v>
      </c>
      <c r="S65" s="3">
        <f>42.9+(1196.9-282.2)+(-0.109395+(-3.052095--0.71961))+0-0-0</f>
        <v>955.15812000000005</v>
      </c>
      <c r="T65" s="3">
        <f>43+(1201.9-293)+(-0.02193+(-0.612969--0.14943))+0-0-0</f>
        <v>951.41453100000012</v>
      </c>
      <c r="U65" s="3">
        <f>34.7+(1245.3-333.3)+(-0.070788+(-2.540412--0.679932))+0-0-0</f>
        <v>944.768732</v>
      </c>
      <c r="V65" s="3">
        <f>0+(1180.9-241.8)+(0+(-1.204518--0.246636))+0-0-0</f>
        <v>938.1421180000001</v>
      </c>
      <c r="W65" s="3">
        <f>0+(1157.1-228.6)+(0+(-1.180242--0.233172))+0-0-0</f>
        <v>927.55292999999983</v>
      </c>
      <c r="X65" s="3">
        <f>0+(1075.1-174.3)+(0+(-0.548301--0.088893))+0-0-0</f>
        <v>900.3405919999999</v>
      </c>
      <c r="Y65" s="3">
        <f>0+(1069.4-169.3)+(0+(-1.636182--0.259029))+0-0-0</f>
        <v>898.72284700000012</v>
      </c>
      <c r="Z65" s="3">
        <f>0+(1088-142.8)+(0+(-1.10976--0.145656))+0-0-0</f>
        <v>944.23589600000003</v>
      </c>
      <c r="AA65" s="3">
        <f>0+(1137.1-171.5)+(0+(-1.159842--0.17493))+0-0-0</f>
        <v>964.6150879999999</v>
      </c>
      <c r="AB65" s="3">
        <f>0+(1146.3-203.6)+(0+(-2.923065--0.51918))+0-0-0</f>
        <v>940.29611499999999</v>
      </c>
      <c r="AC65" s="3">
        <f>0+(1185.1-271.2)+(0+(0-0))+0-0-0</f>
        <v>913.89999999999986</v>
      </c>
      <c r="AD65" s="2">
        <v>980.7</v>
      </c>
      <c r="AE65" s="3">
        <f>0+(1160.7-180)+(0+(0-0))+0-0-0</f>
        <v>980.7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0+(1187.6-318.3)+(0+(-1.211352--0.324666))+0-0-0</f>
        <v>868.4133139999999</v>
      </c>
      <c r="G66" s="3">
        <f>0+(1242.3-415.9)+(0+(-0.633573--0.212109))+0-0-0</f>
        <v>825.97853599999996</v>
      </c>
      <c r="H66" s="3">
        <f>0+(1232-426.5)+(0+(1.88496-0.652545))+0-0-0</f>
        <v>806.73241499999995</v>
      </c>
      <c r="I66" s="3">
        <f>0+(1202.8-403.6)+(0+(0.613428-0.205836))+0-0-0</f>
        <v>799.60759199999995</v>
      </c>
      <c r="J66" s="3">
        <f>0+(1149.6-356.3)+(0+(-1.758888--0.545139))+0-0-0</f>
        <v>792.08625099999995</v>
      </c>
      <c r="K66" s="3">
        <f>0+(1156.9-368.7)+(0+(-2.950095--0.940185))+0-0-0</f>
        <v>786.19009000000005</v>
      </c>
      <c r="L66" s="3">
        <f>0+(1108.3-326.5)+(0+(-1.130466--0.33303))+0-0-0</f>
        <v>781.00256400000001</v>
      </c>
      <c r="M66" s="3">
        <f>0+(1084.9-260.7)+(0+(1.106598-0.265914))+0-0-0</f>
        <v>825.04068400000006</v>
      </c>
      <c r="N66" s="3">
        <f>0+(1084.6-201.8)+(0+(-1.106292--0.205836))+0-0-0</f>
        <v>881.89954399999999</v>
      </c>
      <c r="O66" s="3">
        <f>0+(1062.8-141.1)+(0+(1.084056-0.143922))+0-0-0</f>
        <v>922.64013399999988</v>
      </c>
      <c r="P66" s="3">
        <f>0+(988.4-56.7)+(0+(0-0))+0-0-0</f>
        <v>931.69999999999993</v>
      </c>
      <c r="Q66" s="3">
        <f>8.7+(975.3-59.1)+(0.004437+(0.497403-0.030141))+0-0-0</f>
        <v>925.37169899999992</v>
      </c>
      <c r="R66" s="3">
        <f>22.9+(983.4-84.2)+(-0.046716+(-2.006136--0.171768))+0-0-0</f>
        <v>920.21891599999992</v>
      </c>
      <c r="S66" s="3">
        <f>0+(1051.4-158.8)+(0+(-1.072428--0.161976))+0-0-0</f>
        <v>891.68954800000017</v>
      </c>
      <c r="T66" s="3">
        <f>0+(1072.7-188.4)+(0+(-0.547077--0.096084))+0-0-0</f>
        <v>883.84900700000003</v>
      </c>
      <c r="U66" s="3">
        <f>0+(1116.8-237.5)+(0+(-2.278272--0.4845))+0-0-0</f>
        <v>877.50622799999996</v>
      </c>
      <c r="V66" s="3">
        <f>0+(1118.3-244.3)+(0+(-2.851665--0.622965))+0-0-0</f>
        <v>871.7713</v>
      </c>
      <c r="W66" s="3">
        <f>0+(1118.1-252)+(0+(-2.280924--0.51408))+0-0-0</f>
        <v>864.33315599999992</v>
      </c>
      <c r="X66" s="3">
        <f>0+(1066.5-226.8)+(0+(-2.719575--0.57834))+0-0-0</f>
        <v>837.55876499999999</v>
      </c>
      <c r="Y66" s="3">
        <f>0+(1024-195.4)+(0+(-0.52224--0.099654))+0-0-0</f>
        <v>828.177414</v>
      </c>
      <c r="Z66" s="3">
        <f>0+(1011.9-123.9)+(0+(-0.516069--0.063189))+0-0-0</f>
        <v>887.54711999999995</v>
      </c>
      <c r="AA66" s="3">
        <f>0+(1019.5-99.2)+(0+(-2.599725--0.25296))+0-0-0</f>
        <v>917.95323499999995</v>
      </c>
      <c r="AB66" s="3">
        <f>0+(1047.3-150.4)+(0+(-2.670615--0.38352))+0-0-0</f>
        <v>894.61290499999996</v>
      </c>
      <c r="AC66" s="3">
        <f>0+(1067.5-198.5)+(0+(-0.544425--0.101235))+0-0-0</f>
        <v>868.55681000000004</v>
      </c>
      <c r="AD66" s="2">
        <v>942.8</v>
      </c>
      <c r="AE66" s="3">
        <f>0+(1032-89.2)+(0+(0-0))+0-0-0</f>
        <v>942.8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0+(1101.6-259.3)+(0+(-0.561816--0.132243))+0-0-0</f>
        <v>841.87042699999995</v>
      </c>
      <c r="G67" s="3">
        <f>0+(1114.6-317.1)+(0+(-1.136892--0.323442))+0-0-0</f>
        <v>796.6865499999999</v>
      </c>
      <c r="H67" s="3">
        <f>0+(1065-295.7)+(0+(-1.62945--0.452421))+0-0-0</f>
        <v>768.12297100000001</v>
      </c>
      <c r="I67" s="3">
        <f>0+(1013.4-258.5)+(0+(-1.033668--0.26367))+0-0-0</f>
        <v>754.13000199999999</v>
      </c>
      <c r="J67" s="3">
        <f>0+(963.3-212.4)+(0+(1.473849-0.324972))+0-0-0</f>
        <v>752.04887699999995</v>
      </c>
      <c r="K67" s="3">
        <f>0+(948-215.6)+(0+(-0.48348--0.109956))+0-0-0</f>
        <v>732.026476</v>
      </c>
      <c r="L67" s="3">
        <f>0+(970.8-259.6)+(0+(0.495108-0.132396))+0-0-0</f>
        <v>711.56271199999992</v>
      </c>
      <c r="M67" s="3">
        <f>0+(970-239.2)+(0+(-0.4947--0.121992))+0-0-0</f>
        <v>730.42729199999997</v>
      </c>
      <c r="N67" s="3">
        <f>0+(979.8-214.1)+(0+(-1.499094--0.327573))+0-0-0</f>
        <v>764.52847899999995</v>
      </c>
      <c r="O67" s="3">
        <f>0+(990.6-200.3)+(0+(-1.010412--0.204306))+0-0-0</f>
        <v>789.49389399999995</v>
      </c>
      <c r="P67" s="3">
        <f>0+(1023.6-199.3)+(0+(-0.522036--0.101643))+0-0-0</f>
        <v>823.87960699999996</v>
      </c>
      <c r="Q67" s="3">
        <f>0+(1071.5-220.9)+(0+(-1.09293--0.225318))+0-0-0</f>
        <v>849.73238800000001</v>
      </c>
      <c r="R67" s="3">
        <f>0+(1042.1-209.3)+(0+(0.531471-0.106743))+0-0-0</f>
        <v>833.22472799999991</v>
      </c>
      <c r="S67" s="3">
        <f>0+(1018-198.1)+(0+(-0.51918--0.101031))+0-0-0</f>
        <v>819.48185100000001</v>
      </c>
      <c r="T67" s="3">
        <f>0+(997.1-195.3)+(0+(-0.508521--0.099603))+0-0-0</f>
        <v>801.39108199999998</v>
      </c>
      <c r="U67" s="3">
        <f>0+(1046.1-255.2)+(0+(2.667555-0.65076))+0-0-0</f>
        <v>792.91679499999987</v>
      </c>
      <c r="V67" s="3">
        <f>0+(1076.8-286.7)+(0+(-0.549168--0.146217))+0-0-0</f>
        <v>789.69704899999988</v>
      </c>
      <c r="W67" s="3">
        <f>0+(1108.6-326.5)+(0+(-1.130772--0.33303))+0-0-0</f>
        <v>781.30225799999994</v>
      </c>
      <c r="X67" s="3">
        <f>0+(1107.2-324.6)+(0+(-3.388032--0.993276))+0-0-0</f>
        <v>780.20524399999999</v>
      </c>
      <c r="Y67" s="3">
        <f>0+(1092.7-308.8)+(0+(-1.671831--0.472464))+0-0-0</f>
        <v>782.70063300000004</v>
      </c>
      <c r="Z67" s="3">
        <f>0+(1088.5-251.6)+(0+(-1.11027--0.256632))+0-0-0</f>
        <v>836.04636199999993</v>
      </c>
      <c r="AA67" s="3">
        <f>0+(990.8-107.2)+(0+(-1.515924--0.164016))+0-0-0</f>
        <v>882.24809199999993</v>
      </c>
      <c r="AB67" s="3">
        <f>0+(1024.9-163.9)+(0+(-1.568097--0.250767))+0-0-0</f>
        <v>859.68267000000014</v>
      </c>
      <c r="AC67" s="3">
        <f>0+(1072.3-259)+(0+(-0.546873--0.13209))+0-0-0</f>
        <v>812.8852169999999</v>
      </c>
      <c r="AD67" s="2">
        <v>867</v>
      </c>
      <c r="AE67" s="3">
        <f>0+(989-122)+(0+(0-0))+0-0-0</f>
        <v>867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0+(1130-354.1)+(0+(-2.3052--0.722364))+0-0-0</f>
        <v>774.31716399999993</v>
      </c>
      <c r="G68" s="3">
        <f>0+(1155.5-407.2)+(0+(-2.946525--1.03836))+0-0-0</f>
        <v>746.3918349999999</v>
      </c>
      <c r="H68" s="3">
        <f>0+(1123.6-397.3)+(0+(-2.292144--0.810492))+0-0-0</f>
        <v>724.8183479999999</v>
      </c>
      <c r="I68" s="3">
        <f>0+(1122.1-400.4)+(0+(-1.144542--0.408408))+0-0-0</f>
        <v>720.96386599999994</v>
      </c>
      <c r="J68" s="3">
        <f>0+(1108.7-385)+(0+(-1.130874--0.3927))+0-0-0</f>
        <v>722.96182600000009</v>
      </c>
      <c r="K68" s="3">
        <f>0+(1113.8-385.8)+(0+(-2.84019--0.98379))+0-0-0</f>
        <v>726.14359999999999</v>
      </c>
      <c r="L68" s="3">
        <f>0+(1147.5-387.5)+(0+(-0.585225--0.197625))+0-0-0</f>
        <v>759.61239999999998</v>
      </c>
      <c r="M68" s="3">
        <f>0+(1218.4-389.3)+(0+(1.242768-0.397086))+0-0-0</f>
        <v>829.94568200000015</v>
      </c>
      <c r="N68" s="3">
        <f>0+(1186.2-266.3)+(0+(0.604962-0.135813))+0-0-0</f>
        <v>920.36914900000011</v>
      </c>
      <c r="O68" s="3">
        <f>0+(1136.3-182.5)+(0+(0.579513-0.093075))+0-0-0</f>
        <v>954.28643799999998</v>
      </c>
      <c r="P68" s="3">
        <f>0+(1090.3-106.3)+(0+(-1.668159--0.162639))+0-0-0</f>
        <v>982.49447999999995</v>
      </c>
      <c r="Q68" s="3">
        <f>0+(1055.1-60.3)+(0+(-0.538101--0.030753))+0-0-0</f>
        <v>994.29265199999998</v>
      </c>
      <c r="R68" s="3">
        <f>0+(1036.9-34.6)+(0+(1.057638-0.035292))+0-0-0</f>
        <v>1003.322346</v>
      </c>
      <c r="S68" s="3">
        <f>0+(1022.7-47)+(0+(-1.043154--0.04794))+0-0-0</f>
        <v>974.70478600000001</v>
      </c>
      <c r="T68" s="3">
        <f>0+(1008.8-36.7)+(0+(-0.514488--0.018717))+0-0-0</f>
        <v>971.60422899999992</v>
      </c>
      <c r="U68" s="3">
        <f>0+(1071.3-101.7)+(0+(-2.731815--0.259335))+0-0-0</f>
        <v>967.12751999999989</v>
      </c>
      <c r="V68" s="3">
        <f>0+(1082.3-117.6)+(0+(-0.551973--0.059976))+0-0-0</f>
        <v>964.20800299999996</v>
      </c>
      <c r="W68" s="3">
        <f>0+(1123.5-183.2)+(0+(-2.29194--0.373728))+0-0-0</f>
        <v>938.38178799999991</v>
      </c>
      <c r="X68" s="3">
        <f>0+(1160.4-230.5)+(0+(-2.95902--0.587775))+0-0-0</f>
        <v>927.52875500000005</v>
      </c>
      <c r="Y68" s="3">
        <f>0+(1134.4-221.5)+(0+(0.578544-0.112965))+0-0-0</f>
        <v>913.36557900000014</v>
      </c>
      <c r="Z68" s="3">
        <f>0+(1175-219.4)+(0+(-0.59925--0.111894))+0-0-0</f>
        <v>955.11264400000005</v>
      </c>
      <c r="AA68" s="3">
        <f>0+(1221.7-230.6)+(0+(-1.869201--0.352818))+0-0-0</f>
        <v>989.583617</v>
      </c>
      <c r="AB68" s="3">
        <f>0+(1237.9-278.1)+(0+(-3.787974--0.850986))+0-0-0</f>
        <v>956.86301200000003</v>
      </c>
      <c r="AC68" s="3">
        <f>0+(1306.3-386.9)+(0+(-3.331065--0.986595))+0-0-0</f>
        <v>917.05552999999998</v>
      </c>
      <c r="AD68" s="2">
        <v>1004.3</v>
      </c>
      <c r="AE68" s="3">
        <f>0+(1218.5-214.2)+(0+(0-0))+0-0-0</f>
        <v>1004.3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0+(1280.8-407.5)+(0+(0-0))+0-0-0</f>
        <v>873.3</v>
      </c>
      <c r="G69" s="3">
        <f>0+(1240-407.7)+(0+(-1.8972--0.623781))+0-0-0</f>
        <v>831.02658099999996</v>
      </c>
      <c r="H69" s="3">
        <f>0+(1233.8-422)+(0+(-2.516952--0.86088))+0-0-0</f>
        <v>810.14392799999996</v>
      </c>
      <c r="I69" s="3">
        <f>0+(1228.2-423.4)+(0+(-2.505528--0.863736))+0-0-0</f>
        <v>803.15820800000006</v>
      </c>
      <c r="J69" s="3">
        <f>0+(1231.8-429.7)+(0+(-0.628218--0.219147))+0-0-0</f>
        <v>801.69092899999987</v>
      </c>
      <c r="K69" s="3">
        <f>0+(1223.9-431.1)+(0+(-2.496756--0.879444))+0-0-0</f>
        <v>791.1826880000001</v>
      </c>
      <c r="L69" s="3">
        <f>0+(1239-438.9)+(0+(-3.15945--1.119195))+0-0-0</f>
        <v>798.05974500000002</v>
      </c>
      <c r="M69" s="3">
        <f>0+(1224.3-361.1)+(0+(0.624393-0.184161))+0-0-0</f>
        <v>863.64023199999997</v>
      </c>
      <c r="N69" s="3">
        <f>0+(1201.2-302.8)+(0+(0-0))+0-0-0</f>
        <v>898.40000000000009</v>
      </c>
      <c r="O69" s="3">
        <f>0+(1323-348.9)+(0+(-0.67473--0.177939))+0-0-0</f>
        <v>973.60320899999999</v>
      </c>
      <c r="P69" s="3">
        <f>0+(1277.6-272.8)+(0+(0.651576-0.139128))+0-0-0</f>
        <v>1005.3124479999999</v>
      </c>
      <c r="Q69" s="3">
        <f>19.4+(1250.1-263.1)+(-0.019788+(-1.275102--0.268362))+0-0-0</f>
        <v>1005.3734719999999</v>
      </c>
      <c r="R69" s="3">
        <f>114.9+(1198.1-309.8)+(0.058599+(0.611031-0.157998))+0-0-0</f>
        <v>1003.7116319999999</v>
      </c>
      <c r="S69" s="3">
        <f>114.7+(1231.8-375.5)+(-0.058497+(-0.628218--0.191505))+0-0-0</f>
        <v>970.50478999999996</v>
      </c>
      <c r="T69" s="3">
        <f>114.9+(1273.1-408.3)+(0+(0-0))+0-0-0</f>
        <v>979.69999999999993</v>
      </c>
      <c r="U69" s="3">
        <f>113.1+(1285.1-422.2)+(-0.057681+(-0.655401--0.215322))+0-0-0</f>
        <v>975.50223999999992</v>
      </c>
      <c r="V69" s="3">
        <f>110.8+(1250.3-383.5)+(-0.226032+(-2.550612--0.78234))+0-0-0</f>
        <v>975.60569599999985</v>
      </c>
      <c r="W69" s="3">
        <f>75.2+(1205.2-310.9)+(-0.230112+(-3.687912--0.951354))+0-0-0</f>
        <v>966.53333000000009</v>
      </c>
      <c r="X69" s="3">
        <f>0+(1176-238.8)+(0+(-2.39904--0.487152))+0-0-0</f>
        <v>935.28811200000007</v>
      </c>
      <c r="Y69" s="3">
        <f>0+(1188.6-272.1)+(0+(1.818558-0.416313))+0-0-0</f>
        <v>917.90224499999988</v>
      </c>
      <c r="Z69" s="3">
        <f>0+(1192.7-224.3)+(0+(0-0))+0-0-0</f>
        <v>968.40000000000009</v>
      </c>
      <c r="AA69" s="3">
        <f>0+(1181.5-186.9)+(0+(-2.41026--0.381276))+0-0-0</f>
        <v>992.57101599999999</v>
      </c>
      <c r="AB69" s="3">
        <f>0+(1244.4-271.5)+(0+(-1.903932--0.415395))+0-0-0</f>
        <v>971.41146300000014</v>
      </c>
      <c r="AC69" s="3">
        <f>0+(1263.7-325.6)+(0+(-0.644487--0.166056))+0-0-0</f>
        <v>937.62156900000002</v>
      </c>
      <c r="AD69" s="2">
        <v>983.80000000000007</v>
      </c>
      <c r="AE69" s="3">
        <f>0+(1218.4-234.6)+(0+(0-0))+0-0-0</f>
        <v>983.80000000000007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0+(1191.8-318.6)+(0+(-1.823454--0.487458))+0-0-0</f>
        <v>871.86400399999991</v>
      </c>
      <c r="G70" s="3">
        <f>0+(1196.8-357.4)+(0+(0-0))+0-0-0</f>
        <v>839.4</v>
      </c>
      <c r="H70" s="3">
        <f>0+(1207.9-382.6)+(0+(0-0))+0-0-0</f>
        <v>825.30000000000007</v>
      </c>
      <c r="I70" s="3">
        <f>0+(1186.5-363.7)+(0+(1.21023-0.370974))+0-0-0</f>
        <v>823.63925599999993</v>
      </c>
      <c r="J70" s="3">
        <f>0+(1150-333.3)+(0+(-0.5865--0.169983))+0-0-0</f>
        <v>816.28348300000005</v>
      </c>
      <c r="K70" s="3">
        <f>0+(1145.9-340.5)+(0+(-2.922045--0.868275))+0-0-0</f>
        <v>803.34623000000011</v>
      </c>
      <c r="L70" s="3">
        <f>0+(1118-302.6)+(0+(-1.14036--0.308652))+0-0-0</f>
        <v>814.56829199999993</v>
      </c>
      <c r="M70" s="3">
        <f>0+(1115.6-242.8)+(0+(1.137912-0.247656))+0-0-0</f>
        <v>873.69025599999998</v>
      </c>
      <c r="N70" s="3">
        <f>0+(1235.2-294)+(0+(1.889856-0.44982))+0-0-0</f>
        <v>942.64003600000001</v>
      </c>
      <c r="O70" s="3">
        <f>0+(1303.3-302.2)+(0+(1.329366-0.308244))+0-0-0</f>
        <v>1002.1211219999999</v>
      </c>
      <c r="P70" s="3">
        <f>0+(1260.3-239.3)+(0+(1.928259-0.366129))+0-0-0</f>
        <v>1022.56213</v>
      </c>
      <c r="Q70" s="3">
        <f>0+(1261.4-234.1)+(0+(0-0))+0-0-0</f>
        <v>1027.3000000000002</v>
      </c>
      <c r="R70" s="3">
        <f>0+(1251.4-232.1)+(0+(-0.638214--0.118371))+0-0-0</f>
        <v>1018.780157</v>
      </c>
      <c r="S70" s="3">
        <f>23.9+(1236.2-280.9)+(-0.036567+(-1.891386--0.429777))+0-0-0</f>
        <v>977.7018240000001</v>
      </c>
      <c r="T70" s="3">
        <f>45+(1239.8-297.7)+(0.06885+(1.896894-0.455481))+0-0-0</f>
        <v>988.61026299999992</v>
      </c>
      <c r="U70" s="3">
        <f>45+(1216.1-286.8)+(-0.0459+(-1.240422--0.292536))+0-0-0</f>
        <v>973.30621399999995</v>
      </c>
      <c r="V70" s="3">
        <f>45+(1181.2-245.3)+(-0.11475+(-3.01206--0.625515))+0-0-0</f>
        <v>978.39870500000006</v>
      </c>
      <c r="W70" s="3">
        <f>2+(1121.1-147.6)+(-0.00306+(-1.715283--0.225828))+0-0-0</f>
        <v>974.00748499999986</v>
      </c>
      <c r="X70" s="3">
        <f>0+(1104.9-148)+(0+(-2.817495--0.3774))+0-0-0</f>
        <v>954.45990500000005</v>
      </c>
      <c r="Y70" s="3">
        <f>0+(1094.2-168.3)+(0+(-1.116084--0.171666))+0-0-0</f>
        <v>924.95558200000005</v>
      </c>
      <c r="Z70" s="3">
        <f>0+(1129.7-156.2)+(0+(-1.152294--0.159324))+0-0-0</f>
        <v>972.50702999999999</v>
      </c>
      <c r="AA70" s="3">
        <f>0+(1177.4-160.9)+(0+(-1.801422--0.246177))+0-0-0</f>
        <v>1014.9447550000001</v>
      </c>
      <c r="AB70" s="3">
        <f>0+(1203.2-216.9)+(0+(-3.06816--0.553095))+0-0-0</f>
        <v>983.78493500000002</v>
      </c>
      <c r="AC70" s="3">
        <f>0+(1196.9-263.1)+(0+(-1.831257--0.402543))+0-0-0</f>
        <v>932.37128600000005</v>
      </c>
      <c r="AD70" s="2">
        <v>1029.8</v>
      </c>
      <c r="AE70" s="3">
        <f>0+(1196.8-167)+(0+(0-0))+0-0-0</f>
        <v>1029.8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0+(1258.9-358.4)+(0+(-1.926117--0.548352))+0-0-0</f>
        <v>899.12223500000016</v>
      </c>
      <c r="G71" s="3">
        <f>0+(1202.8-342.3)+(0+(-0.613428--0.174573))+0-0-0</f>
        <v>860.06114500000001</v>
      </c>
      <c r="H71" s="3">
        <f>0+(1134.6-289.4)+(0+(-1.157292--0.295188))+0-0-0</f>
        <v>844.33789599999989</v>
      </c>
      <c r="I71" s="3">
        <f>0+(1122.9-286.9)+(0+(-1.718037--0.438957))+0-0-0</f>
        <v>834.72092000000009</v>
      </c>
      <c r="J71" s="3">
        <f>0+(1124.7-285.8)+(0+(-2.294388--0.583032))+0-0-0</f>
        <v>837.18864400000007</v>
      </c>
      <c r="K71" s="3">
        <f>0+(1154.1-330.1)+(0+(-1.765773--0.505053))+0-0-0</f>
        <v>822.73927999999989</v>
      </c>
      <c r="L71" s="3">
        <f>0+(1144.9-308.5)+(0+(-2.335596--0.62934))+0-0-0</f>
        <v>834.69374400000004</v>
      </c>
      <c r="M71" s="3">
        <f>0+(1138.8-248.8)+(0+(0-0))+0-0-0</f>
        <v>890</v>
      </c>
      <c r="N71" s="3">
        <f>0+(1141.8-182.9)+(0+(1.164636-0.186558))+0-0-0</f>
        <v>959.87807799999996</v>
      </c>
      <c r="O71" s="3">
        <f>0+(1197.2-205.7)+(0+(2.442288-0.419628))+0-0-0</f>
        <v>993.52265999999997</v>
      </c>
      <c r="P71" s="3">
        <f>52.1+(1240.8-264.7)+(-0.053142+(-1.265616--0.269994))+0-0-0</f>
        <v>1027.1512359999999</v>
      </c>
      <c r="Q71" s="3">
        <f>119+(1101.2-170.7)+(0+(0-0))+0-0-0</f>
        <v>1049.5</v>
      </c>
      <c r="R71" s="3">
        <f>186+(1014.5-167.3)+(-0.28458+(-1.552185--0.255969))+0-0-0</f>
        <v>1031.6192040000001</v>
      </c>
      <c r="S71" s="3">
        <f>232.1+(1015.1-248.3)+(0.236742+(1.035402-0.253266))+0-0-0</f>
        <v>999.91887799999995</v>
      </c>
      <c r="T71" s="3">
        <f>232.5+(1054.1-284.4)+(0.23715+(1.075182-0.290088))+0-0-0</f>
        <v>1003.2222439999999</v>
      </c>
      <c r="U71" s="3">
        <f>229.1+(1085.6-315.8)+(0+(0-0))+0-0-0</f>
        <v>998.9</v>
      </c>
      <c r="V71" s="3">
        <f>230.1+(1073.2-305.2)+(-0.234702+(-1.094664--0.311304))+0-0-0</f>
        <v>997.08193800000004</v>
      </c>
      <c r="W71" s="3">
        <f>230.3+(1037.6-291.6)+(-0.469812+(-2.116704--0.594864))+0-0-0</f>
        <v>974.30834799999991</v>
      </c>
      <c r="X71" s="3">
        <f>214.7+(1021.5-275.3)+(-0.656982+(-3.12579--0.842418))+0-0-0</f>
        <v>957.95964600000013</v>
      </c>
      <c r="Y71" s="3">
        <f>111.1+(1068.5-236.2)+(0.113322+(1.08987-0.240924))+0-0-0</f>
        <v>944.36226799999997</v>
      </c>
      <c r="Z71" s="3">
        <f>147.9+(1059.8-230.6)+(-0.075429+(-0.540498--0.117606))+0-0-0</f>
        <v>976.60167899999988</v>
      </c>
      <c r="AA71" s="3">
        <f>229.5+(1009.7-222.4)+(-0.23409+(-1.029894--0.226848))+0-0-0</f>
        <v>1015.762864</v>
      </c>
      <c r="AB71" s="3">
        <f>221.8+(1030.8-260.9)+(-0.452472+(-2.102832--0.532236))+0-0-0</f>
        <v>989.67693200000008</v>
      </c>
      <c r="AC71" s="3">
        <f>52.5+(1200.4-279.1)+(-0.080325+(-1.836612--0.427023))+0-0-0</f>
        <v>972.31008600000007</v>
      </c>
      <c r="AD71" s="2">
        <v>1020.9999999999999</v>
      </c>
      <c r="AE71" s="3">
        <f>230+(1016.1-225.1)+(0+(0-0))+0-0-0</f>
        <v>1021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0+(1202.5-285)+(0+(-2.4531--0.5814))+0-0-0</f>
        <v>915.62829999999997</v>
      </c>
      <c r="G72" s="3">
        <f>0+(1146.7-277.7)+(0+(-2.339268--0.566508))+0-0-0</f>
        <v>867.22724000000005</v>
      </c>
      <c r="H72" s="3">
        <f>0+(1107.2-257.1)+(0+(-1.694016--0.393363))+0-0-0</f>
        <v>848.79934700000001</v>
      </c>
      <c r="I72" s="3">
        <f>0+(1118.3-276.5)+(0+(-3.421998--0.84609))+0-0-0</f>
        <v>839.22409199999993</v>
      </c>
      <c r="J72" s="3">
        <f>0+(1119.9-287.1)+(0+(-2.284596--0.585684))+0-0-0</f>
        <v>831.10108800000012</v>
      </c>
      <c r="K72" s="3">
        <f>0+(1134.9-305.5)+(0+(-2.893995--0.779025))+0-0-0</f>
        <v>827.28503000000012</v>
      </c>
      <c r="L72" s="3">
        <f>0+(1106.2-272.4)+(0+(-2.256648--0.555696))+0-0-0</f>
        <v>832.09904800000004</v>
      </c>
      <c r="M72" s="3">
        <f>0+(1133.8-236.2)+(0+(3.469428-0.722772))+0-0-0</f>
        <v>900.34665599999994</v>
      </c>
      <c r="N72" s="3">
        <f>5.7+(1217.5-267.5)+(0+(0-0))+0-0-0</f>
        <v>955.7</v>
      </c>
      <c r="O72" s="3">
        <f>115+(1183-299.2)+(0.1173+(1.20666-0.305184))+0-0-0</f>
        <v>999.81877599999996</v>
      </c>
      <c r="P72" s="3">
        <f>114.3+(1128.8-218.1)+(-0.116586+(-1.151376--0.222462))+0-0-0</f>
        <v>1023.9545000000001</v>
      </c>
      <c r="Q72" s="3">
        <f>115.1+(1066.3-146.2)+(0+(0-0))+0-0-0</f>
        <v>1035.1999999999998</v>
      </c>
      <c r="R72" s="3">
        <f>115+(1021.4-108.8)+(-0.05865+(-0.520914--0.055488))+0-0-0</f>
        <v>1027.075924</v>
      </c>
      <c r="S72" s="3">
        <f>114.4+(1023.1-149.3)+(-0.116688+(-1.043562--0.152286))+0-0-0</f>
        <v>987.19203599999992</v>
      </c>
      <c r="T72" s="3">
        <f>114.9+(1025.9-147.3)+(0+(0-0))+0-0-0</f>
        <v>993.50000000000011</v>
      </c>
      <c r="U72" s="3">
        <f>114.7+(1016.2-135.8)+(-0.116994+(-1.036524--0.138516))+0-0-0</f>
        <v>994.08499800000016</v>
      </c>
      <c r="V72" s="3">
        <f>114.3+(1060.7-145.1)+(-0.174879+(-1.622871--0.222003))+0-0-0</f>
        <v>1028.324253</v>
      </c>
      <c r="W72" s="3">
        <f>113.4+(1026.1-168.4)+(-0.347004+(-3.139866--0.515304))+0-0-0</f>
        <v>968.12843399999986</v>
      </c>
      <c r="X72" s="3">
        <f>96.5+(1115.9-266)+(-0.049215+(-0.569109--0.13566))+0-0-0</f>
        <v>945.91733600000009</v>
      </c>
      <c r="Y72" s="3">
        <f>47.1+(1171.2-275.2)+(-0.048042+(-1.194624--0.280704))+0-0-0</f>
        <v>942.13803800000005</v>
      </c>
      <c r="Z72" s="3">
        <f>75.8+(1104.7-201.4)+(0.038658+(0.563397-0.102714))+0-0-0</f>
        <v>979.59934099999998</v>
      </c>
      <c r="AA72" s="3">
        <f>116.7+(1061.3-153)+(-0.119034+(-1.082526--0.15606))+0-0-0</f>
        <v>1023.9545000000001</v>
      </c>
      <c r="AB72" s="3">
        <f>116.6+(1082.1-202.4)+(-0.118932+(-1.103742--0.206448))+0-0-0</f>
        <v>995.28377399999999</v>
      </c>
      <c r="AC72" s="3">
        <f>117+(1159.4-314.6)+(0.05967+(0.591294-0.160446))+0-0-0</f>
        <v>962.29051800000002</v>
      </c>
      <c r="AD72" s="2">
        <v>1034.6999999999998</v>
      </c>
      <c r="AE72" s="3">
        <f>117+(1067.1-149.4)+(0+(0-0))+0-0-0</f>
        <v>1034.6999999999998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64.4+(1225-368.5)+(-0.131376+(-2.499--0.75174))+0-0-0</f>
        <v>919.02136399999995</v>
      </c>
      <c r="G73" s="3">
        <f>0+(1235.1-357.7)+(0+(0-0))+0-0-0</f>
        <v>877.39999999999986</v>
      </c>
      <c r="H73" s="3">
        <f>0+(1224.7-368.4)+(0+(-0.624597--0.187884))+0-0-0</f>
        <v>855.86328700000001</v>
      </c>
      <c r="I73" s="3">
        <f>0+(1183-334.5)+(0+(1.80999-0.511785))+0-0-0</f>
        <v>849.79820500000005</v>
      </c>
      <c r="J73" s="3">
        <f>0+(1159.3-313.5)+(0+(-1.773729--0.479655))+0-0-0</f>
        <v>844.50592599999993</v>
      </c>
      <c r="K73" s="3">
        <f>0+(1151.7-314.2)+(0+(-2.936835--0.80121))+0-0-0</f>
        <v>835.364375</v>
      </c>
      <c r="L73" s="3">
        <f>0+(1136.5-302.7)+(0+(-1.15923--0.308754))+0-0-0</f>
        <v>832.949524</v>
      </c>
      <c r="M73" s="3">
        <f>0+(1152-264.8)+(0+(-0.58752--0.135048))+0-0-0</f>
        <v>886.7475280000001</v>
      </c>
      <c r="N73" s="3">
        <f>0+(1230.3-277.2)+(0+(3.137265-0.70686))+0-0-0</f>
        <v>955.53040499999986</v>
      </c>
      <c r="O73" s="3">
        <f>23+(1256.2-283.2)+(0.05865+(3.20331-0.72216))+0-0-0</f>
        <v>998.53980000000001</v>
      </c>
      <c r="P73" s="3">
        <f>115.5+(1150.7-240.1)+(0.23562+(2.347428-0.489804))+0-0-0</f>
        <v>1028.1932439999998</v>
      </c>
      <c r="Q73" s="3">
        <f>114.9+(1080.5-158.7)+(0.117198+(1.10211-0.161874))+0-0-0</f>
        <v>1037.7574340000001</v>
      </c>
      <c r="R73" s="3">
        <f>175+(1024.7-166.3)+(0.08925+(0.522597-0.084813))+0-0-0</f>
        <v>1033.927034</v>
      </c>
      <c r="S73" s="3">
        <f>219.7+(987.5-201)+(-0.224094+(-1.00725--0.20502))+0-0-0</f>
        <v>1005.173676</v>
      </c>
      <c r="T73" s="3">
        <f>219.2+(1007.8-234.4)+(-0.111792+(-0.513978--0.119544))+0-0-0</f>
        <v>992.09377399999994</v>
      </c>
      <c r="U73" s="3">
        <f>218.7+(994.2-230.3)+(-0.223074+(-1.014084--0.234906))+0-0-0</f>
        <v>981.59774800000014</v>
      </c>
      <c r="V73" s="3">
        <f>220.1+(1003-252.7)+(0.112251+(0.51153-0.128877))+0-0-0</f>
        <v>970.894904</v>
      </c>
      <c r="W73" s="3">
        <f>219.2+(1009.9-263.1)+(-0.223584+(-1.030098--0.268362))+0-0-0</f>
        <v>965.01468</v>
      </c>
      <c r="X73" s="3">
        <f>219+(1031.9-308.4)+(-0.22338+(-1.052538--0.314568))+0-0-0</f>
        <v>941.53865000000008</v>
      </c>
      <c r="Y73" s="3">
        <f>99.4+(1096.9-262)+(-0.101388+(-1.118838--0.26724))+0-0-0</f>
        <v>933.34701400000006</v>
      </c>
      <c r="Z73" s="3">
        <f>248.3+(1046-316.1)+(-0.379899+(-1.60038--0.483633))+0-0-0</f>
        <v>976.70335399999999</v>
      </c>
      <c r="AA73" s="3">
        <f>332.7+(943-257.5)+(-0.678708+(-1.92372--0.5253))+0-0-0</f>
        <v>1016.122872</v>
      </c>
      <c r="AB73" s="3">
        <f>333+(979.9-322.2)+(-0.50949+(-1.499247--0.492966))+0-0-0</f>
        <v>989.18422900000007</v>
      </c>
      <c r="AC73" s="3">
        <f>264.4+(1065.1-364.5)+(-0.539376+(-2.172804--0.74358))+0-0-0</f>
        <v>963.03139999999985</v>
      </c>
      <c r="AD73" s="2">
        <v>1013.0999999999999</v>
      </c>
      <c r="AE73" s="3">
        <f>334+(953.6-274.5)+(0+(0-0))+0-0-0</f>
        <v>1013.1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225.7+(1051.1-352.6)+(-0.345321+(-1.608183--0.539478))+0-0-0</f>
        <v>922.78597399999978</v>
      </c>
      <c r="G74" s="3">
        <f>229.1+(1003.8-348.8)+(-0.116841+(-0.511938--0.177888))+0-0-0</f>
        <v>883.64910900000007</v>
      </c>
      <c r="H74" s="3">
        <f>51.5+(1068-266)+(-0.05253+(-1.08936--0.27132))+0-0-0</f>
        <v>852.62942999999996</v>
      </c>
      <c r="I74" s="3">
        <f>0+(1045-205.2)+(0+(-0.53295--0.104652))+0-0-0</f>
        <v>839.37170199999991</v>
      </c>
      <c r="J74" s="3">
        <f>0+(1026.9-204.7)+(0+(-3.666033--0.730779))+0-0-0</f>
        <v>819.26474600000006</v>
      </c>
      <c r="K74" s="3">
        <f>0+(1056.7-240.9)+(0+(-5.38917--1.22859))+0-0-0</f>
        <v>811.63942000000009</v>
      </c>
      <c r="L74" s="3">
        <f>0+(1022.1-253)+(0+(-1.042542--0.25806))+0-0-0</f>
        <v>768.315518</v>
      </c>
      <c r="M74" s="3">
        <f>0+(986.2-208)+(0+(1.508886-0.31824))+0-0-0</f>
        <v>779.39064600000006</v>
      </c>
      <c r="N74" s="3">
        <f>0+(1013.4-185.4)+(0+(2.067336-0.378216))+0-0-0</f>
        <v>829.68912</v>
      </c>
      <c r="O74" s="3">
        <f>0+(1126.2-250.8)+(0+(-0.574362--0.127908))+0-0-0</f>
        <v>874.95354600000007</v>
      </c>
      <c r="P74" s="3">
        <f>0+(1185.7-280.4)+(0+(0-0))+0-0-0</f>
        <v>905.30000000000007</v>
      </c>
      <c r="Q74" s="3">
        <f>0+(1191.2-269.4)+(0+(0-0))+0-0-0</f>
        <v>921.80000000000007</v>
      </c>
      <c r="R74" s="3">
        <f>0+(1156.2-239.1)+(0+(1.768986-0.365823))+0-0-0</f>
        <v>918.50316299999997</v>
      </c>
      <c r="S74" s="3">
        <f>0+(1144-258.8)+(0+(-1.16688--0.263976))+0-0-0</f>
        <v>884.29709600000001</v>
      </c>
      <c r="T74" s="3">
        <f>0+(1132.8-261.8)+(0+(-1.155456--0.267036))+0-0-0</f>
        <v>870.11158</v>
      </c>
      <c r="U74" s="3">
        <f>0+(1173-313.7)+(0+(0-0))+0-0-0</f>
        <v>859.3</v>
      </c>
      <c r="V74" s="3">
        <f>0+(1177.2-320)+(0+(-0.600372--0.1632))+0-0-0</f>
        <v>856.76282800000001</v>
      </c>
      <c r="W74" s="3">
        <f>0+(1177-320.6)+(0+(-1.20054--0.327012))+0-0-0</f>
        <v>855.52647200000001</v>
      </c>
      <c r="X74" s="3">
        <f>0+(1172.8-320.7)+(0+(-2.99064--0.817785))+0-0-0</f>
        <v>849.92714499999988</v>
      </c>
      <c r="Y74" s="3">
        <f>0+(1115.3-269.3)+(0+(-1.137606--0.274686))+0-0-0</f>
        <v>845.13707999999997</v>
      </c>
      <c r="Z74" s="3">
        <f>0+(1070.5-185.5)+(0+(-0.545955--0.094605))+0-0-0</f>
        <v>884.54864999999995</v>
      </c>
      <c r="AA74" s="3">
        <f>0+(1049.1-108.7)+(0+(-2.140164--0.221748))+0-0-0</f>
        <v>938.48158399999988</v>
      </c>
      <c r="AB74" s="3">
        <f>0+(1038.5-117.1)+(0+(-0.529635--0.059721))+0-0-0</f>
        <v>920.93008599999996</v>
      </c>
      <c r="AC74" s="3">
        <f>0+(1086.9-199.5)+(0+(-2.771595--0.508725))+0-0-0</f>
        <v>885.13713000000007</v>
      </c>
      <c r="AD74" s="2">
        <v>961.5</v>
      </c>
      <c r="AE74" s="3">
        <f>0+(1056.3-94.8)+(0+(0-0))+0-0-0</f>
        <v>961.5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0+(1115.1-272.3)+(0+(0.568701-0.138873))+0-0-0</f>
        <v>843.229828</v>
      </c>
      <c r="G75" s="3">
        <f>0+(1203.7-393.6)+(0+(0-0))+0-0-0</f>
        <v>810.1</v>
      </c>
      <c r="H75" s="3">
        <f>0+(1257.9-473.1)+(0+(2.566116-0.965124))+0-0-0</f>
        <v>786.40099200000009</v>
      </c>
      <c r="I75" s="3">
        <f>0+(1220.6-443.4)+(0+(-3.735036--1.356804))+0-0-0</f>
        <v>774.82176799999991</v>
      </c>
      <c r="J75" s="3">
        <f>0+(1054.5-276.3)+(0+(-0.537795--0.140913))+0-0-0</f>
        <v>777.80311800000004</v>
      </c>
      <c r="K75" s="3">
        <f>0+(1021.8-256)+(0+(-3.126708--0.78336))+0-0-0</f>
        <v>763.45665199999996</v>
      </c>
      <c r="L75" s="3">
        <f>0+(1041.3-280.6)+(0+(-2.655315--0.71553))+0-0-0</f>
        <v>758.7602149999999</v>
      </c>
      <c r="M75" s="3">
        <f>7.4+(1070.1-268.1)+(0+(0-0))+0-0-0</f>
        <v>809.39999999999986</v>
      </c>
      <c r="N75" s="3">
        <f>40.5+(1093-262.4)+(0+(0-0))+0-0-0</f>
        <v>871.1</v>
      </c>
      <c r="O75" s="3">
        <f>65.3+(1124.9-266)+(0+(0-0))+0-0-0</f>
        <v>924.2</v>
      </c>
      <c r="P75" s="3">
        <f>115.9+(1125.5-292.4)+(-0.059109+(-0.574005--0.149124))+0-0-0</f>
        <v>948.51601000000005</v>
      </c>
      <c r="Q75" s="3">
        <f>114.7+(1087.9-231.9)+(-0.058497+(-0.554829--0.118269))+0-0-0</f>
        <v>970.20494300000018</v>
      </c>
      <c r="R75" s="3">
        <f>114.7+(1070.7-219.8)+(-0.058497+(-0.546057--0.112098))+0-0-0</f>
        <v>965.10754400000019</v>
      </c>
      <c r="S75" s="3">
        <f>114.6+(1054.5-232.7)+(-0.058446+(-0.537795--0.118677))+0-0-0</f>
        <v>935.92243599999995</v>
      </c>
      <c r="T75" s="3">
        <f>114.4+(1064.9-247.6)+(-0.116688+(-1.086198--0.252552))+0-0-0</f>
        <v>930.74966600000005</v>
      </c>
      <c r="U75" s="3">
        <f>114.7+(1084.6-265.1)+(-0.116994+(-1.106292--0.270402))+0-0-0</f>
        <v>933.24711599999989</v>
      </c>
      <c r="V75" s="3">
        <f>114.2+(1088.4-269.8)+(-0.174726+(-1.665252--0.412794))+0-0-0</f>
        <v>931.37281600000017</v>
      </c>
      <c r="W75" s="3">
        <f>113.2+(1103.9-302.3)+(-0.173196+(-1.688967--0.462519))+0-0-0</f>
        <v>913.40035600000022</v>
      </c>
      <c r="X75" s="3">
        <f>113.2+(1153.6-360)+(-0.28866+(-2.94168--0.918))+0-0-0</f>
        <v>904.48766000000001</v>
      </c>
      <c r="Y75" s="3">
        <f>113.4+(1183.6-403.4)+(-0.231336+(-2.414544--0.822936))+0-0-0</f>
        <v>891.7770559999999</v>
      </c>
      <c r="Z75" s="3">
        <f>113.6+(1193.5-384.5)+(-0.115872+(-1.21737--0.39219))+0-0-0</f>
        <v>921.65894800000001</v>
      </c>
      <c r="AA75" s="3">
        <f>113.4+(1122.8-281.8)+(-0.28917+(-2.86314--0.71859))+0-0-0</f>
        <v>951.96627999999998</v>
      </c>
      <c r="AB75" s="3">
        <f>55.8+(1163.2-281.1)+(-0.113832+(-2.372928--0.573444))+0-0-0</f>
        <v>935.98668399999997</v>
      </c>
      <c r="AC75" s="3">
        <f>0+(1216.2-312.5)+(0+(-0.620262--0.159375))+0-0-0</f>
        <v>903.23911300000009</v>
      </c>
      <c r="AD75" s="2">
        <v>963.5</v>
      </c>
      <c r="AE75" s="3">
        <f>115+(1125.2-276.7)+(0+(0-0))+0-0-0</f>
        <v>963.5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0+(1206.1-339.2)+(0+(0-0))+0-0-0</f>
        <v>866.89999999999986</v>
      </c>
      <c r="G76" s="3">
        <f>0+(1237-400.7)+(0+(-1.26174--0.408714))+0-0-0</f>
        <v>835.44697399999995</v>
      </c>
      <c r="H76" s="3">
        <f>0+(1201.8-390)+(0+(0.612918-0.1989))+0-0-0</f>
        <v>812.21401800000001</v>
      </c>
      <c r="I76" s="3">
        <f>0+(1160.6-366.3)+(0+(1.183812-0.373626))+0-0-0</f>
        <v>795.110186</v>
      </c>
      <c r="J76" s="3">
        <f>0+(1160.9-375.9)+(0+(-1.184118--0.383418))+0-0-0</f>
        <v>784.19930000000011</v>
      </c>
      <c r="K76" s="3">
        <f>0+(1144.4-370.7)+(0+(-1.167288--0.378114))+0-0-0</f>
        <v>772.91082600000004</v>
      </c>
      <c r="L76" s="3">
        <f>0+(1119.2-373.7)+(0+(-3.424752--1.143522))+0-0-0</f>
        <v>743.21876999999995</v>
      </c>
      <c r="M76" s="3">
        <f>0+(1108.5-346)+(0+(2.26134-0.70584))+0-0-0</f>
        <v>764.05550000000005</v>
      </c>
      <c r="N76" s="3">
        <f>0+(1118.2-312.9)+(0+(0-0))+0-0-0</f>
        <v>805.30000000000007</v>
      </c>
      <c r="O76" s="3">
        <f>0+(1152-314.8)+(0+(-0.58752--0.160548))+0-0-0</f>
        <v>836.77302800000007</v>
      </c>
      <c r="P76" s="3">
        <f>0+(1180-323.4)+(0+(0-0))+0-0-0</f>
        <v>856.6</v>
      </c>
      <c r="Q76" s="3">
        <f>0+(1144.4-277.1)+(0+(0-0))+0-0-0</f>
        <v>867.30000000000007</v>
      </c>
      <c r="R76" s="3">
        <f>75.8+(1070.5-276.9)+(0+(0-0))+0-0-0</f>
        <v>869.4</v>
      </c>
      <c r="S76" s="3">
        <f>115.8+(1013.4-274.8)+(-0.236232+(-2.067336--0.560592))+0-0-0</f>
        <v>852.65702399999986</v>
      </c>
      <c r="T76" s="3">
        <f>117+(1017.5-293.4)+(0.05967+(0.518925-0.149634))+0-0-0</f>
        <v>841.52896099999998</v>
      </c>
      <c r="U76" s="3">
        <f>116.7+(1030.3-304.5)+(-0.059517+(-0.525453--0.155295))+0-0-0</f>
        <v>842.07032500000003</v>
      </c>
      <c r="V76" s="3">
        <f>117.4+(1063.5-332.4)+(0.119748+(1.08477-0.339048))+0-0-0</f>
        <v>849.36546999999996</v>
      </c>
      <c r="W76" s="3">
        <f>116.5+(1053.1-336.5)+(-0.178245+(-1.611243--0.514845))+0-0-0</f>
        <v>831.82535699999994</v>
      </c>
      <c r="X76" s="3">
        <f>116.8+(1076-359.5)+(-0.119136+(-1.09752--0.36669))+0-0-0</f>
        <v>832.45003399999996</v>
      </c>
      <c r="Y76" s="3">
        <f>116.6+(1020.8-311.2)+(-0.118932+(-1.041216--0.317424))+0-0-0</f>
        <v>825.35727599999996</v>
      </c>
      <c r="Z76" s="3">
        <f>117.1+(1060.9-310.2)+(0+(0-0))+0-0-0</f>
        <v>867.80000000000007</v>
      </c>
      <c r="AA76" s="3">
        <f>120.1+(1008.4-223.5)+(-0.183753+(-1.542852--0.341955))+0-0-0</f>
        <v>903.61535000000003</v>
      </c>
      <c r="AB76" s="3">
        <f>35.7+(1049.6-205)+(-0.036414+(-1.070592--0.2091))+0-0-0</f>
        <v>879.40209399999992</v>
      </c>
      <c r="AC76" s="3">
        <f>0+(1109.5-249.8)+(0+(1.13169-0.254796))+0-0-0</f>
        <v>860.57689400000004</v>
      </c>
      <c r="AD76" s="2">
        <v>910.4</v>
      </c>
      <c r="AE76" s="3">
        <f>120+(1013.5-223.1)+(0+(0-0))+0-0-0</f>
        <v>910.4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0+(1171.2-340.1)+(0+(-1.194624--0.346902))+0-0-0</f>
        <v>830.25227800000005</v>
      </c>
      <c r="G77" s="3">
        <f>0+(1195.6-404.8)+(0+(1.219512-0.412896))+0-0-0</f>
        <v>791.60661599999992</v>
      </c>
      <c r="H77" s="3">
        <f>0+(1163.5-393.9)+(0+(-0.593385--0.200889))+0-0-0</f>
        <v>769.20750399999997</v>
      </c>
      <c r="I77" s="3">
        <f>0+(1143.7-385.5)+(0+(0-0))+0-0-0</f>
        <v>758.2</v>
      </c>
      <c r="J77" s="3">
        <f>0+(1154.4-405.8)+(0+(-1.766232--0.620874))+0-0-0</f>
        <v>747.45464200000015</v>
      </c>
      <c r="K77" s="3">
        <f>0+(1137.2-393.1)+(0+(-1.159944--0.400962))+0-0-0</f>
        <v>743.34101800000008</v>
      </c>
      <c r="L77" s="3">
        <f>0+(1073.4-344)+(0+(-2.73717--0.8772))+0-0-0</f>
        <v>727.54003000000012</v>
      </c>
      <c r="M77" s="3">
        <f>0+(1043.6-285.7)+(0+(1.596708-0.437121))+0-0-0</f>
        <v>759.05958699999985</v>
      </c>
      <c r="N77" s="3">
        <f>0+(1069.7-268.2)+(0+(0.545547-0.136782))+0-0-0</f>
        <v>801.90876500000002</v>
      </c>
      <c r="O77" s="3">
        <f>0+(1173.3-333.8)+(0+(1.196766-0.340476))+0-0-0</f>
        <v>840.35628999999994</v>
      </c>
      <c r="P77" s="3">
        <f>0+(1227.4-353.1)+(0+(0-0))+0-0-0</f>
        <v>874.30000000000007</v>
      </c>
      <c r="Q77" s="3">
        <f>16.2+(1209.4-343.4)+(-0.024786+(-1.850382--0.525402))+0-0-0</f>
        <v>880.85023400000011</v>
      </c>
      <c r="R77" s="3">
        <f>48.6+(1167.3-327.7)+(0.024786+(0.595323-0.167127))+0-0-0</f>
        <v>888.65298199999995</v>
      </c>
      <c r="S77" s="3">
        <f>113.8+(1096.5-338.9)+(-0.29019+(-2.796075--0.864195))+0-0-0</f>
        <v>869.17792999999995</v>
      </c>
      <c r="T77" s="3">
        <f>114+(1088.5-336.8)+(-0.2907+(-2.775675--0.85884))+0-0-0</f>
        <v>863.49246500000004</v>
      </c>
      <c r="U77" s="3">
        <f>114.9+(1115.5-369.5)+(0+(0-0))+0-0-0</f>
        <v>860.9</v>
      </c>
      <c r="V77" s="3">
        <f>89.7+(1149.2-377.2)+(-0.137241+(-1.758276--0.577116))+0-0-0</f>
        <v>860.38159900000005</v>
      </c>
      <c r="W77" s="3">
        <f>12.3+(1128.8-288.4)+(-0.031365+(-2.87844--0.73542))+0-0-0</f>
        <v>850.5256149999999</v>
      </c>
      <c r="X77" s="3">
        <f>0+(1048.6-199.5)+(0+(-2.67393--0.508725))+0-0-0</f>
        <v>846.93479499999989</v>
      </c>
      <c r="Y77" s="3">
        <f>0+(1056.2-223.2)+(0+(-1.615986--0.341496))+0-0-0</f>
        <v>831.72550999999999</v>
      </c>
      <c r="Z77" s="3">
        <f>0+(1127.8-245.3)+(0+(1.150356-0.250206))+0-0-0</f>
        <v>883.40015000000005</v>
      </c>
      <c r="AA77" s="3">
        <f>0+(1127.1-195)+(0+(-0.574821--0.09945))+0-0-0</f>
        <v>931.62462899999991</v>
      </c>
      <c r="AB77" s="3">
        <f>0+(1133.9-228.7)+(0+(-1.734867--0.349911))+0-0-0</f>
        <v>903.81504400000006</v>
      </c>
      <c r="AC77" s="3">
        <f>0+(1186.8-304.2)+(0+(-1.210536--0.310284))+0-0-0</f>
        <v>881.69974799999989</v>
      </c>
      <c r="AD77" s="2">
        <v>927.8</v>
      </c>
      <c r="AE77" s="3">
        <f>0+(1122.3-194.5)+(0+(0-0))+0-0-0</f>
        <v>927.8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0+(1257.7-415.3)+(0+(0-0))+0-0-0</f>
        <v>842.40000000000009</v>
      </c>
      <c r="G78" s="3">
        <f>0+(1306.4-507.1)+(0+(-2.665056--1.034484))+0-0-0</f>
        <v>797.66942800000004</v>
      </c>
      <c r="H78" s="3">
        <f>0+(1199.4-420.4)+(0+(-3.05847--1.07202))+0-0-0</f>
        <v>777.01355000000012</v>
      </c>
      <c r="I78" s="3">
        <f>0+(1187.2-413.6)+(0+(-1.210944--0.421872))+0-0-0</f>
        <v>772.81092799999999</v>
      </c>
      <c r="J78" s="3">
        <f>0+(1195.1-415.5)+(0+(-0.609501--0.211905))+0-0-0</f>
        <v>779.20240399999989</v>
      </c>
      <c r="K78" s="3">
        <f>0+(1179.1-409.2)+(0+(-0.601341--0.208692))+0-0-0</f>
        <v>769.50735099999986</v>
      </c>
      <c r="L78" s="3">
        <f>0+(1169.3-375.9)+(0+(0-0))+0-0-0</f>
        <v>793.4</v>
      </c>
      <c r="M78" s="3">
        <f>0+(1249.3-392.6)+(0+(1.911429-0.600678))+0-0-0</f>
        <v>858.01075099999991</v>
      </c>
      <c r="N78" s="3">
        <f>0+(1320.8-386.2)+(0+(-2.020824--0.590886))+0-0-0</f>
        <v>933.17006199999992</v>
      </c>
      <c r="O78" s="3">
        <f>0+(1254.9-287.1)+(0+(0-0))+0-0-0</f>
        <v>967.80000000000007</v>
      </c>
      <c r="P78" s="3">
        <f>0+(1141.7-137.7)+(0+(0-0))+0-0-0</f>
        <v>1004</v>
      </c>
      <c r="Q78" s="3">
        <f>0+(1123.4-101.5)+(0+(0-0))+0-0-0</f>
        <v>1021.9000000000001</v>
      </c>
      <c r="R78" s="3">
        <f>93.9+(1029.1-105.5)+(0.095778+(1.049682-0.10761))+0-0-0</f>
        <v>1018.5378499999999</v>
      </c>
      <c r="S78" s="3">
        <f>111.3+(1018.9-133.9)+(-0.056763+(-0.519639--0.068289))+0-0-0</f>
        <v>995.79188699999997</v>
      </c>
      <c r="T78" s="3">
        <f>110+(1020.8-134.6)+(-0.0561+(-0.520608--0.068646))+0-0-0</f>
        <v>995.69193799999994</v>
      </c>
      <c r="U78" s="3">
        <f>109.8+(1030.7-148.3)+(0+(0-0))+0-0-0</f>
        <v>992.2</v>
      </c>
      <c r="V78" s="3">
        <f>109+(1047.7-159.6)+(-0.22236+(-2.137308--0.325584))+0-0-0</f>
        <v>995.06591600000002</v>
      </c>
      <c r="W78" s="3">
        <f>73.4+(1096.8-185.6)+(-0.224604+(-3.356208--0.567936))+0-0-0</f>
        <v>981.5871239999999</v>
      </c>
      <c r="X78" s="3">
        <f>0+(1183.5-225.4)+(0+(-5.432265--1.034586))+0-0-0</f>
        <v>953.70232099999998</v>
      </c>
      <c r="Y78" s="3">
        <f>0+(1187.8-238)+(0+(-3.02889--0.6069))+0-0-0</f>
        <v>947.3780099999999</v>
      </c>
      <c r="Z78" s="3">
        <f>0+(1200-213)+(0+(-1.836--0.32589))+0-0-0</f>
        <v>985.48988999999995</v>
      </c>
      <c r="AA78" s="3">
        <f>0+(1169.9-139.2)+(0+(-0.596649--0.070992))+0-0-0</f>
        <v>1030.1743430000001</v>
      </c>
      <c r="AB78" s="3">
        <f>0+(1180.7-168.4)+(0+(-3.010785--0.42942))+0-0-0</f>
        <v>1009.7186350000001</v>
      </c>
      <c r="AC78" s="3">
        <f>0+(1231-245.8)+(0+(-2.51124--0.501432))+0-0-0</f>
        <v>983.19019200000002</v>
      </c>
      <c r="AD78" s="2">
        <v>1057.4000000000001</v>
      </c>
      <c r="AE78" s="3">
        <f>0+(1189.9-132.5)+(0+(0-0))+0-0-0</f>
        <v>1057.4000000000001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0+(1228.1-297.3)+(0+(-0.626331--0.151623))+0-0-0</f>
        <v>930.32529199999999</v>
      </c>
      <c r="G79" s="3">
        <f>0+(1301.2-415.6)+(0+(0-0))+0-0-0</f>
        <v>885.6</v>
      </c>
      <c r="H79" s="3">
        <f>0+(1293.9-423.4)+(0+(-0.659889--0.215934))+0-0-0</f>
        <v>870.05604500000015</v>
      </c>
      <c r="I79" s="3">
        <f>0+(1254.6-398.2)+(0+(-1.919538--0.609246))+0-0-0</f>
        <v>855.08970799999986</v>
      </c>
      <c r="J79" s="3">
        <f>0+(1241.9-395.5)+(0+(-1.900107--0.605115))+0-0-0</f>
        <v>845.10500800000011</v>
      </c>
      <c r="K79" s="3">
        <f>0+(1199.5-369.9)+(0+(-3.058725--0.943245))+0-0-0</f>
        <v>827.48451999999997</v>
      </c>
      <c r="L79" s="3">
        <f>0+(1196.8-366.8)+(0+(-1.831104--0.561204))+0-0-0</f>
        <v>828.73009999999999</v>
      </c>
      <c r="M79" s="3">
        <f>0+(1224.3-348.8)+(0+(1.873179-0.533664))+0-0-0</f>
        <v>876.83951500000001</v>
      </c>
      <c r="N79" s="3">
        <f>0+(1289.7-347.9)+(0+(3.288735-0.887145))+0-0-0</f>
        <v>944.20159000000012</v>
      </c>
      <c r="O79" s="3">
        <f>7.7+(1295.7-308.3)+(0.007854+(1.321614-0.314466))+0-0-0</f>
        <v>996.11500200000012</v>
      </c>
      <c r="P79" s="3">
        <f>42+(1271.4-280)+(-0.06426+(-1.945242--0.4284))+0-0-0</f>
        <v>1031.818898</v>
      </c>
      <c r="Q79" s="3">
        <f>95+(1185.1-239.8)+(0.14535+(1.813203-0.366894))+0-0-0</f>
        <v>1041.8916589999999</v>
      </c>
      <c r="R79" s="3">
        <f>101.1+(1129.1-201.4)+(0+(0-0))+0-0-0</f>
        <v>1028.8</v>
      </c>
      <c r="S79" s="3">
        <f>101+(1131.2-231.1)+(-0.05151+(-0.576912--0.117861))+0-0-0</f>
        <v>1000.589439</v>
      </c>
      <c r="T79" s="3">
        <f>110.9+(1103.3-206)+(-0.056559+(-0.562683--0.10506))+0-0-0</f>
        <v>1007.6858179999999</v>
      </c>
      <c r="U79" s="3">
        <f>108.1+(1098.7-204.3)+(0.055131+(0.560337-0.104193))+0-0-0</f>
        <v>1003.0112750000001</v>
      </c>
      <c r="V79" s="3">
        <f>101+(1090.8-201.1)+(-0.10302+(-1.112616--0.205122))+0-0-0</f>
        <v>989.68948599999999</v>
      </c>
      <c r="W79" s="3">
        <f>101.1+(1110.9-221.8)+(-0.206244+(-2.266236--0.452472))+0-0-0</f>
        <v>988.1799920000002</v>
      </c>
      <c r="X79" s="3">
        <f>101.5+(1146.8-283.9)+(-0.10353+(-1.169736--0.289578))+0-0-0</f>
        <v>963.41631199999995</v>
      </c>
      <c r="Y79" s="3">
        <f>56.7+(1123.8-228.9)+(-0.115668+(-2.292552--0.466956))+0-0-0</f>
        <v>949.65873599999998</v>
      </c>
      <c r="Z79" s="3">
        <f>66.6+(1107.6-194.4)+(-0.033966+(-0.564876--0.099144))+0-0-0</f>
        <v>979.30030199999999</v>
      </c>
      <c r="AA79" s="3">
        <f>110.1+(1082.2-143)+(-0.168453+(-1.655766--0.21879))+0-0-0</f>
        <v>1047.694571</v>
      </c>
      <c r="AB79" s="3">
        <f>110+(1102.7-189)+(0+(0-0))+0-0-0</f>
        <v>1023.7</v>
      </c>
      <c r="AC79" s="3">
        <f>108.4+(1162.7-286.8)+(-0.165852+(-1.778931--0.438804))+0-0-0</f>
        <v>982.79402100000004</v>
      </c>
      <c r="AD79" s="2">
        <v>1038.3</v>
      </c>
      <c r="AE79" s="3">
        <f>110+(1088.2-159.9)+(0+(0-0))+0-0-0</f>
        <v>1038.3000000000002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30.9+(1233.9-326.7)+(-0.031518+(-1.258578--0.333234))+0-0-0</f>
        <v>937.14313800000002</v>
      </c>
      <c r="G80" s="3">
        <f>0+(1201.6-308.6)+(0+(-1.225632--0.314772))+0-0-0</f>
        <v>892.08913999999993</v>
      </c>
      <c r="H80" s="3">
        <f>0+(1233.1-356)+(0+(0-0))+0-0-0</f>
        <v>877.09999999999991</v>
      </c>
      <c r="I80" s="3">
        <f>0+(1182.5-321.2)+(0+(-0.603075--0.163812))+0-0-0</f>
        <v>860.86073699999997</v>
      </c>
      <c r="J80" s="3">
        <f>0+(1125.8-277.5)+(0+(-1.722474--0.424575))+0-0-0</f>
        <v>847.00210099999993</v>
      </c>
      <c r="K80" s="3">
        <f>0+(1110.7-274.5)+(0+(-1.132914--0.27999))+0-0-0</f>
        <v>835.34707600000002</v>
      </c>
      <c r="L80" s="3">
        <f>0+(1138.8-309.2)+(0+(-2.323152--0.630768))+0-0-0</f>
        <v>827.90761599999996</v>
      </c>
      <c r="M80" s="3">
        <f>0+(1166.9-280.2)+(0+(1.785357-0.428706))+0-0-0</f>
        <v>888.0566510000001</v>
      </c>
      <c r="N80" s="3">
        <f>0+(1196.7-245.1)+(0+(1.830951-0.375003))+0-0-0</f>
        <v>953.05594800000006</v>
      </c>
      <c r="O80" s="3">
        <f>0+(1183.3-182.8)+(0+(0-0))+0-0-0</f>
        <v>1000.5</v>
      </c>
      <c r="P80" s="3">
        <f>0+(1149.1-119.6)+(0+(0.586041-0.060996))+0-0-0</f>
        <v>1030.0250450000001</v>
      </c>
      <c r="Q80" s="3">
        <f>45.7+(1065.1-66.6)+(0+(0-0))+0-0-0</f>
        <v>1044.1999999999998</v>
      </c>
      <c r="R80" s="3">
        <f>110+(1020-72.9)+(0+(0-0))+0-0-0</f>
        <v>1057.0999999999999</v>
      </c>
      <c r="S80" s="3">
        <f>109.9+(976.5-64.2)+(-0.168147+(-1.494045--0.098226))+0-0-0</f>
        <v>1020.6360339999999</v>
      </c>
      <c r="T80" s="3">
        <f>109.6+(994.4-94.4)+(-0.111792+(-1.014288--0.096288))+0-0-0</f>
        <v>1008.570208</v>
      </c>
      <c r="U80" s="3">
        <f>108.8+(1017.3-121.5)+(-0.221952+(-2.075292--0.24786))+0-0-0</f>
        <v>1002.5506159999999</v>
      </c>
      <c r="V80" s="3">
        <f>109.8+(1040.7-159.8)+(0.055998+(0.530757-0.081498))+0-0-0</f>
        <v>991.20525700000007</v>
      </c>
      <c r="W80" s="3">
        <f>109+(1073.9-202.4)+(0+(0-0))+0-0-0</f>
        <v>980.50000000000011</v>
      </c>
      <c r="X80" s="3">
        <f>107.9+(1102.7-251.3)+(-0.110058+(-1.124754--0.256326))+0-0-0</f>
        <v>958.32151400000009</v>
      </c>
      <c r="Y80" s="3">
        <f>107.6+(1031.9-205.3)+(-0.054876+(-0.526269--0.104703))+0-0-0</f>
        <v>933.72355800000014</v>
      </c>
      <c r="Z80" s="3">
        <f>175.6+(1002.1-209.5)+(0.179112+(1.022142-0.21369))+0-0-0</f>
        <v>969.18756400000007</v>
      </c>
      <c r="AA80" s="3">
        <f>217.3+(986-191.2)+(-0.332469+(-1.50858--0.292536))+0-0-0</f>
        <v>1010.551487</v>
      </c>
      <c r="AB80" s="3">
        <f>216.5+(1019.5-242.9)+(-0.22083+(-1.03989--0.247758))+0-0-0</f>
        <v>992.08703800000001</v>
      </c>
      <c r="AC80" s="3">
        <f>219.9+(1021.9-270.6)+(0.112149+(0.521169-0.138006))+0-0-0</f>
        <v>971.69531199999994</v>
      </c>
      <c r="AD80" s="2">
        <v>1009.6</v>
      </c>
      <c r="AE80" s="3">
        <f>219+(1018.5-227.9)+(0+(0-0))+0-0-0</f>
        <v>1009.6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156.8+(1097.4-312.4)+(-0.079968+(-0.559674--0.159324))+0-0-0</f>
        <v>941.31968200000017</v>
      </c>
      <c r="G81" s="3">
        <f>0+(1230.6-334.6)+(0+(-0.627606--0.170646))+0-0-0</f>
        <v>895.54303999999991</v>
      </c>
      <c r="H81" s="3">
        <f>0+(1217.2-362.6)+(0+(0-0))+0-0-0</f>
        <v>854.6</v>
      </c>
      <c r="I81" s="3">
        <f>0+(1159.8-308.1)+(0+(0-0))+0-0-0</f>
        <v>851.69999999999993</v>
      </c>
      <c r="J81" s="3">
        <f>0+(1130-291.3)+(0+(-2.3052--0.594252))+0-0-0</f>
        <v>836.98905200000002</v>
      </c>
      <c r="K81" s="3">
        <f>0+(1141.3-324.3)+(0+(-2.910315--0.826965))+0-0-0</f>
        <v>814.91665</v>
      </c>
      <c r="L81" s="3">
        <f>0+(1073.5-299.7)+(0+(-2.737425--0.764235))+0-0-0</f>
        <v>771.82680999999991</v>
      </c>
      <c r="M81" s="3">
        <f>0+(1085.4-293.8)+(0+(1.107108-0.299676))+0-0-0</f>
        <v>792.40743200000009</v>
      </c>
      <c r="N81" s="3">
        <f>0+(1124.3-286.3)+(0+(-0.573393--0.146013))+0-0-0</f>
        <v>837.57262000000003</v>
      </c>
      <c r="O81" s="3">
        <f>0+(1157.2-285.6)+(0+(-1.180344--0.291312))+0-0-0</f>
        <v>870.71096799999998</v>
      </c>
      <c r="P81" s="3">
        <f>0+(1144.4-244.6)+(0+(0-0))+0-0-0</f>
        <v>899.80000000000007</v>
      </c>
      <c r="Q81" s="3">
        <f>0+(1121.9-204.3)+(0+(0.572169-0.104193))+0-0-0</f>
        <v>918.06797600000016</v>
      </c>
      <c r="R81" s="3">
        <f>0+(1085.5-172.5)+(0+(1.10721-0.17595))+0-0-0</f>
        <v>913.93125999999995</v>
      </c>
      <c r="S81" s="3">
        <f>0+(1021.7-122.4)+(0+(-0.521067--0.062424))+0-0-0</f>
        <v>898.84135700000002</v>
      </c>
      <c r="T81" s="3">
        <f>0+(1013.6-126.3)+(0+(0-0))+0-0-0</f>
        <v>887.30000000000007</v>
      </c>
      <c r="U81" s="3">
        <f>0+(1032.7-153.7)+(0+(-1.053354--0.156774))+0-0-0</f>
        <v>878.10342000000003</v>
      </c>
      <c r="V81" s="3">
        <f>0+(1053.9-167.7)+(0+(0-0))+0-0-0</f>
        <v>886.2</v>
      </c>
      <c r="W81" s="3">
        <f>0+(1078.3-192.8)+(0+(-1.099866--0.196656))+0-0-0</f>
        <v>884.59679000000006</v>
      </c>
      <c r="X81" s="3">
        <f>0+(1085.5-211.5)+(0+(-1.10721--0.21573))+0-0-0</f>
        <v>873.10852</v>
      </c>
      <c r="Y81" s="3">
        <f>0+(1038-179.7)+(0+(-1.05876--0.183294))+0-0-0</f>
        <v>857.42453399999999</v>
      </c>
      <c r="Z81" s="3">
        <f>0+(1012.7-127.3)+(0+(1.032954-0.129846))+0-0-0</f>
        <v>886.30310800000007</v>
      </c>
      <c r="AA81" s="3">
        <f>0+(1053.9-98.4)+(0+(-0.537489--0.050184))+0-0-0</f>
        <v>955.01269500000012</v>
      </c>
      <c r="AB81" s="3">
        <f>0+(1066.4-121.5)+(0+(1.087728-0.12393))+0-0-0</f>
        <v>945.86379800000009</v>
      </c>
      <c r="AC81" s="3">
        <f>0+(1087.8-177.2)+(0+(-1.109556--0.180744))+0-0-0</f>
        <v>909.67118799999992</v>
      </c>
      <c r="AD81" s="2">
        <v>976.39999999999986</v>
      </c>
      <c r="AE81" s="3">
        <f>0+(1080.6-104.2)+(0+(0-0))+0-0-0</f>
        <v>976.39999999999986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0+(1167.8-293.6)+(0+(-0.595578--0.149736))+0-0-0</f>
        <v>873.75415799999996</v>
      </c>
      <c r="G82" s="3">
        <f>0+(1208.4-368.2)+(0+(-3.08142--0.93891))+0-0-0</f>
        <v>838.05749000000003</v>
      </c>
      <c r="H82" s="3">
        <f>0+(1235.9-428.4)+(0+(-1.260618--0.436968))+0-0-0</f>
        <v>806.67635000000007</v>
      </c>
      <c r="I82" s="3">
        <f>0+(1232.5-427.1)+(0+(-1.25715--0.435642))+0-0-0</f>
        <v>804.57849199999998</v>
      </c>
      <c r="J82" s="3">
        <f>0+(1200.6-396.3)+(0+(-0.612306--0.202113))+0-0-0</f>
        <v>803.88980699999991</v>
      </c>
      <c r="K82" s="3">
        <f>0+(1169.6-366.7)+(0+(-2.98248--0.935085))+0-0-0</f>
        <v>800.85260499999981</v>
      </c>
      <c r="L82" s="3">
        <f>0+(1128.6-299.5)+(0+(-1.151172--0.30549))+0-0-0</f>
        <v>828.2543179999999</v>
      </c>
      <c r="M82" s="3">
        <f>0+(1104.8-207.3)+(0+(-2.81724--0.528615))+0-0-0</f>
        <v>895.21137499999998</v>
      </c>
      <c r="N82" s="3">
        <f>18.1+(1149.3-194.7)+(-0.009231+(-0.586143--0.099297))+0-0-0</f>
        <v>972.20392299999992</v>
      </c>
      <c r="O82" s="3">
        <f>90.1+(1130.5-197.5)+(-0.045951+(-0.576555--0.100725))+0-0-0</f>
        <v>1022.578219</v>
      </c>
      <c r="P82" s="3">
        <f>267.6+(1037.1-255.7)+(-0.272952+(-1.057842--0.260814))+0-0-0</f>
        <v>1047.93002</v>
      </c>
      <c r="Q82" s="3">
        <f>343.5+(1002.7-261.8)+(0+(0-0))+0-0-0</f>
        <v>1084.4000000000001</v>
      </c>
      <c r="R82" s="3">
        <f>422+(903-250.4)+(-0.64566+(-1.38159--0.383112))+0-0-0</f>
        <v>1072.9558619999998</v>
      </c>
      <c r="S82" s="3">
        <f>447.2+(896.1-282.2)+(-0.912288+(-1.828044--0.575688))+0-0-0</f>
        <v>1058.9353560000002</v>
      </c>
      <c r="T82" s="3">
        <f>451.1+(937.4-331.4)+(0.460122+(0.956148-0.338028))+0-0-0</f>
        <v>1058.178242</v>
      </c>
      <c r="U82" s="3">
        <f>450.2+(929.6-322.2)+(-0.229602+(-0.474096--0.164322))+0-0-0</f>
        <v>1057.0606240000002</v>
      </c>
      <c r="V82" s="3">
        <f>449.7+(943.2-348)+(-0.688041+(-1.443096--0.53244))+0-0-0</f>
        <v>1043.3013030000002</v>
      </c>
      <c r="W82" s="3">
        <f>431.3+(971.3-379.7)+(0+(0-0))+0-0-0</f>
        <v>1022.8999999999999</v>
      </c>
      <c r="X82" s="3">
        <f>184+(1126.5-314.3)+(-0.18768+(-1.14903--0.320586))+0-0-0</f>
        <v>995.18387600000005</v>
      </c>
      <c r="Y82" s="3">
        <f>0+(1197.2-227.2)+(0+(0-0))+0-0-0</f>
        <v>970</v>
      </c>
      <c r="Z82" s="3">
        <f>0+(1169.4-171)+(0+(0.596394-0.08721))+0-0-0</f>
        <v>998.9091840000001</v>
      </c>
      <c r="AA82" s="3">
        <f>0+(1212.1-171.4)+(0+(-2.472684--0.349656))+0-0-0</f>
        <v>1038.5769719999998</v>
      </c>
      <c r="AB82" s="3">
        <f>0+(1241.8-220.7)+(0+(-3.16659--0.562785))+0-0-0</f>
        <v>1018.4961949999999</v>
      </c>
      <c r="AC82" s="3">
        <f>0+(1278.7-302.3)+(0+(-1.956411--0.462519))+0-0-0</f>
        <v>974.90610800000013</v>
      </c>
      <c r="AD82" s="2">
        <v>1058.8</v>
      </c>
      <c r="AE82" s="3">
        <f>0+(1246.6-187.8)+(0+(0-0))+0-0-0</f>
        <v>1058.8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0+(1299.6-367.7)+(0+(-3.31398--0.937635))+0-0-0</f>
        <v>929.52365499999985</v>
      </c>
      <c r="G83" s="3">
        <f>0+(1294.2-405.6)+(0+(-1.320084--0.413712))+0-0-0</f>
        <v>887.69362799999999</v>
      </c>
      <c r="H83" s="3">
        <f>0+(1239.2-375.7)+(0+(0.631992-0.191607))+0-0-0</f>
        <v>863.94038499999999</v>
      </c>
      <c r="I83" s="3">
        <f>0+(1243.8-387.3)+(0+(2.537352-0.790092))+0-0-0</f>
        <v>858.24725999999998</v>
      </c>
      <c r="J83" s="3">
        <f>0+(1203.1-348.1)+(0+(-1.840743--0.532593))+0-0-0</f>
        <v>853.69184999999993</v>
      </c>
      <c r="K83" s="3">
        <f>0+(1209-366.2)+(0+(-3.08295--0.93381))+0-0-0</f>
        <v>840.65085999999997</v>
      </c>
      <c r="L83" s="3">
        <f>0+(1181.5-337.2)+(0+(-1.20513--0.343944))+0-0-0</f>
        <v>843.43881399999998</v>
      </c>
      <c r="M83" s="3">
        <f>0+(1226.7-323)+(0+(0-0))+0-0-0</f>
        <v>903.7</v>
      </c>
      <c r="N83" s="3">
        <f>33.3+(1294.7-362.4)+(0.050949+(1.980891-0.554472))+0-0-0</f>
        <v>967.07736799999998</v>
      </c>
      <c r="O83" s="3">
        <f>79.8+(1290.4-355)+(0+(0-0))+0-0-0</f>
        <v>1015.2</v>
      </c>
      <c r="P83" s="3">
        <f>119.9+(1284-348.1)+(0.061149+(0.65484-0.177531))+0-0-0</f>
        <v>1056.3384579999999</v>
      </c>
      <c r="Q83" s="3">
        <f>119.2+(1257.2-298.3)+(-0.121584+(-1.282344--0.304266))+0-0-0</f>
        <v>1077.0003380000001</v>
      </c>
      <c r="R83" s="3">
        <f>117.8+(1260.4-305.4)+(-0.060078+(-0.642804--0.155754))+0-0-0</f>
        <v>1072.2528720000003</v>
      </c>
      <c r="S83" s="3">
        <f>117.4+(1255.1-328.7)+(-0.179622+(-1.920303--0.502911))+0-0-0</f>
        <v>1042.202986</v>
      </c>
      <c r="T83" s="3">
        <f>115.1+(1265.8-320.9)+(-0.176103+(-1.936674--0.490977))+0-0-0</f>
        <v>1058.3782000000001</v>
      </c>
      <c r="U83" s="3">
        <f>113.7+(1255-310.4)+(-0.289935+(-3.20025--0.79152))+0-0-0</f>
        <v>1055.6013350000001</v>
      </c>
      <c r="V83" s="3">
        <f>7.6+(1285.3-246.8)+(-0.003876+(-0.655503--0.125868))+0-0-0</f>
        <v>1045.5664889999998</v>
      </c>
      <c r="W83" s="3">
        <f>0+(1268.8-248.1)+(0+(-2.588352--0.506124))+0-0-0</f>
        <v>1018.6177719999999</v>
      </c>
      <c r="X83" s="3">
        <f>0+(1251.6-247.4)+(0+(-3.19158--0.63087))+0-0-0</f>
        <v>1001.63929</v>
      </c>
      <c r="Y83" s="3">
        <f>0+(1179.2-201.5)+(0+(-1.804176--0.308295))+0-0-0</f>
        <v>976.20411899999999</v>
      </c>
      <c r="Z83" s="3">
        <f>0+(1212-198.6)+(0+(0-0))+0-0-0</f>
        <v>1013.4</v>
      </c>
      <c r="AA83" s="3">
        <f>0+(1291.5-238.7)+(0+(-1.975995--0.365211))+0-0-0</f>
        <v>1051.189216</v>
      </c>
      <c r="AB83" s="3">
        <f>0+(1263.3-233.6)+(0+(-3.865698--0.714816))+0-0-0</f>
        <v>1026.5491180000001</v>
      </c>
      <c r="AC83" s="3">
        <f>0+(1272.6-279.8)+(0+(0-0))+0-0-0</f>
        <v>992.8</v>
      </c>
      <c r="AD83" s="2">
        <v>1050.7</v>
      </c>
      <c r="AE83" s="3">
        <f>0+(1305.8-255.1)+(0+(0-0))+0-0-0</f>
        <v>1050.7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0+(1261.9-309.7)+(0+(-1.287138--0.315894))+0-0-0</f>
        <v>951.22875600000009</v>
      </c>
      <c r="G84" s="3">
        <f>0+(1268.4-372.2)+(0+(0-0))+0-0-0</f>
        <v>896.2</v>
      </c>
      <c r="H84" s="3">
        <f>0+(1238.9-350.8)+(0+(-0.631839--0.178908))+0-0-0</f>
        <v>887.6470690000001</v>
      </c>
      <c r="I84" s="3">
        <f>0+(1224.7-348.1)+(0+(-1.873791--0.532593))+0-0-0</f>
        <v>875.25880200000006</v>
      </c>
      <c r="J84" s="3">
        <f>0+(1221.6-352.6)+(0+(-3.11508--0.89913))+0-0-0</f>
        <v>866.78404999999987</v>
      </c>
      <c r="K84" s="3">
        <f>0+(1223.4-367.8)+(0+(-3.11967--0.93789))+0-0-0</f>
        <v>853.41822000000013</v>
      </c>
      <c r="L84" s="3">
        <f>0+(1236.8-369.6)+(0+(-1.261536--0.376992))+0-0-0</f>
        <v>866.31545599999993</v>
      </c>
      <c r="M84" s="3">
        <f>0+(1230.2-302.9)+(0+(1.882206-0.463437))+0-0-0</f>
        <v>928.71876900000007</v>
      </c>
      <c r="N84" s="3">
        <f>0+(1290.1-300.6)+(0+(-0.657951--0.153306))+0-0-0</f>
        <v>988.9953549999999</v>
      </c>
      <c r="O84" s="3">
        <f>0+(1321.4-284.3)+(0+(-1.347828--0.289986))+0-0-0</f>
        <v>1036.0421580000002</v>
      </c>
      <c r="P84" s="3">
        <f>0+(1376-304.8)+(0+(-1.40352--0.310896))+0-0-0</f>
        <v>1070.1073760000002</v>
      </c>
      <c r="Q84" s="3">
        <f>0+(1309.7-233.3)+(0+(1.335894-0.237966))+0-0-0</f>
        <v>1077.497928</v>
      </c>
      <c r="R84" s="3">
        <f>0+(1284.2-206.7)+(0+(0-0))+0-0-0</f>
        <v>1077.5</v>
      </c>
      <c r="S84" s="3">
        <f>0+(1282.7-233.1)+(0+(-0.654177--0.118881))+0-0-0</f>
        <v>1049.0647040000001</v>
      </c>
      <c r="T84" s="3">
        <f>0+(1223.4-175.3)+(0+(0.623934-0.089403))+0-0-0</f>
        <v>1048.6345310000002</v>
      </c>
      <c r="U84" s="3">
        <f>0+(1225.4-183.2)+(0+(1.249908-0.186864))+0-0-0</f>
        <v>1043.263044</v>
      </c>
      <c r="V84" s="3">
        <f>0+(1237-201.2)+(0+(-1.89261--0.307836))+0-0-0</f>
        <v>1034.215226</v>
      </c>
      <c r="W84" s="3">
        <f>0+(1257.1-230.3)+(0+(-3.846726--0.704718))+0-0-0</f>
        <v>1023.6579919999999</v>
      </c>
      <c r="X84" s="3">
        <f>0+(1251-248.6)+(0+(-1.27602--0.253572))+0-0-0</f>
        <v>1001.3775519999999</v>
      </c>
      <c r="Y84" s="3">
        <f>0+(1225.5-241.1)+(0+(-3.75003--0.737766))+0-0-0</f>
        <v>981.38773600000002</v>
      </c>
      <c r="Z84" s="3">
        <f>0+(1279.1-259.7)+(0+(1.304682-0.264894))+0-0-0</f>
        <v>1020.4397879999999</v>
      </c>
      <c r="AA84" s="3">
        <f>0+(1249.4-194.1)+(0+(-1.911582--0.296973))+0-0-0</f>
        <v>1053.6853910000002</v>
      </c>
      <c r="AB84" s="3">
        <f>0+(1283.5-256.6)+(0+(-0.654585--0.130866))+0-0-0</f>
        <v>1026.3762810000001</v>
      </c>
      <c r="AC84" s="3">
        <f>0+(1300-301.9)+(0+(-1.989--0.461907))+0-0-0</f>
        <v>996.57290699999999</v>
      </c>
      <c r="AD84" s="2">
        <v>1070.5</v>
      </c>
      <c r="AE84" s="3">
        <f>0+(1238.5-168)+(0+(0-0))+0-0-0</f>
        <v>1070.5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0+(1266.7-311.6)+(0+(-2.584068--0.635664))+0-0-0</f>
        <v>953.15159600000004</v>
      </c>
      <c r="G85" s="3">
        <f>0+(1260.1-352.7)+(0+(-1.285302--0.359754))+0-0-0</f>
        <v>906.47445199999981</v>
      </c>
      <c r="H85" s="3">
        <f>0+(1229.9-348.6)+(0+(-0.627249--0.177786))+0-0-0</f>
        <v>880.85053700000003</v>
      </c>
      <c r="I85" s="3">
        <f>0+(1231.4-363)+(0+(-1.884042--0.55539))+0-0-0</f>
        <v>867.07134800000006</v>
      </c>
      <c r="J85" s="3">
        <f>0+(1237.5-370.1)+(0+(-1.893375--0.566253))+0-0-0</f>
        <v>866.07287799999995</v>
      </c>
      <c r="K85" s="3">
        <f>0+(1245.6-388.4)+(0+(-2.541024--0.792336))+0-0-0</f>
        <v>855.45131199999992</v>
      </c>
      <c r="L85" s="3">
        <f>0+(1200.8-347.5)+(0+(0-0))+0-0-0</f>
        <v>853.3</v>
      </c>
      <c r="M85" s="3">
        <f>0+(1237-308.5)+(0+(-1.89261--0.472005))+0-0-0</f>
        <v>927.07939499999998</v>
      </c>
      <c r="N85" s="3">
        <f>0+(1255.7-275.6)+(0+(0-0))+0-0-0</f>
        <v>980.1</v>
      </c>
      <c r="O85" s="3">
        <f>0+(1302.3-272)+(0+(1.328346-0.27744))+0-0-0</f>
        <v>1031.3509059999999</v>
      </c>
      <c r="P85" s="3">
        <f>0+(1280.3-240.4)+(0+(1.958859-0.367812))+0-0-0</f>
        <v>1041.4910469999998</v>
      </c>
      <c r="Q85" s="3">
        <f>0+(1213.4-149.2)+(0+(1.237668-0.152184))+0-0-0</f>
        <v>1065.285484</v>
      </c>
      <c r="R85" s="3">
        <f>0+(1145-68.9)+(0+(2.3358-0.140556))+0-0-0</f>
        <v>1078.2952439999999</v>
      </c>
      <c r="S85" s="3">
        <f>0+(1134.1-77.9)+(0+(0.578391-0.039729))+0-0-0</f>
        <v>1056.7386619999997</v>
      </c>
      <c r="T85" s="3">
        <f>0+(1155.4-99)+(0+(-0.589254--0.05049))+0-0-0</f>
        <v>1055.8612360000002</v>
      </c>
      <c r="U85" s="3">
        <f>0+(1188.6-135.9)+(0+(0-0))+0-0-0</f>
        <v>1052.6999999999998</v>
      </c>
      <c r="V85" s="3">
        <f>0+(1202.9-157.1)+(0+(0-0))+0-0-0</f>
        <v>1045.8000000000002</v>
      </c>
      <c r="W85" s="3">
        <f>0+(1238.4-199.4)+(0+(-0.631584--0.101694))+0-0-0</f>
        <v>1038.47011</v>
      </c>
      <c r="X85" s="3">
        <f>0+(1287-268.8)+(0+(-0.65637--0.137088))+0-0-0</f>
        <v>1017.6807180000001</v>
      </c>
      <c r="Y85" s="3">
        <f>0+(1235.6-250.6)+(0+(-3.15078--0.63903))+0-0-0</f>
        <v>982.48824999999988</v>
      </c>
      <c r="Z85" s="3">
        <f>0+(1323.5-291.5)+(0+(1.34997-0.29733))+0-0-0</f>
        <v>1033.0526400000001</v>
      </c>
      <c r="AA85" s="3">
        <f>95.1+(1217.9-264.2)+(-0.194004+(-2.484516--0.538968))+0-0-0</f>
        <v>1046.6604479999999</v>
      </c>
      <c r="AB85" s="3">
        <f>82.3+(1254.9-330.1)+(-0.125919+(-1.919997--0.505053))+0-0-0</f>
        <v>1005.5591370000001</v>
      </c>
      <c r="AC85" s="3">
        <f>22.9+(1393.8-431.3)+(-0.011679+(-0.710838--0.219963))+0-0-0</f>
        <v>984.89744599999995</v>
      </c>
      <c r="AD85" s="2">
        <v>1047.2</v>
      </c>
      <c r="AE85" s="3">
        <f>116+(1201.9-270.7)+(0+(0-0))+0-0-0</f>
        <v>1047.2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0+(1372.1-435.8)+(0+(0-0))+0-0-0</f>
        <v>936.3</v>
      </c>
      <c r="G86" s="3">
        <f>0+(1268.7-376.4)+(0+(-2.588148--0.767856))+0-0-0</f>
        <v>890.47970800000007</v>
      </c>
      <c r="H86" s="3">
        <f>0+(1218-348.1)+(0+(-1.24236--0.355062))+0-0-0</f>
        <v>869.01270199999999</v>
      </c>
      <c r="I86" s="3">
        <f>0+(1263.7-390.2)+(0+(1.933461-0.597006))+0-0-0</f>
        <v>874.836455</v>
      </c>
      <c r="J86" s="3">
        <f>0+(1278.1-407.8)+(0+(-0.651831--0.207978))+0-0-0</f>
        <v>869.85614699999996</v>
      </c>
      <c r="K86" s="3">
        <f>0+(1251.8-392)+(0+(-3.19209--0.9996))+0-0-0</f>
        <v>857.60750999999993</v>
      </c>
      <c r="L86" s="3">
        <f>0+(1209.4-342.1)+(0+(-1.233588--0.348942))+0-0-0</f>
        <v>866.41535400000009</v>
      </c>
      <c r="M86" s="3">
        <f>0+(1203.6-283.8)+(0+(1.841508-0.434214))+0-0-0</f>
        <v>921.20729399999993</v>
      </c>
      <c r="N86" s="3">
        <f>0+(1324.2-324.4)+(0+(-0.675342--0.165444))+0-0-0</f>
        <v>999.29010200000005</v>
      </c>
      <c r="O86" s="3">
        <f>0+(1378.8-338)+(0+(2.109564-0.51714))+0-0-0</f>
        <v>1042.3924239999999</v>
      </c>
      <c r="P86" s="3">
        <f>0+(1363.1-242.8)+(0+(0.695181-0.123828))+0-0-0</f>
        <v>1120.871353</v>
      </c>
      <c r="Q86" s="3">
        <f>0+(1270.3-184.6)+(0+(0-0))+0-0-0</f>
        <v>1085.7</v>
      </c>
      <c r="R86" s="3">
        <f>123+(1104.9-155.9)+(0+(0-0))+0-0-0</f>
        <v>1072</v>
      </c>
      <c r="S86" s="3">
        <f>228+(1005.7-170.9)+(-0.23256+(-1.025814--0.174318))+0-0-0</f>
        <v>1061.7159440000003</v>
      </c>
      <c r="T86" s="3">
        <f>227.9+(1015.1-170.6)+(-0.116229+(-0.517701--0.087006))+0-0-0</f>
        <v>1071.8530760000001</v>
      </c>
      <c r="U86" s="3">
        <f>227.1+(1006.1-166.7)+(-0.115821+(-0.513111--0.085017))+0-0-0</f>
        <v>1065.956085</v>
      </c>
      <c r="V86" s="3">
        <f>227.5+(997.1-179.5)+(-0.4641+(-2.034084--0.36618))+0-0-0</f>
        <v>1042.9679959999999</v>
      </c>
      <c r="W86" s="3">
        <f>230.2+(1064.8-270.6)+(-0.234804+(-1.086096--0.276012))+0-0-0</f>
        <v>1023.3551119999998</v>
      </c>
      <c r="X86" s="3">
        <f>183.4+(1173.6-355.4)+(-0.280602+(-1.795608--0.543762))+0-0-0</f>
        <v>1000.0675519999999</v>
      </c>
      <c r="Y86" s="3">
        <f>89.9+(1206.5-308)+(-0.091698+(-1.23063--0.31416))+0-0-0</f>
        <v>987.39183200000002</v>
      </c>
      <c r="Z86" s="3">
        <f>189.5+(1162.4-344.4)+(0.096645+(0.592824-0.175644))+0-0-0</f>
        <v>1008.0138250000001</v>
      </c>
      <c r="AA86" s="3">
        <f>238.8+(1087.9-293.7)+(-0.487152+(-2.219316--0.599148))+0-0-0</f>
        <v>1030.8926799999999</v>
      </c>
      <c r="AB86" s="3">
        <f>241.7+(1086.1-325.9)+(0+(0-0))+0-0-0</f>
        <v>1001.8999999999999</v>
      </c>
      <c r="AC86" s="3">
        <f>204.2+(1163-381.6)+(-0.104142+(-0.59313--0.194616))+0-0-0</f>
        <v>985.09734399999991</v>
      </c>
      <c r="AD86" s="2">
        <v>1032.8</v>
      </c>
      <c r="AE86" s="3">
        <f>239+(1090-296.2)+(0+(0-0))+0-0-0</f>
        <v>1032.8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120.7+(1243.8-415.7)+(-0.246228+(-2.537352--0.848028))+0-0-0</f>
        <v>946.86444799999992</v>
      </c>
      <c r="G87" s="3">
        <f>53.1+(1201.8-346.1)+(0+(0-0))+0-0-0</f>
        <v>908.8</v>
      </c>
      <c r="H87" s="3">
        <f>0+(1274.5-385.4)+(0+(1.29999-0.393108))+0-0-0</f>
        <v>890.00688200000002</v>
      </c>
      <c r="I87" s="3">
        <f>0+(1230.7-376)+(0+(0-0))+0-0-0</f>
        <v>854.7</v>
      </c>
      <c r="J87" s="3">
        <f>0+(1207.1-356.1)+(0+(1.231242-0.363222))+0-0-0</f>
        <v>851.86801999999989</v>
      </c>
      <c r="K87" s="3">
        <f>0+(1169-318.5)+(0+(-2.98095--0.812175))+0-0-0</f>
        <v>848.33122500000002</v>
      </c>
      <c r="L87" s="3">
        <f>0+(1110-267.9)+(0+(-1.6983--0.409887))+0-0-0</f>
        <v>840.81158700000003</v>
      </c>
      <c r="M87" s="3">
        <f>0+(1137.9-241.3)+(0+(1.740987-0.369189))+0-0-0</f>
        <v>897.97179800000015</v>
      </c>
      <c r="N87" s="3">
        <f>3.1+(1175.7-226.3)+(0.001581+(0.599607-0.115413))+0-0-0</f>
        <v>952.9857750000001</v>
      </c>
      <c r="O87" s="3">
        <f>111.7+(1127.7-240.4)+(0.113934+(1.150254-0.245208))+0-0-0</f>
        <v>1000.0189800000002</v>
      </c>
      <c r="P87" s="3">
        <f>311+(1032-310.5)+(0.31722+(1.05264-0.31671))+0-0-0</f>
        <v>1033.55315</v>
      </c>
      <c r="Q87" s="3">
        <f>421.3+(938-310.4)+(-0.644589+(-1.43514--0.474912))+0-0-0</f>
        <v>1047.2951830000002</v>
      </c>
      <c r="R87" s="3">
        <f>446.8+(905.6-300.7)+(0+(0-0))+0-0-0</f>
        <v>1051.7</v>
      </c>
      <c r="S87" s="3">
        <f>441.1+(890.3-319.1)+(-1.349766+(-2.724318--0.976446))+0-0-0</f>
        <v>1009.202362</v>
      </c>
      <c r="T87" s="3">
        <f>441.3+(925.1-361)+(-0.450126+(-0.943602--0.36822))+0-0-0</f>
        <v>1004.3744920000001</v>
      </c>
      <c r="U87" s="3">
        <f>437.4+(973.4-410.2)+(-0.446148+(-0.992868--0.418404))+0-0-0</f>
        <v>999.57938799999999</v>
      </c>
      <c r="V87" s="3">
        <f>436.1+(1000-439)+(-0.667233+(-1.53--0.67167))+0-0-0</f>
        <v>995.57443699999999</v>
      </c>
      <c r="W87" s="3">
        <f>439.3+(995-445.8)+(-0.224043+(-0.50745--0.227358))+0-0-0</f>
        <v>987.99586499999998</v>
      </c>
      <c r="X87" s="3">
        <f>147.6+(1158.4-330.2)+(-0.301104+(-2.363136--0.673608))+0-0-0</f>
        <v>973.80936800000006</v>
      </c>
      <c r="Y87" s="3">
        <f>0+(1223.1-291.3)+(0+(0-0))+0-0-0</f>
        <v>931.8</v>
      </c>
      <c r="Z87" s="3">
        <f>0+(1262.1-302.4)+(0+(0-0))+0-0-0</f>
        <v>959.69999999999993</v>
      </c>
      <c r="AA87" s="3">
        <f>0+(1259.1-243.5)+(0+(-1.926423--0.372555))+0-0-0</f>
        <v>1014.0461319999999</v>
      </c>
      <c r="AB87" s="3">
        <f>0+(1241.6-250.7)+(0+(-2.532864--0.511428))+0-0-0</f>
        <v>988.87856399999987</v>
      </c>
      <c r="AC87" s="3">
        <f>0+(1265.9-296.7)+(0+(-0.645609--0.151317))+0-0-0</f>
        <v>968.70570800000007</v>
      </c>
      <c r="AD87" s="2">
        <v>1014.1999999999999</v>
      </c>
      <c r="AE87" s="3">
        <f>0+(1266.8-252.6)+(0+(0-0))+0-0-0</f>
        <v>1014.1999999999999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0+(1250.8-310.3)+(0+(-1.275816--0.316506))+0-0-0</f>
        <v>939.54069000000004</v>
      </c>
      <c r="G88" s="3">
        <f>0+(1258.8-357.7)+(0+(-3.851928--1.094562))+0-0-0</f>
        <v>898.34263399999986</v>
      </c>
      <c r="H88" s="3">
        <f>0+(1264.7-401)+(0+(-2.579988--0.81804))+0-0-0</f>
        <v>861.93805200000008</v>
      </c>
      <c r="I88" s="3">
        <f>0+(1254.2-402.6)+(0+(-3.19821--1.02663))+0-0-0</f>
        <v>849.42842000000007</v>
      </c>
      <c r="J88" s="3">
        <f>0+(1152.9-309.6)+(0+(0-0))+0-0-0</f>
        <v>843.30000000000007</v>
      </c>
      <c r="K88" s="3">
        <f>0+(1154.4-336)+(0+(-1.766232--0.51408))+0-0-0</f>
        <v>817.14784800000007</v>
      </c>
      <c r="L88" s="3">
        <f>0+(1201.2-422.6)+(0+(0.612612-0.215526))+0-0-0</f>
        <v>778.99708599999997</v>
      </c>
      <c r="M88" s="3">
        <f>0+(1171.9-376.1)+(0+(0.597669-0.191811))+0-0-0</f>
        <v>796.20585800000003</v>
      </c>
      <c r="N88" s="3">
        <f>0+(1136.4-312.1)+(0+(0-0))+0-0-0</f>
        <v>824.30000000000007</v>
      </c>
      <c r="O88" s="3">
        <f>0+(1130.6-260.4)+(0+(0.576606-0.132804))+0-0-0</f>
        <v>870.64380199999994</v>
      </c>
      <c r="P88" s="3">
        <f>0+(1178.4-289)+(0+(0.600984-0.14739))+0-0-0</f>
        <v>889.85359400000004</v>
      </c>
      <c r="Q88" s="3">
        <f>19.2+(1130.8-239.1)+(0.029376+(1.730124-0.365823))+0-0-0</f>
        <v>912.293677</v>
      </c>
      <c r="R88" s="3">
        <f>110.1+(1060.6-247.2)+(0.336906+(3.245436-0.756432))+0-0-0</f>
        <v>926.32590999999991</v>
      </c>
      <c r="S88" s="3">
        <f>109.7+(1028.4-227.2)+(0.111894+(1.048968-0.231744))+0-0-0</f>
        <v>911.82911800000011</v>
      </c>
      <c r="T88" s="3">
        <f>109.4+(953-164.9)+(0.167382+(1.45809-0.252297))+0-0-0</f>
        <v>898.87317499999995</v>
      </c>
      <c r="U88" s="3">
        <f>102.5+(930.3-147.3)+(0.052275+(0.474453-0.075123))+0-0-0</f>
        <v>885.95160499999997</v>
      </c>
      <c r="V88" s="3">
        <f>105.6+(942.5-155.1)+(0.053856+(0.480675-0.079101))+0-0-0</f>
        <v>893.45542999999998</v>
      </c>
      <c r="W88" s="3">
        <f>105.7+(959.8-181.5)+(0+(0-0))+0-0-0</f>
        <v>884</v>
      </c>
      <c r="X88" s="3">
        <f>90.3+(1001.7-215)+(-0.092106+(-1.021734--0.2193))+0-0-0</f>
        <v>876.10545999999999</v>
      </c>
      <c r="Y88" s="3">
        <f>42.1+(1056.6-225.8)+(0+(0-0))+0-0-0</f>
        <v>872.9</v>
      </c>
      <c r="Z88" s="3">
        <f>74.6+(1073.9-251.4)+(0.114138+(1.643067-0.384642))+0-0-0</f>
        <v>898.47256300000015</v>
      </c>
      <c r="AA88" s="3">
        <f>114.3+(1056.3-192.9)+(0.233172+(2.154852-0.393516))+0-0-0</f>
        <v>979.69450799999993</v>
      </c>
      <c r="AB88" s="3">
        <f>115.3+(1025.6-175)+(-0.058803+(-0.523056--0.08925))+0-0-0</f>
        <v>965.40739099999985</v>
      </c>
      <c r="AC88" s="3">
        <f>115.3+(1040.7-225.5)+(0.058803+(0.530757-0.115005))+0-0-0</f>
        <v>930.97455500000001</v>
      </c>
      <c r="AD88" s="2">
        <v>991.8</v>
      </c>
      <c r="AE88" s="3">
        <f>115+(1062.3-185.5)+(0+(0-0))+0-0-0</f>
        <v>991.8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115.4+(1035.6-276.4)+(-0.117708+(-1.056312--0.281928))+0-0-0</f>
        <v>873.70790799999986</v>
      </c>
      <c r="G89" s="3">
        <f>109.3+(1010.9-297.2)+(-0.334458+(-3.093354--0.909432))+0-0-0</f>
        <v>820.48162000000002</v>
      </c>
      <c r="H89" s="3">
        <f>110.9+(1071.4-378.9)+(-0.113118+(-1.092828--0.386478))+0-0-0</f>
        <v>802.58053200000006</v>
      </c>
      <c r="I89" s="3">
        <f>93.2+(1056.5-335.9)+(0.095064+(1.07763-0.342618))+0-0-0</f>
        <v>814.63007600000003</v>
      </c>
      <c r="J89" s="3">
        <f>45.2+(1103.5-345.9)+(0.092208+(2.25114-0.705636))+0-0-0</f>
        <v>804.43771200000003</v>
      </c>
      <c r="K89" s="3">
        <f>45.1+(1076.4-321.7)+(-0.046002+(-1.097928--0.328134))+0-0-0</f>
        <v>798.98420400000009</v>
      </c>
      <c r="L89" s="3">
        <f>45.1+(1067.9-292.6)+(0.115005+(2.723145-0.74613))+0-0-0</f>
        <v>822.49202000000014</v>
      </c>
      <c r="M89" s="3">
        <f>90.3+(1077.6-269.4)+(0.138159+(1.648728-0.412182))+0-0-0</f>
        <v>899.87470499999984</v>
      </c>
      <c r="N89" s="3">
        <f>206.6+(1103.5-320.4)+(0.52683+(2.813925-0.81702))+0-0-0</f>
        <v>992.22373500000003</v>
      </c>
      <c r="O89" s="3">
        <f>226.5+(1122.5-310.1)+(0.577575+(2.862375-0.790755))+0-0-0</f>
        <v>1041.5491950000001</v>
      </c>
      <c r="P89" s="3">
        <f>221.6+(1123.1-272)+(0.226032+(1.145562-0.27744))+0-0-0</f>
        <v>1073.7941539999997</v>
      </c>
      <c r="Q89" s="3">
        <f>372.8+(1020.9-298.6)+(0.95064+(2.603295-0.76143))+0-0-0</f>
        <v>1097.8925049999998</v>
      </c>
      <c r="R89" s="3">
        <f>441.8+(960.2-267.4)+(0.450636+(0.979404-0.272748))+0-0-0</f>
        <v>1135.7572920000002</v>
      </c>
      <c r="S89" s="3">
        <f>440.3+(907.4-245.1)+(-0.224553+(-0.462774--0.125001))+0-0-0</f>
        <v>1102.0376739999999</v>
      </c>
      <c r="T89" s="3">
        <f>439.4+(888.6-220.5)+(0.224094+(0.453186-0.112455))+0-0-0</f>
        <v>1108.0648249999999</v>
      </c>
      <c r="U89" s="3">
        <f>444.3+(898-236)+(0+(0-0))+0-0-0</f>
        <v>1106.3</v>
      </c>
      <c r="V89" s="3">
        <f>442.8+(945.5-294.6)+(-0.225828+(-0.482205--0.150246))+0-0-0</f>
        <v>1093.1422130000001</v>
      </c>
      <c r="W89" s="3">
        <f>430.1+(985-338.5)+(-1.316106+(-3.0141--1.03581))+0-0-0</f>
        <v>1073.3056039999999</v>
      </c>
      <c r="X89" s="3">
        <f>222.2+(1087.1-268.6)+(-0.453288+(-2.217684--0.547944))+0-0-0</f>
        <v>1038.5769719999998</v>
      </c>
      <c r="Y89" s="3">
        <f>208.5+(1016.2-209.8)+(-0.531675+(-2.59131--0.53499))+0-0-0</f>
        <v>1012.3120050000001</v>
      </c>
      <c r="Z89" s="3">
        <f>214.8+(1052-214.6)+(0+(0-0))+0-0-0</f>
        <v>1052.2</v>
      </c>
      <c r="AA89" s="3">
        <f>221.3+(1145.2-259.7)+(-0.338589+(-1.752156--0.397341))+0-0-0</f>
        <v>1105.1065959999999</v>
      </c>
      <c r="AB89" s="3">
        <f>222+(1153.5-295.3)+(0+(0-0))+0-0-0</f>
        <v>1080.2</v>
      </c>
      <c r="AC89" s="3">
        <f>220.8+(1212.9-381.5)+(-0.450432+(-2.474316--0.77826))+0-0-0</f>
        <v>1050.053512</v>
      </c>
      <c r="AD89" s="2">
        <v>1090.9000000000001</v>
      </c>
      <c r="AE89" s="3">
        <f>222+(1134.4-265.5)+(0+(0-0))+0-0-0</f>
        <v>1090.9000000000001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63.7+(1326.5-411.8)+(-0.129948+(-2.70606--0.840072))+0-0-0</f>
        <v>976.40406400000006</v>
      </c>
      <c r="G90" s="3">
        <f>0+(1303-379.1)+(0+(-0.66453--0.193341))+0-0-0</f>
        <v>923.428811</v>
      </c>
      <c r="H90" s="3">
        <f>0+(1254.6-346.5)+(0+(-1.919538--0.530145))+0-0-0</f>
        <v>906.71060699999987</v>
      </c>
      <c r="I90" s="3">
        <f>0+(1242.7-347.9)+(0+(-3.168885--0.887145))+0-0-0</f>
        <v>892.51826000000005</v>
      </c>
      <c r="J90" s="3">
        <f>0+(1225-336.7)+(0+(-0.62475--0.171717))+0-0-0</f>
        <v>887.84696699999995</v>
      </c>
      <c r="K90" s="3">
        <f>0+(1243.4-364.3)+(0+(-3.17067--0.928965))+0-0-0</f>
        <v>876.85829500000011</v>
      </c>
      <c r="L90" s="3">
        <f>0+(1224.1-342.6)+(0+(0.624291-0.174726))+0-0-0</f>
        <v>881.94956499999989</v>
      </c>
      <c r="M90" s="3">
        <f>0+(1222.3-287.4)+(0+(1.870119-0.439722))+0-0-0</f>
        <v>936.33039699999995</v>
      </c>
      <c r="N90" s="3">
        <f>16.8+(1274.5-285.4)+(0.025704+(1.949985-0.436662))+0-0-0</f>
        <v>1007.439027</v>
      </c>
      <c r="O90" s="3">
        <f>158.9+(1183.7-298.8)+(-0.081039+(-0.603687--0.152388))+0-0-0</f>
        <v>1043.2676620000002</v>
      </c>
      <c r="P90" s="3">
        <f>223.1+(1220.2-348.7)+(0+(0-0))+0-0-0</f>
        <v>1094.5999999999999</v>
      </c>
      <c r="Q90" s="3">
        <f>321+(1133.9-347.3)+(0+(0-0))+0-0-0</f>
        <v>1107.6000000000001</v>
      </c>
      <c r="R90" s="3">
        <f>377.2+(1075.9-345.9)+(0.384744+(1.097418-0.352818))+0-0-0</f>
        <v>1108.329344</v>
      </c>
      <c r="S90" s="3">
        <f>434.5+(1058.1-406.6)+(-0.664785+(-1.618893--0.622098))+0-0-0</f>
        <v>1084.33842</v>
      </c>
      <c r="T90" s="3">
        <f>433.8+(1089-436.3)+(-0.663714+(-1.66617--0.667539))+0-0-0</f>
        <v>1084.837655</v>
      </c>
      <c r="U90" s="3">
        <f>435.5+(1083.5-425.6)+(-0.44421+(-1.10517--0.434112))+0-0-0</f>
        <v>1092.2847320000001</v>
      </c>
      <c r="V90" s="3">
        <f>437.5+(1116.6-466.9)+(0.223125+(0.569466-0.238119))+0-0-0</f>
        <v>1087.7544719999999</v>
      </c>
      <c r="W90" s="3">
        <f>435.7+(1148.3-516.1)+(-0.666621+(-1.756899--0.789633))+0-0-0</f>
        <v>1066.2661129999999</v>
      </c>
      <c r="X90" s="3">
        <f>414+(1151-531.9)+(-0.21114+(-0.58701--0.271269))+0-0-0</f>
        <v>1032.5731189999999</v>
      </c>
      <c r="Y90" s="3">
        <f>228.3+(1092.1-306.9)+(-0.116433+(-0.556971--0.156519))+0-0-0</f>
        <v>1012.983115</v>
      </c>
      <c r="Z90" s="3">
        <f>219.4+(1120.3-304.1)+(-0.111894+(-0.571353--0.155091))+0-0-0</f>
        <v>1035.0718439999998</v>
      </c>
      <c r="AA90" s="3">
        <f>216.2+(1148.4-277.9)+(-0.771834+(-4.099788--0.992103))+0-0-0</f>
        <v>1082.820481</v>
      </c>
      <c r="AB90" s="3">
        <f>90+(1194.3-221.3)+(-0.0459+(-0.609093--0.112863))+0-0-0</f>
        <v>1062.45787</v>
      </c>
      <c r="AC90" s="3">
        <f>0+(1265.9-238)+(0+(-0.645609--0.12138))+0-0-0</f>
        <v>1027.375771</v>
      </c>
      <c r="AD90" s="2">
        <v>1087.5999999999999</v>
      </c>
      <c r="AE90" s="3">
        <f>220+(1149.1-281.5)+(0+(0-0))+0-0-0</f>
        <v>1087.5999999999999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0+(1290.9-300.7)+(0+(0-0))+0-0-0</f>
        <v>990.2</v>
      </c>
      <c r="G91" s="3">
        <f>0+(1246-296.9)+(0+(-3.1773--0.757095))+0-0-0</f>
        <v>946.67979500000001</v>
      </c>
      <c r="H91" s="3">
        <f>0+(1152-230.4)+(0+(-0.58752--0.117504))+0-0-0</f>
        <v>921.12998400000004</v>
      </c>
      <c r="I91" s="3">
        <f>0+(1128-232.3)+(0+(0-0))+0-0-0</f>
        <v>895.7</v>
      </c>
      <c r="J91" s="3">
        <f>0+(1140.2-248.7)+(0+(-1.163004--0.253674))+0-0-0</f>
        <v>890.59067000000005</v>
      </c>
      <c r="K91" s="3">
        <f>0+(1162.1-287.1)+(0+(-2.963355--0.732105))+0-0-0</f>
        <v>872.76874999999984</v>
      </c>
      <c r="L91" s="3">
        <f>0+(1192.9-349.1)+(0+(-1.216758--0.356082))+0-0-0</f>
        <v>842.93932400000006</v>
      </c>
      <c r="M91" s="3">
        <f>0+(1228.6-353.5)+(0+(0-0))+0-0-0</f>
        <v>875.09999999999991</v>
      </c>
      <c r="N91" s="3">
        <f>0+(1274.8-344.7)+(0+(-1.300296--0.351594))+0-0-0</f>
        <v>929.15129799999988</v>
      </c>
      <c r="O91" s="3">
        <f>0+(1271.6-305.9)+(0+(1.297032-0.312018))+0-0-0</f>
        <v>966.68501399999991</v>
      </c>
      <c r="P91" s="3">
        <f>0+(1256.5-269.4)+(0+(0.640815-0.137394))+0-0-0</f>
        <v>987.60342100000003</v>
      </c>
      <c r="Q91" s="3">
        <f>0+(1281.2-261.7)+(0+(1.306824-0.266934))+0-0-0</f>
        <v>1020.53989</v>
      </c>
      <c r="R91" s="3">
        <f>0+(1337.8-330.3)+(0+(0.682278-0.168453))+0-0-0</f>
        <v>1008.013825</v>
      </c>
      <c r="S91" s="3">
        <f>0+(1367.5-379.9)+(0+(-1.39485--0.387498))+0-0-0</f>
        <v>986.59264800000005</v>
      </c>
      <c r="T91" s="3">
        <f>0+(1376.5-408.5)+(0+(-2.106045--0.625005))+0-0-0</f>
        <v>966.51895999999999</v>
      </c>
      <c r="U91" s="3">
        <f>0+(1411.7-445.4)+(0+(-0.719967--0.227154))+0-0-0</f>
        <v>965.80718700000011</v>
      </c>
      <c r="V91" s="3">
        <f>0+(1445.9-479.4)+(0+(1.474818-0.488988))+0-0-0</f>
        <v>967.48583000000008</v>
      </c>
      <c r="W91" s="3">
        <f>0+(1439.4-483.9)+(0+(-1.468188--0.493578))+0-0-0</f>
        <v>954.52539000000013</v>
      </c>
      <c r="X91" s="3">
        <f>0+(1435.8-505.3)+(0+(-2.929032--1.030812))+0-0-0</f>
        <v>928.60177999999996</v>
      </c>
      <c r="Y91" s="3">
        <f>0+(1340.1-423.2)+(0+(-1.366902--0.431664))+0-0-0</f>
        <v>915.96476199999984</v>
      </c>
      <c r="Z91" s="3">
        <f>0+(1381.3-436)+(0+(0-0))+0-0-0</f>
        <v>945.3</v>
      </c>
      <c r="AA91" s="3">
        <f>0+(1414.8-410.8)+(0+(-2.886192--0.838032))+0-0-0</f>
        <v>1001.9518399999999</v>
      </c>
      <c r="AB91" s="3">
        <f>0+(1380.5-399.2)+(0+(-2.81622--0.814368))+0-0-0</f>
        <v>979.29814799999997</v>
      </c>
      <c r="AC91" s="3">
        <f>0+(1363.6-421.4)+(0+(-0.695436--0.214914))+0-0-0</f>
        <v>941.71947799999998</v>
      </c>
      <c r="AD91" s="2">
        <v>979.4</v>
      </c>
      <c r="AE91" s="3">
        <f>0+(1372.8-393.4)+(0+(0-0))+0-0-0</f>
        <v>979.4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0+(1324.8-435.3)+(0+(-1.351296--0.444006))+0-0-0</f>
        <v>888.59271000000001</v>
      </c>
      <c r="G92" s="3">
        <f>0+(1337.5-485.2)+(0+(-2.7285--0.989808))+0-0-0</f>
        <v>850.56130799999994</v>
      </c>
      <c r="H92" s="3">
        <f>0+(1340.1-507)+(0+(-2.050353--0.77571))+0-0-0</f>
        <v>831.82535699999994</v>
      </c>
      <c r="I92" s="3">
        <f>0+(1291.2-468.3)+(0+(-2.634048--0.955332))+0-0-0</f>
        <v>821.22128400000008</v>
      </c>
      <c r="J92" s="3">
        <f>0+(1242.6-412.6)+(0+(0.633726-0.210426))+0-0-0</f>
        <v>830.42329999999993</v>
      </c>
      <c r="K92" s="3">
        <f>0+(1186.3-362.6)+(0+(-2.420052--0.739704))+0-0-0</f>
        <v>822.01965199999995</v>
      </c>
      <c r="L92" s="3">
        <f>0+(1227-392.2)+(0+(2.50308-0.800088))+0-0-0</f>
        <v>836.50299199999995</v>
      </c>
      <c r="M92" s="3">
        <f>0+(1251.4-346.2)+(0+(0-0))+0-0-0</f>
        <v>905.2</v>
      </c>
      <c r="N92" s="3">
        <f>6.2+(1354-384.1)+(0.006324+(1.38108-0.391782))+0-0-0</f>
        <v>977.09562200000005</v>
      </c>
      <c r="O92" s="3">
        <f>65.9+(1327.6-378.6)+(0+(0-0))+0-0-0</f>
        <v>1014.8999999999999</v>
      </c>
      <c r="P92" s="3">
        <f>163+(1277.9-453.6)+(0.16626+(1.303458-0.462672))+0-0-0</f>
        <v>988.30704600000001</v>
      </c>
      <c r="Q92" s="3">
        <f>351.8+(1167.9-455)+(0.179418+(0.595629-0.23205))+0-0-0</f>
        <v>1065.2429970000001</v>
      </c>
      <c r="R92" s="3">
        <f>349.4+(1116.1-409.1)+(0.178194+(0.569211-0.208641))+0-0-0</f>
        <v>1056.9387639999998</v>
      </c>
      <c r="S92" s="3">
        <f>340.4+(1102.3-423.3)+(-0.86802+(-2.810865--1.079415))+0-0-0</f>
        <v>1016.80053</v>
      </c>
      <c r="T92" s="3">
        <f>343.6+(1115.9-433.6)+(-0.350472+(-1.138218--0.442272))+0-0-0</f>
        <v>1024.8535820000002</v>
      </c>
      <c r="U92" s="3">
        <f>341.6+(1125.2-435.1)+(-0.87108+(-2.86926--1.109505))+0-0-0</f>
        <v>1029.0691650000001</v>
      </c>
      <c r="V92" s="3">
        <f>342.9+(1183-489.6)+(-0.349758+(-1.20666--0.499392))+0-0-0</f>
        <v>1035.242974</v>
      </c>
      <c r="W92" s="3">
        <f>304.9+(1157.4-458.5)+(-0.777495+(-2.95137--1.169175))+0-0-0</f>
        <v>1001.24031</v>
      </c>
      <c r="X92" s="3">
        <f>84.5+(1282.8-389.2)+(-0.215475+(-3.27114--0.99246))+0-0-0</f>
        <v>975.60584499999993</v>
      </c>
      <c r="Y92" s="3">
        <f>0+(1342.9-386.3)+(0+(-2.739516--0.788052))+0-0-0</f>
        <v>954.64853600000015</v>
      </c>
      <c r="Z92" s="3">
        <f>0+(1374.4-389.8)+(0+(0-0))+0-0-0</f>
        <v>984.60000000000014</v>
      </c>
      <c r="AA92" s="3">
        <f>0+(1387.2-355.5)+(0+(-4.244832--1.08783))+0-0-0</f>
        <v>1028.5429980000001</v>
      </c>
      <c r="AB92" s="3">
        <f>0+(1382.2-369.8)+(0+(-2.819688--0.754392))+0-0-0</f>
        <v>1010.3347040000001</v>
      </c>
      <c r="AC92" s="3">
        <f>0+(1339.9-353.5)+(0+(-1.366698--0.36057))+0-0-0</f>
        <v>985.3938720000001</v>
      </c>
      <c r="AD92" s="2">
        <v>1027.0999999999999</v>
      </c>
      <c r="AE92" s="3">
        <f>0+(1384.7-357.6)+(0+(0-0))+0-0-0</f>
        <v>1027.0999999999999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0+(1289.4-353.5)+(0+(-1.972782--0.540855))+0-0-0</f>
        <v>934.46807300000012</v>
      </c>
      <c r="G93" s="3">
        <f>0+(1265.7-389.5)+(0+(-2.582028--0.79458))+0-0-0</f>
        <v>874.41255200000001</v>
      </c>
      <c r="H93" s="3">
        <f>0+(1278.2-416.2)+(0+(-1.955646--0.636786))+0-0-0</f>
        <v>860.68114000000003</v>
      </c>
      <c r="I93" s="3">
        <f>0+(1248.4-388.4)+(0+(-0.636684--0.198084))+0-0-0</f>
        <v>859.56140000000016</v>
      </c>
      <c r="J93" s="3">
        <f>0+(1219.9-368.8)+(0+(-1.244298--0.376176))+0-0-0</f>
        <v>850.23187800000017</v>
      </c>
      <c r="K93" s="3">
        <f>0+(1202.6-367.7)+(0+(-1.226652--0.375054))+0-0-0</f>
        <v>834.0484019999999</v>
      </c>
      <c r="L93" s="3">
        <f>0+(1228.1-383.6)+(0+(0-0))+0-0-0</f>
        <v>844.49999999999989</v>
      </c>
      <c r="M93" s="3">
        <f>0+(1207.7-302.7)+(0+(0.615927-0.154377))+0-0-0</f>
        <v>905.46154999999999</v>
      </c>
      <c r="N93" s="3">
        <f>0+(1305.9-331.3)+(0+(1.332018-0.337926))+0-0-0</f>
        <v>975.59409200000016</v>
      </c>
      <c r="O93" s="3">
        <f>0+(1333.8-315.6)+(0+(1.360476-0.321912))+0-0-0</f>
        <v>1019.2385639999999</v>
      </c>
      <c r="P93" s="3">
        <f>0+(1330.9-286)+(0+(0-0))+0-0-0</f>
        <v>1044.9000000000001</v>
      </c>
      <c r="Q93" s="3">
        <f>0+(1345.2-284.5)+(0+(0-0))+0-0-0</f>
        <v>1060.7</v>
      </c>
      <c r="R93" s="3">
        <f>0+(1313.2-259)+(0+(-3.34866--0.66045))+0-0-0</f>
        <v>1051.51179</v>
      </c>
      <c r="S93" s="3">
        <f>0+(1304.6-278)+(0+(-3.32673--0.7089))+0-0-0</f>
        <v>1023.9821699999999</v>
      </c>
      <c r="T93" s="3">
        <f>0+(1305.1-285.4)+(0+(-0.665601--0.145554))+0-0-0</f>
        <v>1019.179953</v>
      </c>
      <c r="U93" s="3">
        <f>0+(1301.7-259.9)+(0+(-2.655468--0.530196))+0-0-0</f>
        <v>1039.6747280000002</v>
      </c>
      <c r="V93" s="3">
        <f>0+(1305.5-275.9)+(0+(-2.66322--0.562836))+0-0-0</f>
        <v>1027.4996159999998</v>
      </c>
      <c r="W93" s="3">
        <f>0+(1279.9-266.6)+(0+(-3.263745--0.67983))+0-0-0</f>
        <v>1010.716085</v>
      </c>
      <c r="X93" s="3">
        <f>0+(1271.3-271.7)+(0+(-3.241815--0.692835))+0-0-0</f>
        <v>997.05101999999988</v>
      </c>
      <c r="Y93" s="3">
        <f>0+(1218-244.9)+(0+(-0.62118--0.124899))+0-0-0</f>
        <v>972.60371900000007</v>
      </c>
      <c r="Z93" s="3">
        <f>0+(1245.4-257)+(0+(0-0))+0-0-0</f>
        <v>988.40000000000009</v>
      </c>
      <c r="AA93" s="3">
        <f>0+(1323.2-269.2)+(0+(-2.699328--0.549168))+0-0-0</f>
        <v>1051.8498400000001</v>
      </c>
      <c r="AB93" s="3">
        <f>0+(1310.3-285.9)+(0+(-2.004759--0.437427))+0-0-0</f>
        <v>1022.8326680000001</v>
      </c>
      <c r="AC93" s="3">
        <f>0+(1331-339.5)+(0+(-1.35762--0.34629))+0-0-0</f>
        <v>990.48866999999996</v>
      </c>
      <c r="AD93" s="2">
        <v>1050.4000000000001</v>
      </c>
      <c r="AE93" s="3">
        <f>0+(1357.7-307.3)+(0+(0-0))+0-0-0</f>
        <v>1050.4000000000001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0+(1314.1-380.1)+(0+(-1.340382--0.387702))+0-0-0</f>
        <v>933.0473199999999</v>
      </c>
      <c r="G94" s="3">
        <f>0+(1238.5-346.8)+(0+(-1.26327--0.353736))+0-0-0</f>
        <v>890.79046600000004</v>
      </c>
      <c r="H94" s="3">
        <f>0+(1202.1-331.4)+(0+(1.226142-0.338028))+0-0-0</f>
        <v>871.5881139999999</v>
      </c>
      <c r="I94" s="3">
        <f>0+(1190.1-334.2)+(0+(-1.213902--0.340884))+0-0-0</f>
        <v>855.02698199999986</v>
      </c>
      <c r="J94" s="3">
        <f>0+(1209.4-360.5)+(0+(1.850382-0.551565))+0-0-0</f>
        <v>850.19881700000008</v>
      </c>
      <c r="K94" s="3">
        <f>0+(1195.7-362)+(0+(-3.049035--0.9231))+0-0-0</f>
        <v>831.57406500000002</v>
      </c>
      <c r="L94" s="3">
        <f>0+(1186.8-353.1)+(0+(-0.605268--0.180081))+0-0-0</f>
        <v>833.27481299999988</v>
      </c>
      <c r="M94" s="3">
        <f>0+(1213.6-334)+(0+(1.237872-0.34068))+0-0-0</f>
        <v>880.49719199999993</v>
      </c>
      <c r="N94" s="3">
        <f>0+(1325.4-383.8)+(0+(1.351908-0.391476))+0-0-0</f>
        <v>942.56043200000011</v>
      </c>
      <c r="O94" s="3">
        <f>0+(1335.2-356.2)+(0+(0.680952-0.181662))+0-0-0</f>
        <v>979.49928999999997</v>
      </c>
      <c r="P94" s="3">
        <f>0+(1355.9-338.4)+(0+(0-0))+0-0-0</f>
        <v>1017.5000000000001</v>
      </c>
      <c r="Q94" s="3">
        <f>0+(1369.3-341.9)+(0+(2.095029-0.523107))+0-0-0</f>
        <v>1028.9719220000002</v>
      </c>
      <c r="R94" s="3">
        <f>0+(1339.5-313.1)+(0+(1.36629-0.319362))+0-0-0</f>
        <v>1027.4469280000001</v>
      </c>
      <c r="S94" s="3">
        <f>0+(1297.1-307.5)+(0+(-2.646084--0.6273))+0-0-0</f>
        <v>987.58121599999993</v>
      </c>
      <c r="T94" s="3">
        <f>0+(1316.4-327.6)+(0+(-2.685456--0.668304))+0-0-0</f>
        <v>986.78284800000006</v>
      </c>
      <c r="U94" s="3">
        <f>0+(1316.6-340.6)+(0+(-0.671466--0.173706))+0-0-0</f>
        <v>975.50223999999992</v>
      </c>
      <c r="V94" s="3">
        <f>0+(1293-328.8)+(0+(-1.97829--0.503064))+0-0-0</f>
        <v>962.72477400000002</v>
      </c>
      <c r="W94" s="3">
        <f>0+(1304.3-342.2)+(0+(-3.325965--0.87261))+0-0-0</f>
        <v>959.64664499999992</v>
      </c>
      <c r="X94" s="3">
        <f>0+(1300.2-359)+(0+(-3.31551--0.91545))+0-0-0</f>
        <v>938.79993999999999</v>
      </c>
      <c r="Y94" s="3">
        <f>0+(1221.7-299)+(0+(-0.623067--0.15249))+0-0-0</f>
        <v>922.229423</v>
      </c>
      <c r="Z94" s="3">
        <f>0+(1233.4-278.1)+(0+(1.887102-0.425493))+0-0-0</f>
        <v>956.76160900000002</v>
      </c>
      <c r="AA94" s="3">
        <f>0+(1305-309.5)+(0+(-1.99665--0.473535))+0-0-0</f>
        <v>993.97688500000004</v>
      </c>
      <c r="AB94" s="3">
        <f>0+(1303.9-325.2)+(0+(-3.324945--0.82926))+0-0-0</f>
        <v>976.20431500000007</v>
      </c>
      <c r="AC94" s="3">
        <f>0+(1276.7-330.7)+(0+(-1.953351--0.505971))+0-0-0</f>
        <v>944.55262000000005</v>
      </c>
      <c r="AD94" s="2">
        <v>1009.5999999999999</v>
      </c>
      <c r="AE94" s="3">
        <f>0+(1311.6-302)+(0+(0-0))+0-0-0</f>
        <v>1009.5999999999999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0+(1280.1-359.6)+(0+(-1.305702--0.366792))+0-0-0</f>
        <v>919.56108999999992</v>
      </c>
      <c r="G95" s="3">
        <f>0+(1228.6-350.2)+(0+(-2.506344--0.714408))+0-0-0</f>
        <v>876.6080639999999</v>
      </c>
      <c r="H95" s="3">
        <f>0+(1109.8-256.1)+(0+(-1.131996--0.261222))+0-0-0</f>
        <v>852.82922599999995</v>
      </c>
      <c r="I95" s="3">
        <f>0+(1139.4-298.6)+(0+(0-0))+0-0-0</f>
        <v>840.80000000000007</v>
      </c>
      <c r="J95" s="3">
        <f>0+(1139.7-310.3)+(0+(-2.324988--0.633012))+0-0-0</f>
        <v>827.70802400000014</v>
      </c>
      <c r="K95" s="3">
        <f>0+(1160.1-346.9)+(0+(-2.958255--0.884595))+0-0-0</f>
        <v>811.12633999999991</v>
      </c>
      <c r="L95" s="3">
        <f>0+(1173.6-401.8)+(0+(-2.99268--1.02459))+0-0-0</f>
        <v>769.83190999999999</v>
      </c>
      <c r="M95" s="3">
        <f>0+(1136.6-364.7)+(0+(-1.738998--0.557991))+0-0-0</f>
        <v>770.71899299999984</v>
      </c>
      <c r="N95" s="3">
        <f>0+(1206.6-392.1)+(0+(-0.615366--0.199971))+0-0-0</f>
        <v>814.0846049999999</v>
      </c>
      <c r="O95" s="3">
        <f>0+(1258.2-402.5)+(0+(-1.283364--0.41055))+0-0-0</f>
        <v>854.8271860000001</v>
      </c>
      <c r="P95" s="3">
        <f>0+(1171.2-296.7)+(0+(0.597312-0.151317))+0-0-0</f>
        <v>874.94599500000004</v>
      </c>
      <c r="Q95" s="3">
        <f>0+(1211.7-322.9)+(0+(-0.617967--0.164679))+0-0-0</f>
        <v>888.34671200000003</v>
      </c>
      <c r="R95" s="3">
        <f>0+(1208.7-312.5)+(0+(-1.849311--0.478125))+0-0-0</f>
        <v>894.82881400000008</v>
      </c>
      <c r="S95" s="3">
        <f>0+(1183.6-302.4)+(0+(-1.810908--0.462672))+0-0-0</f>
        <v>879.85176399999989</v>
      </c>
      <c r="T95" s="3">
        <f>0+(1152.4-273.2)+(0+(-0.587724--0.139332))+0-0-0</f>
        <v>878.75160800000003</v>
      </c>
      <c r="U95" s="3">
        <f>0+(1157.9-294.2)+(0+(-1.181058--0.300084))+0-0-0</f>
        <v>862.81902600000001</v>
      </c>
      <c r="V95" s="3">
        <f>0+(1141.6-298.7)+(0+(-1.746648--0.457011))+0-0-0</f>
        <v>841.61036299999989</v>
      </c>
      <c r="W95" s="3">
        <f>0+(1149.5-309)+(0+(-2.34498--0.63036))+0-0-0</f>
        <v>838.78538000000003</v>
      </c>
      <c r="X95" s="3">
        <f>0+(1181.4-339.9)+(0+(-1.807542--0.520047))+0-0-0</f>
        <v>840.21250500000008</v>
      </c>
      <c r="Y95" s="3">
        <f>0+(1163.2-320.7)+(0+(-2.372928--0.654228))+0-0-0</f>
        <v>840.78129999999999</v>
      </c>
      <c r="Z95" s="3">
        <f>0+(1260.8-389.5)+(0+(0-0))+0-0-0</f>
        <v>871.3</v>
      </c>
      <c r="AA95" s="3">
        <f>0+(1261.6-324.2)+(0+(0.643416-0.165342))+0-0-0</f>
        <v>937.87807399999986</v>
      </c>
      <c r="AB95" s="3">
        <f>0+(1251.4-316.3)+(0+(-2.552856--0.645252))+0-0-0</f>
        <v>933.19239600000014</v>
      </c>
      <c r="AC95" s="3">
        <f>0+(1244.8-338.3)+(0+(-1.904544--0.517599))+0-0-0</f>
        <v>905.11305500000003</v>
      </c>
      <c r="AD95" s="2">
        <v>942.69999999999993</v>
      </c>
      <c r="AE95" s="3">
        <f>0+(1261.8-319.1)+(0+(0-0))+0-0-0</f>
        <v>942.69999999999993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0+(1244.4-374.5)+(0+(-1.269288--0.38199))+0-0-0</f>
        <v>869.0127020000001</v>
      </c>
      <c r="G96" s="3">
        <f>0+(1143.7-324.2)+(0+(-0.583287--0.165342))+0-0-0</f>
        <v>819.08205499999997</v>
      </c>
      <c r="H96" s="3">
        <f>0+(1134.6-345.3)+(0+(-1.157292--0.352206))+0-0-0</f>
        <v>788.49491399999999</v>
      </c>
      <c r="I96" s="3">
        <f>0+(1123.1-341.9)+(0+(-1.145562--0.348738))+0-0-0</f>
        <v>780.40317599999992</v>
      </c>
      <c r="J96" s="3">
        <f>0+(1111-327)+(0+(-1.69983--0.50031))+0-0-0</f>
        <v>782.80047999999999</v>
      </c>
      <c r="K96" s="3">
        <f>0+(1123-338.1)+(0+(-2.86365--0.862155))+0-0-0</f>
        <v>782.898505</v>
      </c>
      <c r="L96" s="3">
        <f>0+(1139.7-334.1)+(0+(1.162494-0.340782))+0-0-0</f>
        <v>806.42171200000007</v>
      </c>
      <c r="M96" s="3">
        <f>0+(1181.9-301)+(0+(0-0))+0-0-0</f>
        <v>880.90000000000009</v>
      </c>
      <c r="N96" s="3">
        <f>0+(1262.4-315.4)+(0+(1.287648-0.321708))+0-0-0</f>
        <v>947.96594000000016</v>
      </c>
      <c r="O96" s="3">
        <f>0+(1245.9-243.2)+(0+(0-0))+0-0-0</f>
        <v>1002.7</v>
      </c>
      <c r="P96" s="3">
        <f>52.9+(1201-207.4)+(0.026979+(0.61251-0.105774))+0-0-0</f>
        <v>1047.033715</v>
      </c>
      <c r="Q96" s="3">
        <f>104.3+(1103.6-144.9)+(0.106386+(1.125672-0.147798))+0-0-0</f>
        <v>1064.0842600000001</v>
      </c>
      <c r="R96" s="3">
        <f>277+(975.3-242.8)+(0+(0-0))+0-0-0</f>
        <v>1009.5</v>
      </c>
      <c r="S96" s="3">
        <f>326.9+(1001.3-282.1)+(-0.166719+(-0.510663--0.143871))+0-0-0</f>
        <v>1045.5664889999998</v>
      </c>
      <c r="T96" s="3">
        <f>319.7+(1010-276.8)+(-0.326094+(-1.0302--0.282336))+0-0-0</f>
        <v>1051.8260420000001</v>
      </c>
      <c r="U96" s="3">
        <f>325.3+(1008.5-288.3)+(0.331806+(1.02867-0.294066))+0-0-0</f>
        <v>1046.5664099999999</v>
      </c>
      <c r="V96" s="3">
        <f>320.7+(1012.1-290.8)+(-0.490671+(-1.548513--0.444924))+0-0-0</f>
        <v>1040.4057399999999</v>
      </c>
      <c r="W96" s="3">
        <f>317.3+(1012.2-334.5)+(-0.809115+(-2.58111--0.852975))+0-0-0</f>
        <v>992.46275000000003</v>
      </c>
      <c r="X96" s="3">
        <f>284.5+(1101.9-354)+(-0.58038+(-2.247876--0.72216))+0-0-0</f>
        <v>1030.2939040000001</v>
      </c>
      <c r="Y96" s="3">
        <f>10.8+(1273.3-307.9)+(-0.022032+(-2.597532--0.628116))+0-0-0</f>
        <v>974.20855199999994</v>
      </c>
      <c r="Z96" s="3">
        <f>0+(1338-337.1)+(0+(1.36476-0.343842))+0-0-0</f>
        <v>1001.920918</v>
      </c>
      <c r="AA96" s="3">
        <f>0+(1323.8-301.1)+(0+(-2.025414--0.460683))+0-0-0</f>
        <v>1021.1352689999999</v>
      </c>
      <c r="AB96" s="3">
        <f>0+(1336.5-337.1)+(0+(0.681615-0.171921))+0-0-0</f>
        <v>999.90969399999994</v>
      </c>
      <c r="AC96" s="3">
        <f>0+(1381.8-398.2)+(0+(0.704718-0.203082))+0-0-0</f>
        <v>984.10163599999987</v>
      </c>
      <c r="AD96" s="2">
        <v>1025.7</v>
      </c>
      <c r="AE96" s="3">
        <f>0+(1321.9-296.2)+(0+(0-0))+0-0-0</f>
        <v>1025.7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0+(1398.4-449.5)+(0+(-2.852736--0.91698))+0-0-0</f>
        <v>946.96424400000012</v>
      </c>
      <c r="G97" s="3">
        <f>0+(1398.1-496.1)+(0+(-2.139093--0.759033))+0-0-0</f>
        <v>900.61993999999993</v>
      </c>
      <c r="H97" s="3">
        <f>0+(1372.6-493.2)+(0+(0.700026-0.251532))+0-0-0</f>
        <v>879.84849399999985</v>
      </c>
      <c r="I97" s="3">
        <f>0+(1342.6-473.2)+(0+(2.738904-0.965328))+0-0-0</f>
        <v>871.17357599999991</v>
      </c>
      <c r="J97" s="3">
        <f>0+(1345.1-479.6)+(0+(-3.430005--1.22298))+0-0-0</f>
        <v>863.29297499999984</v>
      </c>
      <c r="K97" s="3">
        <f>0+(1313-467.9)+(0+(-3.34815--1.193145))+0-0-0</f>
        <v>842.94499500000006</v>
      </c>
      <c r="L97" s="3">
        <f>0+(1219.7-380.7)+(0+(-1.866141--0.582471))+0-0-0</f>
        <v>837.71632999999997</v>
      </c>
      <c r="M97" s="3">
        <f>0+(1240.6-331.8)+(0+(1.898118-0.507654))+0-0-0</f>
        <v>910.19046399999991</v>
      </c>
      <c r="N97" s="3">
        <f>0+(1404.9-419.4)+(0+(0.716499-0.213894))+0-0-0</f>
        <v>986.00260500000013</v>
      </c>
      <c r="O97" s="3">
        <f>0+(1395.7-372.7)+(0+(0.711807-0.190077))+0-0-0</f>
        <v>1023.52173</v>
      </c>
      <c r="P97" s="3">
        <f>0+(1380.1-322.4)+(0+(2.111553-0.493272))+0-0-0</f>
        <v>1059.3182809999998</v>
      </c>
      <c r="Q97" s="3">
        <f>0+(1311.8-235.6)+(0+(0-0))+0-0-0</f>
        <v>1076.2</v>
      </c>
      <c r="R97" s="3">
        <f>59.6+(1252.4-236.4)+(-0.121584+(-2.554896--0.482256))+0-0-0</f>
        <v>1073.4057760000001</v>
      </c>
      <c r="S97" s="3">
        <f>110.7+(1279.5-328)+(-0.225828+(-2.61018--0.66912))+0-0-0</f>
        <v>1060.0331120000001</v>
      </c>
      <c r="T97" s="3">
        <f>110+(1287.9-344.6)+(0+(0-0))+0-0-0</f>
        <v>1053.3000000000002</v>
      </c>
      <c r="U97" s="3">
        <f>110.9+(1289.8-359.4)+(-0.056559+(-0.657798--0.183294))+0-0-0</f>
        <v>1040.7689370000001</v>
      </c>
      <c r="V97" s="3">
        <f>109.9+(1300.2-371.1)+(-0.168147+(-1.989306--0.567783))+0-0-0</f>
        <v>1037.4103299999999</v>
      </c>
      <c r="W97" s="3">
        <f>105.8+(1235.3-324.8)+(-0.26979+(-3.150015--0.82824))+0-0-0</f>
        <v>1013.708435</v>
      </c>
      <c r="X97" s="3">
        <f>31.3+(1317.5-359.5)+(-0.063852+(-2.6877--0.73338))+0-0-0</f>
        <v>987.2818279999999</v>
      </c>
      <c r="Y97" s="3">
        <f>0+(1311-331.5)+(0+(-2.67444--0.67626))+0-0-0</f>
        <v>977.50181999999995</v>
      </c>
      <c r="Z97" s="3">
        <f>0+(1338.2-323.7)+(0+(0.682482-0.165087))+0-0-0</f>
        <v>1015.017395</v>
      </c>
      <c r="AA97" s="3">
        <f>0+(1344.4-301.6)+(0+(-0.685644--0.153816))+0-0-0</f>
        <v>1042.2681720000003</v>
      </c>
      <c r="AB97" s="3">
        <f>0+(1369.3-352.2)+(0+(-3.491715--0.89811))+0-0-0</f>
        <v>1014.5063949999999</v>
      </c>
      <c r="AC97" s="3">
        <f>0+(1352.5-361.2)+(0+(-1.37955--0.368424))+0-0-0</f>
        <v>990.28887399999996</v>
      </c>
      <c r="AD97" s="2">
        <v>1044.5</v>
      </c>
      <c r="AE97" s="3">
        <f>0+(1347.8-303.3)+(0+(0-0))+0-0-0</f>
        <v>1044.5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0+(1302.9-377)+(0+(-2.657916--0.76908))+0-0-0</f>
        <v>924.01116400000012</v>
      </c>
      <c r="G98" s="3">
        <f>0+(1301.7-407.6)+(0+(-1.991601--0.623628))+0-0-0</f>
        <v>892.73202700000002</v>
      </c>
      <c r="H98" s="3">
        <f>0+(1339.5-465.2)+(0+(-2.73258--0.949008))+0-0-0</f>
        <v>872.51642799999991</v>
      </c>
      <c r="I98" s="3">
        <f>0+(1325.5-465.2)+(0+(-0.676005--0.237252))+0-0-0</f>
        <v>859.86124699999993</v>
      </c>
      <c r="J98" s="3">
        <f>0+(1257.9-398.1)+(0+(-2.566116--0.812124))+0-0-0</f>
        <v>858.04600800000003</v>
      </c>
      <c r="K98" s="3">
        <f>0+(1236.1-393.5)+(0+(-3.152055--1.003425))+0-0-0</f>
        <v>840.45136999999988</v>
      </c>
      <c r="L98" s="3">
        <f>0+(1239.2-390.5)+(0+(-1.895976--0.597465))+0-0-0</f>
        <v>847.40148900000008</v>
      </c>
      <c r="M98" s="3">
        <f>0+(1323.5-406.2)+(0+(1.34997-0.414324))+0-0-0</f>
        <v>918.23564599999997</v>
      </c>
      <c r="N98" s="3">
        <f>0+(1362.8-379.5)+(0+(1.390056-0.38709))+0-0-0</f>
        <v>984.30296599999997</v>
      </c>
      <c r="O98" s="3">
        <f>0+(1344.8-336.2)+(0+(0-0))+0-0-0</f>
        <v>1008.5999999999999</v>
      </c>
      <c r="P98" s="3">
        <f>0+(1356.3-285.4)+(0+(0-0))+0-0-0</f>
        <v>1070.9000000000001</v>
      </c>
      <c r="Q98" s="3">
        <f>0+(1327.3-254.9)+(0+(1.353846-0.259998))+0-0-0</f>
        <v>1073.4938479999998</v>
      </c>
      <c r="R98" s="3">
        <f>54.3+(1318.6-299.8)+(0.083079+(2.017458-0.458694))+0-0-0</f>
        <v>1074.741843</v>
      </c>
      <c r="S98" s="3">
        <f>116.7+(1231-303.7)+(-0.238068+(-2.51124--0.619548))+0-0-0</f>
        <v>1041.87024</v>
      </c>
      <c r="T98" s="3">
        <f>114.3+(1229.2-289.3)+(0.058293+(0.626892-0.147543))+0-0-0</f>
        <v>1054.7376420000001</v>
      </c>
      <c r="U98" s="3">
        <f>113.4+(1189.5-266.3)+(-0.28917+(-3.033225--0.679065))+0-0-0</f>
        <v>1033.95667</v>
      </c>
      <c r="V98" s="3">
        <f>107.1+(1161.3-233)+(-0.218484+(-2.369052--0.47532))+0-0-0</f>
        <v>1033.2877839999999</v>
      </c>
      <c r="W98" s="3">
        <f>0+(1213.1-189.8)+(0+(-3.712086--0.580788))+0-0-0</f>
        <v>1020.1687019999999</v>
      </c>
      <c r="X98" s="3">
        <f>0+(1248.5-258.1)+(0+(-3.82041--0.789786))+0-0-0</f>
        <v>987.36937599999999</v>
      </c>
      <c r="Y98" s="3">
        <f>0+(1211.4-234.5)+(0+(-3.08907--0.597975))+0-0-0</f>
        <v>974.40890500000012</v>
      </c>
      <c r="Z98" s="3">
        <f>0+(1225-218.4)+(0+(-0.62475--0.111384))+0-0-0</f>
        <v>1006.086634</v>
      </c>
      <c r="AA98" s="3">
        <f>0+(1251.1-215.2)+(0+(-1.276122--0.219504))+0-0-0</f>
        <v>1034.8433819999998</v>
      </c>
      <c r="AB98" s="3">
        <f>0+(1234.8-216.7)+(0+(-0.629748--0.110517))+0-0-0</f>
        <v>1017.5807689999999</v>
      </c>
      <c r="AC98" s="3">
        <f>0+(1201.6-208)+(0+(-1.225632--0.21216))+0-0-0</f>
        <v>992.58652799999993</v>
      </c>
      <c r="AD98" s="2">
        <v>1034.6000000000001</v>
      </c>
      <c r="AE98" s="3">
        <f>0+(1253.2-218.6)+(0+(0-0))+0-0-0</f>
        <v>1034.6000000000001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0+(1259.1-321.1)+(0+(-2.568564--0.655044))+0-0-0</f>
        <v>936.08647999999994</v>
      </c>
      <c r="G99" s="3">
        <f>0+(1291.5-403.5)+(0+(-1.31733--0.41157))+0-0-0</f>
        <v>887.09424000000001</v>
      </c>
      <c r="H99" s="3">
        <f>0+(1274.9-415.5)+(0+(-2.600796--0.84762))+0-0-0</f>
        <v>857.64682400000004</v>
      </c>
      <c r="I99" s="3">
        <f>0+(1272-404)+(0+(-3.2436--1.0302))+0-0-0</f>
        <v>865.78660000000002</v>
      </c>
      <c r="J99" s="3">
        <f>0+(1250.7-392.7)+(0+(1.275714-0.400554))+0-0-0</f>
        <v>858.87516000000005</v>
      </c>
      <c r="K99" s="3">
        <f>0+(1258.2-409.4)+(0+(-3.20841--1.04397))+0-0-0</f>
        <v>846.63556000000005</v>
      </c>
      <c r="L99" s="3">
        <f>0+(1228.1-376.5)+(0+(-3.131655--0.960075))+0-0-0</f>
        <v>849.42841999999996</v>
      </c>
      <c r="M99" s="3">
        <f>0+(1264.1-351.5)+(0+(1.289382-0.35853))+0-0-0</f>
        <v>913.53085199999987</v>
      </c>
      <c r="N99" s="3">
        <f>0+(1243.8-271)+(0+(0.634338-0.13821))+0-0-0</f>
        <v>973.29612799999995</v>
      </c>
      <c r="O99" s="3">
        <f>0+(1272.3-253.7)+(0+(-0.648873--0.129387))+0-0-0</f>
        <v>1018.0805139999999</v>
      </c>
      <c r="P99" s="3">
        <f>0+(1306.9-243.5)+(0+(0.666519-0.124185))+0-0-0</f>
        <v>1063.9423340000001</v>
      </c>
      <c r="Q99" s="3">
        <f>0+(1245.9-171.8)+(0+(-1.906227--0.262854))+0-0-0</f>
        <v>1072.456627</v>
      </c>
      <c r="R99" s="3">
        <f>0+(1222.7-146.5)+(0+(-1.247154--0.14943))+0-0-0</f>
        <v>1075.1022760000001</v>
      </c>
      <c r="S99" s="3">
        <f>0+(1199.2-157.6)+(0+(-4.281144--0.562632))+0-0-0</f>
        <v>1037.8814880000002</v>
      </c>
      <c r="T99" s="3">
        <f>0+(1200.7-150.5)+(0+(-0.612357--0.076755))+0-0-0</f>
        <v>1049.6643980000001</v>
      </c>
      <c r="U99" s="3">
        <f>0+(1199.4-157.8)+(0+(0-0))+0-0-0</f>
        <v>1041.6000000000001</v>
      </c>
      <c r="V99" s="3">
        <f>0+(1220.1-183.6)+(0+(-1.866753--0.280908))+0-0-0</f>
        <v>1034.9141549999999</v>
      </c>
      <c r="W99" s="3">
        <f>0+(1170.1-154.6)+(0+(-2.387004--0.315384))+0-0-0</f>
        <v>1013.4283799999998</v>
      </c>
      <c r="X99" s="3">
        <f>0+(1252.5-267.9)+(0+(-1.916325--0.409887))+0-0-0</f>
        <v>983.09356200000002</v>
      </c>
      <c r="Y99" s="3">
        <f>0+(1253.2-275.8)+(0+(-1.278264--0.281316))+0-0-0</f>
        <v>976.40305200000012</v>
      </c>
      <c r="Z99" s="3">
        <f>0+(1266-258.1)+(0+(-0.64566--0.131631))+0-0-0</f>
        <v>1007.3859709999999</v>
      </c>
      <c r="AA99" s="3">
        <f>0+(1254.6-218.6)+(0+(-1.919538--0.334458))+0-0-0</f>
        <v>1034.4149199999999</v>
      </c>
      <c r="AB99" s="3">
        <f>0+(1279.7-252.4)+(0+(-2.610588--0.514896))+0-0-0</f>
        <v>1025.2043079999999</v>
      </c>
      <c r="AC99" s="3">
        <f>0+(1334.5-343.6)+(0+(-1.36119--0.350472))+0-0-0</f>
        <v>989.88928199999998</v>
      </c>
      <c r="AD99" s="2">
        <v>1052.5999999999999</v>
      </c>
      <c r="AE99" s="3">
        <f>0+(1266-213.4)+(0+(0-0))+0-0-0</f>
        <v>1052.5999999999999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0+(1393.7-445.4)+(0+(-0.710787--0.227154))+0-0-0</f>
        <v>947.81636700000001</v>
      </c>
      <c r="G100" s="3">
        <f>0+(1358-454.6)+(0+(-2.07774--0.695538))+0-0-0</f>
        <v>902.01779799999997</v>
      </c>
      <c r="H100" s="3">
        <f>0+(1272.9-386.9)+(0+(-1.947537--0.591957))+0-0-0</f>
        <v>884.64442000000008</v>
      </c>
      <c r="I100" s="3">
        <f>0+(1234.2-358.9)+(0+(0-0))+0-0-0</f>
        <v>875.30000000000007</v>
      </c>
      <c r="J100" s="3">
        <f>0+(1196.7-332)+(0+(-3.051585--0.8466))+0-0-0</f>
        <v>862.49501500000008</v>
      </c>
      <c r="K100" s="3">
        <f>0+(1185.5-330)+(0+(-2.41842--0.6732))+0-0-0</f>
        <v>853.75477999999998</v>
      </c>
      <c r="L100" s="3">
        <f>0+(1194.7-336.6)+(0+(-1.827891--0.514998))+0-0-0</f>
        <v>856.78710699999999</v>
      </c>
      <c r="M100" s="3">
        <f>0+(1189.3-272.7)+(0+(1.213086-0.278154))+0-0-0</f>
        <v>917.53493199999991</v>
      </c>
      <c r="N100" s="3">
        <f>0+(1172-188)+(0+(1.19544-0.19176))+0-0-0</f>
        <v>985.00368000000003</v>
      </c>
      <c r="O100" s="3">
        <f>0+(1214-224.6)+(0+(-1.23828--0.229092))+0-0-0</f>
        <v>988.39081199999998</v>
      </c>
      <c r="P100" s="3">
        <f>0+(1266.9-215.7)+(0+(0-0))+0-0-0</f>
        <v>1051.2</v>
      </c>
      <c r="Q100" s="3">
        <f>72.5+(1136.6-143.8)+(0.110925+(1.738998-0.220014))+0-0-0</f>
        <v>1066.929909</v>
      </c>
      <c r="R100" s="3">
        <f>252.6+(937.6-128.9)+(-0.128826+(-0.478176--0.065739))+0-0-0</f>
        <v>1060.7587369999999</v>
      </c>
      <c r="S100" s="3">
        <f>325+(915.3-191.8)+(-0.3315+(-0.933606--0.195636))+0-0-0</f>
        <v>1047.4305300000001</v>
      </c>
      <c r="T100" s="3">
        <f>327.4+(980.7-249.6)+(-0.166974+(-0.500157--0.127296))+0-0-0</f>
        <v>1057.960165</v>
      </c>
      <c r="U100" s="3">
        <f>328.7+(1006.9-284.7)+(0.502911+(1.540557-0.435591))+0-0-0</f>
        <v>1052.507877</v>
      </c>
      <c r="V100" s="3">
        <f>327.6+(1016.8-307.3)+(-0.334152+(-1.037136--0.313446))+0-0-0</f>
        <v>1036.042158</v>
      </c>
      <c r="W100" s="3">
        <f>327.4+(1028-342.5)+(-0.500922+(-1.57284--0.524025))+0-0-0</f>
        <v>1011.3502629999999</v>
      </c>
      <c r="X100" s="3">
        <f>323.2+(1085.5-411.6)+(-0.988992+(-3.32163--1.259496))+0-0-0</f>
        <v>994.04887399999996</v>
      </c>
      <c r="Y100" s="3">
        <f>123.1+(1212.1-356)+(-0.251124+(-2.472684--0.72624))+0-0-0</f>
        <v>977.20243199999993</v>
      </c>
      <c r="Z100" s="3">
        <f>109.7+(1294.7-389.9)+(0.111894+(1.320594-0.397698))+0-0-0</f>
        <v>1015.5347900000002</v>
      </c>
      <c r="AA100" s="3">
        <f>109.1+(1281.6-334.3)+(-0.111282+(-1.307232--0.340986))+0-0-0</f>
        <v>1055.3224719999998</v>
      </c>
      <c r="AB100" s="3">
        <f>110.7+(1275.3-355)+(0.056457+(0.650403-0.18105))+0-0-0</f>
        <v>1031.5258100000001</v>
      </c>
      <c r="AC100" s="3">
        <f>114.7+(1289.7-408.2)+(0+(0-0))+0-0-0</f>
        <v>996.2</v>
      </c>
      <c r="AD100" s="2">
        <v>1030.5</v>
      </c>
      <c r="AE100" s="3">
        <f>109+(1286.8-365.3)+(0+(0-0))+0-0-0</f>
        <v>1030.5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46.8+(1282.6-382.7)+(0.023868+(0.654126-0.195177))+0-0-0</f>
        <v>947.18281699999977</v>
      </c>
      <c r="G101" s="3">
        <f>0+(1220.4-318.5)+(0+(1.244808-0.32487))+0-0-0</f>
        <v>902.81993800000009</v>
      </c>
      <c r="H101" s="3">
        <f>0+(1215.1-341.8)+(0+(0-0))+0-0-0</f>
        <v>873.3</v>
      </c>
      <c r="I101" s="3">
        <f>0+(1245.6-383.1)+(0+(0.635256-0.195381))+0-0-0</f>
        <v>862.93987499999992</v>
      </c>
      <c r="J101" s="3">
        <f>0+(1246-391.4)+(0+(0.63546-0.199614))+0-0-0</f>
        <v>855.03584599999999</v>
      </c>
      <c r="K101" s="3">
        <f>0+(1246.4-405.2)+(0+(-1.271328--0.413304))+0-0-0</f>
        <v>840.34197600000005</v>
      </c>
      <c r="L101" s="3">
        <f>0+(1194.3-353.4)+(0+(-1.218186--0.360468))+0-0-0</f>
        <v>840.042282</v>
      </c>
      <c r="M101" s="3">
        <f>0+(1185.5-302.5)+(0+(1.813815-0.462825))+0-0-0</f>
        <v>884.35099000000002</v>
      </c>
      <c r="N101" s="3">
        <f>0+(1273.3-330.6)+(0+(3.246915-0.84303))+0-0-0</f>
        <v>945.10388499999988</v>
      </c>
      <c r="O101" s="3">
        <f>7.1+(1244.7-260.3)+(0.014484+(2.539188-0.531012))+0-0-0</f>
        <v>993.52266000000009</v>
      </c>
      <c r="P101" s="3">
        <f>127.5+(1157.7-265.4)+(0.2601+(2.361708-0.541416))+0-0-0</f>
        <v>1021.880392</v>
      </c>
      <c r="Q101" s="3">
        <f>222.7+(1046.3-231.9)+(0.340731+(1.600839-0.354807))+0-0-0</f>
        <v>1038.6867629999999</v>
      </c>
      <c r="R101" s="3">
        <f>246.8+(1020.9-230.1)+(0.503472+(2.082636-0.469404))+0-0-0</f>
        <v>1039.7167039999999</v>
      </c>
      <c r="S101" s="3">
        <f>346.7+(990.5-331.3)+(-0.884085+(-2.525775--0.844815))+0-0-0</f>
        <v>1003.334955</v>
      </c>
      <c r="T101" s="3">
        <f>363.1+(1007.2-376.6)+(0+(0-0))+0-0-0</f>
        <v>993.7</v>
      </c>
      <c r="U101" s="3">
        <f>332.2+(1033.7-386.1)+(0+(0-0))+0-0-0</f>
        <v>979.8</v>
      </c>
      <c r="V101" s="3">
        <f>339.1+(1025-404.3)+(0+(0-0))+0-0-0</f>
        <v>959.80000000000007</v>
      </c>
      <c r="W101" s="3">
        <f>336.9+(1054.1-443.3)+(-0.687276+(-2.150364--0.904332))+0-0-0</f>
        <v>945.76669199999992</v>
      </c>
      <c r="X101" s="3">
        <f>203.8+(1142.1-428.1)+(-0.623628+(-3.494826--1.309986))+0-0-0</f>
        <v>914.99153200000001</v>
      </c>
      <c r="Y101" s="3">
        <f>91.2+(1113.9-297)+(-0.186048+(-2.272356--0.60588))+0-0-0</f>
        <v>906.24747600000012</v>
      </c>
      <c r="Z101" s="3">
        <f>128+(1188.7-364.1)+(0.13056+(1.212474-0.371382))+0-0-0</f>
        <v>953.57165199999997</v>
      </c>
      <c r="AA101" s="3">
        <f>214.1+(1146.4-365.3)+(-0.764337+(-4.092648--1.304121))+0-0-0</f>
        <v>991.64713600000016</v>
      </c>
      <c r="AB101" s="3">
        <f>102.9+(1198.7-325.4)+(-0.157437+(-1.834011--0.497862))+0-0-0</f>
        <v>974.706414</v>
      </c>
      <c r="AC101" s="3">
        <f>75.2+(1250.2-372.2)+(-0.153408+(-2.550408--0.759288))+0-0-0</f>
        <v>951.25547200000005</v>
      </c>
      <c r="AD101" s="2">
        <v>985.50000000000011</v>
      </c>
      <c r="AE101" s="3">
        <f>80+(1223.4-317.9)+(0+(0-0))+0-0-0</f>
        <v>985.50000000000011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24.9+(1216.4-308.2)+(0.025398+(1.240728-0.314364))+0-0-0</f>
        <v>934.05176200000005</v>
      </c>
      <c r="G102" s="3">
        <f>0+(1203.4-313.4)+(0+(-2.454936--0.639336))+0-0-0</f>
        <v>888.1844000000001</v>
      </c>
      <c r="H102" s="3">
        <f>0+(1241.4-382.3)+(0+(-1.899342--0.584919))+0-0-0</f>
        <v>857.7855770000001</v>
      </c>
      <c r="I102" s="3">
        <f>0+(1230.1-392.6)+(0+(-1.254702--0.400452))+0-0-0</f>
        <v>836.64574999999991</v>
      </c>
      <c r="J102" s="3">
        <f>0+(1263.3-439.9)+(0+(-1.288566--0.448698))+0-0-0</f>
        <v>822.56013199999995</v>
      </c>
      <c r="K102" s="3">
        <f>0+(1269.3-462.7)+(0+(-1.942029--0.707931))+0-0-0</f>
        <v>805.36590199999989</v>
      </c>
      <c r="L102" s="3">
        <f>0+(1202.3-435.5)+(0+(-3.065865--1.110525))+0-0-0</f>
        <v>764.84465999999998</v>
      </c>
      <c r="M102" s="3">
        <f>0+(1139.6-367.3)+(0+(-0.581196--0.187323))+0-0-0</f>
        <v>771.90612699999997</v>
      </c>
      <c r="N102" s="3">
        <f>0+(1230.7-426)+(0+(-1.255314--0.43452))+0-0-0</f>
        <v>803.87920600000007</v>
      </c>
      <c r="O102" s="3">
        <f>0+(1235.7-402.1)+(0+(-1.890621--0.615213))+0-0-0</f>
        <v>832.32459200000005</v>
      </c>
      <c r="P102" s="3">
        <f>0+(1212.9-354)+(0+(0-0))+0-0-0</f>
        <v>858.90000000000009</v>
      </c>
      <c r="Q102" s="3">
        <f>0+(1250.9-377.3)+(0+(1.275918-0.384846))+0-0-0</f>
        <v>874.49107200000014</v>
      </c>
      <c r="R102" s="3">
        <f>0+(1237.2-367.2)+(0+(0.630972-0.187272))+0-0-0</f>
        <v>870.44370000000004</v>
      </c>
      <c r="S102" s="3">
        <f>0+(1217.6-349.9)+(0+(0.620976-0.178449))+0-0-0</f>
        <v>868.14252699999997</v>
      </c>
      <c r="T102" s="3">
        <f>0+(1222.5-361.8)+(0+(-0.623475--0.184518))+0-0-0</f>
        <v>860.26104300000009</v>
      </c>
      <c r="U102" s="3">
        <f>0+(1245.6-377.3)+(0+(-0.635256--0.192423))+0-0-0</f>
        <v>867.857167</v>
      </c>
      <c r="V102" s="3">
        <f>0+(1266.2-410.1)+(0+(0.645762-0.209151))+0-0-0</f>
        <v>856.53661099999999</v>
      </c>
      <c r="W102" s="3">
        <f>0+(1274.4-419.4)+(0+(-3.24972--1.06947))+0-0-0</f>
        <v>852.81975000000011</v>
      </c>
      <c r="X102" s="3">
        <f>0+(1300.2-450.1)+(0+(-3.31551--1.147755))+0-0-0</f>
        <v>847.93224499999997</v>
      </c>
      <c r="Y102" s="3">
        <f>0+(1219.5-381.3)+(0+(-0.621945--0.194463))+0-0-0</f>
        <v>837.77251799999999</v>
      </c>
      <c r="Z102" s="3">
        <f>0+(1262-386.8)+(0+(-1.28724--0.394536))+0-0-0</f>
        <v>874.30729600000006</v>
      </c>
      <c r="AA102" s="3">
        <f>0+(1256-314.7)+(0+(-3.2028--0.802485))+0-0-0</f>
        <v>938.89968499999998</v>
      </c>
      <c r="AB102" s="3">
        <f>0+(1267.8-338.6)+(0+(-0.646578--0.172686))+0-0-0</f>
        <v>928.72610799999995</v>
      </c>
      <c r="AC102" s="3">
        <f>0+(1305.7-421.5)+(0+(-1.997721--0.644895))+0-0-0</f>
        <v>882.847174</v>
      </c>
      <c r="AD102" s="2">
        <v>950.80000000000007</v>
      </c>
      <c r="AE102" s="3">
        <f>0+(1285.9-335.1)+(0+(0-0))+0-0-0</f>
        <v>950.80000000000007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0+(1339.7-475.2)+(0+(0-0))+0-0-0</f>
        <v>864.5</v>
      </c>
      <c r="G103" s="3">
        <f>0+(1287.4-458.6)+(0+(-0.656574--0.233886))+0-0-0</f>
        <v>828.37731200000007</v>
      </c>
      <c r="H103" s="3">
        <f>0+(1267.2-459.5)+(0+(0.646272-0.234345))+0-0-0</f>
        <v>808.11192700000004</v>
      </c>
      <c r="I103" s="3">
        <f>0+(1231.5-438)+(0+(0-0))+0-0-0</f>
        <v>793.5</v>
      </c>
      <c r="J103" s="3">
        <f>0+(1244.7-445.8)+(0+(-1.269594--0.454716))+0-0-0</f>
        <v>798.08512200000007</v>
      </c>
      <c r="K103" s="3">
        <f>0+(1211.6-420)+(0+(-3.08958--1.071))+0-0-0</f>
        <v>789.58141999999987</v>
      </c>
      <c r="L103" s="3">
        <f>0+(1214.4-402.3)+(0+(0-0))+0-0-0</f>
        <v>812.10000000000014</v>
      </c>
      <c r="M103" s="3">
        <f>0+(1276-383.3)+(0+(1.30152-0.390966))+0-0-0</f>
        <v>893.61055400000009</v>
      </c>
      <c r="N103" s="3">
        <f>48.6+(1328.1-400)+(0.049572+(1.354662-0.408))+0-0-0</f>
        <v>977.69623399999989</v>
      </c>
      <c r="O103" s="3">
        <f>139.2+(1336.7-450.2)+(0+(0-0))+0-0-0</f>
        <v>1025.7</v>
      </c>
      <c r="P103" s="3">
        <f>299.1+(1330.6-560.7)+(0.457623+(2.035818-0.857871))+0-0-0</f>
        <v>1070.6355699999999</v>
      </c>
      <c r="Q103" s="3">
        <f>338.2+(1289.8-535.1)+(0+(0-0))+0-0-0</f>
        <v>1092.8999999999999</v>
      </c>
      <c r="R103" s="3">
        <f>337.1+(1261.6-511.3)+(-0.171921+(-0.643416--0.260763))+0-0-0</f>
        <v>1086.8454260000001</v>
      </c>
      <c r="S103" s="3">
        <f>336.1+(1304-576.8)+(0.171411+(0.66504-0.294168))+0-0-0</f>
        <v>1063.8422830000002</v>
      </c>
      <c r="T103" s="3">
        <f>331.3+(1347.9-596.8)+(-0.337926+(-1.374858--0.608736))+0-0-0</f>
        <v>1081.2959520000002</v>
      </c>
      <c r="U103" s="3">
        <f>333+(1313.5-575.1)+(-0.33966+(-1.33977--0.586602))+0-0-0</f>
        <v>1070.307172</v>
      </c>
      <c r="V103" s="3">
        <f>333.7+(1320.5-595.4)+(-0.170187+(-0.673455--0.303654))+0-0-0</f>
        <v>1058.260012</v>
      </c>
      <c r="W103" s="3">
        <f>365.6+(1297.8-621.5)+(-0.745824+(-2.647512--1.26786))+0-0-0</f>
        <v>1039.7745240000002</v>
      </c>
      <c r="X103" s="3">
        <f>269.5+(1288.4-536.6)+(-0.412335+(-1.971252--0.820998))+0-0-0</f>
        <v>1019.7374110000001</v>
      </c>
      <c r="Y103" s="3">
        <f>238.5+(1229.6-485.5)+(-0.24327+(-1.254192--0.49521))+0-0-0</f>
        <v>981.59774799999991</v>
      </c>
      <c r="Z103" s="3">
        <f>317.6+(1265.1-615.9)+(0.323952+(1.290402-0.628218))+0-0-0</f>
        <v>967.78613599999994</v>
      </c>
      <c r="AA103" s="3">
        <f>329.3+(1297.5-601.5)+(-0.671772+(-2.6469--1.22706))+0-0-0</f>
        <v>1023.2083879999999</v>
      </c>
      <c r="AB103" s="3">
        <f>327.3+(1338.2-643.4)+(-0.834615+(-3.41241--1.64067))+0-0-0</f>
        <v>1019.4936450000001</v>
      </c>
      <c r="AC103" s="3">
        <f>76.7+(1529.5-596.6)+(-0.156468+(-3.12018--1.217064))+0-0-0</f>
        <v>1007.5404160000001</v>
      </c>
      <c r="AD103" s="2">
        <v>1030.8999999999999</v>
      </c>
      <c r="AE103" s="3">
        <f>330+(1289.1-588.2)+(0+(0-0))+0-0-0</f>
        <v>1030.8999999999999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0+(1418.5-473.9)+(0+(0-0))+0-0-0</f>
        <v>944.6</v>
      </c>
      <c r="G104" s="3">
        <f>0+(1353.5-456.4)+(0+(-4.14171--1.396584))+0-0-0</f>
        <v>894.354874</v>
      </c>
      <c r="H104" s="3">
        <f>0+(1289.9-413.9)+(0+(-2.631396--0.844356))+0-0-0</f>
        <v>874.21296000000007</v>
      </c>
      <c r="I104" s="3">
        <f>0+(1282.9-419.5)+(0+(-3.271395--1.069725))+0-0-0</f>
        <v>861.19833000000006</v>
      </c>
      <c r="J104" s="3">
        <f>0+(1284-427.7)+(0+(-3.92904--1.308762))+0-0-0</f>
        <v>853.67972199999997</v>
      </c>
      <c r="K104" s="3">
        <f>0+(1298.1-440.9)+(0+(-2.648124--0.899436))+0-0-0</f>
        <v>855.45131199999992</v>
      </c>
      <c r="L104" s="3">
        <f>0+(1305.3-450.4)+(0+(-3.328515--1.14852))+0-0-0</f>
        <v>852.72000500000001</v>
      </c>
      <c r="M104" s="3">
        <f>0+(1355.9-443.3)+(0+(2.074527-0.678249))+0-0-0</f>
        <v>913.99627800000019</v>
      </c>
      <c r="N104" s="3">
        <f>9.3+(1349.1-384.9)+(0.014229+(2.064123-0.588897))+0-0-0</f>
        <v>974.98945499999991</v>
      </c>
      <c r="O104" s="3">
        <f>102.3+(1352.8-435.6)+(0.104346+(1.379856-0.444312))+0-0-0</f>
        <v>1020.5398899999999</v>
      </c>
      <c r="P104" s="3">
        <f>233.8+(1297.8-501.1)+(0+(0-0))+0-0-0</f>
        <v>1030.5</v>
      </c>
      <c r="Q104" s="3">
        <f>370.6+(1237.9-530.3)+(0.94503+(3.156645-1.352265))+0-0-0</f>
        <v>1080.9494100000002</v>
      </c>
      <c r="R104" s="3">
        <f>389.2+(1224.3-528.4)+(0.198492+(0.624393-0.269484))+0-0-0</f>
        <v>1085.6534009999998</v>
      </c>
      <c r="S104" s="3">
        <f>446.1+(1263.2-659.5)+(-0.455022+(-1.288464--0.67269))+0-0-0</f>
        <v>1048.7292040000002</v>
      </c>
      <c r="T104" s="3">
        <f>416.7+(1320.2-677.6)+(-0.425034+(-1.346604--0.691152))+0-0-0</f>
        <v>1058.2195139999999</v>
      </c>
      <c r="U104" s="3">
        <f>411.1+(1296.5-649.5)+(-1.048305+(-3.306075--1.656225))+0-0-0</f>
        <v>1055.4018449999999</v>
      </c>
      <c r="V104" s="3">
        <f>327.7+(1314-591)+(-0.167127+(-0.67014--0.30141))+0-0-0</f>
        <v>1050.164143</v>
      </c>
      <c r="W104" s="3">
        <f>297.9+(1340.2-602.9)+(-0.607716+(-2.734008--1.229916))+0-0-0</f>
        <v>1033.0881919999999</v>
      </c>
      <c r="X104" s="3">
        <f>239+(1236.2-470)+(-0.36567+(-1.891386--0.7191))+0-0-0</f>
        <v>1003.662044</v>
      </c>
      <c r="Y104" s="3">
        <f>95.1+(1329.9-444.2)+(-0.242505+(-3.391245--1.13271))+0-0-0</f>
        <v>978.29896000000008</v>
      </c>
      <c r="Z104" s="3">
        <f>135.9+(1366-501.1)+(0+(0-0))+0-0-0</f>
        <v>1000.8</v>
      </c>
      <c r="AA104" s="3">
        <f>221.3+(1341.3-510)+(-0.564315+(-3.420315--1.3005))+0-0-0</f>
        <v>1049.9158699999998</v>
      </c>
      <c r="AB104" s="3">
        <f>105.7+(1380.2-452.2)+(-0.107814+(-1.407804--0.461244))+0-0-0</f>
        <v>1032.645626</v>
      </c>
      <c r="AC104" s="3">
        <f>26.1+(1443.1-469.3)+(-0.026622+(-1.471962--0.478686))+0-0-0</f>
        <v>998.88010199999997</v>
      </c>
      <c r="AD104" s="2">
        <v>1055.6000000000001</v>
      </c>
      <c r="AE104" s="3">
        <f>220+(1344.4-508.8)+(0+(0-0))+0-0-0</f>
        <v>1055.6000000000001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0+(1408.9-450.1)+(0+(-3.592695--1.147755))+0-0-0</f>
        <v>956.35506000000009</v>
      </c>
      <c r="G105" s="3">
        <f>0+(1351.1-436.2)+(0+(-2.756244--0.889848))+0-0-0</f>
        <v>913.03360399999985</v>
      </c>
      <c r="H105" s="3">
        <f>0+(1343.3-455.1)+(0+(-2.055249--0.696303))+0-0-0</f>
        <v>886.84105399999999</v>
      </c>
      <c r="I105" s="3">
        <f>0+(1337-469.4)+(0+(-2.72748--0.957576))+0-0-0</f>
        <v>865.83009600000003</v>
      </c>
      <c r="J105" s="3">
        <f>0+(1322.7-443)+(0+(-3.372885--1.12965))+0-0-0</f>
        <v>877.45676500000002</v>
      </c>
      <c r="K105" s="3">
        <f>0+(1295.8-426.9)+(0+(-3.30429--1.088595))+0-0-0</f>
        <v>866.68430499999999</v>
      </c>
      <c r="L105" s="3">
        <f>0+(1332.6-465.1)+(0+(-0.679626--0.237201))+0-0-0</f>
        <v>867.05757499999993</v>
      </c>
      <c r="M105" s="3">
        <f>0+(1296.7-381.4)+(0+(1.322634-0.389028))+0-0-0</f>
        <v>916.23360600000012</v>
      </c>
      <c r="N105" s="3">
        <f>80.5+(1301.3-391.8)+(0+(0-0))+0-0-0</f>
        <v>990</v>
      </c>
      <c r="O105" s="3">
        <f>253.7+(1352.4-573.1)+(-0.646935+(-3.44862--1.461405))+0-0-0</f>
        <v>1030.3658499999999</v>
      </c>
      <c r="P105" s="3">
        <f>366.7+(1368.5-663.8)+(0+(0-0))+0-0-0</f>
        <v>1071.4000000000001</v>
      </c>
      <c r="Q105" s="3">
        <f>435.8+(1331.2-675.4)+(-0.444516+(-1.357824--0.688908))+0-0-0</f>
        <v>1090.486568</v>
      </c>
      <c r="R105" s="3">
        <f>440+(1318.7-669)+(0+(0-0))+0-0-0</f>
        <v>1089.7</v>
      </c>
      <c r="S105" s="3">
        <f>437+(1347.3-719)+(-0.44574+(-1.374246--0.73338))+0-0-0</f>
        <v>1064.2133939999999</v>
      </c>
      <c r="T105" s="3">
        <f>434.7+(1379-743.5)+(-0.665091+(-2.10987--1.137555))+0-0-0</f>
        <v>1068.562594</v>
      </c>
      <c r="U105" s="3">
        <f>441.3+(1384.2-757.2)+(0.450126+(1.411884-0.772344))+0-0-0</f>
        <v>1069.389666</v>
      </c>
      <c r="V105" s="3">
        <f>438.6+(1226.1-613.2)+(-0.223686+(-0.625311--0.312732))+0-0-0</f>
        <v>1050.963735</v>
      </c>
      <c r="W105" s="3">
        <f>400.6+(1185.1-559.2)+(-1.430142+(-4.230807--1.996344))+0-0-0</f>
        <v>1022.8353949999999</v>
      </c>
      <c r="X105" s="3">
        <f>343.4+(1090.8-436.4)+(-1.225938+(-3.894156--1.557948))+0-0-0</f>
        <v>994.23785399999997</v>
      </c>
      <c r="Y105" s="3">
        <f>308.7+(978.3-335.1)+(-0.314874+(-0.997866--0.341802))+0-0-0</f>
        <v>950.92906199999982</v>
      </c>
      <c r="Z105" s="3">
        <f>310.4+(1078.8-345)+(0+(0-0))+0-0-0</f>
        <v>1044.1999999999998</v>
      </c>
      <c r="AA105" s="3">
        <f>5.1+(1360-312.2)+(-0.005202+(-1.3872--0.318444))+0-0-0</f>
        <v>1051.8260419999999</v>
      </c>
      <c r="AB105" s="3">
        <f>0+(1350.4-309.7)+(0+(-1.377408--0.315894))+0-0-0</f>
        <v>1039.6384860000001</v>
      </c>
      <c r="AC105" s="3">
        <f>0+(1342.8-328.9)+(0+(0-0))+0-0-0</f>
        <v>1013.9</v>
      </c>
      <c r="AD105" s="2">
        <v>1047.2</v>
      </c>
      <c r="AE105" s="3">
        <f>0+(1341.5-294.3)+(0+(0-0))+0-0-0</f>
        <v>1047.2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0+(1313.8-317.4)+(0+(0.670038-0.161874))+0-0-0</f>
        <v>996.90816399999994</v>
      </c>
      <c r="G106" s="3">
        <f>0+(1274.7-349.7)+(0+(0-0))+0-0-0</f>
        <v>925</v>
      </c>
      <c r="H106" s="3">
        <f>0+(1333.5-436.4)+(0+(0-0))+0-0-0</f>
        <v>897.1</v>
      </c>
      <c r="I106" s="3">
        <f>0+(1276.3-385.4)+(0+(0-0))+0-0-0</f>
        <v>890.9</v>
      </c>
      <c r="J106" s="3">
        <f>0+(1229.8-345)+(0+(-1.881594--0.52785))+0-0-0</f>
        <v>883.44625599999995</v>
      </c>
      <c r="K106" s="3">
        <f>0+(1200.4-319.9)+(0+(-1.224408--0.326298))+0-0-0</f>
        <v>879.60189000000014</v>
      </c>
      <c r="L106" s="3">
        <f>0+(1161.3-277.1)+(0+(-2.369052--0.565284))+0-0-0</f>
        <v>882.39623199999994</v>
      </c>
      <c r="M106" s="3">
        <f>0+(1213.9-269.1)+(0+(0-0))+0-0-0</f>
        <v>944.80000000000007</v>
      </c>
      <c r="N106" s="3">
        <f>0+(1367.8-378.9)+(0+(1.395156-0.386478))+0-0-0</f>
        <v>989.90867800000001</v>
      </c>
      <c r="O106" s="3">
        <f>0+(1395.3-378.5)+(0+(-2.846412--0.77214))+0-0-0</f>
        <v>1014.725728</v>
      </c>
      <c r="P106" s="3">
        <f>116.1+(1319.7-384.4)+(-0.059211+(-0.673047--0.196044))+0-0-0</f>
        <v>1050.8637860000001</v>
      </c>
      <c r="Q106" s="3">
        <f>235.5+(1236.5-381.7)+(-0.120105+(-0.630615--0.194667))+0-0-0</f>
        <v>1089.7439469999999</v>
      </c>
      <c r="R106" s="3">
        <f>409.2+(1168.6-495.1)+(0+(0-0))+0-0-0</f>
        <v>1082.6999999999998</v>
      </c>
      <c r="S106" s="3">
        <f>434.9+(1202.8-575.5)+(-0.887196+(-2.453712--1.17402))+0-0-0</f>
        <v>1060.0331119999998</v>
      </c>
      <c r="T106" s="3">
        <f>435.8+(1234.8-611.5)+(-0.444516+(-1.259496--0.62373))+0-0-0</f>
        <v>1058.019718</v>
      </c>
      <c r="U106" s="3">
        <f>433.9+(1224.6-600.1)+(-0.221289+(-0.624546--0.306051))+0-0-0</f>
        <v>1057.8602159999998</v>
      </c>
      <c r="V106" s="3">
        <f>434.5+(1232.3-606.3)+(-0.221595+(-0.628473--0.309213))+0-0-0</f>
        <v>1059.959145</v>
      </c>
      <c r="W106" s="3">
        <f>437+(1278.6-669)+(0.66861+(1.956258-1.02357))+0-0-0</f>
        <v>1048.201298</v>
      </c>
      <c r="X106" s="3">
        <f>432.8+(1285.3-691.9)+(-0.662184+(-1.966509--1.058607))+0-0-0</f>
        <v>1024.6299140000001</v>
      </c>
      <c r="Y106" s="3">
        <f>337.1+(1142.6-485)+(0.343842+(1.165452-0.4947))+0-0-0</f>
        <v>995.71459399999992</v>
      </c>
      <c r="Z106" s="3">
        <f>395.2+(1200.1-577.2)+(-0.201552+(-0.612051--0.294372))+0-0-0</f>
        <v>1017.5807689999999</v>
      </c>
      <c r="AA106" s="3">
        <f>445.1+(1283.4-651.9)+(-0.908004+(-2.618136--1.329876))+0-0-0</f>
        <v>1074.4037360000002</v>
      </c>
      <c r="AB106" s="3">
        <f>356.5+(1331.5-632.1)+(-0.181815+(-0.679065--0.322371))+0-0-0</f>
        <v>1055.3614910000001</v>
      </c>
      <c r="AC106" s="3">
        <f>288+(1362.6-623.2)+(-0.29376+(-1.389852--0.635664))+0-0-0</f>
        <v>1026.352052</v>
      </c>
      <c r="AD106" s="2">
        <v>1056.8000000000002</v>
      </c>
      <c r="AE106" s="3">
        <f>440+(1283.2-666.4)+(0+(0-0))+0-0-0</f>
        <v>1056.8000000000002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50+(1393.2-472.3)+(-0.1275+(-3.55266--1.204365))+0-0-0</f>
        <v>968.42420500000014</v>
      </c>
      <c r="G107" s="3">
        <f>0+(1333.8-412.3)+(0+(1.360476-0.420546))+0-0-0</f>
        <v>922.43993</v>
      </c>
      <c r="H107" s="3">
        <f>0+(1287.5-395.9)+(0+(-1.31325--0.403818))+0-0-0</f>
        <v>890.69056799999998</v>
      </c>
      <c r="I107" s="3">
        <f>0+(1265.6-393)+(0+(0.645456-0.20043))+0-0-0</f>
        <v>873.04502599999989</v>
      </c>
      <c r="J107" s="3">
        <f>0+(1228.7-360.1)+(0+(-1.879911--0.550953))+0-0-0</f>
        <v>867.27104200000008</v>
      </c>
      <c r="K107" s="3">
        <f>0+(1094.5-237.8)+(0+(-1.674585--0.363834))+0-0-0</f>
        <v>855.38924900000006</v>
      </c>
      <c r="L107" s="3">
        <f>0+(1068.7-213.3)+(0+(-1.635111--0.326349))+0-0-0</f>
        <v>854.09123800000009</v>
      </c>
      <c r="M107" s="3">
        <f>0+(1109.4-191.5)+(0+(1.131588-0.19533))+0-0-0</f>
        <v>918.83625800000004</v>
      </c>
      <c r="N107" s="3">
        <f>0+(1181.5-187.1)+(0+(0-0))+0-0-0</f>
        <v>994.4</v>
      </c>
      <c r="O107" s="3">
        <f>29.6+(1174.9-175.7)+(-0.045288+(-1.797597--0.268821))+0-0-0</f>
        <v>1027.225936</v>
      </c>
      <c r="P107" s="3">
        <f>177.2+(1088.1-205.5)+(-0.271116+(-1.664793--0.314415))+0-0-0</f>
        <v>1058.178506</v>
      </c>
      <c r="Q107" s="3">
        <f>361.5+(1017.6-302.9)+(0+(0-0))+0-0-0</f>
        <v>1076.2</v>
      </c>
      <c r="R107" s="3">
        <f>440.1+(1056.7-418.8)+(0.448902+(1.077834-0.427176))+0-0-0</f>
        <v>1079.0995600000001</v>
      </c>
      <c r="S107" s="3">
        <f>423.9+(1112.9-482.6)+(-1.297134+(-3.405474--1.476756))+0-0-0</f>
        <v>1050.974148</v>
      </c>
      <c r="T107" s="3">
        <f>420.6+(1114.6-471.4)+(-0.214506+(-0.568446--0.240414))+0-0-0</f>
        <v>1063.257462</v>
      </c>
      <c r="U107" s="3">
        <f>409+(1100.6-452.6)+(-0.41718+(-1.122612--0.461652))+0-0-0</f>
        <v>1055.9218599999999</v>
      </c>
      <c r="V107" s="3">
        <f>403.9+(1093.9-452.1)+(-0.617967+(-1.673667--0.691713))+0-0-0</f>
        <v>1044.1000790000001</v>
      </c>
      <c r="W107" s="3">
        <f>403.3+(1096.3-459.2)+(-0.822732+(-2.236452--0.936768))+0-0-0</f>
        <v>1038.2775839999999</v>
      </c>
      <c r="X107" s="3">
        <f>405.4+(1094.7-485.7)+(-1.654032+(-4.466376--1.981656))+0-0-0</f>
        <v>1010.261248</v>
      </c>
      <c r="Y107" s="3">
        <f>408.1+(1041.8-465.6)+(-0.624393+(-1.593954--0.712368))+0-0-0</f>
        <v>982.79402099999993</v>
      </c>
      <c r="Z107" s="3">
        <f>405.8+(1143.9-540.3)+(-0.206958+(-0.583389--0.275553))+0-0-0</f>
        <v>1008.885206</v>
      </c>
      <c r="AA107" s="3">
        <f>408.3+(1266.5-610.5)+(-1.249398+(-3.87549--1.86813))+0-0-0</f>
        <v>1061.043242</v>
      </c>
      <c r="AB107" s="3">
        <f>320.3+(1246-530.7)+(-0.653412+(-2.54184--1.082628))+0-0-0</f>
        <v>1033.4873759999998</v>
      </c>
      <c r="AC107" s="3">
        <f>184.7+(1340.9-510.3)+(-0.282591+(-2.051577--0.780759))+0-0-0</f>
        <v>1013.7465910000002</v>
      </c>
      <c r="AD107" s="2">
        <v>1065.6000000000001</v>
      </c>
      <c r="AE107" s="3">
        <f>400+(1285.4-619.8)+(0+(0-0))+0-0-0</f>
        <v>1065.6000000000001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71.4+(1387.6-484.4)+(-0.036414+(-0.707676--0.247044))+0-0-0</f>
        <v>974.10295399999995</v>
      </c>
      <c r="G108" s="3">
        <f>0+(1373.1-430.9)+(0+(0.700281-0.219759))+0-0-0</f>
        <v>942.68052199999988</v>
      </c>
      <c r="H108" s="3">
        <f>0+(1304-403.4)+(0+(-1.99512--0.617202))+0-0-0</f>
        <v>899.222082</v>
      </c>
      <c r="I108" s="3">
        <f>0+(1210.4-328)+(0+(0-0))+0-0-0</f>
        <v>882.40000000000009</v>
      </c>
      <c r="J108" s="3">
        <f>0+(1188.9-322.1)+(0+(0-0))+0-0-0</f>
        <v>866.80000000000007</v>
      </c>
      <c r="K108" s="3">
        <f>0+(1209.2-361.8)+(0+(-3.08346--0.92259))+0-0-0</f>
        <v>845.23913000000005</v>
      </c>
      <c r="L108" s="3">
        <f>0+(1182.6-373.5)+(0+(-4.221882--1.333395))+0-0-0</f>
        <v>806.21151299999985</v>
      </c>
      <c r="M108" s="3">
        <f>0+(1224.6-401.4)+(0+(0-0))+0-0-0</f>
        <v>823.19999999999993</v>
      </c>
      <c r="N108" s="3">
        <f>0+(1309-442.9)+(0+(0-0))+0-0-0</f>
        <v>866.1</v>
      </c>
      <c r="O108" s="3">
        <f>0+(1328.6-422.7)+(0+(0.677586-0.215577))+0-0-0</f>
        <v>906.36200899999983</v>
      </c>
      <c r="P108" s="3">
        <f>0+(1364.2-421.4)+(0+(0-0))+0-0-0</f>
        <v>942.80000000000007</v>
      </c>
      <c r="Q108" s="3">
        <f>0+(1353.1-386.9)+(0+(1.380162-0.394638))+0-0-0</f>
        <v>967.18552399999999</v>
      </c>
      <c r="R108" s="3">
        <f>0+(1358.2-389)+(0+(-0.692682--0.19839))+0-0-0</f>
        <v>968.70570800000007</v>
      </c>
      <c r="S108" s="3">
        <f>0+(1357.8-399.9)+(0+(-0.692478--0.203949))+0-0-0</f>
        <v>957.41147100000001</v>
      </c>
      <c r="T108" s="3">
        <f>0+(1351.6-410.7)+(0+(-1.378632--0.418914))+0-0-0</f>
        <v>939.94028199999991</v>
      </c>
      <c r="U108" s="3">
        <f>0+(1357.5-422)+(0+(0-0))+0-0-0</f>
        <v>935.5</v>
      </c>
      <c r="V108" s="3">
        <f>0+(1377.1-448.4)+(0+(0.702321-0.228684))+0-0-0</f>
        <v>929.17363699999999</v>
      </c>
      <c r="W108" s="3">
        <f>0+(1366.9-438.8)+(0+(-4.182714--1.342728))+0-0-0</f>
        <v>925.26001400000018</v>
      </c>
      <c r="X108" s="3">
        <f>0+(1324.7-411.9)+(0+(-3.377985--1.050345))+0-0-0</f>
        <v>910.47236000000009</v>
      </c>
      <c r="Y108" s="3">
        <f>0+(1340-442.8)+(0+(-0.6834--0.225828))+0-0-0</f>
        <v>896.74242800000002</v>
      </c>
      <c r="Z108" s="3">
        <f>0+(1368.1-441.9)+(0+(0.697731-0.225369))+0-0-0</f>
        <v>926.67236199999991</v>
      </c>
      <c r="AA108" s="3">
        <f>0+(1324-338.1)+(0+(-2.02572--0.517293))+0-0-0</f>
        <v>984.39157299999999</v>
      </c>
      <c r="AB108" s="3">
        <f>0+(1323.4-349.3)+(0+(-0.674934--0.178143))+0-0-0</f>
        <v>973.60320900000011</v>
      </c>
      <c r="AC108" s="3">
        <f>0+(1348.8-380.9)+(0+(0.687888-0.194259))+0-0-0</f>
        <v>968.39362900000003</v>
      </c>
      <c r="AD108" s="2">
        <v>1008.9999999999999</v>
      </c>
      <c r="AE108" s="3">
        <f>0+(1360.1-351.1)+(0+(0-0))+0-0-0</f>
        <v>1008.9999999999999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0+(1320-386.9)+(0+(1.3464-0.394638))+0-0-0</f>
        <v>934.05176200000005</v>
      </c>
      <c r="G109" s="3">
        <f>0+(1275.5-385)+(0+(0.650505-0.19635))+0-0-0</f>
        <v>890.95415500000001</v>
      </c>
      <c r="H109" s="3">
        <f>0+(1160.8-303.1)+(0+(1.776024-0.463743))+0-0-0</f>
        <v>859.01228099999992</v>
      </c>
      <c r="I109" s="3">
        <f>0+(1169.3-328.1)+(0+(0-0))+0-0-0</f>
        <v>841.19999999999993</v>
      </c>
      <c r="J109" s="3">
        <f>0+(1174.8-349.4)+(0+(-1.198296--0.356388))+0-0-0</f>
        <v>824.55809199999999</v>
      </c>
      <c r="K109" s="3">
        <f>0+(1177.3-370.2)+(0+(-4.202961--1.321614))+0-0-0</f>
        <v>804.2186529999999</v>
      </c>
      <c r="L109" s="3">
        <f>0+(1202-419.5)+(0+(-1.83906--0.641835))+0-0-0</f>
        <v>781.302775</v>
      </c>
      <c r="M109" s="3">
        <f>0+(1175.7-389.4)+(0+(0.599607-0.198594))+0-0-0</f>
        <v>786.7010130000001</v>
      </c>
      <c r="N109" s="3">
        <f>0+(1217.6-397.9)+(0+(-0.620976--0.202929))+0-0-0</f>
        <v>819.28195299999993</v>
      </c>
      <c r="O109" s="3">
        <f>0+(1288.8-419.9)+(0+(1.971864-0.642447))+0-0-0</f>
        <v>870.22941700000001</v>
      </c>
      <c r="P109" s="3">
        <f>0+(1389-476.4)+(0+(0.70839-0.242964))+0-0-0</f>
        <v>913.065426</v>
      </c>
      <c r="Q109" s="3">
        <f>0+(1404.4-477.9)+(0+(0.716244-0.243729))+0-0-0</f>
        <v>926.97251500000016</v>
      </c>
      <c r="R109" s="3">
        <f>0+(1345.6-410.5)+(0+(1.372512-0.41871))+0-0-0</f>
        <v>936.05380199999991</v>
      </c>
      <c r="S109" s="3">
        <f>0+(1295.6-366.9)+(0+(2.643024-0.748476))+0-0-0</f>
        <v>930.59454799999992</v>
      </c>
      <c r="T109" s="3">
        <f>0+(1238-341.4)+(0+(1.89414-0.522342))+0-0-0</f>
        <v>897.97179800000004</v>
      </c>
      <c r="U109" s="3">
        <f>0+(1217.6-330.1)+(0+(1.241952-0.336702))+0-0-0</f>
        <v>888.40524999999991</v>
      </c>
      <c r="V109" s="3">
        <f>0+(1226.7-339.7)+(0+(0.625617-0.173247))+0-0-0</f>
        <v>887.45236999999997</v>
      </c>
      <c r="W109" s="3">
        <f>0+(1218.5-336.1)+(0+(-0.621435--0.171411))+0-0-0</f>
        <v>881.94997599999999</v>
      </c>
      <c r="X109" s="3">
        <f>0+(1231.7-365.5)+(0+(-2.512668--0.74562))+0-0-0</f>
        <v>864.432952</v>
      </c>
      <c r="Y109" s="3">
        <f>0+(1183.3-320.9)+(0+(0.603483-0.163659))+0-0-0</f>
        <v>862.83982400000002</v>
      </c>
      <c r="Z109" s="3">
        <f>8.2+(1223.8-322.3)+(-0.004182+(-0.624138--0.164373))+0-0-0</f>
        <v>909.23605300000008</v>
      </c>
      <c r="AA109" s="3">
        <f>108.1+(1209.6-339.2)+(-0.110262+(-1.233792--0.345984))+0-0-0</f>
        <v>977.5019299999999</v>
      </c>
      <c r="AB109" s="3">
        <f>110.5+(1252.9-391.1)+(-0.11271+(-1.277958--0.398922))+0-0-0</f>
        <v>971.30825400000003</v>
      </c>
      <c r="AC109" s="3">
        <f>79+(1251.9-389.9)+(-0.04029+(-0.638469--0.198849))+0-0-0</f>
        <v>940.5200900000001</v>
      </c>
      <c r="AD109" s="2">
        <v>991.60000000000014</v>
      </c>
      <c r="AE109" s="3">
        <f>112+(1262.4-382.8)+(0+(0-0))+0-0-0</f>
        <v>991.60000000000014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0+(1317.1-412.1)+(0+(-0.671721--0.210171))+0-0-0</f>
        <v>904.5384499999999</v>
      </c>
      <c r="G110" s="3">
        <f>0+(1314.8-439.8)+(0+(0-0))+0-0-0</f>
        <v>875</v>
      </c>
      <c r="H110" s="3">
        <f>0+(1255.5-395.7)+(0+(-0.640305--0.201807))+0-0-0</f>
        <v>859.36150199999997</v>
      </c>
      <c r="I110" s="3">
        <f>0+(1271.6-426.9)+(0+(-0.648516--0.217719))+0-0-0</f>
        <v>844.26920299999995</v>
      </c>
      <c r="J110" s="3">
        <f>0+(1251.8-415.6)+(0+(-1.276836--0.423912))+0-0-0</f>
        <v>835.3470759999999</v>
      </c>
      <c r="K110" s="3">
        <f>0+(1223.2-392.6)+(0+(-3.11916--1.00113))+0-0-0</f>
        <v>828.48197000000005</v>
      </c>
      <c r="L110" s="3">
        <f>0+(1216-374.4)+(0+(-1.24032--0.381888))+0-0-0</f>
        <v>840.74156800000003</v>
      </c>
      <c r="M110" s="3">
        <f>0+(1286-382.3)+(0+(1.96758-0.584919))+0-0-0</f>
        <v>905.08266100000003</v>
      </c>
      <c r="N110" s="3">
        <f>0+(1389.9-393.6)+(0+(0-0))+0-0-0</f>
        <v>996.30000000000007</v>
      </c>
      <c r="O110" s="3">
        <f>79.1+(1370.4-413.1)+(0.080682+(1.397808-0.421362))+0-0-0</f>
        <v>1037.457128</v>
      </c>
      <c r="P110" s="3">
        <f>274.8+(1234.9-485)+(0.420444+(1.889397-0.74205))+0-0-0</f>
        <v>1026.267791</v>
      </c>
      <c r="Q110" s="3">
        <f>320.3+(1188-407.1)+(0.490059+(1.81764-0.622863))+0-0-0</f>
        <v>1102.884836</v>
      </c>
      <c r="R110" s="3">
        <f>320.7+(1162.1-367.2)+(0.654228+(2.370684-0.749088))+0-0-0</f>
        <v>1117.875824</v>
      </c>
      <c r="S110" s="3">
        <f>315+(1126.1-360.6)+(0.16065+(0.574311-0.183906))+0-0-0</f>
        <v>1081.0510549999999</v>
      </c>
      <c r="T110" s="3">
        <f>311.3+(1155-391.6)+(-0.158763+(-0.58905--0.199716))+0-0-0</f>
        <v>1074.1519029999999</v>
      </c>
      <c r="U110" s="3">
        <f>311.3+(1130.3-358.2)+(0+(0-0))+0-0-0</f>
        <v>1083.3999999999999</v>
      </c>
      <c r="V110" s="3">
        <f>309.3+(1111.7-344.3)+(-0.315486+(-1.133934--0.351186))+0-0-0</f>
        <v>1075.601766</v>
      </c>
      <c r="W110" s="3">
        <f>309.6+(1140.4-392.4)+(-0.473688+(-1.744812--0.600372))+0-0-0</f>
        <v>1055.9818720000001</v>
      </c>
      <c r="X110" s="3">
        <f>309+(1190.7-463.7)+(-0.78795+(-3.036285--1.182435))+0-0-0</f>
        <v>1033.3581999999999</v>
      </c>
      <c r="Y110" s="3">
        <f>313.6+(1202.3-497.8)+(-0.479808+(-1.839519--0.761634))+0-0-0</f>
        <v>1016.5423070000001</v>
      </c>
      <c r="Z110" s="3">
        <f>319.4+(1282.8-567.5)+(0.325788+(1.308456-0.57885))+0-0-0</f>
        <v>1035.7553939999998</v>
      </c>
      <c r="AA110" s="3">
        <f>325.6+(1207.6-456.3)+(-0.498168+(-1.847628--0.698139))+0-0-0</f>
        <v>1075.2523430000001</v>
      </c>
      <c r="AB110" s="3">
        <f>329.3+(1241.9-501.7)+(-0.503829+(-1.900107--0.767601))+0-0-0</f>
        <v>1067.8636650000001</v>
      </c>
      <c r="AC110" s="3">
        <f>273+(1323.1-550)+(-0.27846+(-1.349562--0.561))+0-0-0</f>
        <v>1045.032978</v>
      </c>
      <c r="AD110" s="2">
        <v>1098.3000000000002</v>
      </c>
      <c r="AE110" s="3">
        <f>330+(1214.9-446.6)+(0+(0-0))+0-0-0</f>
        <v>1098.3000000000002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3.1+(1485.4-501)+(-0.003162+(-1.515108--0.51102))+0-0-0</f>
        <v>986.49275000000011</v>
      </c>
      <c r="G111" s="3">
        <f>0+(1460.1-519.5)+(0+(-1.489302--0.52989))+0-0-0</f>
        <v>939.64058799999987</v>
      </c>
      <c r="H111" s="3">
        <f>0+(1373.7-463.8)+(0+(-2.101761--0.709614))+0-0-0</f>
        <v>908.50785300000007</v>
      </c>
      <c r="I111" s="3">
        <f>0+(1308-407.9)+(0+(-4.00248--1.248174))+0-0-0</f>
        <v>897.34569399999998</v>
      </c>
      <c r="J111" s="3">
        <f>0+(1247.8-349.2)+(0+(-3.18189--0.89046))+0-0-0</f>
        <v>896.30856999999992</v>
      </c>
      <c r="K111" s="3">
        <f>0+(1241.3-350.6)+(0+(-5.697567--1.609254))+0-0-0</f>
        <v>886.61168699999996</v>
      </c>
      <c r="L111" s="3">
        <f>0+(1259.5-379.6)+(0+(0-0))+0-0-0</f>
        <v>879.9</v>
      </c>
      <c r="M111" s="3">
        <f>0+(1304.7-371)+(0+(0.665397-0.18921))+0-0-0</f>
        <v>934.17618700000003</v>
      </c>
      <c r="N111" s="3">
        <f>0+(1362.2-354.9)+(0+(1.389444-0.361998))+0-0-0</f>
        <v>1008.3274460000001</v>
      </c>
      <c r="O111" s="3">
        <f>0+(1403.9-360.4)+(0+(0.715989-0.183804))+0-0-0</f>
        <v>1044.032185</v>
      </c>
      <c r="P111" s="3">
        <f>21.9+(1414.8-348.7)+(0.011169+(0.721548-0.177837))+0-0-0</f>
        <v>1088.5548799999999</v>
      </c>
      <c r="Q111" s="3">
        <f>280.5+(1212.1-385.3)+(0.143055+(0.618171-0.196503))+0-0-0</f>
        <v>1107.8647229999999</v>
      </c>
      <c r="R111" s="3">
        <f>304.4+(1141.3-343.1)+(0+(0-0))+0-0-0</f>
        <v>1102.5999999999999</v>
      </c>
      <c r="S111" s="3">
        <f>302.7+(1090.8-322.3)+(-0.154377+(-0.556308--0.164373))+0-0-0</f>
        <v>1070.6536880000001</v>
      </c>
      <c r="T111" s="3">
        <f>318.2+(1079.7-309)+(0.324564+(1.101294-0.31518))+0-0-0</f>
        <v>1090.0106780000001</v>
      </c>
      <c r="U111" s="3">
        <f>320.9+(1072.3-309.1)+(0+(0-0))+0-0-0</f>
        <v>1084.0999999999999</v>
      </c>
      <c r="V111" s="3">
        <f>313.9+(1085.1-325.1)+(0+(0-0))+0-0-0</f>
        <v>1073.8999999999999</v>
      </c>
      <c r="W111" s="3">
        <f>317+(1091.3-346)+(-0.97002+(-3.339378--1.05876))+0-0-0</f>
        <v>1059.049362</v>
      </c>
      <c r="X111" s="3">
        <f>318+(1136.3-405.3)+(-1.45962+(-5.215617--1.860327))+0-0-0</f>
        <v>1044.1850899999999</v>
      </c>
      <c r="Y111" s="3">
        <f>132+(1279.9-406.5)+(-0.13464+(-1.305498--0.41463))+0-0-0</f>
        <v>1004.3744920000001</v>
      </c>
      <c r="Z111" s="3">
        <f>136.9+(1244.6-347.2)+(0+(0-0))+0-0-0</f>
        <v>1034.3</v>
      </c>
      <c r="AA111" s="3">
        <f>137.2+(1268.8-323.3)+(-0.139944+(-1.294176--0.329766))+0-0-0</f>
        <v>1081.595646</v>
      </c>
      <c r="AB111" s="3">
        <f>137.2+(1312.9-392)+(-0.279888+(-2.678316--0.79968))+0-0-0</f>
        <v>1055.9414760000002</v>
      </c>
      <c r="AC111" s="3">
        <f>107.9+(1372.7-442.2)+(-0.110058+(-1.400154--0.451044))+0-0-0</f>
        <v>1037.3408320000001</v>
      </c>
      <c r="AD111" s="2">
        <v>1094.9000000000001</v>
      </c>
      <c r="AE111" s="3">
        <f>135+(1314.9-355)+(0+(0-0))+0-0-0</f>
        <v>1094.9000000000001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90.1+(1364-473.4)+(-0.091902+(-1.39128--0.482868))+0-0-0</f>
        <v>979.69968600000004</v>
      </c>
      <c r="G112" s="3">
        <f>90.2+(1358-499)+(-0.138006+(-2.07774--0.76347))+0-0-0</f>
        <v>947.74772400000006</v>
      </c>
      <c r="H112" s="3">
        <f>90.2+(1318.8-492.9)+(-0.23001+(-3.36294--1.256895))+0-0-0</f>
        <v>913.76394500000004</v>
      </c>
      <c r="I112" s="3">
        <f>90.2+(1267.1-444)+(0.046002+(0.646221-0.22644))+0-0-0</f>
        <v>913.76578299999994</v>
      </c>
      <c r="J112" s="3">
        <f>90.2+(1246.7-441.3)+(-0.046002+(-0.635817--0.225063))+0-0-0</f>
        <v>895.1432440000001</v>
      </c>
      <c r="K112" s="3">
        <f>90.2+(1245.2-451.4)+(-0.138006+(-1.905156--0.690642))+0-0-0</f>
        <v>882.64748000000009</v>
      </c>
      <c r="L112" s="3">
        <f>90.2+(1235.1-448.5)+(0+(0-0))+0-0-0</f>
        <v>876.8</v>
      </c>
      <c r="M112" s="3">
        <f>90.2+(1238.5-391.9)+(-0.046002+(-0.631635--0.199869))+0-0-0</f>
        <v>936.3222320000001</v>
      </c>
      <c r="N112" s="3">
        <f>90.2+(1296.7-381.9)+(0.184008+(2.645268-0.779076))+0-0-0</f>
        <v>1007.0502000000001</v>
      </c>
      <c r="O112" s="3">
        <f>88.7+(1303.1-410.1)+(-0.090474+(-1.329162--0.418302))+0-0-0</f>
        <v>980.69866599999989</v>
      </c>
      <c r="P112" s="3">
        <f>107.3+(1320.1-336.4)+(-0.054723+(-0.673251--0.171564))+0-0-0</f>
        <v>1090.4435900000001</v>
      </c>
      <c r="Q112" s="3">
        <f>299.1+(1164-345.4)+(0.610164+(2.37456-0.704616))+0-0-0</f>
        <v>1119.980108</v>
      </c>
      <c r="R112" s="3">
        <f>324.3+(1074.7-277.6)+(0.330786+(1.096194-0.283152))+0-0-0</f>
        <v>1122.5438280000001</v>
      </c>
      <c r="S112" s="3">
        <f>410.8+(1011.8-330.6)+(0.209508+(0.516018-0.168606))+0-0-0</f>
        <v>1092.55692</v>
      </c>
      <c r="T112" s="3">
        <f>407+(1008.7-335.5)+(-0.20757+(-0.514437--0.171105))+0-0-0</f>
        <v>1079.6490980000001</v>
      </c>
      <c r="U112" s="3">
        <f>408.8+(1041.5-369.3)+(0+(0-0))+0-0-0</f>
        <v>1081</v>
      </c>
      <c r="V112" s="3">
        <f>409.1+(1072.8-402.2)+(0.208641+(0.547128-0.205122))+0-0-0</f>
        <v>1080.2506469999998</v>
      </c>
      <c r="W112" s="3">
        <f>411.3+(1110.4-460.6)+(0+(0-0))+0-0-0</f>
        <v>1061.1000000000001</v>
      </c>
      <c r="X112" s="3">
        <f>411.5+(1165.1-542)+(-0.41973+(-1.188402--0.55284))+0-0-0</f>
        <v>1033.5447079999999</v>
      </c>
      <c r="Y112" s="3">
        <f>227.9+(1234.1-446.3)+(0.464916+(2.517564-0.910452))+0-0-0</f>
        <v>1017.772028</v>
      </c>
      <c r="Z112" s="3">
        <f>232.3+(1328.6-524)+(0.355419+(2.032758-0.80172))+0-0-0</f>
        <v>1038.486457</v>
      </c>
      <c r="AA112" s="3">
        <f>338.8+(1209.7-462.6)+(-0.691152+(-2.467788--0.943704))+0-0-0</f>
        <v>1083.6847640000001</v>
      </c>
      <c r="AB112" s="3">
        <f>339.9+(1231.9-498.1)+(-0.520047+(-1.884807--0.762093))+0-0-0</f>
        <v>1072.057239</v>
      </c>
      <c r="AC112" s="3">
        <f>342.2+(1220.9-523)+(-0.174522+(-0.622659--0.26673))+0-0-0</f>
        <v>1039.5695490000001</v>
      </c>
      <c r="AD112" s="2">
        <v>1092.5</v>
      </c>
      <c r="AE112" s="3">
        <f>337+(1205.8-450.3)+(0+(0-0))+0-0-0</f>
        <v>1092.5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340.8+(1167.2-523.6)+(-0.521424+(-1.785816--0.801108))+0-0-0</f>
        <v>982.89386800000011</v>
      </c>
      <c r="G113" s="3">
        <f>341.5+(1177.9-573)+(-0.870825+(-3.003645--1.46115))+0-0-0</f>
        <v>943.98668000000009</v>
      </c>
      <c r="H113" s="3">
        <f>282.9+(1168.3-531.8)+(-0.577116+(-2.383332--1.084872))+0-0-0</f>
        <v>917.52442399999995</v>
      </c>
      <c r="I113" s="3">
        <f>237.7+(1179.2-516.2)+(-0.606135+(-3.00696--1.31631))+0-0-0</f>
        <v>898.40321500000005</v>
      </c>
      <c r="J113" s="3">
        <f>239.9+(1117.9-464.9)+(-0.122349+(-0.570129--0.237099))+0-0-0</f>
        <v>892.4446210000001</v>
      </c>
      <c r="K113" s="3">
        <f>240.4+(1115.5-473.3)+(0+(0-0))+0-0-0</f>
        <v>882.6</v>
      </c>
      <c r="L113" s="3">
        <f>159.8+(1154.6-424.9)+(-0.244494+(-1.766538--0.650097))+0-0-0</f>
        <v>888.13906499999996</v>
      </c>
      <c r="M113" s="3">
        <f>130.4+(1184.8-379.8)+(0.199512+(1.812744-0.581094))+0-0-0</f>
        <v>936.83116199999995</v>
      </c>
      <c r="N113" s="3">
        <f>119.1+(1363.4-472.6)+(0+(0-0))+0-0-0</f>
        <v>1009.9000000000001</v>
      </c>
      <c r="O113" s="3">
        <f>133.2+(1298.7-382.7)+(0+(0-0))+0-0-0</f>
        <v>1049.2</v>
      </c>
      <c r="P113" s="3">
        <f>134+(1263.2-310.5)+(0+(0-0))+0-0-0</f>
        <v>1086.7</v>
      </c>
      <c r="Q113" s="3">
        <f>288.2+(1121.3-300.2)+(0.293964+(1.143726-0.306204))+0-0-0</f>
        <v>1110.4314859999999</v>
      </c>
      <c r="R113" s="3">
        <f>436.8+(1026.4-354.5)+(0.445536+(1.046928-0.36159))+0-0-0</f>
        <v>1109.830874</v>
      </c>
      <c r="S113" s="3">
        <f>430.4+(992-349)+(-0.658512+(-1.51776--0.53397))+0-0-0</f>
        <v>1071.7576980000001</v>
      </c>
      <c r="T113" s="3">
        <f>440.6+(971.2-334.3)+(-0.449412+(-0.990624--0.340986))+0-0-0</f>
        <v>1076.40095</v>
      </c>
      <c r="U113" s="3">
        <f>441.6+(951.1-306.5)+(-0.900864+(-1.940244--0.62526))+0-0-0</f>
        <v>1083.984152</v>
      </c>
      <c r="V113" s="3">
        <f>438.9+(971.7-326.8)+(-0.223839+(-0.495567--0.166668))+0-0-0</f>
        <v>1083.2472620000001</v>
      </c>
      <c r="W113" s="3">
        <f>438.6+(1002.3-370.3)+(-0.671058+(-1.533519--0.566559))+0-0-0</f>
        <v>1068.9619819999998</v>
      </c>
      <c r="X113" s="3">
        <f>433.6+(1107.9-499.7)+(-1.10568+(-2.825145--1.274235))+0-0-0</f>
        <v>1039.1434100000001</v>
      </c>
      <c r="Y113" s="3">
        <f>320.5+(1131-431.8)+(0+(0-0))+0-0-0</f>
        <v>1019.7</v>
      </c>
      <c r="Z113" s="3">
        <f>320.4+(1220-492.8)+(0+(0-0))+0-0-0</f>
        <v>1047.5999999999999</v>
      </c>
      <c r="AA113" s="3">
        <f>369.5+(1193.5-465.1)+(-0.565335+(-1.826055--0.711603))+0-0-0</f>
        <v>1096.2202130000001</v>
      </c>
      <c r="AB113" s="3">
        <f>431.3+(1155.5-508.9)+(-0.659889+(-1.767915--0.778617))+0-0-0</f>
        <v>1076.2508130000001</v>
      </c>
      <c r="AC113" s="3">
        <f>434.2+(1171-549)+(-0.442884+(-1.19442--0.55998))+0-0-0</f>
        <v>1055.122676</v>
      </c>
      <c r="AD113" s="2">
        <v>1206.9000000000001</v>
      </c>
      <c r="AE113" s="3">
        <f>435+(1233.7-461.8)+(0+(0-0))+0-0-0</f>
        <v>1206.9000000000001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434.2+(1126.3-569.3)+(-0.221442+(-0.574413--0.290343))+0-0-0</f>
        <v>990.69448800000009</v>
      </c>
      <c r="G114" s="3">
        <f>402.4+(1160.5-614.2)+(-0.820896+(-2.36742--1.252968))+0-0-0</f>
        <v>946.76465199999996</v>
      </c>
      <c r="H114" s="3">
        <f>223.4+(1281.7-581.8)+(-0.113934+(-0.653667--0.296718))+0-0-0</f>
        <v>922.82911700000011</v>
      </c>
      <c r="I114" s="3">
        <f>172.3+(1308.2-564.4)+(-0.263619+(-2.001546--0.863532))+0-0-0</f>
        <v>914.69836700000019</v>
      </c>
      <c r="J114" s="3">
        <f>172.2+(1162.3-445.3)+(-0.175644+(-1.185546--0.454206))+0-0-0</f>
        <v>888.29301600000008</v>
      </c>
      <c r="K114" s="3">
        <f>172.2+(1171.7-453.9)+(-0.526932+(-3.585402--1.388934))+0-0-0</f>
        <v>887.27660000000003</v>
      </c>
      <c r="L114" s="3">
        <f>172.1+(1191.1-488.3)+(0+(0-0))+0-0-0</f>
        <v>874.9</v>
      </c>
      <c r="M114" s="3">
        <f>172.1+(1169.5-405.1)+(0.087771+(0.596445-0.206601))+0-0-0</f>
        <v>936.97761500000001</v>
      </c>
      <c r="N114" s="3">
        <f>172.2+(1166.1-337.7)+(0.175644+(1.189422-0.344454))+0-0-0</f>
        <v>1001.6206119999999</v>
      </c>
      <c r="O114" s="3">
        <f>266.9+(1206.4-419.4)+(0+(0-0))+0-0-0</f>
        <v>1053.9000000000001</v>
      </c>
      <c r="P114" s="3">
        <f>425.1+(1158.2-480.4)+(0.650403+(1.772046-0.735012))+0-0-0</f>
        <v>1104.5874370000001</v>
      </c>
      <c r="Q114" s="3">
        <f>421.8+(1113.5-405.4)+(-0.430236+(-1.13577--0.413508))+0-0-0</f>
        <v>1128.7475020000002</v>
      </c>
      <c r="R114" s="3">
        <f>415.1+(1079-373.2)+(0.211701+(0.55029-0.190332))+0-0-0</f>
        <v>1121.471659</v>
      </c>
      <c r="S114" s="3">
        <f>408+(1057.8-368.8)+(-1.0404+(-2.69739--0.94044))+0-0-0</f>
        <v>1094.2026499999999</v>
      </c>
      <c r="T114" s="3">
        <f>411.4+(1016.1-319.8)+(-0.419628+(-1.036422--0.326196))+0-0-0</f>
        <v>1106.5701459999998</v>
      </c>
      <c r="U114" s="3">
        <f>412+(1000.2-306.1)+(-0.21012+(-0.510102--0.156111))+0-0-0</f>
        <v>1105.535889</v>
      </c>
      <c r="V114" s="3">
        <f>412.9+(1008.5-325.5)+(0.210579+(0.514335-0.166005))+0-0-0</f>
        <v>1096.4589090000002</v>
      </c>
      <c r="W114" s="3">
        <f>410.2+(1020.7-369.8)+(-0.209202+(-0.520557--0.188598))+0-0-0</f>
        <v>1060.558839</v>
      </c>
      <c r="X114" s="3">
        <f>362.4+(1112.3-443.5)+(-0.369648+(-1.134546--0.45237))+0-0-0</f>
        <v>1030.1481759999999</v>
      </c>
      <c r="Y114" s="3">
        <f>137.3+(1280.6-399.7)+(-0.280092+(-2.612424--0.815388))+0-0-0</f>
        <v>1016.1228719999998</v>
      </c>
      <c r="Z114" s="3">
        <f>206.8+(1312.6-482.5)+(0.421872+(2.677704-0.9843))+0-0-0</f>
        <v>1039.0152759999999</v>
      </c>
      <c r="AA114" s="3">
        <f>329.3+(1236.5-481.8)+(-0.335886+(-1.26123--0.491436))+0-0-0</f>
        <v>1082.8943200000001</v>
      </c>
      <c r="AB114" s="3">
        <f>325.4+(1230.1-490.4)+(-0.663816+(-2.509404--1.000416))+0-0-0</f>
        <v>1062.9271959999999</v>
      </c>
      <c r="AC114" s="3">
        <f>330.6+(1249.8-538.5)+(0.168606+(0.637398-0.274635))+0-0-0</f>
        <v>1042.4313690000001</v>
      </c>
      <c r="AD114" s="2">
        <v>1101.5</v>
      </c>
      <c r="AE114" s="3">
        <f>329+(1248-475.5)+(0+(0-0))+0-0-0</f>
        <v>1101.5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330.3+(1215.9-556.2)+(-0.168453+(-0.620109--0.283662))+0-0-0</f>
        <v>989.49509999999998</v>
      </c>
      <c r="G115" s="3">
        <f>272.5+(1211.3-535.8)+(-0.138975+(-0.617763--0.273258))+0-0-0</f>
        <v>947.51652000000001</v>
      </c>
      <c r="H115" s="3">
        <f>267+(1204-555.1)+(-0.27234+(-1.22808--0.566202))+0-0-0</f>
        <v>914.96578199999999</v>
      </c>
      <c r="I115" s="3">
        <f>266.4+(1189.6-548.6)+(-0.407592+(-1.820088--0.839358))+0-0-0</f>
        <v>906.01167799999985</v>
      </c>
      <c r="J115" s="3">
        <f>266.8+(1096.6-481.2)+(-0.272136+(-1.118532--0.490824))+0-0-0</f>
        <v>881.30015599999979</v>
      </c>
      <c r="K115" s="3">
        <f>241.3+(1115.7-483.5)+(-0.246126+(-1.138014--0.49317))+0-0-0</f>
        <v>872.60902999999996</v>
      </c>
      <c r="L115" s="3">
        <f>136.2+(1111.7-375.3)+(0.069462+(0.566967-0.191403))+0-0-0</f>
        <v>873.04502600000012</v>
      </c>
      <c r="M115" s="3">
        <f>136.2+(1177.3-402.7)+(0.208386+(1.801269-0.616131))+0-0-0</f>
        <v>912.19352399999991</v>
      </c>
      <c r="N115" s="3">
        <f>198.3+(1292.3-512.7)+(-0.101133+(-0.659073--0.261477))+0-0-0</f>
        <v>977.40127099999984</v>
      </c>
      <c r="O115" s="3">
        <f>333.5+(1275.3-574.1)+(0.68034+(2.601612-1.171164))+0-0-0</f>
        <v>1036.8107879999998</v>
      </c>
      <c r="P115" s="3">
        <f>341.4+(1293.3-559.7)+(0+(0-0))+0-0-0</f>
        <v>1075</v>
      </c>
      <c r="Q115" s="3">
        <f>339.2+(1266.4-522.4)+(0.691968+(2.583456-1.065696))+0-0-0</f>
        <v>1085.4097280000001</v>
      </c>
      <c r="R115" s="3">
        <f>357.1+(1177.9-443.6)+(-0.182121+(-0.600729--0.226236))+0-0-0</f>
        <v>1090.843386</v>
      </c>
      <c r="S115" s="3">
        <f>436.4+(1161-531)+(-0.445128+(-1.18422--0.54162))+0-0-0</f>
        <v>1065.3122720000001</v>
      </c>
      <c r="T115" s="3">
        <f>419+(1152.8-524.8)+(0.42738+(1.175856-0.535296))+0-0-0</f>
        <v>1048.0679399999999</v>
      </c>
      <c r="U115" s="3">
        <f>416.7+(1146.5-512.5)+(-0.212517+(-0.584715--0.261375))+0-0-0</f>
        <v>1050.164143</v>
      </c>
      <c r="V115" s="3">
        <f>415.7+(1152.4-514)+(-0.424014+(-1.175448--0.52428))+0-0-0</f>
        <v>1053.0248180000001</v>
      </c>
      <c r="W115" s="3">
        <f>418.3+(1151.1-544.3)+(0.213333+(0.587061-0.277593))+0-0-0</f>
        <v>1025.622801</v>
      </c>
      <c r="X115" s="3">
        <f>415.9+(1175.7-594.8)+(-0.636327+(-1.798821--0.910044))+0-0-0</f>
        <v>995.27489600000001</v>
      </c>
      <c r="Y115" s="3">
        <f>408.3+(1122.4-581.6)+(-0.832932+(-2.289696--1.186464))+0-0-0</f>
        <v>947.16383600000017</v>
      </c>
      <c r="Z115" s="3">
        <f>433.5+(1077.9-529.6)+(0.221085+(0.549729-0.270096))+0-0-0</f>
        <v>982.30071800000007</v>
      </c>
      <c r="AA115" s="3">
        <f>465.1+(1129-557.8)+(-0.711603+(-1.72737--0.853434))+0-0-0</f>
        <v>1034.7144610000003</v>
      </c>
      <c r="AB115" s="3">
        <f>437.4+(1154.6-578.3)+(-0.446148+(-1.177692--0.589866))+0-0-0</f>
        <v>1012.666026</v>
      </c>
      <c r="AC115" s="3">
        <f>406.8+(1149.1-562.3)+(-0.622404+(-1.758123--0.860319))+0-0-0</f>
        <v>992.07979199999988</v>
      </c>
      <c r="AD115" s="2">
        <v>1043.2</v>
      </c>
      <c r="AE115" s="3">
        <f>466+(1161.4-584.2)+(0+(0-0))+0-0-0</f>
        <v>1043.2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223.5+(1259.5-522.1)+(0.341955+(1.927035-0.798813))+0-0-0</f>
        <v>962.37017700000001</v>
      </c>
      <c r="G116" s="3">
        <f>13.6+(1373.4-468)+(0+(0-0))+0-0-0</f>
        <v>919.00000000000011</v>
      </c>
      <c r="H116" s="3">
        <f>0+(1350.1-469)+(0+(1.377102-0.47838))+0-0-0</f>
        <v>881.99872199999993</v>
      </c>
      <c r="I116" s="3">
        <f>0+(1348-486.3)+(0+(-1.37496--0.496026))+0-0-0</f>
        <v>860.82106600000009</v>
      </c>
      <c r="J116" s="3">
        <f>0+(1338.9-473.4)+(0+(-0.682839--0.241434))+0-0-0</f>
        <v>865.05859500000008</v>
      </c>
      <c r="K116" s="3">
        <f>0+(1268.8-435.5)+(0+(-3.23544--1.110525))+0-0-0</f>
        <v>831.17508499999997</v>
      </c>
      <c r="L116" s="3">
        <f>0+(1251.2-449.7)+(0+(-2.552448--0.917388))+0-0-0</f>
        <v>799.86494000000005</v>
      </c>
      <c r="M116" s="3">
        <f>0+(1231.4-428.3)+(0+(-0.628014--0.218433))+0-0-0</f>
        <v>802.69041900000013</v>
      </c>
      <c r="N116" s="3">
        <f>0+(1253.2-418.2)+(0+(-1.278264--0.426564))+0-0-0</f>
        <v>834.14829999999995</v>
      </c>
      <c r="O116" s="3">
        <f>0+(1341.1-448.9)+(0+(-1.367922--0.457878))+0-0-0</f>
        <v>891.28995599999996</v>
      </c>
      <c r="P116" s="3">
        <f>0+(1391.6-465.8)+(0+(-0.709716--0.237558))+0-0-0</f>
        <v>925.32784199999992</v>
      </c>
      <c r="Q116" s="3">
        <f>0+(1386.4-450.8)+(0+(-0.707064--0.229908))+0-0-0</f>
        <v>935.1228440000001</v>
      </c>
      <c r="R116" s="3">
        <f>0+(1373.2-442.7)+(0+(0-0))+0-0-0</f>
        <v>930.5</v>
      </c>
      <c r="S116" s="3">
        <f>0+(1363.5-436.2)+(0+(-1.39077--0.444924))+0-0-0</f>
        <v>926.35415399999999</v>
      </c>
      <c r="T116" s="3">
        <f>0+(1354.6-429.8)+(0+(1.381692-0.438396))+0-0-0</f>
        <v>925.74329599999999</v>
      </c>
      <c r="U116" s="3">
        <f>0+(1343.8-427.6)+(0+(-1.370676--0.436152))+0-0-0</f>
        <v>915.26547599999992</v>
      </c>
      <c r="V116" s="3">
        <f>0+(1337.3-429.9)+(0+(-2.728092--0.876996))+0-0-0</f>
        <v>905.54890399999999</v>
      </c>
      <c r="W116" s="3">
        <f>0+(1354.2-453)+(0+(-1.381284--0.46206))+0-0-0</f>
        <v>900.28077600000006</v>
      </c>
      <c r="X116" s="3">
        <f>0+(1335-453.8)+(0+(-2.04255--0.694314))+0-0-0</f>
        <v>879.851764</v>
      </c>
      <c r="Y116" s="3">
        <f>0+(1277.3-413.5)+(0+(-0.651423--0.210885))+0-0-0</f>
        <v>863.35946200000001</v>
      </c>
      <c r="Z116" s="3">
        <f>0+(1349.2-464.3)+(0+(0-0))+0-0-0</f>
        <v>884.90000000000009</v>
      </c>
      <c r="AA116" s="3">
        <f>0+(1380-434.3)+(0+(2.1114-0.664479))+0-0-0</f>
        <v>947.14692100000002</v>
      </c>
      <c r="AB116" s="3">
        <f>0+(1363.6-423.6)+(0+(-2.086308--0.648108))+0-0-0</f>
        <v>938.56179999999983</v>
      </c>
      <c r="AC116" s="3">
        <f>0+(1397.4-482)+(0+(-2.138022--0.73746))+0-0-0</f>
        <v>913.99943800000005</v>
      </c>
      <c r="AD116" s="2">
        <v>954.59999999999991</v>
      </c>
      <c r="AE116" s="3">
        <f>0+(1391.3-436.7)+(0+(0-0))+0-0-0</f>
        <v>954.59999999999991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0+(1395.3-522.2)+(0+(-0.711603--0.266322))+0-0-0</f>
        <v>872.65471899999989</v>
      </c>
      <c r="G117" s="3">
        <f>0+(1355.1-517.9)+(0+(-2.073303--0.792387))+0-0-0</f>
        <v>835.91908399999988</v>
      </c>
      <c r="H117" s="3">
        <f>0+(1318.5-496.4)+(0+(-1.34487--0.506328))+0-0-0</f>
        <v>821.26145800000006</v>
      </c>
      <c r="I117" s="3">
        <f>0+(1290.1-477.4)+(0+(-1.315902--0.486948))+0-0-0</f>
        <v>811.87104599999998</v>
      </c>
      <c r="J117" s="3">
        <f>0+(1294.5-484.2)+(0+(-1.32039--0.493884))+0-0-0</f>
        <v>809.47349399999996</v>
      </c>
      <c r="K117" s="3">
        <f>0+(1280.7-468.7)+(0+(-2.612628--0.956148))+0-0-0</f>
        <v>810.34352000000001</v>
      </c>
      <c r="L117" s="3">
        <f>0+(1259.8-439.9)+(0+(0-0))+0-0-0</f>
        <v>819.9</v>
      </c>
      <c r="M117" s="3">
        <f>0+(1283.9-396.6)+(0+(-0.654789--0.202266))+0-0-0</f>
        <v>886.84747700000003</v>
      </c>
      <c r="N117" s="3">
        <f>0+(1371.5-406)+(0+(1.39893-0.41412))+0-0-0</f>
        <v>966.48481000000004</v>
      </c>
      <c r="O117" s="3">
        <f>31.8+(1409.9-422)+(-0.016218+(-0.719049--0.21522))+0-0-0</f>
        <v>1019.1799530000001</v>
      </c>
      <c r="P117" s="3">
        <f>180.4+(1321.2-441.6)+(0.184008+(1.347624-0.450432))+0-0-0</f>
        <v>1061.0812000000001</v>
      </c>
      <c r="Q117" s="3">
        <f>354.8+(1142.9-414.8)+(0.180948+(0.582879-0.211548))+0-0-0</f>
        <v>1083.4522790000001</v>
      </c>
      <c r="R117" s="3">
        <f>417.7+(1033.9-368.5)+(0.213027+(0.527289-0.187935))+0-0-0</f>
        <v>1083.6523810000001</v>
      </c>
      <c r="S117" s="3">
        <f>416.9+(989.4-346.1)+(-0.212619+(-0.504594--0.176511))+0-0-0</f>
        <v>1059.6592979999998</v>
      </c>
      <c r="T117" s="3">
        <f>415.1+(939.8-290.3)+(-0.635103+(-1.437894--0.444159))+0-0-0</f>
        <v>1062.9711619999998</v>
      </c>
      <c r="U117" s="3">
        <f>414.3+(931.3-278.2)+(-0.845172+(-1.899852--0.567528))+0-0-0</f>
        <v>1065.2225039999998</v>
      </c>
      <c r="V117" s="3">
        <f>414.9+(938-281.5)+(-0.846396+(-1.91352--0.57426))+0-0-0</f>
        <v>1069.214344</v>
      </c>
      <c r="W117" s="3">
        <f>415.2+(934.9-295.8)+(-0.635256+(-1.430397--0.452574))+0-0-0</f>
        <v>1052.686921</v>
      </c>
      <c r="X117" s="3">
        <f>411+(977.8-361.5)+(-1.46727+(-3.490746--1.290555))+0-0-0</f>
        <v>1023.632539</v>
      </c>
      <c r="Y117" s="3">
        <f>412.5+(1010.5-427.7)+(-1.051875+(-2.576775--1.090635))+0-0-0</f>
        <v>992.76198499999998</v>
      </c>
      <c r="Z117" s="3">
        <f>421.8+(1085.5-489)+(0.860472+(2.21442-0.99756))+0-0-0</f>
        <v>1020.3773319999999</v>
      </c>
      <c r="AA117" s="3">
        <f>417.3+(1094.7-444.7)+(-0.212823+(-0.558297--0.226797))+0-0-0</f>
        <v>1066.7556769999999</v>
      </c>
      <c r="AB117" s="3">
        <f>412.2+(1091.5-456.7)+(-1.261332+(-3.33999--1.397502))+0-0-0</f>
        <v>1043.79618</v>
      </c>
      <c r="AC117" s="3">
        <f>364.5+(1159-499.3)+(0.185895+(0.59109-0.254643))+0-0-0</f>
        <v>1024.722342</v>
      </c>
      <c r="AD117" s="2">
        <v>1046.5</v>
      </c>
      <c r="AE117" s="3">
        <f>420+(1080.4-453.9)+(0+(0-0))+0-0-0</f>
        <v>1046.5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43.1+(1391.3-456.4)+(-0.065943+(-2.128689--0.698292))+0-0-0</f>
        <v>976.50365999999997</v>
      </c>
      <c r="G118" s="3">
        <f>0+(1422.4-485.9)+(0+(0.725424-0.247809))+0-0-0</f>
        <v>936.97761500000013</v>
      </c>
      <c r="H118" s="3">
        <f>0+(1407.1-492.6)+(0+(-0.717621--0.251226))+0-0-0</f>
        <v>914.03360499999985</v>
      </c>
      <c r="I118" s="3">
        <f>0+(1352.5-443.5)+(0+(-1.37955--0.45237))+0-0-0</f>
        <v>908.07281999999998</v>
      </c>
      <c r="J118" s="3">
        <f>0+(1285.5-394.2)+(0+(-2.62242--0.804168))+0-0-0</f>
        <v>889.48174799999993</v>
      </c>
      <c r="K118" s="3">
        <f>0+(1229.9-346.3)+(0+(-1.881747--0.529839))+0-0-0</f>
        <v>882.24809200000016</v>
      </c>
      <c r="L118" s="3">
        <f>0+(1251.2-371.1)+(0+(-3.19056--0.946305))+0-0-0</f>
        <v>877.85574500000007</v>
      </c>
      <c r="M118" s="3">
        <f>0+(1250.7-331.5)+(0+(2.551428-0.67626))+0-0-0</f>
        <v>921.07516800000008</v>
      </c>
      <c r="N118" s="3">
        <f>20.9+(1382.2-419.1)+(0+(0-0))+0-0-0</f>
        <v>984</v>
      </c>
      <c r="O118" s="3">
        <f>177+(1275.8-436.9)+(0.18054+(1.301316-0.445638))+0-0-0</f>
        <v>1016.9362179999999</v>
      </c>
      <c r="P118" s="3">
        <f>322.5+(1168.5-416.9)+(0.32895+(1.19187-0.425238))+0-0-0</f>
        <v>1075.1955819999998</v>
      </c>
      <c r="Q118" s="3">
        <f>427+(1072.9-402.4)+(0+(0-0))+0-0-0</f>
        <v>1097.5</v>
      </c>
      <c r="R118" s="3">
        <f>428.9+(1065.6-406)+(0.218739+(0.543456-0.20706))+0-0-0</f>
        <v>1089.0551350000001</v>
      </c>
      <c r="S118" s="3">
        <f>428+(1062.4-421.4)+(-0.43656+(-1.083648--0.429828))+0-0-0</f>
        <v>1067.9096199999999</v>
      </c>
      <c r="T118" s="3">
        <f>421.2+(1047.2-395.2)+(-0.859248+(-2.136288--0.806208))+0-0-0</f>
        <v>1071.0106720000001</v>
      </c>
      <c r="U118" s="3">
        <f>430.7+(1039.7-399)+(0.219657+(0.530247-0.20349))+0-0-0</f>
        <v>1071.946414</v>
      </c>
      <c r="V118" s="3">
        <f>423.3+(1017.7-387.7)+(-0.863532+(-2.076108--0.790908))+0-0-0</f>
        <v>1051.1512679999998</v>
      </c>
      <c r="W118" s="3">
        <f>428.4+(1066.4-456.2)+(-0.436968+(-1.087728--0.465324))+0-0-0</f>
        <v>1037.540628</v>
      </c>
      <c r="X118" s="3">
        <f>425.9+(1154.4-557.7)+(-0.434418+(-1.177488--0.568854))+0-0-0</f>
        <v>1021.556948</v>
      </c>
      <c r="Y118" s="3">
        <f>427.6+(1072.4-493.9)+(0+(0-0))+0-0-0</f>
        <v>1006.1000000000001</v>
      </c>
      <c r="Z118" s="3">
        <f>436.4+(1106.4-511.7)+(0+(0-0))+0-0-0</f>
        <v>1031.0999999999999</v>
      </c>
      <c r="AA118" s="3">
        <f>434.6+(1128.7-510.6)+(-0.886584+(-2.302548--1.041624))+0-0-0</f>
        <v>1050.552492</v>
      </c>
      <c r="AB118" s="3">
        <f>432.1+(1125-535)+(-0.881484+(-2.295--1.0914))+0-0-0</f>
        <v>1020.014916</v>
      </c>
      <c r="AC118" s="3">
        <f>245.4+(1282.2-518.8)+(-0.62577+(-3.26961--1.32294))+0-0-0</f>
        <v>1006.22756</v>
      </c>
      <c r="AD118" s="2">
        <v>1051.4000000000001</v>
      </c>
      <c r="AE118" s="3">
        <f>444+(1130.9-523.5)+(0+(0-0))+0-0-0</f>
        <v>1051.4000000000001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14.4+(1415.5-470.3)+(-0.03672+(-3.609525--1.199265))+0-0-0</f>
        <v>957.15301999999997</v>
      </c>
      <c r="G119" s="3">
        <f>0+(1386.5-480.7)+(0+(-2.121345--0.735471))+0-0-0</f>
        <v>904.41412600000001</v>
      </c>
      <c r="H119" s="3">
        <f>0+(1330.6-456.9)+(0+(-0.678606--0.233019))+0-0-0</f>
        <v>873.25441299999989</v>
      </c>
      <c r="I119" s="3">
        <f>0+(1288.9-421)+(0+(-3.286695--1.07355))+0-0-0</f>
        <v>865.68685500000004</v>
      </c>
      <c r="J119" s="3">
        <f>0+(1235.6-368.6)+(0+(-2.520624--0.751944))+0-0-0</f>
        <v>865.23131999999987</v>
      </c>
      <c r="K119" s="3">
        <f>0+(1172.4-320.7)+(0+(-1.195848--0.327114))+0-0-0</f>
        <v>850.83126600000003</v>
      </c>
      <c r="L119" s="3">
        <f>0+(1124.2-274.1)+(0+(-2.86671--0.698955))+0-0-0</f>
        <v>847.93224499999997</v>
      </c>
      <c r="M119" s="3">
        <f>0+(1174.4-286.4)+(0+(2.395776-0.584256))+0-0-0</f>
        <v>889.81152000000009</v>
      </c>
      <c r="N119" s="3">
        <f>0+(1351.7-398.4)+(0+(3.446835-1.01592))+0-0-0</f>
        <v>955.7309150000001</v>
      </c>
      <c r="O119" s="3">
        <f>0+(1403.3-397.1)+(0+(1.431366-0.405042))+0-0-0</f>
        <v>1007.226324</v>
      </c>
      <c r="P119" s="3">
        <f>65.5+(1399.4-423.2)+(0.100215+(2.141082-0.647496))+0-0-0</f>
        <v>1043.293801</v>
      </c>
      <c r="Q119" s="3">
        <f>113.7+(1371.6-431.9)+(0.231948+(2.798064-0.881076))+0-0-0</f>
        <v>1055.5489359999999</v>
      </c>
      <c r="R119" s="3">
        <f>202.6+(1293.8-386)+(0.309978+(1.979514-0.59058))+0-0-0</f>
        <v>1112.0989119999999</v>
      </c>
      <c r="S119" s="3">
        <f>201.7+(1232.8-391.5)+(-0.102867+(-0.628728--0.199665))+0-0-0</f>
        <v>1042.4680699999999</v>
      </c>
      <c r="T119" s="3">
        <f>116.4+(1274.7-367.7)+(0+(0-0))+0-0-0</f>
        <v>1023.4</v>
      </c>
      <c r="U119" s="3">
        <f>0+(1332.5-313.5)+(0+(-3.397875--0.799425))+0-0-0</f>
        <v>1016.40155</v>
      </c>
      <c r="V119" s="3">
        <f>0+(1317.2-322)+(0+(0.671772-0.16422))+0-0-0</f>
        <v>995.70755200000008</v>
      </c>
      <c r="W119" s="3">
        <f>0+(1320-336.6)+(0+(-2.0196--0.514998))+0-0-0</f>
        <v>981.895398</v>
      </c>
      <c r="X119" s="3">
        <f>0+(1323-367.7)+(0+(-4.04838--1.125162))+0-0-0</f>
        <v>952.37678199999993</v>
      </c>
      <c r="Y119" s="3">
        <f>0+(1262-309.2)+(0+(0-0))+0-0-0</f>
        <v>952.8</v>
      </c>
      <c r="Z119" s="3">
        <f>0+(1380.6-398.5)+(0+(-2.112318--0.609705))+0-0-0</f>
        <v>980.59738699999991</v>
      </c>
      <c r="AA119" s="3">
        <f>0+(1366.3-320.8)+(0+(-2.090439--0.490824))+0-0-0</f>
        <v>1043.9003849999999</v>
      </c>
      <c r="AB119" s="3">
        <f>0+(1348.6-323.8)+(0+(-4.126716--0.990828))+0-0-0</f>
        <v>1021.6641119999999</v>
      </c>
      <c r="AC119" s="3">
        <f>0+(1358.2-366.4)+(0+(-2.078046--0.560592))+0-0-0</f>
        <v>990.28254600000002</v>
      </c>
      <c r="AD119" s="2">
        <v>1057.3000000000002</v>
      </c>
      <c r="AE119" s="3">
        <f>0+(1382.9-325.6)+(0+(0-0))+0-0-0</f>
        <v>1057.3000000000002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0+(1351.1-411.8)+(0+(-4.823427--1.470126))+0-0-0</f>
        <v>935.94669899999997</v>
      </c>
      <c r="G120" s="3">
        <f>0+(1332.1-436.8)+(0+(-3.396855--1.11384))+0-0-0</f>
        <v>893.01698499999998</v>
      </c>
      <c r="H120" s="3">
        <f>0+(1317.6-452.6)+(0+(-2.687904--0.923304))+0-0-0</f>
        <v>863.23539999999991</v>
      </c>
      <c r="I120" s="3">
        <f>0+(1311.7-458.2)+(0+(-2.675868--0.934728))+0-0-0</f>
        <v>851.75886000000003</v>
      </c>
      <c r="J120" s="3">
        <f>0+(1279.3-423.3)+(0+(0-0))+0-0-0</f>
        <v>856</v>
      </c>
      <c r="K120" s="3">
        <f>0+(1279.1-430.9)+(0+(-2.609364--0.879036))+0-0-0</f>
        <v>846.46967199999995</v>
      </c>
      <c r="L120" s="3">
        <f>0+(1248.3-409.2)+(0+(0-0))+0-0-0</f>
        <v>839.09999999999991</v>
      </c>
      <c r="M120" s="3">
        <f>0+(1276.7-388.4)+(0+(1.953351-0.594252))+0-0-0</f>
        <v>889.65909900000008</v>
      </c>
      <c r="N120" s="3">
        <f>0+(1350.7-390)+(0+(0.688857-0.1989))+0-0-0</f>
        <v>961.18995700000005</v>
      </c>
      <c r="O120" s="3">
        <f>0+(1375.9-369.9)+(0+(0.701709-0.188649))+0-0-0</f>
        <v>1006.5130600000001</v>
      </c>
      <c r="P120" s="3">
        <f>24.1+(1347.4-343)+(0.049164+(2.748696-0.69972))+0-0-0</f>
        <v>1030.5981400000001</v>
      </c>
      <c r="Q120" s="3">
        <f>306.3+(1136.6-387.7)+(0.468639+(1.738998-0.593181))+0-0-0</f>
        <v>1056.8144559999998</v>
      </c>
      <c r="R120" s="3">
        <f>424.8+(1087.5-444.4)+(-0.216648+(-0.554625--0.226644))+0-0-0</f>
        <v>1067.3553710000001</v>
      </c>
      <c r="S120" s="3">
        <f>419.8+(1039.6-419.4)+(-0.642294+(-1.590588--0.641682))+0-0-0</f>
        <v>1038.4087999999999</v>
      </c>
      <c r="T120" s="3">
        <f>423+(978.7-362.5)+(-0.21573+(-0.499137--0.184875))+0-0-0</f>
        <v>1038.6700080000001</v>
      </c>
      <c r="U120" s="3">
        <f>414.7+(959.6-351.2)+(0.845988+(1.957584-0.716448))+0-0-0</f>
        <v>1025.187124</v>
      </c>
      <c r="V120" s="3">
        <f>411.9+(955.7-340.4)+(0+(0-0))+0-0-0</f>
        <v>1027.2</v>
      </c>
      <c r="W120" s="3">
        <f>407.9+(947-362)+(-1.040145+(-2.41485--0.9231))+0-0-0</f>
        <v>990.36810500000001</v>
      </c>
      <c r="X120" s="3">
        <f>407.1+(1023.2-453)+(-0.622863+(-1.565496--0.69309))+0-0-0</f>
        <v>975.80473100000006</v>
      </c>
      <c r="Y120" s="3">
        <f>368.7+(1100.3-501.5)+(-0.188037+(-0.561153--0.255765))+0-0-0</f>
        <v>967.006575</v>
      </c>
      <c r="Z120" s="3">
        <f>410.3+(1129-538.6)+(0.418506+(1.15158-0.549372))+0-0-0</f>
        <v>1001.720714</v>
      </c>
      <c r="AA120" s="3">
        <f>468.5+(1082.1-506.4)+(-0.47787+(-1.103742--0.516528))+0-0-0</f>
        <v>1043.1349159999997</v>
      </c>
      <c r="AB120" s="3">
        <f>464.6+(1084.9-519.5)+(-0.473892+(-1.106598--0.52989))+0-0-0</f>
        <v>1028.9494</v>
      </c>
      <c r="AC120" s="3">
        <f>471.5+(1073-544.3)+(-0.48093+(-1.09446--0.555186))+0-0-0</f>
        <v>999.17979600000001</v>
      </c>
      <c r="AD120" s="2">
        <v>1041.2</v>
      </c>
      <c r="AE120" s="3">
        <f>464+(1082.5-505.3)+(0+(0-0))+0-0-0</f>
        <v>1041.2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450.6+(1043.1-533.2)+(-0.689418+(-1.595943--0.815796))+0-0-0</f>
        <v>959.0304349999999</v>
      </c>
      <c r="G121" s="3">
        <f>40.6+(1273.8-398)+(-0.020706+(-0.649638--0.20298))+0-0-0</f>
        <v>915.932636</v>
      </c>
      <c r="H121" s="3">
        <f>0+(1357.2-463.3)+(0+(-2.076516--0.708849))+0-0-0</f>
        <v>892.53233300000011</v>
      </c>
      <c r="I121" s="3">
        <f>0+(1299.7-420.4)+(0+(-1.325694--0.428808))+0-0-0</f>
        <v>878.40311400000007</v>
      </c>
      <c r="J121" s="3">
        <f>0+(1257.9-388.3)+(0+(-3.207645--0.990165))+0-0-0</f>
        <v>867.38252000000011</v>
      </c>
      <c r="K121" s="3">
        <f>0+(1220.5-358.1)+(0+(-3.112275--0.913155))+0-0-0</f>
        <v>860.20087999999998</v>
      </c>
      <c r="L121" s="3">
        <f>0+(1267.7-407.6)+(0+(1.293054-0.415752))+0-0-0</f>
        <v>860.97730200000001</v>
      </c>
      <c r="M121" s="3">
        <f>0+(1264.1-348.3)+(0+(-0.644691--0.177633))+0-0-0</f>
        <v>915.332942</v>
      </c>
      <c r="N121" s="3">
        <f>13.4+(1333.3-367.8)+(0.020502+(2.039949-0.562734))+0-0-0</f>
        <v>980.39771699999994</v>
      </c>
      <c r="O121" s="3">
        <f>72.1+(1333.7-368.6)+(0+(0-0))+0-0-0</f>
        <v>1037.2</v>
      </c>
      <c r="P121" s="3">
        <f>261.6+(1182.7-381.7)+(0.266832+(1.206354-0.389334))+0-0-0</f>
        <v>1063.6838519999999</v>
      </c>
      <c r="Q121" s="3">
        <f>310.6+(1110.4-339.4)+(0.475218+(1.698912-0.519282))+0-0-0</f>
        <v>1083.254848</v>
      </c>
      <c r="R121" s="3">
        <f>310.6+(1086.9-308.3)+(0.475218+(1.662957-0.471699))+0-0-0</f>
        <v>1090.8664760000004</v>
      </c>
      <c r="S121" s="3">
        <f>305.6+(989.1-253.1)+(-0.623424+(-2.017764--0.516324))+0-0-0</f>
        <v>1039.475136</v>
      </c>
      <c r="T121" s="3">
        <f>308.2+(929-185.3)+(0+(0-0))+0-0-0</f>
        <v>1051.9000000000001</v>
      </c>
      <c r="U121" s="3">
        <f>306.5+(935.9-190.5)+(-0.468945+(-1.431927--0.291465))+0-0-0</f>
        <v>1050.2905930000002</v>
      </c>
      <c r="V121" s="3">
        <f>307.3+(981.3-237.4)+(0.156723+(0.500463-0.121074))+0-0-0</f>
        <v>1051.736112</v>
      </c>
      <c r="W121" s="3">
        <f>302.6+(1007.6-279.3)+(-0.462978+(-1.541628--0.427329))+0-0-0</f>
        <v>1029.322723</v>
      </c>
      <c r="X121" s="3">
        <f>302.6+(1079.2-379)+(-0.617304+(-2.201568--0.77316))+0-0-0</f>
        <v>1000.7542880000001</v>
      </c>
      <c r="Y121" s="3">
        <f>303.6+(1085.1-416.8)+(-0.154836+(-0.553401--0.212568))+0-0-0</f>
        <v>971.40433099999996</v>
      </c>
      <c r="Z121" s="3">
        <f>306.2+(1158.8-460)+(0.78081+(2.95494-1.173))+0-0-0</f>
        <v>1007.5627500000001</v>
      </c>
      <c r="AA121" s="3">
        <f>324.4+(1198.2-459.2)+(0.165444+(0.611082-0.234192))+0-0-0</f>
        <v>1063.9423340000001</v>
      </c>
      <c r="AB121" s="3">
        <f>327.2+(1206.2-484.7)+(0.333744+(1.230324-0.494394))+0-0-0</f>
        <v>1049.7696740000001</v>
      </c>
      <c r="AC121" s="3">
        <f>329.8+(1171.8-484.3)+(0.168198+(0.597618-0.246993))+0-0-0</f>
        <v>1017.818823</v>
      </c>
      <c r="AD121" s="2">
        <v>1059.3</v>
      </c>
      <c r="AE121" s="3">
        <f>326+(1198-464.7)+(0+(0-0))+0-0-0</f>
        <v>1059.3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219.9+(1196.7-444.8)+(-0.336447+(-1.830951--0.680544))+0-0-0</f>
        <v>970.31314600000007</v>
      </c>
      <c r="G122" s="3">
        <f>0+(1273-355.8)+(0+(-1.29846--0.362916))+0-0-0</f>
        <v>916.264456</v>
      </c>
      <c r="H122" s="3">
        <f>0+(1300.2-413.5)+(0+(-1.326204--0.42177))+0-0-0</f>
        <v>885.79556600000001</v>
      </c>
      <c r="I122" s="3">
        <f>0+(1319-440.1)+(0+(0-0))+0-0-0</f>
        <v>878.9</v>
      </c>
      <c r="J122" s="3">
        <f>0+(1312.3-439.8)+(0+(-0.669273--0.224298))+0-0-0</f>
        <v>872.055025</v>
      </c>
      <c r="K122" s="3">
        <f>0+(1288.6-422.3)+(0+(-1.314372--0.430746))+0-0-0</f>
        <v>865.41637399999991</v>
      </c>
      <c r="L122" s="3">
        <f>0+(1228.8-375.7)+(0+(0-0))+0-0-0</f>
        <v>853.09999999999991</v>
      </c>
      <c r="M122" s="3">
        <f>0+(1224.2-335)+(0+(1.248684-0.3417))+0-0-0</f>
        <v>890.10698400000001</v>
      </c>
      <c r="N122" s="3">
        <f>0+(1316.9-369.4)+(0+(3.358095-0.94197))+0-0-0</f>
        <v>949.91612500000008</v>
      </c>
      <c r="O122" s="3">
        <f>63.2+(1272-341.7)+(0.096696+(1.94616-0.522801))+0-0-0</f>
        <v>995.02005499999996</v>
      </c>
      <c r="P122" s="3">
        <f>247.2+(1121.7-329)+(0.252144+(1.144134-0.33558))+0-0-0</f>
        <v>1040.9606980000001</v>
      </c>
      <c r="Q122" s="3">
        <f>319.1+(1073.9-319.6)+(0.488223+(1.643067-0.488988))+0-0-0</f>
        <v>1075.0423020000001</v>
      </c>
      <c r="R122" s="3">
        <f>373.5+(981-281.8)+(-0.190485+(-0.50031--0.143718))+0-0-0</f>
        <v>1072.1529230000001</v>
      </c>
      <c r="S122" s="3">
        <f>439.8+(891.2-285.4)+(-1.12149+(-2.27256--0.72777))+0-0-0</f>
        <v>1042.9337200000002</v>
      </c>
      <c r="T122" s="3">
        <f>439.8+(874-290)+(0+(0-0))+0-0-0</f>
        <v>1023.8</v>
      </c>
      <c r="U122" s="3">
        <f>433.1+(902.9-310.9)+(-0.662643+(-1.381437--0.475677))+0-0-0</f>
        <v>1023.5315969999999</v>
      </c>
      <c r="V122" s="3">
        <f>441.1+(918.4-342.1)+(-0.674883+(-1.405152--0.523413))+0-0-0</f>
        <v>1015.843378</v>
      </c>
      <c r="W122" s="3">
        <f>446.7+(907.2-371.2)+(-0.455634+(-0.925344--0.378624))+0-0-0</f>
        <v>981.69764600000008</v>
      </c>
      <c r="X122" s="3">
        <f>339.7+(1058.2-448)+(-0.346494+(-1.079364--0.45696))+0-0-0</f>
        <v>948.93110200000012</v>
      </c>
      <c r="Y122" s="3">
        <f>321.7+(1054.6-433.2)+(0.492201+(1.613538-0.662796))+0-0-0</f>
        <v>944.54294299999992</v>
      </c>
      <c r="Z122" s="3">
        <f>380.8+(1093.3-500.7)+(0.388416+(1.115166-0.510714))+0-0-0</f>
        <v>974.39286799999991</v>
      </c>
      <c r="AA122" s="3">
        <f>466.6+(1036.6-476)+(-0.951864+(-2.114664--0.97104))+0-0-0</f>
        <v>1025.1045119999999</v>
      </c>
      <c r="AB122" s="3">
        <f>469+(1056.3-521.4)+(-0.47838+(-1.077426--0.531828))+0-0-0</f>
        <v>1002.8760219999999</v>
      </c>
      <c r="AC122" s="3">
        <f>338.6+(1131.8-491.7)+(-0.172686+(-0.577218--0.250767))+0-0-0</f>
        <v>978.20086299999991</v>
      </c>
      <c r="AD122" s="2">
        <v>1030</v>
      </c>
      <c r="AE122" s="3">
        <f>456+(1047.3-473.3)+(0+(0-0))+0-0-0</f>
        <v>1030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233.8+(1114.7-407.3)+(0+(0-0))+0-0-0</f>
        <v>941.2</v>
      </c>
      <c r="G123" s="3">
        <f>72.5+(1200.2-373.4)+(-0.07395+(-1.224204--0.380868))+0-0-0</f>
        <v>898.38271400000008</v>
      </c>
      <c r="H123" s="3">
        <f>0+(1286.2-417.1)+(0+(0-0))+0-0-0</f>
        <v>869.1</v>
      </c>
      <c r="I123" s="3">
        <f>0+(1252.3-397.8)+(0+(-1.277346--0.405756))+0-0-0</f>
        <v>853.62841000000003</v>
      </c>
      <c r="J123" s="3">
        <f>0+(1273.1-425)+(0+(-1.947843--0.65025))+0-0-0</f>
        <v>846.8024069999999</v>
      </c>
      <c r="K123" s="3">
        <f>0+(1248.8-430.6)+(0+(-2.547552--0.878424))+0-0-0</f>
        <v>816.53087199999993</v>
      </c>
      <c r="L123" s="3">
        <f>0+(1140.1-355.7)+(0+(-1.744353--0.544221))+0-0-0</f>
        <v>783.19986799999981</v>
      </c>
      <c r="M123" s="3">
        <f>0+(1150.2-365.2)+(0+(1.759806-0.558756))+0-0-0</f>
        <v>786.20105000000001</v>
      </c>
      <c r="N123" s="3">
        <f>0+(1156.6-343.1)+(0+(1.179732-0.349962))+0-0-0</f>
        <v>814.32976999999994</v>
      </c>
      <c r="O123" s="3">
        <f>0+(1285.2-428)+(0+(0.655452-0.21828))+0-0-0</f>
        <v>857.63717200000008</v>
      </c>
      <c r="P123" s="3">
        <f>0+(1316.5-420.3)+(0+(2.014245-0.643059))+0-0-0</f>
        <v>897.57118600000001</v>
      </c>
      <c r="Q123" s="3">
        <f>0+(1349.2-427.2)+(0+(1.376184-0.435744))+0-0-0</f>
        <v>922.94043999999997</v>
      </c>
      <c r="R123" s="3">
        <f>0+(1311.4-387.3)+(0+(1.337628-0.395046))+0-0-0</f>
        <v>925.04258200000015</v>
      </c>
      <c r="S123" s="3">
        <f>0+(1287.4-368)+(0+(1.313148-0.37536))+0-0-0</f>
        <v>920.33778800000005</v>
      </c>
      <c r="T123" s="3">
        <f>0+(1296.2-377.5)+(0+(0-0))+0-0-0</f>
        <v>918.7</v>
      </c>
      <c r="U123" s="3">
        <f>0+(1297.8-388.4)+(0+(0-0))+0-0-0</f>
        <v>909.4</v>
      </c>
      <c r="V123" s="3">
        <f>0+(1308.8-396.7)+(0+(0-0))+0-0-0</f>
        <v>912.09999999999991</v>
      </c>
      <c r="W123" s="3">
        <f>0+(1308.5-396)+(0+(0-0))+0-0-0</f>
        <v>912.5</v>
      </c>
      <c r="X123" s="3">
        <f>0+(1297.9-387.7)+(0+(-1.985787--0.593181))+0-0-0</f>
        <v>908.80739400000004</v>
      </c>
      <c r="Y123" s="3">
        <f>0+(1326.7-426.5)+(0+(-2.706468--0.87006))+0-0-0</f>
        <v>898.36359200000004</v>
      </c>
      <c r="Z123" s="3">
        <f>0+(1322.1-398.8)+(0+(0-0))+0-0-0</f>
        <v>923.3</v>
      </c>
      <c r="AA123" s="3">
        <f>83.4+(1300.4-405.9)+(-0.21267+(-3.31602--1.035045))+0-0-0</f>
        <v>975.40635500000008</v>
      </c>
      <c r="AB123" s="3">
        <f>117.2+(1286.2-440.3)+(0.059772+(0.655962-0.224553))+0-0-0</f>
        <v>963.59118100000012</v>
      </c>
      <c r="AC123" s="3">
        <f>65+(1306.8-480.4)+(-0.03315+(-0.666468--0.245004))+0-0-0</f>
        <v>890.94538599999998</v>
      </c>
      <c r="AD123" s="2">
        <v>990</v>
      </c>
      <c r="AE123" s="3">
        <f>119+(1307.7-436.7)+(0+(0-0))+0-0-0</f>
        <v>990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0+(1317.6-436.5)+(0+(-1.343952--0.44523))+0-0-0</f>
        <v>880.20127799999989</v>
      </c>
      <c r="G124" s="3">
        <f>0+(1283.2-452.7)+(0+(-0.654432--0.230877))+0-0-0</f>
        <v>830.07644500000004</v>
      </c>
      <c r="H124" s="3">
        <f>0+(1313.7-497.1)+(0+(0.669987-0.253521))+0-0-0</f>
        <v>817.01646600000004</v>
      </c>
      <c r="I124" s="3">
        <f>0+(1272.9-441.5)+(0+(0.649179-0.225165))+0-0-0</f>
        <v>831.82401400000015</v>
      </c>
      <c r="J124" s="3">
        <f>0+(1296.4-444.5)+(0+(-1.983492--0.680085))+0-0-0</f>
        <v>850.5965930000001</v>
      </c>
      <c r="K124" s="3">
        <f>0+(1315.1-491.4)+(0+(-1.341402--0.501228))+0-0-0</f>
        <v>822.85982599999988</v>
      </c>
      <c r="L124" s="3">
        <f>0+(1326.6-501.2)+(0+(-1.353132--0.511224))+0-0-0</f>
        <v>824.55809199999987</v>
      </c>
      <c r="M124" s="3">
        <f>0+(1379.8-485.7)+(0+(0.703698-0.247707))+0-0-0</f>
        <v>894.55599099999995</v>
      </c>
      <c r="N124" s="3">
        <f>0+(1409.5-458)+(0+(2.87538-0.93432))+0-0-0</f>
        <v>953.44105999999999</v>
      </c>
      <c r="O124" s="3">
        <f>51.7+(1427.6-461.8)+(0.052734+(1.456152-0.471036))+0-0-0</f>
        <v>1018.53785</v>
      </c>
      <c r="P124" s="3">
        <f>177+(1279.5-402.7)+(0.09027+(0.652545-0.205377))+0-0-0</f>
        <v>1054.337438</v>
      </c>
      <c r="Q124" s="3">
        <f>345.5+(1148.5-415.5)+(0.176205+(0.585735-0.211905))+0-0-0</f>
        <v>1079.050035</v>
      </c>
      <c r="R124" s="3">
        <f>428.8+(1099.7-448.9)+(0.437376+(1.121694-0.457878))+0-0-0</f>
        <v>1080.7011920000002</v>
      </c>
      <c r="S124" s="3">
        <f>421.4+(1048.1-413.6)+(-0.644742+(-1.603593--0.632808))+0-0-0</f>
        <v>1054.2844729999999</v>
      </c>
      <c r="T124" s="3">
        <f>426.5+(1054.1-416.2)+(-0.217515+(-0.537591--0.212262))+0-0-0</f>
        <v>1063.8571559999998</v>
      </c>
      <c r="U124" s="3">
        <f>427.9+(1067.7-433.2)+(0.218229+(0.544527-0.220932))+0-0-0</f>
        <v>1062.941824</v>
      </c>
      <c r="V124" s="3">
        <f>428.4+(1083.9-464.5)+(0.655452+(1.658367-0.710685))+0-0-0</f>
        <v>1049.4031340000001</v>
      </c>
      <c r="W124" s="3">
        <f>426.2+(1099.4-493.5)+(0.217362+(0.560694-0.251685))+0-0-0</f>
        <v>1032.6263710000001</v>
      </c>
      <c r="X124" s="3">
        <f>421.2+(1108.7-512.2)+(-0.644436+(-1.696311--0.783666))+0-0-0</f>
        <v>1016.142919</v>
      </c>
      <c r="Y124" s="3">
        <f>423.3+(1098-539.3)+(0+(0-0))+0-0-0</f>
        <v>982</v>
      </c>
      <c r="Z124" s="3">
        <f>445.8+(1139.2-577.4)+(0.454716+(1.161984-0.588948))+0-0-0</f>
        <v>1008.6277520000001</v>
      </c>
      <c r="AA124" s="3">
        <f>442+(1065.4-488.9)+(-1.1271+(-2.71677--1.246695))+0-0-0</f>
        <v>1015.9028250000001</v>
      </c>
      <c r="AB124" s="3">
        <f>445.5+(1140.5-563.8)+(0.227205+(0.581655-0.287538))+0-0-0</f>
        <v>1022.7213220000001</v>
      </c>
      <c r="AC124" s="3">
        <f>412.9+(1154.2-565.5)+(-0.421158+(-1.177284--0.57681))+0-0-0</f>
        <v>1000.5783680000001</v>
      </c>
      <c r="AD124" s="2">
        <v>1006.8000000000001</v>
      </c>
      <c r="AE124" s="3">
        <f>444+(1056.7-493.9)+(0+(0-0))+0-0-0</f>
        <v>1006.8000000000001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118.8+(1314.7-492.9)+(-0.060588+(-0.670497--0.251379))+0-0-0</f>
        <v>940.12029400000006</v>
      </c>
      <c r="G125" s="3">
        <f>0+(1337.9-449)+(0+(0-0))+0-0-0</f>
        <v>888.90000000000009</v>
      </c>
      <c r="H125" s="3">
        <f>0+(1317.2-436.4)+(0+(1.343544-0.445128))+0-0-0</f>
        <v>881.69841600000007</v>
      </c>
      <c r="I125" s="3">
        <f>0+(1266.3-383.3)+(0+(1.937439-0.586449))+0-0-0</f>
        <v>884.35099000000002</v>
      </c>
      <c r="J125" s="3">
        <f>0+(1301.6-413)+(0+(-1.327632--0.42126))+0-0-0</f>
        <v>887.69362799999988</v>
      </c>
      <c r="K125" s="3">
        <f>0+(1337.1-476.2)+(0+(-2.727684--0.971448))+0-0-0</f>
        <v>859.14376399999992</v>
      </c>
      <c r="L125" s="3">
        <f>0+(1322.1-461.9)+(0+(-3.371355--1.177845))+0-0-0</f>
        <v>858.00648999999999</v>
      </c>
      <c r="M125" s="3">
        <f>0+(1368.6-464.1)+(0+(2.093958-0.710073))+0-0-0</f>
        <v>905.88388499999985</v>
      </c>
      <c r="N125" s="3">
        <f>0+(1455.6-485.5)+(0+(2.227068-0.742815))+0-0-0</f>
        <v>971.58425299999988</v>
      </c>
      <c r="O125" s="3">
        <f>37.8+(1455.7-476.9)+(0.077112+(2.969628-0.972876))+0-0-0</f>
        <v>1018.673864</v>
      </c>
      <c r="P125" s="3">
        <f>193.4+(1303.8-428.1)+(0.098634+(0.664938-0.218331))+0-0-0</f>
        <v>1069.6452409999999</v>
      </c>
      <c r="Q125" s="3">
        <f>377.3+(1149.2-449.5)+(0.384846+(1.172184-0.45849))+0-0-0</f>
        <v>1078.09854</v>
      </c>
      <c r="R125" s="3">
        <f>421.5+(1054.3-396.9)+(0.644895+(1.613079-0.607257))+0-0-0</f>
        <v>1080.5507170000001</v>
      </c>
      <c r="S125" s="3">
        <f>415.1+(947.4-355)+(-0.211701+(-0.483174--0.18105))+0-0-0</f>
        <v>1006.986175</v>
      </c>
      <c r="T125" s="3">
        <f>416.6+(930.9-288.1)+(0.424932+(0.949518-0.293862))+0-0-0</f>
        <v>1060.4805880000001</v>
      </c>
      <c r="U125" s="3">
        <f>416.2+(961.3-329.9)+(-0.212262+(-0.490263--0.168249))+0-0-0</f>
        <v>1047.0657239999998</v>
      </c>
      <c r="V125" s="3">
        <f>418.2+(990.8-370.8)+(0.426564+(1.010616-0.378216))+0-0-0</f>
        <v>1039.2589640000001</v>
      </c>
      <c r="W125" s="3">
        <f>415.7+(992.5-372.2)+(-0.848028+(-2.0247--0.759288))+0-0-0</f>
        <v>1033.8865599999999</v>
      </c>
      <c r="X125" s="3">
        <f>416.2+(1028.7-449)+(-0.636786+(-1.573911--0.68697))+0-0-0</f>
        <v>994.37627300000008</v>
      </c>
      <c r="Y125" s="3">
        <f>419.8+(1000.9-454.1)+(0.428196+(1.020918-0.463182))+0-0-0</f>
        <v>967.58593199999996</v>
      </c>
      <c r="Z125" s="3">
        <f>453.6+(994.7-424.1)+(1.15668+(2.536485-1.081455))+0-0-0</f>
        <v>1026.8117099999999</v>
      </c>
      <c r="AA125" s="3">
        <f>450.5+(1000.2-397.7)+(-0.229755+(-0.510102--0.202827))+0-0-0</f>
        <v>1052.46297</v>
      </c>
      <c r="AB125" s="3">
        <f>450.1+(1006.2-424.6)+(-0.688653+(-1.539486--0.649638))+0-0-0</f>
        <v>1030.1214990000001</v>
      </c>
      <c r="AC125" s="3">
        <f>450.2+(1038.4-478.5)+(-0.688806+(-1.588752--0.732105))+0-0-0</f>
        <v>1008.5545470000002</v>
      </c>
      <c r="AD125" s="2">
        <v>1055.9000000000001</v>
      </c>
      <c r="AE125" s="3">
        <f>448+(1004.3-396.4)+(0+(0-0))+0-0-0</f>
        <v>1055.9000000000001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394.1+(1046.4-461.5)+(0.401982+(1.067328-0.47073))+0-0-0</f>
        <v>979.99858000000006</v>
      </c>
      <c r="G126" s="3">
        <f>4.1+(1312.2-380.6)+(0+(0-0))+0-0-0</f>
        <v>935.7</v>
      </c>
      <c r="H126" s="3">
        <f>0+(1373.1-463.5)+(0+(1.400562-0.47277))+0-0-0</f>
        <v>910.52779199999986</v>
      </c>
      <c r="I126" s="3">
        <f>0+(1326.4-417.8)+(0+(0.676464-0.213078))+0-0-0</f>
        <v>909.06338600000015</v>
      </c>
      <c r="J126" s="3">
        <f>0+(1300.7-382.7)+(0+(-0.663357--0.195177))+0-0-0</f>
        <v>917.53182000000004</v>
      </c>
      <c r="K126" s="3">
        <f>0+(1327.2-436.7)+(0+(-2.707488--0.890868))+0-0-0</f>
        <v>888.68338000000006</v>
      </c>
      <c r="L126" s="3">
        <f>0+(1300.4-416)+(0+(0-0))+0-0-0</f>
        <v>884.40000000000009</v>
      </c>
      <c r="M126" s="3">
        <f>0+(1337.2-412.8)+(0+(0.681972-0.210528))+0-0-0</f>
        <v>924.87144400000011</v>
      </c>
      <c r="N126" s="3">
        <f>0+(1418.7-429.8)+(0+(0.723537-0.219198))+0-0-0</f>
        <v>989.40433900000005</v>
      </c>
      <c r="O126" s="3">
        <f>78.2+(1391.4-417.3)+(0.039882+(0.709614-0.212823))+0-0-0</f>
        <v>1052.8366730000002</v>
      </c>
      <c r="P126" s="3">
        <f>357+(1168.6-454.3)+(-0.18207+(-0.595986--0.231693))+0-0-0</f>
        <v>1070.753637</v>
      </c>
      <c r="Q126" s="3">
        <f>439+(1100.7-443.5)+(0.67167+(1.684071-0.678555))+0-0-0</f>
        <v>1097.8771859999999</v>
      </c>
      <c r="R126" s="3">
        <f>434.6+(1022.1-350.9)+(-0.664938+(-1.563813--0.536877))+0-0-0</f>
        <v>1104.1081260000001</v>
      </c>
      <c r="S126" s="3">
        <f>436.2+(963.3-322.3)+(-0.222462+(-0.491283--0.164373))+0-0-0</f>
        <v>1076.6506280000001</v>
      </c>
      <c r="T126" s="3">
        <f>432.9+(939.3-293.7)+(-0.662337+(-1.437129--0.449361))+0-0-0</f>
        <v>1076.8498950000001</v>
      </c>
      <c r="U126" s="3">
        <f>434.2+(951.5-301.5)+(-0.442884+(-0.97053--0.30753))+0-0-0</f>
        <v>1083.094116</v>
      </c>
      <c r="V126" s="3">
        <f>437+(982.4-348)+(0.22287+(0.501024-0.17748))+0-0-0</f>
        <v>1071.946414</v>
      </c>
      <c r="W126" s="3">
        <f>433.9+(1028.9-409.6)+(-0.221289+(-0.524739--0.208896))+0-0-0</f>
        <v>1052.6628680000001</v>
      </c>
      <c r="X126" s="3">
        <f>432.9+(1119.5-519.9)+(-0.662337+(-1.712835--0.795447))+0-0-0</f>
        <v>1030.9202749999999</v>
      </c>
      <c r="Y126" s="3">
        <f>332.5+(1127.1-434.5)+(-0.169575+(-0.574821--0.221595))+0-0-0</f>
        <v>1024.5771989999998</v>
      </c>
      <c r="Z126" s="3">
        <f>402.8+(1112-458.4)+(0.410856+(1.13424-0.467568))+0-0-0</f>
        <v>1057.4775280000001</v>
      </c>
      <c r="AA126" s="3">
        <f>430.9+(1038-387.8)+(0.219759+(0.52938-0.197778))+0-0-0</f>
        <v>1081.651361</v>
      </c>
      <c r="AB126" s="3">
        <f>427.8+(1062.8-423.4)+(-0.872712+(-2.168112--0.863736))+0-0-0</f>
        <v>1065.0229120000001</v>
      </c>
      <c r="AC126" s="3">
        <f>434.3+(1072.5-463.5)+(0.221493+(0.546975-0.236385))+0-0-0</f>
        <v>1043.832083</v>
      </c>
      <c r="AD126" s="2">
        <v>1064</v>
      </c>
      <c r="AE126" s="3">
        <f>428+(1024.9-388.9)+(0+(0-0))+0-0-0</f>
        <v>1064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313.6+(1120.6-448.3)+(0.159936+(0.571506-0.228633))+0-0-0</f>
        <v>986.40280899999993</v>
      </c>
      <c r="G127" s="3">
        <f>38.1+(1300.6-391.4)+(0.019431+(0.663306-0.199614))+0-0-0</f>
        <v>947.78312299999993</v>
      </c>
      <c r="H127" s="3">
        <f>0+(1338.5-412.1)+(0+(0.682635-0.210171))+0-0-0</f>
        <v>926.87246399999992</v>
      </c>
      <c r="I127" s="3">
        <f>0+(1296.4-385.7)+(0+(1.322328-0.393414))+0-0-0</f>
        <v>911.62891400000001</v>
      </c>
      <c r="J127" s="3">
        <f>0+(1324.6-397.8)+(0+(0.675546-0.202878))+0-0-0</f>
        <v>927.27266799999995</v>
      </c>
      <c r="K127" s="3">
        <f>0+(1344.3-445.8)+(0+(-2.742372--0.909432))+0-0-0</f>
        <v>896.66705999999999</v>
      </c>
      <c r="L127" s="3">
        <f>0+(1301.4-413.8)+(0+(-0.663714--0.211038))+0-0-0</f>
        <v>887.14732400000014</v>
      </c>
      <c r="M127" s="3">
        <f>0+(1313.3-390.4)+(0+(1.339566-0.398208))+0-0-0</f>
        <v>923.84135800000001</v>
      </c>
      <c r="N127" s="3">
        <f>0+(1415.4-426.4)+(0+(0.721854-0.217464))+0-0-0</f>
        <v>989.50439000000006</v>
      </c>
      <c r="O127" s="3">
        <f>60.8+(1392.3-424.3)+(-0.062016+(-1.420146--0.432786))+0-0-0</f>
        <v>1027.750624</v>
      </c>
      <c r="P127" s="3">
        <f>344.8+(1169.2-454.8)+(0.703392+(2.385168-0.927792))+0-0-0</f>
        <v>1061.360768</v>
      </c>
      <c r="Q127" s="3">
        <f>441.4+(1052.6-411.7)+(0.225114+(0.536826-0.209967))+0-0-0</f>
        <v>1082.8519729999998</v>
      </c>
      <c r="R127" s="3">
        <f>440.9+(1020.5-370.3)+(0.449718+(1.04091-0.377706))+0-0-0</f>
        <v>1092.2129219999999</v>
      </c>
      <c r="S127" s="3">
        <f>437.5+(895.9-276.7)+(-0.669375+(-1.370727--0.423351))+0-0-0</f>
        <v>1055.083249</v>
      </c>
      <c r="T127" s="3">
        <f>436.2+(833.7-203.6)+(-0.889848+(-1.700748--0.415344))+0-0-0</f>
        <v>1064.124748</v>
      </c>
      <c r="U127" s="3">
        <f>433.7+(829.8-209.5)+(-0.884748+(-1.692792--0.42738))+0-0-0</f>
        <v>1051.8498400000001</v>
      </c>
      <c r="V127" s="3">
        <f>420.4+(893.3-268.2)+(-0.428808+(-0.911166--0.273564))+0-0-0</f>
        <v>1044.4335900000001</v>
      </c>
      <c r="W127" s="3">
        <f>421.3+(960.8-353.4)+(-0.214863+(-0.490008--0.180234))+0-0-0</f>
        <v>1028.1753630000001</v>
      </c>
      <c r="X127" s="3">
        <f>419.1+(1010.7-413.4)+(-1.068705+(-2.577285--1.05417))+0-0-0</f>
        <v>1013.8081800000001</v>
      </c>
      <c r="Y127" s="3">
        <f>417.6+(1025.3-448.4)+(-1.277856+(-3.137418--1.372104))+0-0-0</f>
        <v>991.45682999999997</v>
      </c>
      <c r="Z127" s="3">
        <f>423.3+(1035.7-427.2)+(0.431766+(1.056414-0.435744))+0-0-0</f>
        <v>1032.8524359999999</v>
      </c>
      <c r="AA127" s="3">
        <f>428.5+(1039.3-411.7)+(-0.655605+(-1.590129--0.629901))+0-0-0</f>
        <v>1054.4841669999998</v>
      </c>
      <c r="AB127" s="3">
        <f>432.1+(1065-444.5)+(-1.101855+(-2.71575--1.133475))+0-0-0</f>
        <v>1049.9158699999998</v>
      </c>
      <c r="AC127" s="3">
        <f>429.6+(1086.8-485.7)+(-0.876384+(-2.217072--0.990828))+0-0-0</f>
        <v>1028.5973719999997</v>
      </c>
      <c r="AD127" s="2">
        <v>1038.1000000000001</v>
      </c>
      <c r="AE127" s="3">
        <f>408+(1019.9-389.8)+(0+(0-0))+0-0-0</f>
        <v>1038.0999999999999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131.3+(1211.9-357.3)+(-0.066963+(-0.618069--0.182223))+0-0-0</f>
        <v>985.39719100000013</v>
      </c>
      <c r="G128" s="3">
        <f>0+(1240.7-313.9)+(0+(-1.265514--0.320178))+0-0-0</f>
        <v>925.85466400000007</v>
      </c>
      <c r="H128" s="3">
        <f>0+(1245.8-337.5)+(0+(0.635358-0.172125))+0-0-0</f>
        <v>908.7632329999999</v>
      </c>
      <c r="I128" s="3">
        <f>0+(1249.2-341.6)+(0+(0-0))+0-0-0</f>
        <v>907.6</v>
      </c>
      <c r="J128" s="3">
        <f>0+(1264.4-345.3)+(0+(-2.579376--0.704412))+0-0-0</f>
        <v>917.22503600000016</v>
      </c>
      <c r="K128" s="3">
        <f>0+(1303.3-410.7)+(0+(-3.323415--1.047285))+0-0-0</f>
        <v>890.32386999999994</v>
      </c>
      <c r="L128" s="3">
        <f>0+(1300.2-408.6)+(0+(-3.31551--1.04193))+0-0-0</f>
        <v>889.32641999999998</v>
      </c>
      <c r="M128" s="3">
        <f>0+(1337-402)+(0+(0.68187-0.20502))+0-0-0</f>
        <v>935.47685000000001</v>
      </c>
      <c r="N128" s="3">
        <f>54.8+(1336.6-403.6)+(0.055896+(1.363332-0.411672))+0-0-0</f>
        <v>988.80755599999986</v>
      </c>
      <c r="O128" s="3">
        <f>117.8+(1309.3-391.3)+(0.180234+(2.003229-0.598689))+0-0-0</f>
        <v>1037.3847739999999</v>
      </c>
      <c r="P128" s="3">
        <f>285.6+(1232.5-449.4)+(0.291312+(1.25715-0.458388))+0-0-0</f>
        <v>1069.790074</v>
      </c>
      <c r="Q128" s="3">
        <f>355.6+(1158.4-425.4)+(0.544068+(1.772352-0.650862))+0-0-0</f>
        <v>1090.2655580000001</v>
      </c>
      <c r="R128" s="3">
        <f>439+(1038.5-375.3)+(-0.67167+(-1.588905--0.574209))+0-0-0</f>
        <v>1100.5136340000001</v>
      </c>
      <c r="S128" s="3">
        <f>437.5+(955.1-323.9)+(-0.44625+(-0.974202--0.330378))+0-0-0</f>
        <v>1067.6099260000001</v>
      </c>
      <c r="T128" s="3">
        <f>438.7+(885.2-251.9)+(-0.447474+(-0.902904--0.256938))+0-0-0</f>
        <v>1070.9065599999999</v>
      </c>
      <c r="U128" s="3">
        <f>438.1+(883.7-256.3)+(-0.670293+(-1.352061--0.392139))+0-0-0</f>
        <v>1063.8697850000001</v>
      </c>
      <c r="V128" s="3">
        <f>437.8+(924.1-308.9)+(-0.669834+(-1.413873--0.472617))+0-0-0</f>
        <v>1051.3889099999999</v>
      </c>
      <c r="W128" s="3">
        <f>433.9+(942.8-339.1)+(-1.106445+(-2.40414--0.864705))+0-0-0</f>
        <v>1034.9541199999999</v>
      </c>
      <c r="X128" s="3">
        <f>401.6+(957.8-341.8)+(-0.409632+(-0.976956--0.348636))+0-0-0</f>
        <v>1016.562048</v>
      </c>
      <c r="Y128" s="3">
        <f>302.1+(1053.3-355.4)+(-0.154071+(-0.537183--0.181254))+0-0-0</f>
        <v>999.49</v>
      </c>
      <c r="Z128" s="3">
        <f>361.3+(1106-435.7)+(0.368526+(1.12812-0.444414))+0-0-0</f>
        <v>1032.6522319999999</v>
      </c>
      <c r="AA128" s="3">
        <f>432.6+(1048.9-429.1)+(-0.882504+(-2.139756--0.875364))+0-0-0</f>
        <v>1050.2531040000001</v>
      </c>
      <c r="AB128" s="3">
        <f>440.7+(1055.9-446.4)+(-0.224757+(-0.538509--0.227664))+0-0-0</f>
        <v>1049.6643980000001</v>
      </c>
      <c r="AC128" s="3">
        <f>328+(1105-394.7)+(-0.50184+(-1.69065--0.603891))+0-0-0</f>
        <v>1036.711401</v>
      </c>
      <c r="AD128" s="2">
        <v>1069.8000000000002</v>
      </c>
      <c r="AE128" s="3">
        <f>433+(1075.2-438.4)+(0+(0-0))+0-0-0</f>
        <v>1069.8000000000002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156.1+(1214.4-364)+(0+(0-0))+0-0-0</f>
        <v>1006.5000000000001</v>
      </c>
      <c r="G129" s="3">
        <f>0+(1313.9-361.6)+(0+(0.670089-0.184416))+0-0-0</f>
        <v>952.78567300000009</v>
      </c>
      <c r="H129" s="3">
        <f>0+(1328.7-388.9)+(0+(-1.355274--0.396678))+0-0-0</f>
        <v>938.84140400000001</v>
      </c>
      <c r="I129" s="3">
        <f>0+(1310.2-367.7)+(0+(-0.668202--0.187527))+0-0-0</f>
        <v>942.01932499999998</v>
      </c>
      <c r="J129" s="3">
        <f>0+(1327.8-381.2)+(0+(-2.031534--0.583236))+0-0-0</f>
        <v>945.15170199999989</v>
      </c>
      <c r="K129" s="3">
        <f>0+(1304.5-400.6)+(0+(-1.995885--0.612918))+0-0-0</f>
        <v>902.51703299999997</v>
      </c>
      <c r="L129" s="3">
        <f>0+(1353-475.6)+(0+(0-0))+0-0-0</f>
        <v>877.4</v>
      </c>
      <c r="M129" s="3">
        <f>0+(1325.5-413.8)+(0+(4.05603-1.266228))+0-0-0</f>
        <v>914.48980200000005</v>
      </c>
      <c r="N129" s="3">
        <f>0+(1364.9-396.4)+(0+(3.480495-1.01082))+0-0-0</f>
        <v>970.96967500000017</v>
      </c>
      <c r="O129" s="3">
        <f>29.4+(1336.9-359.6)+(0.089964+(4.090914-1.100376))+0-0-0</f>
        <v>1009.7805020000001</v>
      </c>
      <c r="P129" s="3">
        <f>125.3+(1283.6-374.8)+(0+(0-0))+0-0-0</f>
        <v>1034.0999999999999</v>
      </c>
      <c r="Q129" s="3">
        <f>318.7+(1127.9-389)+(0.487611+(1.725687-0.59517))+0-0-0</f>
        <v>1059.2181280000002</v>
      </c>
      <c r="R129" s="3">
        <f>316.3+(1083.2-342.6)+(0+(0-0))+0-0-0</f>
        <v>1056.9000000000001</v>
      </c>
      <c r="S129" s="3">
        <f>308.3+(1053-343.4)+(-0.943398+(-3.22218--1.050804))+0-0-0</f>
        <v>1014.7852260000001</v>
      </c>
      <c r="T129" s="3">
        <f>307.4+(1033.8-322)+(-0.156774+(-0.527238--0.16422))+0-0-0</f>
        <v>1018.6802079999999</v>
      </c>
      <c r="U129" s="3">
        <f>306.9+(1046.4-336.9)+(-0.156519+(-0.533664--0.171819))+0-0-0</f>
        <v>1015.8816360000001</v>
      </c>
      <c r="V129" s="3">
        <f>307.1+(1086.4-400.5)+(-0.156621+(-0.554064--0.204255))+0-0-0</f>
        <v>992.49357000000009</v>
      </c>
      <c r="W129" s="3">
        <f>308.6+(1165.7-480.8)+(0.314772+(1.189014-0.490416))+0-0-0</f>
        <v>994.51337000000012</v>
      </c>
      <c r="X129" s="3">
        <f>262.1+(1221.8-507.2)+(0.133671+(0.623118-0.258672))+0-0-0</f>
        <v>977.19811699999991</v>
      </c>
      <c r="Y129" s="3">
        <f>252+(1248.6-536.7)+(0+(0-0))+0-0-0</f>
        <v>963.89999999999986</v>
      </c>
      <c r="Z129" s="3">
        <f>298.6+(1226.1-520.4)+(-0.456858+(-1.875933--0.796212))+0-0-0</f>
        <v>1002.763421</v>
      </c>
      <c r="AA129" s="3">
        <f>302+(1249.3-506.7)+(-0.15402+(-0.637143--0.258417))+0-0-0</f>
        <v>1044.0672539999998</v>
      </c>
      <c r="AB129" s="3">
        <f>188.5+(1319.9-468.3)+(-0.19227+(-1.346298--0.477666))+0-0-0</f>
        <v>1039.0390980000002</v>
      </c>
      <c r="AC129" s="3">
        <f>147+(1383.2-513.3)+(-0.29988+(-2.821728--1.047132))+0-0-0</f>
        <v>1014.8255240000001</v>
      </c>
      <c r="AD129" s="2">
        <v>1066.4000000000001</v>
      </c>
      <c r="AE129" s="3">
        <f>329+(1233.9-496.5)+(0+(0-0))+0-0-0</f>
        <v>1066.4000000000001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3.9+(1461.5-467.9)+(-0.001989+(-0.745365--0.238629))+0-0-0</f>
        <v>996.99127499999997</v>
      </c>
      <c r="G130" s="3">
        <f>0+(1413-446.2)+(0+(-0.72063--0.227562))+0-0-0</f>
        <v>966.30693199999996</v>
      </c>
      <c r="H130" s="3">
        <f>0+(1385.4-471.7)+(0+(0-0))+0-0-0</f>
        <v>913.7</v>
      </c>
      <c r="I130" s="3">
        <f>0+(1372.7-458.1)+(0+(-3.500385--1.168155))+0-0-0</f>
        <v>912.26777000000004</v>
      </c>
      <c r="J130" s="3">
        <f>0+(1366.1-460.9)+(0+(-1.393422--0.470118))+0-0-0</f>
        <v>904.2766959999999</v>
      </c>
      <c r="K130" s="3">
        <f>0+(1282-451.8)+(0+(-4.57674--1.612926))+0-0-0</f>
        <v>827.23618600000009</v>
      </c>
      <c r="L130" s="3">
        <f>0+(1238.6-441.3)+(0+(-4.421802--1.575441))+0-0-0</f>
        <v>794.45363899999995</v>
      </c>
      <c r="M130" s="3">
        <f>0+(1256.2-440.7)+(0+(0.640662-0.224757))+0-0-0</f>
        <v>815.91590499999995</v>
      </c>
      <c r="N130" s="3">
        <f>0+(1267.3-427.7)+(0+(-0.646323--0.218127))+0-0-0</f>
        <v>839.17180399999995</v>
      </c>
      <c r="O130" s="3">
        <f>0+(1362.8-453)+(0+(2.085084-0.69309))+0-0-0</f>
        <v>911.19199399999991</v>
      </c>
      <c r="P130" s="3">
        <f>0+(1389.3-460.7)+(0+(0-0))+0-0-0</f>
        <v>928.59999999999991</v>
      </c>
      <c r="Q130" s="3">
        <f>0+(1402.1-487.1)+(0+(2.145213-0.745263))+0-0-0</f>
        <v>916.39994999999988</v>
      </c>
      <c r="R130" s="3">
        <f>0+(1348.5-411.2)+(0+(1.37547-0.419424))+0-0-0</f>
        <v>938.25604599999997</v>
      </c>
      <c r="S130" s="3">
        <f>0+(1272.8-336.6)+(0+(2.596512-0.686664))+0-0-0</f>
        <v>938.10984799999994</v>
      </c>
      <c r="T130" s="3">
        <f>0+(1312.1-366.9)+(0+(2.676684-0.748476))+0-0-0</f>
        <v>947.12820799999997</v>
      </c>
      <c r="U130" s="3">
        <f>0+(1306.2-367.3)+(0+(1.332324-0.374646))+0-0-0</f>
        <v>939.85767800000008</v>
      </c>
      <c r="V130" s="3">
        <f>0+(1332.5-390.7)+(0+(-0.679575--0.199257))+0-0-0</f>
        <v>941.31968199999994</v>
      </c>
      <c r="W130" s="3">
        <f>0+(1365.7-434.5)+(0+(1.393014-0.44319))+0-0-0</f>
        <v>932.14982400000008</v>
      </c>
      <c r="X130" s="3">
        <f>0+(1376.1-453)+(0+(-0.701811--0.23103))+0-0-0</f>
        <v>922.62921899999992</v>
      </c>
      <c r="Y130" s="3">
        <f>60.6+(1256.2-398.3)+(-0.123624+(-2.562648--0.812532))+0-0-0</f>
        <v>916.62626000000012</v>
      </c>
      <c r="Z130" s="3">
        <f>159.3+(1184.3-375.5)+(0+(0-0))+0-0-0</f>
        <v>968.09999999999991</v>
      </c>
      <c r="AA130" s="3">
        <f>163.9+(1239.3-386.6)+(-0.417945+(-3.160215--0.98583))+0-0-0</f>
        <v>1014.00767</v>
      </c>
      <c r="AB130" s="3">
        <f>42.6+(1355.5-394.8)+(0+(0-0))+0-0-0</f>
        <v>1003.3000000000001</v>
      </c>
      <c r="AC130" s="3">
        <f>0+(1369-388.1)+(0+(2.09457-0.593793))+0-0-0</f>
        <v>982.40077699999995</v>
      </c>
      <c r="AD130" s="2">
        <v>1157.4000000000001</v>
      </c>
      <c r="AE130" s="3">
        <f>220+(1316.9-379.5)+(0+(0-0))+0-0-0</f>
        <v>1157.4000000000001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0+(1339.2-391.3)+(0+(-2.731968--0.798252))+0-0-0</f>
        <v>945.96628400000009</v>
      </c>
      <c r="G131" s="3">
        <f>0+(1365.2-457.8)+(0+(-3.48126--1.16739))+0-0-0</f>
        <v>905.08613000000014</v>
      </c>
      <c r="H131" s="3">
        <f>0+(1253.4-382.7)+(0+(-4.474638--1.366239))+0-0-0</f>
        <v>867.59160100000008</v>
      </c>
      <c r="I131" s="3">
        <f>0+(1137.2-273.5)+(0+(0-0))+0-0-0</f>
        <v>863.7</v>
      </c>
      <c r="J131" s="3">
        <f>0+(1156-270.6)+(0+(-2.9478--0.69003))+0-0-0</f>
        <v>883.14222999999993</v>
      </c>
      <c r="K131" s="3">
        <f>0+(1142.8-292.2)+(0+(-3.496968--0.894132))+0-0-0</f>
        <v>847.99716399999988</v>
      </c>
      <c r="L131" s="3">
        <f>0+(1160.5-291.6)+(0+(0-0))+0-0-0</f>
        <v>868.9</v>
      </c>
      <c r="M131" s="3">
        <f>22.1+(1170.7-266.8)+(0+(0-0))+0-0-0</f>
        <v>926.00000000000011</v>
      </c>
      <c r="N131" s="3">
        <f>40.1+(1196.3-240.3)+(-0.020451+(-0.610113--0.122553))+0-0-0</f>
        <v>995.59198900000001</v>
      </c>
      <c r="O131" s="3">
        <f>78+(1227.7-239.6)+(-0.11934+(-1.878381--0.366588))+0-0-0</f>
        <v>1064.4688669999998</v>
      </c>
      <c r="P131" s="3">
        <f>101.7+(1241.7-258.8)+(0+(0-0))+0-0-0</f>
        <v>1084.6000000000001</v>
      </c>
      <c r="Q131" s="3">
        <f>105.3+(1236.6-225.9)+(0.161109+(1.891998-0.345627))+0-0-0</f>
        <v>1117.70748</v>
      </c>
      <c r="R131" s="3">
        <f>202.2+(1196.2-275.2)+(0.206244+(1.220124-0.280704))+0-0-0</f>
        <v>1124.3456639999999</v>
      </c>
      <c r="S131" s="3">
        <f>245.3+(1108.2-256.8)+(0+(0-0))+0-0-0</f>
        <v>1096.7</v>
      </c>
      <c r="T131" s="3">
        <f>302.6+(1055.4-258.8)+(0.154326+(0.538254-0.131988))+0-0-0</f>
        <v>1099.7605920000003</v>
      </c>
      <c r="U131" s="3">
        <f>302.6+(1008.6-225.1)+(0+(0-0))+0-0-0</f>
        <v>1086.0999999999999</v>
      </c>
      <c r="V131" s="3">
        <f>302.6+(1085.3-310.6)+(0.154326+(0.553503-0.158406))+0-0-0</f>
        <v>1077.8494229999999</v>
      </c>
      <c r="W131" s="3">
        <f>302.6+(1066.6-314.1)+(0.154326+(0.543966-0.160191))+0-0-0</f>
        <v>1055.638101</v>
      </c>
      <c r="X131" s="3">
        <f>252.9+(1128.5-336.9)+(0.128979+(0.575535-0.171819))+0-0-0</f>
        <v>1045.0326950000001</v>
      </c>
      <c r="Y131" s="3">
        <f>133.6+(1163.5-289.4)+(0.136272+(1.18677-0.295188))+0-0-0</f>
        <v>1008.7278540000001</v>
      </c>
      <c r="Z131" s="3">
        <f>300.8+(1084.7-332.3)+(0+(0-0))+0-0-0</f>
        <v>1053.2</v>
      </c>
      <c r="AA131" s="3">
        <f>311.7+(1074-307.6)+(-0.635868+(-2.19096--0.627504))+0-0-0</f>
        <v>1075.900676</v>
      </c>
      <c r="AB131" s="3">
        <f>316.5+(1115.5-352.6)+(0+(0-0))+0-0-0</f>
        <v>1079.4000000000001</v>
      </c>
      <c r="AC131" s="3">
        <f>146+(1199.5-274.9)+(0.07446+(0.611745-0.140199))+0-0-0</f>
        <v>1071.1460059999999</v>
      </c>
      <c r="AD131" s="2">
        <v>1115.7</v>
      </c>
      <c r="AE131" s="3">
        <f>321+(1066-271.3)+(0+(0-0))+0-0-0</f>
        <v>1115.7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34.3+(1256.5-271.8)+(0.034986+(1.28163-0.277236))+0-0-0</f>
        <v>1020.0393800000001</v>
      </c>
      <c r="G132" s="3">
        <f>0+(1270.3-303.9)+(0+(-1.943559--0.464967))+0-0-0</f>
        <v>964.92140799999993</v>
      </c>
      <c r="H132" s="3">
        <f>0+(1315.8-377.7)+(0+(0-0))+0-0-0</f>
        <v>938.09999999999991</v>
      </c>
      <c r="I132" s="3">
        <f>0+(1331.9-402.7)+(0+(-1.358538--0.410754))+0-0-0</f>
        <v>928.25221600000009</v>
      </c>
      <c r="J132" s="3">
        <f>0+(1378.8-441.2)+(0+(-2.812752--0.900048))+0-0-0</f>
        <v>935.68729599999995</v>
      </c>
      <c r="K132" s="3">
        <f>0+(1323.7-406.9)+(0+(-3.375435--1.037595))+0-0-0</f>
        <v>914.46216000000004</v>
      </c>
      <c r="L132" s="3">
        <f>0+(1297.4-398.5)+(0+(-1.323348--0.40647))+0-0-0</f>
        <v>897.98312200000009</v>
      </c>
      <c r="M132" s="3">
        <f>0+(1300-365)+(0+(0.663-0.18615))+0-0-0</f>
        <v>935.47685000000001</v>
      </c>
      <c r="N132" s="3">
        <f>4.8+(1338.2-340.3)+(0.004896+(1.364964-0.347106))+0-0-0</f>
        <v>1003.722754</v>
      </c>
      <c r="O132" s="3">
        <f>64.3+(1329.2-343)+(0.098379+(2.033676-0.52479))+0-0-0</f>
        <v>1052.1072650000001</v>
      </c>
      <c r="P132" s="3">
        <f>104.1+(1304.5-331.9)+(0.106182+(1.33059-0.338538))+0-0-0</f>
        <v>1077.7982340000001</v>
      </c>
      <c r="Q132" s="3">
        <f>115.1+(1257.7-280.3)+(0.234804+(2.565708-0.571812))+0-0-0</f>
        <v>1094.7286999999999</v>
      </c>
      <c r="R132" s="3">
        <f>202.6+(1096.4-228.7)+(0.309978+(1.677492-0.349911))+0-0-0</f>
        <v>1071.937559</v>
      </c>
      <c r="S132" s="3">
        <f>202.5+(1011.6-167.3)+(0.309825+(1.547748-0.255969))+0-0-0</f>
        <v>1048.4016039999999</v>
      </c>
      <c r="T132" s="3">
        <f>265.9+(940.3-125.2)+(-0.271218+(-0.959106--0.127704))+0-0-0</f>
        <v>1079.8973800000001</v>
      </c>
      <c r="U132" s="3">
        <f>311.4+(946.3-169)+(0.317628+(0.965226-0.17238))+0-0-0</f>
        <v>1089.8104739999999</v>
      </c>
      <c r="V132" s="3">
        <f>311.2+(985.1-213)+(0+(0-0))+0-0-0</f>
        <v>1083.3</v>
      </c>
      <c r="W132" s="3">
        <f>311.6+(997.4-270.4)+(0+(0-0))+0-0-0</f>
        <v>1038.5999999999999</v>
      </c>
      <c r="X132" s="3">
        <f>300.2+(1103.8-371)+(0.153102+(0.562938-0.18921))+0-0-0</f>
        <v>1033.52683</v>
      </c>
      <c r="Y132" s="3">
        <f>193.2+(1197.2-367.4)+(0.295596+(1.831716-0.562122))+0-0-0</f>
        <v>1024.56519</v>
      </c>
      <c r="Z132" s="3">
        <f>318.3+(1108.1-355.4)+(0+(0-0))+0-0-0</f>
        <v>1071</v>
      </c>
      <c r="AA132" s="3">
        <f>319+(1099.2-322.7)+(-1.13883+(-3.924144--1.152039))+0-0-0</f>
        <v>1091.5890649999999</v>
      </c>
      <c r="AB132" s="3">
        <f>179+(1226.1-314.5)+(-0.27387+(-1.875933--0.481185))+0-0-0</f>
        <v>1088.931382</v>
      </c>
      <c r="AC132" s="3">
        <f>33.1+(1288.1-255.8)+(0.016881+(0.656931-0.130458))+0-0-0</f>
        <v>1065.9433539999998</v>
      </c>
      <c r="AD132" s="2">
        <v>1098.7</v>
      </c>
      <c r="AE132" s="3">
        <f>327+(1079.7-308)+(0+(0-0))+0-0-0</f>
        <v>1098.7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0+(1303.5-281.8)+(0+(-1.32957--0.287436))+0-0-0</f>
        <v>1020.657866</v>
      </c>
      <c r="G133" s="3">
        <f>0+(1322.5-341.9)+(0+(-2.6979--0.697476))+0-0-0</f>
        <v>978.59957600000007</v>
      </c>
      <c r="H133" s="3">
        <f>0+(1313.3-360.3)+(0+(-2.009349--0.551259))+0-0-0</f>
        <v>951.54191000000003</v>
      </c>
      <c r="I133" s="3">
        <f>0+(1303.4-359.8)+(0+(-0.664734--0.183498))+0-0-0</f>
        <v>943.11876400000017</v>
      </c>
      <c r="J133" s="3">
        <f>0+(1296.9-347.1)+(0+(-2.645676--0.708084))+0-0-0</f>
        <v>947.86240800000007</v>
      </c>
      <c r="K133" s="3">
        <f>0+(1258.9-340.5)+(0+(-1.926117--0.520965))+0-0-0</f>
        <v>916.99484800000005</v>
      </c>
      <c r="L133" s="3">
        <f>0+(1233.1-330.4)+(0+(0-0))+0-0-0</f>
        <v>902.69999999999993</v>
      </c>
      <c r="M133" s="3">
        <f>0+(1225-279.4)+(0+(1.87425-0.427482))+0-0-0</f>
        <v>947.04676800000004</v>
      </c>
      <c r="N133" s="3">
        <f>14.5+(1266.2-271)+(0.007395+(0.645762-0.13821))+0-0-0</f>
        <v>1010.2149470000001</v>
      </c>
      <c r="O133" s="3">
        <f>115.4+(1311.2-361.7)+(0.058854+(0.668712-0.184467))+0-0-0</f>
        <v>1065.4430990000001</v>
      </c>
      <c r="P133" s="3">
        <f>280.9+(1190.5-387.7)+(0.573036+(2.42862-0.790908))+0-0-0</f>
        <v>1085.9107479999998</v>
      </c>
      <c r="Q133" s="3">
        <f>310.8+(1116.5-336.2)+(0.475524+(1.708245-0.514386))+0-0-0</f>
        <v>1092.7693829999998</v>
      </c>
      <c r="R133" s="3">
        <f>306.1+(1049.5-245.6)+(-0.624444+(-2.14098--0.501024))+0-0-0</f>
        <v>1107.7356</v>
      </c>
      <c r="S133" s="3">
        <f>311.3+(1021.3-241.1)+(-0.476289+(-1.562589--0.368883))+0-0-0</f>
        <v>1089.830005</v>
      </c>
      <c r="T133" s="3">
        <f>388.2+(960-254.8)+(0.593946+(1.4688-0.389844))+0-0-0</f>
        <v>1095.0729020000001</v>
      </c>
      <c r="U133" s="3">
        <f>360+(979.3-255.5)+(0.3672+(0.998886-0.26061))+0-0-0</f>
        <v>1084.9054759999999</v>
      </c>
      <c r="V133" s="3">
        <f>308.1+(997.3-230.7)+(0.157131+(0.508623-0.117657))+0-0-0</f>
        <v>1075.2480969999999</v>
      </c>
      <c r="W133" s="3">
        <f>307.5+(1045.9-297.8)+(-0.156825+(-0.533409--0.151878))+0-0-0</f>
        <v>1055.0616440000001</v>
      </c>
      <c r="X133" s="3">
        <f>264.1+(1133.6-343.4)+(0.269382+(1.156272-0.350268))+0-0-0</f>
        <v>1055.3753859999999</v>
      </c>
      <c r="Y133" s="3">
        <f>144.5+(1230.6-322.9)+(0.29478+(2.510424-0.658716))+0-0-0</f>
        <v>1054.3464879999999</v>
      </c>
      <c r="Z133" s="3">
        <f>299.6+(1114-332.1)+(0.152796+(0.56814-0.169371))+0-0-0</f>
        <v>1082.051565</v>
      </c>
      <c r="AA133" s="3">
        <f>288.5+(1139.1-326.2)+(-0.58854+(-2.323764--0.665448))+0-0-0</f>
        <v>1099.1531439999999</v>
      </c>
      <c r="AB133" s="3">
        <f>51.2+(1308.2-265.6)+(0.052224+(1.334364-0.270912))+0-0-0</f>
        <v>1094.9156759999998</v>
      </c>
      <c r="AC133" s="3">
        <f>0+(1338.9-260.7)+(0+(0-0))+0-0-0</f>
        <v>1078.2</v>
      </c>
      <c r="AD133" s="2">
        <v>1106.2</v>
      </c>
      <c r="AE133" s="3">
        <f>228+(1179-300.8)+(0+(0-0))+0-0-0</f>
        <v>1106.2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0+(1333.5-293.7)+(0+(-2.040255--0.449361))+0-0-0</f>
        <v>1038.209106</v>
      </c>
      <c r="G134" s="3">
        <f>0+(1307.3-323.8)+(0+(-1.333446--0.330276))+0-0-0</f>
        <v>982.49683000000005</v>
      </c>
      <c r="H134" s="3">
        <f>0+(1316.6-353.6)+(0+(-0.671466--0.180336))+0-0-0</f>
        <v>962.50886999999989</v>
      </c>
      <c r="I134" s="3">
        <f>0+(1277.9-323.2)+(0+(-1.303458--0.329664))+0-0-0</f>
        <v>953.72620600000005</v>
      </c>
      <c r="J134" s="3">
        <f>0+(1316.5-354.2)+(0+(1.34283-0.361284))+0-0-0</f>
        <v>963.28154599999993</v>
      </c>
      <c r="K134" s="3">
        <f>0+(1306.8-380.9)+(0+(0.666468-0.194259))+0-0-0</f>
        <v>926.372209</v>
      </c>
      <c r="L134" s="3">
        <f>0+(1274.2-351.9)+(0+(-1.949526--0.538407))+0-0-0</f>
        <v>920.88888100000008</v>
      </c>
      <c r="M134" s="3">
        <f>0+(1257.9-301.6)+(0+(0.641529-0.153816))+0-0-0</f>
        <v>956.78771300000005</v>
      </c>
      <c r="N134" s="3">
        <f>0+(1384-362.7)+(0+(1.41168-0.369954))+0-0-0</f>
        <v>1022.341726</v>
      </c>
      <c r="O134" s="3">
        <f>0+(1454.6-375.1)+(0+(1.483692-0.382602))+0-0-0</f>
        <v>1080.6010900000001</v>
      </c>
      <c r="P134" s="3">
        <f>164.7+(1345-408.1)+(0.083997+(0.68595-0.208131))+0-0-0</f>
        <v>1102.1618159999998</v>
      </c>
      <c r="Q134" s="3">
        <f>314+(1194.9-386.7)+(0.32028+(1.218798-0.394434))+0-0-0</f>
        <v>1123.344644</v>
      </c>
      <c r="R134" s="3">
        <f>313.3+(1170.1-360)+(0.159783+(0.596751-0.1836))+0-0-0</f>
        <v>1123.9729339999999</v>
      </c>
      <c r="S134" s="3">
        <f>311.9+(1160.1-374.5)+(0.159069+(0.591651-0.190995))+0-0-0</f>
        <v>1098.0597250000001</v>
      </c>
      <c r="T134" s="3">
        <f>306.8+(1122.4-334.5)+(0.156468+(0.572424-0.170595))+0-0-0</f>
        <v>1095.2582970000001</v>
      </c>
      <c r="U134" s="3">
        <f>302.6+(1114.5-318.5)+(-0.462978+(-1.705185--0.487305))+0-0-0</f>
        <v>1096.919142</v>
      </c>
      <c r="V134" s="3">
        <f>302.8+(1114-334.9)+(0.154428+(0.56814-0.170799))+0-0-0</f>
        <v>1082.451769</v>
      </c>
      <c r="W134" s="3">
        <f>304.4+(1084.8-343.9)+(-0.310488+(-1.106496--0.350778))+0-0-0</f>
        <v>1044.233794</v>
      </c>
      <c r="X134" s="3">
        <f>274.7+(1081.3-370.1)+(-0.420291+(-1.654389--0.566253))+0-0-0</f>
        <v>984.39157299999988</v>
      </c>
      <c r="Y134" s="3">
        <f>138.3+(1172.5-314.1)+(0.141066+(1.19595-0.320382))+0-0-0</f>
        <v>997.716634</v>
      </c>
      <c r="Z134" s="3">
        <f>329.2+(1079.3-348.4)+(0.335784+(1.100886-0.355368))+0-0-0</f>
        <v>1061.181302</v>
      </c>
      <c r="AA134" s="3">
        <f>342.9+(1073-338.2)+(-0.349758+(-1.09446--0.344964))+0-0-0</f>
        <v>1076.6007459999998</v>
      </c>
      <c r="AB134" s="3">
        <f>292.5+(1102.4-322.4)+(0.149175+(0.562224-0.164424))+0-0-0</f>
        <v>1073.046975</v>
      </c>
      <c r="AC134" s="3">
        <f>143.4+(1214.8-290.4)+(0.36567+(3.09774-0.74052))+0-0-0</f>
        <v>1070.52289</v>
      </c>
      <c r="AD134" s="2">
        <v>1084.4000000000001</v>
      </c>
      <c r="AE134" s="3">
        <f>344+(1063.3-322.9)+(0+(0-0))+0-0-0</f>
        <v>1084.4000000000001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0+(1302.9-281.1)+(0+(1.993437-0.430083))+0-0-0</f>
        <v>1023.3633540000001</v>
      </c>
      <c r="G135" s="3">
        <f>0+(1336.7-362.3)+(0+(-0.681717--0.184773))+0-0-0</f>
        <v>973.90305600000011</v>
      </c>
      <c r="H135" s="3">
        <f>0+(1322.3-382.5)+(0+(1.348746-0.39015))+0-0-0</f>
        <v>940.7585959999999</v>
      </c>
      <c r="I135" s="3">
        <f>0+(1320.3-375.9)+(0+(1.346706-0.383418))+0-0-0</f>
        <v>945.36328800000001</v>
      </c>
      <c r="J135" s="3">
        <f>0+(1334.6-378.9)+(0+(2.722584-0.772956))+0-0-0</f>
        <v>957.64962799999989</v>
      </c>
      <c r="K135" s="3">
        <f>0+(1309.1-381.8)+(0+(-4.005846--1.168308))+0-0-0</f>
        <v>924.46246199999996</v>
      </c>
      <c r="L135" s="3">
        <f>0+(1328.6-411.6)+(0+(-3.38793--1.04958))+0-0-0</f>
        <v>914.6616499999999</v>
      </c>
      <c r="M135" s="3">
        <f>0+(1308.8-356)+(0+(0-0))+0-0-0</f>
        <v>952.8</v>
      </c>
      <c r="N135" s="3">
        <f>0+(1352-335.5)+(0+(-0.68952--0.171105))+0-0-0</f>
        <v>1015.981585</v>
      </c>
      <c r="O135" s="3">
        <f>191.8+(1317.3-444.8)+(0+(0-0))+0-0-0</f>
        <v>1064.3</v>
      </c>
      <c r="P135" s="3">
        <f>321.8+(1237.7-453.4)+(0.492354+(1.893681-0.693702))+0-0-0</f>
        <v>1107.7923330000001</v>
      </c>
      <c r="Q135" s="3">
        <f>313.5+(1196.4-394.2)+(0.479655+(1.830492-0.603126))+0-0-0</f>
        <v>1117.407021</v>
      </c>
      <c r="R135" s="3">
        <f>325.2+(1181-382.1)+(-0.331704+(-1.20462--0.389742))+0-0-0</f>
        <v>1122.9534179999998</v>
      </c>
      <c r="S135" s="3">
        <f>318.9+(1167.5-400.4)+(-0.162639+(-0.595425--0.204204))+0-0-0</f>
        <v>1085.44614</v>
      </c>
      <c r="T135" s="3">
        <f>313.1+(1147.7-369.5)+(-0.638724+(-2.341308--0.75378))+0-0-0</f>
        <v>1089.0737480000003</v>
      </c>
      <c r="U135" s="3">
        <f>310+(1159.9-372.8)+(-0.4743+(-1.774647--0.570384))+0-0-0</f>
        <v>1095.4214370000002</v>
      </c>
      <c r="V135" s="3">
        <f>307.5+(1172.9-398.2)+(0+(0-0))+0-0-0</f>
        <v>1082.2</v>
      </c>
      <c r="W135" s="3">
        <f>307.7+(1179.4-427.7)+(0.470781+(1.804482-0.654381))+0-0-0</f>
        <v>1061.020882</v>
      </c>
      <c r="X135" s="3">
        <f>309.6+(1239.7-497.2)+(0.473688+(1.896741-0.760716))+0-0-0</f>
        <v>1053.709713</v>
      </c>
      <c r="Y135" s="3">
        <f>316.1+(1220-503.1)+(0.644844+(2.4888-1.026324))+0-0-0</f>
        <v>1035.1073200000001</v>
      </c>
      <c r="Z135" s="3">
        <f>327+(1179.9-423.4)+(0.33354+(1.203498-0.431868))+0-0-0</f>
        <v>1084.60517</v>
      </c>
      <c r="AA135" s="3">
        <f>332.3+(1178.5-411.2)+(-0.677892+(-2.40414--0.838848))+0-0-0</f>
        <v>1097.356816</v>
      </c>
      <c r="AB135" s="3">
        <f>334.9+(1203.4-452.3)+(-0.170799+(-0.613734--0.230673))+0-0-0</f>
        <v>1085.44614</v>
      </c>
      <c r="AC135" s="3">
        <f>338.6+(1207.1-484.7)+(-0.172686+(-0.615621--0.247197))+0-0-0</f>
        <v>1060.4588900000001</v>
      </c>
      <c r="AD135" s="2">
        <v>1104.8999999999999</v>
      </c>
      <c r="AE135" s="3">
        <f>332+(1179.6-406.7)+(0+(0-0))+0-0-0</f>
        <v>1104.8999999999999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340.2+(1198.8-514.5)+(0.173502+(0.611388-0.262395))+0-0-0</f>
        <v>1025.0224949999999</v>
      </c>
      <c r="G136" s="3">
        <f>112.1+(1351.6-480.7)+(0.171513+(2.067948-0.735471))+0-0-0</f>
        <v>984.50398999999993</v>
      </c>
      <c r="H136" s="3">
        <f>0+(1385.1-434)+(0+(0.706401-0.22134))+0-0-0</f>
        <v>951.58506099999988</v>
      </c>
      <c r="I136" s="3">
        <f>0+(1354.5-405.6)+(0+(1.38159-0.413712))+0-0-0</f>
        <v>949.86787800000002</v>
      </c>
      <c r="J136" s="3">
        <f>0+(1367.8-413.3)+(0+(-1.395156--0.421566))+0-0-0</f>
        <v>953.52641000000006</v>
      </c>
      <c r="K136" s="3">
        <f>0+(1362-444.1)+(0+(-2.77848--0.905964))+0-0-0</f>
        <v>916.02748399999996</v>
      </c>
      <c r="L136" s="3">
        <f>0+(1357.8-465)+(0+(-4.154868--1.4229))+0-0-0</f>
        <v>890.0680319999999</v>
      </c>
      <c r="M136" s="3">
        <f>0+(1375.2-457.8)+(0+(2.805408-0.933912))+0-0-0</f>
        <v>919.27149600000007</v>
      </c>
      <c r="N136" s="3">
        <f>0+(1400.1-418.1)+(0+(4.284306-1.279386))+0-0-0</f>
        <v>985.00491999999986</v>
      </c>
      <c r="O136" s="3">
        <f>8.5+(1382-374.7)+(0.013005+(2.11446-0.573291))+0-0-0</f>
        <v>1017.3541739999999</v>
      </c>
      <c r="P136" s="3">
        <f>155.1+(1277.4-395.3)+(0.158202+(1.302948-0.403206))+0-0-0</f>
        <v>1038.257944</v>
      </c>
      <c r="Q136" s="3">
        <f>288.8+(1116-343)+(0.147288+(0.56916-0.17493))+0-0-0</f>
        <v>1062.341518</v>
      </c>
      <c r="R136" s="3">
        <f>329.1+(1028-291.4)+(0.167841+(0.52428-0.148614))+0-0-0</f>
        <v>1066.2435070000001</v>
      </c>
      <c r="S136" s="3">
        <f>323.1+(998.5-280.8)+(-0.988686+(-3.05541--0.859248))+0-0-0</f>
        <v>1037.6151520000001</v>
      </c>
      <c r="T136" s="3">
        <f>321.1+(1009.9-294.8)+(-0.818805+(-2.575245--0.75174))+0-0-0</f>
        <v>1033.5576899999999</v>
      </c>
      <c r="U136" s="3">
        <f>310.6+(1034.7-318.6)+(-0.158406+(-0.527697--0.162486))+0-0-0</f>
        <v>1026.176383</v>
      </c>
      <c r="V136" s="3">
        <f>302.6+(1059.4-343.6)+(-0.462978+(-1.620882--0.525708))+0-0-0</f>
        <v>1016.8418480000001</v>
      </c>
      <c r="W136" s="3">
        <f>302.6+(1083.9-380.6)+(-0.77163+(-2.763945--0.97053))+0-0-0</f>
        <v>1003.334955</v>
      </c>
      <c r="X136" s="3">
        <f>302.6+(1159.8-472.5)+(-0.462978+(-1.774494--0.722925))+0-0-0</f>
        <v>988.38545299999998</v>
      </c>
      <c r="Y136" s="3">
        <f>303.5+(1184.6-513)+(0+(0-0))+0-0-0</f>
        <v>975.09999999999991</v>
      </c>
      <c r="Z136" s="3">
        <f>302.7+(1139.8-426.2)+(0.308754+(1.162596-0.434724))+0-0-0</f>
        <v>1017.3366259999999</v>
      </c>
      <c r="AA136" s="3">
        <f>302.6+(1147.6-421.4)+(-0.308652+(-1.170552--0.429828))+0-0-0</f>
        <v>1027.750624</v>
      </c>
      <c r="AB136" s="3">
        <f>302.6+(1191.7-477.3)+(-0.462978+(-1.823301--0.730269))+0-0-0</f>
        <v>1015.4439900000001</v>
      </c>
      <c r="AC136" s="3">
        <f>314.7+(1230.6-543.8)+(-0.481491+(-1.882818--0.832014))+0-0-0</f>
        <v>999.96770500000002</v>
      </c>
      <c r="AD136" s="2">
        <v>1039.5999999999999</v>
      </c>
      <c r="AE136" s="3">
        <f>303+(1165.8-429.2)+(0+(0-0))+0-0-0</f>
        <v>1039.5999999999999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208.1+(1279.2-495.9)+(-0.318393+(-1.957176--0.758727))+0-0-0</f>
        <v>989.88315800000009</v>
      </c>
      <c r="G137" s="3">
        <f>0+(1339.3-397.7)+(0+(0.683043-0.202827))+0-0-0</f>
        <v>942.08021599999995</v>
      </c>
      <c r="H137" s="3">
        <f>0+(1286.8-375)+(0+(0-0))+0-0-0</f>
        <v>911.8</v>
      </c>
      <c r="I137" s="3">
        <f>0+(1312.3-413.8)+(0+(-1.338546--0.422076))+0-0-0</f>
        <v>897.58353</v>
      </c>
      <c r="J137" s="3">
        <f>0+(1337.3-423.9)+(0+(-2.046069--0.648567))+0-0-0</f>
        <v>912.00249799999995</v>
      </c>
      <c r="K137" s="3">
        <f>0+(1277.9-405.2)+(0+(-2.606916--0.826608))+0-0-0</f>
        <v>870.91969200000005</v>
      </c>
      <c r="L137" s="3">
        <f>0+(1178.8-354.3)+(0+(-3.00594--0.903465))+0-0-0</f>
        <v>822.39752499999997</v>
      </c>
      <c r="M137" s="3">
        <f>0+(1156.1-348.7)+(0+(-1.179222--0.355674))+0-0-0</f>
        <v>806.5764519999999</v>
      </c>
      <c r="N137" s="3">
        <f>0+(1220.3-390.6)+(0+(-1.867059--0.597618))+0-0-0</f>
        <v>828.4305589999999</v>
      </c>
      <c r="O137" s="3">
        <f>0+(1245.8-375.8)+(0+(0-0))+0-0-0</f>
        <v>870</v>
      </c>
      <c r="P137" s="3">
        <f>0+(1313.6-411)+(0+(2.009808-0.62883))+0-0-0</f>
        <v>903.98097799999994</v>
      </c>
      <c r="Q137" s="3">
        <f>0+(1342-411.3)+(0+(-1.36884--0.419526))+0-0-0</f>
        <v>929.75068600000009</v>
      </c>
      <c r="R137" s="3">
        <f>0+(1323-377.6)+(0+(0.67473-0.192576))+0-0-0</f>
        <v>945.88215400000001</v>
      </c>
      <c r="S137" s="3">
        <f>0+(1256-307.1)+(0+(-0.64056--0.156621))+0-0-0</f>
        <v>948.41606100000001</v>
      </c>
      <c r="T137" s="3">
        <f>0+(1213-265.4)+(0+(0.61863-0.135354))+0-0-0</f>
        <v>948.08327600000007</v>
      </c>
      <c r="U137" s="3">
        <f>0+(1185.2-238.9)+(0+(0.604452-0.121839))+0-0-0</f>
        <v>946.78261300000008</v>
      </c>
      <c r="V137" s="3">
        <f>0+(1183.2-252.2)+(0+(0.603432-0.128622))+0-0-0</f>
        <v>931.47481000000005</v>
      </c>
      <c r="W137" s="3">
        <f>0+(1202.8-269.4)+(0+(-0.613428--0.137394))+0-0-0</f>
        <v>932.92396599999995</v>
      </c>
      <c r="X137" s="3">
        <f>0+(1258.8-336.8)+(0+(0-0))+0-0-0</f>
        <v>922</v>
      </c>
      <c r="Y137" s="3">
        <f>0+(1284.8-366.4)+(0+(-0.655248--0.186864))+0-0-0</f>
        <v>917.93161599999996</v>
      </c>
      <c r="Z137" s="3">
        <f>0+(1295.8-323.1)+(0+(0.660858-0.164781))+0-0-0</f>
        <v>973.19607699999995</v>
      </c>
      <c r="AA137" s="3">
        <f>0+(1302.3-301.9)+(0+(-1.328346--0.307938))+0-0-0</f>
        <v>999.379592</v>
      </c>
      <c r="AB137" s="3">
        <f>0+(1289-302.3)+(0+(0.65739-0.154173))+0-0-0</f>
        <v>987.203217</v>
      </c>
      <c r="AC137" s="3">
        <f>0+(1288.7-309.2)+(0+(-0.657237--0.157692))+0-0-0</f>
        <v>979.00045499999999</v>
      </c>
      <c r="AD137" s="2">
        <v>1003.1999999999999</v>
      </c>
      <c r="AE137" s="3">
        <f>0+(1310.6-307.4)+(0+(0-0))+0-0-0</f>
        <v>1003.1999999999999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0+(1249.3-310.5)+(0+(-0.637143--0.158355))+0-0-0</f>
        <v>938.32121199999995</v>
      </c>
      <c r="G138" s="3">
        <f>0+(1245.8-351.1)+(0+(-1.906074--0.537183))+0-0-0</f>
        <v>893.33110899999997</v>
      </c>
      <c r="H138" s="3">
        <f>0+(1242.7-374.2)+(0+(0-0))+0-0-0</f>
        <v>868.5</v>
      </c>
      <c r="I138" s="3">
        <f>0+(1211-351.2)+(0+(0.61761-0.179112))+0-0-0</f>
        <v>860.23849799999994</v>
      </c>
      <c r="J138" s="3">
        <f>0+(1233.4-350.9)+(0+(-2.516136--0.715836))+0-0-0</f>
        <v>880.69970000000012</v>
      </c>
      <c r="K138" s="3">
        <f>0+(1251.1-400.6)+(0+(-3.190305--1.02153))+0-0-0</f>
        <v>848.3312249999999</v>
      </c>
      <c r="L138" s="3">
        <f>0+(1254.4-378)+(0+(-1.279488--0.38556))+0-0-0</f>
        <v>875.50607200000013</v>
      </c>
      <c r="M138" s="3">
        <f>0+(1233.1-307.4)+(0+(0-0))+0-0-0</f>
        <v>925.69999999999993</v>
      </c>
      <c r="N138" s="3">
        <f>67.4+(1262.3-329.3)+(0.034374+(0.643773-0.167943))+0-0-0</f>
        <v>1000.910204</v>
      </c>
      <c r="O138" s="3">
        <f>314+(1089.6-357.4)+(0+(0-0))+0-0-0</f>
        <v>1046.1999999999998</v>
      </c>
      <c r="P138" s="3">
        <f>323.9+(1070.8-296.8)+(0.495567+(1.638324-0.454104))+0-0-0</f>
        <v>1099.5797870000001</v>
      </c>
      <c r="Q138" s="3">
        <f>317.3+(994.8-192.7)+(-0.161823+(-0.507348--0.098277))+0-0-0</f>
        <v>1118.8291059999999</v>
      </c>
      <c r="R138" s="3">
        <f>316.7+(949-138.6)+(0+(0-0))+0-0-0</f>
        <v>1127.0999999999999</v>
      </c>
      <c r="S138" s="3">
        <f>304.1+(897-113.4)+(-0.155091+(-0.45747--0.057834))+0-0-0</f>
        <v>1087.1452730000001</v>
      </c>
      <c r="T138" s="3">
        <f>303.1+(876-87.2)+(0.154581+(0.44676-0.044472))+0-0-0</f>
        <v>1092.4568690000001</v>
      </c>
      <c r="U138" s="3">
        <f>303.4+(860.5-73.6)+(0.154734+(0.438855-0.037536))+0-0-0</f>
        <v>1090.856053</v>
      </c>
      <c r="V138" s="3">
        <f>302.6+(882.1-111.7)+(-0.617304+(-1.799484--0.227868))+0-0-0</f>
        <v>1070.8110799999999</v>
      </c>
      <c r="W138" s="3">
        <f>302.6+(938.3-175.7)+(-0.617304+(-1.914132--0.358428))+0-0-0</f>
        <v>1063.0269919999998</v>
      </c>
      <c r="X138" s="3">
        <f>302.6+(1004.4-259.2)+(-0.77163+(-2.56122--0.66096))+0-0-0</f>
        <v>1045.1281100000001</v>
      </c>
      <c r="Y138" s="3">
        <f>303.8+(1034.3-310.6)+(0+(0-0))+0-0-0</f>
        <v>1027.5</v>
      </c>
      <c r="Z138" s="3">
        <f>306.6+(992.9-233)+(0.469098+(1.519137-0.35649))+0-0-0</f>
        <v>1068.1317449999999</v>
      </c>
      <c r="AA138" s="3">
        <f>310.4+(951.2-172.1)+(-0.949824+(-2.910672--0.526626))+0-0-0</f>
        <v>1086.1661300000001</v>
      </c>
      <c r="AB138" s="3">
        <f>324.5+(983.2-226.9)+(-0.33099+(-1.002864--0.231438))+0-0-0</f>
        <v>1079.6975840000002</v>
      </c>
      <c r="AC138" s="3">
        <f>283.4+(1039.8-250.1)+(0.144534+(0.530298-0.127551))+0-0-0</f>
        <v>1073.647281</v>
      </c>
      <c r="AD138" s="2">
        <v>1107.1999999999998</v>
      </c>
      <c r="AE138" s="3">
        <f>330+(941.1-163.9)+(0+(0-0))+0-0-0</f>
        <v>1107.2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63.6+(1183.1-212.9)+(0+(0-0))+0-0-0</f>
        <v>1033.8</v>
      </c>
      <c r="G139" s="3">
        <f>0+(1256.3-273.8)+(0+(-0.640713--0.139638))+0-0-0</f>
        <v>981.99892499999999</v>
      </c>
      <c r="H139" s="3">
        <f>0+(1326.9-371.7)+(0+(-1.353438--0.379134))+0-0-0</f>
        <v>954.22569600000008</v>
      </c>
      <c r="I139" s="3">
        <f>0+(1330.4-386.1)+(0+(-0.678504--0.196911))+0-0-0</f>
        <v>943.81840700000009</v>
      </c>
      <c r="J139" s="3">
        <f>0+(1329.3-376.3)+(0+(-2.711772--0.767652))+0-0-0</f>
        <v>951.05588</v>
      </c>
      <c r="K139" s="3">
        <f>0+(1349.7-420.2)+(0+(-1.376694--0.428604))+0-0-0</f>
        <v>928.55191000000002</v>
      </c>
      <c r="L139" s="3">
        <f>0+(1270.2-352.2)+(0+(-1.295604--0.359244))+0-0-0</f>
        <v>917.06363999999996</v>
      </c>
      <c r="M139" s="3">
        <f>0+(1282.8-328.9)+(0+(0.654228-0.167739))+0-0-0</f>
        <v>954.38648899999998</v>
      </c>
      <c r="N139" s="3">
        <f>0+(1335.2-312)+(0+(0.680952-0.15912))+0-0-0</f>
        <v>1023.7218320000001</v>
      </c>
      <c r="O139" s="3">
        <f>162.1+(1272.9-374.8)+(-0.082671+(-0.649179--0.191148))+0-0-0</f>
        <v>1059.659298</v>
      </c>
      <c r="P139" s="3">
        <f>326.8+(1114.7-330.6)+(-0.333336+(-1.136994--0.337212))+0-0-0</f>
        <v>1109.7668820000001</v>
      </c>
      <c r="Q139" s="3">
        <f>329.1+(1073-262)+(0.503523+(1.64169-0.40086))+0-0-0</f>
        <v>1141.844353</v>
      </c>
      <c r="R139" s="3">
        <f>320.8+(1017.1-203.7)+(-0.327216+(-1.037442--0.207774))+0-0-0</f>
        <v>1133.0431160000001</v>
      </c>
      <c r="S139" s="3">
        <f>318.8+(953.3-161.9)+(-0.487764+(-1.458549--0.247707))+0-0-0</f>
        <v>1108.5013940000001</v>
      </c>
      <c r="T139" s="3">
        <f>322.4+(866.6-72)+(-0.493272+(-1.325898--0.11016))+0-0-0</f>
        <v>1115.29099</v>
      </c>
      <c r="U139" s="3">
        <f>323.3+(859.2-78.8)+(-0.329766+(-0.876384--0.080376))+0-0-0</f>
        <v>1102.574226</v>
      </c>
      <c r="V139" s="3">
        <f>323.5+(979.5-206)+(-0.164985+(-0.499545--0.10506))+0-0-0</f>
        <v>1096.4405300000001</v>
      </c>
      <c r="W139" s="3">
        <f>327.1+(1037.3-277.8)+(-0.667284+(-2.116092--0.566712))+0-0-0</f>
        <v>1084.3833359999999</v>
      </c>
      <c r="X139" s="3">
        <f>330.2+(1044.1-311.2)+(-1.010412+(-3.194946--0.952272))+0-0-0</f>
        <v>1059.846914</v>
      </c>
      <c r="Y139" s="3">
        <f>158.7+(1055.8-186.7)+(0.323748+(2.153832-0.380868))+0-0-0</f>
        <v>1029.896712</v>
      </c>
      <c r="Z139" s="3">
        <f>276.8+(1016.5-234.6)+(0.564672+(2.07366-0.478584))+0-0-0</f>
        <v>1060.8597480000001</v>
      </c>
      <c r="AA139" s="3">
        <f>316.6+(1011.6-247.5)+(-0.645864+(-2.063664--0.5049))+0-0-0</f>
        <v>1078.4953720000001</v>
      </c>
      <c r="AB139" s="3">
        <f>324+(1026.5-272.6)+(0+(0-0))+0-0-0</f>
        <v>1077.9000000000001</v>
      </c>
      <c r="AC139" s="3">
        <f>323.9+(1035.7-295.8)+(-0.330378+(-1.056414--0.301716))+0-0-0</f>
        <v>1062.7149240000001</v>
      </c>
      <c r="AD139" s="2">
        <v>1081.5</v>
      </c>
      <c r="AE139" s="3">
        <f>324+(1000.7-243.2)+(0+(0-0))+0-0-0</f>
        <v>1081.5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177.1+(1183.9-331.3)+(0+(0-0))+0-0-0</f>
        <v>1029.7</v>
      </c>
      <c r="G140" s="3">
        <f>0+(1359.8-381.8)+(0+(0-0))+0-0-0</f>
        <v>978</v>
      </c>
      <c r="H140" s="3">
        <f>0+(1380.2-419.8)+(0+(1.407804-0.428196))+0-0-0</f>
        <v>961.37960800000008</v>
      </c>
      <c r="I140" s="3">
        <f>0+(1329.8-382.2)+(0+(-1.356396--0.389844))+0-0-0</f>
        <v>946.63344799999993</v>
      </c>
      <c r="J140" s="3">
        <f>0+(1324.8-366.6)+(0+(-3.37824--0.93483))+0-0-0</f>
        <v>955.75658999999996</v>
      </c>
      <c r="K140" s="3">
        <f>0+(1325.5-397.9)+(0+(-3.380025--1.014645))+0-0-0</f>
        <v>925.23462000000006</v>
      </c>
      <c r="L140" s="3">
        <f>0+(1209.7-300.4)+(0+(-0.616947--0.153204))+0-0-0</f>
        <v>908.83625700000005</v>
      </c>
      <c r="M140" s="3">
        <f>0+(1217.5-263.8)+(0+(1.862775-0.403614))+0-0-0</f>
        <v>955.15916100000004</v>
      </c>
      <c r="N140" s="3">
        <f>0+(1305.7-290.5)+(0+(2.663628-0.59262))+0-0-0</f>
        <v>1017.2710080000001</v>
      </c>
      <c r="O140" s="3">
        <f>123.4+(1243.8-302.1)+(0+(0-0))+0-0-0</f>
        <v>1065.0999999999999</v>
      </c>
      <c r="P140" s="3">
        <f>270.6+(1164.3-322.9)+(0.414018+(1.781379-0.494037))+0-0-0</f>
        <v>1113.70136</v>
      </c>
      <c r="Q140" s="3">
        <f>328.7+(1058.7-254)+(0+(0-0))+0-0-0</f>
        <v>1133.4000000000001</v>
      </c>
      <c r="R140" s="3">
        <f>325+(983.8-165.2)+(-0.16575+(-0.501738--0.084252))+0-0-0</f>
        <v>1143.016764</v>
      </c>
      <c r="S140" s="3">
        <f>323.6+(921.7-127.2)+(-0.495108+(-1.410201--0.194616))+0-0-0</f>
        <v>1116.3893069999999</v>
      </c>
      <c r="T140" s="3">
        <f>324.1+(862.3-75.6)+(0+(0-0))+0-0-0</f>
        <v>1110.8</v>
      </c>
      <c r="U140" s="3">
        <f>320.1+(855.3-76.9)+(-0.326502+(-0.872406--0.078438))+0-0-0</f>
        <v>1097.3795299999999</v>
      </c>
      <c r="V140" s="3">
        <f>316.2+(905.1-121)+(-0.80631+(-2.308005--0.30855))+0-0-0</f>
        <v>1097.4942349999999</v>
      </c>
      <c r="W140" s="3">
        <f>317.5+(972.9-210.5)+(0+(0-0))+0-0-0</f>
        <v>1079.9000000000001</v>
      </c>
      <c r="X140" s="3">
        <f>319.8+(1064-320.4)+(-0.652392+(-2.17056--0.653616))+0-0-0</f>
        <v>1061.2306640000002</v>
      </c>
      <c r="Y140" s="3">
        <f>279.7+(1090.2-329.5)+(0+(0-0))+0-0-0</f>
        <v>1040.4000000000001</v>
      </c>
      <c r="Z140" s="3">
        <f>442.7+(949.7-307.7)+(-0.225777+(-0.484347--0.156927))+0-0-0</f>
        <v>1084.1468030000001</v>
      </c>
      <c r="AA140" s="3">
        <f>428.2+(955.8-294.4)+(-1.310292+(-2.924748--0.900864))+0-0-0</f>
        <v>1086.2658239999998</v>
      </c>
      <c r="AB140" s="3">
        <f>434.7+(969.3-314.4)+(0.443394+(0.988686-0.320688))+0-0-0</f>
        <v>1090.7113919999999</v>
      </c>
      <c r="AC140" s="3">
        <f>436.8+(1004.9-361.9)+(0+(0-0))+0-0-0</f>
        <v>1079.8</v>
      </c>
      <c r="AD140" s="2">
        <v>1095.2</v>
      </c>
      <c r="AE140" s="3">
        <f>444+(948.2-297)+(0+(0-0))+0-0-0</f>
        <v>1095.2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236+(1147.5-353.4)+(0.36108+(1.755675-0.540702))+0.1-0-0</f>
        <v>1031.7760529999998</v>
      </c>
      <c r="G141" s="3">
        <f>0+(1353.9-385)+(0+(-2.071467--0.58905))+1.7-0-0</f>
        <v>969.11758300000008</v>
      </c>
      <c r="H141" s="3">
        <f>0+(1335.3-408.6)+(0+(0-0))+0-0-0</f>
        <v>926.69999999999993</v>
      </c>
      <c r="I141" s="3">
        <f>0+(1343.7-421.1)+(0+(-0.685287--0.214761))+0-0-0</f>
        <v>922.12947400000007</v>
      </c>
      <c r="J141" s="3">
        <f>0+(1378.8-431.3)+(0+(2.109564-0.659889))+0-0-0</f>
        <v>948.94967499999996</v>
      </c>
      <c r="K141" s="3">
        <f>0+(1351.9-424.8)+(0+(-3.447345--1.08324))+0-0-0</f>
        <v>924.73589500000014</v>
      </c>
      <c r="L141" s="3">
        <f>0+(1203.4-334.8)+(0+(-3.06867--0.85374))+0-0-0</f>
        <v>866.38507000000016</v>
      </c>
      <c r="M141" s="3">
        <f>0+(1183.6-226.5)+(0+(0-0))+0-0-0</f>
        <v>957.09999999999991</v>
      </c>
      <c r="N141" s="3">
        <f>0+(1294.9-269.9)+(0+(1.981197-0.412947))+0-0-0</f>
        <v>1026.56825</v>
      </c>
      <c r="O141" s="3">
        <f>3.6+(1311.4-247.8)+(0.00918+(3.34407-0.63189))+0-0-0</f>
        <v>1069.92136</v>
      </c>
      <c r="P141" s="3">
        <f>113.6+(1238.4-195.5)+(0.173808+(1.894752-0.299115))+0-0-0</f>
        <v>1158.2694449999999</v>
      </c>
      <c r="Q141" s="3">
        <f>269.1+(1062.9-166.7)+(0.137241+(0.542079-0.085017))+0-0-0</f>
        <v>1165.8943030000003</v>
      </c>
      <c r="R141" s="3">
        <f>317.2+(946.6-119.8)+(-0.161772+(-0.482766--0.061098))+0-0-0</f>
        <v>1143.4165599999999</v>
      </c>
      <c r="S141" s="3">
        <f>309.4+(892.8-94.3)+(0+(0-0))+0-0-0</f>
        <v>1107.9000000000001</v>
      </c>
      <c r="T141" s="3">
        <f>303.3+(847.9-32.3)+(-0.464049+(-1.297287--0.049419))+0-0-0</f>
        <v>1117.188083</v>
      </c>
      <c r="U141" s="3">
        <f>305+(830.3-35.6)+(0.3111+(0.846906-0.036312))+0-0-0</f>
        <v>1100.8216939999998</v>
      </c>
      <c r="V141" s="3">
        <f>303.2+(834-55.9)+(0.154632+(0.42534-0.028509))+0-0-0</f>
        <v>1081.851463</v>
      </c>
      <c r="W141" s="3">
        <f>303.7+(915.8-143.5)+(0.154887+(0.467058-0.073185))+0-0-0</f>
        <v>1076.5487599999999</v>
      </c>
      <c r="X141" s="3">
        <f>303.6+(981.4-227.8)+(0.309672+(1.001028-0.232356))+0-0-0</f>
        <v>1058.2783439999998</v>
      </c>
      <c r="Y141" s="3">
        <f>267+(1065.9-294.6)+(0.40851+(1.630827-0.450738))+0-0-0</f>
        <v>1039.8885990000001</v>
      </c>
      <c r="Z141" s="3">
        <f>320.5+(1017.1-244.2)+(0+(0-0))+0-0-0</f>
        <v>1093.4000000000001</v>
      </c>
      <c r="AA141" s="3">
        <f>339+(1028-255.5)+(-0.34578+(-1.04856--0.26061))+0-0-0</f>
        <v>1110.36627</v>
      </c>
      <c r="AB141" s="3">
        <f>340.7+(1070-316.5)+(0.173757+(0.5457-0.161415))+0-0-0</f>
        <v>1094.7580419999999</v>
      </c>
      <c r="AC141" s="3">
        <f>338.8+(1127.9-379.4)+(-0.172788+(-0.575229--0.193494))+0-0-0</f>
        <v>1086.7454770000002</v>
      </c>
      <c r="AD141" s="2">
        <v>1111.3</v>
      </c>
      <c r="AE141" s="3">
        <f>336+(1031.3-256)+(0+(0-0))+0-0-0</f>
        <v>1111.3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173.9+(1227.9-351.8)+(0+(0-0))+0-0-0</f>
        <v>1050.0000000000002</v>
      </c>
      <c r="G142" s="3">
        <f>5.1+(1339-335.6)+(-0.007803+(-2.04867--0.513468))+0-0-0</f>
        <v>1006.956995</v>
      </c>
      <c r="H142" s="3">
        <f>0+(1317.8-342.5)+(0+(-1.344156--0.34935))+0-0-0</f>
        <v>974.30519399999991</v>
      </c>
      <c r="I142" s="3">
        <f>0+(1333.5-370.3)+(0+(-2.040255--0.566559))+0-0-0</f>
        <v>961.72630400000003</v>
      </c>
      <c r="J142" s="3">
        <f>0+(1317.7-348.3)+(0+(2.016081-0.532899))+0-0-0</f>
        <v>970.88318200000015</v>
      </c>
      <c r="K142" s="3">
        <f>0+(1284.6-347.1)+(0+(-1.310292--0.354042))+0-0-0</f>
        <v>936.54374999999993</v>
      </c>
      <c r="L142" s="3">
        <f>0+(1238.6-321.5)+(0+(0-0))+0-0-0</f>
        <v>917.09999999999991</v>
      </c>
      <c r="M142" s="3">
        <f>0+(1261.7-322.3)+(0+(1.286934-0.328746))+0-0-0</f>
        <v>940.35818800000004</v>
      </c>
      <c r="N142" s="3">
        <f>0+(1316.1-321.6)+(0+(1.342422-0.328032))+0-0-0</f>
        <v>995.51438999999993</v>
      </c>
      <c r="O142" s="3">
        <f>83+(1307.6-336.9)+(0.08466+(1.333752-0.343638))+0-0-0</f>
        <v>1054.7747739999998</v>
      </c>
      <c r="P142" s="3">
        <f>211.8+(1202.2-324.5)+(0.54009+(3.06561-0.827475))+0-0-0</f>
        <v>1092.278225</v>
      </c>
      <c r="Q142" s="3">
        <f>205.8+(1133.9-226.6)+(0.314874+(1.734867-0.346698))+0-0-0</f>
        <v>1114.8030430000001</v>
      </c>
      <c r="R142" s="3">
        <f>279.2+(974.8-142.7)+(0+(0-0))+0-0-0</f>
        <v>1111.3</v>
      </c>
      <c r="S142" s="3">
        <f>304.2+(890.1-105.2)+(0.155142+(0.453951-0.053652))+0-0-0</f>
        <v>1089.6554409999999</v>
      </c>
      <c r="T142" s="3">
        <f>318.8+(813.9-31.1)+(-0.650352+(-1.660356--0.063444))+0-0-0</f>
        <v>1099.3527359999998</v>
      </c>
      <c r="U142" s="3">
        <f>314.9+(836.6-62.5)+(-0.481797+(-1.279998--0.095625))+0-0-0</f>
        <v>1087.33383</v>
      </c>
      <c r="V142" s="3">
        <f>311.8+(871-97.7)+(0+(0-0))+0-0-0</f>
        <v>1085.0999999999999</v>
      </c>
      <c r="W142" s="3">
        <f>310.3+(911.2-154)+(0+(0-0))+0-0-0</f>
        <v>1067.5</v>
      </c>
      <c r="X142" s="3">
        <f>307.3+(999.3-250.8)+(-0.313446+(-1.019286--0.255816))+0-0-0</f>
        <v>1054.723084</v>
      </c>
      <c r="Y142" s="3">
        <f>185.7+(1107.4-248.8)+(0.284121+(1.694322-0.380664))+0-0-0</f>
        <v>1045.8977790000001</v>
      </c>
      <c r="Z142" s="3">
        <f>332.1+(1004.4-246.3)+(0+(0-0))+0-0-0</f>
        <v>1090.1999999999998</v>
      </c>
      <c r="AA142" s="3">
        <f>335+(1017.5-247.8)+(-0.51255+(-1.556775--0.379134))+0-0-0</f>
        <v>1103.0098090000001</v>
      </c>
      <c r="AB142" s="3">
        <f>335.5+(1065.3-315.3)+(-0.34221+(-1.086606--0.321606))+0-0-0</f>
        <v>1084.3927900000001</v>
      </c>
      <c r="AC142" s="3">
        <f>334.9+(1114.3-369.6)+(0.170799+(0.568293-0.188496))+0-0-0</f>
        <v>1080.150596</v>
      </c>
      <c r="AD142" s="2">
        <v>1128.0999999999999</v>
      </c>
      <c r="AE142" s="3">
        <f>333+(1032.1-237)+(0+(0-0))+0-0-0</f>
        <v>1128.0999999999999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152.7+(1236.7-339.6)+(0.077877+(0.630717-0.173196))+0-0-0</f>
        <v>1050.3353979999999</v>
      </c>
      <c r="G143" s="3">
        <f>0+(1333.4-337.1)+(0+(-0.680034--0.171921))+0-0-0</f>
        <v>995.79188700000009</v>
      </c>
      <c r="H143" s="3">
        <f>0+(1295.5-339.1)+(0+(2.64282-0.691764))+0-0-0</f>
        <v>958.35105599999997</v>
      </c>
      <c r="I143" s="3">
        <f>0+(1276.2-322.6)+(0+(-3.25431--0.82263))+0-0-0</f>
        <v>951.16831999999999</v>
      </c>
      <c r="J143" s="3">
        <f>0+(1297.3-335.1)+(0+(-1.984869--0.512703))+0-0-0</f>
        <v>960.72783399999992</v>
      </c>
      <c r="K143" s="3">
        <f>0+(1296.6-369.2)+(0+(-1.983798--0.564876))+0-0-0</f>
        <v>925.98107799999991</v>
      </c>
      <c r="L143" s="3">
        <f>0+(1271.9-377.4)+(0+(-2.594676--0.769896))+0-0-0</f>
        <v>892.67522000000008</v>
      </c>
      <c r="M143" s="3">
        <f>0+(1260.5-347.7)+(0+(0-0))+0-0-0</f>
        <v>912.8</v>
      </c>
      <c r="N143" s="3">
        <f>0+(1303.6-327)+(0+(1.329672-0.33354))+0-0-0</f>
        <v>977.5961319999999</v>
      </c>
      <c r="O143" s="3">
        <f>0+(1393-370)+(0+(0.71043-0.1887))+0-0-0</f>
        <v>1023.52173</v>
      </c>
      <c r="P143" s="3">
        <f>8.6+(1324.6-284.8)+(0.008772+(1.351092-0.290496))+0-0-0</f>
        <v>1049.4693679999998</v>
      </c>
      <c r="Q143" s="3">
        <f>215.1+(1111.6-261.7)+(0.219402+(1.133832-0.266934))+0-0-0</f>
        <v>1066.0862999999997</v>
      </c>
      <c r="R143" s="3">
        <f>304.1+(1011.6-253.4)+(0.155091+(0.515916-0.129234))+0-0-0</f>
        <v>1062.8417730000001</v>
      </c>
      <c r="S143" s="3">
        <f>302.7+(969.2-226.7)+(-0.154377+(-0.494292--0.115617))+0-0-0</f>
        <v>1044.666948</v>
      </c>
      <c r="T143" s="3">
        <f>302.8+(949.1-206.3)+(0.154428+(0.484041-0.105213))+0-0-0</f>
        <v>1046.1332559999998</v>
      </c>
      <c r="U143" s="3">
        <f>302.6+(942-212)+(-0.154326+(-0.48042--0.10812))+0-0-0</f>
        <v>1032.0733739999998</v>
      </c>
      <c r="V143" s="3">
        <f>303.2+(970.7-268.5)+(0.154632+(0.495057-0.136935))+0-0-0</f>
        <v>1005.9127540000001</v>
      </c>
      <c r="W143" s="3">
        <f>303.8+(1013.4-317.9)+(-0.154938+(-0.516834--0.162129))+0-0-0</f>
        <v>998.79035699999997</v>
      </c>
      <c r="X143" s="3">
        <f>302.6+(1068.4-392.9)+(-0.462978+(-1.634652--0.601137))+0-0-0</f>
        <v>976.60350700000015</v>
      </c>
      <c r="Y143" s="3">
        <f>248.2+(1093.5-378.4)+(-0.63291+(-2.788425--0.96492))+0-0-0</f>
        <v>960.84358499999996</v>
      </c>
      <c r="Z143" s="3">
        <f>315+(1093.9-407.7)+(0+(0-0))+0-0-0</f>
        <v>1001.2</v>
      </c>
      <c r="AA143" s="3">
        <f>337.5+(1041.8-363.4)+(-1.204875+(-3.719226--1.297338))+0-0-0</f>
        <v>1012.273237</v>
      </c>
      <c r="AB143" s="3">
        <f>302.9+(1100.7-407.5)+(0+(0-0))+0-0-0</f>
        <v>996.1</v>
      </c>
      <c r="AC143" s="3">
        <f>209.3+(1217.6-445.6)+(0.106743+(0.620976-0.227256))+0-0-0</f>
        <v>981.80046299999992</v>
      </c>
      <c r="AD143" s="2">
        <v>1022.6999999999999</v>
      </c>
      <c r="AE143" s="3">
        <f>337+(1061.1-375.4)+(0+(0-0))+0-0-0</f>
        <v>1022.6999999999999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121.9+(1270.2-455.7)+(0.248676+(2.591208-0.929628))+0-0-0</f>
        <v>938.31025599999998</v>
      </c>
      <c r="G144" s="3">
        <f>4.3+(1333.3-426.3)+(0.004386+(1.359966-0.434826))+0-0-0</f>
        <v>912.22952599999996</v>
      </c>
      <c r="H144" s="3">
        <f>0+(1325.7-448)+(0+(-1.352214--0.45696))+0-0-0</f>
        <v>876.80474600000002</v>
      </c>
      <c r="I144" s="3">
        <f>0+(1304.1-447.1)+(0+(-0.665091--0.228021))+0-0-0</f>
        <v>856.56292999999994</v>
      </c>
      <c r="J144" s="3">
        <f>0+(1247.5-392.9)+(0+(-2.5449--0.801516))+0-0-0</f>
        <v>852.85661600000003</v>
      </c>
      <c r="K144" s="3">
        <f>0+(1222.6-423.2)+(0+(-1.247052--0.431664))+0-0-0</f>
        <v>798.58461199999988</v>
      </c>
      <c r="L144" s="3">
        <f>0+(1108-380)+(0+(-1.13016--0.3876))+0-0-0</f>
        <v>727.25743999999997</v>
      </c>
      <c r="M144" s="3">
        <f>0+(1120.3-409.4)+(0+(0-0))+0-0-0</f>
        <v>710.9</v>
      </c>
      <c r="N144" s="3">
        <f>0+(1175.5-458.3)+(0+(0-0))+0-0-0</f>
        <v>717.2</v>
      </c>
      <c r="O144" s="3">
        <f>0+(1192.4-450.7)+(0+(-0.608124--0.229857))+0-0-0</f>
        <v>741.32173299999999</v>
      </c>
      <c r="P144" s="3">
        <f>0+(1230-460.6)+(0+(0.6273-0.234906))+0-0-0</f>
        <v>769.79239399999994</v>
      </c>
      <c r="Q144" s="3">
        <f>0+(1257.8-470.9)+(0+(1.282956-0.480318))+0-0-0</f>
        <v>787.70263799999998</v>
      </c>
      <c r="R144" s="3">
        <f>0+(1270.4-464)+(0+(0.647904-0.23664))+0-0-0</f>
        <v>806.81126400000005</v>
      </c>
      <c r="S144" s="3">
        <f>0+(1188.9-365.6)+(0+(1.819017-0.559368))+0-0-0</f>
        <v>824.55964900000004</v>
      </c>
      <c r="T144" s="3">
        <f>0+(1137.2-300.8)+(0+(-1.159944--0.306816))+0-0-0</f>
        <v>835.54687200000012</v>
      </c>
      <c r="U144" s="3">
        <f>0+(1137-300)+(0+(1.15974-0.306))+0-0-0</f>
        <v>837.85374000000002</v>
      </c>
      <c r="V144" s="3">
        <f>0+(1186.6-345.3)+(0+(0.605166-0.176103))+0-0-0</f>
        <v>841.729063</v>
      </c>
      <c r="W144" s="3">
        <f>0+(1211.2-358.9)+(0+(-1.235424--0.366078))+0-0-0</f>
        <v>851.43065400000012</v>
      </c>
      <c r="X144" s="3">
        <f>0+(1290.1-432.8)+(0+(-2.631804--0.882912))+0-0-0</f>
        <v>855.551108</v>
      </c>
      <c r="Y144" s="3">
        <f>0+(1231.5-365.9)+(0+(-0.628065--0.186609))+0-0-0</f>
        <v>865.15854400000001</v>
      </c>
      <c r="Z144" s="3">
        <f>0+(1195-261)+(0+(0-0))+0-0-0</f>
        <v>934</v>
      </c>
      <c r="AA144" s="3">
        <f>0+(1223.8-263.3)+(0+(-2.496552--0.537132))+0-0-0</f>
        <v>958.54057999999998</v>
      </c>
      <c r="AB144" s="3">
        <f>0+(1253.7-295.6)+(0+(-0.639387--0.150756))+0-0-0</f>
        <v>957.61136899999997</v>
      </c>
      <c r="AC144" s="3">
        <f>0+(1249.8-300)+(0+(-0.637398--0.153))+0-0-0</f>
        <v>949.3156019999999</v>
      </c>
      <c r="AD144" s="2">
        <v>978.59999999999991</v>
      </c>
      <c r="AE144" s="3">
        <f>0+(1234.3-255.7)+(0+(0-0))+0-0-0</f>
        <v>978.59999999999991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0+(1271.1-351.4)+(0+(-1.944783--0.537642))+0-0-0</f>
        <v>918.29285899999991</v>
      </c>
      <c r="G145" s="3">
        <f>0+(1341.4-466.6)+(0+(-2.736456--0.951864))+0-0-0</f>
        <v>873.01540800000009</v>
      </c>
      <c r="H145" s="3">
        <f>0+(1318.9-470.3)+(0+(-3.363195--1.199265))+0-0-0</f>
        <v>846.43607000000009</v>
      </c>
      <c r="I145" s="3">
        <f>0+(1276.5-436.6)+(0+(-1.953045--0.667998))+0-0-0</f>
        <v>838.61495300000001</v>
      </c>
      <c r="J145" s="3">
        <f>0+(1260-407.5)+(0+(-1.9278--0.623475))+0-0-0</f>
        <v>851.19567500000005</v>
      </c>
      <c r="K145" s="3">
        <f>0+(1288.1-448.2)+(0+(-3.284655--1.14291))+0-0-0</f>
        <v>837.75825499999985</v>
      </c>
      <c r="L145" s="3">
        <f>0+(1245.2-393.2)+(0+(-0.635052--0.200532))+0-0-0</f>
        <v>851.56547999999998</v>
      </c>
      <c r="M145" s="3">
        <f>0+(1311.3-408.9)+(0+(0.668763-0.208539))+0-0-0</f>
        <v>902.86022400000002</v>
      </c>
      <c r="N145" s="3">
        <f>10.6+(1414.3-446.8)+(0.010812+(1.442586-0.455736))+0-0-0</f>
        <v>979.09766200000001</v>
      </c>
      <c r="O145" s="3">
        <f>159.2+(1326.4-447.5)+(0.162384+(1.352928-0.45645))+0-0-0</f>
        <v>1039.1588620000002</v>
      </c>
      <c r="P145" s="3">
        <f>309.5+(1177.3-416.6)+(0.157845+(0.600423-0.212466))+0-0-0</f>
        <v>1070.7458019999999</v>
      </c>
      <c r="Q145" s="3">
        <f>306.6+(1117.2-356.2)+(0+(0-0))+0-0-0</f>
        <v>1067.5999999999999</v>
      </c>
      <c r="R145" s="3">
        <f>302.9+(1074.1-265)+(0+(0-0))+0-0-0</f>
        <v>1112</v>
      </c>
      <c r="S145" s="3">
        <f>303.4+(968.2-191)+(-0.464202+(-1.481346--0.29223))+0-0-0</f>
        <v>1078.946682</v>
      </c>
      <c r="T145" s="3">
        <f>302.6+(905.2-134)+(-0.617304+(-1.846608--0.27336))+0-0-0</f>
        <v>1071.6094480000002</v>
      </c>
      <c r="U145" s="3">
        <f>302.6+(890.9-124.2)+(-0.154326+(-0.454359--0.063342))+0-0-0</f>
        <v>1068.754657</v>
      </c>
      <c r="V145" s="3">
        <f>302.6+(948.8-156.7)+(-0.462978+(-1.451664--0.239751))+0-0-0</f>
        <v>1093.0251089999999</v>
      </c>
      <c r="W145" s="3">
        <f>302.9+(981-201.4)+(-0.154479+(-0.50031--0.102714))+0-0-0</f>
        <v>1081.9479249999999</v>
      </c>
      <c r="X145" s="3">
        <f>302.6+(1072.3-326.5)+(-0.154326+(-0.546873--0.166515))+0-0-0</f>
        <v>1047.8653160000001</v>
      </c>
      <c r="Y145" s="3">
        <f>303+(1062.7-341.4)+(0.15453+(0.541977-0.174114))+0-0-0</f>
        <v>1024.8223930000001</v>
      </c>
      <c r="Z145" s="3">
        <f>302.7+(1024.9-256.3)+(-0.308754+(-1.045398--0.261426))+0-0-0</f>
        <v>1070.2072740000001</v>
      </c>
      <c r="AA145" s="3">
        <f>306.7+(1025.9-249.1)+(-0.469251+(-1.569627--0.381123))+0-0-0</f>
        <v>1081.842245</v>
      </c>
      <c r="AB145" s="3">
        <f>315.1+(1117.7-357)+(-0.160701+(-0.570027--0.18207))+0-0-0</f>
        <v>1075.2513420000002</v>
      </c>
      <c r="AC145" s="3">
        <f>315.5+(1120.3-374.4)+(0+(0-0))+0-0-0</f>
        <v>1061.4000000000001</v>
      </c>
      <c r="AD145" s="2">
        <v>1090.1000000000001</v>
      </c>
      <c r="AE145" s="3">
        <f>300+(1039.9-249.8)+(0+(0-0))+0-0-0</f>
        <v>1090.1000000000001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92.7+(1238.8-310.7)+(-0.094554+(-1.263576--0.316914))+0-0-0</f>
        <v>1019.758784</v>
      </c>
      <c r="G146" s="3">
        <f>60.8+(1303.2-375.5)+(-0.186048+(-3.987792--1.14903))+0-0-0</f>
        <v>985.47519</v>
      </c>
      <c r="H146" s="3">
        <f>0+(1316.5-354.3)+(0+(-1.34283--0.361386))+0-0-0</f>
        <v>961.21855600000004</v>
      </c>
      <c r="I146" s="3">
        <f>0+(1260.8-322.5)+(0+(1.286016-0.32895))+0-0-0</f>
        <v>939.25706600000001</v>
      </c>
      <c r="J146" s="3">
        <f>0+(1271.5-328.8)+(0+(-2.59386--0.670752))+0-0-0</f>
        <v>940.77689200000009</v>
      </c>
      <c r="K146" s="3">
        <f>0+(1288-378.3)+(0+(-0.65688--0.192933))+0-0-0</f>
        <v>909.23605300000008</v>
      </c>
      <c r="L146" s="3">
        <f>0+(1318.4-425.6)+(0+(0-0))+0-0-0</f>
        <v>892.80000000000007</v>
      </c>
      <c r="M146" s="3">
        <f>0+(1347.9-421.6)+(0+(1.374858-0.430032))+0-0-0</f>
        <v>927.2448260000001</v>
      </c>
      <c r="N146" s="3">
        <f>0+(1360.8-381.6)+(0+(2.776032-0.778464))+0-0-0</f>
        <v>981.19756799999993</v>
      </c>
      <c r="O146" s="3">
        <f>61.2+(1341.2-373.9)+(0.093636+(2.052036-0.572067))+0-0-0</f>
        <v>1030.073605</v>
      </c>
      <c r="P146" s="3">
        <f>289.4+(1216.5-433.3)+(0.295188+(1.24083-0.441966))+0-0-0</f>
        <v>1073.6940519999998</v>
      </c>
      <c r="Q146" s="3">
        <f>308.6+(1174.8-362.8)+(0.157386+(0.599148-0.185028))+0-0-0</f>
        <v>1121.1715059999999</v>
      </c>
      <c r="R146" s="3">
        <f>308.3+(1101.2-293.7)+(-0.157233+(-0.561612--0.149787))+0-0-0</f>
        <v>1115.2309419999999</v>
      </c>
      <c r="S146" s="3">
        <f>307.7+(985.3-227.7)+(0+(0-0))+0-0-0</f>
        <v>1065.3</v>
      </c>
      <c r="T146" s="3">
        <f>304.8+(946.9-178.1)+(0+(0-0))+0-0-0</f>
        <v>1073.5999999999999</v>
      </c>
      <c r="U146" s="3">
        <f>302.9+(930.9-165.8)+(-0.154479+(-0.474759--0.084558))+0-0-0</f>
        <v>1067.45532</v>
      </c>
      <c r="V146" s="3">
        <f>303.2+(898-141.4)+(0+(0-0))+0-0-0</f>
        <v>1059.8</v>
      </c>
      <c r="W146" s="3">
        <f>302.8+(931.1-202.3)+(-0.308856+(-0.949722--0.206346))+0-0-0</f>
        <v>1030.5477679999999</v>
      </c>
      <c r="X146" s="3">
        <f>302.7+(1007.8-298.4)+(-0.463131+(-1.541934--0.456552))+0-0-0</f>
        <v>1010.551487</v>
      </c>
      <c r="Y146" s="3">
        <f>303.2+(1064.3-352.9)+(-0.154632+(-0.542793--0.179979))+0-0-0</f>
        <v>1014.082554</v>
      </c>
      <c r="Z146" s="3">
        <f>303+(996.7-240.4)+(-0.15453+(-0.508317--0.122604))+0-0-0</f>
        <v>1058.7597570000003</v>
      </c>
      <c r="AA146" s="3">
        <f>302.6+(1034.7-263.4)+(-0.617304+(-2.110788--0.537336))+0-0-0</f>
        <v>1071.7092440000001</v>
      </c>
      <c r="AB146" s="3">
        <f>306.5+(1073.2-318.5)+(-0.31263+(-1.094664--0.32487))+0-0-0</f>
        <v>1060.1175760000001</v>
      </c>
      <c r="AC146" s="3">
        <f>178.2+(1160.5-278.6)+(0.181764+(1.18371-0.284172))+0-0-0</f>
        <v>1061.181302</v>
      </c>
      <c r="AD146" s="2">
        <v>1087.8999999999999</v>
      </c>
      <c r="AE146" s="3">
        <f>300+(1040.8-252.9)+(0+(0-0))+0-0-0</f>
        <v>1087.9000000000001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0+(1217.6-201.1)+(0+(1.241952-0.205122))+0-0-0</f>
        <v>1017.5368299999999</v>
      </c>
      <c r="G147" s="3">
        <f>0+(1224.5-247.8)+(0+(0.624495-0.126378))+0-0-0</f>
        <v>977.19811700000002</v>
      </c>
      <c r="H147" s="3">
        <f>0+(1281.2-340.2)+(0+(0-0))+0-0-0</f>
        <v>941</v>
      </c>
      <c r="I147" s="3">
        <f>0+(1341.8-406.8)+(0+(2.737272-0.829872))+0-0-0</f>
        <v>936.90740000000005</v>
      </c>
      <c r="J147" s="3">
        <f>0+(1340.1-391.1)+(0+(-0.683451--0.199461))+0-0-0</f>
        <v>948.51600999999994</v>
      </c>
      <c r="K147" s="3">
        <f>0+(1336.5-410.5)+(0+(-3.408075--1.046775))+0-0-0</f>
        <v>923.63869999999997</v>
      </c>
      <c r="L147" s="3">
        <f>0+(1269.9-350.9)+(0+(-3.238245--0.894795))+0-0-0</f>
        <v>916.65655000000015</v>
      </c>
      <c r="M147" s="3">
        <f>0+(1272.1-335)+(0+(1.946313-0.51255))+0-0-0</f>
        <v>938.53376299999991</v>
      </c>
      <c r="N147" s="3">
        <f>0+(1355.4-358.6)+(0+(0.691254-0.182886))+0-0-0</f>
        <v>997.30836800000009</v>
      </c>
      <c r="O147" s="3">
        <f>127.6+(1242.9-337.9)+(0.065076+(0.633879-0.172329))+0-0-0</f>
        <v>1033.1266260000002</v>
      </c>
      <c r="P147" s="3">
        <f>273.1+(1109.8-321)+(0.417843+(1.697994-0.49113))+0-0-0</f>
        <v>1063.524707</v>
      </c>
      <c r="Q147" s="3">
        <f>304.6+(1033.4-253.6)+(0.466038+(1.581102-0.388008))+0-0-0</f>
        <v>1086.0591320000001</v>
      </c>
      <c r="R147" s="3">
        <f>305.4+(984.7-214)+(0+(0-0))+0-0-0</f>
        <v>1076.0999999999999</v>
      </c>
      <c r="S147" s="3">
        <f>318.7+(910.7-168.1)+(-0.487611+(-1.393371--0.257193))+0-0-0</f>
        <v>1059.676211</v>
      </c>
      <c r="T147" s="3">
        <f>315.6+(846.8-82.2)+(0.160956+(0.431868-0.041922))+0-0-0</f>
        <v>1080.7509019999998</v>
      </c>
      <c r="U147" s="3">
        <f>312.3+(831.2-59.4)+(-0.159273+(-0.423912--0.030294))+0-0-0</f>
        <v>1083.5471090000001</v>
      </c>
      <c r="V147" s="3">
        <f>309+(805.4-66.4)+(-0.63036+(-1.643016--0.135456))+0-0-0</f>
        <v>1045.8620800000001</v>
      </c>
      <c r="W147" s="3">
        <f>307.7+(847.5-112.7)+(-1.098489+(-3.025575--0.402339))+0-0-0</f>
        <v>1038.7782749999999</v>
      </c>
      <c r="X147" s="3">
        <f>309.6+(989.2-249.7)+(-0.315792+(-1.008984--0.254694))+0-0-0</f>
        <v>1048.029918</v>
      </c>
      <c r="Y147" s="3">
        <f>315+(1064-334.8)+(0.16065+(0.54264-0.170748))+0-0-0</f>
        <v>1044.732542</v>
      </c>
      <c r="Z147" s="3">
        <f>325.2+(1020.4-240.1)+(0.331704+(1.040808-0.244902))+0-0-0</f>
        <v>1106.62761</v>
      </c>
      <c r="AA147" s="3">
        <f>329.9+(1033.3-266.3)+(-0.672996+(-2.107932--0.543252))+0-0-0</f>
        <v>1094.6623240000001</v>
      </c>
      <c r="AB147" s="3">
        <f>331.7+(1104.7-347.9)+(-0.676668+(-2.253588--0.709716))+0-0-0</f>
        <v>1086.27946</v>
      </c>
      <c r="AC147" s="3">
        <f>327.4+(1154.2-396.7)+(0.166974+(0.588642-0.202317))+0-0-0</f>
        <v>1085.453299</v>
      </c>
      <c r="AD147" s="2">
        <v>1103.7</v>
      </c>
      <c r="AE147" s="3">
        <f>331+(985.8-213.1)+(0+(0-0))+0-0-0</f>
        <v>1103.6999999999998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174.1+(1228.9-359.7)+(0.088791+(0.626739-0.183447))+0-0-0</f>
        <v>1043.832083</v>
      </c>
      <c r="G148" s="3">
        <f>0+(1361.5-361.4)+(0+(0-0))+0-0-0</f>
        <v>1000.1</v>
      </c>
      <c r="H148" s="3">
        <f>0+(1390.3-417.7)+(0+(-1.418106--0.426054))+0-0-0</f>
        <v>971.60794799999996</v>
      </c>
      <c r="I148" s="3">
        <f>0+(1419.8-450.1)+(0+(0-0))+0-0-0</f>
        <v>969.69999999999993</v>
      </c>
      <c r="J148" s="3">
        <f>0+(1384.8-428)+(0+(-2.118744--0.65484))+0-0-0</f>
        <v>955.336096</v>
      </c>
      <c r="K148" s="3">
        <f>0+(1405.5-458.7)+(0+(-4.30083--1.403622))+0-0-0</f>
        <v>943.90279199999998</v>
      </c>
      <c r="L148" s="3">
        <f>0+(1314.9-395.3)+(0+(-1.341198--0.403206))+0-0-0</f>
        <v>918.66200800000013</v>
      </c>
      <c r="M148" s="3">
        <f>0+(1331.6-367.5)+(0+(0-0))+0-0-0</f>
        <v>964.09999999999991</v>
      </c>
      <c r="N148" s="3">
        <f>0+(1375-369.8)+(0+(0-0))+0-0-0</f>
        <v>1005.2</v>
      </c>
      <c r="O148" s="3">
        <f>53.1+(1363-351.7)+(0.054162+(1.39026-0.358734))+0-0-0</f>
        <v>1065.4856879999998</v>
      </c>
      <c r="P148" s="3">
        <f>288.7+(1150.2-344.2)+(0.294474+(1.173204-0.351084))+0-0-0</f>
        <v>1095.8165940000001</v>
      </c>
      <c r="Q148" s="3">
        <f>324.2+(1073.1-281.8)+(0+(0-0))+0-0-0</f>
        <v>1115.5</v>
      </c>
      <c r="R148" s="3">
        <f>321.8+(1037.7-232.6)+(0.164118+(0.529227-0.118626))+0-0-0</f>
        <v>1127.4747190000001</v>
      </c>
      <c r="S148" s="3">
        <f>318.5+(942.4-153.8)+(-0.487305+(-1.441872--0.235314))+0-0-0</f>
        <v>1105.4061369999999</v>
      </c>
      <c r="T148" s="3">
        <f>316.3+(857.7-79.4)+(-0.161313+(-0.437427--0.040494))+0-0-0</f>
        <v>1094.0417540000001</v>
      </c>
      <c r="U148" s="3">
        <f>315.1+(875.6-93.6)+(-0.482103+(-1.339668--0.143208))+0-0-0</f>
        <v>1095.421437</v>
      </c>
      <c r="V148" s="3">
        <f>315.6+(893.5-108.9)+(-0.482868+(-1.367055--0.166617))+0-0-0</f>
        <v>1098.5166940000001</v>
      </c>
      <c r="W148" s="3">
        <f>320.2+(900.5-133.9)+(-0.81651+(-2.296275--0.341445))+0-0-0</f>
        <v>1084.0286599999999</v>
      </c>
      <c r="X148" s="3">
        <f>326.3+(980.4-235.1)+(-1.164891+(-3.500028--0.839307))+0-0-0</f>
        <v>1067.7743879999998</v>
      </c>
      <c r="Y148" s="3">
        <f>329.6+(1067.9-336.5)+(0+(0-0))+0-0-0</f>
        <v>1061</v>
      </c>
      <c r="Z148" s="3">
        <f>332.8+(1037.3-256.4)+(0.169728+(0.529023-0.130764))+0-0-0</f>
        <v>1114.2679869999999</v>
      </c>
      <c r="AA148" s="3">
        <f>334.7+(1051.2-266.8)+(-1.024182+(-3.216672--0.816408))+0-0-0</f>
        <v>1115.6755540000001</v>
      </c>
      <c r="AB148" s="3">
        <f>336+(1093.6-312.7)+(-1.02816+(-3.346416--0.956862))+0-0-0</f>
        <v>1113.4822859999999</v>
      </c>
      <c r="AC148" s="3">
        <f>337.7+(1120.6-370.2)+(0.344454+(1.143012-0.377604))+0-0-0</f>
        <v>1089.2098619999999</v>
      </c>
      <c r="AD148" s="2">
        <v>1117.9000000000001</v>
      </c>
      <c r="AE148" s="3">
        <f>329+(1000.5-211.6)+(0+(0-0))+0-0-0</f>
        <v>1117.9000000000001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176+(1200.8-351.6)+(0+(0-0))+0-0-0</f>
        <v>1025.1999999999998</v>
      </c>
      <c r="G149" s="3">
        <f>0+(1372.3-391.5)+(0+(0.699873-0.199665))+0-0-0</f>
        <v>981.300208</v>
      </c>
      <c r="H149" s="3">
        <f>0+(1390.3-434.6)+(0+(0-0))+0-0-0</f>
        <v>955.69999999999993</v>
      </c>
      <c r="I149" s="3">
        <f>0+(1338.2-404.4)+(0+(-1.364964--0.412488))+0-0-0</f>
        <v>932.84752400000002</v>
      </c>
      <c r="J149" s="3">
        <f>0+(1322.4-386.8)+(0+(3.37212-0.98634))+0-0-0</f>
        <v>937.98578000000009</v>
      </c>
      <c r="K149" s="3">
        <f>0+(1313.3-398.6)+(0+(-3.348915--1.01643))+0-0-0</f>
        <v>912.36751499999991</v>
      </c>
      <c r="L149" s="3">
        <f>0+(1340.3-428.9)+(0+(-4.101318--1.312434))+0-0-0</f>
        <v>908.61111599999992</v>
      </c>
      <c r="M149" s="3">
        <f>0+(1328.5-396.2)+(0+(2.032605-0.606186))+0-0-0</f>
        <v>933.72641899999996</v>
      </c>
      <c r="N149" s="3">
        <f>7.9+(1350.7-364.9)+(0.004029+(0.688857-0.186099))+0-0-0</f>
        <v>994.20678700000008</v>
      </c>
      <c r="O149" s="3">
        <f>75.6+(1324.6-355.4)+(0.038556+(0.675546-0.181254))+0-0-0</f>
        <v>1045.332848</v>
      </c>
      <c r="P149" s="3">
        <f>256.9+(1154.2-346.4)+(0.393057+(1.765926-0.529992))+0-0-0</f>
        <v>1066.3289910000001</v>
      </c>
      <c r="Q149" s="3">
        <f>308.4+(1046.7-263.4)+(0+(0-0))+0-0-0</f>
        <v>1091.7</v>
      </c>
      <c r="R149" s="3">
        <f>319.3+(1010.5-224)+(-0.325686+(-1.03071--0.22848))+0-0-0</f>
        <v>1104.672084</v>
      </c>
      <c r="S149" s="3">
        <f>313.7+(928.8-169.3)+(0+(0-0))+0-0-0</f>
        <v>1073.2</v>
      </c>
      <c r="T149" s="3">
        <f>302.5+(880.6-117)+(-0.154275+(-0.449106--0.05967))+0-0-0</f>
        <v>1065.5562889999999</v>
      </c>
      <c r="U149" s="3">
        <f>302.6+(896.7-125.5)+(-0.308652+(-0.914634--0.12801))+0-0-0</f>
        <v>1072.7047240000002</v>
      </c>
      <c r="V149" s="3">
        <f>302.5+(939.5-169.3)+(-0.30855+(-0.95829--0.172686))+0-0-0</f>
        <v>1071.6058460000002</v>
      </c>
      <c r="W149" s="3">
        <f>302.7+(1001.6-241.4)+(-0.154377+(-0.510816--0.123114))+0-0-0</f>
        <v>1062.357921</v>
      </c>
      <c r="X149" s="3">
        <f>302.5+(1060.9-305.7)+(-0.6171+(-2.164236--0.623628))+0-0-0</f>
        <v>1055.5422920000001</v>
      </c>
      <c r="Y149" s="3">
        <f>305.1+(1063.3-337.7)+(-0.311202+(-1.084566--0.344454))+0-0-0</f>
        <v>1029.6486859999998</v>
      </c>
      <c r="Z149" s="3">
        <f>329.9+(1039.4-286.3)+(-0.168249+(-0.530094--0.146013))+0-0-0</f>
        <v>1082.44767</v>
      </c>
      <c r="AA149" s="3">
        <f>334.7+(1062.9-306.9)+(-0.170697+(-0.542079--0.156519))+0-0-0</f>
        <v>1090.1437430000001</v>
      </c>
      <c r="AB149" s="3">
        <f>332.2+(1108.5-357.2)+(-0.84711+(-2.826675--0.91086))+0-0-0</f>
        <v>1080.737075</v>
      </c>
      <c r="AC149" s="3">
        <f>333.3+(1062.6-360.9)+(-0.169983+(-0.541926--0.184059))+0-0-0</f>
        <v>1034.4721500000001</v>
      </c>
      <c r="AD149" s="2">
        <v>1105.6999999999998</v>
      </c>
      <c r="AE149" s="3">
        <f>335+(1090.8-320.1)+(0+(0-0))+0-0-0</f>
        <v>1105.6999999999998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240.2+(1059.4-303.4)+(0+(0-0))+0-0-0</f>
        <v>996.2</v>
      </c>
      <c r="G150" s="3">
        <f>0+(1185.1-235.8)+(0+(-2.417604--0.481032))+0-0-0</f>
        <v>947.363428</v>
      </c>
      <c r="H150" s="3">
        <f>0+(1181.4-259.5)+(0+(-1.807542--0.397035))+0-0-0</f>
        <v>920.48949300000004</v>
      </c>
      <c r="I150" s="3">
        <f>0+(1190.5-288.7)+(0+(-3.035775--0.736185))+0-0-0</f>
        <v>899.50040999999999</v>
      </c>
      <c r="J150" s="3">
        <f>0+(1220.7-318.8)+(0+(1.245114-0.325176))+0-0-0</f>
        <v>902.81993800000009</v>
      </c>
      <c r="K150" s="3">
        <f>0+(1238.6-346)+(0+(-3.15843--0.8823))+0-0-0</f>
        <v>890.32386999999994</v>
      </c>
      <c r="L150" s="3">
        <f>0+(1185-311.5)+(0+(-3.02175--0.794325))+0-0-0</f>
        <v>871.27257499999996</v>
      </c>
      <c r="M150" s="3">
        <f>0+(1216-325.3)+(0+(0.62016-0.165903))+0-0-0</f>
        <v>891.15425700000003</v>
      </c>
      <c r="N150" s="3">
        <f>0+(1275.8-331.9)+(0+(1.301316-0.338538))+0-0-0</f>
        <v>944.86277799999993</v>
      </c>
      <c r="O150" s="3">
        <f>53.9+(1260.8-327.5)+(0.082467+(1.929024-0.501075))+0-0-0</f>
        <v>988.7104159999999</v>
      </c>
      <c r="P150" s="3">
        <f>285.4+(1032.3-314.6)+(-0.145554+(-0.526473--0.160446))+0-0-0</f>
        <v>1002.5884189999999</v>
      </c>
      <c r="Q150" s="3">
        <f>312.8+(978.5-268)+(0.319056+(0.99807-0.27336))+0-0-0</f>
        <v>1024.343766</v>
      </c>
      <c r="R150" s="3">
        <f>315.1+(933.9-222.1)+(-0.321402+(-0.952578--0.226542))+0-0-0</f>
        <v>1025.852562</v>
      </c>
      <c r="S150" s="3">
        <f>349.8+(823.9-174.2)+(0.178398+(0.420189-0.088842))+0-0-0</f>
        <v>1000.009745</v>
      </c>
      <c r="T150" s="3">
        <f>381.3+(751.8-133)+(0+(0-0))+0-0-0</f>
        <v>1000.0999999999999</v>
      </c>
      <c r="U150" s="3">
        <f>324.8+(775.2-92.7)+(-0.496944+(-1.186056--0.141831))+0-0-0</f>
        <v>1005.758831</v>
      </c>
      <c r="V150" s="3">
        <f>308.9+(816.2-131.1)+(-0.472617+(-1.248786--0.200583))+0-0-0</f>
        <v>992.47918000000004</v>
      </c>
      <c r="W150" s="3">
        <f>306.4+(875-196.8)+(-0.78132+(-2.23125--0.50184))+0-0-0</f>
        <v>982.08927000000006</v>
      </c>
      <c r="X150" s="3">
        <f>225.8+(973.5-239.4)+(-0.345474+(-1.489455--0.366282))+0-0-0</f>
        <v>958.43135300000006</v>
      </c>
      <c r="Y150" s="3">
        <f>306+(975.3-332.5)+(0.31212+(0.994806-0.33915))+0-0-0</f>
        <v>949.76777599999991</v>
      </c>
      <c r="Z150" s="3">
        <f>303.3+(987-275.6)+(0+(0-0))+0-0-0</f>
        <v>1014.7</v>
      </c>
      <c r="AA150" s="3">
        <f>315.7+(1008.5-293.9)+(-0.161007+(-0.514335--0.149889))+0-0-0</f>
        <v>1029.774547</v>
      </c>
      <c r="AB150" s="3">
        <f>317+(1049.1-351.2)+(-0.32334+(-1.070082--0.358224))+0-0-0</f>
        <v>1013.8648019999998</v>
      </c>
      <c r="AC150" s="3">
        <f>236.3+(1110.9-348.8)+(-0.482052+(-2.266236--0.711552))+5.5-0-0</f>
        <v>1001.8632640000001</v>
      </c>
      <c r="AD150" s="2">
        <v>1036.3000000000002</v>
      </c>
      <c r="AE150" s="3">
        <f>303+(1014.9-281.6)+(0+(0-0))+0-0-0</f>
        <v>1036.3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189.8+(1096.7-439.5)+(-0.290394+(-1.677951--0.672435))+123.8-0-0</f>
        <v>969.50408999999991</v>
      </c>
      <c r="G151" s="3">
        <f>122.6+(1186.7-415.6)+(0+(0-0))+0-0-0</f>
        <v>893.7</v>
      </c>
      <c r="H151" s="3">
        <f>0+(1255.5-358)+(0+(-3.201525--0.9129))+0-0-0</f>
        <v>895.21137499999998</v>
      </c>
      <c r="I151" s="3">
        <f>0+(1209.6-330)+(0+(-2.467584--0.6732))+0-0-0</f>
        <v>877.80561599999987</v>
      </c>
      <c r="J151" s="3">
        <f>0+(1193.9-315.2)+(0+(-1.217778--0.321504))+0-0-0</f>
        <v>877.8037260000001</v>
      </c>
      <c r="K151" s="3">
        <f>0+(1152.7-297.1)+(0+(-2.939385--0.757605))+0-0-0</f>
        <v>853.41822000000002</v>
      </c>
      <c r="L151" s="3">
        <f>0+(1136.5-330.4)+(0+(-1.738845--0.505512))+0-0-0</f>
        <v>804.86666700000001</v>
      </c>
      <c r="M151" s="3">
        <f>0+(1076.8-279.8)+(0+(-1.098336--0.285396))+0-0-0</f>
        <v>796.18705999999997</v>
      </c>
      <c r="N151" s="3">
        <f>0+(1028.4-210.8)+(0+(0-0))+0-0-0</f>
        <v>817.60000000000014</v>
      </c>
      <c r="O151" s="3">
        <f>0+(1092.3-238.7)+(0+(-1.114146--0.243474))+0-0-0</f>
        <v>852.7293279999999</v>
      </c>
      <c r="P151" s="3">
        <f>0+(1137.3-258.3)+(0+(0.580023-0.131733))+0-0-0</f>
        <v>879.44829000000004</v>
      </c>
      <c r="Q151" s="3">
        <f>0+(1140.6-231)+(0+(0.581706-0.11781))+0-0-0</f>
        <v>910.06389599999989</v>
      </c>
      <c r="R151" s="3">
        <f>70.4+(1072.5-229.7)+(-0.035904+(-0.546975--0.117147))+0-0-0</f>
        <v>912.73426799999993</v>
      </c>
      <c r="S151" s="3">
        <f>100.9+(1020-206.8)+(-0.102918+(-1.0404--0.210936))+0-0-0</f>
        <v>913.16761800000006</v>
      </c>
      <c r="T151" s="3">
        <f>100.9+(986.6-175.4)+(-0.205836+(-2.012664--0.357816))+0-0-0</f>
        <v>910.23931600000003</v>
      </c>
      <c r="U151" s="3">
        <f>100.9+(954.5-143.6)+(-0.102918+(-0.97359--0.146472))+0-0-0</f>
        <v>910.86996399999998</v>
      </c>
      <c r="V151" s="3">
        <f>100.9+(981.9-176)+(-0.051459+(-0.500769--0.08976))+0-0-0</f>
        <v>906.33753200000001</v>
      </c>
      <c r="W151" s="3">
        <f>100.9+(1046.1-244.2)+(-0.205836+(-2.134044--0.498168))+0-0-0</f>
        <v>900.95828799999981</v>
      </c>
      <c r="X151" s="3">
        <f>100.9+(1089.4-306)+(-0.205836+(-2.222376--0.62424))+0-0-0</f>
        <v>882.49602800000002</v>
      </c>
      <c r="Y151" s="3">
        <f>100.9+(1085.1-291.4)+(-0.102918+(-1.106802--0.297228))+0-0-0</f>
        <v>893.68750799999987</v>
      </c>
      <c r="Z151" s="3">
        <f>100.9+(1076.3-209)+(0+(0-0))+0-0-0</f>
        <v>968.19999999999993</v>
      </c>
      <c r="AA151" s="3">
        <f>100.9+(1088.8-212)+(-0.154377+(-1.665864--0.32436))+0-0-0</f>
        <v>976.20411899999988</v>
      </c>
      <c r="AB151" s="3">
        <f>95.7+(1109.1-239)+(0+(0-0))+0-0-0</f>
        <v>965.8</v>
      </c>
      <c r="AC151" s="3">
        <f>0+(1129-191.5)+(0+(0.57579-0.097665))+0-0-0</f>
        <v>937.97812499999998</v>
      </c>
      <c r="AD151" s="2">
        <v>995.7</v>
      </c>
      <c r="AE151" s="3">
        <f>101+(1099-204.3)+(0+(0-0))+0-0-0</f>
        <v>995.7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0+(1147.8-232.4)+(0+(-0.585378--0.118524))+0-0-0</f>
        <v>914.93314599999997</v>
      </c>
      <c r="G152" s="3">
        <f>0+(1193.6-313.7)+(0+(-1.826208--0.479961))+0-0-0</f>
        <v>878.55375299999992</v>
      </c>
      <c r="H152" s="3">
        <f>0+(1215.4-364.9)+(0+(-0.619854--0.186099))+0-0-0</f>
        <v>850.06624500000009</v>
      </c>
      <c r="I152" s="3">
        <f>0+(1205.7-368.1)+(0+(-2.459628--0.750924))+0-0-0</f>
        <v>835.89129600000001</v>
      </c>
      <c r="J152" s="3">
        <f>0+(1171.9-315.8)+(0+(0.597669-0.161058))+0-0-0</f>
        <v>856.53661100000011</v>
      </c>
      <c r="K152" s="3">
        <f>0+(1158.6-328.3)+(0+(-0.590886--0.167433))+0-0-0</f>
        <v>829.87654699999996</v>
      </c>
      <c r="L152" s="3">
        <f>0+(1077.9-274.3)+(0+(-0.549729--0.139893))+0-0-0</f>
        <v>803.1901640000001</v>
      </c>
      <c r="M152" s="3">
        <f>0+(1048-231.3)+(0+(0-0))+0-0-0</f>
        <v>816.7</v>
      </c>
      <c r="N152" s="3">
        <f>0+(991.4-128.9)+(0+(0.505614-0.065739))+0-0-0</f>
        <v>862.93987500000003</v>
      </c>
      <c r="O152" s="3">
        <f>4.3+(1101.1-192.3)+(0.002193+(0.561561-0.098073))+0-0-0</f>
        <v>913.56568099999993</v>
      </c>
      <c r="P152" s="3">
        <f>130.9+(1117.6-300.8)+(0.066759+(0.569976-0.153408))+0-0-0</f>
        <v>948.18332699999996</v>
      </c>
      <c r="Q152" s="3">
        <f>321.1+(1005.4-357)+(0.491283+(1.538262-0.54621))+0-0-0</f>
        <v>970.98333500000001</v>
      </c>
      <c r="R152" s="3">
        <f>375.6+(876.1-284.1)+(0.191556+(0.446811-0.144891))+0-0-0</f>
        <v>968.09347600000001</v>
      </c>
      <c r="S152" s="3">
        <f>411.1+(782-237.6)+(-0.419322+(-0.79764--0.242352))+0-0-0</f>
        <v>954.52539000000002</v>
      </c>
      <c r="T152" s="3">
        <f>435.3+(732.2-203.7)+(-0.222003+(-0.373422--0.103887))+0-0-0</f>
        <v>963.30846199999996</v>
      </c>
      <c r="U152" s="3">
        <f>435.8+(746.6-224.5)+(0.222258+(0.380766-0.114495))+0-0-0</f>
        <v>958.38852900000006</v>
      </c>
      <c r="V152" s="3">
        <f>412.8+(788.2-255.1)+(-0.210528+(-0.401982--0.130101))+0-0-0</f>
        <v>945.41759100000013</v>
      </c>
      <c r="W152" s="3">
        <f>395.2+(868.3-318.6)+(-0.201552+(-0.442833--0.162486))+0-0-0</f>
        <v>944.41810099999987</v>
      </c>
      <c r="X152" s="3">
        <f>325.9+(969.5-363.5)+(-0.498627+(-1.483335--0.556155))+0-0-0</f>
        <v>930.47419300000001</v>
      </c>
      <c r="Y152" s="3">
        <f>228.8+(998.8-300.2)+(0.233376+(1.018776-0.306204))+0-0-0</f>
        <v>928.34594799999991</v>
      </c>
      <c r="Z152" s="3">
        <f>310.1+(920.7-247.8)+(0.158151+(0.469557-0.126378))+0-0-0</f>
        <v>983.50133000000017</v>
      </c>
      <c r="AA152" s="3">
        <f>306.5+(922.8-236.9)+(-0.62526+(-1.882512--0.483276))+0-0-0</f>
        <v>990.37550399999998</v>
      </c>
      <c r="AB152" s="3">
        <f>306.4+(971.9-301.6)+(-0.312528+(-0.991338--0.307632))+0-0-0</f>
        <v>975.70376599999997</v>
      </c>
      <c r="AC152" s="3">
        <f>237.2+(1028.9-295.1)+(0+(0-0))+0-0-0</f>
        <v>971</v>
      </c>
      <c r="AD152" s="2">
        <v>1023.6999999999999</v>
      </c>
      <c r="AE152" s="3">
        <f>313+(942.6-231.9)+(0+(0-0))+0-0-0</f>
        <v>1023.7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103.4+(1015.7-186.8)+(-0.105468+(-1.036014--0.190536))+0-0-0</f>
        <v>931.34905400000002</v>
      </c>
      <c r="G153" s="3">
        <f>8.2+(1159.6-282.8)+(-0.016728+(-2.365584--0.576912))+0-0-0</f>
        <v>883.19460000000004</v>
      </c>
      <c r="H153" s="3">
        <f>0+(1116.5-263.3)+(0+(-0.569415--0.134283))+0-0-0</f>
        <v>852.76486800000009</v>
      </c>
      <c r="I153" s="3">
        <f>0+(1085-253.7)+(0+(0-0))+0-0-0</f>
        <v>831.3</v>
      </c>
      <c r="J153" s="3">
        <f>0+(1096.9-276.2)+(0+(-1.678257--0.422586))+0-0-0</f>
        <v>819.44432900000004</v>
      </c>
      <c r="K153" s="3">
        <f>0+(1048-240.7)+(0+(-2.13792--0.491028))+0-0-0</f>
        <v>805.65310799999997</v>
      </c>
      <c r="L153" s="3">
        <f>0+(1005.4-228.5)+(0+(-4.102032--0.93228))+0-0-0</f>
        <v>773.73024799999996</v>
      </c>
      <c r="M153" s="3">
        <f>0+(900.6-155.8)+(0+(0-0))+0-0-0</f>
        <v>744.8</v>
      </c>
      <c r="N153" s="3">
        <f>0+(910.5-155.9)+(0+(0.92871-0.159018))+0-0-0</f>
        <v>755.36969199999999</v>
      </c>
      <c r="O153" s="3">
        <f>0+(918-132.6)+(0+(-0.46818--0.067626))+0-0-0</f>
        <v>784.99944599999992</v>
      </c>
      <c r="P153" s="3">
        <f>0+(1049.8-227.3)+(0+(-0.535398--0.115923))+0-0-0</f>
        <v>822.08052499999997</v>
      </c>
      <c r="Q153" s="3">
        <f>0+(1075.5-243.8)+(0+(0-0))+0-0-0</f>
        <v>831.7</v>
      </c>
      <c r="R153" s="3">
        <f>0+(1048.2-214.4)+(0+(-0.534582--0.109344))+0-0-0</f>
        <v>833.37476200000003</v>
      </c>
      <c r="S153" s="3">
        <f>0+(1049.5-210.2)+(0+(-1.07049--0.214404))+0-0-0</f>
        <v>838.44391399999995</v>
      </c>
      <c r="T153" s="3">
        <f>0+(1064.9-218.6)+(0+(-2.172396--0.445944))+0-0-0</f>
        <v>844.57354800000007</v>
      </c>
      <c r="U153" s="3">
        <f>0+(1075-232.3)+(0+(1.0965-0.236946))+0-0-0</f>
        <v>843.55955400000005</v>
      </c>
      <c r="V153" s="3">
        <f>27.5+(1071.6-255.4)+(0.042075+(1.639548-0.390762))+0-0-0</f>
        <v>844.99086099999988</v>
      </c>
      <c r="W153" s="3">
        <f>75.6+(1065.2-302.7)+(-0.077112+(-1.086504--0.308754))+0-0-0</f>
        <v>837.245138</v>
      </c>
      <c r="X153" s="3">
        <f>0+(1109.1-276.5)+(0+(-1.696923--0.423045))+0-0-0</f>
        <v>831.32612199999994</v>
      </c>
      <c r="Y153" s="3">
        <f>0+(1065.1-231.3)+(0+(-0.543201--0.117963))+0-0-0</f>
        <v>833.37476199999992</v>
      </c>
      <c r="Z153" s="3">
        <f>0+(1137.3-221.2)+(0+(-1.740069--0.338436))+0-0-0</f>
        <v>914.69836699999996</v>
      </c>
      <c r="AA153" s="3">
        <f>0+(1108.6-167.6)+(0+(-1.696158--0.256428))+0-0-0</f>
        <v>939.56026999999983</v>
      </c>
      <c r="AB153" s="3">
        <f>0+(1020.8-94.9)+(0+(-0.520608--0.048399))+0-0-0</f>
        <v>925.42779099999996</v>
      </c>
      <c r="AC153" s="3">
        <f>0+(1000.8-101.6)+(0+(-0.510408--0.051816))+0-0-0</f>
        <v>898.74140799999998</v>
      </c>
      <c r="AD153" s="2">
        <v>971.40000000000009</v>
      </c>
      <c r="AE153" s="3">
        <f>0+(1183.7-212.3)+(0+(0-0))+0-0-0</f>
        <v>971.40000000000009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0+(1018.2-153.8)+(0+(0.519282-0.078438))+0-0-0</f>
        <v>864.84084400000006</v>
      </c>
      <c r="G154" s="3">
        <f>0+(1063.6-232.5)+(0+(0.542436-0.118575))+0-0-0</f>
        <v>831.5238609999999</v>
      </c>
      <c r="H154" s="3">
        <f>0+(1017.9-208.3)+(0+(-0.519129--0.106233))+0-0-0</f>
        <v>809.18710399999986</v>
      </c>
      <c r="I154" s="3">
        <f>0+(992.5-194)+(0+(-0.506175--0.09894))+0-0-0</f>
        <v>798.09276499999999</v>
      </c>
      <c r="J154" s="3">
        <f>0+(1002.7-208.1)+(0+(-1.534131--0.318393))+0-0-0</f>
        <v>793.38426200000004</v>
      </c>
      <c r="K154" s="3">
        <f>0+(1000.4-211.8)+(0+(0-0))+0-0-0</f>
        <v>788.59999999999991</v>
      </c>
      <c r="L154" s="3">
        <f>0+(1016.3-242.8)+(0+(-2.591565--0.61914))+0-0-0</f>
        <v>771.52757499999996</v>
      </c>
      <c r="M154" s="3">
        <f>0+(983.6-213.1)+(0+(-1.003272--0.217362))+0-0-0</f>
        <v>769.71409000000006</v>
      </c>
      <c r="N154" s="3">
        <f>0+(1001.8-202.7)+(0+(1.021836-0.206754))+0-0-0</f>
        <v>799.91508199999987</v>
      </c>
      <c r="O154" s="3">
        <f>0+(1067.2-205.8)+(0+(-0.544272--0.104958))+0-0-0</f>
        <v>860.96068600000012</v>
      </c>
      <c r="P154" s="3">
        <f>0+(1095.9-199.7)+(0+(1.117818-0.203694))+0-0-0</f>
        <v>897.11412400000006</v>
      </c>
      <c r="Q154" s="3">
        <f>0+(1142.7-226.3)+(0+(-1.165554--0.230826))+0-0-0</f>
        <v>915.46527200000014</v>
      </c>
      <c r="R154" s="3">
        <f>0+(1109.8-183.1)+(0+(-0.565998--0.093381))+0-0-0</f>
        <v>926.22738299999992</v>
      </c>
      <c r="S154" s="3">
        <f>0+(1048.7-138.3)+(0+(-0.534837--0.070533))+0-0-0</f>
        <v>909.93569600000012</v>
      </c>
      <c r="T154" s="3">
        <f>0+(1021.1-104.4)+(0+(-2.083044--0.212976))+0-0-0</f>
        <v>914.8299320000001</v>
      </c>
      <c r="U154" s="3">
        <f>0+(1032.8-115.2)+(0+(0-0))+0-0-0</f>
        <v>917.59999999999991</v>
      </c>
      <c r="V154" s="3">
        <f>0+(1040.1-120.1)+(0+(-0.530451--0.061251))+0-0-0</f>
        <v>919.53079999999989</v>
      </c>
      <c r="W154" s="3">
        <f>0+(1066.8-155.6)+(0+(-2.176272--0.317424))+0-0-0</f>
        <v>909.34115199999997</v>
      </c>
      <c r="X154" s="3">
        <f>0+(1122.3-218.2)+(0+(-1.717119--0.333846))+0-0-0</f>
        <v>902.71672699999988</v>
      </c>
      <c r="Y154" s="3">
        <f>0+(1105.8-205)+(0+(-1.691874--0.31365))+0-0-0</f>
        <v>899.42177599999991</v>
      </c>
      <c r="Z154" s="3">
        <f>0+(1106-126.2)+(0+(-2.25624--0.257448))+0-0-0</f>
        <v>977.80120799999997</v>
      </c>
      <c r="AA154" s="3">
        <f>0+(1078.6-98.2)+(0+(-1.100172--0.100164))+0-0-0</f>
        <v>979.39999199999988</v>
      </c>
      <c r="AB154" s="3">
        <f>0+(1044.9-81.4)+(0+(-2.131596--0.166056))+0-0-0</f>
        <v>961.53446000000008</v>
      </c>
      <c r="AC154" s="3">
        <f>0+(1090.8-141.7)+(0+(0-0))+0-0-0</f>
        <v>949.09999999999991</v>
      </c>
      <c r="AD154" s="2">
        <v>988.2</v>
      </c>
      <c r="AE154" s="3">
        <f>0+(1062.9-74.7)+(0+(0-0))+0-0-0</f>
        <v>988.2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0+(1129.4-233)+(0+(0.575994-0.11883))+0-0-0</f>
        <v>896.85716400000013</v>
      </c>
      <c r="G155" s="3">
        <f>0+(1121.9-261)+(0+(0.572169-0.13311))+0-0-0</f>
        <v>861.33905900000013</v>
      </c>
      <c r="H155" s="3">
        <f>0+(1083.5-256.9)+(0+(0-0))+0-0-0</f>
        <v>826.6</v>
      </c>
      <c r="I155" s="3">
        <f>0+(1038.6-222.2)+(0+(0-0))+0-0-0</f>
        <v>816.39999999999986</v>
      </c>
      <c r="J155" s="3">
        <f>0+(1049.1-237)+(0+(-2.140164--0.48348))+0-0-0</f>
        <v>810.44331599999987</v>
      </c>
      <c r="K155" s="3">
        <f>0+(1048.9-237.5)+(0+(-2.139756--0.4845))+0-0-0</f>
        <v>809.74474400000008</v>
      </c>
      <c r="L155" s="3">
        <f>0+(1030-222.5)+(0+(-4.2024--0.9078))+0-0-0</f>
        <v>804.20540000000005</v>
      </c>
      <c r="M155" s="3">
        <f>14.2+(1003.7-175.9)+(0.014484+(1.023774-0.179418))+0-0-0</f>
        <v>842.8588400000001</v>
      </c>
      <c r="N155" s="3">
        <f>83.6+(998.3-174.2)+(0.085272+(1.018266-0.177684))+0-0-0</f>
        <v>908.62585399999989</v>
      </c>
      <c r="O155" s="3">
        <f>84+(1077.2-213.5)+(0.04284+(0.549372-0.108885))+0-0-0</f>
        <v>948.18332700000008</v>
      </c>
      <c r="P155" s="3">
        <f>133+(1070.4-210.2)+(0.06783+(0.545904-0.107202))+0-0-0</f>
        <v>993.70653200000004</v>
      </c>
      <c r="Q155" s="3">
        <f>180+(1056.1-217.8)+(0.2754+(1.615833-0.333234))+0-0-0</f>
        <v>1019.8579989999999</v>
      </c>
      <c r="R155" s="3">
        <f>257.3+(972.1-201.6)+(-0.131223+(-0.495771--0.102816))+0-0-0</f>
        <v>1027.2758220000001</v>
      </c>
      <c r="S155" s="3">
        <f>342.7+(899.3-224)+(-0.349554+(-0.917286--0.22848))+0-0-0</f>
        <v>1016.96164</v>
      </c>
      <c r="T155" s="3">
        <f>352.6+(929.2-255.5)+(-0.539478+(-1.421676--0.390915))+0-0-0</f>
        <v>1024.7297610000003</v>
      </c>
      <c r="U155" s="3">
        <f>394.1+(941.2-298.9)+(0.200991+(0.480012-0.152439))+0-0-0</f>
        <v>1036.9285640000001</v>
      </c>
      <c r="V155" s="3">
        <f>406+(967.3-370.2)+(-0.20706+(-0.493323--0.188802))+0-0-0</f>
        <v>1002.5884189999999</v>
      </c>
      <c r="W155" s="3">
        <f>421.2+(992.6-423.3)+(-0.214812+(-0.506226--0.215883))+0-0-0</f>
        <v>989.99484500000005</v>
      </c>
      <c r="X155" s="3">
        <f>421.5+(1009.6-463.7)+(-0.644895+(-1.544688--0.709461))+0-0-0</f>
        <v>965.91987800000004</v>
      </c>
      <c r="Y155" s="3">
        <f>310.6+(1019.4-375)+(-0.316812+(-1.039788--0.3825))+0-0-0</f>
        <v>954.02589999999998</v>
      </c>
      <c r="Z155" s="3">
        <f>446.8+(990.2-399.7)+(0.227868+(0.505002-0.203847))+0-0-0</f>
        <v>1037.829023</v>
      </c>
      <c r="AA155" s="3">
        <f>431.3+(931.3-322.7)+(-0.879852+(-1.899852--0.658308))+0-0-0</f>
        <v>1037.7786039999999</v>
      </c>
      <c r="AB155" s="3">
        <f>312.9+(1044.8-343)+(0.159579+(0.532848-0.17493))+0-0-0</f>
        <v>1015.217497</v>
      </c>
      <c r="AC155" s="3">
        <f>297.7+(1028.8-322.7)+(0.303654+(1.049376-0.329154))+0-0-0</f>
        <v>1004.8238759999999</v>
      </c>
      <c r="AD155" s="2">
        <v>1069.0999999999999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105.4+(1212.1-361.8)+(-0.107508+(-1.236342--0.369036))+0-0-0</f>
        <v>954.72518599999989</v>
      </c>
      <c r="G156" s="3">
        <f>45+(1270-402.5)+(-0.02295+(-0.6477--0.205275))+0-0-0</f>
        <v>912.03462500000001</v>
      </c>
      <c r="H156" s="3">
        <f>45+(1193.9-348.4)+(-0.0918+(-2.435556--0.710736))+0-0-0</f>
        <v>888.68338000000017</v>
      </c>
      <c r="I156" s="3">
        <f>45+(1172.3-344.6)+(0.02295+(0.597873-0.175746))+0-0-0</f>
        <v>873.1450769999999</v>
      </c>
      <c r="J156" s="3">
        <f>45+(1189.3-376.8)+(0.1377+(3.639258-1.153008))+0-0-0</f>
        <v>860.12395000000004</v>
      </c>
      <c r="K156" s="3">
        <f>44.9+(1186.6-379.7)+(0.022899+(0.605166-0.193647))+0-0-0</f>
        <v>852.23441799999989</v>
      </c>
      <c r="L156" s="3">
        <f>44.9+(1216.9-412.5)+(-0.091596+(-2.482476--0.8415))+0-0-0</f>
        <v>847.56742800000006</v>
      </c>
      <c r="M156" s="3">
        <f>45+(1204.3-377)+(-0.02295+(-0.614193--0.19227))+0-0-0</f>
        <v>871.85512699999992</v>
      </c>
      <c r="N156" s="3">
        <f>45+(1259.6-376.6)+(0.0459+(1.284792-0.384132))+0-0-0</f>
        <v>928.94655999999986</v>
      </c>
      <c r="O156" s="3">
        <f>45+(1264-327.6)+(0+(0-0))+0-0-0</f>
        <v>981.4</v>
      </c>
      <c r="P156" s="3">
        <f>110+(1218.7-309.4)+(0+(0-0))+0-0-0</f>
        <v>1019.3000000000001</v>
      </c>
      <c r="Q156" s="3">
        <f>165.8+(1185.7-318)+(-0.169116+(-1.209414--0.32436))+0-0-0</f>
        <v>1032.4458299999999</v>
      </c>
      <c r="R156" s="3">
        <f>219+(1115.3-278.3)+(-0.22338+(-1.137606--0.283866))+0-0-0</f>
        <v>1054.9228800000001</v>
      </c>
      <c r="S156" s="3">
        <f>219.1+(1087.1-268)+(-0.223482+(-1.108842--0.27336))+0-0-0</f>
        <v>1037.1410359999998</v>
      </c>
      <c r="T156" s="3">
        <f>300.2+(1018.4-281.4)+(0+(0-0))+0-0-0</f>
        <v>1037.2</v>
      </c>
      <c r="U156" s="3">
        <f>320.7+(1000.5-295.9)+(0.163557+(0.510255-0.150909))+0-0-0</f>
        <v>1025.822903</v>
      </c>
      <c r="V156" s="3">
        <f>319.2+(1025.4-320.8)+(-0.81396+(-2.61477--0.81804))+0-0-0</f>
        <v>1021.1893100000002</v>
      </c>
      <c r="W156" s="3">
        <f>333.2+(1075.7-401.6)+(-0.679728+(-2.194428--0.819264))+0-0-0</f>
        <v>1005.245108</v>
      </c>
      <c r="X156" s="3">
        <f>312+(1123.1-448.5)+(-0.63648+(-2.291124--0.91494))+0-0-0</f>
        <v>984.58733599999994</v>
      </c>
      <c r="Y156" s="3">
        <f>250.5+(1140.6-410.6)+(-0.127755+(-0.581706--0.209406))+0-0-0</f>
        <v>979.99994499999991</v>
      </c>
      <c r="Z156" s="3">
        <f>430.8+(1070.7-449)+(0+(0-0))+0-0-0</f>
        <v>1052.5</v>
      </c>
      <c r="AA156" s="3">
        <f>380.5+(1111.8-435.9)+(-0.970275+(-2.83509--1.111545))+0-0-0</f>
        <v>1053.7061800000001</v>
      </c>
      <c r="AB156" s="3">
        <f>175.5+(1262.2-399.2)+(-0.35802+(-2.574888--0.814368))+0-0-0</f>
        <v>1036.3814600000001</v>
      </c>
      <c r="AC156" s="3">
        <f>107.9+(1275.3-383.1)+(-0.110058+(-1.300806--0.390762))+0-0-0</f>
        <v>999.07989799999996</v>
      </c>
      <c r="AD156" s="2">
        <v>1071.7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4.3+(1392.9-430.8)+(0+(0-0))+0-0-0</f>
        <v>966.40000000000009</v>
      </c>
      <c r="G157" s="3">
        <f>0+(1352.8-429.9)+(0+(0.689928-0.219249))+0-0-0</f>
        <v>923.370679</v>
      </c>
      <c r="H157" s="3">
        <f>0+(1245.1-342.1)+(0+(2.540004-0.697884))+0-0-0</f>
        <v>904.84211999999991</v>
      </c>
      <c r="I157" s="3">
        <f>0+(1253.2-367.4)+(0+(-0.639132--0.187374))+0-0-0</f>
        <v>885.34824200000003</v>
      </c>
      <c r="J157" s="3">
        <f>0+(1227.1-351.3)+(0+(-1.251642--0.358326))+0-0-0</f>
        <v>874.90668399999993</v>
      </c>
      <c r="K157" s="3">
        <f>0+(1194.7-323.9)+(0+(-1.827891--0.495567))+0-0-0</f>
        <v>869.4676760000001</v>
      </c>
      <c r="L157" s="3">
        <f>0+(1189.6-327.9)+(0+(-4.246872--1.170603))+0-0-0</f>
        <v>858.62373099999991</v>
      </c>
      <c r="M157" s="3">
        <f>0+(1169.9-295.6)+(0+(-0.596649--0.150756))+0-0-0</f>
        <v>873.85410700000011</v>
      </c>
      <c r="N157" s="3">
        <f>0+(1270.7-334.7)+(0+(1.944171-0.512091))+0-0-0</f>
        <v>937.43208000000004</v>
      </c>
      <c r="O157" s="3">
        <f>21.6+(1239.9-286.6)+(-0.022032+(-1.264698--0.292332))+0-0-0</f>
        <v>973.90560200000004</v>
      </c>
      <c r="P157" s="3">
        <f>119.5+(1168-283.2)+(-0.060945+(-0.59568--0.144432))+0-0-0</f>
        <v>1003.7878069999999</v>
      </c>
      <c r="Q157" s="3">
        <f>150.6+(1231.6-355.2)+(0.076806+(0.628116-0.181152))+0-0-0</f>
        <v>1027.5237699999998</v>
      </c>
      <c r="R157" s="3">
        <f>234.3+(1238.6-431.5)+(0.119493+(0.631686-0.220065))+0-0-0</f>
        <v>1041.9311139999998</v>
      </c>
      <c r="S157" s="3">
        <f>227+(1232.1-439.8)+(0.23154+(1.256742-0.448596))+0-0-0</f>
        <v>1020.3396859999999</v>
      </c>
      <c r="T157" s="3">
        <f>214.2+(1209.8-408.1)+(-0.436968+(-2.467992--0.832524))+0-0-0</f>
        <v>1013.8275639999998</v>
      </c>
      <c r="U157" s="3">
        <f>166.3+(1269.4-433)+(-0.169626+(-1.294788--0.44166))+0-0-0</f>
        <v>1001.6772460000001</v>
      </c>
      <c r="V157" s="3">
        <f>109.6+(1343.5-455.9)+(-0.055896+(-0.685185--0.232509))+0-0-0</f>
        <v>996.69142800000009</v>
      </c>
      <c r="W157" s="3">
        <f>109.1+(1352.2-480.7)+(-0.166923+(-2.068866--0.735471))+0-0-0</f>
        <v>979.09968200000003</v>
      </c>
      <c r="X157" s="3">
        <f>90.7+(1321.1-460)+(-0.277542+(-4.042566--1.4076))+0-0-0</f>
        <v>948.88749199999995</v>
      </c>
      <c r="Y157" s="3">
        <f>70.9+(1251.5-383.2)+(0+(0-0))+0-0-0</f>
        <v>939.19999999999993</v>
      </c>
      <c r="Z157" s="3">
        <f>110+(1321.2-408.4)+(0.0561+(0.673812-0.208284))+0-0-0</f>
        <v>1023.321628</v>
      </c>
      <c r="AA157" s="3">
        <f>109.1+(1344.7-434.6)+(-0.166923+(-2.057391--0.664938))+0-0-0</f>
        <v>1017.640624</v>
      </c>
      <c r="AB157" s="3">
        <f>108.9+(1331.8-456.9)+(-0.111078+(-1.358436--0.466038))+0-0-0</f>
        <v>982.79652399999998</v>
      </c>
      <c r="AC157" s="3">
        <f>109.6+(1294.9-445.2)+(-0.111792+(-1.320798--0.454104))+0-0-0</f>
        <v>958.32151400000009</v>
      </c>
      <c r="AD157" s="2">
        <v>1031.7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68.4+(1258.4-408)+(0+(0-0))+0-0-0</f>
        <v>918.80000000000007</v>
      </c>
      <c r="G158" s="3">
        <f>40.3+(1217.3-379.9)+(-0.061659+(-1.862469--0.581247))+0-0-0</f>
        <v>876.3571189999999</v>
      </c>
      <c r="H158" s="3">
        <f>0+(1239.8-386.1)+(0+(-1.896894--0.590733))+0-0-0</f>
        <v>852.39383899999996</v>
      </c>
      <c r="I158" s="3">
        <f>0+(1218.8-378.5)+(0+(-2.486352--0.77214))+0-0-0</f>
        <v>838.58578799999998</v>
      </c>
      <c r="J158" s="3">
        <f>0+(1184.1-357.9)+(0+(-3.019455--0.912645))+0-0-0</f>
        <v>824.09318999999994</v>
      </c>
      <c r="K158" s="3">
        <f>0+(1180.3-361.3)+(0+(-0.601953--0.184263))+0-0-0</f>
        <v>818.58231000000001</v>
      </c>
      <c r="L158" s="3">
        <f>0+(1203.3-404.3)+(0+(0-0))+0-0-0</f>
        <v>799</v>
      </c>
      <c r="M158" s="3">
        <f>0+(1179.6-395.9)+(0+(-1.804788--0.605727))+0-0-0</f>
        <v>782.5009389999999</v>
      </c>
      <c r="N158" s="3">
        <f>0+(1178.3-370.6)+(0+(0-0))+0-0-0</f>
        <v>807.69999999999993</v>
      </c>
      <c r="O158" s="3">
        <f>0+(1157.4-313.3)+(0+(0.590274-0.159783))+0-0-0</f>
        <v>844.5304910000001</v>
      </c>
      <c r="P158" s="3">
        <f>0+(1170.3-302.5)+(0+(-1.193706--0.30855))+0-0-0</f>
        <v>866.9148439999999</v>
      </c>
      <c r="Q158" s="3">
        <f>0+(1267-367.6)+(0+(-0.64617--0.187476))+0-0-0</f>
        <v>898.94130599999994</v>
      </c>
      <c r="R158" s="3">
        <f>0+(1288.7-391.4)+(0+(-0.657237--0.199614))+0-0-0</f>
        <v>896.84237700000006</v>
      </c>
      <c r="S158" s="3">
        <f>0+(1279.3-373)+(0+(-1.304886--0.38046))+0-0-0</f>
        <v>905.37557399999992</v>
      </c>
      <c r="T158" s="3">
        <f>0+(1260.3-359.4)+(0+(-1.285506--0.366588))+0-0-0</f>
        <v>899.98108200000001</v>
      </c>
      <c r="U158" s="3">
        <f>0+(1277.6-374.3)+(0+(3.25788-0.954465))+0-0-0</f>
        <v>905.60341499999993</v>
      </c>
      <c r="V158" s="3">
        <f>0+(1277.9-382.5)+(0+(0.651729-0.195075))+0-0-0</f>
        <v>895.85665400000005</v>
      </c>
      <c r="W158" s="3">
        <f>0+(1292.4-397)+(0+(-1.318248--0.40494))+0-0-0</f>
        <v>894.48669200000006</v>
      </c>
      <c r="X158" s="3">
        <f>0+(1278.9-392.3)+(0+(0.652239-0.200073))+0-0-0</f>
        <v>887.05216600000017</v>
      </c>
      <c r="Y158" s="3">
        <f>0+(1228.5-342)+(0+(0.626535-0.17442))+0-0-0</f>
        <v>886.95211500000005</v>
      </c>
      <c r="Z158" s="3">
        <f>0+(1347.5-378)+(0+(0-0))+0-0-0</f>
        <v>969.5</v>
      </c>
      <c r="AA158" s="3">
        <f>0+(1384.8-400.3)+(0+(-4.237488--1.224918))+0-0-0</f>
        <v>981.48743000000002</v>
      </c>
      <c r="AB158" s="3">
        <f>0+(1386.7-424.9)+(0+(-2.828868--0.866796))+0-0-0</f>
        <v>959.83792800000003</v>
      </c>
      <c r="AC158" s="3">
        <f>0+(1394.4-457)+(0+(-0.711144--0.23307))+0-0-0</f>
        <v>936.9219260000001</v>
      </c>
      <c r="AD158" s="2">
        <v>984.59999999999991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0+(1349.4-454.4)+(0+(1.376388-0.463488))+0-0-0</f>
        <v>895.91290000000015</v>
      </c>
      <c r="G159" s="3">
        <f>0+(1294.1-439.5)+(0+(-1.979973--0.672435))+0-0-0</f>
        <v>853.29246199999989</v>
      </c>
      <c r="H159" s="3">
        <f>0+(1238.9-404.9)+(0+(0-0))+0-0-0</f>
        <v>834.00000000000011</v>
      </c>
      <c r="I159" s="3">
        <f>0+(1221.2-397.8)+(0+(-2.491248--0.811512))+0-0-0</f>
        <v>821.72026400000004</v>
      </c>
      <c r="J159" s="3">
        <f>0+(1219.9-396.3)+(0+(-2.488596--0.808452))+0-0-0</f>
        <v>821.9198560000001</v>
      </c>
      <c r="K159" s="3">
        <f>0+(1253.4-429.1)+(0+(0.639234-0.218841))+0-0-0</f>
        <v>824.72039300000006</v>
      </c>
      <c r="L159" s="3">
        <f>0+(1242.4-407.2)+(0+(-1.267248--0.415344))+0-0-0</f>
        <v>834.34809600000006</v>
      </c>
      <c r="M159" s="3">
        <f>0+(1227.2-343.8)+(0+(2.503488-0.701352))+0-0-0</f>
        <v>885.20213600000011</v>
      </c>
      <c r="N159" s="3">
        <f>0+(1310.2-332.2)+(0+(0.668202-0.169422))+0-0-0</f>
        <v>978.49878000000001</v>
      </c>
      <c r="O159" s="3">
        <f>0+(1323.4-301.5)+(0+(1.349868-0.30753))+0-0-0</f>
        <v>1022.9423380000001</v>
      </c>
      <c r="P159" s="3">
        <f>0+(1356.7-300.4)+(0+(0.691917-0.153204))+0-0-0</f>
        <v>1056.8387130000001</v>
      </c>
      <c r="Q159" s="3">
        <f>105+(1330.1-343.9)+(0.16065+(2.035053-0.526167))+0-0-0</f>
        <v>1092.8695359999999</v>
      </c>
      <c r="R159" s="3">
        <f>314.3+(1223.3-441.9)+(-0.480879+(-1.871649--0.676107))+0-0-0</f>
        <v>1094.0235790000002</v>
      </c>
      <c r="S159" s="3">
        <f>329.2+(1172.8-434.6)+(-0.335784+(-1.196256--0.443292))+0-0-0</f>
        <v>1066.311252</v>
      </c>
      <c r="T159" s="3">
        <f>330.3+(1143.2-395.3)+(0.168453+(0.583032-0.201603))+0-0-0</f>
        <v>1078.7498820000001</v>
      </c>
      <c r="U159" s="3">
        <f>330.3+(1152.6-403.9)+(0.168453+(0.587826-0.205989))+0-0-0</f>
        <v>1079.5502899999999</v>
      </c>
      <c r="V159" s="3">
        <f>327.7+(1147.7-407.9)+(-0.668508+(-2.341308--0.832116))+0-0-0</f>
        <v>1065.3223</v>
      </c>
      <c r="W159" s="3">
        <f>266+(1186.3-401.1)+(-0.40698+(-1.815039--0.613683))+0-0-0</f>
        <v>1049.5916639999998</v>
      </c>
      <c r="X159" s="3">
        <f>154+(1242.2-370.5)+(-0.23562+(-1.900566--0.566865))+0-0-0</f>
        <v>1024.1306790000001</v>
      </c>
      <c r="Y159" s="3">
        <f>177.3+(1180.5-335.8)+(-0.090423+(-0.602055--0.171258))+0-0-0</f>
        <v>1021.47878</v>
      </c>
      <c r="Z159" s="3">
        <f>220+(1177.8-337)+(0+(0-0))+0-0-0</f>
        <v>1060.8</v>
      </c>
      <c r="AA159" s="3">
        <f>218.2+(1214.6-404.6)+(-0.55641+(-3.09723--1.03173))+0-0-0</f>
        <v>1025.5780899999997</v>
      </c>
      <c r="AB159" s="3">
        <f>181.8+(1258.8-441.8)+(-0.46359+(-3.20994--1.12659))+0-0-0</f>
        <v>996.25306</v>
      </c>
      <c r="AC159" s="3">
        <f>81.8+(1339-439.2)+(-0.20859+(-3.41445--1.11996))+0-0-0</f>
        <v>979.09691999999995</v>
      </c>
      <c r="AD159" s="2">
        <v>1043.3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45+(1361.9-468.2)+(-0.02295+(-0.694569--0.238782))+0-0-0</f>
        <v>938.22126300000002</v>
      </c>
      <c r="G160" s="3">
        <f>45+(1294.3-440.5)+(0.0918+(2.640372-0.89862))+0-0-0</f>
        <v>900.63355200000001</v>
      </c>
      <c r="H160" s="3">
        <f>45+(1244.2-414.9)+(-0.06885+(-1.903626--0.634797))+0-0-0</f>
        <v>872.96232100000009</v>
      </c>
      <c r="I160" s="3">
        <f>45.1+(1264.4-452.5)+(0.046002+(1.289688-0.46155))+0-0-0</f>
        <v>857.87414000000012</v>
      </c>
      <c r="J160" s="3">
        <f>45.1+(1221.5-402.4)+(-0.092004+(-2.49186--0.820896))+0-0-0</f>
        <v>862.43703200000004</v>
      </c>
      <c r="K160" s="3">
        <f>45.1+(1160.6-359)+(-0.023001+(-0.591906--0.18309))+0-0-0</f>
        <v>846.26818299999991</v>
      </c>
      <c r="L160" s="3">
        <f>45+(1188.1-373.6)+(-0.11475+(-3.029655--0.95268))+0-0-0</f>
        <v>857.30827499999987</v>
      </c>
      <c r="M160" s="3">
        <f>45+(1251.8-405)+(0+(0-0))+0-0-0</f>
        <v>891.8</v>
      </c>
      <c r="N160" s="3">
        <f>45.1+(1297.3-385)+(0.023001+(0.661623-0.19635))+0-0-0</f>
        <v>957.88827400000002</v>
      </c>
      <c r="O160" s="3">
        <f>44.9+(1256.3-332.1)+(0.022899+(0.640713-0.169371))+0-0-0</f>
        <v>969.5942409999999</v>
      </c>
      <c r="P160" s="3">
        <f>225.8+(1188.2-384.2)+(-0.115158+(-0.605982--0.195942))+0-0-0</f>
        <v>1029.2748019999999</v>
      </c>
      <c r="Q160" s="3">
        <f>385.2+(1085.6-403.2)+(0.392904+(1.107312-0.411264))+0-0-0</f>
        <v>1068.688952</v>
      </c>
      <c r="R160" s="3">
        <f>452.9+(986.5-368.4)+(-0.230979+(-0.503115--0.187884))+0-0-0</f>
        <v>1070.45379</v>
      </c>
      <c r="S160" s="3">
        <f>451.4+(962.8-362.3)+(-0.460428+(-0.982056--0.369546))+0-0-0</f>
        <v>1050.8270620000001</v>
      </c>
      <c r="T160" s="3">
        <f>451.9+(979-371.5)+(0+(0-0))+0-0-0</f>
        <v>1059.4000000000001</v>
      </c>
      <c r="U160" s="3">
        <f>439+(994.4-376.8)+(0.22389+(0.507144-0.192168))+0-0-0</f>
        <v>1057.138866</v>
      </c>
      <c r="V160" s="3">
        <f>435.2+(994.7-394.6)+(-0.221952+(-0.507297--0.201246))+0-0-0</f>
        <v>1034.7719970000001</v>
      </c>
      <c r="W160" s="3">
        <f>407.5+(1050.6-431.6)+(-0.41565+(-1.071612--0.440232))+0-0-0</f>
        <v>1025.4529700000001</v>
      </c>
      <c r="X160" s="3">
        <f>318.5+(1106.3-418.9)+(0.32487+(1.128426-0.427278))+0-0-0</f>
        <v>1006.926018</v>
      </c>
      <c r="Y160" s="3">
        <f>285.5+(1125.4-416.8)+(0.145605+(0.573954-0.212568))+0-0-0</f>
        <v>994.60699100000011</v>
      </c>
      <c r="Z160" s="3">
        <f>335.5+(1173.5-437)+(-0.34221+(-1.19697--0.44574))+0-0-0</f>
        <v>1070.9065599999999</v>
      </c>
      <c r="AA160" s="3">
        <f>334.2+(1134.5-411.7)+(-0.511326+(-1.735785--0.629901))+0-0-0</f>
        <v>1055.3827900000001</v>
      </c>
      <c r="AB160" s="3">
        <f>229.2+(1203.6-406.3)+(-0.350676+(-1.841508--0.621639))+0-0-0</f>
        <v>1024.929455</v>
      </c>
      <c r="AC160" s="3">
        <f>113.6+(1251.3-364.5)+(-0.28968+(-3.190815--0.929475))+0-0-0</f>
        <v>997.84897999999998</v>
      </c>
      <c r="AD160" s="2">
        <v>1099.4000000000001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115.3+(1250.1-413.3)+(0+(0-0))+0-0-0</f>
        <v>952.09999999999991</v>
      </c>
      <c r="G161" s="3">
        <f>114.8+(1170.7-364.5)+(-0.058548+(-0.597057--0.185895))+0-0-0</f>
        <v>920.53029000000004</v>
      </c>
      <c r="H161" s="3">
        <f>115.1+(1183.9-402.9)+(0+(0-0))+0-0-0</f>
        <v>896.10000000000014</v>
      </c>
      <c r="I161" s="3">
        <f>114.6+(1159.8-387.4)+(-0.233784+(-2.365992--0.790296))+0-0-0</f>
        <v>885.19051999999999</v>
      </c>
      <c r="J161" s="3">
        <f>114.8+(1151.2-377)+(0+(0-0))+0-0-0</f>
        <v>889</v>
      </c>
      <c r="K161" s="3">
        <f>113.9+(1138.2-372.5)+(-0.290445+(-2.90241--0.949875))+0-0-0</f>
        <v>877.35702000000003</v>
      </c>
      <c r="L161" s="3">
        <f>57.3+(1172.9-354.2)+(-0.146115+(-2.990895--0.90321))+0-0-0</f>
        <v>873.76620000000003</v>
      </c>
      <c r="M161" s="3">
        <f>45.1+(1185.7-322.3)+(0.023001+(0.604707-0.164373))+0-0-0</f>
        <v>908.96333500000014</v>
      </c>
      <c r="N161" s="3">
        <f>45.1+(1244.1-315)+(0+(0-0))+0-0-0</f>
        <v>974.19999999999993</v>
      </c>
      <c r="O161" s="3">
        <f>104.9+(1195.7-285.8)+(0.106998+(1.219614-0.291516))+0-0-0</f>
        <v>1015.835096</v>
      </c>
      <c r="P161" s="3">
        <f>296.7+(1082-327)+(0+(0-0))+0-0-0</f>
        <v>1051.7</v>
      </c>
      <c r="Q161" s="3">
        <f>311.8+(1092-332.7)+(0.159018+(0.55692-0.169677))+0-0-0</f>
        <v>1071.6462609999999</v>
      </c>
      <c r="R161" s="3">
        <f>311.4+(1035.8-262.1)+(-0.317628+(-1.056516--0.267342))+0-0-0</f>
        <v>1083.9931979999999</v>
      </c>
      <c r="S161" s="3">
        <f>311.6+(965.4-235.8)+(-0.158916+(-0.492354--0.120258))+0-0-0</f>
        <v>1040.6689879999999</v>
      </c>
      <c r="T161" s="3">
        <f>311.4+(925.8-177.6)+(-0.317628+(-0.944316--0.181152))+0-0-0</f>
        <v>1058.5192079999999</v>
      </c>
      <c r="U161" s="3">
        <f>310.1+(917.1-182.6)+(0.474453+(1.403163-0.279378))+0-0-0</f>
        <v>1046.1982379999999</v>
      </c>
      <c r="V161" s="3">
        <f>302.6+(913.2-171.4)+(0+(0-0))+0-0-0</f>
        <v>1044.4000000000001</v>
      </c>
      <c r="W161" s="3">
        <f>302+(946.2-217)+(-0.46206+(-1.447686--0.33201))+0-0-0</f>
        <v>1029.6222640000001</v>
      </c>
      <c r="X161" s="3">
        <f>302.6+(1015.3-299.9)+(-1.080282+(-3.624621--1.070643))+0-0-0</f>
        <v>1014.36574</v>
      </c>
      <c r="Y161" s="3">
        <f>300.1+(990.7-288.4)+(0+(0-0))+0-0-0</f>
        <v>1002.4000000000001</v>
      </c>
      <c r="Z161" s="3">
        <f>330.2+(1035-290.1)+(0.168402+(0.52785-0.147951))+0-0-0</f>
        <v>1075.6483009999999</v>
      </c>
      <c r="AA161" s="3">
        <f>328.8+(1027.3-277.9)+(-0.670752+(-2.095692--0.566916))+0-0-0</f>
        <v>1076.0004719999999</v>
      </c>
      <c r="AB161" s="3">
        <f>330.5+(1049.4-338.5)+(0+(0-0))+0-0-0</f>
        <v>1041.4000000000001</v>
      </c>
      <c r="AC161" s="3">
        <f>329.5+(1080.5-400.5)+(-0.168045+(-0.551055--0.204255))+0-0-0</f>
        <v>1008.985155</v>
      </c>
      <c r="AD161" s="2">
        <v>1095.5999999999999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190.7+(1179.4-405.2)+(-0.194514+(-1.202988--0.413304))+0-0-0</f>
        <v>963.9158020000001</v>
      </c>
      <c r="G162" s="3">
        <f>2.4+(1308.8-388.5)+(-0.001224+(-0.667488--0.198135))+0-0-0</f>
        <v>922.22942299999988</v>
      </c>
      <c r="H162" s="3">
        <f>0+(1253.4-350.8)+(0+(-1.917702--0.536724))+0-0-0</f>
        <v>901.21902200000011</v>
      </c>
      <c r="I162" s="3">
        <f>0+(1252.6-369.7)+(0+(-0.638826--0.188547))+0-0-0</f>
        <v>882.44972099999984</v>
      </c>
      <c r="J162" s="3">
        <f>0+(1291.7-419)+(0+(1.976301-0.64107))+0-0-0</f>
        <v>874.03523100000007</v>
      </c>
      <c r="K162" s="3">
        <f>0+(1221.1-370.6)+(0+(1.868283-0.567018))+0-0-0</f>
        <v>851.80126499999983</v>
      </c>
      <c r="L162" s="3">
        <f>0+(1233.3-370.4)+(0+(1.257966-0.377808))+0-0-0</f>
        <v>863.78015800000003</v>
      </c>
      <c r="M162" s="3">
        <f>0+(1206.4-298.1)+(0+(0-0))+0-0-0</f>
        <v>908.30000000000007</v>
      </c>
      <c r="N162" s="3">
        <f>0+(1310.3-338.2)+(0+(-2.004759--0.517446))+0-0-0</f>
        <v>970.61268699999994</v>
      </c>
      <c r="O162" s="3">
        <f>0+(1338.1-309.5)+(0+(0.682431-0.157845))+0-0-0</f>
        <v>1029.1245859999999</v>
      </c>
      <c r="P162" s="3">
        <f>2.4+(1342-281.1)+(0.00612+(3.4221-0.716805))+0-0-0</f>
        <v>1066.0114150000002</v>
      </c>
      <c r="Q162" s="3">
        <f>184.9+(1163.5-269.1)+(0.094299+(0.593385-0.137241))+0-0-0</f>
        <v>1079.850443</v>
      </c>
      <c r="R162" s="3">
        <f>322+(1012.3-246.5)+(-0.16422+(-0.516273--0.125715))+0-0-0</f>
        <v>1087.245222</v>
      </c>
      <c r="S162" s="3">
        <f>325+(966.9-226)+(0+(0-0))+0-0-0</f>
        <v>1065.9000000000001</v>
      </c>
      <c r="T162" s="3">
        <f>324.2+(937.3-188.6)+(-0.165342+(-0.478023--0.096186))+0-0-0</f>
        <v>1072.3528209999999</v>
      </c>
      <c r="U162" s="3">
        <f>330.9+(969.7-194.1)+(-0.168759+(-0.494547--0.098991))+0-0-0</f>
        <v>1105.9356849999999</v>
      </c>
      <c r="V162" s="3">
        <f>340.6+(994.5-243.1)+(-0.347412+(-1.01439--0.247962))+0-0-0</f>
        <v>1090.88616</v>
      </c>
      <c r="W162" s="3">
        <f>341.1+(1000-267.1)+(-0.173961+(-0.51--0.136221))+0-0-0</f>
        <v>1073.45226</v>
      </c>
      <c r="X162" s="3">
        <f>341.5+(1019.4-312.7)+(-0.522495+(-1.559682--0.478431))+0-0-0</f>
        <v>1046.596254</v>
      </c>
      <c r="Y162" s="3">
        <f>326.2+(1024.9-318.6)+(0+(0-0))+0-0-0</f>
        <v>1032.5</v>
      </c>
      <c r="Z162" s="3">
        <f>325.4+(1096.5-312.3)+(-0.331908+(-1.11843--0.318546))+0-0-0</f>
        <v>1108.468208</v>
      </c>
      <c r="AA162" s="3">
        <f>325.3+(1122.1-349.9)+(-0.165903+(-0.572271--0.178449))+0-0-0</f>
        <v>1096.9402749999999</v>
      </c>
      <c r="AB162" s="3">
        <f>326.3+(1113.2-372.9)+(-0.166413+(-0.567732--0.190179))+0-0-0</f>
        <v>1066.0560340000002</v>
      </c>
      <c r="AC162" s="3">
        <f>318+(1111.3-391.4)+(-0.48654+(-1.700289--0.598842))+0-0-0</f>
        <v>1036.312013</v>
      </c>
      <c r="AD162" s="2">
        <v>1115.9000000000001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29.5+(1315.9-340.7)+(-0.03009+(-1.342218--0.347514))+0-0-0</f>
        <v>1003.675206</v>
      </c>
      <c r="G163" s="3">
        <f>0+(1320.5-351.4)+(0+(-2.69382--0.716856))+0-0-0</f>
        <v>967.12303600000007</v>
      </c>
      <c r="H163" s="3">
        <f>0+(1289.2-363.9)+(0+(-1.972476--0.556767))+0-0-0</f>
        <v>923.88429100000008</v>
      </c>
      <c r="I163" s="3">
        <f>0+(1294.6-380.7)+(0+(-3.30123--0.970785))+0-0-0</f>
        <v>911.56955499999981</v>
      </c>
      <c r="J163" s="3">
        <f>0+(1205.7-299.8)+(0+(2.459628-0.611592))+0-0-0</f>
        <v>907.74803600000007</v>
      </c>
      <c r="K163" s="3">
        <f>0+(1198.7-303.4)+(0+(1.222674-0.309468))+0-0-0</f>
        <v>896.21320600000001</v>
      </c>
      <c r="L163" s="3">
        <f>0+(1161.9-255.3)+(0+(-1.777707--0.390609))+0-0-0</f>
        <v>905.2129020000001</v>
      </c>
      <c r="M163" s="3">
        <f>0+(1195.1-250.5)+(0+(0.609501-0.127755))+0-0-0</f>
        <v>945.08174599999995</v>
      </c>
      <c r="N163" s="3">
        <f>11.1+(1312.7-314.2)+(0+(0-0))+0-0-0</f>
        <v>1009.6</v>
      </c>
      <c r="O163" s="3">
        <f>153.5+(1248-325.7)+(0.078285+(0.63648-0.166107))+0-0-0</f>
        <v>1076.3486579999999</v>
      </c>
      <c r="P163" s="3">
        <f>308.2+(1158.6-356.5)+(0.157182+(0.590886-0.181815))+0-0-0</f>
        <v>1110.8662529999999</v>
      </c>
      <c r="Q163" s="3">
        <f>364.3+(1141.6-398.2)+(0.557379+(1.746648-0.609246))+0-0-0</f>
        <v>1109.3947809999997</v>
      </c>
      <c r="R163" s="3">
        <f>414.4+(1051.7-360.4)+(0.422688+(1.072734-0.367608))+0-0-0</f>
        <v>1106.827814</v>
      </c>
      <c r="S163" s="3">
        <f>413.4+(976.7-310.7)+(0.210834+(0.498117-0.158457))+0-0-0</f>
        <v>1079.9504940000002</v>
      </c>
      <c r="T163" s="3">
        <f>413.6+(929.2-259.1)+(0+(0-0))+0-0-0</f>
        <v>1083.7</v>
      </c>
      <c r="U163" s="3">
        <f>412.6+(947-289.2)+(-0.210426+(-0.48297--0.147492))+0-0-0</f>
        <v>1069.854096</v>
      </c>
      <c r="V163" s="3">
        <f>407.8+(986.1-335.5)+(-1.03989+(-2.514555--0.855525))+0-0-0</f>
        <v>1055.70108</v>
      </c>
      <c r="W163" s="3">
        <f>409.8+(1086.2-450.2)+(-1.253988+(-3.323772--1.377612))+0-0-0</f>
        <v>1042.5998520000001</v>
      </c>
      <c r="X163" s="3">
        <f>413.7+(1130.6-526.2)+(-0.632961+(-1.729818--0.805086))+0-0-0</f>
        <v>1016.5423069999999</v>
      </c>
      <c r="Y163" s="3">
        <f>428.8+(1097.7-500)+(0.218688+(0.559827-0.255))+0-0-0</f>
        <v>1027.0235150000001</v>
      </c>
      <c r="Z163" s="3">
        <f>438.4+(1109.8-448.1)+(-0.447168+(-1.131996--0.457062))+0-0-0</f>
        <v>1098.9778979999999</v>
      </c>
      <c r="AA163" s="3">
        <f>437.5+(1100.7-444.4)+(-0.8925+(-2.245428--0.906576))+0-0-0</f>
        <v>1091.5686480000002</v>
      </c>
      <c r="AB163" s="3">
        <f>434.2+(1056.9-423.9)+(-0.664326+(-1.617057--0.648567))+0-0-0</f>
        <v>1065.567184</v>
      </c>
      <c r="AC163" s="3">
        <f>441.7+(984.4-391.2)+(0.675801+(1.506132-0.598536))+0-0-0</f>
        <v>1036.4833970000002</v>
      </c>
      <c r="AD163" s="2">
        <v>1108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376.1+(1004-398.1)+(-0.383622+(-1.02408--0.406062))+0-0-0</f>
        <v>980.99836000000005</v>
      </c>
      <c r="G164" s="3">
        <f>331.1+(946.1-348)+(0.168861+(0.482511-0.17748))+0-0-0</f>
        <v>929.67389200000002</v>
      </c>
      <c r="H164" s="3">
        <f>331.9+(882.9-311.2)+(0.338538+(0.900558-0.317424))+0-0-0</f>
        <v>904.52167199999997</v>
      </c>
      <c r="I164" s="3">
        <f>329.5+(875.7-323.1)+(-0.33609+(-0.893214--0.329562))+0-0-0</f>
        <v>881.20025800000008</v>
      </c>
      <c r="J164" s="3">
        <f>333.8+(936.7-397.1)+(1.021428+(2.866302-1.215126))+0-0-0</f>
        <v>876.07260400000007</v>
      </c>
      <c r="K164" s="3">
        <f>298.9+(936.4-366.8)+(0.609756+(1.910256-0.748272))+0-0-0</f>
        <v>870.27173999999991</v>
      </c>
      <c r="L164" s="3">
        <f>167.3+(962.7-259.2)+(0.170646+(0.981954-0.264384))+0-0-0</f>
        <v>871.68821600000001</v>
      </c>
      <c r="M164" s="3">
        <f>136.2+(992.6-241.8)+(0.416772+(3.037356-0.739908))+0-0-0</f>
        <v>889.71421999999995</v>
      </c>
      <c r="N164" s="3">
        <f>269.8+(959-263.2)+(0.412794+(1.46727-0.402696))+0-0-0</f>
        <v>967.07736799999986</v>
      </c>
      <c r="O164" s="3">
        <f>364.6+(995.5-340.2)+(0+(0-0))+0-0-0</f>
        <v>1019.9</v>
      </c>
      <c r="P164" s="3">
        <f>384.9+(1089.1-411.4)+(0.196299+(0.555441-0.209814))+0-0-0</f>
        <v>1063.141926</v>
      </c>
      <c r="Q164" s="3">
        <f>440.3+(1066.8-416.5)+(0.224553+(0.544068-0.212415))+0-0-0</f>
        <v>1091.1562059999999</v>
      </c>
      <c r="R164" s="3">
        <f>437.5+(983.1-330.8)+(-0.669375+(-1.504143--0.506124))+0-0-0</f>
        <v>1088.1326059999999</v>
      </c>
      <c r="S164" s="3">
        <f>433.3+(919.1-297.8)+(-0.662949+(-1.406223--0.455634))+0-0-0</f>
        <v>1052.9864619999998</v>
      </c>
      <c r="T164" s="3">
        <f>436.9+(929.8-309.6)+(-0.222819+(-0.474198--0.157896))+0-0-0</f>
        <v>1056.5608789999999</v>
      </c>
      <c r="U164" s="3">
        <f>436.3+(953.3-339)+(0+(0-0))+0-0-0</f>
        <v>1050.5999999999999</v>
      </c>
      <c r="V164" s="3">
        <f>432.6+(1001.5-399.9)+(-0.220626+(-0.510765--0.203949))+0-0-0</f>
        <v>1033.672558</v>
      </c>
      <c r="W164" s="3">
        <f>431.4+(1031-448.6)+(0+(0-0))+0-0-0</f>
        <v>1013.8</v>
      </c>
      <c r="X164" s="3">
        <f>378.2+(1094.9-488.3)+(-0.578646+(-1.675197--0.747099))+0-0-0</f>
        <v>983.29325600000016</v>
      </c>
      <c r="Y164" s="3">
        <f>379.8+(1088.2-467.6)+(0+(0-0))+0-0-0</f>
        <v>1000.4000000000001</v>
      </c>
      <c r="Z164" s="3">
        <f>441.2+(1080.8-445.8)+(0+(0-0))+0-0-0</f>
        <v>1076.2</v>
      </c>
      <c r="AA164" s="3">
        <f>405.8+(1095.2-434.6)+(-0.620874+(-1.675656--0.664938))+0-0-0</f>
        <v>1064.7684080000001</v>
      </c>
      <c r="AB164" s="3">
        <f>355.6+(1100.8-417.6)+(-0.90678+(-2.80704--1.06488))+0-0-0</f>
        <v>1036.1510599999999</v>
      </c>
      <c r="AC164" s="3">
        <f>183.1+(1141.6-322.1)+(-0.186762+(-1.164432--0.328542))+0-0-0</f>
        <v>1001.5773479999999</v>
      </c>
      <c r="AD164" s="2">
        <v>1089.5999999999999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61+(1182.9-283.9)+(-0.09333+(-1.809837--0.434367))+0-0-0</f>
        <v>958.53120000000013</v>
      </c>
      <c r="G165" s="3">
        <f>0+(1195.6-263.4)+(0+(-1.829268--0.403002))+0-0-0</f>
        <v>930.77373399999988</v>
      </c>
      <c r="H165" s="3">
        <f>0+(1190.7-290.7)+(0+(-1.214514--0.296514))+0-0-0</f>
        <v>899.08199999999999</v>
      </c>
      <c r="I165" s="3">
        <f>0+(1174.4-303.4)+(0+(0.598944-0.154734))+0-0-0</f>
        <v>871.44421000000011</v>
      </c>
      <c r="J165" s="3">
        <f>0+(1177.5-320.2)+(0+(-2.4021--0.653208))+0-0-0</f>
        <v>855.551108</v>
      </c>
      <c r="K165" s="3">
        <f>0+(1175.2-330)+(0+(-1.798056--0.5049))+0-0-0</f>
        <v>843.90684400000009</v>
      </c>
      <c r="L165" s="3">
        <f>0+(1123.4-303.2)+(0+(-2.86467--0.77316))+0-0-0</f>
        <v>818.10849000000007</v>
      </c>
      <c r="M165" s="3">
        <f>0+(1100.3-314.7)+(0+(0.561153-0.160497))+0-0-0</f>
        <v>786.00065599999994</v>
      </c>
      <c r="N165" s="3">
        <f>0+(1105.8-287.1)+(0+(0.563958-0.146421))+0-0-0</f>
        <v>819.11753699999997</v>
      </c>
      <c r="O165" s="3">
        <f>0+(1188.7-329.1)+(0+(-1.212474--0.335682))+0-0-0</f>
        <v>858.723208</v>
      </c>
      <c r="P165" s="3">
        <f>0+(1217.6-330.8)+(0+(0-0))+0-0-0</f>
        <v>886.8</v>
      </c>
      <c r="Q165" s="3">
        <f>0+(1279.5-366.5)+(0+(0-0))+0-0-0</f>
        <v>913</v>
      </c>
      <c r="R165" s="3">
        <f>0+(1318.9-397.6)+(0+(-0.672639--0.202776))+0-0-0</f>
        <v>920.83013700000004</v>
      </c>
      <c r="S165" s="3">
        <f>0+(1351.1-427.7)+(0+(-2.067183--0.654381))+0-0-0</f>
        <v>921.98719799999981</v>
      </c>
      <c r="T165" s="3">
        <f>0+(1343-425.1)+(0+(-2.73972--0.867204))+0-0-0</f>
        <v>916.02748399999996</v>
      </c>
      <c r="U165" s="3">
        <f>0+(1335.6-421.4)+(0+(0.681156-0.214914))+0-0-0</f>
        <v>914.6662419999999</v>
      </c>
      <c r="V165" s="3">
        <f>0+(1339.1-418.7)+(0+(-3.414705--1.067685))+0-0-0</f>
        <v>918.05297999999982</v>
      </c>
      <c r="W165" s="3">
        <f>0+(1303.4-394.1)+(0+(-3.32367--1.004955))+0-0-0</f>
        <v>906.98128500000007</v>
      </c>
      <c r="X165" s="3">
        <f>0+(1282.1-394.4)+(0+(-1.307742--0.402288))+0-0-0</f>
        <v>886.79454599999997</v>
      </c>
      <c r="Y165" s="3">
        <f>0+(1279-374.1)+(0+(0.65229-0.190791))+0-0-0</f>
        <v>905.36149899999998</v>
      </c>
      <c r="Z165" s="3">
        <f>0+(1315-343)+(0+(0-0))+0-0-0</f>
        <v>972</v>
      </c>
      <c r="AA165" s="3">
        <f>0+(1260-266.9)+(0+(-2.5704--0.544476))+0-0-0</f>
        <v>991.07407599999999</v>
      </c>
      <c r="AB165" s="3">
        <f>0+(1241.7-253.1)+(0+(0-0))+0-0-0</f>
        <v>988.6</v>
      </c>
      <c r="AC165" s="3">
        <f>0+(1250.2-292)+(0+(-0.637602--0.14892))+0-0-0</f>
        <v>957.71131800000001</v>
      </c>
      <c r="AD165" s="2">
        <v>1004.1999999999999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0+(1264.6-353.3)+(0+(-1.289892--0.360366))+0-0-0</f>
        <v>910.37047399999994</v>
      </c>
      <c r="G166" s="3">
        <f>0+(1308.7-434.9)+(0+(-0.667437--0.221799))+0-0-0</f>
        <v>873.35436200000004</v>
      </c>
      <c r="H166" s="3">
        <f>0+(1267.9-412.7)+(0+(-1.293258--0.420954))+0-0-0</f>
        <v>854.32769600000006</v>
      </c>
      <c r="I166" s="3">
        <f>0+(1239.4-402)+(0+(1.896282-0.61506))+0-0-0</f>
        <v>838.68122200000005</v>
      </c>
      <c r="J166" s="3">
        <f>0+(1268.4-441.3)+(0+(-0.646884--0.225063))+0-0-0</f>
        <v>826.67817900000011</v>
      </c>
      <c r="K166" s="3">
        <f>0+(1262.7-435)+(0+(-3.219885--1.10925))+0-0-0</f>
        <v>825.58936500000004</v>
      </c>
      <c r="L166" s="3">
        <f>0+(1236.1-379)+(0+(-2.521644--0.77316))+0-0-0</f>
        <v>855.35151599999995</v>
      </c>
      <c r="M166" s="3">
        <f>0+(1241.1-342.6)+(0+(0.632961-0.174726))+0-0-0</f>
        <v>898.95823499999983</v>
      </c>
      <c r="N166" s="3">
        <f>0+(1289.7-308.7)+(0+(0-0))+0-0-0</f>
        <v>981</v>
      </c>
      <c r="O166" s="3">
        <f>0+(1346.3-317.4)+(0+(0-0))+0-0-0</f>
        <v>1028.9000000000001</v>
      </c>
      <c r="P166" s="3">
        <f>147.4+(1282.1-347.3)+(0.150348+(1.307742-0.354246))+0-0-0</f>
        <v>1083.303844</v>
      </c>
      <c r="Q166" s="3">
        <f>219.9+(1267.8-379.5)+(0+(0-0))+0-0-0</f>
        <v>1108.2</v>
      </c>
      <c r="R166" s="3">
        <f>355+(1163.2-420.3)+(0+(0-0))+0-0-0</f>
        <v>1097.9000000000001</v>
      </c>
      <c r="S166" s="3">
        <f>438+(1098.3-452.8)+(-0.89352+(-2.240532--0.923712))+0-0-0</f>
        <v>1081.2896599999999</v>
      </c>
      <c r="T166" s="3">
        <f>438.9+(1105.2-457.7)+(-0.671517+(-1.690956--0.700281))+0-0-0</f>
        <v>1084.7378080000001</v>
      </c>
      <c r="U166" s="3">
        <f>440.4+(1121-476.3)+(0.224604+(0.57171-0.242913))+0-0-0</f>
        <v>1085.6534009999998</v>
      </c>
      <c r="V166" s="3">
        <f>440.5+(1133.4-502.6)+(0.224655+(0.578034-0.256326))+0-0-0</f>
        <v>1071.8463630000001</v>
      </c>
      <c r="W166" s="3">
        <f>428.9+(1155.7-520.8)+(0+(0-0))+0-0-0</f>
        <v>1063.8000000000002</v>
      </c>
      <c r="X166" s="3">
        <f>264.5+(1203.7-431.8)+(0.26979+(1.227774-0.440436))+0-0-0</f>
        <v>1037.457128</v>
      </c>
      <c r="Y166" s="3">
        <f>219.6+(1186.8-387.1)+(0+(0-0))+0-0-0</f>
        <v>1019.3</v>
      </c>
      <c r="Z166" s="3">
        <f>415.7+(1124.1-451.9)+(-0.212007+(-0.573291--0.230469))+0-0-0</f>
        <v>1087.3451709999999</v>
      </c>
      <c r="AA166" s="3">
        <f>426.1+(1106.4-462.1)+(-0.217311+(-0.564264--0.235671))+0-0-0</f>
        <v>1069.854096</v>
      </c>
      <c r="AB166" s="3">
        <f>178.3+(1292-430.9)+(-0.181866+(-1.31784--0.439518))+0-0-0</f>
        <v>1038.3398120000002</v>
      </c>
      <c r="AC166" s="3">
        <f>45+(1331.7-377.6)+(-0.0459+(-1.358334--0.385152))+0-0-0</f>
        <v>998.080918</v>
      </c>
      <c r="AD166" s="2">
        <v>1184.5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45+(1196.9-294.6)+(-0.06885+(-1.831257--0.450738))+0-0-0</f>
        <v>945.85063100000002</v>
      </c>
      <c r="G167" s="3">
        <f>45+(1182.8-312.8)+(-0.11475+(-3.01614--0.79764))+0-0-0</f>
        <v>912.66674999999998</v>
      </c>
      <c r="H167" s="3">
        <f>44.9+(1108.8-261.5)+(-0.045798+(-1.130976--0.26673))+0-0-0</f>
        <v>891.28995599999996</v>
      </c>
      <c r="I167" s="3">
        <f>45+(1096.3-264.6)+(-0.0918+(-2.236452--0.539784))+0-0-0</f>
        <v>874.91153199999997</v>
      </c>
      <c r="J167" s="3">
        <f>45+(1114.6-288.2)+(-0.02295+(-0.568446--0.146982))+0-0-0</f>
        <v>870.95558599999981</v>
      </c>
      <c r="K167" s="3">
        <f>45+(1101.5-277.9)+(-0.02295+(-0.561765--0.141729))+0-0-0</f>
        <v>868.157014</v>
      </c>
      <c r="L167" s="3">
        <f>45+(1109.7-266.1)+(-0.16065+(-3.961629--0.949977))+0-0-0</f>
        <v>885.42769800000008</v>
      </c>
      <c r="M167" s="3">
        <f>45+(1132.7-258.4)+(0.02295+(0.577677-0.131784))+0-0-0</f>
        <v>919.76884300000006</v>
      </c>
      <c r="N167" s="3">
        <f>60.9+(1157.9-239.2)+(-0.031059+(-0.590529--0.121992))+0-0-0</f>
        <v>979.10040400000003</v>
      </c>
      <c r="O167" s="3">
        <f>115.1+(1222.6-312.4)+(0+(0-0))+0-0-0</f>
        <v>1025.3</v>
      </c>
      <c r="P167" s="3">
        <f>141.9+(1224.8-321.6)+(-0.072369+(-0.624648--0.164016))+0-0-0</f>
        <v>1044.5669989999999</v>
      </c>
      <c r="Q167" s="3">
        <f>250.6+(1155.9-346.1)+(-0.127806+(-0.589509--0.176511))+0-0-0</f>
        <v>1059.8591960000001</v>
      </c>
      <c r="R167" s="3">
        <f>344.1+(1117.2-386.2)+(-0.350982+(-1.139544--0.393924))+0-0-0</f>
        <v>1074.0033979999998</v>
      </c>
      <c r="S167" s="3">
        <f>344.5+(1130.7-424.7)+(-0.175695+(-0.576657--0.216597))+0-0-0</f>
        <v>1049.9642449999999</v>
      </c>
      <c r="T167" s="3">
        <f>343.1+(1140.9-420.9)+(-0.874905+(-2.909295--1.073295))+0-0-0</f>
        <v>1060.3890950000002</v>
      </c>
      <c r="U167" s="3">
        <f>344.1+(1142.7-435.4)+(-0.350982+(-1.165554--0.444108))+0-0-0</f>
        <v>1050.3275720000001</v>
      </c>
      <c r="V167" s="3">
        <f>344.5+(1112.9-414.5)+(-0.175695+(-0.567579--0.211395))+0-0-0</f>
        <v>1042.3681210000002</v>
      </c>
      <c r="W167" s="3">
        <f>344.9+(1055.9-393.5)+(-0.879495+(-2.692545--1.003425))+0-0-0</f>
        <v>1004.731385</v>
      </c>
      <c r="X167" s="3">
        <f>302.1+(1055.9-378.6)+(-0.616284+(-2.154036--0.772344))+0-0-0</f>
        <v>977.4020240000001</v>
      </c>
      <c r="Y167" s="3">
        <f>243.5+(1066.6-325.2)+(0.124185+(0.543966-0.165852))+0-0-0</f>
        <v>985.40229899999986</v>
      </c>
      <c r="Z167" s="3">
        <f>366.1+(1094.9-406.8)+(0+(0-0))+0-0-0</f>
        <v>1054.2000000000003</v>
      </c>
      <c r="AA167" s="3">
        <f>310.6+(1145.5-410.3)+(-1.108842+(-4.089435--1.464771))+0-0-0</f>
        <v>1042.0664940000001</v>
      </c>
      <c r="AB167" s="3">
        <f>22+(1288.5-301.8)+(-0.03366+(-1.971405--0.461754))+0-0-0</f>
        <v>1007.156689</v>
      </c>
      <c r="AC167" s="3">
        <f>0+(1354.7-376.5)+(0+(-2.072691--0.576045))+0-0-0</f>
        <v>976.70335399999999</v>
      </c>
      <c r="AD167" s="2">
        <v>1051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0+(1355.5-416)+(0+(-3.456525--1.0608))+0-0-0</f>
        <v>937.10427500000003</v>
      </c>
      <c r="G168" s="3">
        <f>0+(1347.9-437)+(0+(-4.124574--1.33722))+0-0-0</f>
        <v>908.11264600000004</v>
      </c>
      <c r="H168" s="3">
        <f>0+(1284.8-405.9)+(0+(-1.965744--0.621027))+0-0-0</f>
        <v>877.55528300000003</v>
      </c>
      <c r="I168" s="3">
        <f>0+(1237.4-369.8)+(0+(-1.262148--0.377196))+0-0-0</f>
        <v>866.71504800000014</v>
      </c>
      <c r="J168" s="3">
        <f>0+(1222.4-363.4)+(0+(-0.623424--0.185334))+0-0-0</f>
        <v>858.56191000000013</v>
      </c>
      <c r="K168" s="3">
        <f>0+(1217.7-359.8)+(0+(-1.863081--0.550494))+0-0-0</f>
        <v>856.58741300000008</v>
      </c>
      <c r="L168" s="3">
        <f>0+(1260.9-380.9)+(0+(-0.643059--0.194259))+0-0-0</f>
        <v>879.55120000000011</v>
      </c>
      <c r="M168" s="3">
        <f>0+(1230.5-319.9)+(0+(0.627555-0.163149))+0-0-0</f>
        <v>911.06440600000008</v>
      </c>
      <c r="N168" s="3">
        <f>0+(1188.3-220.7)+(0+(0.606033-0.112557))+0-0-0</f>
        <v>968.0934759999999</v>
      </c>
      <c r="O168" s="3">
        <f>0+(1236-228.3)+(0+(-0.63036--0.116433))+0-0-0</f>
        <v>1007.1860730000001</v>
      </c>
      <c r="P168" s="3">
        <f>0+(1325.8-289.9)+(0+(0.676158-0.147849))+0-0-0</f>
        <v>1036.4283090000001</v>
      </c>
      <c r="Q168" s="3">
        <f>0+(1387.3-330.8)+(0+(0.707523-0.168708))+0-0-0</f>
        <v>1057.0388150000001</v>
      </c>
      <c r="R168" s="3">
        <f>0+(1393-349.1)+(0+(0-0))+0-0-0</f>
        <v>1043.9000000000001</v>
      </c>
      <c r="S168" s="3">
        <f>0+(1412.8-382.1)+(0+(-0.720528--0.194871))+0-0-0</f>
        <v>1030.1743429999999</v>
      </c>
      <c r="T168" s="3">
        <f>0+(1433.3-395.2)+(0+(-0.730983--0.201552))+0-0-0</f>
        <v>1037.570569</v>
      </c>
      <c r="U168" s="3">
        <f>0+(1422.2-384)+(0+(-3.62661--0.9792))+0-0-0</f>
        <v>1035.55259</v>
      </c>
      <c r="V168" s="3">
        <f>0+(1387.2-360.3)+(0+(-2.122416--0.551259))+0-0-0</f>
        <v>1025.328843</v>
      </c>
      <c r="W168" s="3">
        <f>0+(1351.6-338.8)+(0+(-4.135896--1.036728))+0-0-0</f>
        <v>1009.700832</v>
      </c>
      <c r="X168" s="3">
        <f>0+(1256.6-266.4)+(0+(-4.486062--0.951048))+0-0-0</f>
        <v>986.66498599999989</v>
      </c>
      <c r="Y168" s="3">
        <f>0+(1205.2-201)+(0+(0.614652-0.10251))+0-0-0</f>
        <v>1004.7121420000001</v>
      </c>
      <c r="Z168" s="3">
        <f>0+(1308.7-230.1)+(0+(-0.667437--0.117351))+0-0-0</f>
        <v>1078.0499140000002</v>
      </c>
      <c r="AA168" s="3">
        <f>0+(1336.3-295.7)+(0+(-2.726052--0.603228))+0-0-0</f>
        <v>1038.4771759999999</v>
      </c>
      <c r="AB168" s="3">
        <f>0+(1366.1-362.8)+(0+(-2.090133--0.555084))+0-0-0</f>
        <v>1001.764951</v>
      </c>
      <c r="AC168" s="3">
        <f>0+(1301.2-329.8)+(0+(-1.327224--0.336396))+0-0-0</f>
        <v>970.40917200000013</v>
      </c>
      <c r="AD168" s="2">
        <v>1084.8999999999999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0+(1292.1-369.7)+(0+(-1.976913--0.565641))+0-0-0</f>
        <v>920.98872799999981</v>
      </c>
      <c r="G169" s="3">
        <f>0+(1313.2-430.5)+(0+(-0.669732--0.219555))+0-0-0</f>
        <v>882.24982299999999</v>
      </c>
      <c r="H169" s="3">
        <f>0+(1306.3-431.6)+(0+(-1.332426--0.440232))+0-0-0</f>
        <v>873.80780599999991</v>
      </c>
      <c r="I169" s="3">
        <f>0+(1285.8-417.2)+(0+(-1.967274--0.638316))+0-0-0</f>
        <v>867.27104199999985</v>
      </c>
      <c r="J169" s="3">
        <f>0+(1204.4-351.3)+(0+(2.456976-0.716652))+0-0-0</f>
        <v>854.84032400000012</v>
      </c>
      <c r="K169" s="3">
        <f>0+(1183.8-336.3)+(0+(-1.811214--0.514539))+0-0-0</f>
        <v>846.20332499999995</v>
      </c>
      <c r="L169" s="3">
        <f>0+(1193.9-324.4)+(0+(-3.044445--0.82722))+0-0-0</f>
        <v>867.28277500000013</v>
      </c>
      <c r="M169" s="3">
        <f>0+(1184.6-272.7)+(0+(-0.604146--0.139077))+0-0-0</f>
        <v>911.43493099999989</v>
      </c>
      <c r="N169" s="3">
        <f>0+(1196.3-226.2)+(0+(-0.610113--0.115362))+0-0-0</f>
        <v>969.60524899999996</v>
      </c>
      <c r="O169" s="3">
        <f>0+(1239-225.5)+(0+(0-0))+0-0-0</f>
        <v>1013.5</v>
      </c>
      <c r="P169" s="3">
        <f>0+(1273.5-234.6)+(0+(0-0))+0-0-0</f>
        <v>1038.9000000000001</v>
      </c>
      <c r="Q169" s="3">
        <f>0+(1293.2-239)+(0+(0-0))+0-0-0</f>
        <v>1054.2</v>
      </c>
      <c r="R169" s="3">
        <f>0+(1300.6-246.1)+(0+(-1.989918--0.376533))+0-0-0</f>
        <v>1052.8866149999999</v>
      </c>
      <c r="S169" s="3">
        <f>0+(1328.7-292.8)+(0+(-1.355274--0.298656))+0-0-0</f>
        <v>1034.843382</v>
      </c>
      <c r="T169" s="3">
        <f>0+(1340.6-308.9)+(0+(0-0))+0-0-0</f>
        <v>1031.6999999999998</v>
      </c>
      <c r="U169" s="3">
        <f>0+(1367.4-328.1)+(0+(2.092122-0.501993))+0-0-0</f>
        <v>1040.8901290000001</v>
      </c>
      <c r="V169" s="3">
        <f>0+(1342.2-309.2)+(0+(-3.42261--0.78846))+0-0-0</f>
        <v>1030.3658499999999</v>
      </c>
      <c r="W169" s="3">
        <f>0+(1353.5-347)+(0+(-3.451425--0.88485))+0-0-0</f>
        <v>1003.9334250000001</v>
      </c>
      <c r="X169" s="3">
        <f>0+(1339.2-344.8)+(0+(-2.048976--0.527544))+0-0-0</f>
        <v>992.87856800000009</v>
      </c>
      <c r="Y169" s="3">
        <f>0+(1341.1-330.5)+(0+(0.683961-0.168555))+0-0-0</f>
        <v>1011.1154059999999</v>
      </c>
      <c r="Z169" s="3">
        <f>0+(1412.6-331.4)+(0+(-2.161278--0.507042))+0-0-0</f>
        <v>1079.5457639999997</v>
      </c>
      <c r="AA169" s="3">
        <f>0+(1394.6-351.4)+(0+(-4.267476--1.075284))+0-0-0</f>
        <v>1040.0078079999998</v>
      </c>
      <c r="AB169" s="3">
        <f>0+(1404.3-383.1)+(0+(-3.580965--0.976905))+0-0-0</f>
        <v>1018.5959399999999</v>
      </c>
      <c r="AC169" s="3">
        <f>0+(1437.2-444.4)+(0+(-4.397832--1.359864))+0-0-0</f>
        <v>989.76203200000009</v>
      </c>
      <c r="AD169" s="2">
        <v>1079.1000000000001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0+(1328.6-394.1)+(0+(-2.710344--0.803964))+0-0-0</f>
        <v>932.59361999999987</v>
      </c>
      <c r="G170" s="3">
        <f>0+(1278-374.6)+(0+(0.65178-0.191046))+0-0-0</f>
        <v>903.86073399999998</v>
      </c>
      <c r="H170" s="3">
        <f>0+(1259.2-382.3)+(0+(0.642192-0.194973))+0-0-0</f>
        <v>877.34721900000011</v>
      </c>
      <c r="I170" s="3">
        <f>0+(1271.9-400.4)+(0+(-1.946007--0.612612))+0-0-0</f>
        <v>870.16660500000012</v>
      </c>
      <c r="J170" s="3">
        <f>0+(1294.3-427.2)+(0+(-1.320186--0.435744))+0-0-0</f>
        <v>866.21555799999987</v>
      </c>
      <c r="K170" s="3">
        <f>0+(1274.4-409.6)+(0+(-1.949832--0.626688))+0-0-0</f>
        <v>863.47685600000011</v>
      </c>
      <c r="L170" s="3">
        <f>0+(1244-370)+(0+(-3.80664--1.1322))+0-0-0</f>
        <v>871.32556</v>
      </c>
      <c r="M170" s="3">
        <f>0+(1263.6-353)+(0+(0.644436-0.18003))+0-0-0</f>
        <v>911.06440599999996</v>
      </c>
      <c r="N170" s="3">
        <f>0+(1325.1-348.3)+(0+(-0.675801--0.177633))+0-0-0</f>
        <v>976.30183199999999</v>
      </c>
      <c r="O170" s="3">
        <f>0+(1352.5-326.8)+(0+(-0.689775--0.166668))+0-0-0</f>
        <v>1025.1768930000001</v>
      </c>
      <c r="P170" s="3">
        <f>0+(1368.9-311.9)+(0+(-2.094417--0.477207))+0-0-0</f>
        <v>1055.3827900000001</v>
      </c>
      <c r="Q170" s="3">
        <f>0+(1355.4-270.6)+(0+(-0.691254--0.138006))+0-0-0</f>
        <v>1084.2467520000002</v>
      </c>
      <c r="R170" s="3">
        <f>0+(1335.3-268.7)+(0+(-2.043009--0.411111))+0-0-0</f>
        <v>1064.9681019999998</v>
      </c>
      <c r="S170" s="3">
        <f>0+(1324.5-298.6)+(0+(-2.026485--0.456858))+0-0-0</f>
        <v>1024.330373</v>
      </c>
      <c r="T170" s="3">
        <f>0+(1373.4-344.7)+(0+(-0.700434--0.175797))+0-0-0</f>
        <v>1028.1753630000001</v>
      </c>
      <c r="U170" s="3">
        <f>0+(1384.5-349.8)+(0+(0.706095-0.178398))+0-0-0</f>
        <v>1035.227697</v>
      </c>
      <c r="V170" s="3">
        <f>0+(1389.9-351.2)+(0+(-1.417698--0.358224))+0-0-0</f>
        <v>1037.6405260000001</v>
      </c>
      <c r="W170" s="3">
        <f>0+(1397.6-369.7)+(0+(-2.851104--0.754188))+0-0-0</f>
        <v>1025.8030839999999</v>
      </c>
      <c r="X170" s="3">
        <f>0+(1373.8-358.3)+(0+(-1.401276--0.365466))+0-0-0</f>
        <v>1014.46419</v>
      </c>
      <c r="Y170" s="3">
        <f>71.3+(1285.2-338.6)+(-0.072726+(-1.310904--0.345372))+0-0-0</f>
        <v>1016.8617419999999</v>
      </c>
      <c r="Z170" s="3">
        <f>222.2+(1244.9-395.6)+(-0.113322+(-0.634899--0.201756))+0-0-0</f>
        <v>1070.9535350000001</v>
      </c>
      <c r="AA170" s="3">
        <f>218.3+(1249.5-419.5)+(-0.779331+(-4.460715--1.497615))+0-0-0</f>
        <v>1044.5575690000001</v>
      </c>
      <c r="AB170" s="3">
        <f>171.2+(1296.4-447.2)+(-0.349248+(-2.644656--0.912288))+0-0-0</f>
        <v>1018.318384</v>
      </c>
      <c r="AC170" s="3">
        <f>159.9+(1306.3-477.9)+(0+(0-0))+0-0-0</f>
        <v>988.3</v>
      </c>
      <c r="AD170" s="2">
        <v>1071.4000000000001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31.4+(1285.6-373.9)+(-0.032028+(-1.311312--0.381378))+0-0-0</f>
        <v>942.13803799999994</v>
      </c>
      <c r="G171" s="3">
        <f>0+(1327.8-424.7)+(0+(-2.031534--0.649791))+0-0-0</f>
        <v>901.71825699999988</v>
      </c>
      <c r="H171" s="3">
        <f>0+(1333-456.1)+(0+(-2.71932--0.930444))+0-0-0</f>
        <v>875.11112400000002</v>
      </c>
      <c r="I171" s="3">
        <f>0+(1317.1-447.9)+(0+(-1.343442--0.456858))+0-0-0</f>
        <v>868.31341599999996</v>
      </c>
      <c r="J171" s="3">
        <f>0+(1298.8-440.2)+(0+(1.987164-0.673506))+0-0-0</f>
        <v>859.91365799999994</v>
      </c>
      <c r="K171" s="3">
        <f>0+(1217.2-369.6)+(0+(2.483088-0.753984))+0-0-0</f>
        <v>849.32910400000003</v>
      </c>
      <c r="L171" s="3">
        <f>0+(1179.2-321.2)+(0+(-0.601392--0.163812))+0-0-0</f>
        <v>857.56241999999997</v>
      </c>
      <c r="M171" s="3">
        <f>0+(1171.1-287.3)+(0+(0-0))+0-0-0</f>
        <v>883.8</v>
      </c>
      <c r="N171" s="3">
        <f>0+(1201.3-263.2)+(0+(1.225326-0.268464))+0-0-0</f>
        <v>939.05686199999991</v>
      </c>
      <c r="O171" s="3">
        <f>0+(1282.9-294)+(0+(0.654279-0.14994))+0-0-0</f>
        <v>989.40433900000005</v>
      </c>
      <c r="P171" s="3">
        <f>0+(1311.5-286.1)+(0+(0.668865-0.145911))+0-0-0</f>
        <v>1025.9229540000001</v>
      </c>
      <c r="Q171" s="3">
        <f>99.7+(1199.2-268.2)+(0.050847+(0.611592-0.136782))+0-0-0</f>
        <v>1031.225657</v>
      </c>
      <c r="R171" s="3">
        <f>172.9+(1134.3-282.7)+(-0.088179+(-0.578493--0.144177))+0-0-0</f>
        <v>1023.977505</v>
      </c>
      <c r="S171" s="3">
        <f>226.3+(1108-338.7)+(-0.230826+(-1.13016--0.345474))+0-0-0</f>
        <v>994.58448799999996</v>
      </c>
      <c r="T171" s="3">
        <f>227.3+(1146-377.8)+(-0.115923+(-0.58446--0.192678))+0-0-0</f>
        <v>994.99229500000001</v>
      </c>
      <c r="U171" s="3">
        <f>227.5+(1178.7-414.6)+(0.23205+(1.202274-0.422892))+0-0-0</f>
        <v>992.61143200000004</v>
      </c>
      <c r="V171" s="3">
        <f>225.9+(1202.8-449.3)+(-0.460836+(-2.453712--0.916572))+0-0-0</f>
        <v>977.40202399999998</v>
      </c>
      <c r="W171" s="3">
        <f>226.7+(1193.6-452.3)+(-0.115617+(-0.608736--0.230673))+0-0-0</f>
        <v>967.50631999999996</v>
      </c>
      <c r="X171" s="3">
        <f>158.1+(1178.6-388.7)+(-0.241893+(-1.803258--0.594711))+0-0-0</f>
        <v>946.54955999999993</v>
      </c>
      <c r="Y171" s="3">
        <f>139.7+(1197.2-377.6)+(0.142494+(1.221144-0.385152))+0-0-0</f>
        <v>960.27848599999993</v>
      </c>
      <c r="Z171" s="3">
        <f>237.7+(1263.5-466.4)+(-0.242454+(-1.28877--0.475728))+0-0-0</f>
        <v>1033.744504</v>
      </c>
      <c r="AA171" s="3">
        <f>237.9+(1273-501)+(-0.121329+(-0.64923--0.25551))+0-0-0</f>
        <v>1009.384951</v>
      </c>
      <c r="AB171" s="3">
        <f>238.1+(1247.7-509.7)+(0+(0-0))+0-0-0</f>
        <v>976.1</v>
      </c>
      <c r="AC171" s="3">
        <f>236.7+(1218.7-514.4)+(-0.362151+(-1.864611--0.787032))+0-0-0</f>
        <v>939.56026999999995</v>
      </c>
      <c r="AD171" s="2">
        <v>1051.2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225.7+(1164.9-473.6)+(-0.230214+(-1.188198--0.483072))+0-0-0</f>
        <v>916.06466</v>
      </c>
      <c r="G172" s="3">
        <f>92.2+(1234.8-452.2)+(-0.047022+(-0.629748--0.230622))+0-0-0</f>
        <v>874.35385199999996</v>
      </c>
      <c r="H172" s="3">
        <f>45.1+(1298.6-493.2)+(-0.069003+(-1.986858--0.754596))+0-0-0</f>
        <v>849.19873499999994</v>
      </c>
      <c r="I172" s="3">
        <f>45.1+(1252.5-465.6)+(-0.023001+(-0.638775--0.237456))+0-0-0</f>
        <v>831.57568000000003</v>
      </c>
      <c r="J172" s="3">
        <f>45.1+(1239.9-465.2)+(-0.115005+(-3.161745--1.18626))+0-0-0</f>
        <v>817.70951000000002</v>
      </c>
      <c r="K172" s="3">
        <f>45.1+(1267.8-482)+(0.069003+(1.939734-0.73746))+0-0-0</f>
        <v>832.17127700000003</v>
      </c>
      <c r="L172" s="3">
        <f>45.1+(1202.1-435.3)+(-0.138006+(-3.678426--1.332018))+0-0-0</f>
        <v>809.41558599999996</v>
      </c>
      <c r="M172" s="3">
        <f>45.1+(1177.7-438.4)+(-0.069003+(-1.801881--0.670752))+0-0-0</f>
        <v>783.19986800000004</v>
      </c>
      <c r="N172" s="3">
        <f>45.1+(1175.7-402.1)+(-0.046002+(-1.199214--0.410142))+0-0-0</f>
        <v>817.86492600000008</v>
      </c>
      <c r="O172" s="3">
        <f>45.1+(1270-474)+(-0.092004+(-2.5908--0.96696))+0-0-0</f>
        <v>839.38415600000008</v>
      </c>
      <c r="P172" s="3">
        <f>29+(1270.3-422.5)+(-0.02958+(-1.295706--0.43095))+0-0-0</f>
        <v>875.905664</v>
      </c>
      <c r="Q172" s="3">
        <f>0+(1340.7-421.1)+(0+(-0.683757--0.214761))+0-0-0</f>
        <v>919.13100400000008</v>
      </c>
      <c r="R172" s="3">
        <f>0+(1347-433.6)+(0+(0.68697-0.221136))+0-0-0</f>
        <v>913.86583399999995</v>
      </c>
      <c r="S172" s="3">
        <f>0+(1394.8-493.8)+(0+(-1.422696--0.503676))+0-0-0</f>
        <v>900.08097999999995</v>
      </c>
      <c r="T172" s="3">
        <f>0+(1356.3-486.1)+(0+(-2.766852--0.991644))+0-0-0</f>
        <v>868.42479199999991</v>
      </c>
      <c r="U172" s="3">
        <f>0+(1335.4-486.8)+(0+(1.362108-0.496536))+0-0-0</f>
        <v>849.46557200000018</v>
      </c>
      <c r="V172" s="3">
        <f>0+(1317.6-476.5)+(0+(0.671976-0.243015))+0-0-0</f>
        <v>841.52896099999987</v>
      </c>
      <c r="W172" s="3">
        <f>0+(1303.2-457.2)+(0+(-0.664632--0.233172))+0-0-0</f>
        <v>845.56853999999998</v>
      </c>
      <c r="X172" s="3">
        <f>0+(1175.7-338)+(0+(1.798821-0.51714))+0-0-0</f>
        <v>838.98168100000009</v>
      </c>
      <c r="Y172" s="3">
        <f>0+(1185.8-315.3)+(0+(1.209516-0.321606))+0-0-0</f>
        <v>871.38791000000003</v>
      </c>
      <c r="Z172" s="3">
        <f>0+(1286.9-339)+(0+(-1.312638--0.34578))+0-0-0</f>
        <v>946.93314200000009</v>
      </c>
      <c r="AA172" s="3">
        <f>0+(1289.6-343.1)+(0+(-0.657696--0.174981))+0-0-0</f>
        <v>946.0172849999999</v>
      </c>
      <c r="AB172" s="3">
        <f>0+(1244.7-331.2)+(0+(0.634797-0.168912))+0-0-0</f>
        <v>913.96588499999996</v>
      </c>
      <c r="AC172" s="3">
        <f>0+(1236.8-345)+(0+(-1.892304--0.52785))+0-0-0</f>
        <v>890.43554599999993</v>
      </c>
      <c r="AD172" s="2">
        <v>965.3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0+(1263.9-396.6)+(0+(-1.289178--0.404532))+0-0-0</f>
        <v>866.41535400000009</v>
      </c>
      <c r="G173" s="3">
        <f>0+(1211.8-387.3)+(0+(-1.854054--0.592569))+0-0-0</f>
        <v>823.23851500000001</v>
      </c>
      <c r="H173" s="3">
        <f>0+(1137.8-339.3)+(0+(-1.740834--0.519129))+0-0-0</f>
        <v>797.27829499999996</v>
      </c>
      <c r="I173" s="3">
        <f>0+(1173.5-384.8)+(0+(-1.795455--0.588744))+0-0-0</f>
        <v>787.493289</v>
      </c>
      <c r="J173" s="3">
        <f>0+(1156.3-374.2)+(0+(-2.358852--0.763368))+0-0-0</f>
        <v>780.50451599999985</v>
      </c>
      <c r="K173" s="3">
        <f>0+(1114.1-331)+(0+(0.568191-0.16881))+0-0-0</f>
        <v>783.49938099999986</v>
      </c>
      <c r="L173" s="3">
        <f>0+(1093.2-285.2)+(0+(-1.672596--0.436356))+0-0-0</f>
        <v>806.76376000000005</v>
      </c>
      <c r="M173" s="3">
        <f>0+(1142.6-293.3)+(0+(-0.582726--0.149583))+0-0-0</f>
        <v>848.86685699999998</v>
      </c>
      <c r="N173" s="3">
        <f>0+(1244.6-317.4)+(0+(1.269492-0.323748))+0-0-0</f>
        <v>928.14574399999992</v>
      </c>
      <c r="O173" s="3">
        <f>57+(1257.2-331.1)+(-0.02907+(-0.641172--0.168861))+0-0-0</f>
        <v>982.59861899999999</v>
      </c>
      <c r="P173" s="3">
        <f>261.1+(1156-382.4)+(-0.133161+(-0.58956--0.195024))+0-0-0</f>
        <v>1034.1723030000001</v>
      </c>
      <c r="Q173" s="3">
        <f>337.7+(1155.8-423.8)+(0.516681+(1.768374-0.648414))+0-0-0</f>
        <v>1071.3366410000001</v>
      </c>
      <c r="R173" s="3">
        <f>438.7+(1097-471.6)+(0.671211+(1.67841-0.721548))+0-0-0</f>
        <v>1065.728073</v>
      </c>
      <c r="S173" s="3">
        <f>434.2+(1064.4-468.1)+(-0.664326+(-1.628532--0.716193))+0-0-0</f>
        <v>1028.923335</v>
      </c>
      <c r="T173" s="3">
        <f>437.9+(1037.4-441.5)+(0+(0-0))+0-0-0</f>
        <v>1033.8000000000002</v>
      </c>
      <c r="U173" s="3">
        <f>428.6+(1088.1-475.9)+(-1.09293+(-2.774655--1.213545))+0-0-0</f>
        <v>1038.1459600000001</v>
      </c>
      <c r="V173" s="3">
        <f>414.5+(1141.2-521.7)+(0.634185+(1.746036-0.798201))+0-0-0</f>
        <v>1035.5820200000001</v>
      </c>
      <c r="W173" s="3">
        <f>409.3+(1120.8-514.6)+(-0.834972+(-2.286432--1.049784))+0-0-0</f>
        <v>1013.4283799999999</v>
      </c>
      <c r="X173" s="3">
        <f>395.5+(1071.9-461.4)+(-1.21023+(-3.280014--1.411884))+0-0-0</f>
        <v>1002.9216400000001</v>
      </c>
      <c r="Y173" s="3">
        <f>261.6+(1076.6-326.1)+(0+(0-0))+0-0-0</f>
        <v>1012.0999999999999</v>
      </c>
      <c r="Z173" s="3">
        <f>340.8+(1099.1-359.2)+(0.173808+(0.560541-0.183192))+0-0-0</f>
        <v>1081.2511569999999</v>
      </c>
      <c r="AA173" s="3">
        <f>340.5+(1066.1-354.6)+(-0.34731+(-1.087422--0.361692))+0-0-0</f>
        <v>1050.92696</v>
      </c>
      <c r="AB173" s="3">
        <f>341+(1090.8-426.1)+(0+(0-0))+0-0-0</f>
        <v>1005.6999999999999</v>
      </c>
      <c r="AC173" s="3">
        <f>341+(1087.9-448.7)+(-0.69564+(-2.219316--0.915348))+0-0-0</f>
        <v>978.20039200000008</v>
      </c>
      <c r="AD173" s="2">
        <v>1093.2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103+(1117.1-420.6)+(0.10506+(1.139442-0.429012))+0-0-0</f>
        <v>800.31548999999984</v>
      </c>
      <c r="G174" s="3">
        <f>0+(1254-364.8)+(0+(1.27908-0.372096))+0-0-0</f>
        <v>890.10698400000001</v>
      </c>
      <c r="H174" s="3">
        <f>0+(1236-364.9)+(0+(0-0))+0-0-0</f>
        <v>871.1</v>
      </c>
      <c r="I174" s="3">
        <f>0+(1210.4-353.8)+(0+(0.617304-0.180438))+0-0-0</f>
        <v>857.03686600000015</v>
      </c>
      <c r="J174" s="3">
        <f>0+(1205.8-346.8)+(0+(-2.459832--0.707472))+0-0-0</f>
        <v>857.24764000000005</v>
      </c>
      <c r="K174" s="3">
        <f>0+(1109.7-260.3)+(0+(-2.829735--0.663765))+0-0-0</f>
        <v>847.23403000000008</v>
      </c>
      <c r="L174" s="3">
        <f>0+(1185.9-307.7)+(0+(-4.838472--1.255416))+0-0-0</f>
        <v>874.61694399999999</v>
      </c>
      <c r="M174" s="3">
        <f>0+(1181-270)+(0+(1.20462-0.2754))+0-0-0</f>
        <v>911.92921999999999</v>
      </c>
      <c r="N174" s="3">
        <f>60+(1176.3-269.3)+(0.0612+(1.199826-0.274686))+0-0-0</f>
        <v>967.98634000000004</v>
      </c>
      <c r="O174" s="3">
        <f>236.7+(1087.2-308.6)+(-0.120717+(-0.554472--0.157386))+0-0-0</f>
        <v>1014.782197</v>
      </c>
      <c r="P174" s="3">
        <f>349.9+(1037.6-336.4)+(0.535347+(1.587528-0.514692))+0-0-0</f>
        <v>1052.708183</v>
      </c>
      <c r="Q174" s="3">
        <f>355.4+(1028.2-305.9)+(0.543762+(1.573146-0.468027))+0-0-0</f>
        <v>1079.3488810000001</v>
      </c>
      <c r="R174" s="3">
        <f>455.2+(946.6-326.8)+(-0.232152+(-0.482766--0.166668))+0-0-0</f>
        <v>1074.4517499999999</v>
      </c>
      <c r="S174" s="3">
        <f>452.2+(920.1-333.8)+(-0.922488+(-1.877004--0.680952))+0-0-0</f>
        <v>1036.3814600000001</v>
      </c>
      <c r="T174" s="3">
        <f>450.3+(932.5-343.6)+(0.229653+(0.475575-0.175236))+0-0-0</f>
        <v>1039.729992</v>
      </c>
      <c r="U174" s="3">
        <f>450+(955.4-367.6)+(-0.2295+(-0.487254--0.187476))+0-0-0</f>
        <v>1037.270722</v>
      </c>
      <c r="V174" s="3">
        <f>447.9+(962.4-375.8)+(-0.456858+(-0.981648--0.383316))+0-0-0</f>
        <v>1033.44481</v>
      </c>
      <c r="W174" s="3">
        <f>449.5+(988.1-413.3)+(0.229245+(0.503931-0.210783))+0-0-0</f>
        <v>1024.8223929999999</v>
      </c>
      <c r="X174" s="3">
        <f>441.2+(965-397.7)+(-1.575084+(-3.44505--1.419789))+0-0-0</f>
        <v>1004.8996550000001</v>
      </c>
      <c r="Y174" s="3">
        <f>449+(949.8-368.7)+(0.45798+(0.968796-0.376074))+0-0-0</f>
        <v>1031.1507019999999</v>
      </c>
      <c r="Z174" s="3">
        <f>449+(1081.4-432.4)+(0+(0-0))+0-0-0</f>
        <v>1098</v>
      </c>
      <c r="AA174" s="3">
        <f>449+(1092.1-458.6)+(-0.68697+(-1.670913--0.701658))+0-0-0</f>
        <v>1080.8437750000001</v>
      </c>
      <c r="AB174" s="3">
        <f>449+(1080.4-494.5)+(-0.22899+(-0.551004--0.252195))+0-0-0</f>
        <v>1034.3722010000001</v>
      </c>
      <c r="AC174" s="3">
        <f>320+(1121.2-467.1)+(-0.4896+(-1.715436--0.714663))+0-0-0</f>
        <v>972.60962700000005</v>
      </c>
      <c r="AD174" s="2">
        <v>1119.8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342+(1056.6-456)+(-0.17442+(-0.538866--0.23256))+0-0-0</f>
        <v>942.1192739999999</v>
      </c>
      <c r="G175" s="3">
        <f>339+(1018.2-456.6)+(-0.51867+(-1.557846--0.698598))+0-0-0</f>
        <v>899.222082</v>
      </c>
      <c r="H175" s="3">
        <f>341+(940.1-399.3)+(-0.69564+(-1.917804--0.814572))+0-0-0</f>
        <v>880.00112799999999</v>
      </c>
      <c r="I175" s="3">
        <f>265+(948.7-399.3)+(-0.40545+(-1.451511--0.610929))+0-0-0</f>
        <v>813.15396800000008</v>
      </c>
      <c r="J175" s="3">
        <f>225+(995.5-370.1)+(-0.34425+(-1.523115--0.566253))+0-0-0</f>
        <v>849.09888799999999</v>
      </c>
      <c r="K175" s="3">
        <f>225+(989-366.2)+(0.2295+(1.00878-0.373524))+0-0-0</f>
        <v>848.66475600000001</v>
      </c>
      <c r="L175" s="3">
        <f>219+(964.9-314.3)+(-0.67014+(-2.952594--0.961758))+0-0-0</f>
        <v>866.9390239999999</v>
      </c>
      <c r="M175" s="3">
        <f>222+(917.7-232.9)+(-0.11322+(-0.468027--0.118779))+0-0-0</f>
        <v>906.33753200000012</v>
      </c>
      <c r="N175" s="3">
        <f>273+(938-229.9)+(0+(0-0))+0-0-0</f>
        <v>981.1</v>
      </c>
      <c r="O175" s="3">
        <f>346+(961.2-282)+(0+(0-0))+0-0-0</f>
        <v>1025.2</v>
      </c>
      <c r="P175" s="3">
        <f>347+(996.4-279.9)+(0+(0-0))+0-0-0</f>
        <v>1063.5</v>
      </c>
      <c r="Q175" s="3">
        <f>345+(1013.2-273.6)+(0.7038+(2.066928-0.558144))+0-0-0</f>
        <v>1086.812584</v>
      </c>
      <c r="R175" s="3">
        <f>345+(995.2-259.7)+(0.17595+(0.507552-0.132447))+0-0-0</f>
        <v>1081.0510549999999</v>
      </c>
      <c r="S175" s="3">
        <f>340.8+(1000.6-289.9)+(-0.347616+(-1.020612--0.295698))+0-0-0</f>
        <v>1050.4274700000001</v>
      </c>
      <c r="T175" s="3">
        <f>340.9+(1005.2-294)+(-0.173859+(-0.512652--0.14994))+0-0-0</f>
        <v>1051.5634289999998</v>
      </c>
      <c r="U175" s="3">
        <f>341.9+(1000.2-291)+(-0.174369+(-0.510102--0.14841))+0-0-0</f>
        <v>1050.5639389999999</v>
      </c>
      <c r="V175" s="3">
        <f>342.2+(994.2-299.7)+(-0.698088+(-2.028168--0.611388))+0-0-0</f>
        <v>1034.5851320000002</v>
      </c>
      <c r="W175" s="3">
        <f>344.9+(1041.9-357.6)+(0.175899+(0.531369-0.182376))+0-0-0</f>
        <v>1029.724892</v>
      </c>
      <c r="X175" s="3">
        <f>342.2+(1015.7-348.7)+(-0.349044+(-1.036014--0.355674))+0-0-0</f>
        <v>1008.170616</v>
      </c>
      <c r="Y175" s="3">
        <f>346.4+(975.9-302.2)+(0.529992+(1.493127-0.462366))+0-0-0</f>
        <v>1021.660753</v>
      </c>
      <c r="Z175" s="3">
        <f>344.5+(1001.2-281.1)+(-0.70278+(-2.042448--0.573444))+0-0-0</f>
        <v>1062.428216</v>
      </c>
      <c r="AA175" s="3">
        <f>339.9+(1008-311)+(-1.213443+(-3.59856--1.11027))+0-0-0</f>
        <v>1033.198267</v>
      </c>
      <c r="AB175" s="3">
        <f>344.6+(1069.6-410.1)+(-0.527238+(-1.636488--0.627453))+0-0-0</f>
        <v>1002.5637269999999</v>
      </c>
      <c r="AC175" s="3">
        <f>344.8+(1087.1-455.4)+(-0.175848+(-0.554421--0.232254))+0-0-0</f>
        <v>976.00198499999999</v>
      </c>
      <c r="AD175" s="2">
        <v>1075.8000000000002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345.5+(1052.2-465.1)+(0.35241+(1.073244-0.474402))+0-0-0</f>
        <v>933.55125199999998</v>
      </c>
      <c r="G176" s="3">
        <f>348.1+(1000.6-463.8)+(0.355062+(1.020612-0.473076))+0-0-0</f>
        <v>885.80259799999999</v>
      </c>
      <c r="H176" s="3">
        <f>350.6+(949.9-448.8)+(-0.536418+(-1.453347--0.686664))+0-0-0</f>
        <v>850.39689900000008</v>
      </c>
      <c r="I176" s="3">
        <f>225.5+(1013.3-388.7)+(-0.345015+(-1.550349--0.594711))+0-0-0</f>
        <v>848.7993469999999</v>
      </c>
      <c r="J176" s="3">
        <f>135.2+(1066.8-361.5)+(-0.068952+(-0.544068--0.184365))+0-0-0</f>
        <v>840.07134499999995</v>
      </c>
      <c r="K176" s="3">
        <f>135.2+(1056.1-352.9)+(-0.275808+(-2.154444--0.719916))+0-0-0</f>
        <v>836.68966399999988</v>
      </c>
      <c r="L176" s="3">
        <f>135.2+(1076.4-345.6)+(-0.068952+(-0.548964--0.176256))+0-0-0</f>
        <v>865.55834000000004</v>
      </c>
      <c r="M176" s="3">
        <f>135.2+(1038.8-278.8)+(0+(0-0))+0-0-0</f>
        <v>895.2</v>
      </c>
      <c r="N176" s="3">
        <f>135.2+(1049.6-238.6)+(0.068952+(0.535296-0.121686))+0-0-0</f>
        <v>946.68256199999985</v>
      </c>
      <c r="O176" s="3">
        <f>325+(981-309.7)+(0.3315+(1.00062-0.315894))+0-0-0</f>
        <v>997.31622599999992</v>
      </c>
      <c r="P176" s="3">
        <f>331.9+(1007.6-308.7)+(0.677076+(2.055504-0.629748))+0-0-0</f>
        <v>1032.9028320000002</v>
      </c>
      <c r="Q176" s="3">
        <f>329.5+(1009.2-294.9)+(-0.168045+(-0.514692--0.150399))+0-0-0</f>
        <v>1043.2676620000002</v>
      </c>
      <c r="R176" s="3">
        <f>330.1+(1008.7-298.3)+(0+(0-0))+0-0-0</f>
        <v>1040.5</v>
      </c>
      <c r="S176" s="3">
        <f>326.8+(997.7-320.3)+(-0.333336+(-1.017654--0.326706))+0-0-0</f>
        <v>1003.1757160000001</v>
      </c>
      <c r="T176" s="3">
        <f>326.4+(992.1-306.8)+(-0.499392+(-1.517913--0.469404))+0-0-0</f>
        <v>1010.1520989999999</v>
      </c>
      <c r="U176" s="3">
        <f>330.1+(1010.9-323.7)+(-0.168351+(-0.515559--0.165087))+0-0-0</f>
        <v>1016.7811770000001</v>
      </c>
      <c r="V176" s="3">
        <f>328.2+(1029.8-344.1)+(-0.669528+(-2.100792--0.701964))+0-0-0</f>
        <v>1011.8316439999999</v>
      </c>
      <c r="W176" s="3">
        <f>327.3+(1011-348.8)+(-1.001538+(-3.09366--1.067328))+0-0-0</f>
        <v>986.47212999999999</v>
      </c>
      <c r="X176" s="3">
        <f>323.3+(957.1-315.8)+(-0.989298+(-2.928726--0.966348))+0-0-0</f>
        <v>961.64832399999989</v>
      </c>
      <c r="Y176" s="3">
        <f>338.2+(970.3-302.2)+(-0.344964+(-0.989706--0.308244))+0-0-0</f>
        <v>1005.2735739999999</v>
      </c>
      <c r="Z176" s="3">
        <f>380.9+(1021.8-355)+(-0.582777+(-1.563354--0.54315))+0-0-0</f>
        <v>1046.0970189999998</v>
      </c>
      <c r="AA176" s="3">
        <f>354.6+(1015.9-366.4)+(-0.723384+(-2.072436--0.747456))+0-0-0</f>
        <v>1002.051636</v>
      </c>
      <c r="AB176" s="3">
        <f>348.4+(1051.1-439.6)+(-0.710736+(-2.144244--0.896784))+0-0-0</f>
        <v>957.94180399999982</v>
      </c>
      <c r="AC176" s="3">
        <f>352.2+(1048.7-462.4)+(0.718488+(2.139348-0.943296))+0-0-0</f>
        <v>940.41453999999999</v>
      </c>
      <c r="AD176" s="2">
        <v>1035.7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346.1+(1037-489.9)+(-0.882555+(-2.64435--1.249245))+0-0-0</f>
        <v>890.92234000000008</v>
      </c>
      <c r="G177" s="3">
        <f>351+(1019.3-514.6)+(0.17901+(0.519843-0.262446))+0-0-0</f>
        <v>856.13640699999996</v>
      </c>
      <c r="H177" s="3">
        <f>279.5+(1021.1-461.1)+(-0.712725+(-2.603805--1.175805))+0-0-0</f>
        <v>837.35927500000003</v>
      </c>
      <c r="I177" s="3">
        <f>280.2+(978.3-434.5)+(0+(0-0))+0-0-0</f>
        <v>824</v>
      </c>
      <c r="J177" s="3">
        <f>231.7+(992.5-414.7)+(0.118167+(0.506175-0.211497))+0-0-0</f>
        <v>809.91284499999995</v>
      </c>
      <c r="K177" s="3">
        <f>135.1+(1018-353.4)+(0.206703+(1.55754-0.540702))+0-0-0</f>
        <v>800.923541</v>
      </c>
      <c r="L177" s="3">
        <f>135.2+(989.9-331.9)+(-0.137904+(-1.009698--0.338538))+0-0-0</f>
        <v>792.39093600000001</v>
      </c>
      <c r="M177" s="3">
        <f>249.6+(890.6-351.7)+(0.381888+(1.362618-0.538101))+0-0-0</f>
        <v>789.70640500000013</v>
      </c>
      <c r="N177" s="3">
        <f>329.5+(915.4-407.3)+(-0.168045+(-0.466854--0.207723))+0-0-0</f>
        <v>837.17282399999988</v>
      </c>
      <c r="O177" s="3">
        <f>328.2+(975.1-419)+(0.167382+(0.497301-0.21369))+0-0-0</f>
        <v>884.75099299999999</v>
      </c>
      <c r="P177" s="3">
        <f>332.1+(992.8-420.4)+(0.508113+(1.518984-0.643212))+0-0-0</f>
        <v>905.88388499999996</v>
      </c>
      <c r="Q177" s="3">
        <f>329.8+(1028.1-424.8)+(0+(0-0))+0-0-0</f>
        <v>933.09999999999991</v>
      </c>
      <c r="R177" s="3">
        <f>329+(1055.6-447.1)+(-0.16779+(-0.538356--0.228021))+0-0-0</f>
        <v>937.02187499999991</v>
      </c>
      <c r="S177" s="3">
        <f>328.1+(1021.9-439.8)+(-0.501993+(-1.563507--0.672894))+0-0-0</f>
        <v>908.80739399999993</v>
      </c>
      <c r="T177" s="3">
        <f>330.8+(1004.8-432.1)+(0+(0-0))+0-0-0</f>
        <v>903.5</v>
      </c>
      <c r="U177" s="3">
        <f>329.6+(1001.3-418.9)+(0+(0-0))+0-0-0</f>
        <v>912</v>
      </c>
      <c r="V177" s="3">
        <f>326.5+(995.1-423.9)+(-0.832575+(-2.537505--1.080945))+0-0-0</f>
        <v>895.41086500000006</v>
      </c>
      <c r="W177" s="3">
        <f>325.1+(979.3-408.4)+(-0.829005+(-2.497215--1.04142))+0-0-0</f>
        <v>893.71519999999998</v>
      </c>
      <c r="X177" s="3">
        <f>324.2+(920.5-347.1)+(-0.992052+(-2.81673--1.062126))+0-0-0</f>
        <v>894.85334399999988</v>
      </c>
      <c r="Y177" s="3">
        <f>331.8+(904.2-311)+(0.507654+(1.383426-0.47583))+0-0-0</f>
        <v>926.41525000000001</v>
      </c>
      <c r="Z177" s="3">
        <f>329+(1008.6-361.8)+(-0.50337+(-1.543158--0.553554))+0-0-0</f>
        <v>974.30702599999995</v>
      </c>
      <c r="AA177" s="3">
        <f>329.6+(1031.9-405.9)+(-0.504288+(-1.578807--0.621027))+0-0-0</f>
        <v>954.13793200000009</v>
      </c>
      <c r="AB177" s="3">
        <f>314.3+(960.7-357.1)+(-0.961758+(-2.939742--1.092726))+0-0-0</f>
        <v>915.09122600000012</v>
      </c>
      <c r="AC177" s="3">
        <f>263.8+(1002.8-388.5)+(-0.538152+(-2.045712--0.79254))+0-0-0</f>
        <v>876.30867599999988</v>
      </c>
      <c r="AD177" s="2">
        <v>970.8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238.3+(1015.3-416.5)+(-0.243066+(-1.035606--0.42483))+0-0-0</f>
        <v>836.24615799999992</v>
      </c>
      <c r="G178" s="3">
        <f>193.3+(1060.5-450.7)+(-0.394332+(-2.16342--0.919428))+0-0-0</f>
        <v>801.4616759999999</v>
      </c>
      <c r="H178" s="3">
        <f>119.3+(1113.7-446.9)+(-0.304215+(-2.839935--1.139595))+0-0-0</f>
        <v>784.09544500000004</v>
      </c>
      <c r="I178" s="3">
        <f>109.2+(1128.1-465.7)+(-0.167076+(-1.725993--0.712521))+0-0-0</f>
        <v>770.41945199999986</v>
      </c>
      <c r="J178" s="3">
        <f>109.5+(1099.5-450.3)+(0.11169+(1.12149-0.459306))+0-0-0</f>
        <v>759.47387400000002</v>
      </c>
      <c r="K178" s="3">
        <f>109.2+(1086-420.9)+(-0.167076+(-1.66158--0.643977))+0-0-0</f>
        <v>773.11532100000011</v>
      </c>
      <c r="L178" s="3">
        <f>94.9+(1045.3-362.9)+(-0.096798+(-1.066206--0.370158))+0-0-0</f>
        <v>776.5071539999999</v>
      </c>
      <c r="M178" s="3">
        <f>44.4+(1008.4-272.1)+(0+(0-0))+0-0-0</f>
        <v>780.69999999999993</v>
      </c>
      <c r="N178" s="3">
        <f>60.8+(985.2-200.4)+(-0.031008+(-0.502452--0.102204))+0-0-0</f>
        <v>845.16874400000006</v>
      </c>
      <c r="O178" s="3">
        <f>194.6+(898-204.6)+(0.099246+(0.45798-0.104346))+0-0-0</f>
        <v>888.45288000000005</v>
      </c>
      <c r="P178" s="3">
        <f>247.3+(945.5-266.9)+(-0.126123+(-0.482205--0.136119))+0-0-0</f>
        <v>925.42779100000007</v>
      </c>
      <c r="Q178" s="3">
        <f>328.9+(927.5-317.4)+(-0.167739+(-0.473025--0.161874))+0-0-0</f>
        <v>938.52111000000002</v>
      </c>
      <c r="R178" s="3">
        <f>354.3+(955.1-360.1)+(0.180693+(0.487101-0.183651))+0-0-0</f>
        <v>949.78414299999997</v>
      </c>
      <c r="S178" s="3">
        <f>351.8+(970-407.7)+(-0.538254+(-1.4841--0.623781))+0-0-0</f>
        <v>912.70142699999985</v>
      </c>
      <c r="T178" s="3">
        <f>353.7+(1000.2-452.3)+(-0.180387+(-0.510102--0.230673))+0-0-0</f>
        <v>901.14018400000009</v>
      </c>
      <c r="U178" s="3">
        <f>348.8+(1029.6-473.6)+(-0.533664+(-1.575288--0.724608))+0-0-0</f>
        <v>903.4156559999999</v>
      </c>
      <c r="V178" s="3">
        <f>347.5+(1039.7-487.4)+(-0.35445+(-1.060494--0.497148))+0-0-0</f>
        <v>898.88220400000012</v>
      </c>
      <c r="W178" s="3">
        <f>345.7+(1010-459.5)+(-0.352614+(-1.0302--0.46869))+0-0-0</f>
        <v>895.28587600000003</v>
      </c>
      <c r="X178" s="3">
        <f>175.2+(1039.4-327.7)+(-0.357408+(-2.120376--0.668508))+0-0-0</f>
        <v>885.09072400000014</v>
      </c>
      <c r="Y178" s="3">
        <f>230.1+(975.7-289.5)+(0+(0-0))+0-0-0</f>
        <v>916.30000000000007</v>
      </c>
      <c r="Z178" s="3">
        <f>341+(957.2-333.4)+(-0.52173+(-1.464516--0.510102))+0-0-0</f>
        <v>963.32385600000009</v>
      </c>
      <c r="AA178" s="3">
        <f>338.8+(947.5-356.6)+(-0.691152+(-1.9329--0.727464))+0-0-0</f>
        <v>927.80341200000009</v>
      </c>
      <c r="AB178" s="3">
        <f>271.7+(908.4-275.4)+(0+(0-0))+0-0-0</f>
        <v>904.7</v>
      </c>
      <c r="AC178" s="3">
        <f>205.4+(978.6-305.1)+(-0.419016+(-1.996344--0.622404))+0-0-0</f>
        <v>877.10704399999997</v>
      </c>
      <c r="AD178" s="2">
        <v>966.40000000000009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205.9+(927.4-300.6)+(-0.105009+(-0.472974--0.153306))+0-0-0</f>
        <v>832.27532299999996</v>
      </c>
      <c r="G179" s="3">
        <f>206.5+(979.3-379.7)+(0.21063+(0.998886-0.387294))+0-0-0</f>
        <v>806.92222199999992</v>
      </c>
      <c r="H179" s="3">
        <f>205.4+(909.6-332.9)+(-0.314262+(-1.391688--0.509337))+0-0-0</f>
        <v>780.90338700000007</v>
      </c>
      <c r="I179" s="3">
        <f>205.6+(860.6-300.8)+(-0.104856+(-0.438906--0.153408))+0-0-0</f>
        <v>765.00964599999998</v>
      </c>
      <c r="J179" s="3">
        <f>205.8+(859.1-313.4)+(-0.104958+(-0.438141--0.159834))+0-0-0</f>
        <v>751.11673499999995</v>
      </c>
      <c r="K179" s="3">
        <f>206.5+(851.6-306.5)+(0.21063+(0.868632-0.31263))+0-0-0</f>
        <v>752.36663199999998</v>
      </c>
      <c r="L179" s="3">
        <f>169.4+(862.2-293)+(0.172788+(0.879444-0.29886))+0-0-0</f>
        <v>739.35337200000004</v>
      </c>
      <c r="M179" s="3">
        <f>135.1+(852.7-260.8)+(0.137802+(0.869754-0.266016))+0-0-0</f>
        <v>727.7415400000001</v>
      </c>
      <c r="N179" s="3">
        <f>135.1+(859-236.8)+(0.137802+(0.87618-0.241536))+0-0-0</f>
        <v>758.07244600000001</v>
      </c>
      <c r="O179" s="3">
        <f>135.2+(881.1-228.9)+(0.068952+(0.449361-0.116739))+0-0-0</f>
        <v>787.80157400000007</v>
      </c>
      <c r="P179" s="3">
        <f>135.1+(986.3-300.8)+(0+(0-0))+0-0-0</f>
        <v>820.6</v>
      </c>
      <c r="Q179" s="3">
        <f>141.5+(983.1-293.8)+(0+(0-0))+0-0-0</f>
        <v>830.8</v>
      </c>
      <c r="R179" s="3">
        <f>330.1+(968.7-465.8)+(-0.168351+(-0.494037--0.237558))+0-0-0</f>
        <v>832.57516999999996</v>
      </c>
      <c r="S179" s="3">
        <f>338+(982-487)+(-0.51714+(-1.50246--0.74511))+0-0-0</f>
        <v>831.72550999999999</v>
      </c>
      <c r="T179" s="3">
        <f>338.1+(1010.9-524.6)+(-0.344862+(-1.031118--0.535092))+0-0-0</f>
        <v>823.55911200000003</v>
      </c>
      <c r="U179" s="3">
        <f>338.3+(1023.6-539.1)+(-0.345066+(-1.044072--0.549882))+0-0-0</f>
        <v>821.96074399999998</v>
      </c>
      <c r="V179" s="3">
        <f>291+(1012.3-483.7)+(-0.29682+(-1.032546--0.493374))+0-0-0</f>
        <v>818.76400799999988</v>
      </c>
      <c r="W179" s="3">
        <f>204.8+(943-336.7)+(-0.208896+(-0.96186--0.343434))+0-0-0</f>
        <v>810.27267799999993</v>
      </c>
      <c r="X179" s="3">
        <f>204.7+(903.8-296.7)+(-0.104397+(-0.460938--0.151317))+0-0-0</f>
        <v>811.3859819999999</v>
      </c>
      <c r="Y179" s="3">
        <f>328+(852.4-327.4)+(-0.16728+(-0.434724--0.166974))+0-0-0</f>
        <v>852.56497000000002</v>
      </c>
      <c r="Z179" s="3">
        <f>344.9+(897.1-323.6)+(-0.351798+(-0.915042--0.330072))+0-0-0</f>
        <v>917.46323199999995</v>
      </c>
      <c r="AA179" s="3">
        <f>344.2+(792.2-231.6)+(-0.526626+(-1.212066--0.354348))+0-0-0</f>
        <v>903.4156559999999</v>
      </c>
      <c r="AB179" s="3">
        <f>346.9+(847.3-319)+(0.353838+(0.864246-0.32538))+0-0-0</f>
        <v>876.09270399999991</v>
      </c>
      <c r="AC179" s="3">
        <f>345.8+(849.6-396.3)+(-0.176358+(-0.433296--0.202113))+0-0-0</f>
        <v>798.69245899999999</v>
      </c>
      <c r="AD179" s="2">
        <v>926.19999999999993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346.3+(876.3-481.9)+(0+(0-0))+0-0-0</f>
        <v>740.7</v>
      </c>
      <c r="G180" s="3">
        <f>345.9+(955.4-520.2)+(0+(0-0))+0-0-0</f>
        <v>781.09999999999991</v>
      </c>
      <c r="H180" s="3">
        <f>345.9+(861.9-443.7)+(0+(0-0))+0-0-0</f>
        <v>764.09999999999991</v>
      </c>
      <c r="I180" s="3">
        <f>346+(842-434.7)+(0+(0-0))+0-0-0</f>
        <v>753.3</v>
      </c>
      <c r="J180" s="3">
        <f>349.5+(743.1-347.8)+(0.891225+(1.894905-0.88689))+0-0-0</f>
        <v>746.69923999999992</v>
      </c>
      <c r="K180" s="3">
        <f>336+(721.3-310.2)+(0.34272+(0.735726-0.316404))+0-0-0</f>
        <v>747.86204199999986</v>
      </c>
      <c r="L180" s="3">
        <f>135.4+(830.9-174.6)+(0.069054+(0.423759-0.089046))+0-0-0</f>
        <v>792.10376699999995</v>
      </c>
      <c r="M180" s="3">
        <f>153.8+(866.5-184.9)+(-0.156876+(-0.88383--0.188598))+0-0-0</f>
        <v>834.54789200000005</v>
      </c>
      <c r="N180" s="3">
        <f>323.9+(830.7-247.6)+(0.825945+(2.118285-0.63138))+0-0-0</f>
        <v>909.31285000000003</v>
      </c>
      <c r="O180" s="3">
        <f>477+(897.4-404.1)+(0+(0-0))+0-0-0</f>
        <v>970.3</v>
      </c>
      <c r="P180" s="3">
        <f>474.9+(990.2-432.1)+(0.242199+(0.505002-0.220371))+0-0-0</f>
        <v>1033.52683</v>
      </c>
      <c r="Q180" s="3">
        <f>471.8+(1032-409.3)+(0.240618+(0.52632-0.208743))+0-0-0</f>
        <v>1095.0581950000001</v>
      </c>
      <c r="R180" s="3">
        <f>463.7+(1017.9-450.8)+(-0.472974+(-1.038258--0.459816))+0-0-0</f>
        <v>1029.7485839999999</v>
      </c>
      <c r="S180" s="3">
        <f>464+(1047.3-521.4)+(0.23664+(0.534123-0.265914))+0-0-0</f>
        <v>990.40484900000001</v>
      </c>
      <c r="T180" s="3">
        <f>462.3+(1119.9-574.3)+(0+(0-0))+0-0-0</f>
        <v>1007.9000000000001</v>
      </c>
      <c r="U180" s="3">
        <f>462.4+(1138.5-596.1)+(1.17912+(2.903175-1.520055))+0-0-0</f>
        <v>1007.3622399999999</v>
      </c>
      <c r="V180" s="3">
        <f>457.2+(1133.8-595.3)+(-0.932688+(-2.312952--1.214412))+0-0-0</f>
        <v>993.66877199999999</v>
      </c>
      <c r="W180" s="3">
        <f>451.8+(1121.2-612.8)+(-1.843344+(-4.574496--2.500224))+0-0-0</f>
        <v>956.28238400000009</v>
      </c>
      <c r="X180" s="3">
        <f>453.6+(1036.3-547.4)+(-1.15668+(-2.642565--1.39587))+0-0-0</f>
        <v>940.09662500000002</v>
      </c>
      <c r="Y180" s="3">
        <f>460.8+(1017.8-500.2)+(0.470016+(1.038156-0.510204))+0-0-0</f>
        <v>979.39796799999988</v>
      </c>
      <c r="Z180" s="3">
        <f>459.8+(1020.4-448.8)+(-0.468996+(-1.040808--0.457776))+0-0-0</f>
        <v>1030.3479719999998</v>
      </c>
      <c r="AA180" s="3">
        <f>458.2+(980.2-404.5)+(-0.467364+(-0.999804--0.41259))+0-0-0</f>
        <v>1032.8454220000001</v>
      </c>
      <c r="AB180" s="3">
        <f>458.8+(902.3-393.6)+(-0.467976+(-0.920346--0.401472))+0-0-0</f>
        <v>966.51315</v>
      </c>
      <c r="AC180" s="3">
        <f>465.4+(880.4-418.1)+(0.237354+(0.449004-0.213231))+0-0-0</f>
        <v>928.17312699999991</v>
      </c>
      <c r="AD180" s="2">
        <v>1035.6999999999998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468.8+(921.2-450.8)+(-0.717264+(-1.409436--0.689724))+0-0-0</f>
        <v>937.76302400000009</v>
      </c>
      <c r="G181" s="3">
        <f>466.7+(867.9-460.7)+(-0.952068+(-1.770516--0.939828))+0-0-0</f>
        <v>872.11724400000003</v>
      </c>
      <c r="H181" s="3">
        <f>466.7+(786.2-461)+(-0.714051+(-1.202886--0.70533))+0-0-0</f>
        <v>790.68839300000013</v>
      </c>
      <c r="I181" s="3">
        <f>468.9+(750.7-412.3)+(-0.239139+(-0.382857--0.210273))+0-0-0</f>
        <v>806.8882769999999</v>
      </c>
      <c r="J181" s="3">
        <f>462.5+(739.9-407.3)+(0.9435+(1.509396-0.830892))+0-0-0</f>
        <v>796.72200399999986</v>
      </c>
      <c r="K181" s="3">
        <f>335.2+(793.3-323.2)+(0.170952+(0.404583-0.164832))+0-0-0</f>
        <v>805.71070299999997</v>
      </c>
      <c r="L181" s="3">
        <f>241+(841.3-241.9)+(-0.49164+(-1.716252--0.493476))+0-0-0</f>
        <v>838.68558399999995</v>
      </c>
      <c r="M181" s="3">
        <f>283.2+(778.7-216.6)+(-0.144432+(-0.397137--0.110466))+0-0-0</f>
        <v>844.86889699999995</v>
      </c>
      <c r="N181" s="3">
        <f>477+(769.2-321.5)+(0+(0-0))+0-0-0</f>
        <v>924.7</v>
      </c>
      <c r="O181" s="3">
        <f>468.7+(862.8-356.6)+(-1.673259+(-3.080196--1.273062))+0-0-0</f>
        <v>971.41960699999981</v>
      </c>
      <c r="P181" s="3">
        <f>472.6+(920.8-386.7)+(0+(0-0))+0-0-0</f>
        <v>1006.6999999999999</v>
      </c>
      <c r="Q181" s="3">
        <f>459.9+(1016.5-437.2)+(0.469098+(1.03683-0.445944))+0-0-0</f>
        <v>1040.2599839999998</v>
      </c>
      <c r="R181" s="3">
        <f>459.4+(988.8-409.8)+(0+(0-0))+0-0-0</f>
        <v>1038.4000000000001</v>
      </c>
      <c r="S181" s="3">
        <f>455.3+(1004.1-441.8)+(-0.232203+(-0.512091--0.225318))+0-0-0</f>
        <v>1017.081024</v>
      </c>
      <c r="T181" s="3">
        <f>454.6+(1094.6-484.7)+(-0.231846+(-0.558246--0.247197))+0-0-0</f>
        <v>1063.957105</v>
      </c>
      <c r="U181" s="3">
        <f>455.2+(1111.3-524.7)+(0+(0-0))+0-0-0</f>
        <v>1041.8</v>
      </c>
      <c r="V181" s="3">
        <f>453.4+(1095.3-511)+(-0.693702+(-1.675809--0.78183))+0-0-0</f>
        <v>1036.1123189999998</v>
      </c>
      <c r="W181" s="3">
        <f>449.1+(1095.3-537.8)+(-0.229041+(-0.558603--0.274278))+0-0-0</f>
        <v>1006.086634</v>
      </c>
      <c r="X181" s="3">
        <f>236.6+(1081.2-315.9)+(0.120666+(0.551412-0.161109))+0-0-0</f>
        <v>1002.4109690000001</v>
      </c>
      <c r="Y181" s="3">
        <f>367.9+(1020.3-377.5)+(-0.187629+(-0.520353--0.192525))+0-0-0</f>
        <v>1010.184543</v>
      </c>
      <c r="Z181" s="3">
        <f>471.1+(995.7-392.5)+(-0.480522+(-1.015614--0.40035))+0-0-0</f>
        <v>1073.2042140000001</v>
      </c>
      <c r="AA181" s="3">
        <f>469+(951.8-401.7)+(-0.47838+(-0.970836--0.409734))+0-0-0</f>
        <v>1018.0605179999999</v>
      </c>
      <c r="AB181" s="3">
        <f>403.4+(884.2-282.9)+(0+(0-0))+0-0-0</f>
        <v>1004.7</v>
      </c>
      <c r="AC181" s="3">
        <f>403.4+(850.5-298.8)+(-0.822936+(-1.73502--0.609552))+0-0-0</f>
        <v>953.15159600000004</v>
      </c>
      <c r="AD181" s="2">
        <v>1035.1999999999998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403.4+(833.6-348.3)+(-1.234404+(-2.550816--1.065798))+0-0-0</f>
        <v>885.98057800000004</v>
      </c>
      <c r="G182" s="3">
        <f>403.4+(852.3-403.3)+(-1.02867+(-2.173365--1.028415))+0-0-0</f>
        <v>850.22637999999984</v>
      </c>
      <c r="H182" s="3">
        <f>403.4+(834.7-436.9)+(-0.617202+(-1.277091--0.668457))+0-0-0</f>
        <v>799.97416400000009</v>
      </c>
      <c r="I182" s="3">
        <f>396.1+(812.4-419.7)+(-1.414077+(-2.900268--1.498329))+0-0-0</f>
        <v>785.98398399999996</v>
      </c>
      <c r="J182" s="3">
        <f>291.8+(870.2-385.4)+(0.297636+(0.887604-0.393108))+0-0-0</f>
        <v>777.39213200000017</v>
      </c>
      <c r="K182" s="3">
        <f>291.8+(836.1-349.3)+(-0.446454+(-1.279233--0.534429))+0-0-0</f>
        <v>777.40874200000007</v>
      </c>
      <c r="L182" s="3">
        <f>265.7+(883.9-330.6)+(-0.813042+(-2.704734--1.011636))+0-0-0</f>
        <v>816.49386000000004</v>
      </c>
      <c r="M182" s="3">
        <f>245.4+(866-280.8)+(0.250308+(0.88332-0.286416))+0-0-0</f>
        <v>831.44721200000004</v>
      </c>
      <c r="N182" s="3">
        <f>330.8+(930.8-344.4)+(0.337416+(0.949416-0.351288))+0-0-0</f>
        <v>918.1355440000001</v>
      </c>
      <c r="O182" s="3">
        <f>328+(969.6-294.6)+(0.16728+(0.494496-0.150246))+0-0-0</f>
        <v>1003.51153</v>
      </c>
      <c r="P182" s="3">
        <f>361.2+(961.2-336.4)+(0.552636+(1.470636-0.514692))+0-0-0</f>
        <v>987.50858000000005</v>
      </c>
      <c r="Q182" s="3">
        <f>400.6+(924.7-306.7)+(0.408612+(0.943194-0.312834))+0-0-0</f>
        <v>1019.638972</v>
      </c>
      <c r="R182" s="3">
        <f>394+(886.1-265)+(-0.20094+(-0.451911--0.13515))+0-0-0</f>
        <v>1014.582299</v>
      </c>
      <c r="S182" s="3">
        <f>456.2+(890.2-331.1)+(-0.697986+(-1.362006--0.506583))+0-0-0</f>
        <v>1013.746591</v>
      </c>
      <c r="T182" s="3">
        <f>459.4+(868.3-353.4)+(-0.234294+(-0.442833--0.180234))+0-0-0</f>
        <v>973.80310699999995</v>
      </c>
      <c r="U182" s="3">
        <f>459.4+(887.5-352.7)+(0.234294+(0.452625-0.179877))+0-0-0</f>
        <v>994.70704199999989</v>
      </c>
      <c r="V182" s="3">
        <f>457.4+(877.1-351.3)+(-0.233274+(-0.447321--0.179163))+0-0-0</f>
        <v>982.69856799999991</v>
      </c>
      <c r="W182" s="3">
        <f>456.7+(911.8-367.8)+(-0.232917+(-0.465018--0.187578))+0-0-0</f>
        <v>1000.189643</v>
      </c>
      <c r="X182" s="3">
        <f>393.9+(904.5-330.7)+(-0.803556+(-1.84518--0.674628))+0-0-0</f>
        <v>965.72589199999993</v>
      </c>
      <c r="Y182" s="3">
        <f>435.5+(866.8-311.8)+(0.222105+(0.442068-0.159018))+0-0-0</f>
        <v>991.00515499999995</v>
      </c>
      <c r="Z182" s="3">
        <f>455.9+(879.9-310.7)+(-0.930036+(-1.794996--0.633828))+0-0-0</f>
        <v>1023.008796</v>
      </c>
      <c r="AA182" s="3">
        <f>432.4+(888.7-326.9)+(-1.323144+(-2.719422--1.000314))+0-0-0</f>
        <v>991.15774800000008</v>
      </c>
      <c r="AB182" s="3">
        <f>393+(881.5-336.1)+(-0.60129+(-1.348695--0.514233))+0-0-0</f>
        <v>936.964248</v>
      </c>
      <c r="AC182" s="3">
        <f>393.3+(868.4-339.5)+(-0.200583+(-0.442884--0.173145))+0-0-0</f>
        <v>921.72967800000004</v>
      </c>
      <c r="AD182" s="2">
        <v>1004.4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392.4+(881.4-375.6)+(-0.800496+(-1.798056--0.766224))+0-0-0</f>
        <v>896.36767199999997</v>
      </c>
      <c r="G183" s="3">
        <f>353.6+(845.2-382.1)+(-1.442688+(-3.448416--1.558968))+0-0-0</f>
        <v>813.36786400000005</v>
      </c>
      <c r="H183" s="3">
        <f>322.4+(872.6-388.9)+(-0.493272+(-1.335078--0.595017))+0-0-0</f>
        <v>804.86666700000001</v>
      </c>
      <c r="I183" s="3">
        <f>318.2+(882.3-408.9)+(-0.162282+(-0.449973--0.208539))+0-0-0</f>
        <v>791.19628399999988</v>
      </c>
      <c r="J183" s="3">
        <f>250.2+(904.5-379.4)+(-0.127602+(-0.461295--0.193494))+0-0-0</f>
        <v>774.90459699999997</v>
      </c>
      <c r="K183" s="3">
        <f>250.3+(889.5-362.4)+(-0.127653+(-0.453645--0.184824))+0-0-0</f>
        <v>777.00352600000008</v>
      </c>
      <c r="L183" s="3">
        <f>250+(898.7-326.6)+(-0.1275+(-0.458337--0.166566))+0-0-0</f>
        <v>821.68072900000004</v>
      </c>
      <c r="M183" s="3">
        <f>396+(798.7-363.1)+(0.40392+(0.814674-0.370362))+0-0-0</f>
        <v>832.44823200000008</v>
      </c>
      <c r="N183" s="3">
        <f>474.8+(792-303.2)+(0.726444+(1.21176-0.463896))+0-0-0</f>
        <v>965.07430799999997</v>
      </c>
      <c r="O183" s="3">
        <f>469.8+(823.2-277)+(-0.479196+(-0.839664--0.28254))+0-0-0</f>
        <v>1014.96368</v>
      </c>
      <c r="P183" s="3">
        <f>470+(842.1-271.6)+(0+(0-0))+0-0-0</f>
        <v>1040.5</v>
      </c>
      <c r="Q183" s="3">
        <f>469.8+(858-262.5)+(0.239598+(0.43758-0.133875))+0-0-0</f>
        <v>1065.8433029999999</v>
      </c>
      <c r="R183" s="3">
        <f>464.3+(861.1-277.2)+(0.236793+(0.439161-0.141372))+0-0-0</f>
        <v>1048.734582</v>
      </c>
      <c r="S183" s="3">
        <f>458.1+(883.2-320.5)+(-0.233631+(-0.450432--0.163455))+0-0-0</f>
        <v>1020.279392</v>
      </c>
      <c r="T183" s="3">
        <f>453.4+(881.5-322.9)+(-0.231234+(-0.449565--0.164679))+0-0-0</f>
        <v>1011.48388</v>
      </c>
      <c r="U183" s="3">
        <f>450.4+(894.2-313.4)+(-0.229704+(-0.456042--0.159834))+0-0-0</f>
        <v>1030.674088</v>
      </c>
      <c r="V183" s="3">
        <f>447.6+(898.4-328.4)+(-1.14138+(-2.29092--0.83742))+0-0-0</f>
        <v>1015.00512</v>
      </c>
      <c r="W183" s="3">
        <f>447.3+(937.7-370.6)+(-0.912492+(-1.912908--0.756024))+0-0-0</f>
        <v>1012.3306240000001</v>
      </c>
      <c r="X183" s="3">
        <f>446.5+(871.7-310.5)+(-0.45543+(-0.889134--0.31671))+0-0-0</f>
        <v>1006.672146</v>
      </c>
      <c r="Y183" s="3">
        <f>454.9+(844.6-320.8)+(0.231999+(0.430746-0.163608))+0-0-0</f>
        <v>979.19913699999995</v>
      </c>
      <c r="Z183" s="3">
        <f>466.4+(870.1-301.5)+(-0.475728+(-0.887502--0.30753))+0-0-0</f>
        <v>1033.9443000000001</v>
      </c>
      <c r="AA183" s="3">
        <f>462.9+(864.7-324)+(-1.180395+(-2.204985--0.8262))+0-0-0</f>
        <v>1001.0408200000001</v>
      </c>
      <c r="AB183" s="3">
        <f>465.8+(886.6-362.6)+(-0.950232+(-1.808664--0.739704))+0-0-0</f>
        <v>987.78080799999998</v>
      </c>
      <c r="AC183" s="3">
        <f>474.3+(886-409.2)+(-0.967572+(-1.80744--0.834768))+0-0-0</f>
        <v>949.15975600000002</v>
      </c>
      <c r="AD183" s="2">
        <v>991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474.9+(962.6-469.8)+(-0.242199+(-0.490926--0.239598))+0-0-0</f>
        <v>967.20647300000007</v>
      </c>
      <c r="G184" s="3">
        <f>464.6+(957.6-495.9)+(-1.18473+(-2.44188--1.264545))+0-0-0</f>
        <v>923.93793500000004</v>
      </c>
      <c r="H184" s="3">
        <f>352.3+(964.5-438.4)+(-1.078038+(-2.95137--1.341504))+0-0-0</f>
        <v>875.71209600000009</v>
      </c>
      <c r="I184" s="3">
        <f>347.6+(943.3-433.6)+(-1.240932+(-3.367581--1.547952))+0-0-0</f>
        <v>854.23943899999995</v>
      </c>
      <c r="J184" s="3">
        <f>347.6+(911.9-417.5)+(-0.709104+(-1.860276--0.8517))+0-0-0</f>
        <v>840.28232000000003</v>
      </c>
      <c r="K184" s="3">
        <f>347.6+(923.2-431.1)+(0.531828+(1.412496-0.659583))+0-0-0</f>
        <v>840.9847410000001</v>
      </c>
      <c r="L184" s="3">
        <f>347.2+(926.3-387.8)+(-0.708288+(-1.889652--0.791112))+0-0-0</f>
        <v>883.89317200000005</v>
      </c>
      <c r="M184" s="3">
        <f>389.7+(886.7-338)+(0+(0-0))+0-0-0</f>
        <v>938.40000000000009</v>
      </c>
      <c r="N184" s="3">
        <f>468.6+(858.9-348.6)+(0+(0-0))+0-0-0</f>
        <v>978.9</v>
      </c>
      <c r="O184" s="3">
        <f>469.1+(904.7-351.3)+(0.478482+(0.922794-0.358326))+0-0-0</f>
        <v>1023.5429500000001</v>
      </c>
      <c r="P184" s="3">
        <f>463+(1026.9-404.5)+(0.47226+(1.047438-0.41259))+0-0-0</f>
        <v>1086.507108</v>
      </c>
      <c r="Q184" s="3">
        <f>460.1+(1032.1-445.9)+(0.703953+(1.579113-0.682227))+0-0-0</f>
        <v>1047.9008389999999</v>
      </c>
      <c r="R184" s="3">
        <f>459.3+(1027.6-457.9)+(0.702729+(1.572228-0.700587))+0-0-0</f>
        <v>1030.57437</v>
      </c>
      <c r="S184" s="3">
        <f>457+(989.3-413.6)+(-0.46614+(-1.009086--0.421872))+0-0-0</f>
        <v>1031.6466459999999</v>
      </c>
      <c r="T184" s="3">
        <f>456.8+(997.9-420.5)+(0+(0-0))+0-0-0</f>
        <v>1034.2</v>
      </c>
      <c r="U184" s="3">
        <f>442.9+(1014.2-444.8)+(-0.451758+(-1.034484--0.453696))+0-0-0</f>
        <v>1011.267454</v>
      </c>
      <c r="V184" s="3">
        <f>432.3+(1058-487.3)+(-0.881892+(-2.15832--0.994092))+0-0-0</f>
        <v>1000.95388</v>
      </c>
      <c r="W184" s="3">
        <f>433.2+(1021.8-465.4)+(-1.10466+(-2.60559--1.18677))+0-0-0</f>
        <v>987.07651999999996</v>
      </c>
      <c r="X184" s="3">
        <f>433.5+(958.8-464.8)+(-0.44217+(-0.977976--0.474096))+0-0-0</f>
        <v>926.55394999999999</v>
      </c>
      <c r="Y184" s="3">
        <f>453.8+(1006.5-387.1)+(0.231438+(0.513315-0.197421))+0-0-0</f>
        <v>1073.7473320000001</v>
      </c>
      <c r="Z184" s="3">
        <f>470.8+(1070.8-457.2)+(-1.20054+(-2.73054--1.16586))+0-0-0</f>
        <v>1081.6347799999999</v>
      </c>
      <c r="AA184" s="3">
        <f>423.3+(1037.6-412.8)+(-0.431766+(-1.058352--0.421056))+0-0-0</f>
        <v>1047.0309379999999</v>
      </c>
      <c r="AB184" s="3">
        <f>402.9+(991.4-418.5)+(-0.616437+(-1.516842--0.640305))+0-0-0</f>
        <v>974.30702599999995</v>
      </c>
      <c r="AC184" s="3">
        <f>403.4+(1012.8-438.5)+(-0.205734+(-0.516528--0.223635))+0-0-0</f>
        <v>977.20137299999988</v>
      </c>
      <c r="AD184" s="2">
        <v>1130.0999999999999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403.4+(979.2-410.9)+(-0.205734+(-0.499392--0.209559))+0-0-0</f>
        <v>971.20443299999999</v>
      </c>
      <c r="G185" s="3">
        <f>400.8+(917.6-448.3)+(0+(0-0))+0-0-0</f>
        <v>870.1</v>
      </c>
      <c r="H185" s="3">
        <f>281.3+(922.2-369.8)+(-0.573852+(-1.881288--0.754392))+0-0-0</f>
        <v>831.99925200000007</v>
      </c>
      <c r="I185" s="3">
        <f>246.7+(916-369.1)+(-0.125817+(-0.46716--0.188241))+0-0-0</f>
        <v>793.19526399999995</v>
      </c>
      <c r="J185" s="3">
        <f>246.8+(910.3-379.4)+(0+(0-0))+0-0-0</f>
        <v>777.7</v>
      </c>
      <c r="K185" s="3">
        <f>246.8+(946.6-391.4)+(-0.503472+(-1.931064--0.798456))+0-0-0</f>
        <v>800.36392000000001</v>
      </c>
      <c r="L185" s="3">
        <f>245.6+(953.8-388.1)+(-0.62628+(-2.43219--0.989655))+0-0-0</f>
        <v>809.23118499999998</v>
      </c>
      <c r="M185" s="3">
        <f>246.9+(894.9-325.7)+(-0.125919+(-0.456399--0.166107))+0-0-0</f>
        <v>815.68378900000005</v>
      </c>
      <c r="N185" s="3">
        <f>247.8+(1022.4-363.4)+(0.252756+(1.042848-0.370668))+0-0-0</f>
        <v>907.72493599999996</v>
      </c>
      <c r="O185" s="3">
        <f>259.3+(1093.7-406.7)+(0+(0-0))+0-0-0</f>
        <v>946.3</v>
      </c>
      <c r="P185" s="3">
        <f>341.6+(1071.3-442.6)+(0+(0-0))+0-0-0</f>
        <v>970.3</v>
      </c>
      <c r="Q185" s="3">
        <f>339.9+(1073.6-425.1)+(-0.346698+(-1.095072--0.433602))+0-0-0</f>
        <v>987.39183199999991</v>
      </c>
      <c r="R185" s="3">
        <f>341.7+(1091.4-441.7)+(0+(0-0))+0-0-0</f>
        <v>991.40000000000009</v>
      </c>
      <c r="S185" s="3">
        <f>338.6+(1091.3-444.3)+(0+(0-0))+0-0-0</f>
        <v>985.6</v>
      </c>
      <c r="T185" s="3">
        <f>337.8+(1068.1-443.4)+(0+(0-0))+0-0-0</f>
        <v>962.5</v>
      </c>
      <c r="U185" s="3">
        <f>327.7+(1053.3-438.9)+(0+(0-0))+0-0-0</f>
        <v>942.09999999999991</v>
      </c>
      <c r="V185" s="3">
        <f>327.4+(1077.7-494.3)+(0+(0-0))+0-0-0</f>
        <v>910.80000000000007</v>
      </c>
      <c r="W185" s="3">
        <f>326.9+(1049.6-463.3)+(0+(0-0))+0-0-0</f>
        <v>913.19999999999993</v>
      </c>
      <c r="X185" s="3">
        <f>239.4+(1088.4-407.9)+(0+(0-0))+0-0-0</f>
        <v>919.90000000000009</v>
      </c>
      <c r="Y185" s="3">
        <f>278.4+(1074.6-422.7)+(0+(0-0))+0-0-0</f>
        <v>930.29999999999984</v>
      </c>
      <c r="Z185" s="3">
        <f>343.5+(1130.4-480.4)+(0+(0-0))+0-0-0</f>
        <v>993.50000000000011</v>
      </c>
      <c r="AA185" s="3">
        <f>208.3+(1200.1-473.1)+(0+(0-0))+0-0-0</f>
        <v>935.3</v>
      </c>
      <c r="AB185" s="3">
        <f>182.4+(1155.1-374.8)+(0+(0-0))+0-0-0</f>
        <v>962.69999999999993</v>
      </c>
      <c r="AC185" s="3">
        <f>117.8+(1106-310.4)+(0+(0-0))+0-0-0</f>
        <v>913.4</v>
      </c>
      <c r="AD185" s="2">
        <v>1014.7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117.7+(1109.5-368.4)+(-0.120054+(-1.13169--0.375768))+0-0-0</f>
        <v>857.92402400000003</v>
      </c>
      <c r="G186" s="3">
        <f>59.8+(1089.7-355.7)+(-0.15249+(-2.778735--0.907035))+0-0-0</f>
        <v>791.77580999999998</v>
      </c>
      <c r="H186" s="3">
        <f>45+(1050.4-325.2)+(-0.02295+(-0.535704--0.165852))+0-0-0</f>
        <v>769.80719800000008</v>
      </c>
      <c r="I186" s="3">
        <f>45+(1052.6-338.5)+(-0.0459+(-1.073652--0.34527))+0-0-0</f>
        <v>758.32571799999994</v>
      </c>
      <c r="J186" s="3">
        <f>45+(1032.4-328.2)+(0.02295+(0.526524-0.167382))+0-0-0</f>
        <v>749.58209199999999</v>
      </c>
      <c r="K186" s="3">
        <f>45+(1013.8-318.7)+(-0.1377+(-3.102228--0.975222))+0-0-0</f>
        <v>737.83529399999986</v>
      </c>
      <c r="L186" s="3">
        <f>60.5+(1031.8-379.5)+(-0.030855+(-0.526218--0.193545))+0-0-0</f>
        <v>712.43647199999998</v>
      </c>
      <c r="M186" s="3">
        <f>119.8+(1148.7-538.2)+(0.061098+(0.585837-0.274482))+0-0-0</f>
        <v>730.6724529999999</v>
      </c>
      <c r="N186" s="3">
        <f>102.8+(1234.9-541)+(-0.157284+(-1.889397--0.82773))+0-0-0</f>
        <v>795.4810490000001</v>
      </c>
      <c r="O186" s="3">
        <f>99.9+(1216.9-404.3)+(-0.305694+(-3.723714--1.237158))+0-0-0</f>
        <v>909.70775000000015</v>
      </c>
      <c r="P186" s="3">
        <f>115.1+(1101.3-344.4)+(-0.234804+(-2.246652--0.702576))+0-0-0</f>
        <v>870.22112000000004</v>
      </c>
      <c r="Q186" s="3">
        <f>120.1+(1060.4-356.6)+(0.245004+(2.163216-0.727464))+0-0-0</f>
        <v>825.58075600000006</v>
      </c>
      <c r="R186" s="3">
        <f>119.8+(1099.6-362.8)+(0.061098+(0.560796-0.185028))+0-0-0</f>
        <v>857.03686599999992</v>
      </c>
      <c r="S186" s="3">
        <f>119.5+(1097.7-386.6)+(0.060945+(0.559827-0.197166))+0-0-0</f>
        <v>831.02360599999997</v>
      </c>
      <c r="T186" s="3">
        <f>117.6+(1070-388)+(-0.239904+(-2.1828--0.79152))+0-0-0</f>
        <v>797.96881600000006</v>
      </c>
      <c r="U186" s="3">
        <f>117.3+(1076.5-403.3)+(-0.239292+(-2.19606--0.822732))+0-0-0</f>
        <v>788.88738000000001</v>
      </c>
      <c r="V186" s="3">
        <f>116.3+(1087-399.8)+(-0.415191+(-3.88059--1.427286))+0-0-0</f>
        <v>800.63150499999995</v>
      </c>
      <c r="W186" s="3">
        <f>138.6+(1028.2-352.3)+(-0.070686+(-0.524382--0.179673))+0-0-0</f>
        <v>814.08460500000012</v>
      </c>
      <c r="X186" s="3">
        <f>235.6+(1010.6-383)+(-0.240312+(-1.030812--0.39066))+0-0-0</f>
        <v>862.31953600000008</v>
      </c>
      <c r="Y186" s="3">
        <f>360.2+(1022.7-412.3)+(-0.551106+(-1.564731--0.630819))+0-0-0</f>
        <v>969.11498200000017</v>
      </c>
      <c r="Z186" s="3">
        <f>419.6+(910.9-415.4)+(-0.855984+(-1.858236--0.847416))+0-0-0</f>
        <v>913.23319600000002</v>
      </c>
      <c r="AA186" s="3">
        <f>353.4+(897.2-372.4)+(-0.720936+(-1.830288--0.759696))+0-0-0</f>
        <v>876.40847200000007</v>
      </c>
      <c r="AB186" s="3">
        <f>302.6+(900.8-362.1)+(-0.308652+(-0.918816--0.369342))+0-0-0</f>
        <v>840.44187399999998</v>
      </c>
      <c r="AC186" s="3">
        <f>302.3+(910.4-394.2)+(-0.925038+(-2.785824--1.206252))+0-0-0</f>
        <v>815.99539000000004</v>
      </c>
      <c r="AD186" s="2">
        <v>931.19999999999993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302.3+(902.4-405.7)+(0+(0-0))+0-0-0</f>
        <v>799</v>
      </c>
      <c r="G187" s="3">
        <f>302.6+(911-464.2)+(-0.462978+(-1.39383--0.710226))+0-0-0</f>
        <v>748.25341800000012</v>
      </c>
      <c r="H187" s="3">
        <f>302.6+(877.4-467.1)+(-0.308652+(-0.894948--0.476442))+0-0-0</f>
        <v>712.17284199999995</v>
      </c>
      <c r="I187" s="3">
        <f>259.4+(842.2-417.2)+(-0.396882+(-1.288566--0.638316))+0-0-0</f>
        <v>683.35286800000006</v>
      </c>
      <c r="J187" s="3">
        <f>248.7+(839.6-389.6)+(0+(0-0))+0-0-0</f>
        <v>698.7</v>
      </c>
      <c r="K187" s="3">
        <f>248.8+(843.4-371.4)+(-0.253776+(-0.860268--0.378828))+0-0-0</f>
        <v>720.06478399999992</v>
      </c>
      <c r="L187" s="3">
        <f>147.5+(898.5-283.6)+(0+(0-0))+0-0-0</f>
        <v>762.4</v>
      </c>
      <c r="M187" s="3">
        <f>246.3+(934-336.3)+(-0.125613+(-0.47634--0.171513))+0-0-0</f>
        <v>843.56956000000002</v>
      </c>
      <c r="N187" s="3">
        <f>273.8+(1088.4-417.1)+(-0.279276+(-1.110168--0.425442))+0-0-0</f>
        <v>944.13599800000009</v>
      </c>
      <c r="O187" s="3">
        <f>276+(1066.7-368.5)+(0.28152+(1.088034-0.37587))+0-0-0</f>
        <v>975.19368400000008</v>
      </c>
      <c r="P187" s="3">
        <f>343.9+(1001.1-321.9)+(-0.175389+(-0.510561--0.164169))+0-0-0</f>
        <v>1022.578219</v>
      </c>
      <c r="Q187" s="3">
        <f>345.1+(987-319.8)+(-0.176001+(-0.50337--0.163098))+0-0-0</f>
        <v>1011.7837270000001</v>
      </c>
      <c r="R187" s="3">
        <f>343.6+(1002.9-352.8)+(-0.350472+(-1.022958--0.359856))+0-0-0</f>
        <v>992.68642599999998</v>
      </c>
      <c r="S187" s="3">
        <f>341.4+(960.3-343.3)+(-0.522342+(-1.469259--0.525249))+0-0-0</f>
        <v>956.93364799999995</v>
      </c>
      <c r="T187" s="3">
        <f>341.7+(928.2-337.9)+(-0.522801+(-1.420146--0.516987))+0-0-0</f>
        <v>930.57403999999997</v>
      </c>
      <c r="U187" s="3">
        <f>341.8+(961.1-375.3)+(-0.522954+(-1.470483--0.574209))+0-0-0</f>
        <v>926.18077199999993</v>
      </c>
      <c r="V187" s="3">
        <f>340.1+(1026.7-411.7)+(-0.867255+(-2.618085--1.049835))+0-0-0</f>
        <v>952.66449499999999</v>
      </c>
      <c r="W187" s="3">
        <f>342.4+(1006-404.1)+(-0.523872+(-1.53918--0.618273))+0-0-0</f>
        <v>942.85522099999991</v>
      </c>
      <c r="X187" s="3">
        <f>373.6+(944.9-368.5)+(0+(0-0))+0-0-0</f>
        <v>950</v>
      </c>
      <c r="Y187" s="3">
        <f>462.6+(967.4-420.6)+(-1.17963+(-2.46687--1.07253))+0-0-0</f>
        <v>1006.8260299999999</v>
      </c>
      <c r="Z187" s="3">
        <f>444.6+(932.8-451.2)+(-0.906984+(-1.902912--0.920448))+0-0-0</f>
        <v>924.31055200000003</v>
      </c>
      <c r="AA187" s="3">
        <f>463.5+(974.8-491.3)+(-0.94554+(-1.988592--1.002252))+0-0-0</f>
        <v>945.06812000000002</v>
      </c>
      <c r="AB187" s="3">
        <f>365.7+(1047.4-521.4)+(-0.746028+(-2.136696--1.063656))+0-0-0</f>
        <v>889.88093200000003</v>
      </c>
      <c r="AC187" s="3">
        <f>242.3+(1162.8-541.2)+(-0.370719+(-1.779084--0.828036))+0-0-0</f>
        <v>862.57823299999984</v>
      </c>
      <c r="AD187" s="2">
        <v>1103.4000000000001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239.6+(1133.6-536.1)+(-0.122196+(-0.578136--0.273411))+0-0-0</f>
        <v>836.67307899999992</v>
      </c>
      <c r="G188" s="3">
        <f>212.4+(1047.2-432.6)+(-0.433296+(-2.136288--0.882504))+0-0-0</f>
        <v>825.31291999999996</v>
      </c>
      <c r="H188" s="3">
        <f>168.6+(986.9-378.3)+(-0.257958+(-1.509957--0.578799))+0-0-0</f>
        <v>776.01088399999992</v>
      </c>
      <c r="I188" s="3">
        <f>145.9+(991.1-405.4)+(-0.223227+(-1.516383--0.620262))+0-0-0</f>
        <v>730.48065200000008</v>
      </c>
      <c r="J188" s="3">
        <f>145.8+(1012.4-387.8)+(0.148716+(1.032648-0.395556))+0-0-0</f>
        <v>771.18580799999984</v>
      </c>
      <c r="K188" s="3">
        <f>145.1+(1009.5-387.9)+(-0.222003+(-1.544535--0.593487))+0-0-0</f>
        <v>765.52694900000006</v>
      </c>
      <c r="L188" s="3">
        <f>160.3+(1013.6-391.4)+(0.163506+(1.033872-0.399228))+0-0-0</f>
        <v>783.29814999999996</v>
      </c>
      <c r="M188" s="3">
        <f>240.9+(1082-473.9)+(0.245718+(1.10364-0.483378))+0-0-0</f>
        <v>849.86598000000004</v>
      </c>
      <c r="N188" s="3">
        <f>235.6+(1135.9-449.9)+(0.120156+(0.579309-0.229449))+0-0-0</f>
        <v>922.07001600000012</v>
      </c>
      <c r="O188" s="3">
        <f>234.6+(1050.5-379)+(-0.119646+(-0.535755--0.19329))+0-0-0</f>
        <v>905.63788899999997</v>
      </c>
      <c r="P188" s="3">
        <f>236.7+(1068.6-322.8)+(-0.362151+(-1.634958--0.493884))+0-0-0</f>
        <v>980.99677499999996</v>
      </c>
      <c r="Q188" s="3">
        <f>361+(976.5-361)+(-0.18411+(-0.498015--0.18411))+0-0-0</f>
        <v>976.00198499999999</v>
      </c>
      <c r="R188" s="3">
        <f>434.5+(948.8-417.3)+(0.664785+(1.451664-0.638469))+0-0-0</f>
        <v>967.47798</v>
      </c>
      <c r="S188" s="3">
        <f>341.4+(976.9-384.3)+(0.348228+(0.996438-0.391986))+0-0-0</f>
        <v>934.95267999999987</v>
      </c>
      <c r="T188" s="3">
        <f>339.2+(965.5-373.6)+(-0.345984+(-0.98481--0.381072))+0-0-0</f>
        <v>930.15027799999996</v>
      </c>
      <c r="U188" s="3">
        <f>334+(985.4-383.3)+(-0.8517+(-2.51277--0.977415))+0-0-0</f>
        <v>933.71294499999988</v>
      </c>
      <c r="V188" s="3">
        <f>340.4+(978.1-423.2)+(-0.86802+(-2.494155--1.07916))+0-0-0</f>
        <v>893.01698500000009</v>
      </c>
      <c r="W188" s="3">
        <f>358.4+(960.3-412.6)+(-0.365568+(-0.979506--0.420852))+0-0-0</f>
        <v>905.17577799999992</v>
      </c>
      <c r="X188" s="3">
        <f>364.1+(896.8-291.6)+(-0.185691+(-0.457368--0.148716))+0-0-0</f>
        <v>968.805657</v>
      </c>
      <c r="Y188" s="3">
        <f>339+(974.8-322)+(-0.69156+(-1.988592--0.65688))+0-0-0</f>
        <v>989.77672799999993</v>
      </c>
      <c r="Z188" s="3">
        <f>343.4+(994.4-407.8)+(-0.525402+(-1.521432--0.623934))+0-0-0</f>
        <v>928.57709999999986</v>
      </c>
      <c r="AA188" s="3">
        <f>339.7+(1032-490.3)+(-1.039482+(-3.15792--1.500318))+0-0-0</f>
        <v>878.70291600000007</v>
      </c>
      <c r="AB188" s="3">
        <f>321.2+(1011.8-438.6)+(-0.491436+(-1.548054--0.671058))+0-0-0</f>
        <v>893.03156799999988</v>
      </c>
      <c r="AC188" s="3">
        <f>302.6+(1024.9-474.8)+(0+(0-0))+0-0-0</f>
        <v>852.70000000000016</v>
      </c>
      <c r="AD188" s="2">
        <v>987.90000000000009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302.1+(983.9-439.3)+(-0.154071+(-0.501789--0.224043))+0-0-0</f>
        <v>846.26818299999991</v>
      </c>
      <c r="G189" s="3">
        <f>302.6+(963.7-442.3)+(-0.617304+(-1.965948--0.902292))+0-0-0</f>
        <v>822.31904000000009</v>
      </c>
      <c r="H189" s="3">
        <f>302.6+(943.5-457.8)+(-0.154326+(-0.481185--0.233478))+0-0-0</f>
        <v>787.89796699999999</v>
      </c>
      <c r="I189" s="3">
        <f>302.6+(927.2-444)+(-0.308652+(-0.945744--0.45288))+0-0-0</f>
        <v>784.99848400000008</v>
      </c>
      <c r="J189" s="3">
        <f>302.6+(906.8-431.6)+(0.462978+(1.387404-0.660348))+0-0-0</f>
        <v>778.99003399999992</v>
      </c>
      <c r="K189" s="3">
        <f>275.2+(923.9-415)+(-0.421056+(-1.413567--0.63495))+0-0-0</f>
        <v>782.90032699999995</v>
      </c>
      <c r="L189" s="3">
        <f>239.6+(917.5-380.3)+(-0.122196+(-0.467925--0.193953))+0-0-0</f>
        <v>776.40383200000008</v>
      </c>
      <c r="M189" s="3">
        <f>242.5+(943.2-337.5)+(0.4947+(1.924128-0.6885))+0-0-0</f>
        <v>849.93032800000003</v>
      </c>
      <c r="N189" s="3">
        <f>238.6+(994.1-312)+(-0.121686+(-0.506991--0.15912))+0-0-0</f>
        <v>920.23044300000004</v>
      </c>
      <c r="O189" s="3">
        <f>262.1+(1043.9-323.7)+(0.133671+(0.532389-0.165087))+0-0-0</f>
        <v>982.80097300000011</v>
      </c>
      <c r="P189" s="3">
        <f>336.6+(1010.9-358.7)+(0+(0-0))+0-0-0</f>
        <v>988.80000000000007</v>
      </c>
      <c r="Q189" s="3">
        <f>337.3+(962-389.7)+(0.344046+(0.98124-0.397494))+0-0-0</f>
        <v>910.52779199999986</v>
      </c>
      <c r="R189" s="3">
        <f>334.4+(1058-406.3)+(-0.511632+(-1.61874--0.621639))+0-0-0</f>
        <v>984.59126700000002</v>
      </c>
      <c r="S189" s="3">
        <f>342.2+(1101.8-466.4)+(-0.523566+(-1.685754--0.713592))+0-0-0</f>
        <v>976.10427199999992</v>
      </c>
      <c r="T189" s="3">
        <f>402.4+(1052.6-515.9)+(-1.02612+(-2.68413--1.315545))+0-0-0</f>
        <v>936.70529499999986</v>
      </c>
      <c r="U189" s="3">
        <f>436+(1073.5-532.2)+(-1.33416+(-3.28491--1.628532))+0-0-0</f>
        <v>974.30946199999994</v>
      </c>
      <c r="V189" s="3">
        <f>338.6+(1005.6-434.1)+(-1.208802+(-3.589992--1.549737))+0-0-0</f>
        <v>906.85094300000003</v>
      </c>
      <c r="W189" s="3">
        <f>302.4+(990.7-338)+(-0.308448+(-1.010514--0.34476))+0-0-0</f>
        <v>954.12579800000003</v>
      </c>
      <c r="X189" s="3">
        <f>310+(964.1-356)+(-0.4743+(-1.475073--0.54468))+0-0-0</f>
        <v>916.69530700000007</v>
      </c>
      <c r="Y189" s="3">
        <f>310+(992.3-424)+(-0.6324+(-2.024292--0.86496))+0-0-0</f>
        <v>876.50826799999993</v>
      </c>
      <c r="Z189" s="3">
        <f>310.7+(1085.7-413.9)+(-0.792285+(-2.768535--1.055445))+0-0-0</f>
        <v>979.99462500000004</v>
      </c>
      <c r="AA189" s="3">
        <f>301.5+(1107.9-463.9)+(-0.92259+(-3.390174--1.419534))+0-0-0</f>
        <v>942.6067700000001</v>
      </c>
      <c r="AB189" s="3">
        <f>302.2+(1078.2-482.3)+(-0.616488+(-2.199528--0.983892))+0-0-0</f>
        <v>896.26787600000011</v>
      </c>
      <c r="AC189" s="3">
        <f>302.6+(1072.4-510)+(-0.77163+(-2.73462--1.3005))+0-0-0</f>
        <v>862.79425000000015</v>
      </c>
      <c r="AD189" s="2">
        <v>1037.2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302.6+(1031.5-497.1)+(-0.154326+(-0.526065--0.253521))+0-0-0</f>
        <v>836.57312999999999</v>
      </c>
      <c r="G190" s="3">
        <f>300.3+(973.9-471.2)+(-0.306306+(-0.993378--0.480624))+0-0-0</f>
        <v>802.18093999999996</v>
      </c>
      <c r="H190" s="3">
        <f>185.6+(1033.1-435.8)+(-0.094656+(-0.526881--0.222258))+0-0-0</f>
        <v>782.500721</v>
      </c>
      <c r="I190" s="3">
        <f>185+(1017.2-425.6)+(-0.47175+(-2.59386--1.08528))+0-0-0</f>
        <v>774.61967000000004</v>
      </c>
      <c r="J190" s="3">
        <f>184.9+(980.5-385.1)+(0.094299+(0.500055-0.196401))+0-0-0</f>
        <v>780.69795299999998</v>
      </c>
      <c r="K190" s="3">
        <f>145.1+(986-345.4)+(-0.370005+(-2.5143--0.88077))+0-0-0</f>
        <v>783.69646499999999</v>
      </c>
      <c r="L190" s="3">
        <f>124.2+(948.9-281.1)+(-0.063342+(-0.483939--0.143361))+0-0-0</f>
        <v>791.59608000000003</v>
      </c>
      <c r="M190" s="3">
        <f>272.1+(876.2-292.8)+(-0.138771+(-0.446862--0.149328))+0-0-0</f>
        <v>855.06369500000017</v>
      </c>
      <c r="N190" s="3">
        <f>353.9+(851.3-216.4)+(0+(0-0))+0-0-0</f>
        <v>988.8</v>
      </c>
      <c r="O190" s="3">
        <f>354.3+(859.6-220.7)+(0+(0-0))+0-0-0</f>
        <v>993.2</v>
      </c>
      <c r="P190" s="3">
        <f>352.9+(865.4-210.3)+(-0.359958+(-0.882708--0.214506))+0-0-0</f>
        <v>1006.9718399999999</v>
      </c>
      <c r="Q190" s="3">
        <f>352.3+(888.4-220.5)+(-0.179673+(-0.453084--0.112455))+0-0-0</f>
        <v>1019.679698</v>
      </c>
      <c r="R190" s="3">
        <f>352.7+(846.5-220.4)+(-0.359754+(-0.86343--0.224808))+0-0-0</f>
        <v>977.80162399999995</v>
      </c>
      <c r="S190" s="3">
        <f>344.4+(873-240.9)+(-0.526932+(-1.33569--0.368577))+0-0-0</f>
        <v>975.00595499999997</v>
      </c>
      <c r="T190" s="3">
        <f>345.4+(869-260.6)+(-0.176154+(-0.44319--0.132906))+0-0-0</f>
        <v>953.31356199999993</v>
      </c>
      <c r="U190" s="3">
        <f>289.4+(961.1-208)+(-0.73797+(-2.450805--0.5304))+0-0-0</f>
        <v>1039.841625</v>
      </c>
      <c r="V190" s="3">
        <f>134.6+(958.6-132.6)+(-0.137292+(-0.977772--0.135252))+0-0-0</f>
        <v>959.62018799999998</v>
      </c>
      <c r="W190" s="3">
        <f>134.2+(921.4-111.2)+(-0.205326+(-1.409742--0.170136))+0-0-0</f>
        <v>942.95506799999987</v>
      </c>
      <c r="X190" s="3">
        <f>198.5+(1040.5-242.1)+(-0.101235+(-0.530655--0.123471))+0-0-0</f>
        <v>996.39158099999997</v>
      </c>
      <c r="Y190" s="3">
        <f>205+(1126.1-316.1)+(-0.6273+(-3.445866--0.967266))+0-0-0</f>
        <v>1011.8940999999999</v>
      </c>
      <c r="Z190" s="3">
        <f>185.7+(1114.5-300.3)+(-0.094707+(-0.568395--0.153153))+0-0-0</f>
        <v>999.39005100000008</v>
      </c>
      <c r="AA190" s="3">
        <f>142.2+(1122.7-301)+(-0.072522+(-0.572577--0.15351))+0-0-0</f>
        <v>963.40841100000011</v>
      </c>
      <c r="AB190" s="3">
        <f>141.3+(1080.7-306.1)+(-0.360315+(-2.755785--0.780555))+0-0-0</f>
        <v>913.56445500000007</v>
      </c>
      <c r="AC190" s="3">
        <f>141.2+(1056.6-291.4)+(-0.216036+(-1.616598--0.445842))+0-0-0</f>
        <v>905.01320799999985</v>
      </c>
      <c r="AD190" s="2">
        <v>1035.5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141.2+(988.4-364.5)+(-0.288048+(-2.016336--0.74358))+0-0-0</f>
        <v>763.53919599999995</v>
      </c>
      <c r="G191" s="3">
        <f>141.3+(1019.5-354.3)+(-0.360315+(-2.599725--0.903465))+0-0-0</f>
        <v>804.44342500000005</v>
      </c>
      <c r="H191" s="3">
        <f>141.2+(1019.4-368.9)+(-0.36006+(-2.59947--0.940695))+0-0-0</f>
        <v>789.68116500000008</v>
      </c>
      <c r="I191" s="3">
        <f>141.2+(1017.8-378.7)+(-0.072012+(-0.519078--0.193137))+0-0-0</f>
        <v>779.90204699999992</v>
      </c>
      <c r="J191" s="3">
        <f>141.3+(1021.8-380.8)+(-0.144126+(-1.042236--0.388416))+0-0-0</f>
        <v>781.50205399999993</v>
      </c>
      <c r="K191" s="3">
        <f>141.2+(977.6-337.2)+(-0.36006+(-2.49288--0.85986))+0-0-0</f>
        <v>779.60692000000017</v>
      </c>
      <c r="L191" s="3">
        <f>142.5+(858-225.9)+(0+(0-0))+0-0-0</f>
        <v>774.6</v>
      </c>
      <c r="M191" s="3">
        <f>340.1+(773.4-286.2)+(-0.173451+(-0.394434--0.145962))+0-0-0</f>
        <v>826.87807699999996</v>
      </c>
      <c r="N191" s="3">
        <f>482.4+(697.2-261.9)+(-0.492048+(-0.711144--0.267138))+0-0-0</f>
        <v>916.76394600000003</v>
      </c>
      <c r="O191" s="3">
        <f>372.3+(725.7-168.3)+(-0.189873+(-0.370107--0.085833))+0-0-0</f>
        <v>929.22585300000003</v>
      </c>
      <c r="P191" s="3">
        <f>361.3+(793.7-211.6)+(0.368526+(0.809574-0.215832))+0-0-0</f>
        <v>944.36226800000009</v>
      </c>
      <c r="Q191" s="3">
        <f>355.1+(823.9-226.2)+(0+(0-0))+0-0-0</f>
        <v>952.80000000000007</v>
      </c>
      <c r="R191" s="3">
        <f>364.6+(798.3-261.8)+(0.185946+(0.407133-0.133518))+0-0-0</f>
        <v>901.55956100000003</v>
      </c>
      <c r="S191" s="3">
        <f>426.4+(788.9-327.8)+(0.434928+(0.804678-0.334356))+0-0-0</f>
        <v>888.40525000000002</v>
      </c>
      <c r="T191" s="3">
        <f>460.2+(808.7-367)+(-0.469404+(-0.824874--0.37434))+0-0-0</f>
        <v>900.98006200000009</v>
      </c>
      <c r="U191" s="3">
        <f>456.3+(829.2-360.6)+(-1.628991+(-2.960244--1.287342))+0-0-0</f>
        <v>921.59810700000014</v>
      </c>
      <c r="V191" s="3">
        <f>275.8+(884.6-215)+(-0.281316+(-0.902292--0.2193))+0-0-0</f>
        <v>944.43569200000013</v>
      </c>
      <c r="W191" s="3">
        <f>135.2+(891.1-102.2)+(0+(0-0))+0-0-0</f>
        <v>924.09999999999991</v>
      </c>
      <c r="X191" s="3">
        <f>313.9+(786.4-121.1)+(-0.160089+(-0.401064--0.061761))+0-0-0</f>
        <v>978.70060799999999</v>
      </c>
      <c r="Y191" s="3">
        <f>419+(727.4-153.4)+(-0.85476+(-1.483896--0.312936))+0-0-0</f>
        <v>990.97428000000002</v>
      </c>
      <c r="Z191" s="3">
        <f>369.7+(742.5-152.7)+(-0.377094+(-0.75735--0.155754))+0-0-0</f>
        <v>958.52130999999997</v>
      </c>
      <c r="AA191" s="3">
        <f>346.8+(766.4-186.6)+(-0.176868+(-0.390864--0.095166))+0-0-0</f>
        <v>926.12743399999988</v>
      </c>
      <c r="AB191" s="3">
        <f>336.5+(781.2-221.1)+(-1.201305+(-2.788884--0.789327))+0-0-0</f>
        <v>893.39913799999999</v>
      </c>
      <c r="AC191" s="3">
        <f>302.6+(811.4-253.6)+(0.154326+(0.413814-0.129336))+0-0-0</f>
        <v>860.83880399999998</v>
      </c>
      <c r="AD191" s="2">
        <v>1015.3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302.6+(837.4-326.5)+(-0.462978+(-1.281222--0.499545))+0-0-0</f>
        <v>812.25534500000003</v>
      </c>
      <c r="G192" s="3">
        <f>302.6+(869.8-387)+(-0.462978+(-1.330794--0.59211))+0-0-0</f>
        <v>784.19833799999992</v>
      </c>
      <c r="H192" s="3">
        <f>302.6+(905.9-434.4)+(-0.77163+(-2.310045--1.10772))+0-0-0</f>
        <v>772.12604499999998</v>
      </c>
      <c r="I192" s="3">
        <f>302.6+(939.8-477.3)+(-0.308652+(-0.958596--0.486846))+0-0-0</f>
        <v>764.31959799999993</v>
      </c>
      <c r="J192" s="3">
        <f>302.6+(926.7-469.9)+(0+(0-0))+0-0-0</f>
        <v>759.40000000000009</v>
      </c>
      <c r="K192" s="3">
        <f>208.1+(943.1-397)+(-0.318393+(-1.442943--0.60741))+0-0-0</f>
        <v>753.04607400000009</v>
      </c>
      <c r="L192" s="3">
        <f>135.2+(891.5-285.7)+(0.068952+(0.454665-0.145707))+0-0-0</f>
        <v>741.37791000000004</v>
      </c>
      <c r="M192" s="3">
        <f>170.6+(886.6-265.3)+(-0.087006+(-0.452166--0.135303))+0-0-0</f>
        <v>791.49613099999999</v>
      </c>
      <c r="N192" s="3">
        <f>284.1+(782.3-188.4)+(-0.289782+(-0.797946--0.192168))+0-0-0</f>
        <v>877.10443999999995</v>
      </c>
      <c r="O192" s="3">
        <f>291.5+(822.5-192.4)+(-0.148665+(-0.419475--0.098124))+0-0-0</f>
        <v>921.12998400000004</v>
      </c>
      <c r="P192" s="3">
        <f>355.2+(840.2-243.9)+(0.362304+(0.857004-0.248778))+0-0-0</f>
        <v>952.47053000000005</v>
      </c>
      <c r="Q192" s="3">
        <f>367.3+(825.7-237.4)+(0.561969+(1.263321-0.363222))+0-0-0</f>
        <v>957.06206800000018</v>
      </c>
      <c r="R192" s="3">
        <f>424.8+(780.5-261)+(-0.649944+(-1.194165--0.39933))+0-0-0</f>
        <v>942.85522099999991</v>
      </c>
      <c r="S192" s="3">
        <f>461.6+(782.6-323.6)+(0+(0-0))+0-0-0</f>
        <v>920.6</v>
      </c>
      <c r="T192" s="3">
        <f>457.9+(816.2-359.9)+(-0.700587+(-1.248786--0.550647))+0-0-0</f>
        <v>912.80127400000003</v>
      </c>
      <c r="U192" s="3">
        <f>456.8+(809.2-359.6)+(-1.397808+(-2.476152--1.100376))+0-0-0</f>
        <v>903.62641600000006</v>
      </c>
      <c r="V192" s="3">
        <f>404.5+(786.9-294.4)+(-1.23777+(-2.407914--0.900864))+0-0-0</f>
        <v>894.25518</v>
      </c>
      <c r="W192" s="3">
        <f>356.7+(813.3-284.4)+(-0.727668+(-1.659132--0.580176))+0-0-0</f>
        <v>883.79337599999985</v>
      </c>
      <c r="X192" s="3">
        <f>383+(828.8-267.9)+(0+(0-0))+0-0-0</f>
        <v>943.9</v>
      </c>
      <c r="Y192" s="3">
        <f>469.5+(763.3-284.8)+(-2.155005+(-3.503547--1.307232))+0-0-0</f>
        <v>943.64868000000001</v>
      </c>
      <c r="Z192" s="3">
        <f>475.8+(855.1-412)+(-1.21329+(-2.180505--1.0506))+0-0-0</f>
        <v>916.55680500000005</v>
      </c>
      <c r="AA192" s="3">
        <f>410.3+(884.7-412.8)+(-0.627759+(-1.353591--0.631584))+0-0-0</f>
        <v>880.850234</v>
      </c>
      <c r="AB192" s="3">
        <f>329.5+(930.1-404.3)+(-0.504135+(-1.423053--0.618579))+0-0-0</f>
        <v>853.99139099999991</v>
      </c>
      <c r="AC192" s="3">
        <f>329+(936.3-443.5)+(-0.50337+(-1.432539--0.678555))+0-0-0</f>
        <v>820.54264599999999</v>
      </c>
      <c r="AD192" s="2">
        <v>961.1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282.4+(955.1-438)+(-0.576096+(-1.948404--0.89352))+0-0-0</f>
        <v>797.86901999999998</v>
      </c>
      <c r="G193" s="3">
        <f>4.8+(1034.8-275.9)+(0.002448+(0.527748-0.140709))+0-0-0</f>
        <v>764.08948699999996</v>
      </c>
      <c r="H193" s="3">
        <f>0+(1021.2-271.8)+(0+(-0.520812--0.138618))+0-0-0</f>
        <v>749.01780600000006</v>
      </c>
      <c r="I193" s="3">
        <f>0+(1008-274)+(0+(-1.54224--0.41922))+0-0-0</f>
        <v>732.87698</v>
      </c>
      <c r="J193" s="3">
        <f>0+(988.3-264.7)+(0+(-0.504033--0.134997))+0-0-0</f>
        <v>723.23096399999986</v>
      </c>
      <c r="K193" s="3">
        <f>0+(987.7-270.9)+(0+(-2.518635--0.690795))+0-0-0</f>
        <v>714.97216000000003</v>
      </c>
      <c r="L193" s="3">
        <f>0+(995.3-305.6)+(0+(0-0))+0-0-0</f>
        <v>689.69999999999993</v>
      </c>
      <c r="M193" s="3">
        <f>0+(1071.9-369.3)+(0+(-3.280014--1.130058))+0-0-0</f>
        <v>700.45004400000016</v>
      </c>
      <c r="N193" s="3">
        <f>0+(1121.4-386.4)+(0+(-0.571914--0.197064))+0-0-0</f>
        <v>734.62515000000008</v>
      </c>
      <c r="O193" s="3">
        <f>0+(875.8-109.1)+(0+(-1.339974--0.166923))+0-0-0</f>
        <v>765.52694899999995</v>
      </c>
      <c r="P193" s="3">
        <f>0+(880.3-99.6)+(0+(-1.346859--0.152388))+0-0-0</f>
        <v>779.50552899999991</v>
      </c>
      <c r="Q193" s="3">
        <f>100.1+(886.5-192.3)+(-0.102102+(-0.90423--0.196146))+0-0-0</f>
        <v>793.48981400000002</v>
      </c>
      <c r="R193" s="3">
        <f>347.4+(822.3-376.7)+(0.354348+(0.838746-0.384234))+0-0-0</f>
        <v>793.80885999999998</v>
      </c>
      <c r="S193" s="3">
        <f>368.2+(786.3-367.7)+(-0.563346+(-1.203039--0.562581))+0-0-0</f>
        <v>785.59619599999996</v>
      </c>
      <c r="T193" s="3">
        <f>391.3+(784.2-405.5)+(-0.598689+(-1.199826--0.620415))+0-0-0</f>
        <v>768.82190000000003</v>
      </c>
      <c r="U193" s="3">
        <f>390+(769.2-396)+(-0.9945+(-1.96146--1.0098))+0-0-0</f>
        <v>761.25384000000008</v>
      </c>
      <c r="V193" s="3">
        <f>300.1+(771.4-309.2)+(-0.765255+(-1.96707--0.78846))+0-0-0</f>
        <v>760.35613499999999</v>
      </c>
      <c r="W193" s="3">
        <f>284.4+(753-276.4)+(-0.290088+(-0.76806--0.281928))+0-0-0</f>
        <v>760.22378000000003</v>
      </c>
      <c r="X193" s="3">
        <f>284.9+(794.2-254.6)+(-0.145299+(-0.405042--0.129846))+0-0-0</f>
        <v>824.07950500000004</v>
      </c>
      <c r="Y193" s="3">
        <f>338.1+(782.4-278.8)+(-0.344862+(-0.798048--0.284376))+0-0-0</f>
        <v>840.84146600000008</v>
      </c>
      <c r="Z193" s="3">
        <f>362.5+(787.3-319.9)+(-0.924375+(-2.007615--0.815745))+0-0-0</f>
        <v>827.78375499999993</v>
      </c>
      <c r="AA193" s="3">
        <f>364.3+(786.9-342.3)+(-0.185793+(-0.401319--0.174573))+0-0-0</f>
        <v>808.48746099999994</v>
      </c>
      <c r="AB193" s="3">
        <f>363+(804.1-391.7)+(-0.92565+(-2.050455--0.998835))+0-0-0</f>
        <v>773.42273000000012</v>
      </c>
      <c r="AC193" s="3">
        <f>364.6+(811.1-446.4)+(-0.371892+(-0.827322--0.455328))+0-0-0</f>
        <v>728.55611400000009</v>
      </c>
      <c r="AD193" s="2">
        <v>843.8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361+(778.4-441.9)+(-0.92055+(-1.98492--1.126845))+0-0-0</f>
        <v>695.72137499999997</v>
      </c>
      <c r="G194" s="3">
        <f>364.8+(739.4-426.3)+(-0.558144+(-1.131282--0.652239))+0-0-0</f>
        <v>676.86281299999996</v>
      </c>
      <c r="H194" s="3">
        <f>334.2+(758.4-426.7)+(-0.85221+(-1.93392--1.088085))+0-0-0</f>
        <v>664.201955</v>
      </c>
      <c r="I194" s="3">
        <f>300.1+(764.3-409.8)+(-0.612204+(-1.559172--0.835992))+0-0-0</f>
        <v>653.26461599999993</v>
      </c>
      <c r="J194" s="3">
        <f>180.2+(847.6-360.6)+(-0.275706+(-1.296828--0.551718))+0-0-0</f>
        <v>666.17918400000008</v>
      </c>
      <c r="K194" s="3">
        <f>180.1+(822.6-332.1)+(-0.091851+(-0.419526--0.169371))+0-0-0</f>
        <v>670.25799400000005</v>
      </c>
      <c r="L194" s="3">
        <f>180.2+(802.8-297.5)+(0.275706+(1.228284-0.455175))+0-0-0</f>
        <v>686.54881499999999</v>
      </c>
      <c r="M194" s="3">
        <f>179.8+(876.6-285.8)+(0.275094+(1.341198-0.437274))+0-0-0</f>
        <v>771.77901799999995</v>
      </c>
      <c r="N194" s="3">
        <f>382.1+(680.1-154)+(0+(0-0))+0-0-0</f>
        <v>908.2</v>
      </c>
      <c r="O194" s="3">
        <f>485.7+(665.7-256.6)+(0+(0-0))+0-0-0</f>
        <v>894.8</v>
      </c>
      <c r="P194" s="3">
        <f>486.6+(694.6-268.5)+(0+(0-0))+0-0-0</f>
        <v>912.7</v>
      </c>
      <c r="Q194" s="3">
        <f>436.6+(753.8-268.8)+(-0.667998+(-1.153314--0.411264))+0-0-0</f>
        <v>920.18995199999995</v>
      </c>
      <c r="R194" s="3">
        <f>360+(786.8-234.2)+(-1.1016+(-2.407608--0.716652))+0-0-0</f>
        <v>909.80744399999992</v>
      </c>
      <c r="S194" s="3">
        <f>363.8+(801-251.9)+(-0.371076+(-0.81702--0.256938))+0-0-0</f>
        <v>911.96884200000011</v>
      </c>
      <c r="T194" s="3">
        <f>353.8+(820.2-252.3)+(-0.180438+(-0.418302--0.128673))+0-0-0</f>
        <v>921.22993300000007</v>
      </c>
      <c r="U194" s="3">
        <f>365.2+(809.7-267.4)+(-0.372504+(-0.825894--0.272748))+0-0-0</f>
        <v>906.57434999999998</v>
      </c>
      <c r="V194" s="3">
        <f>406.9+(794.7-310.2)+(-0.622557+(-1.215891--0.474606))+0-0-0</f>
        <v>890.03615800000011</v>
      </c>
      <c r="W194" s="3">
        <f>180.7+(898-184.8)+(0.368628+(1.83192-0.376992))+0-0-0</f>
        <v>895.72355600000014</v>
      </c>
      <c r="X194" s="3">
        <f>120.4+(946.5-106.1)+(0.122808+(0.96543-0.108222))+0-0-0</f>
        <v>961.78001599999993</v>
      </c>
      <c r="Y194" s="3">
        <f>120.2+(992.5-147.5)+(0.122604+(1.01235-0.15045))+0-0-0</f>
        <v>966.18450400000006</v>
      </c>
      <c r="Z194" s="3">
        <f>119.1+(968.6-148.6)+(0+(0-0))+0-0-0</f>
        <v>939.1</v>
      </c>
      <c r="AA194" s="3">
        <f>120.3+(865.7-85.2)+(0.061353+(0.441507-0.043452))+0-0-0</f>
        <v>901.25940800000001</v>
      </c>
      <c r="AB194" s="3">
        <f>119.8+(855.5-108.3)+(-0.30549+(-2.181525--0.276165))+0-0-0</f>
        <v>864.78914999999995</v>
      </c>
      <c r="AC194" s="3">
        <f>121.1+(935.6-229.2)+(-0.247044+(-1.908624--0.467568))+0-0-0</f>
        <v>825.81190000000015</v>
      </c>
      <c r="AD194" s="2">
        <v>962.80000000000007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121.4+(986.4-327.3)+(-0.247656+(-2.012256--0.667692))+0-0-0</f>
        <v>778.90777999999989</v>
      </c>
      <c r="G195" s="3">
        <f>91.7+(966.8-301.6)+(-0.327369+(-3.451476--1.076712))+0-0-0</f>
        <v>754.19786699999997</v>
      </c>
      <c r="H195" s="3">
        <f>47.1+(961.9-266.7)+(0.048042+(0.981138-0.272034))+0-0-0</f>
        <v>743.0571460000001</v>
      </c>
      <c r="I195" s="3">
        <f>47.1+(967.8-280.1)+(-0.096084+(-1.974312--0.571404))+0-0-0</f>
        <v>733.30100799999991</v>
      </c>
      <c r="J195" s="3">
        <f>47.1+(950.3-268.8)+(0.048042+(0.969306-0.274176))+0-0-0</f>
        <v>729.34317199999998</v>
      </c>
      <c r="K195" s="3">
        <f>47.1+(934.8-243.1)+(-0.072063+(-1.430244--0.371943))+0-0-0</f>
        <v>737.66963599999997</v>
      </c>
      <c r="L195" s="3">
        <f>62.6+(893-212.7)+(0+(0-0))+0-0-0</f>
        <v>742.9</v>
      </c>
      <c r="M195" s="3">
        <f>121.6+(953.1-265.7)+(-0.186048+(-1.458243--0.406521))+0-0-0</f>
        <v>807.76223000000016</v>
      </c>
      <c r="N195" s="3">
        <f>164+(933.8-218.6)+(0.08364+(0.476238-0.111486))+0-0-0</f>
        <v>879.64839199999994</v>
      </c>
      <c r="O195" s="3">
        <f>224.7+(879-192.6)+(-0.229194+(-0.89658--0.196452))+0-0-0</f>
        <v>910.17067799999995</v>
      </c>
      <c r="P195" s="3">
        <f>385.7+(822.4-269)+(-0.196707+(-0.419424--0.13719))+0-0-0</f>
        <v>938.62105899999995</v>
      </c>
      <c r="Q195" s="3">
        <f>467.5+(781-305.9)+(0.715275+(1.19493-0.468027))+0-0-0</f>
        <v>944.04217800000004</v>
      </c>
      <c r="R195" s="3">
        <f>468.1+(772.4-314.3)+(-0.954924+(-1.575696--0.641172))+0-0-0</f>
        <v>924.31055200000003</v>
      </c>
      <c r="S195" s="3">
        <f>470.1+(793.2-353.3)+(0.959004+(1.618128-0.720732))+0-0-0</f>
        <v>911.85640000000001</v>
      </c>
      <c r="T195" s="3">
        <f>465.8+(792.4-350.5)+(-0.237558+(-0.404124--0.178755))+0-0-0</f>
        <v>907.23707300000001</v>
      </c>
      <c r="U195" s="3">
        <f>454.6+(782.2-324.7)+(-1.15923+(-1.99461--0.827985))+0-0-0</f>
        <v>909.77414500000009</v>
      </c>
      <c r="V195" s="3">
        <f>421+(732.9-257.3)+(-1.50297+(-2.616453--0.918561))+0-0-0</f>
        <v>893.39913799999988</v>
      </c>
      <c r="W195" s="3">
        <f>288.2+(755.1-148.2)+(-0.440946+(-1.155303--0.226746))+0-0-0</f>
        <v>893.73049700000013</v>
      </c>
      <c r="X195" s="3">
        <f>373.2+(843.6-265.2)+(-0.761328+(-1.720944--0.541008))+0-0-0</f>
        <v>949.65873600000009</v>
      </c>
      <c r="Y195" s="3">
        <f>354.1+(906.5-305.6)+(-0.902955+(-2.311575--0.77928))+0-0-0</f>
        <v>952.56475</v>
      </c>
      <c r="Z195" s="3">
        <f>391.8+(844.3-295.7)+(-0.799272+(-1.722372--0.603228))+0-0-0</f>
        <v>938.48158399999988</v>
      </c>
      <c r="AA195" s="3">
        <f>397.1+(808.7-295.5)+(-1.012605+(-2.062185--0.753525))+0-0-0</f>
        <v>907.97873500000003</v>
      </c>
      <c r="AB195" s="3">
        <f>392.7+(806.7-333)+(0.200277+(0.411417-0.16983))+0-0-0</f>
        <v>866.8418640000001</v>
      </c>
      <c r="AC195" s="3">
        <f>383.4+(853.1-403.3)+(-0.97767+(-2.175405--1.028415))+0-0-0</f>
        <v>831.0753400000001</v>
      </c>
      <c r="AD195" s="2">
        <v>956.59999999999991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293.8+(909.9-414.2)+(-0.149838+(-0.464049--0.211242))+0-0-0</f>
        <v>789.09735499999999</v>
      </c>
      <c r="G196" s="3">
        <f>286.3+(938.9-463.4)+(-0.146013+(-0.478839--0.236334))+0-0-0</f>
        <v>761.41148199999998</v>
      </c>
      <c r="H196" s="3">
        <f>139.3+(1011.4-405.4)+(0.213129+(1.547442-0.620262))+0-0-0</f>
        <v>746.44030899999996</v>
      </c>
      <c r="I196" s="3">
        <f>135.2+(1004.6-404.3)+(0.206856+(1.537038-0.618579))+0-0-0</f>
        <v>736.625315</v>
      </c>
      <c r="J196" s="3">
        <f>135.3+(986.6-378.8)+(-0.276012+(-2.012664--0.772752))+0-0-0</f>
        <v>741.58407599999987</v>
      </c>
      <c r="K196" s="3">
        <f>135.2+(985.8-378.9)+(-0.206856+(-1.508274--0.579717))+0-0-0</f>
        <v>740.96458699999994</v>
      </c>
      <c r="L196" s="3">
        <f>163.3+(951-357.6)+(-0.249849+(-1.45503--0.547128))+0-0-0</f>
        <v>755.54224900000008</v>
      </c>
      <c r="M196" s="3">
        <f>210.9+(951.6-338.8)+(0.537795+(2.42658-0.86394))+0-0-0</f>
        <v>825.80043499999988</v>
      </c>
      <c r="N196" s="3">
        <f>362+(768.1-247.1)+(0+(0-0))+0-0-0</f>
        <v>883</v>
      </c>
      <c r="O196" s="3">
        <f>479.4+(779.9-326.6)+(0.733482+(1.193247-0.499698))+0-0-0</f>
        <v>934.12703099999999</v>
      </c>
      <c r="P196" s="3">
        <f>479.7+(819.6-358.5)+(0+(0-0))+0-0-0</f>
        <v>940.8</v>
      </c>
      <c r="Q196" s="3">
        <f>479.2+(828.9-349.3)+(0.488784+(0.845478-0.356286))+0-0-0</f>
        <v>959.77797599999997</v>
      </c>
      <c r="R196" s="3">
        <f>473.3+(801.9-342.1)+(-0.241383+(-0.408969--0.174471))+0-0-0</f>
        <v>932.62411899999995</v>
      </c>
      <c r="S196" s="3">
        <f>469.7+(796.8-357.1)+(0.479094+(0.812736-0.364242))+0-0-0</f>
        <v>910.32758799999988</v>
      </c>
      <c r="T196" s="3">
        <f>470.1+(789.1-334.7)+(0.719253+(1.207323-0.512091))+0-0-0</f>
        <v>925.91448500000001</v>
      </c>
      <c r="U196" s="3">
        <f>468.9+(787.9-344.2)+(0+(0-0))+0-0-0</f>
        <v>912.59999999999991</v>
      </c>
      <c r="V196" s="3">
        <f>468.1+(863.4-430.4)+(-0.238731+(-0.440334--0.219504))+0-0-0</f>
        <v>900.64043900000001</v>
      </c>
      <c r="W196" s="3">
        <f>472.1+(900.5-464)+(0.722313+(1.377765-0.70992))+0-0-0</f>
        <v>909.99015800000006</v>
      </c>
      <c r="X196" s="3">
        <f>467.4+(983.5-478.4)+(-0.476748+(-1.00317--0.487968))+0-0-0</f>
        <v>971.50805000000003</v>
      </c>
      <c r="Y196" s="3">
        <f>465.7+(1038-548.7)+(-1.187535+(-2.6469--1.399185))+0-0-0</f>
        <v>952.56475</v>
      </c>
      <c r="Z196" s="3">
        <f>475.8+(1022.1-567.5)+(-0.970632+(-2.085084--1.1577))+0-0-0</f>
        <v>928.50198400000011</v>
      </c>
      <c r="AA196" s="3">
        <f>476.5+(996.5-577.5)+(-0.729045+(-1.524645--0.883575))+0-0-0</f>
        <v>894.12988499999994</v>
      </c>
      <c r="AB196" s="3">
        <f>401.1+(1045.5-576.9)+(-1.022805+(-2.666025--1.471095))+0-0-0</f>
        <v>867.4822650000001</v>
      </c>
      <c r="AC196" s="3">
        <f>355.6+(1101.2-628.7)+(-0.90678+(-2.80806--1.603185))+0-0-0</f>
        <v>825.98834499999998</v>
      </c>
      <c r="AD196" s="2">
        <v>968.9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346.4+(1159.2-707.1)+(-0.176664+(-0.591192--0.360621))+0-0-0</f>
        <v>798.09276499999999</v>
      </c>
      <c r="G197" s="3">
        <f>237.7+(1085.8-542.3)+(0.121227+(0.553758-0.276573))+0-0-0</f>
        <v>781.59841200000005</v>
      </c>
      <c r="H197" s="3">
        <f>135.1+(1033.6-412)+(0.137802+(1.054272-0.42024))+0-0-0</f>
        <v>757.47183399999994</v>
      </c>
      <c r="I197" s="3">
        <f>135.1+(1005.3-385.8)+(-0.068901+(-0.512703--0.196758))+0-0-0</f>
        <v>754.21515399999998</v>
      </c>
      <c r="J197" s="3">
        <f>135.1+(972.5-359.1)+(0.068901+(0.495975-0.183141))+0-0-0</f>
        <v>748.88173500000005</v>
      </c>
      <c r="K197" s="3">
        <f>135.1+(978.8-359.6)+(-0.206703+(-1.497564--0.550188))+0-0-0</f>
        <v>753.14592099999993</v>
      </c>
      <c r="L197" s="3">
        <f>135.1+(994.7-359.5)+(0.137802+(1.014594-0.36669))+0-0-0</f>
        <v>771.08570600000007</v>
      </c>
      <c r="M197" s="3">
        <f>206.1+(849.1-233.7)+(0.210222+(0.866082-0.238374))+0-0-0</f>
        <v>822.33793000000014</v>
      </c>
      <c r="N197" s="3">
        <f>209.7+(857.4-186.5)+(-0.106947+(-0.437274--0.095115))+0-0-0</f>
        <v>880.15089399999988</v>
      </c>
      <c r="O197" s="3">
        <f>249.2+(894.5-213.8)+(-0.127092+(-0.456195--0.109038))+0-0-0</f>
        <v>929.4257510000001</v>
      </c>
      <c r="P197" s="3">
        <f>254.2+(881.9-198.7)+(0+(0-0))+0-0-0</f>
        <v>937.40000000000009</v>
      </c>
      <c r="Q197" s="3">
        <f>266.3+(774.3-87.1)+(-0.271626+(-0.789786--0.088842))+0-0-0</f>
        <v>952.52742999999998</v>
      </c>
      <c r="R197" s="3">
        <f>302.6+(734.3-108.9)+(0.154326+(0.374493-0.055539))+0-0-0</f>
        <v>928.47328000000005</v>
      </c>
      <c r="S197" s="3">
        <f>430.7+(767.2-282.8)+(0+(0-0))+0-0-0</f>
        <v>915.1</v>
      </c>
      <c r="T197" s="3">
        <f>464.9+(788.3-329.9)+(0.474198+(0.804066-0.336498))+0-0-0</f>
        <v>924.24176599999998</v>
      </c>
      <c r="U197" s="3">
        <f>460.4+(791.7-337.2)+(-1.17402+(-2.018835--0.85986))+0-0-0</f>
        <v>912.56700500000011</v>
      </c>
      <c r="V197" s="3">
        <f>406.4+(738-244.9)+(-0.621792+(-1.12914--0.374697))+0-0-0</f>
        <v>898.12376500000005</v>
      </c>
      <c r="W197" s="3">
        <f>351.1+(751.7-204.6)+(0.358122+(0.766734-0.208692))+0-0-0</f>
        <v>899.11616400000003</v>
      </c>
      <c r="X197" s="3">
        <f>470.1+(817.5-316.7)+(0+(0-0))+0-0-0</f>
        <v>970.90000000000009</v>
      </c>
      <c r="Y197" s="3">
        <f>453.7+(893.4-368.5)+(-0.925548+(-1.822536--0.75174))+0-0-0</f>
        <v>976.60365599999989</v>
      </c>
      <c r="Z197" s="3">
        <f>475.3+(848.1-378.7)+(-0.484806+(-0.865062--0.386274))+0-0-0</f>
        <v>943.7364060000001</v>
      </c>
      <c r="AA197" s="3">
        <f>399.4+(860.5-352.3)+(-0.203694+(-0.438855--0.179673))+0-0-0</f>
        <v>907.13712399999986</v>
      </c>
      <c r="AB197" s="3">
        <f>329.1+(893.9-357.4)+(-0.839205+(-2.279445--0.91137))+0-0-0</f>
        <v>863.39272000000005</v>
      </c>
      <c r="AC197" s="3">
        <f>51.6+(1118.7-330.2)+(-0.13158+(-2.852685--0.84201))+0-0-0</f>
        <v>837.95774500000005</v>
      </c>
      <c r="AD197" s="2">
        <v>978.5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0+(1177.6-380.1)+(0+(-1.801728--0.581553))+0-0-0</f>
        <v>796.27982499999985</v>
      </c>
      <c r="G198" s="3">
        <f>0+(1120.6-356.3)+(0+(-2.85753--0.908565))+0-0-0</f>
        <v>762.35103499999991</v>
      </c>
      <c r="H198" s="3">
        <f>0+(1058.9-314.6)+(0+(-1.620117--0.481338))+0-0-0</f>
        <v>743.16122100000007</v>
      </c>
      <c r="I198" s="3">
        <f>0+(1041.1-303.3)+(0+(0-0))+0-0-0</f>
        <v>737.8</v>
      </c>
      <c r="J198" s="3">
        <f>0+(1024.8-287.4)+(0+(-0.522648--0.146574))+0-0-0</f>
        <v>737.02392599999996</v>
      </c>
      <c r="K198" s="3">
        <f>0+(1019.7-274.3)+(0+(-1.560141--0.419679))+0-0-0</f>
        <v>744.25953800000013</v>
      </c>
      <c r="L198" s="3">
        <f>0+(1009.9-260.1)+(0+(0.515049-0.132651))+0-0-0</f>
        <v>750.18239799999992</v>
      </c>
      <c r="M198" s="3">
        <f>0+(944.1-138.1)+(0+(0.481491-0.070431))+0-0-0</f>
        <v>806.41106000000002</v>
      </c>
      <c r="N198" s="3">
        <f>0+(997.6-122.2)+(0+(0.508776-0.062322))+0-0-0</f>
        <v>875.84645399999999</v>
      </c>
      <c r="O198" s="3">
        <f>45+(980-186)+(0.02295+(0.4998-0.09486))+0-0-0</f>
        <v>839.42789000000005</v>
      </c>
      <c r="P198" s="3">
        <f>178.3+(961-220.4)+(0+(0-0))+0-0-0</f>
        <v>918.90000000000009</v>
      </c>
      <c r="Q198" s="3">
        <f>187.6+(936.7-202.5)+(0+(0-0))+0-0-0</f>
        <v>921.80000000000007</v>
      </c>
      <c r="R198" s="3">
        <f>287.8+(780.6-169.4)+(0+(0-0))+0-0-0</f>
        <v>899</v>
      </c>
      <c r="S198" s="3">
        <f>465.1+(715.6-293.6)+(-0.474402+(-0.729912--0.299472))+0-0-0</f>
        <v>886.19515799999999</v>
      </c>
      <c r="T198" s="3">
        <f>471.9+(807.4-386.6)+(-0.240669+(-0.411774--0.197166))+0-0-0</f>
        <v>892.24472299999991</v>
      </c>
      <c r="U198" s="3">
        <f>466.8+(779.9-366.7)+(-1.666476+(-2.784243--1.309119))+0-0-0</f>
        <v>876.85839999999996</v>
      </c>
      <c r="V198" s="3">
        <f>473.3+(710.5-315.4)+(0.241383+(0.362355-0.160854))+0-0-0</f>
        <v>868.84288400000014</v>
      </c>
      <c r="W198" s="3">
        <f>472.2+(702.6-294.2)+(-0.481644+(-0.716652--0.300084))+0-0-0</f>
        <v>879.70178800000008</v>
      </c>
      <c r="X198" s="3">
        <f>472.7+(714.3-236.3)+(-0.964308+(-1.457172--0.482052))+0-0-0</f>
        <v>948.76057199999991</v>
      </c>
      <c r="Y198" s="3">
        <f>476+(834.5-362.5)+(-0.97104+(-1.70238--0.7395))+0-0-0</f>
        <v>946.06608000000006</v>
      </c>
      <c r="Z198" s="3">
        <f>477.8+(793.1-354)+(-0.487356+(-0.808962--0.36108))+0-0-0</f>
        <v>915.96476200000006</v>
      </c>
      <c r="AA198" s="3">
        <f>477+(753.3-353.1)+(-1.21635+(-1.920915--0.900405))+0-0-0</f>
        <v>874.96313999999995</v>
      </c>
      <c r="AB198" s="3">
        <f>482.4+(721.1-354.8)+(-0.984096+(-1.471044--0.723792))+0-0-0</f>
        <v>846.96865200000002</v>
      </c>
      <c r="AC198" s="3">
        <f>481.7+(769.5-440.2)+(-0.245667+(-0.392445--0.224502))+0-0-0</f>
        <v>810.58639000000005</v>
      </c>
      <c r="AD198" s="2">
        <v>972.40000000000009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327.6+(977.2-515.5)+(-0.167076+(-0.498372--0.262905))+0-0-0</f>
        <v>788.89745700000003</v>
      </c>
      <c r="G199" s="3">
        <f>203.9+(1039.7-473.2)+(-0.519945+(-2.651235--1.20666))+0-0-0</f>
        <v>768.43547999999998</v>
      </c>
      <c r="H199" s="3">
        <f>159.1+(984.2-398.8)+(0+(0-0))+0-0-0</f>
        <v>744.50000000000011</v>
      </c>
      <c r="I199" s="3">
        <f>216.1+(933.9-417.1)+(-0.110211+(-0.476289--0.212721))+0-0-0</f>
        <v>732.52622099999996</v>
      </c>
      <c r="J199" s="3">
        <f>207.3+(931.5-408.2)+(0.211446+(0.95013-0.416364))+0-0-0</f>
        <v>731.34521199999995</v>
      </c>
      <c r="K199" s="3">
        <f>196.9+(940.4-402.9)+(-0.200838+(-0.959208--0.410958))+0-0-0</f>
        <v>733.65091199999995</v>
      </c>
      <c r="L199" s="3">
        <f>99.7+(1026.8-396.6)+(0.050847+(0.523668-0.202266))+0-0-0</f>
        <v>730.27224899999999</v>
      </c>
      <c r="M199" s="3">
        <f>242.4+(883.6-353.4)+(0+(0-0))+0-0-0</f>
        <v>772.6</v>
      </c>
      <c r="N199" s="3">
        <f>245.8+(784.3-199.1)+(0.125358+(0.399993-0.101541))+0-0-0</f>
        <v>831.42381</v>
      </c>
      <c r="O199" s="3">
        <f>243.6+(674.5-48.3)+(0.124236+(0.343995-0.024633))+0-0-0</f>
        <v>870.24359800000002</v>
      </c>
      <c r="P199" s="3">
        <f>238.1+(754.9-100.5)+(-0.364293+(-1.154997--0.153765))+0-0-0</f>
        <v>891.13447499999995</v>
      </c>
      <c r="Q199" s="3">
        <f>238.2+(829.1-158.5)+(0+(0-0))+0-0-0</f>
        <v>908.8</v>
      </c>
      <c r="R199" s="3">
        <f>274.2+(821.6-215.3)+(-0.419526+(-1.257048--0.329409))+0-0-0</f>
        <v>879.15283499999998</v>
      </c>
      <c r="S199" s="3">
        <f>281.6+(826.4-256.3)+(-0.287232+(-0.842928--0.261426))+0-0-0</f>
        <v>850.83126599999991</v>
      </c>
      <c r="T199" s="3">
        <f>304.8+(815.8-276.2)+(0+(0-0))+0-0-0</f>
        <v>844.39999999999986</v>
      </c>
      <c r="U199" s="3">
        <f>349.4+(806.9-313.8)+(-0.356388+(-0.823038--0.320076))+0-0-0</f>
        <v>841.64065000000005</v>
      </c>
      <c r="V199" s="3">
        <f>293.1+(767.3-225.7)+(-0.448443+(-1.173969--0.345321))+0-0-0</f>
        <v>833.42290899999989</v>
      </c>
      <c r="W199" s="3">
        <f>278.1+(733.5-185)+(0.283662+(0.74817-0.1887))+0-0-0</f>
        <v>827.44313199999999</v>
      </c>
      <c r="X199" s="3">
        <f>341.8+(970.7-404.4)+(-0.87159+(-2.475285--1.03122))+0-0-0</f>
        <v>905.78434500000014</v>
      </c>
      <c r="Y199" s="3">
        <f>358+(1061.3-513.3)+(-0.54774+(-1.623789--0.785349))+0-0-0</f>
        <v>904.61382000000003</v>
      </c>
      <c r="Z199" s="3">
        <f>355.9+(1016.2-487.7)+(-0.907545+(-2.59131--1.243635))+0-0-0</f>
        <v>882.14477999999997</v>
      </c>
      <c r="AA199" s="3">
        <f>359.9+(1008.4-514.1)+(-0.550647+(-1.542852--0.786573))+0-0-0</f>
        <v>852.89307399999996</v>
      </c>
      <c r="AB199" s="3">
        <f>361.4+(1152.9-683.9)+(-0.368628+(-1.175958--0.697578))+0-0-0</f>
        <v>829.55299200000013</v>
      </c>
      <c r="AC199" s="3">
        <f>363.6+(1123.1-684.4)+(-0.185436+(-0.572781--0.349044))+0-0-0</f>
        <v>801.89082699999994</v>
      </c>
      <c r="AD199" s="2">
        <v>917.6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364.9+(1074.7-669.3)+(-0.558297+(-1.644291--1.024029))+0-0-0</f>
        <v>769.12144100000012</v>
      </c>
      <c r="G200" s="3">
        <f>364.6+(1114.5-738.3)+(-0.557838+(-1.705185--1.129599))+0-0-0</f>
        <v>739.66657600000008</v>
      </c>
      <c r="H200" s="3">
        <f>365.1+(1099.6-741)+(-0.372402+(-1.121592--0.75582))+0-0-0</f>
        <v>722.96182599999997</v>
      </c>
      <c r="I200" s="3">
        <f>363.9+(1058.7-708.4)+(-0.556767+(-1.619811--1.083852))+0-0-0</f>
        <v>713.10727400000007</v>
      </c>
      <c r="J200" s="3">
        <f>367.8+(1003.1-660.9)+(0.562734+(1.534743-1.011177))+0-0-0</f>
        <v>711.08630000000005</v>
      </c>
      <c r="K200" s="3">
        <f>326.7+(1046.8-666.4)+(-0.833085+(-2.66934--1.69932))+0-0-0</f>
        <v>705.29689499999995</v>
      </c>
      <c r="L200" s="3">
        <f>240.4+(1078.4-650.8)+(0+(0-0))+0-0-0</f>
        <v>668.00000000000011</v>
      </c>
      <c r="M200" s="3">
        <f>238.9+(1101.8-663.4)+(0+(0-0))+0-0-0</f>
        <v>677.3</v>
      </c>
      <c r="N200" s="3">
        <f>236.6+(1163.3-696.4)+(-0.482664+(-2.373132--1.420656))+0-0-0</f>
        <v>702.06485999999995</v>
      </c>
      <c r="O200" s="3">
        <f>238.8+(965.8-471.3)+(-0.243576+(-0.985116--0.480726))+0-0-0</f>
        <v>732.55203399999994</v>
      </c>
      <c r="P200" s="3">
        <f>284.7+(941.5-469.1)+(-0.435591+(-1.440495--0.717723))+0-0-0</f>
        <v>755.9416369999999</v>
      </c>
      <c r="Q200" s="3">
        <f>431.4+(667.9-333.6)+(-0.880056+(-1.362516--0.680544))+0-0-0</f>
        <v>764.13797199999988</v>
      </c>
      <c r="R200" s="3">
        <f>470.9+(643.9-355.5)+(0+(0-0))+0-0-0</f>
        <v>759.3</v>
      </c>
      <c r="S200" s="3">
        <f>469.4+(636.1-358.3)+(-1.19697+(-1.622055--0.913665))+0-0-0</f>
        <v>745.29464000000007</v>
      </c>
      <c r="T200" s="3">
        <f>470+(616.5-341.6)+(-0.7191+(-0.943245--0.522648))+0-0-0</f>
        <v>743.76030300000002</v>
      </c>
      <c r="U200" s="3">
        <f>469+(605.4-344.3)+(-0.71757+(-0.926262--0.526779))+0-0-0</f>
        <v>728.98294699999985</v>
      </c>
      <c r="V200" s="3">
        <f>468.1+(612.3-364.6)+(-0.477462+(-0.624546--0.371892))+0-0-0</f>
        <v>715.069884</v>
      </c>
      <c r="W200" s="3">
        <f>467.9+(608.6-334.6)+(0.238629+(0.310386-0.170646))+0-0-0</f>
        <v>742.278369</v>
      </c>
      <c r="X200" s="3">
        <f>467.9+(953.3-583.7)+(0+(0-0))+0-0-0</f>
        <v>837.49999999999989</v>
      </c>
      <c r="Y200" s="3">
        <f>467+(1050.3-673.9)+(-0.71451+(-1.606959--1.031067))+0-0-0</f>
        <v>842.10959800000001</v>
      </c>
      <c r="Z200" s="3">
        <f>433.1+(1036.1-642.5)+(-0.220881+(-0.528411--0.327675))+0-0-0</f>
        <v>826.27838299999996</v>
      </c>
      <c r="AA200" s="3">
        <f>403.4+(1029.3-613.8)+(-0.617202+(-1.574829--0.939114))+0-0-0</f>
        <v>817.64708299999995</v>
      </c>
      <c r="AB200" s="3">
        <f>403.1+(974.4-594.9)+(-1.439067+(-3.478608--2.123793))+0-0-0</f>
        <v>779.80611799999997</v>
      </c>
      <c r="AC200" s="3">
        <f>403.4+(946.4-609.2)+(-0.205734+(-0.482664--0.310692))+0-0-0</f>
        <v>740.22229399999992</v>
      </c>
      <c r="AD200" s="2">
        <v>852.09999999999991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344.3+(901.6-542.5)+(-0.702372+(-1.839264--1.1067))+0-0-0</f>
        <v>701.9650640000001</v>
      </c>
      <c r="G201" s="3">
        <f>299.2+(942.1-569)+(-0.152592+(-0.480471--0.29019))+0-0-0</f>
        <v>671.9571269999999</v>
      </c>
      <c r="H201" s="3">
        <f>296.6+(898.2-534.5)+(-0.75633+(-2.29041--1.362975))+0-0-0</f>
        <v>658.61623500000007</v>
      </c>
      <c r="I201" s="3">
        <f>203.9+(916-459.1)+(-0.519945+(-2.3358--1.170705))+0-0-0</f>
        <v>659.11496</v>
      </c>
      <c r="J201" s="3">
        <f>180.2+(889.7-399.8)+(0.183804+(0.907494-0.407796))+0-0-0</f>
        <v>670.783502</v>
      </c>
      <c r="K201" s="3">
        <f>180.1+(894-391)+(0.091851+(0.45594-0.19941))+0-0-0</f>
        <v>683.44838100000004</v>
      </c>
      <c r="L201" s="3">
        <f>180.3+(884.1-360.5)+(0.183906+(0.901782-0.36771))+0-0-0</f>
        <v>704.61797800000011</v>
      </c>
      <c r="M201" s="3">
        <f>238+(666.2-137.2)+(0.12138+(0.339762-0.069972))+0-0-0</f>
        <v>767.39116999999999</v>
      </c>
      <c r="N201" s="3">
        <f>405.4+(630.5-207.1)+(0+(0-0))+0-0-0</f>
        <v>828.8</v>
      </c>
      <c r="O201" s="3">
        <f>479.9+(647.4-244.6)+(0+(0-0))+0-0-0</f>
        <v>882.69999999999993</v>
      </c>
      <c r="P201" s="3">
        <f>470.4+(696.3-238.5)+(-0.239904+(-0.355113--0.121635))+0-0-0</f>
        <v>927.72661799999992</v>
      </c>
      <c r="Q201" s="3">
        <f>471.9+(721.6-264.6)+(0.722007+(1.104048-0.404838))+0-0-0</f>
        <v>930.32121699999993</v>
      </c>
      <c r="R201" s="3">
        <f>464.1+(711-274.1)+(0+(0-0))+0-0-0</f>
        <v>901</v>
      </c>
      <c r="S201" s="3">
        <f>461.6+(716.9-294)+(0.235416+(0.365619-0.14994))+0-0-0</f>
        <v>884.95109500000001</v>
      </c>
      <c r="T201" s="3">
        <f>462.2+(781.2-350.1)+(0+(0-0))+0-0-0</f>
        <v>893.3</v>
      </c>
      <c r="U201" s="3">
        <f>455.5+(797-364)+(-1.626135+(-2.84529--1.29948))+0-0-0</f>
        <v>885.32805499999995</v>
      </c>
      <c r="V201" s="3">
        <f>462+(797.7-367.2)+(-0.94248+(-1.627308--0.749088))+0-0-0</f>
        <v>890.67930000000001</v>
      </c>
      <c r="W201" s="3">
        <f>468.4+(808.7-367.6)+(0.238884+(0.412437-0.187476))+0-0-0</f>
        <v>909.96384499999999</v>
      </c>
      <c r="X201" s="3">
        <f>470.2+(795-309.9)+(0+(0-0))+0-0-0</f>
        <v>955.3</v>
      </c>
      <c r="Y201" s="3">
        <f>409.8+(917.4-375.8)+(0+(0-0))+0-0-0</f>
        <v>951.39999999999986</v>
      </c>
      <c r="Z201" s="3">
        <f>322.6+(961.5-374.4)+(-0.658104+(-1.96146--0.763776))+0-0-0</f>
        <v>907.84421200000008</v>
      </c>
      <c r="AA201" s="3">
        <f>318.3+(1034.9-464.2)+(-0.324666+(-1.055598--0.473484))+0-0-0</f>
        <v>888.09321999999997</v>
      </c>
      <c r="AB201" s="3">
        <f>238.8+(1027.7-426.4)+(-0.365364+(-1.572381--0.652392))+0-0-0</f>
        <v>838.81464700000015</v>
      </c>
      <c r="AC201" s="3">
        <f>239.1+(1071.8-497)+(-0.487764+(-2.186472--1.01388))+0-0-0</f>
        <v>812.239644</v>
      </c>
      <c r="AD201" s="2">
        <v>1045.5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219.8+(1076.8-523.6)+(-0.448392+(-2.196672--1.068144))+0-0-0</f>
        <v>771.42308000000003</v>
      </c>
      <c r="G202" s="3">
        <f>90.1+(1150.2-495.9)+(-0.229755+(-2.93301--1.264545))+0-0-0</f>
        <v>742.50178000000005</v>
      </c>
      <c r="H202" s="3">
        <f>90.1+(1151.4-508.7)+(-0.137853+(-1.761642--0.778311))+0-0-0</f>
        <v>731.6788160000001</v>
      </c>
      <c r="I202" s="3">
        <f>90.1+(1136.5-493.1)+(-0.045951+(-0.579615--0.251481))+0-0-0</f>
        <v>733.12591499999996</v>
      </c>
      <c r="J202" s="3">
        <f>90.1+(1043.8-421.2)+(0.137853+(1.597014-0.644436))+0-0-0</f>
        <v>713.7904309999999</v>
      </c>
      <c r="K202" s="3">
        <f>90.1+(1015.7-383.4)+(-0.137853+(-1.554021--0.586602))+0-0-0</f>
        <v>721.29472800000008</v>
      </c>
      <c r="L202" s="3">
        <f>90.2+(1011.6-363.4)+(0+(0-0))+0-0-0</f>
        <v>738.40000000000009</v>
      </c>
      <c r="M202" s="3">
        <f>262.3+(779.8-251.8)+(-0.267546+(-0.795396--0.256836))+0-0-0</f>
        <v>789.49389399999995</v>
      </c>
      <c r="N202" s="3">
        <f>367.3+(725.2-241)+(0.561969+(1.109556-0.36873))+0-0-0</f>
        <v>852.80279499999995</v>
      </c>
      <c r="O202" s="3">
        <f>365.9+(727.4-216.9)+(0.186609+(0.370974-0.110619))+0-0-0</f>
        <v>876.84696399999996</v>
      </c>
      <c r="P202" s="3">
        <f>362.4+(788.1-244)+(0+(0-0))+0-0-0</f>
        <v>906.5</v>
      </c>
      <c r="Q202" s="3">
        <f>354.9+(845.3-277.3)+(-0.361998+(-0.862206--0.282846))+0-0-0</f>
        <v>921.95864199999994</v>
      </c>
      <c r="R202" s="3">
        <f>355.5+(825.2-286.2)+(0+(0-0))+0-0-0</f>
        <v>894.5</v>
      </c>
      <c r="S202" s="3">
        <f>355.8+(836.9-311.4)+(0.181458+(0.426819-0.158814))+0-0-0</f>
        <v>881.74946299999999</v>
      </c>
      <c r="T202" s="3">
        <f>355.1+(827.7-295.4)+(-0.362202+(-0.844254--0.301308))+0-0-0</f>
        <v>886.49485200000004</v>
      </c>
      <c r="U202" s="3">
        <f>331.3+(811.8-260.1)+(-0.844815+(-2.07009--0.663255))+0-0-0</f>
        <v>880.74834999999996</v>
      </c>
      <c r="V202" s="3">
        <f>302.6+(799.6-225.1)+(-0.308652+(-0.815592--0.229602))+0-0-0</f>
        <v>876.20535800000005</v>
      </c>
      <c r="W202" s="3">
        <f>333.6+(948.6-393.2)+(0.170136+(0.483786-0.200532))+0-0-0</f>
        <v>889.45339000000013</v>
      </c>
      <c r="X202" s="3">
        <f>357.3+(956.9-369.8)+(-0.364446+(-0.976038--0.377196))+0-0-0</f>
        <v>943.43671199999983</v>
      </c>
      <c r="Y202" s="3">
        <f>357.3+(993.6-412.9)+(0+(0-0))+0-0-0</f>
        <v>938</v>
      </c>
      <c r="Z202" s="3">
        <f>357.3+(966-412.4)+(-0.182223+(-0.49266--0.210324))+0-0-0</f>
        <v>910.43544100000008</v>
      </c>
      <c r="AA202" s="3">
        <f>357.3+(1015.1-491.6)+(-0.182223+(-0.517701--0.250716))+0-0-0</f>
        <v>880.35079199999996</v>
      </c>
      <c r="AB202" s="3">
        <f>357.3+(1075-585.8)+(-0.728892+(-2.193--1.195032))+0-0-0</f>
        <v>844.77314000000001</v>
      </c>
      <c r="AC202" s="3">
        <f>289.6+(1095.6-570.6)+(0+(0-0))+0-0-0</f>
        <v>814.59999999999991</v>
      </c>
      <c r="AD202" s="2">
        <v>948.7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264.6+(1139.1-619.9)+(0+(0-0))+0-0-0</f>
        <v>783.8</v>
      </c>
      <c r="G203" s="3">
        <f>243.2+(1157.2-642.5)+(0.124032+(0.590172-0.327675))+0-0-0</f>
        <v>758.28652900000009</v>
      </c>
      <c r="H203" s="3">
        <f>225.6+(1099.2-579.8)+(0.115056+(0.560592-0.295698))+0-0-0</f>
        <v>745.37995000000012</v>
      </c>
      <c r="I203" s="3">
        <f>90.2+(1095.7-446.7)+(0.092004+(1.117614-0.455634))+0-0-0</f>
        <v>739.95398399999999</v>
      </c>
      <c r="J203" s="3">
        <f>201.7+(983.6-459.6)+(-0.205734+(-1.003272--0.468792))+0-0-0</f>
        <v>724.95978600000001</v>
      </c>
      <c r="K203" s="3">
        <f>243.3+(975.6-479.2)+(-0.248166+(-0.995112--0.488784))+0-0-0</f>
        <v>738.94550600000002</v>
      </c>
      <c r="L203" s="3">
        <f>245.3+(962.3-452)+(0.625515+(2.453865-1.1526))+0-0-0</f>
        <v>757.52677999999992</v>
      </c>
      <c r="M203" s="3">
        <f>244.6+(842.8-296.5)+(0.124746+(0.429828-0.151215))+0-0-0</f>
        <v>791.303359</v>
      </c>
      <c r="N203" s="3">
        <f>257.3+(944.5-342.2)+(0.262446+(0.96339-0.349044))+0-0-0</f>
        <v>860.47679199999993</v>
      </c>
      <c r="O203" s="3">
        <f>369.3+(853-327.8)+(0.565029+(1.30509-0.501534))+0-0-0</f>
        <v>895.86858500000005</v>
      </c>
      <c r="P203" s="3">
        <f>364.5+(819.3-261.5)+(0.185895+(0.417843-0.133365))+0-0-0</f>
        <v>922.77037299999995</v>
      </c>
      <c r="Q203" s="3">
        <f>359.6+(817.8-246.2)+(0+(0-0))+0-0-0</f>
        <v>931.19999999999993</v>
      </c>
      <c r="R203" s="3">
        <f>358.2+(836.3-270.7)+(-0.182682+(-0.426513--0.138057))+0-0-0</f>
        <v>923.32886199999996</v>
      </c>
      <c r="S203" s="3">
        <f>358.2+(826.6-289.1)+(0.548046+(1.264698-0.442323))+0-0-0</f>
        <v>897.07042100000001</v>
      </c>
      <c r="T203" s="3">
        <f>358.1+(833.5-300.4)+(0.182631+(0.425085-0.153204))+0-0-0</f>
        <v>891.65451200000007</v>
      </c>
      <c r="U203" s="3">
        <f>358.3+(830.6-286.5)+(-1.096398+(-2.541636--0.87669))+0-0-0</f>
        <v>899.63865600000008</v>
      </c>
      <c r="V203" s="3">
        <f>359.9+(789.2-270.9)+(-0.734196+(-1.609968--0.552636))+0-0-0</f>
        <v>876.40847200000007</v>
      </c>
      <c r="W203" s="3">
        <f>361.2+(789.3-246)+(0+(0-0))+0-0-0</f>
        <v>904.5</v>
      </c>
      <c r="X203" s="3">
        <f>448.9+(882.4-373.7)+(-0.228939+(-0.450024--0.190587))+0-0-0</f>
        <v>957.11162399999989</v>
      </c>
      <c r="Y203" s="3">
        <f>479.7+(894-428.9)+(-0.244647+(-0.45594--0.218739))+0-0-0</f>
        <v>944.31815199999994</v>
      </c>
      <c r="Z203" s="3">
        <f>484.1+(920-485.2)+(-0.493782+(-0.9384--0.494904))+0-0-0</f>
        <v>917.9627220000001</v>
      </c>
      <c r="AA203" s="3">
        <f>483.6+(929.7-528.3)+(-0.986544+(-1.896588--1.077732))+0-0-0</f>
        <v>883.19460000000015</v>
      </c>
      <c r="AB203" s="3">
        <f>488.3+(849.4-490.7)+(0.498066+(0.866388-0.500514))+0-0-0</f>
        <v>847.86393999999996</v>
      </c>
      <c r="AC203" s="3">
        <f>410.9+(907.3-506.9)+(-0.209559+(-0.462723--0.258519))+0-0-0</f>
        <v>810.88623699999994</v>
      </c>
      <c r="AD203" s="2">
        <v>942.30000000000007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363.5+(885.3-476.3)+(-0.556155+(-1.354509--0.728739))+0-0-0</f>
        <v>771.31807500000002</v>
      </c>
      <c r="G204" s="3">
        <f>362.1+(882.9-491.5)+(-0.923355+(-2.251395--1.253325))+0-0-0</f>
        <v>751.578575</v>
      </c>
      <c r="H204" s="3">
        <f>363.4+(858.9-482.1)+(-0.92667+(-2.190195--1.229355))+0-0-0</f>
        <v>738.31248999999991</v>
      </c>
      <c r="I204" s="3">
        <f>364.2+(881.5-515.9)+(-0.557226+(-1.348695--0.789327))+0-0-0</f>
        <v>728.68340599999999</v>
      </c>
      <c r="J204" s="3">
        <f>293.5+(909.5-470.8)+(-0.29937+(-0.92769--0.480216))+0-0-0</f>
        <v>731.45315600000004</v>
      </c>
      <c r="K204" s="3">
        <f>280.7+(890.2-437.7)+(-0.429471+(-1.362006--0.669681))+0-0-0</f>
        <v>732.07820400000003</v>
      </c>
      <c r="L204" s="3">
        <f>151.1+(907.4-317.3)+(-0.154122+(-0.925548--0.323646))+0-0-0</f>
        <v>740.44397599999991</v>
      </c>
      <c r="M204" s="3">
        <f>240.1+(709.8-155.7)+(-0.122451+(-0.361998--0.079407))+0-0-0</f>
        <v>793.79495799999995</v>
      </c>
      <c r="N204" s="3">
        <f>350.1+(708.4-200.6)+(-0.178551+(-0.361284--0.102306))+0-0-0</f>
        <v>857.46247099999994</v>
      </c>
      <c r="O204" s="3">
        <f>360.5+(740.2-200.6)+(0+(0-0))+0-0-0</f>
        <v>900.1</v>
      </c>
      <c r="P204" s="3">
        <f>359.5+(738-179.4)+(0.36669+(0.75276-0.182988))+0-0-0</f>
        <v>919.03646200000003</v>
      </c>
      <c r="Q204" s="3">
        <f>358.7+(724.4-176.4)+(-0.182937+(-0.369444--0.089964))+0-0-0</f>
        <v>906.23758300000009</v>
      </c>
      <c r="R204" s="3">
        <f>436+(717.6-248.9)+(0.22236+(0.365976-0.126939))+0-0-0</f>
        <v>905.16139700000008</v>
      </c>
      <c r="S204" s="3">
        <f>470+(709.2-284.7)+(-0.7191+(-1.085076--0.435591))+0-0-0</f>
        <v>893.13141499999995</v>
      </c>
      <c r="T204" s="3">
        <f>471+(721.7-301.9)+(-0.24021+(-0.368067--0.153969))+0-0-0</f>
        <v>890.3456920000001</v>
      </c>
      <c r="U204" s="3">
        <f>473+(690.3-280)+(-1.20615+(-1.760265--0.714))+0-0-0</f>
        <v>881.04758499999991</v>
      </c>
      <c r="V204" s="3">
        <f>468.5+(685.7-274.6)+(-0.716805+(-1.049121--0.420138))+0-0-0</f>
        <v>878.25421200000005</v>
      </c>
      <c r="W204" s="3">
        <f>471.6+(696.5-276.2)+(-0.240516+(-0.355215--0.140862))+0-0-0</f>
        <v>891.44513100000006</v>
      </c>
      <c r="X204" s="3">
        <f>469.1+(823.3-348.7)+(-1.196205+(-2.099415--0.889185))+0-0-0</f>
        <v>941.29356500000006</v>
      </c>
      <c r="Y204" s="3">
        <f>414.6+(852.1-343.9)+(-0.845784+(-1.738284--0.701556))+0-0-0</f>
        <v>920.91748800000005</v>
      </c>
      <c r="Z204" s="3">
        <f>403.4+(836.9-351.3)+(-0.411468+(-0.853638--0.358326))+0-0-0</f>
        <v>888.09321999999997</v>
      </c>
      <c r="AA204" s="3">
        <f>466.6+(863.1-458.7)+(-0.713898+(-1.320543--0.701811))+0-0-0</f>
        <v>869.66737000000001</v>
      </c>
      <c r="AB204" s="3">
        <f>489.4+(848-497.6)+(-0.998376+(-1.72992--1.015104))+0-0-0</f>
        <v>838.08680799999991</v>
      </c>
      <c r="AC204" s="3">
        <f>488.7+(912.8-597.2)+(-1.246185+(-2.32764--1.52286))+0-0-0</f>
        <v>802.24903499999994</v>
      </c>
      <c r="AD204" s="2">
        <v>940.1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490.1+(820.3-557.6)+(-0.999804+(-1.673412--1.137504))+0-0-0</f>
        <v>751.26428799999996</v>
      </c>
      <c r="G205" s="3">
        <f>492.1+(831.9-595.9)+(-0.752913+(-1.272807--0.911727))+0-0-0</f>
        <v>726.98600699999997</v>
      </c>
      <c r="H205" s="3">
        <f>367.3+(810.6-466.7)+(-0.374646+(-0.826812--0.476034))+0-0-0</f>
        <v>710.47457600000007</v>
      </c>
      <c r="I205" s="3">
        <f>268.4+(873.4-427.8)+(0.136884+(0.445434-0.218178))+0-0-0</f>
        <v>714.36414000000002</v>
      </c>
      <c r="J205" s="3">
        <f>267.8+(861.1-412.4)+(0+(0-0))+0-0-0</f>
        <v>716.5</v>
      </c>
      <c r="K205" s="3">
        <f>268+(832.1-379.8)+(-0.13668+(-0.424371--0.193698))+0-0-0</f>
        <v>719.93264699999997</v>
      </c>
      <c r="L205" s="3">
        <f>269.1+(874.4-411.7)+(-0.137241+(-0.445944--0.209967))+0-0-0</f>
        <v>731.426782</v>
      </c>
      <c r="M205" s="3">
        <f>303.9+(697.7-220)+(0.154989+(0.355827-0.1122))+0-0-0</f>
        <v>781.99861599999997</v>
      </c>
      <c r="N205" s="3">
        <f>488.5+(650.4-292)+(-0.249135+(-0.331704--0.14892))+0-0-0</f>
        <v>846.46808099999998</v>
      </c>
      <c r="O205" s="3">
        <f>487.8+(705.1-318.9)+(0+(0-0))+0-0-0</f>
        <v>874</v>
      </c>
      <c r="P205" s="3">
        <f>479.9+(716-304.6)+(0.244749+(0.36516-0.155346))+0-0-0</f>
        <v>891.75456299999996</v>
      </c>
      <c r="Q205" s="3">
        <f>474.2+(744.6-323.1)+(0.483684+(0.759492-0.329562))+0-0-0</f>
        <v>896.6136140000001</v>
      </c>
      <c r="R205" s="3">
        <f>468.1+(722.3-307.8)+(-0.238731+(-0.368373--0.156978))+0-0-0</f>
        <v>882.14987399999995</v>
      </c>
      <c r="S205" s="3">
        <f>464.8+(675.9-279.2)+(-1.422288+(-2.068254--0.854352))+0-0-0</f>
        <v>858.86380999999994</v>
      </c>
      <c r="T205" s="3">
        <f>466.9+(682.8-286.8)+(-0.714357+(-1.044684--0.438804))+0-0-0</f>
        <v>861.57976299999984</v>
      </c>
      <c r="U205" s="3">
        <f>467.2+(691.2-303)+(-0.714816+(-1.057536--0.46359))+0-0-0</f>
        <v>854.09123800000009</v>
      </c>
      <c r="V205" s="3">
        <f>466.9+(687.1-293.5)+(-0.714357+(-1.051263--0.449055))+0-0-0</f>
        <v>859.18343500000003</v>
      </c>
      <c r="W205" s="3">
        <f>472.9+(852.5-455.1)+(0+(0-0))+0-0-0</f>
        <v>870.3</v>
      </c>
      <c r="X205" s="3">
        <f>474.6+(798.6-344.8)+(-0.968184+(-1.629144--0.703392))+0-0-0</f>
        <v>926.50606400000004</v>
      </c>
      <c r="Y205" s="3">
        <f>482.3+(809.8-377.1)+(-1.229865+(-2.06499--0.961605))+0-0-0</f>
        <v>912.66674999999998</v>
      </c>
      <c r="Z205" s="3">
        <f>485.7+(810.6-408.9)+(-1.238535+(-2.06703--1.042695))+0-0-0</f>
        <v>885.13713000000007</v>
      </c>
      <c r="AA205" s="3">
        <f>482.7+(752-376.4)+(-0.492354+(-0.76704--0.383928))+0-0-0</f>
        <v>857.42453399999999</v>
      </c>
      <c r="AB205" s="3">
        <f>435.6+(754.4-372)+(-0.444312+(-0.769488--0.37944))+0-0-0</f>
        <v>817.16564000000005</v>
      </c>
      <c r="AC205" s="3">
        <f>434.6+(703.3-353.7)+(-0.664938+(-1.076049--0.541161))+0-0-0</f>
        <v>783.00017400000002</v>
      </c>
      <c r="AD205" s="2">
        <v>913.3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437+(746.1-444.6)+(0+(0-0))+0-0-0</f>
        <v>738.5</v>
      </c>
      <c r="G206" s="3">
        <f>435.7+(808.9-515.6)+(-0.666621+(-1.237617--0.788868))+0-0-0</f>
        <v>727.88463000000002</v>
      </c>
      <c r="H206" s="3">
        <f>434.4+(833.3-553.2)+(-0.664632+(-1.274949--0.846396))+0-0-0</f>
        <v>713.40681499999994</v>
      </c>
      <c r="I206" s="3">
        <f>345.5+(868.5-500.7)+(0+(0-0))+0-0-0</f>
        <v>713.3</v>
      </c>
      <c r="J206" s="3">
        <f>271.9+(913.4-470.8)+(0.277338+(0.931668-0.480216))+0-0-0</f>
        <v>715.22879</v>
      </c>
      <c r="K206" s="3">
        <f>272.5+(903.9-459.5)+(0.27795+(0.921978-0.46869))+0-0-0</f>
        <v>717.63123799999994</v>
      </c>
      <c r="L206" s="3">
        <f>300.5+(870.8-465.4)+(0.30651+(0.888216-0.474708))+0-0-0</f>
        <v>706.62001799999996</v>
      </c>
      <c r="M206" s="3">
        <f>382.4+(635-271.9)+(0+(0-0))+0-0-0</f>
        <v>745.5</v>
      </c>
      <c r="N206" s="3">
        <f>380.5+(590.6-172.4)+(0+(0-0))+0-0-0</f>
        <v>798.7</v>
      </c>
      <c r="O206" s="3">
        <f>379.1+(677.7-215)+(0+(0-0))+0-0-0</f>
        <v>841.80000000000007</v>
      </c>
      <c r="P206" s="3">
        <f>464.6+(662.8-283.3)+(0+(0-0))+0-0-0</f>
        <v>844.09999999999991</v>
      </c>
      <c r="Q206" s="3">
        <f>476.3+(669.4-285.3)+(0+(0-0))+0-0-0</f>
        <v>860.4</v>
      </c>
      <c r="R206" s="3">
        <f>475.2+(647.9-278.5)+(0+(0-0))+0-0-0</f>
        <v>844.59999999999991</v>
      </c>
      <c r="S206" s="3">
        <f>440.6+(659.8-273.7)+(0+(0-0))+0-0-0</f>
        <v>826.7</v>
      </c>
      <c r="T206" s="3">
        <f>374.4+(705.9-263.3)+(0.381888+(0.720018-0.268566))+0-0-0</f>
        <v>817.83334000000002</v>
      </c>
      <c r="U206" s="3">
        <f>346.7+(706.4-243.4)+(-0.707268+(-1.441056--0.496536))+0-0-0</f>
        <v>808.04821200000004</v>
      </c>
      <c r="V206" s="3">
        <f>251.2+(635.9-93.2)+(0+(0-0))+0-0-0</f>
        <v>793.89999999999986</v>
      </c>
      <c r="W206" s="3">
        <f>265.1+(760.6-212.2)+(0.135201+(0.387906-0.108222))+0-0-0</f>
        <v>813.91488500000014</v>
      </c>
      <c r="X206" s="3">
        <f>439.8+(786.2-343.3)+(-1.12149+(-2.00481--0.875415))+0-0-0</f>
        <v>880.44911500000001</v>
      </c>
      <c r="Y206" s="3">
        <f>484.4+(790.4-418.1)+(-1.23522+(-2.01552--1.066155))+0-0-0</f>
        <v>854.51541499999996</v>
      </c>
      <c r="Z206" s="3">
        <f>432.9+(768.9-366.8)+(-0.220779+(-0.392139--0.187068))+0-0-0</f>
        <v>834.57415000000003</v>
      </c>
      <c r="AA206" s="3">
        <f>421.4+(795.3-398.4)+(-0.214914+(-0.405603--0.203184))+0-0-0</f>
        <v>817.88266699999997</v>
      </c>
      <c r="AB206" s="3">
        <f>341.2+(780.9-328.1)+(0+(0-0))+0-0-0</f>
        <v>794</v>
      </c>
      <c r="AC206" s="3">
        <f>261.3+(920-411.8)+(-0.399789+(-1.4076--0.630054))+0-0-0</f>
        <v>768.32266500000003</v>
      </c>
      <c r="AD206" s="2">
        <v>860.59999999999991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232.5+(1030.3-514.1)+(-0.4743+(-2.101812--1.048764))+0-0-0</f>
        <v>747.17265199999997</v>
      </c>
      <c r="G207" s="3">
        <f>232.5+(1005.7-519.2)+(-0.4743+(-2.051628--1.059168))+0-0-0</f>
        <v>717.53323999999998</v>
      </c>
      <c r="H207" s="3">
        <f>191.8+(1041.4-532.1)+(-0.293454+(-1.593342--0.814113))+0-0-0</f>
        <v>700.02731700000015</v>
      </c>
      <c r="I207" s="3">
        <f>179+(947-437.7)+(-0.09129+(-0.48297--0.223227))+0-0-0</f>
        <v>687.94896699999993</v>
      </c>
      <c r="J207" s="3">
        <f>179+(933.3-431)+(0.18258+(0.951966-0.43962))+0-0-0</f>
        <v>681.99492599999996</v>
      </c>
      <c r="K207" s="3">
        <f>155.2+(951.6-428.3)+(-0.316608+(-1.941264--0.873732))+0-0-0</f>
        <v>677.11586</v>
      </c>
      <c r="L207" s="3">
        <f>174.3+(911.4-436.7)+(0.088893+(0.464814-0.222717))+0-0-0</f>
        <v>649.33099000000004</v>
      </c>
      <c r="M207" s="3">
        <f>188+(836.3-367.6)+(0+(0-0))+0-0-0</f>
        <v>656.69999999999993</v>
      </c>
      <c r="N207" s="3">
        <f>245.1+(691.3-242.6)+(-0.125001+(-0.352563--0.123726))+0-0-0</f>
        <v>693.44616199999996</v>
      </c>
      <c r="O207" s="3">
        <f>242.8+(553.3-78.4)+(0.123828+(0.282183-0.039984))+0-0-0</f>
        <v>718.06602700000008</v>
      </c>
      <c r="P207" s="3">
        <f>209.3+(588.8-55.8)+(0+(0-0))+0-0-0</f>
        <v>742.3</v>
      </c>
      <c r="Q207" s="3">
        <f>200.6+(613.2-58.4)+(0.102306+(0.312732-0.029784))+0-0-0</f>
        <v>755.78525400000012</v>
      </c>
      <c r="R207" s="3">
        <f>200.9+(638-96.6)+(0+(0-0))+0-0-0</f>
        <v>742.3</v>
      </c>
      <c r="S207" s="3">
        <f>207.9+(621.5-112.6)+(-0.424116+(-1.26786--0.229704))+0-0-0</f>
        <v>715.33772799999997</v>
      </c>
      <c r="T207" s="3">
        <f>245+(602-146.2)+(-0.4998+(-1.22808--0.298248))+0-0-0</f>
        <v>699.37036799999998</v>
      </c>
      <c r="U207" s="3">
        <f>200.4+(665.7-163)+(-0.408816+(-1.358028--0.33252))+0-0-0</f>
        <v>701.66567600000008</v>
      </c>
      <c r="V207" s="3">
        <f>174.6+(841.9-288.7)+(-0.267138+(-1.288107--0.441711))+0-0-0</f>
        <v>726.68646600000011</v>
      </c>
      <c r="W207" s="3">
        <f>133.7+(814-197.7)+(0.068187+(0.41514-0.100827))+0-0-0</f>
        <v>750.38250000000005</v>
      </c>
      <c r="X207" s="3">
        <f>239.5+(835.8-259.6)+(-0.366435+(-1.278774--0.397188))+0-0-0</f>
        <v>814.45197899999994</v>
      </c>
      <c r="Y207" s="3">
        <f>229.9+(804.1-218.5)+(-0.586245+(-2.050455--0.557175))+0-0-0</f>
        <v>813.42047500000001</v>
      </c>
      <c r="Z207" s="3">
        <f>232.4+(764.7-197)+(-0.355572+(-1.169991--0.30141))+0-0-0</f>
        <v>798.87584700000002</v>
      </c>
      <c r="AA207" s="3">
        <f>231.4+(767.3-216.6)+(-0.472056+(-1.565292--0.441864))+0-0-0</f>
        <v>780.50451599999985</v>
      </c>
      <c r="AB207" s="3">
        <f>227.2+(800-271.3)+(-0.463488+(-1.632--0.553452))+0-0-0</f>
        <v>754.35796400000004</v>
      </c>
      <c r="AC207" s="3">
        <f>201.7+(873.7-360.5)+(-0.514335+(-2.227935--0.919275))+0-0-0</f>
        <v>713.0770050000001</v>
      </c>
      <c r="AD207" s="2">
        <v>819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168.8+(922.7-408.8)+(-0.258264+(-1.411731--0.625464))+0-0-0</f>
        <v>681.65546900000004</v>
      </c>
      <c r="G208" s="3">
        <f>159.3+(980.9-480.4)+(-0.243729+(-1.500777--0.735012))+0-0-0</f>
        <v>658.79050599999994</v>
      </c>
      <c r="H208" s="3">
        <f>158.2+(1027.7-536.4)+(-0.40341+(-2.620635--1.36782))+0-0-0</f>
        <v>647.84377500000005</v>
      </c>
      <c r="I208" s="3">
        <f>160.3+(1005-515.4)+(-0.081753+(-0.51255--0.262854))+0-0-0</f>
        <v>649.56855100000007</v>
      </c>
      <c r="J208" s="3">
        <f>159.8+(984.8-488.5)+(-0.081498+(-0.502248--0.249135))+0-0-0</f>
        <v>655.76538899999991</v>
      </c>
      <c r="K208" s="3">
        <f>159.4+(953.1-458.6)+(-0.162588+(-0.972162--0.467772))+0-0-0</f>
        <v>653.23302200000001</v>
      </c>
      <c r="L208" s="3">
        <f>158.7+(964-463.3)+(-0.080937+(-0.49164--0.236283))+0-0-0</f>
        <v>659.06370600000002</v>
      </c>
      <c r="M208" s="3">
        <f>226.7+(967.8-469)+(0.231234+(0.987156-0.47838))+0-0-0</f>
        <v>726.24000999999998</v>
      </c>
      <c r="N208" s="3">
        <f>238.8+(972.8-401.9)+(-0.365364+(-1.488384--0.614907))+0-0-0</f>
        <v>808.46115900000007</v>
      </c>
      <c r="O208" s="3">
        <f>329.2+(919.1-369.9)+(0+(0-0))+0-0-0</f>
        <v>878.40000000000009</v>
      </c>
      <c r="P208" s="3">
        <f>305.9+(911.8-319.4)+(0+(0-0))+0-0-0</f>
        <v>898.3</v>
      </c>
      <c r="Q208" s="3">
        <f>349.2+(827.4-285.4)+(0+(0-0))+0-0-0</f>
        <v>891.2</v>
      </c>
      <c r="R208" s="3">
        <f>362.9+(854.5-330)+(0+(0-0))+0-0-0</f>
        <v>887.4</v>
      </c>
      <c r="S208" s="3">
        <f>416.5+(894.6-434)+(0+(0-0))+0-0-0</f>
        <v>877.1</v>
      </c>
      <c r="T208" s="3">
        <f>455.4+(882.3-454.3)+(0+(0-0))+0-0-0</f>
        <v>883.39999999999986</v>
      </c>
      <c r="U208" s="3">
        <f>403+(872.5-392.5)+(0+(0-0))+0-0-0</f>
        <v>883</v>
      </c>
      <c r="V208" s="3">
        <f>403.2+(844.5-364.5)+(0+(0-0))+0-0-0</f>
        <v>883.2</v>
      </c>
      <c r="W208" s="3">
        <f>315.1+(816-234.7)+(0+(0-0))+0-0-0</f>
        <v>896.4</v>
      </c>
      <c r="X208" s="3">
        <f>380.6+(790.9-223.5)+(0+(0-0))+0-0-0</f>
        <v>948</v>
      </c>
      <c r="Y208" s="3">
        <f>479.3+(705.6-240.6)+(0+(0-0))+0-0-0</f>
        <v>944.3</v>
      </c>
      <c r="Z208" s="3">
        <f>481.1+(685.1-250.9)+(0+(0-0))+0-0-0</f>
        <v>915.30000000000007</v>
      </c>
      <c r="AA208" s="3">
        <f>378.9+(751.5-257.4)+(0+(0-0))+0-0-0</f>
        <v>873</v>
      </c>
      <c r="AB208" s="3">
        <f>251.4+(896.5-300.9)+(0+(0-0))+0-0-0</f>
        <v>847</v>
      </c>
      <c r="AC208" s="3">
        <f>201.6+(922.2-310.7)+(0+(0-0))+0-0-0</f>
        <v>813.1</v>
      </c>
      <c r="AD208" s="2">
        <v>948.4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147.4+(1031.3-403.3)+(-0.225522+(-1.577889--0.617049))+0-0-0</f>
        <v>774.21363799999995</v>
      </c>
      <c r="G209" s="3">
        <f>90.1+(1086.5-429.3)+(0.045951+(0.554115-0.218943))+0-0-0</f>
        <v>747.68112300000007</v>
      </c>
      <c r="H209" s="3">
        <f>90.1+(1091.1-454.7)+(-0.091902+(-1.112922--0.463794))+0-0-0</f>
        <v>725.75896999999986</v>
      </c>
      <c r="I209" s="3">
        <f>90.1+(1055.4-420.4)+(-0.045951+(-0.538254--0.214404))+0-0-0</f>
        <v>724.73019900000008</v>
      </c>
      <c r="J209" s="3">
        <f>90.2+(1028.7-397.7)+(-0.138006+(-1.573911--0.608481))+0-0-0</f>
        <v>720.09656400000006</v>
      </c>
      <c r="K209" s="3">
        <f>90.2+(997.7-388.6)+(-0.046002+(-0.508827--0.198186))+0-0-0</f>
        <v>698.94335700000011</v>
      </c>
      <c r="L209" s="3">
        <f>90.2+(997.5-346.1)+(0+(0-0))+0-0-0</f>
        <v>741.6</v>
      </c>
      <c r="M209" s="3">
        <f>141.2+(1032.2-375.2)+(0.144024+(1.052844-0.382704))+0-0-0</f>
        <v>799.01416400000005</v>
      </c>
      <c r="N209" s="3">
        <f>165.5+(1121.6-427.4)+(0.16881+(1.144032-0.435948))+0-0-0</f>
        <v>860.57689399999992</v>
      </c>
      <c r="O209" s="3">
        <f>165+(1111.7-376)+(-0.08415+(-0.566967--0.19176))+0-0-0</f>
        <v>900.24064300000009</v>
      </c>
      <c r="P209" s="3">
        <f>165+(1077.1-311.6)+(0+(0-0))+0-0-0</f>
        <v>930.49999999999989</v>
      </c>
      <c r="Q209" s="3">
        <f>164.4+(1070.9-281.8)+(-0.251532+(-1.638477--0.431154))+0-0-0</f>
        <v>952.04114500000014</v>
      </c>
      <c r="R209" s="3">
        <f>160+(1117.1-337)+(0+(0-0))+0-0-0</f>
        <v>940.09999999999991</v>
      </c>
      <c r="S209" s="3">
        <f>161.7+(1113.2-354.2)+(0+(0-0))+0-0-0</f>
        <v>920.7</v>
      </c>
      <c r="T209" s="3">
        <f>167.1+(1145.2-388.2)+(0+(0-0))+0-0-0</f>
        <v>924.1</v>
      </c>
      <c r="U209" s="3">
        <f>242.9+(1107.4-428.5)+(0+(0-0))+0-0-0</f>
        <v>921.80000000000007</v>
      </c>
      <c r="V209" s="3">
        <f>241.5+(1129.1-453.2)+(0+(0-0))+0-0-0</f>
        <v>917.39999999999986</v>
      </c>
      <c r="W209" s="3">
        <f>235.3+(1057.2-353.2)+(0+(0-0))+0-0-0</f>
        <v>939.3</v>
      </c>
      <c r="X209" s="3">
        <f>235.9+(1136.1-379.1)+(0+(0-0))+0-0-0</f>
        <v>992.89999999999986</v>
      </c>
      <c r="Y209" s="3">
        <f>209.7+(1169.7-418.9)+(0+(0-0))+0-0-0</f>
        <v>960.5</v>
      </c>
      <c r="Z209" s="3">
        <f>149.2+(1186.1-400.5)+(0+(0-0))+0-0-0</f>
        <v>934.8</v>
      </c>
      <c r="AA209" s="3">
        <f>102.2+(1144.8-349.8)+(0+(0-0))+0-0-0</f>
        <v>897.2</v>
      </c>
      <c r="AB209" s="3">
        <f>0+(1158-299.4)+(0+(0-0))+0-0-0</f>
        <v>858.6</v>
      </c>
      <c r="AC209" s="3">
        <f>0+(1110.7-286.1)+(0+(0-0))+0-0-0</f>
        <v>824.6</v>
      </c>
      <c r="AD209" s="2">
        <v>958.89999999999986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0+(1073.5-296.9)+(0+(-2.737425--0.757095))+0-0-0</f>
        <v>774.61967000000004</v>
      </c>
      <c r="G210" s="3">
        <f>0+(1116.8-363.1)+(0+(-2.84784--0.925905))+0-0-0</f>
        <v>751.77806499999997</v>
      </c>
      <c r="H210" s="3">
        <f>0+(1114.6-368.6)+(0+(-0.568446--0.187986))+0-0-0</f>
        <v>745.61953999999992</v>
      </c>
      <c r="I210" s="3">
        <f>0+(1107.8-371.3)+(0+(-1.694934--0.568089))+0-0-0</f>
        <v>735.373155</v>
      </c>
      <c r="J210" s="3">
        <f>0+(1111.1-383.4)+(0+(-1.699983--0.586602))+0-0-0</f>
        <v>726.58661899999993</v>
      </c>
      <c r="K210" s="3">
        <f>0+(1084.4-356.5)+(0+(-1.106088--0.36363))+0-0-0</f>
        <v>727.15754200000003</v>
      </c>
      <c r="L210" s="3">
        <f>0+(1087.1-343.2)+(0+(0-0))+0-0-0</f>
        <v>743.89999999999986</v>
      </c>
      <c r="M210" s="3">
        <f>0+(1096.4-304.8)+(0+(0-0))+0-0-0</f>
        <v>791.60000000000014</v>
      </c>
      <c r="N210" s="3">
        <f>0+(1147.5-289.2)+(0+(0-0))+0-0-0</f>
        <v>858.3</v>
      </c>
      <c r="O210" s="3">
        <f>0+(1162.5-260.6)+(0+(0-0))+0-0-0</f>
        <v>901.9</v>
      </c>
      <c r="P210" s="3">
        <f>0+(1232.2-314.9)+(0+(0-0))+0-0-0</f>
        <v>917.30000000000007</v>
      </c>
      <c r="Q210" s="3">
        <f>0+(1251.4-327)+(0+(0-0))+0-0-0</f>
        <v>924.40000000000009</v>
      </c>
      <c r="R210" s="3">
        <f>20.4+(1205.7-313.5)+(0+(0-0))+0-0-0</f>
        <v>912.6</v>
      </c>
      <c r="S210" s="3">
        <f>39.9+(1157.7-301.8)+(-0.040698+(-1.180854--0.307836))+0-0-0</f>
        <v>894.88628400000005</v>
      </c>
      <c r="T210" s="3">
        <f>15.8+(1228.9-350.7)+(-0.008058+(-0.626739--0.178857))+0-0-0</f>
        <v>893.54405999999994</v>
      </c>
      <c r="U210" s="3">
        <f>53.5+(1243.9-397.1)+(-0.10914+(-2.537556--0.810084))+0-0-0</f>
        <v>898.46338800000012</v>
      </c>
      <c r="V210" s="3">
        <f>64.5+(1157-327.7)+(-0.06579+(-1.18014--0.334254))+0-0-0</f>
        <v>892.88832400000001</v>
      </c>
      <c r="W210" s="3">
        <f>66.9+(1028-186.8)+(-0.068238+(-1.04856--0.190536))+0-0-0</f>
        <v>907.17373800000007</v>
      </c>
      <c r="X210" s="3">
        <f>119.5+(1115.8-280)+(-0.182835+(-1.707174--0.4284))+0-0-0</f>
        <v>953.838391</v>
      </c>
      <c r="Y210" s="3">
        <f>106.2+(1174.2-329.8)+(-0.162486+(-1.796526--0.504594))+0-0-0</f>
        <v>949.1455820000001</v>
      </c>
      <c r="Z210" s="3">
        <f>46.9+(1128-251.5)+(-0.071757+(-1.72584--0.384795))+0-0-0</f>
        <v>921.98719799999992</v>
      </c>
      <c r="AA210" s="3">
        <f>47+(1123.6-284.3)+(-0.09588+(-2.292144--0.579972))+0-0-0</f>
        <v>884.49194799999998</v>
      </c>
      <c r="AB210" s="3">
        <f>47+(1178-365.8)+(-0.02397+(-0.60078--0.186558))+0-0-0</f>
        <v>858.76180800000009</v>
      </c>
      <c r="AC210" s="3">
        <f>47+(1127.1-344.9)+(-0.07191+(-1.724463--0.527697))+0-0-0</f>
        <v>827.9313239999999</v>
      </c>
      <c r="AD210" s="2">
        <v>947.80000000000007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47+(1110.1-365.1)+(-0.02397+(-0.566151--0.186201))+0-0-0</f>
        <v>791.59607999999992</v>
      </c>
      <c r="G211" s="3">
        <f>46.9+(1087-374.7)+(0+(0-0))+0-0-0</f>
        <v>759.19999999999993</v>
      </c>
      <c r="H211" s="3">
        <f>47+(1105.8-404.9)+(0.02397+(0.563958-0.206499))+0-0-0</f>
        <v>748.281429</v>
      </c>
      <c r="I211" s="3">
        <f>47+(1112-418.9)+(0.04794+(1.13424-0.427278))+0-0-0</f>
        <v>740.85490200000004</v>
      </c>
      <c r="J211" s="3">
        <f>46.9+(1102.4-422)+(0.047838+(1.124448-0.43044))+0-0-0</f>
        <v>728.04184600000008</v>
      </c>
      <c r="K211" s="3">
        <f>47+(1083.9-400)+(0+(0-0))+0-0-0</f>
        <v>730.90000000000009</v>
      </c>
      <c r="L211" s="3">
        <f>47+(1060.2-349.4)+(0.09588+(2.162808-0.712776))+0-0-0</f>
        <v>759.34591200000011</v>
      </c>
      <c r="M211" s="3">
        <f>83.5+(1013.1-291.7)+(-0.08517+(-1.033362--0.297534))+0-0-0</f>
        <v>804.07900200000006</v>
      </c>
      <c r="N211" s="3">
        <f>122.1+(1068.9-317.5)+(-0.249084+(-2.180556--0.6477))+0-0-0</f>
        <v>871.71806000000015</v>
      </c>
      <c r="O211" s="3">
        <f>122.1+(1107.8-332.4)+(-0.186813+(-1.694934--0.508572))+0-0-0</f>
        <v>896.12682500000005</v>
      </c>
      <c r="P211" s="3">
        <f>121.8+(1145.2-340.7)+(-0.31059+(-2.92026--0.868785))+0-0-0</f>
        <v>923.93793499999992</v>
      </c>
      <c r="Q211" s="3">
        <f>122.6+(1117.8-311.3)+(-0.187578+(-1.710234--0.476289))+0-0-0</f>
        <v>927.67847700000004</v>
      </c>
      <c r="R211" s="3">
        <f>119.2+(1131.1-336.6)+(-0.243168+(-2.307444--0.686664))+0-0-0</f>
        <v>911.83605199999988</v>
      </c>
      <c r="S211" s="3">
        <f>118.8+(1147-366.4)+(0.060588+(0.58497-0.186864))+0-0-0</f>
        <v>899.85869400000001</v>
      </c>
      <c r="T211" s="3">
        <f>118.4+(1173.2-376.7)+(-0.120768+(-1.196664--0.384234))+0-0-0</f>
        <v>913.96680200000003</v>
      </c>
      <c r="U211" s="3">
        <f>125.9+(1167.4-388.7)+(-0.321045+(-2.97687--0.991185))+0-0-0</f>
        <v>902.29327000000001</v>
      </c>
      <c r="V211" s="3">
        <f>121+(1049-271.8)+(-0.18513+(-1.60497--0.415854))+0-0-0</f>
        <v>896.82575400000007</v>
      </c>
      <c r="W211" s="3">
        <f>184.2+(941.5-208.7)+(0.093942+(0.480165-0.106437))+0-0-0</f>
        <v>917.46767</v>
      </c>
      <c r="X211" s="3">
        <f>239.9+(1008.3-281.9)+(-0.367047+(-1.542699--0.431307))+0-0-0</f>
        <v>964.82156099999997</v>
      </c>
      <c r="Y211" s="3">
        <f>160.8+(1085.9-292.1)+(-0.328032+(-2.215236--0.595884))+0-0-0</f>
        <v>952.65261600000008</v>
      </c>
      <c r="Z211" s="3">
        <f>122.4+(1062.3-251)+(-0.249696+(-2.167092--0.51204))+0-0-0</f>
        <v>931.79525199999989</v>
      </c>
      <c r="AA211" s="3">
        <f>121.8+(1075.7-298.9)+(-0.31059+(-2.743035--0.762195))+0-0-0</f>
        <v>896.30857000000003</v>
      </c>
      <c r="AB211" s="3">
        <f>121.9+(1090.2-343.8)+(-0.310845+(-2.78001--0.87669))+0-0-0</f>
        <v>866.08583500000009</v>
      </c>
      <c r="AC211" s="3">
        <f>122+(949.2-248.5)+(-0.18666+(-1.452276--0.380205))+0-0-0</f>
        <v>821.44126900000003</v>
      </c>
      <c r="AD211" s="2">
        <v>959.59999999999991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122.4+(1016.2-354.3)+(-0.187272+(-1.554786--0.542079))+0-0-0</f>
        <v>783.10002100000008</v>
      </c>
      <c r="G212" s="3">
        <f>122.4+(1024.9-389.3)+(-0.187272+(-1.568097--0.595629))+0-0-0</f>
        <v>756.84026000000006</v>
      </c>
      <c r="H212" s="3">
        <f>122.4+(1018.8-397.7)+(-0.124848+(-1.039176--0.405654))+0-0-0</f>
        <v>742.74162999999987</v>
      </c>
      <c r="I212" s="3">
        <f>103.3+(1030.6-393.1)+(-0.052683+(-0.525606--0.200481))+0-0-0</f>
        <v>740.42219199999988</v>
      </c>
      <c r="J212" s="3">
        <f>45+(1015.7-330)+(0.02295+(0.518007-0.1683))+0-0-0</f>
        <v>731.07265700000005</v>
      </c>
      <c r="K212" s="3">
        <f>45+(998-297.1)+(0.02295+(0.50898-0.151521))+0-0-0</f>
        <v>746.28040899999996</v>
      </c>
      <c r="L212" s="3">
        <f>71.8+(924.4-229.9)+(-0.036618+(-0.471444--0.117249))+0-0-0</f>
        <v>765.90918699999997</v>
      </c>
      <c r="M212" s="3">
        <f>129.6+(957.7-286.8)+(0+(0-0))+0-0-0</f>
        <v>800.50000000000011</v>
      </c>
      <c r="N212" s="3">
        <f>169.2+(1060.2-350.2)+(-0.258876+(-1.622106--0.535806))+0-0-0</f>
        <v>877.85482400000001</v>
      </c>
      <c r="O212" s="3">
        <f>169.5+(1098.5-356.7)+(-0.086445+(-0.560235--0.181917))+0-0-0</f>
        <v>910.83523700000001</v>
      </c>
      <c r="P212" s="3">
        <f>169.9+(1118.8-362)+(-0.173298+(-1.141176--0.36924))+0-0-0</f>
        <v>925.7547659999999</v>
      </c>
      <c r="Q212" s="3">
        <f>169.1+(1147.3-369)+(-0.172482+(-1.170246--0.37638))+0-0-0</f>
        <v>946.43365199999994</v>
      </c>
      <c r="R212" s="3">
        <f>169.6+(1137.4-372.3)+(-0.086496+(-0.580074--0.189873))+0-0-0</f>
        <v>934.22330300000021</v>
      </c>
      <c r="S212" s="3">
        <f>230.8+(966.4-295)+(-0.353124+(-1.478592--0.45135))+0-0-0</f>
        <v>900.81963400000006</v>
      </c>
      <c r="T212" s="3">
        <f>240+(1006.7-346.8)+(-0.3672+(-1.540251--0.530604))+0-0-0</f>
        <v>898.52315300000009</v>
      </c>
      <c r="U212" s="3">
        <f>204.7+(1094.9-408.8)+(-0.313191+(-1.675197--0.625464))+0-0-0</f>
        <v>889.43707600000016</v>
      </c>
      <c r="V212" s="3">
        <f>160.1+(1039.4-318.1)+(0.163302+(1.060188-0.324462))+0-0-0</f>
        <v>882.29902800000013</v>
      </c>
      <c r="W212" s="3">
        <f>163.5+(969.2-233.8)+(0.083385+(0.494292-0.119238))+0-0-0</f>
        <v>899.35843900000009</v>
      </c>
      <c r="X212" s="3">
        <f>276.2+(983.3-320.2)+(-0.422586+(-1.504449--0.489906))+0-0-0</f>
        <v>937.86287099999993</v>
      </c>
      <c r="Y212" s="3">
        <f>329.8+(986.4-388.4)+(-0.336396+(-1.006128--0.396168))+0-0-0</f>
        <v>926.85364399999992</v>
      </c>
      <c r="Z212" s="3">
        <f>174+(1097.6-363.4)+(-0.17748+(-1.119552--0.370668))+0-0-0</f>
        <v>907.2736359999999</v>
      </c>
      <c r="AA212" s="3">
        <f>156.2+(1026.5-316.9)+(-0.159324+(-1.04703--0.323238))+0-0-0</f>
        <v>864.91688399999998</v>
      </c>
      <c r="AB212" s="3">
        <f>156.1+(983.3-305.3)+(-0.398055+(-2.507415--0.778515))+0-0-0</f>
        <v>831.97304500000007</v>
      </c>
      <c r="AC212" s="3">
        <f>136.7+(960.1-288.6)+(-0.418302+(-2.937906--0.883116))+0-0-0</f>
        <v>805.72690800000009</v>
      </c>
      <c r="AD212" s="2">
        <v>938.9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94.1+(945.9-273.8)+(0.095982+(0.964818-0.279276))+0-0-0</f>
        <v>766.98152399999992</v>
      </c>
      <c r="G213" s="3">
        <f>94.1+(920.1-275.4)+(0.047991+(0.469251-0.140454))+0-0-0</f>
        <v>739.1767880000001</v>
      </c>
      <c r="H213" s="3">
        <f>94+(905.6-273.5)+(0.09588+(0.923712-0.27897))+0-0-0</f>
        <v>726.84062200000005</v>
      </c>
      <c r="I213" s="3">
        <f>94+(880.5-252.2)+(-0.04794+(-0.449055--0.128622))+0-0-0</f>
        <v>721.93162699999993</v>
      </c>
      <c r="J213" s="3">
        <f>94+(866.6-247)+(0+(0-0))+0-0-0</f>
        <v>713.6</v>
      </c>
      <c r="K213" s="3">
        <f>94.1+(847.3-228.7)+(-0.191964+(-1.728492--0.466548))+0-0-0</f>
        <v>711.24609199999998</v>
      </c>
      <c r="L213" s="3">
        <f>94+(862.1-241.4)+(0.09588+(0.879342-0.246228))+0-0-0</f>
        <v>715.42899399999999</v>
      </c>
      <c r="M213" s="3">
        <f>94.2+(862.7-205)+(0+(0-0))+0-0-0</f>
        <v>751.90000000000009</v>
      </c>
      <c r="N213" s="3">
        <f>222.5+(906.8-316.2)+(0+(0-0))+0-0-0</f>
        <v>813.09999999999991</v>
      </c>
      <c r="O213" s="3">
        <f>249+(916.8-310.1)+(0+(0-0))+0-0-0</f>
        <v>855.69999999999993</v>
      </c>
      <c r="P213" s="3">
        <f>248.5+(807.7-181)+(-0.380205+(-1.235781--0.27693))+0-0-0</f>
        <v>873.86094400000002</v>
      </c>
      <c r="Q213" s="3">
        <f>247.6+(844.5-213.1)+(0+(0-0))+0-0-0</f>
        <v>879</v>
      </c>
      <c r="R213" s="3">
        <f>245.5+(818.2-201.2)+(-0.375615+(-1.251846--0.307836))+0-0-0</f>
        <v>861.18037500000003</v>
      </c>
      <c r="S213" s="3">
        <f>242.7+(837.8-246.1)+(0+(0-0))+0-0-0</f>
        <v>834.39999999999986</v>
      </c>
      <c r="T213" s="3">
        <f>234+(858.2-268.9)+(0+(0-0))+0-0-0</f>
        <v>823.30000000000007</v>
      </c>
      <c r="U213" s="3">
        <f>240+(875.3-295.7)+(-0.4896+(-1.785612--0.603228))+0-0-0</f>
        <v>817.92801599999996</v>
      </c>
      <c r="V213" s="3">
        <f>251.3+(846.8-284.7)+(-0.384489+(-1.295604--0.435591))+0-0-0</f>
        <v>812.15549799999985</v>
      </c>
      <c r="W213" s="3">
        <f>395.7+(705.9-262.8)+(-0.201807+(-0.360009--0.134028))+0-0-0</f>
        <v>838.37221199999999</v>
      </c>
      <c r="X213" s="3">
        <f>423.7+(726.4-253.3)+(-0.648261+(-1.111392--0.387549))+0-0-0</f>
        <v>895.42789599999992</v>
      </c>
      <c r="Y213" s="3">
        <f>363.6+(654.1-140.5)+(-0.185436+(-0.333591--0.071655))+0-0-0</f>
        <v>876.75262800000007</v>
      </c>
      <c r="Z213" s="3">
        <f>309.6+(639.3-97.9)+(0.315792+(0.652086-0.099858))+0-0-0</f>
        <v>851.86802</v>
      </c>
      <c r="AA213" s="3">
        <f>302.6+(665.5-143.8)+(0.154326+(0.339405-0.073338))+0-0-0</f>
        <v>824.72039300000006</v>
      </c>
      <c r="AB213" s="3">
        <f>302.6+(784.5-275.8)+(-0.308652+(-0.80019--0.281316))+0-0-0</f>
        <v>810.47247399999992</v>
      </c>
      <c r="AC213" s="3">
        <f>302.6+(765.2-288.9)+(-0.462978+(-1.170756--0.442017))+0-0-0</f>
        <v>777.70828300000005</v>
      </c>
      <c r="AD213" s="2">
        <v>881.59999999999991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252.1+(767-272.6)+(-0.128571+(-0.39117--0.139026))+0-0-0</f>
        <v>746.11928499999999</v>
      </c>
      <c r="G214" s="3">
        <f>196+(766.4-243.9)+(-0.19992+(-0.781728--0.248778))+0-0-0</f>
        <v>717.76712999999995</v>
      </c>
      <c r="H214" s="3">
        <f>165.5+(741.6-210.1)+(-0.253215+(-1.134648--0.321453))+0-0-0</f>
        <v>695.93358999999998</v>
      </c>
      <c r="I214" s="3">
        <f>133.6+(731-178.5)+(-0.272544+(-1.49124--0.36414))+0-0-0</f>
        <v>684.70035600000006</v>
      </c>
      <c r="J214" s="3">
        <f>133.6+(733.1-184.8)+(0+(0-0))+0-0-0</f>
        <v>681.9</v>
      </c>
      <c r="K214" s="3">
        <f>133.6+(735.9-188.2)+(-0.204408+(-1.125927--0.287946))+0-0-0</f>
        <v>680.25761100000011</v>
      </c>
      <c r="L214" s="3">
        <f>133.7+(729.3-205.7)+(-0.204561+(-1.115829--0.314721))+0-0-0</f>
        <v>656.29433099999994</v>
      </c>
      <c r="M214" s="3">
        <f>135.1+(738.7-214.9)+(0.068901+(0.376737-0.109599))+0-0-0</f>
        <v>659.23603900000012</v>
      </c>
      <c r="N214" s="3">
        <f>191.5+(742.7-253.7)+(0.097665+(0.378777-0.129387))+0-0-0</f>
        <v>680.84705499999995</v>
      </c>
      <c r="O214" s="3">
        <f>298.9+(760.4-339.1)+(-0.609756+(-1.551216--0.691764))+0-0-0</f>
        <v>718.73079199999995</v>
      </c>
      <c r="P214" s="3">
        <f>298.4+(820-378)+(0.152184+(0.4182-0.19278))+0-0-0</f>
        <v>740.777604</v>
      </c>
      <c r="Q214" s="3">
        <f>297.2+(874.6-423.7)+(-0.454716+(-1.338138--0.648261))+0-0-0</f>
        <v>746.95540700000004</v>
      </c>
      <c r="R214" s="3">
        <f>296.3+(886.9-444)+(0.151113+(0.452319-0.22644))+0-0-0</f>
        <v>739.57699200000002</v>
      </c>
      <c r="S214" s="3">
        <f>293.7+(863.1-427.2)+(-0.299574+(-0.880362--0.435744))+0-0-0</f>
        <v>728.85580800000002</v>
      </c>
      <c r="T214" s="3">
        <f>293.4+(851.9-421.8)+(-0.598536+(-1.737876--0.860472))+0-0-0</f>
        <v>722.02405999999996</v>
      </c>
      <c r="U214" s="3">
        <f>278.6+(880.2-447.2)+(-0.568344+(-1.795608--0.912288))+0-0-0</f>
        <v>710.14833600000009</v>
      </c>
      <c r="V214" s="3">
        <f>139.2+(910.8-332.5)+(0.141984+(0.929016-0.33915))+0-0-0</f>
        <v>718.23185000000001</v>
      </c>
      <c r="W214" s="3">
        <f>139.1+(848.7-228.1)+(-0.070941+(-0.432837--0.116331))+0-0-0</f>
        <v>759.31255300000009</v>
      </c>
      <c r="X214" s="3">
        <f>137.4+(967.6-276)+(0.140148+(0.986952-0.28152))+0-0-0</f>
        <v>829.84558000000004</v>
      </c>
      <c r="Y214" s="3">
        <f>142.7+(962.2-285.1)+(-0.218331+(-1.472166--0.436203))+0-0-0</f>
        <v>818.545706</v>
      </c>
      <c r="Z214" s="3">
        <f>150.2+(859.9-216.1)+(-0.306408+(-1.754196--0.440844))+0-0-0</f>
        <v>792.38023999999996</v>
      </c>
      <c r="AA214" s="3">
        <f>149.7+(786.8-162.9)+(-0.152694+(-0.802536--0.166158))+0-0-0</f>
        <v>772.81092799999988</v>
      </c>
      <c r="AB214" s="3">
        <f>149.1+(780.8-178.5)+(-0.152082+(-0.796416--0.18207))+0-0-0</f>
        <v>750.63357199999996</v>
      </c>
      <c r="AC214" s="3">
        <f>149+(683.1-111.3)+(-0.15198+(-0.696762--0.113526))+0-0-0</f>
        <v>720.06478400000003</v>
      </c>
      <c r="AD214" s="2">
        <v>842.49999999999989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149.1+(697.5-155.5)+(-0.304164+(-1.4229--0.31722))+0-0-0</f>
        <v>689.690156</v>
      </c>
      <c r="G215" s="3">
        <f>149.1+(749-228.6)+(-0.076041+(-0.38199--0.116586))+0-0-0</f>
        <v>669.15855499999998</v>
      </c>
      <c r="H215" s="3">
        <f>149.2+(709.7-200.8)+(-0.228276+(-1.085841--0.307224))+0-0-0</f>
        <v>657.09310700000003</v>
      </c>
      <c r="I215" s="3">
        <f>149.1+(692.2-190.6)+(-0.228123+(-1.059066--0.291618))+0-0-0</f>
        <v>649.704429</v>
      </c>
      <c r="J215" s="3">
        <f>149.1+(692.6-180.8)+(-0.152082+(-0.706452--0.184416))+0-0-0</f>
        <v>660.22588199999996</v>
      </c>
      <c r="K215" s="3">
        <f>149.2+(681.9-169)+(0+(0-0))+0-0-0</f>
        <v>662.09999999999991</v>
      </c>
      <c r="L215" s="3">
        <f>149.1+(678.7-125.1)+(-0.076041+(-0.346137--0.063801))+0-0-0</f>
        <v>702.34162300000003</v>
      </c>
      <c r="M215" s="3">
        <f>178.8+(726.1-140.4)+(-0.091188+(-0.370311--0.071604))+0-0-0</f>
        <v>764.11010499999998</v>
      </c>
      <c r="N215" s="3">
        <f>369.9+(751.7-287.1)+(0+(0-0))+0-0-0</f>
        <v>834.5</v>
      </c>
      <c r="O215" s="3">
        <f>393.8+(760.4-272.7)+(-0.803352+(-1.551216--0.556308))+0-0-0</f>
        <v>879.70173999999997</v>
      </c>
      <c r="P215" s="3">
        <f>445.6+(746.5-290.5)+(-0.227256+(-0.380715--0.148155))+0-0-0</f>
        <v>901.14018399999998</v>
      </c>
      <c r="Q215" s="3">
        <f>485.5+(733.8-298.4)+(-0.49521+(-0.748476--0.304368))+0-0-0</f>
        <v>919.96068200000002</v>
      </c>
      <c r="R215" s="3">
        <f>266+(780.6-153.4)+(-0.40698+(-1.194318--0.234702))+0-0-0</f>
        <v>891.83340400000009</v>
      </c>
      <c r="S215" s="3">
        <f>171.6+(824.4-121.8)+(-0.262548+(-1.261332--0.186354))+0-0-0</f>
        <v>872.86247400000002</v>
      </c>
      <c r="T215" s="3">
        <f>139.4+(834.7-98)+(0.071094+(0.425697-0.04998))+0-0-0</f>
        <v>876.54681100000005</v>
      </c>
      <c r="U215" s="3">
        <f>139.1+(829.3-90.2)+(-0.425646+(-2.537658--0.276012))+0-0-0</f>
        <v>875.51270799999998</v>
      </c>
      <c r="V215" s="3">
        <f>140.2+(808.8-82.1)+(-0.143004+(-0.824976--0.083742))+0-0-0</f>
        <v>866.01576199999988</v>
      </c>
      <c r="W215" s="3">
        <f>287.7+(715.8-99.4)+(0+(0-0))+0-0-0</f>
        <v>904.09999999999991</v>
      </c>
      <c r="X215" s="3">
        <f>358.1+(716.9-125.9)+(-0.730524+(-1.462476--0.256836))+0-0-0</f>
        <v>947.16383600000006</v>
      </c>
      <c r="Y215" s="3">
        <f>343.2+(724.1-138.4)+(-1.400256+(-2.954328--0.564672))+0-0-0</f>
        <v>925.11008800000013</v>
      </c>
      <c r="Z215" s="3">
        <f>302.6+(670.4-72.3)+(-0.77163+(-1.70952--0.184365))+0-0-0</f>
        <v>898.40321500000005</v>
      </c>
      <c r="AA215" s="3">
        <f>214.3+(687.1-30.7)+(-0.546465+(-1.752105--0.078285))+0-0-0</f>
        <v>868.47971500000006</v>
      </c>
      <c r="AB215" s="3">
        <f>202+(669.5-38.8)+(-0.30906+(-1.024335--0.059364))+0-0-0</f>
        <v>831.42596900000001</v>
      </c>
      <c r="AC215" s="3">
        <f>202.3+(647.1-61.9)+(-0.103173+(-0.330021--0.031569))+0-0-0</f>
        <v>787.09837500000003</v>
      </c>
      <c r="AD215" s="2">
        <v>951.4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202+(691.7-131.1)+(0.10302+(0.352767-0.066861))+0-0-0</f>
        <v>762.98892599999999</v>
      </c>
      <c r="G216" s="3">
        <f>201.7+(705.1-168.2)+(-0.411468+(-1.438404--0.343128))+0-0-0</f>
        <v>737.09325600000011</v>
      </c>
      <c r="H216" s="3">
        <f>138.9+(794.7-198.8)+(-0.283356+(-1.621188--0.405552))+0-0-0</f>
        <v>733.30100800000002</v>
      </c>
      <c r="I216" s="3">
        <f>90.1+(851.3-210.2)+(0.183804+(1.736652-0.428808))+0-0-0</f>
        <v>732.69164799999999</v>
      </c>
      <c r="J216" s="3">
        <f>90.1+(838.2-192.6)+(0.229755+(2.13741-0.49113))+0-0-0</f>
        <v>737.57603500000005</v>
      </c>
      <c r="K216" s="3">
        <f>90+(816.1-171.6)+(0.1377+(1.248633-0.262548))+0-0-0</f>
        <v>735.623785</v>
      </c>
      <c r="L216" s="3">
        <f>90.1+(806.2-148.1)+(0.183804+(1.644648-0.302124))+0-0-0</f>
        <v>749.72632800000008</v>
      </c>
      <c r="M216" s="3">
        <f>90.1+(829.4-117)+(0+(0-0))+0-0-0</f>
        <v>802.5</v>
      </c>
      <c r="N216" s="3">
        <f>147.2+(841.9-128.2)+(0.150144+(0.858738-0.130764))+0-0-0</f>
        <v>861.77811800000006</v>
      </c>
      <c r="O216" s="3">
        <f>181.4+(826.3-106.5)+(-0.277542+(-1.264239--0.162945))+0-0-0</f>
        <v>899.82116399999995</v>
      </c>
      <c r="P216" s="3">
        <f>193.2+(783.1-69.3)+(0+(0-0))+0-0-0</f>
        <v>907</v>
      </c>
      <c r="Q216" s="3">
        <f>200+(795.8-89.7)+(-0.204+(-0.811716--0.091494))+0-0-0</f>
        <v>905.17577799999992</v>
      </c>
      <c r="R216" s="3">
        <f>245+(768.6-96.7)+(-0.4998+(-1.567944--0.197268))+0-0-0</f>
        <v>915.02952399999992</v>
      </c>
      <c r="S216" s="3">
        <f>245+(780-140.2)+(-0.2499+(-0.7956--0.143004))+0-0-0</f>
        <v>883.89750399999991</v>
      </c>
      <c r="T216" s="3">
        <f>171+(832.2-155.4)+(-0.43605+(-2.12211--0.39627))+0-0-0</f>
        <v>845.6381100000001</v>
      </c>
      <c r="U216" s="3">
        <f>150+(866.2-139.9)+(-0.0765+(-0.441762--0.071349))+0-0-0</f>
        <v>875.85308700000007</v>
      </c>
      <c r="V216" s="3">
        <f>152+(823.7-112.7)+(0+(0-0))+0-0-0</f>
        <v>863</v>
      </c>
      <c r="W216" s="3">
        <f>245+(779.5-66.8)+(0+(0-0))+0-0-0</f>
        <v>957.7</v>
      </c>
      <c r="X216" s="3">
        <f>242+(759.9-55.3)+(-0.24684+(-0.775098--0.056406))+0-0-0</f>
        <v>945.63446799999997</v>
      </c>
      <c r="Y216" s="3">
        <f>200+(746.1-30.2)+(-0.204+(-0.761022--0.030804))+0-0-0</f>
        <v>914.96578199999999</v>
      </c>
      <c r="Z216" s="3">
        <f>201+(735.1-34.2)+(0.20502+(0.749802-0.034884))+0-0-0</f>
        <v>902.81993799999998</v>
      </c>
      <c r="AA216" s="3">
        <f>203+(709.9-42.1)+(0.20706+(0.724098-0.042942))+0-0-0</f>
        <v>871.68821600000001</v>
      </c>
      <c r="AB216" s="3">
        <f>190+(718.5-80.1)+(-0.2907+(-1.099305--0.122553))+0-0-0</f>
        <v>827.13254799999993</v>
      </c>
      <c r="AC216" s="3">
        <f>98+(788.2-102.3)+(-0.19992+(-1.607928--0.208692))+0-0-0</f>
        <v>782.3008440000001</v>
      </c>
      <c r="AD216" s="2">
        <v>934.6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100+(813.7-154.8)+(-0.051+(-0.414987--0.078948))+0-0-0</f>
        <v>758.51296100000013</v>
      </c>
      <c r="G217" s="3">
        <f>100+(835.6-193.2)+(-0.153+(-1.278468--0.295596))+0-0-0</f>
        <v>741.26412800000014</v>
      </c>
      <c r="H217" s="3">
        <f>100+(835.6-165.5)+(-0.204+(-1.704624--0.33762))+0-0-0</f>
        <v>768.52899600000001</v>
      </c>
      <c r="I217" s="3">
        <f>47+(806.5-133.6)+(-0.04794+(-0.82263--0.136272))+0-0-0</f>
        <v>719.16570200000001</v>
      </c>
      <c r="J217" s="3">
        <f>47+(802.2-124.1)+(0.07191+(1.227366-0.189873))+0-0-0</f>
        <v>726.20940300000007</v>
      </c>
      <c r="K217" s="3">
        <f>47+(781.1-98.4)+(-0.09588+(-1.593444--0.200736))+0-0-0</f>
        <v>728.211412</v>
      </c>
      <c r="L217" s="3">
        <f>62+(808.5-102.8)+(0+(0-0))+0-0-0</f>
        <v>767.7</v>
      </c>
      <c r="M217" s="3">
        <f>79.5+(840.8-118.8)+(0+(0-0))+0-0-0</f>
        <v>801.5</v>
      </c>
      <c r="N217" s="3">
        <f>123.8+(1010.7-266.9)+(0.126276+(1.030914-0.272238))+0-0-0</f>
        <v>868.48495200000002</v>
      </c>
      <c r="O217" s="3">
        <f>124+(1091.5-317.3)+(0.06324+(0.556665-0.161823))+0-0-0</f>
        <v>898.65808200000004</v>
      </c>
      <c r="P217" s="3">
        <f>213.2+(959.2-256.7)+(-0.217464+(-0.978384--0.261834))+0-0-0</f>
        <v>914.765986</v>
      </c>
      <c r="Q217" s="3">
        <f>287.6+(842.3-143.8)+(-0.440028+(-1.288719--0.220014))+0-0-0</f>
        <v>984.59126700000002</v>
      </c>
      <c r="R217" s="3">
        <f>286.9+(775.7-144.5)+(-0.877914+(-2.373642--0.44217))+0-0-0</f>
        <v>915.29061400000001</v>
      </c>
      <c r="S217" s="3">
        <f>291.7+(856.8-254.7)+(0+(0-0))+0-0-0</f>
        <v>893.8</v>
      </c>
      <c r="T217" s="3">
        <f>359.4+(778.3-230.2)+(-0.183294+(-0.396933--0.117402))+0-0-0</f>
        <v>907.03717499999993</v>
      </c>
      <c r="U217" s="3">
        <f>364.6+(755.9-228.6)+(0+(0-0))+0-0-0</f>
        <v>891.9</v>
      </c>
      <c r="V217" s="3">
        <f>307.2+(785.4-219.4)+(-0.626688+(-1.602216--0.447576))+0-0-0</f>
        <v>871.41867200000002</v>
      </c>
      <c r="W217" s="3">
        <f>142.8+(895.2-171.9)+(-0.145656+(-0.913104--0.175338))+0-0-0</f>
        <v>865.21657800000014</v>
      </c>
      <c r="X217" s="3">
        <f>290+(864.2-214.6)+(-0.1479+(-0.440742--0.109446))+0-0-0</f>
        <v>939.12080400000002</v>
      </c>
      <c r="Y217" s="3">
        <f>359.3+(818-256.3)+(-0.366486+(-0.83436--0.261426))+0-0-0</f>
        <v>920.06057999999996</v>
      </c>
      <c r="Z217" s="3">
        <f>357.2+(839.3-302.4)+(-0.91086+(-2.140215--0.77112))+0-0-0</f>
        <v>891.82004499999994</v>
      </c>
      <c r="AA217" s="3">
        <f>356.5+(848-312)+(-0.72726+(-1.72992--0.63648))+0-0-0</f>
        <v>890.67930000000001</v>
      </c>
      <c r="AB217" s="3">
        <f>357.3+(816.4-272.6)+(-0.546669+(-1.249092--0.417078))+0-0-0</f>
        <v>899.72131699999989</v>
      </c>
      <c r="AC217" s="3">
        <f>358.6+(795.3-324.6)+(-0.365772+(-0.811206--0.331092))+0-0-0</f>
        <v>828.454114</v>
      </c>
      <c r="AD217" s="2">
        <v>932.5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210.9+(837.3-279.3)+(-0.107559+(-0.427023--0.142443))+0-0-0</f>
        <v>768.50786099999993</v>
      </c>
      <c r="G218" s="3">
        <f>140.2+(870.5-264.7)+(0.071502+(0.443955-0.134997))+0-0-0</f>
        <v>746.38045999999997</v>
      </c>
      <c r="H218" s="3">
        <f>140+(887.2-300.5)+(0+(0-0))+0-0-0</f>
        <v>726.7</v>
      </c>
      <c r="I218" s="3">
        <f>136.9+(897-303.7)+(0.279276+(1.82988-0.619548))+0-0-0</f>
        <v>731.68960799999991</v>
      </c>
      <c r="J218" s="3">
        <f>135.1+(891.9-292.9)+(0.068901+(0.454869-0.149379))+0-0-0</f>
        <v>734.47439099999997</v>
      </c>
      <c r="K218" s="3">
        <f>135.1+(873.6-276.5)+(0.137802+(0.891072-0.28203))+0-0-0</f>
        <v>732.94684400000006</v>
      </c>
      <c r="L218" s="3">
        <f>135.2+(842.9-231.6)+(-0.137904+(-0.859758--0.236232))+0-0-0</f>
        <v>745.73856999999998</v>
      </c>
      <c r="M218" s="3">
        <f>135.4+(799.2-141.5)+(0.34527+(2.03796-0.360825))+0-0-0</f>
        <v>795.12240500000007</v>
      </c>
      <c r="N218" s="3">
        <f>282.9+(649.9-78.3)+(-0.288558+(-0.662898--0.079866))+0-0-0</f>
        <v>853.62841000000003</v>
      </c>
      <c r="O218" s="3">
        <f>290+(665.8-52.9)+(-0.1479+(-0.339558--0.026979))+0-0-0</f>
        <v>902.43952100000001</v>
      </c>
      <c r="P218" s="3">
        <f>295.8+(612.1-10.4)+(0+(0-0))+0-0-0</f>
        <v>897.5</v>
      </c>
      <c r="Q218" s="3">
        <f>328.4+(595.8-12.3)+(0.167484+(0.303858-0.006273))+0-0-0</f>
        <v>912.36506899999995</v>
      </c>
      <c r="R218" s="3">
        <f>265.6+(614-19)+(-0.270912+(-0.62628--0.01938))+0-0-0</f>
        <v>859.72218800000007</v>
      </c>
      <c r="S218" s="3">
        <f>265.6+(625.8-38.5)+(-0.270912+(-0.638316--0.03927))+0-0-0</f>
        <v>852.03004199999998</v>
      </c>
      <c r="T218" s="3">
        <f>303+(595.5-28)+(0.30906+(0.60741-0.02856))+0-0-0</f>
        <v>871.38791000000003</v>
      </c>
      <c r="U218" s="3">
        <f>302+(589.3-21.7)+(-0.46206+(-0.901629--0.033201))+0-0-0</f>
        <v>868.26951199999996</v>
      </c>
      <c r="V218" s="3">
        <f>300+(584.2-42.2)+(-0.306+(-0.595884--0.043044))+0-0-0</f>
        <v>841.14116000000001</v>
      </c>
      <c r="W218" s="3">
        <f>322+(639.9-72.5)+(0+(0-0))+0-0-0</f>
        <v>889.4</v>
      </c>
      <c r="X218" s="3">
        <f>364+(731.9-151.3)+(-0.74256+(-1.493076--0.308652))+0-0-0</f>
        <v>942.67301599999996</v>
      </c>
      <c r="Y218" s="3">
        <f>364+(712.9-144.4)+(-0.9282+(-1.817895--0.36822))+0-0-0</f>
        <v>930.12212499999998</v>
      </c>
      <c r="Z218" s="3">
        <f>371+(726.6-188.7)+(-0.18921+(-0.370566--0.096237))+0-0-0</f>
        <v>908.43646100000012</v>
      </c>
      <c r="AA218" s="3">
        <f>364.5+(731.3-217.3)+(-0.74358+(-1.491852--0.443292))+0-0-0</f>
        <v>876.70785999999998</v>
      </c>
      <c r="AB218" s="3">
        <f>350+(663.4-218)+(-0.1785+(-0.338334--0.11118))+0-0-0</f>
        <v>794.99434599999995</v>
      </c>
      <c r="AC218" s="3">
        <f>341.4+(634-174.4)+(-1.044684+(-1.94004--0.533664))+0-0-0</f>
        <v>798.54894000000002</v>
      </c>
      <c r="AD218" s="2">
        <v>924.09999999999991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367.3+(614.8-210.7)+(-0.374646+(-0.627096--0.214914))+0-0-0</f>
        <v>770.61317199999996</v>
      </c>
      <c r="G219" s="3">
        <f>316.2+(665.7-230.3)+(-0.161262+(-0.339507--0.117453))+0-0-0</f>
        <v>751.21668399999999</v>
      </c>
      <c r="H219" s="3">
        <f>209.3+(749.5-231)+(0+(0-0))+0-0-0</f>
        <v>727.8</v>
      </c>
      <c r="I219" s="3">
        <f>210.9+(779.8-266.6)+(0.322677+(1.193094-0.407898))+0-0-0</f>
        <v>725.20787299999995</v>
      </c>
      <c r="J219" s="3">
        <f>209.4+(784.4-264)+(-0.213588+(-0.800088--0.26928))+0-0-0</f>
        <v>729.0556039999999</v>
      </c>
      <c r="K219" s="3">
        <f>209.8+(763.8-250.2)+(-0.106998+(-0.389538--0.127602))+0-0-0</f>
        <v>723.0310659999999</v>
      </c>
      <c r="L219" s="3">
        <f>208.1+(759.9-224.6)+(-0.318393+(-1.162647--0.343638))+0-0-0</f>
        <v>742.26259800000003</v>
      </c>
      <c r="M219" s="3">
        <f>218.5+(774-199.4)+(0.22287+(0.78948-0.203388))+0-0-0</f>
        <v>793.90896199999997</v>
      </c>
      <c r="N219" s="3">
        <f>302.6+(750.2-199.5)+(0+(0-0))+0-0-0</f>
        <v>853.30000000000007</v>
      </c>
      <c r="O219" s="3">
        <f>302.6+(790.7-203.1)+(-0.308652+(-0.806514--0.207162))+0-0-0</f>
        <v>889.29199600000004</v>
      </c>
      <c r="P219" s="3">
        <f>224.5+(864.8-186.3)+(0+(0-0))+0-0-0</f>
        <v>903</v>
      </c>
      <c r="Q219" s="3">
        <f>201.7+(1034.8-319.7)+(-0.308601+(-1.583244--0.489141))+0-0-0</f>
        <v>915.39729599999998</v>
      </c>
      <c r="R219" s="3">
        <f>201.7+(1020.1-326.4)+(-0.411468+(-2.081004--0.665856))+0-0-0</f>
        <v>893.57338400000015</v>
      </c>
      <c r="S219" s="3">
        <f>201.7+(979.4-308.3)+(0.205734+(0.998988-0.314466))+0-0-0</f>
        <v>873.69025599999998</v>
      </c>
      <c r="T219" s="3">
        <f>205.1+(942-269)+(-0.104601+(-0.48042--0.13719))+0-0-0</f>
        <v>877.65216900000007</v>
      </c>
      <c r="U219" s="3">
        <f>201.7+(927.9-272)+(-0.205734+(-0.946458--0.27744))+0-0-0</f>
        <v>856.72524799999997</v>
      </c>
      <c r="V219" s="3">
        <f>201.7+(932.6-272.9)+(0+(0-0))+0-0-0</f>
        <v>861.40000000000009</v>
      </c>
      <c r="W219" s="3">
        <f>219.8+(924.6-237.1)+(-0.224196+(-0.943092--0.241842))+0-0-0</f>
        <v>906.37455399999999</v>
      </c>
      <c r="X219" s="3">
        <f>241.2+(950.2-240.9)+(-0.492048+(-1.938408--0.491436))+0-0-0</f>
        <v>948.56097999999997</v>
      </c>
      <c r="Y219" s="3">
        <f>227.6+(911-210.4)+(0+(0-0))+0-0-0</f>
        <v>928.2</v>
      </c>
      <c r="Z219" s="3">
        <f>201.7+(905.4-197.5)+(-0.205734+(-0.923508--0.20145))+0-0-0</f>
        <v>908.67220799999996</v>
      </c>
      <c r="AA219" s="3">
        <f>201.7+(927.5-243.3)+(-0.308601+(-1.419075--0.372249))+0-0-0</f>
        <v>884.54457300000013</v>
      </c>
      <c r="AB219" s="3">
        <f>201.6+(849.2-195.7)+(-0.51408+(-2.16546--0.499035))+0-0-0</f>
        <v>852.91949499999998</v>
      </c>
      <c r="AC219" s="3">
        <f>201.7+(857.3-246.5)+(-0.205734+(-0.874446--0.25143))+0-0-0</f>
        <v>811.67124999999999</v>
      </c>
      <c r="AD219" s="2">
        <v>949.2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201.7+(863.6-297.5)+(-0.411468+(-1.761744--0.6069))+0-0-0</f>
        <v>766.23368799999992</v>
      </c>
      <c r="G220" s="3">
        <f>201.5+(837.1-291.8)+(-0.20553+(-0.853842--0.297636))+0-0-0</f>
        <v>746.03826399999991</v>
      </c>
      <c r="H220" s="3">
        <f>201.7+(841.2-313.3)+(0.205734+(0.858024-0.319566))+0-0-0</f>
        <v>730.34419200000013</v>
      </c>
      <c r="I220" s="3">
        <f>201.7+(779.6-258.1)+(-0.514335+(-1.98798--0.658155))+0-0-0</f>
        <v>721.35584000000006</v>
      </c>
      <c r="J220" s="3">
        <f>161.8+(710.1-157.3)+(-0.41259+(-1.810755--0.401115))+0-0-0</f>
        <v>712.77776999999992</v>
      </c>
      <c r="K220" s="3">
        <f>90.1+(745.2-128.2)+(-0.137853+(-1.140156--0.196146))+0-0-0</f>
        <v>706.01813700000002</v>
      </c>
      <c r="L220" s="3">
        <f>90.1+(701.2-83.7)+(-0.137853+(-1.072836--0.128061))+0-0-0</f>
        <v>706.51737200000002</v>
      </c>
      <c r="M220" s="3">
        <f>123.5+(677.1-65.1)+(0.188955+(1.035963-0.099603))+0-0-0</f>
        <v>736.625315</v>
      </c>
      <c r="N220" s="3">
        <f>201.6+(795.8-202.2)+(-0.102816+(-0.405858--0.103122))+0-0-0</f>
        <v>794.79444799999999</v>
      </c>
      <c r="O220" s="3">
        <f>201.7+(828.3-182.9)+(-0.205734+(-0.844866--0.186558))+0-0-0</f>
        <v>846.23595799999987</v>
      </c>
      <c r="P220" s="3">
        <f>207+(816.7-158.6)+(-0.10557+(-0.416517--0.080886))+0-0-0</f>
        <v>864.65879900000004</v>
      </c>
      <c r="Q220" s="3">
        <f>211.7+(783.5-124.6)+(-0.323901+(-1.198755--0.190638))+0-0-0</f>
        <v>869.26798199999996</v>
      </c>
      <c r="R220" s="3">
        <f>204.7+(755.4-109.9)+(-0.417588+(-1.541016--0.224196))+0-0-0</f>
        <v>848.46559200000002</v>
      </c>
      <c r="S220" s="3">
        <f>201.7+(760.3-122.9)+(-0.102867+(-0.387753--0.062679))+0-0-0</f>
        <v>838.67205899999988</v>
      </c>
      <c r="T220" s="3">
        <f>201.7+(782.9-155.8)+(-0.308601+(-1.197837--0.238374))+0-0-0</f>
        <v>827.53193599999997</v>
      </c>
      <c r="U220" s="3">
        <f>201.7+(811.4-187.8)+(-0.205734+(-0.827628--0.191556))+0-0-0</f>
        <v>824.45819399999993</v>
      </c>
      <c r="V220" s="3">
        <f>201.7+(789.8-176.8)+(0+(0-0))+0-0-0</f>
        <v>814.7</v>
      </c>
      <c r="W220" s="3">
        <f>201.7+(824.6-172.4)+(-0.205734+(-0.841092--0.175848))+0-0-0</f>
        <v>853.02902200000005</v>
      </c>
      <c r="X220" s="3">
        <f>212.2+(854.3-184.1)+(-0.108222+(-0.435693--0.093891))+0-0-0</f>
        <v>881.94997599999988</v>
      </c>
      <c r="Y220" s="3">
        <f>220.9+(776.9-130.1)+(-0.450636+(-1.584876--0.265404))+0-0-0</f>
        <v>865.92989199999988</v>
      </c>
      <c r="Z220" s="3">
        <f>201.7+(783.7-140.7)+(-0.205734+(-0.799374--0.143514))+0-0-0</f>
        <v>843.83840600000008</v>
      </c>
      <c r="AA220" s="3">
        <f>201.7+(789.1-177.6)+(-0.308601+(-1.207323--0.271728))+0-0-0</f>
        <v>811.95580400000006</v>
      </c>
      <c r="AB220" s="3">
        <f>201.7+(833.9-230.6)+(-0.308601+(-1.275867--0.352818))+0-0-0</f>
        <v>803.76835000000005</v>
      </c>
      <c r="AC220" s="3">
        <f>201.7+(818.4-245)+(-0.411468+(-1.669536--0.4998))+0-0-0</f>
        <v>773.51879599999995</v>
      </c>
      <c r="AD220" s="2">
        <v>870.60000000000014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201.7+(796.5-268.6)+(-0.308601+(-1.218645--0.410958))+0-0-0</f>
        <v>728.48371199999985</v>
      </c>
      <c r="G221" s="3">
        <f>201.7+(753.8-253.6)+(-0.514335+(-1.92219--0.64668))+0-0-0</f>
        <v>700.11015499999985</v>
      </c>
      <c r="H221" s="3">
        <f>201.7+(728.8-251.2)+(0+(0-0))+0-0-0</f>
        <v>679.3</v>
      </c>
      <c r="I221" s="3">
        <f>201.7+(706.4-232.3)+(-0.514335+(-1.80132--0.592365))+0-0-0</f>
        <v>674.07670999999993</v>
      </c>
      <c r="J221" s="3">
        <f>201.7+(702.7-243.1)+(0.102867+(0.358377-0.123981))+0-0-0</f>
        <v>661.63726299999996</v>
      </c>
      <c r="K221" s="3">
        <f>201.7+(657.6-198.4)+(0+(0-0))+0-0-0</f>
        <v>660.90000000000009</v>
      </c>
      <c r="L221" s="3">
        <f>166.9+(668-194.8)+(-0.170238+(-0.68136--0.198696))+0-0-0</f>
        <v>639.44709799999998</v>
      </c>
      <c r="M221" s="3">
        <f>94+(712.2-187.3)+(-0.09588+(-0.726444--0.191046))+0-0-0</f>
        <v>618.26872200000014</v>
      </c>
      <c r="N221" s="3">
        <f>94.5+(689.8-141.1)+(0.09639+(0.703596-0.143922))+0-0-0</f>
        <v>643.85606399999995</v>
      </c>
      <c r="O221" s="3">
        <f>113.8+(691.7-138)+(0.058038+(0.352767-0.07038))+0-0-0</f>
        <v>667.84042499999998</v>
      </c>
      <c r="P221" s="3">
        <f>242.8+(641.7-201.4)+(-0.495312+(-1.309068--0.410856))+0-0-0</f>
        <v>681.70647600000018</v>
      </c>
      <c r="Q221" s="3">
        <f>241.8+(659.9-216.1)+(-0.123318+(-0.336549--0.110211))+0-0-0</f>
        <v>685.25034399999993</v>
      </c>
      <c r="R221" s="3">
        <f>241+(614-178.3)+(-0.36873+(-0.93942--0.272799))+0-0-0</f>
        <v>675.66464900000005</v>
      </c>
      <c r="S221" s="3">
        <f>240.8+(596.7-176.3)+(-0.491232+(-1.217268--0.359652))+0-0-0</f>
        <v>659.85115200000007</v>
      </c>
      <c r="T221" s="3">
        <f>240.3+(566.5-150.3)+(-0.490212+(-1.15566--0.306612))+0-0-0</f>
        <v>655.16074000000003</v>
      </c>
      <c r="U221" s="3">
        <f>230.9+(551.9-128.8)+(-0.235518+(-0.562938--0.131376))+0-0-0</f>
        <v>653.33291999999994</v>
      </c>
      <c r="V221" s="3">
        <f>93.5+(595.1-28.9)+(-0.047685+(-0.303501--0.014739))+0-0-0</f>
        <v>659.36355300000002</v>
      </c>
      <c r="W221" s="3">
        <f>125.4+(595.5-9.1)+(-0.191862+(-0.911115--0.013923))+0-0-0</f>
        <v>710.71094599999992</v>
      </c>
      <c r="X221" s="3">
        <f>239+(565.8-45.3)+(-0.12189+(-0.288558--0.023103))+0-0-0</f>
        <v>759.11265500000002</v>
      </c>
      <c r="Y221" s="3">
        <f>239.4+(560.6-36.9)+(-0.488376+(-1.143624--0.075276))+0-0-0</f>
        <v>761.54327599999999</v>
      </c>
      <c r="Z221" s="3">
        <f>241.1+(573.7-69.5)+(0+(0-0))+0-0-0</f>
        <v>745.30000000000007</v>
      </c>
      <c r="AA221" s="3">
        <f>240.7+(609.7-113.9)+(0+(0-0))+0-0-0</f>
        <v>736.5</v>
      </c>
      <c r="AB221" s="3">
        <f>241+(659.8-177.4)+(-0.12291+(-0.336498--0.090474))+0-0-0</f>
        <v>723.03106600000001</v>
      </c>
      <c r="AC221" s="3">
        <f>162.5+(733.4-204.9)+(-0.248625+(-1.122102--0.313497))+0-0-0</f>
        <v>689.94277</v>
      </c>
      <c r="AD221" s="2">
        <v>771.1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111.8+(758.1-212.7)+(-0.114036+(-0.773262--0.216954))+0-0-0</f>
        <v>656.52965600000005</v>
      </c>
      <c r="G222" s="3">
        <f>79.7+(733.9-176.9)+(-0.081294+(-0.748578--0.180438))+0-0-0</f>
        <v>636.050566</v>
      </c>
      <c r="H222" s="3">
        <f>80.2+(673.8-130.8)+(0.040902+(0.343638-0.066708))+0-0-0</f>
        <v>623.517832</v>
      </c>
      <c r="I222" s="3">
        <f>79.2+(678.3-134.4)+(-0.121176+(-1.037799--0.205632))+0-0-0</f>
        <v>622.146657</v>
      </c>
      <c r="J222" s="3">
        <f>80+(676-136.5)+(-0.0408+(-0.34476--0.069615))+0-0-0</f>
        <v>619.18405499999994</v>
      </c>
      <c r="K222" s="3">
        <f>79.3+(649.4-100.1)+(-0.161772+(-1.324776--0.204204))+0-0-0</f>
        <v>627.31765599999994</v>
      </c>
      <c r="L222" s="3">
        <f>87.6+(632-57.9)+(-0.044676+(-0.32232--0.029529))+0-0-0</f>
        <v>661.3625330000001</v>
      </c>
      <c r="M222" s="3">
        <f>125+(692-95.1)+(0+(0-0))+0-0-0</f>
        <v>721.9</v>
      </c>
      <c r="N222" s="3">
        <f>120.7+(829.5-146.1)+(0+(0-0))+0-0-0</f>
        <v>804.1</v>
      </c>
      <c r="O222" s="3">
        <f>66.2+(974.3-181.8)+(-0.135048+(-1.987572--0.370872))+0-0-0</f>
        <v>856.94825200000002</v>
      </c>
      <c r="P222" s="3">
        <f>59.3+(969.2-141.5)+(0.120972+(1.977168-0.28866))+0-0-0</f>
        <v>888.80948000000001</v>
      </c>
      <c r="Q222" s="3">
        <f>240.2+(819.1-170)+(0.122502+(0.417741-0.0867))+0-0-0</f>
        <v>889.75354299999992</v>
      </c>
      <c r="R222" s="3">
        <f>253.1+(798.8-170.4)+(-0.645405+(-2.03694--0.43452))+0-0-0</f>
        <v>879.25217499999997</v>
      </c>
      <c r="S222" s="3">
        <f>175.7+(856.8-166.1)+(0.179214+(0.873936-0.169422))+0-0-0</f>
        <v>867.28372799999988</v>
      </c>
      <c r="T222" s="3">
        <f>175.1+(858.1-177.7)+(0+(0-0))+0-0-0</f>
        <v>855.50000000000011</v>
      </c>
      <c r="U222" s="3">
        <f>174.8+(835-165.1)+(-0.178296+(-0.8517--0.168402))+0-0-0</f>
        <v>843.83840600000008</v>
      </c>
      <c r="V222" s="3">
        <f>175.6+(759.3-103.5)+(0.179112+(0.774486-0.10557))+0-0-0</f>
        <v>832.24802799999998</v>
      </c>
      <c r="W222" s="3">
        <f>215.5+(713.2-57.5)+(-0.329715+(-1.091196--0.087975))+0-0-0</f>
        <v>869.86706400000003</v>
      </c>
      <c r="X222" s="3">
        <f>259.3+(749.5-87.3)+(-0.661215+(-1.911225--0.222615))+0-0-0</f>
        <v>919.15017499999999</v>
      </c>
      <c r="Y222" s="3">
        <f>258.2+(709.8-64.2)+(-0.65841+(-1.80999--0.16371))+0-0-0</f>
        <v>901.4953099999999</v>
      </c>
      <c r="Z222" s="3">
        <f>257+(675-55.6)+(-0.39321+(-1.03275--0.085068))+0-0-0</f>
        <v>875.05910799999992</v>
      </c>
      <c r="AA222" s="3">
        <f>215.2+(695.8-59.9)+(-0.329256+(-1.064574--0.091647))+0-0-0</f>
        <v>849.7978169999999</v>
      </c>
      <c r="AB222" s="3">
        <f>149.4+(752.7-80.8)+(-0.152388+(-0.767754--0.082416))+0-0-0</f>
        <v>820.46227400000009</v>
      </c>
      <c r="AC222" s="3">
        <f>149+(745.7-113.1)+(-0.15198+(-0.760614--0.115362))+0-0-0</f>
        <v>780.80276800000001</v>
      </c>
      <c r="AD222" s="2">
        <v>919.1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147.8+(727.1-124.8)+(0+(0-0))+0-0-0</f>
        <v>750.10000000000014</v>
      </c>
      <c r="G223" s="3">
        <f>148.9+(732.5-157.2)+(-0.227817+(-1.120725--0.240516))+0-0-0</f>
        <v>723.09197399999994</v>
      </c>
      <c r="H223" s="3">
        <f>148.8+(737.8-174.4)+(-0.37944+(-1.88139--0.44472))+0-0-0</f>
        <v>710.38389000000006</v>
      </c>
      <c r="I223" s="3">
        <f>150.1+(734.8-172.6)+(0.076551+(0.374748-0.088026))+0-0-0</f>
        <v>712.663273</v>
      </c>
      <c r="J223" s="3">
        <f>150.1+(726.1-166.2)+(0+(0-0))+0-0-0</f>
        <v>710.00000000000011</v>
      </c>
      <c r="K223" s="3">
        <f>150.7+(680.4-123.8)+(0+(0-0))+0-0-0</f>
        <v>707.3</v>
      </c>
      <c r="L223" s="3">
        <f>149.9+(663.5-95.2)+(0+(0-0))+0-0-0</f>
        <v>718.19999999999993</v>
      </c>
      <c r="M223" s="3">
        <f>217.2+(642.3-104.4)+(-0.221544+(-0.655146--0.106488))+0-0-0</f>
        <v>754.32979799999987</v>
      </c>
      <c r="N223" s="3">
        <f>256.2+(680.9-120.6)+(0.130662+(0.347259-0.061506))+0-0-0</f>
        <v>816.91641500000003</v>
      </c>
      <c r="O223" s="3">
        <f>254+(814.3-211.3)+(-0.51816+(-1.661172--0.431052))+0-0-0</f>
        <v>855.25171999999998</v>
      </c>
      <c r="P223" s="3">
        <f>251.8+(810.6-200.6)+(0+(0-0))+0-0-0</f>
        <v>861.8</v>
      </c>
      <c r="Q223" s="3">
        <f>248.9+(811.9-194)+(-0.634695+(-2.070345--0.4947))+0-0-0</f>
        <v>864.58965999999998</v>
      </c>
      <c r="R223" s="3">
        <f>243.4+(787.7-177.7)+(-0.372402+(-1.205181--0.271881))+0-0-0</f>
        <v>852.09429799999998</v>
      </c>
      <c r="S223" s="3">
        <f>230.2+(805.3-191)+(0.117402+(0.410703-0.09741))+0-0-0</f>
        <v>844.93069500000001</v>
      </c>
      <c r="T223" s="3">
        <f>212.8+(833.6-203)+(-0.217056+(-0.850272--0.20706))+0-0-0</f>
        <v>842.53973200000007</v>
      </c>
      <c r="U223" s="3">
        <f>140.4+(916.3-209.9)+(-0.071604+(-0.467313--0.107049))+0-0-0</f>
        <v>846.36813199999995</v>
      </c>
      <c r="V223" s="3">
        <f>176.8+(876.4-218.1)+(0.180336+(0.893928-0.222462))+0-0-0</f>
        <v>835.95180199999993</v>
      </c>
      <c r="W223" s="3">
        <f>248.3+(747.8-115.3)+(0+(0-0))+0-0-0</f>
        <v>880.8</v>
      </c>
      <c r="X223" s="3">
        <f>247.5+(744.6-83.4)+(-0.25245+(-0.759492--0.085068))+0-0-0</f>
        <v>907.77312600000005</v>
      </c>
      <c r="Y223" s="3">
        <f>248.5+(724.1-81.6)+(-0.380205+(-1.107873--0.124848))+0-0-0</f>
        <v>889.63676999999996</v>
      </c>
      <c r="Z223" s="3">
        <f>249.6+(734.1-98.1)+(-0.381888+(-1.123173--0.150093))+0-0-0</f>
        <v>884.24503200000004</v>
      </c>
      <c r="AA223" s="3">
        <f>250+(719-107.2)+(-0.255+(-0.73338--0.109344))+0-0-0</f>
        <v>860.92096399999991</v>
      </c>
      <c r="AB223" s="3">
        <f>249.1+(726-146.4)+(-0.381123+(-1.11078--0.223992))+0-0-0</f>
        <v>827.43208900000002</v>
      </c>
      <c r="AC223" s="3">
        <f>248.5+(685.9-135.6)+(-0.633675+(-1.749045--0.34578))+0-0-0</f>
        <v>796.76306</v>
      </c>
      <c r="AD223" s="2">
        <v>894.4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189.3+(668.3-100.3)+(-0.096543+(-0.340833--0.051153))+0-0-0</f>
        <v>756.91377699999998</v>
      </c>
      <c r="G224" s="3">
        <f>90.4+(707-67.8)+(0+(0-0))+0-0-0</f>
        <v>729.6</v>
      </c>
      <c r="H224" s="3">
        <f>90+(727.9-90.9)+(0.1377+(1.113687-0.139077))+0-0-0</f>
        <v>728.11230999999998</v>
      </c>
      <c r="I224" s="3">
        <f>90+(690.8-77.9)+(0.0918+(0.704616-0.079458))+0-0-0</f>
        <v>703.61695799999995</v>
      </c>
      <c r="J224" s="3">
        <f>90.1+(671.7-61)+(0.091902+(0.685134-0.06222))+0-0-0</f>
        <v>701.51481600000011</v>
      </c>
      <c r="K224" s="3">
        <f>90+(676.5-52.9)+(-0.0459+(-0.345015--0.026979))+0-0-0</f>
        <v>713.23606400000006</v>
      </c>
      <c r="L224" s="3">
        <f>90.1+(720.4-78.8)+(-0.045951+(-0.367404--0.040188))+0-0-0</f>
        <v>731.32683300000008</v>
      </c>
      <c r="M224" s="3">
        <f>90+(883-197.7)+(-0.1836+(-1.80132--0.403308))+0-0-0</f>
        <v>773.718388</v>
      </c>
      <c r="N224" s="3">
        <f>90+(1031.8-280.3)+(0.1377+(1.578654-0.428859))+0-0-0</f>
        <v>842.78749500000004</v>
      </c>
      <c r="O224" s="3">
        <f>146.3+(1073-289.8)+(-0.298452+(-2.18892--0.591192))+0-0-0</f>
        <v>927.60382000000004</v>
      </c>
      <c r="P224" s="3">
        <f>248.2+(1036-399.6)+(0+(0-0))+0-0-0</f>
        <v>884.59999999999991</v>
      </c>
      <c r="Q224" s="3">
        <f>248.1+(977.8-332.5)+(-0.126531+(-0.498678--0.169575))+0-0-0</f>
        <v>892.94436599999995</v>
      </c>
      <c r="R224" s="3">
        <f>246.3+(924.7-301.3)+(-0.502452+(-1.886388--0.614652))+0-0-0</f>
        <v>867.92581200000006</v>
      </c>
      <c r="S224" s="3">
        <f>201.9+(902.1-245.9)+(-0.205938+(-0.920142--0.250818))+0-0-0</f>
        <v>857.224738</v>
      </c>
      <c r="T224" s="3">
        <f>201.5+(934.7-277.5)+(-0.102765+(-0.476697--0.141525))+0-0-0</f>
        <v>858.26206300000001</v>
      </c>
      <c r="U224" s="3">
        <f>201.6+(934.3-284.9)+(-0.308448+(-1.429479--0.435897))+0-0-0</f>
        <v>849.69797000000005</v>
      </c>
      <c r="V224" s="3">
        <f>204.2+(836.6-193.3)+(-0.728994+(-2.986662--0.690081))+0-0-0</f>
        <v>844.474425</v>
      </c>
      <c r="W224" s="3">
        <f>355.8+(671.9-135.7)+(-0.362916+(-0.685338--0.138414))+0-0-0</f>
        <v>891.09015999999997</v>
      </c>
      <c r="X224" s="3">
        <f>369+(768.5-198.7)+(-0.94095+(-1.959675--0.506685))+0-0-0</f>
        <v>936.40605999999991</v>
      </c>
      <c r="Y224" s="3">
        <f>302.6+(811.3-193.8)+(-0.154326+(-0.413763--0.098838))+0-0-0</f>
        <v>919.63074900000004</v>
      </c>
      <c r="Z224" s="3">
        <f>301.7+(758.7-163.2)+(-1.077069+(-2.708559--0.582624))+0-0-0</f>
        <v>893.99699600000008</v>
      </c>
      <c r="AA224" s="3">
        <f>302.6+(707.4-136.6)+(-0.617304+(-1.443096--0.278664))+0-0-0</f>
        <v>871.61826399999995</v>
      </c>
      <c r="AB224" s="3">
        <f>265+(760.4-184.7)+(-0.67575+(-1.93902--0.470985))+0-0-0</f>
        <v>838.55621500000007</v>
      </c>
      <c r="AC224" s="3">
        <f>194.9+(698.9-90.9)+(-0.496995+(-1.782195--0.231795))+0-0-0</f>
        <v>800.85260499999993</v>
      </c>
      <c r="AD224" s="2">
        <v>923.90000000000009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223.6+(750.7-201.1)+(-0.456144+(-1.531428--0.410244))+0-0-0</f>
        <v>771.62267200000008</v>
      </c>
      <c r="G225" s="3">
        <f>191.1+(713.1-164.8)+(-0.389844+(-1.454724--0.336192))+0-0-0</f>
        <v>737.89162399999998</v>
      </c>
      <c r="H225" s="3">
        <f>181.7+(666.1-132.7)+(-0.185334+(-0.679422--0.135354))+0-0-0</f>
        <v>714.37059800000009</v>
      </c>
      <c r="I225" s="3">
        <f>182.5+(656.3-135.8)+(-0.18615+(-0.669426--0.138516))+0-0-0</f>
        <v>702.28294000000005</v>
      </c>
      <c r="J225" s="3">
        <f>241.5+(676.8-204.7)+(0.24633+(0.690336-0.208794))+0-0-0</f>
        <v>714.32787199999996</v>
      </c>
      <c r="K225" s="3">
        <f>265.8+(670.3-211.8)+(0.271116+(0.683706-0.216036))+0-0-0</f>
        <v>725.03878599999996</v>
      </c>
      <c r="L225" s="3">
        <f>265.4+(682-207.5)+(0+(0-0))+0-0-0</f>
        <v>739.9</v>
      </c>
      <c r="M225" s="3">
        <f>265.5+(647.9-149.2)+(0.27081+(0.660858-0.152184))+0-0-0</f>
        <v>764.97948400000007</v>
      </c>
      <c r="N225" s="3">
        <f>259.8+(600.6-52.7)+(-0.397494+(-0.918918--0.080631))+0-0-0</f>
        <v>806.46421900000007</v>
      </c>
      <c r="O225" s="3">
        <f>234.9+(714.2-115.6)+(0.359397+(1.092726-0.176868))+0-0-0</f>
        <v>834.77525500000002</v>
      </c>
      <c r="P225" s="3">
        <f>233.7+(792.3-146.8)+(-0.119187+(-0.404073--0.074868))+0-0-0</f>
        <v>878.75160800000003</v>
      </c>
      <c r="Q225" s="3">
        <f>232.4+(796.1-170.9)+(0+(0-0))+0-0-0</f>
        <v>857.6</v>
      </c>
      <c r="R225" s="3">
        <f>216.4+(806.6-172)+(-0.331092+(-1.234098--0.26316))+0-0-0</f>
        <v>849.69797000000005</v>
      </c>
      <c r="S225" s="3">
        <f>184.8+(796-147.7)+(0+(0-0))+0-0-0</f>
        <v>833.09999999999991</v>
      </c>
      <c r="T225" s="3">
        <f>184.2+(767.5-115.8)+(-0.187884+(-0.78285--0.118116))+0-0-0</f>
        <v>835.04738200000008</v>
      </c>
      <c r="U225" s="3">
        <f>184.6+(784-103)+(-0.282438+(-1.19952--0.15759))+0-0-0</f>
        <v>864.27563199999997</v>
      </c>
      <c r="V225" s="3">
        <f>196.3+(687.7-71.6)+(-0.200226+(-0.701454--0.073032))+0-0-0</f>
        <v>811.57135200000005</v>
      </c>
      <c r="W225" s="3">
        <f>221.5+(830.9-121.4)+(0.22593+(0.847518-0.123828))+0-0-0</f>
        <v>931.94961999999998</v>
      </c>
      <c r="X225" s="3">
        <f>304.6+(790.5-174.3)+(-0.310692+(-0.80631--0.177786))+0-0-0</f>
        <v>919.86078400000008</v>
      </c>
      <c r="Y225" s="3">
        <f>350.1+(742.2-184.7)+(-0.892755+(-1.89261--0.470985))+0-0-0</f>
        <v>905.28561999999999</v>
      </c>
      <c r="Z225" s="3">
        <f>183.6+(867.7-159.9)+(0.187272+(0.885054-0.163098))+0-0-0</f>
        <v>892.30922800000008</v>
      </c>
      <c r="AA225" s="3">
        <f>166.5+(833.8-133.1)+(-0.424575+(-2.12619--0.339405))+0-0-0</f>
        <v>864.98863999999992</v>
      </c>
      <c r="AB225" s="3">
        <f>176.2+(870.1-208.2)+(-0.089862+(-0.443751--0.106182))+0-0-0</f>
        <v>837.67256900000018</v>
      </c>
      <c r="AC225" s="3">
        <f>139.1+(803.7-153.7)+(-0.070941+(-0.409887--0.078387))+0-0-0</f>
        <v>788.69755900000007</v>
      </c>
      <c r="AD225" s="2">
        <v>907.59999999999991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118.8+(765.5-124)+(-0.30294+(-1.952025--0.3162))+0-0-0</f>
        <v>758.36123499999997</v>
      </c>
      <c r="G226" s="3">
        <f>174.1+(701.3-132.4)+(-0.088791+(-0.357663--0.067524))+0-0-0</f>
        <v>742.62107000000003</v>
      </c>
      <c r="H226" s="3">
        <f>174.8+(702.9-150.2)+(-0.356592+(-1.433916--0.306408))+0-0-0</f>
        <v>726.01589999999999</v>
      </c>
      <c r="I226" s="3">
        <f>175+(680.8-146)+(-0.1785+(-0.694416--0.14892))+0-0-0</f>
        <v>709.0760039999999</v>
      </c>
      <c r="J226" s="3">
        <f>174.6+(647.2-107.8)+(0.44523+(1.65036-0.27489))+0-0-0</f>
        <v>715.8207000000001</v>
      </c>
      <c r="K226" s="3">
        <f>175.4+(645.7-96.8)+(0.178908+(0.658614-0.098736))+0-0-0</f>
        <v>725.03878600000007</v>
      </c>
      <c r="L226" s="3">
        <f>222.4+(644.2-130.8)+(-0.113424+(-0.328542--0.066708))+0-0-0</f>
        <v>735.42474200000004</v>
      </c>
      <c r="M226" s="3">
        <f>231.8+(733.5-195.2)+(-0.354654+(-1.122255--0.298656))+0-0-0</f>
        <v>768.92174699999987</v>
      </c>
      <c r="N226" s="3">
        <f>230.8+(738.5-141.8)+(-0.58854+(-1.883175--0.36159))+0-0-0</f>
        <v>825.38987499999996</v>
      </c>
      <c r="O226" s="3">
        <f>232.8+(770.2-137.6)+(0.356184+(1.178406-0.210528))+0-0-0</f>
        <v>866.72406200000012</v>
      </c>
      <c r="P226" s="3">
        <f>231.2+(781.6-148.1)+(0.235824+(0.797232-0.151062))+0-0-0</f>
        <v>865.58199400000001</v>
      </c>
      <c r="Q226" s="3">
        <f>229.8+(779-138.1)+(0+(0-0))+0-0-0</f>
        <v>870.7</v>
      </c>
      <c r="R226" s="3">
        <f>226.6+(760.1-127.1)+(-0.346698+(-1.162953--0.194463))+0-0-0</f>
        <v>858.28481199999999</v>
      </c>
      <c r="S226" s="3">
        <f>168.5+(774.3-91.5)+(-0.34374+(-1.579572--0.18666))+0-0-0</f>
        <v>849.56334799999991</v>
      </c>
      <c r="T226" s="3">
        <f>136.4+(783.7-84.5)+(-0.069564+(-0.399687--0.043095))+0-0-0</f>
        <v>835.17384400000003</v>
      </c>
      <c r="U226" s="3">
        <f>145.2+(741.4-65.7)+(-0.37026+(-1.89057--0.167535))+0-0-0</f>
        <v>818.80670499999985</v>
      </c>
      <c r="V226" s="3">
        <f>235.3+(701-65.3)+(-0.480012+(-1.43004--0.133212))+0-0-0</f>
        <v>869.22316000000001</v>
      </c>
      <c r="W226" s="3">
        <f>265.5+(769.8-187.3)+(-0.135405+(-0.392598--0.095523))+0-0-0</f>
        <v>847.56751999999994</v>
      </c>
      <c r="X226" s="3">
        <f>252+(850.1-199.7)+(-0.25704+(-0.867102--0.203694))+0-0-0</f>
        <v>901.47955200000013</v>
      </c>
      <c r="Y226" s="3">
        <f>249.9+(816.4-160.8)+(-0.764694+(-2.498184--0.492048))+0-0-0</f>
        <v>902.72916999999984</v>
      </c>
      <c r="Z226" s="3">
        <f>193.8+(818.3-116.7)+(-0.593028+(-2.503998--0.357102))+0-0-0</f>
        <v>892.66007599999989</v>
      </c>
      <c r="AA226" s="3">
        <f>175.5+(805-59.2)+(-0.089505+(-0.41055--0.030192))+0-0-0</f>
        <v>920.83013699999992</v>
      </c>
      <c r="AB226" s="3">
        <f>175.4+(760.2-136.6)+(-0.357816+(-1.550808--0.278664))+0-0-0</f>
        <v>797.37004000000002</v>
      </c>
      <c r="AC226" s="3">
        <f>159.4+(776.6-139.2)+(-0.325176+(-1.584264--0.283968))+0-0-0</f>
        <v>795.17452800000012</v>
      </c>
      <c r="AD226" s="2">
        <v>924.8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107+(777.5-223.9)+(-0.05457+(-0.396525--0.114189))+0-0-0</f>
        <v>660.26309400000002</v>
      </c>
      <c r="G227" s="3">
        <f>104.8+(764.6-178.7)+(0+(0-0))+0-0-0</f>
        <v>690.7</v>
      </c>
      <c r="H227" s="3">
        <f>103+(747.6-167.3)+(0.10506+(0.762552-0.170646))+0-0-0</f>
        <v>683.99696599999993</v>
      </c>
      <c r="I227" s="3">
        <f>102.9+(764.6-157.6)+(0.209916+(1.559784-0.321504))+0-0-0</f>
        <v>711.34819600000003</v>
      </c>
      <c r="J227" s="3">
        <f>103+(758-152.1)+(0+(0-0))+0-0-0</f>
        <v>708.9</v>
      </c>
      <c r="K227" s="3">
        <f>103+(738.9-132.7)+(0.15759+(1.130517-0.203031))+0-0-0</f>
        <v>710.285076</v>
      </c>
      <c r="L227" s="3">
        <f>103+(771.4-160.9)+(-0.26265+(-1.96707--0.410295))+0-0-0</f>
        <v>711.68057499999998</v>
      </c>
      <c r="M227" s="3">
        <f>127.4+(828.9-223.8)+(0.129948+(0.845478-0.228276))+0-0-0</f>
        <v>733.24714999999992</v>
      </c>
      <c r="N227" s="3">
        <f>202.5+(843.4-256.3)+(0+(0-0))+0-0-0</f>
        <v>789.59999999999991</v>
      </c>
      <c r="O227" s="3">
        <f>201.7+(874.3-249.1)+(0+(0-0))+0-0-0</f>
        <v>826.89999999999986</v>
      </c>
      <c r="P227" s="3">
        <f>201.7+(903.9-260.1)+(0.102867+(0.460989-0.132651))+0-0-0</f>
        <v>845.93120499999998</v>
      </c>
      <c r="Q227" s="3">
        <f>201.7+(863.7-226.3)+(-0.308601+(-1.321461--0.346239))+0-0-0</f>
        <v>837.81617700000015</v>
      </c>
      <c r="R227" s="3">
        <f>201.7+(833.8-208.8)+(-0.514335+(-2.12619--0.53244))+0-0-0</f>
        <v>824.59191500000009</v>
      </c>
      <c r="S227" s="3">
        <f>201.7+(779.8-180.7)+(-0.308601+(-1.193094--0.276471))+0-0-0</f>
        <v>799.57477599999993</v>
      </c>
      <c r="T227" s="3">
        <f>166.1+(779.4-160.5)+(0.338844+(1.589976-0.32742))+0-0-0</f>
        <v>786.60140000000001</v>
      </c>
      <c r="U227" s="3">
        <f>104+(806.7-134.9)+(-0.15912+(-1.234251--0.206397))+0-0-0</f>
        <v>774.6130260000001</v>
      </c>
      <c r="V227" s="3">
        <f>117.4+(783.5-120.9)+(0.179622+(1.198755-0.184977))+0-0-0</f>
        <v>781.1934</v>
      </c>
      <c r="W227" s="3">
        <f>250.3+(720.3-134.8)+(-0.127653+(-0.367353--0.068748))+0-0-0</f>
        <v>835.37374199999999</v>
      </c>
      <c r="X227" s="3">
        <f>249.5+(834.2-218.1)+(-0.50898+(-1.701768--0.444924))+0-0-0</f>
        <v>863.83417600000007</v>
      </c>
      <c r="Y227" s="3">
        <f>250.3+(862.9-267.1)+(0.127653+(0.440079-0.136221))+0-0-0</f>
        <v>846.53151099999991</v>
      </c>
      <c r="Z227" s="3">
        <f>248.9+(811.9-234.3)+(-0.380817+(-1.242207--0.358479))+0-0-0</f>
        <v>825.23545499999989</v>
      </c>
      <c r="AA227" s="3">
        <f>250.1+(748.5-195.6)+(-0.510204+(-1.52694--0.399024))+0-0-0</f>
        <v>801.36188000000004</v>
      </c>
      <c r="AB227" s="3">
        <f>237+(833.8-276.7)+(-0.24174+(-0.850476--0.282234))+0-0-0</f>
        <v>793.29001799999992</v>
      </c>
      <c r="AC227" s="3">
        <f>69.6+(880-185.2)+(-0.106488+(-1.3464--0.283356))+0-0-0</f>
        <v>763.23046799999997</v>
      </c>
      <c r="AD227" s="2">
        <v>880.69999999999993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43.6+(845-157.1)+(-0.11118+(-2.15475--0.400605))+0-0-0</f>
        <v>729.63467500000002</v>
      </c>
      <c r="G228" s="3">
        <f>0+(798.8-98)+(0+(0-0))+0-0-0</f>
        <v>700.8</v>
      </c>
      <c r="H228" s="3">
        <f>0+(794.2-111.5)+(0+(-2.02521--0.284325))+0-0-0</f>
        <v>680.959115</v>
      </c>
      <c r="I228" s="3">
        <f>0+(769.9-94.7)+(0+(-1.177947--0.144891))+0-0-0</f>
        <v>674.16694399999994</v>
      </c>
      <c r="J228" s="3">
        <f>0+(766.7-95.7)+(0+(0-0))+0-0-0</f>
        <v>671</v>
      </c>
      <c r="K228" s="3">
        <f>0+(768.3-99.3)+(0+(0.783666-0.101286))+0-0-0</f>
        <v>669.68237999999997</v>
      </c>
      <c r="L228" s="3">
        <f>0+(754.2-106.7)+(0+(-2.692494--0.380919))+0-0-0</f>
        <v>645.18842500000005</v>
      </c>
      <c r="M228" s="3">
        <f>0+(767.1-134)+(0+(-1.173663--0.20502))+0-0-0</f>
        <v>632.13135699999998</v>
      </c>
      <c r="N228" s="3">
        <f>0+(860.6-201.4)+(0+(0-0))+0-0-0</f>
        <v>659.2</v>
      </c>
      <c r="O228" s="3">
        <f>0+(930.6-227)+(0+(0.949212-0.23154))+0-0-0</f>
        <v>704.31767200000002</v>
      </c>
      <c r="P228" s="3">
        <f>0+(1004-277.8)+(0+(-1.53612--0.425034))+0-0-0</f>
        <v>725.08891400000005</v>
      </c>
      <c r="Q228" s="3">
        <f>0+(993.5-261.3)+(0+(0.506685-0.133263))+0-0-0</f>
        <v>732.57342200000005</v>
      </c>
      <c r="R228" s="3">
        <f>0+(877.4-164)+(0+(-1.342422--0.25092))+0-0-0</f>
        <v>712.30849799999999</v>
      </c>
      <c r="S228" s="3">
        <f>0+(872-171.5)+(0+(-0.44472--0.087465))+0-0-0</f>
        <v>700.14274499999999</v>
      </c>
      <c r="T228" s="3">
        <f>0+(878.1-184.7)+(0+(-1.791324--0.376788))+0-0-0</f>
        <v>691.98546400000009</v>
      </c>
      <c r="U228" s="3">
        <f>0+(863.3-171.5)+(0+(-0.880566--0.17493))+0-0-0</f>
        <v>691.09436399999993</v>
      </c>
      <c r="V228" s="3">
        <f>0+(794.7-93.2)+(0+(0-0))+0-0-0</f>
        <v>701.5</v>
      </c>
      <c r="W228" s="3">
        <f>0+(820.7-57.8)+(0+(-0.418557--0.029478))+0-0-0</f>
        <v>762.51092100000005</v>
      </c>
      <c r="X228" s="3">
        <f>0+(857.5-59.1)+(0+(-2.186625--0.150705))+0-0-0</f>
        <v>796.36407999999994</v>
      </c>
      <c r="Y228" s="3">
        <f>0+(890.4-114.2)+(0+(-1.816416--0.232968))+0-0-0</f>
        <v>774.61655199999996</v>
      </c>
      <c r="Z228" s="3">
        <f>0+(878.1-100.1)+(0+(-0.895662--0.102102))+0-0-0</f>
        <v>777.20644000000004</v>
      </c>
      <c r="AA228" s="3">
        <f>0+(886-129.5)+(0+(-0.90372--0.13209))+0-0-0</f>
        <v>755.72837000000004</v>
      </c>
      <c r="AB228" s="3">
        <f>0+(937.4-197)+(0+(-2.39037--0.50235))+0-0-0</f>
        <v>738.51197999999999</v>
      </c>
      <c r="AC228" s="3">
        <f>0+(923.9-202.6)+(0+(-2.827134--0.619956))+0-0-0</f>
        <v>719.09282199999996</v>
      </c>
      <c r="AD228" s="2">
        <v>806.7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0+(786.9-110.6)+(0+(1.203957-0.169218))+0-0-0</f>
        <v>677.3347389999999</v>
      </c>
      <c r="G229" s="3">
        <f>0+(760-113.6)+(0+(-1.5504--0.231744))+0-0-0</f>
        <v>645.08134399999994</v>
      </c>
      <c r="H229" s="3">
        <f>0+(728.1-95.1)+(0+(0.371331-0.048501))+0-0-0</f>
        <v>633.32282999999995</v>
      </c>
      <c r="I229" s="3">
        <f>0+(733.2-100.5)+(0+(1.86966-0.256275))+0-0-0</f>
        <v>634.31338500000004</v>
      </c>
      <c r="J229" s="3">
        <f>0+(722.8-89.5)+(0+(-0.368628--0.045645))+0-0-0</f>
        <v>632.97701699999993</v>
      </c>
      <c r="K229" s="3">
        <f>0+(708.3-72.7)+(0+(-0.361233--0.037077))+0-0-0</f>
        <v>635.27584399999989</v>
      </c>
      <c r="L229" s="3">
        <f>0+(719.8-101)+(0+(-1.468392--0.20604))+0-0-0</f>
        <v>617.53764799999999</v>
      </c>
      <c r="M229" s="3">
        <f>0+(728.9-110.6)+(0+(0.371739-0.056406))+0-0-0</f>
        <v>618.61533299999996</v>
      </c>
      <c r="N229" s="3">
        <f>0+(906.9-253.1)+(0+(0-0))+0-0-0</f>
        <v>653.79999999999995</v>
      </c>
      <c r="O229" s="3">
        <f>0+(1017.1-327.4)+(0+(-0.518721--0.166974))+0-0-0</f>
        <v>689.348253</v>
      </c>
      <c r="P229" s="3">
        <f>0+(1000.8-295.9)+(0+(-2.041632--0.603636))+0-0-0</f>
        <v>703.46200399999998</v>
      </c>
      <c r="Q229" s="3">
        <f>21.1+(960.4-269.4)+(0.021522+(0.979608-0.274788))+0-0-0</f>
        <v>712.82634200000007</v>
      </c>
      <c r="R229" s="3">
        <f>64.7+(904-266.4)+(-0.065994+(-0.92208--0.271728))+0-0-0</f>
        <v>701.58365400000002</v>
      </c>
      <c r="S229" s="3">
        <f>98+(845-256.1)+(-0.14994+(-1.29285--0.391833))+0-0-0</f>
        <v>685.84904299999994</v>
      </c>
      <c r="T229" s="3">
        <f>0+(908.5-222.2)+(0+(0.463335-0.113322))+0-0-0</f>
        <v>686.65001299999994</v>
      </c>
      <c r="U229" s="3">
        <f>0+(867.3-182.6)+(0+(0.442323-0.093126))+0-0-0</f>
        <v>685.04919699999994</v>
      </c>
      <c r="V229" s="3">
        <f>0+(875.2-193.4)+(0+(-0.892704--0.197268))+0-0-0</f>
        <v>681.1045640000001</v>
      </c>
      <c r="W229" s="3">
        <f>0+(936.6-182.7)+(0+(-0.477666--0.093177))+0-0-0</f>
        <v>753.51551100000006</v>
      </c>
      <c r="X229" s="3">
        <f>0+(985.5-188.5)+(0+(-1.507815--0.288405))+0-0-0</f>
        <v>795.78058999999996</v>
      </c>
      <c r="Y229" s="3">
        <f>0+(961.1-175.3)+(0+(-0.980322--0.178806))+0-0-0</f>
        <v>784.99848399999996</v>
      </c>
      <c r="Z229" s="3">
        <f>0+(965.1-195.5)+(0+(-1.476603--0.299115))+0-0-0</f>
        <v>768.42251199999998</v>
      </c>
      <c r="AA229" s="3">
        <f>0+(926.8-171.2)+(0+(-0.472668--0.087312))+0-0-0</f>
        <v>755.21464399999991</v>
      </c>
      <c r="AB229" s="3">
        <f>0+(919.4-181.3)+(0+(-1.406682--0.277389))+0-0-0</f>
        <v>736.97070699999995</v>
      </c>
      <c r="AC229" s="3">
        <f>0+(874.3-170.4)+(0+(-0.891786--0.173808))+0-0-0</f>
        <v>703.18202199999996</v>
      </c>
      <c r="AD229" s="2">
        <v>787.3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0+(823.2-151.9)+(0+(0-0))+0-0-0</f>
        <v>671.30000000000007</v>
      </c>
      <c r="G230" s="3">
        <f>0+(721.1-67.6)+(0+(-0.735522--0.068952))+0-0-0</f>
        <v>652.83343000000002</v>
      </c>
      <c r="H230" s="3">
        <f>0+(680.2-40)+(0+(-0.693804--0.0408))+0-0-0</f>
        <v>639.54699600000004</v>
      </c>
      <c r="I230" s="3">
        <f>0+(679.9-37.8)+(0+(-1.040247--0.057834))+0-0-0</f>
        <v>641.11758700000007</v>
      </c>
      <c r="J230" s="3">
        <f>0+(680.1-32.5)+(0+(0.693702-0.03315))+0-0-0</f>
        <v>648.26055200000008</v>
      </c>
      <c r="K230" s="3">
        <f>0+(684.8-33.8)+(0+(0.349248-0.017238))+0-0-0</f>
        <v>651.33200999999997</v>
      </c>
      <c r="L230" s="3">
        <f>0+(775.3-81.5)+(0+(-1.186209--0.124695))+0-0-0</f>
        <v>692.73848599999997</v>
      </c>
      <c r="M230" s="3">
        <f>0+(842.7-88.5)+(0+(0.859554-0.09027))+0-0-0</f>
        <v>754.96928400000002</v>
      </c>
      <c r="N230" s="3">
        <f>0+(966.5-134)+(0+(-0.492915--0.06834))+0-0-0</f>
        <v>832.075425</v>
      </c>
      <c r="O230" s="3">
        <f>0+(1019.8-155.9)+(0+(3.120588-0.477054))+0-0-0</f>
        <v>866.54353400000002</v>
      </c>
      <c r="P230" s="3">
        <f>0+(1037-162.3)+(0+(-0.52887--0.082773))+0-0-0</f>
        <v>874.25390300000004</v>
      </c>
      <c r="Q230" s="3">
        <f>0+(1006.5-109.6)+(0+(1.02663-0.111792))+0-0-0</f>
        <v>897.81483800000001</v>
      </c>
      <c r="R230" s="3">
        <f>0+(1001.8-126.5)+(0+(-1.021836--0.12903))+0-0-0</f>
        <v>874.407194</v>
      </c>
      <c r="S230" s="3">
        <f>0+(983.4-122.6)+(0+(-1.003068--0.125052))+0-0-0</f>
        <v>859.92198399999995</v>
      </c>
      <c r="T230" s="3">
        <f>0+(960.5-105.5)+(0+(0.489855-0.053805))+0-0-0</f>
        <v>855.43605000000002</v>
      </c>
      <c r="U230" s="3">
        <f>0+(987.5-122.8)+(0+(-2.0145--0.250512))+0-0-0</f>
        <v>862.93601200000001</v>
      </c>
      <c r="V230" s="3">
        <f>0+(1000.3-134.7)+(0+(0.510153-0.068697))+0-0-0</f>
        <v>866.04145599999993</v>
      </c>
      <c r="W230" s="3">
        <f>0+(1108.1-184.9)+(0+(0-0))+0-0-0</f>
        <v>923.19999999999993</v>
      </c>
      <c r="X230" s="3">
        <f>0+(1194.1-259.1)+(0+(-3.044955--0.660705))+0-0-0</f>
        <v>932.61574999999993</v>
      </c>
      <c r="Y230" s="3">
        <f>0+(1156.8-240.7)+(0+(-0.589968--0.122757))+0-0-0</f>
        <v>915.63278899999989</v>
      </c>
      <c r="Z230" s="3">
        <f>0+(1164-263.1)+(0+(-2.37456--0.536724))+0-0-0</f>
        <v>899.06216399999994</v>
      </c>
      <c r="AA230" s="3">
        <f>0+(1169.8-297)+(0+(-3.579588--0.90882))+0-0-0</f>
        <v>870.129232</v>
      </c>
      <c r="AB230" s="3">
        <f>0+(1149.9-311)+(0+(-2.932245--0.79305))+0-0-0</f>
        <v>836.76080500000012</v>
      </c>
      <c r="AC230" s="3">
        <f>0+(988.3-184.5)+(0+(-2.016132--0.37638))+0-0-0</f>
        <v>802.16024799999991</v>
      </c>
      <c r="AD230" s="2">
        <v>936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0+(941.4-176.2)+(0+(0-0))+0-0-0</f>
        <v>765.2</v>
      </c>
      <c r="G231" s="3">
        <f>0+(943.2-194.6)+(0+(-1.924128--0.396984))+0-0-0</f>
        <v>747.072856</v>
      </c>
      <c r="H231" s="3">
        <f>0+(857.9-122.2)+(0+(-0.437529--0.062322))+0-0-0</f>
        <v>735.32479299999989</v>
      </c>
      <c r="I231" s="3">
        <f>0+(813.7-84.6)+(0+(0-0))+0-0-0</f>
        <v>729.1</v>
      </c>
      <c r="J231" s="3">
        <f>0+(791.5-63.4)+(0+(0.403665-0.032334))+0-0-0</f>
        <v>728.47133100000008</v>
      </c>
      <c r="K231" s="3">
        <f>0+(807.1-70.8)+(0+(-0.411621--0.036108))+0-0-0</f>
        <v>735.92448700000011</v>
      </c>
      <c r="L231" s="3">
        <f>0+(905.3-151.7)+(0+(-0.461703--0.077367))+0-0-0</f>
        <v>753.21566399999995</v>
      </c>
      <c r="M231" s="3">
        <f>0+(1003.5-209.5)+(0+(0-0))+0-0-0</f>
        <v>794</v>
      </c>
      <c r="N231" s="3">
        <f>0+(1073.9-224.1)+(0+(-0.547689--0.114291))+0-0-0</f>
        <v>849.36660200000006</v>
      </c>
      <c r="O231" s="3">
        <f>0+(1153.6-261.3)+(0+(0.588336-0.133263))+0-0-0</f>
        <v>892.75507299999992</v>
      </c>
      <c r="P231" s="3">
        <f>0+(1113.1-217.3)+(0+(0-0))+0-0-0</f>
        <v>895.8</v>
      </c>
      <c r="Q231" s="3">
        <f>0+(1044.8-149.3)+(0+(-0.532848--0.076143))+0-0-0</f>
        <v>895.04329499999994</v>
      </c>
      <c r="R231" s="3">
        <f>38.2+(1023.8-188.1)+(-0.077928+(-2.088552--0.383724))+0-0-0</f>
        <v>872.11724400000003</v>
      </c>
      <c r="S231" s="3">
        <f>70.1+(1002.3-245.1)+(-0.107253+(-1.533519--0.375003))+0-0-0</f>
        <v>826.03423099999998</v>
      </c>
      <c r="T231" s="3">
        <f>70.1+(984.2-245.7)+(-0.071502+(-1.003884--0.250614))+0-0-0</f>
        <v>807.77522799999997</v>
      </c>
      <c r="U231" s="3">
        <f>70.1+(970.3-233.4)+(-0.107253+(-1.484559--0.357102))+0-0-0</f>
        <v>805.76529000000005</v>
      </c>
      <c r="V231" s="3">
        <f>110.3+(903.5-163.3)+(0.112506+(0.92157-0.166566))+0-0-0</f>
        <v>851.36751000000004</v>
      </c>
      <c r="W231" s="3">
        <f>153.6+(985.7-223.7)+(-0.156672+(-1.005414--0.228174))+0-0-0</f>
        <v>914.66608800000006</v>
      </c>
      <c r="X231" s="3">
        <f>133.4+(1084.2-281.1)+(-0.34017+(-2.76471--0.716805))+0-0-0</f>
        <v>934.11192500000004</v>
      </c>
      <c r="Y231" s="3">
        <f>130.9+(1012.5-217.6)+(-0.133518+(-1.03275--0.221952))+0-0-0</f>
        <v>924.855684</v>
      </c>
      <c r="Z231" s="3">
        <f>130+(1025.6-249.5)+(0.0663+(0.523056-0.127245))+0-0-0</f>
        <v>906.56211099999996</v>
      </c>
      <c r="AA231" s="3">
        <f>129.6+(982.7-229.5)+(-0.132192+(-1.002354--0.23409))+0-0-0</f>
        <v>881.89954400000011</v>
      </c>
      <c r="AB231" s="3">
        <f>129.7+(999.5-282.1)+(-0.066147+(-0.509745--0.143871))+0-0-0</f>
        <v>846.66797899999995</v>
      </c>
      <c r="AC231" s="3">
        <f>63.2+(991.9-251.5)+(-0.096696+(-1.517607--0.384795))+0-0-0</f>
        <v>802.37049200000001</v>
      </c>
      <c r="AD231" s="2">
        <v>938.09999999999991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50+(904.6-191.1)+(-0.102+(-1.845384--0.389844))+0-0-0</f>
        <v>761.94245999999998</v>
      </c>
      <c r="G232" s="3">
        <f>50+(855.9-165.1)+(-0.102+(-1.746036--0.336804))+0-0-0</f>
        <v>739.288768</v>
      </c>
      <c r="H232" s="3">
        <f>49.9+(891.5-203.5)+(0+(0-0))+0-0-0</f>
        <v>737.9</v>
      </c>
      <c r="I232" s="3">
        <f>50+(891.5-206.4)+(-0.0255+(-0.454665--0.105264))+0-0-0</f>
        <v>734.725099</v>
      </c>
      <c r="J232" s="3">
        <f>50+(855.7-186.8)+(0+(0-0))+0-0-0</f>
        <v>718.90000000000009</v>
      </c>
      <c r="K232" s="3">
        <f>71.7+(890.4-234)+(0.036567+(0.454104-0.11934))+0-0-0</f>
        <v>728.47133100000008</v>
      </c>
      <c r="L232" s="3">
        <f>79+(953.8-273.8)+(-0.16116+(-1.945752--0.558552))+0-0-0</f>
        <v>757.45164</v>
      </c>
      <c r="M232" s="3">
        <f>100.7+(1039.6-354.4)+(-0.154071+(-1.590588--0.542232))+0-0-0</f>
        <v>784.69757300000003</v>
      </c>
      <c r="N232" s="3">
        <f>100.7+(1136.6-376.3)+(-0.154071+(-1.738998--0.575739))+0-0-0</f>
        <v>859.68267000000003</v>
      </c>
      <c r="O232" s="3">
        <f>100.9+(1118.7-337.4)+(-0.051459+(-0.570537--0.172074))+0-0-0</f>
        <v>881.75007800000003</v>
      </c>
      <c r="P232" s="3">
        <f>100.9+(1083.9-301.6)+(0+(0-0))+0-0-0</f>
        <v>883.2</v>
      </c>
      <c r="Q232" s="3">
        <f>100.9+(1075.7-303.5)+(-0.102918+(-1.097214--0.30957))+0-0-0</f>
        <v>872.20943799999998</v>
      </c>
      <c r="R232" s="3">
        <f>100.7+(1080.7-309.2)+(-0.051357+(-0.551157--0.157692))+0-0-0</f>
        <v>871.755178</v>
      </c>
      <c r="S232" s="3">
        <f>100.9+(1090.5-334.2)+(0.205836+(2.22462-0.681768))+0-0-0</f>
        <v>858.94868799999995</v>
      </c>
      <c r="T232" s="3">
        <f>100.9+(1084.2-315.3)+(0.102918+(1.105884-0.321606))+0-0-0</f>
        <v>870.68719600000009</v>
      </c>
      <c r="U232" s="3">
        <f>100.9+(1073.4-329.4)+(-0.257295+(-2.73717--0.83997))+0-0-0</f>
        <v>842.74550500000009</v>
      </c>
      <c r="V232" s="3">
        <f>100.7+(1060.1-306.9)+(0.154071+(1.621953-0.469557))+0-0-0</f>
        <v>855.20646699999998</v>
      </c>
      <c r="W232" s="3">
        <f>175.6+(1075.9-330.5)+(-0.179112+(-1.097418--0.33711))+0-0-0</f>
        <v>920.06058000000007</v>
      </c>
      <c r="X232" s="3">
        <f>205.2+(1151.1-406.3)+(-0.418608+(-2.348244--0.828852))+0-0-0</f>
        <v>948.06200000000001</v>
      </c>
      <c r="Y232" s="3">
        <f>200.2+(1116.3-385.3)+(-0.612612+(-3.415878--1.179018))+0-0-0</f>
        <v>928.35052800000005</v>
      </c>
      <c r="Z232" s="3">
        <f>161+(1111.2-362.4)+(-0.49266+(-3.400272--1.108944))+0-0-0</f>
        <v>907.01601200000005</v>
      </c>
      <c r="AA232" s="3">
        <f>100.5+(1113.3-334.4)+(-0.153765+(-1.703349--0.511632))+0-0-0</f>
        <v>878.05451800000003</v>
      </c>
      <c r="AB232" s="3">
        <f>84.9+(1163.7-395.5)+(0+(0-0))+0-0-0</f>
        <v>853.1</v>
      </c>
      <c r="AC232" s="3">
        <f>79.4+(1025.8-299.6)+(-0.161976+(-2.092632--0.611184))+0-0-0</f>
        <v>803.95657599999993</v>
      </c>
      <c r="AD232" s="2">
        <v>948.69999999999993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78.3+(1016.4-316.3)+(-0.279531+(-3.628548--1.129191))+0-0-0</f>
        <v>775.62111199999981</v>
      </c>
      <c r="G233" s="3">
        <f>79+(908.6-235.2)+(-0.24174+(-2.780316--0.719712))+0-0-0</f>
        <v>750.09765600000014</v>
      </c>
      <c r="H233" s="3">
        <f>79+(870-207.2)+(-0.08058+(-0.8874--0.211344))+0-0-0</f>
        <v>741.043364</v>
      </c>
      <c r="I233" s="3">
        <f>80+(861.6-211.2)+(0+(0-0))+0-0-0</f>
        <v>730.40000000000009</v>
      </c>
      <c r="J233" s="3">
        <f>86.4+(876.4-227.5)+(0.088128+(0.893928-0.23205))+0-0-0</f>
        <v>736.05000599999994</v>
      </c>
      <c r="K233" s="3">
        <f>121.4+(836.9-222.8)+(-0.061914+(-0.426819--0.113628))+0-0-0</f>
        <v>735.12489499999992</v>
      </c>
      <c r="L233" s="3">
        <f>227+(807.2-282.9)+(-0.23154+(-0.823344--0.288558))+0-0-0</f>
        <v>750.53367400000002</v>
      </c>
      <c r="M233" s="3">
        <f>210.2+(877.9-311)+(-0.214404+(-0.895458--0.31722))+0-0-0</f>
        <v>776.30735799999991</v>
      </c>
      <c r="N233" s="3">
        <f>208.9+(968.9-353.7)+(-0.213078+(-0.988278--0.360774))+0-0-0</f>
        <v>823.25941799999998</v>
      </c>
      <c r="O233" s="3">
        <f>208.2+(1024.3-340.1)+(0.318546+(1.567179-0.520353))+0-0-0</f>
        <v>893.76537199999984</v>
      </c>
      <c r="P233" s="3">
        <f>206+(997.1-308.7)+(-0.42024+(-2.034084--0.629748))+0-0-0</f>
        <v>892.57542400000011</v>
      </c>
      <c r="Q233" s="3">
        <f>205+(1008.9-311.8)+(-0.4182+(-2.058156--0.636072))+0-0-0</f>
        <v>900.25971599999991</v>
      </c>
      <c r="R233" s="3">
        <f>203.7+(1002.3-325.4)+(-0.207774+(-1.022346--0.331908))+0-0-0</f>
        <v>879.70178799999996</v>
      </c>
      <c r="S233" s="3">
        <f>203.2+(987-328.2)+(-0.414528+(-2.01348--0.669528))+0-0-0</f>
        <v>860.24152000000004</v>
      </c>
      <c r="T233" s="3">
        <f>203.3+(1029.7-363.5)+(-0.207366+(-1.050294--0.37077))+0-0-0</f>
        <v>868.61311000000001</v>
      </c>
      <c r="U233" s="3">
        <f>202.7+(1048.8-397.6)+(-0.206754+(-1.069776--0.405552))+0-0-0</f>
        <v>853.02902199999983</v>
      </c>
      <c r="V233" s="3">
        <f>212.1+(1058-378.2)+(0.108171+(0.53958-0.192882))+0-0-0</f>
        <v>892.35486900000001</v>
      </c>
      <c r="W233" s="3">
        <f>254.4+(1032.5-399.4)+(0.259488+(1.05315-0.407388))+0-0-0</f>
        <v>888.40525000000002</v>
      </c>
      <c r="X233" s="3">
        <f>254+(1102.7-413.1)+(-0.38862+(-1.687131--0.632043))+0-0-0</f>
        <v>942.15629200000001</v>
      </c>
      <c r="Y233" s="3">
        <f>254.5+(1102.2-424.8)+(-0.648975+(-2.81061--1.08324))+0-0-0</f>
        <v>929.52365500000008</v>
      </c>
      <c r="Z233" s="3">
        <f>258.8+(1021.5-379.7)+(0.131988+(0.520965-0.193647))+0-0-0</f>
        <v>901.05930599999988</v>
      </c>
      <c r="AA233" s="3">
        <f>260+(993-376.2)+(-0.1326+(-0.50643--0.191862))+0-0-0</f>
        <v>876.35283199999992</v>
      </c>
      <c r="AB233" s="3">
        <f>238.8+(1003.7-401.3)+(-0.487152+(-2.047548--0.818652))+0-0-0</f>
        <v>839.48395200000004</v>
      </c>
      <c r="AC233" s="3">
        <f>170.8+(991.5-345.9)+(-0.261324+(-1.516995--0.529227))+0-0-0</f>
        <v>815.15090800000007</v>
      </c>
      <c r="AD233" s="2">
        <v>954.1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156+(906.4-293.7)+(-0.07956+(-0.462264--0.149787))+0-0-0</f>
        <v>768.30796300000009</v>
      </c>
      <c r="G234" s="3">
        <f>95.1+(867.2-221.9)+(-0.048501+(-0.442272--0.113169))+0-0-0</f>
        <v>740.02239600000007</v>
      </c>
      <c r="H234" s="3">
        <f>95.1+(791.5-162.7)+(-0.097002+(-0.80733--0.165954))+0-0-0</f>
        <v>723.16162199999997</v>
      </c>
      <c r="I234" s="3">
        <f>95+(773.7-153.9)+(-0.04845+(-0.394587--0.078489))+0-0-0</f>
        <v>714.43545200000005</v>
      </c>
      <c r="J234" s="3">
        <f>95.1+(758.2-135.9)+(-0.242505+(-1.93341--0.346545))+0-0-0</f>
        <v>715.57063000000005</v>
      </c>
      <c r="K234" s="3">
        <f>168.2+(699.3-153)+(0.171564+(0.713286-0.15606))+0-0-0</f>
        <v>715.22879</v>
      </c>
      <c r="L234" s="3">
        <f>180.3+(707.9-178.3)+(-0.551718+(-2.166174--0.545598))+0-0-0</f>
        <v>707.7277059999999</v>
      </c>
      <c r="M234" s="3">
        <f>181.2+(816.1-262)+(0+(0-0))+0-0-0</f>
        <v>735.3</v>
      </c>
      <c r="N234" s="3">
        <f>178.5+(915.4-299.2)+(-0.18207+(-0.933708--0.305184))+0-0-0</f>
        <v>793.88940600000001</v>
      </c>
      <c r="O234" s="3">
        <f>202.9+(934.7-304)+(0.103479+(0.476697-0.15504))+0-0-0</f>
        <v>834.02513599999997</v>
      </c>
      <c r="P234" s="3">
        <f>256+(848.8-252.4)+(-0.26112+(-0.865776--0.257448))+0-0-0</f>
        <v>851.53055199999994</v>
      </c>
      <c r="Q234" s="3">
        <f>254.4+(784-187.3)+(-0.259488+(-0.79968--0.191046))+0-0-0</f>
        <v>850.23187800000005</v>
      </c>
      <c r="R234" s="3">
        <f>217+(806.2-173.4)+(-0.55335+(-2.05581--0.44217))+0-0-0</f>
        <v>847.63301000000001</v>
      </c>
      <c r="S234" s="3">
        <f>163.7+(816.4-159.9)+(-0.166974+(-0.832728--0.163098))+0-0-0</f>
        <v>819.36339600000008</v>
      </c>
      <c r="T234" s="3">
        <f>97.3+(861.4-150.1)+(0+(0-0))+0-0-0</f>
        <v>808.59999999999991</v>
      </c>
      <c r="U234" s="3">
        <f>58.6+(903-158.1)+(-0.059772+(-0.92106--0.161262))+0-0-0</f>
        <v>802.68043</v>
      </c>
      <c r="V234" s="3">
        <f>50+(891.9-139.2)+(0+(0-0))+0-0-0</f>
        <v>802.7</v>
      </c>
      <c r="W234" s="3">
        <f>139.9+(837.5-128.9)+(0.071349+(0.427125-0.065739))+0-0-0</f>
        <v>848.93273499999998</v>
      </c>
      <c r="X234" s="3">
        <f>176+(863-166.4)+(-0.53856+(-2.64078--0.509184))+0-0-0</f>
        <v>869.929844</v>
      </c>
      <c r="Y234" s="3">
        <f>158.9+(869-167.7)+(-0.486234+(-2.65914--0.513162))+0-0-0</f>
        <v>857.56778799999995</v>
      </c>
      <c r="Z234" s="3">
        <f>80.8+(886.1-128.9)+(-0.123624+(-1.355733--0.197217))+0-0-0</f>
        <v>836.71785999999997</v>
      </c>
      <c r="AA234" s="3">
        <f>55.1+(841.7-75.4)+(-0.084303+(-1.287801--0.115362))+0-0-0</f>
        <v>820.14325800000006</v>
      </c>
      <c r="AB234" s="3">
        <f>55.1+(1003.6-254.8)+(-0.112404+(-2.047344--0.519792))+0-0-0</f>
        <v>802.26004399999999</v>
      </c>
      <c r="AC234" s="3">
        <f>55.1+(1088.2-357.7)+(-0.028101+(-0.554982--0.182427))+0-0-0</f>
        <v>785.199344</v>
      </c>
      <c r="AD234" s="2">
        <v>883.59999999999991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47.3+(1071.2-363.6)+(-0.120615+(-2.73156--0.92718))+0-0-0</f>
        <v>752.97500500000001</v>
      </c>
      <c r="G235" s="3">
        <f>0+(1011.9-287.8)+(0+(-1.032138--0.293556))+0-0-0</f>
        <v>723.36141799999996</v>
      </c>
      <c r="H235" s="3">
        <f>0+(962.2-252.7)+(0+(-1.472166--0.386631))+0-0-0</f>
        <v>708.41446499999995</v>
      </c>
      <c r="I235" s="3">
        <f>0+(985.4-281.7)+(0+(-0.502554--0.143667))+0-0-0</f>
        <v>703.34111300000006</v>
      </c>
      <c r="J235" s="3">
        <f>0+(939.6-242.3)+(0+(-0.479196--0.123573))+0-0-0</f>
        <v>696.94437699999992</v>
      </c>
      <c r="K235" s="3">
        <f>0+(891.9-204.6)+(0+(0.454869-0.104346))+0-0-0</f>
        <v>687.65052299999991</v>
      </c>
      <c r="L235" s="3">
        <f>0+(894.7-227)+(0+(-0.912594--0.23154))+0-0-0</f>
        <v>667.01894600000003</v>
      </c>
      <c r="M235" s="3">
        <f>0+(931.1-273.5)+(0+(0-0))+0-0-0</f>
        <v>657.6</v>
      </c>
      <c r="N235" s="3">
        <f>0+(978.8-285.9)+(0+(-0.499188--0.145809))+0-0-0</f>
        <v>692.54662099999996</v>
      </c>
      <c r="O235" s="3">
        <f>0+(985.9-265.7)+(0+(1.508427-0.406521))+0-0-0</f>
        <v>721.30190600000003</v>
      </c>
      <c r="P235" s="3">
        <f>0+(1056.1-315.5)+(0+(1.615833-0.482715))+0-0-0</f>
        <v>741.73311799999988</v>
      </c>
      <c r="Q235" s="3">
        <f>0+(1119.9-370.9)+(0+(-1.713447--0.567477))+0-0-0</f>
        <v>747.85403000000008</v>
      </c>
      <c r="R235" s="3">
        <f>0+(1118.7-376.8)+(0+(-2.852685--0.96084))+0-0-0</f>
        <v>740.0081550000001</v>
      </c>
      <c r="S235" s="3">
        <f>0+(1078.8-363.7)+(0+(-2.75094--0.927435))+0-0-0</f>
        <v>713.27649499999995</v>
      </c>
      <c r="T235" s="3">
        <f>0+(1053.8-346.6)+(0+(-2.68719--0.88383))+0-0-0</f>
        <v>705.39663999999993</v>
      </c>
      <c r="U235" s="3">
        <f>0+(1056.9-352)+(0+(-2.156076--0.71808))+0-0-0</f>
        <v>703.46200400000009</v>
      </c>
      <c r="V235" s="3">
        <f>0+(1064.8-359.1)+(0+(-1.629144--0.549423))+0-0-0</f>
        <v>704.62027899999998</v>
      </c>
      <c r="W235" s="3">
        <f>0+(1175.9-392.4)+(0+(-1.199418--0.400248))+0-0-0</f>
        <v>782.70083000000011</v>
      </c>
      <c r="X235" s="3">
        <f>0+(1240.4-422.3)+(0+(-2.530416--0.861492))+0-0-0</f>
        <v>816.43107600000019</v>
      </c>
      <c r="Y235" s="3">
        <f>0+(1216.8-409.3)+(0+(0-0))+0-0-0</f>
        <v>807.5</v>
      </c>
      <c r="Z235" s="3">
        <f>0+(1181.1-389.7)+(0+(-1.204722--0.397494))+0-0-0</f>
        <v>790.59277199999985</v>
      </c>
      <c r="AA235" s="3">
        <f>0+(1181.7-402.9)+(0+(-1.205334--0.410958))+0-0-0</f>
        <v>778.00562400000001</v>
      </c>
      <c r="AB235" s="3">
        <f>0+(1191.3-429)+(0+(-2.430252--0.87516))+0-0-0</f>
        <v>760.74490800000001</v>
      </c>
      <c r="AC235" s="3">
        <f>0+(1105.1-381)+(0+(-2.818005--0.97155))+0-0-0</f>
        <v>722.25354499999992</v>
      </c>
      <c r="AD235" s="2">
        <v>857.6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0+(936.1-249.1)+(0+(-0.954822--0.254082))+0-0-0</f>
        <v>686.29926</v>
      </c>
      <c r="G236" s="3">
        <f>0+(856.9-196.2)+(0+(-1.748076--0.400248))+0-0-0</f>
        <v>659.352172</v>
      </c>
      <c r="H236" s="3">
        <f>0+(810.3-158.7)+(0+(-0.413253--0.080937))+0-0-0</f>
        <v>651.26768399999992</v>
      </c>
      <c r="I236" s="3">
        <f>0+(756.3-105.9)+(0+(-1.542852--0.216036))+0-0-0</f>
        <v>649.07318399999997</v>
      </c>
      <c r="J236" s="3">
        <f>0+(711.6-58.9)+(0+(-1.81458--0.150195))+0-0-0</f>
        <v>651.03561500000001</v>
      </c>
      <c r="K236" s="3">
        <f>0+(714.4-51.1)+(0+(1.457376-0.104244))+0-0-0</f>
        <v>664.65313199999991</v>
      </c>
      <c r="L236" s="3">
        <f>0+(812-107.7)+(0+(-1.24236--0.164781))+0-0-0</f>
        <v>703.22242099999994</v>
      </c>
      <c r="M236" s="3">
        <f>0+(899.1-142.7)+(0+(-0.917082--0.145554))+0-0-0</f>
        <v>755.6284720000001</v>
      </c>
      <c r="N236" s="3">
        <f>0+(1031.7-198.7)+(0+(-1.578501--0.304011))+0-0-0</f>
        <v>831.72550999999999</v>
      </c>
      <c r="O236" s="3">
        <f>96.1+(1096.3-317.8)+(0+(0-0))+0-0-0</f>
        <v>874.6</v>
      </c>
      <c r="P236" s="3">
        <f>377.3+(906.8-394.1)+(0+(0-0))+0-0-0</f>
        <v>890</v>
      </c>
      <c r="Q236" s="3">
        <f>479.4+(844.3-420.2)+(-0.977976+(-1.722372--0.857208))+0-0-0</f>
        <v>901.65686000000005</v>
      </c>
      <c r="R236" s="3">
        <f>436+(848.9-373)+(-1.33416+(-2.597634--1.14138))+0-0-0</f>
        <v>909.10958599999992</v>
      </c>
      <c r="S236" s="3">
        <f>357.2+(834.8-319.1)+(-0.728688+(-1.702992--0.650964))+0-0-0</f>
        <v>871.11928399999988</v>
      </c>
      <c r="T236" s="3">
        <f>357.5+(805.6-305.9)+(-0.546975+(-1.232568--0.468027))+0-0-0</f>
        <v>855.88848400000006</v>
      </c>
      <c r="U236" s="3">
        <f>357.2+(797.4-297.8)+(-0.728688+(-1.626696--0.607512))+0-0-0</f>
        <v>855.05212799999993</v>
      </c>
      <c r="V236" s="3">
        <f>307.4+(807.3-223.2)+(-0.313548+(-0.823446--0.227664))+0-0-0</f>
        <v>890.59066999999993</v>
      </c>
      <c r="W236" s="3">
        <f>469.4+(698.1-252.6)+(-0.718182+(-1.068093--0.386478))+0-0-0</f>
        <v>913.50020299999994</v>
      </c>
      <c r="X236" s="3">
        <f>481.7+(667.3-206.3)+(-1.228335+(-1.701615--0.526065))+0-0-0</f>
        <v>940.29611499999999</v>
      </c>
      <c r="Y236" s="3">
        <f>489.2+(633.1-218.7)+(-0.748476+(-0.968643--0.334611))+0-0-0</f>
        <v>902.21749199999999</v>
      </c>
      <c r="Z236" s="3">
        <f>450.7+(628.3-180.6)+(-0.459714+(-0.640866--0.184212))+0-0-0</f>
        <v>897.48363199999983</v>
      </c>
      <c r="AA236" s="3">
        <f>309.5+(700.3-137.9)+(-0.789225+(-1.785765--0.351645))+0-0-0</f>
        <v>869.67665499999998</v>
      </c>
      <c r="AB236" s="3">
        <f>49.2+(932.7-132.3)+(0+(0-0))+0-0-0</f>
        <v>849.60000000000014</v>
      </c>
      <c r="AC236" s="3">
        <f>0+(865.8-73.7)+(0+(-2.20779--0.187935))+0-0-0</f>
        <v>790.0801449999999</v>
      </c>
      <c r="AD236" s="2">
        <v>939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0+(850.8-55.4)+(0+(-1.301724--0.084762))+0-0-0</f>
        <v>794.18303800000001</v>
      </c>
      <c r="G237" s="3">
        <f>0+(839.1-110.7)+(0+(-0.855882--0.112914))+0-0-0</f>
        <v>727.65703199999996</v>
      </c>
      <c r="H237" s="3">
        <f>0+(797.6-94)+(0+(-0.406776--0.04794))+0-0-0</f>
        <v>703.24116400000003</v>
      </c>
      <c r="I237" s="3">
        <f>0+(790.4-89.7)+(0+(0.403104-0.045747))+0-0-0</f>
        <v>701.05735699999991</v>
      </c>
      <c r="J237" s="3">
        <f>0+(778.8-74.9)+(0+(-0.397188--0.038199))+0-0-0</f>
        <v>703.54101100000003</v>
      </c>
      <c r="K237" s="3">
        <f>0+(793.9-78.2)+(0+(1.214667-0.119646))+0-0-0</f>
        <v>716.79502099999991</v>
      </c>
      <c r="L237" s="3">
        <f>0+(816.8-78.7)+(0+(-1.666272--0.160548))+0-0-0</f>
        <v>736.59427599999992</v>
      </c>
      <c r="M237" s="3">
        <f>0+(826.2-58.5)+(0+(0-0))+0-0-0</f>
        <v>767.7</v>
      </c>
      <c r="N237" s="3">
        <f>0+(914.6-84.7)+(0+(0.466446-0.043197))+0-0-0</f>
        <v>830.32324900000003</v>
      </c>
      <c r="O237" s="3">
        <f>0+(976.8-106.8)+(0+(1.992672-0.217872))+0-0-0</f>
        <v>871.77480000000003</v>
      </c>
      <c r="P237" s="3">
        <f>0+(971.6-81.8)+(0+(-0.495516--0.041718))+0-0-0</f>
        <v>889.34620200000006</v>
      </c>
      <c r="Q237" s="3">
        <f>0+(993.8-96.6)+(0+(-1.013676--0.098532))+0-0-0</f>
        <v>896.28485599999988</v>
      </c>
      <c r="R237" s="3">
        <f>0+(1004.1-115.1)+(0+(-0.512091--0.058701))+0-0-0</f>
        <v>888.54660999999999</v>
      </c>
      <c r="S237" s="3">
        <f>0+(978.3-116.7)+(0+(-0.997866--0.119034))+0-0-0</f>
        <v>860.72116799999992</v>
      </c>
      <c r="T237" s="3">
        <f>0+(940.5-86.1)+(0+(0.95931-0.087822))+0-0-0</f>
        <v>855.27148799999998</v>
      </c>
      <c r="U237" s="3">
        <f>0+(911.8-66.2)+(0+(-1.395054--0.101286))+0-0-0</f>
        <v>844.30623199999991</v>
      </c>
      <c r="V237" s="3">
        <f>0+(901.6-46.4)+(0+(-0.459816--0.023664))+0-0-0</f>
        <v>854.76384800000005</v>
      </c>
      <c r="W237" s="3">
        <f>0+(1076-159.6)+(0+(-0.54876--0.081396))+0-0-0</f>
        <v>915.932636</v>
      </c>
      <c r="X237" s="3">
        <f>0+(1144.3-217.5)+(0+(-1.750779--0.332775))+0-0-0</f>
        <v>925.38199599999996</v>
      </c>
      <c r="Y237" s="3">
        <f>0+(1101.9-191.9)+(0+(-2.809845--0.489345))+0-0-0</f>
        <v>907.67950000000008</v>
      </c>
      <c r="Z237" s="3">
        <f>0+(1075.3-182.8)+(0+(-2.193612--0.372912))+0-0-0</f>
        <v>890.67930000000001</v>
      </c>
      <c r="AA237" s="3">
        <f>0+(1057.5-182.7)+(0+(-1.07865--0.186354))+0-0-0</f>
        <v>873.90770399999997</v>
      </c>
      <c r="AB237" s="3">
        <f>0+(1023.6-185.8)+(0+(-2.61018--0.47379))+0-0-0</f>
        <v>835.66360999999995</v>
      </c>
      <c r="AC237" s="3">
        <f>0+(938.3-126.8)+(0+(-2.392665--0.32334))+0-0-0</f>
        <v>809.43067499999995</v>
      </c>
      <c r="AD237" s="2">
        <v>938.2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0+(878.5-112.9)+(0+(-1.79214--0.230316))+0-0-0</f>
        <v>764.03817600000002</v>
      </c>
      <c r="G238" s="3">
        <f>0+(838.1-99.2)+(0+(-0.427431--0.050592))+0-0-0</f>
        <v>738.52316099999996</v>
      </c>
      <c r="H238" s="3">
        <f>0+(823.4-101.4)+(0+(-0.839868--0.103428))+0-0-0</f>
        <v>721.26355999999998</v>
      </c>
      <c r="I238" s="3">
        <f>0+(796.8-87.1)+(0+(-0.812736--0.088842))+0-0-0</f>
        <v>708.97610599999996</v>
      </c>
      <c r="J238" s="3">
        <f>0+(784.1-74.5)+(0+(-1.199673--0.113985))+0-0-0</f>
        <v>708.51431200000002</v>
      </c>
      <c r="K238" s="3">
        <f>0+(784.3-68.7)+(0+(0-0))+0-0-0</f>
        <v>715.59999999999991</v>
      </c>
      <c r="L238" s="3">
        <f>0+(814.1-70.4)+(0+(-0.415191--0.035904))+0-0-0</f>
        <v>743.32071300000007</v>
      </c>
      <c r="M238" s="3">
        <f>0+(863.8-77.3)+(0+(-0.440538--0.039423))+0-0-0</f>
        <v>786.098885</v>
      </c>
      <c r="N238" s="3">
        <f>0+(899-65.3)+(0+(-0.91698--0.066606))+0-0-0</f>
        <v>832.84962600000006</v>
      </c>
      <c r="O238" s="3">
        <f>0+(1007.1-127.1)+(0+(-0.513621--0.064821))+0-0-0</f>
        <v>879.55119999999999</v>
      </c>
      <c r="P238" s="3">
        <f>0+(1100.5-196.2)+(0+(1.12251-0.200124))+0-0-0</f>
        <v>905.22238599999991</v>
      </c>
      <c r="Q238" s="3">
        <f>0+(1153.6-231.7)+(0+(-0.588336--0.118167))+0-0-0</f>
        <v>921.42983099999981</v>
      </c>
      <c r="R238" s="3">
        <f>1.4+(1131.3-227.6)+(-0.002856+(-2.307852--0.464304))+0-0-0</f>
        <v>903.2535959999999</v>
      </c>
      <c r="S238" s="3">
        <f>0+(1079-184.1)+(0+(-1.65087--0.281673))+0-0-0</f>
        <v>893.53080299999999</v>
      </c>
      <c r="T238" s="3">
        <f>0+(1043.2-165.4)+(0+(0.532032-0.084354))+0-0-0</f>
        <v>878.24767800000006</v>
      </c>
      <c r="U238" s="3">
        <f>0+(1063.5-179.6)+(0+(-0.542385--0.091596))+0-0-0</f>
        <v>883.44921099999999</v>
      </c>
      <c r="V238" s="3">
        <f>0+(1078.5-217.8)+(0+(1.650105-0.333234))+0-0-0</f>
        <v>862.01687100000004</v>
      </c>
      <c r="W238" s="3">
        <f>120.4+(1070.7-259.3)+(-0.122808+(-1.092114--0.264486))+0-0-0</f>
        <v>930.8495640000001</v>
      </c>
      <c r="X238" s="3">
        <f>161.3+(1018.5-238.3)+(-0.329052+(-2.07774--0.486132))+0-0-0</f>
        <v>939.57934</v>
      </c>
      <c r="Y238" s="3">
        <f>159.1+(985.2-215.1)+(-0.405705+(-2.51226--0.548505))+0-0-0</f>
        <v>926.83054000000004</v>
      </c>
      <c r="Z238" s="3">
        <f>161.2+(925-181)+(-0.246636+(-1.41525--0.27693))+0-0-0</f>
        <v>903.81504400000006</v>
      </c>
      <c r="AA238" s="3">
        <f>160.9+(918.7-206.1)+(-0.246177+(-1.405611--0.315333))+0-0-0</f>
        <v>872.163545</v>
      </c>
      <c r="AB238" s="3">
        <f>99+(933.8-192.5)+(-0.05049+(-0.476238--0.098175))+0-0-0</f>
        <v>839.87144699999999</v>
      </c>
      <c r="AC238" s="3">
        <f>0+(939.8-98.6)+(0+(-1.437894--0.150858))+0-0-0</f>
        <v>839.91296399999999</v>
      </c>
      <c r="AD238" s="2">
        <v>955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0+(889.9-126.9)+(0+(-0.453849--0.064719))+0-0-0</f>
        <v>762.61086999999998</v>
      </c>
      <c r="G239" s="3">
        <f>0+(852.6-125.7)+(0+(-0.869652--0.128214))+0-0-0</f>
        <v>726.15856199999996</v>
      </c>
      <c r="H239" s="3">
        <f>0+(824-120.5)+(0+(0-0))+0-0-0</f>
        <v>703.5</v>
      </c>
      <c r="I239" s="3">
        <f>0+(790-71.1)+(0+(-0.8058--0.072522))+0-0-0</f>
        <v>718.16672199999994</v>
      </c>
      <c r="J239" s="3">
        <f>0+(778.1-61.6)+(0+(0-0))+0-0-0</f>
        <v>716.5</v>
      </c>
      <c r="K239" s="3">
        <f>0+(766.4-41.6)+(0+(-0.781728--0.042432))+0-0-0</f>
        <v>724.06070399999999</v>
      </c>
      <c r="L239" s="3">
        <f>0+(771.7-26.9)+(0+(-1.180701--0.041157))+0-0-0</f>
        <v>743.66045600000007</v>
      </c>
      <c r="M239" s="3">
        <f>0+(836.8-40.9)+(0+(-0.853536--0.041718))+0-0-0</f>
        <v>795.08818199999996</v>
      </c>
      <c r="N239" s="3">
        <f>0+(903.5-86)+(0+(-1.84314--0.17544))+0-0-0</f>
        <v>815.83230000000003</v>
      </c>
      <c r="O239" s="3">
        <f>0+(937.2-67.9)+(0+(0-0))+0-0-0</f>
        <v>869.30000000000007</v>
      </c>
      <c r="P239" s="3">
        <f>0+(1038.2-173.5)+(0+(-1.058964--0.17697))+0-0-0</f>
        <v>863.81800600000008</v>
      </c>
      <c r="Q239" s="3">
        <f>0+(1115.4-195.9)+(0+(-0.568854--0.099909))+0-0-0</f>
        <v>919.03105500000015</v>
      </c>
      <c r="R239" s="3">
        <f>0+(1098.3-190.8)+(0+(-2.800665--0.48654))+0-0-0</f>
        <v>905.18587500000001</v>
      </c>
      <c r="S239" s="3">
        <f>0+(1086.3-204.1)+(0+(-0.554013--0.104091))+0-0-0</f>
        <v>881.75007799999992</v>
      </c>
      <c r="T239" s="3">
        <f>0+(1045.8-168)+(0+(-1.066716--0.17136))+0-0-0</f>
        <v>876.90464399999996</v>
      </c>
      <c r="U239" s="3">
        <f>0+(1037.3-170.6)+(0+(-1.058046--0.174012))+0-0-0</f>
        <v>865.81596599999989</v>
      </c>
      <c r="V239" s="3">
        <f>36+(1055.4-212.9)+(-0.05508+(-1.614762--0.325737))+0-0-0</f>
        <v>877.1558950000001</v>
      </c>
      <c r="W239" s="3">
        <f>233.1+(1039-345.3)+(-0.237762+(-1.05978--0.352206))+0-0-0</f>
        <v>925.85466400000007</v>
      </c>
      <c r="X239" s="3">
        <f>262.8+(1000.9-344.6)+(-0.536112+(-2.041836--0.702984))+0-0-0</f>
        <v>917.22503599999993</v>
      </c>
      <c r="Y239" s="3">
        <f>201.6+(1029.1-318.2)+(-0.411264+(-2.099364--0.649128))+0-0-0</f>
        <v>910.63849999999991</v>
      </c>
      <c r="Z239" s="3">
        <f>201.5+(997.2-315.4)+(-0.513825+(-2.54286--0.80427))+0-0-0</f>
        <v>881.04758500000003</v>
      </c>
      <c r="AA239" s="3">
        <f>201.6+(977.3-309.8)+(-0.308448+(-1.495269--0.473994))+0-0-0</f>
        <v>867.77027700000008</v>
      </c>
      <c r="AB239" s="3">
        <f>200.8+(908.3-264.6)+(-0.51204+(-2.316165--0.67473))+0-0-0</f>
        <v>842.34652500000004</v>
      </c>
      <c r="AC239" s="3">
        <f>201.7+(813.4-201.1)+(-0.411468+(-1.659336--0.410244))+0-0-0</f>
        <v>812.33943999999997</v>
      </c>
      <c r="AD239" s="2">
        <v>860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201.2+(686.8-121.6)+(-0.307836+(-1.050804--0.186048))+0-0-0</f>
        <v>765.22740799999985</v>
      </c>
      <c r="G240" s="3">
        <f>145.5+(639.1-48.8)+(-0.222615+(-0.977823--0.074664))+0-0-0</f>
        <v>734.67422600000009</v>
      </c>
      <c r="H240" s="3">
        <f>100.1+(636.5-19.3)+(-0.051051+(-0.324615--0.009843))+0-0-0</f>
        <v>716.93417700000009</v>
      </c>
      <c r="I240" s="3">
        <f>100+(626.8-15.9)+(-0.051+(-0.319668--0.008109))+0-0-0</f>
        <v>710.53744099999994</v>
      </c>
      <c r="J240" s="3">
        <f>122.6+(603.8-23.3)+(-0.125052+(-0.615876--0.023766))+0-0-0</f>
        <v>702.38283799999999</v>
      </c>
      <c r="K240" s="3">
        <f>151.4+(587-26.2)+(0.231642+(0.89811-0.040086))+0-0-0</f>
        <v>713.2896659999999</v>
      </c>
      <c r="L240" s="3">
        <f>150.1+(654.8-68.9)+(-0.076551+(-0.333948--0.035139))+0-0-0</f>
        <v>735.62464</v>
      </c>
      <c r="M240" s="3">
        <f>245.6+(680.4-152.1)+(0.250512+(0.694008-0.155142))+0-0-0</f>
        <v>774.68937800000003</v>
      </c>
      <c r="N240" s="3">
        <f>260.7+(840.6-261)+(0.265914+(0.857412-0.26622))+0-0-0</f>
        <v>841.157106</v>
      </c>
      <c r="O240" s="3">
        <f>270.9+(930.7-332.9)+(-0.276318+(-0.949314--0.339558))+0-0-0</f>
        <v>867.81392600000004</v>
      </c>
      <c r="P240" s="3">
        <f>362.4+(844.4-326)+(-0.369648+(-0.861288--0.33252))+0-0-0</f>
        <v>879.90158399999996</v>
      </c>
      <c r="Q240" s="3">
        <f>386.9+(811.7-316.1)+(0.394638+(0.827934-0.322422))+0-0-0</f>
        <v>883.40015000000005</v>
      </c>
      <c r="R240" s="3">
        <f>387+(803.9-314.2)+(-0.78948+(-1.639956--0.640968))+0-0-0</f>
        <v>874.91153200000008</v>
      </c>
      <c r="S240" s="3">
        <f>388.3+(775.9-307.7)+(0+(0-0))+0-0-0</f>
        <v>856.5</v>
      </c>
      <c r="T240" s="3">
        <f>390+(772.8-278.6)+(-0.1989+(-0.394128--0.142086))+0-0-0</f>
        <v>883.74905799999988</v>
      </c>
      <c r="U240" s="3">
        <f>392.1+(755.6-296.8)+(0+(0-0))+0-0-0</f>
        <v>850.90000000000009</v>
      </c>
      <c r="V240" s="3">
        <f>446+(695.4-275.2)+(0.22746+(0.354654-0.140352))+0-0-0</f>
        <v>866.64176200000009</v>
      </c>
      <c r="W240" s="3">
        <f>537.3+(703.3-326)+(0.274023+(0.358683-0.16626))+0-0-0</f>
        <v>915.06644599999993</v>
      </c>
      <c r="X240" s="3">
        <f>522.4+(683.4-290.6)+(-1.598544+(-2.091204--0.889236))+0-0-0</f>
        <v>912.39948799999991</v>
      </c>
      <c r="Y240" s="3">
        <f>440.5+(738.5-286.2)+(-0.224655+(-0.376635--0.145962))+0-0-0</f>
        <v>892.34467199999995</v>
      </c>
      <c r="Z240" s="3">
        <f>440.7+(697.2-265.5)+(-0.899028+(-1.422288--0.54162))+0-0-0</f>
        <v>870.62030400000015</v>
      </c>
      <c r="AA240" s="3">
        <f>440.4+(652.1-248.1)+(-0.673812+(-0.997713--0.379593))+0-0-0</f>
        <v>843.108068</v>
      </c>
      <c r="AB240" s="3">
        <f>440.3+(618.4-252.7)+(-0.898212+(-1.261536--0.515508))+0-0-0</f>
        <v>804.35576000000003</v>
      </c>
      <c r="AC240" s="3">
        <f>440.1+(543-198.6)+(-0.673353+(-0.83079--0.303858))+0-0-0</f>
        <v>783.29971499999999</v>
      </c>
      <c r="AD240" s="2">
        <v>888.5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397.8+(510.1-160.3)+(-1.01439+(-1.300755--0.408765))+0-0-0</f>
        <v>745.69362000000001</v>
      </c>
      <c r="G241" s="3">
        <f>328.3+(473.1-85.9)+(-0.837165+(-1.206405--0.219045))+0-0-0</f>
        <v>713.67547500000001</v>
      </c>
      <c r="H241" s="3">
        <f>312.9+(469.7-93.3)+(-0.478737+(-0.718641--0.142749))+0-0-0</f>
        <v>688.24537099999998</v>
      </c>
      <c r="I241" s="3">
        <f>283.4+(504.4-111.8)+(0.144534+(0.257244-0.057018))+0-0-0</f>
        <v>676.34475999999995</v>
      </c>
      <c r="J241" s="3">
        <f>283.4+(494.9-98.7)+(0+(0-0))+0-0-0</f>
        <v>679.59999999999991</v>
      </c>
      <c r="K241" s="3">
        <f>282.9+(484.2-93.2)+(0+(0-0))+0-0-0</f>
        <v>673.9</v>
      </c>
      <c r="L241" s="3">
        <f>283.5+(520.3-136.7)+(-0.57834+(-1.061412--0.278868))+0-0-0</f>
        <v>665.73911599999985</v>
      </c>
      <c r="M241" s="3">
        <f>283.5+(546.9-154.9)+(-0.28917+(-0.557838--0.157998))+0-0-0</f>
        <v>674.81098999999995</v>
      </c>
      <c r="N241" s="3">
        <f>352.1+(664.5-281.8)+(0.359142+(0.67779-0.287436))+0-0-0</f>
        <v>735.54949599999998</v>
      </c>
      <c r="O241" s="3">
        <f>373.8+(776.8-378.3)+(0+(0-0))+0-0-0</f>
        <v>772.3</v>
      </c>
      <c r="P241" s="3">
        <f>386+(748.4-344.1)+(-0.59058+(-1.145052--0.526473))+0-0-0</f>
        <v>789.09084099999995</v>
      </c>
      <c r="Q241" s="3">
        <f>430.2+(709.3-340.1)+(-0.877608+(-1.446972--0.693804))+0-0-0</f>
        <v>797.76922399999989</v>
      </c>
      <c r="R241" s="3">
        <f>381.6+(661.2-253.9)+(-0.583848+(-1.011636--0.388467))+0-0-0</f>
        <v>787.69298300000014</v>
      </c>
      <c r="S241" s="3">
        <f>383.5+(600.9-228.8)+(-0.78234+(-1.225836--0.466752))+0-0-0</f>
        <v>754.0585759999999</v>
      </c>
      <c r="T241" s="3">
        <f>386.7+(571-162.4)+(0.394434+(0.58242-0.165648))+0-0-0</f>
        <v>796.11120599999992</v>
      </c>
      <c r="U241" s="3">
        <f>243.3+(705.1-204.3)+(-0.372249+(-1.078803--0.312579))+0-0-0</f>
        <v>742.96152700000005</v>
      </c>
      <c r="V241" s="3">
        <f>368.6+(586.6-211.8)+(0+(0-0))+0-0-0</f>
        <v>743.40000000000009</v>
      </c>
      <c r="W241" s="3">
        <f>532.2+(653.5-284.2)+(-0.814266+(-0.999855--0.434826))+0-0-0</f>
        <v>900.12070500000004</v>
      </c>
      <c r="X241" s="3">
        <f>533.8+(729.5-383.6)+(-0.544476+(-0.74409--0.391272))+0-0-0</f>
        <v>878.80270599999994</v>
      </c>
      <c r="Y241" s="3">
        <f>533.7+(730.8-433)+(0+(0-0))+0-0-0</f>
        <v>831.5</v>
      </c>
      <c r="Z241" s="3">
        <f>450.4+(830.4-471.2)+(0+(0-0))+0-0-0</f>
        <v>809.59999999999991</v>
      </c>
      <c r="AA241" s="3">
        <f>403.4+(889.1-495.7)+(-0.617202+(-1.360323--0.758421))+0-0-0</f>
        <v>795.58089599999994</v>
      </c>
      <c r="AB241" s="3">
        <f>432.1+(747.3-435.3)+(0+(0-0))+0-0-0</f>
        <v>744.09999999999991</v>
      </c>
      <c r="AC241" s="3">
        <f>477+(547.7-272.4)+(-0.97308+(-1.117308--0.555696))+0-0-0</f>
        <v>750.76530800000012</v>
      </c>
      <c r="AD241" s="2">
        <v>838.19999999999993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363.8+(474.6-109.5)+(-0.185538+(-0.242046--0.055845))+0-0-0</f>
        <v>728.52826100000004</v>
      </c>
      <c r="G242" s="3">
        <f>274.8+(456.6-51.4)+(-0.280296+(-0.465732--0.052428))+0-0-0</f>
        <v>679.30640000000005</v>
      </c>
      <c r="H242" s="3">
        <f>206.9+(466.9-24)+(-0.527595+(-1.190595--0.0612))+0-0-0</f>
        <v>648.14301</v>
      </c>
      <c r="I242" s="3">
        <f>192+(505-47.1)+(-0.19584+(-0.5151--0.048042))+0-0-0</f>
        <v>649.23710199999994</v>
      </c>
      <c r="J242" s="3">
        <f>176.3+(497-32.3)+(0+(0-0))+0-0-0</f>
        <v>641</v>
      </c>
      <c r="K242" s="3">
        <f>215+(434.8-12.4)+(0+(0-0))+0-0-0</f>
        <v>637.40000000000009</v>
      </c>
      <c r="L242" s="3">
        <f>198.7+(454.6-18)+(-0.506685+(-1.15923--0.0459))+0-0-0</f>
        <v>633.67998499999999</v>
      </c>
      <c r="M242" s="3">
        <f>148.6+(488.5-27.8)+(-0.151572+(-0.49827--0.028356))+0-0-0</f>
        <v>608.67851399999995</v>
      </c>
      <c r="N242" s="3">
        <f>162.8+(516.2-56.6)+(0.249084+(0.789786-0.086598))+0-0-0</f>
        <v>623.35227200000008</v>
      </c>
      <c r="O242" s="3">
        <f>265.9+(507.8-118.8)+(-0.271218+(-0.517956--0.121176))+0-0-0</f>
        <v>654.23200199999997</v>
      </c>
      <c r="P242" s="3">
        <f>276.3+(550.7-156.5)+(0.281826+(0.561714-0.15963))+0-0-0</f>
        <v>671.18390999999997</v>
      </c>
      <c r="Q242" s="3">
        <f>388.9+(461.2-175.4)+(-0.991695+(-1.17606--0.44727))+0-0-0</f>
        <v>672.97951499999988</v>
      </c>
      <c r="R242" s="3">
        <f>377.8+(455.6-157.9)+(-1.348746+(-1.626492--0.563703))+0-0-0</f>
        <v>673.08846500000004</v>
      </c>
      <c r="S242" s="3">
        <f>315.7+(460.9-119.5)+(-0.483021+(-0.705177--0.182835))+0-0-0</f>
        <v>656.09463699999992</v>
      </c>
      <c r="T242" s="3">
        <f>315.6+(439.1-102.2)+(-0.482868+(-0.671823--0.156366))+0-0-0</f>
        <v>651.50167499999998</v>
      </c>
      <c r="U242" s="3">
        <f>264.1+(479.1-99.1)+(0+(0-0))+0-0-0</f>
        <v>644.1</v>
      </c>
      <c r="V242" s="3">
        <f>217.3+(536.6-99.8)+(-0.221646+(-0.547332--0.101796))+0-0-0</f>
        <v>653.432818</v>
      </c>
      <c r="W242" s="3">
        <f>299+(608.2-167.7)+(0+(0-0))+0-0-0</f>
        <v>739.5</v>
      </c>
      <c r="X242" s="3">
        <f>368.4+(676.3-263)+(-0.751536+(-1.379652--0.53652))+0-0-0</f>
        <v>780.10533199999998</v>
      </c>
      <c r="Y242" s="3">
        <f>388.7+(624.9-247.8)+(0+(0-0))+0-0-0</f>
        <v>765.8</v>
      </c>
      <c r="Z242" s="3">
        <f>386.4+(666.5-295.7)+(-0.591192+(-1.019745--0.452421))+0-0-0</f>
        <v>756.04148400000008</v>
      </c>
      <c r="AA242" s="3">
        <f>341.2+(710.1-303)+(0+(0-0))+0-0-0</f>
        <v>748.3</v>
      </c>
      <c r="AB242" s="3">
        <f>261.3+(698.9-224.9)+(-0.399789+(-1.069317--0.344097))+0-0-0</f>
        <v>734.17499099999998</v>
      </c>
      <c r="AC242" s="3">
        <f>257.6+(573.2-128.2)+(-0.525504+(-1.169328--0.261528))+0-0-0</f>
        <v>701.16669600000012</v>
      </c>
      <c r="AD242" s="2">
        <v>777.10000000000014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201.5+(533.8-69.6)+(-0.102765+(-0.272238--0.035496))+0-0-0</f>
        <v>665.36049299999991</v>
      </c>
      <c r="G243" s="3">
        <f>201.7+(471.9-26.6)+(-0.205734+(-0.481338--0.027132))+0-0-0</f>
        <v>646.34005999999999</v>
      </c>
      <c r="H243" s="3">
        <f>197.7+(448-11.8)+(-0.604962+(-1.37088--0.036108))+0-0-0</f>
        <v>631.96026599999993</v>
      </c>
      <c r="I243" s="3">
        <f>108.1+(521.5-10.3)+(0.110262+(0.53193-0.010506))+0-0-0</f>
        <v>619.9316859999999</v>
      </c>
      <c r="J243" s="3">
        <f>108.1+(529.6-11.1)+(-0.110262+(-0.540192--0.011322))+0-0-0</f>
        <v>625.960868</v>
      </c>
      <c r="K243" s="3">
        <f>140.6+(501.2-10.4)+(-0.143412+(-0.511224--0.010608))+0-0-0</f>
        <v>630.75597199999993</v>
      </c>
      <c r="L243" s="3">
        <f>184+(506.5-23)+(-0.4692+(-1.291575--0.05865))+0-0-0</f>
        <v>665.79787499999998</v>
      </c>
      <c r="M243" s="3">
        <f>234.6+(540.6-58.6)+(-0.239292+(-0.551412--0.059772))+0-0-0</f>
        <v>715.86906799999997</v>
      </c>
      <c r="N243" s="3">
        <f>334.2+(559.4-107.6)+(-0.511326+(-0.855882--0.164628))+0-0-0</f>
        <v>784.79741999999999</v>
      </c>
      <c r="O243" s="3">
        <f>366.1+(526.6-67.9)+(-0.746844+(-1.074264--0.138516))+0-0-0</f>
        <v>823.11740800000007</v>
      </c>
      <c r="P243" s="3">
        <f>330+(577.6-53.8)+(-0.1683+(-0.294576--0.027438))+0-0-0</f>
        <v>853.36456200000009</v>
      </c>
      <c r="Q243" s="3">
        <f>358.8+(741.3-233.7)+(-0.182988+(-0.378063--0.119187))+0-0-0</f>
        <v>865.95813599999997</v>
      </c>
      <c r="R243" s="3">
        <f>391.8+(823.3-359)+(-0.99909+(-2.099415--0.91545))+0-0-0</f>
        <v>853.91694499999994</v>
      </c>
      <c r="S243" s="3">
        <f>335.5+(796.5-306.4)+(0+(0-0))+0-0-0</f>
        <v>825.6</v>
      </c>
      <c r="T243" s="3">
        <f>329.5+(792.8-302.8)+(0+(0-0))+0-0-0</f>
        <v>819.5</v>
      </c>
      <c r="U243" s="3">
        <f>327.4+(792.1-298)+(-0.166974+(-0.403971--0.15198))+0-0-0</f>
        <v>821.08103500000004</v>
      </c>
      <c r="V243" s="3">
        <f>329.8+(765.7-268.1)+(0+(0-0))+0-0-0</f>
        <v>827.40000000000009</v>
      </c>
      <c r="W243" s="3">
        <f>378.7+(717.9-186.6)+(0.386274+(0.732258-0.190332))+0-0-0</f>
        <v>910.92819999999995</v>
      </c>
      <c r="X243" s="3">
        <f>459.7+(806.8-343.4)+(-1.172235+(-2.05734--0.87567))+0-0-0</f>
        <v>920.74609499999985</v>
      </c>
      <c r="Y243" s="3">
        <f>461.3+(782.4-352.2)+(-0.470526+(-0.798048--0.359244))+0-0-0</f>
        <v>890.59067000000005</v>
      </c>
      <c r="Z243" s="3">
        <f>460.8+(766.5-340)+(-0.705024+(-1.172745--0.5202))+0-0-0</f>
        <v>885.94243099999994</v>
      </c>
      <c r="AA243" s="3">
        <f>394.6+(798.9-338.1)+(-1.00623+(-2.037195--0.862155))+0-0-0</f>
        <v>853.21872999999994</v>
      </c>
      <c r="AB243" s="3">
        <f>330.3+(783.3-291.7)+(0.168453+(0.399483-0.148767))+0-0-0</f>
        <v>822.31916899999999</v>
      </c>
      <c r="AC243" s="3">
        <f>317.5+(683.5-219.2)+(-0.809625+(-1.742925--0.55896))+0-0-0</f>
        <v>779.80640999999991</v>
      </c>
      <c r="AD243" s="2">
        <v>915.3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325.5+(578.7-162.4)+(-0.498015+(-0.885411--0.248472))+0-0-0</f>
        <v>740.66504600000007</v>
      </c>
      <c r="G244" s="3">
        <f>251.5+(580.8-109)+(-0.641325+(-1.48104--0.27795))+0-0-0</f>
        <v>721.45558499999993</v>
      </c>
      <c r="H244" s="3">
        <f>156.2+(578.1-31.8)+(0.159324+(0.589662-0.032436))+0-0-0</f>
        <v>703.21654999999998</v>
      </c>
      <c r="I244" s="3">
        <f>156.1+(579.8-35.6)+(0+(0-0))+0-0-0</f>
        <v>700.3</v>
      </c>
      <c r="J244" s="3">
        <f>217.9+(530.2-50.8)+(0.111129+(0.270402-0.025908))+0-0-0</f>
        <v>697.65562300000011</v>
      </c>
      <c r="K244" s="3">
        <f>259.8+(503.8-59.6)+(-0.397494+(-0.770814--0.091188))+0-0-0</f>
        <v>702.92287999999996</v>
      </c>
      <c r="L244" s="3">
        <f>200.9+(625.8-94.9)+(-0.102459+(-0.319158--0.048399))+0-0-0</f>
        <v>731.426782</v>
      </c>
      <c r="M244" s="3">
        <f>190.8+(694.2-116.6)+(-0.291924+(-1.062126--0.178398))+0-0-0</f>
        <v>767.22434800000008</v>
      </c>
      <c r="N244" s="3">
        <f>271.5+(656.8-119.6)+(-0.27693+(-0.669936--0.121992))+0-0-0</f>
        <v>807.87512599999991</v>
      </c>
      <c r="O244" s="3">
        <f>358.6+(640.6-154.3)+(-0.365772+(-0.653412--0.157386))+0-0-0</f>
        <v>844.03820200000007</v>
      </c>
      <c r="P244" s="3">
        <f>355+(704-183.6)+(-0.90525+(-1.7952--0.46818))+0-0-0</f>
        <v>873.16773000000001</v>
      </c>
      <c r="Q244" s="3">
        <f>356.8+(742.8-208.9)+(-0.90984+(-1.89414--0.532695))+0-0-0</f>
        <v>888.42871500000001</v>
      </c>
      <c r="R244" s="3">
        <f>358.8+(732.4-218)+(-0.548964+(-1.120572--0.33354))+0-0-0</f>
        <v>871.86400400000002</v>
      </c>
      <c r="S244" s="3">
        <f>358.1+(717-224.6)+(-0.365262+(-0.73134--0.229092))+0-0-0</f>
        <v>849.63248999999996</v>
      </c>
      <c r="T244" s="3">
        <f>304.1+(799.7-227.8)+(0.155091+(0.407847-0.116178))+0-0-0</f>
        <v>876.44676000000015</v>
      </c>
      <c r="U244" s="3">
        <f>303.1+(782.5-236.3)+(0.309162+(0.79815-0.241026))+0-0-0</f>
        <v>850.16628600000001</v>
      </c>
      <c r="V244" s="3">
        <f>353.9+(789.1-285.9)+(0+(0-0))+0-0-0</f>
        <v>857.1</v>
      </c>
      <c r="W244" s="3">
        <f>399.1+(882-349.3)+(-0.203541+(-0.44982--0.178143))+0-0-0</f>
        <v>931.32478200000003</v>
      </c>
      <c r="X244" s="3">
        <f>511.8+(930-504.4)+(-0.261018+(-0.4743--0.257244))+0-0-0</f>
        <v>936.9219260000001</v>
      </c>
      <c r="Y244" s="3">
        <f>512.4+(899.3-498.5)+(-0.261324+(-0.458643--0.254235))+0-0-0</f>
        <v>912.73426799999993</v>
      </c>
      <c r="Z244" s="3">
        <f>498.7+(854.5-456.8)+(-0.508674+(-0.87159--0.465936))+0-0-0</f>
        <v>895.48567200000002</v>
      </c>
      <c r="AA244" s="3">
        <f>403.1+(876.1-409.4)+(-0.205581+(-0.446811--0.208794))+0-0-0</f>
        <v>869.35640200000012</v>
      </c>
      <c r="AB244" s="3">
        <f>402.4+(829-384.5)+(-1.02612+(-2.11395--0.980475))+0-0-0</f>
        <v>844.74040500000001</v>
      </c>
      <c r="AC244" s="3">
        <f>403+(803.7-389.6)+(-0.61659+(-1.229661--0.596088))+0-0-0</f>
        <v>815.84983699999998</v>
      </c>
      <c r="AD244" s="2">
        <v>942.19999999999993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400.3+(703.8-328.3)+(-0.408306+(-0.717876--0.334866))+0-0-0</f>
        <v>775.0086839999999</v>
      </c>
      <c r="G245" s="3">
        <f>402.6+(630.7-283.2)+(-1.02663+(-1.608285--0.72216))+0-0-0</f>
        <v>748.18724500000019</v>
      </c>
      <c r="H245" s="3">
        <f>271.2+(683.6-222.4)+(0.138312+(0.348636-0.113424))+0-0-0</f>
        <v>732.77352400000007</v>
      </c>
      <c r="I245" s="3">
        <f>219.7+(711.3-205.6)+(-0.560235+(-1.813815--0.52428))+0-0-0</f>
        <v>723.55022999999983</v>
      </c>
      <c r="J245" s="3">
        <f>343.5+(583.2-206.7)+(-0.175185+(-0.297432--0.105417))+0-0-0</f>
        <v>719.63279999999997</v>
      </c>
      <c r="K245" s="3">
        <f>350+(591.8-222.3)+(-0.1785+(-0.301818--0.113373))+0-0-0</f>
        <v>719.13305500000001</v>
      </c>
      <c r="L245" s="3">
        <f>350.9+(665.8-265)+(0.357918+(0.679116-0.2703))+0-0-0</f>
        <v>752.46673399999997</v>
      </c>
      <c r="M245" s="3">
        <f>349.4+(740.4-332.7)+(0.178194+(0.377604-0.169677))+0-0-0</f>
        <v>757.48612099999991</v>
      </c>
      <c r="N245" s="3">
        <f>355.2+(889.8-466.8)+(0+(0-0))+0-0-0</f>
        <v>778.19999999999993</v>
      </c>
      <c r="O245" s="3">
        <f>454.3+(955.4-576.1)+(-0.926772+(-1.949016--1.175244))+0-0-0</f>
        <v>831.89945599999987</v>
      </c>
      <c r="P245" s="3">
        <f>453.8+(983.7-573.7)+(-0.925752+(-2.006748--1.170348))+0-0-0</f>
        <v>862.03784799999994</v>
      </c>
      <c r="Q245" s="3">
        <f>453.8+(989.3-576.8)+(-0.231438+(-0.504543--0.294168))+0-0-0</f>
        <v>865.85818699999993</v>
      </c>
      <c r="R245" s="3">
        <f>453.8+(973.4-549.9)+(-0.925752+(-1.985736--1.121796))+0-0-0</f>
        <v>875.51030800000001</v>
      </c>
      <c r="S245" s="3">
        <f>453.8+(938.9-519.6)+(-0.231438+(-0.478839--0.264996))+0-0-0</f>
        <v>872.65471899999989</v>
      </c>
      <c r="T245" s="3">
        <f>453.8+(949.6-510.7)+(-0.694314+(-1.452888--0.781371))+0-0-0</f>
        <v>891.33416900000009</v>
      </c>
      <c r="U245" s="3">
        <f>450.1+(938.5-520.1)+(-0.229551+(-0.478635--0.265251))+0-0-0</f>
        <v>868.05706499999997</v>
      </c>
      <c r="V245" s="3">
        <f>481.9+(937.1-532.6)+(0.737307+(1.433763-0.814878))+0-0-0</f>
        <v>887.75619199999994</v>
      </c>
      <c r="W245" s="3">
        <f>476.4+(1055.5-585)+(-1.21482+(-2.691525--1.49175))+0-0-0</f>
        <v>944.48540500000001</v>
      </c>
      <c r="X245" s="3">
        <f>476.6+(1005.7-534.1)+(-0.972264+(-2.051628--1.089564))+0-0-0</f>
        <v>946.265672</v>
      </c>
      <c r="Y245" s="3">
        <f>475.3+(954.7-515.4)+(-1.212015+(-2.434485--1.31427))+0-0-0</f>
        <v>912.26777000000016</v>
      </c>
      <c r="Z245" s="3">
        <f>475.5+(902.7-488.3)+(-0.97002+(-1.841508--0.996132))+0-0-0</f>
        <v>888.08460400000013</v>
      </c>
      <c r="AA245" s="3">
        <f>479.2+(814.3-423.1)+(-0.244392+(-0.415293--0.215781))+0-0-0</f>
        <v>869.95609599999989</v>
      </c>
      <c r="AB245" s="3">
        <f>213.6+(961.3-330.6)+(-0.326808+(-1.470789--0.505818))+0-0-0</f>
        <v>843.00822099999993</v>
      </c>
      <c r="AC245" s="3">
        <f>110.1+(988.7-287.4)+(-0.224604+(-2.016948--0.586296))+0-0-0</f>
        <v>809.74474400000008</v>
      </c>
      <c r="AD245" s="2">
        <v>925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110+(860.6-216.2)+(0.1122+(0.877812-0.220524))+0-0-0</f>
        <v>755.16948800000011</v>
      </c>
      <c r="G246" s="3">
        <f>110.1+(862-245.1)+(-0.112302+(-0.87924--0.250002))+0-0-0</f>
        <v>726.25846000000001</v>
      </c>
      <c r="H246" s="3">
        <f>110.1+(860.2-246.6)+(-0.112302+(-0.877404--0.251532))+0-0-0</f>
        <v>722.96182600000009</v>
      </c>
      <c r="I246" s="3">
        <f>110.2+(820.5-218.6)+(0.112404+(0.83691-0.222972))+0-0-0</f>
        <v>712.82634200000007</v>
      </c>
      <c r="J246" s="3">
        <f>110.1+(794.4-197.8)+(-0.056151+(-0.405144--0.100878))+0-0-0</f>
        <v>706.33958299999995</v>
      </c>
      <c r="K246" s="3">
        <f>185.6+(745.2-226.8)+(0.47328+(1.90026-0.57834))+0-0-0</f>
        <v>705.79520000000014</v>
      </c>
      <c r="L246" s="3">
        <f>265.2+(785-319.6)+(0+(0-0))+0-0-0</f>
        <v>730.59999999999991</v>
      </c>
      <c r="M246" s="3">
        <f>265.8+(841.1-331.2)+(0.271116+(0.857922-0.337824))+0-0-0</f>
        <v>776.49121400000001</v>
      </c>
      <c r="N246" s="3">
        <f>268.7+(1006.7-446.2)+(0.411111+(1.540251-0.682686))+0-0-0</f>
        <v>830.46867600000007</v>
      </c>
      <c r="O246" s="3">
        <f>314.8+(1089.8-532.8)+(-0.160548+(-0.555798--0.271728))+0-0-0</f>
        <v>871.35538199999996</v>
      </c>
      <c r="P246" s="3">
        <f>365+(1049.5-535.2)+(0+(0-0))+0-0-0</f>
        <v>879.3</v>
      </c>
      <c r="Q246" s="3">
        <f>399.9+(1030.7-547.6)+(-0.203949+(-0.525657--0.279276))+0-0-0</f>
        <v>882.54966999999999</v>
      </c>
      <c r="R246" s="3">
        <f>394.1+(1006.3-487.1)+(-1.406937+(-3.592491--1.738947))+0-0-0</f>
        <v>910.03951899999993</v>
      </c>
      <c r="S246" s="3">
        <f>398.6+(917.4-428)+(0.203286+(0.467874-0.21828))+0-0-0</f>
        <v>888.45288000000005</v>
      </c>
      <c r="T246" s="3">
        <f>394.6+(823.6-346.3)+(-0.603738+(-1.260108--0.529839))+0-0-0</f>
        <v>870.56599300000005</v>
      </c>
      <c r="U246" s="3">
        <f>394.6+(777.3-301.7)+(0.201246+(0.396423-0.153867))+0-0-0</f>
        <v>870.64380200000005</v>
      </c>
      <c r="V246" s="3">
        <f>396.8+(763.1-278.4)+(-0.607104+(-1.167543--0.425952))+0-0-0</f>
        <v>880.15130499999998</v>
      </c>
      <c r="W246" s="3">
        <f>468.5+(853.4-382.3)+(-0.95574+(-1.740936--0.779892))+0-0-0</f>
        <v>937.6832159999999</v>
      </c>
      <c r="X246" s="3">
        <f>473.9+(823.3-363.7)+(-0.966756+(-1.679532--0.741948))+0-0-0</f>
        <v>931.59565999999995</v>
      </c>
      <c r="Y246" s="3">
        <f>475+(750.4-318.7)+(-1.21125+(-1.91352--0.812685))+0-0-0</f>
        <v>904.38791500000002</v>
      </c>
      <c r="Z246" s="3">
        <f>473.9+(737.3-328.9)+(-0.725067+(-1.128069--0.503217))+0-0-0</f>
        <v>880.95008099999995</v>
      </c>
      <c r="AA246" s="3">
        <f>478.8+(685.2-311.3)+(-0.488376+(-0.698904--0.317526))+0-0-0</f>
        <v>851.8302460000001</v>
      </c>
      <c r="AB246" s="3">
        <f>478.2+(686.7-341.9)+(-0.731646+(-1.050651--0.523107))+0-0-0</f>
        <v>821.74081000000001</v>
      </c>
      <c r="AC246" s="3">
        <f>386.1+(743.3-328.6)+(0+(0-0))+0-0-0</f>
        <v>800.8</v>
      </c>
      <c r="AD246" s="2">
        <v>929.8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210.9+(712.6-156.2)+(-0.537795+(-1.81713--0.39831))+0-0-0</f>
        <v>765.34338500000001</v>
      </c>
      <c r="G247" s="3">
        <f>110.1+(720-95.7)+(0.056151+(0.3672-0.048807))+0-0-0</f>
        <v>734.77454399999999</v>
      </c>
      <c r="H247" s="3">
        <f>110.1+(732.7-128.4)+(-0.112302+(-0.747354--0.130968))+0-0-0</f>
        <v>713.67131200000006</v>
      </c>
      <c r="I247" s="3">
        <f>110.1+(740-139.5)+(0.056151+(0.3774-0.071145))+0-0-0</f>
        <v>710.96240599999999</v>
      </c>
      <c r="J247" s="3">
        <f>164.1+(723.8-177.6)+(0.418455+(1.84569-0.45288))+0-0-0</f>
        <v>712.111265</v>
      </c>
      <c r="K247" s="3">
        <f>260.4+(644.7-191.5)+(0.265608+(0.657594-0.19533))+0-0-0</f>
        <v>714.32787200000007</v>
      </c>
      <c r="L247" s="3">
        <f>272.4+(692.4-223.4)+(0.416772+(1.059372-0.341802))+0-0-0</f>
        <v>742.53434199999992</v>
      </c>
      <c r="M247" s="3">
        <f>330.1+(784.9-324.7)+(0.673404+(1.601196-0.662388))+0-0-0</f>
        <v>791.91221199999995</v>
      </c>
      <c r="N247" s="3">
        <f>434.9+(791-387)+(-0.221799+(-0.40341--0.19737))+0-0-0</f>
        <v>838.47216100000003</v>
      </c>
      <c r="O247" s="3">
        <f>526.6+(860-499.8)+(-0.537132+(-0.8772--0.509796))+0-0-0</f>
        <v>885.89546399999995</v>
      </c>
      <c r="P247" s="3">
        <f>236+(1017.4-423.5)+(-0.36108+(-1.556622--0.647955))+0-0-0</f>
        <v>828.63025299999993</v>
      </c>
      <c r="Q247" s="3">
        <f>210+(1052.7-369.7)+(-0.5355+(-2.684385--0.942735))+0-0-0</f>
        <v>890.72284999999999</v>
      </c>
      <c r="R247" s="3">
        <f>210.6+(1055.5-376.2)+(-0.107406+(-0.538305--0.191862))+0-0-0</f>
        <v>889.44615099999999</v>
      </c>
      <c r="S247" s="3">
        <f>210.2+(1002.2-339.6)+(-0.53601+(-2.55561--0.86598))+0-0-0</f>
        <v>870.57435999999996</v>
      </c>
      <c r="T247" s="3">
        <f>226.4+(893.9-270.8)+(0+(0-0))+0-0-0</f>
        <v>849.49999999999989</v>
      </c>
      <c r="U247" s="3">
        <f>289.5+(837.2-287.1)+(-0.738225+(-2.13486--0.732105))+0-0-0</f>
        <v>837.45902000000001</v>
      </c>
      <c r="V247" s="3">
        <f>307.7+(876.7-327.4)+(-0.156927+(-0.447117--0.166974))+0-0-0</f>
        <v>856.56293000000005</v>
      </c>
      <c r="W247" s="3">
        <f>476.2+(872.6-437)+(0.242862+(0.445026-0.22287))+0-0-0</f>
        <v>912.26501799999994</v>
      </c>
      <c r="X247" s="3">
        <f>474.7+(894.9-456.6)+(-0.242097+(-0.456399--0.232866))+0-0-0</f>
        <v>912.53436999999997</v>
      </c>
      <c r="Y247" s="3">
        <f>433.2+(875.4-416)+(-0.883728+(-1.785816--0.84864))+0-0-0</f>
        <v>890.77909599999987</v>
      </c>
      <c r="Z247" s="3">
        <f>17.8+(1173.4-322.2)+(-0.018156+(-1.196868--0.328644))+0-0-0</f>
        <v>868.11361999999997</v>
      </c>
      <c r="AA247" s="3">
        <f>0+(1099.4-263.3)+(0+(-1.121388--0.268566))+0-0-0</f>
        <v>835.24717800000019</v>
      </c>
      <c r="AB247" s="3">
        <f>0+(1125.7-303.9)+(0+(-0.574107--0.154989))+0-0-0</f>
        <v>821.38088200000004</v>
      </c>
      <c r="AC247" s="3">
        <f>0+(1042-251.7)+(0+(-2.12568--0.513468))+0-0-0</f>
        <v>788.68778799999995</v>
      </c>
      <c r="AD247" s="2">
        <v>913.89999999999986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0+(868.4-122.3)+(0+(0-0))+0-0-0</f>
        <v>746.1</v>
      </c>
      <c r="G248" s="3">
        <f>0+(763.7-54.8)+(0+(-1.168461--0.083844))+0-0-0</f>
        <v>707.81538300000011</v>
      </c>
      <c r="H248" s="3">
        <f>0+(768.9-79.2)+(0+(0.392139-0.040392))+0-0-0</f>
        <v>690.05174699999998</v>
      </c>
      <c r="I248" s="3">
        <f>0+(785.8-102.6)+(0+(-0.400758--0.052326))+0-0-0</f>
        <v>682.85156799999993</v>
      </c>
      <c r="J248" s="3">
        <f>0+(800.6-129.2)+(0+(1.633224-0.263568))+0-0-0</f>
        <v>672.76965600000005</v>
      </c>
      <c r="K248" s="3">
        <f>0+(793.4-124.6)+(0+(0.404634-0.063546))+0-0-0</f>
        <v>669.14108799999997</v>
      </c>
      <c r="L248" s="3">
        <f>0+(876.4-192.3)+(0+(-2.23482--0.490365))+0-0-0</f>
        <v>682.35554499999989</v>
      </c>
      <c r="M248" s="3">
        <f>0+(941-233.9)+(0+(0.47991-0.119289))+0-0-0</f>
        <v>707.46062100000006</v>
      </c>
      <c r="N248" s="3">
        <f>0+(990.3-238.9)+(0+(1.010106-0.243678))+0-0-0</f>
        <v>752.166428</v>
      </c>
      <c r="O248" s="3">
        <f>0+(1069.6-270.6)+(0+(-1.090992--0.276012))+0-0-0</f>
        <v>798.18501999999989</v>
      </c>
      <c r="P248" s="3">
        <f>0+(1095.4-280.8)+(0+(-1.117308--0.286416))+0-0-0</f>
        <v>813.76910800000019</v>
      </c>
      <c r="Q248" s="3">
        <f>0+(1197-381.9)+(0+(-0.61047--0.194769))+0-0-0</f>
        <v>814.68429900000001</v>
      </c>
      <c r="R248" s="3">
        <f>0+(1182.8-373.2)+(0+(-4.222596--1.332324))+0-0-0</f>
        <v>806.70972799999993</v>
      </c>
      <c r="S248" s="3">
        <f>0+(1120.4-335.5)+(0+(-1.714212--0.513315))+0-0-0</f>
        <v>783.69910300000004</v>
      </c>
      <c r="T248" s="3">
        <f>0+(1070.6-295.7)+(0+(-2.184024--0.603228))+0-0-0</f>
        <v>773.3192039999999</v>
      </c>
      <c r="U248" s="3">
        <f>0+(1048.5-284.9)+(0+(0-0))+0-0-0</f>
        <v>763.6</v>
      </c>
      <c r="V248" s="3">
        <f>0+(1058.7-293.5)+(0+(0-0))+0-0-0</f>
        <v>765.2</v>
      </c>
      <c r="W248" s="3">
        <f>0+(1170.9-339.9)+(0+(0.597159-0.173349))+0-0-0</f>
        <v>831.42381000000012</v>
      </c>
      <c r="X248" s="3">
        <f>0+(1183.7-343.8)+(0+(-1.811061--0.526014))+0-0-0</f>
        <v>838.61495300000013</v>
      </c>
      <c r="Y248" s="3">
        <f>0+(1136.7-316.8)+(0+(-3.478302--0.969408))+0-0-0</f>
        <v>817.39110600000004</v>
      </c>
      <c r="Z248" s="3">
        <f>0+(1084-290.6)+(0+(-1.65852--0.444618))+0-0-0</f>
        <v>792.18609800000002</v>
      </c>
      <c r="AA248" s="3">
        <f>0+(1045.3-273.4)+(0+(-1.066206--0.278868))+0-0-0</f>
        <v>771.112662</v>
      </c>
      <c r="AB248" s="3">
        <f>0+(1022.9-265.2)+(0+(-0.521679--0.135252))+0-0-0</f>
        <v>757.31357300000002</v>
      </c>
      <c r="AC248" s="3">
        <f>0+(950.4-215.1)+(0+(-1.454112--0.329103))+0-0-0</f>
        <v>734.17499099999998</v>
      </c>
      <c r="AD248" s="2">
        <v>845.4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0+(800.2-91.6)+(0+(-2.04051--0.23358))+0-0-0</f>
        <v>706.79307000000006</v>
      </c>
      <c r="G249" s="3">
        <f>0+(711.1-32.8)+(0+(-0.725322--0.033456))+0-0-0</f>
        <v>677.60813400000006</v>
      </c>
      <c r="H249" s="3">
        <f>0+(666-18.3)+(0+(0.33966-0.009333))+0-0-0</f>
        <v>648.03032700000006</v>
      </c>
      <c r="I249" s="3">
        <f>0+(650.3-13.5)+(0+(-0.994959--0.020655))+0-0-0</f>
        <v>635.82569599999999</v>
      </c>
      <c r="J249" s="3">
        <f>0+(672.8-34.3)+(0+(-0.343128--0.017493))+0-0-0</f>
        <v>638.17436499999997</v>
      </c>
      <c r="K249" s="3">
        <f>0+(665.5-30.6)+(0+(-0.339405--0.015606))+0-0-0</f>
        <v>634.57620099999997</v>
      </c>
      <c r="L249" s="3">
        <f>0+(666.7-34.9)+(0+(-1.360068--0.071196))+0-0-0</f>
        <v>630.5111280000001</v>
      </c>
      <c r="M249" s="3">
        <f>0+(656.5-45)+(0+(-0.334815--0.02295))+0-0-0</f>
        <v>611.18813499999999</v>
      </c>
      <c r="N249" s="3">
        <f>0+(725.1-96.2)+(0+(1.109403-0.147186))+0-0-0</f>
        <v>629.86221699999999</v>
      </c>
      <c r="O249" s="3">
        <f>0+(842-177.1)+(0+(-0.42942--0.090321))+0-0-0</f>
        <v>664.56090099999994</v>
      </c>
      <c r="P249" s="3">
        <f>0+(868.1-187.3)+(0+(0.442731-0.095523))+0-0-0</f>
        <v>681.14720799999998</v>
      </c>
      <c r="Q249" s="3">
        <f>0+(884.6-193.5)+(0+(-2.706876--0.59211))+0-0-0</f>
        <v>688.98523399999999</v>
      </c>
      <c r="R249" s="3">
        <f>0+(868.9-189.7)+(0+(-0.443139--0.096747))+0-0-0</f>
        <v>678.85360800000001</v>
      </c>
      <c r="S249" s="3">
        <f>0+(886.5-224)+(0+(-2.260575--0.5712))+0-0-0</f>
        <v>660.81062499999996</v>
      </c>
      <c r="T249" s="3">
        <f>0+(837.2-179.3)+(0+(0.426972-0.091443))+0-0-0</f>
        <v>658.23552900000004</v>
      </c>
      <c r="U249" s="3">
        <f>0+(802.2-151.3)+(0+(-0.818244--0.154326))+0-0-0</f>
        <v>650.23608200000012</v>
      </c>
      <c r="V249" s="3">
        <f>0+(798.9-140.6)+(0+(0.407439-0.071706))+0-0-0</f>
        <v>658.63573299999996</v>
      </c>
      <c r="W249" s="3">
        <f>0+(984.1-255.9)+(0+(-1.003782--0.261018))+0-0-0</f>
        <v>727.45723600000008</v>
      </c>
      <c r="X249" s="3">
        <f>0+(993.6-257.7)+(0+(-1.013472--0.262854))+0-0-0</f>
        <v>735.14938200000006</v>
      </c>
      <c r="Y249" s="3">
        <f>0+(1028.8-302)+(0+(-1.574064--0.46206))+0-0-0</f>
        <v>725.687996</v>
      </c>
      <c r="Z249" s="3">
        <f>0+(1000.6-286.7)+(0+(-0.510306--0.146217))+0-0-0</f>
        <v>713.53591100000006</v>
      </c>
      <c r="AA249" s="3">
        <f>0+(939.4-246.8)+(0+(0-0))+0-0-0</f>
        <v>692.59999999999991</v>
      </c>
      <c r="AB249" s="3">
        <f>0+(947.8-259.3)+(0+(-0.966756--0.264486))+0-0-0</f>
        <v>687.79773</v>
      </c>
      <c r="AC249" s="3">
        <f>0+(888.1-220.9)+(0+(-1.358793--0.337977))+0-0-0</f>
        <v>666.17918400000008</v>
      </c>
      <c r="AD249" s="2">
        <v>743.1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0+(735.9-95.5)+(0+(-1.501236--0.19482))+0-0-0</f>
        <v>639.09358399999996</v>
      </c>
      <c r="G250" s="3">
        <f>0+(625.7-11.3)+(0+(-1.914642--0.034578))+0-0-0</f>
        <v>612.51993600000014</v>
      </c>
      <c r="H250" s="3">
        <f>0+(609.8-18.7)+(0+(-0.310998--0.009537))+0-0-0</f>
        <v>590.79853899999989</v>
      </c>
      <c r="I250" s="3">
        <f>0+(598.7-13.1)+(0+(-0.610674--0.013362))+0-0-0</f>
        <v>585.00268800000003</v>
      </c>
      <c r="J250" s="3">
        <f>0+(593.3-6.9)+(0+(-0.605166--0.007038))+0-0-0</f>
        <v>585.801872</v>
      </c>
      <c r="K250" s="3">
        <f>0+(603.1-25.7)+(0+(0.307581-0.013107))+0-0-0</f>
        <v>577.69447400000001</v>
      </c>
      <c r="L250" s="3">
        <f>0+(580.4-8.3)+(0+(-0.888012--0.012699))+0-0-0</f>
        <v>571.22468700000002</v>
      </c>
      <c r="M250" s="3">
        <f>0+(588.2-40.9)+(0+(-0.299982--0.020859))+0-0-0</f>
        <v>547.02087700000004</v>
      </c>
      <c r="N250" s="3">
        <f>0+(643.9-95.4)+(0+(-0.656778--0.097308))+0-0-0</f>
        <v>547.94052999999997</v>
      </c>
      <c r="O250" s="3">
        <f>0+(689.8-125.6)+(0+(-0.703596--0.128112))+0-0-0</f>
        <v>563.62451599999997</v>
      </c>
      <c r="P250" s="3">
        <f>0+(750.3-171.9)+(0+(-1.147959--0.263007))+0-0-0</f>
        <v>577.51504799999998</v>
      </c>
      <c r="Q250" s="3">
        <f>0+(747.9-170.7)+(0+(-0.381429--0.087057))+0-0-0</f>
        <v>576.90562800000009</v>
      </c>
      <c r="R250" s="3">
        <f>0+(679.8-113.3)+(0+(0-0))+0-0-0</f>
        <v>566.5</v>
      </c>
      <c r="S250" s="3">
        <f>0+(699-134.5)+(0+(0.35649-0.068595))+0-0-0</f>
        <v>564.78789500000005</v>
      </c>
      <c r="T250" s="3">
        <f>0+(691.9-134.8)+(0+(0.352869-0.068748))+0-0-0</f>
        <v>557.38412099999994</v>
      </c>
      <c r="U250" s="3">
        <f>0+(695.3-140.7)+(0+(0.354603-0.071757))+0-0-0</f>
        <v>554.88284599999986</v>
      </c>
      <c r="V250" s="3">
        <f>0+(715.8-149.6)+(0+(0.365058-0.076296))+0-0-0</f>
        <v>566.48876199999995</v>
      </c>
      <c r="W250" s="3">
        <f>0+(866.4-239.1)+(0+(0-0))+0-0-0</f>
        <v>627.29999999999995</v>
      </c>
      <c r="X250" s="3">
        <f>0+(830.1-201.2)+(0+(0-0))+0-0-0</f>
        <v>628.90000000000009</v>
      </c>
      <c r="Y250" s="3">
        <f>0+(796.5-180)+(0+(-1.62486--0.3672))+0-0-0</f>
        <v>615.24234000000001</v>
      </c>
      <c r="Z250" s="3">
        <f>0+(776.5-171.4)+(0+(-0.79203--0.174828))+0-0-0</f>
        <v>604.482798</v>
      </c>
      <c r="AA250" s="3">
        <f>0+(728.7-132.2)+(0+(-1.114911--0.202266))+0-0-0</f>
        <v>595.587355</v>
      </c>
      <c r="AB250" s="3">
        <f>0+(750-155.2)+(0+(0.3825-0.079152))+0-0-0</f>
        <v>595.10334799999998</v>
      </c>
      <c r="AC250" s="3">
        <f>0+(743.1-156.7)+(0+(0-0))+0-0-0</f>
        <v>586.40000000000009</v>
      </c>
      <c r="AD250" s="2">
        <v>627.59999999999991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0+(609.3-56.8)+(0+(-2.175201--0.202776))+0-0-0</f>
        <v>550.52757499999996</v>
      </c>
      <c r="G251" s="3">
        <f>0+(529.9-10.1)+(0+(-0.540498--0.010302))+0-0-0</f>
        <v>519.26980399999991</v>
      </c>
      <c r="H251" s="3">
        <f>0+(515.2-7.8)+(0+(-0.788256--0.011934))+0-0-0</f>
        <v>506.62367800000004</v>
      </c>
      <c r="I251" s="3">
        <f>0+(537.9-41.8)+(0+(0.548658-0.042636))+0-0-0</f>
        <v>496.60602199999994</v>
      </c>
      <c r="J251" s="3">
        <f>0+(533.7-41.7)+(0+(-0.272187--0.021267))+0-0-0</f>
        <v>491.74908000000005</v>
      </c>
      <c r="K251" s="3">
        <f>0+(527.8-34.2)+(0+(0.538356-0.034884))+0-0-0</f>
        <v>494.10347199999995</v>
      </c>
      <c r="L251" s="3">
        <f>0+(554.1-59.8)+(0+(-1.978137--0.213486))+0-0-0</f>
        <v>492.535349</v>
      </c>
      <c r="M251" s="3">
        <f>0+(541.9-82.2)+(0+(-0.276369--0.041922))+0-0-0</f>
        <v>459.465553</v>
      </c>
      <c r="N251" s="3">
        <f>0+(519.2-61.6)+(0+(1.059168-0.125664))+0-0-0</f>
        <v>458.53350400000005</v>
      </c>
      <c r="O251" s="3">
        <f>0+(568.7-98.6)+(0+(-0.580074--0.100572))+0-0-0</f>
        <v>469.620498</v>
      </c>
      <c r="P251" s="3">
        <f>0+(610.4-144.3)+(0+(-2.179128--0.515151))+0-0-0</f>
        <v>464.43602299999998</v>
      </c>
      <c r="Q251" s="3">
        <f>0+(646.7-190)+(0+(0.989451-0.2907))+0-0-0</f>
        <v>457.39875100000006</v>
      </c>
      <c r="R251" s="3">
        <f>0+(655-197)+(0+(1.00215-0.30141))+0-0-0</f>
        <v>458.70074</v>
      </c>
      <c r="S251" s="3">
        <f>0+(653.9-190.4)+(0+(0.666978-0.194208))+0-0-0</f>
        <v>463.97277000000003</v>
      </c>
      <c r="T251" s="3">
        <f>0+(609.1-127.3)+(0+(-1.242564--0.259692))+0-0-0</f>
        <v>480.81712800000003</v>
      </c>
      <c r="U251" s="3">
        <f>0+(592.7-95.4)+(0+(0.906831-0.145962))+0-0-0</f>
        <v>498.06086900000008</v>
      </c>
      <c r="V251" s="3">
        <f>0+(566.5-48.1)+(0+(0-0))+0-0-0</f>
        <v>518.4</v>
      </c>
      <c r="W251" s="3">
        <f>0+(710.9-109.9)+(0+(0.362559-0.056049))+0-0-0</f>
        <v>601.30651</v>
      </c>
      <c r="X251" s="3">
        <f>0+(720.4-101.9)+(0+(-1.469616--0.207876))+0-0-0</f>
        <v>617.23825999999997</v>
      </c>
      <c r="Y251" s="3">
        <f>0+(684.8-62.1)+(0+(-1.396992--0.126684))+0-0-0</f>
        <v>621.42969199999993</v>
      </c>
      <c r="Z251" s="3">
        <f>0+(673-55.9)+(0+(0.68646-0.057018))+0-0-0</f>
        <v>617.72944200000006</v>
      </c>
      <c r="AA251" s="3">
        <f>0+(669-47.3)+(0+(-0.34119--0.024123))+0-0-0</f>
        <v>621.38293300000009</v>
      </c>
      <c r="AB251" s="3">
        <f>0+(681.2-56.8)+(0+(-1.73706--0.14484))+0-0-0</f>
        <v>622.80778000000009</v>
      </c>
      <c r="AC251" s="3">
        <f>0+(655.1-49.2)+(0+(-1.336404--0.100368))+0-0-0</f>
        <v>604.66396399999996</v>
      </c>
      <c r="AD251" s="2">
        <v>631.9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0+(579.6-13)+(0+(-0.886788--0.01989))+0-0-0</f>
        <v>565.73310200000003</v>
      </c>
      <c r="G252" s="3">
        <f>0+(578.6-27.2)+(0+(-0.295086--0.013872))+0-0-0</f>
        <v>551.118786</v>
      </c>
      <c r="H252" s="3">
        <f>0+(555.1-17.9)+(0+(-0.566202--0.018258))+0-0-0</f>
        <v>536.65205600000002</v>
      </c>
      <c r="I252" s="3">
        <f>0+(555.2-23.2)+(0+(0.283152-0.011832))+0-0-0</f>
        <v>532.27131999999995</v>
      </c>
      <c r="J252" s="3">
        <f>0+(553.8-17.5)+(0+(0.282438-0.008925))+0-0-0</f>
        <v>536.57351299999993</v>
      </c>
      <c r="K252" s="3">
        <f>0+(566.5-16.5)+(0+(1.15566-0.03366))+0-0-0</f>
        <v>551.12199999999996</v>
      </c>
      <c r="L252" s="3">
        <f>0+(618.2-18.2)+(0+(-1.261128--0.037128))+0-0-0</f>
        <v>598.77599999999995</v>
      </c>
      <c r="M252" s="3">
        <f>0+(713.9-56.4)+(0+(1.456356-0.115056))+0-0-0</f>
        <v>658.84130000000005</v>
      </c>
      <c r="N252" s="3">
        <f>0+(856.9-130.7)+(0+(1.311057-0.199971))+0-0-0</f>
        <v>727.31108600000005</v>
      </c>
      <c r="O252" s="3">
        <f>0+(985.1-199.9)+(0+(0.502401-0.101949))+0-0-0</f>
        <v>785.60045200000002</v>
      </c>
      <c r="P252" s="3">
        <f>0+(1071.2-240.6)+(0+(0-0))+0-0-0</f>
        <v>830.6</v>
      </c>
      <c r="Q252" s="3">
        <f>0+(1123.8-275.5)+(0+(-0.573138--0.140505))+0-0-0</f>
        <v>847.86736699999994</v>
      </c>
      <c r="R252" s="3">
        <f>0+(1130.9-282.5)+(0+(-4.037313--1.008525))+0-0-0</f>
        <v>845.37121200000013</v>
      </c>
      <c r="S252" s="3">
        <f>0+(1113.8-282.4)+(0+(0-0))+0-0-0</f>
        <v>831.4</v>
      </c>
      <c r="T252" s="3">
        <f>0+(1102.6-273.8)+(0+(0-0))+0-0-0</f>
        <v>828.8</v>
      </c>
      <c r="U252" s="3">
        <f>0+(1095.1-279.9)+(0+(1.117002-0.285498))+0-0-0</f>
        <v>816.03150399999993</v>
      </c>
      <c r="V252" s="3">
        <f>0+(1107-272.9)+(0+(-1.69371--0.417537))+0-0-0</f>
        <v>832.82382700000005</v>
      </c>
      <c r="W252" s="3">
        <f>0+(1240.9-352.4)+(0+(-1.898577--0.539172))+0-0-0</f>
        <v>887.14059500000008</v>
      </c>
      <c r="X252" s="3">
        <f>0+(1200-317.9)+(0+(0-0))+0-0-0</f>
        <v>882.1</v>
      </c>
      <c r="Y252" s="3">
        <f>0+(1069.7-214.3)+(0+(2.182188-0.437172))+0-0-0</f>
        <v>857.14501600000006</v>
      </c>
      <c r="Z252" s="3">
        <f>0+(981.5-136.9)+(0+(1.501695-0.209457))+0-0-0</f>
        <v>845.89223800000002</v>
      </c>
      <c r="AA252" s="3">
        <f>0+(962.9-140.5)+(0+(1.473237-0.214965))+0-0-0</f>
        <v>823.65827200000001</v>
      </c>
      <c r="AB252" s="3">
        <f>0+(956.3-150.3)+(0+(-0.975426--0.153306))+0-0-0</f>
        <v>805.17787999999996</v>
      </c>
      <c r="AC252" s="3">
        <f>0+(855-90.2)+(0+(-1.30815--0.138006))+0-0-0</f>
        <v>763.6298559999999</v>
      </c>
      <c r="AD252" s="2">
        <v>904.7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0+(825.8-95)+(0+(-0.842316--0.0969))+0-0-0</f>
        <v>730.05458399999998</v>
      </c>
      <c r="G253" s="3">
        <f>0+(745.6-46.5)+(0+(-2.661792--0.166005))+0-0-0</f>
        <v>696.60421300000007</v>
      </c>
      <c r="H253" s="3">
        <f>0+(687.7-16.6)+(0+(0.350727-0.008466))+0-0-0</f>
        <v>671.44226100000003</v>
      </c>
      <c r="I253" s="3">
        <f>0+(683.7-13.3)+(0+(0.697374-0.013566))+0-0-0</f>
        <v>671.08380800000009</v>
      </c>
      <c r="J253" s="3">
        <f>0+(675.8-14.3)+(0+(-0.344658--0.007293))+0-0-0</f>
        <v>661.16263500000002</v>
      </c>
      <c r="K253" s="3">
        <f>0+(702.1-33)+(0+(0-0))+0-0-0</f>
        <v>669.1</v>
      </c>
      <c r="L253" s="3">
        <f>0+(726.2-36.2)+(0+(-1.111086--0.055386))+0-0-0</f>
        <v>688.9443</v>
      </c>
      <c r="M253" s="3">
        <f>0+(789.4-64.1)+(0+(-0.805188--0.065382))+0-0-0</f>
        <v>724.56019399999991</v>
      </c>
      <c r="N253" s="3">
        <f>0+(828.1-44)+(0+(0-0))+0-0-0</f>
        <v>784.1</v>
      </c>
      <c r="O253" s="3">
        <f>22.1+(900.2-107.9)+(-0.011271+(-0.459102--0.055029))+0-0-0</f>
        <v>813.98465600000009</v>
      </c>
      <c r="P253" s="3">
        <f>87+(863.5-122)+(-0.08874+(-0.88077--0.12444))+0-0-0</f>
        <v>827.65493000000004</v>
      </c>
      <c r="Q253" s="3">
        <f>126.7+(873-163.4)+(-0.193851+(-1.33569--0.250002))+0-0-0</f>
        <v>835.02046100000007</v>
      </c>
      <c r="R253" s="3">
        <f>127.8+(850.5-164)+(-0.065178+(-0.433755--0.08364))+0-0-0</f>
        <v>813.88470699999993</v>
      </c>
      <c r="S253" s="3">
        <f>127.6+(820.3-148.8)+(-0.130152+(-0.836706--0.151776))+0-0-0</f>
        <v>798.28491800000006</v>
      </c>
      <c r="T253" s="3">
        <f>128.1+(823.9-144.8)+(0.130662+(0.840378-0.147696))+0-0-0</f>
        <v>808.02334399999995</v>
      </c>
      <c r="U253" s="3">
        <f>127.4+(828.6-151.2)+(-0.194922+(-1.267758--0.231336))+0-0-0</f>
        <v>803.56865600000003</v>
      </c>
      <c r="V253" s="3">
        <f>127.4+(804-132)+(-0.129948+(-0.82008--0.13464))+0-0-0</f>
        <v>798.58461199999999</v>
      </c>
      <c r="W253" s="3">
        <f>127.6+(970.5-218)+(-0.195228+(-1.484865--0.33354))+0-0-0</f>
        <v>878.75344700000005</v>
      </c>
      <c r="X253" s="3">
        <f>128+(984.2-237.4)+(-0.3264+(-2.50971--0.60537))+0-0-0</f>
        <v>872.5692600000001</v>
      </c>
      <c r="Y253" s="3">
        <f>127.4+(926.8-204.6)+(0.064974+(0.472668-0.104346))+0-0-0</f>
        <v>850.03329599999995</v>
      </c>
      <c r="Z253" s="3">
        <f>127.7+(886.2-181.5)+(-0.195381+(-1.355886--0.277695))+0-0-0</f>
        <v>831.12642800000015</v>
      </c>
      <c r="AA253" s="3">
        <f>66.8+(904.5-158.1)+(-0.17034+(-2.306475--0.403155))+0-0-0</f>
        <v>811.12633999999991</v>
      </c>
      <c r="AB253" s="3">
        <f>38.1+(880.4-129.3)+(-0.019431+(-0.449004--0.065943))+0-0-0</f>
        <v>788.79750799999988</v>
      </c>
      <c r="AC253" s="3">
        <f>0+(859.7-104.5)+(0+(-1.315341--0.159885))+0-0-0</f>
        <v>754.04454400000009</v>
      </c>
      <c r="AD253" s="2">
        <v>865.5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0+(733.4-19.5)+(0+(-1.496136--0.03978))+0-0-0</f>
        <v>712.44364399999995</v>
      </c>
      <c r="G254" s="3">
        <f>0+(701.1-12.6)+(0+(0-0))+0-0-0</f>
        <v>688.5</v>
      </c>
      <c r="H254" s="3">
        <f>0+(693.6-13)+(0+(-1.414944--0.02652))+0-0-0</f>
        <v>679.21157600000004</v>
      </c>
      <c r="I254" s="3">
        <f>0+(688.5-15.9)+(0+(-0.351135--0.008109))+0-0-0</f>
        <v>672.25697400000001</v>
      </c>
      <c r="J254" s="3">
        <f>0+(688.6-13.8)+(0+(1.053558-0.021114))+0-0-0</f>
        <v>675.83244400000012</v>
      </c>
      <c r="K254" s="3">
        <f>0+(692.7-15.7)+(0+(1.413108-0.032028))+0-0-0</f>
        <v>678.38108</v>
      </c>
      <c r="L254" s="3">
        <f>0+(723.1-17.5)+(0+(0.368781-0.008925))+0-0-0</f>
        <v>705.95985600000006</v>
      </c>
      <c r="M254" s="3">
        <f>0+(779-46.7)+(0+(-0.79458--0.047634))+0-0-0</f>
        <v>731.55305399999997</v>
      </c>
      <c r="N254" s="3">
        <f>0+(833.9-39.9)+(0+(0-0))+0-0-0</f>
        <v>794</v>
      </c>
      <c r="O254" s="3">
        <f>0+(916.1-86.7)+(0+(-2.336055--0.221085))+0-0-0</f>
        <v>827.28503000000001</v>
      </c>
      <c r="P254" s="3">
        <f>0+(958-103.8)+(0+(-2.4429--0.26469))+0-0-0</f>
        <v>852.02179000000001</v>
      </c>
      <c r="Q254" s="3">
        <f>0+(982.6-128.2)+(0+(-1.503378--0.196146))+0-0-0</f>
        <v>853.09276800000009</v>
      </c>
      <c r="R254" s="3">
        <f>0+(976-135.7)+(0+(-0.99552--0.138414))+0-0-0</f>
        <v>839.44289399999991</v>
      </c>
      <c r="S254" s="3">
        <f>0+(944.5-128.4)+(0+(-0.481695--0.065484))+0-0-0</f>
        <v>815.68378900000005</v>
      </c>
      <c r="T254" s="3">
        <f>0+(945-106)+(0+(-0.9639--0.10812))+0-0-0</f>
        <v>838.14422000000002</v>
      </c>
      <c r="U254" s="3">
        <f>0+(943-114)+(0+(-0.96186--0.11628))+0-0-0</f>
        <v>828.15441999999996</v>
      </c>
      <c r="V254" s="3">
        <f>0+(952.3-98.6)+(0+(0-0))+0-0-0</f>
        <v>853.69999999999993</v>
      </c>
      <c r="W254" s="3">
        <f>0+(1065.5-188.8)+(0+(1.630215-0.288864))+0-0-0</f>
        <v>878.04135100000008</v>
      </c>
      <c r="X254" s="3">
        <f>0+(1084.1-196.4)+(0+(-0.552891--0.100164))+0-0-0</f>
        <v>887.24727299999995</v>
      </c>
      <c r="Y254" s="3">
        <f>0+(1039-171.4)+(0+(0-0))+0-0-0</f>
        <v>867.6</v>
      </c>
      <c r="Z254" s="3">
        <f>0+(996.5-150.9)+(0+(-0.508215--0.076959))+0-0-0</f>
        <v>845.16874400000006</v>
      </c>
      <c r="AA254" s="3">
        <f>0+(952.6-140.1)+(0+(-0.971652--0.142902))+0-0-0</f>
        <v>811.67124999999999</v>
      </c>
      <c r="AB254" s="3">
        <f>0+(903-114.6)+(0+(-1.38159--0.175338))+0-0-0</f>
        <v>787.19374800000003</v>
      </c>
      <c r="AC254" s="3">
        <f>0+(809.6-57.6)+(0+(-2.06448--0.14688))+0-0-0</f>
        <v>750.08240000000001</v>
      </c>
      <c r="AD254" s="2">
        <v>879.90000000000009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0+(726.5-12.2)+(0+(-1.48206--0.024888))+0-0-0</f>
        <v>712.84282799999994</v>
      </c>
      <c r="G255" s="3">
        <f>0+(679.2-9.7)+(0+(-0.346392--0.004947))+0-0-0</f>
        <v>669.15855499999998</v>
      </c>
      <c r="H255" s="3">
        <f>0+(682-15)+(0+(-1.39128--0.0306))+0-0-0</f>
        <v>665.63932</v>
      </c>
      <c r="I255" s="3">
        <f>0+(690.8-26.7)+(0+(0.352308-0.013617))+0-0-0</f>
        <v>664.43869099999995</v>
      </c>
      <c r="J255" s="3">
        <f>0+(664.2-3.7)+(0+(-1.016226--0.005661))+0-0-0</f>
        <v>659.48943499999996</v>
      </c>
      <c r="K255" s="3">
        <f>0+(685.7-27.6)+(0+(1.049121-0.042228))+0-0-0</f>
        <v>659.10689300000001</v>
      </c>
      <c r="L255" s="3">
        <f>0+(729.3-59.2)+(0+(-0.371943--0.030192))+0-0-0</f>
        <v>669.75824899999986</v>
      </c>
      <c r="M255" s="3">
        <f>0+(741.5-52.3)+(0+(1.890825-0.133365))+0-0-0</f>
        <v>690.95746000000008</v>
      </c>
      <c r="N255" s="3">
        <f>4.2+(803.4-73.7)+(0.01071+(2.04867-0.187935))+0-0-0</f>
        <v>735.77144499999997</v>
      </c>
      <c r="O255" s="3">
        <f>180.5+(700-107.6)+(0.092055+(0.357-0.054876))+0-0-0</f>
        <v>773.29417899999999</v>
      </c>
      <c r="P255" s="3">
        <f>262.7+(691.4-157)+(0.133977+(0.352614-0.08007))+0-0-0</f>
        <v>797.50652099999991</v>
      </c>
      <c r="Q255" s="3">
        <f>257.3+(701.5-164)+(-0.262446+(-0.71553--0.16728))+0-0-0</f>
        <v>793.98930399999995</v>
      </c>
      <c r="R255" s="3">
        <f>257.3+(672-179)+(-0.787338+(-2.05632--0.54774))+0-0-0</f>
        <v>748.00408199999993</v>
      </c>
      <c r="S255" s="3">
        <f>257.3+(697-171)+(-0.656115+(-1.77735--0.43605))+0-0-0</f>
        <v>781.30258499999991</v>
      </c>
      <c r="T255" s="3">
        <f>257.3+(670-133)+(0.131223+(0.3417-0.06783))+0-0-0</f>
        <v>794.70509299999992</v>
      </c>
      <c r="U255" s="3">
        <f>257.3+(603-135)+(0.131223+(0.30753-0.06885))+0-0-0</f>
        <v>725.66990299999998</v>
      </c>
      <c r="V255" s="3">
        <f>252.3+(621.3-135.4)+(-0.386019+(-0.950589--0.207162))+0-0-0</f>
        <v>737.07055400000002</v>
      </c>
      <c r="W255" s="3">
        <f>252.7+(729.8-153.9)+(0.128877+(0.372198-0.078489))+0-0-0</f>
        <v>829.02258599999993</v>
      </c>
      <c r="X255" s="3">
        <f>250.2+(726.8-146.5)+(-0.63801+(-1.85334--0.373575))+0-0-0</f>
        <v>828.38222499999995</v>
      </c>
      <c r="Y255" s="3">
        <f>199.1+(744.1-126.7)+(-0.101541+(-0.379491--0.064617))+0-0-0</f>
        <v>816.08358499999997</v>
      </c>
      <c r="Z255" s="3">
        <f>180+(717.2-100.6)+(0+(0-0))+0-0-0</f>
        <v>796.6</v>
      </c>
      <c r="AA255" s="3">
        <f>180+(691.1-86.6)+(-0.0918+(-0.352461--0.044166))+0-0-0</f>
        <v>784.09990500000004</v>
      </c>
      <c r="AB255" s="3">
        <f>178.2+(669.3-92)+(-0.45441+(-1.706715--0.2346))+0-0-0</f>
        <v>753.57347500000003</v>
      </c>
      <c r="AC255" s="3">
        <f>29.6+(727.8-30.2)+(-0.030192+(-0.742356--0.030804))+0-0-0</f>
        <v>726.45825599999989</v>
      </c>
      <c r="AD255" s="2">
        <v>833.3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0+(769.3-72.7)+(0+(1.177029-0.111231))+0-0-0</f>
        <v>697.66579799999988</v>
      </c>
      <c r="G256" s="3">
        <f>0+(740.3-70.1)+(0+(0-0))+0-0-0</f>
        <v>670.19999999999993</v>
      </c>
      <c r="H256" s="3">
        <f>0+(716.7-43.5)+(0+(0.365517-0.022185))+0-0-0</f>
        <v>673.54333200000008</v>
      </c>
      <c r="I256" s="3">
        <f>0+(712.9-44.1)+(0+(-0.363579--0.022491))+0-0-0</f>
        <v>668.45891199999994</v>
      </c>
      <c r="J256" s="3">
        <f>0+(683-46.6)+(0+(0-0))+0-0-0</f>
        <v>636.4</v>
      </c>
      <c r="K256" s="3">
        <f>0+(680.3-59.3)+(0+(0.693906-0.060486))+0-0-0</f>
        <v>621.63342</v>
      </c>
      <c r="L256" s="3">
        <f>0+(752.6-132.2)+(0+(-3.454434--0.606798))+0-0-0</f>
        <v>617.55236400000013</v>
      </c>
      <c r="M256" s="3">
        <f>0+(716.1-114.6)+(0+(0.730422-0.116892))+0-0-0</f>
        <v>602.11352999999997</v>
      </c>
      <c r="N256" s="3">
        <f>0+(721.4-96.4)+(0+(-0.735828--0.098328))+0-0-0</f>
        <v>624.36249999999995</v>
      </c>
      <c r="O256" s="3">
        <f>0+(805-152.3)+(0+(0.8211-0.155346))+0-0-0</f>
        <v>653.36575400000004</v>
      </c>
      <c r="P256" s="3">
        <f>0+(826.8-159.9)+(0+(0.421668-0.081549))+0-0-0</f>
        <v>667.24011899999994</v>
      </c>
      <c r="Q256" s="3">
        <f>0+(822.3-150.3)+(0+(-0.838746--0.153306))+0-0-0</f>
        <v>671.31456000000003</v>
      </c>
      <c r="R256" s="3">
        <f>0+(828.2-166.9)+(0+(-1.689528--0.340476))+0-0-0</f>
        <v>659.95094800000004</v>
      </c>
      <c r="S256" s="3">
        <f>0+(824.9-170.8)+(0+(-0.841398--0.174216))+0-0-0</f>
        <v>653.43281799999988</v>
      </c>
      <c r="T256" s="3">
        <f>0+(810-164.2)+(0+(-1.6524--0.334968))+0-0-0</f>
        <v>644.4825679999999</v>
      </c>
      <c r="U256" s="3">
        <f>0+(811.2-169.3)+(0+(-0.827424--0.172686))+0-0-0</f>
        <v>641.24526200000014</v>
      </c>
      <c r="V256" s="3">
        <f>0+(813.3-161.4)+(0+(0-0))+0-0-0</f>
        <v>651.9</v>
      </c>
      <c r="W256" s="3">
        <f>0+(996.8-249.1)+(0+(0-0))+0-0-0</f>
        <v>747.69999999999993</v>
      </c>
      <c r="X256" s="3">
        <f>0+(1033.1-267.4)+(0+(-2.107524--0.545496))+0-0-0</f>
        <v>764.13797199999988</v>
      </c>
      <c r="Y256" s="3">
        <f>0+(1032.5-268.2)+(0+(1.579725-0.410346))+0-0-0</f>
        <v>765.469379</v>
      </c>
      <c r="Z256" s="3">
        <f>0+(1003.5-253.2)+(0+(-1.535355--0.387396))+0-0-0</f>
        <v>749.15204099999994</v>
      </c>
      <c r="AA256" s="3">
        <f>0+(960.2-223.1)+(0+(-0.979404--0.227562))+0-0-0</f>
        <v>736.34815800000001</v>
      </c>
      <c r="AB256" s="3">
        <f>0+(932.2-210.4)+(0+(-1.426266--0.321912))+0-0-0</f>
        <v>720.69564600000012</v>
      </c>
      <c r="AC256" s="3">
        <f>0+(835-147.4)+(0+(-1.7034--0.300696))+0-0-0</f>
        <v>686.19729600000005</v>
      </c>
      <c r="AD256" s="2">
        <v>766.9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0+(715.1-69.4)+(0+(-1.823505--0.17697))+0-0-0</f>
        <v>644.05346500000007</v>
      </c>
      <c r="G257" s="3">
        <f>0+(636-15.1)+(0+(-1.29744--0.030804))+0-0-0</f>
        <v>619.63336400000003</v>
      </c>
      <c r="H257" s="3">
        <f>0+(640.5-34.9)+(0+(-0.65331--0.035598))+0-0-0</f>
        <v>604.98228800000004</v>
      </c>
      <c r="I257" s="3">
        <f>0+(665-61.1)+(0+(-1.01745--0.093483))+0-0-0</f>
        <v>602.97603300000003</v>
      </c>
      <c r="J257" s="3">
        <f>0+(685.6-76.1)+(0+(0-0))+0-0-0</f>
        <v>609.5</v>
      </c>
      <c r="K257" s="3">
        <f>0+(656.6-43.5)+(0+(1.004598-0.066555))+0-0-0</f>
        <v>614.03804300000002</v>
      </c>
      <c r="L257" s="3">
        <f>12+(678.8-30.1)+(-0.01224+(-0.692376--0.030702))+0-0-0</f>
        <v>660.02608599999996</v>
      </c>
      <c r="M257" s="3">
        <f>177.9+(667.8-147)+(0.453645+(1.70289-0.37485))+0-0-0</f>
        <v>700.48168499999997</v>
      </c>
      <c r="N257" s="3">
        <f>260.8+(680.4-173.3)+(0.266016+(0.694008-0.176766))+0-0-0</f>
        <v>768.68325800000002</v>
      </c>
      <c r="O257" s="3">
        <f>251.7+(640-80.6)+(0.256734+(0.6528-0.082212))+0-0-0</f>
        <v>811.92732199999989</v>
      </c>
      <c r="P257" s="3">
        <f>250.9+(646.3-82.9)+(-0.127959+(-0.329613--0.042279))+0-0-0</f>
        <v>813.88470699999993</v>
      </c>
      <c r="Q257" s="3">
        <f>250.8+(657-75.4)+(-0.255816+(-0.67014--0.076908))+0-0-0</f>
        <v>831.55095200000005</v>
      </c>
      <c r="R257" s="3">
        <f>248.7+(661.1-83.8)+(-0.634185+(-1.685805--0.21369))+0-0-0</f>
        <v>823.89369999999997</v>
      </c>
      <c r="S257" s="3">
        <f>196.8+(690.8-86.3)+(0.100368+(0.352308-0.044013))+0-0-0</f>
        <v>801.708663</v>
      </c>
      <c r="T257" s="3">
        <f>247.8+(674.7-130.3)+(0+(0-0))+0-0-0</f>
        <v>792.2</v>
      </c>
      <c r="U257" s="3">
        <f>247.7+(676.4-132.7)+(-0.378981+(-1.034892--0.203031))+0-0-0</f>
        <v>790.18915800000013</v>
      </c>
      <c r="V257" s="3">
        <f>250.4+(683.3-135.6)+(0.127704+(0.348483-0.069156))+0-0-0</f>
        <v>798.50703099999987</v>
      </c>
      <c r="W257" s="3">
        <f>255.5+(801.7-170.6)+(-0.26061+(-0.817734--0.174012))+0-0-0</f>
        <v>885.69566800000007</v>
      </c>
      <c r="X257" s="3">
        <f>256.1+(789.3-161.6)+(0.130611+(0.402543-0.082416))+0-0-0</f>
        <v>884.25073799999996</v>
      </c>
      <c r="Y257" s="3">
        <f>253.5+(746.9-140.2)+(-0.387855+(-1.142757--0.214506))+0-0-0</f>
        <v>858.88389400000005</v>
      </c>
      <c r="Z257" s="3">
        <f>251.6+(708.4-117.2)+(-0.769896+(-2.167704--0.358632))+0-0-0</f>
        <v>840.22103199999992</v>
      </c>
      <c r="AA257" s="3">
        <f>250+(686.4-116.2)+(-0.8925+(-2.450448--0.414834))+0-0-0</f>
        <v>817.27188599999988</v>
      </c>
      <c r="AB257" s="3">
        <f>85.4+(849.1-135)+(-0.21777+(-2.165205--0.34425))+0-0-0</f>
        <v>797.461275</v>
      </c>
      <c r="AC257" s="3">
        <f>2.8+(802.7-46.6)+(-0.00714+(-2.046885--0.11883))+0-0-0</f>
        <v>756.96480499999996</v>
      </c>
      <c r="AD257" s="2">
        <v>884.09999999999991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0+(743.8-27.2)+(0+(-0.379338--0.013872))+0-0-0</f>
        <v>716.23453399999994</v>
      </c>
      <c r="G258" s="3">
        <f>0+(724.5-33.2)+(0+(-1.47798--0.067728))+0-0-0</f>
        <v>689.88974799999994</v>
      </c>
      <c r="H258" s="3">
        <f>0+(699.4-25.3)+(0+(0-0))+0-0-0</f>
        <v>674.1</v>
      </c>
      <c r="I258" s="3">
        <f>0+(690.3-27.5)+(0+(1.056159-0.042075))+0-0-0</f>
        <v>663.81408399999998</v>
      </c>
      <c r="J258" s="3">
        <f>0+(694.5-29.6)+(0+(1.41678-0.060384))+0-0-0</f>
        <v>666.256396</v>
      </c>
      <c r="K258" s="3">
        <f>0+(696.6-27.1)+(0+(-0.710532--0.027642))+0-0-0</f>
        <v>668.81710999999996</v>
      </c>
      <c r="L258" s="3">
        <f>0+(724.5-22.8)+(0+(0-0))+0-0-0</f>
        <v>701.7</v>
      </c>
      <c r="M258" s="3">
        <f>0+(773.4-27.4)+(0+(1.183302-0.041922))+0-0-0</f>
        <v>747.14138000000003</v>
      </c>
      <c r="N258" s="3">
        <f>0+(816.5-26.5)+(0+(0-0))+0-0-0</f>
        <v>790</v>
      </c>
      <c r="O258" s="3">
        <f>0+(870.3-38.2)+(0+(0-0))+0-0-0</f>
        <v>832.09999999999991</v>
      </c>
      <c r="P258" s="3">
        <f>0+(934.6-78.8)+(0+(0-0))+0-0-0</f>
        <v>855.80000000000007</v>
      </c>
      <c r="Q258" s="3">
        <f>0+(945.3-88.8)+(0+(-1.446309--0.135864))+0-0-0</f>
        <v>855.18955500000004</v>
      </c>
      <c r="R258" s="3">
        <f>0+(910.2-68.9)+(0+(-2.32101--0.175695))+0-0-0</f>
        <v>839.15468500000009</v>
      </c>
      <c r="S258" s="3">
        <f>0+(859.6-58)+(0+(-0.876792--0.05916))+0-0-0</f>
        <v>800.78236800000002</v>
      </c>
      <c r="T258" s="3">
        <f>0+(863.8-61.9)+(0+(-0.440538--0.031569))+0-0-0</f>
        <v>801.49103100000002</v>
      </c>
      <c r="U258" s="3">
        <f>0+(854.6-61.8)+(0+(1.307538-0.094554))+0-0-0</f>
        <v>794.01298400000007</v>
      </c>
      <c r="V258" s="3">
        <f>79.3+(819.4-91.6)+(0.040443+(0.417894-0.046716))+0-0-0</f>
        <v>807.51162099999988</v>
      </c>
      <c r="W258" s="3">
        <f>130.8+(984.3-220)+(0.133416+(1.003986-0.2244))+0-0-0</f>
        <v>896.01300199999991</v>
      </c>
      <c r="X258" s="3">
        <f>134.5+(1022.8-253.4)+(0+(0-0))+0-0-0</f>
        <v>903.9</v>
      </c>
      <c r="Y258" s="3">
        <f>135.1+(935-194.4)+(0.137802+(0.9537-0.198288))+0-0-0</f>
        <v>876.59321399999999</v>
      </c>
      <c r="Z258" s="3">
        <f>135.7+(876.1-156.2)+(0+(0-0))+0-0-0</f>
        <v>855.60000000000014</v>
      </c>
      <c r="AA258" s="3">
        <f>135.9+(857-161.9)+(-0.138618+(-0.87414--0.165138))+0-0-0</f>
        <v>830.15237999999999</v>
      </c>
      <c r="AB258" s="3">
        <f>44.5+(910.4-157.8)+(-0.113475+(-2.32152--0.40239))+0-0-0</f>
        <v>795.06739499999992</v>
      </c>
      <c r="AC258" s="3">
        <f>0+(828.1-71.6)+(0+(-2.111655--0.18258))+0-0-0</f>
        <v>754.57092499999999</v>
      </c>
      <c r="AD258" s="2">
        <v>904.99999999999989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0+(737.7-22.9)+(0+(-1.128681--0.035037))+0-0-0</f>
        <v>713.70635600000003</v>
      </c>
      <c r="G259" s="3">
        <f>0+(725.5-28.9)+(0+(-0.74001--0.029478))+0-0-0</f>
        <v>695.88946800000008</v>
      </c>
      <c r="H259" s="3">
        <f>0+(735.3-54.3)+(0+(-0.750006--0.055386))+0-0-0</f>
        <v>680.30538000000001</v>
      </c>
      <c r="I259" s="3">
        <f>0+(766.9-84.2)+(0+(-1.173357--0.128826))+0-0-0</f>
        <v>681.65546899999993</v>
      </c>
      <c r="J259" s="3">
        <f>0+(777.4-96.8)+(0+(0.396474-0.049368))+0-0-0</f>
        <v>680.94710600000008</v>
      </c>
      <c r="K259" s="3">
        <f>0+(762.5-80.1)+(0+(0-0))+0-0-0</f>
        <v>682.4</v>
      </c>
      <c r="L259" s="3">
        <f>0+(778.1-60.9)+(0+(-1.984155--0.155295))+0-0-0</f>
        <v>715.37114000000008</v>
      </c>
      <c r="M259" s="3">
        <f>0+(778.5-36.8)+(0+(1.985175-0.09384))+0-0-0</f>
        <v>743.59133500000007</v>
      </c>
      <c r="N259" s="3">
        <f>0+(856.7-51.1)+(0+(0.873834-0.052122))+0-0-0</f>
        <v>806.42171200000007</v>
      </c>
      <c r="O259" s="3">
        <f>0+(896.6-55)+(0+(1.371798-0.08415))+0-0-0</f>
        <v>842.88764800000001</v>
      </c>
      <c r="P259" s="3">
        <f>140.2+(815.6-109.3)+(-0.35751+(-2.07978--0.278715))+0-0-0</f>
        <v>844.34142499999996</v>
      </c>
      <c r="Q259" s="3">
        <f>255.9+(771.1-168.1)+(-0.522036+(-1.573044--0.342924))+0-0-0</f>
        <v>857.14784399999996</v>
      </c>
      <c r="R259" s="3">
        <f>253.7+(776.7-176.2)+(-1.035096+(-3.168936--0.718896))+0-0-0</f>
        <v>850.71486400000003</v>
      </c>
      <c r="S259" s="3">
        <f>251.9+(747.9-176.4)+(-0.385407+(-1.144287--0.269892))+0-0-0</f>
        <v>822.14019799999994</v>
      </c>
      <c r="T259" s="3">
        <f>250.3+(761.4-185.6)+(-0.127653+(-0.388314--0.094656))+0-0-0</f>
        <v>825.67868899999996</v>
      </c>
      <c r="U259" s="3">
        <f>210.9+(733.9-117.2)+(-0.107559+(-0.374289--0.059772))+0-0-0</f>
        <v>827.17792399999996</v>
      </c>
      <c r="V259" s="3">
        <f>223.3+(734.7-137.1)+(0.113883+(0.374697-0.069921))+0-0-0</f>
        <v>821.31865900000014</v>
      </c>
      <c r="W259" s="3">
        <f>253.3+(792.5-136.8)+(0+(0-0))+0-0-0</f>
        <v>909</v>
      </c>
      <c r="X259" s="3">
        <f>250.8+(775-112.3)+(-0.63954+(-1.97625--0.286365))+0-0-0</f>
        <v>911.17057499999999</v>
      </c>
      <c r="Y259" s="3">
        <f>252.1+(725.9-92.6)+(-0.514284+(-1.480836--0.188904))+0-0-0</f>
        <v>883.59378400000003</v>
      </c>
      <c r="Z259" s="3">
        <f>182.9+(761.2-68.3)+(-0.186558+(-0.776424--0.069666))+0-0-0</f>
        <v>874.90668400000004</v>
      </c>
      <c r="AA259" s="3">
        <f>100+(791.3-52)+(-0.306+(-2.421378--0.15912))+0-0-0</f>
        <v>836.73174199999994</v>
      </c>
      <c r="AB259" s="3">
        <f>63.1+(797.5-48.3)+(-0.160905+(-2.033625--0.123165))+0-0-0</f>
        <v>810.22863500000005</v>
      </c>
      <c r="AC259" s="3">
        <f>19.7+(809.1-46.7)+(-0.030141+(-1.237923--0.071451))+0-0-0</f>
        <v>780.90338700000007</v>
      </c>
      <c r="AD259" s="2">
        <v>907.00000000000011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0+(812.7-74.5)+(0+(0-0))+0-0-0</f>
        <v>738.2</v>
      </c>
      <c r="G260" s="3">
        <f>0+(774.2-65)+(0+(-0.789684--0.0663))+0-0-0</f>
        <v>708.47661600000004</v>
      </c>
      <c r="H260" s="3">
        <f>0+(773.4-77)+(0+(0.394434-0.03927))+0-0-0</f>
        <v>696.75516399999992</v>
      </c>
      <c r="I260" s="3">
        <f>0+(762.8-69.4)+(0+(1.167084-0.106182))+0-0-0</f>
        <v>694.46090200000003</v>
      </c>
      <c r="J260" s="3">
        <f>0+(765-75.9)+(0+(0-0))+0-0-0</f>
        <v>689.1</v>
      </c>
      <c r="K260" s="3">
        <f>0+(788.4-92)+(0+(0.804168-0.09384))+0-0-0</f>
        <v>697.11032799999998</v>
      </c>
      <c r="L260" s="3">
        <f>0+(831.5-98.6)+(0+(-0.84813--0.100572))+0-0-0</f>
        <v>732.15244199999995</v>
      </c>
      <c r="M260" s="3">
        <f>0+(818.3-56.5)+(0+(0.834666-0.05763))+0-0-0</f>
        <v>762.57703599999991</v>
      </c>
      <c r="N260" s="3">
        <f>138.3+(733.7-59)+(0.141066+(0.748374-0.06018))+0-0-0</f>
        <v>813.82925999999998</v>
      </c>
      <c r="O260" s="3">
        <f>247.9+(747.1-138.1)+(-0.758574+(-2.286126--0.422586))+0-0-0</f>
        <v>854.27788599999997</v>
      </c>
      <c r="P260" s="3">
        <f>99.6+(920.3-146.7)+(0+(0-0))+0-0-0</f>
        <v>873.19999999999993</v>
      </c>
      <c r="Q260" s="3">
        <f>97.1+(939.7-163.4)+(0.049521+(0.479247-0.083334))+0-0-0</f>
        <v>873.84543400000007</v>
      </c>
      <c r="R260" s="3">
        <f>97.1+(920.7-159.3)+(-0.099042+(-0.939114--0.162486))+0-0-0</f>
        <v>857.6243300000001</v>
      </c>
      <c r="S260" s="3">
        <f>97+(883.9-144.9)+(-0.14841+(-1.352367--0.221697))+0-0-0</f>
        <v>834.72091999999998</v>
      </c>
      <c r="T260" s="3">
        <f>120.9+(818.8-112.2)+(0.123318+(0.835176-0.114444))+0-0-0</f>
        <v>828.34404999999992</v>
      </c>
      <c r="U260" s="3">
        <f>157+(792.6-118.1)+(-0.16014+(-0.808452--0.120462))+0-0-0</f>
        <v>830.65187000000003</v>
      </c>
      <c r="V260" s="3">
        <f>169.5+(797.9-129.9)+(-0.086445+(-0.406929--0.066249))+0-0-0</f>
        <v>837.07287499999995</v>
      </c>
      <c r="W260" s="3">
        <f>259+(856.9-205.8)+(0.13209+(0.437019-0.104958))+0-0-0</f>
        <v>910.56415099999992</v>
      </c>
      <c r="X260" s="3">
        <f>263.2+(838.2-194.3)+(-0.67116+(-2.13741--0.495465))+0-0-0</f>
        <v>904.78689500000019</v>
      </c>
      <c r="Y260" s="3">
        <f>263.1+(802.4-174.4)+(-0.536724+(-1.636896--0.355776))+0-0-0</f>
        <v>889.28215599999999</v>
      </c>
      <c r="Z260" s="3">
        <f>263.4+(745.3-145.4)+(-0.537336+(-1.520412--0.296616))+0-0-0</f>
        <v>861.53886799999998</v>
      </c>
      <c r="AA260" s="3">
        <f>263.6+(705.2-123.8)+(-0.403308+(-1.078956--0.189414))+0-0-0</f>
        <v>843.70715000000007</v>
      </c>
      <c r="AB260" s="3">
        <f>219.1+(765.2-172)+(-0.558705+(-1.95126--0.4386))+0-0-0</f>
        <v>810.22863500000005</v>
      </c>
      <c r="AC260" s="3">
        <f>20.6+(802.6-51.7)+(-0.042024+(-1.637304--0.105468))+0-0-0</f>
        <v>769.92614000000003</v>
      </c>
      <c r="AD260" s="2">
        <v>915.90000000000009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0+(757.9-33.2)+(0+(-2.319174--0.101592))+0-0-0</f>
        <v>722.48241799999994</v>
      </c>
      <c r="G261" s="3">
        <f>0+(729.7-33.2)+(0+(0.372147-0.016932))+0-0-0</f>
        <v>696.85521500000004</v>
      </c>
      <c r="H261" s="3">
        <f>0+(728.7-36.7)+(0+(0-0))+0-0-0</f>
        <v>692</v>
      </c>
      <c r="I261" s="3">
        <f>0+(729.6-40.6)+(0+(0-0))+0-0-0</f>
        <v>689</v>
      </c>
      <c r="J261" s="3">
        <f>0+(725.8-42.6)+(0+(1.480632-0.086904))+0-0-0</f>
        <v>684.59372799999994</v>
      </c>
      <c r="K261" s="3">
        <f>0+(729.7-41.8)+(0+(1.488588-0.085272))+0-0-0</f>
        <v>689.30331600000011</v>
      </c>
      <c r="L261" s="3">
        <f>0+(779.1-58.8)+(0+(0.794682-0.059976))+0-0-0</f>
        <v>721.03470600000003</v>
      </c>
      <c r="M261" s="3">
        <f>0+(897.3-134.3)+(0+(-0.915246--0.136986))+0-0-0</f>
        <v>762.22173999999995</v>
      </c>
      <c r="N261" s="3">
        <f>0+(963.8-140)+(0+(1.474614-0.2142))+0-0-0</f>
        <v>825.06041399999992</v>
      </c>
      <c r="O261" s="3">
        <f>0+(1087.6-222.1)+(0+(0.554676-0.113271))+0-0-0</f>
        <v>865.94140499999992</v>
      </c>
      <c r="P261" s="3">
        <f>0+(1131-261.6)+(0+(-0.57681--0.133416))+0-0-0</f>
        <v>868.95660599999997</v>
      </c>
      <c r="Q261" s="3">
        <f>0+(1161-287.4)+(0+(-2.36844--0.586296))+0-0-0</f>
        <v>871.81785600000001</v>
      </c>
      <c r="R261" s="3">
        <f>0+(1118.9-250.8)+(0+(-2.853195--0.63954))+0-0-0</f>
        <v>865.88634500000012</v>
      </c>
      <c r="S261" s="3">
        <f>0+(1094.9-251)+(0+(-4.467192--1.02408))+0-0-0</f>
        <v>840.45688800000005</v>
      </c>
      <c r="T261" s="3">
        <f>0+(993.8-150.5)+(0+(0.506838-0.076755))+0-0-0</f>
        <v>843.73008299999992</v>
      </c>
      <c r="U261" s="3">
        <f>16.4+(931.8-113.7)+(-0.025092+(-1.425654--0.173961))+0-0-0</f>
        <v>833.22321499999987</v>
      </c>
      <c r="V261" s="3">
        <f>150.9+(824.5-130.5)+(-0.307836+(-1.68198--0.26622))+0-0-0</f>
        <v>843.17640399999993</v>
      </c>
      <c r="W261" s="3">
        <f>364.3+(756.6-206.5)+(-0.371586+(-0.771732--0.21063))+0-0-0</f>
        <v>913.46731200000011</v>
      </c>
      <c r="X261" s="3">
        <f>304.3+(748.5-148.9)+(-0.931158+(-2.29041--0.455634))+0-0-0</f>
        <v>901.13406600000008</v>
      </c>
      <c r="Y261" s="3">
        <f>283.5+(729.3-131.2)+(-0.57834+(-1.487772--0.267648))+0-0-0</f>
        <v>879.80153599999994</v>
      </c>
      <c r="Z261" s="3">
        <f>243.1+(719.2-96.8)+(-0.619905+(-1.83396--0.24684))+0-0-0</f>
        <v>863.29297500000007</v>
      </c>
      <c r="AA261" s="3">
        <f>184.8+(761.3-109.4)+(-0.282744+(-1.164789--0.167382))+0-0-0</f>
        <v>835.419849</v>
      </c>
      <c r="AB261" s="3">
        <f>79.9+(941.9-205)+(-0.162996+(-1.921476--0.4182))+0-0-0</f>
        <v>815.13372799999991</v>
      </c>
      <c r="AC261" s="3">
        <f>0+(1067.2-284.3)+(0+(-0.544272--0.144993))+0-0-0</f>
        <v>782.50072100000011</v>
      </c>
      <c r="AD261" s="2">
        <v>915.30000000000007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0+(980.5-232.8)+(0+(-2.00022--0.474912))+0-0-0</f>
        <v>746.17469200000005</v>
      </c>
      <c r="G262" s="3">
        <f>0+(855.1-144.8)+(0+(-0.872202--0.147696))+0-0-0</f>
        <v>709.57549399999994</v>
      </c>
      <c r="H262" s="3">
        <f>0+(801.1-105.3)+(0+(-0.408561--0.053703))+0-0-0</f>
        <v>695.44514200000003</v>
      </c>
      <c r="I262" s="3">
        <f>0+(802-111.3)+(0+(0.40902-0.056763))+0-0-0</f>
        <v>691.05225700000005</v>
      </c>
      <c r="J262" s="3">
        <f>0+(791.2-103.4)+(0+(-1.614048--0.210936))+0-0-0</f>
        <v>686.3968880000001</v>
      </c>
      <c r="K262" s="3">
        <f>0+(793.8-106.6)+(0+(0.809676-0.108732))+0-0-0</f>
        <v>687.90094399999998</v>
      </c>
      <c r="L262" s="3">
        <f>0+(836.9-132.6)+(0+(-0.426819--0.067626))+0-0-0</f>
        <v>703.94080699999995</v>
      </c>
      <c r="M262" s="3">
        <f>0+(917.2-195.4)+(0+(-0.467772--0.099654))+0-0-0</f>
        <v>721.43188200000009</v>
      </c>
      <c r="N262" s="3">
        <f>0+(1011-235.3)+(0+(1.54683-0.360009))+0-0-0</f>
        <v>776.88682100000005</v>
      </c>
      <c r="O262" s="3">
        <f>0+(1128.6-300.8)+(0+(0.575586-0.153408))+0-0-0</f>
        <v>828.22217799999999</v>
      </c>
      <c r="P262" s="3">
        <f>0+(1164.3-312.7)+(0+(2.375172-0.637908))+0-0-0</f>
        <v>853.33726399999989</v>
      </c>
      <c r="Q262" s="3">
        <f>0+(1187-326.6)+(0+(-1.81611--0.499698))+0-0-0</f>
        <v>859.08358799999996</v>
      </c>
      <c r="R262" s="3">
        <f>0+(1134.1-290.6)+(0+(-3.470346--0.889236))+0-0-0</f>
        <v>840.91888999999992</v>
      </c>
      <c r="S262" s="3">
        <f>0+(1077.9-273.3)+(0+(-1.099458--0.278766))+0-0-0</f>
        <v>803.77930800000013</v>
      </c>
      <c r="T262" s="3">
        <f>0+(1044-255.3)+(0+(-0.53244--0.130203))+0-0-0</f>
        <v>788.29776300000003</v>
      </c>
      <c r="U262" s="3">
        <f>0+(1081.9-303.6)+(0+(1.103538-0.309672))+0-0-0</f>
        <v>779.09386600000005</v>
      </c>
      <c r="V262" s="3">
        <f>0+(1121.9-338.5)+(0+(-2.288676--0.69054))+0-0-0</f>
        <v>781.80186400000014</v>
      </c>
      <c r="W262" s="3">
        <f>0+(1259.8-401.6)+(0+(0.642498-0.204816))+0-0-0</f>
        <v>858.63768199999993</v>
      </c>
      <c r="X262" s="3">
        <f>0+(1277.9-412.5)+(0+(-3.910374--1.26225))+0-0-0</f>
        <v>862.75187600000004</v>
      </c>
      <c r="Y262" s="3">
        <f>0+(1232-388.1)+(0+(-2.51328--0.791724))+0-0-0</f>
        <v>842.17844400000001</v>
      </c>
      <c r="Z262" s="3">
        <f>0+(1176.8-355.1)+(0+(-2.400672--0.724404))+0-0-0</f>
        <v>820.02373199999988</v>
      </c>
      <c r="AA262" s="3">
        <f>0+(1156.3-353.6)+(0+(-1.179426--0.360672))+0-0-0</f>
        <v>801.88124599999992</v>
      </c>
      <c r="AB262" s="3">
        <f>0+(1142.4-358.1)+(0+(-0.582624--0.182631))+0-0-0</f>
        <v>783.90000700000007</v>
      </c>
      <c r="AC262" s="3">
        <f>0+(1033.9-278.8)+(0+(-2.636445--0.71094))+0-0-0</f>
        <v>753.17449500000009</v>
      </c>
      <c r="AD262" s="2">
        <v>852.89999999999986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0+(977.3-260.7)+(0+(0-0))+0-0-0</f>
        <v>716.59999999999991</v>
      </c>
      <c r="G263" s="3">
        <f>0+(853.8-169.6)+(0+(-1.306314--0.259488))+0-0-0</f>
        <v>683.15317399999992</v>
      </c>
      <c r="H263" s="3">
        <f>0+(800.5-136.6)+(0+(0-0))+0-0-0</f>
        <v>663.9</v>
      </c>
      <c r="I263" s="3">
        <f>0+(797.1-140.9)+(0+(0.813042-0.143718))+0-0-0</f>
        <v>656.86932400000001</v>
      </c>
      <c r="J263" s="3">
        <f>0+(784.7-139.2)+(0+(-1.200591--0.212976))+0-0-0</f>
        <v>644.51238499999999</v>
      </c>
      <c r="K263" s="3">
        <f>0+(765.5-134)+(0+(1.171215-0.20502))+0-0-0</f>
        <v>632.46619499999997</v>
      </c>
      <c r="L263" s="3">
        <f>0+(787.6-152.5)+(0+(-0.803352--0.15555))+0-0-0</f>
        <v>634.45219800000007</v>
      </c>
      <c r="M263" s="3">
        <f>0+(756.6-144.3)+(0+(-2.315196--0.441558))+0-0-0</f>
        <v>610.42636199999993</v>
      </c>
      <c r="N263" s="3">
        <f>0+(788.3-153.9)+(0+(-1.206099--0.235467))+0-0-0</f>
        <v>633.42936799999995</v>
      </c>
      <c r="O263" s="3">
        <f>0+(875.2-199.6)+(0+(0-0))+0-0-0</f>
        <v>675.6</v>
      </c>
      <c r="P263" s="3">
        <f>45.7+(905.8-263.7)+(0+(0-0))+0-0-0</f>
        <v>687.8</v>
      </c>
      <c r="Q263" s="3">
        <f>90+(891.6-277.7)+(-0.0918+(-0.909432--0.283254))+0-0-0</f>
        <v>703.18202200000007</v>
      </c>
      <c r="R263" s="3">
        <f>69.4+(868.3-240.7)+(-0.141576+(-1.771332--0.491028))+0-0-0</f>
        <v>695.5781199999999</v>
      </c>
      <c r="S263" s="3">
        <f>47.7+(802.3-173.4)+(-0.024327+(-0.409173--0.088434))+0-0-0</f>
        <v>676.25493400000005</v>
      </c>
      <c r="T263" s="3">
        <f>47+(714-89.4)+(-0.16779+(-2.54898--0.319158))+0-0-0</f>
        <v>669.20238800000004</v>
      </c>
      <c r="U263" s="3">
        <f>86.5+(647-68.8)+(0.044115+(0.32997-0.035088))+0-0-0</f>
        <v>665.03899699999999</v>
      </c>
      <c r="V263" s="3">
        <f>47.5+(723.2-91.5)+(-0.024225+(-0.368832--0.046665))+0-0-0</f>
        <v>678.85360800000001</v>
      </c>
      <c r="W263" s="3">
        <f>0+(907.7-150.7)+(0+(0-0))+0-0-0</f>
        <v>757</v>
      </c>
      <c r="X263" s="3">
        <f>0+(895.7-124)+(0+(-1.370421--0.18972))+0-0-0</f>
        <v>770.51929900000005</v>
      </c>
      <c r="Y263" s="3">
        <f>0+(865.7-104.6)+(0+(-1.324521--0.160038))+0-0-0</f>
        <v>759.935517</v>
      </c>
      <c r="Z263" s="3">
        <f>0+(843.8-94.4)+(0+(-2.15169--0.24072))+0-0-0</f>
        <v>747.48902999999996</v>
      </c>
      <c r="AA263" s="3">
        <f>0+(836.7-96.4)+(0+(0-0))+0-0-0</f>
        <v>740.30000000000007</v>
      </c>
      <c r="AB263" s="3">
        <f>0+(835.8-121)+(0+(-1.705032--0.24684))+0-0-0</f>
        <v>713.3418079999999</v>
      </c>
      <c r="AC263" s="3">
        <f>0+(744.8-56)+(0+(-2.658936--0.19992))+0-0-0</f>
        <v>686.34098399999993</v>
      </c>
      <c r="AD263" s="2">
        <v>769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0+(692.9-41.3)+(0+(1.766895-0.105315))+0-0-0</f>
        <v>653.26157999999998</v>
      </c>
      <c r="G264" s="3">
        <f>0+(664.8-34.4)+(0+(0.678096-0.035088))+0-0-0</f>
        <v>631.04300799999999</v>
      </c>
      <c r="H264" s="3">
        <f>0+(649.7-33.1)+(0+(-0.994041--0.050643))+0-0-0</f>
        <v>615.65660200000002</v>
      </c>
      <c r="I264" s="3">
        <f>0+(650.7-35.1)+(0+(0-0))+0-0-0</f>
        <v>615.6</v>
      </c>
      <c r="J264" s="3">
        <f>0+(651.3-35.6)+(0+(0.332163-0.018156))+0-0-0</f>
        <v>616.01400699999988</v>
      </c>
      <c r="K264" s="3">
        <f>0+(663.7-35.5)+(0+(1.353948-0.07242))+0-0-0</f>
        <v>629.48152800000003</v>
      </c>
      <c r="L264" s="3">
        <f>0+(752.2-76.7)+(0+(1.150866-0.117351))+0-0-0</f>
        <v>676.53351499999997</v>
      </c>
      <c r="M264" s="3">
        <f>0+(812.1-88.1)+(0+(-1.242513--0.134793))+0-0-0</f>
        <v>722.89228000000003</v>
      </c>
      <c r="N264" s="3">
        <f>73.9+(801.8-80.7)+(0.037689+(0.408918-0.041157))+0-0-0</f>
        <v>795.40544999999986</v>
      </c>
      <c r="O264" s="3">
        <f>116.7+(773.8-47.6)+(-0.238068+(-1.578552--0.097104))+0-0-0</f>
        <v>841.18048399999998</v>
      </c>
      <c r="P264" s="3">
        <f>179.3+(774.1-94)+(0.182886+(0.789582-0.09588))+0-0-0</f>
        <v>860.27658800000006</v>
      </c>
      <c r="Q264" s="3">
        <f>193.6+(751.2-63.5)+(-0.197472+(-0.766224--0.06477))+0-0-0</f>
        <v>880.40107400000011</v>
      </c>
      <c r="R264" s="3">
        <f>75.3+(908.2-115.4)+(-0.115209+(-1.389546--0.176562))+0-0-0</f>
        <v>866.77180699999997</v>
      </c>
      <c r="S264" s="3">
        <f>60+(930.4-141)+(-0.0306+(-0.474504--0.07191))+0-0-0</f>
        <v>848.96680600000002</v>
      </c>
      <c r="T264" s="3">
        <f>101.5+(846.4-102.5)+(0.051765+(0.431664-0.052275))+0-0-0</f>
        <v>845.83115399999997</v>
      </c>
      <c r="U264" s="3">
        <f>166.7+(794.4-113.1)+(-0.085017+(-0.405144--0.057681))+0-0-0</f>
        <v>847.56751999999994</v>
      </c>
      <c r="V264" s="3">
        <f>216.8+(754.1-104.1)+(0.110568+(0.384591-0.053091))+0-0-0</f>
        <v>867.2420679999999</v>
      </c>
      <c r="W264" s="3">
        <f>252+(843.5-157.9)+(-0.25704+(-0.86037--0.161058))+0-0-0</f>
        <v>936.64364799999998</v>
      </c>
      <c r="X264" s="3">
        <f>175.1+(948-194.6)+(-0.178602+(-0.96696--0.198492))+0-0-0</f>
        <v>927.55292999999995</v>
      </c>
      <c r="Y264" s="3">
        <f>159+(981.2-236.3)+(-0.32436+(-2.001648--0.482052))+0-0-0</f>
        <v>902.05604400000004</v>
      </c>
      <c r="Z264" s="3">
        <f>159.8+(956.8-230.2)+(0+(0-0))+0-0-0</f>
        <v>886.39999999999986</v>
      </c>
      <c r="AA264" s="3">
        <f>167.3+(895.3-203.4)+(-0.597261+(-3.196221--0.726138))+0-0-0</f>
        <v>856.132656</v>
      </c>
      <c r="AB264" s="3">
        <f>126.6+(887.6-193.3)+(-0.129132+(-0.905352--0.197166))+0-0-0</f>
        <v>820.062682</v>
      </c>
      <c r="AC264" s="3">
        <f>169.2+(739.3-120.9)+(-0.345168+(-1.508172--0.246636))+0-0-0</f>
        <v>785.99329599999987</v>
      </c>
      <c r="AD264" s="2">
        <v>926.1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95+(683.8-38)+(-0.1938+(-1.394952--0.07752))+0-0-0</f>
        <v>739.288768</v>
      </c>
      <c r="G265" s="3">
        <f>90+(656.8-31)+(0+(0-0))+0-0-0</f>
        <v>715.8</v>
      </c>
      <c r="H265" s="3">
        <f>90+(655.5-46.6)+(-0.1836+(-1.33722--0.095064))+0-0-0</f>
        <v>697.474244</v>
      </c>
      <c r="I265" s="3">
        <f>91+(663.2-58.6)+(0.18564+(1.352928-0.119544))+0-0-0</f>
        <v>697.01902400000006</v>
      </c>
      <c r="J265" s="3">
        <f>91+(639.1-45.2)+(0.04641+(0.325941-0.023052))+0-0-0</f>
        <v>685.24929899999995</v>
      </c>
      <c r="K265" s="3">
        <f>170+(587.7-70.7)+(0+(0-0))+0-0-0</f>
        <v>687</v>
      </c>
      <c r="L265" s="3">
        <f>258+(557.2-94.7)+(0+(0-0))+0-0-0</f>
        <v>720.5</v>
      </c>
      <c r="M265" s="3">
        <f>259+(619.8-116.9)+(0.26418+(0.632196-0.119238))+0-0-0</f>
        <v>762.67713800000001</v>
      </c>
      <c r="N265" s="3">
        <f>263+(646.7-113.6)+(-0.26826+(-0.659634--0.115872))+0-0-0</f>
        <v>795.28797800000007</v>
      </c>
      <c r="O265" s="3">
        <f>263+(657-62.1)+(0.40239+(1.00521-0.095013))+0-0-0</f>
        <v>859.21258699999998</v>
      </c>
      <c r="P265" s="3">
        <f>117+(792.7-36.5)+(-0.05967+(-0.404277--0.018615))+0-0-0</f>
        <v>872.75466800000004</v>
      </c>
      <c r="Q265" s="3">
        <f>0+(888.1-18.7)+(0+(-2.717586--0.057222))+0-0-0</f>
        <v>866.73963600000002</v>
      </c>
      <c r="R265" s="3">
        <f>0+(878.8-17.4)+(0+(0.896376-0.017748))+0-0-0</f>
        <v>862.27862800000003</v>
      </c>
      <c r="S265" s="3">
        <f>0+(853.5-21.1)+(0+(0-0))+0-0-0</f>
        <v>832.4</v>
      </c>
      <c r="T265" s="3">
        <f>0+(864.4-29.7)+(0+(0-0))+0-0-0</f>
        <v>834.69999999999993</v>
      </c>
      <c r="U265" s="3">
        <f>0+(877.2-36.9)+(0+(-0.894744--0.037638))+0-0-0</f>
        <v>839.44289400000002</v>
      </c>
      <c r="V265" s="3">
        <f>0+(882.7-39.8)+(0+(0-0))+0-0-0</f>
        <v>842.90000000000009</v>
      </c>
      <c r="W265" s="3">
        <f>0+(997.8-79.6)+(0+(-0.508878--0.040596))+0-0-0</f>
        <v>917.73171799999989</v>
      </c>
      <c r="X265" s="3">
        <f>0+(1016.9-87.7)+(0+(-2.593095--0.223635))+0-0-0</f>
        <v>926.83053999999993</v>
      </c>
      <c r="Y265" s="3">
        <f>0+(1003.4-93.7)+(0+(-2.046936--0.191148))+0-0-0</f>
        <v>907.84421199999997</v>
      </c>
      <c r="Z265" s="3">
        <f>0+(961.8-83.1)+(0+(-0.981036--0.084762))+0-0-0</f>
        <v>877.80372599999998</v>
      </c>
      <c r="AA265" s="3">
        <f>0+(929.4-67.3)+(0+(-0.947988--0.068646))+0-0-0</f>
        <v>861.22065800000007</v>
      </c>
      <c r="AB265" s="3">
        <f>0+(900.6-61.5)+(0+(-1.377918--0.094095))+0-0-0</f>
        <v>837.81617700000004</v>
      </c>
      <c r="AC265" s="3">
        <f>0+(850-53.7)+(0+(-2.1675--0.136935))+0-0-0</f>
        <v>794.26943499999993</v>
      </c>
      <c r="AD265" s="2">
        <v>931.99999999999989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0+(806.3-46.6)+(0+(0.822426-0.047532))+0-0-0</f>
        <v>760.47489399999995</v>
      </c>
      <c r="G266" s="3">
        <f>0+(814.6-77)+(0+(-0.830892--0.07854))+0-0-0</f>
        <v>736.84764800000005</v>
      </c>
      <c r="H266" s="3">
        <f>0+(794.9-71.7)+(0+(-0.810798--0.073134))+0-0-0</f>
        <v>722.46233599999994</v>
      </c>
      <c r="I266" s="3">
        <f>0+(791.5-76)+(0+(1.210995-0.11628))+0-0-0</f>
        <v>716.59471499999995</v>
      </c>
      <c r="J266" s="3">
        <f>0+(788.6-78.8)+(0+(0.402186-0.040188))+0-0-0</f>
        <v>710.16199800000004</v>
      </c>
      <c r="K266" s="3">
        <f>0+(803.4-81.2)+(0+(-0.819468--0.082824))+0-0-0</f>
        <v>721.46335599999998</v>
      </c>
      <c r="L266" s="3">
        <f>0+(833.4-98.3)+(0+(-0.425034--0.050133))+0-0-0</f>
        <v>734.725099</v>
      </c>
      <c r="M266" s="3">
        <f>0+(883-109.3)+(0+(-0.45033--0.055743))+0-0-0</f>
        <v>773.30541300000004</v>
      </c>
      <c r="N266" s="3">
        <f>0+(881.9-71)+(0+(0.449769-0.03621))+0-0-0</f>
        <v>811.31355899999994</v>
      </c>
      <c r="O266" s="3">
        <f>0+(927.3-97.4)+(0+(1.891692-0.198696))+0-0-0</f>
        <v>831.59299599999997</v>
      </c>
      <c r="P266" s="3">
        <f>0+(984.5-130.2)+(0+(-0.502095--0.066402))+0-0-0</f>
        <v>853.86430699999994</v>
      </c>
      <c r="Q266" s="3">
        <f>0+(1013.7-149.9)+(0+(-1.033974--0.152898))+0-0-0</f>
        <v>862.91892400000006</v>
      </c>
      <c r="R266" s="3">
        <f>0+(988.1-143.8)+(0+(-1.007862--0.146676))+0-0-0</f>
        <v>843.43881399999998</v>
      </c>
      <c r="S266" s="3">
        <f>0+(1016-162.5)+(0+(0.51816-0.082875))+0-0-0</f>
        <v>853.93528500000002</v>
      </c>
      <c r="T266" s="3">
        <f>0+(1035.2-190.6)+(0+(1.583856-0.291618))+0-0-0</f>
        <v>845.89223800000002</v>
      </c>
      <c r="U266" s="3">
        <f>3.9+(1031.9-190.1)+(0.001989+(0.526269-0.096951))+0-0-0</f>
        <v>846.13130699999999</v>
      </c>
      <c r="V266" s="3">
        <f>148.2+(1005-213.8)+(-0.075582+(-0.51255--0.109038))+0-0-0</f>
        <v>938.92090600000006</v>
      </c>
      <c r="W266" s="3">
        <f>257+(972.5-306.5)+(-0.26214+(-0.99195--0.31263))+0-0-0</f>
        <v>922.05853999999999</v>
      </c>
      <c r="X266" s="3">
        <f>258.1+(918.8-259.3)+(0.131631+(0.468588-0.132243))+0-0-0</f>
        <v>918.06797600000004</v>
      </c>
      <c r="Y266" s="3">
        <f>248.3+(844.1-194.7)+(-0.126633+(-0.430491--0.099297))+0-0-0</f>
        <v>897.24217300000009</v>
      </c>
      <c r="Z266" s="3">
        <f>252.5+(794.3-163.2)+(-0.901425+(-2.835651--0.582624))+0-0-0</f>
        <v>880.44554799999992</v>
      </c>
      <c r="AA266" s="3">
        <f>186.8+(819.7-145.5)+(-0.47634+(-2.090235--0.371025))+0-0-0</f>
        <v>858.80444999999997</v>
      </c>
      <c r="AB266" s="3">
        <f>47.8+(973.4-181)+(0+(0-0))+0-0-0</f>
        <v>840.19999999999993</v>
      </c>
      <c r="AC266" s="3">
        <f>1.2+(878.4-71.9)+(-0.001836+(-1.343952--0.110007))+0-0-0</f>
        <v>806.46421900000007</v>
      </c>
      <c r="AD266" s="2">
        <v>914.59999999999991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0+(865-109.8)+(0+(-1.7646--0.223992))+0-0-0</f>
        <v>753.65939200000003</v>
      </c>
      <c r="G267" s="3">
        <f>0+(828.1-96.1)+(0+(-0.844662--0.098022))+0-0-0</f>
        <v>731.25336000000004</v>
      </c>
      <c r="H267" s="3">
        <f>0+(817.7-100.8)+(0+(-1.668108--0.205632))+0-0-0</f>
        <v>715.43752400000005</v>
      </c>
      <c r="I267" s="3">
        <f>0+(811.7-102)+(0+(0.413967-0.05202))+0-0-0</f>
        <v>710.06194700000003</v>
      </c>
      <c r="J267" s="3">
        <f>0+(830.6-128.1)+(0+(0-0))+0-0-0</f>
        <v>702.5</v>
      </c>
      <c r="K267" s="3">
        <f>0+(830.3-127)+(0+(1.270359-0.19431))+0-0-0</f>
        <v>704.37604899999997</v>
      </c>
      <c r="L267" s="3">
        <f>0+(862.7-115)+(0+(0-0))+0-0-0</f>
        <v>747.7</v>
      </c>
      <c r="M267" s="3">
        <f>0+(910.2-133)+(0+(0.928404-0.13566))+0-0-0</f>
        <v>777.99274400000002</v>
      </c>
      <c r="N267" s="3">
        <f>0+(922.6-88.7)+(0+(0.941052-0.090474))+0-0-0</f>
        <v>834.75057800000002</v>
      </c>
      <c r="O267" s="3">
        <f>0+(1041.1-156.8)+(0+(0-0))+0-0-0</f>
        <v>884.3</v>
      </c>
      <c r="P267" s="3">
        <f>0+(1057.1-155.5)+(0+(0-0))+0-0-0</f>
        <v>901.59999999999991</v>
      </c>
      <c r="Q267" s="3">
        <f>176.1+(929.9-196.3)+(-0.269433+(-1.422747--0.300339))+0-0-0</f>
        <v>908.30815899999993</v>
      </c>
      <c r="R267" s="3">
        <f>259.7+(840.2-202.5)+(-0.132447+(-0.428502--0.103275))+0-0-0</f>
        <v>896.94232600000009</v>
      </c>
      <c r="S267" s="3">
        <f>258.4+(793.1-167.8)+(-0.527136+(-1.617924--0.342312))+0-0-0</f>
        <v>881.89725199999998</v>
      </c>
      <c r="T267" s="3">
        <f>257.4+(749.1-150.6)+(-0.131274+(-0.382041--0.076806))+0-0-0</f>
        <v>855.46349099999998</v>
      </c>
      <c r="U267" s="3">
        <f>257+(742-136)+(0.26214+(0.75684-0.13872))+0-0-0</f>
        <v>863.88026000000002</v>
      </c>
      <c r="V267" s="3">
        <f>256.5+(743.3-131.9)+(-0.26163+(-0.758166--0.134538))+0-0-0</f>
        <v>867.01474199999996</v>
      </c>
      <c r="W267" s="3">
        <f>257.5+(924.3-246)+(0.393975+(1.414179-0.37638))+0-0-0</f>
        <v>937.23177399999997</v>
      </c>
      <c r="X267" s="3">
        <f>255.5+(868.3-201.2)+(-0.52122+(-1.771332--0.410448))+0-0-0</f>
        <v>920.71789599999988</v>
      </c>
      <c r="Y267" s="3">
        <f>254.2+(798-150.4)+(-0.388926+(-1.22094--0.230112))+0-0-0</f>
        <v>900.42024599999991</v>
      </c>
      <c r="Z267" s="3">
        <f>136.4+(869.4-115.5)+(0.139128+(0.886788-0.11781))+0-0-0</f>
        <v>891.20810599999993</v>
      </c>
      <c r="AA267" s="3">
        <f>118+(842.7-84.3)+(-0.3009+(-2.148885--0.214965))+0-0-0</f>
        <v>874.16518000000008</v>
      </c>
      <c r="AB267" s="3">
        <f>83.8+(902-135.5)+(-0.042738+(-0.46002--0.069105))+0-0-0</f>
        <v>849.86634699999991</v>
      </c>
      <c r="AC267" s="3">
        <f>16.5+(853.5-58)+(-0.042075+(-2.176425--0.1479))+0-0-0</f>
        <v>809.92939999999999</v>
      </c>
      <c r="AD267" s="2">
        <v>947.40000000000009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0+(776.5-8.8)+(0+(-1.188045--0.013464))+0-0-0</f>
        <v>766.52541900000006</v>
      </c>
      <c r="G268" s="3">
        <f>0+(744-16.4)+(0+(-1.13832--0.025092))+0-0-0</f>
        <v>726.48677199999997</v>
      </c>
      <c r="H268" s="3">
        <f>0+(734.4-24.4)+(0+(0.374544-0.012444))+0-0-0</f>
        <v>710.36210000000005</v>
      </c>
      <c r="I268" s="3">
        <f>0+(731.9-23.9)+(0+(-1.866345--0.060945))+0-0-0</f>
        <v>706.19460000000004</v>
      </c>
      <c r="J268" s="3">
        <f>0+(734.9-37.7)+(0+(1.499196-0.076908))+0-0-0</f>
        <v>698.62228799999991</v>
      </c>
      <c r="K268" s="3">
        <f>0+(720.5-20.3)+(0+(0.73491-0.020706))+0-0-0</f>
        <v>700.91420400000004</v>
      </c>
      <c r="L268" s="3">
        <f>0+(755.6-15.6)+(0+(0.770712-0.015912))+0-0-0</f>
        <v>740.75480000000005</v>
      </c>
      <c r="M268" s="3">
        <f>0+(797.7-29.1)+(0+(0.813654-0.029682))+0-0-0</f>
        <v>769.38397199999997</v>
      </c>
      <c r="N268" s="3">
        <f>0+(877.9-69.9)+(0+(0.895458-0.071298))+0-0-0</f>
        <v>808.82416000000001</v>
      </c>
      <c r="O268" s="3">
        <f>0+(1059.2-154.8)+(0+(0.540192-0.078948))+0-0-0</f>
        <v>904.86124400000006</v>
      </c>
      <c r="P268" s="3">
        <f>93.1+(882.1-105.2)+(-0.237405+(-2.249355--0.26826))+0-0-0</f>
        <v>867.78150000000005</v>
      </c>
      <c r="Q268" s="3">
        <f>125.6+(813.4-68.9)+(-0.192168+(-1.244502--0.105417))+0-0-0</f>
        <v>868.76874700000008</v>
      </c>
      <c r="R268" s="3">
        <f>125.1+(802.2-62.6)+(-0.319005+(-2.04561--0.15963))+0-0-0</f>
        <v>862.49501500000008</v>
      </c>
      <c r="S268" s="3">
        <f>125.5+(804.8-88.5)+(-0.12801+(-0.820896--0.09027))+0-0-0</f>
        <v>840.94136399999991</v>
      </c>
      <c r="T268" s="3">
        <f>125.9+(784.2-71.2)+(-0.064209+(-0.399942--0.036312))+0-0-0</f>
        <v>838.47216100000003</v>
      </c>
      <c r="U268" s="3">
        <f>85+(834.3-84.1)+(-0.0867+(-0.850986--0.085782))+0-0-0</f>
        <v>834.34809599999994</v>
      </c>
      <c r="V268" s="3">
        <f>95.4+(794.6-48.2)+(-0.145962+(-1.215738--0.073746))+0-0-0</f>
        <v>840.51204599999994</v>
      </c>
      <c r="W268" s="3">
        <f>349.9+(649.9-85.5)+(0.713796+(1.325796-0.17442))+0-0-0</f>
        <v>916.16517199999998</v>
      </c>
      <c r="X268" s="3">
        <f>374.2+(616.6-75)+(-0.95421+(-1.57233--0.19125))+0-0-0</f>
        <v>913.46470999999997</v>
      </c>
      <c r="Y268" s="3">
        <f>374.6+(643.5-121)+(-0.382092+(-0.65637--0.12342))+0-0-0</f>
        <v>896.18495800000005</v>
      </c>
      <c r="Z268" s="3">
        <f>375.5+(627.5-122.8)+(-0.38301+(-0.64005--0.125256))+0-0-0</f>
        <v>879.30219600000009</v>
      </c>
      <c r="AA268" s="3">
        <f>267.9+(683.2-100.4)+(-0.546516+(-1.393728--0.204816))+0-0-0</f>
        <v>848.96457200000009</v>
      </c>
      <c r="AB268" s="3">
        <f>113.7+(822.4-122.7)+(-0.231948+(-1.677696--0.250308))+0-0-0</f>
        <v>811.74066399999992</v>
      </c>
      <c r="AC268" s="3">
        <f>1.3+(925.9-144)+(-0.000663+(-0.472209--0.07344))+0-0-0</f>
        <v>782.80056799999988</v>
      </c>
      <c r="AD268" s="2">
        <v>929.10000000000014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0+(837.1-88.1)+(0+(-1.707684--0.179724))+0-0-0</f>
        <v>747.47203999999999</v>
      </c>
      <c r="G269" s="3">
        <f>0+(767.5-48.1)+(0+(-0.78285--0.049062))+0-0-0</f>
        <v>718.66621199999997</v>
      </c>
      <c r="H269" s="3">
        <f>0+(777.8-65.9)+(0+(-0.793356--0.067218))+0-0-0</f>
        <v>711.17386199999999</v>
      </c>
      <c r="I269" s="3">
        <f>0+(795.8-97.9)+(0+(-1.217574--0.149787))+0-0-0</f>
        <v>696.83221300000002</v>
      </c>
      <c r="J269" s="3">
        <f>0+(786.6-97.9)+(0+(-0.401166--0.049929))+0-0-0</f>
        <v>688.34876300000008</v>
      </c>
      <c r="K269" s="3">
        <f>0+(785.5-99.4)+(0+(2.003025-0.25347))+0-0-0</f>
        <v>687.84955500000001</v>
      </c>
      <c r="L269" s="3">
        <f>0+(765.4-58.7)+(0+(-3.122832--0.239496))+0-0-0</f>
        <v>703.81666399999995</v>
      </c>
      <c r="M269" s="3">
        <f>0+(847.8-114.7)+(0+(0.432378-0.058497))+0-0-0</f>
        <v>733.47388099999989</v>
      </c>
      <c r="N269" s="3">
        <f>3.2+(916.8-158)+(0.004896+(1.402704-0.24174))+0-0-0</f>
        <v>763.16585999999995</v>
      </c>
      <c r="O269" s="3">
        <f>177.3+(893-265.5)+(0.271269+(1.36629-0.406215))+0-0-0</f>
        <v>806.03134399999999</v>
      </c>
      <c r="P269" s="3">
        <f>240.2+(908.2-315.4)+(0+(0-0))+0-0-0</f>
        <v>833</v>
      </c>
      <c r="Q269" s="3">
        <f>240.1+(921.1-330.5)+(0.122451+(0.469761-0.168555))+0-0-0</f>
        <v>831.12365700000009</v>
      </c>
      <c r="R269" s="3">
        <f>238.6+(903.4-319.5)+(-0.486744+(-1.842936--0.65178))+0-0-0</f>
        <v>820.82209999999998</v>
      </c>
      <c r="S269" s="3">
        <f>140.3+(941.2-286.5)+(0+(0-0))+0-0-0</f>
        <v>795</v>
      </c>
      <c r="T269" s="3">
        <f>190.6+(849.6-266.6)+(0.291618+(1.299888-0.407898))+0-0-0</f>
        <v>774.78360800000007</v>
      </c>
      <c r="U269" s="3">
        <f>239.9+(817.8-275.1)+(0.122349+(0.417078-0.140301))+0-0-0</f>
        <v>782.99912599999993</v>
      </c>
      <c r="V269" s="3">
        <f>240.5+(839.7-284.6)+(-0.122655+(-0.428247--0.145146))+0-0-0</f>
        <v>795.19424400000003</v>
      </c>
      <c r="W269" s="3">
        <f>385+(859.6-372.5)+(0.19635+(0.438396-0.189975))+0-0-0</f>
        <v>872.54477099999997</v>
      </c>
      <c r="X269" s="3">
        <f>384+(833.7-353)+(-0.39168+(-0.850374--0.36006))+0-0-0</f>
        <v>863.81800600000008</v>
      </c>
      <c r="Y269" s="3">
        <f>382.8+(791.7-330.3)+(-0.97614+(-2.018835--0.842265))+0-0-0</f>
        <v>842.04729000000009</v>
      </c>
      <c r="Z269" s="3">
        <f>384.4+(742.6-298)+(-0.196044+(-0.378726--0.15198))+0-0-0</f>
        <v>828.57721000000004</v>
      </c>
      <c r="AA269" s="3">
        <f>344.9+(756.6-291.7)+(-0.527697+(-1.157598--0.446301))+0-0-0</f>
        <v>808.56100599999991</v>
      </c>
      <c r="AB269" s="3">
        <f>153.4+(932.2-290.3)+(-0.156468+(-0.950844--0.296106))+0-0-0</f>
        <v>794.4887940000001</v>
      </c>
      <c r="AC269" s="3">
        <f>21.3+(929.4-190.3)+(-0.032589+(-1.421982--0.291159))+0-0-0</f>
        <v>759.23658799999987</v>
      </c>
      <c r="AD269" s="2">
        <v>875.69999999999993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0+(841.7-112.6)+(0+(-2.146335--0.28713))+0-0-0</f>
        <v>727.24079500000005</v>
      </c>
      <c r="G270" s="3">
        <f>0+(777.9-79.7)+(0+(-1.190187--0.121941))+0-0-0</f>
        <v>697.13175399999989</v>
      </c>
      <c r="H270" s="3">
        <f>0+(761.6-73)+(0+(-1.94208--0.18615))+0-0-0</f>
        <v>686.84406999999999</v>
      </c>
      <c r="I270" s="3">
        <f>0+(754.5-78.3)+(0+(-0.76959--0.079866))+0-0-0</f>
        <v>675.51027600000009</v>
      </c>
      <c r="J270" s="3">
        <f>0+(763-103.8)+(0+(0-0))+0-0-0</f>
        <v>659.2</v>
      </c>
      <c r="K270" s="3">
        <f>0+(768.1-115.9)+(0+(-1.566924--0.236436))+0-0-0</f>
        <v>650.8695120000001</v>
      </c>
      <c r="L270" s="3">
        <f>0+(760.2-109.9)+(0+(-1.93851--0.280245))+0-0-0</f>
        <v>648.64173500000004</v>
      </c>
      <c r="M270" s="3">
        <f>0+(715-93)+(0+(-0.7293--0.09486))+0-0-0</f>
        <v>621.36555999999996</v>
      </c>
      <c r="N270" s="3">
        <f>0+(713.2-80.3)+(0+(1.091196-0.122859))+0-0-0</f>
        <v>633.86833700000011</v>
      </c>
      <c r="O270" s="3">
        <f>0+(713.7-53.2)+(0+(-0.727974--0.054264))+0-0-0</f>
        <v>659.82628999999997</v>
      </c>
      <c r="P270" s="3">
        <f>0+(721-33.6)+(0+(-1.10313--0.051408))+0-0-0</f>
        <v>686.34827799999994</v>
      </c>
      <c r="Q270" s="3">
        <f>0+(704.3-17.4)+(0+(-0.718386--0.017748))+0-0-0</f>
        <v>686.19936199999995</v>
      </c>
      <c r="R270" s="3">
        <f>0+(695.8-7.5)+(0+(-1.064574--0.011475))+0-0-0</f>
        <v>687.24690099999998</v>
      </c>
      <c r="S270" s="3">
        <f>0+(731.9-55.1)+(0+(-1.866345--0.140505))+0-0-0</f>
        <v>675.07416000000001</v>
      </c>
      <c r="T270" s="3">
        <f>0+(775.2-102.8)+(0+(0.395352-0.052428))+0-0-0</f>
        <v>672.74292400000013</v>
      </c>
      <c r="U270" s="3">
        <f>0+(779.5-109.2)+(0+(0-0))+0-0-0</f>
        <v>670.3</v>
      </c>
      <c r="V270" s="3">
        <f>0+(775.9-90.2)+(0+(-0.395709--0.046002))+0-0-0</f>
        <v>685.35029299999997</v>
      </c>
      <c r="W270" s="3">
        <f>0+(805.5-43.5)+(0+(-0.410805--0.022185))+0-0-0</f>
        <v>761.61138000000005</v>
      </c>
      <c r="X270" s="3">
        <f>0+(820.3-43.5)+(0+(-1.255059--0.066555))+0-0-0</f>
        <v>775.61149599999999</v>
      </c>
      <c r="Y270" s="3">
        <f>0+(822-46.1)+(0+(-1.67688--0.094044))+0-0-0</f>
        <v>774.31716399999993</v>
      </c>
      <c r="Z270" s="3">
        <f>0+(811.4-43.6)+(0+(-0.413814--0.022236))+0-0-0</f>
        <v>767.40842199999997</v>
      </c>
      <c r="AA270" s="3">
        <f>0+(802.6-53.3)+(0+(-1.227978--0.081549))+0-0-0</f>
        <v>748.15357100000006</v>
      </c>
      <c r="AB270" s="3">
        <f>0+(841.9-110.6)+(0+(-2.146845--0.28203))+0-0-0</f>
        <v>729.43518499999993</v>
      </c>
      <c r="AC270" s="3">
        <f>0+(757.5-56.4)+(0+(-1.5453--0.115056))+0-0-0</f>
        <v>699.66975600000001</v>
      </c>
      <c r="AD270" s="2">
        <v>772.4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0+(713.1-51.3)+(0+(-1.091043--0.078489))+0-0-0</f>
        <v>660.78744600000005</v>
      </c>
      <c r="G271" s="3">
        <f>0+(711.9-66.8)+(0+(-0.726138--0.068136))+0-0-0</f>
        <v>644.44199800000001</v>
      </c>
      <c r="H271" s="3">
        <f>0+(737.6-108.5)+(0+(0-0))+0-0-0</f>
        <v>629.1</v>
      </c>
      <c r="I271" s="3">
        <f>0+(750.2-123.5)+(0+(-0.382602--0.062985))+0-0-0</f>
        <v>626.38038300000005</v>
      </c>
      <c r="J271" s="3">
        <f>0+(764-133.1)+(0+(0.38964-0.067881))+0-0-0</f>
        <v>631.22175900000002</v>
      </c>
      <c r="K271" s="3">
        <f>0+(766.8-125.4)+(0+(0-0))+0-0-0</f>
        <v>641.4</v>
      </c>
      <c r="L271" s="3">
        <f>0+(823.5-129.9)+(0+(0.419985-0.066249))+0-0-0</f>
        <v>693.95373600000005</v>
      </c>
      <c r="M271" s="3">
        <f>0+(854.4-112.8)+(0+(0.435744-0.057528))+0-0-0</f>
        <v>741.97821599999997</v>
      </c>
      <c r="N271" s="3">
        <f>0+(933.1-131)+(0+(1.427643-0.20043))+0-0-0</f>
        <v>803.32721300000003</v>
      </c>
      <c r="O271" s="3">
        <f>0+(883.6-34.6)+(0+(0.450636-0.017646))+0-0-0</f>
        <v>849.43299000000002</v>
      </c>
      <c r="P271" s="3">
        <f>29.4+(872.3-31)+(0.059976+(1.779492-0.06324))+0-0-0</f>
        <v>872.47622799999988</v>
      </c>
      <c r="Q271" s="3">
        <f>221.6+(727.5-79.5)+(-0.339048+(-1.113075--0.121635))+0-0-0</f>
        <v>868.26951200000008</v>
      </c>
      <c r="R271" s="3">
        <f>259.5+(692-88.4)+(-0.52938+(-1.41168--0.180336))+0-0-0</f>
        <v>861.33927600000004</v>
      </c>
      <c r="S271" s="3">
        <f>260.8+(661-78.9)+(0+(0-0))+0-0-0</f>
        <v>842.90000000000009</v>
      </c>
      <c r="T271" s="3">
        <f>260.9+(646.5-66.6)+(0+(0-0))+0-0-0</f>
        <v>840.8</v>
      </c>
      <c r="U271" s="3">
        <f>260.5+(679.1-99.3)+(-0.132855+(-0.346341--0.050643))+0-0-0</f>
        <v>839.8714470000001</v>
      </c>
      <c r="V271" s="3">
        <f>284.5+(691.8-122.6)+(-0.435285+(-1.058454--0.187578))+0-0-0</f>
        <v>852.39383899999996</v>
      </c>
      <c r="W271" s="3">
        <f>385.7+(748.1-205.6)+(-0.393414+(-0.763062--0.209712))+0-0-0</f>
        <v>927.25323600000002</v>
      </c>
      <c r="X271" s="3">
        <f>384.9+(670.4-140.6)+(-0.785196+(-1.367616--0.286824))+0-0-0</f>
        <v>912.83401199999992</v>
      </c>
      <c r="Y271" s="3">
        <f>385.2+(620.2-107.1)+(-0.785808+(-1.265208--0.218484))+0-0-0</f>
        <v>896.46746799999994</v>
      </c>
      <c r="Z271" s="3">
        <f>385.9+(582.6-100)+(0+(0-0))+0-0-0</f>
        <v>868.5</v>
      </c>
      <c r="AA271" s="3">
        <f>386.5+(620-148.8)+(-0.39423+(-0.6324--0.151776))+0-0-0</f>
        <v>856.82514600000002</v>
      </c>
      <c r="AB271" s="3">
        <f>386.2+(693.7-248.8)+(-0.196962+(-0.353787--0.126888))+0-0-0</f>
        <v>830.67613900000003</v>
      </c>
      <c r="AC271" s="3">
        <f>336.6+(669.8-209.7)+(-0.514998+(-1.024794--0.320841))+0-0-0</f>
        <v>795.4810490000001</v>
      </c>
      <c r="AD271" s="2">
        <v>909.19999999999993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43.6+(861.6-157.1)+(-0.044472+(-0.878832--0.160242))+0-0-0</f>
        <v>747.33693800000003</v>
      </c>
      <c r="G272" s="3">
        <f>0+(895.9-171.8)+(0+(-2.284545--0.43809))+0-0-0</f>
        <v>722.25354499999992</v>
      </c>
      <c r="H272" s="3">
        <f>0+(939-221.7)+(0+(0.95778-0.226134))+0-0-0</f>
        <v>718.03164599999991</v>
      </c>
      <c r="I272" s="3">
        <f>0+(903-182.3)+(0+(0-0))+0-0-0</f>
        <v>720.7</v>
      </c>
      <c r="J272" s="3">
        <f>0+(896.8-170.9)+(0+(0.914736-0.174318))+0-0-0</f>
        <v>726.64041799999995</v>
      </c>
      <c r="K272" s="3">
        <f>0+(908.8-169.9)+(0+(-1.853952--0.346596))+0-0-0</f>
        <v>737.39264400000002</v>
      </c>
      <c r="L272" s="3">
        <f>122.7+(862.1-239.3)+(0+(0-0))+0-0-0</f>
        <v>745.5</v>
      </c>
      <c r="M272" s="3">
        <f>239.6+(873.6-329.7)+(-0.244392+(-0.891072--0.336294))+0-0-0</f>
        <v>782.70083000000011</v>
      </c>
      <c r="N272" s="3">
        <f>240.9+(728.9-135.8)+(0.245718+(0.743478-0.138516))+0-0-0</f>
        <v>834.8506799999999</v>
      </c>
      <c r="O272" s="3">
        <f>249.4+(656-40.3)+(0.127194+(0.33456-0.020553))+0-0-0</f>
        <v>865.541201</v>
      </c>
      <c r="P272" s="3">
        <f>260.9+(697-32.5)+(0+(0-0))+0-0-0</f>
        <v>925.4</v>
      </c>
      <c r="Q272" s="3">
        <f>260.1+(679.1-43.6)+(-0.397953+(-1.039023--0.066708))+0-0-0</f>
        <v>894.22973200000001</v>
      </c>
      <c r="R272" s="3">
        <f>259.1+(664-38.5)+(-0.792846+(-2.03184--0.11781))+0-0-0</f>
        <v>881.89312400000006</v>
      </c>
      <c r="S272" s="3">
        <f>259.4+(657.4-32.7)+(-0.396882+(-1.005822--0.050031))+0-0-0</f>
        <v>882.74732699999993</v>
      </c>
      <c r="T272" s="3">
        <f>262+(641.2-32.8)+(0.53448+(1.308048-0.066912))+0-0-0</f>
        <v>872.1756160000001</v>
      </c>
      <c r="U272" s="3">
        <f>260.1+(619.4-29.3)+(-0.397953+(-0.947682--0.044829))+0-0-0</f>
        <v>848.89919400000008</v>
      </c>
      <c r="V272" s="3">
        <f>292.3+(614.2-45.8)+(0.149073+(0.313242-0.023358))+0-0-0</f>
        <v>861.138957</v>
      </c>
      <c r="W272" s="3">
        <f>463.5+(629.3-163.5)+(-0.94554+(-1.283772--0.33354))+0-0-0</f>
        <v>927.40422799999999</v>
      </c>
      <c r="X272" s="3">
        <f>532.3+(584.5-202.1)+(-0.542946+(-0.59619--0.206142))+0-0-0</f>
        <v>913.76700599999992</v>
      </c>
      <c r="Y272" s="3">
        <f>406.4+(630.9-131.2)+(-0.829056+(-1.287036--0.267648))+0-0-0</f>
        <v>904.25155599999994</v>
      </c>
      <c r="Z272" s="3">
        <f>403.4+(596.5-117.2)+(0.205734+(0.304215-0.059772))+0-0-0</f>
        <v>883.1501770000001</v>
      </c>
      <c r="AA272" s="3">
        <f>402.5+(604.9-131.7)+(-0.8211+(-1.233996--0.268668))+0-0-0</f>
        <v>873.91357200000004</v>
      </c>
      <c r="AB272" s="3">
        <f>396.1+(623.1-162.2)+(-0.606033+(-0.953343--0.248166))+0-0-0</f>
        <v>855.68879000000004</v>
      </c>
      <c r="AC272" s="3">
        <f>202.2+(702.7-99.9)+(0.103122+(0.358377-0.050949))+0-0-0</f>
        <v>805.41054999999994</v>
      </c>
      <c r="AD272" s="2">
        <v>934.8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34.7+(822.3-77.8)+(-0.088485+(-2.096865--0.19839))+0-0-0</f>
        <v>777.21304000000009</v>
      </c>
      <c r="G273" s="3">
        <f>0+(827.7-78.9)+(0+(0-0))+0-0-0</f>
        <v>748.80000000000007</v>
      </c>
      <c r="H273" s="3">
        <f>0+(806.4-64.7)+(0+(-0.411264--0.032997))+0-0-0</f>
        <v>741.32173299999988</v>
      </c>
      <c r="I273" s="3">
        <f>0+(803.6-71.4)+(0+(0.819672-0.072828))+0-0-0</f>
        <v>732.94684400000006</v>
      </c>
      <c r="J273" s="3">
        <f>0+(784-60)+(0+(0.39984-0.0306))+0-0-0</f>
        <v>724.36923999999999</v>
      </c>
      <c r="K273" s="3">
        <f>0+(769.1-45.1)+(0+(1.568964-0.092004))+0-0-0</f>
        <v>725.47695999999996</v>
      </c>
      <c r="L273" s="3">
        <f>50.9+(824.4-114.3)+(-0.077877+(-1.261332--0.174879))+0-0-0</f>
        <v>759.83567000000005</v>
      </c>
      <c r="M273" s="3">
        <f>131.7+(721.7-68.9)+(0+(0-0))+0-0-0</f>
        <v>784.5</v>
      </c>
      <c r="N273" s="3">
        <f>132.5+(712.5-12.9)+(0.202725+(1.090125-0.019737))+0-0-0</f>
        <v>833.37311299999999</v>
      </c>
      <c r="O273" s="3">
        <f>132.6+(817.4-91.2)+(0.202878+(1.250622-0.139536))+0-0-0</f>
        <v>860.11396400000001</v>
      </c>
      <c r="P273" s="3">
        <f>132+(858.3-163.5)+(0+(0-0))+0-0-0</f>
        <v>826.8</v>
      </c>
      <c r="Q273" s="3">
        <f>132+(935-180.4)+(0.06732+(0.47685-0.092004))+0-0-0</f>
        <v>887.05216600000006</v>
      </c>
      <c r="R273" s="3">
        <f>131.1+(936.4-190.5)+(-0.334305+(-2.38782--0.485775))+0-0-0</f>
        <v>874.76364999999998</v>
      </c>
      <c r="S273" s="3">
        <f>131.3+(890.8-173.4)+(-0.133926+(-0.908616--0.176868))+0-0-0</f>
        <v>847.83432600000003</v>
      </c>
      <c r="T273" s="3">
        <f>131.9+(822.7-144.6)+(0+(0-0))+0-0-0</f>
        <v>810</v>
      </c>
      <c r="U273" s="3">
        <f>131.3+(820.5-112.7)+(-0.267852+(-1.67382--0.229908))+0-0-0</f>
        <v>837.38823599999989</v>
      </c>
      <c r="V273" s="3">
        <f>132.2+(824.5-108.7)+(0.134844+(0.84099-0.110874))+0-0-0</f>
        <v>848.86496</v>
      </c>
      <c r="W273" s="3">
        <f>200.3+(935.1-230.9)+(0+(0-0))+0-0-0</f>
        <v>904.5</v>
      </c>
      <c r="X273" s="3">
        <f>267.4+(841.7-203.3)+(-0.818244+(-2.575602--0.622098))+0-0-0</f>
        <v>903.02825200000007</v>
      </c>
      <c r="Y273" s="3">
        <f>259.7+(814.8-173.3)+(-0.397341+(-1.246644--0.265149))+0-0-0</f>
        <v>899.82116400000007</v>
      </c>
      <c r="Z273" s="3">
        <f>254.8+(755.9-139.5)+(-0.259896+(-0.771018--0.14229))+0-0-0</f>
        <v>870.311376</v>
      </c>
      <c r="AA273" s="3">
        <f>254.8+(1013.4-412.3)+(-0.259896+(-1.033668--0.420546))+0-0-0</f>
        <v>855.02698199999986</v>
      </c>
      <c r="AB273" s="3">
        <f>138.1+(1156.7-454.7)+(-0.281724+(-2.359668--0.927588))+0-0-0</f>
        <v>838.38619600000004</v>
      </c>
      <c r="AC273" s="3">
        <f>127+(1089.4-415.2)+(-0.12954+(-1.111188--0.423504))+0-0-0</f>
        <v>800.38277600000004</v>
      </c>
      <c r="AD273" s="2">
        <v>893.69999999999993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127.2+(956.9-331.3)+(-0.194616+(-1.464057--0.506889))+0-0-0</f>
        <v>751.64821599999993</v>
      </c>
      <c r="G274" s="3">
        <f>119.2+(890.1-273.7)+(-0.364752+(-2.723706--0.837522))+0-0-0</f>
        <v>733.34906400000011</v>
      </c>
      <c r="H274" s="3">
        <f>86+(822.6-183.5)+(-0.17544+(-1.678104--0.37434))+0-0-0</f>
        <v>723.62079600000004</v>
      </c>
      <c r="I274" s="3">
        <f>55+(731.7-80.8)+(0+(0-0))+0-0-0</f>
        <v>705.90000000000009</v>
      </c>
      <c r="J274" s="3">
        <f>98+(728.9-124)+(0.09996+(0.743478-0.12648))+0-0-0</f>
        <v>703.61695799999995</v>
      </c>
      <c r="K274" s="3">
        <f>100.9+(703.8-101.9)+(0+(0-0))+0-0-0</f>
        <v>702.8</v>
      </c>
      <c r="L274" s="3">
        <f>100.9+(794.4-153)+(-0.102918+(-0.810288--0.15606))+0-0-0</f>
        <v>741.54285399999992</v>
      </c>
      <c r="M274" s="3">
        <f>139.1+(896.8-252.7)+(0.141882+(0.914736-0.257754))+0-0-0</f>
        <v>783.99886399999991</v>
      </c>
      <c r="N274" s="3">
        <f>293.5+(833.8-304.7)+(0.29937+(0.850476-0.310794))+0-0-0</f>
        <v>823.43905199999995</v>
      </c>
      <c r="O274" s="3">
        <f>406+(842.4-372.9)+(0.62118+(1.288872-0.570537))+0-0-0</f>
        <v>876.83951500000001</v>
      </c>
      <c r="P274" s="3">
        <f>406+(906.6-432.8)+(0+(0-0))+0-0-0</f>
        <v>879.8</v>
      </c>
      <c r="Q274" s="3">
        <f>406.2+(934.1-454.2)+(0.207162+(0.476391-0.231642))+0-0-0</f>
        <v>886.55191100000002</v>
      </c>
      <c r="R274" s="3">
        <f>401.9+(895.5-429.5)+(-1.229814+(-2.74023--1.31427))+0-0-0</f>
        <v>865.24422600000003</v>
      </c>
      <c r="S274" s="3">
        <f>405.4+(828.4-390.8)+(0+(0-0))+0-0-0</f>
        <v>843</v>
      </c>
      <c r="T274" s="3">
        <f>406.2+(811.7-364.3)+(0+(0-0))+0-0-0</f>
        <v>853.6</v>
      </c>
      <c r="U274" s="3">
        <f>405.4+(781.5-346.3)+(0+(0-0))+0-0-0</f>
        <v>840.59999999999991</v>
      </c>
      <c r="V274" s="3">
        <f>445.8+(702.3-305.7)+(0+(0-0))+0-0-0</f>
        <v>842.4</v>
      </c>
      <c r="W274" s="3">
        <f>538.5+(780.6-393.2)+(-0.274635+(-0.398106--0.200532))+0-0-0</f>
        <v>925.42779100000007</v>
      </c>
      <c r="X274" s="3">
        <f>538.1+(762.8-387.7)+(-0.548862+(-0.778056--0.395454))+0-0-0</f>
        <v>912.26853600000004</v>
      </c>
      <c r="Y274" s="3">
        <f>539+(671.9-315.6)+(0+(0-0))+0-0-0</f>
        <v>895.3</v>
      </c>
      <c r="Z274" s="3">
        <f>536.8+(613.8-268.2)+(-0.273768+(-0.313038--0.136782))+0-0-0</f>
        <v>881.94997599999988</v>
      </c>
      <c r="AA274" s="3">
        <f>534.4+(616.5-291.6)+(-0.545088+(-0.62883--0.297432))+0-0-0</f>
        <v>858.42351399999995</v>
      </c>
      <c r="AB274" s="3">
        <f>433.9+(789.8-376.1)+(0.221289+(0.402798-0.191811))+0-0-0</f>
        <v>848.03227599999991</v>
      </c>
      <c r="AC274" s="3">
        <f>395+(756.9-347.5)+(-1.41015+(-2.702133--1.240575))+0-0-0</f>
        <v>801.52829199999996</v>
      </c>
      <c r="AD274" s="2">
        <v>914.50000000000011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316.1+(729.3-290.5)+(-0.806055+(-1.859715--0.740775))+0-0-0</f>
        <v>752.97500500000001</v>
      </c>
      <c r="G275" s="3">
        <f>278.7+(696.8-242.1)+(-0.710685+(-1.77684--0.617355))+0-0-0</f>
        <v>731.52982999999983</v>
      </c>
      <c r="H275" s="3">
        <f>205.2+(688.1-174.3)+(0.104652+(0.350931-0.088893))+0-0-0</f>
        <v>719.36668999999995</v>
      </c>
      <c r="I275" s="3">
        <f>150.1+(718.9-150.8)+(0.229653+(1.099917-0.230724))+0-0-0</f>
        <v>719.29884599999991</v>
      </c>
      <c r="J275" s="3">
        <f>150.1+(693.9-127.8)+(0+(0-0))+0-0-0</f>
        <v>716.2</v>
      </c>
      <c r="K275" s="3">
        <f>212.4+(656.1-155.4)+(0.54162+(1.673055-0.39627))+0-0-0</f>
        <v>714.91840500000001</v>
      </c>
      <c r="L275" s="3">
        <f>337.5+(590.4-195.4)+(0.34425+(0.602208-0.199308))+0-0-0</f>
        <v>733.24715000000003</v>
      </c>
      <c r="M275" s="3">
        <f>361.2+(633.5-228.8)+(0+(0-0))+0-0-0</f>
        <v>765.9</v>
      </c>
      <c r="N275" s="3">
        <f>360.9+(652.3-206.2)+(0.368118+(0.665346-0.210324))+0-0-0</f>
        <v>807.82313999999997</v>
      </c>
      <c r="O275" s="3">
        <f>400+(648.8-213.7)+(0.408+(0.661776-0.217974))+0-0-0</f>
        <v>835.95180199999993</v>
      </c>
      <c r="P275" s="3">
        <f>401.2+(691.5-228.4)+(-1.02306+(-1.763325--0.58242))+0-0-0</f>
        <v>862.09603499999992</v>
      </c>
      <c r="Q275" s="3">
        <f>402.1+(710.1-231.1)+(-0.205071+(-0.362151--0.117861))+0-0-0</f>
        <v>880.65063900000007</v>
      </c>
      <c r="R275" s="3">
        <f>393.9+(671.7-198.7)+(-1.004445+(-1.712835--0.506685))+0-0-0</f>
        <v>864.68940500000008</v>
      </c>
      <c r="S275" s="3">
        <f>394.5+(642.9-186.2)+(-0.40239+(-0.655758--0.189924))+0-0-0</f>
        <v>850.33177599999999</v>
      </c>
      <c r="T275" s="3">
        <f>392.9+(632.3-182.9)+(-0.801516+(-1.289892--0.373116))+0-0-0</f>
        <v>840.58170799999994</v>
      </c>
      <c r="U275" s="3">
        <f>396.8+(638-199.5)+(0.607104+(0.97614-0.305235))+0-0-0</f>
        <v>836.57800899999995</v>
      </c>
      <c r="V275" s="3">
        <f>425.9+(625.2-199.8)+(0+(0-0))+0-0-0</f>
        <v>851.3</v>
      </c>
      <c r="W275" s="3">
        <f>527.8+(645-249.7)+(-0.269178+(-0.32895--0.127347))+0-0-0</f>
        <v>922.62921899999992</v>
      </c>
      <c r="X275" s="3">
        <f>485+(620-186.2)+(-0.24735+(-0.3162--0.094962))+0-0-0</f>
        <v>918.331412</v>
      </c>
      <c r="Y275" s="3">
        <f>432.2+(618.9-155.8)+(-1.322532+(-1.893834--0.476748))+0-0-0</f>
        <v>892.560382</v>
      </c>
      <c r="Z275" s="3">
        <f>436.6+(593.9-149.7)+(-0.445332+(-0.605778--0.152694))+0-0-0</f>
        <v>879.90158399999996</v>
      </c>
      <c r="AA275" s="3">
        <f>408.9+(572.6-128.9)+(-1.042695+(-1.46013--0.328695))+0-0-0</f>
        <v>850.42587000000003</v>
      </c>
      <c r="AB275" s="3">
        <f>379.8+(623.1-174.6)+(0+(0-0))+0-0-0</f>
        <v>828.3</v>
      </c>
      <c r="AC275" s="3">
        <f>301+(704.1-204.6)+(-0.46053+(-1.077273--0.313038))+0-0-0</f>
        <v>799.27523499999995</v>
      </c>
      <c r="AD275" s="2">
        <v>931.30000000000007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218+(708.4-173.2)+(-0.33354+(-1.083852--0.264996))+0-0-0</f>
        <v>752.04760400000009</v>
      </c>
      <c r="G276" s="3">
        <f>218.2+(721.8-217)+(0+(0-0))+0-0-0</f>
        <v>723</v>
      </c>
      <c r="H276" s="3">
        <f>159.5+(744.6-192.6)+(-0.081345+(-0.379746--0.098226))+0-0-0</f>
        <v>711.13713499999994</v>
      </c>
      <c r="I276" s="3">
        <f>160.4+(727-190.2)+(0.081804+(0.37077-0.097002))+0-0-0</f>
        <v>697.55557199999998</v>
      </c>
      <c r="J276" s="3">
        <f>160+(745.2-212.9)+(0.0816+(0.380052-0.108579))+0-0-0</f>
        <v>692.65307300000006</v>
      </c>
      <c r="K276" s="3">
        <f>168.5+(752.1-227.5)+(0.085935+(0.383571-0.116025))+0-0-0</f>
        <v>693.45348100000001</v>
      </c>
      <c r="L276" s="3">
        <f>217+(763.4-273.6)+(-0.44268+(-1.557336--0.558144))+0-0-0</f>
        <v>705.35812799999997</v>
      </c>
      <c r="M276" s="3">
        <f>220.4+(765.3-263.7)+(0.337212+(1.170909-0.403461))+0-0-0</f>
        <v>723.10465999999997</v>
      </c>
      <c r="N276" s="3">
        <f>255.1+(759.1-243.3)+(0.390303+(1.161423-0.372249))+0-0-0</f>
        <v>772.079477</v>
      </c>
      <c r="O276" s="3">
        <f>263.9+(714-159.4)+(0.269178+(0.72828-0.162588))+0-0-0</f>
        <v>819.33487000000002</v>
      </c>
      <c r="P276" s="3">
        <f>263.1+(709.5-139.3)+(0.134181+(0.361845-0.071043))+0-0-0</f>
        <v>833.72498300000007</v>
      </c>
      <c r="Q276" s="3">
        <f>263.3+(745.6-171)+(0.134283+(0.380256-0.08721))+0-0-0</f>
        <v>838.32732900000008</v>
      </c>
      <c r="R276" s="3">
        <f>261.4+(712.4-159.7)+(-0.266628+(-0.726648--0.162894))+0-0-0</f>
        <v>813.26961800000004</v>
      </c>
      <c r="S276" s="3">
        <f>259.8+(657.4-128.2)+(-0.66249+(-1.67637--0.32691))+0-0-0</f>
        <v>786.98805000000004</v>
      </c>
      <c r="T276" s="3">
        <f>264.9+(706-200.6)+(0.675495+(1.8003-0.51153))+0-0-0</f>
        <v>772.26426499999991</v>
      </c>
      <c r="U276" s="3">
        <f>262.6+(717-226.1)+(0+(0-0))+0-0-0</f>
        <v>753.5</v>
      </c>
      <c r="V276" s="3">
        <f>263+(671.2-178.1)+(0.13413+(0.342312-0.090831))+0-0-0</f>
        <v>756.48561100000006</v>
      </c>
      <c r="W276" s="3">
        <f>262.7+(768.2-203.9)+(-0.133977+(-0.391782--0.103989))+0-0-0</f>
        <v>826.57822999999996</v>
      </c>
      <c r="X276" s="3">
        <f>262.2+(664.6-100.2)+(-0.401166+(-1.016838--0.153306))+0-0-0</f>
        <v>825.33530199999996</v>
      </c>
      <c r="Y276" s="3">
        <f>204.5+(679.7-90.2)+(-0.62577+(-2.079882--0.276012))+0-0-0</f>
        <v>791.57036000000005</v>
      </c>
      <c r="Z276" s="3">
        <f>191.4+(629.1-60.9)+(-0.390456+(-1.283364--0.124236))+0-0-0</f>
        <v>758.05041600000004</v>
      </c>
      <c r="AA276" s="3">
        <f>106.6+(714.6-78.6)+(0.163098+(1.093338-0.120258))+0-0-0</f>
        <v>743.736178</v>
      </c>
      <c r="AB276" s="3">
        <f>100.9+(751.5-114.4)+(-0.102918+(-0.76653--0.116688))+0-0-0</f>
        <v>737.24724000000003</v>
      </c>
      <c r="AC276" s="3">
        <f>100.7+(716.6-88.9)+(-0.154071+(-1.096398--0.136017))+0-0-0</f>
        <v>727.28554800000006</v>
      </c>
      <c r="AD276" s="2">
        <v>830.3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69.3+(748.4-120.1)+(-0.141372+(-1.526736--0.245004))+0-0-0</f>
        <v>696.17689599999994</v>
      </c>
      <c r="G277" s="3">
        <f>0+(853-174.3)+(0+(0.87006-0.177786))+0-0-0</f>
        <v>679.39227400000004</v>
      </c>
      <c r="H277" s="3">
        <f>0+(781.3-122.7)+(0+(-1.195389--0.187731))+0-0-0</f>
        <v>657.59234199999992</v>
      </c>
      <c r="I277" s="3">
        <f>0+(745.9-98.8)+(0+(-0.760818--0.100776))+0-0-0</f>
        <v>646.43995800000005</v>
      </c>
      <c r="J277" s="3">
        <f>0+(735.4-91.1)+(0+(-0.375054--0.046461))+0-0-0</f>
        <v>643.971407</v>
      </c>
      <c r="K277" s="3">
        <f>0+(745.2-117.2)+(0+(-1.90026--0.29886))+0-0-0</f>
        <v>626.39859999999999</v>
      </c>
      <c r="L277" s="3">
        <f>0+(757-119.3)+(0+(-1.54428--0.243372))+0-0-0</f>
        <v>636.399092</v>
      </c>
      <c r="M277" s="3">
        <f>0+(745.5-122.5)+(0+(-0.76041--0.12495))+0-0-0</f>
        <v>622.36454000000003</v>
      </c>
      <c r="N277" s="3">
        <f>0+(721.6-89.5)+(0+(-0.368016--0.045645))+0-0-0</f>
        <v>631.77762900000005</v>
      </c>
      <c r="O277" s="3">
        <f>0+(648.4-1.2)+(0+(0.661368-0.001224))+0-0-0</f>
        <v>647.86014399999988</v>
      </c>
      <c r="P277" s="3">
        <f>0+(694.8-6.9)+(0+(-0.354348--0.003519))+0-0-0</f>
        <v>687.549171</v>
      </c>
      <c r="Q277" s="3">
        <f>0+(727-17.9)+(0+(-1.11231--0.027387))+0-0-0</f>
        <v>708.01507700000002</v>
      </c>
      <c r="R277" s="3">
        <f>0+(757.6-51.9)+(0+(-1.159128--0.079407))+0-0-0</f>
        <v>704.6202790000001</v>
      </c>
      <c r="S277" s="3">
        <f>0+(739.1-51.4)+(0+(-1.507764--0.104856))+0-0-0</f>
        <v>686.29709200000002</v>
      </c>
      <c r="T277" s="3">
        <f>0+(750.2-55.4)+(0+(-0.765204--0.056508))+0-0-0</f>
        <v>694.09130400000004</v>
      </c>
      <c r="U277" s="3">
        <f>0+(730.9-43.9)+(0+(-0.372759--0.022389))+0-0-0</f>
        <v>686.64963</v>
      </c>
      <c r="V277" s="3">
        <f>0+(759.7-69.7)+(0+(-0.774894--0.071094))+0-0-0</f>
        <v>689.2962</v>
      </c>
      <c r="W277" s="3">
        <f>0+(933.6-164)+(0+(0.952272-0.16728))+0-0-0</f>
        <v>770.38499200000001</v>
      </c>
      <c r="X277" s="3">
        <f>0+(876-93.6)+(0+(0-0))+0-0-0</f>
        <v>782.4</v>
      </c>
      <c r="Y277" s="3">
        <f>0+(860.5-80.7)+(0+(-1.75542--0.164628))+0-0-0</f>
        <v>778.20920799999999</v>
      </c>
      <c r="Z277" s="3">
        <f>0+(847.9-74.1)+(0+(-0.864858--0.075582))+0-0-0</f>
        <v>773.01072399999998</v>
      </c>
      <c r="AA277" s="3">
        <f>0+(804.6-53.4)+(0+(0-0))+0-0-0</f>
        <v>751.2</v>
      </c>
      <c r="AB277" s="3">
        <f>0+(821.3-96)+(0+(-1.675452--0.19584))+0-0-0</f>
        <v>723.82038799999998</v>
      </c>
      <c r="AC277" s="3">
        <f>0+(712.2-23.1)+(0+(-1.81611--0.058905))+0-0-0</f>
        <v>687.34279500000002</v>
      </c>
      <c r="AD277" s="2">
        <v>781.8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0+(657.8-4.3)+(0+(0.670956-0.004386))+0-0-0</f>
        <v>654.16656999999998</v>
      </c>
      <c r="G278" s="3">
        <f>0+(635.6-4.7)+(0+(-1.62078--0.011985))+0-0-0</f>
        <v>629.29120499999999</v>
      </c>
      <c r="H278" s="3">
        <f>0+(616.1-0)+(0+(0.314211-0))+0-0-0</f>
        <v>616.41421100000002</v>
      </c>
      <c r="I278" s="3">
        <f>0+(643.9-27.8)+(0+(-0.328389--0.014178))+0-0-0</f>
        <v>615.78578900000002</v>
      </c>
      <c r="J278" s="3">
        <f>0+(634.2-10.3)+(0+(-0.323442--0.005253))+0-0-0</f>
        <v>623.58181100000013</v>
      </c>
      <c r="K278" s="3">
        <f>0+(711.1-76.4)+(0+(1.450644-0.155856))+0-0-0</f>
        <v>635.99478800000009</v>
      </c>
      <c r="L278" s="3">
        <f>44.7+(719-80.6)+(-0.045594+(-0.73338--0.082212))+0-0-0</f>
        <v>682.40323799999999</v>
      </c>
      <c r="M278" s="3">
        <f>109.5+(702-92)+(0.055845+(0.35802-0.04692))+0-0-0</f>
        <v>719.86694499999999</v>
      </c>
      <c r="N278" s="3">
        <f>229.9+(620.5-75.9)+(0+(0-0))+0-0-0</f>
        <v>774.5</v>
      </c>
      <c r="O278" s="3">
        <f>267.1+(623.6-66.9)+(0+(0-0))+0-0-0</f>
        <v>823.80000000000007</v>
      </c>
      <c r="P278" s="3">
        <f>264.7+(698.2-120.6)+(-0.539988+(-1.424328--0.246024))+0-0-0</f>
        <v>840.58170799999994</v>
      </c>
      <c r="Q278" s="3">
        <f>265.5+(723.4-135)+(-0.54162+(-1.475736--0.2754))+0-0-0</f>
        <v>852.15804400000002</v>
      </c>
      <c r="R278" s="3">
        <f>265.7+(711.2-126.4)+(-0.406521+(-1.088136--0.193392))+0-0-0</f>
        <v>849.19873500000006</v>
      </c>
      <c r="S278" s="3">
        <f>254.8+(691.9-111.2)+(-0.259896+(-0.705738--0.113424))+0-0-0</f>
        <v>834.64778999999999</v>
      </c>
      <c r="T278" s="3">
        <f>179.3+(752.6-97.2)+(-0.182886+(-0.767652--0.099144))+0-0-0</f>
        <v>833.84860600000002</v>
      </c>
      <c r="U278" s="3">
        <f>180.2+(728.3-88)+(0+(0-0))+0-0-0</f>
        <v>820.5</v>
      </c>
      <c r="V278" s="3">
        <f>216.8+(709.5-97.3)+(-0.442272+(-1.44738--0.198492))+0-0-0</f>
        <v>827.30884000000003</v>
      </c>
      <c r="W278" s="3">
        <f>264.1+(830.6-177.8)+(0.269382+(0.847212-0.181356))+0-0-0</f>
        <v>917.835238</v>
      </c>
      <c r="X278" s="3">
        <f>260.8+(837-175.4)+(-0.798048+(-2.56122--0.536724))+0-0-0</f>
        <v>919.5774560000001</v>
      </c>
      <c r="Y278" s="3">
        <f>263.2+(805.4-162)+(0.134232+(0.410754-0.08262))+0-0-0</f>
        <v>907.06236599999988</v>
      </c>
      <c r="Z278" s="3">
        <f>261.7+(750-129.8)+(-0.533868+(-1.53--0.264792))+0-0-0</f>
        <v>880.10092400000008</v>
      </c>
      <c r="AA278" s="3">
        <f>262.4+(717.2-113.2)+(-0.401472+(-1.097316--0.173196))+0-0-0</f>
        <v>865.07440799999995</v>
      </c>
      <c r="AB278" s="3">
        <f>227.3+(769.1-147.9)+(-0.115923+(-0.392241--0.075429))+0-0-0</f>
        <v>848.06726500000002</v>
      </c>
      <c r="AC278" s="3">
        <f>89+(821.9-94.8)+(-0.27234+(-2.515014--0.290088))+0-0-0</f>
        <v>813.60273400000005</v>
      </c>
      <c r="AD278" s="2">
        <v>897.50000000000011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0+(834.2-93.9)+(0+(-0.850884--0.095778))+0-0-0</f>
        <v>739.54489400000011</v>
      </c>
      <c r="G279" s="3">
        <f>0+(819.2-103.9)+(0+(0.417792-0.052989))+0-0-0</f>
        <v>715.66480300000012</v>
      </c>
      <c r="H279" s="3">
        <f>0+(784.3-82.6)+(0+(-0.399993--0.042126))+0-0-0</f>
        <v>701.34213299999988</v>
      </c>
      <c r="I279" s="3">
        <f>0+(779.5-87.3)+(0+(0.397545-0.044523))+0-0-0</f>
        <v>692.55302200000006</v>
      </c>
      <c r="J279" s="3">
        <f>0+(770.3-74.7)+(0+(-0.392853--0.038097))+0-0-0</f>
        <v>695.24524399999996</v>
      </c>
      <c r="K279" s="3">
        <f>0+(773.9-81.7)+(0+(0-0))+0-0-0</f>
        <v>692.19999999999993</v>
      </c>
      <c r="L279" s="3">
        <f>37.8+(779.8-96.7)+(-0.077112+(-1.590792--0.197268))+0-0-0</f>
        <v>719.42936399999985</v>
      </c>
      <c r="M279" s="3">
        <f>114.5+(834.4-194.5)+(-0.23358+(-1.702176--0.39678))+0-0-0</f>
        <v>752.86102399999993</v>
      </c>
      <c r="N279" s="3">
        <f>201.8+(788.6-189.4)+(0.308754+(1.206558-0.289782))+0-0-0</f>
        <v>802.22553000000005</v>
      </c>
      <c r="O279" s="3">
        <f>259.3+(656.9-74.5)+(-0.396729+(-1.005057--0.113985))+0-0-0</f>
        <v>840.4121990000001</v>
      </c>
      <c r="P279" s="3">
        <f>261.8+(654.7-62.5)+(0+(0-0))+0-0-0</f>
        <v>854</v>
      </c>
      <c r="Q279" s="3">
        <f>257.6+(679-72.5)+(-0.65688+(-1.73145--0.184875))+0-0-0</f>
        <v>861.89654500000006</v>
      </c>
      <c r="R279" s="3">
        <f>257.6+(693.5-80.1)+(-0.65688+(-1.768425--0.204255))+0-0-0</f>
        <v>868.77895000000001</v>
      </c>
      <c r="S279" s="3">
        <f>258.2+(658.1-68.5)+(-0.395046+(-1.006893--0.104805))+0-0-0</f>
        <v>846.50286599999993</v>
      </c>
      <c r="T279" s="3">
        <f>260.4+(643.1-69.5)+(-0.132804+(-0.327981--0.035445))+0-0-0</f>
        <v>833.57465999999999</v>
      </c>
      <c r="U279" s="3">
        <f>259.5+(658.4-87.5)+(-0.132345+(-0.335784--0.044625))+0-0-0</f>
        <v>829.976496</v>
      </c>
      <c r="V279" s="3">
        <f>258.8+(659.6-67.6)+(-0.131988+(-0.336396--0.034476))+0-0-0</f>
        <v>850.36609199999998</v>
      </c>
      <c r="W279" s="3">
        <f>267.2+(718.8-118.6)+(-0.272544+(-0.733176--0.120972))+0-0-0</f>
        <v>866.51525199999992</v>
      </c>
      <c r="X279" s="3">
        <f>288.7+(774.1-129.7)+(-0.588948+(-1.579164--0.264588))+0-0-0</f>
        <v>931.19647600000019</v>
      </c>
      <c r="Y279" s="3">
        <f>282.6+(724.5-92)+(-0.432378+(-1.108485--0.14076))+0-0-0</f>
        <v>913.69989700000008</v>
      </c>
      <c r="Z279" s="3">
        <f>194.1+(758.4-49.9)+(-0.296973+(-1.160352--0.076347))+0-0-0</f>
        <v>901.219022</v>
      </c>
      <c r="AA279" s="3">
        <f>168.5+(783.7-75)+(-0.17187+(-0.799374--0.0765))+0-0-0</f>
        <v>876.3052560000001</v>
      </c>
      <c r="AB279" s="3">
        <f>119+(873.8-140)+(-0.30345+(-2.22819--0.357))+0-0-0</f>
        <v>850.62536</v>
      </c>
      <c r="AC279" s="3">
        <f>10.7+(856.9-56.2)+(-0.032742+(-2.622114--0.171972))+0-0-0</f>
        <v>808.91711599999996</v>
      </c>
      <c r="AD279" s="2">
        <v>928.5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0+(805.7-68)+(0+(-1.643628--0.13872))+0-0-0</f>
        <v>736.19509200000005</v>
      </c>
      <c r="G280" s="3">
        <f>0+(810.3-96.2)+(0+(-0.413253--0.049062))+0-0-0</f>
        <v>713.7358089999999</v>
      </c>
      <c r="H280" s="3">
        <f>0+(795.3-90.9)+(0+(-2.028015--0.231795))+0-0-0</f>
        <v>702.60378000000003</v>
      </c>
      <c r="I280" s="3">
        <f>0+(803.4-107.1)+(0+(0.409734-0.054621))+0-0-0</f>
        <v>696.65511299999991</v>
      </c>
      <c r="J280" s="3">
        <f>0+(816.1-122.9)+(0+(-0.416211--0.062679))+0-0-0</f>
        <v>692.84646800000007</v>
      </c>
      <c r="K280" s="3">
        <f>0+(825.4-131.7)+(0+(0.420954-0.067167))+0-0-0</f>
        <v>694.05378700000006</v>
      </c>
      <c r="L280" s="3">
        <f>0+(880.8-151.2)+(0+(-0.898416--0.154224))+0-0-0</f>
        <v>728.85580799999991</v>
      </c>
      <c r="M280" s="3">
        <f>24.5+(814.7-88.7)+(0.02499+(0.830994-0.090474))+0-0-0</f>
        <v>751.26550999999995</v>
      </c>
      <c r="N280" s="3">
        <f>161.9+(798.6-163.8)+(-0.330276+(-1.629144--0.334152))+0-0-0</f>
        <v>795.07473199999993</v>
      </c>
      <c r="O280" s="3">
        <f>187.2+(773.1-112)+(0.095472+(0.394281-0.05712))+0-0-0</f>
        <v>848.73263299999996</v>
      </c>
      <c r="P280" s="3">
        <f>185.9+(788.2-111.8)+(-0.379236+(-1.607928--0.228072))+0-0-0</f>
        <v>860.54090800000006</v>
      </c>
      <c r="Q280" s="3">
        <f>185.1+(783.3-121.8)+(-0.377604+(-1.597932--0.248472))+0-0-0</f>
        <v>844.87293599999998</v>
      </c>
      <c r="R280" s="3">
        <f>183.1+(818.1-154.6)+(-0.280143+(-1.251693--0.236538))+0-0-0</f>
        <v>845.30470200000002</v>
      </c>
      <c r="S280" s="3">
        <f>181.2+(763.1-120.6)+(0.092412+(0.389181-0.061506))+0-0-0</f>
        <v>824.12008700000001</v>
      </c>
      <c r="T280" s="3">
        <f>178.7+(721.7-81.5)+(-0.091137+(-0.368067--0.041565))+0-0-0</f>
        <v>818.48236100000008</v>
      </c>
      <c r="U280" s="3">
        <f>165.5+(736.6-87.2)+(-0.084405+(-0.375666--0.044472))+0-0-0</f>
        <v>814.48440099999993</v>
      </c>
      <c r="V280" s="3">
        <f>177.5+(719.4-89)+(-0.271575+(-1.100682--0.13617))+0-0-0</f>
        <v>806.66391299999998</v>
      </c>
      <c r="W280" s="3">
        <f>258.2+(827.1-190.9)+(-0.263364+(-0.843642--0.194718))+0-0-0</f>
        <v>893.4877120000001</v>
      </c>
      <c r="X280" s="3">
        <f>259.2+(818.9-165.2)+(-0.528768+(-1.670556--0.337008))+0-0-0</f>
        <v>911.03768400000013</v>
      </c>
      <c r="Y280" s="3">
        <f>260.1+(771.1-143.9)+(0+(0-0))+0-0-0</f>
        <v>887.30000000000007</v>
      </c>
      <c r="Z280" s="3">
        <f>260.8+(753.2-143.9)+(0.266016+(0.768264-0.146778))+0-0-0</f>
        <v>870.98750200000018</v>
      </c>
      <c r="AA280" s="3">
        <f>265+(724.7-138.8)+(-0.40545+(-1.108791--0.212364))+0-0-0</f>
        <v>849.5981230000001</v>
      </c>
      <c r="AB280" s="3">
        <f>266.3+(719.5-157.9)+(-0.135813+(-0.366945--0.080529))+0-0-0</f>
        <v>827.47777100000008</v>
      </c>
      <c r="AC280" s="3">
        <f>139.7+(855-197.2)+(-0.356235+(-2.18025--0.50286))+0-0-0</f>
        <v>795.46637499999997</v>
      </c>
      <c r="AD280" s="2">
        <v>898.59999999999991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0+(951-193)+(0+(-1.94004--0.39372))+0-0-0</f>
        <v>756.45367999999996</v>
      </c>
      <c r="G281" s="3">
        <f>0+(890.1-153.4)+(0+(-1.361853--0.234702))+0-0-0</f>
        <v>735.57284900000002</v>
      </c>
      <c r="H281" s="3">
        <f>0+(846.3-132.1)+(0+(-0.863226--0.134742))+0-0-0</f>
        <v>713.47151599999995</v>
      </c>
      <c r="I281" s="3">
        <f>0+(830.1-122.6)+(0+(0-0))+0-0-0</f>
        <v>707.5</v>
      </c>
      <c r="J281" s="3">
        <f>0+(834.1-118.6)+(0+(0-0))+0-0-0</f>
        <v>715.5</v>
      </c>
      <c r="K281" s="3">
        <f>0+(833-126.7)+(0+(0-0))+0-0-0</f>
        <v>706.3</v>
      </c>
      <c r="L281" s="3">
        <f>0+(879.8-147.5)+(0+(-0.897396--0.15045))+0-0-0</f>
        <v>731.55305399999997</v>
      </c>
      <c r="M281" s="3">
        <f>0+(956.5-178.9)+(0+(-0.487815--0.091239))+0-0-0</f>
        <v>777.20342400000004</v>
      </c>
      <c r="N281" s="3">
        <f>57.9+(902.1-142.6)+(0.059058+(0.920142-0.145452))+0-0-0</f>
        <v>818.23374799999999</v>
      </c>
      <c r="O281" s="3">
        <f>130.2+(885.5-147.9)+(0.132804+(0.90321-0.150858))+0-0-0</f>
        <v>868.68515600000001</v>
      </c>
      <c r="P281" s="3">
        <f>132.3+(947-190.1)+(0.202419+(1.44891-0.290853))+0-0-0</f>
        <v>890.56047599999999</v>
      </c>
      <c r="Q281" s="3">
        <f>132.3+(974.7-218)+(0.067473+(0.497097-0.11118))+0-0-0</f>
        <v>889.45339000000001</v>
      </c>
      <c r="R281" s="3">
        <f>131.4+(944-211.7)+(-0.201042+(-1.44432--0.323901))+0-0-0</f>
        <v>862.37853899999993</v>
      </c>
      <c r="S281" s="3">
        <f>131.8+(877.1-171)+(-0.134436+(-0.894642--0.17442))+0-0-0</f>
        <v>837.04534200000012</v>
      </c>
      <c r="T281" s="3">
        <f>130.9+(857.5-143.2)+(-0.333795+(-2.186625--0.36516))+0-0-0</f>
        <v>843.04473999999993</v>
      </c>
      <c r="U281" s="3">
        <f>132.4+(841.8-130.2)+(0.067524+(0.429318-0.066402))+0-0-0</f>
        <v>844.43043999999986</v>
      </c>
      <c r="V281" s="3">
        <f>131.6+(874.6-144.1)+(-0.201348+(-1.338138--0.220473))+0-0-0</f>
        <v>860.78098699999998</v>
      </c>
      <c r="W281" s="3">
        <f>142.4+(1071.1-285.8)+(-0.072624+(-0.546261--0.145758))+0-0-0</f>
        <v>927.22687299999996</v>
      </c>
      <c r="X281" s="3">
        <f>262.1+(918.7-260.5)+(-0.534684+(-1.874148--0.53142))+0-0-0</f>
        <v>918.42258800000002</v>
      </c>
      <c r="Y281" s="3">
        <f>254.6+(884.2-230.7)+(-0.259692+(-0.901884--0.235314))+0-0-0</f>
        <v>907.17373800000007</v>
      </c>
      <c r="Z281" s="3">
        <f>107.9+(970-181.4)+(0+(0-0))+0-0-0</f>
        <v>896.5</v>
      </c>
      <c r="AA281" s="3">
        <f>107+(912.4-146.5)+(-0.16371+(-1.395972--0.224145))+0-0-0</f>
        <v>871.56446299999993</v>
      </c>
      <c r="AB281" s="3">
        <f>54.6+(996.3-203.6)+(-0.111384+(-2.032452--0.415344))+0-0-0</f>
        <v>845.57150799999999</v>
      </c>
      <c r="AC281" s="3">
        <f>0+(944.4-128)+(0+(-2.40822--0.3264))+0-0-0</f>
        <v>814.31817999999998</v>
      </c>
      <c r="AD281" s="2">
        <v>942.09999999999991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0+(797.1-19.8)+(0+(-1.219563--0.030294))+0-0-0</f>
        <v>776.1107310000001</v>
      </c>
      <c r="G282" s="3">
        <f>0+(757.1-18.2)+(0+(-1.158363--0.027846))+0-0-0</f>
        <v>737.76948299999992</v>
      </c>
      <c r="H282" s="3">
        <f>0+(767.1-53.2)+(0+(-1.564884--0.108528))+0-0-0</f>
        <v>712.44364399999995</v>
      </c>
      <c r="I282" s="3">
        <f>0+(760.9-55.4)+(0+(0-0))+0-0-0</f>
        <v>705.5</v>
      </c>
      <c r="J282" s="3">
        <f>0+(745.4-37.5)+(0+(0.760308-0.03825))+0-0-0</f>
        <v>708.62205799999992</v>
      </c>
      <c r="K282" s="3">
        <f>0+(760.1-52.9)+(0+(0-0))+0-0-0</f>
        <v>707.2</v>
      </c>
      <c r="L282" s="3">
        <f>20.2+(794-83.4)+(0+(0-0))+0-0-0</f>
        <v>730.80000000000007</v>
      </c>
      <c r="M282" s="3">
        <f>135+(792.4-150.9)+(0+(0-0))+0-0-0</f>
        <v>776.5</v>
      </c>
      <c r="N282" s="3">
        <f>134.6+(811.9-126.2)+(-0.068646+(-0.414069--0.064362))+0-0-0</f>
        <v>819.88164699999993</v>
      </c>
      <c r="O282" s="3">
        <f>135.2+(905.3-174.3)+(0.137904+(0.923406-0.177786))+0-0-0</f>
        <v>867.08352400000001</v>
      </c>
      <c r="P282" s="3">
        <f>135.1+(991.1-234.2)+(0.068901+(0.505461-0.119442))+0-0-0</f>
        <v>892.45492000000013</v>
      </c>
      <c r="Q282" s="3">
        <f>134.1+(1022.2-262.8)+(-0.273564+(-2.085288--0.536112))+0-0-0</f>
        <v>891.67726000000016</v>
      </c>
      <c r="R282" s="3">
        <f>133.9+(997.3-250.1)+(0.068289+(0.508623-0.127551))+0-0-0</f>
        <v>881.54936099999986</v>
      </c>
      <c r="S282" s="3">
        <f>132.8+(951.5-234.3)+(0.067728+(0.485265-0.119493))+0-0-0</f>
        <v>850.43349999999998</v>
      </c>
      <c r="T282" s="3">
        <f>133.1+(938-225.7)+(0.067881+(0.47838-0.115107))+0-0-0</f>
        <v>845.83115399999997</v>
      </c>
      <c r="U282" s="3">
        <f>134+(909.4-202.2)+(-0.27336+(-1.855176--0.412488))+0-0-0</f>
        <v>839.48395200000004</v>
      </c>
      <c r="V282" s="3">
        <f>203+(851.5-203.3)+(-0.41412+(-1.73706--0.414732))+0-0-0</f>
        <v>849.46355200000005</v>
      </c>
      <c r="W282" s="3">
        <f>380.6+(836.9-298.8)+(-0.582318+(-1.280457--0.457164))+0-0-0</f>
        <v>917.29438899999991</v>
      </c>
      <c r="X282" s="3">
        <f>305.3+(938.9-313.7)+(0+(0-0))+0-0-0</f>
        <v>930.5</v>
      </c>
      <c r="Y282" s="3">
        <f>302.3+(930.7-331.2)+(-0.154173+(-0.474657--0.168912))+0-0-0</f>
        <v>901.34008199999994</v>
      </c>
      <c r="Z282" s="3">
        <f>302.6+(1032.2-444.2)+(-0.462978+(-1.579266--0.679626))+0-0-0</f>
        <v>889.23738200000003</v>
      </c>
      <c r="AA282" s="3">
        <f>187.1+(1156.7-473.6)+(-0.572526+(-3.539502--1.449216))+0-0-0</f>
        <v>867.53718800000001</v>
      </c>
      <c r="AB282" s="3">
        <f>100.9+(1252.5-503.2)+(-0.051459+(-0.638775--0.256632))+0-0-0</f>
        <v>849.76639799999998</v>
      </c>
      <c r="AC282" s="3">
        <f>48.9+(1238.5-460.2)+(-0.099756+(-2.52654--0.938808))+0-0-0</f>
        <v>825.5125119999999</v>
      </c>
      <c r="AD282" s="2">
        <v>924.4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0+(1079.9-296)+(0+(-1.652247--0.45288))+0-0-0</f>
        <v>782.70063300000004</v>
      </c>
      <c r="G283" s="3">
        <f>0+(957.9-211.4)+(0+(-1.465587--0.323442))+0-0-0</f>
        <v>745.35785499999997</v>
      </c>
      <c r="H283" s="3">
        <f>0+(957.4-219.6)+(0+(-1.953096--0.447984))+0-0-0</f>
        <v>736.2948879999999</v>
      </c>
      <c r="I283" s="3">
        <f>0+(928.6-211.4)+(0+(-0.473586--0.107814))+0-0-0</f>
        <v>716.83422800000005</v>
      </c>
      <c r="J283" s="3">
        <f>0+(905.1-187.7)+(0+(-0.923202--0.191454))+0-0-0</f>
        <v>716.66825200000005</v>
      </c>
      <c r="K283" s="3">
        <f>0+(913-191.7)+(0+(0.93126-0.195534))+0-0-0</f>
        <v>722.03572599999995</v>
      </c>
      <c r="L283" s="3">
        <f>105.1+(903-277.7)+(-0.160803+(-1.38159--0.424881))+0-0-0</f>
        <v>729.28248799999994</v>
      </c>
      <c r="M283" s="3">
        <f>100.7+(940.9-293.7)+(0+(0-0))+0-0-0</f>
        <v>747.90000000000009</v>
      </c>
      <c r="N283" s="3">
        <f>116.8+(998.6-335.3)+(0.119136+(1.018572-0.342006))+0-0-0</f>
        <v>780.89570199999991</v>
      </c>
      <c r="O283" s="3">
        <f>156.2+(1079-409.7)+(-0.238986+(-1.65087--0.626841))+0-0-0</f>
        <v>824.236985</v>
      </c>
      <c r="P283" s="3">
        <f>256.6+(1202.9-597.3)+(-0.261732+(-1.226958--0.609246))+0-0-0</f>
        <v>861.32055600000012</v>
      </c>
      <c r="Q283" s="3">
        <f>276+(1247.1-650.1)+(0.28152+(1.272042-0.663102))+0-0-0</f>
        <v>873.89045999999985</v>
      </c>
      <c r="R283" s="3">
        <f>234.9+(1206.8-581.2)+(-0.838593+(-4.308276--2.074884))+0-0-0</f>
        <v>857.42801499999985</v>
      </c>
      <c r="S283" s="3">
        <f>100.1+(1273.4-546.1)+(0+(0-0))+0-0-0</f>
        <v>827.40000000000009</v>
      </c>
      <c r="T283" s="3">
        <f>100.1+(1222.4-511.8)+(-0.153153+(-1.870272--0.783054))+0-0-0</f>
        <v>809.45962900000018</v>
      </c>
      <c r="U283" s="3">
        <f>100.2+(1216.7-516.8)+(-0.102204+(-1.241034--0.527136))+0-0-0</f>
        <v>799.28389800000014</v>
      </c>
      <c r="V283" s="3">
        <f>167+(1166.4-525.4)+(-0.08517+(-0.594864--0.267954))+0-0-0</f>
        <v>807.58792000000017</v>
      </c>
      <c r="W283" s="3">
        <f>251.9+(1247.7-618)+(0.385407+(1.908981-0.94554))+0-0-0</f>
        <v>882.948848</v>
      </c>
      <c r="X283" s="3">
        <f>277.9+(1231.2-609.6)+(-0.425187+(-1.883736--0.932688))+0-0-0</f>
        <v>898.12376500000005</v>
      </c>
      <c r="Y283" s="3">
        <f>279+(1178.5-585.2)+(0+(0-0))+0-0-0</f>
        <v>872.3</v>
      </c>
      <c r="Z283" s="3">
        <f>279.1+(1062.6-486.9)+(-0.569364+(-2.167704--0.993276))+0-0-0</f>
        <v>853.05620799999997</v>
      </c>
      <c r="AA283" s="3">
        <f>202.3+(1025.8-397)+(-0.206346+(-1.046316--0.40494))+0-0-0</f>
        <v>830.25227799999993</v>
      </c>
      <c r="AB283" s="3">
        <f>93.7+(1110.5-392.2)+(-0.143361+(-1.699065--0.600066))+0-0-0</f>
        <v>810.75764000000004</v>
      </c>
      <c r="AC283" s="3">
        <f>50.1+(1097.6-357.1)+(0.025551+(0.559776-0.182121))+0-0-0</f>
        <v>791.00320599999986</v>
      </c>
      <c r="AD283" s="2">
        <v>892.8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20.9+(978.1-257.6)+(-0.031977+(-1.496493--0.394128))+0-0-0</f>
        <v>740.26565800000003</v>
      </c>
      <c r="G284" s="3">
        <f>0+(1017.1-297.2)+(0+(-1.037442--0.303144))+0-0-0</f>
        <v>719.16570200000012</v>
      </c>
      <c r="H284" s="3">
        <f>0+(994.7-296.3)+(0+(-0.507297--0.151113))+0-0-0</f>
        <v>698.04381600000011</v>
      </c>
      <c r="I284" s="3">
        <f>0+(994-307.7)+(0+(-3.54858--1.098489))+0-0-0</f>
        <v>683.84990899999991</v>
      </c>
      <c r="J284" s="3">
        <f>0+(988.8-306.1)+(0+(0.504288-0.156111))+0-0-0</f>
        <v>683.0481769999999</v>
      </c>
      <c r="K284" s="3">
        <f>0+(937.6-264.1)+(0+(-1.434528--0.404073))+0-0-0</f>
        <v>672.46954500000004</v>
      </c>
      <c r="L284" s="3">
        <f>0+(876.2-214.3)+(0+(-2.23431--0.546465))+0-0-0</f>
        <v>660.21215500000005</v>
      </c>
      <c r="M284" s="3">
        <f>0+(888.8-248.2)+(0+(0-0))+0-0-0</f>
        <v>640.59999999999991</v>
      </c>
      <c r="N284" s="3">
        <f>0+(947.3-300.5)+(0+(0.483123-0.153255))+0-0-0</f>
        <v>647.12986799999999</v>
      </c>
      <c r="O284" s="3">
        <f>0+(1034.3-361)+(0+(0.527493-0.18411))+0-0-0</f>
        <v>673.64338299999997</v>
      </c>
      <c r="P284" s="3">
        <f>0+(1082.1-378.5)+(0+(-1.103742--0.38607))+0-0-0</f>
        <v>702.88232799999992</v>
      </c>
      <c r="Q284" s="3">
        <f>0+(1081.9-380.7)+(0+(0-0))+9.2-0-0</f>
        <v>710.40000000000009</v>
      </c>
      <c r="R284" s="3">
        <f>0+(1070.7-359.8)+(0+(-2.184228--0.733992))+0-0-0</f>
        <v>709.44976400000007</v>
      </c>
      <c r="S284" s="3">
        <f>0+(992.8-306.2)+(0+(-1.012656--0.312324))+0-0-0</f>
        <v>685.89966799999991</v>
      </c>
      <c r="T284" s="3">
        <f>0+(910.3-229.6)+(0+(-1.857012--0.468384))+0-0-0</f>
        <v>679.31137199999989</v>
      </c>
      <c r="U284" s="3">
        <f>0+(966.5-286.9)+(0+(0.492915-0.146319))+0-0-0</f>
        <v>679.946596</v>
      </c>
      <c r="V284" s="3">
        <f>28.6+(974.7-322.3)+(-0.043758+(-1.491291--0.493119))+0-0-0</f>
        <v>679.95807000000013</v>
      </c>
      <c r="W284" s="3">
        <f>122.7+(950.4-299.4)+(0.125154+(0.969408-0.305388))+0-0-0</f>
        <v>774.48917400000005</v>
      </c>
      <c r="X284" s="3">
        <f>133.8+(958.9-293.8)+(-0.136476+(-0.978078--0.299676))+0-0-0</f>
        <v>798.08512199999984</v>
      </c>
      <c r="Y284" s="3">
        <f>134.5+(923.6-256.6)+(0.205785+(1.413108-0.392598))+0-0-0</f>
        <v>802.72629500000005</v>
      </c>
      <c r="Z284" s="3">
        <f>134.3+(878.3-226.6)+(0.205479+(1.343799-0.346698))+0-0-0</f>
        <v>787.20258000000001</v>
      </c>
      <c r="AA284" s="3">
        <f>136.1+(903-261.9)+(0.138822+(0.92106-0.267138))+0-0-0</f>
        <v>777.99274400000002</v>
      </c>
      <c r="AB284" s="3">
        <f>135.1+(935.5-307.6)+(-0.275604+(-1.90842--0.627504))+0-0-0</f>
        <v>761.44348000000002</v>
      </c>
      <c r="AC284" s="3">
        <f>39.5+(973.4-273.5)+(-0.12087+(-2.978604--0.83691))+0-0-0</f>
        <v>737.13743599999998</v>
      </c>
      <c r="AD284" s="2">
        <v>803.00000000000011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0+(968.2-273)+(0+(0-0))+0-0-0</f>
        <v>695.2</v>
      </c>
      <c r="G285" s="3">
        <f>0+(918.1-247.7)+(0+(0-0))+0-0-0</f>
        <v>670.40000000000009</v>
      </c>
      <c r="H285" s="3">
        <f>0+(886.1-232.7)+(0+(-0.451911--0.118677))+0-0-0</f>
        <v>653.06676600000014</v>
      </c>
      <c r="I285" s="3">
        <f>0+(892.8-241.4)+(0+(1.365984-0.369342))+0-0-0</f>
        <v>652.39664199999993</v>
      </c>
      <c r="J285" s="3">
        <f>0+(902.5-246.4)+(0+(1.8411-0.502656))+0-0-0</f>
        <v>657.438444</v>
      </c>
      <c r="K285" s="3">
        <f>0+(893.6-236.2)+(0+(2.27868-0.60231))+0-0-0</f>
        <v>659.07637000000011</v>
      </c>
      <c r="L285" s="3">
        <f>0+(958-245.8)+(0+(-0.48858--0.125358))+0-0-0</f>
        <v>711.83677800000009</v>
      </c>
      <c r="M285" s="3">
        <f>111.5+(939.3-296.7)+(0.11373+(0.958086-0.302634))+0-0-0</f>
        <v>754.86918199999991</v>
      </c>
      <c r="N285" s="3">
        <f>267.1+(834.1-286.7)+(0.544884+(1.701564-0.584868))+0-0-0</f>
        <v>816.16158000000007</v>
      </c>
      <c r="O285" s="3">
        <f>265.1+(871.4-274.4)+(0.135201+(0.444414-0.139944))+0-0-0</f>
        <v>862.539671</v>
      </c>
      <c r="P285" s="3">
        <f>297.2+(873.8-323.9)+(0.303144+(0.891276-0.330378))+0-0-0</f>
        <v>847.96404199999995</v>
      </c>
      <c r="Q285" s="3">
        <f>393.2+(780.5-238.6)+(-0.802128+(-1.59222--0.486744))+0-0-0</f>
        <v>933.19239599999992</v>
      </c>
      <c r="R285" s="3">
        <f>392.5+(777.7-285.2)+(-0.600525+(-1.189881--0.436356))+0-0-0</f>
        <v>883.64594999999997</v>
      </c>
      <c r="S285" s="3">
        <f>393.1+(816.8-335)+(0.400962+(0.833136-0.3417))+0-0-0</f>
        <v>875.79239799999993</v>
      </c>
      <c r="T285" s="3">
        <f>390+(767.2-294.8)+(0+(0-0))+0-0-0</f>
        <v>862.40000000000009</v>
      </c>
      <c r="U285" s="3">
        <f>388.5+(762.8-298.2)+(0+(0-0))+0-0-0</f>
        <v>853.09999999999991</v>
      </c>
      <c r="V285" s="3">
        <f>391.9+(763-296.7)+(0.199869+(0.38913-0.151317))+0-0-0</f>
        <v>858.63768200000004</v>
      </c>
      <c r="W285" s="3">
        <f>390.8+(740.4-215.5)+(0.398616+(0.755208-0.21981))+0-0-0</f>
        <v>916.63401400000009</v>
      </c>
      <c r="X285" s="3">
        <f>387.9+(774-230.1)+(-0.197829+(-0.39474--0.117351))+0-0-0</f>
        <v>931.32478199999991</v>
      </c>
      <c r="Y285" s="3">
        <f>387.9+(751.3-227.1)+(-1.186974+(-2.298978--0.694926))+0-0-0</f>
        <v>909.30897399999992</v>
      </c>
      <c r="Z285" s="3">
        <f>399+(740.8-247.8)+(-0.40698+(-0.755616--0.252756))+0-0-0</f>
        <v>891.09015999999997</v>
      </c>
      <c r="AA285" s="3">
        <f>323.7+(820.3-266.8)+(-0.330174+(-0.836706--0.272136))+0-0-0</f>
        <v>876.3052560000001</v>
      </c>
      <c r="AB285" s="3">
        <f>173.8+(970.2-287.4)+(-0.177276+(-0.989604--0.293148))+0-0-0</f>
        <v>855.72626800000012</v>
      </c>
      <c r="AC285" s="3">
        <f>1.1+(993.6-174.1)+(-0.003366+(-3.040416--0.532746))+0-0-0</f>
        <v>818.08896400000003</v>
      </c>
      <c r="AD285" s="2">
        <v>934.2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0+(903.1-125.1)+(0+(1.381743-0.191403))+0-0-0</f>
        <v>779.19033999999999</v>
      </c>
      <c r="G286" s="3">
        <f>0+(870.9-118)+(0+(2.220795-0.3009))+0-0-0</f>
        <v>754.81989499999997</v>
      </c>
      <c r="H286" s="3">
        <f>0+(845.5-111.5)+(0+(1.72482-0.22746))+0-0-0</f>
        <v>735.49735999999996</v>
      </c>
      <c r="I286" s="3">
        <f>0+(930-188.3)+(0+(2.3715-0.480165))+0-0-0</f>
        <v>743.59133500000007</v>
      </c>
      <c r="J286" s="3">
        <f>0+(935.5-193.5)+(0+(0-0))+0-0-0</f>
        <v>742</v>
      </c>
      <c r="K286" s="3">
        <f>0+(940.9-198.5)+(0+(0.959718-0.20247))+0-0-0</f>
        <v>743.15724799999998</v>
      </c>
      <c r="L286" s="3">
        <f>18.5+(1010.8-258.3)+(-0.009435+(-0.515508--0.131733))+0-0-0</f>
        <v>770.60679000000005</v>
      </c>
      <c r="M286" s="3">
        <f>30.6+(1048.4-274)+(0.015606+(0.534684-0.13974))+0-0-0</f>
        <v>805.41055000000006</v>
      </c>
      <c r="N286" s="3">
        <f>124.2+(985.4-257.2)+(-0.190026+(-1.507662--0.393516))+0-0-0</f>
        <v>851.0958280000001</v>
      </c>
      <c r="O286" s="3">
        <f>216.8+(945.1-264.6)+(-0.55284+(-2.410005--0.67473))+0-0-0</f>
        <v>895.01188500000001</v>
      </c>
      <c r="P286" s="3">
        <f>381.9+(791-271.9)+(-0.779076+(-1.61364--0.554676))+0-0-0</f>
        <v>899.16196000000002</v>
      </c>
      <c r="Q286" s="3">
        <f>399.3+(787.1-255.3)+(-1.018215+(-2.007105--0.651015))+0-0-0</f>
        <v>928.72569499999986</v>
      </c>
      <c r="R286" s="3">
        <f>395.9+(778.9-267)+(-0.605727+(-1.191717--0.40851))+0-0-0</f>
        <v>906.41106600000001</v>
      </c>
      <c r="S286" s="3">
        <f>278.6+(807-220.9)+(0+(0-0))+0-0-0</f>
        <v>864.7</v>
      </c>
      <c r="T286" s="3">
        <f>299.6+(775.9-218.1)+(0.152796+(0.395709-0.111231))+0-0-0</f>
        <v>857.83727399999998</v>
      </c>
      <c r="U286" s="3">
        <f>391+(729.9-272.2)+(0.39882+(0.744498-0.277644))+0-0-0</f>
        <v>849.56567400000006</v>
      </c>
      <c r="V286" s="3">
        <f>394.3+(705.9-254.1)+(0.402186+(0.720018-0.259182))+0-0-0</f>
        <v>846.96302199999991</v>
      </c>
      <c r="W286" s="3">
        <f>394.2+(734-208.1)+(0.402084+(0.74868-0.212262))+0-0-0</f>
        <v>921.03850199999988</v>
      </c>
      <c r="X286" s="3">
        <f>392.5+(724.5-181.3)+(-0.600525+(-1.108485--0.277389))+0-0-0</f>
        <v>934.2683790000001</v>
      </c>
      <c r="Y286" s="3">
        <f>394+(695.5-183)+(-0.20094+(-0.354705--0.09333))+0-0-0</f>
        <v>906.03768500000001</v>
      </c>
      <c r="Z286" s="3">
        <f>395.1+(697.3-196.3)+(-0.403002+(-0.711246--0.200226))+0-0-0</f>
        <v>895.18597799999986</v>
      </c>
      <c r="AA286" s="3">
        <f>314.8+(725.4-162.8)+(-0.160548+(-0.369954--0.083028))+0-0-0</f>
        <v>876.95252599999981</v>
      </c>
      <c r="AB286" s="3">
        <f>265+(808.2-217.9)+(-0.13515+(-0.412182--0.111129))+0-0-0</f>
        <v>854.86379700000009</v>
      </c>
      <c r="AC286" s="3">
        <f>181+(900.2-250.8)+(-0.18462+(-0.918204--0.255816))+0-0-0</f>
        <v>829.55299200000013</v>
      </c>
      <c r="AD286" s="2">
        <v>928.3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4.5+(979.7-197.6)+(0+(0-0))+0-0-0</f>
        <v>786.6</v>
      </c>
      <c r="G287" s="3">
        <f>0+(962.7-204)+(0+(1.472931-0.31212))+0-0-0</f>
        <v>759.86081100000001</v>
      </c>
      <c r="H287" s="3">
        <f>0+(969.2-225.3)+(0+(1.977168-0.459612))+0-0-0</f>
        <v>745.4175560000001</v>
      </c>
      <c r="I287" s="3">
        <f>0+(969.5-226.9)+(0+(0-0))+0-0-0</f>
        <v>742.6</v>
      </c>
      <c r="J287" s="3">
        <f>0+(962.3-226.5)+(0+(-0.981546--0.23103))+0-0-0</f>
        <v>735.04948400000001</v>
      </c>
      <c r="K287" s="3">
        <f>0+(957.3-217.5)+(0+(0.976446-0.22185))+0-0-0</f>
        <v>740.55459599999995</v>
      </c>
      <c r="L287" s="3">
        <f>25.4+(1009.9-269.8)+(-0.06477+(-2.575245--0.68799))+0-0-0</f>
        <v>763.54797499999984</v>
      </c>
      <c r="M287" s="3">
        <f>158+(916.4-276.5)+(-0.16116+(-0.934728--0.28203))+0-0-0</f>
        <v>797.086142</v>
      </c>
      <c r="N287" s="3">
        <f>225.1+(820.9-208.1)+(-0.229602+(-0.837318--0.212262))+0-0-0</f>
        <v>837.04534200000001</v>
      </c>
      <c r="O287" s="3">
        <f>385+(718.9-227)+(0.7854+(1.466556-0.46308))+0-0-0</f>
        <v>878.68887599999994</v>
      </c>
      <c r="P287" s="3">
        <f>398.1+(694.3-188.7)+(0.203031+(0.354093-0.096237))+0-0-0</f>
        <v>904.160887</v>
      </c>
      <c r="Q287" s="3">
        <f>396.1+(698.9-189.7)+(-1.010055+(-1.782195--0.483735))+0-0-0</f>
        <v>902.99148500000001</v>
      </c>
      <c r="R287" s="3">
        <f>395.3+(699.4-222.5)+(-0.806412+(-1.426776--0.4539))+0-0-0</f>
        <v>870.42071200000009</v>
      </c>
      <c r="S287" s="3">
        <f>398.7+(672.5-213.6)+(0.203337+(0.342975-0.108936))+0-0-0</f>
        <v>858.03737599999988</v>
      </c>
      <c r="T287" s="3">
        <f>398.9+(704-244)+(0+(0-0))+0-0-0</f>
        <v>858.9</v>
      </c>
      <c r="U287" s="3">
        <f>397.7+(684.2-239.8)+(-0.811308+(-1.395768--0.489192))+0-0-0</f>
        <v>840.382116</v>
      </c>
      <c r="V287" s="3">
        <f>400.2+(632.1-198.1)+(0.408204+(0.644742-0.202062))+0-0-0</f>
        <v>835.050884</v>
      </c>
      <c r="W287" s="3">
        <f>393.7+(656.9-135.8)+(0.602361+(1.005057-0.207774))+0-0-0</f>
        <v>916.19964399999992</v>
      </c>
      <c r="X287" s="3">
        <f>387.4+(704.4-156.7)+(-0.790296+(-1.436976--0.319668))+0-0-0</f>
        <v>933.19239600000003</v>
      </c>
      <c r="Y287" s="3">
        <f>318.5+(733-128.2)+(0.32487+(0.74766-0.130764))+0-0-0</f>
        <v>924.24176599999998</v>
      </c>
      <c r="Z287" s="3">
        <f>312+(694.9-106.4)+(0+(0-0))+0-0-0</f>
        <v>900.5</v>
      </c>
      <c r="AA287" s="3">
        <f>195.1+(764.7-81.4)+(-0.199002+(-0.779994--0.083028))+0-0-0</f>
        <v>877.50403200000005</v>
      </c>
      <c r="AB287" s="3">
        <f>166.5+(842.1-152.3)+(-0.16983+(-0.858942--0.155346))+0-0-0</f>
        <v>855.42657399999996</v>
      </c>
      <c r="AC287" s="3">
        <f>28.9+(976.1-178)+(-0.044217+(-1.493433--0.27234))+0-0-0</f>
        <v>825.73469</v>
      </c>
      <c r="AD287" s="2">
        <v>930.3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0+(980.9-196)+(0+(-0.500259--0.09996))+0-0-0</f>
        <v>784.49970099999996</v>
      </c>
      <c r="G288" s="3">
        <f>0+(936.7-177.9)+(0+(-1.910868--0.362916))+0-0-0</f>
        <v>757.25204800000006</v>
      </c>
      <c r="H288" s="3">
        <f>0+(883.5-143.1)+(0+(0-0))+0-0-0</f>
        <v>740.4</v>
      </c>
      <c r="I288" s="3">
        <f>0+(878.9-149.9)+(0+(-0.448239--0.076449))+0-0-0</f>
        <v>728.62820999999997</v>
      </c>
      <c r="J288" s="3">
        <f>0+(868.5-141.1)+(0+(-0.442935--0.071961))+0-0-0</f>
        <v>727.02902599999993</v>
      </c>
      <c r="K288" s="3">
        <f>0+(892.5-164)+(0+(-1.365525--0.25092))+0-0-0</f>
        <v>727.38539500000002</v>
      </c>
      <c r="L288" s="3">
        <f>0+(892.5-164)+(0+(-1.365525--0.25092))+0-0-0</f>
        <v>727.38539500000002</v>
      </c>
      <c r="M288" s="3">
        <f>32.9+(937.4-211.1)+(-0.016779+(-0.478074--0.107661))+0-0-0</f>
        <v>758.8128079999999</v>
      </c>
      <c r="N288" s="3">
        <f>88.5+(933.6-232.1)+(0+(0-0))+0-0-0</f>
        <v>790</v>
      </c>
      <c r="O288" s="3">
        <f>131.5+(901.2-138.1)+(-0.13413+(-0.919224--0.140862))+0-0-0</f>
        <v>893.68750799999998</v>
      </c>
      <c r="P288" s="3">
        <f>131.8+(811.5-52.8)+(-0.134436+(-0.82773--0.053856))+0-0-0</f>
        <v>889.59168999999997</v>
      </c>
      <c r="Q288" s="3">
        <f>135+(787.9-20.3)+(0.34425+(2.009145-0.051765))+0-0-0</f>
        <v>904.90163000000007</v>
      </c>
      <c r="R288" s="3">
        <f>130.2+(763.6-21.9)+(-0.464814+(-2.726052--0.078183))+0-0-0</f>
        <v>868.78731700000014</v>
      </c>
      <c r="S288" s="3">
        <f>130.9+(756.1-34.8)+(-0.267036+(-1.542444--0.070992))+0-0-0</f>
        <v>850.46151200000008</v>
      </c>
      <c r="T288" s="3">
        <f>131.8+(767-45.2)+(0.067218+(0.39117-0.023052))+0-0-0</f>
        <v>854.03533599999992</v>
      </c>
      <c r="U288" s="3">
        <f>130.3+(756.6-31.9)+(-0.066453+(-0.385866--0.016269))+0-0-0</f>
        <v>854.56394999999998</v>
      </c>
      <c r="V288" s="3">
        <f>126.9+(763.3-22.9)+(0+(0-0))+0-0-0</f>
        <v>867.3</v>
      </c>
      <c r="W288" s="3">
        <f>125.5+(914.6-103.3)+(0.192015+(1.399338-0.158049))+0-0-0</f>
        <v>938.23330400000009</v>
      </c>
      <c r="X288" s="3">
        <f>124+(929.1-117.8)+(-0.25296+(-1.895364--0.240312))+0-0-0</f>
        <v>933.39198800000008</v>
      </c>
      <c r="Y288" s="3">
        <f>124.8+(898-105.2)+(-0.127296+(-0.91596--0.107304))+0-0-0</f>
        <v>916.66404799999987</v>
      </c>
      <c r="Z288" s="3">
        <f>124.4+(898.4-120.9)+(-0.126888+(-0.916368--0.123318))+0-0-0</f>
        <v>900.98006199999998</v>
      </c>
      <c r="AA288" s="3">
        <f>124.8+(899-143.8)+(0+(0-0))+0-0-0</f>
        <v>880</v>
      </c>
      <c r="AB288" s="3">
        <f>67.3+(965.5-179.6)+(-0.102969+(-1.477215--0.274788))+0-0-0</f>
        <v>851.89460399999996</v>
      </c>
      <c r="AC288" s="3">
        <f>0+(984.9-160.5)+(0+(-0.502299--0.081855))+0-0-0</f>
        <v>823.979556</v>
      </c>
      <c r="AD288" s="2">
        <v>932.2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0+(922.7-136.3)+(0+(-1.411731--0.208539))+0-0-0</f>
        <v>785.19680800000015</v>
      </c>
      <c r="G289" s="3">
        <f>0+(849.4-91.4)+(0+(0-0))+0-0-0</f>
        <v>758</v>
      </c>
      <c r="H289" s="3">
        <f>0+(809.8-69.3)+(0+(0.412998-0.035343))+0-0-0</f>
        <v>740.877655</v>
      </c>
      <c r="I289" s="3">
        <f>0+(819.5-90.9)+(0+(0.83589-0.092718))+0-0-0</f>
        <v>729.34317199999998</v>
      </c>
      <c r="J289" s="3">
        <f>0+(808.7-78.6)+(0+(1.649748-0.160344))+0-0-0</f>
        <v>731.58940400000006</v>
      </c>
      <c r="K289" s="3">
        <f>0+(832.9-97.6)+(0+(0.849558-0.099552))+0-0-0</f>
        <v>736.05000599999994</v>
      </c>
      <c r="L289" s="3">
        <f>7.7+(906.2-147.7)+(0+(0-0))+0-0-0</f>
        <v>766.2</v>
      </c>
      <c r="M289" s="3">
        <f>103.3+(831.8-143)+(-0.105366+(-0.848436--0.14586))+0-0-0</f>
        <v>791.29205799999988</v>
      </c>
      <c r="N289" s="3">
        <f>125.7+(807.3-93.2)+(0.128214+(0.823446-0.095064))+0-0-0</f>
        <v>840.65659599999992</v>
      </c>
      <c r="O289" s="3">
        <f>128.4+(806.9-59.8)+(-0.065484+(-0.411519--0.030498))+0-0-0</f>
        <v>875.053495</v>
      </c>
      <c r="P289" s="3">
        <f>129+(853.6-79.2)+(-0.13158+(-0.870672--0.080784))+0-0-0</f>
        <v>902.47853199999997</v>
      </c>
      <c r="Q289" s="3">
        <f>130.1+(839-72.3)+(-0.066351+(-0.42789--0.036873))+0-0-0</f>
        <v>896.34263200000009</v>
      </c>
      <c r="R289" s="3">
        <f>130.1+(812.8-63.6)+(0+(0-0))+0-0-0</f>
        <v>879.3</v>
      </c>
      <c r="S289" s="3">
        <f>129.6+(788.7-53.4)+(-0.132192+(-0.804474--0.054468))+0-0-0</f>
        <v>864.01780200000007</v>
      </c>
      <c r="T289" s="3">
        <f>129.7+(761.6-59.4)+(-0.066147+(-0.388416--0.030294))+0-0-0</f>
        <v>831.47573100000011</v>
      </c>
      <c r="U289" s="3">
        <f>130.3+(776.8-76.9)+(0.066453+(0.396168-0.039219))+0-0-0</f>
        <v>830.62340200000006</v>
      </c>
      <c r="V289" s="3">
        <f>129.4+(781.3-70.7)+(-0.395964+(-2.390778--0.216342))+0-0-0</f>
        <v>837.42959999999994</v>
      </c>
      <c r="W289" s="3">
        <f>132.2+(897-123.9)+(0.134844+(0.91494-0.126378))+0-0-0</f>
        <v>906.22340599999995</v>
      </c>
      <c r="X289" s="3">
        <f>132.5+(935.7-142.7)+(-0.202725+(-1.431621--0.218331))+0-0-0</f>
        <v>924.08398499999998</v>
      </c>
      <c r="Y289" s="3">
        <f>132+(927.3-160.7)+(-0.26928+(-1.891692--0.327828))+0-0-0</f>
        <v>896.76685599999996</v>
      </c>
      <c r="Z289" s="3">
        <f>132.6+(880.6-136.3)+(-0.202878+(-1.347318--0.208539))+0-0-0</f>
        <v>875.55834299999992</v>
      </c>
      <c r="AA289" s="3">
        <f>132.6+(845.5-116.1)+(-0.202878+(-1.293615--0.177633))+0-0-0</f>
        <v>860.68114000000003</v>
      </c>
      <c r="AB289" s="3">
        <f>133.2+(865.4-155.9)+(0+(0-0))+0-0-0</f>
        <v>842.7</v>
      </c>
      <c r="AC289" s="3">
        <f>109.4+(914.1-193.8)+(-0.223176+(-1.864764--0.395352))+0-0-0</f>
        <v>828.00741199999993</v>
      </c>
      <c r="AD289" s="2">
        <v>920.49999999999989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0+(892-120.3)+(0+(0-0))+0-0-0</f>
        <v>771.7</v>
      </c>
      <c r="G290" s="3">
        <f>0+(808.3-63.5)+(0+(1.236699-0.097155))+0-0-0</f>
        <v>745.93954399999996</v>
      </c>
      <c r="H290" s="3">
        <f>0+(760.8-39.4)+(0+(0.388008-0.020094))+0-0-0</f>
        <v>721.76791400000002</v>
      </c>
      <c r="I290" s="3">
        <f>0+(732.4-15.1)+(0+(1.120572-0.023103))+0-0-0</f>
        <v>718.397469</v>
      </c>
      <c r="J290" s="3">
        <f>0+(713.4-15.7)+(0+(0.727668-0.016014))+0-0-0</f>
        <v>698.41165399999988</v>
      </c>
      <c r="K290" s="3">
        <f>0+(688-3)+(0+(0.70176-0.00306))+0-0-0</f>
        <v>685.69870000000003</v>
      </c>
      <c r="L290" s="3">
        <f>29.7+(654.8-9.3)+(-0.121176+(-2.671584--0.037944))+0-0-0</f>
        <v>672.44518400000004</v>
      </c>
      <c r="M290" s="3">
        <f>111.4+(612.3-64.5)+(0.340884+(1.873638-0.19737))+0-0-0</f>
        <v>661.21715199999994</v>
      </c>
      <c r="N290" s="3">
        <f>138.8+(614.3-78.9)+(0.283152+(1.253172-0.160956))+0-0-0</f>
        <v>675.57536800000003</v>
      </c>
      <c r="O290" s="3">
        <f>138.8+(556.5-30.9)+(0.212364+(0.851445-0.047277))+0-0-0</f>
        <v>665.41653200000007</v>
      </c>
      <c r="P290" s="3">
        <f>137.4+(616.3-63)+(-0.280296+(-1.257252--0.12852))+0-0-0</f>
        <v>689.2909719999999</v>
      </c>
      <c r="Q290" s="3">
        <f>137.8+(636.7-70.1)+(-0.210834+(-0.974151--0.107253))+0-0-0</f>
        <v>703.32226800000012</v>
      </c>
      <c r="R290" s="3">
        <f>137.2+(623.9-85.9)+(-0.139944+(-0.636378--0.087618))+0-0-0</f>
        <v>674.51129600000002</v>
      </c>
      <c r="S290" s="3">
        <f>105.4+(627.7-72.5)+(-0.053754+(-0.320127--0.036975))+0-0-0</f>
        <v>660.26309400000002</v>
      </c>
      <c r="T290" s="3">
        <f>5.9+(690.8-50.1)+(-0.003009+(-0.352308--0.025551))+0-0-0</f>
        <v>646.27023399999996</v>
      </c>
      <c r="U290" s="3">
        <f>0+(701.9-57.5)+(0+(-1.431876--0.1173))+0-0-0</f>
        <v>643.08542399999999</v>
      </c>
      <c r="V290" s="3">
        <f>0+(739.6-91.9)+(0+(0.377196-0.046869))+0-0-0</f>
        <v>648.03032700000006</v>
      </c>
      <c r="W290" s="3">
        <f>0+(914.5-151.5)+(0+(-0.466395--0.077265))+0-0-0</f>
        <v>762.61086999999998</v>
      </c>
      <c r="X290" s="3">
        <f>0+(968.9-168.5)+(0+(-0.494139--0.085935))+0-0-0</f>
        <v>799.99179600000002</v>
      </c>
      <c r="Y290" s="3">
        <f>0+(963.5-171.8)+(0+(-0.491385--0.087618))+0-0-0</f>
        <v>791.29623300000003</v>
      </c>
      <c r="Z290" s="3">
        <f>0+(934.4-151.5)+(0+(-0.476544--0.077265))+0-0-0</f>
        <v>782.500721</v>
      </c>
      <c r="AA290" s="3">
        <f>0+(913.4-139.9)+(0+(1.397502-0.214047))+0-0-0</f>
        <v>774.68345499999998</v>
      </c>
      <c r="AB290" s="3">
        <f>0+(989.4-210.2)+(0+(0-0))+0-0-0</f>
        <v>779.2</v>
      </c>
      <c r="AC290" s="3">
        <f>0+(988.4-231)+(0+(-1.008168--0.23562))+0-0-0</f>
        <v>756.62745199999995</v>
      </c>
      <c r="AD290" s="2">
        <v>773.80000000000007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0+(847.4-130.8)+(0+(-1.296522--0.200124))+0-0-0</f>
        <v>715.50360199999989</v>
      </c>
      <c r="G291" s="3">
        <f>0+(734.3-65)+(0+(0-0))+0-0-0</f>
        <v>669.3</v>
      </c>
      <c r="H291" s="3">
        <f>0+(683.2-29.2)+(0+(0.348432-0.014892))+0-0-0</f>
        <v>654.33353999999997</v>
      </c>
      <c r="I291" s="3">
        <f>0+(656.9-0)+(0+(0.335019-0))+0-0-0</f>
        <v>657.23501899999997</v>
      </c>
      <c r="J291" s="3">
        <f>0+(642.4-0)+(0+(-0.327624-0))+0-0-0</f>
        <v>642.07237599999996</v>
      </c>
      <c r="K291" s="3">
        <f>0+(628.4-1.6)+(0+(0.961452-0.002448))+0-0-0</f>
        <v>627.759004</v>
      </c>
      <c r="L291" s="3">
        <f>0+(642.3-0)+(0+(0.982719-0))+0-0-0</f>
        <v>643.28271899999993</v>
      </c>
      <c r="M291" s="3">
        <f>0+(675.4-30.9)+(0+(-0.344454--0.015759))+0-0-0</f>
        <v>644.17130499999996</v>
      </c>
      <c r="N291" s="3">
        <f>0+(685.9-18.6)+(0+(0.349809-0.009486))+0-0-0</f>
        <v>667.64032299999997</v>
      </c>
      <c r="O291" s="3">
        <f>0+(729.9-3.9)+(0+(0.372249-0.001989))+0-0-0</f>
        <v>726.37026000000003</v>
      </c>
      <c r="P291" s="3">
        <f>0+(756.4-2.4)+(0+(-0.385764--0.001224))+0-0-0</f>
        <v>753.61545999999998</v>
      </c>
      <c r="Q291" s="3">
        <f>0+(806.4-18.9)+(0+(-1.233792--0.028917))+0-0-0</f>
        <v>786.29512499999998</v>
      </c>
      <c r="R291" s="3">
        <f>0+(748.6-35.2)+(0+(-0.763572--0.035904))+0-0-0</f>
        <v>712.67233199999998</v>
      </c>
      <c r="S291" s="3">
        <f>0+(701.7-7.1)+(0+(-0.715734--0.007242))+0-0-0</f>
        <v>693.89150800000004</v>
      </c>
      <c r="T291" s="3">
        <f>0+(687.7-9.4)+(0+(-1.402908--0.019176))+0-0-0</f>
        <v>676.91626800000006</v>
      </c>
      <c r="U291" s="3">
        <f>0+(678-12.7)+(0+(1.7289-0.032385))+0-0-0</f>
        <v>666.99651499999993</v>
      </c>
      <c r="V291" s="3">
        <f>0+(698.5-25.2)+(0+(0-0))+0-0-0</f>
        <v>673.3</v>
      </c>
      <c r="W291" s="3">
        <f>0+(832.8-79.4)+(0+(0.849456-0.080988))+0-0-0</f>
        <v>754.16846799999996</v>
      </c>
      <c r="X291" s="3">
        <f>0+(880.1-75.2)+(0+(-1.346553--0.115056))+0-0-0</f>
        <v>803.66850299999999</v>
      </c>
      <c r="Y291" s="3">
        <f>0+(867-73.6)+(0+(0.44217-0.037536))+0-0-0</f>
        <v>793.80463399999996</v>
      </c>
      <c r="Z291" s="3">
        <f>0+(850.6-83)+(0+(0.433806-0.04233))+0-0-0</f>
        <v>767.99147600000003</v>
      </c>
      <c r="AA291" s="3">
        <f>0+(840.9-78.4)+(0+(0.857718-0.079968))+0-0-0</f>
        <v>763.27774999999997</v>
      </c>
      <c r="AB291" s="3">
        <f>0+(901.6-108.2)+(0+(-0.919632--0.110364))+0-0-0</f>
        <v>792.590732</v>
      </c>
      <c r="AC291" s="3">
        <f>0+(767.1-18.9)+(0+(-1.956105--0.048195))+0-0-0</f>
        <v>746.29209000000003</v>
      </c>
      <c r="AD291" s="2">
        <v>788.4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0+(671-15)+(0+(-1.02663--0.02295))+0-0-0</f>
        <v>654.99631999999997</v>
      </c>
      <c r="G292" s="3">
        <f>0+(682.5-19.2)+(0+(0-0))+0-0-0</f>
        <v>663.3</v>
      </c>
      <c r="H292" s="3">
        <f>0+(712-51.8)+(0+(0.36312-0.026418))+0-0-0</f>
        <v>660.53670199999999</v>
      </c>
      <c r="I292" s="3">
        <f>0+(650-4.2)+(0+(0.9945-0.006426))+0-0-0</f>
        <v>646.78807399999994</v>
      </c>
      <c r="J292" s="3">
        <f>0+(648.6-3.5)+(0+(1.65393-0.008925))+0-0-0</f>
        <v>646.74500499999999</v>
      </c>
      <c r="K292" s="3">
        <f>0+(651-7.8)+(0+(0.66402-0.007956))+0-0-0</f>
        <v>643.85606400000006</v>
      </c>
      <c r="L292" s="3">
        <f>97.6+(602.4-19.1)+(-0.298656+(-1.843344--0.058446))+0-0-0</f>
        <v>678.81644599999993</v>
      </c>
      <c r="M292" s="3">
        <f>81.2+(700.9-15.2)+(0.124236+(1.072377-0.023256))+0-0-0</f>
        <v>768.07335699999999</v>
      </c>
      <c r="N292" s="3">
        <f>100.7+(726.9-44.6)+(0+(0-0))+0-0-0</f>
        <v>783</v>
      </c>
      <c r="O292" s="3">
        <f>145.4+(804.2-106.3)+(-0.296616+(-1.640568--0.216852))+0-0-0</f>
        <v>841.57966800000008</v>
      </c>
      <c r="P292" s="3">
        <f>192.6+(852-164.3)+(0.196452+(0.86904-0.167586))+0-0-0</f>
        <v>881.1979060000001</v>
      </c>
      <c r="Q292" s="3">
        <f>257.7+(881.8-250.9)+(0+(0-0))+0-0-0</f>
        <v>888.59999999999991</v>
      </c>
      <c r="R292" s="3">
        <f>256.1+(887.1-249.5)+(-0.391833+(-1.357263--0.381735))+0-0-0</f>
        <v>892.33263900000009</v>
      </c>
      <c r="S292" s="3">
        <f>257.7+(834.3-216.2)+(-0.262854+(-0.850986--0.220524))+0-0-0</f>
        <v>874.90668399999993</v>
      </c>
      <c r="T292" s="3">
        <f>258.4+(794.9-207.1)+(0.131784+(0.405399-0.105621))+0-0-0</f>
        <v>846.63156199999992</v>
      </c>
      <c r="U292" s="3">
        <f>259.1+(778.9-213.2)+(0.396423+(1.191717-0.326196))+0-0-0</f>
        <v>826.06194400000004</v>
      </c>
      <c r="V292" s="3">
        <f>265+(780.5-199)+(0.13515+(0.398055-0.10149))+0-0-0</f>
        <v>846.93171500000005</v>
      </c>
      <c r="W292" s="3">
        <f>264.8+(895.5-248)+(0+(0-0))+0-0-0</f>
        <v>912.3</v>
      </c>
      <c r="X292" s="3">
        <f>264.7+(901.2-245.2)+(-0.134997+(-0.459612--0.125052))+0-0-0</f>
        <v>920.23044300000004</v>
      </c>
      <c r="Y292" s="3">
        <f>263.4+(856.8-218.3)+(-0.537336+(-1.747872--0.445332))+0-0-0</f>
        <v>900.06012399999997</v>
      </c>
      <c r="Z292" s="3">
        <f>264.6+(783.9-162)+(-0.134946+(-0.399789--0.08262))+0-0-0</f>
        <v>886.04788499999995</v>
      </c>
      <c r="AA292" s="3">
        <f>187.8+(820.7-138.5)+(0+(0-0))+0-0-0</f>
        <v>870</v>
      </c>
      <c r="AB292" s="3">
        <f>98+(912.4-161.2)+(-0.14994+(-1.395972--0.246636))+0-0-0</f>
        <v>847.90072400000008</v>
      </c>
      <c r="AC292" s="3">
        <f>37+(907.8-140.2)+(-0.01887+(-0.462978--0.071502))+0-0-0</f>
        <v>804.1896539999999</v>
      </c>
      <c r="AD292" s="2">
        <v>919.1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0+(838.6-69.4)+(0+(-0.855372--0.070788))+0-0-0</f>
        <v>768.41541600000005</v>
      </c>
      <c r="G293" s="3">
        <f>0+(757.3-13.1)+(0+(0.386223-0.006681))+0-0-0</f>
        <v>744.57954199999995</v>
      </c>
      <c r="H293" s="3">
        <f>0+(773.4-33.7)+(0+(-0.788868--0.034374))+0-0-0</f>
        <v>738.94550599999991</v>
      </c>
      <c r="I293" s="3">
        <f>0+(785.9-60.7)+(0+(0.400809-0.030957))+0-0-0</f>
        <v>725.56985199999997</v>
      </c>
      <c r="J293" s="3">
        <f>0+(767.8-38.8)+(0+(1.566312-0.079152))+0-0-0</f>
        <v>730.48716000000002</v>
      </c>
      <c r="K293" s="3">
        <f>0+(747.1-22.9)+(0+(0.762042-0.023358))+0-0-0</f>
        <v>724.93868400000008</v>
      </c>
      <c r="L293" s="3">
        <f>0+(792.6-39.3)+(0+(0.808452-0.040086))+0-0-0</f>
        <v>754.06836600000008</v>
      </c>
      <c r="M293" s="3">
        <f>71.6+(745.6-29.9)+(-0.073032+(-0.760512--0.030498))+0-0-0</f>
        <v>786.49695400000007</v>
      </c>
      <c r="N293" s="3">
        <f>92+(777.1-35)+(0.09384+(0.792642-0.0357))+0-0-0</f>
        <v>834.950782</v>
      </c>
      <c r="O293" s="3">
        <f>129.9+(822.3-69.4)+(0.132498+(0.838746-0.070788))+0-0-0</f>
        <v>883.70045599999992</v>
      </c>
      <c r="P293" s="3">
        <f>130.8+(861.3-77.5)+(0.066708+(0.439263-0.039525))+0-0-0</f>
        <v>915.06644599999993</v>
      </c>
      <c r="Q293" s="3">
        <f>132+(883.4-91.6)+(-0.06732+(-0.450534--0.046716))+0-0-0</f>
        <v>923.32886199999996</v>
      </c>
      <c r="R293" s="3">
        <f>131.3+(878.4-99.1)+(-0.267852+(-1.791936--0.202164))+0-0-0</f>
        <v>908.74237599999992</v>
      </c>
      <c r="S293" s="3">
        <f>131.6+(842.7-109.9)+(-0.201348+(-1.289331--0.168147))+0-0-0</f>
        <v>863.07746800000007</v>
      </c>
      <c r="T293" s="3">
        <f>130.9+(853-116.8)+(-0.400554+(-2.61018--0.357408))+0-0-0</f>
        <v>864.44667400000003</v>
      </c>
      <c r="U293" s="3">
        <f>132.5+(865-136.8)+(0.202725+(1.32345-0.209304))+0-0-0</f>
        <v>862.01687100000004</v>
      </c>
      <c r="V293" s="3">
        <f>132+(861.5-125.5)+(0+(0-0))+0-0-0</f>
        <v>868</v>
      </c>
      <c r="W293" s="3">
        <f>127.1+(976.7-184.6)+(0.064821+(0.498117-0.094146))+0-0-0</f>
        <v>919.66879200000005</v>
      </c>
      <c r="X293" s="3">
        <f>128.2+(977-167.3)+(-0.32691+(-2.49135--0.426615))+0-0-0</f>
        <v>935.50835500000005</v>
      </c>
      <c r="Y293" s="3">
        <f>129.6+(912.3-124.5)+(-0.132192+(-0.930546--0.12699))+0-0-0</f>
        <v>916.46425199999999</v>
      </c>
      <c r="Z293" s="3">
        <f>130+(861.7-89.1)+(-0.0663+(-0.439467--0.045441))+0-0-0</f>
        <v>902.13967400000001</v>
      </c>
      <c r="AA293" s="3">
        <f>129.1+(800.7-52.3)+(-0.263364+(-1.633428--0.106692))+0-0-0</f>
        <v>875.70990000000006</v>
      </c>
      <c r="AB293" s="3">
        <f>129.6+(866.8-138.6)+(-0.066096+(-0.442068--0.070686))+0-0-0</f>
        <v>857.3625219999999</v>
      </c>
      <c r="AC293" s="3">
        <f>80.5+(975.9-229.3)+(-0.205275+(-2.488545--0.584715))+0-0-0</f>
        <v>824.99089499999991</v>
      </c>
      <c r="AD293" s="2">
        <v>933.3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0+(931.1-148.6)+(0+(-2.374305--0.37893))+0-0-0</f>
        <v>780.50462500000003</v>
      </c>
      <c r="G294" s="3">
        <f>0+(847.6-93.1)+(0+(-2.16138--0.237405))+0-0-0</f>
        <v>752.57602499999996</v>
      </c>
      <c r="H294" s="3">
        <f>0+(778.5-39.7)+(0+(0.79407-0.040494))+0-0-0</f>
        <v>739.55357599999991</v>
      </c>
      <c r="I294" s="3">
        <f>0+(760.7-24.6)+(0+(0.387957-0.012546))+0-0-0</f>
        <v>736.47541100000001</v>
      </c>
      <c r="J294" s="3">
        <f>0+(747.5-19.6)+(0+(-0.76245--0.019992))+0-0-0</f>
        <v>727.15754199999992</v>
      </c>
      <c r="K294" s="3">
        <f>0+(753.6-19.2)+(0+(0.768672-0.019584))+0-0-0</f>
        <v>735.14908800000001</v>
      </c>
      <c r="L294" s="3">
        <f>0+(771.7-22.8)+(0+(1.574268-0.046512))+0-0-0</f>
        <v>750.42775600000004</v>
      </c>
      <c r="M294" s="3">
        <f>35.3+(813.2-54.3)+(-0.036006+(-0.829464--0.055386))+0-0-0</f>
        <v>793.38991600000008</v>
      </c>
      <c r="N294" s="3">
        <f>115.6+(733.2-18.6)+(-0.058956+(-0.373932--0.009486))+0-0-0</f>
        <v>829.77659800000004</v>
      </c>
      <c r="O294" s="3">
        <f>128.7+(784.6-42.6)+(-0.131274+(-0.800292--0.043452))+0-0-0</f>
        <v>869.81188600000007</v>
      </c>
      <c r="P294" s="3">
        <f>129.4+(878-112.7)+(-0.131988+(-0.89556--0.114954))+0-0-0</f>
        <v>893.78740599999992</v>
      </c>
      <c r="Q294" s="3">
        <f>129.7+(889.5-120.5)+(-0.132294+(-0.90729--0.12291))+0-0-0</f>
        <v>897.7833260000001</v>
      </c>
      <c r="R294" s="3">
        <f>118.4+(908.3-145.6)+(-0.241536+(-1.852932--0.297024))+0-0-0</f>
        <v>879.30255599999987</v>
      </c>
      <c r="S294" s="3">
        <f>109.1+(912.8-161.5)+(0.055641+(0.465528-0.082365))+0-0-0</f>
        <v>860.83880399999998</v>
      </c>
      <c r="T294" s="3">
        <f>109.5+(921.6-157.5)+(-0.055845+(-0.470016--0.080325))+0-0-0</f>
        <v>873.15446400000008</v>
      </c>
      <c r="U294" s="3">
        <f>109+(911.5-154.7)+(-0.11118+(-0.92973--0.157794))+0-0-0</f>
        <v>864.91688399999998</v>
      </c>
      <c r="V294" s="3">
        <f>109.3+(929.7-162.1)+(-0.111486+(-0.948294--0.165342))+0-0-0</f>
        <v>876.00556199999994</v>
      </c>
      <c r="W294" s="3">
        <f>128.4+(1055.2-245)+(0.065484+(0.538152-0.12495))+0-0-0</f>
        <v>939.07868600000006</v>
      </c>
      <c r="X294" s="3">
        <f>129.3+(1125.6-277.7)+(-0.197829+(-1.722168--0.424881))+0-0-0</f>
        <v>975.70488399999977</v>
      </c>
      <c r="Y294" s="3">
        <f>130.4+(1055.3-256.2)+(0.066504+(0.538203-0.130662))+0-0-0</f>
        <v>929.97404499999993</v>
      </c>
      <c r="Z294" s="3">
        <f>105+(1046-235.6)+(-0.05355+(-0.53346--0.120156))+0-0-0</f>
        <v>914.93314599999997</v>
      </c>
      <c r="AA294" s="3">
        <f>50+(1077.1-238.6)+(-0.051+(-1.098642--0.243372))+0-0-0</f>
        <v>887.59372999999994</v>
      </c>
      <c r="AB294" s="3">
        <f>50.1+(1118-294.4)+(-0.102204+(-2.28072--0.600576))+0-0-0</f>
        <v>871.91765200000009</v>
      </c>
      <c r="AC294" s="3">
        <f>30.9+(1046.7-238.7)+(-0.078795+(-2.669085--0.608685))+0-0-0</f>
        <v>836.760805</v>
      </c>
      <c r="AD294" s="2">
        <v>936.59999999999991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0+(920.8-136.3)+(0+(-0.469608--0.069513))+0-0-0</f>
        <v>784.09990500000004</v>
      </c>
      <c r="G295" s="3">
        <f>0+(844.2-81.7)+(0+(-1.722168--0.166668))+0-0-0</f>
        <v>760.94449999999995</v>
      </c>
      <c r="H295" s="3">
        <f>0+(794.6-48.4)+(0+(0.405246-0.024684))+0-0-0</f>
        <v>746.5805620000001</v>
      </c>
      <c r="I295" s="3">
        <f>0+(766.9-27.7)+(0+(-1.173357--0.042381))+0-0-0</f>
        <v>738.0690239999999</v>
      </c>
      <c r="J295" s="3">
        <f>0+(764.9-24.9)+(0+(0.390099-0.012699))+0-0-0</f>
        <v>740.37739999999997</v>
      </c>
      <c r="K295" s="3">
        <f>0+(744.1-7.9)+(0+(0.379491-0.004029))+0-0-0</f>
        <v>736.57546200000002</v>
      </c>
      <c r="L295" s="3">
        <f>9.4+(777-23.5)+(-0.02397+(-1.98135--0.059925))+0-0-0</f>
        <v>760.95460500000002</v>
      </c>
      <c r="M295" s="3">
        <f>72.7+(802.4-79.6)+(-0.111231+(-1.227672--0.121788))+0-0-0</f>
        <v>794.28288499999996</v>
      </c>
      <c r="N295" s="3">
        <f>130.2+(795.3-73.5)+(0.132804+(0.811206-0.07497))+0-0-0</f>
        <v>852.86904000000004</v>
      </c>
      <c r="O295" s="3">
        <f>129.1+(855.4-99.9)+(-0.065841+(-0.436254--0.050949))+0-0-0</f>
        <v>884.14885400000003</v>
      </c>
      <c r="P295" s="3">
        <f>130.1+(961.9-180.6)+(0.199053+(1.471707-0.276318))+0-0-0</f>
        <v>912.794442</v>
      </c>
      <c r="Q295" s="3">
        <f>129.9+(1035.6-239.3)+(0+(0-0))+0-0-0</f>
        <v>926.19999999999993</v>
      </c>
      <c r="R295" s="3">
        <f>130+(1031.3-237.9)+(-0.0663+(-0.525963--0.121329))+0-0-0</f>
        <v>922.92906599999992</v>
      </c>
      <c r="S295" s="3">
        <f>129.7+(978.4-223.6)+(-0.066147+(-0.498984--0.114036))+0-0-0</f>
        <v>884.04890499999999</v>
      </c>
      <c r="T295" s="3">
        <f>128.3+(931.2-178.3)+(-0.065433+(-0.474912--0.090933))+0-0-0</f>
        <v>880.75058799999999</v>
      </c>
      <c r="U295" s="3">
        <f>129+(887.6-138.3)+(0+(0-0))+0-0-0</f>
        <v>878.3</v>
      </c>
      <c r="V295" s="3">
        <f>128.8+(872.1-118.5)+(-0.065688+(-0.444771--0.060435))+0-0-0</f>
        <v>881.94997600000011</v>
      </c>
      <c r="W295" s="3">
        <f>131.5+(983.6-180.3)+(0.067065+(0.501636-0.091953))+0-0-0</f>
        <v>935.276748</v>
      </c>
      <c r="X295" s="3">
        <f>131.4+(990-166.4)+(-0.268056+(-2.0196--0.339456))+0-0-0</f>
        <v>953.05179999999996</v>
      </c>
      <c r="Y295" s="3">
        <f>119.8+(929.5-134.6)+(-0.061098+(-0.474045--0.068646))+0-0-0</f>
        <v>914.23350299999993</v>
      </c>
      <c r="Z295" s="3">
        <f>119.6+(865.9-93.1)+(-0.121992+(-0.883218--0.094962))+0-0-0</f>
        <v>891.48975199999995</v>
      </c>
      <c r="AA295" s="3">
        <f>86.3+(896-105.9)+(0+(0-0))+0-0-0</f>
        <v>876.4</v>
      </c>
      <c r="AB295" s="3">
        <f>35.7+(993.5-162.9)+(-0.054621+(-1.520055--0.249237))+0-0-0</f>
        <v>864.97456100000011</v>
      </c>
      <c r="AC295" s="3">
        <f>0+(947.7-113.8)+(0+(-0.966654--0.116076))+0-0-0</f>
        <v>833.04942200000005</v>
      </c>
      <c r="AD295" s="2">
        <v>949.4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0+(808.7-24.1)+(0+(-2.062185--0.061455))+0-0-0</f>
        <v>782.59927000000005</v>
      </c>
      <c r="G296" s="3">
        <f>0+(769.5-7.9)+(0+(0-0))+0-0-0</f>
        <v>761.6</v>
      </c>
      <c r="H296" s="3">
        <f>0+(776.7-34.5)+(0+(-0.792234--0.03519))+0-0-0</f>
        <v>741.44295600000009</v>
      </c>
      <c r="I296" s="3">
        <f>0+(735.4-0)+(0+(-0.750108-0))+0-0-0</f>
        <v>734.64989200000002</v>
      </c>
      <c r="J296" s="3">
        <f>0+(733.9-0)+(0+(0-0))+0-0-0</f>
        <v>733.9</v>
      </c>
      <c r="K296" s="3">
        <f>0+(729.9-0)+(0+(-0.372249-0))+0-0-0</f>
        <v>729.52775099999997</v>
      </c>
      <c r="L296" s="3">
        <f>20.2+(746.9-5.9)+(0+(0-0))+0-0-0</f>
        <v>761.2</v>
      </c>
      <c r="M296" s="3">
        <f>97.8+(714.8-8.6)+(0.099756+(0.729096-0.008772))+0-0-0</f>
        <v>804.82007999999985</v>
      </c>
      <c r="N296" s="3">
        <f>132.2+(867.3-160.4)+(0.134844+(0.884646-0.163608))+0-0-0</f>
        <v>839.95588199999986</v>
      </c>
      <c r="O296" s="3">
        <f>131.2+(970.1-206.7)+(0+(0-0))+0-0-0</f>
        <v>894.60000000000014</v>
      </c>
      <c r="P296" s="3">
        <f>131.3+(1095.5-308.4)+(0.200889+(1.676115-0.471852))+0-0-0</f>
        <v>919.80515200000013</v>
      </c>
      <c r="Q296" s="3">
        <f>130.4+(1111.6-319.7)+(-0.133008+(-1.133832--0.326094))+0-0-0</f>
        <v>921.35925399999985</v>
      </c>
      <c r="R296" s="3">
        <f>130+(1071.7-287.3)+(-0.3315+(-2.732835--0.732615))+0-0-0</f>
        <v>912.06828000000007</v>
      </c>
      <c r="S296" s="3">
        <f>130.8+(1057.1-276.9)+(-0.066708+(-0.539121--0.141219))+0-0-0</f>
        <v>910.53539000000001</v>
      </c>
      <c r="T296" s="3">
        <f>130.6+(1020.8-252.5)+(-0.066606+(-0.520608--0.128775))+0-0-0</f>
        <v>898.44156099999998</v>
      </c>
      <c r="U296" s="3">
        <f>129.8+(972.2-242.1)+(0.066198+(0.495822-0.123471))+0-0-0</f>
        <v>860.33854900000006</v>
      </c>
      <c r="V296" s="3">
        <f>130.4+(1015.1-243.9)+(0+(0-0))+0-0-0</f>
        <v>901.6</v>
      </c>
      <c r="W296" s="3">
        <f>131+(1198-355.7)+(0.06681+(0.61098-0.181407))+0-0-0</f>
        <v>973.79638299999999</v>
      </c>
      <c r="X296" s="3">
        <f>130.3+(1176.1-318.9)+(-0.332265+(-2.999055--0.813195))+0-0-0</f>
        <v>984.98187499999995</v>
      </c>
      <c r="Y296" s="3">
        <f>130.4+(1048.1-265.1)+(-0.266016+(-2.138124--0.540804))+0-0-0</f>
        <v>911.53666399999986</v>
      </c>
      <c r="Z296" s="3">
        <f>110.8+(947.1-162.2)+(-0.28254+(-2.415105--0.41361))+0-0-0</f>
        <v>893.41596500000003</v>
      </c>
      <c r="AA296" s="3">
        <f>50.1+(934-113.9)+(-0.051102+(-0.95268--0.116178))+0-0-0</f>
        <v>869.31239600000004</v>
      </c>
      <c r="AB296" s="3">
        <f>29.2+(917.9-97.2)+(-0.044676+(-1.404387--0.148716))+0-0-0</f>
        <v>848.59965299999999</v>
      </c>
      <c r="AC296" s="3">
        <f>0+(848.7-31.6)+(0+(-0.865674--0.032232))+0-0-0</f>
        <v>816.26655800000003</v>
      </c>
      <c r="AD296" s="2">
        <v>945.1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0+(776.7-0)+(0+(-0.396117-0))+0-0-0</f>
        <v>776.30388300000004</v>
      </c>
      <c r="G297" s="3">
        <f>0+(751.6-0)+(0+(1.149948-0))+0-0-0</f>
        <v>752.74994800000002</v>
      </c>
      <c r="H297" s="3">
        <f>0+(740.3-0)+(0+(-0.377553-0))+0-0-0</f>
        <v>739.92244699999992</v>
      </c>
      <c r="I297" s="3">
        <f>0+(727.9-0)+(0+(1.113687-0))+0-0-0</f>
        <v>729.013687</v>
      </c>
      <c r="J297" s="3">
        <f>0+(733.3-0)+(0+(0-0))+0-0-0</f>
        <v>733.3</v>
      </c>
      <c r="K297" s="3">
        <f>0+(738.6-0)+(0+(1.506744-0))+0-0-0</f>
        <v>740.10674400000005</v>
      </c>
      <c r="L297" s="3">
        <f>0+(756.2-3)+(0+(-1.542648--0.00612))+0-0-0</f>
        <v>751.66347200000007</v>
      </c>
      <c r="M297" s="3">
        <f>0+(777.8-12.3)+(0+(-0.396678--0.006273))+0-0-0</f>
        <v>765.10959500000001</v>
      </c>
      <c r="N297" s="3">
        <f>0+(810.6-6.5)+(0+(-0.413406--0.003315))+0-0-0</f>
        <v>803.68990900000006</v>
      </c>
      <c r="O297" s="3">
        <f>0+(964.2-114.4)+(0+(0.983484-0.116688))+0-0-0</f>
        <v>850.66679600000009</v>
      </c>
      <c r="P297" s="3">
        <f>0+(1055.6-178.9)+(0+(-0.538356--0.091239))+0-0-0</f>
        <v>876.25288299999988</v>
      </c>
      <c r="Q297" s="3">
        <f>0+(1119.4-231)+(0+(0-0))+0-0-0</f>
        <v>888.40000000000009</v>
      </c>
      <c r="R297" s="3">
        <f>0+(1109.9-242.5)+(0+(-1.698147--0.371025))+0-0-0</f>
        <v>866.07287800000006</v>
      </c>
      <c r="S297" s="3">
        <f>0+(1021.2-189.7)+(0+(0-0))+0-0-0</f>
        <v>831.5</v>
      </c>
      <c r="T297" s="3">
        <f>0+(949.9-129.9)+(0+(-2.422245--0.331245))+0-0-0</f>
        <v>817.90899999999999</v>
      </c>
      <c r="U297" s="3">
        <f>0+(956.7-140.7)+(0+(-1.463751--0.215271))+0-0-0</f>
        <v>814.75152000000003</v>
      </c>
      <c r="V297" s="3">
        <f>0+(894.1-92.4)+(0+(-1.367973--0.141372))+0-0-0</f>
        <v>800.47339900000009</v>
      </c>
      <c r="W297" s="3">
        <f>0+(1001.9-132.6)+(0+(0.510969-0.067626))+0-0-0</f>
        <v>869.74334299999998</v>
      </c>
      <c r="X297" s="3">
        <f>0+(1034.6-144.3)+(0+(-1.055292--0.147186))+0-0-0</f>
        <v>889.39189399999998</v>
      </c>
      <c r="Y297" s="3">
        <f>0+(995.5-122)+(0+(-1.01541--0.12444))+0-0-0</f>
        <v>872.60902999999996</v>
      </c>
      <c r="Z297" s="3">
        <f>0+(945.3-93.2)+(0+(-2.410515--0.23766))+0-0-0</f>
        <v>849.92714499999988</v>
      </c>
      <c r="AA297" s="3">
        <f>0+(955.6-110.8)+(0+(0-0))+0-0-0</f>
        <v>844.80000000000007</v>
      </c>
      <c r="AB297" s="3">
        <f>0+(1037.2-218.8)+(0+(-2.64486--0.55794))+0-0-0</f>
        <v>816.31308000000013</v>
      </c>
      <c r="AC297" s="3">
        <f>0+(977.8-195.4)+(0+(-0.997356--0.199308))+0-0-0</f>
        <v>781.60195199999998</v>
      </c>
      <c r="AD297" s="2">
        <v>885.49999999999989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0+(911.9-159.2)+(0+(-0.930138--0.162384))+0-0-0</f>
        <v>751.93224600000008</v>
      </c>
      <c r="G298" s="3">
        <f>0+(851.8-124.4)+(0+(0-0))+0-0-0</f>
        <v>727.4</v>
      </c>
      <c r="H298" s="3">
        <f>0+(830.8-123.7)+(0+(-0.423708--0.063087))+0-0-0</f>
        <v>706.73937899999987</v>
      </c>
      <c r="I298" s="3">
        <f>0+(810.9-110.2)+(0+(1.240677-0.168606))+0-0-0</f>
        <v>701.77207099999998</v>
      </c>
      <c r="J298" s="3">
        <f>0+(782.8-98.8)+(0+(-1.99614--0.25194))+0-0-0</f>
        <v>682.25580000000002</v>
      </c>
      <c r="K298" s="3">
        <f>0+(779.2-97.3)+(0+(0.397392-0.049623))+0-0-0</f>
        <v>682.24776900000006</v>
      </c>
      <c r="L298" s="3">
        <f>0+(772-109.4)+(0+(-1.9686--0.27897))+0-0-0</f>
        <v>660.91037000000006</v>
      </c>
      <c r="M298" s="3">
        <f>0+(731.6-102.3)+(0+(-2.984928--0.417384))+0-0-0</f>
        <v>626.73245600000007</v>
      </c>
      <c r="N298" s="3">
        <f>0+(707.1-91.7)+(0+(-0.360621--0.046767))+0-0-0</f>
        <v>615.08614599999999</v>
      </c>
      <c r="O298" s="3">
        <f>0+(849.5-191.6)+(0+(-0.86649--0.195432))+0-0-0</f>
        <v>657.22894199999996</v>
      </c>
      <c r="P298" s="3">
        <f>0+(907.3-227)+(0+(1.388169-0.34731))+0-0-0</f>
        <v>681.34085899999991</v>
      </c>
      <c r="Q298" s="3">
        <f>0+(935.6-251.3)+(0+(-2.38578--0.640815))+0-0-0</f>
        <v>682.55503499999998</v>
      </c>
      <c r="R298" s="3">
        <f>0+(928.2-254)+(0+(-2.36691--0.6477))+0-0-0</f>
        <v>672.48079000000007</v>
      </c>
      <c r="S298" s="3">
        <f>0+(948.5-277.4)+(0+(0-0))+0-0-0</f>
        <v>671.1</v>
      </c>
      <c r="T298" s="3">
        <f>0+(938.5-262.8)+(0+(-0.95727--0.268056))+0-0-0</f>
        <v>675.01078600000005</v>
      </c>
      <c r="U298" s="3">
        <f>0+(897.7-243.2)+(0+(0-0))+0-0-0</f>
        <v>654.5</v>
      </c>
      <c r="V298" s="3">
        <f>0+(892.3-222.3)+(0+(0.455073-0.113373))+0-0-0</f>
        <v>670.34169999999995</v>
      </c>
      <c r="W298" s="3">
        <f>0+(1005.5-258.1)+(0+(-0.512805--0.131631))+0-0-0</f>
        <v>747.01882599999999</v>
      </c>
      <c r="X298" s="3">
        <f>0+(1089.5-297.1)+(0+(-0.555645--0.151521))+0-0-0</f>
        <v>791.99587599999995</v>
      </c>
      <c r="Y298" s="3">
        <f>0+(1103-325.1)+(0+(0-0))+0-0-0</f>
        <v>777.9</v>
      </c>
      <c r="Z298" s="3">
        <f>0+(1077.1-310.3)+(0+(0.549321-0.158253))+0-0-0</f>
        <v>767.19106799999997</v>
      </c>
      <c r="AA298" s="3">
        <f>0+(1045.4-285.5)+(0+(2.132616-0.58242))+0-0-0</f>
        <v>761.45019600000012</v>
      </c>
      <c r="AB298" s="3">
        <f>0+(1030.8-283.2)+(0+(0-0))+0-0-0</f>
        <v>747.59999999999991</v>
      </c>
      <c r="AC298" s="3">
        <f>0+(976.1-245.4)+(0+(-3.484677--0.876078))+0-0-0</f>
        <v>728.09140100000002</v>
      </c>
      <c r="AD298" s="2">
        <v>808.59999999999991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0+(840.5-164.1)+(0+(-1.71462--0.334764))+0-0-0</f>
        <v>675.02014399999996</v>
      </c>
      <c r="G299" s="3">
        <f>0+(749.5-96.5)+(0+(-1.52898--0.19686))+0-0-0</f>
        <v>651.66787999999997</v>
      </c>
      <c r="H299" s="3">
        <f>0+(722-82.6)+(0+(-1.10466--0.126378))+0-0-0</f>
        <v>638.42171799999994</v>
      </c>
      <c r="I299" s="3">
        <f>0+(660.9-28.7)+(0+(-1.011177--0.043911))+0-0-0</f>
        <v>631.23273399999994</v>
      </c>
      <c r="J299" s="3">
        <f>0+(632-7.4)+(0+(0.64464-0.007548))+0-0-0</f>
        <v>625.23709200000008</v>
      </c>
      <c r="K299" s="3">
        <f>0+(635.6-14.1)+(0+(1.296624-0.028764))+0-0-0</f>
        <v>622.76786000000004</v>
      </c>
      <c r="L299" s="3">
        <f>0+(672.3-36)+(0+(-1.371492--0.07344))+0-0-0</f>
        <v>635.00194799999997</v>
      </c>
      <c r="M299" s="3">
        <f>0+(646.1-15.1)+(0+(0.329511-0.007701))+0-0-0</f>
        <v>631.32181000000003</v>
      </c>
      <c r="N299" s="3">
        <f>0+(655.2-1.5)+(0+(-1.002456--0.002295))+0-0-0</f>
        <v>652.699839</v>
      </c>
      <c r="O299" s="3">
        <f>0+(752.5-64.6)+(0+(-0.383775--0.032946))+0-0-0</f>
        <v>687.549171</v>
      </c>
      <c r="P299" s="3">
        <f>0+(863.6-145)+(0+(-1.761744--0.2958))+0-0-0</f>
        <v>717.13405599999999</v>
      </c>
      <c r="Q299" s="3">
        <f>0+(925.2-170.1)+(0+(-0.471852--0.086751))+0-0-0</f>
        <v>754.71489900000006</v>
      </c>
      <c r="R299" s="3">
        <f>0+(903.5-152.4)+(0+(-3.225495--0.544068))+0-0-0</f>
        <v>748.41857300000004</v>
      </c>
      <c r="S299" s="3">
        <f>0+(898-166.6)+(0+(0-0))+0-0-0</f>
        <v>731.4</v>
      </c>
      <c r="T299" s="3">
        <f>0+(861.8-143.9)+(0+(-0.879036--0.146778))+0-0-0</f>
        <v>717.16774199999998</v>
      </c>
      <c r="U299" s="3">
        <f>0+(809.6-92.6)+(0+(0-0))+0-0-0</f>
        <v>717</v>
      </c>
      <c r="V299" s="3">
        <f>0+(806.2-86.2)+(0+(-0.411162--0.043962))+0-0-0</f>
        <v>719.63279999999997</v>
      </c>
      <c r="W299" s="3">
        <f>0+(871.3-77.5)+(0+(0.444363-0.039525))+0-0-0</f>
        <v>794.204838</v>
      </c>
      <c r="X299" s="3">
        <f>0+(954.2-131.1)+(0+(-1.459926--0.200583))+0-0-0</f>
        <v>821.84065700000008</v>
      </c>
      <c r="Y299" s="3">
        <f>0+(957.4-145.8)+(0+(-1.464822--0.223074))+0-0-0</f>
        <v>810.35825199999988</v>
      </c>
      <c r="Z299" s="3">
        <f>0+(894.9-110.6)+(0+(-0.456399--0.056406))+0-0-0</f>
        <v>783.90000699999996</v>
      </c>
      <c r="AA299" s="3">
        <f>0+(884.3-106.2)+(0+(-0.450993--0.054162))+0-0-0</f>
        <v>777.70316899999989</v>
      </c>
      <c r="AB299" s="3">
        <f>0+(856.6-85.6)+(0+(-1.747464--0.174624))+0-0-0</f>
        <v>769.42715999999996</v>
      </c>
      <c r="AC299" s="3">
        <f>0+(764.4-25.4)+(0+(-1.169532--0.038862))+0-0-0</f>
        <v>737.86932999999999</v>
      </c>
      <c r="AD299" s="2">
        <v>834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0+(698.1-0)+(0+(0.356031-0))+0-0-0</f>
        <v>698.45603100000005</v>
      </c>
      <c r="G300" s="3">
        <f>0+(679.8-0)+(0+(0.693396-0))+0-0-0</f>
        <v>680.49339599999996</v>
      </c>
      <c r="H300" s="3">
        <f>0+(665.5-0)+(0+(0.339405-0))+0-0-0</f>
        <v>665.83940500000006</v>
      </c>
      <c r="I300" s="3">
        <f>0+(680.9-0)+(0+(1.041777-0))+0-0-0</f>
        <v>681.941777</v>
      </c>
      <c r="J300" s="3">
        <f>0+(688.3-0)+(0+(1.404132-0))+0-0-0</f>
        <v>689.70413199999996</v>
      </c>
      <c r="K300" s="3">
        <f>0+(721.4-35.2)+(0+(0-0))+0-0-0</f>
        <v>686.19999999999993</v>
      </c>
      <c r="L300" s="3">
        <f>0+(784.6-57.3)+(0+(0.800292-0.058446))+0-0-0</f>
        <v>728.04184600000008</v>
      </c>
      <c r="M300" s="3">
        <f>0+(772.7-0)+(0+(1.182231-0))+0-0-0</f>
        <v>773.88223100000005</v>
      </c>
      <c r="N300" s="3">
        <f>0+(813-0)+(0+(1.24389-0))+0-0-0</f>
        <v>814.24388999999996</v>
      </c>
      <c r="O300" s="3">
        <f>93.2+(752.1-4)+(0.23766+(1.917855-0.0102))+0-0-0</f>
        <v>843.44531500000005</v>
      </c>
      <c r="P300" s="3">
        <f>131.3+(760.8-41.5)+(0.133926+(0.776016-0.04233))+0-0-0</f>
        <v>851.46761199999992</v>
      </c>
      <c r="Q300" s="3">
        <f>131.7+(827.1-73.9)+(0.268668+(1.687284-0.150756))+0-0-0</f>
        <v>886.70519600000011</v>
      </c>
      <c r="R300" s="3">
        <f>130.7+(813.3-55.1)+(-0.133314+(-0.829566--0.056202))+0-0-0</f>
        <v>887.99332199999981</v>
      </c>
      <c r="S300" s="3">
        <f>131+(776.2-36.9)+(0.06681+(0.395862-0.018819))+0-0-0</f>
        <v>870.74385300000006</v>
      </c>
      <c r="T300" s="3">
        <f>131+(759.8-20.3)+(0+(0-0))+0-0-0</f>
        <v>870.5</v>
      </c>
      <c r="U300" s="3">
        <f>130.9+(765-29.1)+(-0.133518+(-0.7803--0.029682))+0-0-0</f>
        <v>865.91586399999994</v>
      </c>
      <c r="V300" s="3">
        <f>143.6+(740.2-25.4)+(0+(0-0))+0-0-0</f>
        <v>858.40000000000009</v>
      </c>
      <c r="W300" s="3">
        <f>232.5+(795.5-120.6)+(0+(0-0))+0-0-0</f>
        <v>907.4</v>
      </c>
      <c r="X300" s="3">
        <f>262.4+(855.4-171.4)+(-0.401472+(-1.308762--0.262242))+0-0-0</f>
        <v>944.95200799999998</v>
      </c>
      <c r="Y300" s="3">
        <f>262+(812.6-145.8)+(-0.26724+(-0.828852--0.148716))+0-0-0</f>
        <v>927.85262399999999</v>
      </c>
      <c r="Z300" s="3">
        <f>265+(768.2-126.3)+(-0.2703+(-0.783564--0.128826))+0-0-0</f>
        <v>905.97496200000012</v>
      </c>
      <c r="AA300" s="3">
        <f>266.1+(721.3-103.1)+(-0.135711+(-0.367863--0.052581))+0-0-0</f>
        <v>883.84900699999992</v>
      </c>
      <c r="AB300" s="3">
        <f>267.5+(687-96.6)+(-0.409275+(-1.05111--0.147798))+0-0-0</f>
        <v>856.58741299999997</v>
      </c>
      <c r="AC300" s="3">
        <f>249.6+(641.2-64.5)+(-0.509184+(-1.308048--0.13158))+0-0-0</f>
        <v>824.61434800000006</v>
      </c>
      <c r="AD300" s="2">
        <v>947.4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17.9+(774.7-0)+(-0.045645+(-1.975485-0))+0-0-0</f>
        <v>790.57887000000005</v>
      </c>
      <c r="G301" s="3">
        <f>0+(758.8-0)+(0+(-1.93494-0))+0-0-0</f>
        <v>756.86505999999997</v>
      </c>
      <c r="H301" s="3">
        <f>0+(746.8-0)+(0+(-1.523472-0))+0-0-0</f>
        <v>745.27652799999998</v>
      </c>
      <c r="I301" s="3">
        <f>0+(735.5-1.2)+(0+(-0.375105--0.000612))+0-0-0</f>
        <v>733.92550699999993</v>
      </c>
      <c r="J301" s="3">
        <f>0+(743.6-9.5)+(0+(-1.516944--0.01938))+0-0-0</f>
        <v>732.60243600000001</v>
      </c>
      <c r="K301" s="3">
        <f>0+(746.6-5.8)+(0+(1.90383-0.01479))+0-0-0</f>
        <v>742.68904000000009</v>
      </c>
      <c r="L301" s="3">
        <f>0+(763.6-0)+(0+(0-0))+0-0-0</f>
        <v>763.6</v>
      </c>
      <c r="M301" s="3">
        <f>0+(806.3-15.1)+(0+(-0.411213--0.007701))+0-0-0</f>
        <v>790.79648799999995</v>
      </c>
      <c r="N301" s="3">
        <f>85.8+(774.7-24.8)+(-0.087516+(-0.790194--0.025296))+0-0-0</f>
        <v>834.84758600000009</v>
      </c>
      <c r="O301" s="3">
        <f>134.3+(811.4-67.6)+(0.068493+(0.413814-0.034476))+0-0-0</f>
        <v>878.54783099999986</v>
      </c>
      <c r="P301" s="3">
        <f>134+(881.6-116.1)+(-0.06834+(-0.449616--0.059211))+0-0-0</f>
        <v>899.04125499999998</v>
      </c>
      <c r="Q301" s="3">
        <f>133.8+(907.8-121.2)+(-0.204714+(-1.388934--0.185436))+0-0-0</f>
        <v>918.99178799999981</v>
      </c>
      <c r="R301" s="3">
        <f>133+(897.8-108.6)+(-0.33915+(-2.28939--0.27693))+0-0-0</f>
        <v>919.84838999999988</v>
      </c>
      <c r="S301" s="3">
        <f>124.7+(843.6-91.3)+(-0.063597+(-0.430236--0.046563))+0-0-0</f>
        <v>876.55273000000011</v>
      </c>
      <c r="T301" s="3">
        <f>102+(852.3-84.9)+(0.05202+(0.434673-0.043299))+0-0-0</f>
        <v>869.84339399999999</v>
      </c>
      <c r="U301" s="3">
        <f>100.9+(854.2-85.9)+(0.051459+(0.435642-0.043809))+0-0-0</f>
        <v>869.64329200000009</v>
      </c>
      <c r="V301" s="3">
        <f>103.4+(826.9-67.5)+(0.052734+(0.421719-0.034425))+0-0-0</f>
        <v>863.24002799999994</v>
      </c>
      <c r="W301" s="3">
        <f>140.2+(899.3-122.7)+(0.071502+(0.458643-0.062577))+0-0-0</f>
        <v>917.26756799999998</v>
      </c>
      <c r="X301" s="3">
        <f>140.3+(1000.8-200.3)+(-0.143106+(-1.020816--0.204306))+0-0-0</f>
        <v>939.84038399999997</v>
      </c>
      <c r="Y301" s="3">
        <f>141.1+(969.5-185.7)+(-0.143922+(-0.98889--0.189414))+0-0-0</f>
        <v>923.95660199999998</v>
      </c>
      <c r="Z301" s="3">
        <f>141.6+(908.3-140.7)+(0.072216+(0.463233-0.071757))+0-0-0</f>
        <v>909.66369199999997</v>
      </c>
      <c r="AA301" s="3">
        <f>140+(856.7-113.4)+(0.0714+(0.436917-0.057834))+0-0-0</f>
        <v>883.75048300000003</v>
      </c>
      <c r="AB301" s="3">
        <f>106+(885.4-126.9)+(-0.05406+(-0.451554--0.064719))+0-0-0</f>
        <v>864.05910500000005</v>
      </c>
      <c r="AC301" s="3">
        <f>36.8+(852.3-55.4)+(-0.018768+(-0.434673--0.028254))+0-0-0</f>
        <v>833.27481299999988</v>
      </c>
      <c r="AD301" s="2">
        <v>923.3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0+(795.5-0)+(0+(-0.81141-0))+0-0-0</f>
        <v>794.68858999999998</v>
      </c>
      <c r="G302" s="3">
        <f>0+(767-6.5)+(0+(-0.39117--0.003315))+0-0-0</f>
        <v>760.11214500000006</v>
      </c>
      <c r="H302" s="3">
        <f>0+(745.8-0)+(0+(0.760716-0))+0-0-0</f>
        <v>746.56071599999996</v>
      </c>
      <c r="I302" s="3">
        <f>0+(753.7-9.5)+(0+(-1.153161--0.014535))+0-0-0</f>
        <v>743.061374</v>
      </c>
      <c r="J302" s="3">
        <f>0+(738-1.4)+(0+(0-0))+0-0-0</f>
        <v>736.6</v>
      </c>
      <c r="K302" s="3">
        <f>0+(765.6-38.2)+(0+(0.390456-0.019482))+0-0-0</f>
        <v>727.77097400000002</v>
      </c>
      <c r="L302" s="3">
        <f>0+(786.1-31.8)+(0+(-0.400911--0.016218))+0-0-0</f>
        <v>753.9153070000001</v>
      </c>
      <c r="M302" s="3">
        <f>0+(836.6-36.6)+(0+(0.426666-0.018666))+0-0-0</f>
        <v>800.40800000000002</v>
      </c>
      <c r="N302" s="3">
        <f>81.4+(849.9-88.5)+(0+(0-0))+0-0-0</f>
        <v>842.8</v>
      </c>
      <c r="O302" s="3">
        <f>131.5+(838.9-79.2)+(0.067065+(0.427839-0.040392))+0-0-0</f>
        <v>891.65451199999995</v>
      </c>
      <c r="P302" s="3">
        <f>134.2+(918.9-142.6)+(0+(0-0))+0-0-0</f>
        <v>910.5</v>
      </c>
      <c r="Q302" s="3">
        <f>133.9+(942.2-156)+(-0.204867+(-1.441566--0.23868))+0-0-0</f>
        <v>918.69224700000007</v>
      </c>
      <c r="R302" s="3">
        <f>134.2+(917.8-140.3)+(0.068442+(0.468078-0.071553))+0-0-0</f>
        <v>912.16496700000005</v>
      </c>
      <c r="S302" s="3">
        <f>134.2+(897.2-149.4)+(0.136884+(0.915144-0.152388))+0-0-0</f>
        <v>882.89963999999998</v>
      </c>
      <c r="T302" s="3">
        <f>174.1+(841.2-151.9)+(0+(0-0))+0-0-0</f>
        <v>863.40000000000009</v>
      </c>
      <c r="U302" s="3">
        <f>266.6+(778.9-190.2)+(-0.543864+(-1.588956--0.388008))+0-0-0</f>
        <v>853.55518800000004</v>
      </c>
      <c r="V302" s="3">
        <f>266.5+(761.8-178.7)+(-0.407745+(-1.165554--0.273411))+0-0-0</f>
        <v>848.3001119999999</v>
      </c>
      <c r="W302" s="3">
        <f>267.6+(867.8-219)+(0.68238+(2.21289-0.55845))+0-0-0</f>
        <v>918.73681999999997</v>
      </c>
      <c r="X302" s="3">
        <f>267.1+(903.1-229.3)+(-0.408663+(-1.381743--0.350829))+0-0-0</f>
        <v>939.46042299999999</v>
      </c>
      <c r="Y302" s="3">
        <f>262.9+(874.5-210.3)+(-0.402237+(-1.337985--0.321759))+0-0-0</f>
        <v>925.68153700000005</v>
      </c>
      <c r="Z302" s="3">
        <f>260.5+(836.6-179.7)+(-0.26571+(-0.853332--0.183294))+0-0-0</f>
        <v>916.4642520000001</v>
      </c>
      <c r="AA302" s="3">
        <f>260.9+(784.4-156.7)+(0.133059+(0.400044-0.079917))+0-0-0</f>
        <v>889.05318599999998</v>
      </c>
      <c r="AB302" s="3">
        <f>261.9+(751.4-145.1)+(0+(0-0))+0-0-0</f>
        <v>868.19999999999993</v>
      </c>
      <c r="AC302" s="3">
        <f>262.7+(653.8-89.2)+(0.133977+(0.333438-0.045492))+0-0-0</f>
        <v>827.72192299999995</v>
      </c>
      <c r="AD302" s="2">
        <v>950.90000000000009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263.1+(641.1-110)+(-0.134181+(-0.326961--0.0561))+0-0-0</f>
        <v>793.79495800000007</v>
      </c>
      <c r="G303" s="3">
        <f>264.5+(625.6-122.9)+(-0.404685+(-0.957168--0.188037))+0-0-0</f>
        <v>766.02618400000006</v>
      </c>
      <c r="H303" s="3">
        <f>175.6+(680.6-98.7)+(-0.268668+(-1.041318--0.151011))+0-0-0</f>
        <v>756.34102499999995</v>
      </c>
      <c r="I303" s="3">
        <f>100.2+(705-61.8)+(0.051102+(0.35955-0.031518))+0-0-0</f>
        <v>743.77913400000011</v>
      </c>
      <c r="J303" s="3">
        <f>100.2+(695.7-53.6)+(0+(0-0))+0-0-0</f>
        <v>742.30000000000007</v>
      </c>
      <c r="K303" s="3">
        <f>131.1+(646.3-33.5)+(0+(0-0))+0-0-0</f>
        <v>743.9</v>
      </c>
      <c r="L303" s="3">
        <f>179.6+(654.4-65.2)+(-0.183192+(-0.667488--0.066504))+0-0-0</f>
        <v>768.01582399999995</v>
      </c>
      <c r="M303" s="3">
        <f>232+(629.9-54.5)+(0.11832+(0.321249-0.027795))+0-0-0</f>
        <v>807.81177400000001</v>
      </c>
      <c r="N303" s="3">
        <f>266.9+(664.1-85.3)+(0.272238+(0.677382-0.087006))+0-0-0</f>
        <v>846.56261400000005</v>
      </c>
      <c r="O303" s="3">
        <f>266.9+(759.2-143.8)+(0.408357+(1.161576-0.220014))+0-0-0</f>
        <v>883.64991900000007</v>
      </c>
      <c r="P303" s="3">
        <f>262.9+(812.4-170.7)+(-0.268158+(-0.828648--0.174114))+0-0-0</f>
        <v>903.67730800000004</v>
      </c>
      <c r="Q303" s="3">
        <f>264.5+(837.8-177.4)+(0.26979+(0.854556-0.180948))+0-0-0</f>
        <v>925.84339799999998</v>
      </c>
      <c r="R303" s="3">
        <f>263.7+(826-173.6)+(-0.403461+(-1.26378--0.265608))+0-0-0</f>
        <v>914.69836699999996</v>
      </c>
      <c r="S303" s="3">
        <f>264.5+(774-153.3)+(0.134895+(0.39474-0.078183))+0-0-0</f>
        <v>885.65145200000006</v>
      </c>
      <c r="T303" s="3">
        <f>263.4+(765.5-158.9)+(-0.403002+(-1.171215--0.243117))+0-0-0</f>
        <v>868.66890000000001</v>
      </c>
      <c r="U303" s="3">
        <f>224.4+(793.1-156.6)+(-0.228888+(-0.808962--0.159732))+0-0-0</f>
        <v>860.02188200000001</v>
      </c>
      <c r="V303" s="3">
        <f>260.9+(780.3-175.6)+(-0.133059+(-0.397953--0.089556))+0-0-0</f>
        <v>865.15854399999989</v>
      </c>
      <c r="W303" s="3">
        <f>263.7+(868.8-218.9)+(0+(0-0))+0-0-0</f>
        <v>913.59999999999991</v>
      </c>
      <c r="X303" s="3">
        <f>262.8+(868.5-187.7)+(-0.402084+(-1.328805--0.287181))+0-0-0</f>
        <v>942.15629199999989</v>
      </c>
      <c r="Y303" s="3">
        <f>264+(823.9-157.7)+(-0.40392+(-1.260567--0.241281))+0-0-0</f>
        <v>928.776794</v>
      </c>
      <c r="Z303" s="3">
        <f>263.5+(785.4-143.3)+(-0.26877+(-0.801108--0.146166))+0-0-0</f>
        <v>904.67628799999989</v>
      </c>
      <c r="AA303" s="3">
        <f>264+(773.1-149.8)+(-0.26928+(-0.788562--0.152796))+0-0-0</f>
        <v>886.39495399999998</v>
      </c>
      <c r="AB303" s="3">
        <f>264.2+(746.9-148.4)+(-0.404226+(-1.142757--0.227052))+0-0-0</f>
        <v>861.38006900000005</v>
      </c>
      <c r="AC303" s="3">
        <f>267+(726.1-156.8)+(-0.40851+(-1.110933--0.239904))+0-0-0</f>
        <v>835.02046099999995</v>
      </c>
      <c r="AD303" s="2">
        <v>933.9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155+(700.6-60.6)+(-0.3162+(-1.429224--0.123624))+0-0-0</f>
        <v>793.37819999999999</v>
      </c>
      <c r="G304" s="3">
        <f>180.8+(631.6-46.2)+(0+(0-0))+0-0-0</f>
        <v>766.2</v>
      </c>
      <c r="H304" s="3">
        <f>179.4+(633.8-65.8)+(-0.45747+(-1.61619--0.16779))+0-0-0</f>
        <v>745.49412999999993</v>
      </c>
      <c r="I304" s="3">
        <f>137.3+(675.1-75.5)+(-0.210069+(-1.032903--0.115515))+0-0-0</f>
        <v>735.77254300000004</v>
      </c>
      <c r="J304" s="3">
        <f>161.5+(683.5-110.7)+(0.082365+(0.348585-0.056457))+0-0-0</f>
        <v>734.67449299999998</v>
      </c>
      <c r="K304" s="3">
        <f>201.7+(641-104.6)+(0.411468+(1.30764-0.213384))+0-0-0</f>
        <v>739.6057239999999</v>
      </c>
      <c r="L304" s="3">
        <f>201.1+(592.3-47.5)+(-0.205122+(-0.604146--0.04845))+0-0-0</f>
        <v>745.13918200000001</v>
      </c>
      <c r="M304" s="3">
        <f>230.8+(590.6-54.5)+(-0.117708+(-0.301206--0.027795))+0-0-0</f>
        <v>766.50888100000009</v>
      </c>
      <c r="N304" s="3">
        <f>264.5+(628.4-86)+(0+(0-0))+0-0-0</f>
        <v>806.9</v>
      </c>
      <c r="O304" s="3">
        <f>284.2+(728.6-166.2)+(0.144942+(0.371586-0.084762))+0-0-0</f>
        <v>847.03176600000018</v>
      </c>
      <c r="P304" s="3">
        <f>158.8+(851.9-153.8)+(0.242964+(1.303407-0.235314))+0-0-0</f>
        <v>858.21105699999987</v>
      </c>
      <c r="Q304" s="3">
        <f>131.7+(864.3-120.7)+(-0.134334+(-0.881586--0.123114))+0-0-0</f>
        <v>874.407194</v>
      </c>
      <c r="R304" s="3">
        <f>131.8+(834-106.5)+(-0.134436+(-0.85068--0.10863))+0-0-0</f>
        <v>858.42351399999995</v>
      </c>
      <c r="S304" s="3">
        <f>131.9+(858.2-160.8)+(-0.067269+(-0.437682--0.082008))+0-0-0</f>
        <v>828.87705700000004</v>
      </c>
      <c r="T304" s="3">
        <f>132+(786.2-91.2)+(0+(0-0))+0-0-0</f>
        <v>827</v>
      </c>
      <c r="U304" s="3">
        <f>131.8+(768.7-77.2)+(-0.134436+(-0.784074--0.078744))+0-0-0</f>
        <v>822.4602339999999</v>
      </c>
      <c r="V304" s="3">
        <f>132+(784.9-89)+(0+(0-0))+0-0-0</f>
        <v>827.9</v>
      </c>
      <c r="W304" s="3">
        <f>131.8+(880.4-132.7)+(-0.067218+(-0.449004--0.067677))+0-0-0</f>
        <v>879.05145500000003</v>
      </c>
      <c r="X304" s="3">
        <f>131.5+(976-201.7)+(-0.201195+(-1.49328--0.308601))+0-0-0</f>
        <v>904.41412600000001</v>
      </c>
      <c r="Y304" s="3">
        <f>131.5+(946.6-185.7)+(-0.13413+(-0.965532--0.189414))+0-0-0</f>
        <v>891.48975200000007</v>
      </c>
      <c r="Z304" s="3">
        <f>132+(1093.2-346.6)+(0.06732+(0.557532-0.176766))+0-0-0</f>
        <v>879.04808600000001</v>
      </c>
      <c r="AA304" s="3">
        <f>131.7+(1057.9-332.2)+(-0.067167+(-0.539529--0.169422))+0-0-0</f>
        <v>856.96272600000009</v>
      </c>
      <c r="AB304" s="3">
        <f>131+(1007.5-303.4)+(-0.33405+(-2.569125--0.77367))+0-0-0</f>
        <v>832.97049500000003</v>
      </c>
      <c r="AC304" s="3">
        <f>130.7+(921.8-246.2)+(-0.333285+(-2.35059--0.62781))+0-0-0</f>
        <v>804.24393499999996</v>
      </c>
      <c r="AD304" s="2">
        <v>899.10000000000014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20+(930.8-140.4)+(-0.0408+(-1.898832--0.286416))+0-0-0</f>
        <v>808.74678399999993</v>
      </c>
      <c r="G305" s="3">
        <f>0+(815.8-80.2)+(0+(-2.08029--0.20451))+0-0-0</f>
        <v>733.72421999999995</v>
      </c>
      <c r="H305" s="3">
        <f>0+(785.6-34.9)+(0+(-1.602624--0.071196))+0-0-0</f>
        <v>749.16857200000004</v>
      </c>
      <c r="I305" s="3">
        <f>0+(755.8-37.5)+(0+(0.385458-0.019125))+0-0-0</f>
        <v>718.66633300000001</v>
      </c>
      <c r="J305" s="3">
        <f>0+(747-39.9)+(0+(-0.38097--0.020349))+0-0-0</f>
        <v>706.73937899999999</v>
      </c>
      <c r="K305" s="3">
        <f>0+(739.5-29.3)+(0+(0.75429-0.029886))+0-0-0</f>
        <v>710.9244040000001</v>
      </c>
      <c r="L305" s="3">
        <f>0+(723.6-53.3)+(0+(-0.738072--0.054366))+0-0-0</f>
        <v>669.61629400000004</v>
      </c>
      <c r="M305" s="3">
        <f>0+(731.5-82.3)+(0+(-1.119195--0.125919))+0-0-0</f>
        <v>648.20672400000001</v>
      </c>
      <c r="N305" s="3">
        <f>0+(803-156.4)+(0+(-0.40953--0.079764))+0-0-0</f>
        <v>646.27023400000007</v>
      </c>
      <c r="O305" s="3">
        <f>0+(901.8-208)+(0+(0.919836-0.21216))+0-0-0</f>
        <v>694.50767599999995</v>
      </c>
      <c r="P305" s="3">
        <f>0+(964.8-246.6)+(0+(0-0))+0-0-0</f>
        <v>718.19999999999993</v>
      </c>
      <c r="Q305" s="3">
        <f>0+(1001.9-267.1)+(0+(-1.532907--0.408663))+0-0-0</f>
        <v>733.67575599999998</v>
      </c>
      <c r="R305" s="3">
        <f>0+(978-248.1)+(0+(0-0))+0-0-0</f>
        <v>729.9</v>
      </c>
      <c r="S305" s="3">
        <f>0+(958.1-233.2)+(0+(-0.488631--0.118932))+0-0-0</f>
        <v>724.53030100000012</v>
      </c>
      <c r="T305" s="3">
        <f>0+(937.9-226.1)+(0+(0.956658-0.230622))+0-0-0</f>
        <v>712.52603599999998</v>
      </c>
      <c r="U305" s="3">
        <f>0+(934.2-221)+(0+(-0.952884--0.22542))+0-0-0</f>
        <v>712.47253599999999</v>
      </c>
      <c r="V305" s="3">
        <f>0+(923-219.5)+(0+(-0.47073--0.111945))+0-0-0</f>
        <v>703.14121499999999</v>
      </c>
      <c r="W305" s="3">
        <f>0+(1038.5-275.8)+(0+(0.529635-0.140658))+0-0-0</f>
        <v>763.088977</v>
      </c>
      <c r="X305" s="3">
        <f>0+(1160-347.4)+(0+(-1.1832--0.354348))+0-0-0</f>
        <v>811.77114800000004</v>
      </c>
      <c r="Y305" s="3">
        <f>0+(1161.4-362.2)+(0+(0-0))+0-0-0</f>
        <v>799.2</v>
      </c>
      <c r="Z305" s="3">
        <f>0+(1155.9-344.7)+(0+(-1.179018--0.351594))+0-0-0</f>
        <v>810.37257600000009</v>
      </c>
      <c r="AA305" s="3">
        <f>0+(1131-326.5)+(0+(0.57681-0.166515))+0-0-0</f>
        <v>804.91029500000002</v>
      </c>
      <c r="AB305" s="3">
        <f>0+(1103.9-313.8)+(0+(1.125978-0.320076))+0-0-0</f>
        <v>790.90590200000008</v>
      </c>
      <c r="AC305" s="3">
        <f>0+(1010.2-243.4)+(0+(-1.030404--0.248268))+0-0-0</f>
        <v>766.01786400000003</v>
      </c>
      <c r="AD305" s="2">
        <v>825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0+(835.5-130.1)+(0+(0-0))+0-0-0</f>
        <v>705.4</v>
      </c>
      <c r="G306" s="3">
        <f>0+(763.9-82.2)+(0+(0.389589-0.041922))+0-0-0</f>
        <v>682.04766699999993</v>
      </c>
      <c r="H306" s="3">
        <f>0+(711.7-40.3)+(0+(-1.088901--0.061659))+0-0-0</f>
        <v>670.37275800000009</v>
      </c>
      <c r="I306" s="3">
        <f>0+(682.3-16.2)+(0+(0.695946-0.016524))+0-0-0</f>
        <v>666.77942199999995</v>
      </c>
      <c r="J306" s="3">
        <f>0+(689.4-18.1)+(0+(0.703188-0.018462))+0-0-0</f>
        <v>671.98472599999991</v>
      </c>
      <c r="K306" s="3">
        <f>29.6+(668.4-18.8)+(0.030192+(0.681768-0.019176))+0-0-0</f>
        <v>679.89278400000001</v>
      </c>
      <c r="L306" s="3">
        <f>108.4+(710.4-84.5)+(0+(0-0))+0-0-0</f>
        <v>734.3</v>
      </c>
      <c r="M306" s="3">
        <f>187.4+(682.5-83.1)+(-0.095574+(-0.348075--0.042381))+0-0-0</f>
        <v>786.398732</v>
      </c>
      <c r="N306" s="3">
        <f>267.4+(657.9-98.5)+(0.136374+(0.335529-0.050235))+0-0-0</f>
        <v>827.22166799999991</v>
      </c>
      <c r="O306" s="3">
        <f>266.7+(718.9-118.4)+(0+(0-0))+0-0-0</f>
        <v>867.2</v>
      </c>
      <c r="P306" s="3">
        <f>267.3+(821.7-188.7)+(0+(0-0))+0-0-0</f>
        <v>900.3</v>
      </c>
      <c r="Q306" s="3">
        <f>266.8+(844.5-230.9)+(-0.136068+(-0.430695--0.117759))+0-0-0</f>
        <v>879.95099600000015</v>
      </c>
      <c r="R306" s="3">
        <f>263.9+(822.4-213.3)+(-0.403767+(-1.258272--0.326349))+0-0-0</f>
        <v>871.66430999999989</v>
      </c>
      <c r="S306" s="3">
        <f>263.8+(771.3-192.2)+(-0.134538+(-0.393363--0.098022))+0-0-0</f>
        <v>842.47012099999984</v>
      </c>
      <c r="T306" s="3">
        <f>260.4+(736.5-151.3)+(-0.265608+(-0.75123--0.154326))+0-0-0</f>
        <v>844.73748799999998</v>
      </c>
      <c r="U306" s="3">
        <f>220+(785.2-155.6)+(0.2244+(0.800904-0.158712))+0-0-0</f>
        <v>850.46659199999999</v>
      </c>
      <c r="V306" s="3">
        <f>219.8+(753.4-139.8)+(-0.112098+(-0.384234--0.071298))+0-0-0</f>
        <v>832.97496599999988</v>
      </c>
      <c r="W306" s="3">
        <f>261.2+(818.9-192.7)+(0+(0-0))+0-0-0</f>
        <v>887.40000000000009</v>
      </c>
      <c r="X306" s="3">
        <f>262.3+(942.2-266.9)+(-0.133773+(-0.480522--0.136119))+0-0-0</f>
        <v>937.12182400000017</v>
      </c>
      <c r="Y306" s="3">
        <f>260.9+(855.4-187.6)+(-0.399177+(-1.308762--0.287028))+0-0-0</f>
        <v>927.27908899999989</v>
      </c>
      <c r="Z306" s="3">
        <f>262.5+(810.7-160.5)+(0+(0-0))+0-0-0</f>
        <v>912.7</v>
      </c>
      <c r="AA306" s="3">
        <f>185.8+(844.1-144.6)+(0+(0-0))+0-0-0</f>
        <v>885.3</v>
      </c>
      <c r="AB306" s="3">
        <f>11+(1006.1-152.4)+(-0.02244+(-2.052444--0.310896))+0-0-0</f>
        <v>862.93601200000001</v>
      </c>
      <c r="AC306" s="3">
        <f>0+(935-107.3)+(0+(-2.38425--0.273615))+0-0-0</f>
        <v>825.58936500000004</v>
      </c>
      <c r="AD306" s="2">
        <v>929.59999999999991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0+(817.7-20.5)+(0+(0-0))+0-0-0</f>
        <v>797.2</v>
      </c>
      <c r="G307" s="3">
        <f>0+(770.7-2.8)+(0+(0.393057-0.001428))+0-0-0</f>
        <v>768.29162900000006</v>
      </c>
      <c r="H307" s="3">
        <f>0+(749.4-0)+(0+(0-0))+0-0-0</f>
        <v>749.4</v>
      </c>
      <c r="I307" s="3">
        <f>0+(749.5-0)+(0+(-1.146735-0))+0-0-0</f>
        <v>748.35326499999996</v>
      </c>
      <c r="J307" s="3">
        <f>0+(745.4-0)+(0+(-1.520616-0))+0-0-0</f>
        <v>743.87938399999996</v>
      </c>
      <c r="K307" s="3">
        <f>0+(758-8.7)+(0+(1.54632-0.017748))+0-0-0</f>
        <v>750.82857200000001</v>
      </c>
      <c r="L307" s="3">
        <f>0+(803.4-33.5)+(0+(-0.409734--0.017085))+0-0-0</f>
        <v>769.50735099999997</v>
      </c>
      <c r="M307" s="3">
        <f>40.1+(767.1-6.1)+(-0.040902+(-0.782442--0.006222))+0-0-0</f>
        <v>800.28287799999998</v>
      </c>
      <c r="N307" s="3">
        <f>240.2+(624.1-22.3)+(-0.122502+(-0.318291--0.011373))+0-0-0</f>
        <v>841.57057999999995</v>
      </c>
      <c r="O307" s="3">
        <f>264.5+(675.4-56.5)+(0.404685+(1.033362-0.086445))+0-0-0</f>
        <v>884.75160199999993</v>
      </c>
      <c r="P307" s="3">
        <f>263+(779.8-143.2)+(0.26826+(0.795396-0.146064))+0-0-0</f>
        <v>900.51759199999992</v>
      </c>
      <c r="Q307" s="3">
        <f>260.5+(817.1-158)+(-0.26571+(-0.833442--0.16116))+0-0-0</f>
        <v>918.66200800000001</v>
      </c>
      <c r="R307" s="3">
        <f>257.5+(801.7-162)+(-0.5253+(-1.635468--0.33048))+0-0-0</f>
        <v>895.36971200000005</v>
      </c>
      <c r="S307" s="3">
        <f>258.7+(770.7-149)+(0.263874+(0.786114-0.15198))+0-0-0</f>
        <v>881.2980080000001</v>
      </c>
      <c r="T307" s="3">
        <f>259.7+(759.1-136.8)+(0.132447+(0.387141-0.069768))+0-0-0</f>
        <v>882.44982000000005</v>
      </c>
      <c r="U307" s="3">
        <f>258.5+(754.7-139.7)+(-0.659175+(-1.924485--0.356235))+0-0-0</f>
        <v>871.27257499999996</v>
      </c>
      <c r="V307" s="3">
        <f>261+(755.8-136.8)+(0.13311+(0.385458-0.069768))+0-0-0</f>
        <v>880.44880000000001</v>
      </c>
      <c r="W307" s="3">
        <f>263.9+(882.5-219.6)+(0.403767+(1.350225-0.335988))+0-0-0</f>
        <v>928.21800399999995</v>
      </c>
      <c r="X307" s="3">
        <f>261.9+(983.6-295.8)+(-0.133569+(-0.501636--0.150858))+0-0-0</f>
        <v>949.21565299999997</v>
      </c>
      <c r="Y307" s="3">
        <f>262.2+(954-281.2)+(-0.401166+(-1.45962--0.430236))+0-0-0</f>
        <v>933.56944999999996</v>
      </c>
      <c r="Z307" s="3">
        <f>262.3+(911.7-256.1)+(-0.401319+(-1.394901--0.391833))+0-0-0</f>
        <v>916.49561300000005</v>
      </c>
      <c r="AA307" s="3">
        <f>261.8+(872.1-236.8)+(-0.534072+(-1.779084--0.483072))+0-0-0</f>
        <v>895.26991599999985</v>
      </c>
      <c r="AB307" s="3">
        <f>173.1+(909.2-202.4)+(-0.264843+(-1.391076--0.309672))+0-0-0</f>
        <v>878.55375300000014</v>
      </c>
      <c r="AC307" s="3">
        <f>0+(926.8-101.1)+(0+(-0.472668--0.051561))+0-0-0</f>
        <v>825.27889299999993</v>
      </c>
      <c r="AD307" s="2">
        <v>949.3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0+(795.5-11.8)+(0+(0-0))+0-0-0</f>
        <v>783.7</v>
      </c>
      <c r="G308" s="3">
        <f>0+(757.4-0)+(0+(-1.545096-0))+0-0-0</f>
        <v>755.85490400000003</v>
      </c>
      <c r="H308" s="3">
        <f>0+(750.9-8.6)+(0+(0.765918-0.008772))+0-0-0</f>
        <v>743.05714599999999</v>
      </c>
      <c r="I308" s="3">
        <f>0+(754.1-21.3)+(0+(0.384591-0.010863))+0-0-0</f>
        <v>733.1737280000001</v>
      </c>
      <c r="J308" s="3">
        <f>0+(738.1-3.1)+(0+(-0.376431--0.001581))+0-0-0</f>
        <v>734.62514999999996</v>
      </c>
      <c r="K308" s="3">
        <f>4.2+(728.7-0)+(0.002142+(0.371637-0))+0-0-0</f>
        <v>733.2737790000001</v>
      </c>
      <c r="L308" s="3">
        <f>50.2+(732.6-9.8)+(0+(0-0))+0-0-0</f>
        <v>773.00000000000011</v>
      </c>
      <c r="M308" s="3">
        <f>50.1+(815.6-55)+(0.102204+(1.663824-0.1122))+0-0-0</f>
        <v>812.35382800000002</v>
      </c>
      <c r="N308" s="3">
        <f>78+(923.1-155.9)+(0.07956+(0.941562-0.159018))+0-0-0</f>
        <v>846.06210400000009</v>
      </c>
      <c r="O308" s="3">
        <f>131.6+(960.7-203.2)+(-0.134232+(-0.979914--0.207264))+0-0-0</f>
        <v>888.19311800000003</v>
      </c>
      <c r="P308" s="3">
        <f>132.1+(1030.6-254.2)+(0.067371+(0.525606-0.129642))+0-0-0</f>
        <v>908.96333499999992</v>
      </c>
      <c r="Q308" s="3">
        <f>131.4+(1044-265.5)+(-0.067014+(-0.53244--0.135405))+0-0-0</f>
        <v>909.43595099999993</v>
      </c>
      <c r="R308" s="3">
        <f>130+(1026.5-264)+(-0.2652+(-2.09406--0.53856))+0-0-0</f>
        <v>890.67930000000001</v>
      </c>
      <c r="S308" s="3">
        <f>130.2+(1017.8-274)+(-0.265608+(-2.076312--0.55896))+0-0-0</f>
        <v>872.21704</v>
      </c>
      <c r="T308" s="3">
        <f>126.1+(984.4-240.9)+(-0.128622+(-1.004088--0.245718))+0-0-0</f>
        <v>868.71300800000006</v>
      </c>
      <c r="U308" s="3">
        <f>90.2+(1008.2-236.6)+(-0.092004+(-1.028364--0.241332))+0-0-0</f>
        <v>860.92096400000003</v>
      </c>
      <c r="V308" s="3">
        <f>100.9+(923.5-168.3)+(0+(0-0))+0-0-0</f>
        <v>856.1</v>
      </c>
      <c r="W308" s="3">
        <f>120.3+(1084.3-294.6)+(0.122706+(1.105986-0.300492))+0-0-0</f>
        <v>910.92819999999983</v>
      </c>
      <c r="X308" s="3">
        <f>120.1+(1133.6-296.1)+(0+(0-0))+0-0-0</f>
        <v>957.59999999999991</v>
      </c>
      <c r="Y308" s="3">
        <f>120.1+(1089.7-267.1)+(-0.122502+(-1.111494--0.272442))+0-0-0</f>
        <v>941.73844600000007</v>
      </c>
      <c r="Z308" s="3">
        <f>119.1+(1049.2-245.2)+(-0.303705+(-2.67546--0.62526))+0-0-0</f>
        <v>920.74609499999997</v>
      </c>
      <c r="AA308" s="3">
        <f>119.8+(995.9-213.8)+(-0.061098+(-0.507909--0.109038))+0-0-0</f>
        <v>901.44003099999986</v>
      </c>
      <c r="AB308" s="3">
        <f>54.5+(1041-210.3)+(-0.083385+(-1.59273--0.321759))+0-0-0</f>
        <v>883.84564399999999</v>
      </c>
      <c r="AC308" s="3">
        <f>0+(971.1-127.5)+(0+(-0.990522--0.13005))+0-0-0</f>
        <v>842.73952800000006</v>
      </c>
      <c r="AD308" s="2">
        <v>953.69999999999993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0+(813.1-10.6)+(0+(-1.658724--0.021624))+0-0-0</f>
        <v>800.86289999999997</v>
      </c>
      <c r="G309" s="3">
        <f>0+(767.2-0)+(0+(-1.173816-0))+0-0-0</f>
        <v>766.02618400000006</v>
      </c>
      <c r="H309" s="3">
        <f>0+(747.2-0)+(0+(-0.381072-0))+0-0-0</f>
        <v>746.81892800000003</v>
      </c>
      <c r="I309" s="3">
        <f>0+(733-0)+(0+(-0.37383-0))+0-0-0</f>
        <v>732.62617</v>
      </c>
      <c r="J309" s="3">
        <f>0+(730.3-0)+(0+(-0.744906-0))+0-0-0</f>
        <v>729.55509399999994</v>
      </c>
      <c r="K309" s="3">
        <f>0+(738-0)+(0+(0.75276-0))+0-0-0</f>
        <v>738.75275999999997</v>
      </c>
      <c r="L309" s="3">
        <f>0+(769.1-0)+(0+(-0.784482-0))+0-0-0</f>
        <v>768.315518</v>
      </c>
      <c r="M309" s="3">
        <f>0+(841-24.2)+(0+(1.28673-0.037026))+0-0-0</f>
        <v>818.04970399999991</v>
      </c>
      <c r="N309" s="3">
        <f>0+(895.2-40.2)+(0+(1.369656-0.061506))+0-0-0</f>
        <v>856.30814999999996</v>
      </c>
      <c r="O309" s="3">
        <f>0+(1020.2-133.9)+(0+(0.520302-0.068289))+0-0-0</f>
        <v>886.75201300000003</v>
      </c>
      <c r="P309" s="3">
        <f>0+(1066.9-171.1)+(0+(0.544119-0.087261))+0-0-0</f>
        <v>896.25685800000008</v>
      </c>
      <c r="Q309" s="3">
        <f>0+(1137.5-219.9)+(0+(-4.060875--0.785043))+0-0-0</f>
        <v>914.32416799999999</v>
      </c>
      <c r="R309" s="3">
        <f>0+(1127.4-229.2)+(0+(-1.724922--0.350676))+0-0-0</f>
        <v>896.82575400000007</v>
      </c>
      <c r="S309" s="3">
        <f>0+(1040.4-174.4)+(0+(-3.183624--0.533664))+0-0-0</f>
        <v>863.35004000000015</v>
      </c>
      <c r="T309" s="3">
        <f>0+(962.1-107.5)+(0+(0-0))+0-0-0</f>
        <v>854.6</v>
      </c>
      <c r="U309" s="3">
        <f>0+(958.8-106.9)+(0+(-0.977976--0.109038))+0-0-0</f>
        <v>851.03106200000002</v>
      </c>
      <c r="V309" s="3">
        <f>0+(1000.1-140.4)+(0+(0-0))+0-0-0</f>
        <v>859.7</v>
      </c>
      <c r="W309" s="3">
        <f>0+(1122.9-201.7)+(0+(0.572679-0.102867))+0-0-0</f>
        <v>921.66981200000009</v>
      </c>
      <c r="X309" s="3">
        <f>0+(1169.2-209.8)+(0+(0-0))+0-0-0</f>
        <v>959.40000000000009</v>
      </c>
      <c r="Y309" s="3">
        <f>0+(1140.5-196.7)+(0+(-2.32662--0.401268))+0-0-0</f>
        <v>941.87464799999998</v>
      </c>
      <c r="Z309" s="3">
        <f>0+(1103.9-178.6)+(0+(-1.125978--0.182172))+0-0-0</f>
        <v>924.35619400000007</v>
      </c>
      <c r="AA309" s="3">
        <f>0+(1071.1-172.9)+(0+(-3.277566--0.529074))+0-0-0</f>
        <v>895.45150799999988</v>
      </c>
      <c r="AB309" s="3">
        <f>0+(1006.7-137.2)+(0+(-2.053668--0.279888))+0-0-0</f>
        <v>867.72622000000001</v>
      </c>
      <c r="AC309" s="3">
        <f>0+(1000.9-167.6)+(0+(-2.552295--0.42738))+0-0-0</f>
        <v>831.17508499999997</v>
      </c>
      <c r="AD309" s="2">
        <v>953.49999999999989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0+(961.8-165.3)+(0+(-2.45259--0.421515))+0-0-0</f>
        <v>794.46892500000001</v>
      </c>
      <c r="G310" s="3">
        <f>0+(938.3-166.2)+(0+(-0.957066--0.169524))+0-0-0</f>
        <v>771.31245799999988</v>
      </c>
      <c r="H310" s="3">
        <f>0+(903.5-150.9)+(0+(-2.303925--0.384795))+0-0-0</f>
        <v>750.68087000000003</v>
      </c>
      <c r="I310" s="3">
        <f>0+(874-128.6)+(0+(1.33722-0.196758))+0-0-0</f>
        <v>746.54046199999993</v>
      </c>
      <c r="J310" s="3">
        <f>0+(870.9-127.6)+(0+(1.332477-0.195228))+0-0-0</f>
        <v>744.43724899999995</v>
      </c>
      <c r="K310" s="3">
        <f>0+(848.8-106)+(0+(0-0))+0-0-0</f>
        <v>742.8</v>
      </c>
      <c r="L310" s="3">
        <f>0+(834.2-67.4)+(0+(0-0))+0-0-0</f>
        <v>766.80000000000007</v>
      </c>
      <c r="M310" s="3">
        <f>0+(891.3-87.3)+(0+(-0.454563--0.044523))+0-0-0</f>
        <v>803.58996000000002</v>
      </c>
      <c r="N310" s="3">
        <f>0+(873.6-16.9)+(0+(-0.445536--0.008619))+0-0-0</f>
        <v>856.26308300000005</v>
      </c>
      <c r="O310" s="3">
        <f>0+(946.5-53.9)+(0+(-0.482715--0.027489))+0-0-0</f>
        <v>892.14477399999998</v>
      </c>
      <c r="P310" s="3">
        <f>0+(1015.9-113.3)+(0+(1.036218-0.115566))+0-0-0</f>
        <v>903.52065200000004</v>
      </c>
      <c r="Q310" s="3">
        <f>0+(1076.7-182.7)+(0+(-0.549117--0.093177))+0-0-0</f>
        <v>893.54405999999994</v>
      </c>
      <c r="R310" s="3">
        <f>0+(1072.5-187.1)+(0+(-2.1879--0.381684))+0-0-0</f>
        <v>883.59378400000003</v>
      </c>
      <c r="S310" s="3">
        <f>0+(1062.1-180.1)+(0+(0-0))+0-0-0</f>
        <v>881.99999999999989</v>
      </c>
      <c r="T310" s="3">
        <f>0+(1024.9-146)+(0+(0.522699-0.07446))+0-0-0</f>
        <v>879.34823900000004</v>
      </c>
      <c r="U310" s="3">
        <f>0+(963.9-93.9)+(0+(-2.457945--0.239445))+0-0-0</f>
        <v>867.78150000000005</v>
      </c>
      <c r="V310" s="3">
        <f>0+(924-53.9)+(0+(-0.94248--0.054978))+0-0-0</f>
        <v>869.21249799999998</v>
      </c>
      <c r="W310" s="3">
        <f>0+(1012.9-100.7)+(0+(1.549737-0.154071))+0-0-0</f>
        <v>913.59566599999994</v>
      </c>
      <c r="X310" s="3">
        <f>0+(1111.6-166.2)+(0+(-0.566916--0.084762))+0-0-0</f>
        <v>944.91784599999983</v>
      </c>
      <c r="Y310" s="3">
        <f>0+(1062.9-147.1)+(0+(-0.542079--0.075021))+0-0-0</f>
        <v>915.33294200000012</v>
      </c>
      <c r="Z310" s="3">
        <f>0+(1045.4-146.4)+(0+(-0.533154--0.074664))+0-0-0</f>
        <v>898.54151000000013</v>
      </c>
      <c r="AA310" s="3">
        <f>0+(1005.7-120.1)+(0+(-1.538721--0.183753))+0-0-0</f>
        <v>884.24503200000004</v>
      </c>
      <c r="AB310" s="3">
        <f>0+(982-123.4)+(0+(-2.5041--0.31467))+0-0-0</f>
        <v>856.41057000000001</v>
      </c>
      <c r="AC310" s="3">
        <f>0+(951-113.1)+(0+(-2.42505--0.288405))+0-0-0</f>
        <v>835.76335499999993</v>
      </c>
      <c r="AD310" s="2">
        <v>951.30000000000007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0+(929.9-139.2)+(0+(-0.474249--0.070992))+0-0-0</f>
        <v>790.29674299999999</v>
      </c>
      <c r="G311" s="3">
        <f>0+(831.5-76)+(0+(-1.69626--0.15504))+0-0-0</f>
        <v>753.95878000000005</v>
      </c>
      <c r="H311" s="3">
        <f>0+(802.1-65.1)+(0+(0-0))+0-0-0</f>
        <v>737</v>
      </c>
      <c r="I311" s="3">
        <f>0+(798.7-63.2)+(0+(-1.222011--0.096696))+0-0-0</f>
        <v>734.374685</v>
      </c>
      <c r="J311" s="3">
        <f>0+(814.9-87.8)+(0+(0.415599-0.044778))+0-0-0</f>
        <v>727.470821</v>
      </c>
      <c r="K311" s="3">
        <f>0+(823.8-95.3)+(0+(0.840276-0.097206))+0-0-0</f>
        <v>729.24306999999999</v>
      </c>
      <c r="L311" s="3">
        <f>0+(867-128.1)+(0+(0-0))+0-0-0</f>
        <v>738.9</v>
      </c>
      <c r="M311" s="3">
        <f>0+(937.4-176.3)+(0+(0.956148-0.179826))+0-0-0</f>
        <v>761.87632199999996</v>
      </c>
      <c r="N311" s="3">
        <f>0+(957.4-146)+(0+(0.488274-0.07446))+0-0-0</f>
        <v>811.81381399999998</v>
      </c>
      <c r="O311" s="3">
        <f>0+(1100.4-244.2)+(0+(0-0))+0-0-0</f>
        <v>856.2</v>
      </c>
      <c r="P311" s="3">
        <f>0+(1201.9-323.1)+(0+(0.612969-0.164781))+0-0-0</f>
        <v>879.24818800000003</v>
      </c>
      <c r="Q311" s="3">
        <f>0+(1216.1-336.8)+(0+(-1.860633--0.515304))+0-0-0</f>
        <v>877.95467099999996</v>
      </c>
      <c r="R311" s="3">
        <f>0+(1193.3-329)+(0+(-2.434332--0.67116))+0-0-0</f>
        <v>862.5368279999999</v>
      </c>
      <c r="S311" s="3">
        <f>0+(1139.4-311.7)+(0+(-0.581094--0.158967))+0-0-0</f>
        <v>827.277873</v>
      </c>
      <c r="T311" s="3">
        <f>0+(1051.5-236)+(0+(-2.14506--0.48144))+0-0-0</f>
        <v>813.83637999999996</v>
      </c>
      <c r="U311" s="3">
        <f>0+(1002.1-198.7)+(0+(-3.066426--0.608022))+0-0-0</f>
        <v>800.94159600000012</v>
      </c>
      <c r="V311" s="3">
        <f>0+(1015.9-214.2)+(0+(0.518109-0.109242))+0-0-0</f>
        <v>802.10886700000003</v>
      </c>
      <c r="W311" s="3">
        <f>0+(1106.6-248.3)+(0+(1.128732-0.253266))+0-0-0</f>
        <v>859.17546599999991</v>
      </c>
      <c r="X311" s="3">
        <f>0+(1239.4-324.8)+(0+(0.632094-0.165648))+0-0-0</f>
        <v>915.06644600000016</v>
      </c>
      <c r="Y311" s="3">
        <f>0+(1205.5-309.5)+(0+(-3.074025--0.789225))+0-0-0</f>
        <v>893.71519999999998</v>
      </c>
      <c r="Z311" s="3">
        <f>0+(1150.2-280.5)+(0+(-2.346408--0.57222))+0-0-0</f>
        <v>867.92581200000006</v>
      </c>
      <c r="AA311" s="3">
        <f>0+(1135.7-275)+(0+(1.158414-0.2805))+0-0-0</f>
        <v>861.57791400000008</v>
      </c>
      <c r="AB311" s="3">
        <f>0+(1121.9-278.5)+(0+(-1.716507--0.426105))+0-0-0</f>
        <v>842.10959800000012</v>
      </c>
      <c r="AC311" s="3">
        <f>0+(1068.3-256)+(0+(0-0))+0-0-0</f>
        <v>812.3</v>
      </c>
      <c r="AD311" s="2">
        <v>918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0+(1023.2-251.1)+(0+(-1.043664--0.256122))+0-0-0</f>
        <v>771.31245799999999</v>
      </c>
      <c r="G312" s="3">
        <f>0+(959.1-218)+(0+(-1.956564--0.44472))+0-0-0</f>
        <v>739.58815600000003</v>
      </c>
      <c r="H312" s="3">
        <f>0+(848-127.4)+(0+(-1.72992--0.259896))+0-0-0</f>
        <v>719.12997600000006</v>
      </c>
      <c r="I312" s="3">
        <f>0+(818.6-108)+(0+(-0.417486--0.05508))+0-0-0</f>
        <v>710.23759400000006</v>
      </c>
      <c r="J312" s="3">
        <f>0+(836.5-132.4)+(0+(0-0))+0-0-0</f>
        <v>704.1</v>
      </c>
      <c r="K312" s="3">
        <f>0+(845.9-148.1)+(0+(1.294227-0.226593))+0-0-0</f>
        <v>698.86763399999995</v>
      </c>
      <c r="L312" s="3">
        <f>0+(821-138.8)+(0+(-2.09355--0.35394))+0-0-0</f>
        <v>680.46039000000007</v>
      </c>
      <c r="M312" s="3">
        <f>0+(828.7-163.6)+(0+(-2.113185--0.41718))+0-0-0</f>
        <v>663.40399500000001</v>
      </c>
      <c r="N312" s="3">
        <f>0+(855.9-174.3)+(0+(0.436509-0.088893))+0-0-0</f>
        <v>681.94761599999993</v>
      </c>
      <c r="O312" s="3">
        <f>0+(936.3-220.1)+(0+(-1.432539--0.336753))+0-0-0</f>
        <v>715.10421399999996</v>
      </c>
      <c r="P312" s="3">
        <f>0+(989.7-252.4)+(0+(0-0))+0-0-0</f>
        <v>737.30000000000007</v>
      </c>
      <c r="Q312" s="3">
        <f>0+(1008.6-261.9)+(0+(-0.514386--0.133569))+0-0-0</f>
        <v>746.31918300000007</v>
      </c>
      <c r="R312" s="3">
        <f>0+(1026-281.6)+(0+(-1.04652--0.287232))+0-0-0</f>
        <v>743.64071200000001</v>
      </c>
      <c r="S312" s="3">
        <f>0+(977.4-251.7)+(0+(-0.996948--0.256734))+0-0-0</f>
        <v>724.95978600000001</v>
      </c>
      <c r="T312" s="3">
        <f>0+(920.6-201.9)+(0+(-0.469506--0.102969))+0-0-0</f>
        <v>718.33346300000005</v>
      </c>
      <c r="U312" s="3">
        <f>0+(848.3-143.1)+(0+(-1.297899--0.218943))+0-0-0</f>
        <v>704.12104399999998</v>
      </c>
      <c r="V312" s="3">
        <f>0+(860.3-114.1)+(0+(-0.438753--0.058191))+0-0-0</f>
        <v>745.81943799999988</v>
      </c>
      <c r="W312" s="3">
        <f>0+(867.7-94.3)+(0+(0-0))+0-0-0</f>
        <v>773.40000000000009</v>
      </c>
      <c r="X312" s="3">
        <f>0+(880.5-114.4)+(0+(-0.89811--0.116688))+0-0-0</f>
        <v>765.318578</v>
      </c>
      <c r="Y312" s="3">
        <f>0+(922-112.1)+(0+(-2.82132--0.343026))+0-0-0</f>
        <v>807.42170599999997</v>
      </c>
      <c r="Z312" s="3">
        <f>0+(920.4-115.8)+(0+(-2.34702--0.29529))+0-0-0</f>
        <v>802.54827</v>
      </c>
      <c r="AA312" s="3">
        <f>0+(930.4-135)+(0+(-1.898016--0.2754))+0-0-0</f>
        <v>793.77738399999998</v>
      </c>
      <c r="AB312" s="3">
        <f>0+(899.8-122.9)+(0+(-0.917796--0.125358))+0-0-0</f>
        <v>776.10756200000003</v>
      </c>
      <c r="AC312" s="3">
        <f>0+(884.2-125.2)+(0+(-1.803768--0.255408))+0-0-0</f>
        <v>757.45164</v>
      </c>
      <c r="AD312" s="2">
        <v>806.6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0+(811.1-98.1)+(0+(-0.413661--0.050031))+0-0-0</f>
        <v>712.63637000000006</v>
      </c>
      <c r="G313" s="3">
        <f>0+(733.5-48.9)+(0+(-1.122255--0.074817))+0-0-0</f>
        <v>683.55256199999997</v>
      </c>
      <c r="H313" s="3">
        <f>0+(673.9-12.1)+(0+(-0.687378--0.012342))+0-0-0</f>
        <v>661.12496399999998</v>
      </c>
      <c r="I313" s="3">
        <f>0+(669.5-12.9)+(0+(-1.36578--0.026316))+0-0-0</f>
        <v>655.260536</v>
      </c>
      <c r="J313" s="3">
        <f>0+(688.9-29.4)+(0+(-0.351339--0.014994))+0-0-0</f>
        <v>659.16365499999995</v>
      </c>
      <c r="K313" s="3">
        <f>0+(695.8-23.7)+(0+(1.419432-0.048348))+0-0-0</f>
        <v>673.47108399999991</v>
      </c>
      <c r="L313" s="3">
        <f>0+(808.8-89.2)+(0+(0-0))+0-0-0</f>
        <v>719.59999999999991</v>
      </c>
      <c r="M313" s="3">
        <f>0+(926.4-140.9)+(0+(-0.472464--0.071859))+0-0-0</f>
        <v>785.09939499999996</v>
      </c>
      <c r="N313" s="3">
        <f>0+(922.2-102.7)+(0+(-0.470322--0.052377))+0-0-0</f>
        <v>819.08205499999997</v>
      </c>
      <c r="O313" s="3">
        <f>0+(934.9-77)+(0+(0-0))+0-0-0</f>
        <v>857.9</v>
      </c>
      <c r="P313" s="3">
        <f>0+(972.9-83.3)+(0+(0.496179-0.042483))+0-0-0</f>
        <v>890.05369600000006</v>
      </c>
      <c r="Q313" s="3">
        <f>0+(1016.8-111.9)+(0+(-1.037136--0.114138))+0-0-0</f>
        <v>903.97700199999997</v>
      </c>
      <c r="R313" s="3">
        <f>0+(996.9-109.3)+(0+(-3.050514--0.334458))+0-0-0</f>
        <v>884.88394400000004</v>
      </c>
      <c r="S313" s="3">
        <f>0+(951.3-82.3)+(0+(-2.425815--0.209865))+0-0-0</f>
        <v>866.78404999999998</v>
      </c>
      <c r="T313" s="3">
        <f>0+(901.8-55.9)+(0+(0-0))+0-0-0</f>
        <v>845.9</v>
      </c>
      <c r="U313" s="3">
        <f>0+(894.3-45.2)+(0+(-1.368279--0.069156))+0-0-0</f>
        <v>847.8008769999999</v>
      </c>
      <c r="V313" s="3">
        <f>0+(931.3-89.9)+(0+(1.424889-0.137547))+0-0-0</f>
        <v>842.68734199999994</v>
      </c>
      <c r="W313" s="3">
        <f>0+(1021.6-132.9)+(0+(2.084064-0.271116))+0-0-0</f>
        <v>890.51294800000005</v>
      </c>
      <c r="X313" s="3">
        <f>0+(1133.5-193.9)+(0+(-1.734255--0.296667))+0-0-0</f>
        <v>938.16241200000002</v>
      </c>
      <c r="Y313" s="3">
        <f>0+(1097.3-168.7)+(0+(0-0))+0-0-0</f>
        <v>928.59999999999991</v>
      </c>
      <c r="Z313" s="3">
        <f>0+(1055.1-147.2)+(0+(-1.076202--0.150144))+0-0-0</f>
        <v>906.97394199999985</v>
      </c>
      <c r="AA313" s="3">
        <f>0+(1040.5-152.5)+(0+(-1.591965--0.233325))+0-0-0</f>
        <v>886.64135999999996</v>
      </c>
      <c r="AB313" s="3">
        <f>0+(1049.8-174.7)+(0+(-1.070796--0.178194))+0-0-0</f>
        <v>874.2073979999999</v>
      </c>
      <c r="AC313" s="3">
        <f>0+(1029.9-193.9)+(0+(-2.100996--0.395556))+0-0-0</f>
        <v>834.29456000000016</v>
      </c>
      <c r="AD313" s="2">
        <v>920.7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0+(955.5-152.6)+(0+(-1.94922--0.311304))+0-0-0</f>
        <v>801.26208399999996</v>
      </c>
      <c r="G314" s="3">
        <f>0+(825.1-57.6)+(0+(-0.841602--0.058752))+0-0-0</f>
        <v>766.71714999999995</v>
      </c>
      <c r="H314" s="3">
        <f>0+(763.6-17.4)+(0+(-0.389436--0.008874))+0-0-0</f>
        <v>745.81943799999999</v>
      </c>
      <c r="I314" s="3">
        <f>0+(757.2-22.6)+(0+(0.772344-0.023052))+0-0-0</f>
        <v>735.34929199999999</v>
      </c>
      <c r="J314" s="3">
        <f>0+(766.7-21.8)+(0+(-1.955085--0.05559))+0-0-0</f>
        <v>743.00050500000009</v>
      </c>
      <c r="K314" s="3">
        <f>0+(758.7-11.8)+(0+(1.934685-0.03009))+0-0-0</f>
        <v>748.80459500000006</v>
      </c>
      <c r="L314" s="3">
        <f>0+(804.8-23)+(0+(0-0))+0-0-0</f>
        <v>781.8</v>
      </c>
      <c r="M314" s="3">
        <f>0+(901.8-97.1)+(0+(-1.379754--0.148563))+0-0-0</f>
        <v>803.46880899999996</v>
      </c>
      <c r="N314" s="3">
        <f>0+(942.8-82.6)+(0+(-0.961656--0.084252))+0-0-0</f>
        <v>859.32259599999998</v>
      </c>
      <c r="O314" s="3">
        <f>0+(955.3-59.7)+(0+(-1.461609--0.091341))+0-0-0</f>
        <v>894.2297319999999</v>
      </c>
      <c r="P314" s="3">
        <f>0+(981.4-62.4)+(0+(-1.001028--0.063648))+0-0-0</f>
        <v>918.06262000000004</v>
      </c>
      <c r="Q314" s="3">
        <f>0+(993.5-72.6)+(0+(-2.533425--0.18513))+0-0-0</f>
        <v>918.55170499999997</v>
      </c>
      <c r="R314" s="3">
        <f>0+(1054.7-135.2)+(0+(-2.151588--0.275808))+0-0-0</f>
        <v>917.62422000000004</v>
      </c>
      <c r="S314" s="3">
        <f>0+(1044.5-155.1)+(0+(-2.13078--0.316404))+0-0-0</f>
        <v>887.58562399999994</v>
      </c>
      <c r="T314" s="3">
        <f>0+(1017.6-135.2)+(0+(-1.037952--0.137904))+0-0-0</f>
        <v>881.49995200000012</v>
      </c>
      <c r="U314" s="3">
        <f>0+(1016.5-128.3)+(0+(1.03683-0.130866))+0-0-0</f>
        <v>889.10596400000009</v>
      </c>
      <c r="V314" s="3">
        <f>0+(1034-146.7)+(0+(0.52734-0.074817))+0-0-0</f>
        <v>887.752523</v>
      </c>
      <c r="W314" s="3">
        <f>0+(1052-131.9)+(0+(1.07304-0.134538))+0-0-0</f>
        <v>921.03850199999999</v>
      </c>
      <c r="X314" s="3">
        <f>0+(1161.4-214.7)+(0+(-3.553884--0.656982))+0-0-0</f>
        <v>943.80309800000009</v>
      </c>
      <c r="Y314" s="3">
        <f>0+(1115.6-184.1)+(0+(-2.84478--0.469455))+0-0-0</f>
        <v>929.12467499999991</v>
      </c>
      <c r="Z314" s="3">
        <f>0+(1049.2-148.8)+(0+(-1.605276--0.227664))+0-0-0</f>
        <v>899.02238800000009</v>
      </c>
      <c r="AA314" s="3">
        <f>0+(1048.9-156.4)+(0+(-0.534939--0.079764))+0-0-0</f>
        <v>892.04482500000006</v>
      </c>
      <c r="AB314" s="3">
        <f>0+(1029.8-168.6)+(0+(-1.050396--0.171972))+0-0-0</f>
        <v>860.32157599999994</v>
      </c>
      <c r="AC314" s="3">
        <f>0+(1002-160.8)+(0+(-2.5551--0.41004))+0-0-0</f>
        <v>839.0549400000001</v>
      </c>
      <c r="AD314" s="2">
        <v>945.2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0+(893.7-99)+(0+(-0.911574--0.10098))+0-0-0</f>
        <v>793.88940600000001</v>
      </c>
      <c r="G315" s="3">
        <f>0+(812.5-38.6)+(0+(-1.243125--0.059058))+0-0-0</f>
        <v>772.71593299999995</v>
      </c>
      <c r="H315" s="3">
        <f>0+(843.8-85.8)+(0+(0-0))+0-0-0</f>
        <v>758</v>
      </c>
      <c r="I315" s="3">
        <f>0+(832.4-85)+(0+(-0.849048--0.0867))+0-0-0</f>
        <v>746.637652</v>
      </c>
      <c r="J315" s="3">
        <f>0+(817.4-74)+(0+(0.416874-0.03774))+0-0-0</f>
        <v>743.779134</v>
      </c>
      <c r="K315" s="3">
        <f>0+(821.9-74.2)+(0+(-0.419169--0.037842))+0-0-0</f>
        <v>747.31867299999988</v>
      </c>
      <c r="L315" s="3">
        <f>0+(875.5-93.4)+(0+(-0.446505--0.047634))+0-0-0</f>
        <v>781.70112900000004</v>
      </c>
      <c r="M315" s="3">
        <f>0+(949.1-144.4)+(0+(0-0))+0-0-0</f>
        <v>804.7</v>
      </c>
      <c r="N315" s="3">
        <f>0+(897.2-64.3)+(0+(0-0))+0-0-0</f>
        <v>832.90000000000009</v>
      </c>
      <c r="O315" s="3">
        <f>0+(927-52.8)+(0+(-0.94554--0.053856))+0-0-0</f>
        <v>873.30831599999999</v>
      </c>
      <c r="P315" s="3">
        <f>0+(988-105.8)+(0+(0-0))+0-0-0</f>
        <v>882.2</v>
      </c>
      <c r="Q315" s="3">
        <f>0+(1048.4-134.3)+(0+(-0.534684--0.068493))+0-0-0</f>
        <v>913.63380900000016</v>
      </c>
      <c r="R315" s="3">
        <f>0+(1036.6-134.7)+(0+(-2.64333--0.343485))+0-0-0</f>
        <v>899.60015499999986</v>
      </c>
      <c r="S315" s="3">
        <f>0+(978.8-120)+(0+(0-0))+0-0-0</f>
        <v>858.8</v>
      </c>
      <c r="T315" s="3">
        <f>0+(946.2-69)+(0+(-0.482562--0.03519))+0-0-0</f>
        <v>876.75262800000007</v>
      </c>
      <c r="U315" s="3">
        <f>0+(939-54.4)+(0+(-0.95778--0.055488))+0-0-0</f>
        <v>883.69770800000003</v>
      </c>
      <c r="V315" s="3">
        <f>0+(933.1-63.2)+(0+(0.475881-0.032232))+0-0-0</f>
        <v>870.34364900000003</v>
      </c>
      <c r="W315" s="3">
        <f>0+(1004.6-92.6)+(0+(0.512346-0.047226))+0-0-0</f>
        <v>912.46511999999996</v>
      </c>
      <c r="X315" s="3">
        <f>0+(1070-129.5)+(0+(-2.1828--0.26418))+0-0-0</f>
        <v>938.58137999999997</v>
      </c>
      <c r="Y315" s="3">
        <f>0+(1061.8-140.1)+(0+(-2.166072--0.285804))+0-0-0</f>
        <v>919.81973199999993</v>
      </c>
      <c r="Z315" s="3">
        <f>0+(1036.6-128.9)+(0+(-1.057332--0.131478))+0-0-0</f>
        <v>906.77414599999997</v>
      </c>
      <c r="AA315" s="3">
        <f>0+(1014.9-132.8)+(0+(-1.035198--0.135456))+0-0-0</f>
        <v>881.20025799999996</v>
      </c>
      <c r="AB315" s="3">
        <f>0+(1010.6-140.3)+(0+(-1.546218--0.214659))+0-0-0</f>
        <v>868.96844099999998</v>
      </c>
      <c r="AC315" s="3">
        <f>0+(974-134.5)+(0+(-0.99348--0.13719))+0-0-0</f>
        <v>838.64371000000006</v>
      </c>
      <c r="AD315" s="2">
        <v>945.90000000000009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0+(872.6-75.8)+(0+(-2.22513--0.19329))+0-0-0</f>
        <v>794.76816000000008</v>
      </c>
      <c r="G316" s="3">
        <f>0+(803-36.3)+(0+(0-0))+0-0-0</f>
        <v>766.7</v>
      </c>
      <c r="H316" s="3">
        <f>0+(752.3-12.2)+(0+(-1.918365--0.03111))+0-0-0</f>
        <v>738.21274499999993</v>
      </c>
      <c r="I316" s="3">
        <f>0+(739.3-6.5)+(0+(-0.377043--0.003315))+0-0-0</f>
        <v>732.42627199999993</v>
      </c>
      <c r="J316" s="3">
        <f>0+(725.5-3.6)+(0+(0.74001-0.003672))+0-0-0</f>
        <v>722.63633800000002</v>
      </c>
      <c r="K316" s="3">
        <f>0+(731.4-16.5)+(0+(0.746028-0.01683))+0-0-0</f>
        <v>715.62919799999997</v>
      </c>
      <c r="L316" s="3">
        <f>0+(718.6-6.7)+(0+(-1.099458--0.010251))+0-0-0</f>
        <v>710.81079299999999</v>
      </c>
      <c r="M316" s="3">
        <f>0+(722.7-12)+(0+(-0.737154--0.01224))+0-0-0</f>
        <v>709.97508600000003</v>
      </c>
      <c r="N316" s="3">
        <f>0+(778.7-52.7)+(0+(-0.397137--0.026877))+0-0-0</f>
        <v>725.62973999999997</v>
      </c>
      <c r="O316" s="3">
        <f>0+(790.3-21.2)+(0+(1.209159-0.032436))+0-0-0</f>
        <v>770.27672299999995</v>
      </c>
      <c r="P316" s="3">
        <f>0+(832.2-20.4)+(0+(1.697688-0.041616))+0-0-0</f>
        <v>813.45607200000006</v>
      </c>
      <c r="Q316" s="3">
        <f>0+(889.5-59.9)+(0+(-0.453645--0.030549))+0-0-0</f>
        <v>829.17690400000004</v>
      </c>
      <c r="R316" s="3">
        <f>0+(899.6-75)+(0+(-1.835184--0.153))+0-0-0</f>
        <v>822.91781600000002</v>
      </c>
      <c r="S316" s="3">
        <f>0+(906-85.7)+(0+(-1.84824--0.174828))+0-0-0</f>
        <v>818.62658799999997</v>
      </c>
      <c r="T316" s="3">
        <f>0+(874.3-67)+(0+(0-0))+0-0-0</f>
        <v>807.3</v>
      </c>
      <c r="U316" s="3">
        <f>0+(869.2-73.8)+(0+(-2.659752--0.225828))+0-0-0</f>
        <v>792.96607600000004</v>
      </c>
      <c r="V316" s="3">
        <f>0+(920.3-96.6)+(0+(0-0))+0-0-0</f>
        <v>823.69999999999993</v>
      </c>
      <c r="W316" s="3">
        <f>0+(982.5-124.9)+(0+(0-0))+0-0-0</f>
        <v>857.6</v>
      </c>
      <c r="X316" s="3">
        <f>0+(1038.5-162.5)+(0+(-2.648175--0.414375))+0-0-0</f>
        <v>873.76620000000003</v>
      </c>
      <c r="Y316" s="3">
        <f>0+(1022.7-164.5)+(0+(-2.607885--0.419475))+0-0-0</f>
        <v>856.01159000000007</v>
      </c>
      <c r="Z316" s="3">
        <f>0+(994.7-150.3)+(0+(-1.014594--0.153306))+0-0-0</f>
        <v>843.53871200000015</v>
      </c>
      <c r="AA316" s="3">
        <f>0+(926-105.6)+(0+(-1.88904--0.215424))+0-0-0</f>
        <v>818.72638399999994</v>
      </c>
      <c r="AB316" s="3">
        <f>0+(889.6-85.6)+(0+(-0.453696--0.043656))+0-0-0</f>
        <v>803.58996000000002</v>
      </c>
      <c r="AC316" s="3">
        <f>0+(922.8-143.2)+(0+(-1.882512--0.292128))+0-0-0</f>
        <v>778.00961599999994</v>
      </c>
      <c r="AD316" s="2">
        <v>890.2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0+(831.2-94.8)+(0+(-0.423912--0.048348))+0-0-0</f>
        <v>736.02443600000004</v>
      </c>
      <c r="G317" s="3">
        <f>0+(806.5-85.4)+(0+(-0.411315--0.043554))+0-0-0</f>
        <v>720.73223900000005</v>
      </c>
      <c r="H317" s="3">
        <f>0+(757.6-58.2)+(0+(0-0))+0-0-0</f>
        <v>699.4</v>
      </c>
      <c r="I317" s="3">
        <f>0+(759-66.3)+(0+(-0.38709--0.033813))+0-0-0</f>
        <v>692.346723</v>
      </c>
      <c r="J317" s="3">
        <f>0+(746.2-64.5)+(0+(-1.141686--0.098685))+0-0-0</f>
        <v>680.65699900000004</v>
      </c>
      <c r="K317" s="3">
        <f>0+(767.5-67.6)+(0+(0.391425-0.034476))+0-0-0</f>
        <v>700.25694899999996</v>
      </c>
      <c r="L317" s="3">
        <f>0+(825.9-102.7)+(0+(-0.842418--0.104754))+0-0-0</f>
        <v>722.46233599999994</v>
      </c>
      <c r="M317" s="3">
        <f>0+(858.4-104)+(0+(-1.313352--0.15912))+0-0-0</f>
        <v>753.245768</v>
      </c>
      <c r="N317" s="3">
        <f>0+(877.2-73.5)+(0+(-0.894744--0.07497))+0-0-0</f>
        <v>802.88022599999999</v>
      </c>
      <c r="O317" s="3">
        <f>0+(964.9-116.5)+(0+(-0.492099--0.059415))+0-0-0</f>
        <v>847.96731599999998</v>
      </c>
      <c r="P317" s="3">
        <f>0+(950.3-79.3)+(0+(-1.453959--0.121329))+0-0-0</f>
        <v>869.66737000000001</v>
      </c>
      <c r="Q317" s="3">
        <f>0+(958.7-72.1)+(0+(0-0))+0-0-0</f>
        <v>886.6</v>
      </c>
      <c r="R317" s="3">
        <f>0+(923.5-65.6)+(0+(-1.88394--0.133824))+0-0-0</f>
        <v>856.14988399999993</v>
      </c>
      <c r="S317" s="3">
        <f>0+(930.9-86.6)+(0+(-1.899036--0.176664))+0-0-0</f>
        <v>842.577628</v>
      </c>
      <c r="T317" s="3">
        <f>0+(890.6-57.8)+(0+(0.454206-0.029478))+0-0-0</f>
        <v>833.22472800000003</v>
      </c>
      <c r="U317" s="3">
        <f>0+(873.6-41.8)+(0+(-1.782144--0.085272))+0-0-0</f>
        <v>830.10312800000008</v>
      </c>
      <c r="V317" s="3">
        <f>0+(888.4-57.5)+(0+(-0.453084--0.029325))+0-0-0</f>
        <v>830.47624099999996</v>
      </c>
      <c r="W317" s="3">
        <f>0+(922.4-20.2)+(0+(0.940848-0.020604))+0-0-0</f>
        <v>903.12024399999996</v>
      </c>
      <c r="X317" s="3">
        <f>0+(1000-89)+(0+(-0.51--0.04539))+0-0-0</f>
        <v>910.53539000000001</v>
      </c>
      <c r="Y317" s="3">
        <f>0+(1013.9-119.9)+(0+(-1.551267--0.183447))+0-0-0</f>
        <v>892.63217999999995</v>
      </c>
      <c r="Z317" s="3">
        <f>0+(1001.9-123.9)+(0+(0.510969-0.063189))+0-0-0</f>
        <v>878.44777999999997</v>
      </c>
      <c r="AA317" s="3">
        <f>0+(981-124.2)+(0+(-1.50093--0.190026))+0-0-0</f>
        <v>855.4890959999999</v>
      </c>
      <c r="AB317" s="3">
        <f>0+(1000.9-150.8)+(0+(-2.552295--0.38454))+0-0-0</f>
        <v>847.93224499999985</v>
      </c>
      <c r="AC317" s="3">
        <f>0+(925-107.8)+(0+(-0.9435--0.109956))+0-0-0</f>
        <v>816.36645600000008</v>
      </c>
      <c r="AD317" s="2">
        <v>893.09999999999991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0+(840.9-66.2)+(0+(-1.715436--0.135048))+0-0-0</f>
        <v>773.11961199999996</v>
      </c>
      <c r="G318" s="3">
        <f>0+(817.9-78.6)+(0+(-0.834258--0.080172))+0-0-0</f>
        <v>738.54591399999993</v>
      </c>
      <c r="H318" s="3">
        <f>0+(770.6-54.4)+(0+(0-0))+0-0-0</f>
        <v>716.2</v>
      </c>
      <c r="I318" s="3">
        <f>0+(772.6-59.8)+(0+(-0.394026--0.030498))+0-0-0</f>
        <v>712.43647200000009</v>
      </c>
      <c r="J318" s="3">
        <f>0+(788.8-81.8)+(0+(0-0))+0-0-0</f>
        <v>707</v>
      </c>
      <c r="K318" s="3">
        <f>0+(781.3-80.8)+(0+(0.398463-0.041208))+0-0-0</f>
        <v>700.85725500000001</v>
      </c>
      <c r="L318" s="3">
        <f>0+(830.6-104.8)+(0+(-0.847212--0.106896))+0-0-0</f>
        <v>725.05968400000006</v>
      </c>
      <c r="M318" s="3">
        <f>0+(835.1-90.1)+(0+(1.277703-0.137853))+0-0-0</f>
        <v>746.13985000000002</v>
      </c>
      <c r="N318" s="3">
        <f>0+(900.2-106.2)+(0+(0-0))+0-0-0</f>
        <v>794</v>
      </c>
      <c r="O318" s="3">
        <f>0+(944.4-108)+(0+(0.481644-0.05508))+0-0-0</f>
        <v>836.82656399999996</v>
      </c>
      <c r="P318" s="3">
        <f>0+(961.6-99.8)+(0+(0-0))+0-0-0</f>
        <v>861.80000000000007</v>
      </c>
      <c r="Q318" s="3">
        <f>0+(966.5-107.4)+(0+(-0.98583--0.109548))+0-0-0</f>
        <v>858.22371800000008</v>
      </c>
      <c r="R318" s="3">
        <f>0+(974.6-123.8)+(0+(-1.988184--0.252552))+0-0-0</f>
        <v>849.06436800000006</v>
      </c>
      <c r="S318" s="3">
        <f>0+(918.7-118.7)+(0+(0.937074-0.121074))+0-0-0</f>
        <v>800.81600000000003</v>
      </c>
      <c r="T318" s="3">
        <f>0+(892.3-88.8)+(0+(-0.910146--0.090576))+0-0-0</f>
        <v>802.68043</v>
      </c>
      <c r="U318" s="3">
        <f>0+(920.1-82.5)+(0+(1.877004-0.1683))+0-0-0</f>
        <v>839.30870400000003</v>
      </c>
      <c r="V318" s="3">
        <f>0+(936-80.8)+(0+(0-0))+0-0-0</f>
        <v>855.2</v>
      </c>
      <c r="W318" s="3">
        <f>0+(982.9-94.1)+(0+(-0.501279--0.047991))+0-0-0</f>
        <v>888.34671199999991</v>
      </c>
      <c r="X318" s="3">
        <f>0+(1082.3-161.7)+(0+(-1.103946--0.164934))+0-0-0</f>
        <v>919.66098799999986</v>
      </c>
      <c r="Y318" s="3">
        <f>0+(1063.6-159.7)+(0+(-3.254616--0.488682))+0-0-0</f>
        <v>901.13406599999985</v>
      </c>
      <c r="Z318" s="3">
        <f>0+(1078.1-184.5)+(0+(1.099662-0.18819))+0-0-0</f>
        <v>894.51147199999991</v>
      </c>
      <c r="AA318" s="3">
        <f>0+(1033.9-159.4)+(0+(-2.636445--0.40647))+0-0-0</f>
        <v>872.27002500000015</v>
      </c>
      <c r="AB318" s="3">
        <f>0+(1045.8-175.5)+(0+(-2.133432--0.35802))+0-0-0</f>
        <v>868.52458799999999</v>
      </c>
      <c r="AC318" s="3">
        <f>0+(954.5-145.7)+(0+(-1.94718--0.297228))+0-0-0</f>
        <v>807.15004799999997</v>
      </c>
      <c r="AD318" s="2">
        <v>922.59999999999991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0+(953.2-131.4)+(0+(-1.458396--0.201042))+0-0-0</f>
        <v>820.5426460000001</v>
      </c>
      <c r="G319" s="3">
        <f>0+(874.1-109.1)+(0+(-2.228955--0.278205))+0-0-0</f>
        <v>763.04925000000003</v>
      </c>
      <c r="H319" s="3">
        <f>0+(835-85)+(0+(0.8517-0.0867))+0-0-0</f>
        <v>750.76499999999999</v>
      </c>
      <c r="I319" s="3">
        <f>0+(800.9-72.4)+(0+(-0.408459--0.036924))+0-0-0</f>
        <v>728.12846500000001</v>
      </c>
      <c r="J319" s="3">
        <f>0+(786.6-71.4)+(0+(-0.401166--0.036414))+0-0-0</f>
        <v>714.83524800000009</v>
      </c>
      <c r="K319" s="3">
        <f>0+(787.7-70.1)+(0+(0.803454-0.071502))+0-0-0</f>
        <v>718.331952</v>
      </c>
      <c r="L319" s="3">
        <f>0+(786.6-99)+(0+(-0.802332--0.10098))+0-0-0</f>
        <v>686.89864799999998</v>
      </c>
      <c r="M319" s="3">
        <f>0+(775.7-126.2)+(0+(0-0))+0-0-0</f>
        <v>649.5</v>
      </c>
      <c r="N319" s="3">
        <f>0+(794.8-145.3)+(0+(0.405348-0.074103))+0-0-0</f>
        <v>649.83124499999997</v>
      </c>
      <c r="O319" s="3">
        <f>0+(816.5-131.1)+(0+(0.416415-0.066861))+0-0-0</f>
        <v>685.74955399999999</v>
      </c>
      <c r="P319" s="3">
        <f>0+(898.6-179.7)+(0+(-1.374858--0.274941))+0-0-0</f>
        <v>717.80008300000009</v>
      </c>
      <c r="Q319" s="3">
        <f>0+(955.2-228.6)+(0+(-1.948608--0.466344))+0-0-0</f>
        <v>725.11773600000004</v>
      </c>
      <c r="R319" s="3">
        <f>0+(955.7-243.4)+(0+(-0.487407--0.124134))+0-0-0</f>
        <v>711.93672700000002</v>
      </c>
      <c r="S319" s="3">
        <f>0+(923.4-222.2)+(0+(-1.883736--0.453288))+0-0-0</f>
        <v>699.76955200000009</v>
      </c>
      <c r="T319" s="3">
        <f>0+(902.1-209)+(0+(-1.380213--0.31977))+0-0-0</f>
        <v>692.03955700000006</v>
      </c>
      <c r="U319" s="3">
        <f>0+(882.4-196.5)+(0+(1.350072-0.300645))+0-0-0</f>
        <v>686.94942700000001</v>
      </c>
      <c r="V319" s="3">
        <f>0+(902.9-218.8)+(0+(-0.920958--0.223176))+0-0-0</f>
        <v>683.40221799999995</v>
      </c>
      <c r="W319" s="3">
        <f>0+(839.9-123.4)+(0+(-2.141745--0.31467))+0-0-0</f>
        <v>714.67292499999996</v>
      </c>
      <c r="X319" s="3">
        <f>0+(935.9-147.2)+(0+(-1.431927--0.225216))+0-0-0</f>
        <v>787.493289</v>
      </c>
      <c r="Y319" s="3">
        <f>0+(951-154.3)+(0+(-0.48501--0.078693))+0-0-0</f>
        <v>796.2936830000001</v>
      </c>
      <c r="Z319" s="3">
        <f>0+(944.6-146.9)+(0+(-0.481746--0.074919))+0-0-0</f>
        <v>797.29317300000002</v>
      </c>
      <c r="AA319" s="3">
        <f>0+(920.7-132.1)+(0+(0.469557-0.067371))+0-0-0</f>
        <v>789.00218600000005</v>
      </c>
      <c r="AB319" s="3">
        <f>0+(902.1-131.6)+(0+(-1.380213--0.201348))+0-0-0</f>
        <v>769.32113500000003</v>
      </c>
      <c r="AC319" s="3">
        <f>0+(856.1-101.9)+(0+(-1.746444--0.207876))+0-0-0</f>
        <v>752.66143199999999</v>
      </c>
      <c r="AD319" s="2">
        <v>804.59999999999991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0+(727.5-52.8)+(0+(-1.4841--0.107712))+0-0-0</f>
        <v>673.32361200000003</v>
      </c>
      <c r="G320" s="3">
        <f>0+(656.4-5.1)+(0+(-0.334764--0.002601))+0-0-0</f>
        <v>650.96783699999992</v>
      </c>
      <c r="H320" s="3">
        <f>0+(642.3-3.3)+(0+(-1.310292--0.006732))+0-0-0</f>
        <v>637.69644000000005</v>
      </c>
      <c r="I320" s="3">
        <f>0+(646.8-17.3)+(0+(-0.329868--0.008823))+0-0-0</f>
        <v>629.17895499999997</v>
      </c>
      <c r="J320" s="3">
        <f>0+(657.9-25.9)+(0+(1.677645-0.066045))+0-0-0</f>
        <v>633.61159999999995</v>
      </c>
      <c r="K320" s="3">
        <f>0+(650.7-0)+(0+(0.995571-0))+0-0-0</f>
        <v>651.69557100000009</v>
      </c>
      <c r="L320" s="3">
        <f>0+(719.6-8.4)+(0+(1.100988-0.012852))+0-0-0</f>
        <v>712.28813600000001</v>
      </c>
      <c r="M320" s="3">
        <f>0+(792.5-25.2)+(0+(-1.212525--0.038556))+0-0-0</f>
        <v>766.1260309999999</v>
      </c>
      <c r="N320" s="3">
        <f>0+(886.2-35)+(0+(0.903924-0.0357))+0-0-0</f>
        <v>852.0682240000001</v>
      </c>
      <c r="O320" s="3">
        <f>0+(985.8-92.7)+(0+(0-0))+0-0-0</f>
        <v>893.09999999999991</v>
      </c>
      <c r="P320" s="3">
        <f>0+(1049.5-148.7)+(0+(1.07049-0.151674))+0-0-0</f>
        <v>901.71881599999995</v>
      </c>
      <c r="Q320" s="3">
        <f>0+(1083.6-177.2)+(0+(-1.105272--0.180744))+0-0-0</f>
        <v>905.47547199999985</v>
      </c>
      <c r="R320" s="3">
        <f>0+(1077.8-169.5)+(0+(-2.74839--0.432225))+0-0-0</f>
        <v>905.983835</v>
      </c>
      <c r="S320" s="3">
        <f>0+(1029.4-156.3)+(0+(-0.524994--0.079713))+0-0-0</f>
        <v>872.65471900000011</v>
      </c>
      <c r="T320" s="3">
        <f>0+(1007.4-136.2)+(0+(-2.56887--0.34731))+0-0-0</f>
        <v>868.97844000000009</v>
      </c>
      <c r="U320" s="3">
        <f>0+(1071.7-190.6)+(0+(-1.093134--0.194412))+0-0-0</f>
        <v>880.201278</v>
      </c>
      <c r="V320" s="3">
        <f>0+(1090.5-201.7)+(0+(0.556155-0.102867))+0-0-0</f>
        <v>889.253288</v>
      </c>
      <c r="W320" s="3">
        <f>0+(1085.8-180.6)+(0+(0-0))+0-0-0</f>
        <v>905.19999999999993</v>
      </c>
      <c r="X320" s="3">
        <f>0+(1157.9-207.6)+(0+(-0.590529--0.105876))+0-0-0</f>
        <v>949.81534700000009</v>
      </c>
      <c r="Y320" s="3">
        <f>0+(1133.5-198.9)+(0+(-3.46851--0.608634))+0-0-0</f>
        <v>931.74012400000004</v>
      </c>
      <c r="Z320" s="3">
        <f>0+(1113.9-213.7)+(0+(-2.272356--0.435948))+0-0-0</f>
        <v>898.36359200000004</v>
      </c>
      <c r="AA320" s="3">
        <f>0+(1121.5-241.8)+(0+(-0.571965--0.123318))+0-0-0</f>
        <v>879.25135299999999</v>
      </c>
      <c r="AB320" s="3">
        <f>0+(1069-204.7)+(0+(-2.18076--0.417588))+0-0-0</f>
        <v>862.5368279999999</v>
      </c>
      <c r="AC320" s="3">
        <f>0+(953.9-131.2)+(0+(-1.459467--0.200736))+0-0-0</f>
        <v>821.44126900000003</v>
      </c>
      <c r="AD320" s="2">
        <v>929.6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0+(809.2-32.8)+(0+(-1.650768--0.066912))+0-0-0</f>
        <v>774.81614400000012</v>
      </c>
      <c r="G321" s="3">
        <f>0+(766.8-27.6)+(0+(-1.173204--0.042228))+0-0-0</f>
        <v>738.0690239999999</v>
      </c>
      <c r="H321" s="3">
        <f>0+(757.2-38.3)+(0+(0-0))+0-0-0</f>
        <v>718.90000000000009</v>
      </c>
      <c r="I321" s="3">
        <f>0+(765.2-41.3)+(0+(-0.390252--0.021063))+0-0-0</f>
        <v>723.53081100000009</v>
      </c>
      <c r="J321" s="3">
        <f>0+(759.3-38.1)+(0+(0.387243-0.019431))+0-0-0</f>
        <v>721.56781199999989</v>
      </c>
      <c r="K321" s="3">
        <f>0+(748.4-37.4)+(0+(0.763368-0.038148))+0-0-0</f>
        <v>711.72522000000004</v>
      </c>
      <c r="L321" s="3">
        <f>0+(784.9-50.4)+(0+(0.800598-0.051408))+0-0-0</f>
        <v>735.24919</v>
      </c>
      <c r="M321" s="3">
        <f>0+(850.5-86.5)+(0+(0.433755-0.044115))+0-0-0</f>
        <v>764.38963999999999</v>
      </c>
      <c r="N321" s="3">
        <f>0+(846.5-41.8)+(0+(-1.72686--0.085272))+0-0-0</f>
        <v>803.05841200000009</v>
      </c>
      <c r="O321" s="3">
        <f>0+(863.6-23.3)+(0+(1.321308-0.035649))+0-0-0</f>
        <v>841.58565900000008</v>
      </c>
      <c r="P321" s="3">
        <f>0+(928.8-45.6)+(0+(-0.947376--0.046512))+0-0-0</f>
        <v>882.29913599999998</v>
      </c>
      <c r="Q321" s="3">
        <f>0+(951.9-80.7)+(0+(-1.941876--0.164628))+0-0-0</f>
        <v>869.42275199999995</v>
      </c>
      <c r="R321" s="3">
        <f>0+(971-95.8)+(0+(-2.47605--0.24429))+0-0-0</f>
        <v>872.96824000000004</v>
      </c>
      <c r="S321" s="3">
        <f>0+(951.9-107.1)+(0+(0.485469-0.054621))+0-0-0</f>
        <v>845.23084799999992</v>
      </c>
      <c r="T321" s="3">
        <f>0+(937.7-91.2)+(0+(-0.956454--0.093024))+0-0-0</f>
        <v>845.63657000000001</v>
      </c>
      <c r="U321" s="3">
        <f>0+(936.5-97.8)+(0+(-0.477615--0.049878))+0-0-0</f>
        <v>838.27226300000007</v>
      </c>
      <c r="V321" s="3">
        <f>0+(963.2-111)+(0+(0-0))+0-0-0</f>
        <v>852.2</v>
      </c>
      <c r="W321" s="3">
        <f>0+(1009-124.3)+(0+(0-0))+0-0-0</f>
        <v>884.7</v>
      </c>
      <c r="X321" s="3">
        <f>0+(1166.8-228.4)+(0+(0.595068-0.116484))+0-0-0</f>
        <v>938.87858399999993</v>
      </c>
      <c r="Y321" s="3">
        <f>0+(1171.4-247.2)+(0+(-1.792242--0.378216))+0-0-0</f>
        <v>922.78597400000001</v>
      </c>
      <c r="Z321" s="3">
        <f>0+(1135.7-229.4)+(0+(-1.158414--0.233988))+0-0-0</f>
        <v>905.37557400000003</v>
      </c>
      <c r="AA321" s="3">
        <f>0+(1114.9-229.4)+(0+(-1.705797--0.350982))+0-0-0</f>
        <v>884.14518500000008</v>
      </c>
      <c r="AB321" s="3">
        <f>0+(1106.4-231.4)+(0+(-1.128528--0.236028))+0-0-0</f>
        <v>874.10750000000007</v>
      </c>
      <c r="AC321" s="3">
        <f>0+(1027.9-178)+(0+(-2.621145--0.4539))+0-0-0</f>
        <v>847.73275500000011</v>
      </c>
      <c r="AD321" s="2">
        <v>920.2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0+(955-149.9)+(0+(-0.48705--0.076449))+0-0-0</f>
        <v>804.68939899999998</v>
      </c>
      <c r="G322" s="3">
        <f>0+(933.2-156.6)+(0+(0-0))+0-0-0</f>
        <v>776.6</v>
      </c>
      <c r="H322" s="3">
        <f>0+(884.6-133.6)+(0+(0-0))+0-0-0</f>
        <v>751</v>
      </c>
      <c r="I322" s="3">
        <f>0+(865.3-111.6)+(0+(0-0))+0-0-0</f>
        <v>753.69999999999993</v>
      </c>
      <c r="J322" s="3">
        <f>0+(861.4-112.5)+(0+(1.757256-0.2295))+0-0-0</f>
        <v>750.42775599999993</v>
      </c>
      <c r="K322" s="3">
        <f>0+(878.6-125.8)+(0+(1.344258-0.192474))+0-0-0</f>
        <v>753.95178400000009</v>
      </c>
      <c r="L322" s="3">
        <f>0+(866.9-89.4)+(0+(0.884238-0.091188))+0-0-0</f>
        <v>778.29304999999999</v>
      </c>
      <c r="M322" s="3">
        <f>0+(901.1-90.1)+(0+(-0.919122--0.091902))+0-0-0</f>
        <v>810.17277999999999</v>
      </c>
      <c r="N322" s="3">
        <f>0+(910.3-60.5)+(0+(-1.392759--0.092565))+0-0-0</f>
        <v>848.49980599999992</v>
      </c>
      <c r="O322" s="3">
        <f>0+(975.9-87.2)+(0+(0.497709-0.044472))+0-0-0</f>
        <v>889.15323699999988</v>
      </c>
      <c r="P322" s="3">
        <f>0+(1064.4-147.5)+(0+(0-0))+0-0-0</f>
        <v>916.90000000000009</v>
      </c>
      <c r="Q322" s="3">
        <f>0+(1156.4-232.7)+(0+(0.589764-0.118677))+0-0-0</f>
        <v>924.17108700000006</v>
      </c>
      <c r="R322" s="3">
        <f>0+(1113.6-214.4)+(0+(-2.83968--0.54672))+0-0-0</f>
        <v>896.90703999999994</v>
      </c>
      <c r="S322" s="3">
        <f>0+(1071-194.9)+(0+(0-0))+0-0-0</f>
        <v>876.1</v>
      </c>
      <c r="T322" s="3">
        <f>0+(1017.9-159.5)+(0+(-0.519129--0.081345))+0-0-0</f>
        <v>857.96221600000001</v>
      </c>
      <c r="U322" s="3">
        <f>0+(973.8-119.3)+(0+(-2.48319--0.304215))+0-0-0</f>
        <v>852.32102499999996</v>
      </c>
      <c r="V322" s="3">
        <f>0+(980.3-122.4)+(0+(-1.499859--0.187272))+0-0-0</f>
        <v>856.58741299999997</v>
      </c>
      <c r="W322" s="3">
        <f>0+(1022.6-143.7)+(0+(-0.521526--0.073287))+0-0-0</f>
        <v>878.45176100000015</v>
      </c>
      <c r="X322" s="3">
        <f>0+(1226.1-264.6)+(0+(-1.875933--0.404838))+0-0-0</f>
        <v>960.0289049999999</v>
      </c>
      <c r="Y322" s="3">
        <f>0+(1230.8-277.9)+(0+(-3.766248--0.850374))+0-0-0</f>
        <v>949.98412599999995</v>
      </c>
      <c r="Z322" s="3">
        <f>0+(1211.4-278.8)+(0+(-1.853442--0.426564))+0-0-0</f>
        <v>931.17312200000015</v>
      </c>
      <c r="AA322" s="3">
        <f>0+(1174.9-261.3)+(0+(-2.396796--0.533052))+0-0-0</f>
        <v>911.73625600000014</v>
      </c>
      <c r="AB322" s="3">
        <f>0+(1106.6-215.8)+(0+(-2.82183--0.55029))+0-0-0</f>
        <v>888.52846</v>
      </c>
      <c r="AC322" s="3">
        <f>0+(984-139.1)+(0+(-1.00368--0.141882))+0-0-0</f>
        <v>844.03820199999996</v>
      </c>
      <c r="AD322" s="2">
        <v>955.69999999999993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0+(928.6-134.7)+(0+(-1.894344--0.274788))+0-0-0</f>
        <v>792.2804440000001</v>
      </c>
      <c r="G323" s="3">
        <f>0+(945.2-171.3)+(0+(-0.482052--0.087363))+0-0-0</f>
        <v>773.50531100000012</v>
      </c>
      <c r="H323" s="3">
        <f>0+(862-112.2)+(0+(0-0))+0-0-0</f>
        <v>749.8</v>
      </c>
      <c r="I323" s="3">
        <f>0+(842.3-95.9)+(0+(0-0))+0-0-0</f>
        <v>746.4</v>
      </c>
      <c r="J323" s="3">
        <f>0+(832.9-93.4)+(0+(1.274337-0.142902))+0-0-0</f>
        <v>740.63143500000001</v>
      </c>
      <c r="K323" s="3">
        <f>0+(832.6-93.2)+(0+(-1.273878--0.142596))+0-0-0</f>
        <v>738.26871799999992</v>
      </c>
      <c r="L323" s="3">
        <f>0+(856.8-87.4)+(0+(0-0))+0-0-0</f>
        <v>769.4</v>
      </c>
      <c r="M323" s="3">
        <f>0+(888.7-94.5)+(0+(0-0))+0-0-0</f>
        <v>794.2</v>
      </c>
      <c r="N323" s="3">
        <f>0+(1029.7-167.6)+(0+(0-0))+0-0-0</f>
        <v>862.1</v>
      </c>
      <c r="O323" s="3">
        <f>0+(1087.9-225.6)+(0+(0-0))+0-0-0</f>
        <v>862.30000000000007</v>
      </c>
      <c r="P323" s="3">
        <f>0+(1157-275.4)+(0+(-1.77021--0.421362))+0-0-0</f>
        <v>880.25115200000005</v>
      </c>
      <c r="Q323" s="3">
        <f>0+(1182.4-290.9)+(0+(-1.206048--0.296718))+0-0-0</f>
        <v>890.59067000000016</v>
      </c>
      <c r="R323" s="3">
        <f>0+(1161.7-283.8)+(0+(-1.777401--0.434214))+0-0-0</f>
        <v>876.55681300000015</v>
      </c>
      <c r="S323" s="3">
        <f>0+(1070.1-207.3)+(0+(-1.637253--0.317169))+0-0-0</f>
        <v>861.479916</v>
      </c>
      <c r="T323" s="3">
        <f>0+(1014-142.7)+(0+(-0.51714--0.072777))+0-0-0</f>
        <v>870.855637</v>
      </c>
      <c r="U323" s="3">
        <f>0+(1059-179.3)+(0+(-1.08018--0.182886))+0-0-0</f>
        <v>878.80270600000006</v>
      </c>
      <c r="V323" s="3">
        <f>0+(1035.2-166.9)+(0+(-1.583856--0.255357))+0-0-0</f>
        <v>866.9715010000001</v>
      </c>
      <c r="W323" s="3">
        <f>0+(1087-200.4)+(0+(0-0))+0-0-0</f>
        <v>886.6</v>
      </c>
      <c r="X323" s="3">
        <f>0+(1257.9-303.3)+(0+(0-0))+0-0-0</f>
        <v>954.60000000000014</v>
      </c>
      <c r="Y323" s="3">
        <f>0+(1249.5-309.9)+(0+(-3.82347--0.948294))+0-0-0</f>
        <v>936.72482400000001</v>
      </c>
      <c r="Z323" s="3">
        <f>0+(1215.4-285.4)+(0+(0-0))+0-0-0</f>
        <v>930.00000000000011</v>
      </c>
      <c r="AA323" s="3">
        <f>0+(1202.3-297.2)+(0+(-0.613173--0.151572))+0-0-0</f>
        <v>904.63839899999994</v>
      </c>
      <c r="AB323" s="3">
        <f>0+(1185.7-292.7)+(0+(-1.209414--0.298554))+0-0-0</f>
        <v>892.08914000000004</v>
      </c>
      <c r="AC323" s="3">
        <f>0+(1051.4-206.7)+(0+(-1.608642--0.316251))+0-0-0</f>
        <v>843.40760900000009</v>
      </c>
      <c r="AD323" s="2">
        <v>933.59999999999991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0+(955.9-157.3)+(0+(-2.437545--0.401115))+0-0-0</f>
        <v>796.56356999999991</v>
      </c>
      <c r="G324" s="3">
        <f>0+(863.3-97.9)+(0+(-1.761132--0.199716))+0-0-0</f>
        <v>763.83858399999997</v>
      </c>
      <c r="H324" s="3">
        <f>0+(807.5-49.9)+(0+(-0.411825--0.025449))+0-0-0</f>
        <v>757.21362399999998</v>
      </c>
      <c r="I324" s="3">
        <f>0+(788.8-34)+(0+(0-0))+0-0-0</f>
        <v>754.8</v>
      </c>
      <c r="J324" s="3">
        <f>0+(778.8-28.9)+(0+(0-0))+0-0-0</f>
        <v>749.9</v>
      </c>
      <c r="K324" s="3">
        <f>0+(774.7-28.9)+(0+(1.185291-0.044217))+0-0-0</f>
        <v>746.94107400000007</v>
      </c>
      <c r="L324" s="3">
        <f>0+(841.3-62.5)+(0+(0-0))+0-0-0</f>
        <v>778.8</v>
      </c>
      <c r="M324" s="3">
        <f>0+(867-65.4)+(0+(1.76868-0.133416))+0-0-0</f>
        <v>803.23526400000003</v>
      </c>
      <c r="N324" s="3">
        <f>0+(950.5-106.1)+(0+(0-0))+0-0-0</f>
        <v>844.4</v>
      </c>
      <c r="O324" s="3">
        <f>0+(1039.6-150.4)+(0+(0-0))+0-0-0</f>
        <v>889.19999999999993</v>
      </c>
      <c r="P324" s="3">
        <f>0+(1080.5-180.3)+(0+(-1.10211--0.183906))+0-0-0</f>
        <v>899.2817960000001</v>
      </c>
      <c r="Q324" s="3">
        <f>0+(1112.7-203.9)+(0+(-1.134954--0.207978))+0-0-0</f>
        <v>907.8730240000001</v>
      </c>
      <c r="R324" s="3">
        <f>0+(1112-219.5)+(0+(-3.40272--0.67167))+0-0-0</f>
        <v>889.76895000000002</v>
      </c>
      <c r="S324" s="3">
        <f>0+(1107.3-232.8)+(0+(-1.694169--0.356184))+0-0-0</f>
        <v>873.162015</v>
      </c>
      <c r="T324" s="3">
        <f>0+(1036-166.7)+(0+(-2.6418--0.425085))+0-0-0</f>
        <v>867.08328499999993</v>
      </c>
      <c r="U324" s="3">
        <f>0+(1065.2-189.7)+(0+(-0.543252--0.096747))+0-0-0</f>
        <v>875.053495</v>
      </c>
      <c r="V324" s="3">
        <f>0+(1060.5-197.3)+(0+(-0.540855--0.100623))+0-0-0</f>
        <v>862.75976800000001</v>
      </c>
      <c r="W324" s="3">
        <f>0+(1106.7-203.5)+(0+(-1.693251--0.311355))+0-0-0</f>
        <v>901.81810400000006</v>
      </c>
      <c r="X324" s="3">
        <f>0+(1237.1-316.3)+(0+(-2.523684--0.645252))+0-0-0</f>
        <v>918.92156799999998</v>
      </c>
      <c r="Y324" s="3">
        <f>0+(1212.9-325)+(0+(-1.855737--0.49725))+0-0-0</f>
        <v>886.54151300000012</v>
      </c>
      <c r="Z324" s="3">
        <f>0+(1184.4-276.5)+(0+(-1.208088--0.28203))+0-0-0</f>
        <v>906.97394200000008</v>
      </c>
      <c r="AA324" s="3">
        <f>0+(1164-277.1)+(0+(-1.18728--0.282642))+0-0-0</f>
        <v>885.995362</v>
      </c>
      <c r="AB324" s="3">
        <f>0+(1130.2-256)+(0+(-1.729206--0.39168))+0-0-0</f>
        <v>872.86247400000002</v>
      </c>
      <c r="AC324" s="3">
        <f>0+(1002.4-175.8)+(0+(-2.044896--0.358632))+0-0-0</f>
        <v>824.91373599999986</v>
      </c>
      <c r="AD324" s="2">
        <v>916.19999999999993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0+(885.4-106.5)+(0+(-1.354662--0.162945))+0-0-0</f>
        <v>777.70828299999994</v>
      </c>
      <c r="G325" s="3">
        <f>0+(820.4-67.2)+(0+(-2.09202--0.17136))+0-0-0</f>
        <v>751.27933999999993</v>
      </c>
      <c r="H325" s="3">
        <f>0+(759.3-20.9)+(0+(-1.161729--0.031977))+0-0-0</f>
        <v>737.27024799999992</v>
      </c>
      <c r="I325" s="3">
        <f>0+(746-9.6)+(0+(-1.14138--0.014688))+0-0-0</f>
        <v>735.27330799999993</v>
      </c>
      <c r="J325" s="3">
        <f>0+(727-7.9)+(0+(-0.37077--0.004029))+0-0-0</f>
        <v>718.73325899999998</v>
      </c>
      <c r="K325" s="3">
        <f>0+(736.2-8.9)+(0+(0.750924-0.009078))+0-0-0</f>
        <v>728.04184600000008</v>
      </c>
      <c r="L325" s="3">
        <f>0+(767.7-20.2)+(0+(-1.174581--0.030906))+0-0-0</f>
        <v>746.35632499999997</v>
      </c>
      <c r="M325" s="3">
        <f>0+(763.7-1.5)+(0+(-0.389487--0.000765))+0-0-0</f>
        <v>761.81127800000002</v>
      </c>
      <c r="N325" s="3">
        <f>0+(865.8-30.6)+(0+(0-0))+0-0-0</f>
        <v>835.19999999999993</v>
      </c>
      <c r="O325" s="3">
        <f>0+(976.5-102.3)+(0+(0.99603-0.104346))+0-0-0</f>
        <v>875.0916840000001</v>
      </c>
      <c r="P325" s="3">
        <f>0+(1086.4-180.1)+(0+(0.554064-0.091851))+0-0-0</f>
        <v>906.76221300000009</v>
      </c>
      <c r="Q325" s="3">
        <f>0+(1137.4-216.9)+(0+(-1.160148--0.221238))+0-0-0</f>
        <v>919.56109000000015</v>
      </c>
      <c r="R325" s="3">
        <f>0+(1104.2-201.2)+(0+(-3.378852--0.615672))+0-0-0</f>
        <v>900.23681999999997</v>
      </c>
      <c r="S325" s="3">
        <f>0+(1043.4-183.6)+(0+(-2.128536--0.374544))+0-0-0</f>
        <v>858.04600800000003</v>
      </c>
      <c r="T325" s="3">
        <f>0+(1009.6-154.5)+(0+(0-0))+0-0-0</f>
        <v>855.1</v>
      </c>
      <c r="U325" s="3">
        <f>0+(981.3-142.9)+(0+(-1.501389--0.218637))+0-0-0</f>
        <v>837.11724800000002</v>
      </c>
      <c r="V325" s="3">
        <f>0+(993.3-163.1)+(0+(-1.013166--0.166362))+0-0-0</f>
        <v>829.35319599999991</v>
      </c>
      <c r="W325" s="3">
        <f>0+(1031.2-182.9)+(0+(1.577736-0.279837))+0-0-0</f>
        <v>849.5978990000001</v>
      </c>
      <c r="X325" s="3">
        <f>0+(1135.3-216)+(0+(-1.158006--0.22032))+0-0-0</f>
        <v>918.36231399999997</v>
      </c>
      <c r="Y325" s="3">
        <f>0+(1147.3-240)+(0+(-1.170246--0.2448))+0-0-0</f>
        <v>906.37455399999999</v>
      </c>
      <c r="Z325" s="3">
        <f>0+(1108.8-211.5)+(0+(-1.696464--0.323595))+0-0-0</f>
        <v>895.92713099999992</v>
      </c>
      <c r="AA325" s="3">
        <f>0+(1056.6-184.4)+(0+(-1.616598--0.282132))+0-0-0</f>
        <v>870.86553399999991</v>
      </c>
      <c r="AB325" s="3">
        <f>0+(1047.7-199.5)+(0+(0.534327-0.101745))+0-0-0</f>
        <v>848.63258200000007</v>
      </c>
      <c r="AC325" s="3">
        <f>0+(1053.7-227.3)+(0+(-1.074774--0.231846))+0-0-0</f>
        <v>825.55707200000006</v>
      </c>
      <c r="AD325" s="2">
        <v>927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0+(978.7-196.1)+(0+(-0.499137--0.100011))+0-0-0</f>
        <v>782.200874</v>
      </c>
      <c r="G326" s="3">
        <f>0+(844.6-102.4)+(0+(-0.430746--0.052224))+0-0-0</f>
        <v>741.82147800000007</v>
      </c>
      <c r="H326" s="3">
        <f>0+(783.2-52.1)+(0+(-0.399432--0.026571))+0-0-0</f>
        <v>730.72713900000008</v>
      </c>
      <c r="I326" s="3">
        <f>0+(765.4-45.5)+(0+(0.390354-0.023205))+0-0-0</f>
        <v>720.26714900000002</v>
      </c>
      <c r="J326" s="3">
        <f>0+(738.1-30.1)+(0+(-1.129293--0.046053))+0-0-0</f>
        <v>706.91675999999995</v>
      </c>
      <c r="K326" s="3">
        <f>0+(702.3-13)+(0+(0-0))+0-0-0</f>
        <v>689.3</v>
      </c>
      <c r="L326" s="3">
        <f>0+(730-40)+(0+(-2.2338--0.1224))+0-0-0</f>
        <v>687.8886</v>
      </c>
      <c r="M326" s="3">
        <f>0+(717.8-53.8)+(0+(-0.732156--0.054876))+0-0-0</f>
        <v>663.32272</v>
      </c>
      <c r="N326" s="3">
        <f>0+(731.5-42.2)+(0+(0.74613-0.043044))+0-0-0</f>
        <v>690.00308599999994</v>
      </c>
      <c r="O326" s="3">
        <f>0+(732.5-7.8)+(0+(1.867875-0.01989))+0-0-0</f>
        <v>726.54798500000004</v>
      </c>
      <c r="P326" s="3">
        <f>0+(796.6-38.5)+(0+(0.812532-0.03927))+0-0-0</f>
        <v>758.87326200000007</v>
      </c>
      <c r="Q326" s="3">
        <f>0+(826.5-63.8)+(0+(-1.68606--0.130152))+0-0-0</f>
        <v>761.144092</v>
      </c>
      <c r="R326" s="3">
        <f>0+(817.5-66.4)+(0+(0-0))+0-0-0</f>
        <v>751.1</v>
      </c>
      <c r="S326" s="3">
        <f>0+(784.5-54)+(0+(-0.80019--0.05508))+0-0-0</f>
        <v>729.75489000000005</v>
      </c>
      <c r="T326" s="3">
        <f>0+(748.9-32.3)+(0+(1.145817-0.049419))+0-0-0</f>
        <v>717.69639800000004</v>
      </c>
      <c r="U326" s="3">
        <f>0+(738.6-32.4)+(0+(-0.753372--0.033048))+0-0-0</f>
        <v>705.47967600000004</v>
      </c>
      <c r="V326" s="3">
        <f>0+(732.2-30.2)+(0+(0.373422-0.015402))+0-0-0</f>
        <v>702.35802000000001</v>
      </c>
      <c r="W326" s="3">
        <f>0+(813.2-82.9)+(0+(-0.829464--0.084558))+0-0-0</f>
        <v>729.55509400000005</v>
      </c>
      <c r="X326" s="3">
        <f>0+(956.6-132.3)+(0+(0.975732-0.134946))+0-0-0</f>
        <v>825.14078599999993</v>
      </c>
      <c r="Y326" s="3">
        <f>0+(983.6-160)+(0+(-1.504908--0.2448))+0-0-0</f>
        <v>822.33989200000008</v>
      </c>
      <c r="Z326" s="3">
        <f>0+(950.2-140.5)+(0+(-1.453806--0.214965))+0-0-0</f>
        <v>808.46115900000007</v>
      </c>
      <c r="AA326" s="3">
        <f>0+(942.4-151.4)+(0+(-2.40312--0.38607))+0-0-0</f>
        <v>788.98294999999996</v>
      </c>
      <c r="AB326" s="3">
        <f>0+(949.9-171.7)+(0+(-0.484449--0.087567))+0-0-0</f>
        <v>777.80311800000004</v>
      </c>
      <c r="AC326" s="3">
        <f>0+(850.2-112.4)+(0+(-2.16801--0.28662))+0-0-0</f>
        <v>735.91861000000006</v>
      </c>
      <c r="AD326" s="2">
        <v>832.69999999999993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0+(754.3-51.2)+(0+(-1.154079--0.078336))+0-0-0</f>
        <v>702.02425699999992</v>
      </c>
      <c r="G327" s="3">
        <f>0+(747.6-71.6)+(0+(-1.90638--0.18258))+0-0-0</f>
        <v>674.27620000000002</v>
      </c>
      <c r="H327" s="3">
        <f>0+(677.4-21.9)+(0+(-0.345474--0.011169))+0-0-0</f>
        <v>655.16569500000003</v>
      </c>
      <c r="I327" s="3">
        <f>0+(678.8-19.9)+(0+(-0.346188--0.010149))+0-0-0</f>
        <v>658.56396099999995</v>
      </c>
      <c r="J327" s="3">
        <f>0+(677.6-14.1)+(0+(-0.691152--0.014382))+0-0-0</f>
        <v>662.82322999999997</v>
      </c>
      <c r="K327" s="3">
        <f>0+(671.3-0)+(0+(1.369452-0))+0-0-0</f>
        <v>672.66945199999998</v>
      </c>
      <c r="L327" s="3">
        <f>0+(733.3-32)+(0+(-0.373983--0.01632))+0-0-0</f>
        <v>700.94233699999995</v>
      </c>
      <c r="M327" s="3">
        <f>0+(775.1-44.8)+(0+(0.395301-0.022848))+0-0-0</f>
        <v>730.67245300000002</v>
      </c>
      <c r="N327" s="3">
        <f>0+(813.9-22.2)+(0+(-0.830178--0.022644))+0-0-0</f>
        <v>790.8924659999999</v>
      </c>
      <c r="O327" s="3">
        <f>0+(912-87.8)+(0+(0.93024-0.089556))+0-0-0</f>
        <v>825.04068400000006</v>
      </c>
      <c r="P327" s="3">
        <f>0+(951.7-70.8)+(0+(-2.426835--0.18054))+0-0-0</f>
        <v>878.65370500000006</v>
      </c>
      <c r="Q327" s="3">
        <f>0+(890.8-78.9)+(0+(0.454308-0.040239))+0-0-0</f>
        <v>812.31406900000002</v>
      </c>
      <c r="R327" s="3">
        <f>0+(988.9-74.5)+(0+(-0.504339--0.037995))+0-0-0</f>
        <v>913.93365599999993</v>
      </c>
      <c r="S327" s="3">
        <f>0+(970.8-76.6)+(0+(0.495108-0.039066))+0-0-0</f>
        <v>894.65604199999996</v>
      </c>
      <c r="T327" s="3">
        <f>0+(951.2-62.8)+(0+(0-0))+0-0-0</f>
        <v>888.40000000000009</v>
      </c>
      <c r="U327" s="3">
        <f>0+(944.6-69.7)+(0+(0-0))+0-0-0</f>
        <v>874.9</v>
      </c>
      <c r="V327" s="3">
        <f>0+(936.3-59.4)+(0+(-0.477513--0.030294))+0-0-0</f>
        <v>876.45278099999996</v>
      </c>
      <c r="W327" s="3">
        <f>0+(991.7-62.2)+(0+(1.517301-0.095166))+0-0-0</f>
        <v>930.92213500000003</v>
      </c>
      <c r="X327" s="3">
        <f>0+(1142.8-237.2)+(0+(-1.748484--0.362916))+0-0-0</f>
        <v>904.21443199999987</v>
      </c>
      <c r="Y327" s="3">
        <f>0+(1125.8-214.9)+(0+(-2.296632--0.438396))+0-0-0</f>
        <v>909.04176399999994</v>
      </c>
      <c r="Z327" s="3">
        <f>0+(1068.1-184.6)+(0+(-1.089462--0.188292))+0-0-0</f>
        <v>882.59882999999991</v>
      </c>
      <c r="AA327" s="3">
        <f>0+(996.3-151.7)+(0+(-1.016226--0.154734))+0-0-0</f>
        <v>843.73850799999991</v>
      </c>
      <c r="AB327" s="3">
        <f>0+(1012.4-183.6)+(0+(-0.516324--0.093636))+0-0-0</f>
        <v>828.37731199999996</v>
      </c>
      <c r="AC327" s="3">
        <f>0+(983.6-180.3)+(0+(-2.50818--0.459765))+0-0-0</f>
        <v>801.25158499999998</v>
      </c>
      <c r="AD327" s="2">
        <v>1064.5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0+(858.8-96.8)+(0+(-1.751952--0.197472))+0-0-0</f>
        <v>760.44551999999999</v>
      </c>
      <c r="G328" s="3">
        <f>0+(795.1-66)+(0+(0.811002-0.06732))+0-0-0</f>
        <v>729.84368200000006</v>
      </c>
      <c r="H328" s="3">
        <f>0+(758.1-45.9)+(0+(-0.386631--0.023409))+0-0-0</f>
        <v>711.83677800000009</v>
      </c>
      <c r="I328" s="3">
        <f>0+(735.4-28.3)+(0+(0.375054-0.014433))+0-0-0</f>
        <v>707.46062100000006</v>
      </c>
      <c r="J328" s="3">
        <f>0+(725.4-23.7)+(0+(-0.369954--0.012087))+0-0-0</f>
        <v>701.34213299999988</v>
      </c>
      <c r="K328" s="3">
        <f>0+(722.2-23.9)+(0+(1.104966-0.036567))+0-0-0</f>
        <v>699.36839900000007</v>
      </c>
      <c r="L328" s="3">
        <f>0+(720.7-18.4)+(0+(0-0))+0-0-0</f>
        <v>702.30000000000007</v>
      </c>
      <c r="M328" s="3">
        <f>0+(690.7-7.8)+(0+(0.352257-0.003978))+0-0-0</f>
        <v>683.24827900000014</v>
      </c>
      <c r="N328" s="3">
        <f>0+(717.9-6)+(0+(0.366129-0.00306))+0-0-0</f>
        <v>712.26306899999997</v>
      </c>
      <c r="O328" s="3">
        <f>0+(752.2-7.7)+(0+(0-0))+0-0-0</f>
        <v>744.5</v>
      </c>
      <c r="P328" s="3">
        <f>0+(800.4-25.6)+(0+(-0.408204--0.013056))+0-0-0</f>
        <v>774.40485200000001</v>
      </c>
      <c r="Q328" s="3">
        <f>0+(826.8-43.1)+(0+(-0.421668--0.021981))+0-0-0</f>
        <v>783.30031299999996</v>
      </c>
      <c r="R328" s="3">
        <f>0+(819.9-41.5)+(0+(-0.418149--0.021165))+0-0-0</f>
        <v>778.003016</v>
      </c>
      <c r="S328" s="3">
        <f>0+(799-45.3)+(0+(0.40749-0.023103))+0-0-0</f>
        <v>754.08438699999999</v>
      </c>
      <c r="T328" s="3">
        <f>0+(795.3-46.5)+(0+(0.405603-0.023715))+0-0-0</f>
        <v>749.18188799999996</v>
      </c>
      <c r="U328" s="3">
        <f>0+(777.4-31.1)+(0+(-1.585896--0.063444))+0-0-0</f>
        <v>744.77754799999991</v>
      </c>
      <c r="V328" s="3">
        <f>0+(774.7-34.7)+(0+(1.185291-0.053091))+0-0-0</f>
        <v>741.13220000000001</v>
      </c>
      <c r="W328" s="3">
        <f>0+(912.2-130.2)+(0+(0.465222-0.066402))+0-0-0</f>
        <v>782.39882</v>
      </c>
      <c r="X328" s="3">
        <f>0+(1087-226.4)+(0+(0-0))+0-0-0</f>
        <v>860.6</v>
      </c>
      <c r="Y328" s="3">
        <f>0+(1107-242.9)+(0+(-1.69371--0.371637))+0-0-0</f>
        <v>862.77792699999998</v>
      </c>
      <c r="Z328" s="3">
        <f>0+(1067.7-217)+(0+(-2.178108--0.44268))+0-0-0</f>
        <v>848.96457200000009</v>
      </c>
      <c r="AA328" s="3">
        <f>0+(1020.3-186.6)+(0+(-2.601765--0.47583))+0-0-0</f>
        <v>831.57406499999991</v>
      </c>
      <c r="AB328" s="3">
        <f>0+(1021.7-212.5)+(0+(-0.521067--0.108375))+0-0-0</f>
        <v>808.78730800000005</v>
      </c>
      <c r="AC328" s="3">
        <f>0+(1065.1-279.8)+(0+(-1.629603--0.428094))+0-0-0</f>
        <v>784.09849099999997</v>
      </c>
      <c r="AD328" s="2">
        <v>861.3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0+(937.3-201.4)+(0+(0-0))+0-0-0</f>
        <v>735.9</v>
      </c>
      <c r="G329" s="3">
        <f>0+(821-119.9)+(0+(-0.41871--0.061149))+0-0-0</f>
        <v>700.74243899999999</v>
      </c>
      <c r="H329" s="3">
        <f>0+(737.2-56.1)+(0+(0-0))+0-0-0</f>
        <v>681.1</v>
      </c>
      <c r="I329" s="3">
        <f>0+(716.1-47.2)+(0+(-0.365211--0.024072))+0-0-0</f>
        <v>668.55886099999998</v>
      </c>
      <c r="J329" s="3">
        <f>0+(720.9-49.6)+(0+(0-0))+0-0-0</f>
        <v>671.3</v>
      </c>
      <c r="K329" s="3">
        <f>0+(740.6-50.4)+(0+(0.755412-0.051408))+0-0-0</f>
        <v>690.9040040000001</v>
      </c>
      <c r="L329" s="3">
        <f>0+(803.6-67.1)+(0+(-0.819672--0.068442))+0-0-0</f>
        <v>735.74877000000004</v>
      </c>
      <c r="M329" s="3">
        <f>9.3+(820.4-60.8)+(-0.004743+(-0.418404--0.031008))+0-0-0</f>
        <v>768.50786099999993</v>
      </c>
      <c r="N329" s="3">
        <f>4.2+(853.2-27.4)+(-0.004284+(-0.870264--0.027948))+0-0-0</f>
        <v>829.15340000000015</v>
      </c>
      <c r="O329" s="3">
        <f>50.1+(936.5-97.3)+(-0.127755+(-2.388075--0.248115))+0-0-0</f>
        <v>887.03228500000012</v>
      </c>
      <c r="P329" s="3">
        <f>50.1+(982.8-130)+(-0.076653+(-1.503684--0.1989))+0-0-0</f>
        <v>901.51856299999997</v>
      </c>
      <c r="Q329" s="3">
        <f>91+(991.2-166.3)+(-0.23205+(-2.52756--0.424065))+0-0-0</f>
        <v>913.56445500000007</v>
      </c>
      <c r="R329" s="3">
        <f>124.6+(927.1-136.3)+(-0.127092+(-0.945642--0.139026))+0-0-0</f>
        <v>914.46629199999995</v>
      </c>
      <c r="S329" s="3">
        <f>124+(845.8-98.7)+(-0.3162+(-2.15679--0.251685))+0-0-0</f>
        <v>868.87869499999988</v>
      </c>
      <c r="T329" s="3">
        <f>122.1+(856.4-105.3)+(-0.062271+(-0.436764--0.053703))+0-0-0</f>
        <v>872.75466800000004</v>
      </c>
      <c r="U329" s="3">
        <f>121.5+(852.6-113.7)+(0.061965+(0.434826-0.057987))+0-0-0</f>
        <v>860.83880399999998</v>
      </c>
      <c r="V329" s="3">
        <f>125.8+(861.2-132.5)+(-0.128316+(-0.878424--0.13515))+0-0-0</f>
        <v>853.62841000000003</v>
      </c>
      <c r="W329" s="3">
        <f>128.8+(955.1-216.3)+(-0.065688+(-0.487101--0.110313))+0-0-0</f>
        <v>867.15752399999985</v>
      </c>
      <c r="X329" s="3">
        <f>129+(1182.6-357.1)+(0+(0-0))+0-0-0</f>
        <v>954.49999999999989</v>
      </c>
      <c r="Y329" s="3">
        <f>120.4+(1233.6-406.5)+(-0.061404+(-0.629136--0.207315))+0-0-0</f>
        <v>947.01677499999994</v>
      </c>
      <c r="Z329" s="3">
        <f>110.1+(1182.9-371.8)+(0+(0-0))+0-0-0</f>
        <v>921.20000000000016</v>
      </c>
      <c r="AA329" s="3">
        <f>109.8+(1092.3-302.3)+(-0.167994+(-1.671219--0.462519))+0-0-0</f>
        <v>898.42330599999991</v>
      </c>
      <c r="AB329" s="3">
        <f>108.9+(1047.2-288.4)+(-0.222156+(-2.136288--0.588336))+0-0-0</f>
        <v>865.929892</v>
      </c>
      <c r="AC329" s="3">
        <f>37.1+(1056.5-259.2)+(-0.094605+(-2.694075--0.66096))+0-0-0</f>
        <v>832.27228000000002</v>
      </c>
      <c r="AD329" s="2">
        <v>951.40000000000009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0+(910.8-115.3)+(0+(-0.464508--0.058803))+0-0-0</f>
        <v>795.09429499999999</v>
      </c>
      <c r="G330" s="3">
        <f>0+(797.3-38.2)+(0+(-0.813246--0.038964))+0-0-0</f>
        <v>758.32571799999994</v>
      </c>
      <c r="H330" s="3">
        <f>0+(750.4-13.2)+(0+(0.382704-0.006732))+0-0-0</f>
        <v>737.57597199999998</v>
      </c>
      <c r="I330" s="3">
        <f>0+(737.8-0)+(0+(-0.752556-0))+0-0-0</f>
        <v>737.04744399999993</v>
      </c>
      <c r="J330" s="3">
        <f>0+(730.9-0)+(0+(-0.745518-0))+0-0-0</f>
        <v>730.15448200000003</v>
      </c>
      <c r="K330" s="3">
        <f>0+(738-0)+(0+(-1.12914-0))+0-0-0</f>
        <v>736.87085999999999</v>
      </c>
      <c r="L330" s="3">
        <f>23.9+(744.6-6.3)+(-0.036567+(-1.139238--0.009639))+0-0-0</f>
        <v>761.03383400000007</v>
      </c>
      <c r="M330" s="3">
        <f>96.7+(719.9-15.4)+(-0.147951+(-1.101447--0.023562))+0-0-0</f>
        <v>799.97416400000009</v>
      </c>
      <c r="N330" s="3">
        <f>132.7+(755.7-22.5)+(0+(0-0))+0-0-0</f>
        <v>865.90000000000009</v>
      </c>
      <c r="O330" s="3">
        <f>131.9+(839.1-75.5)+(-0.134538+(-0.855882--0.07701))+0-0-0</f>
        <v>894.58659</v>
      </c>
      <c r="P330" s="3">
        <f>131.8+(933.6-141.7)+(-0.067218+(-0.476136--0.072267))+0-0-0</f>
        <v>923.22891300000003</v>
      </c>
      <c r="Q330" s="3">
        <f>131.7+(985-188.8)+(-0.134334+(-1.0047--0.192576))+0-0-0</f>
        <v>926.95354200000008</v>
      </c>
      <c r="R330" s="3">
        <f>131.2+(962.8-170.6)+(-0.267648+(-1.964112--0.348024))+0-0-0</f>
        <v>921.51626399999986</v>
      </c>
      <c r="S330" s="3">
        <f>127.2+(921.7-141.8)+(0+(0-0))+0-0-0</f>
        <v>907.10000000000014</v>
      </c>
      <c r="T330" s="3">
        <f>122.1+(920.5-145.8)+(0.124542+(0.93891-0.148716))+0-0-0</f>
        <v>897.71473600000002</v>
      </c>
      <c r="U330" s="3">
        <f>131.9+(886.8-148.2)+(-0.067269+(-0.452268--0.075582))+0-0-0</f>
        <v>870.05604499999993</v>
      </c>
      <c r="V330" s="3">
        <f>131.9+(901.5-159.2)+(-0.134538+(-0.91953--0.162384))+0-0-0</f>
        <v>873.30831599999988</v>
      </c>
      <c r="W330" s="3">
        <f>121.8+(1011.8-224.2)+(0.186354+(1.548054-0.343026))+0-0-0</f>
        <v>910.79138199999989</v>
      </c>
      <c r="X330" s="3">
        <f>132.1+(1095.9-282.9)+(-0.134742+(-1.117818--0.288558))+0-0-0</f>
        <v>944.13599800000009</v>
      </c>
      <c r="Y330" s="3">
        <f>135.1+(1084.4-282.4)+(-0.068901+(-0.553044--0.144024))+0-0-0</f>
        <v>936.6220790000001</v>
      </c>
      <c r="Z330" s="3">
        <f>132.3+(1025.9-229.5)+(0+(0-0))+0-0-0</f>
        <v>928.7</v>
      </c>
      <c r="AA330" s="3">
        <f>52.3+(1009.8-161.5)+(0+(0-0))+0-0-0</f>
        <v>900.59999999999991</v>
      </c>
      <c r="AB330" s="3">
        <f>0+(1067.8-187.9)+(0+(-3.812046--0.670803))+0-0-0</f>
        <v>876.75875699999995</v>
      </c>
      <c r="AC330" s="3">
        <f>0+(1027.2-163.6)+(0+(-3.667104--0.584052))+0-0-0</f>
        <v>860.51694800000007</v>
      </c>
      <c r="AD330" s="2">
        <v>934.70000000000016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0+(874.7-113.1)+(0+(0-0))+0-0-0</f>
        <v>761.6</v>
      </c>
      <c r="G331" s="3">
        <f>0+(831.2-64.3)+(0+(0-0))+0-0-0</f>
        <v>766.90000000000009</v>
      </c>
      <c r="H331" s="3">
        <f>0+(771.9-39.8)+(0+(0.393669-0.020298))+0-0-0</f>
        <v>732.47337100000004</v>
      </c>
      <c r="I331" s="3">
        <f>0+(789.9-50.7)+(0+(0-0))+0-0-0</f>
        <v>739.19999999999993</v>
      </c>
      <c r="J331" s="3">
        <f>0+(805.8-68.7)+(0+(0-0))+0-0-0</f>
        <v>737.09999999999991</v>
      </c>
      <c r="K331" s="3">
        <f>0+(814.9-68.5)+(0+(0.831198-0.06987))+0-0-0</f>
        <v>747.16132800000003</v>
      </c>
      <c r="L331" s="3">
        <f>0+(864-78.4)+(0+(0-0))+0-0-0</f>
        <v>785.6</v>
      </c>
      <c r="M331" s="3">
        <f>0+(816-3.2)+(0+(-0.83232--0.003264))+0-0-0</f>
        <v>811.97094399999992</v>
      </c>
      <c r="N331" s="3">
        <f>0+(872.1-19.7)+(0+(0.889542-0.020094))+0-0-0</f>
        <v>853.26944800000001</v>
      </c>
      <c r="O331" s="3">
        <f>0+(976.4-87.7)+(0+(-2.48982--0.223635))+0-0-0</f>
        <v>886.43381499999998</v>
      </c>
      <c r="P331" s="3">
        <f>0+(1030.7-136.5)+(0+(-0.525657--0.069615))+0-0-0</f>
        <v>893.74395800000002</v>
      </c>
      <c r="Q331" s="3">
        <f>0+(1079.8-167.7)+(0+(-1.652094--0.256581))+0-0-0</f>
        <v>910.70448699999986</v>
      </c>
      <c r="R331" s="3">
        <f>0+(1102.2-201)+(0+(-0.562122--0.10251))+0-0-0</f>
        <v>900.74038800000005</v>
      </c>
      <c r="S331" s="3">
        <f>0+(1068.5-186.5)+(0+(-1.08987--0.19023))+0-0-0</f>
        <v>881.10036000000002</v>
      </c>
      <c r="T331" s="3">
        <f>0+(1028.4-138.7)+(0+(1.048968-0.141474))+0-0-0</f>
        <v>890.60749400000009</v>
      </c>
      <c r="U331" s="3">
        <f>0+(980.5-96.9)+(0+(-0.500055--0.049419))+0-0-0</f>
        <v>883.14936399999999</v>
      </c>
      <c r="V331" s="3">
        <f>0+(957.9-91.2)+(0+(-2.442645--0.23256))+0-0-0</f>
        <v>864.48991499999988</v>
      </c>
      <c r="W331" s="3">
        <f>0+(975.5-115.8)+(0+(1.492515-0.177174))+0-0-0</f>
        <v>861.01534100000003</v>
      </c>
      <c r="X331" s="3">
        <f>0+(1131.1-163.9)+(0+(0-0))+0-0-0</f>
        <v>967.19999999999993</v>
      </c>
      <c r="Y331" s="3">
        <f>0+(1138.3-189)+(0+(-2.322132--0.38556))+0-0-0</f>
        <v>947.363428</v>
      </c>
      <c r="Z331" s="3">
        <f>0+(1105.6-158.6)+(0+(-2.255424--0.323544))+0-0-0</f>
        <v>945.06811999999991</v>
      </c>
      <c r="AA331" s="3">
        <f>0+(1046.5-130.7)+(0+(-0.533715--0.066657))+0-0-0</f>
        <v>915.332942</v>
      </c>
      <c r="AB331" s="3">
        <f>0+(1004.1-127.7)+(0+(-2.048364--0.260508))+0-0-0</f>
        <v>874.61214399999994</v>
      </c>
      <c r="AC331" s="3">
        <f>0+(946.1-105.2)+(0+(-1.930044--0.214608))+0-0-0</f>
        <v>839.18456400000002</v>
      </c>
      <c r="AD331" s="2">
        <v>959.9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0+(840.6-43.9)+(0+(-1.714824--0.089556))+0-0-0</f>
        <v>795.07473200000004</v>
      </c>
      <c r="G332" s="3">
        <f>0+(778.2-18.7)+(0+(-0.396882--0.009537))+0-0-0</f>
        <v>759.11265500000002</v>
      </c>
      <c r="H332" s="3">
        <f>0+(749.3-8.5)+(0+(-0.764286--0.00867))+0-0-0</f>
        <v>740.04438399999992</v>
      </c>
      <c r="I332" s="3">
        <f>0+(738.6-5.4)+(0+(-0.753372--0.005508))+0-0-0</f>
        <v>732.452136</v>
      </c>
      <c r="J332" s="3">
        <f>0+(719.9-0)+(0+(0.367149-0))+0-0-0</f>
        <v>720.26714900000002</v>
      </c>
      <c r="K332" s="3">
        <f>0+(722.4-0)+(0+(-0.368424-0))+0-0-0</f>
        <v>722.03157599999997</v>
      </c>
      <c r="L332" s="3">
        <f>0+(780.4-46.5)+(0+(-1.592016--0.09486))+0-0-0</f>
        <v>732.40284399999996</v>
      </c>
      <c r="M332" s="3">
        <f>0+(802.9-45.6)+(0+(0.818958-0.046512))+0-0-0</f>
        <v>758.0724459999999</v>
      </c>
      <c r="N332" s="3">
        <f>0+(835.5-23.4)+(0+(-0.85221--0.023868))+0-0-0</f>
        <v>811.271658</v>
      </c>
      <c r="O332" s="3">
        <f>0+(942.3-85.2)+(0+(2.402865-0.21726))+0-0-0</f>
        <v>859.28560499999992</v>
      </c>
      <c r="P332" s="3">
        <f>0+(1002-125.9)+(0+(-1.53306--0.192627))+0-0-0</f>
        <v>874.75956700000006</v>
      </c>
      <c r="Q332" s="3">
        <f>0+(997.3-126.3)+(0+(-1.017246--0.128826))+0-0-0</f>
        <v>870.11158</v>
      </c>
      <c r="R332" s="3">
        <f>0+(946.2-101.3)+(0+(-3.377934--0.361641))+0-0-0</f>
        <v>841.88370700000007</v>
      </c>
      <c r="S332" s="3">
        <f>0+(864.5-49.5)+(0+(-0.440895--0.025245))+0-0-0</f>
        <v>814.58434999999997</v>
      </c>
      <c r="T332" s="3">
        <f>0+(836.7-29.2)+(0+(-0.426717--0.014892))+0-0-0</f>
        <v>807.08817499999998</v>
      </c>
      <c r="U332" s="3">
        <f>0+(825.5-27.3)+(0+(-0.84201--0.027846))+0-0-0</f>
        <v>797.38583600000004</v>
      </c>
      <c r="V332" s="3">
        <f>0+(816.4-27.5)+(0+(0.832728-0.02805))+0-0-0</f>
        <v>789.70467799999994</v>
      </c>
      <c r="W332" s="3">
        <f>0+(846.9-43.3)+(0+(0.863838-0.044166))+0-0-0</f>
        <v>804.41967199999999</v>
      </c>
      <c r="X332" s="3">
        <f>0+(1014.4-129.9)+(0+(-1.552032--0.198747))+0-0-0</f>
        <v>883.14671499999997</v>
      </c>
      <c r="Y332" s="3">
        <f>0+(1020.3-145.1)+(0+(0.520353-0.074001))+0-0-0</f>
        <v>875.64635199999998</v>
      </c>
      <c r="Z332" s="3">
        <f>0+(987.6-121.4)+(0+(-1.007352--0.123828))+0-0-0</f>
        <v>865.31647600000008</v>
      </c>
      <c r="AA332" s="3">
        <f>0+(929.9-84.7)+(0+(0-0))+0-0-0</f>
        <v>845.19999999999993</v>
      </c>
      <c r="AB332" s="3">
        <f>0+(902.4-90.8)+(0+(-0.920448--0.092616))+0-0-0</f>
        <v>810.77216800000008</v>
      </c>
      <c r="AC332" s="3">
        <f>0+(891.6-93.5)+(0+(0.454716-0.047685))+0-0-0</f>
        <v>798.50703099999998</v>
      </c>
      <c r="AD332" s="2">
        <v>878.40000000000009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0+(835.6-69)+(0+(0.426156-0.03519))+0-0-0</f>
        <v>766.99096600000007</v>
      </c>
      <c r="G333" s="3">
        <f>0+(745-9.7)+(0+(0.37995-0.004947))+0-0-0</f>
        <v>735.67500299999995</v>
      </c>
      <c r="H333" s="3">
        <f>0+(713.7-0)+(0+(0-0))+0-0-0</f>
        <v>713.7</v>
      </c>
      <c r="I333" s="3">
        <f>0+(704.6-0)+(0+(-0.359346-0))+0-0-0</f>
        <v>704.24065400000006</v>
      </c>
      <c r="J333" s="3">
        <f>0+(696.6-0)+(0+(-0.710532-0))+0-0-0</f>
        <v>695.88946800000008</v>
      </c>
      <c r="K333" s="3">
        <f>0+(686.5-0)+(0+(1.050345-0))+0-0-0</f>
        <v>687.55034499999999</v>
      </c>
      <c r="L333" s="3">
        <f>0+(674.7-0)+(0+(-0.344097-0))+0-0-0</f>
        <v>674.35590300000001</v>
      </c>
      <c r="M333" s="3">
        <f>0+(708.5-49.6)+(0+(0.72267-0.050592))+0-0-0</f>
        <v>659.57207800000003</v>
      </c>
      <c r="N333" s="3">
        <f>0+(750.6-70.1)+(0+(-0.382806--0.035751))+0-0-0</f>
        <v>680.15294500000005</v>
      </c>
      <c r="O333" s="3">
        <f>0+(757.1-39.3)+(0+(-0.386121--0.020043))+0-0-0</f>
        <v>717.43392200000005</v>
      </c>
      <c r="P333" s="3">
        <f>0+(772.4-37.7)+(0+(-1.575696--0.076908))+0-0-0</f>
        <v>733.20121199999994</v>
      </c>
      <c r="Q333" s="3">
        <f>0+(777-26.9)+(0+(-1.18881--0.041157))+0-0-0</f>
        <v>748.95234700000003</v>
      </c>
      <c r="R333" s="3">
        <f>0+(763-24.5)+(0+(-2.72391--0.087465))+0-0-0</f>
        <v>735.86355500000002</v>
      </c>
      <c r="S333" s="3">
        <f>0+(718.1-9.2)+(0+(-0.732462--0.009384))+0-0-0</f>
        <v>708.17692199999999</v>
      </c>
      <c r="T333" s="3">
        <f>0+(697.6-0)+(0+(-0.355776-0))+0-0-0</f>
        <v>697.24422400000003</v>
      </c>
      <c r="U333" s="3">
        <f>0+(698-0)+(0+(0.35598-0))+0-0-0</f>
        <v>698.35598000000005</v>
      </c>
      <c r="V333" s="3">
        <f>0+(699.4-0)+(0+(0-0))+0-0-0</f>
        <v>699.4</v>
      </c>
      <c r="W333" s="3">
        <f>0+(726.6-0)+(0+(0-0))+0-0-0</f>
        <v>726.6</v>
      </c>
      <c r="X333" s="3">
        <f>0+(866.9-69.2)+(0+(-0.442119--0.035292))+0-0-0</f>
        <v>797.29317299999991</v>
      </c>
      <c r="Y333" s="3">
        <f>0+(925.8-113.2)+(0+(-1.888632--0.230928))+0-0-0</f>
        <v>810.94229599999994</v>
      </c>
      <c r="Z333" s="3">
        <f>0+(901.7-101.6)+(0+(-0.459867--0.051816))+0-0-0</f>
        <v>799.69194900000002</v>
      </c>
      <c r="AA333" s="3">
        <f>0+(910.8-118.5)+(0+(-1.858032--0.24174))+0-0-0</f>
        <v>790.68370799999991</v>
      </c>
      <c r="AB333" s="3">
        <f>0+(923.3-151.7)+(0+(-2.354415--0.386835))+0-0-0</f>
        <v>769.63241999999991</v>
      </c>
      <c r="AC333" s="3">
        <f>0+(828-97.2)+(0+(-2.95596--0.347004))+0-0-0</f>
        <v>728.19104399999992</v>
      </c>
      <c r="AD333" s="2">
        <v>820.5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0+(711.6-20.8)+(0+(-1.81458--0.05304))+0-0-0</f>
        <v>689.0384600000001</v>
      </c>
      <c r="G334" s="3">
        <f>0+(671.6-8.8)+(0+(-1.71258--0.02244))+0-0-0</f>
        <v>661.10986000000003</v>
      </c>
      <c r="H334" s="3">
        <f>0+(648.2-0)+(0+(-1.322328-0))+0-0-0</f>
        <v>646.87767200000008</v>
      </c>
      <c r="I334" s="3">
        <f>0+(642.8-0)+(0+(0.327828-0))+0-0-0</f>
        <v>643.12782799999991</v>
      </c>
      <c r="J334" s="3">
        <f>0+(648.3-0)+(0+(-0.330633-0))+0-0-0</f>
        <v>647.96936699999992</v>
      </c>
      <c r="K334" s="3">
        <f>0+(660.5-0)+(0+(-0.67371-0))+0-0-0</f>
        <v>659.82628999999997</v>
      </c>
      <c r="L334" s="3">
        <f>0+(739-32.5)+(0+(-1.50756--0.0663))+0-0-0</f>
        <v>705.05873999999994</v>
      </c>
      <c r="M334" s="3">
        <f>0+(800.9-48.2)+(0+(-0.408459--0.024582))+0-0-0</f>
        <v>752.31612299999995</v>
      </c>
      <c r="N334" s="3">
        <f>0+(842.1-19.6)+(0+(0.429471-0.009996))+0-0-0</f>
        <v>822.91947500000003</v>
      </c>
      <c r="O334" s="3">
        <f>84.2+(776-0)+(0.171768+(1.58304-0))+0-0-0</f>
        <v>861.95480800000007</v>
      </c>
      <c r="P334" s="3">
        <f>138.4+(766.5-29)+(-0.141168+(-0.78183--0.02958))+0-0-0</f>
        <v>875.00658199999998</v>
      </c>
      <c r="Q334" s="3">
        <f>222.9+(730-69.4)+(0+(0-0))+0-0-0</f>
        <v>883.5</v>
      </c>
      <c r="R334" s="3">
        <f>258.3+(698.5-89.3)+(-0.658665+(-1.781175--0.227715))+0-0-0</f>
        <v>865.28787499999999</v>
      </c>
      <c r="S334" s="3">
        <f>256.9+(683.3-88.4)+(0.131019+(0.348483-0.045084))+0-0-0</f>
        <v>852.23441800000001</v>
      </c>
      <c r="T334" s="3">
        <f>255.5+(716.9-120)+(0+(0-0))+0-0-0</f>
        <v>852.4</v>
      </c>
      <c r="U334" s="3">
        <f>255.7+(722.5-130.8)+(0+(0-0))+0-0-0</f>
        <v>847.40000000000009</v>
      </c>
      <c r="V334" s="3">
        <f>257.8+(706.4-122.9)+(0.394434+(1.080792-0.188037))+0-0-0</f>
        <v>842.58718899999997</v>
      </c>
      <c r="W334" s="3">
        <f>258.6+(800.3-190.9)+(0.395658+(1.224459-0.292077))+0-0-0</f>
        <v>869.32803999999999</v>
      </c>
      <c r="X334" s="3">
        <f>258.4+(914-233)+(0.395352+(1.39842-0.35649))+0-0-0</f>
        <v>940.83728199999996</v>
      </c>
      <c r="Y334" s="3">
        <f>258.3+(900.1-232.9)+(-0.395199+(-1.377153--0.356337))+0-0-0</f>
        <v>924.08398499999998</v>
      </c>
      <c r="Z334" s="3">
        <f>260.6+(848.3-205.6)+(-0.265812+(-0.865266--0.209712))+0-0-0</f>
        <v>902.37863399999992</v>
      </c>
      <c r="AA334" s="3">
        <f>262.8+(757.9-152.4)+(-0.268056+(-0.773058--0.155448))+0-0-0</f>
        <v>867.41433399999994</v>
      </c>
      <c r="AB334" s="3">
        <f>260.7+(710.8-132.3)+(-0.930699+(-2.537556--0.472311))+0-0-0</f>
        <v>836.20405600000004</v>
      </c>
      <c r="AC334" s="3">
        <f>264.5+(708.1-159.4)+(-0.53958+(-1.444524--0.325176))+0-0-0</f>
        <v>811.5410720000001</v>
      </c>
      <c r="AD334" s="2">
        <v>935.7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201.3+(698.2-131.6)+(-0.205326+(-0.712164--0.134232))+0-0-0</f>
        <v>767.11674200000004</v>
      </c>
      <c r="G335" s="3">
        <f>158.3+(659.3-88.9)+(-0.322932+(-1.344972--0.181356))+0-0-0</f>
        <v>727.21345200000007</v>
      </c>
      <c r="H335" s="3">
        <f>160.6+(584.1-26.3)+(0+(0-0))+0-0-0</f>
        <v>718.40000000000009</v>
      </c>
      <c r="I335" s="3">
        <f>158.1+(575.3-17.5)+(-0.241893+(-0.880209--0.026775))+0-0-0</f>
        <v>714.80467299999998</v>
      </c>
      <c r="J335" s="3">
        <f>160.2+(557-16.1)+(0.081702+(0.28407-0.008211))+0-0-0</f>
        <v>701.45756099999994</v>
      </c>
      <c r="K335" s="3">
        <f>160.6+(557.1-8.9)+(0+(0-0))+0-0-0</f>
        <v>708.80000000000007</v>
      </c>
      <c r="L335" s="3">
        <f>159.8+(674.4-91.7)+(-0.162996+(-0.687888--0.093534))+0-0-0</f>
        <v>741.74265000000003</v>
      </c>
      <c r="M335" s="3">
        <f>160.1+(705.4-91.4)+(0+(0-0))+0-0-0</f>
        <v>774.1</v>
      </c>
      <c r="N335" s="3">
        <f>171.1+(752.9-90.3)+(-0.087261+(-0.383979--0.046053))+0-0-0</f>
        <v>833.27481299999999</v>
      </c>
      <c r="O335" s="3">
        <f>199.4+(807.3-130.9)+(0.305082+(1.235169-0.200277))+0-0-0</f>
        <v>877.13997399999994</v>
      </c>
      <c r="P335" s="3">
        <f>199.5+(862.3-167.6)+(0.20349+(0.879546-0.170952))+0-0-0</f>
        <v>895.11208399999998</v>
      </c>
      <c r="Q335" s="3">
        <f>248.5+(861.6-214.6)+(-0.126735+(-0.439416--0.109446))+0-0-0</f>
        <v>895.04329499999994</v>
      </c>
      <c r="R335" s="3">
        <f>272.7+(821.7-209.2)+(0+(0-0))+0-0-0</f>
        <v>885.2</v>
      </c>
      <c r="S335" s="3">
        <f>271.6+(789.8-206.8)+(-0.554064+(-1.611192--0.421872))+0-0-0</f>
        <v>852.85661600000003</v>
      </c>
      <c r="T335" s="3">
        <f>270.7+(783-200.6)+(-0.138057+(-0.39933--0.102306))+0-0-0</f>
        <v>852.66491899999994</v>
      </c>
      <c r="U335" s="3">
        <f>270.6+(783.8-202.3)+(-0.276012+(-0.799476--0.206346))+0-0-0</f>
        <v>851.23085800000001</v>
      </c>
      <c r="V335" s="3">
        <f>269.6+(790.3-210.8)+(-0.137496+(-0.403053--0.107508))+0-0-0</f>
        <v>848.66695900000002</v>
      </c>
      <c r="W335" s="3">
        <f>319.4+(819.7-284.6)+(0.162894+(0.418047-0.145146))+0-0-0</f>
        <v>854.93579499999998</v>
      </c>
      <c r="X335" s="3">
        <f>394.3+(903.2-355.3)+(0.201093+(0.460632-0.181203))+0-0-0</f>
        <v>942.680522</v>
      </c>
      <c r="Y335" s="3">
        <f>394.8+(863.8-323.9)+(-0.805392+(-1.762152--0.660756))+0-0-0</f>
        <v>932.79321200000004</v>
      </c>
      <c r="Z335" s="3">
        <f>400.8+(789.4-267.7)+(-0.408816+(-0.805188--0.273054))+0-0-0</f>
        <v>921.55904999999996</v>
      </c>
      <c r="AA335" s="3">
        <f>402.1+(655.1-170.7)+(0+(0-0))+0-0-0</f>
        <v>886.5</v>
      </c>
      <c r="AB335" s="3">
        <f>402.1+(625.6-166.4)+(0+(0-0))+0-0-0</f>
        <v>861.30000000000007</v>
      </c>
      <c r="AC335" s="3">
        <f>282.9+(662.2-111.2)+(-0.721395+(-1.68861--0.28356))+0-0-0</f>
        <v>831.77355499999999</v>
      </c>
      <c r="AD335" s="2">
        <v>937.00000000000011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234.5+(665.4-125.2)+(-0.23919+(-0.678708--0.127704))+0-0-0</f>
        <v>773.90980599999989</v>
      </c>
      <c r="G336" s="3">
        <f>201.6+(560.6-19.6)+(0.308448+(0.857718-0.029988))+0-0-0</f>
        <v>743.736178</v>
      </c>
      <c r="H336" s="3">
        <f>115.9+(633.5-19.5)+(0+(0-0))+0-0-0</f>
        <v>729.9</v>
      </c>
      <c r="I336" s="3">
        <f>100.1+(646.7-14.4)+(0+(0-0))+0-0-0</f>
        <v>732.40000000000009</v>
      </c>
      <c r="J336" s="3">
        <f>100.1+(646.3-12.3)+(0+(0-0))+0-0-0</f>
        <v>734.1</v>
      </c>
      <c r="K336" s="3">
        <f>109.4+(633.2-10.4)+(0.223176+(1.291728-0.021216))+0-0-0</f>
        <v>733.69368800000007</v>
      </c>
      <c r="L336" s="3">
        <f>212.6+(591.4-44.2)+(-0.54213+(-1.50807--0.11271))+0-0-0</f>
        <v>757.86250999999993</v>
      </c>
      <c r="M336" s="3">
        <f>264.5+(618.7-110.1)+(0.134895+(0.315537-0.056151))+0-0-0</f>
        <v>773.494281</v>
      </c>
      <c r="N336" s="3">
        <f>263.2+(667.5-93.9)+(-0.134232+(-0.340425--0.047889))+0-0-0</f>
        <v>836.37323199999992</v>
      </c>
      <c r="O336" s="3">
        <f>265.1+(707.4-97.9)+(0.405603+(1.082322-0.149787))+0-0-0</f>
        <v>875.93813799999998</v>
      </c>
      <c r="P336" s="3">
        <f>263.4+(717.7-97.1)+(-0.134334+(-0.366027--0.049521))+0-0-0</f>
        <v>883.54916000000003</v>
      </c>
      <c r="Q336" s="3">
        <f>264.2+(710.8-92.4)+(0.404226+(1.087524-0.141372))+0-0-0</f>
        <v>883.95037799999989</v>
      </c>
      <c r="R336" s="3">
        <f>260.8+(726.5-103.1)+(-0.798048+(-2.22309--0.315486))+0-0-0</f>
        <v>881.49434800000006</v>
      </c>
      <c r="S336" s="3">
        <f>262.8+(702.5-99.7)+(-0.402084+(-1.074825--0.152541))+0-0-0</f>
        <v>864.27563199999986</v>
      </c>
      <c r="T336" s="3">
        <f>264.5+(671.1-74.4)+(0.134895+(0.342261-0.037944))+0-0-0</f>
        <v>861.63921200000004</v>
      </c>
      <c r="U336" s="3">
        <f>263.7+(680.7-84.3)+(0+(0-0))+0-0-0</f>
        <v>860.10000000000014</v>
      </c>
      <c r="V336" s="3">
        <f>252.4+(716.2-109.3)+(-0.257448+(-0.730524--0.111486))+0-0-0</f>
        <v>858.42351400000007</v>
      </c>
      <c r="W336" s="3">
        <f>285.7+(734.4-154.6)+(-0.582828+(-1.498176--0.315384))+0-0-0</f>
        <v>863.73437999999999</v>
      </c>
      <c r="X336" s="3">
        <f>402.2+(747.8-214.5)+(-0.205122+(-0.381378--0.109395))+0-0-0</f>
        <v>935.02289499999995</v>
      </c>
      <c r="Y336" s="3">
        <f>399.7+(764.1-229.6)+(-0.611541+(-1.169073--0.351288))+0-0-0</f>
        <v>932.7706740000001</v>
      </c>
      <c r="Z336" s="3">
        <f>400+(757.4-238)+(-0.612+(-1.158822--0.36414))+0-0-0</f>
        <v>917.99331799999993</v>
      </c>
      <c r="AA336" s="3">
        <f>398.5+(730-230.6)+(-1.016175+(-1.8615--0.58803))+0-0-0</f>
        <v>895.61035500000003</v>
      </c>
      <c r="AB336" s="3">
        <f>311.7+(695.2-140.6)+(-0.476901+(-1.063656--0.215118))+0-0-0</f>
        <v>864.97456099999999</v>
      </c>
      <c r="AC336" s="3">
        <f>301.7+(611.4-83.7)+(-0.769335+(-1.55907--0.213435))+0-0-0</f>
        <v>827.28502999999989</v>
      </c>
      <c r="AD336" s="2">
        <v>929.4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301.8+(563.8-77.2)+(-0.307836+(-0.575076--0.078744))+0-0-0</f>
        <v>787.59583199999997</v>
      </c>
      <c r="G337" s="3">
        <f>289.2+(541.5-82)+(0.147492+(0.276165-0.04182))+0-0-0</f>
        <v>749.08183700000006</v>
      </c>
      <c r="H337" s="3">
        <f>251.7+(537.9-59.2)+(0.513468+(1.097316-0.120768))+0-0-0</f>
        <v>731.89001599999995</v>
      </c>
      <c r="I337" s="3">
        <f>219.9+(550.6-46.4)+(0+(0-0))+0-0-0</f>
        <v>724.1</v>
      </c>
      <c r="J337" s="3">
        <f>150.2+(591-25.7)+(-0.076602+(-0.30141--0.013107))+0-0-0</f>
        <v>715.13509499999998</v>
      </c>
      <c r="K337" s="3">
        <f>251.6+(559-87.7)+(-0.64158+(-1.42545--0.223635))+0-0-0</f>
        <v>721.05660499999999</v>
      </c>
      <c r="L337" s="3">
        <f>319.3+(549.1-117.6)+(-0.325686+(-0.560082--0.119952))+0-0-0</f>
        <v>750.03418399999998</v>
      </c>
      <c r="M337" s="3">
        <f>352.5+(569-147.8)+(-0.179775+(-0.29019--0.075378))+0-0-0</f>
        <v>773.30541300000004</v>
      </c>
      <c r="N337" s="3">
        <f>403.5+(684.1-244.1)+(0+(0-0))+0-0-0</f>
        <v>843.5</v>
      </c>
      <c r="O337" s="3">
        <f>401.5+(704.8-222.7)+(0+(0-0))+0-0-0</f>
        <v>883.59999999999991</v>
      </c>
      <c r="P337" s="3">
        <f>398.1+(746.1-238.7)+(0+(0-0))+0-0-0</f>
        <v>905.5</v>
      </c>
      <c r="Q337" s="3">
        <f>397.9+(758.5-241.9)+(-0.608787+(-1.160505--0.370107))+0-0-0</f>
        <v>913.10081500000001</v>
      </c>
      <c r="R337" s="3">
        <f>390+(781.3-271.9)+(-0.3978+(-0.796926--0.277338))+0-0-0</f>
        <v>898.48261200000002</v>
      </c>
      <c r="S337" s="3">
        <f>398.7+(765.7-291.6)+(0.406674+(0.781014-0.297432))+0-0-0</f>
        <v>873.69025599999998</v>
      </c>
      <c r="T337" s="3">
        <f>397.6+(779.7-301)+(0.202776+(0.397647-0.15351))+0-0-0</f>
        <v>876.74691300000006</v>
      </c>
      <c r="U337" s="3">
        <f>395.4+(748-273.8)+(-0.201654+(-0.38148--0.139638))+0-0-0</f>
        <v>869.15650399999993</v>
      </c>
      <c r="V337" s="3">
        <f>394.7+(721.9-255.7)+(0+(0-0))+0-0-0</f>
        <v>860.9</v>
      </c>
      <c r="W337" s="3">
        <f>399.6+(688.3-241.9)+(0.611388+(1.053099-0.370107))+0-0-0</f>
        <v>847.29438000000005</v>
      </c>
      <c r="X337" s="3">
        <f>397.1+(775.7-229.5)+(-0.405042+(-0.791214--0.23409))+0-0-0</f>
        <v>942.33783400000004</v>
      </c>
      <c r="Y337" s="3">
        <f>399.8+(805-269.8)+(0.407796+(0.8211-0.275196))+0-0-0</f>
        <v>935.95370000000003</v>
      </c>
      <c r="Z337" s="3">
        <f>398+(833.2-306.1)+(0+(0-0))+0-0-0</f>
        <v>925.1</v>
      </c>
      <c r="AA337" s="3">
        <f>392.8+(731.4-242.5)+(-0.200328+(-0.373014--0.123675))+0-0-0</f>
        <v>881.25033300000007</v>
      </c>
      <c r="AB337" s="3">
        <f>387+(683.6-214.8)+(-0.98685+(-1.74318--0.54774))+0-0-0</f>
        <v>853.61770999999999</v>
      </c>
      <c r="AC337" s="3">
        <f>390.1+(648.4-223.3)+(-0.596853+(-0.992052--0.341649))+0-0-0</f>
        <v>813.95274400000005</v>
      </c>
      <c r="AD337" s="2">
        <v>941.3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398.2+(619.9-240)+(-0.406164+(-0.632298--0.2448))+0-0-0</f>
        <v>777.30633799999987</v>
      </c>
      <c r="G338" s="3">
        <f>407+(647.4-286.2)+(-0.83028+(-1.320696--0.583848))+0-0-0</f>
        <v>766.63287200000002</v>
      </c>
      <c r="H338" s="3">
        <f>408.5+(630.9-294.3)+(0+(0-0))+0-0-0</f>
        <v>745.09999999999991</v>
      </c>
      <c r="I338" s="3">
        <f>405.3+(626.1-290.6)+(0+(0-0))+0-0-0</f>
        <v>740.8</v>
      </c>
      <c r="J338" s="3">
        <f>271+(659.9-183.7)+(0.13821+(0.336549-0.093687))+0-0-0</f>
        <v>747.58107200000006</v>
      </c>
      <c r="K338" s="3">
        <f>272.1+(665.4-181.3)+(0.277542+(0.678708-0.184926))+0-0-0</f>
        <v>756.9713240000001</v>
      </c>
      <c r="L338" s="3">
        <f>270.6+(698.3-202.9)+(0.138006+(0.356133-0.103479))+0-0-0</f>
        <v>766.39066000000003</v>
      </c>
      <c r="M338" s="3">
        <f>358.7+(680.1-245.7)+(0+(0-0))+0-0-0</f>
        <v>793.1</v>
      </c>
      <c r="N338" s="3">
        <f>396.8+(700.6-234.6)+(-0.202368+(-0.357306--0.119646))+0-0-0</f>
        <v>862.35997199999997</v>
      </c>
      <c r="O338" s="3">
        <f>395.8+(759.2-232.9)+(0.403716+(0.774384-0.237558))+0-0-0</f>
        <v>923.04054200000019</v>
      </c>
      <c r="P338" s="3">
        <f>399.4+(755.4-229.9)+(0+(0-0))+0-0-0</f>
        <v>924.9</v>
      </c>
      <c r="Q338" s="3">
        <f>393.5+(767.8-236.2)+(-0.602055+(-1.174734--0.361386))+0-0-0</f>
        <v>923.68459699999994</v>
      </c>
      <c r="R338" s="3">
        <f>391+(755.4-233.9)+(-0.79764+(-1.541016--0.477156))+0-0-0</f>
        <v>910.63850000000002</v>
      </c>
      <c r="S338" s="3">
        <f>394.3+(706.8-217.5)+(0.402186+(0.720936-0.22185))+0-0-0</f>
        <v>884.50127199999986</v>
      </c>
      <c r="T338" s="3">
        <f>392+(752.7-256)+(-0.19992+(-0.383877--0.13056))+0-0-0</f>
        <v>888.2467630000001</v>
      </c>
      <c r="U338" s="3">
        <f>393.1+(751.6-262.8)+(0.400962+(0.766632-0.268056))+0-0-0</f>
        <v>882.7995380000001</v>
      </c>
      <c r="V338" s="3">
        <f>392.3+(754.9-272.1)+(-0.200073+(-0.384999--0.138771))+0-0-0</f>
        <v>874.65369899999996</v>
      </c>
      <c r="W338" s="3">
        <f>390.3+(740.3-251.2)+(-0.597159+(-1.132659--0.384336))+0-0-0</f>
        <v>878.05451800000003</v>
      </c>
      <c r="X338" s="3">
        <f>392.5+(787.2-239)+(0.200175+(0.401472-0.12189))+0-0-0</f>
        <v>941.179757</v>
      </c>
      <c r="Y338" s="3">
        <f>393.7+(797.1-254.2)+(-1.003935+(-2.032605--0.64821))+0-0-0</f>
        <v>934.21167000000014</v>
      </c>
      <c r="Z338" s="3">
        <f>402.2+(776.4-254.7)+(-0.205122+(-0.395964--0.129897))+0-0-0</f>
        <v>923.42881100000011</v>
      </c>
      <c r="AA338" s="3">
        <f>401+(734-229.3)+(-0.61353+(-1.12302--0.350829))+0-0-0</f>
        <v>904.31427900000006</v>
      </c>
      <c r="AB338" s="3">
        <f>400.9+(724.8-242.1)+(-0.613377+(-1.108944--0.370413))+0-0-0</f>
        <v>882.24809199999993</v>
      </c>
      <c r="AC338" s="3">
        <f>398.3+(705.2-250.8)+(-1.015665+(-1.79826--0.63954))+0-0-0</f>
        <v>850.52561500000002</v>
      </c>
      <c r="AD338" s="2">
        <v>949.69999999999993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403.7+(649.1-253.6)+(-0.617661+(-0.993123--0.388008))+0-0-0</f>
        <v>797.97722400000009</v>
      </c>
      <c r="G339" s="3">
        <f>405.2+(655.5-297.2)+(0+(0-0))+0-0-0</f>
        <v>763.5</v>
      </c>
      <c r="H339" s="3">
        <f>338.6+(593.2-189.3)+(0.518058+(0.907596-0.289629))+0-0-0</f>
        <v>743.63602500000002</v>
      </c>
      <c r="I339" s="3">
        <f>302.6+(567.4-130.3)+(-0.308652+(-0.578748--0.132906))+0-0-0</f>
        <v>738.94550600000002</v>
      </c>
      <c r="J339" s="3">
        <f>302.6+(564-145.3)+(0.462978+(0.86292-0.222309))+0-0-0</f>
        <v>722.40358900000001</v>
      </c>
      <c r="K339" s="3">
        <f>351.8+(558.6-184.3)+(0+(0-0))+0-0-0</f>
        <v>726.1</v>
      </c>
      <c r="L339" s="3">
        <f>401.7+(582.6-239.3)+(-0.819468+(-1.188504--0.488172))+0-0-0</f>
        <v>743.48019999999997</v>
      </c>
      <c r="M339" s="3">
        <f>404.6+(603.4-241.6)+(0.206346+(0.307734-0.123216))+0-0-0</f>
        <v>766.79086399999994</v>
      </c>
      <c r="N339" s="3">
        <f>406+(659.6-243.4)+(0.41412+(0.672792-0.248268))+0-0-0</f>
        <v>823.03864400000009</v>
      </c>
      <c r="O339" s="3">
        <f>398+(679-212)+(0.60894+(1.03887-0.32436))+0-0-0</f>
        <v>866.32344999999998</v>
      </c>
      <c r="P339" s="3">
        <f>393.3+(734.8-249.3)+(0+(0-0))+0-0-0</f>
        <v>878.8</v>
      </c>
      <c r="Q339" s="3">
        <f>393.2+(767-278.1)+(0+(0-0))+0-0-0</f>
        <v>882.09999999999991</v>
      </c>
      <c r="R339" s="3">
        <f>340.8+(793.1-268)+(-0.347616+(-0.808962--0.27336))+0-0-0</f>
        <v>865.01678200000003</v>
      </c>
      <c r="S339" s="3">
        <f>329.4+(736.8-228.4)+(0.167994+(0.375768-0.116484))+0-0-0</f>
        <v>838.22727799999996</v>
      </c>
      <c r="T339" s="3">
        <f>328.1+(687-187.5)+(-0.334662+(-0.70074--0.19125))+0-0-0</f>
        <v>826.75584800000001</v>
      </c>
      <c r="U339" s="3">
        <f>328.8+(665.3-174.1)+(-0.335376+(-0.678606--0.177582))+0-0-0</f>
        <v>819.16359999999997</v>
      </c>
      <c r="V339" s="3">
        <f>331.3+(659.6-173.4)+(0.506889+(1.009188-0.265302))+0-0-0</f>
        <v>818.75077499999998</v>
      </c>
      <c r="W339" s="3">
        <f>327.2+(672.7-174.8)+(-0.500616+(-1.029231--0.267444))+0-0-0</f>
        <v>823.83759700000007</v>
      </c>
      <c r="X339" s="3">
        <f>389+(735-220.5)+(0+(0-0))+0-0-0</f>
        <v>903.5</v>
      </c>
      <c r="Y339" s="3">
        <f>387.9+(743-238.3)+(-1.186974+(-2.27358--0.729198))+0-0-0</f>
        <v>889.8686439999999</v>
      </c>
      <c r="Z339" s="3">
        <f>391.3+(744.5-259.1)+(0.399126+(0.75939-0.264282))+0-0-0</f>
        <v>877.59423400000003</v>
      </c>
      <c r="AA339" s="3">
        <f>395.3+(703-242)+(-0.201603+(-0.35853--0.12342))+0-0-0</f>
        <v>855.8632869999999</v>
      </c>
      <c r="AB339" s="3">
        <f>396.3+(660-221.6)+(0+(0-0))+0-0-0</f>
        <v>834.7</v>
      </c>
      <c r="AC339" s="3">
        <f>289.5+(660.9-153)+(-0.442935+(-1.011177--0.23409))+0-0-0</f>
        <v>796.17997800000001</v>
      </c>
      <c r="AD339" s="2">
        <v>922.5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164.4+(677.2-74.1)+(-0.251532+(-1.036116--0.113373))+0-0-0</f>
        <v>766.32572500000003</v>
      </c>
      <c r="G340" s="3">
        <f>123.1+(733.5-117.1)+(-0.313905+(-1.870425--0.298605))+0-0-0</f>
        <v>737.61427500000002</v>
      </c>
      <c r="H340" s="3">
        <f>90.4+(677.7-44.5)+(-0.046104+(-0.345627--0.022695))+0-0-0</f>
        <v>723.23096399999997</v>
      </c>
      <c r="I340" s="3">
        <f>90.2+(647.8-31.5)+(0.046002+(0.330378-0.016065))+0-0-0</f>
        <v>706.86031500000001</v>
      </c>
      <c r="J340" s="3">
        <f>90.6+(660.5-47.5)+(0.046206+(0.336855-0.024225))+0-0-0</f>
        <v>703.95883600000002</v>
      </c>
      <c r="K340" s="3">
        <f>123.9+(666.2-90.2)+(0.252756+(1.359048-0.184008))+0-0-0</f>
        <v>701.32779599999992</v>
      </c>
      <c r="L340" s="3">
        <f>134.4+(710.9-153.3)+(-0.137088+(-0.725118--0.156366))+0-0-0</f>
        <v>691.29415999999992</v>
      </c>
      <c r="M340" s="3">
        <f>139.6+(735.4-194.9)+(-0.071196+(-0.375054--0.099399))+0-0-0</f>
        <v>679.75314900000001</v>
      </c>
      <c r="N340" s="3">
        <f>128.3+(716.6-140.5)+(-0.130866+(-0.730932--0.14331))+0-0-0</f>
        <v>703.68151200000011</v>
      </c>
      <c r="O340" s="3">
        <f>125.5+(767.6-141.5)+(0.12801+(0.782952-0.14433))+0-0-0</f>
        <v>752.36663199999998</v>
      </c>
      <c r="P340" s="3">
        <f>135.1+(708.6-67.8)+(0+(0-0))+0-0-0</f>
        <v>775.90000000000009</v>
      </c>
      <c r="Q340" s="3">
        <f>135.1+(694.6-48.4)+(0+(0-0))+0-0-0</f>
        <v>781.30000000000007</v>
      </c>
      <c r="R340" s="3">
        <f>134.3+(708-72.3)+(-0.205479+(-1.08324--0.110619))+0-0-0</f>
        <v>768.82190000000003</v>
      </c>
      <c r="S340" s="3">
        <f>134.5+(717.5-99.8)+(-0.068595+(-0.365925--0.050898))+0-0-0</f>
        <v>751.8163780000001</v>
      </c>
      <c r="T340" s="3">
        <f>134.1+(713-111.2)+(-0.136782+(-0.72726--0.113424))+0-0-0</f>
        <v>735.14938199999995</v>
      </c>
      <c r="U340" s="3">
        <f>131.8+(642.5-62.6)+(-0.134436+(-0.65535--0.063852))+0-0-0</f>
        <v>710.97406599999999</v>
      </c>
      <c r="V340" s="3">
        <f>131.1+(635.4-47.2)+(0+(0-0))+0-0-0</f>
        <v>719.3</v>
      </c>
      <c r="W340" s="3">
        <f>131.3+(666.8-68)+(-0.066963+(-0.340068--0.03468))+0-0-0</f>
        <v>729.72764899999993</v>
      </c>
      <c r="X340" s="3">
        <f>131.7+(777.3-90.6)+(-0.067167+(-0.396423--0.046206))+0-0-0</f>
        <v>817.98261599999989</v>
      </c>
      <c r="Y340" s="3">
        <f>132.9+(846.7-146.8)+(0+(0-0))+0-0-0</f>
        <v>832.80000000000007</v>
      </c>
      <c r="Z340" s="3">
        <f>132.6+(813.1-128.8)+(-0.135252+(-0.829362--0.131376))+0-0-0</f>
        <v>816.06676199999993</v>
      </c>
      <c r="AA340" s="3">
        <f>135.3+(784.2-116.7)+(-0.069003+(-0.399942--0.059517))+0-0-0</f>
        <v>802.39057199999991</v>
      </c>
      <c r="AB340" s="3">
        <f>134.5+(783.2-137)+(-0.342975+(-1.99716--0.34935))+0-0-0</f>
        <v>778.70921500000009</v>
      </c>
      <c r="AC340" s="3">
        <f>125.3+(691.6-69.6)+(-0.319515+(-1.76358--0.17748))+0-0-0</f>
        <v>745.39438499999994</v>
      </c>
      <c r="AD340" s="2">
        <v>828.6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100.7+(708.8-100.8)+(-0.102714+(-0.722976--0.102816))+0-0-0</f>
        <v>707.977126</v>
      </c>
      <c r="G341" s="3">
        <f>92.3+(652.5-57.8)+(0.094146+(0.66555-0.058956))+0-0-0</f>
        <v>687.70074</v>
      </c>
      <c r="H341" s="3">
        <f>80.4+(649.8-53.9)+(0.082008+(0.662796-0.054978))+0-0-0</f>
        <v>676.98982599999999</v>
      </c>
      <c r="I341" s="3">
        <f>80+(640.6-47.8)+(0.0408+(0.326706-0.024378))+0-0-0</f>
        <v>673.14312800000005</v>
      </c>
      <c r="J341" s="3">
        <f>80+(636.8-44.8)+(-0.0408+(-0.324768--0.022848))+0-0-0</f>
        <v>671.65728000000001</v>
      </c>
      <c r="K341" s="3">
        <f>89.3+(623.7-35)+(0.091086+(0.636174-0.0357))+0-0-0</f>
        <v>678.69155999999998</v>
      </c>
      <c r="L341" s="3">
        <f>100.9+(712.7-91.2)+(0.051459+(0.363477-0.046512))+0-0-0</f>
        <v>722.76842399999998</v>
      </c>
      <c r="M341" s="3">
        <f>100.9+(752.8-78.5)+(0.051459+(0.383928-0.040035))+0-0-0</f>
        <v>775.59535199999993</v>
      </c>
      <c r="N341" s="3">
        <f>195.1+(711.5-70)+(0.199002+(0.72573-0.0714))+0-0-0</f>
        <v>837.45333200000005</v>
      </c>
      <c r="O341" s="3">
        <f>268+(753.9-131.6)+(0.54672+(1.537956-0.268464))+0-0-0</f>
        <v>892.1162119999999</v>
      </c>
      <c r="P341" s="3">
        <f>264.4+(812.2-160.8)+(0+(0-0))+0-0-0</f>
        <v>915.80000000000007</v>
      </c>
      <c r="Q341" s="3">
        <f>261.7+(817.6-153.3)+(0+(0-0))+0-0-0</f>
        <v>926</v>
      </c>
      <c r="R341" s="3">
        <f>260.8+(808.2-160)+(-0.266016+(-0.824364--0.1632))+0-0-0</f>
        <v>908.07281999999998</v>
      </c>
      <c r="S341" s="3">
        <f>259.6+(777.1-169.8)+(-0.529584+(-1.585284--0.346392))+0-0-0</f>
        <v>865.13152400000001</v>
      </c>
      <c r="T341" s="3">
        <f>257.6+(807.5-195.4)+(0+(0-0))+0-0-0</f>
        <v>869.7</v>
      </c>
      <c r="U341" s="3">
        <f>260.4+(798.6-182.1)+(0.132804+(0.407286-0.092871))+0-0-0</f>
        <v>877.347219</v>
      </c>
      <c r="V341" s="3">
        <f>260.9+(728.7-122.4)+(0+(0-0))+0-0-0</f>
        <v>867.2</v>
      </c>
      <c r="W341" s="3">
        <f>373.3+(679.4-177.4)+(-0.380766+(-0.692988--0.180948))+0-0-0</f>
        <v>874.407194</v>
      </c>
      <c r="X341" s="3">
        <f>405.9+(735.3-196.7)+(-0.621027+(-1.125009--0.300951))+0-0-0</f>
        <v>943.05491499999994</v>
      </c>
      <c r="Y341" s="3">
        <f>409.6+(738.5-214.7)+(-0.417792+(-0.75327--0.218994))+0-0-0</f>
        <v>932.44793199999992</v>
      </c>
      <c r="Z341" s="3">
        <f>411.9+(728.3-214)+(0.210069+(0.371433-0.10914))+0-0-0</f>
        <v>926.67236199999991</v>
      </c>
      <c r="AA341" s="3">
        <f>410.5+(696-193)+(-0.41871+(-0.70992--0.19686))+0-0-0</f>
        <v>912.56822999999997</v>
      </c>
      <c r="AB341" s="3">
        <f>241.4+(780.8-151.6)+(-0.246228+(-0.796416--0.154632))+0-0-0</f>
        <v>869.71198799999991</v>
      </c>
      <c r="AC341" s="3">
        <f>153.3+(759.5-80.9)+(-0.078183+(-0.387345--0.041259))+0-0-0</f>
        <v>831.47573100000011</v>
      </c>
      <c r="AD341" s="2">
        <v>933.80000000000007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138.6+(790-110.9)+(-0.35343+(-2.0145--0.282795))+0-0-0</f>
        <v>815.61486500000001</v>
      </c>
      <c r="G342" s="3">
        <f>137.1+(817.9-186.3)+(-0.069921+(-0.417129--0.095013))+0-0-0</f>
        <v>768.30796299999997</v>
      </c>
      <c r="H342" s="3">
        <f>134.4+(760.8-116.3)+(-0.137088+(-0.776016--0.118626))+0-0-0</f>
        <v>778.10552199999995</v>
      </c>
      <c r="I342" s="3">
        <f>133.8+(744.5-107.7)+(-0.204714+(-1.139085--0.164781))+0-0-0</f>
        <v>769.42098199999987</v>
      </c>
      <c r="J342" s="3">
        <f>102.9+(747.2-103.3)+(0.052479+(0.381072-0.052683))+0-0-0</f>
        <v>747.18086800000003</v>
      </c>
      <c r="K342" s="3">
        <f>109.4+(743.8-112.4)+(-0.055794+(-0.379338--0.057324))+0-0-0</f>
        <v>740.422192</v>
      </c>
      <c r="L342" s="3">
        <f>118+(735.4-85.2)+(-0.06018+(-0.375054--0.043452))+0-0-0</f>
        <v>767.8082179999999</v>
      </c>
      <c r="M342" s="3">
        <f>149.1+(730.3-75)+(0.076041+(0.372453-0.03825))+0-0-0</f>
        <v>804.81024400000001</v>
      </c>
      <c r="N342" s="3">
        <f>321.6+(638.9-103.5)+(0.164016+(0.325839-0.052785))+0-0-0</f>
        <v>857.43706999999995</v>
      </c>
      <c r="O342" s="3">
        <f>392.9+(639.8-137.7)+(0+(0-0))+0-0-0</f>
        <v>895</v>
      </c>
      <c r="P342" s="3">
        <f>394.5+(694.4-177.2)+(0+(0-0))+0-0-0</f>
        <v>911.7</v>
      </c>
      <c r="Q342" s="3">
        <f>396+(705.2-182.4)+(-0.20196+(-0.359652--0.093024))+0-0-0</f>
        <v>918.33141200000011</v>
      </c>
      <c r="R342" s="3">
        <f>362.6+(704.8-172.3)+(-0.739704+(-1.437792--0.351492))+0-0-0</f>
        <v>893.27399600000001</v>
      </c>
      <c r="S342" s="3">
        <f>330.1+(693.3-160.8)+(0.336702+(0.707166-0.164016))+0-0-0</f>
        <v>863.47985200000005</v>
      </c>
      <c r="T342" s="3">
        <f>330.2+(691-168.3)+(0.168402+(0.35241-0.085833))+0-0-0</f>
        <v>853.33497900000009</v>
      </c>
      <c r="U342" s="3">
        <f>330.8+(662.2-148.8)+(0.337416+(0.675444-0.151776))+0-0-0</f>
        <v>845.06108400000005</v>
      </c>
      <c r="V342" s="3">
        <f>330.9+(670-156.1)+(0.337518+(0.6834-0.159222))+0-0-0</f>
        <v>845.66169600000001</v>
      </c>
      <c r="W342" s="3">
        <f>376.5+(665.1-181.2)+(-0.76806+(-1.356804--0.369648))+0-0-0</f>
        <v>858.64478400000007</v>
      </c>
      <c r="X342" s="3">
        <f>391.7+(710.6-177.9)+(-0.199767+(-0.362406--0.090729))+0-0-0</f>
        <v>923.92855600000007</v>
      </c>
      <c r="Y342" s="3">
        <f>390.2+(705-176.9)+(-0.796008+(-1.4382--0.360876))+0-0-0</f>
        <v>916.42666799999995</v>
      </c>
      <c r="Z342" s="3">
        <f>386.9+(705.6-188.3)+(-0.986595+(-1.79928--0.480165))+0-0-0</f>
        <v>901.89428999999996</v>
      </c>
      <c r="AA342" s="3">
        <f>390.6+(689.2-185.4)+(0+(0-0))+0-0-0</f>
        <v>894.40000000000009</v>
      </c>
      <c r="AB342" s="3">
        <f>390.6+(622.7-152.7)+(-0.199206+(-0.317577--0.077877))+0-0-0</f>
        <v>860.16109400000016</v>
      </c>
      <c r="AC342" s="3">
        <f>389.2+(630.8-198.7)+(-0.595476+(-0.965124--0.304011))+0-0-0</f>
        <v>820.04341099999999</v>
      </c>
      <c r="AD342" s="2">
        <v>926.30000000000007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362.4+(669.5-240.8)+(-0.369648+(-0.68289--0.245616))+0-0-0</f>
        <v>790.29307799999992</v>
      </c>
      <c r="G343" s="3">
        <f>349.9+(672.1-262.5)+(0.178449+(0.342771-0.133875))+0-0-0</f>
        <v>759.88734499999998</v>
      </c>
      <c r="H343" s="3">
        <f>389.3+(649.4-292.6)+(-0.397086+(-0.662388--0.298452))+0-0-0</f>
        <v>745.33897799999988</v>
      </c>
      <c r="I343" s="3">
        <f>349.5+(591.9-208.5)+(0.178245+(0.301869-0.106335))+0-0-0</f>
        <v>733.27377899999999</v>
      </c>
      <c r="J343" s="3">
        <f>308.1+(521.9-97.2)+(0+(0-0))+0-0-0</f>
        <v>732.8</v>
      </c>
      <c r="K343" s="3">
        <f>303.9+(541.6-102.5)+(-0.464967+(-0.828648--0.156825))+0-0-0</f>
        <v>741.86320999999998</v>
      </c>
      <c r="L343" s="3">
        <f>271.1+(602.8-112.3)+(0+(0-0))+0-0-0</f>
        <v>761.59999999999991</v>
      </c>
      <c r="M343" s="3">
        <f>354.4+(586.5-149.6)+(0.180744+(0.299115-0.076296))+0-0-0</f>
        <v>791.70356299999992</v>
      </c>
      <c r="N343" s="3">
        <f>398.6+(705.3-249.9)+(-0.203286+(-0.359703--0.127449))+0-0-0</f>
        <v>853.56446000000005</v>
      </c>
      <c r="O343" s="3">
        <f>397.4+(718.2-206.2)+(-0.608022+(-1.098846--0.315486))+0-0-0</f>
        <v>908.00861799999996</v>
      </c>
      <c r="P343" s="3">
        <f>397.3+(721.1-205.6)+(-0.607869+(-1.103283--0.314568))+0-0-0</f>
        <v>911.40341599999999</v>
      </c>
      <c r="Q343" s="3">
        <f>397.8+(757.4-224.5)+(-0.811512+(-1.545096--0.45798))+0-0-0</f>
        <v>928.80137200000001</v>
      </c>
      <c r="R343" s="3">
        <f>394.4+(720.9-222.2)+(0+(0-0))+0-0-0</f>
        <v>893.09999999999991</v>
      </c>
      <c r="S343" s="3">
        <f>346.2+(711.1-187.7)+(-0.529686+(-1.087983--0.287181))+0-0-0</f>
        <v>868.26951200000019</v>
      </c>
      <c r="T343" s="3">
        <f>331.5+(737.7-197.2)+(0.33813+(0.752454-0.201144))+0-0-0</f>
        <v>872.88944000000004</v>
      </c>
      <c r="U343" s="3">
        <f>330+(735.4-196.9)+(-0.1683+(-0.375054--0.100419))+0-0-0</f>
        <v>868.05706499999997</v>
      </c>
      <c r="V343" s="3">
        <f>372.5+(712.8-218.7)+(0+(0-0))+0-0-0</f>
        <v>866.59999999999991</v>
      </c>
      <c r="W343" s="3">
        <f>391.2+(668.4-191.7)+(-0.399024+(-0.681768--0.195534))+0-0-0</f>
        <v>867.01474199999996</v>
      </c>
      <c r="X343" s="3">
        <f>391.6+(735.3-193.9)+(-0.199716+(-0.375003--0.098889))+0-0-0</f>
        <v>932.52417000000003</v>
      </c>
      <c r="Y343" s="3">
        <f>388.4+(801.4-245.9)+(-0.99042+(-2.04357--0.627045))+0-0-0</f>
        <v>941.49305500000003</v>
      </c>
      <c r="Z343" s="3">
        <f>397.7+(784-242.6)+(0+(0-0))+0-0-0</f>
        <v>939.09999999999991</v>
      </c>
      <c r="AA343" s="3">
        <f>396.8+(745.9-240.1)+(-0.404736+(-0.760818--0.244902))+0-0-0</f>
        <v>901.67934799999989</v>
      </c>
      <c r="AB343" s="3">
        <f>396.8+(681.9-204.5)+(-0.404736+(-0.695538--0.20859))+0-0-0</f>
        <v>873.30831599999999</v>
      </c>
      <c r="AC343" s="3">
        <f>394.5+(594-142.9)+(-1.005975+(-1.5147--0.364395))+0-0-0</f>
        <v>843.44371999999998</v>
      </c>
      <c r="AD343" s="2">
        <v>945.59999999999991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394.6+(551.8-157.7)+(-0.603738+(-0.844254--0.241281))+0-0-0</f>
        <v>787.493289</v>
      </c>
      <c r="G344" s="3">
        <f>336.4+(558.1-136.9)+(-0.514692+(-0.853893--0.209457))+0-0-0</f>
        <v>756.44087200000001</v>
      </c>
      <c r="H344" s="3">
        <f>302.6+(547.9-107.5)+(-0.154326+(-0.279429--0.054825))+0-0-0</f>
        <v>742.62107000000003</v>
      </c>
      <c r="I344" s="3">
        <f>302.6+(555.8-121.5)+(-0.308652+(-0.566916--0.12393))+0-0-0</f>
        <v>736.14836200000002</v>
      </c>
      <c r="J344" s="3">
        <f>302.6+(562.9-125.4)+(0.154326+(0.287079-0.063954))+0-0-0</f>
        <v>740.47745099999997</v>
      </c>
      <c r="K344" s="3">
        <f>387.9+(536.8-191.1)+(0.791316+(1.095072-0.389844))+0-0-0</f>
        <v>735.09654399999988</v>
      </c>
      <c r="L344" s="3">
        <f>399.9+(558.3-199.2)+(-0.203949+(-0.284733--0.101592))+0-0-0</f>
        <v>758.61291000000006</v>
      </c>
      <c r="M344" s="3">
        <f>400.1+(617-221.2)+(-0.204051+(-0.31467--0.112812))+0-0-0</f>
        <v>795.49409100000014</v>
      </c>
      <c r="N344" s="3">
        <f>389.7+(706-236.4)+(-0.198747+(-0.36006--0.120564))+0-0-0</f>
        <v>858.8617569999999</v>
      </c>
      <c r="O344" s="3">
        <f>388.8+(695.2-180.4)+(-0.793152+(-1.418208--0.368016))+0-0-0</f>
        <v>901.75665600000013</v>
      </c>
      <c r="P344" s="3">
        <f>394+(714.8-202.7)+(-0.20094+(-0.364548--0.103377))+0-0-0</f>
        <v>905.63788899999986</v>
      </c>
      <c r="Q344" s="3">
        <f>392.9+(752.8-231.5)+(-0.400758+(-0.767856--0.23613))+0-0-0</f>
        <v>913.26751599999989</v>
      </c>
      <c r="R344" s="3">
        <f>391.7+(755.3-242.2)+(-0.799068+(-1.540812--0.494088))+0-0-0</f>
        <v>902.95420799999999</v>
      </c>
      <c r="S344" s="3">
        <f>393.4+(703.1-227)+(-0.601902+(-1.075743--0.34731))+0-0-0</f>
        <v>868.16966500000001</v>
      </c>
      <c r="T344" s="3">
        <f>394.5+(711.9-233.3)+(0.201195+(0.363069-0.118983))+0-0-0</f>
        <v>873.54528099999993</v>
      </c>
      <c r="U344" s="3">
        <f>394.9+(697.6-224.3)+(0.402798+(0.711552-0.228786))+0-0-0</f>
        <v>869.08556400000009</v>
      </c>
      <c r="V344" s="3">
        <f>394.2+(680.9-182.9)+(0.201042+(0.347259-0.093279))+0-0-0</f>
        <v>892.65502200000003</v>
      </c>
      <c r="W344" s="3">
        <f>394.7+(668.8-208.3)+(0.201297+(0.341088-0.106233))+0-0-0</f>
        <v>855.63615199999992</v>
      </c>
      <c r="X344" s="3">
        <f>394.6+(740.7-205.1)+(0+(0-0))+0-0-0</f>
        <v>930.2</v>
      </c>
      <c r="Y344" s="3">
        <f>400.8+(781.8-245.1)+(0+(0-0))+0-0-0</f>
        <v>937.5</v>
      </c>
      <c r="Z344" s="3">
        <f>401.6+(738-226.1)+(-0.204816+(-0.37638--0.115311))+0-0-0</f>
        <v>913.03411500000004</v>
      </c>
      <c r="AA344" s="3">
        <f>402.4+(719.3-216.1)+(0+(0-0))+0-0-0</f>
        <v>905.59999999999991</v>
      </c>
      <c r="AB344" s="3">
        <f>400.3+(709.7-235.7)+(-0.816612+(-1.447788--0.480828))+0-0-0</f>
        <v>872.51642800000002</v>
      </c>
      <c r="AC344" s="3">
        <f>405.4+(666.3-231.5)+(-0.206754+(-0.339813--0.118065))+0-0-0</f>
        <v>839.77149799999995</v>
      </c>
      <c r="AD344" s="2">
        <v>935.10000000000014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402.4+(607.4-212.2)+(-1.02612+(-1.54887--0.54111))+0-0-0</f>
        <v>795.56611999999996</v>
      </c>
      <c r="G345" s="3">
        <f>332.4+(650-221.8)+(-0.508572+(-0.9945--0.339354))+0-0-0</f>
        <v>759.43628199999989</v>
      </c>
      <c r="H345" s="3">
        <f>269.8+(671.6-192.4)+(0+(0-0))+0-0-0</f>
        <v>749</v>
      </c>
      <c r="I345" s="3">
        <f>271.1+(610.9-135.6)+(0.138261+(0.311559-0.069156))+0-0-0</f>
        <v>746.780664</v>
      </c>
      <c r="J345" s="3">
        <f>267.2+(602-127.3)+(-0.545088+(-1.22808--0.259692))+0-0-0</f>
        <v>740.38652400000001</v>
      </c>
      <c r="K345" s="3">
        <f>386.4+(571.2-214.3)+(0.197064+(0.291312-0.109293))+0-0-0</f>
        <v>743.67908299999999</v>
      </c>
      <c r="L345" s="3">
        <f>409.2+(564.6-206.2)+(0.208692+(0.287946-0.105162))+0-0-0</f>
        <v>767.99147600000003</v>
      </c>
      <c r="M345" s="3">
        <f>409.2+(631.3-237)+(-0.208692+(-0.321963--0.12087))+0-0-0</f>
        <v>803.09021499999994</v>
      </c>
      <c r="N345" s="3">
        <f>406.9+(673.8-213.7)+(0+(0-0))+0-0-0</f>
        <v>867</v>
      </c>
      <c r="O345" s="3">
        <f>408+(765.1-272.5)+(-0.20808+(-0.390201--0.138975))+0-0-0</f>
        <v>900.14069400000005</v>
      </c>
      <c r="P345" s="3">
        <f>413.1+(782.1-283.6)+(-0.632043+(-1.196613--0.433908))+0-0-0</f>
        <v>910.20525199999997</v>
      </c>
      <c r="Q345" s="3">
        <f>407.3+(800.6-283.6)+(-0.207723+(-0.408306--0.144636))+0-0-0</f>
        <v>923.82860699999992</v>
      </c>
      <c r="R345" s="3">
        <f>404.2+(774.9-273.8)+(-0.206142+(-0.395199--0.139638))+0-0-0</f>
        <v>904.8382969999999</v>
      </c>
      <c r="S345" s="3">
        <f>402+(747.7-264)+(0.61506+(1.143981-0.40392))+0-0-0</f>
        <v>887.0551210000001</v>
      </c>
      <c r="T345" s="3">
        <f>399.3+(741.9-253)+(0.407286+(0.756738-0.25806))+0-0-0</f>
        <v>889.10596400000009</v>
      </c>
      <c r="U345" s="3">
        <f>397.6+(739.3-257.4)+(-0.405552+(-0.754086--0.262548))+0-0-0</f>
        <v>878.60290999999995</v>
      </c>
      <c r="V345" s="3">
        <f>396.1+(716.7-248.9)+(0.202011+(0.365517-0.126939))+0-0-0</f>
        <v>864.34058900000014</v>
      </c>
      <c r="W345" s="3">
        <f>400.2+(717-259.9)+(0.204102+(0.36567-0.132549))+0-0-0</f>
        <v>857.73722299999997</v>
      </c>
      <c r="X345" s="3">
        <f>407.2+(779.6-265.9)+(-0.207672+(-0.397596--0.135609))+0-0-0</f>
        <v>920.43034100000011</v>
      </c>
      <c r="Y345" s="3">
        <f>408.1+(804.6-271.2)+(-1.040655+(-2.05173--0.69156))+0-0-0</f>
        <v>939.09917500000006</v>
      </c>
      <c r="Z345" s="3">
        <f>412.8+(768.8-255.3)+(-0.842112+(-1.568352--0.520812))+0-0-0</f>
        <v>924.410348</v>
      </c>
      <c r="AA345" s="3">
        <f>413.3+(730.3-239.1)+(-1.053915+(-1.862265--0.609705))+0-0-0</f>
        <v>902.19352500000002</v>
      </c>
      <c r="AB345" s="3">
        <f>414.9+(723.5-259.2)+(-0.211599+(-0.368985--0.132192))+0-0-0</f>
        <v>878.75160800000003</v>
      </c>
      <c r="AC345" s="3">
        <f>415.4+(664.2-242.4)+(-0.635562+(-1.016226--0.370872))+0-0-0</f>
        <v>835.919084</v>
      </c>
      <c r="AD345" s="2">
        <v>948.69999999999993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415.7+(611.8-241.8)+(-0.212007+(-0.312018--0.123318))+0-0-0</f>
        <v>785.29929299999992</v>
      </c>
      <c r="G346" s="3">
        <f>417.3+(551.9-215.4)+(-0.212823+(-0.281469--0.109854))+0-0-0</f>
        <v>753.41556199999991</v>
      </c>
      <c r="H346" s="3">
        <f>418.1+(560.5-237.8)+(0.213231+(0.285855-0.121278))+0-0-0</f>
        <v>741.17780799999991</v>
      </c>
      <c r="I346" s="3">
        <f>416.4+(553.3-244.1)+(-0.424728+(-0.564366--0.248982))+0-0-0</f>
        <v>724.85988799999996</v>
      </c>
      <c r="J346" s="3">
        <f>416.9+(552-249.4)+(0.425238+(0.56304-0.254388))+0-0-0</f>
        <v>720.23388999999997</v>
      </c>
      <c r="K346" s="3">
        <f>417.6+(534.7-234.7)+(0.212976+(0.272697-0.119697))+0-0-0</f>
        <v>717.96597600000018</v>
      </c>
      <c r="L346" s="3">
        <f>419.3+(574.6-271.6)+(-1.283058+(-1.758276--0.831096))+0-0-0</f>
        <v>720.08976199999995</v>
      </c>
      <c r="M346" s="3">
        <f>418.6+(604.3-276.8)+(0.213486+(0.308193-0.141168))+0-0-0</f>
        <v>746.48051099999986</v>
      </c>
      <c r="N346" s="3">
        <f>294.7+(799.2-267.8)+(0+(0-0))+0-0-0</f>
        <v>826.10000000000014</v>
      </c>
      <c r="O346" s="3">
        <f>274.6+(945.7-355.3)+(-0.280092+(-0.964614--0.362406))+0-0-0</f>
        <v>864.11770000000013</v>
      </c>
      <c r="P346" s="3">
        <f>272+(953-347.3)+(0.13872+(0.48603-0.177123))+0-0-0</f>
        <v>878.14762700000006</v>
      </c>
      <c r="Q346" s="3">
        <f>270.6+(986.4-364.2)+(-0.552024+(-2.012256--0.742968))+0-0-0</f>
        <v>890.97868800000003</v>
      </c>
      <c r="R346" s="3">
        <f>269.1+(955.7-353.1)+(-0.274482+(-0.974814--0.360162))+0-0-0</f>
        <v>870.81086600000003</v>
      </c>
      <c r="S346" s="3">
        <f>267.4+(911.6-344)+(-0.68187+(-2.32458--0.8772))+0-0-0</f>
        <v>832.87075000000004</v>
      </c>
      <c r="T346" s="3">
        <f>264.3+(862.6-301.3)+(-0.269586+(-0.879852--0.307326))+0-0-0</f>
        <v>824.75788799999987</v>
      </c>
      <c r="U346" s="3">
        <f>263.7+(819.5-267.8)+(-0.806922+(-2.50767--0.819468))+0-0-0</f>
        <v>812.90487600000006</v>
      </c>
      <c r="V346" s="3">
        <f>263.2+(782.6-238.1)+(0+(0-0))+0-0-0</f>
        <v>807.7</v>
      </c>
      <c r="W346" s="3">
        <f>263.7+(751.4-197.7)+(-0.268974+(-0.766428--0.201654))+0-0-0</f>
        <v>816.56625200000008</v>
      </c>
      <c r="X346" s="3">
        <f>265.5+(840.9-222.8)+(0.27081+(0.857718-0.227256))+0-0-0</f>
        <v>884.50127199999986</v>
      </c>
      <c r="Y346" s="3">
        <f>268.3+(863.7-239.9)+(-0.410499+(-1.321461--0.367047))+0-0-0</f>
        <v>890.73508700000014</v>
      </c>
      <c r="Z346" s="3">
        <f>268.9+(872.2-266.9)+(-0.548556+(-1.779288--0.544476))+0-0-0</f>
        <v>872.41663200000005</v>
      </c>
      <c r="AA346" s="3">
        <f>267.8+(839.7-251.1)+(-0.136578+(-0.428247--0.128061))+0-0-0</f>
        <v>855.96323600000005</v>
      </c>
      <c r="AB346" s="3">
        <f>217.4+(946.2-321.2)+(-0.221748+(-0.965124--0.327624))+0-0-0</f>
        <v>841.540752</v>
      </c>
      <c r="AC346" s="3">
        <f>269+(804.1-270.9)+(-0.13719+(-0.410091--0.138159))+0-0-0</f>
        <v>801.79087800000002</v>
      </c>
      <c r="AD346" s="2">
        <v>905.1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268.3+(669.8-180)+(-0.273666+(-0.683196--0.1836))+0-0-0</f>
        <v>757.32673799999986</v>
      </c>
      <c r="G347" s="3">
        <f>268.3+(606-136.1)+(-0.136833+(-0.30906--0.069411))+0-0-0</f>
        <v>737.82351800000004</v>
      </c>
      <c r="H347" s="3">
        <f>263.3+(570.1-113)+(-0.268566+(-0.581502--0.11526))+0-0-0</f>
        <v>719.66519200000005</v>
      </c>
      <c r="I347" s="3">
        <f>250.2+(605-143.2)+(0.127602+(0.30855-0.073032))+0-0-0</f>
        <v>712.36311999999998</v>
      </c>
      <c r="J347" s="3">
        <f>248.1+(613.2-156.2)+(-0.506124+(-1.250928--0.318648))+0-0-0</f>
        <v>703.66159600000003</v>
      </c>
      <c r="K347" s="3">
        <f>252.8+(617.8-168.3)+(0.128928+(0.315078-0.085833))+0-0-0</f>
        <v>702.65817299999992</v>
      </c>
      <c r="L347" s="3">
        <f>207+(640.3-160.6)+(-0.63342+(-1.959318--0.491436))+0-0-0</f>
        <v>684.5986979999999</v>
      </c>
      <c r="M347" s="3">
        <f>100.1+(728.5-153.1)+(-0.153153+(-1.114605--0.234243))+0-0-0</f>
        <v>674.46648500000003</v>
      </c>
      <c r="N347" s="3">
        <f>100.1+(750.1-137.4)+(-0.051051+(-0.382551--0.070074))+0-0-0</f>
        <v>712.43647200000009</v>
      </c>
      <c r="O347" s="3">
        <f>133.1+(760.8-139.7)+(-0.067881+(-0.388008--0.071247))+0-0-0</f>
        <v>753.81535799999995</v>
      </c>
      <c r="P347" s="3">
        <f>261.5+(684.4-172.3)+(-0.133365+(-0.349044--0.087873))+0-0-0</f>
        <v>773.20546399999989</v>
      </c>
      <c r="Q347" s="3">
        <f>260.4+(713.3-187.1)+(0+(0-0))+0-0-0</f>
        <v>786.59999999999991</v>
      </c>
      <c r="R347" s="3">
        <f>259+(719.3-198.1)+(-0.39627+(-1.100529--0.303093))+0-0-0</f>
        <v>779.00629399999991</v>
      </c>
      <c r="S347" s="3">
        <f>259.6+(664.4-173.6)+(0.264792+(0.677688-0.177072))+0-0-0</f>
        <v>751.16540799999996</v>
      </c>
      <c r="T347" s="3">
        <f>258.9+(621.6-146.1)+(0+(0-0))+0-0-0</f>
        <v>734.4</v>
      </c>
      <c r="U347" s="3">
        <f>258.2+(591.1-130.4)+(-0.395046+(-0.904383--0.199512))+0-0-0</f>
        <v>717.80008300000009</v>
      </c>
      <c r="V347" s="3">
        <f>258.9+(575.3-116.7)+(0.264078+(0.586806-0.119034))+0-0-0</f>
        <v>718.23185000000001</v>
      </c>
      <c r="W347" s="3">
        <f>260+(618.5-153.6)+(0.1326+(0.315435-0.078336))+0-0-0</f>
        <v>725.26969899999995</v>
      </c>
      <c r="X347" s="3">
        <f>260.6+(713.5-172.7)+(0+(0-0))+0-0-0</f>
        <v>801.4</v>
      </c>
      <c r="Y347" s="3">
        <f>260.2+(757.5-190.6)+(-0.132702+(-0.386325--0.097206))+0-0-0</f>
        <v>826.67817899999989</v>
      </c>
      <c r="Z347" s="3">
        <f>258.9+(728.4-170.5)+(-0.132039+(-0.371484--0.086955))+0-0-0</f>
        <v>816.38343199999997</v>
      </c>
      <c r="AA347" s="3">
        <f>258.8+(698.6-152.6)+(-0.131988+(-0.356286--0.077826))+0-0-0</f>
        <v>804.38955199999998</v>
      </c>
      <c r="AB347" s="3">
        <f>259.2+(651.7-128.4)+(-0.264384+(-0.664734--0.130968))+0-0-0</f>
        <v>781.70185000000004</v>
      </c>
      <c r="AC347" s="3">
        <f>262.2+(608-115.7)+(0.133722+(0.31008-0.059007))+0-0-0</f>
        <v>754.88479500000005</v>
      </c>
      <c r="AD347" s="2">
        <v>830.8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260.9+(624.2-178.8)+(-0.665295+(-1.59171--0.45594))+0-0-0</f>
        <v>704.49893499999996</v>
      </c>
      <c r="G348" s="3">
        <f>234.5+(570.5-119.1)+(0.23919+(0.58191-0.121482))+0-0-0</f>
        <v>686.59961799999996</v>
      </c>
      <c r="H348" s="3">
        <f>178.3+(583-95.1)+(-0.363732+(-1.18932--0.194004))+0-0-0</f>
        <v>664.84095200000002</v>
      </c>
      <c r="I348" s="3">
        <f>179.7+(586.9-107.4)+(-0.183294+(-0.598638--0.109548))+0-0-0</f>
        <v>658.52761600000008</v>
      </c>
      <c r="J348" s="3">
        <f>180.9+(634.7-144.3)+(0.092259+(0.323697-0.073593))+0-0-0</f>
        <v>671.64236300000005</v>
      </c>
      <c r="K348" s="3">
        <f>180.6+(637.7-124.6)+(0+(0-0))+0-0-0</f>
        <v>693.7</v>
      </c>
      <c r="L348" s="3">
        <f>179.7+(715.6-178.8)+(-0.091647+(-0.364956--0.091188))+0-0-0</f>
        <v>716.13458500000002</v>
      </c>
      <c r="M348" s="3">
        <f>180.9+(749.3-149.5)+(0.184518+(0.764286-0.15249))+0-0-0</f>
        <v>781.49631399999998</v>
      </c>
      <c r="N348" s="3">
        <f>255.3+(789.3-198.7)+(0+(0-0))+0-0-0</f>
        <v>845.89999999999986</v>
      </c>
      <c r="O348" s="3">
        <f>265.3+(683-78.4)+(0.405909+(1.04499-0.119952))+0-0-0</f>
        <v>871.23094700000013</v>
      </c>
      <c r="P348" s="3">
        <f>265.1+(716.8-75.7)+(0.135201+(0.365568-0.038607))+0-0-0</f>
        <v>906.66216199999997</v>
      </c>
      <c r="Q348" s="3">
        <f>265.8+(724.6-80.5)+(0+(0-0))+0-0-0</f>
        <v>909.90000000000009</v>
      </c>
      <c r="R348" s="3">
        <f>266+(686.1-52.6)+(-0.13566+(-0.349911--0.026826))+0-0-0</f>
        <v>899.04125499999998</v>
      </c>
      <c r="S348" s="3">
        <f>266.2+(653.8-40.7)+(-0.271524+(-0.666876--0.041514))+0-0-0</f>
        <v>878.40311399999996</v>
      </c>
      <c r="T348" s="3">
        <f>259.7+(663.9-35.8)+(-0.264894+(-0.677178--0.036516))+0-0-0</f>
        <v>886.89444399999991</v>
      </c>
      <c r="U348" s="3">
        <f>180+(726.1-23.2)+(-0.0918+(-0.370311--0.011832))+0-0-0</f>
        <v>882.44972099999995</v>
      </c>
      <c r="V348" s="3">
        <f>179.9+(720.1-33.3)+(-0.091749+(-0.367251--0.016983))+0-0-0</f>
        <v>866.25798300000008</v>
      </c>
      <c r="W348" s="3">
        <f>212.1+(749.6-91.3)+(-0.108171+(-0.382296--0.046563))+0-0-0</f>
        <v>869.95609600000012</v>
      </c>
      <c r="X348" s="3">
        <f>240.2+(847.2-160.7)+(0.245004+(0.864144-0.163914))+0-0-0</f>
        <v>927.64523400000007</v>
      </c>
      <c r="Y348" s="3">
        <f>237.8+(967.3-259)+(-0.60639+(-2.466615--0.66045))+0-0-0</f>
        <v>943.68744499999991</v>
      </c>
      <c r="Z348" s="3">
        <f>239.1+(931.1-239.2)+(-0.243882+(-0.949722--0.243984))+0-0-0</f>
        <v>930.05038000000013</v>
      </c>
      <c r="AA348" s="3">
        <f>237.9+(916.9-247.1)+(-0.606645+(-2.338095--0.630105))+0-0-0</f>
        <v>905.38536499999998</v>
      </c>
      <c r="AB348" s="3">
        <f>224.5+(903.4-251.1)+(-0.572475+(-2.30367--0.640305))+0-0-0</f>
        <v>874.5641599999999</v>
      </c>
      <c r="AC348" s="3">
        <f>201.6+(891.3-243.1)+(-0.102816+(-0.454563--0.123981))+0-0-0</f>
        <v>849.36660199999994</v>
      </c>
      <c r="AD348" s="2">
        <v>946.1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201.7+(704-105.9)+(-0.411468+(-1.43616--0.216036))+0-0-0</f>
        <v>798.168408</v>
      </c>
      <c r="G349" s="3">
        <f>201.6+(651.6-86)+(-0.205632+(-0.664632--0.08772))+0-0-0</f>
        <v>766.41745600000002</v>
      </c>
      <c r="H349" s="3">
        <f>201.7+(662.8-118.4)+(-0.308601+(-1.014084--0.181152))+0-0-0</f>
        <v>744.95846699999993</v>
      </c>
      <c r="I349" s="3">
        <f>201.7+(663.8-130)+(-0.411468+(-1.354152--0.2652))+0-0-0</f>
        <v>733.99958000000004</v>
      </c>
      <c r="J349" s="3">
        <f>201.7+(663-131.6)+(0.102867+(0.33813-0.067116))+0-0-0</f>
        <v>733.47388099999989</v>
      </c>
      <c r="K349" s="3">
        <f>201.7+(653.9-126.2)+(0.308601+(1.000467-0.193086))+0-0-0</f>
        <v>730.51598199999989</v>
      </c>
      <c r="L349" s="3">
        <f>201.7+(698.1-147.6)+(0.308601+(1.068093-0.225828))+0-0-0</f>
        <v>753.350866</v>
      </c>
      <c r="M349" s="3">
        <f>211.7+(702.4-135.1)+(0.215934+(0.716448-0.137802))+0-0-0</f>
        <v>779.79458</v>
      </c>
      <c r="N349" s="3">
        <f>260+(703-100)+(0+(0-0))+0-0-0</f>
        <v>863</v>
      </c>
      <c r="O349" s="3">
        <f>265.7+(666.9-31.7)+(-0.406521+(-1.020357--0.048501))+0-0-0</f>
        <v>899.52162299999986</v>
      </c>
      <c r="P349" s="3">
        <f>265+(702.9-21)+(0+(0-0))+0-0-0</f>
        <v>946.9</v>
      </c>
      <c r="Q349" s="3">
        <f>261.8+(758.4-37.4)+(-0.66759+(-1.93392--0.09537))+0-0-0</f>
        <v>980.29386</v>
      </c>
      <c r="R349" s="3">
        <f>263.2+(727.6-26)+(-0.268464+(-0.742152--0.02652))+0-0-0</f>
        <v>963.81590399999993</v>
      </c>
      <c r="S349" s="3">
        <f>263.8+(677.4-21)+(0.269076+(0.690948-0.02142))+0-0-0</f>
        <v>921.1386040000001</v>
      </c>
      <c r="T349" s="3">
        <f>260.2+(682.9-14)+(-0.530808+(-1.393116--0.02856))+0-0-0</f>
        <v>927.20463599999994</v>
      </c>
      <c r="U349" s="3">
        <f>262+(667.3-6.7)+(0+(0-0))+0-0-0</f>
        <v>922.59999999999991</v>
      </c>
      <c r="V349" s="3">
        <f>261.2+(654.4-2)+(-0.133212+(-0.333744--0.00102))+0-0-0</f>
        <v>913.13406399999985</v>
      </c>
      <c r="W349" s="3">
        <f>261.7+(644.1-41.8)+(0+(0-0))+0-0-0</f>
        <v>864</v>
      </c>
      <c r="X349" s="3">
        <f>262+(798.3-125.2)+(0+(0-0))+0-0-0</f>
        <v>935.09999999999991</v>
      </c>
      <c r="Y349" s="3">
        <f>262+(1017.8-330.5)+(-0.13362+(-0.519078--0.168555))+0-0-0</f>
        <v>948.81585699999994</v>
      </c>
      <c r="Z349" s="3">
        <f>258.8+(1023.4-347.8)+(-0.65994+(-2.60967--0.88689))+0-0-0</f>
        <v>932.01727999999991</v>
      </c>
      <c r="AA349" s="3">
        <f>262.2+(972.2-326.8)+(0+(0-0))+0-0-0</f>
        <v>907.60000000000014</v>
      </c>
      <c r="AB349" s="3">
        <f>259.6+(916.4-306)+(-0.66198+(-2.33682--0.7803))+0-0-0</f>
        <v>867.78150000000005</v>
      </c>
      <c r="AC349" s="3">
        <f>259.9+(861.5-283.1)+(-0.662745+(-2.196825--0.721905))+0-0-0</f>
        <v>836.16233499999998</v>
      </c>
      <c r="AD349" s="2">
        <v>937.8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265.9+(679.6-162.8)+(-0.271218+(-0.693192--0.166056))+0-0-0</f>
        <v>781.90164599999991</v>
      </c>
      <c r="G350" s="3">
        <f>267.1+(623.7-138.6)+(0.136221+(0.318087-0.070686))+0-0-0</f>
        <v>752.58362199999999</v>
      </c>
      <c r="H350" s="3">
        <f>213.3+(663.4-131)+(0+(0-0))+0-0-0</f>
        <v>745.7</v>
      </c>
      <c r="I350" s="3">
        <f>145.6+(720.4-130.6)+(-0.222768+(-1.102212--0.199818))+0-0-0</f>
        <v>734.27483799999993</v>
      </c>
      <c r="J350" s="3">
        <f>100.1+(727.2-97.3)+(0.102102+(0.741744-0.099246))+0-0-0</f>
        <v>730.7446000000001</v>
      </c>
      <c r="K350" s="3">
        <f>100+(703.9-66.4)+(-0.102+(-0.717978--0.067728))+0-0-0</f>
        <v>736.74775</v>
      </c>
      <c r="L350" s="3">
        <f>100.2+(712.1-56)+(-0.102204+(-0.726342--0.05712))+0-0-0</f>
        <v>755.52857400000005</v>
      </c>
      <c r="M350" s="3">
        <f>100.1+(762.2-62.4)+(0.102102+(0.777444-0.063648))+0-0-0</f>
        <v>800.71589800000004</v>
      </c>
      <c r="N350" s="3">
        <f>162.1+(819.6-102)+(0+(0-0))+0-0-0</f>
        <v>879.7</v>
      </c>
      <c r="O350" s="3">
        <f>240.6+(785.8-43.8)+(0+(0-0))+0-0-0</f>
        <v>982.6</v>
      </c>
      <c r="P350" s="3">
        <f>261.3+(727.7-72.6)+(0.133263+(0.371127-0.037026))+0-0-0</f>
        <v>916.86736400000007</v>
      </c>
      <c r="Q350" s="3">
        <f>261.2+(708.2-48.3)+(0.399636+(1.083546-0.073899))+0-0-0</f>
        <v>922.5092830000001</v>
      </c>
      <c r="R350" s="3">
        <f>260.2+(684.9-45.4)+(-0.530808+(-1.397196--0.092616))+0-0-0</f>
        <v>897.86461200000008</v>
      </c>
      <c r="S350" s="3">
        <f>240.2+(673.2-44.8)+(-0.245004+(-0.686664--0.045696))+0-0-0</f>
        <v>867.7140280000001</v>
      </c>
      <c r="T350" s="3">
        <f>219.4+(706.8-39.6)+(0+(0-0))+0-0-0</f>
        <v>886.59999999999991</v>
      </c>
      <c r="U350" s="3">
        <f>205.2+(719.8-38)+(0.104652+(0.367098-0.01938))+0-0-0</f>
        <v>887.45236999999997</v>
      </c>
      <c r="V350" s="3">
        <f>174.6+(732.7-25.6)+(-0.089046+(-0.373677--0.013056))+0-0-0</f>
        <v>881.25033300000007</v>
      </c>
      <c r="W350" s="3">
        <f>219.4+(694.3-41.2)+(-0.111894+(-0.354093--0.021012))+0-0-0</f>
        <v>872.05502499999989</v>
      </c>
      <c r="X350" s="3">
        <f>255.3+(777.3-88)+(-0.260406+(-0.792846--0.08976))+0-0-0</f>
        <v>943.63650799999994</v>
      </c>
      <c r="Y350" s="3">
        <f>255.2+(1050.3-345.8)+(-0.390456+(-1.606959--0.529074))+0-0-0</f>
        <v>958.23165900000004</v>
      </c>
      <c r="Z350" s="3">
        <f>255.9+(1068.4-392.3)+(0+(0-0))+0-0-0</f>
        <v>932.00000000000011</v>
      </c>
      <c r="AA350" s="3">
        <f>255.9+(1039.9-387.3)+(0+(0-0))+0-0-0</f>
        <v>908.50000000000011</v>
      </c>
      <c r="AB350" s="3">
        <f>252.1+(1152.6-506.7)+(-0.642855+(-2.93913--1.292085))+0-0-0</f>
        <v>895.7100999999999</v>
      </c>
      <c r="AC350" s="3">
        <f>253.1+(1072.6-461.1)+(-1.032648+(-4.376208--1.881288))+0-0-0</f>
        <v>861.07243199999994</v>
      </c>
      <c r="AD350" s="2">
        <v>960.7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259+(863.5-312.1)+(-0.52836+(-1.76154--0.636684))+0-0-0</f>
        <v>808.74678399999993</v>
      </c>
      <c r="G351" s="3">
        <f>259+(742.7-223.6)+(-0.39627+(-1.136331--0.342108))+0-0-0</f>
        <v>776.90950700000008</v>
      </c>
      <c r="H351" s="3">
        <f>260.9+(685.1-197)+(-0.532236+(-1.397604--0.40188))+0-0-0</f>
        <v>747.47203999999999</v>
      </c>
      <c r="I351" s="3">
        <f>223.8+(700-182.5)+(-0.228276+(-0.714--0.18615))+0-0-0</f>
        <v>740.54387399999996</v>
      </c>
      <c r="J351" s="3">
        <f>180.5+(726.4-162.3)+(0.36822+(1.481856-0.331092))+0-0-0</f>
        <v>746.11898399999995</v>
      </c>
      <c r="K351" s="3">
        <f>180+(718-146.6)+(0+(0-0))+0-0-0</f>
        <v>751.4</v>
      </c>
      <c r="L351" s="3">
        <f>179.3+(775.8-183.2)+(0.274329+(1.186974-0.280296))+0-0-0</f>
        <v>773.08100699999989</v>
      </c>
      <c r="M351" s="3">
        <f>179.2+(882.2-246.9)+(0.091392+(0.449922-0.125919))+0-0-0</f>
        <v>814.91539499999999</v>
      </c>
      <c r="N351" s="3">
        <f>244.7+(974.6-346)+(0.124797+(0.497046-0.17646))+0-0-0</f>
        <v>873.74538299999995</v>
      </c>
      <c r="O351" s="3">
        <f>259+(1086.6-432.5)+(0.26418+(1.108332-0.44115))+0-0-0</f>
        <v>914.03136199999994</v>
      </c>
      <c r="P351" s="3">
        <f>297.9+(1057.6-431.7)+(0+(0-0))+0-0-0</f>
        <v>923.79999999999984</v>
      </c>
      <c r="Q351" s="3">
        <f>401.5+(1003.4-448.9)+(-0.614295+(-1.535202--0.686817))+0-0-0</f>
        <v>954.53732000000002</v>
      </c>
      <c r="R351" s="3">
        <f>401.5+(948.1-419.1)+(-1.22859+(-2.901186--1.282446))+0-0-0</f>
        <v>927.65266999999994</v>
      </c>
      <c r="S351" s="3">
        <f>402.7+(888.3-399.8)+(0.410754+(0.906066-0.407796))+0-0-0</f>
        <v>892.10902399999998</v>
      </c>
      <c r="T351" s="3">
        <f>401.8+(920.7-419.2)+(0+(0-0))+0-0-0</f>
        <v>903.30000000000007</v>
      </c>
      <c r="U351" s="3">
        <f>400.6+(927.5-423.3)+(-0.204306+(-0.473025--0.215883))+0-0-0</f>
        <v>904.33855199999994</v>
      </c>
      <c r="V351" s="3">
        <f>398.3+(942-429.2)+(-0.203133+(-0.48042--0.218892))+0-0-0</f>
        <v>910.63533899999993</v>
      </c>
      <c r="W351" s="3">
        <f>389+(923.5-390.9)+(-0.19839+(-0.470985--0.199359))+0-0-0</f>
        <v>921.12998400000004</v>
      </c>
      <c r="X351" s="3">
        <f>397.9+(952.4-395.9)+(-0.202929+(-0.485724--0.201909))+0-0-0</f>
        <v>953.91325599999993</v>
      </c>
      <c r="Y351" s="3">
        <f>401.3+(970-425)+(-0.204663+(-0.4947--0.21675))+0-0-0</f>
        <v>945.81738699999994</v>
      </c>
      <c r="Z351" s="3">
        <f>402.1+(927.4-410.6)+(-0.615213+(-1.418922--0.628218))+0-0-0</f>
        <v>917.49408299999993</v>
      </c>
      <c r="AA351" s="3">
        <f>404.4+(885.4-380.9)+(-0.824976+(-1.806216--0.777036))+0-0-0</f>
        <v>907.04584399999999</v>
      </c>
      <c r="AB351" s="3">
        <f>405.4+(800.6-339.9)+(-1.03377+(-2.04153--0.866745))+0-0-0</f>
        <v>863.89144499999998</v>
      </c>
      <c r="AC351" s="3">
        <f>369.4+(767.2-301.9)+(-0.565182+(-1.173816--0.461907))+0-0-0</f>
        <v>833.422909</v>
      </c>
      <c r="AD351" s="2">
        <v>960.4000000000002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326.3+(717.9-242)+(-0.332826+(-0.732258--0.24684))+0-0-0</f>
        <v>801.381756</v>
      </c>
      <c r="G352" s="3">
        <f>322.6+(635.2-182.8)+(-0.658104+(-1.295808--0.372912))+0-0-0</f>
        <v>773.41899999999998</v>
      </c>
      <c r="H352" s="3">
        <f>243.2+(609.8-100.1)+(0.372096+(0.932994-0.153153))+0-0-0</f>
        <v>754.05193699999984</v>
      </c>
      <c r="I352" s="3">
        <f>239.6+(608.7-101)+(0.122196+(0.310437-0.05151))+0-0-0</f>
        <v>747.68112300000007</v>
      </c>
      <c r="J352" s="3">
        <f>326.4+(526.4-115.5)+(0.665856+(1.073856-0.23562))+0-0-0</f>
        <v>738.80409199999997</v>
      </c>
      <c r="K352" s="3">
        <f>329.7+(528.7-117.1)+(-0.840735+(-1.348185--0.298605))+0-0-0</f>
        <v>739.40968499999997</v>
      </c>
      <c r="L352" s="3">
        <f>390.9+(541.8-169.1)+(0+(0-0))+0-0-0</f>
        <v>763.59999999999991</v>
      </c>
      <c r="M352" s="3">
        <f>389+(651-228.8)+(0+(0-0))+0-0-0</f>
        <v>811.2</v>
      </c>
      <c r="N352" s="3">
        <f>388.3+(749.9-272.6)+(0.594099+(1.147347-0.417078))+0-0-0</f>
        <v>866.92436799999996</v>
      </c>
      <c r="O352" s="3">
        <f>390.8+(967.1-448.6)+(0.597924+(1.479663-0.686358))+0-0-0</f>
        <v>910.69122899999991</v>
      </c>
      <c r="P352" s="3">
        <f>393.5+(1001.1-473.2)+(0.200685+(0.510561-0.241332))+0-0-0</f>
        <v>921.86991400000011</v>
      </c>
      <c r="Q352" s="3">
        <f>345.8+(992.2-401.6)+(-0.529074+(-1.518066--0.614448))+0-0-0</f>
        <v>934.96730800000012</v>
      </c>
      <c r="R352" s="3">
        <f>266.3+(1034.6-380.7)+(-0.407439+(-1.582938--0.582471))+0-0-0</f>
        <v>918.79209399999979</v>
      </c>
      <c r="S352" s="3">
        <f>273+(964.6-344.7)+(-0.41769+(-1.475838--0.527391))+0-0-0</f>
        <v>891.53386300000011</v>
      </c>
      <c r="T352" s="3">
        <f>274.1+(904.9-297.1)+(-0.139791+(-0.461499--0.151521))+0-0-0</f>
        <v>881.45023100000003</v>
      </c>
      <c r="U352" s="3">
        <f>312.3+(851.3-285.3)+(-0.318546+(-0.868326--0.291006))+0-0-0</f>
        <v>877.404134</v>
      </c>
      <c r="V352" s="3">
        <f>311.8+(831.5-286.9)+(0+(0-0))+0-0-0</f>
        <v>856.40000000000009</v>
      </c>
      <c r="W352" s="3">
        <f>339+(766-262.7)+(0+(0-0))+0-0-0</f>
        <v>842.3</v>
      </c>
      <c r="X352" s="3">
        <f>381.3+(868.7-321.7)+(-0.388926+(-0.886074--0.328134))+0-0-0</f>
        <v>927.35313399999995</v>
      </c>
      <c r="Y352" s="3">
        <f>377.5+(981.3-420.7)+(-1.347675+(-3.503241--1.501899))+0-0-0</f>
        <v>934.75098299999991</v>
      </c>
      <c r="Z352" s="3">
        <f>381.5+(944.4-403.3)+(0+(0-0))+0-0-0</f>
        <v>922.59999999999991</v>
      </c>
      <c r="AA352" s="3">
        <f>377.6+(982.9-464.4)+(-1.155456+(-3.007674--1.421064))+0-0-0</f>
        <v>893.357934</v>
      </c>
      <c r="AB352" s="3">
        <f>375.8+(1060.7-565.6)+(-1.533264+(-4.327656--2.307648))+0-0-0</f>
        <v>867.3467280000001</v>
      </c>
      <c r="AC352" s="3">
        <f>380.5+(963.1-503.6)+(-0.77622+(-1.964724--1.027344))+0-0-0</f>
        <v>838.28639999999996</v>
      </c>
      <c r="AD352" s="2">
        <v>951.5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382.1+(826.2-417.1)+(-0.194871+(-0.421362--0.212721))+0-0-0</f>
        <v>790.79648800000007</v>
      </c>
      <c r="G353" s="3">
        <f>325.3+(694.6-262.3)+(-0.331806+(-0.708492--0.267546))+0-0-0</f>
        <v>756.82724800000005</v>
      </c>
      <c r="H353" s="3">
        <f>302.6+(701.3-271.4)+(0.154326+(0.357663-0.138414))+0-0-0</f>
        <v>732.87357499999996</v>
      </c>
      <c r="I353" s="3">
        <f>302.6+(695.1-273.4)+(0.154326+(0.354501-0.139434))+0-0-0</f>
        <v>724.66939300000001</v>
      </c>
      <c r="J353" s="3">
        <f>302.6+(695.7-268.6)+(0.462978+(1.064421-0.410958))+0-0-0</f>
        <v>730.81644100000005</v>
      </c>
      <c r="K353" s="3">
        <f>302.6+(732.4-307.7)+(-0.462978+(-1.120572--0.470781))+0-0-0</f>
        <v>726.187231</v>
      </c>
      <c r="L353" s="3">
        <f>295+(808.7-363)+(-0.15045+(-0.412437--0.18513))+0-0-0</f>
        <v>740.32224300000007</v>
      </c>
      <c r="M353" s="3">
        <f>360.9+(771.2-378.8)+(0.368118+(0.786624-0.386376))+0-0-0</f>
        <v>754.06836599999997</v>
      </c>
      <c r="N353" s="3">
        <f>384.3+(795.4-379.3)+(0.195993+(0.405654-0.193443))+0-0-0</f>
        <v>800.80820399999993</v>
      </c>
      <c r="O353" s="3">
        <f>383.2+(914.6-448.7)+(0+(0-0))+0-0-0</f>
        <v>849.1</v>
      </c>
      <c r="P353" s="3">
        <f>383.9+(988.7-504.3)+(0+(0-0))+0-0-0</f>
        <v>868.3</v>
      </c>
      <c r="Q353" s="3">
        <f>404.5+(979.8-506.2)+(-0.206295+(-0.499698--0.258162))+0-0-0</f>
        <v>877.65216899999996</v>
      </c>
      <c r="R353" s="3">
        <f>416.7+(921.8-488.3)+(-0.850068+(-1.880472--0.996132))+0-0-0</f>
        <v>848.4655919999999</v>
      </c>
      <c r="S353" s="3">
        <f>372.9+(936.3-486.6)+(-0.190179+(-0.477513--0.248166))+0-0-0</f>
        <v>822.18047399999989</v>
      </c>
      <c r="T353" s="3">
        <f>361.7+(912.6-461.1)+(0.184467+(0.465426-0.235161))+0-0-0</f>
        <v>813.614732</v>
      </c>
      <c r="U353" s="3">
        <f>351+(939.8-491.9)+(0.35802+(0.958596-0.501738))+0-0-0</f>
        <v>799.714878</v>
      </c>
      <c r="V353" s="3">
        <f>352.5+(930.3-488.8)+(-0.539325+(-1.423359--0.747864))+0-0-0</f>
        <v>792.78517999999997</v>
      </c>
      <c r="W353" s="3">
        <f>448.5+(843.5-488.5)+(0.91494+(1.72074-0.99654))+0-0-0</f>
        <v>805.13914</v>
      </c>
      <c r="X353" s="3">
        <f>512.2+(873.4-527.5)+(-0.522444+(-0.890868--0.53805))+0-0-0</f>
        <v>857.224738</v>
      </c>
      <c r="Y353" s="3">
        <f>519.8+(967.8-612.6)+(-1.060392+(-1.974312--1.249704))+0-0-0</f>
        <v>873.21499999999992</v>
      </c>
      <c r="Z353" s="3">
        <f>519.3+(946-599.6)+(-1.059372+(-1.92984--1.223184))+0-0-0</f>
        <v>863.93397199999993</v>
      </c>
      <c r="AA353" s="3">
        <f>523.9+(911-583.7)+(0.801567+(1.39383-0.893061))+0-0-0</f>
        <v>852.5023359999999</v>
      </c>
      <c r="AB353" s="3">
        <f>520.1+(867-570.6)+(-1.326255+(-2.21085--1.45503))+0-0-0</f>
        <v>814.41792499999997</v>
      </c>
      <c r="AC353" s="3">
        <f>523.5+(846-586.7)+(0+(0-0))+0-0-0</f>
        <v>782.8</v>
      </c>
      <c r="AD353" s="2">
        <v>871.60000000000014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465.5+(741-464)+(-0.47481+(-0.75582--0.47328))+0-0-0</f>
        <v>741.74265000000003</v>
      </c>
      <c r="G354" s="3">
        <f>489.7+(594.7-373.5)+(0+(0-0))+0-0-0</f>
        <v>710.90000000000009</v>
      </c>
      <c r="H354" s="3">
        <f>323.5+(653.3-294)+(0+(0-0))+0-0-0</f>
        <v>682.8</v>
      </c>
      <c r="I354" s="3">
        <f>373.2+(599-297.5)+(-0.95166+(-1.52745--0.758625))+0-0-0</f>
        <v>672.97951499999999</v>
      </c>
      <c r="J354" s="3">
        <f>155.9+(713.5-199.7)+(-0.079509+(-0.363885--0.101847))+0-0-0</f>
        <v>669.35845299999994</v>
      </c>
      <c r="K354" s="3">
        <f>148.2+(715.8-197.2)+(0+(0-0))+0-0-0</f>
        <v>666.8</v>
      </c>
      <c r="L354" s="3">
        <f>148.2+(747-243.5)+(-0.151164+(-0.76194--0.24837))+0-0-0</f>
        <v>651.03526600000009</v>
      </c>
      <c r="M354" s="3">
        <f>169.1+(776.4-307.2)+(0.086241+(0.395964-0.156672))+0-0-0</f>
        <v>638.6255329999999</v>
      </c>
      <c r="N354" s="3">
        <f>267.7+(796-398.7)+(-0.409581+(-1.21788--0.610011))+0-0-0</f>
        <v>663.98254999999995</v>
      </c>
      <c r="O354" s="3">
        <f>303+(844.2-447.6)+(0.46359+(1.291626-0.684828))+0-0-0</f>
        <v>700.670388</v>
      </c>
      <c r="P354" s="3">
        <f>385.8+(813.9-469.3)+(0+(0-0))+0-0-0</f>
        <v>730.4</v>
      </c>
      <c r="Q354" s="3">
        <f>390.7+(835.5-488.2)+(0.398514+(0.85221-0.497964))+0-0-0</f>
        <v>738.75275999999997</v>
      </c>
      <c r="R354" s="3">
        <f>390+(819.4-480.4)+(-0.1989+(-0.417894--0.245004))+0-0-0</f>
        <v>728.62820999999997</v>
      </c>
      <c r="S354" s="3">
        <f>388.1+(798.8-472.8)+(-0.791724+(-1.629552--0.964512))+0-0-0</f>
        <v>712.64323599999989</v>
      </c>
      <c r="T354" s="3">
        <f>372.1+(828.8-495.5)+(-0.379542+(-0.845376--0.50541))+0-0-0</f>
        <v>704.68049199999996</v>
      </c>
      <c r="U354" s="3">
        <f>329.3+(842.4-479.6)+(-0.167943+(-0.429624--0.244596))+0-0-0</f>
        <v>691.74702899999988</v>
      </c>
      <c r="V354" s="3">
        <f>329.1+(851.9-491.3)+(-0.335682+(-0.868938--0.501126))+0-0-0</f>
        <v>688.99650600000007</v>
      </c>
      <c r="W354" s="3">
        <f>332.9+(803-443.5)+(-0.509337+(-1.22859--0.678555))+0-0-0</f>
        <v>691.34062799999992</v>
      </c>
      <c r="X354" s="3">
        <f>394.9+(858.8-484)+(0.604197+(1.313964-0.74052))+0-0-0</f>
        <v>770.87764099999993</v>
      </c>
      <c r="Y354" s="3">
        <f>405.2+(976-574.5)+(-0.413304+(-0.99552--0.58599))+0-0-0</f>
        <v>805.8771660000001</v>
      </c>
      <c r="Z354" s="3">
        <f>405.4+(958.5-565.5)+(-0.827016+(-1.95534--1.15362))+0-0-0</f>
        <v>796.77126399999997</v>
      </c>
      <c r="AA354" s="3">
        <f>358.5+(961.2-528.9)+(-0.73134+(-1.960848--1.078956))+0-0-0</f>
        <v>789.18676800000003</v>
      </c>
      <c r="AB354" s="3">
        <f>357.9+(900-491.8)+(-1.095174+(-2.754--1.504908))+0-0-0</f>
        <v>763.75573399999996</v>
      </c>
      <c r="AC354" s="3">
        <f>358.3+(789.2-415.2)+(-0.730932+(-1.609968--0.847008))+0-0-0</f>
        <v>730.80610800000011</v>
      </c>
      <c r="AD354" s="2">
        <v>817.50000000000023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358.9+(688.2-360.6)+(-0.549117+(-1.052946--0.551718))+0-0-0</f>
        <v>685.44965500000001</v>
      </c>
      <c r="G355" s="3">
        <f>360.7+(638.5-348.4)+(0+(0-0))+0-0-0</f>
        <v>650.79999999999995</v>
      </c>
      <c r="H355" s="3">
        <f>359.3+(597.1-320.3)+(-0.549729+(-0.913563--0.490059))+0-0-0</f>
        <v>635.12676699999997</v>
      </c>
      <c r="I355" s="3">
        <f>310.8+(642.8-315.3)+(0.158508+(0.327828-0.160803))+0-0-0</f>
        <v>638.6255329999999</v>
      </c>
      <c r="J355" s="3">
        <f>274.4+(657.4-290.2)+(0.69972+(1.67637-0.74001))+0-0-0</f>
        <v>643.2360799999999</v>
      </c>
      <c r="K355" s="3">
        <f>272.2+(676.2-294.5)+(0.416466+(1.034586-0.450585))+0-0-0</f>
        <v>654.90046700000005</v>
      </c>
      <c r="L355" s="3">
        <f>270.1+(736.7-328.9)+(-0.137751+(-0.375717--0.167739))+0-0-0</f>
        <v>677.55427100000009</v>
      </c>
      <c r="M355" s="3">
        <f>305.7+(749.1-326.1)+(0.311814+(0.764082-0.332622))+0-0-0</f>
        <v>729.44327400000009</v>
      </c>
      <c r="N355" s="3">
        <f>396.1+(787.1-362.8)+(0.202011+(0.401421-0.185028))+0-0-0</f>
        <v>820.8184040000001</v>
      </c>
      <c r="O355" s="3">
        <f>394.5+(950-458.7)+(0.603585+(1.4535-0.701811))+0-0-0</f>
        <v>887.15527399999996</v>
      </c>
      <c r="P355" s="3">
        <f>394+(1029.7-510.4)+(0.60282+(1.575441-0.780912))+0-0-0</f>
        <v>914.69734900000003</v>
      </c>
      <c r="Q355" s="3">
        <f>448.6+(979.1-512.4)+(-1.14393+(-2.496705--1.30662))+0-0-0</f>
        <v>912.96598500000005</v>
      </c>
      <c r="R355" s="3">
        <f>503.6+(913-510.7)+(0+(0-0))+0-0-0</f>
        <v>905.90000000000009</v>
      </c>
      <c r="S355" s="3">
        <f>403.4+(994-512.6)+(0+(0-0))+0-0-0</f>
        <v>884.8</v>
      </c>
      <c r="T355" s="3">
        <f>355.8+(999.6-474.1)+(0+(0-0))+0-0-0</f>
        <v>881.3</v>
      </c>
      <c r="U355" s="3">
        <f>352.5+(1003.6-463)+(0.35955+(1.023672-0.47226))+0-0-0</f>
        <v>894.01096200000006</v>
      </c>
      <c r="V355" s="3">
        <f>350.6+(1016.5-458.5)+(0.536418+(1.555245-0.701505))+0-0-0</f>
        <v>909.99015800000006</v>
      </c>
      <c r="W355" s="3">
        <f>389.3+(1019.7-467.1)+(0.397086+(1.040094-0.476442))+0-0-0</f>
        <v>942.86073800000008</v>
      </c>
      <c r="X355" s="3">
        <f>513.7+(906.1-468.6)+(0.523974+(0.924222-0.477972))+0-0-0</f>
        <v>952.17022400000008</v>
      </c>
      <c r="Y355" s="3">
        <f>517.5+(962.3-531)+(0+(0-0))+0-0-0</f>
        <v>948.8</v>
      </c>
      <c r="Z355" s="3">
        <f>518.2+(916.2-496)+(0+(0-0))+0-0-0</f>
        <v>938.40000000000009</v>
      </c>
      <c r="AA355" s="3">
        <f>517.1+(922.5-530.3)+(0.263721+(0.470475-0.270453))+0-0-0</f>
        <v>909.76374300000009</v>
      </c>
      <c r="AB355" s="3">
        <f>516.7+(863.2-510.2)+(-0.790551+(-1.320696--0.780606))+0-0-0</f>
        <v>868.36935900000003</v>
      </c>
      <c r="AC355" s="3">
        <f>420+(853.7-433.3)+(0.6426+(1.306161-0.662949))+0-0-0</f>
        <v>841.68581200000006</v>
      </c>
      <c r="AD355" s="2">
        <v>958.90000000000009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391.9+(724.3-322)+(-0.799476+(-1.477572--0.65688))+0-0-0</f>
        <v>792.5798319999999</v>
      </c>
      <c r="G356" s="3">
        <f>360.2+(741.4-340.8)+(-0.734808+(-1.512456--0.695232))+0-0-0</f>
        <v>759.2479679999999</v>
      </c>
      <c r="H356" s="3">
        <f>261.9+(784.4-303.2)+(-0.400707+(-1.200132--0.463896))+0-0-0</f>
        <v>741.96305699999994</v>
      </c>
      <c r="I356" s="3">
        <f>228.2+(785.6-277.5)+(-0.232764+(-0.801312--0.28305))+0-0-0</f>
        <v>735.54897399999993</v>
      </c>
      <c r="J356" s="3">
        <f>290+(732.3-294.1)+(-0.1479+(-0.373473--0.149991))+0-0-0</f>
        <v>727.82861799999989</v>
      </c>
      <c r="K356" s="3">
        <f>353.3+(717.5-341)+(-0.360366+(-0.73185--0.34782))+0-0-0</f>
        <v>729.0556039999999</v>
      </c>
      <c r="L356" s="3">
        <f>369.5+(736.6-361.1)+(-0.37689+(-0.751332--0.368322))+0-0-0</f>
        <v>744.24009999999998</v>
      </c>
      <c r="M356" s="3">
        <f>370+(766.4-352)+(0+(0-0))+0-0-0</f>
        <v>784.4</v>
      </c>
      <c r="N356" s="3">
        <f>372.4+(840.2-369.5)+(0.94962+(2.14251-0.942225))+0-0-0</f>
        <v>845.24990500000001</v>
      </c>
      <c r="O356" s="3">
        <f>372.3+(945.8-428.1)+(0+(0-0))+0-0-0</f>
        <v>890</v>
      </c>
      <c r="P356" s="3">
        <f>375.5+(871.8-345.6)+(0+(0-0))+0-0-0</f>
        <v>901.69999999999993</v>
      </c>
      <c r="Q356" s="3">
        <f>374.5+(867.5-335.9)+(-0.190995+(-0.442425--0.171309))+0-0-0</f>
        <v>905.63788899999997</v>
      </c>
      <c r="R356" s="3">
        <f>370.5+(836.7-318.6)+(-1.13373+(-2.560302--0.974916))+0-0-0</f>
        <v>885.88088400000004</v>
      </c>
      <c r="S356" s="3">
        <f>370.6+(782.5-290.2)+(-0.189006+(-0.399075--0.148002))+0-0-0</f>
        <v>862.45992100000012</v>
      </c>
      <c r="T356" s="3">
        <f>369.8+(759.8-250.2)+(-1.131588+(-2.324988--0.765612))+0-0-0</f>
        <v>876.70903599999997</v>
      </c>
      <c r="U356" s="3">
        <f>372.4+(768.2-269.4)+(0.189924+(0.391782-0.137394))+0-0-0</f>
        <v>871.64431200000001</v>
      </c>
      <c r="V356" s="3">
        <f>372.9+(766.7-269.8)+(0.380358+(0.782034-0.275196))+0-0-0</f>
        <v>870.68719599999997</v>
      </c>
      <c r="W356" s="3">
        <f>459.3+(691.1-280.9)+(0.468486+(0.704922-0.286518))+0-0-0</f>
        <v>870.38688999999999</v>
      </c>
      <c r="X356" s="3">
        <f>506.4+(776-375.6)+(0+(0-0))+0-0-0</f>
        <v>906.8</v>
      </c>
      <c r="Y356" s="3">
        <f>510.1+(925.1-514.6)+(0+(0-0))+0-0-0</f>
        <v>920.6</v>
      </c>
      <c r="Z356" s="3">
        <f>510.1+(898.6-502.4)+(-1.040604+(-1.833144--1.024896))+0-0-0</f>
        <v>904.4511480000001</v>
      </c>
      <c r="AA356" s="3">
        <f>493.8+(897.4-496.7)+(-0.755514+(-1.373022--0.759951))+0-0-0</f>
        <v>893.13141499999995</v>
      </c>
      <c r="AB356" s="3">
        <f>390.3+(978.9-509.7)+(-0.398106+(-0.998478--0.519894))+0-0-0</f>
        <v>858.62330999999995</v>
      </c>
      <c r="AC356" s="3">
        <f>375.4+(893.7-441.7)+(-0.95727+(-2.278935--1.126335))+0-0-0</f>
        <v>825.29013000000009</v>
      </c>
      <c r="AD356" s="2">
        <v>925.8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338.6+(863.4-409.9)+(-0.345372+(-0.880668--0.418098))+0-0-0</f>
        <v>791.292058</v>
      </c>
      <c r="G357" s="3">
        <f>302.6+(770.3-326.4)+(-0.308652+(-0.785706--0.332928))+0-0-0</f>
        <v>745.73856999999998</v>
      </c>
      <c r="H357" s="3">
        <f>302.6+(693.9-270.7)+(0+(0-0))+0-0-0</f>
        <v>725.8</v>
      </c>
      <c r="I357" s="3">
        <f>302.6+(692.5-272.7)+(0.462978+(1.059525-0.417231))+0-0-0</f>
        <v>723.5052720000001</v>
      </c>
      <c r="J357" s="3">
        <f>301.9+(681.4-274.6)+(-0.153969+(-0.347514--0.140046))+0-0-0</f>
        <v>708.33856299999991</v>
      </c>
      <c r="K357" s="3">
        <f>302.5+(710.4-297.4)+(0.154275+(0.362304-0.151674))+0-0-0</f>
        <v>715.86490500000002</v>
      </c>
      <c r="L357" s="3">
        <f>302.6+(801-374.8)+(0+(0-0))+0-0-0</f>
        <v>728.8</v>
      </c>
      <c r="M357" s="3">
        <f>351.2+(780.9-374.9)+(0.358224+(0.796518-0.382398))+0-0-0</f>
        <v>757.97234400000002</v>
      </c>
      <c r="N357" s="3">
        <f>374.3+(825.8-370)+(0.190893+(0.421158-0.1887))+0-0-0</f>
        <v>830.52335099999993</v>
      </c>
      <c r="O357" s="3">
        <f>395.9+(920.1-451.4)+(0.403818+(0.938502-0.460428))+0-0-0</f>
        <v>865.48189200000002</v>
      </c>
      <c r="P357" s="3">
        <f>394.8+(963-473.7)+(-0.201348+(-0.49113--0.241587))+0-0-0</f>
        <v>883.64910900000007</v>
      </c>
      <c r="Q357" s="3">
        <f>390.9+(976.5-464.1)+(-0.996795+(-2.490075--1.183455))+0-0-0</f>
        <v>900.99658499999998</v>
      </c>
      <c r="R357" s="3">
        <f>382.7+(966.3-457.9)+(-0.780708+(-1.971252--0.934116))+0-0-0</f>
        <v>889.28215599999987</v>
      </c>
      <c r="S357" s="3">
        <f>302.6+(980.3-415.3)+(0+(0-0))+0-0-0</f>
        <v>867.6</v>
      </c>
      <c r="T357" s="3">
        <f>302.6+(936.5-378.3)+(-0.154326+(-0.477615--0.192933))+0-0-0</f>
        <v>860.36099200000012</v>
      </c>
      <c r="U357" s="3">
        <f>302.6+(938.3-380.7)+(0+(0-0))+0-0-0</f>
        <v>860.19999999999993</v>
      </c>
      <c r="V357" s="3">
        <f>302.6+(901.8-356.6)+(-0.617304+(-1.839672--0.727464))+0-0-0</f>
        <v>846.07048799999995</v>
      </c>
      <c r="W357" s="3">
        <f>309+(890.7-355)+(0+(0-0))+0-0-0</f>
        <v>844.7</v>
      </c>
      <c r="X357" s="3">
        <f>386.1+(883.8-366.2)+(-0.196911+(-0.450738--0.186762))+0-0-0</f>
        <v>903.23911299999997</v>
      </c>
      <c r="Y357" s="3">
        <f>389.6+(1038.2-490.7)+(-0.397392+(-1.058964--0.500514))+0-0-0</f>
        <v>936.14415800000006</v>
      </c>
      <c r="Z357" s="3">
        <f>387.8+(1006.4-477.3)+(-0.395556+(-1.026528--0.486846))+0-0-0</f>
        <v>915.96476199999984</v>
      </c>
      <c r="AA357" s="3">
        <f>386.7+(980.1-472.4)+(-0.986085+(-2.499255--1.20462))+0-0-0</f>
        <v>892.11928000000012</v>
      </c>
      <c r="AB357" s="3">
        <f>385.3+(966.9-493.4)+(-0.589509+(-1.479357--0.754902))+0-0-0</f>
        <v>857.4860359999999</v>
      </c>
      <c r="AC357" s="3">
        <f>330.2+(901.5-403.1)+(-0.505206+(-1.379295--0.616743))+0-0-0</f>
        <v>827.33224199999995</v>
      </c>
      <c r="AD357" s="2">
        <v>922.40000000000009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301.2+(819.7-340.9)+(0.153612+(0.418047-0.173859))+0-0-0</f>
        <v>780.39779999999996</v>
      </c>
      <c r="G358" s="3">
        <f>208.7+(783-242.1)+(-0.319311+(-1.19799--0.370413))+0-0-0</f>
        <v>748.45311199999992</v>
      </c>
      <c r="H358" s="3">
        <f>135.3+(777.1-187.8)+(0+(0-0))+0-0-0</f>
        <v>724.59999999999991</v>
      </c>
      <c r="I358" s="3">
        <f>137.2+(750.1-171.3)+(-0.34986+(-1.912755--0.436815))+0-0-0</f>
        <v>714.17420000000004</v>
      </c>
      <c r="J358" s="3">
        <f>137.2+(755.5-186)+(0+(0-0))+0-0-0</f>
        <v>706.7</v>
      </c>
      <c r="K358" s="3">
        <f>137.2+(774.8-201.8)+(0.139944+(0.790296-0.205836))+0-0-0</f>
        <v>710.9244040000001</v>
      </c>
      <c r="L358" s="3">
        <f>137.2+(887.2-297.5)+(-0.139944+(-0.904944--0.30345))+0-0-0</f>
        <v>726.15856200000007</v>
      </c>
      <c r="M358" s="3">
        <f>195.4+(941.9-370.5)+(0.199308+(0.960738-0.37791))+0-0-0</f>
        <v>767.58213599999999</v>
      </c>
      <c r="N358" s="3">
        <f>330.1+(905.6-391.2)+(-0.168351+(-0.461856--0.199512))+0-0-0</f>
        <v>844.0693050000001</v>
      </c>
      <c r="O358" s="3">
        <f>330.5+(998.7-444.9)+(0.168555+(0.509337-0.226899))+0-0-0</f>
        <v>884.75099300000011</v>
      </c>
      <c r="P358" s="3">
        <f>380.9+(982.4-459.4)+(-0.582777+(-1.503072--0.702882))+0-0-0</f>
        <v>902.51703299999997</v>
      </c>
      <c r="Q358" s="3">
        <f>288.3+(1111.8-498.3)+(0+(0-0))+0-0-0</f>
        <v>901.8</v>
      </c>
      <c r="R358" s="3">
        <f>245+(1114.3-481.6)+(-0.2499+(-1.136586--0.491232))+0-0-0</f>
        <v>876.80474599999991</v>
      </c>
      <c r="S358" s="3">
        <f>199.4+(1096.2-442.7)+(-0.203388+(-1.118124--0.451554))+0-0-0</f>
        <v>852.03004199999998</v>
      </c>
      <c r="T358" s="3">
        <f>200.2+(1047.9-391)+(0.204204+(1.068858-0.39882))+0-0-0</f>
        <v>857.97424200000012</v>
      </c>
      <c r="U358" s="3">
        <f>200.3+(1055.2-397.5)+(0.102153+(0.538152-0.202725))+0-0-0</f>
        <v>858.43758000000003</v>
      </c>
      <c r="V358" s="3">
        <f>200.1+(1033.9-388.1)+(0+(0-0))+0-0-0</f>
        <v>845.90000000000009</v>
      </c>
      <c r="W358" s="3">
        <f>209.3+(1012.8-378.9)+(0.106743+(0.516528-0.193239))+0-0-0</f>
        <v>843.63003200000003</v>
      </c>
      <c r="X358" s="3">
        <f>339.9+(1010.3-459.5)+(0+(0-0))+0-0-0</f>
        <v>890.69999999999993</v>
      </c>
      <c r="Y358" s="3">
        <f>380.9+(1147.6-588.9)+(-1.165554+(-3.511656--1.802034))+0-0-0</f>
        <v>936.7248239999999</v>
      </c>
      <c r="Z358" s="3">
        <f>383.5+(1102.2-568.8)+(-0.39117+(-1.124244--0.580176))+0-0-0</f>
        <v>915.96476200000006</v>
      </c>
      <c r="AA358" s="3">
        <f>382+(1038.5-535.7)+(-0.77928+(-2.11854--1.092828))+0-0-0</f>
        <v>882.99500799999998</v>
      </c>
      <c r="AB358" s="3">
        <f>340.2+(1066.6-548.4)+(-0.694008+(-2.175864--1.118736))+0-0-0</f>
        <v>856.64886399999989</v>
      </c>
      <c r="AC358" s="3">
        <f>268.8+(1037.4-481.2)+(-0.68544+(-2.64537--1.22706))+0-0-0</f>
        <v>822.89625000000001</v>
      </c>
      <c r="AD358" s="2">
        <v>923.19999999999993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250.2+(921.8-386.9)+(-0.63801+(-2.35059--0.986595))+0-0-0</f>
        <v>783.09799499999986</v>
      </c>
      <c r="G359" s="3">
        <f>253.1+(772.9-276)+(-0.645405+(-1.970895--0.7038))+0-0-0</f>
        <v>748.08749999999998</v>
      </c>
      <c r="H359" s="3">
        <f>179.3+(774-223.7)+(-0.091443+(-0.39474--0.114087))+0-0-0</f>
        <v>729.22790399999985</v>
      </c>
      <c r="I359" s="3">
        <f>155.2+(758.8-184.9)+(-0.079152+(-0.386988--0.094299))+0-0-0</f>
        <v>728.72815899999989</v>
      </c>
      <c r="J359" s="3">
        <f>155.2+(695.5-136.1)+(-0.39576+(-1.773525--0.347055))+0-0-0</f>
        <v>712.77776999999992</v>
      </c>
      <c r="K359" s="3">
        <f>155.1+(740.5-172.9)+(-0.079101+(-0.377655--0.088179))+0-0-0</f>
        <v>722.33142300000009</v>
      </c>
      <c r="L359" s="3">
        <f>155.2+(818.2-237.7)+(-0.237456+(-1.251846--0.363681))+0-0-0</f>
        <v>734.57437900000002</v>
      </c>
      <c r="M359" s="3">
        <f>265.3+(865.6-355.5)+(0+(0-0))+0-0-0</f>
        <v>775.40000000000009</v>
      </c>
      <c r="N359" s="3">
        <f>397.4+(865.7-408.4)+(0.202674+(0.441507-0.208284))+0-0-0</f>
        <v>855.135897</v>
      </c>
      <c r="O359" s="3">
        <f>394.5+(974.9-469.6)+(-0.80478+(-1.988796--0.957984))+0-0-0</f>
        <v>897.96440799999993</v>
      </c>
      <c r="P359" s="3">
        <f>393.8+(1047.5-530.7)+(-0.401676+(-1.06845--0.541314))+0-0-0</f>
        <v>909.67118799999992</v>
      </c>
      <c r="Q359" s="3">
        <f>395.4+(1053.1-524.7)+(0+(0-0))+0-0-0</f>
        <v>923.79999999999984</v>
      </c>
      <c r="R359" s="3">
        <f>390.8+(1015.1-495.1)+(-0.797232+(-2.070804--1.010004))+0-0-0</f>
        <v>908.94196799999997</v>
      </c>
      <c r="S359" s="3">
        <f>334.1+(1051.4-499.5)+(-0.170391+(-0.536214--0.254745))+0-0-0</f>
        <v>885.5481400000001</v>
      </c>
      <c r="T359" s="3">
        <f>330.3+(1027.2-480.1)+(0+(0-0))+0-0-0</f>
        <v>877.40000000000009</v>
      </c>
      <c r="U359" s="3">
        <f>338.6+(1005.1-473.5)+(0.345372+(1.025202-0.48297))+0-0-0</f>
        <v>871.08760400000006</v>
      </c>
      <c r="V359" s="3">
        <f>377.3+(881.9-403.6)+(-0.962115+(-2.248845--1.02918))+0-0-0</f>
        <v>853.41821999999991</v>
      </c>
      <c r="W359" s="3">
        <f>393.2+(823.7-379.7)+(0+(0-0))+0-0-0</f>
        <v>837.2</v>
      </c>
      <c r="X359" s="3">
        <f>504.8+(842.4-467.4)+(-0.514896+(-0.859248--0.476748))+0-0-0</f>
        <v>878.902604</v>
      </c>
      <c r="Y359" s="3">
        <f>516+(993.8-599.1)+(-1.3158+(-2.53419--1.527705))+0-0-0</f>
        <v>908.37771499999997</v>
      </c>
      <c r="Z359" s="3">
        <f>517.1+(962.1-567.9)+(-1.054884+(-1.962684--1.158516))+0-0-0</f>
        <v>909.44094800000005</v>
      </c>
      <c r="AA359" s="3">
        <f>515.5+(930.6-545.7)+(-1.840335+(-3.322242--1.948149))+0-0-0</f>
        <v>897.18557199999998</v>
      </c>
      <c r="AB359" s="3">
        <f>391.4+(970.4-492.9)+(-0.798456+(-1.979616--1.005516))+0-0-0</f>
        <v>867.12744399999997</v>
      </c>
      <c r="AC359" s="3">
        <f>319+(956.2-441.7)+(-0.32538+(-0.975324--0.450534))+0-0-0</f>
        <v>832.64982999999995</v>
      </c>
      <c r="AD359" s="2">
        <v>930.7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237.6+(922.1-378.3)+(-0.727056+(-2.821626--1.157598))+0-0-0</f>
        <v>779.008916</v>
      </c>
      <c r="G360" s="3">
        <f>99.6+(903.3-257.8)+(-0.152388+(-1.382049--0.394434))+0-0-0</f>
        <v>743.95999700000004</v>
      </c>
      <c r="H360" s="3">
        <f>98.2+(874.7-251.3)+(-0.150246+(-1.338291--0.384489))+0-0-0</f>
        <v>720.4959520000001</v>
      </c>
      <c r="I360" s="3">
        <f>107.2+(825.4-212.4)+(-0.054672+(-0.420954--0.108324))+0-0-0</f>
        <v>719.83269800000005</v>
      </c>
      <c r="J360" s="3">
        <f>150.8+(800.9-228.8)+(-0.153816+(-0.816918--0.233376))+0-0-0</f>
        <v>722.16264199999989</v>
      </c>
      <c r="K360" s="3">
        <f>159.2+(857.3-303)+(0.162384+(0.874446-0.30906))+0-0-0</f>
        <v>714.22776999999996</v>
      </c>
      <c r="L360" s="3">
        <f>202.4+(920.3-393.2)+(-0.412896+(-1.877412--0.802128))+0-0-0</f>
        <v>728.01181999999983</v>
      </c>
      <c r="M360" s="3">
        <f>263.6+(958.8-469.5)+(0.134436+(0.488988-0.239445))+0-0-0</f>
        <v>753.28397899999993</v>
      </c>
      <c r="N360" s="3">
        <f>263.4+(1013.9-450.8)+(0.134334+(0.517089-0.229908))+0-0-0</f>
        <v>826.92151499999989</v>
      </c>
      <c r="O360" s="3">
        <f>263.3+(1084.3-479.5)+(0.537132+(2.211972-0.97818))+0-0-0</f>
        <v>869.87092399999995</v>
      </c>
      <c r="P360" s="3">
        <f>261.5+(1050.2-433.8)+(-0.26673+(-1.071204--0.442476))+0-0-0</f>
        <v>877.00454200000013</v>
      </c>
      <c r="Q360" s="3">
        <f>259.5+(984.4-365)+(-0.661725+(-2.51022--0.93075))+0-0-0</f>
        <v>876.65880500000003</v>
      </c>
      <c r="R360" s="3">
        <f>256.8+(915.7-316.3)+(-0.65484+(-2.335035--0.806565))+0-0-0</f>
        <v>854.01669000000004</v>
      </c>
      <c r="S360" s="3">
        <f>248+(856.2-276.9)+(-0.50592+(-1.746648--0.564876))+0-0-0</f>
        <v>825.6123080000001</v>
      </c>
      <c r="T360" s="3">
        <f>201.7+(890.6-305.1)+(0.205734+(0.908412-0.311202))+0-0-0</f>
        <v>788.00294400000007</v>
      </c>
      <c r="U360" s="3">
        <f>201.7+(895-330)+(0+(0-0))+0-0-0</f>
        <v>766.7</v>
      </c>
      <c r="V360" s="3">
        <f>201.7+(924.6-331.2)+(-0.308601+(-1.414638--0.506736))+0-0-0</f>
        <v>793.88349700000015</v>
      </c>
      <c r="W360" s="3">
        <f>216.6+(848.7-282.8)+(0.220932+(0.865674-0.288456))+0-0-0</f>
        <v>783.29815000000008</v>
      </c>
      <c r="X360" s="3">
        <f>255.3+(898.1-303.6)+(0.260406+(0.916062-0.309672))+0-0-0</f>
        <v>850.66679599999998</v>
      </c>
      <c r="Y360" s="3">
        <f>252.1+(1093-456.4)+(-0.385713+(-1.67229--0.698292))+0-0-0</f>
        <v>887.3402890000001</v>
      </c>
      <c r="Z360" s="3">
        <f>258+(1044.6-425.7)+(-0.39474+(-1.598238--0.651321))+0-0-0</f>
        <v>875.55834299999981</v>
      </c>
      <c r="AA360" s="3">
        <f>262.7+(990.7-395.9)+(-0.133977+(-0.505257--0.201909))+0-0-0</f>
        <v>857.06267500000001</v>
      </c>
      <c r="AB360" s="3">
        <f>260.2+(1006.1-431.9)+(-0.66351+(-2.565555--1.101345))+0-0-0</f>
        <v>832.27228000000014</v>
      </c>
      <c r="AC360" s="3">
        <f>241.7+(1031.9-471.4)+(-0.369801+(-1.578807--0.721242))+0-0-0</f>
        <v>800.97263400000008</v>
      </c>
      <c r="AD360" s="2">
        <v>881.40000000000009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130.8+(964.3-325.1)+(-0.266832+(-1.967172--0.663204))+0-0-0</f>
        <v>768.42920000000004</v>
      </c>
      <c r="G361" s="3">
        <f>124.9+(840.9-239.7)+(-0.254796+(-1.715436--0.488988))+0-0-0</f>
        <v>724.61875600000008</v>
      </c>
      <c r="H361" s="3">
        <f>89.2+(818.2-196.7)+(-0.090984+(-0.834564--0.200634))+0-0-0</f>
        <v>709.97508600000003</v>
      </c>
      <c r="I361" s="3">
        <f>90.8+(827.8-216.8)+(0.138924+(1.266534-0.331704))+0-0-0</f>
        <v>702.87375399999996</v>
      </c>
      <c r="J361" s="3">
        <f>89.4+(764.6-158.8)+(-0.182376+(-1.559784--0.323952))+0-0-0</f>
        <v>693.78179199999988</v>
      </c>
      <c r="K361" s="3">
        <f>89.9+(726.1-140.8)+(-0.091698+(-0.740622--0.143616))+0-0-0</f>
        <v>674.5112959999999</v>
      </c>
      <c r="L361" s="3">
        <f>89.7+(764.8-193)+(-0.045747+(-0.390048--0.09843))+0-0-0</f>
        <v>661.16263500000002</v>
      </c>
      <c r="M361" s="3">
        <f>90.5+(795.4-213.9)+(0.046155+(0.405654-0.109089))+0-0-0</f>
        <v>672.34271999999999</v>
      </c>
      <c r="N361" s="3">
        <f>89.9+(851.2-231.9)+(-0.045849+(-0.434112--0.118269))+0-0-0</f>
        <v>708.8383080000001</v>
      </c>
      <c r="O361" s="3">
        <f>121.4+(941.4-310.9)+(-0.061914+(-0.480114--0.158559))+0-0-0</f>
        <v>751.51653099999999</v>
      </c>
      <c r="P361" s="3">
        <f>128.3+(955.7-313.7)+(0.196299+(1.462221-0.479961))+0-0-0</f>
        <v>771.4785589999999</v>
      </c>
      <c r="Q361" s="3">
        <f>125.1+(941.5-293.2)+(-0.255204+(-1.92066--0.598128))+0-0-0</f>
        <v>771.82226400000002</v>
      </c>
      <c r="R361" s="3">
        <f>125.7+(918.8-287.2)+(-0.128214+(-0.937176--0.292944))+0-0-0</f>
        <v>756.52755400000001</v>
      </c>
      <c r="S361" s="3">
        <f>124.9+(908.7-291.9)+(-0.254796+(-1.853748--0.595476))+0-0-0</f>
        <v>740.18693200000007</v>
      </c>
      <c r="T361" s="3">
        <f>125.5+(904-307.5)+(0.12801+(0.92208-0.31365))+0-0-0</f>
        <v>722.73644000000002</v>
      </c>
      <c r="U361" s="3">
        <f>125+(907.4-313.7)+(0.06375+(0.462774-0.159987))+0-0-0</f>
        <v>719.06653700000004</v>
      </c>
      <c r="V361" s="3">
        <f>122.4+(895.7-308.4)+(0.124848+(0.913614-0.314568))+0-0-0</f>
        <v>710.42389400000002</v>
      </c>
      <c r="W361" s="3">
        <f>122.8+(863.7-276.4)+(0+(0-0))+0-0-0</f>
        <v>710.1</v>
      </c>
      <c r="X361" s="3">
        <f>126.9+(851.7-209)+(0.129438+(0.868734-0.21318))+0-0-0</f>
        <v>770.38499200000001</v>
      </c>
      <c r="Y361" s="3">
        <f>127.2+(1034.8-337.7)+(-0.064872+(-0.527748--0.172227))+0-0-0</f>
        <v>823.87960699999996</v>
      </c>
      <c r="Z361" s="3">
        <f>112.2+(956.3-267.3)+(-0.114444+(-0.975426--0.272646))+0-0-0</f>
        <v>800.38277600000004</v>
      </c>
      <c r="AA361" s="3">
        <f>45.1+(935.7-199.2)+(-0.046002+(-0.954414--0.203184))+0-0-0</f>
        <v>780.80276800000001</v>
      </c>
      <c r="AB361" s="3">
        <f>45.1+(857-145.8)+(-0.115005+(-2.18535--0.37179))+0-0-0</f>
        <v>754.37143500000002</v>
      </c>
      <c r="AC361" s="3">
        <f>45.1+(855.1-168)+(-0.069003+(-1.308303--0.25704))+0-0-0</f>
        <v>731.07973400000003</v>
      </c>
      <c r="AD361" s="2">
        <v>831.99999999999989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45.1+(787.8-142.8)+(-0.138006+(-2.410668--0.436968))+0-0-0</f>
        <v>687.988294</v>
      </c>
      <c r="G362" s="3">
        <f>45.1+(761.8-154.8)+(-0.115005+(-1.94259--0.39474))+0-0-0</f>
        <v>650.43714499999999</v>
      </c>
      <c r="H362" s="3">
        <f>45.1+(750.9-163.2)+(-0.092004+(-1.531836--0.332928))+0-0-0</f>
        <v>631.50908800000002</v>
      </c>
      <c r="I362" s="3">
        <f>45.1+(665.1-74.9)+(0+(0-0))+0-0-0</f>
        <v>635.30000000000007</v>
      </c>
      <c r="J362" s="3">
        <f>45.1+(652.9-68.7)+(0.069003+(0.998937-0.105111))+0-0-0</f>
        <v>630.26282900000001</v>
      </c>
      <c r="K362" s="3">
        <f>45.1+(676.5-78.6)+(0+(0-0))+0-0-0</f>
        <v>643</v>
      </c>
      <c r="L362" s="3">
        <f>45.1+(727-109.3)+(-0.023001+(-0.37077--0.055743))+0-0-0</f>
        <v>662.46197200000006</v>
      </c>
      <c r="M362" s="3">
        <f>48.6+(816-153.5)+(0+(0-0))+0-0-0</f>
        <v>711.1</v>
      </c>
      <c r="N362" s="3">
        <f>129.3+(844.9-200.7)+(-0.065943+(-0.430899--0.102357))+0-0-0</f>
        <v>773.10551499999997</v>
      </c>
      <c r="O362" s="3">
        <f>128.6+(872.8-186.5)+(-0.065586+(-0.445128--0.095115))+0-0-0</f>
        <v>814.48440099999993</v>
      </c>
      <c r="P362" s="3">
        <f>126.9+(878.8-184.6)+(0.064719+(0.448188-0.094146))+0-0-0</f>
        <v>821.51876099999993</v>
      </c>
      <c r="Q362" s="3">
        <f>125.2+(862-162.1)+(0+(0-0))+0-0-0</f>
        <v>825.1</v>
      </c>
      <c r="R362" s="3">
        <f>124.6+(851.5-168)+(-0.190638+(-1.302795--0.25704))+0-0-0</f>
        <v>806.863607</v>
      </c>
      <c r="S362" s="3">
        <f>124.3+(860.4-192.1)+(0.063393+(0.438804-0.097971))+0-0-0</f>
        <v>793.0042259999999</v>
      </c>
      <c r="T362" s="3">
        <f>124.3+(891.3-217)+(-0.126786+(-0.909126--0.22134))+0-0-0</f>
        <v>797.78542799999991</v>
      </c>
      <c r="U362" s="3">
        <f>124.1+(879.4-215.2)+(-0.253164+(-1.793976--0.439008))+0-0-0</f>
        <v>786.69186800000011</v>
      </c>
      <c r="V362" s="3">
        <f>124.3+(924.8-272)+(-0.380358+(-2.829888--0.83232))+0-0-0</f>
        <v>774.72207399999991</v>
      </c>
      <c r="W362" s="3">
        <f>124.5+(879.7-230.8)+(-0.50796+(-3.589176--0.941664))+0-0-0</f>
        <v>770.24452800000006</v>
      </c>
      <c r="X362" s="3">
        <f>125.7+(888.3-182.4)+(0+(0-0))+0-0-0</f>
        <v>831.6</v>
      </c>
      <c r="Y362" s="3">
        <f>126.8+(1025.3-277)+(-0.32334+(-2.614515--0.70635))+0-0-0</f>
        <v>872.86849499999994</v>
      </c>
      <c r="Z362" s="3">
        <f>127.1+(999.3-267)+(-0.324105+(-2.548215--0.68085))+0-0-0</f>
        <v>857.20853</v>
      </c>
      <c r="AA362" s="3">
        <f>127.6+(953.5-243)+(-0.260304+(-1.94514--0.49572))+0-0-0</f>
        <v>836.39027599999997</v>
      </c>
      <c r="AB362" s="3">
        <f>127.7+(973.1-292.2)+(-0.065127+(-0.496281--0.149022))+0-0-0</f>
        <v>808.18761400000017</v>
      </c>
      <c r="AC362" s="3">
        <f>116.1+(949.3-281.7)+(-0.296055+(-2.420715--0.718335))+0-0-0</f>
        <v>781.70156499999996</v>
      </c>
      <c r="AD362" s="2">
        <v>879.89999999999986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107.9+(927.9-307.9)+(-0.330174+(-2.839374--0.942174))+0-0-0</f>
        <v>725.67262599999992</v>
      </c>
      <c r="G363" s="3">
        <f>98.6+(852.6-252.2)+(-0.25143+(-2.17413--0.64311))+0-0-0</f>
        <v>697.21755000000007</v>
      </c>
      <c r="H363" s="3">
        <f>89.7+(837-248.4)+(-0.182988+(-1.70748--0.506736))+0-0-0</f>
        <v>676.91626800000006</v>
      </c>
      <c r="I363" s="3">
        <f>89+(810.8-233.1)+(-0.27234+(-2.481048--0.713286))+0-0-0</f>
        <v>664.65989799999988</v>
      </c>
      <c r="J363" s="3">
        <f>89.6+(802.3-225)+(-0.137088+(-1.227519--0.34425))+0-0-0</f>
        <v>665.87964299999999</v>
      </c>
      <c r="K363" s="3">
        <f>90+(836.3-254.5)+(-0.0459+(-0.426513--0.129795))+0-0-0</f>
        <v>671.45738199999994</v>
      </c>
      <c r="L363" s="3">
        <f>90.1+(864.3-284.3)+(0+(0-0))+0-0-0</f>
        <v>670.1</v>
      </c>
      <c r="M363" s="3">
        <f>90.5+(914.6-277.5)+(0.09231+(0.932892-0.28305))+0-0-0</f>
        <v>728.34215200000006</v>
      </c>
      <c r="N363" s="3">
        <f>97.9+(978-336.7)+(-0.049929+(-0.49878--0.171717))+0-0-0</f>
        <v>738.82300799999996</v>
      </c>
      <c r="O363" s="3">
        <f>128.2+(1032.9-384.5)+(0+(0-0))+0-0-0</f>
        <v>776.60000000000014</v>
      </c>
      <c r="P363" s="3">
        <f>126.1+(1032.9-323.1)+(-0.321555+(-2.633895--0.823905))+0-0-0</f>
        <v>833.76845500000013</v>
      </c>
      <c r="Q363" s="3">
        <f>125.1+(1005-304.9)+(-0.063801+(-0.51255--0.155499))+0-0-0</f>
        <v>824.77914800000008</v>
      </c>
      <c r="R363" s="3">
        <f>123.5+(960.3-278.3)+(-0.37791+(-2.938518--0.851598))+0-0-0</f>
        <v>803.03516999999999</v>
      </c>
      <c r="S363" s="3">
        <f>114.2+(933.7-283)+(0.058242+(0.476187-0.14433))+0-0-0</f>
        <v>765.29009900000005</v>
      </c>
      <c r="T363" s="3">
        <f>100.9+(910.6-246.8)+(-0.205836+(-1.857624--0.503472))+0-0-0</f>
        <v>763.14001199999996</v>
      </c>
      <c r="U363" s="3">
        <f>100.9+(926.2-267.6)+(-0.154377+(-1.417086--0.409428))+0-0-0</f>
        <v>758.33796500000005</v>
      </c>
      <c r="V363" s="3">
        <f>100.9+(953.3-302.3)+(0+(0-0))+0-0-0</f>
        <v>751.9</v>
      </c>
      <c r="W363" s="3">
        <f>101+(945.4-207)+(0+(0-0))+0-0-0</f>
        <v>839.4</v>
      </c>
      <c r="X363" s="3">
        <f>120+(980.4-216)+(0.0612+(0.500004-0.11016))+0-0-0</f>
        <v>884.851044</v>
      </c>
      <c r="Y363" s="3">
        <f>124+(982.4-324)+(-0.06324+(-0.501024--0.16524))+0-0-0</f>
        <v>782.00097599999992</v>
      </c>
      <c r="Z363" s="3">
        <f>122.9+(971.8-276.1)+(-0.062679+(-0.495618--0.140811))+0-0-0</f>
        <v>818.18251399999986</v>
      </c>
      <c r="AA363" s="3">
        <f>123+(970.4-289.5)+(-0.06273+(-0.494904--0.147645))+0-0-0</f>
        <v>803.49001099999998</v>
      </c>
      <c r="AB363" s="3">
        <f>121.9+(989.8-334.8)+(-0.310845+(-2.52399--0.85374))+0-0-0</f>
        <v>774.918905</v>
      </c>
      <c r="AC363" s="3">
        <f>101.3+(901.2-248.1)+(-0.206652+(-1.838448--0.506124))+0-0-0</f>
        <v>752.86102399999993</v>
      </c>
      <c r="AD363" s="2">
        <v>839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45.1+(807.7-151.8)+(-0.092004+(-1.647708--0.309672))+0-0-0</f>
        <v>699.56996000000015</v>
      </c>
      <c r="G364" s="3">
        <f>45.1+(765-147.7)+(-0.069003+(-1.17045--0.225981))+0-0-0</f>
        <v>661.386528</v>
      </c>
      <c r="H364" s="3">
        <f>45.1+(776.6-180.1)+(-0.115005+(-1.98033--0.459255))+0-0-0</f>
        <v>639.96392000000003</v>
      </c>
      <c r="I364" s="3">
        <f>45.1+(791.9-198.4)+(0.023001+(0.403869-0.101184))+0-0-0</f>
        <v>638.92568600000004</v>
      </c>
      <c r="J364" s="3">
        <f>45.1+(796.7-197.1)+(-0.092004+(-1.625268--0.402084))+0-0-0</f>
        <v>643.38481200000001</v>
      </c>
      <c r="K364" s="3">
        <f>45.1+(789.7-195.3)+(-0.046002+(-0.805494--0.199206))+0-0-0</f>
        <v>638.84771000000012</v>
      </c>
      <c r="L364" s="3">
        <f>45.1+(805.1-222.4)+(0+(0-0))+0-0-0</f>
        <v>627.80000000000007</v>
      </c>
      <c r="M364" s="3">
        <f>73.8+(895.4-323.1)+(-0.112914+(-1.369962--0.494343))+0-0-0</f>
        <v>645.11146699999995</v>
      </c>
      <c r="N364" s="3">
        <f>133+(969.9-411.9)+(-0.06783+(-0.494649--0.210069))+0-0-0</f>
        <v>690.64759000000004</v>
      </c>
      <c r="O364" s="3">
        <f>130.4+(999.8-402.3)+(-0.33252+(-2.54949--1.025865))+0-0-0</f>
        <v>726.04385500000001</v>
      </c>
      <c r="P364" s="3">
        <f>130.7+(992.1-388.6)+(0.066657+(0.505971-0.198186))+0-0-0</f>
        <v>734.57444200000009</v>
      </c>
      <c r="Q364" s="3">
        <f>129.2+(966.6-362.5)+(0.065892+(0.492966-0.184875))+0-0-0</f>
        <v>733.67398299999991</v>
      </c>
      <c r="R364" s="3">
        <f>127.8+(953.6-369.3)+(-0.391068+(-2.918016--1.130058))+0-0-0</f>
        <v>709.92097399999989</v>
      </c>
      <c r="S364" s="3">
        <f>128.1+(969.9-385)+(-0.261324+(-1.978596--0.7854))+0-0-0</f>
        <v>711.54548</v>
      </c>
      <c r="T364" s="3">
        <f>128.4+(968.3-397.1)+(-0.130968+(-0.987666--0.405042))+0-0-0</f>
        <v>698.88640799999996</v>
      </c>
      <c r="U364" s="3">
        <f>129+(968.7-419.3)+(-0.06579+(-0.494037--0.213843))+0-0-0</f>
        <v>678.05401600000005</v>
      </c>
      <c r="V364" s="3">
        <f>128.4+(937.4-389.2)+(-0.196452+(-1.434222--0.595476))+0-0-0</f>
        <v>675.56480199999999</v>
      </c>
      <c r="W364" s="3">
        <f>129.3+(910.8-366.8)+(0.131886+(0.929016-0.374136))+0-0-0</f>
        <v>673.98676599999999</v>
      </c>
      <c r="X364" s="3">
        <f>129.3+(881-285.6)+(0.131886+(0.89862-0.291312))+0-0-0</f>
        <v>725.43919400000004</v>
      </c>
      <c r="Y364" s="3">
        <f>130.9+(993.9-345.7)+(-0.066759+(-0.506889--0.176307))+0-0-0</f>
        <v>778.70265900000004</v>
      </c>
      <c r="Z364" s="3">
        <f>130.8+(990.2-354.9)+(-0.33354+(-2.52501--0.904995))+0-0-0</f>
        <v>764.14644500000009</v>
      </c>
      <c r="AA364" s="3">
        <f>111.1+(989.1-350.3)+(0+(0-0))+0-0-0</f>
        <v>749.9</v>
      </c>
      <c r="AB364" s="3">
        <f>45.1+(1006.4-322.3)+(-0.092004+(-2.053056--0.657492))+0-0-0</f>
        <v>727.71243199999992</v>
      </c>
      <c r="AC364" s="3">
        <f>29.4+(911.2-237.1)+(-0.07497+(-2.32356--0.604605))+0-0-0</f>
        <v>701.70607500000006</v>
      </c>
      <c r="AD364" s="2">
        <v>796.6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0+(825.3-171.6)+(0+(0-0))+0-0-0</f>
        <v>653.69999999999993</v>
      </c>
      <c r="G365" s="3">
        <f>0+(818.9-195.4)+(0+(-1.670556--0.398616))+0-0-0</f>
        <v>622.22806000000003</v>
      </c>
      <c r="H365" s="3">
        <f>0+(799.6-199.4)+(0+(-2.446776--0.610164))+0-0-0</f>
        <v>598.3633880000001</v>
      </c>
      <c r="I365" s="3">
        <f>0+(729.7-139.3)+(0+(-0.744294--0.142086))+0-0-0</f>
        <v>589.79779200000007</v>
      </c>
      <c r="J365" s="3">
        <f>0+(713.5-129)+(0+(-0.72777--0.13158))+0-0-0</f>
        <v>583.90381000000002</v>
      </c>
      <c r="K365" s="3">
        <f>0+(709.3-134.1)+(0+(0.723486-0.136782))+0-0-0</f>
        <v>575.78670399999999</v>
      </c>
      <c r="L365" s="3">
        <f>0+(721.6-173.2)+(0+(-0.736032--0.176664))+0-0-0</f>
        <v>547.84063200000014</v>
      </c>
      <c r="M365" s="3">
        <f>0+(754.5-206.4)+(0+(0.76959-0.210528))+0-0-0</f>
        <v>548.65906200000006</v>
      </c>
      <c r="N365" s="3">
        <f>0+(874.9-299.8)+(0+(-0.446199--0.152898))+0-0-0</f>
        <v>574.80669899999987</v>
      </c>
      <c r="O365" s="3">
        <f>0+(927.6-315.1)+(0+(0-0))+0-0-0</f>
        <v>612.5</v>
      </c>
      <c r="P365" s="3">
        <f>0+(930.3-297.6)+(0+(-0.474453--0.151776))+0-0-0</f>
        <v>632.37732299999993</v>
      </c>
      <c r="Q365" s="3">
        <f>0+(941.3-305.9)+(0+(1.920252-0.624036))+0-0-0</f>
        <v>636.69621599999994</v>
      </c>
      <c r="R365" s="3">
        <f>0+(931.3-302.5)+(0+(-1.899852--0.6171))+0-0-0</f>
        <v>627.517248</v>
      </c>
      <c r="S365" s="3">
        <f>0+(918-310.7)+(0+(-0.93636--0.316914))+0-0-0</f>
        <v>606.68055399999992</v>
      </c>
      <c r="T365" s="3">
        <f>0+(852.6-248.8)+(0+(-1.739304--0.507552))+0-0-0</f>
        <v>602.56824799999993</v>
      </c>
      <c r="U365" s="3">
        <f>0+(825.6-229.4)+(0+(-1.263168--0.350982))+0-0-0</f>
        <v>595.28781400000003</v>
      </c>
      <c r="V365" s="3">
        <f>0+(838.2-243.3)+(0+(1.709928-0.496332))+0-0-0</f>
        <v>596.11359600000014</v>
      </c>
      <c r="W365" s="3">
        <f>0+(817-217.9)+(0+(-1.66668--0.444516))+0-0-0</f>
        <v>597.877836</v>
      </c>
      <c r="X365" s="3">
        <f>0+(850.5-186.9)+(0+(0.86751-0.190638))+0-0-0</f>
        <v>664.27687200000003</v>
      </c>
      <c r="Y365" s="3">
        <f>0+(1076-377.7)+(0+(-1.64628--0.577881))+0-0-0</f>
        <v>697.23160099999996</v>
      </c>
      <c r="Z365" s="3">
        <f>0+(1079.4-397.8)+(0+(1.100988-0.405756))+0-0-0</f>
        <v>682.29523200000017</v>
      </c>
      <c r="AA365" s="3">
        <f>0+(1079.4-402.5)+(0+(1.100988-0.41055))+0-0-0</f>
        <v>677.59043800000006</v>
      </c>
      <c r="AB365" s="3">
        <f>0+(1017.6-351.7)+(0+(-1.556928--0.538101))+0-0-0</f>
        <v>664.8811730000001</v>
      </c>
      <c r="AC365" s="3">
        <f>0+(925.4-284.3)+(0+(-0.943908--0.289986))+0-0-0</f>
        <v>640.44607799999994</v>
      </c>
      <c r="AD365" s="2">
        <v>694.6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598.08932600000003</v>
      </c>
      <c r="G366" s="1">
        <v>558.85760000000005</v>
      </c>
      <c r="H366" s="1">
        <v>540.42424300000005</v>
      </c>
      <c r="I366" s="1">
        <v>536.1041120000001</v>
      </c>
      <c r="J366" s="1">
        <v>530.87060599999995</v>
      </c>
      <c r="K366" s="1">
        <v>524.13255600000002</v>
      </c>
      <c r="L366" s="1">
        <v>480.10978799999998</v>
      </c>
      <c r="M366" s="1">
        <v>475.7</v>
      </c>
      <c r="N366" s="1">
        <v>516.1</v>
      </c>
      <c r="O366" s="1">
        <v>549.20000000000005</v>
      </c>
      <c r="P366" s="1">
        <v>562.29999999999995</v>
      </c>
      <c r="Q366" s="1">
        <v>560.28560000000004</v>
      </c>
      <c r="R366" s="1">
        <v>549.85742900000002</v>
      </c>
      <c r="S366" s="1">
        <v>529.41777999999999</v>
      </c>
      <c r="T366" s="1">
        <v>508.50000999999997</v>
      </c>
      <c r="U366" s="1">
        <v>490.24667499999998</v>
      </c>
      <c r="V366" s="1">
        <v>486.75412499999999</v>
      </c>
      <c r="W366" s="1">
        <v>496.03989599999994</v>
      </c>
      <c r="X366" s="1">
        <v>555.71644000000003</v>
      </c>
      <c r="Y366" s="1">
        <v>617.98466700000006</v>
      </c>
      <c r="Z366" s="1">
        <v>611.8358300000001</v>
      </c>
      <c r="AA366" s="1">
        <v>596.97382500000003</v>
      </c>
      <c r="AB366" s="1">
        <v>584.30620999999996</v>
      </c>
      <c r="AC366" s="1">
        <v>565.43356100000005</v>
      </c>
      <c r="AD366" s="1">
        <v>628.29999999999995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v>1316.0285080000001</v>
      </c>
      <c r="G1" s="3">
        <v>1165.8611799999999</v>
      </c>
      <c r="H1" s="3">
        <v>1050.0467650000001</v>
      </c>
      <c r="I1" s="3">
        <v>1014.2051279999998</v>
      </c>
      <c r="J1" s="3">
        <v>988.88189100000011</v>
      </c>
      <c r="K1" s="3">
        <v>990.7</v>
      </c>
      <c r="L1" s="3">
        <v>1001.475312</v>
      </c>
      <c r="M1" s="3">
        <v>1063.2</v>
      </c>
      <c r="N1" s="3">
        <v>1156.6908919999998</v>
      </c>
      <c r="O1" s="3">
        <v>1121.9385110000003</v>
      </c>
      <c r="P1" s="3">
        <v>1073.9119509999998</v>
      </c>
      <c r="Q1" s="3">
        <v>1037.7563910000001</v>
      </c>
      <c r="R1" s="3">
        <v>1016.4</v>
      </c>
      <c r="S1" s="3">
        <v>1001.1243310000001</v>
      </c>
      <c r="T1" s="3">
        <v>981.61863499999993</v>
      </c>
      <c r="U1" s="3">
        <v>964.97841500000004</v>
      </c>
      <c r="V1" s="3">
        <v>971.16908199999989</v>
      </c>
      <c r="W1" s="3">
        <v>1008.941444</v>
      </c>
      <c r="X1" s="3">
        <v>1169.677428</v>
      </c>
      <c r="Y1" s="3">
        <v>1415.026406</v>
      </c>
      <c r="Z1" s="3">
        <v>1415.1885380000001</v>
      </c>
      <c r="AA1" s="3">
        <v>1398.7150069999998</v>
      </c>
      <c r="AB1" s="3">
        <v>1347.7921190000002</v>
      </c>
      <c r="AC1" s="3">
        <v>1232.8839500000004</v>
      </c>
      <c r="AD1" s="2">
        <v>1419.1000000000001</v>
      </c>
      <c r="AE1" s="3" t="e">
        <v>#REF!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v>1094</v>
      </c>
      <c r="G2" s="3">
        <v>996.2</v>
      </c>
      <c r="H2" s="3">
        <v>961.68346399999996</v>
      </c>
      <c r="I2" s="3">
        <v>960.28621799999996</v>
      </c>
      <c r="J2" s="3">
        <v>931.83028200000012</v>
      </c>
      <c r="K2" s="3">
        <v>926.65839600000004</v>
      </c>
      <c r="L2" s="3">
        <v>932.92798700000003</v>
      </c>
      <c r="M2" s="3">
        <v>886.16578300000003</v>
      </c>
      <c r="N2" s="3">
        <v>876.16144799999995</v>
      </c>
      <c r="O2" s="3">
        <v>947.59811700000012</v>
      </c>
      <c r="P2" s="3">
        <v>1033.2</v>
      </c>
      <c r="Q2" s="3">
        <v>1048.6994199999999</v>
      </c>
      <c r="R2" s="3">
        <v>1045.5999999999999</v>
      </c>
      <c r="S2" s="3">
        <v>1032.4000000000001</v>
      </c>
      <c r="T2" s="3">
        <v>1012.936344</v>
      </c>
      <c r="U2" s="3">
        <v>991.61022400000002</v>
      </c>
      <c r="V2" s="3">
        <v>987.23632000000009</v>
      </c>
      <c r="W2" s="3">
        <v>1027.6212479999999</v>
      </c>
      <c r="X2" s="3">
        <v>1061.1870779999999</v>
      </c>
      <c r="Y2" s="3">
        <v>1210.9000000000001</v>
      </c>
      <c r="Z2" s="3">
        <v>1429.9645170000001</v>
      </c>
      <c r="AA2" s="3">
        <v>1426.1147779999999</v>
      </c>
      <c r="AB2" s="3">
        <v>1403.4594160000001</v>
      </c>
      <c r="AC2" s="3">
        <v>1353.794517</v>
      </c>
      <c r="AD2" s="2">
        <v>1400.7</v>
      </c>
      <c r="AE2" s="3" t="e">
        <v>#REF!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v>1228.7726590000002</v>
      </c>
      <c r="G3" s="3">
        <v>1085.4315540000002</v>
      </c>
      <c r="H3" s="3">
        <v>979.88643000000002</v>
      </c>
      <c r="I3" s="3">
        <v>941.27104799999995</v>
      </c>
      <c r="J3" s="3">
        <v>914.1</v>
      </c>
      <c r="K3" s="3">
        <v>910.97797200000002</v>
      </c>
      <c r="L3" s="3">
        <v>923.38449999999989</v>
      </c>
      <c r="M3" s="3">
        <v>897.50994000000014</v>
      </c>
      <c r="N3" s="3">
        <v>887.03283999999996</v>
      </c>
      <c r="O3" s="3">
        <v>959.50423699999988</v>
      </c>
      <c r="P3" s="3">
        <v>1045.6511379999999</v>
      </c>
      <c r="Q3" s="3">
        <v>1072.6000000000001</v>
      </c>
      <c r="R3" s="3">
        <v>1079.76695</v>
      </c>
      <c r="S3" s="3">
        <v>1058.2068019999999</v>
      </c>
      <c r="T3" s="3">
        <v>1033.914822</v>
      </c>
      <c r="U3" s="3">
        <v>1013.7667719999998</v>
      </c>
      <c r="V3" s="3">
        <v>1012.2</v>
      </c>
      <c r="W3" s="3">
        <v>1028.3388660000001</v>
      </c>
      <c r="X3" s="3">
        <v>1049.8457639999999</v>
      </c>
      <c r="Y3" s="3">
        <v>1194.2</v>
      </c>
      <c r="Z3" s="3">
        <v>1445.5730360000002</v>
      </c>
      <c r="AA3" s="3">
        <v>1424.6577969999998</v>
      </c>
      <c r="AB3" s="3">
        <v>1401.5403799999999</v>
      </c>
      <c r="AC3" s="3">
        <v>1341.5020640000002</v>
      </c>
      <c r="AD3" s="2">
        <v>1426.3</v>
      </c>
      <c r="AE3" s="3" t="e">
        <v>#REF!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v>1218.627142</v>
      </c>
      <c r="G4" s="3">
        <v>1090.686706</v>
      </c>
      <c r="H4" s="3">
        <v>1002.6742409999998</v>
      </c>
      <c r="I4" s="3">
        <v>981.9</v>
      </c>
      <c r="J4" s="3">
        <v>961.48468800000001</v>
      </c>
      <c r="K4" s="3">
        <v>943.40412700000024</v>
      </c>
      <c r="L4" s="3">
        <v>933.7426200000001</v>
      </c>
      <c r="M4" s="3">
        <v>913.5101360000001</v>
      </c>
      <c r="N4" s="3">
        <v>922.26879599999995</v>
      </c>
      <c r="O4" s="3">
        <v>993.52167900000006</v>
      </c>
      <c r="P4" s="3">
        <v>1048.6991519999999</v>
      </c>
      <c r="Q4" s="3">
        <v>1082.3</v>
      </c>
      <c r="R4" s="3">
        <v>1136.0228750000001</v>
      </c>
      <c r="S4" s="3">
        <v>1109.3744000000002</v>
      </c>
      <c r="T4" s="3">
        <v>1078.8683100000001</v>
      </c>
      <c r="U4" s="3">
        <v>1056.8353599999998</v>
      </c>
      <c r="V4" s="3">
        <v>1049.9505450000001</v>
      </c>
      <c r="W4" s="3">
        <v>1060.1176840000001</v>
      </c>
      <c r="X4" s="3">
        <v>1085.43084</v>
      </c>
      <c r="Y4" s="3">
        <v>1212.3999999999999</v>
      </c>
      <c r="Z4" s="3">
        <v>1465.0783150000002</v>
      </c>
      <c r="AA4" s="3">
        <v>1431.2136440000002</v>
      </c>
      <c r="AB4" s="3">
        <v>1398.4</v>
      </c>
      <c r="AC4" s="3">
        <v>1329.6918659999999</v>
      </c>
      <c r="AD4" s="2">
        <v>1438.4</v>
      </c>
      <c r="AE4" s="3" t="e">
        <v>#REF!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v>1216.3198950000001</v>
      </c>
      <c r="G5" s="3">
        <v>1137.4180959999999</v>
      </c>
      <c r="H5" s="3">
        <v>997.4225459999999</v>
      </c>
      <c r="I5" s="3">
        <v>1017.0934259999998</v>
      </c>
      <c r="J5" s="3">
        <v>1005.3451159999998</v>
      </c>
      <c r="K5" s="3">
        <v>1006.253048</v>
      </c>
      <c r="L5" s="3">
        <v>1045.9541790000001</v>
      </c>
      <c r="M5" s="3">
        <v>1016.8661320000002</v>
      </c>
      <c r="N5" s="3">
        <v>1104.3783399999998</v>
      </c>
      <c r="O5" s="3">
        <v>1231.9433140000001</v>
      </c>
      <c r="P5" s="3">
        <v>1250.5</v>
      </c>
      <c r="Q5" s="3">
        <v>1294.1751380000001</v>
      </c>
      <c r="R5" s="3">
        <v>1277.3312719999997</v>
      </c>
      <c r="S5" s="3">
        <v>1256.2327260000002</v>
      </c>
      <c r="T5" s="3">
        <v>1215.165305</v>
      </c>
      <c r="U5" s="3">
        <v>1190.58186</v>
      </c>
      <c r="V5" s="3">
        <v>1189.2</v>
      </c>
      <c r="W5" s="3">
        <v>1189.921435</v>
      </c>
      <c r="X5" s="3">
        <v>1202.8999999999999</v>
      </c>
      <c r="Y5" s="3">
        <v>1312.7680240000002</v>
      </c>
      <c r="Z5" s="3">
        <v>1544.992786</v>
      </c>
      <c r="AA5" s="3">
        <v>1520.2254399999999</v>
      </c>
      <c r="AB5" s="3">
        <v>1487.3722929999999</v>
      </c>
      <c r="AC5" s="3">
        <v>1437.3046680000002</v>
      </c>
      <c r="AD5" s="2">
        <v>1549.2</v>
      </c>
      <c r="AE5" s="3" t="e">
        <v>#REF!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v>1234.166845</v>
      </c>
      <c r="G6" s="3">
        <v>1111.0896850000001</v>
      </c>
      <c r="H6" s="3">
        <v>1052.4448459999999</v>
      </c>
      <c r="I6" s="3">
        <v>1029</v>
      </c>
      <c r="J6" s="3">
        <v>983.7</v>
      </c>
      <c r="K6" s="3">
        <v>986.61719099999993</v>
      </c>
      <c r="L6" s="3">
        <v>1003.6737309999999</v>
      </c>
      <c r="M6" s="3">
        <v>996.5</v>
      </c>
      <c r="N6" s="3">
        <v>1083.5999999999999</v>
      </c>
      <c r="O6" s="3">
        <v>1149.8014880000001</v>
      </c>
      <c r="P6" s="3">
        <v>1320.2751640000001</v>
      </c>
      <c r="Q6" s="3">
        <v>1324.73172</v>
      </c>
      <c r="R6" s="3">
        <v>1324.4182060000001</v>
      </c>
      <c r="S6" s="3">
        <v>1288.009444</v>
      </c>
      <c r="T6" s="3">
        <v>1212.9332669999999</v>
      </c>
      <c r="U6" s="3">
        <v>1199.9156519999999</v>
      </c>
      <c r="V6" s="3">
        <v>1191.5531520000002</v>
      </c>
      <c r="W6" s="3">
        <v>1197.2056869999999</v>
      </c>
      <c r="X6" s="3">
        <v>1282.030829</v>
      </c>
      <c r="Y6" s="3">
        <v>1393.6505419999999</v>
      </c>
      <c r="Z6" s="3">
        <v>1567.0535299999999</v>
      </c>
      <c r="AA6" s="3">
        <v>1542.7949279999998</v>
      </c>
      <c r="AB6" s="3">
        <v>1495.1228110000002</v>
      </c>
      <c r="AC6" s="3">
        <v>1415.5</v>
      </c>
      <c r="AD6" s="2">
        <v>1583.3999999999999</v>
      </c>
      <c r="AE6" s="3" t="e">
        <v>#REF!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v>1286.5581900000002</v>
      </c>
      <c r="G7" s="3">
        <v>1143.3045600000003</v>
      </c>
      <c r="H7" s="3">
        <v>1081.1675959999998</v>
      </c>
      <c r="I7" s="3">
        <v>1027.3378969999999</v>
      </c>
      <c r="J7" s="3">
        <v>1016.7337940000002</v>
      </c>
      <c r="K7" s="3">
        <v>1010.0392499999999</v>
      </c>
      <c r="L7" s="3">
        <v>1033.440957</v>
      </c>
      <c r="M7" s="3">
        <v>995.90000000000032</v>
      </c>
      <c r="N7" s="3">
        <v>1085.690531</v>
      </c>
      <c r="O7" s="3">
        <v>1223.1203079999998</v>
      </c>
      <c r="P7" s="3">
        <v>1322.7786319999998</v>
      </c>
      <c r="Q7" s="3">
        <v>1361.4554240000002</v>
      </c>
      <c r="R7" s="3">
        <v>1363.9654970000001</v>
      </c>
      <c r="S7" s="3">
        <v>1315.853752</v>
      </c>
      <c r="T7" s="3">
        <v>1254.675336</v>
      </c>
      <c r="U7" s="3">
        <v>1246.7</v>
      </c>
      <c r="V7" s="3">
        <v>1246.04466</v>
      </c>
      <c r="W7" s="3">
        <v>1252.3065179999999</v>
      </c>
      <c r="X7" s="3">
        <v>1285.437825</v>
      </c>
      <c r="Y7" s="3">
        <v>1409.533788</v>
      </c>
      <c r="Z7" s="3">
        <v>1585.550864</v>
      </c>
      <c r="AA7" s="3">
        <v>1555.7475399999996</v>
      </c>
      <c r="AB7" s="3">
        <v>1500.2921249999997</v>
      </c>
      <c r="AC7" s="3">
        <v>1427.4832839999997</v>
      </c>
      <c r="AD7" s="2">
        <v>1595.2999999999997</v>
      </c>
      <c r="AE7" s="3" t="e">
        <v>#REF!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v>1301.0837400000003</v>
      </c>
      <c r="G8" s="3">
        <v>1172.9454720000001</v>
      </c>
      <c r="H8" s="3">
        <v>1073.642572</v>
      </c>
      <c r="I8" s="3">
        <v>1038.286402</v>
      </c>
      <c r="J8" s="3">
        <v>1025.7056699999998</v>
      </c>
      <c r="K8" s="3">
        <v>1030.2191059999998</v>
      </c>
      <c r="L8" s="3">
        <v>1055.45706</v>
      </c>
      <c r="M8" s="3">
        <v>1061.7283220000002</v>
      </c>
      <c r="N8" s="3">
        <v>1148.4006419999998</v>
      </c>
      <c r="O8" s="3">
        <v>1250.7050900000002</v>
      </c>
      <c r="P8" s="3">
        <v>1330.9859759999999</v>
      </c>
      <c r="Q8" s="3">
        <v>1394.9259850000001</v>
      </c>
      <c r="R8" s="3">
        <v>1267.7</v>
      </c>
      <c r="S8" s="3">
        <v>1234.0206240000002</v>
      </c>
      <c r="T8" s="3">
        <v>1209.2003520000001</v>
      </c>
      <c r="U8" s="3">
        <v>1171.6720220000002</v>
      </c>
      <c r="V8" s="3">
        <v>1182.1419679999997</v>
      </c>
      <c r="W8" s="3">
        <v>1250.492972</v>
      </c>
      <c r="X8" s="3">
        <v>1290.0726900000002</v>
      </c>
      <c r="Y8" s="3">
        <v>1348.30403</v>
      </c>
      <c r="Z8" s="3">
        <v>1465.2072949999999</v>
      </c>
      <c r="AA8" s="3">
        <v>1464.0381110000001</v>
      </c>
      <c r="AB8" s="3">
        <v>1417.1999999999998</v>
      </c>
      <c r="AC8" s="3">
        <v>1334.8044620000001</v>
      </c>
      <c r="AD8" s="2">
        <v>1605.8999999999999</v>
      </c>
      <c r="AE8" s="3" t="e">
        <v>#REF!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v>1321.621674</v>
      </c>
      <c r="G9" s="3">
        <v>1184.2416619999999</v>
      </c>
      <c r="H9" s="3">
        <v>1113.5172739999998</v>
      </c>
      <c r="I9" s="3">
        <v>1078.2699420000001</v>
      </c>
      <c r="J9" s="3">
        <v>1064.6837120000002</v>
      </c>
      <c r="K9" s="3">
        <v>1057.853605</v>
      </c>
      <c r="L9" s="3">
        <v>1082.3313839999998</v>
      </c>
      <c r="M9" s="3">
        <v>1074.7370619999999</v>
      </c>
      <c r="N9" s="3">
        <v>1149.498149</v>
      </c>
      <c r="O9" s="3">
        <v>1261.2411819999998</v>
      </c>
      <c r="P9" s="3">
        <v>1356.2</v>
      </c>
      <c r="Q9" s="3">
        <v>1435.2917499999999</v>
      </c>
      <c r="R9" s="3">
        <v>1319.3999999999999</v>
      </c>
      <c r="S9" s="3">
        <v>1302.8983000000001</v>
      </c>
      <c r="T9" s="3">
        <v>1261.7816499999997</v>
      </c>
      <c r="U9" s="3">
        <v>1234.2628670000001</v>
      </c>
      <c r="V9" s="3">
        <v>1236.3</v>
      </c>
      <c r="W9" s="3">
        <v>1252.4611950000001</v>
      </c>
      <c r="X9" s="3">
        <v>1256.4193599999999</v>
      </c>
      <c r="Y9" s="3">
        <v>1331.1875060000002</v>
      </c>
      <c r="Z9" s="3">
        <v>1518.6896839999999</v>
      </c>
      <c r="AA9" s="3">
        <v>1483.4</v>
      </c>
      <c r="AB9" s="3">
        <v>1429.264058</v>
      </c>
      <c r="AC9" s="3">
        <v>1355.0933949999999</v>
      </c>
      <c r="AD9" s="2">
        <v>1657.7</v>
      </c>
      <c r="AE9" s="3" t="e">
        <v>#REF!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v>1361.9664149999999</v>
      </c>
      <c r="G10" s="3">
        <v>1220.8</v>
      </c>
      <c r="H10" s="3">
        <v>1127.9279539999998</v>
      </c>
      <c r="I10" s="3">
        <v>1087.9891540000003</v>
      </c>
      <c r="J10" s="3">
        <v>1065.324038</v>
      </c>
      <c r="K10" s="3">
        <v>1063.1000000000001</v>
      </c>
      <c r="L10" s="3">
        <v>1081.3</v>
      </c>
      <c r="M10" s="3">
        <v>1080.9334919999999</v>
      </c>
      <c r="N10" s="3">
        <v>1153.0999999999999</v>
      </c>
      <c r="O10" s="3">
        <v>1268.77451</v>
      </c>
      <c r="P10" s="3">
        <v>1363.589009</v>
      </c>
      <c r="Q10" s="3">
        <v>1418.1218160000003</v>
      </c>
      <c r="R10" s="3">
        <v>1426.4576950000001</v>
      </c>
      <c r="S10" s="3">
        <v>1361.060524</v>
      </c>
      <c r="T10" s="3">
        <v>1303.8789630000001</v>
      </c>
      <c r="U10" s="3">
        <v>1286.258088</v>
      </c>
      <c r="V10" s="3">
        <v>1287.0287889999997</v>
      </c>
      <c r="W10" s="3">
        <v>1279.6952410000001</v>
      </c>
      <c r="X10" s="3">
        <v>1278.5639020000001</v>
      </c>
      <c r="Y10" s="3">
        <v>1389.5454420000001</v>
      </c>
      <c r="Z10" s="3">
        <v>1611.1763979999998</v>
      </c>
      <c r="AA10" s="3">
        <v>1593.1</v>
      </c>
      <c r="AB10" s="3">
        <v>1539.7066950000001</v>
      </c>
      <c r="AC10" s="3">
        <v>1472.435716</v>
      </c>
      <c r="AD10" s="2">
        <v>1613.4</v>
      </c>
      <c r="AE10" s="3" t="e">
        <v>#REF!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v>1351.191992</v>
      </c>
      <c r="G11" s="3">
        <v>1217.8905600000001</v>
      </c>
      <c r="H11" s="3">
        <v>1143.7042389999997</v>
      </c>
      <c r="I11" s="3">
        <v>1080.3345119999999</v>
      </c>
      <c r="J11" s="3">
        <v>1056.5050680000002</v>
      </c>
      <c r="K11" s="3">
        <v>1053</v>
      </c>
      <c r="L11" s="3">
        <v>1058.2794599999997</v>
      </c>
      <c r="M11" s="3">
        <v>1024.3624089999998</v>
      </c>
      <c r="N11" s="3">
        <v>1059.1883020000002</v>
      </c>
      <c r="O11" s="3">
        <v>1145.700495</v>
      </c>
      <c r="P11" s="3">
        <v>1238.0050079999999</v>
      </c>
      <c r="Q11" s="3">
        <v>1277.7960060000003</v>
      </c>
      <c r="R11" s="3">
        <v>1304.3390140000004</v>
      </c>
      <c r="S11" s="3">
        <v>1254.734103</v>
      </c>
      <c r="T11" s="3">
        <v>1206.4066249999998</v>
      </c>
      <c r="U11" s="3">
        <v>1180.943957</v>
      </c>
      <c r="V11" s="3">
        <v>1172.9071919999999</v>
      </c>
      <c r="W11" s="3">
        <v>1190.3540700000001</v>
      </c>
      <c r="X11" s="3">
        <v>1217.035817</v>
      </c>
      <c r="Y11" s="3">
        <v>1331.7</v>
      </c>
      <c r="Z11" s="3">
        <v>1529.1120919999996</v>
      </c>
      <c r="AA11" s="3">
        <v>1535.8012520000002</v>
      </c>
      <c r="AB11" s="3">
        <v>1511.7141920000001</v>
      </c>
      <c r="AC11" s="3">
        <v>1470.4043880000002</v>
      </c>
      <c r="AD11" s="2">
        <v>1542</v>
      </c>
      <c r="AE11" s="3" t="e">
        <v>#REF!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v>1268.3136010000001</v>
      </c>
      <c r="G12" s="3">
        <v>1195.850704</v>
      </c>
      <c r="H12" s="3">
        <v>1091.0402579999998</v>
      </c>
      <c r="I12" s="3">
        <v>1030.0162919999998</v>
      </c>
      <c r="J12" s="3">
        <v>1026.8376929999999</v>
      </c>
      <c r="K12" s="3">
        <v>1027.4127730000002</v>
      </c>
      <c r="L12" s="3">
        <v>1022.7896750000001</v>
      </c>
      <c r="M12" s="3">
        <v>987.76184400000011</v>
      </c>
      <c r="N12" s="3">
        <v>1049.8491489999999</v>
      </c>
      <c r="O12" s="3">
        <v>1139.29187</v>
      </c>
      <c r="P12" s="3">
        <v>1218.7085220000001</v>
      </c>
      <c r="Q12" s="3">
        <v>1267.4398049999998</v>
      </c>
      <c r="R12" s="3">
        <v>1274.4868520000002</v>
      </c>
      <c r="S12" s="3">
        <v>1246.9000000000001</v>
      </c>
      <c r="T12" s="3">
        <v>1194.5230160000001</v>
      </c>
      <c r="U12" s="3">
        <v>1175.8849909999999</v>
      </c>
      <c r="V12" s="3">
        <v>1175.541508</v>
      </c>
      <c r="W12" s="3">
        <v>1183.3613120000002</v>
      </c>
      <c r="X12" s="3">
        <v>1187.8783100000001</v>
      </c>
      <c r="Y12" s="3">
        <v>1314.2703700000002</v>
      </c>
      <c r="Z12" s="3">
        <v>1544.2025869999998</v>
      </c>
      <c r="AA12" s="3">
        <v>1539.0997819999998</v>
      </c>
      <c r="AB12" s="3">
        <v>1490.5494979999999</v>
      </c>
      <c r="AC12" s="3">
        <v>1405.568405</v>
      </c>
      <c r="AD12" s="2">
        <v>1557.7</v>
      </c>
      <c r="AE12" s="3" t="e">
        <v>#REF!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v>1134.8067169999999</v>
      </c>
      <c r="G13" s="3">
        <v>1085.2634139999998</v>
      </c>
      <c r="H13" s="3">
        <v>961.09060799999986</v>
      </c>
      <c r="I13" s="3">
        <v>964.3</v>
      </c>
      <c r="J13" s="3">
        <v>962.50469599999997</v>
      </c>
      <c r="K13" s="3">
        <v>966.81387999999993</v>
      </c>
      <c r="L13" s="3">
        <v>965.7</v>
      </c>
      <c r="M13" s="3">
        <v>921.91468399999997</v>
      </c>
      <c r="N13" s="3">
        <v>938.28684999999996</v>
      </c>
      <c r="O13" s="3">
        <v>975.18719500000009</v>
      </c>
      <c r="P13" s="3">
        <v>974.23266000000001</v>
      </c>
      <c r="Q13" s="3">
        <v>963.69311099999993</v>
      </c>
      <c r="R13" s="3">
        <v>923.1</v>
      </c>
      <c r="S13" s="3">
        <v>892.3</v>
      </c>
      <c r="T13" s="3">
        <v>869.98271399999999</v>
      </c>
      <c r="U13" s="3">
        <v>857.44864999999993</v>
      </c>
      <c r="V13" s="3">
        <v>870.15731700000003</v>
      </c>
      <c r="W13" s="3">
        <v>918.71728499999995</v>
      </c>
      <c r="X13" s="3">
        <v>954.99754400000018</v>
      </c>
      <c r="Y13" s="3">
        <v>1091.3700780000001</v>
      </c>
      <c r="Z13" s="3">
        <v>1404.2382380000001</v>
      </c>
      <c r="AA13" s="3">
        <v>1467.437091</v>
      </c>
      <c r="AB13" s="3">
        <v>1435.006312</v>
      </c>
      <c r="AC13" s="3">
        <v>1317.813234</v>
      </c>
      <c r="AD13" s="2">
        <v>1410.8999999999999</v>
      </c>
      <c r="AE13" s="3" t="e">
        <v>#REF!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v>1159.287934</v>
      </c>
      <c r="G14" s="3">
        <v>1024.9251240000001</v>
      </c>
      <c r="H14" s="3">
        <v>974.87632799999983</v>
      </c>
      <c r="I14" s="3">
        <v>957.59387200000003</v>
      </c>
      <c r="J14" s="3">
        <v>952.9984619999999</v>
      </c>
      <c r="K14" s="3">
        <v>961.50449199999991</v>
      </c>
      <c r="L14" s="3">
        <v>1001.9999999999999</v>
      </c>
      <c r="M14" s="3">
        <v>1056.353503</v>
      </c>
      <c r="N14" s="3">
        <v>1186.4792280000001</v>
      </c>
      <c r="O14" s="3">
        <v>1331.8999999999999</v>
      </c>
      <c r="P14" s="3">
        <v>1441.0000000000002</v>
      </c>
      <c r="Q14" s="3">
        <v>1508.814294</v>
      </c>
      <c r="R14" s="3">
        <v>1518.1207339999999</v>
      </c>
      <c r="S14" s="3">
        <v>1475.8263319999999</v>
      </c>
      <c r="T14" s="3">
        <v>1400.6091930000002</v>
      </c>
      <c r="U14" s="3">
        <v>1374.6656759999998</v>
      </c>
      <c r="V14" s="3">
        <v>1371.1</v>
      </c>
      <c r="W14" s="3">
        <v>1393.6736580000002</v>
      </c>
      <c r="X14" s="3">
        <v>1421.3594289999999</v>
      </c>
      <c r="Y14" s="3">
        <v>1509.3846859999999</v>
      </c>
      <c r="Z14" s="3">
        <v>1711.1560159999999</v>
      </c>
      <c r="AA14" s="3">
        <v>1691.2628920000002</v>
      </c>
      <c r="AB14" s="3">
        <v>1626.6547769999997</v>
      </c>
      <c r="AC14" s="3">
        <v>1494.264455</v>
      </c>
      <c r="AD14" s="2">
        <v>1703.6</v>
      </c>
      <c r="AE14" s="3" t="e">
        <v>#REF!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v>1282.018624</v>
      </c>
      <c r="G15" s="3">
        <v>1111.5827999999997</v>
      </c>
      <c r="H15" s="3">
        <v>1088.8447650000001</v>
      </c>
      <c r="I15" s="3">
        <v>1070.7784079999999</v>
      </c>
      <c r="J15" s="3">
        <v>1058.6537580000002</v>
      </c>
      <c r="K15" s="3">
        <v>1056.1469050000001</v>
      </c>
      <c r="L15" s="3">
        <v>1121.7860920000001</v>
      </c>
      <c r="M15" s="3">
        <v>1176.3849909999997</v>
      </c>
      <c r="N15" s="3">
        <v>1294.9999999999998</v>
      </c>
      <c r="O15" s="3">
        <v>1399.0405840000003</v>
      </c>
      <c r="P15" s="3">
        <v>1491.5234229999996</v>
      </c>
      <c r="Q15" s="3">
        <v>1527.31843</v>
      </c>
      <c r="R15" s="3">
        <v>1555.6850339999999</v>
      </c>
      <c r="S15" s="3">
        <v>1502.2954399999999</v>
      </c>
      <c r="T15" s="3">
        <v>1443.1390049999998</v>
      </c>
      <c r="U15" s="3">
        <v>1442.00009</v>
      </c>
      <c r="V15" s="3">
        <v>1424.7324120000001</v>
      </c>
      <c r="W15" s="3">
        <v>1412.2666199999999</v>
      </c>
      <c r="X15" s="3">
        <v>1401.2</v>
      </c>
      <c r="Y15" s="3">
        <v>1493.4745370000001</v>
      </c>
      <c r="Z15" s="3">
        <v>1750.5081540000001</v>
      </c>
      <c r="AA15" s="3">
        <v>1727.3148499999998</v>
      </c>
      <c r="AB15" s="3">
        <v>1662.2</v>
      </c>
      <c r="AC15" s="3">
        <v>1551.0907460000001</v>
      </c>
      <c r="AD15" s="2">
        <v>1755.3</v>
      </c>
      <c r="AE15" s="3" t="e">
        <v>#REF!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v>1366.5</v>
      </c>
      <c r="G16" s="3">
        <v>1229.4000000000001</v>
      </c>
      <c r="H16" s="3">
        <v>1155</v>
      </c>
      <c r="I16" s="3">
        <v>1119.0999999999999</v>
      </c>
      <c r="J16" s="3">
        <v>1116.8999999999999</v>
      </c>
      <c r="K16" s="3">
        <v>1116.3</v>
      </c>
      <c r="L16" s="3">
        <v>1135.2927730000004</v>
      </c>
      <c r="M16" s="3">
        <v>1178.7456389999998</v>
      </c>
      <c r="N16" s="3">
        <v>1302.7391160000002</v>
      </c>
      <c r="O16" s="3">
        <v>1422.9166139999998</v>
      </c>
      <c r="P16" s="3">
        <v>1505.546707</v>
      </c>
      <c r="Q16" s="3">
        <v>1535.1000000000001</v>
      </c>
      <c r="R16" s="3">
        <v>1537.19427</v>
      </c>
      <c r="S16" s="3">
        <v>1490.7742820000003</v>
      </c>
      <c r="T16" s="3">
        <v>1436.5044759999998</v>
      </c>
      <c r="U16" s="3">
        <v>1428.4566239999999</v>
      </c>
      <c r="V16" s="3">
        <v>1420.6196739999998</v>
      </c>
      <c r="W16" s="3">
        <v>1398.5</v>
      </c>
      <c r="X16" s="3">
        <v>1379.5809510000001</v>
      </c>
      <c r="Y16" s="3">
        <v>1451.552148</v>
      </c>
      <c r="Z16" s="3">
        <v>1726.8127079999999</v>
      </c>
      <c r="AA16" s="3">
        <v>1724.1196020000002</v>
      </c>
      <c r="AB16" s="3">
        <v>1654.6984050000001</v>
      </c>
      <c r="AC16" s="3">
        <v>1545.9831240000001</v>
      </c>
      <c r="AD16" s="2">
        <v>1754.0000000000002</v>
      </c>
      <c r="AE16" s="3" t="e">
        <v>#REF!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v>1362.590794</v>
      </c>
      <c r="G17" s="3">
        <v>1231.87067</v>
      </c>
      <c r="H17" s="3">
        <v>1164.2143100000001</v>
      </c>
      <c r="I17" s="3">
        <v>1138.1881980000001</v>
      </c>
      <c r="J17" s="3">
        <v>1133.4139439999997</v>
      </c>
      <c r="K17" s="3">
        <v>1142.8968530000002</v>
      </c>
      <c r="L17" s="3">
        <v>1165.3812019999998</v>
      </c>
      <c r="M17" s="3">
        <v>1180.732874</v>
      </c>
      <c r="N17" s="3">
        <v>1304.6599659999999</v>
      </c>
      <c r="O17" s="3">
        <v>1419.1137570000001</v>
      </c>
      <c r="P17" s="3">
        <v>1487.7184089999998</v>
      </c>
      <c r="Q17" s="3">
        <v>1541.1000000000001</v>
      </c>
      <c r="R17" s="3">
        <v>1521.9</v>
      </c>
      <c r="S17" s="3">
        <v>1475.6842960000001</v>
      </c>
      <c r="T17" s="3">
        <v>1429.7</v>
      </c>
      <c r="U17" s="3">
        <v>1396.7000000000003</v>
      </c>
      <c r="V17" s="3">
        <v>1328.7131060000002</v>
      </c>
      <c r="W17" s="3">
        <v>1254.9324200000001</v>
      </c>
      <c r="X17" s="3">
        <v>1406.9670789999998</v>
      </c>
      <c r="Y17" s="3">
        <v>1525.1747129999999</v>
      </c>
      <c r="Z17" s="3">
        <v>1674.7</v>
      </c>
      <c r="AA17" s="3">
        <v>1678.8827819999999</v>
      </c>
      <c r="AB17" s="3">
        <v>1615.7403239999999</v>
      </c>
      <c r="AC17" s="3">
        <v>1525.3283750000001</v>
      </c>
      <c r="AD17" s="2">
        <v>1679.7000000000003</v>
      </c>
      <c r="AE17" s="3" t="e">
        <v>#REF!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v>1361.7239460000001</v>
      </c>
      <c r="G18" s="3">
        <v>1212.9983630000002</v>
      </c>
      <c r="H18" s="3">
        <v>1139.7043200000001</v>
      </c>
      <c r="I18" s="3">
        <v>1100.7154400000002</v>
      </c>
      <c r="J18" s="3">
        <v>1081.4574639999998</v>
      </c>
      <c r="K18" s="3">
        <v>1067.640836</v>
      </c>
      <c r="L18" s="3">
        <v>1061.6725240000001</v>
      </c>
      <c r="M18" s="3">
        <v>1005.2153790000001</v>
      </c>
      <c r="N18" s="3">
        <v>1071.1382349999999</v>
      </c>
      <c r="O18" s="3">
        <v>1174.9000000000001</v>
      </c>
      <c r="P18" s="3">
        <v>1270.2</v>
      </c>
      <c r="Q18" s="3">
        <v>1318.087327</v>
      </c>
      <c r="R18" s="3">
        <v>1313.1153249999998</v>
      </c>
      <c r="S18" s="3">
        <v>1276.3676760000001</v>
      </c>
      <c r="T18" s="3">
        <v>1241.2514330000001</v>
      </c>
      <c r="U18" s="3">
        <v>1207.8359600000001</v>
      </c>
      <c r="V18" s="3">
        <v>1198.9999999999998</v>
      </c>
      <c r="W18" s="3">
        <v>1202.3512599999999</v>
      </c>
      <c r="X18" s="3">
        <v>1197.4737709999999</v>
      </c>
      <c r="Y18" s="3">
        <v>1275.633787</v>
      </c>
      <c r="Z18" s="3">
        <v>1562.659038</v>
      </c>
      <c r="AA18" s="3">
        <v>1597.7733719999999</v>
      </c>
      <c r="AB18" s="3">
        <v>1549.2953219999999</v>
      </c>
      <c r="AC18" s="3">
        <v>1423.839806</v>
      </c>
      <c r="AD18" s="2">
        <v>1603.2</v>
      </c>
      <c r="AE18" s="3" t="e">
        <v>#REF!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v>1257.2143249999999</v>
      </c>
      <c r="G19" s="3">
        <v>1126.4488849999998</v>
      </c>
      <c r="H19" s="3">
        <v>1036.4256249999999</v>
      </c>
      <c r="I19" s="3">
        <v>1040.6175350000001</v>
      </c>
      <c r="J19" s="3">
        <v>1023.4123</v>
      </c>
      <c r="K19" s="3">
        <v>1039</v>
      </c>
      <c r="L19" s="3">
        <v>1094.6047960000001</v>
      </c>
      <c r="M19" s="3">
        <v>1138.895068</v>
      </c>
      <c r="N19" s="3">
        <v>1283.5382400000001</v>
      </c>
      <c r="O19" s="3">
        <v>1387.8999999999999</v>
      </c>
      <c r="P19" s="3">
        <v>1487.026126</v>
      </c>
      <c r="Q19" s="3">
        <v>1527.316988</v>
      </c>
      <c r="R19" s="3">
        <v>1520.7784499999998</v>
      </c>
      <c r="S19" s="3">
        <v>1480.9877110000002</v>
      </c>
      <c r="T19" s="3">
        <v>1433.753258</v>
      </c>
      <c r="U19" s="3">
        <v>1423.473238</v>
      </c>
      <c r="V19" s="3">
        <v>1408.6331759999998</v>
      </c>
      <c r="W19" s="3">
        <v>1397.1438479999999</v>
      </c>
      <c r="X19" s="3">
        <v>1386.205852</v>
      </c>
      <c r="Y19" s="3">
        <v>1444.251383</v>
      </c>
      <c r="Z19" s="3">
        <v>1718.4211230000001</v>
      </c>
      <c r="AA19" s="3">
        <v>1726.3119999999999</v>
      </c>
      <c r="AB19" s="3">
        <v>1661.5468919999998</v>
      </c>
      <c r="AC19" s="3">
        <v>1528.3190279999999</v>
      </c>
      <c r="AD19" s="2">
        <v>1747.3</v>
      </c>
      <c r="AE19" s="3">
        <v>0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v>1319.5</v>
      </c>
      <c r="G20" s="3">
        <v>1175.839964</v>
      </c>
      <c r="H20" s="3">
        <v>1152.1883120000002</v>
      </c>
      <c r="I20" s="3">
        <v>1124.9230219999999</v>
      </c>
      <c r="J20" s="3">
        <v>1105.7626849999999</v>
      </c>
      <c r="K20" s="3">
        <v>1112.1812470000002</v>
      </c>
      <c r="L20" s="3">
        <v>1153.3999999999999</v>
      </c>
      <c r="M20" s="3">
        <v>1194.8757089999999</v>
      </c>
      <c r="N20" s="3">
        <v>1338.103441</v>
      </c>
      <c r="O20" s="3">
        <v>1459.3593899999998</v>
      </c>
      <c r="P20" s="3">
        <v>1538.1000000000004</v>
      </c>
      <c r="Q20" s="3">
        <v>1593.0538280000001</v>
      </c>
      <c r="R20" s="3">
        <v>1495.176424</v>
      </c>
      <c r="S20" s="3">
        <v>1461.6289720000002</v>
      </c>
      <c r="T20" s="3">
        <v>1492.945622</v>
      </c>
      <c r="U20" s="3">
        <v>1488.4742469999999</v>
      </c>
      <c r="V20" s="3">
        <v>1492.4236780000001</v>
      </c>
      <c r="W20" s="3">
        <v>1484.7715280000002</v>
      </c>
      <c r="X20" s="3">
        <v>1469.2028579999999</v>
      </c>
      <c r="Y20" s="3">
        <v>1524.1130840000001</v>
      </c>
      <c r="Z20" s="3">
        <v>1735.6877750000001</v>
      </c>
      <c r="AA20" s="3">
        <v>1731.3032759999999</v>
      </c>
      <c r="AB20" s="3">
        <v>1661.6744660000002</v>
      </c>
      <c r="AC20" s="3">
        <v>1522.0249809999998</v>
      </c>
      <c r="AD20" s="2">
        <v>1774.5</v>
      </c>
      <c r="AE20" s="3">
        <v>0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v>1357.9768190000002</v>
      </c>
      <c r="G21" s="3">
        <v>1244.0002239999999</v>
      </c>
      <c r="H21" s="3">
        <v>1185.1614139999999</v>
      </c>
      <c r="I21" s="3">
        <v>1163.973945</v>
      </c>
      <c r="J21" s="3">
        <v>1171.1881019999998</v>
      </c>
      <c r="K21" s="3">
        <v>1184.8180689999999</v>
      </c>
      <c r="L21" s="3">
        <v>1206.2792690000001</v>
      </c>
      <c r="M21" s="3">
        <v>1275.0999999999999</v>
      </c>
      <c r="N21" s="3">
        <v>1411.7347569999997</v>
      </c>
      <c r="O21" s="3">
        <v>1526.0109420000001</v>
      </c>
      <c r="P21" s="3">
        <v>1599.6309940000001</v>
      </c>
      <c r="Q21" s="3">
        <v>1637.6</v>
      </c>
      <c r="R21" s="3">
        <v>1636.9</v>
      </c>
      <c r="S21" s="3">
        <v>1584.3784350000001</v>
      </c>
      <c r="T21" s="3">
        <v>1537.5</v>
      </c>
      <c r="U21" s="3">
        <v>1526.6106360000001</v>
      </c>
      <c r="V21" s="3">
        <v>1520.6236039999999</v>
      </c>
      <c r="W21" s="3">
        <v>1514.4122540000001</v>
      </c>
      <c r="X21" s="3">
        <v>1514.134926</v>
      </c>
      <c r="Y21" s="3">
        <v>1577.779716</v>
      </c>
      <c r="Z21" s="3">
        <v>1797.23442</v>
      </c>
      <c r="AA21" s="3">
        <v>1796.9690460000002</v>
      </c>
      <c r="AB21" s="3">
        <v>1733.101236</v>
      </c>
      <c r="AC21" s="3">
        <v>1602.4309430000001</v>
      </c>
      <c r="AD21" s="2">
        <v>1814</v>
      </c>
      <c r="AE21" s="3">
        <v>0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v>1406.7312890000001</v>
      </c>
      <c r="G22" s="3">
        <v>1252.14669</v>
      </c>
      <c r="H22" s="3">
        <v>1182.082645</v>
      </c>
      <c r="I22" s="3">
        <v>1160.8</v>
      </c>
      <c r="J22" s="3">
        <v>1127.3</v>
      </c>
      <c r="K22" s="3">
        <v>1131.6232110000001</v>
      </c>
      <c r="L22" s="3">
        <v>1172.873654</v>
      </c>
      <c r="M22" s="3">
        <v>1220.57347</v>
      </c>
      <c r="N22" s="3">
        <v>1375.7625280000002</v>
      </c>
      <c r="O22" s="3">
        <v>1506.6309339999998</v>
      </c>
      <c r="P22" s="3">
        <v>1555.0910889999998</v>
      </c>
      <c r="Q22" s="3">
        <v>1601.061886</v>
      </c>
      <c r="R22" s="3">
        <v>1582</v>
      </c>
      <c r="S22" s="3">
        <v>1530.6137240000003</v>
      </c>
      <c r="T22" s="3">
        <v>1495.1530520000001</v>
      </c>
      <c r="U22" s="3">
        <v>1480.8391799999999</v>
      </c>
      <c r="V22" s="3">
        <v>1480.884957</v>
      </c>
      <c r="W22" s="3">
        <v>1479.8299509999999</v>
      </c>
      <c r="X22" s="3">
        <v>1439.643595</v>
      </c>
      <c r="Y22" s="3">
        <v>1491.4499919999998</v>
      </c>
      <c r="Z22" s="3">
        <v>1739.5971979999999</v>
      </c>
      <c r="AA22" s="3">
        <v>1756.8520719999999</v>
      </c>
      <c r="AB22" s="3">
        <v>1679.257024</v>
      </c>
      <c r="AC22" s="3">
        <v>1537.2998520000001</v>
      </c>
      <c r="AD22" s="2">
        <v>1765.1</v>
      </c>
      <c r="AE22" s="3">
        <v>0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v>1348.4975770000001</v>
      </c>
      <c r="G23" s="3">
        <v>1209.8035649999999</v>
      </c>
      <c r="H23" s="3">
        <v>1139.9000000000001</v>
      </c>
      <c r="I23" s="3">
        <v>1085.1552200000001</v>
      </c>
      <c r="J23" s="3">
        <v>1105.5546400000001</v>
      </c>
      <c r="K23" s="3">
        <v>1124.7119190000001</v>
      </c>
      <c r="L23" s="3">
        <v>1162.7553</v>
      </c>
      <c r="M23" s="3">
        <v>1225.8597460000001</v>
      </c>
      <c r="N23" s="3">
        <v>1363.2894679999997</v>
      </c>
      <c r="O23" s="3">
        <v>1499.2792800000002</v>
      </c>
      <c r="P23" s="3">
        <v>1576.4366920000002</v>
      </c>
      <c r="Q23" s="3">
        <v>1626.3999999999999</v>
      </c>
      <c r="R23" s="3">
        <v>1619.1177140000002</v>
      </c>
      <c r="S23" s="3">
        <v>1566.1872129999999</v>
      </c>
      <c r="T23" s="3">
        <v>1507.56962</v>
      </c>
      <c r="U23" s="3">
        <v>1490.9</v>
      </c>
      <c r="V23" s="3">
        <v>1482.183274</v>
      </c>
      <c r="W23" s="3">
        <v>1478.8304610000002</v>
      </c>
      <c r="X23" s="3">
        <v>1446.2830440000002</v>
      </c>
      <c r="Y23" s="3">
        <v>1462.7610729999999</v>
      </c>
      <c r="Z23" s="3">
        <v>1728.1034709999999</v>
      </c>
      <c r="AA23" s="3">
        <v>1752.8814420000001</v>
      </c>
      <c r="AB23" s="3">
        <v>1662.5000000000002</v>
      </c>
      <c r="AC23" s="3">
        <v>1537.8994440000001</v>
      </c>
      <c r="AD23" s="2">
        <v>1760.4</v>
      </c>
      <c r="AE23" s="3">
        <v>0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v>1371.3709799999999</v>
      </c>
      <c r="G24" s="3">
        <v>1197.8481540000002</v>
      </c>
      <c r="H24" s="3">
        <v>1184.699965</v>
      </c>
      <c r="I24" s="3">
        <v>1184.26223</v>
      </c>
      <c r="J24" s="3">
        <v>1163.507308</v>
      </c>
      <c r="K24" s="3">
        <v>1173.81251</v>
      </c>
      <c r="L24" s="3">
        <v>1190.9549879999997</v>
      </c>
      <c r="M24" s="3">
        <v>1231.3848939999998</v>
      </c>
      <c r="N24" s="3">
        <v>1382.0751759999998</v>
      </c>
      <c r="O24" s="3">
        <v>1557.809064</v>
      </c>
      <c r="P24" s="3">
        <v>1583.5</v>
      </c>
      <c r="Q24" s="3">
        <v>1620.4578879999999</v>
      </c>
      <c r="R24" s="3">
        <v>1609.4276080000002</v>
      </c>
      <c r="S24" s="3">
        <v>1545.4932960000001</v>
      </c>
      <c r="T24" s="3">
        <v>1476.5623499999999</v>
      </c>
      <c r="U24" s="3">
        <v>1445.0473419999998</v>
      </c>
      <c r="V24" s="3">
        <v>1429.4</v>
      </c>
      <c r="W24" s="3">
        <v>1423.0174300000003</v>
      </c>
      <c r="X24" s="3">
        <v>1436.1936879999998</v>
      </c>
      <c r="Y24" s="3">
        <v>1498.6</v>
      </c>
      <c r="Z24" s="3">
        <v>1698.4683520000001</v>
      </c>
      <c r="AA24" s="3">
        <v>1693.441826</v>
      </c>
      <c r="AB24" s="3">
        <v>1626.1187</v>
      </c>
      <c r="AC24" s="3">
        <v>1503.8520619999997</v>
      </c>
      <c r="AD24" s="2">
        <v>1706.9</v>
      </c>
      <c r="AE24" s="3">
        <v>0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v>1357.1856680000001</v>
      </c>
      <c r="G25" s="3">
        <v>1238.8587359999999</v>
      </c>
      <c r="H25" s="3">
        <v>1173.3733479999999</v>
      </c>
      <c r="I25" s="3">
        <v>1131.7160860000001</v>
      </c>
      <c r="J25" s="3">
        <v>1126.2759580000002</v>
      </c>
      <c r="K25" s="3">
        <v>1126.011358</v>
      </c>
      <c r="L25" s="3">
        <v>1118.0825299999999</v>
      </c>
      <c r="M25" s="3">
        <v>1096.425485</v>
      </c>
      <c r="N25" s="3">
        <v>1140.2966490000001</v>
      </c>
      <c r="O25" s="3">
        <v>1236.3538299999998</v>
      </c>
      <c r="P25" s="3">
        <v>1327.992172</v>
      </c>
      <c r="Q25" s="3">
        <v>1384.8549659999999</v>
      </c>
      <c r="R25" s="3">
        <v>1289.6718229999999</v>
      </c>
      <c r="S25" s="3">
        <v>1212.632349</v>
      </c>
      <c r="T25" s="3">
        <v>1336.7967619999999</v>
      </c>
      <c r="U25" s="3">
        <v>1358.5822000000001</v>
      </c>
      <c r="V25" s="3">
        <v>1339.7952580000001</v>
      </c>
      <c r="W25" s="3">
        <v>1371.94047</v>
      </c>
      <c r="X25" s="3">
        <v>1397.9125590000001</v>
      </c>
      <c r="Y25" s="3">
        <v>1413.4355219999998</v>
      </c>
      <c r="Z25" s="3">
        <v>1584.1270610000001</v>
      </c>
      <c r="AA25" s="3">
        <v>1629.8588400000001</v>
      </c>
      <c r="AB25" s="3">
        <v>1585.761268</v>
      </c>
      <c r="AC25" s="3">
        <v>1457.1436189999999</v>
      </c>
      <c r="AD25" s="2">
        <v>1657.2000000000003</v>
      </c>
      <c r="AE25" s="3">
        <v>0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v>1302.922822</v>
      </c>
      <c r="G26" s="3">
        <v>1183.717304</v>
      </c>
      <c r="H26" s="3">
        <v>1125.6116129999998</v>
      </c>
      <c r="I26" s="3">
        <v>1101.3475019999998</v>
      </c>
      <c r="J26" s="3">
        <v>1095.185616</v>
      </c>
      <c r="K26" s="3">
        <v>1091.9563760000001</v>
      </c>
      <c r="L26" s="3">
        <v>1145.8936189999999</v>
      </c>
      <c r="M26" s="3">
        <v>1211.666937</v>
      </c>
      <c r="N26" s="3">
        <v>1362.5895190000001</v>
      </c>
      <c r="O26" s="3">
        <v>1483.954598</v>
      </c>
      <c r="P26" s="3">
        <v>1549.0796929999997</v>
      </c>
      <c r="Q26" s="3">
        <v>1595.1776560000001</v>
      </c>
      <c r="R26" s="3">
        <v>1583.6293559999999</v>
      </c>
      <c r="S26" s="3">
        <v>1530.6129079999998</v>
      </c>
      <c r="T26" s="3">
        <v>1472.8981150000002</v>
      </c>
      <c r="U26" s="3">
        <v>1460.8237700000002</v>
      </c>
      <c r="V26" s="3">
        <v>1457.041324</v>
      </c>
      <c r="W26" s="3">
        <v>1438.3464000000001</v>
      </c>
      <c r="X26" s="3">
        <v>1428.6554000000001</v>
      </c>
      <c r="Y26" s="3">
        <v>1477.468468</v>
      </c>
      <c r="Z26" s="3">
        <v>1711.0482099999999</v>
      </c>
      <c r="AA26" s="3">
        <v>1742.8829299999998</v>
      </c>
      <c r="AB26" s="3">
        <v>1663.6380999999999</v>
      </c>
      <c r="AC26" s="3">
        <v>1540.8925079999999</v>
      </c>
      <c r="AD26" s="2">
        <v>1712.8</v>
      </c>
      <c r="AE26" s="3">
        <v>0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v>1354.9739879999997</v>
      </c>
      <c r="G27" s="3">
        <v>1232.3709759999997</v>
      </c>
      <c r="H27" s="3">
        <v>1174.0999999999997</v>
      </c>
      <c r="I27" s="3">
        <v>1151.7974200000001</v>
      </c>
      <c r="J27" s="3">
        <v>1147.4000000000001</v>
      </c>
      <c r="K27" s="3">
        <v>1160.2</v>
      </c>
      <c r="L27" s="3">
        <v>1192.364458</v>
      </c>
      <c r="M27" s="3">
        <v>1216.2299980000003</v>
      </c>
      <c r="N27" s="3">
        <v>1373.2848779999999</v>
      </c>
      <c r="O27" s="3">
        <v>1500.3</v>
      </c>
      <c r="P27" s="3">
        <v>1561.5768740000003</v>
      </c>
      <c r="Q27" s="3">
        <v>1580.9339459999999</v>
      </c>
      <c r="R27" s="3">
        <v>1570.667796</v>
      </c>
      <c r="S27" s="3">
        <v>1525.5245360000001</v>
      </c>
      <c r="T27" s="3">
        <v>1492.8240859999999</v>
      </c>
      <c r="U27" s="3">
        <v>1490.1186450000002</v>
      </c>
      <c r="V27" s="3">
        <v>1484.4573680000001</v>
      </c>
      <c r="W27" s="3">
        <v>1484.482203</v>
      </c>
      <c r="X27" s="3">
        <v>1448.592134</v>
      </c>
      <c r="Y27" s="3">
        <v>1466.8621440000002</v>
      </c>
      <c r="Z27" s="3">
        <v>1721.518828</v>
      </c>
      <c r="AA27" s="3">
        <v>1757.2642069999999</v>
      </c>
      <c r="AB27" s="3">
        <v>1692.7429480000001</v>
      </c>
      <c r="AC27" s="3">
        <v>1563.6</v>
      </c>
      <c r="AD27" s="2">
        <v>1773</v>
      </c>
      <c r="AE27" s="3">
        <v>0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v>1375.249585</v>
      </c>
      <c r="G28" s="3">
        <v>1263.820027</v>
      </c>
      <c r="H28" s="3">
        <v>1213.5980569999999</v>
      </c>
      <c r="I28" s="3">
        <v>1183.7</v>
      </c>
      <c r="J28" s="3">
        <v>1172.42247</v>
      </c>
      <c r="K28" s="3">
        <v>1185.5999999999999</v>
      </c>
      <c r="L28" s="3">
        <v>1194.1274329999999</v>
      </c>
      <c r="M28" s="3">
        <v>1225.5000000000002</v>
      </c>
      <c r="N28" s="3">
        <v>1262.2417429999998</v>
      </c>
      <c r="O28" s="3">
        <v>1414.627426</v>
      </c>
      <c r="P28" s="3">
        <v>1473.0650000000001</v>
      </c>
      <c r="Q28" s="3">
        <v>1511.3844309999999</v>
      </c>
      <c r="R28" s="3">
        <v>1563.411104</v>
      </c>
      <c r="S28" s="3">
        <v>1502.179586</v>
      </c>
      <c r="T28" s="3">
        <v>1428.7249260000001</v>
      </c>
      <c r="U28" s="3">
        <v>1422.718756</v>
      </c>
      <c r="V28" s="3">
        <v>1446.3478010000001</v>
      </c>
      <c r="W28" s="3">
        <v>1419.861214</v>
      </c>
      <c r="X28" s="3">
        <v>1440.1985480000003</v>
      </c>
      <c r="Y28" s="3">
        <v>1517.2601779999998</v>
      </c>
      <c r="Z28" s="3">
        <v>1700.518159</v>
      </c>
      <c r="AA28" s="3">
        <v>1669.0997649999999</v>
      </c>
      <c r="AB28" s="3">
        <v>1568.61796</v>
      </c>
      <c r="AC28" s="3">
        <v>1493.0750469999998</v>
      </c>
      <c r="AD28" s="2">
        <v>1808.2</v>
      </c>
      <c r="AE28" s="3">
        <v>0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v>1322.8208579999998</v>
      </c>
      <c r="G29" s="3">
        <v>1234.220828</v>
      </c>
      <c r="H29" s="3">
        <v>1191.0783609999999</v>
      </c>
      <c r="I29" s="3">
        <v>1163.2070530000001</v>
      </c>
      <c r="J29" s="3">
        <v>1187.2798910000001</v>
      </c>
      <c r="K29" s="3">
        <v>1178.0148050000003</v>
      </c>
      <c r="L29" s="3">
        <v>1206.8393820000001</v>
      </c>
      <c r="M29" s="3">
        <v>1265.9180440000002</v>
      </c>
      <c r="N29" s="3">
        <v>1423.679306</v>
      </c>
      <c r="O29" s="3">
        <v>1548.4060919999999</v>
      </c>
      <c r="P29" s="3">
        <v>1575.333224</v>
      </c>
      <c r="Q29" s="3">
        <v>1592.6256639999999</v>
      </c>
      <c r="R29" s="3">
        <v>1619.879328</v>
      </c>
      <c r="S29" s="3">
        <v>1555.483504</v>
      </c>
      <c r="T29" s="3">
        <v>1500.7087140000001</v>
      </c>
      <c r="U29" s="3">
        <v>1481.2147040000002</v>
      </c>
      <c r="V29" s="3">
        <v>1463.5388759999998</v>
      </c>
      <c r="W29" s="3">
        <v>1461.031236</v>
      </c>
      <c r="X29" s="3">
        <v>1461.379792</v>
      </c>
      <c r="Y29" s="3">
        <v>1461.7793839999999</v>
      </c>
      <c r="Z29" s="3">
        <v>1746.7810370000002</v>
      </c>
      <c r="AA29" s="3">
        <v>1765.4692020000002</v>
      </c>
      <c r="AB29" s="3">
        <v>1687.4484560000001</v>
      </c>
      <c r="AC29" s="3">
        <v>1545.593296</v>
      </c>
      <c r="AD29" s="2">
        <v>1832.6</v>
      </c>
      <c r="AE29" s="3">
        <v>0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v>1393.8214329999998</v>
      </c>
      <c r="G30" s="3">
        <v>1271.936745</v>
      </c>
      <c r="H30" s="3">
        <v>1203.5805229999999</v>
      </c>
      <c r="I30" s="3">
        <v>1180.2667180000001</v>
      </c>
      <c r="J30" s="3">
        <v>1166.381202</v>
      </c>
      <c r="K30" s="3">
        <v>1161.56934</v>
      </c>
      <c r="L30" s="3">
        <v>1190.1107919999999</v>
      </c>
      <c r="M30" s="3">
        <v>1242.3473940000001</v>
      </c>
      <c r="N30" s="3">
        <v>1366.4104810000001</v>
      </c>
      <c r="O30" s="3">
        <v>1485.3713240000002</v>
      </c>
      <c r="P30" s="3">
        <v>1554.2064629999998</v>
      </c>
      <c r="Q30" s="3">
        <v>1587.7777780000001</v>
      </c>
      <c r="R30" s="3">
        <v>1596.719366</v>
      </c>
      <c r="S30" s="3">
        <v>1535.2329649999999</v>
      </c>
      <c r="T30" s="3">
        <v>1479.031532</v>
      </c>
      <c r="U30" s="3">
        <v>1474.5298</v>
      </c>
      <c r="V30" s="3">
        <v>1474.133317</v>
      </c>
      <c r="W30" s="3">
        <v>1450.3750879999996</v>
      </c>
      <c r="X30" s="3">
        <v>1427.4674239999997</v>
      </c>
      <c r="Y30" s="3">
        <v>1441.5382399999996</v>
      </c>
      <c r="Z30" s="3">
        <v>1694.1584549999998</v>
      </c>
      <c r="AA30" s="3">
        <v>1758.0298899999998</v>
      </c>
      <c r="AB30" s="3">
        <v>1686.1708480000002</v>
      </c>
      <c r="AC30" s="3">
        <v>1550.8688440000001</v>
      </c>
      <c r="AD30" s="2">
        <v>1776.3</v>
      </c>
      <c r="AE30" s="3">
        <v>0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v>1398.181372</v>
      </c>
      <c r="G31" s="3">
        <v>1276.4989129999997</v>
      </c>
      <c r="H31" s="3">
        <v>1208.6362149999998</v>
      </c>
      <c r="I31" s="3">
        <v>1180.2</v>
      </c>
      <c r="J31" s="3">
        <v>1165.590295</v>
      </c>
      <c r="K31" s="3">
        <v>1168.0104700000002</v>
      </c>
      <c r="L31" s="3">
        <v>1180.3836140000003</v>
      </c>
      <c r="M31" s="3">
        <v>1236.34464</v>
      </c>
      <c r="N31" s="3">
        <v>1390.2757999999999</v>
      </c>
      <c r="O31" s="3">
        <v>1518.4272619999997</v>
      </c>
      <c r="P31" s="3">
        <v>1573.1122769999999</v>
      </c>
      <c r="Q31" s="3">
        <v>1592.817096</v>
      </c>
      <c r="R31" s="3">
        <v>1604.4613359999998</v>
      </c>
      <c r="S31" s="3">
        <v>1516.9518349999998</v>
      </c>
      <c r="T31" s="3">
        <v>1463.9</v>
      </c>
      <c r="U31" s="3">
        <v>1439.2998859999998</v>
      </c>
      <c r="V31" s="3">
        <v>1424.8575420000002</v>
      </c>
      <c r="W31" s="3">
        <v>1413.0274259999999</v>
      </c>
      <c r="X31" s="3">
        <v>1391.0478899999998</v>
      </c>
      <c r="Y31" s="3">
        <v>1435.947099</v>
      </c>
      <c r="Z31" s="3">
        <v>1656.5158299999998</v>
      </c>
      <c r="AA31" s="3">
        <v>1679.980487</v>
      </c>
      <c r="AB31" s="3">
        <v>1605.294778</v>
      </c>
      <c r="AC31" s="3">
        <v>1482.2560259999998</v>
      </c>
      <c r="AD31" s="2">
        <v>1710.3000000000002</v>
      </c>
      <c r="AE31" s="3">
        <v>0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v>1339.4015549999999</v>
      </c>
      <c r="G32" s="3">
        <v>1205.6384639999999</v>
      </c>
      <c r="H32" s="3">
        <v>1114.332508</v>
      </c>
      <c r="I32" s="3">
        <v>1092.8999999999999</v>
      </c>
      <c r="J32" s="3">
        <v>1084.5999999999999</v>
      </c>
      <c r="K32" s="3">
        <v>1069.880142</v>
      </c>
      <c r="L32" s="3">
        <v>1043.8</v>
      </c>
      <c r="M32" s="3">
        <v>1013.6</v>
      </c>
      <c r="N32" s="3">
        <v>1083.8344440000001</v>
      </c>
      <c r="O32" s="3">
        <v>1171.9251219999999</v>
      </c>
      <c r="P32" s="3">
        <v>1244.0000000000002</v>
      </c>
      <c r="Q32" s="3">
        <v>1270.70641</v>
      </c>
      <c r="R32" s="3">
        <v>1289.8000000000002</v>
      </c>
      <c r="S32" s="3">
        <v>1259.6669719999998</v>
      </c>
      <c r="T32" s="3">
        <v>1218.9000000000001</v>
      </c>
      <c r="U32" s="3">
        <v>1201.3202880000001</v>
      </c>
      <c r="V32" s="3">
        <v>1194.3240359999998</v>
      </c>
      <c r="W32" s="3">
        <v>1203.4707619999999</v>
      </c>
      <c r="X32" s="3">
        <v>1247.0999999999999</v>
      </c>
      <c r="Y32" s="3">
        <v>1305.3000000000002</v>
      </c>
      <c r="Z32" s="3">
        <v>1506.7312399999998</v>
      </c>
      <c r="AA32" s="3">
        <v>1589.3181870000001</v>
      </c>
      <c r="AB32" s="3">
        <v>1539.0927119999999</v>
      </c>
      <c r="AC32" s="3">
        <v>1407.1668239999999</v>
      </c>
      <c r="AD32" s="2">
        <v>1596.2</v>
      </c>
      <c r="AE32" s="3">
        <v>0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v>1238.306028</v>
      </c>
      <c r="G33" s="3">
        <v>1117.8289380000001</v>
      </c>
      <c r="H33" s="3">
        <v>1066.5998450000002</v>
      </c>
      <c r="I33" s="3">
        <v>1043.5920120000001</v>
      </c>
      <c r="J33" s="3">
        <v>1031.8799759999999</v>
      </c>
      <c r="K33" s="3">
        <v>1049.1490659999999</v>
      </c>
      <c r="L33" s="3">
        <v>1096.326607</v>
      </c>
      <c r="M33" s="3">
        <v>1169.4107760000002</v>
      </c>
      <c r="N33" s="3">
        <v>1339.8</v>
      </c>
      <c r="O33" s="3">
        <v>1473.5664279999996</v>
      </c>
      <c r="P33" s="3">
        <v>1543.7037459999999</v>
      </c>
      <c r="Q33" s="3">
        <v>1576.3803279999997</v>
      </c>
      <c r="R33" s="3">
        <v>1575.0225359999999</v>
      </c>
      <c r="S33" s="3">
        <v>1532.9097599999996</v>
      </c>
      <c r="T33" s="3">
        <v>1479.5602079999999</v>
      </c>
      <c r="U33" s="3">
        <v>1469.7279599999999</v>
      </c>
      <c r="V33" s="3">
        <v>1453.0271849999999</v>
      </c>
      <c r="W33" s="3">
        <v>1428.756063</v>
      </c>
      <c r="X33" s="3">
        <v>1401.0422799999999</v>
      </c>
      <c r="Y33" s="3">
        <v>1413.9357770000001</v>
      </c>
      <c r="Z33" s="3">
        <v>1682.8993600000001</v>
      </c>
      <c r="AA33" s="3">
        <v>1754.4400900000001</v>
      </c>
      <c r="AB33" s="3">
        <v>1675.5415399999999</v>
      </c>
      <c r="AC33" s="3">
        <v>1544.2899440000003</v>
      </c>
      <c r="AD33" s="2">
        <v>1771.1000000000001</v>
      </c>
      <c r="AE33" s="3">
        <v>0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v>1351.191278</v>
      </c>
      <c r="G34" s="3">
        <v>1206.3394839999999</v>
      </c>
      <c r="H34" s="3">
        <v>1136.0111899999999</v>
      </c>
      <c r="I34" s="3">
        <v>1111.4189570000003</v>
      </c>
      <c r="J34" s="3">
        <v>1108.878888</v>
      </c>
      <c r="K34" s="3">
        <v>1111.059536</v>
      </c>
      <c r="L34" s="3">
        <v>1130.909114</v>
      </c>
      <c r="M34" s="3">
        <v>1203.3811350000001</v>
      </c>
      <c r="N34" s="3">
        <v>1371.0269799999999</v>
      </c>
      <c r="O34" s="3">
        <v>1474.4325009999998</v>
      </c>
      <c r="P34" s="3">
        <v>1548.3944550000001</v>
      </c>
      <c r="Q34" s="3">
        <v>1592.0135969999999</v>
      </c>
      <c r="R34" s="3">
        <v>1620.7</v>
      </c>
      <c r="S34" s="3">
        <v>1599.5399300000001</v>
      </c>
      <c r="T34" s="3">
        <v>1574.0332239999998</v>
      </c>
      <c r="U34" s="3">
        <v>1565.455978</v>
      </c>
      <c r="V34" s="3">
        <v>1561.6881310000001</v>
      </c>
      <c r="W34" s="3">
        <v>1553.5755620000002</v>
      </c>
      <c r="X34" s="3">
        <v>1514.4125089999998</v>
      </c>
      <c r="Y34" s="3">
        <v>1517.3999999999999</v>
      </c>
      <c r="Z34" s="3">
        <v>1738.6</v>
      </c>
      <c r="AA34" s="3">
        <v>1801.5598640000003</v>
      </c>
      <c r="AB34" s="3">
        <v>1736.7981699999998</v>
      </c>
      <c r="AC34" s="3">
        <v>1594.472117</v>
      </c>
      <c r="AD34" s="2">
        <v>1818.3</v>
      </c>
      <c r="AE34" s="3">
        <v>0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v>1396.1866759999998</v>
      </c>
      <c r="G35" s="3">
        <v>1277.833175</v>
      </c>
      <c r="H35" s="3">
        <v>1212.766631</v>
      </c>
      <c r="I35" s="3">
        <v>1188.957879</v>
      </c>
      <c r="J35" s="3">
        <v>1183.3460989999999</v>
      </c>
      <c r="K35" s="3">
        <v>1186.4810639999998</v>
      </c>
      <c r="L35" s="3">
        <v>1199.7928399999998</v>
      </c>
      <c r="M35" s="3">
        <v>1252.707936</v>
      </c>
      <c r="N35" s="3">
        <v>1430.0440899999999</v>
      </c>
      <c r="O35" s="3">
        <v>1593.027832</v>
      </c>
      <c r="P35" s="3">
        <v>1594.4710969999999</v>
      </c>
      <c r="Q35" s="3">
        <v>1633.395444</v>
      </c>
      <c r="R35" s="3">
        <v>1635.300884</v>
      </c>
      <c r="S35" s="3">
        <v>1589.3480140000001</v>
      </c>
      <c r="T35" s="3">
        <v>1547.7051739999999</v>
      </c>
      <c r="U35" s="3">
        <v>1536.1021050000004</v>
      </c>
      <c r="V35" s="3">
        <v>1535.5039320000001</v>
      </c>
      <c r="W35" s="3">
        <v>1524.8296499999999</v>
      </c>
      <c r="X35" s="3">
        <v>1491.8475389999996</v>
      </c>
      <c r="Y35" s="3">
        <v>1498.97928</v>
      </c>
      <c r="Z35" s="3">
        <v>1737.997912</v>
      </c>
      <c r="AA35" s="3">
        <v>1800.3038159999999</v>
      </c>
      <c r="AB35" s="3">
        <v>1735.99109</v>
      </c>
      <c r="AC35" s="3">
        <v>1592.9163509999998</v>
      </c>
      <c r="AD35" s="2">
        <v>1817.1</v>
      </c>
      <c r="AE35" s="3">
        <v>0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v>1411.7575039999999</v>
      </c>
      <c r="G36" s="3">
        <v>1297.8904719999998</v>
      </c>
      <c r="H36" s="3">
        <v>1227.8905699999998</v>
      </c>
      <c r="I36" s="3">
        <v>1196.6448079999998</v>
      </c>
      <c r="J36" s="3">
        <v>1188.0798910000001</v>
      </c>
      <c r="K36" s="3">
        <v>1199.6999999999998</v>
      </c>
      <c r="L36" s="3">
        <v>1222.7620920000002</v>
      </c>
      <c r="M36" s="3">
        <v>1295.549154</v>
      </c>
      <c r="N36" s="3">
        <v>1452.2550039999999</v>
      </c>
      <c r="O36" s="3">
        <v>1577.4193150000001</v>
      </c>
      <c r="P36" s="3">
        <v>1597.2065589999997</v>
      </c>
      <c r="Q36" s="3">
        <v>1672.2315209999999</v>
      </c>
      <c r="R36" s="3">
        <v>1669.5291439999999</v>
      </c>
      <c r="S36" s="3">
        <v>1616.5215900000001</v>
      </c>
      <c r="T36" s="3">
        <v>1567.3249619999999</v>
      </c>
      <c r="U36" s="3">
        <v>1573.4475629999999</v>
      </c>
      <c r="V36" s="3">
        <v>1549.283977</v>
      </c>
      <c r="W36" s="3">
        <v>1535.0052860000001</v>
      </c>
      <c r="X36" s="3">
        <v>1518.7365719999998</v>
      </c>
      <c r="Y36" s="3">
        <v>1529.9</v>
      </c>
      <c r="Z36" s="3">
        <v>1725.2117900000001</v>
      </c>
      <c r="AA36" s="3">
        <v>1771.9196359999999</v>
      </c>
      <c r="AB36" s="3">
        <v>1714.8</v>
      </c>
      <c r="AC36" s="3">
        <v>1575.0635119999999</v>
      </c>
      <c r="AD36" s="2">
        <v>1749.7</v>
      </c>
      <c r="AE36" s="3">
        <v>0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v>1419.9222239999999</v>
      </c>
      <c r="G37" s="3">
        <v>1301.0433999999998</v>
      </c>
      <c r="H37" s="3">
        <v>1242.6035800000002</v>
      </c>
      <c r="I37" s="3">
        <v>1222.3999999999999</v>
      </c>
      <c r="J37" s="3">
        <v>1210.2365259999997</v>
      </c>
      <c r="K37" s="3">
        <v>1208.3066249999999</v>
      </c>
      <c r="L37" s="3">
        <v>1179.0170499999999</v>
      </c>
      <c r="M37" s="3">
        <v>1176.0000000000002</v>
      </c>
      <c r="N37" s="3">
        <v>1286.1000000000001</v>
      </c>
      <c r="O37" s="3">
        <v>1418.4</v>
      </c>
      <c r="P37" s="3">
        <v>1489.4955279999999</v>
      </c>
      <c r="Q37" s="3">
        <v>1531.5959060000002</v>
      </c>
      <c r="R37" s="3">
        <v>1519.3367760000001</v>
      </c>
      <c r="S37" s="3">
        <v>1450.1000000000001</v>
      </c>
      <c r="T37" s="3">
        <v>1383.882736</v>
      </c>
      <c r="U37" s="3">
        <v>1368.642368</v>
      </c>
      <c r="V37" s="3">
        <v>1378.3815630000001</v>
      </c>
      <c r="W37" s="3">
        <v>1382.5140120000001</v>
      </c>
      <c r="X37" s="3">
        <v>1397.0850439999997</v>
      </c>
      <c r="Y37" s="3">
        <v>1455.4425989999997</v>
      </c>
      <c r="Z37" s="3">
        <v>1673.7913500000002</v>
      </c>
      <c r="AA37" s="3">
        <v>1697.95616</v>
      </c>
      <c r="AB37" s="3">
        <v>1642.2481470000002</v>
      </c>
      <c r="AC37" s="3">
        <v>1534.8026149999998</v>
      </c>
      <c r="AD37" s="2">
        <v>1710.6000000000001</v>
      </c>
      <c r="AE37" s="3">
        <v>0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v>1377.582838</v>
      </c>
      <c r="G38" s="3">
        <v>1314.9551800000002</v>
      </c>
      <c r="H38" s="3">
        <v>1219.063877</v>
      </c>
      <c r="I38" s="3">
        <v>1187.3798399999998</v>
      </c>
      <c r="J38" s="3">
        <v>1175.570696</v>
      </c>
      <c r="K38" s="3">
        <v>1187.7590680000001</v>
      </c>
      <c r="L38" s="3">
        <v>1201.1883520000001</v>
      </c>
      <c r="M38" s="3">
        <v>1258.3560130000003</v>
      </c>
      <c r="N38" s="3">
        <v>1417.0372559999998</v>
      </c>
      <c r="O38" s="3">
        <v>1544.4972089999999</v>
      </c>
      <c r="P38" s="3">
        <v>1635.4964640000001</v>
      </c>
      <c r="Q38" s="3">
        <v>1641.9</v>
      </c>
      <c r="R38" s="3">
        <v>1635.5017</v>
      </c>
      <c r="S38" s="3">
        <v>1551.5945060000001</v>
      </c>
      <c r="T38" s="3">
        <v>1503.0364420000001</v>
      </c>
      <c r="U38" s="3">
        <v>1504.9496139999999</v>
      </c>
      <c r="V38" s="3">
        <v>1508.5</v>
      </c>
      <c r="W38" s="3">
        <v>1503.8179149999996</v>
      </c>
      <c r="X38" s="3">
        <v>1505.6482370000001</v>
      </c>
      <c r="Y38" s="3">
        <v>1547.8954749999998</v>
      </c>
      <c r="Z38" s="3">
        <v>1707.42877</v>
      </c>
      <c r="AA38" s="3">
        <v>1723.1180630000001</v>
      </c>
      <c r="AB38" s="3">
        <v>1652.584462</v>
      </c>
      <c r="AC38" s="3">
        <v>1546.1040890000002</v>
      </c>
      <c r="AD38" s="2">
        <v>1758.7</v>
      </c>
      <c r="AE38" s="3">
        <v>0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v>1406.8</v>
      </c>
      <c r="G39" s="3">
        <v>1285.729605</v>
      </c>
      <c r="H39" s="3">
        <v>1219.7054620000001</v>
      </c>
      <c r="I39" s="3">
        <v>1183.325276</v>
      </c>
      <c r="J39" s="3">
        <v>1176.1558910000001</v>
      </c>
      <c r="K39" s="3">
        <v>1179.967942</v>
      </c>
      <c r="L39" s="3">
        <v>1142.6091770000003</v>
      </c>
      <c r="M39" s="3">
        <v>1131.791804</v>
      </c>
      <c r="N39" s="3">
        <v>1211.1324509999999</v>
      </c>
      <c r="O39" s="3">
        <v>1295.7463580000001</v>
      </c>
      <c r="P39" s="3">
        <v>1377.6434649999999</v>
      </c>
      <c r="Q39" s="3">
        <v>1419.03792</v>
      </c>
      <c r="R39" s="3">
        <v>1414.1000000000001</v>
      </c>
      <c r="S39" s="3">
        <v>1374.8512679999999</v>
      </c>
      <c r="T39" s="3">
        <v>1359.891253</v>
      </c>
      <c r="U39" s="3">
        <v>1426.1133500000001</v>
      </c>
      <c r="V39" s="3">
        <v>1428.6108000000002</v>
      </c>
      <c r="W39" s="3">
        <v>1437.4522770000001</v>
      </c>
      <c r="X39" s="3">
        <v>1443.2426379999997</v>
      </c>
      <c r="Y39" s="3">
        <v>1453.485606</v>
      </c>
      <c r="Z39" s="3">
        <v>1582.8774210000001</v>
      </c>
      <c r="AA39" s="3">
        <v>1694.9411119999997</v>
      </c>
      <c r="AB39" s="3">
        <v>1642.0510370000002</v>
      </c>
      <c r="AC39" s="3">
        <v>1515.9343140000001</v>
      </c>
      <c r="AD39" s="2">
        <v>1714.8</v>
      </c>
      <c r="AE39" s="3">
        <v>0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v>1353.59518</v>
      </c>
      <c r="G40" s="3">
        <v>1244.4504739999998</v>
      </c>
      <c r="H40" s="3">
        <v>1200.9345060000001</v>
      </c>
      <c r="I40" s="3">
        <v>1175.4134790000003</v>
      </c>
      <c r="J40" s="3">
        <v>1166.6000000000001</v>
      </c>
      <c r="K40" s="3">
        <v>1184.143039</v>
      </c>
      <c r="L40" s="3">
        <v>1206.9704049999998</v>
      </c>
      <c r="M40" s="3">
        <v>1292.9738120000002</v>
      </c>
      <c r="N40" s="3">
        <v>1485.372038</v>
      </c>
      <c r="O40" s="3">
        <v>1602.9</v>
      </c>
      <c r="P40" s="3">
        <v>1671.3</v>
      </c>
      <c r="Q40" s="3">
        <v>1704.742084</v>
      </c>
      <c r="R40" s="3">
        <v>1702.1632520000001</v>
      </c>
      <c r="S40" s="3">
        <v>1633.503434</v>
      </c>
      <c r="T40" s="3">
        <v>1602.5</v>
      </c>
      <c r="U40" s="3">
        <v>1569.2693260000001</v>
      </c>
      <c r="V40" s="3">
        <v>1566.4723860000001</v>
      </c>
      <c r="W40" s="3">
        <v>1568.4696319999998</v>
      </c>
      <c r="X40" s="3">
        <v>1565.854754</v>
      </c>
      <c r="Y40" s="3">
        <v>1555.570972</v>
      </c>
      <c r="Z40" s="3">
        <v>1755.7520719999998</v>
      </c>
      <c r="AA40" s="3">
        <v>1821.5105520000002</v>
      </c>
      <c r="AB40" s="3">
        <v>1744.9844030000002</v>
      </c>
      <c r="AC40" s="3">
        <v>1605.6621519999999</v>
      </c>
      <c r="AD40" s="2">
        <v>1836.8</v>
      </c>
      <c r="AE40" s="3">
        <v>0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v>1407.8006250000001</v>
      </c>
      <c r="G41" s="3">
        <v>1293.8753509999999</v>
      </c>
      <c r="H41" s="3">
        <v>1243.147649</v>
      </c>
      <c r="I41" s="3">
        <v>1223.0746939999999</v>
      </c>
      <c r="J41" s="3">
        <v>1213.5664779999997</v>
      </c>
      <c r="K41" s="3">
        <v>1203.88264</v>
      </c>
      <c r="L41" s="3">
        <v>1235.1662330000001</v>
      </c>
      <c r="M41" s="3">
        <v>1316.9</v>
      </c>
      <c r="N41" s="3">
        <v>1485.57214</v>
      </c>
      <c r="O41" s="3">
        <v>1591.226506</v>
      </c>
      <c r="P41" s="3">
        <v>1634.0509010000001</v>
      </c>
      <c r="Q41" s="3">
        <v>1685.17299</v>
      </c>
      <c r="R41" s="3">
        <v>1714.4207119999999</v>
      </c>
      <c r="S41" s="3">
        <v>1679.011804</v>
      </c>
      <c r="T41" s="3">
        <v>1631.2528899999998</v>
      </c>
      <c r="U41" s="3">
        <v>1624.6207399999998</v>
      </c>
      <c r="V41" s="3">
        <v>1623.8120019999994</v>
      </c>
      <c r="W41" s="3">
        <v>1596.1526799999999</v>
      </c>
      <c r="X41" s="3">
        <v>1633.994829</v>
      </c>
      <c r="Y41" s="3">
        <v>1703.6000000000004</v>
      </c>
      <c r="Z41" s="3">
        <v>1799.6744010000004</v>
      </c>
      <c r="AA41" s="3">
        <v>1885.630308</v>
      </c>
      <c r="AB41" s="3">
        <v>1812.4</v>
      </c>
      <c r="AC41" s="3">
        <v>1683.7000000000003</v>
      </c>
      <c r="AD41" s="2">
        <v>1858.3</v>
      </c>
      <c r="AE41" s="3">
        <v>0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v>1436.8051900000003</v>
      </c>
      <c r="G42" s="3">
        <v>1278.4665539999999</v>
      </c>
      <c r="H42" s="3">
        <v>1256.3</v>
      </c>
      <c r="I42" s="3">
        <v>1235.3870359999999</v>
      </c>
      <c r="J42" s="3">
        <v>1217.3287739999998</v>
      </c>
      <c r="K42" s="3">
        <v>1216.6649479999999</v>
      </c>
      <c r="L42" s="3">
        <v>1224.6987300000001</v>
      </c>
      <c r="M42" s="3">
        <v>1292.3183760000002</v>
      </c>
      <c r="N42" s="3">
        <v>1435.1</v>
      </c>
      <c r="O42" s="3">
        <v>1548.8046270000002</v>
      </c>
      <c r="P42" s="3">
        <v>1620.857837</v>
      </c>
      <c r="Q42" s="3">
        <v>1635.3432850000002</v>
      </c>
      <c r="R42" s="3">
        <v>1655.6595400000001</v>
      </c>
      <c r="S42" s="3">
        <v>1593.6166569999998</v>
      </c>
      <c r="T42" s="3">
        <v>1560.4274980000002</v>
      </c>
      <c r="U42" s="3">
        <v>1560.1347900000001</v>
      </c>
      <c r="V42" s="3">
        <v>1556.4801380000001</v>
      </c>
      <c r="W42" s="3">
        <v>1550.3618199999999</v>
      </c>
      <c r="X42" s="3">
        <v>1557.4437150000001</v>
      </c>
      <c r="Y42" s="3">
        <v>1530.0176649999999</v>
      </c>
      <c r="Z42" s="3">
        <v>1632.2565280000001</v>
      </c>
      <c r="AA42" s="3">
        <v>1827.5571069999999</v>
      </c>
      <c r="AB42" s="3">
        <v>1760.0310500000003</v>
      </c>
      <c r="AC42" s="3">
        <v>1620.585615</v>
      </c>
      <c r="AD42" s="2">
        <v>1835.9</v>
      </c>
      <c r="AE42" s="3">
        <v>0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v>1427.3697189999998</v>
      </c>
      <c r="G43" s="3">
        <v>1304.5755799999999</v>
      </c>
      <c r="H43" s="3">
        <v>1233.4663860000001</v>
      </c>
      <c r="I43" s="3">
        <v>1225.6941400000001</v>
      </c>
      <c r="J43" s="3">
        <v>1226.8398969999998</v>
      </c>
      <c r="K43" s="3">
        <v>1236.3157279999998</v>
      </c>
      <c r="L43" s="3">
        <v>1237.0904020000003</v>
      </c>
      <c r="M43" s="3">
        <v>1319.5</v>
      </c>
      <c r="N43" s="3">
        <v>1513.8727380000003</v>
      </c>
      <c r="O43" s="3">
        <v>1664.2999999999997</v>
      </c>
      <c r="P43" s="3">
        <v>1715.309336</v>
      </c>
      <c r="Q43" s="3">
        <v>1762.9139710000002</v>
      </c>
      <c r="R43" s="3">
        <v>1765.5318760000002</v>
      </c>
      <c r="S43" s="3">
        <v>1700.5350939999996</v>
      </c>
      <c r="T43" s="3">
        <v>1630.7050659999998</v>
      </c>
      <c r="U43" s="3">
        <v>1608.1718079999998</v>
      </c>
      <c r="V43" s="3">
        <v>1592.6831639999998</v>
      </c>
      <c r="W43" s="3">
        <v>1584.527061</v>
      </c>
      <c r="X43" s="3">
        <v>1553.66354</v>
      </c>
      <c r="Y43" s="3">
        <v>1524.407154</v>
      </c>
      <c r="Z43" s="3">
        <v>1730.6028620000002</v>
      </c>
      <c r="AA43" s="3">
        <v>1844.3735719999997</v>
      </c>
      <c r="AB43" s="3">
        <v>1773.0452350000003</v>
      </c>
      <c r="AC43" s="3">
        <v>1631.0606249999998</v>
      </c>
      <c r="AD43" s="2">
        <v>1839.8</v>
      </c>
      <c r="AE43" s="3">
        <v>0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v>1433.0089639999999</v>
      </c>
      <c r="G44" s="3">
        <v>1310.5</v>
      </c>
      <c r="H44" s="3">
        <v>1252.8265650000001</v>
      </c>
      <c r="I44" s="3">
        <v>1224.9000000000001</v>
      </c>
      <c r="J44" s="3">
        <v>1217.5759079999998</v>
      </c>
      <c r="K44" s="3">
        <v>1236.1219349999999</v>
      </c>
      <c r="L44" s="3">
        <v>1236.1219349999999</v>
      </c>
      <c r="M44" s="3">
        <v>1241.0407130000003</v>
      </c>
      <c r="N44" s="3">
        <v>1415.5239449999999</v>
      </c>
      <c r="O44" s="3">
        <v>1569.4026890000002</v>
      </c>
      <c r="P44" s="3">
        <v>1705.9</v>
      </c>
      <c r="Q44" s="3">
        <v>1750.0920919999999</v>
      </c>
      <c r="R44" s="3">
        <v>1744.1273960000001</v>
      </c>
      <c r="S44" s="3">
        <v>1694.8</v>
      </c>
      <c r="T44" s="3">
        <v>1655.2164560000003</v>
      </c>
      <c r="U44" s="3">
        <v>1647.8315520000001</v>
      </c>
      <c r="V44" s="3">
        <v>1631.065824</v>
      </c>
      <c r="W44" s="3">
        <v>1619.5651040000002</v>
      </c>
      <c r="X44" s="3">
        <v>1600.2211159999999</v>
      </c>
      <c r="Y44" s="3">
        <v>1589.6999999999998</v>
      </c>
      <c r="Z44" s="3">
        <v>1797.4328379999999</v>
      </c>
      <c r="AA44" s="3">
        <v>1861.0276699999997</v>
      </c>
      <c r="AB44" s="3">
        <v>1762.1992919999996</v>
      </c>
      <c r="AC44" s="3">
        <v>1650.1197199999997</v>
      </c>
      <c r="AD44" s="2">
        <v>1892.5</v>
      </c>
      <c r="AE44" s="3">
        <v>0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v>1493.0356119999999</v>
      </c>
      <c r="G45" s="3">
        <v>1356.2977040000003</v>
      </c>
      <c r="H45" s="3">
        <v>1285.4459849999998</v>
      </c>
      <c r="I45" s="3">
        <v>1250.048016</v>
      </c>
      <c r="J45" s="3">
        <v>1254.4918499999999</v>
      </c>
      <c r="K45" s="3">
        <v>1261.3659519999999</v>
      </c>
      <c r="L45" s="3">
        <v>1251.894196</v>
      </c>
      <c r="M45" s="3">
        <v>1337.6035440000001</v>
      </c>
      <c r="N45" s="3">
        <v>1533.6000000000001</v>
      </c>
      <c r="O45" s="3">
        <v>1662.2615429999998</v>
      </c>
      <c r="P45" s="3">
        <v>1743.8067229999999</v>
      </c>
      <c r="Q45" s="3">
        <v>1795.0698619999998</v>
      </c>
      <c r="R45" s="3">
        <v>1773.9604299999996</v>
      </c>
      <c r="S45" s="3">
        <v>1691.2662580000001</v>
      </c>
      <c r="T45" s="3">
        <v>1605.897226</v>
      </c>
      <c r="U45" s="3">
        <v>1601.7360739999999</v>
      </c>
      <c r="V45" s="3">
        <v>1605.8816000000002</v>
      </c>
      <c r="W45" s="3">
        <v>1604.2975319999998</v>
      </c>
      <c r="X45" s="3">
        <v>1609.3637020000001</v>
      </c>
      <c r="Y45" s="3">
        <v>1616.439001</v>
      </c>
      <c r="Z45" s="3">
        <v>1737.3967420000001</v>
      </c>
      <c r="AA45" s="3">
        <v>1793.109586</v>
      </c>
      <c r="AB45" s="3">
        <v>1724.32511</v>
      </c>
      <c r="AC45" s="3">
        <v>1597.6409699999999</v>
      </c>
      <c r="AD45" s="2">
        <v>1806.0000000000002</v>
      </c>
      <c r="AE45" s="3">
        <v>0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v>1468.7406120000001</v>
      </c>
      <c r="G46" s="3">
        <v>1333.1104539999999</v>
      </c>
      <c r="H46" s="3">
        <v>1267.8389380000001</v>
      </c>
      <c r="I46" s="3">
        <v>1238.7793759999997</v>
      </c>
      <c r="J46" s="3">
        <v>1223.5999999999999</v>
      </c>
      <c r="K46" s="3">
        <v>1211.8006580000001</v>
      </c>
      <c r="L46" s="3">
        <v>1174.7722259999998</v>
      </c>
      <c r="M46" s="3">
        <v>1165.5803859999999</v>
      </c>
      <c r="N46" s="3">
        <v>1252.2460269999999</v>
      </c>
      <c r="O46" s="3">
        <v>1339.3</v>
      </c>
      <c r="P46" s="3">
        <v>1422.8</v>
      </c>
      <c r="Q46" s="3">
        <v>1465.109743</v>
      </c>
      <c r="R46" s="3">
        <v>1467.3370910000001</v>
      </c>
      <c r="S46" s="3">
        <v>1409.8999999999999</v>
      </c>
      <c r="T46" s="3">
        <v>1369.8274499999998</v>
      </c>
      <c r="U46" s="3">
        <v>1334.7127739999999</v>
      </c>
      <c r="V46" s="3">
        <v>1334.9164450000001</v>
      </c>
      <c r="W46" s="3">
        <v>1339.0045380000001</v>
      </c>
      <c r="X46" s="3">
        <v>1317.9374070000001</v>
      </c>
      <c r="Y46" s="3">
        <v>1353.0944660000002</v>
      </c>
      <c r="Z46" s="3">
        <v>1564.3</v>
      </c>
      <c r="AA46" s="3">
        <v>1699.0663119999999</v>
      </c>
      <c r="AB46" s="3">
        <v>1628.4113559999998</v>
      </c>
      <c r="AC46" s="3">
        <v>1504.549614</v>
      </c>
      <c r="AD46" s="2">
        <v>1709.1</v>
      </c>
      <c r="AE46" s="3">
        <v>0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v>1328.7070119999998</v>
      </c>
      <c r="G47" s="3">
        <v>1199.7158049999998</v>
      </c>
      <c r="H47" s="3">
        <v>1141.5045600000003</v>
      </c>
      <c r="I47" s="3">
        <v>1126.2493949999998</v>
      </c>
      <c r="J47" s="3">
        <v>1122.46036</v>
      </c>
      <c r="K47" s="3">
        <v>1144.1048509999998</v>
      </c>
      <c r="L47" s="3">
        <v>1168.528</v>
      </c>
      <c r="M47" s="3">
        <v>1271.9363369999999</v>
      </c>
      <c r="N47" s="3">
        <v>1466.7058750000001</v>
      </c>
      <c r="O47" s="3">
        <v>1595.8404599999999</v>
      </c>
      <c r="P47" s="3">
        <v>1664.9701819999998</v>
      </c>
      <c r="Q47" s="3">
        <v>1706.7508080000002</v>
      </c>
      <c r="R47" s="3">
        <v>1710.4862269999999</v>
      </c>
      <c r="S47" s="3">
        <v>1661.910934</v>
      </c>
      <c r="T47" s="3">
        <v>1614.337726</v>
      </c>
      <c r="U47" s="3">
        <v>1608.9354819999999</v>
      </c>
      <c r="V47" s="3">
        <v>1587.8929559999999</v>
      </c>
      <c r="W47" s="3">
        <v>1597.1088339999999</v>
      </c>
      <c r="X47" s="3">
        <v>1607.2355610000002</v>
      </c>
      <c r="Y47" s="3">
        <v>1605.6601119999998</v>
      </c>
      <c r="Z47" s="3">
        <v>1780.7601239999999</v>
      </c>
      <c r="AA47" s="3">
        <v>1843.3582160000001</v>
      </c>
      <c r="AB47" s="3">
        <v>1753.2665559999998</v>
      </c>
      <c r="AC47" s="3">
        <v>1632.9216919999999</v>
      </c>
      <c r="AD47" s="2">
        <v>1875.8999999999999</v>
      </c>
      <c r="AE47" s="3">
        <v>0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v>1449.1400370000001</v>
      </c>
      <c r="G48" s="3">
        <v>1309.7510239999997</v>
      </c>
      <c r="H48" s="3">
        <v>1247.0999999999997</v>
      </c>
      <c r="I48" s="3">
        <v>1216.0305080000003</v>
      </c>
      <c r="J48" s="3">
        <v>1208.2072369999999</v>
      </c>
      <c r="K48" s="3">
        <v>1212.3311149999997</v>
      </c>
      <c r="L48" s="3">
        <v>1228.6000000000001</v>
      </c>
      <c r="M48" s="3">
        <v>1314.7143050000002</v>
      </c>
      <c r="N48" s="3">
        <v>1496.5</v>
      </c>
      <c r="O48" s="3">
        <v>1604.769669</v>
      </c>
      <c r="P48" s="3">
        <v>1660.1436080000001</v>
      </c>
      <c r="Q48" s="3">
        <v>1716.3161700000001</v>
      </c>
      <c r="R48" s="3">
        <v>1724.3</v>
      </c>
      <c r="S48" s="3">
        <v>1672.8252680000001</v>
      </c>
      <c r="T48" s="3">
        <v>1620.558959</v>
      </c>
      <c r="U48" s="3">
        <v>1628.009554</v>
      </c>
      <c r="V48" s="3">
        <v>1620.0873999999999</v>
      </c>
      <c r="W48" s="3">
        <v>1595.4427039999996</v>
      </c>
      <c r="X48" s="3">
        <v>1564.808896</v>
      </c>
      <c r="Y48" s="3">
        <v>1539.0000000000002</v>
      </c>
      <c r="Z48" s="3">
        <v>1718.1155100000001</v>
      </c>
      <c r="AA48" s="3">
        <v>1824.7592950000001</v>
      </c>
      <c r="AB48" s="3">
        <v>1748.0787420000001</v>
      </c>
      <c r="AC48" s="3">
        <v>1617.1380799999999</v>
      </c>
      <c r="AD48" s="2">
        <v>1839.5</v>
      </c>
      <c r="AE48" s="3">
        <v>0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v>1437.5499580000001</v>
      </c>
      <c r="G49" s="3">
        <v>1304.726553</v>
      </c>
      <c r="H49" s="3">
        <v>1247.1979699999999</v>
      </c>
      <c r="I49" s="3">
        <v>1226.1606129999998</v>
      </c>
      <c r="J49" s="3">
        <v>1222.862296</v>
      </c>
      <c r="K49" s="3">
        <v>1231.7265399999999</v>
      </c>
      <c r="L49" s="3">
        <v>1234.620216</v>
      </c>
      <c r="M49" s="3">
        <v>1325.74505</v>
      </c>
      <c r="N49" s="3">
        <v>1495.7774440000001</v>
      </c>
      <c r="O49" s="3">
        <v>1623.856358</v>
      </c>
      <c r="P49" s="3">
        <v>1664.7352440000002</v>
      </c>
      <c r="Q49" s="3">
        <v>1718.7080099999998</v>
      </c>
      <c r="R49" s="3">
        <v>1748.147692</v>
      </c>
      <c r="S49" s="3">
        <v>1696.458149</v>
      </c>
      <c r="T49" s="3">
        <v>1656.5591969999998</v>
      </c>
      <c r="U49" s="3">
        <v>1668.3599000000002</v>
      </c>
      <c r="V49" s="3">
        <v>1646.7149799999997</v>
      </c>
      <c r="W49" s="3">
        <v>1613.4019349999999</v>
      </c>
      <c r="X49" s="3">
        <v>1601.235768</v>
      </c>
      <c r="Y49" s="3">
        <v>1583.976758</v>
      </c>
      <c r="Z49" s="3">
        <v>1764.0551799999998</v>
      </c>
      <c r="AA49" s="3">
        <v>1883.2157300000001</v>
      </c>
      <c r="AB49" s="3">
        <v>1814.585718</v>
      </c>
      <c r="AC49" s="3">
        <v>1648.2343430000001</v>
      </c>
      <c r="AD49" s="2">
        <v>1875.5</v>
      </c>
      <c r="AE49" s="3">
        <v>0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v>1456.2071299999998</v>
      </c>
      <c r="G50" s="3">
        <v>1312.147811</v>
      </c>
      <c r="H50" s="3">
        <v>1255.1217199999999</v>
      </c>
      <c r="I50" s="3">
        <v>1223.9430639999998</v>
      </c>
      <c r="J50" s="3">
        <v>1229.0758720000001</v>
      </c>
      <c r="K50" s="3">
        <v>1244.302152</v>
      </c>
      <c r="L50" s="3">
        <v>1252.3845160000001</v>
      </c>
      <c r="M50" s="3">
        <v>1355.00964</v>
      </c>
      <c r="N50" s="3">
        <v>1522.21594</v>
      </c>
      <c r="O50" s="3">
        <v>1628.4000000000003</v>
      </c>
      <c r="P50" s="3">
        <v>1691.2000000000003</v>
      </c>
      <c r="Q50" s="3">
        <v>1714.8</v>
      </c>
      <c r="R50" s="3">
        <v>1693</v>
      </c>
      <c r="S50" s="3">
        <v>1671.0568400000002</v>
      </c>
      <c r="T50" s="3">
        <v>1667.3657650000002</v>
      </c>
      <c r="U50" s="3">
        <v>1635.5499490000002</v>
      </c>
      <c r="V50" s="3">
        <v>1617.3337959999999</v>
      </c>
      <c r="W50" s="3">
        <v>1629.2598599999999</v>
      </c>
      <c r="X50" s="3">
        <v>1594.7478349999999</v>
      </c>
      <c r="Y50" s="3">
        <v>1556.5807500000001</v>
      </c>
      <c r="Z50" s="3">
        <v>1724.8142379999997</v>
      </c>
      <c r="AA50" s="3">
        <v>1851.7322059999999</v>
      </c>
      <c r="AB50" s="3">
        <v>1774.780266</v>
      </c>
      <c r="AC50" s="3">
        <v>1623.6692269999999</v>
      </c>
      <c r="AD50" s="2">
        <v>1870.6000000000004</v>
      </c>
      <c r="AE50" s="3">
        <v>0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v>1426.9808250000001</v>
      </c>
      <c r="G51" s="3">
        <v>1290.0306850000002</v>
      </c>
      <c r="H51" s="3">
        <v>1231.6251119999997</v>
      </c>
      <c r="I51" s="3">
        <v>1212.8671409999999</v>
      </c>
      <c r="J51" s="3">
        <v>1207.5866429999999</v>
      </c>
      <c r="K51" s="3">
        <v>1217.991937</v>
      </c>
      <c r="L51" s="3">
        <v>1219.6637240000002</v>
      </c>
      <c r="M51" s="3">
        <v>1314.0541599999999</v>
      </c>
      <c r="N51" s="3">
        <v>1500.9543569999998</v>
      </c>
      <c r="O51" s="3">
        <v>1625.210574</v>
      </c>
      <c r="P51" s="3">
        <v>1664.96957</v>
      </c>
      <c r="Q51" s="3">
        <v>1708.1254039999997</v>
      </c>
      <c r="R51" s="3">
        <v>1690.2233099999999</v>
      </c>
      <c r="S51" s="3">
        <v>1621.4262480000002</v>
      </c>
      <c r="T51" s="3">
        <v>1621.4262480000002</v>
      </c>
      <c r="U51" s="3">
        <v>1626.1000000000004</v>
      </c>
      <c r="V51" s="3">
        <v>1613.9405279999999</v>
      </c>
      <c r="W51" s="3">
        <v>1614.8534480000001</v>
      </c>
      <c r="X51" s="3">
        <v>1602.8901680000001</v>
      </c>
      <c r="Y51" s="3">
        <v>1548.0476189999999</v>
      </c>
      <c r="Z51" s="3">
        <v>1719.6077550000002</v>
      </c>
      <c r="AA51" s="3">
        <v>1852.5282279999999</v>
      </c>
      <c r="AB51" s="3">
        <v>1779.3308530000002</v>
      </c>
      <c r="AC51" s="3">
        <v>1641.9870800000001</v>
      </c>
      <c r="AD51" s="2">
        <v>1866.7000000000003</v>
      </c>
      <c r="AE51" s="3">
        <v>0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v>1462.1905549999999</v>
      </c>
      <c r="G52" s="3">
        <v>1314.5553840000002</v>
      </c>
      <c r="H52" s="3">
        <v>1250.5411410000002</v>
      </c>
      <c r="I52" s="3">
        <v>1237.9163150000002</v>
      </c>
      <c r="J52" s="3">
        <v>1231.5867350000001</v>
      </c>
      <c r="K52" s="3">
        <v>1235.5568389999999</v>
      </c>
      <c r="L52" s="3">
        <v>1221.8252039999998</v>
      </c>
      <c r="M52" s="3">
        <v>1316.785644</v>
      </c>
      <c r="N52" s="3">
        <v>1520.3</v>
      </c>
      <c r="O52" s="3">
        <v>1649.9846660000001</v>
      </c>
      <c r="P52" s="3">
        <v>1709.886737</v>
      </c>
      <c r="Q52" s="3">
        <v>1758.3876610000002</v>
      </c>
      <c r="R52" s="3">
        <v>1758.5208019999998</v>
      </c>
      <c r="S52" s="3">
        <v>1684.300788</v>
      </c>
      <c r="T52" s="3">
        <v>1627.1434890000003</v>
      </c>
      <c r="U52" s="3">
        <v>1593.2452539999997</v>
      </c>
      <c r="V52" s="3">
        <v>1606.260724</v>
      </c>
      <c r="W52" s="3">
        <v>1595.3272199999999</v>
      </c>
      <c r="X52" s="3">
        <v>1567.4815740000001</v>
      </c>
      <c r="Y52" s="3">
        <v>1576.2391480000001</v>
      </c>
      <c r="Z52" s="3">
        <v>1733.6993939999998</v>
      </c>
      <c r="AA52" s="3">
        <v>1817.0331859999999</v>
      </c>
      <c r="AB52" s="3">
        <v>1750.7999999999997</v>
      </c>
      <c r="AC52" s="3">
        <v>1637.8526350000002</v>
      </c>
      <c r="AD52" s="2">
        <v>1830.0000000000002</v>
      </c>
      <c r="AE52" s="3">
        <v>0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v>1475.8563849999998</v>
      </c>
      <c r="G53" s="3">
        <v>1340.2022179999999</v>
      </c>
      <c r="H53" s="3">
        <v>1257.3318080000001</v>
      </c>
      <c r="I53" s="3">
        <v>1216.257548</v>
      </c>
      <c r="J53" s="3">
        <v>1212.5999999999997</v>
      </c>
      <c r="K53" s="3">
        <v>1206.0793759999999</v>
      </c>
      <c r="L53" s="3">
        <v>1170.5513880000001</v>
      </c>
      <c r="M53" s="3">
        <v>1182.9000000000001</v>
      </c>
      <c r="N53" s="3">
        <v>1274.5684920000001</v>
      </c>
      <c r="O53" s="3">
        <v>1371.2999999999997</v>
      </c>
      <c r="P53" s="3">
        <v>1453.3</v>
      </c>
      <c r="Q53" s="3">
        <v>1502.4184760000001</v>
      </c>
      <c r="R53" s="3">
        <v>1505.6176600000001</v>
      </c>
      <c r="S53" s="3">
        <v>1467.9728560000001</v>
      </c>
      <c r="T53" s="3">
        <v>1430.464211</v>
      </c>
      <c r="U53" s="3">
        <v>1408.7323220000001</v>
      </c>
      <c r="V53" s="3">
        <v>1404.5302179999999</v>
      </c>
      <c r="W53" s="3">
        <v>1403.270037</v>
      </c>
      <c r="X53" s="3">
        <v>1394.2652300000002</v>
      </c>
      <c r="Y53" s="3">
        <v>1420.3816529999999</v>
      </c>
      <c r="Z53" s="3">
        <v>1599.007783</v>
      </c>
      <c r="AA53" s="3">
        <v>1735.5984789999998</v>
      </c>
      <c r="AB53" s="3">
        <v>1694.8546040000001</v>
      </c>
      <c r="AC53" s="3">
        <v>1582.4561680000002</v>
      </c>
      <c r="AD53" s="2">
        <v>1750.6999999999998</v>
      </c>
      <c r="AE53" s="3">
        <v>0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v>1404.7689660000001</v>
      </c>
      <c r="G54" s="3">
        <v>1286.1408850000003</v>
      </c>
      <c r="H54" s="3">
        <v>1238.3000000000002</v>
      </c>
      <c r="I54" s="3">
        <v>1213.896986</v>
      </c>
      <c r="J54" s="3">
        <v>1209.6903150000001</v>
      </c>
      <c r="K54" s="3">
        <v>1230.5156159999999</v>
      </c>
      <c r="L54" s="3">
        <v>1230.6717410000001</v>
      </c>
      <c r="M54" s="3">
        <v>1339.3968129999998</v>
      </c>
      <c r="N54" s="3">
        <v>1542.2966799999999</v>
      </c>
      <c r="O54" s="3">
        <v>1618.6597750000001</v>
      </c>
      <c r="P54" s="3">
        <v>1701.3</v>
      </c>
      <c r="Q54" s="3">
        <v>1742.6923559999998</v>
      </c>
      <c r="R54" s="3">
        <v>1722.1070920000002</v>
      </c>
      <c r="S54" s="3">
        <v>1685.5505980000005</v>
      </c>
      <c r="T54" s="3">
        <v>1641.2482490000004</v>
      </c>
      <c r="U54" s="3">
        <v>1637.747807</v>
      </c>
      <c r="V54" s="3">
        <v>1644.1</v>
      </c>
      <c r="W54" s="3">
        <v>1710.3368820000003</v>
      </c>
      <c r="X54" s="3">
        <v>1667.3660199999997</v>
      </c>
      <c r="Y54" s="3">
        <v>1648.0323540000002</v>
      </c>
      <c r="Z54" s="3">
        <v>1782.0763899999999</v>
      </c>
      <c r="AA54" s="3">
        <v>1888.1819759999998</v>
      </c>
      <c r="AB54" s="3">
        <v>1823.054664</v>
      </c>
      <c r="AC54" s="3">
        <v>1698.180668</v>
      </c>
      <c r="AD54" s="2">
        <v>1900.6999999999998</v>
      </c>
      <c r="AE54" s="3">
        <v>0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v>1510.527364</v>
      </c>
      <c r="G55" s="3">
        <v>1375.50756</v>
      </c>
      <c r="H55" s="3">
        <v>1302.3605100000002</v>
      </c>
      <c r="I55" s="3">
        <v>1282.6606380000001</v>
      </c>
      <c r="J55" s="3">
        <v>1272.870328</v>
      </c>
      <c r="K55" s="3">
        <v>1279.1559299999999</v>
      </c>
      <c r="L55" s="3">
        <v>1282.7208679999999</v>
      </c>
      <c r="M55" s="3">
        <v>1385.8605129999999</v>
      </c>
      <c r="N55" s="3">
        <v>1567.02639</v>
      </c>
      <c r="O55" s="3">
        <v>1710.0000000000002</v>
      </c>
      <c r="P55" s="3">
        <v>1785.8</v>
      </c>
      <c r="Q55" s="3">
        <v>1826.8999999999999</v>
      </c>
      <c r="R55" s="3">
        <v>1833.849819</v>
      </c>
      <c r="S55" s="3">
        <v>1767.1674680000001</v>
      </c>
      <c r="T55" s="3">
        <v>1723.6999999999998</v>
      </c>
      <c r="U55" s="3">
        <v>1720.722248</v>
      </c>
      <c r="V55" s="3">
        <v>1717.63291</v>
      </c>
      <c r="W55" s="3">
        <v>1724.1207269999998</v>
      </c>
      <c r="X55" s="3">
        <v>1676.190302</v>
      </c>
      <c r="Y55" s="3">
        <v>1664.0362130000001</v>
      </c>
      <c r="Z55" s="3">
        <v>1784.5244259999999</v>
      </c>
      <c r="AA55" s="3">
        <v>1900.4776760000002</v>
      </c>
      <c r="AB55" s="3">
        <v>1835.7386399999998</v>
      </c>
      <c r="AC55" s="3">
        <v>1688.8137449999999</v>
      </c>
      <c r="AD55" s="2">
        <v>1900</v>
      </c>
      <c r="AE55" s="3">
        <v>0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v>1490.7499060000002</v>
      </c>
      <c r="G56" s="3">
        <v>1361.4913550000001</v>
      </c>
      <c r="H56" s="3">
        <v>1302.681088</v>
      </c>
      <c r="I56" s="3">
        <v>1281.5938640000002</v>
      </c>
      <c r="J56" s="3">
        <v>1276.1000000000001</v>
      </c>
      <c r="K56" s="3">
        <v>1269.3581999999999</v>
      </c>
      <c r="L56" s="3">
        <v>1281.332461</v>
      </c>
      <c r="M56" s="3">
        <v>1392.7751370000001</v>
      </c>
      <c r="N56" s="3">
        <v>1566.1131949999999</v>
      </c>
      <c r="O56" s="3">
        <v>1665.0637360000001</v>
      </c>
      <c r="P56" s="3">
        <v>1737.0962320000001</v>
      </c>
      <c r="Q56" s="3">
        <v>1804.7000000000003</v>
      </c>
      <c r="R56" s="3">
        <v>1793.0999999999997</v>
      </c>
      <c r="S56" s="3">
        <v>1741.0902170000002</v>
      </c>
      <c r="T56" s="3">
        <v>1692.3063500000003</v>
      </c>
      <c r="U56" s="3">
        <v>1680.0369500000002</v>
      </c>
      <c r="V56" s="3">
        <v>1672.8217999999999</v>
      </c>
      <c r="W56" s="3">
        <v>1653.7819119999997</v>
      </c>
      <c r="X56" s="3">
        <v>1646.71549</v>
      </c>
      <c r="Y56" s="3">
        <v>1626.7441009999998</v>
      </c>
      <c r="Z56" s="3">
        <v>1762.4999999999998</v>
      </c>
      <c r="AA56" s="3">
        <v>1871.7670280000002</v>
      </c>
      <c r="AB56" s="3">
        <v>1799.1987229999997</v>
      </c>
      <c r="AC56" s="3">
        <v>1671.0954810000001</v>
      </c>
      <c r="AD56" s="2">
        <v>1888.2</v>
      </c>
      <c r="AE56" s="3">
        <v>0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v>1490.4488859999999</v>
      </c>
      <c r="G57" s="3">
        <v>1366.6619780000001</v>
      </c>
      <c r="H57" s="3">
        <v>1298.3233320000002</v>
      </c>
      <c r="I57" s="3">
        <v>1272.7622859999999</v>
      </c>
      <c r="J57" s="3">
        <v>1269.5</v>
      </c>
      <c r="K57" s="3">
        <v>1252.2416000000001</v>
      </c>
      <c r="L57" s="3">
        <v>1258.4000000000001</v>
      </c>
      <c r="M57" s="3">
        <v>1374.6</v>
      </c>
      <c r="N57" s="3">
        <v>1567.7699379999999</v>
      </c>
      <c r="O57" s="3">
        <v>1674.8309089999998</v>
      </c>
      <c r="P57" s="3">
        <v>1747.817325</v>
      </c>
      <c r="Q57" s="3">
        <v>1788.3260580000001</v>
      </c>
      <c r="R57" s="3">
        <v>1779.3404880000001</v>
      </c>
      <c r="S57" s="3">
        <v>1748.6000000000001</v>
      </c>
      <c r="T57" s="3">
        <v>1686.0445059999997</v>
      </c>
      <c r="U57" s="3">
        <v>1693.0000000000002</v>
      </c>
      <c r="V57" s="3">
        <v>1707.9617250000003</v>
      </c>
      <c r="W57" s="3">
        <v>1674.9911969999998</v>
      </c>
      <c r="X57" s="3">
        <v>1641.0188219999998</v>
      </c>
      <c r="Y57" s="3">
        <v>1619.3590610000001</v>
      </c>
      <c r="Z57" s="3">
        <v>1741.1931719999998</v>
      </c>
      <c r="AA57" s="3">
        <v>1879.301764</v>
      </c>
      <c r="AB57" s="3">
        <v>1809.8643979999997</v>
      </c>
      <c r="AC57" s="3">
        <v>1681.508744</v>
      </c>
      <c r="AD57" s="2">
        <v>1892.1999999999998</v>
      </c>
      <c r="AE57" s="3">
        <v>0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v>1485.828268</v>
      </c>
      <c r="G58" s="3">
        <v>1343.9973199999999</v>
      </c>
      <c r="H58" s="3">
        <v>1277.8343319999997</v>
      </c>
      <c r="I58" s="3">
        <v>1255.8356329999999</v>
      </c>
      <c r="J58" s="3">
        <v>1250.5362550000002</v>
      </c>
      <c r="K58" s="3">
        <v>1258.4166199999997</v>
      </c>
      <c r="L58" s="3">
        <v>1254.6528000000001</v>
      </c>
      <c r="M58" s="3">
        <v>1363.4254759999999</v>
      </c>
      <c r="N58" s="3">
        <v>1546.9051739999998</v>
      </c>
      <c r="O58" s="3">
        <v>1688.170695</v>
      </c>
      <c r="P58" s="3">
        <v>1749.8750700000001</v>
      </c>
      <c r="Q58" s="3">
        <v>1796.0036189999998</v>
      </c>
      <c r="R58" s="3">
        <v>1817.6</v>
      </c>
      <c r="S58" s="3">
        <v>1757.4173340000002</v>
      </c>
      <c r="T58" s="3">
        <v>1714.1318329999999</v>
      </c>
      <c r="U58" s="3">
        <v>1737.6706180000003</v>
      </c>
      <c r="V58" s="3">
        <v>1701.31719</v>
      </c>
      <c r="W58" s="3">
        <v>1674.049955</v>
      </c>
      <c r="X58" s="3">
        <v>1651.7063100000003</v>
      </c>
      <c r="Y58" s="3">
        <v>1618.8191420000001</v>
      </c>
      <c r="Z58" s="3">
        <v>1729.6</v>
      </c>
      <c r="AA58" s="3">
        <v>1895.9820699999998</v>
      </c>
      <c r="AB58" s="3">
        <v>1821.27791</v>
      </c>
      <c r="AC58" s="3">
        <v>1682.1282060000001</v>
      </c>
      <c r="AD58" s="2">
        <v>1876.2</v>
      </c>
      <c r="AE58" s="3">
        <v>0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v>1494.4503949999998</v>
      </c>
      <c r="G59" s="3">
        <v>1362.8908449999999</v>
      </c>
      <c r="H59" s="3">
        <v>1291.3999999999996</v>
      </c>
      <c r="I59" s="3">
        <v>1271.411153</v>
      </c>
      <c r="J59" s="3">
        <v>1258.1176400000002</v>
      </c>
      <c r="K59" s="3">
        <v>1270.748204</v>
      </c>
      <c r="L59" s="3">
        <v>1263.5229340000001</v>
      </c>
      <c r="M59" s="3">
        <v>1366.6</v>
      </c>
      <c r="N59" s="3">
        <v>1553.2064629999998</v>
      </c>
      <c r="O59" s="3">
        <v>1706.6143340000001</v>
      </c>
      <c r="P59" s="3">
        <v>1778</v>
      </c>
      <c r="Q59" s="3">
        <v>1826.3532360000002</v>
      </c>
      <c r="R59" s="3">
        <v>1825.7880200000002</v>
      </c>
      <c r="S59" s="3">
        <v>1757.5680320000001</v>
      </c>
      <c r="T59" s="3">
        <v>1687.7735789999999</v>
      </c>
      <c r="U59" s="3">
        <v>1661.015748</v>
      </c>
      <c r="V59" s="3">
        <v>1658.053216</v>
      </c>
      <c r="W59" s="3">
        <v>1642.52773</v>
      </c>
      <c r="X59" s="3">
        <v>1612.663546</v>
      </c>
      <c r="Y59" s="3">
        <v>1602.1619880000001</v>
      </c>
      <c r="Z59" s="3">
        <v>1739.6973509999998</v>
      </c>
      <c r="AA59" s="3">
        <v>1837.9286949999998</v>
      </c>
      <c r="AB59" s="3">
        <v>1763.5556389999997</v>
      </c>
      <c r="AC59" s="3">
        <v>1645.2922139999998</v>
      </c>
      <c r="AD59" s="2">
        <v>1844.2</v>
      </c>
      <c r="AE59" s="3">
        <v>0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v>1492.1481719999999</v>
      </c>
      <c r="G60" s="3">
        <v>1368.1221860000003</v>
      </c>
      <c r="H60" s="3">
        <v>1298.6233830000001</v>
      </c>
      <c r="I60" s="3">
        <v>1266.3000000000002</v>
      </c>
      <c r="J60" s="3">
        <v>1254.2999999999997</v>
      </c>
      <c r="K60" s="3">
        <v>1247.5466489999999</v>
      </c>
      <c r="L60" s="3">
        <v>1170.9641530000001</v>
      </c>
      <c r="M60" s="3">
        <v>1203.9112149999996</v>
      </c>
      <c r="N60" s="3">
        <v>1292.6000000000001</v>
      </c>
      <c r="O60" s="3">
        <v>1416.5623870000002</v>
      </c>
      <c r="P60" s="3">
        <v>1509.8684539999999</v>
      </c>
      <c r="Q60" s="3">
        <v>1550.3129629999999</v>
      </c>
      <c r="R60" s="3">
        <v>1566.2</v>
      </c>
      <c r="S60" s="3">
        <v>1513.81358</v>
      </c>
      <c r="T60" s="3">
        <v>1448.9905019999999</v>
      </c>
      <c r="U60" s="3">
        <v>1428.4113100000004</v>
      </c>
      <c r="V60" s="3">
        <v>1413.3501600000002</v>
      </c>
      <c r="W60" s="3">
        <v>1425.9260880000002</v>
      </c>
      <c r="X60" s="3">
        <v>1405.7036850000002</v>
      </c>
      <c r="Y60" s="3">
        <v>1397.672689</v>
      </c>
      <c r="Z60" s="3">
        <v>1525.5</v>
      </c>
      <c r="AA60" s="3">
        <v>1737.5952660000003</v>
      </c>
      <c r="AB60" s="3">
        <v>1728.4104159999999</v>
      </c>
      <c r="AC60" s="3">
        <v>1635.3997279999999</v>
      </c>
      <c r="AD60" s="2">
        <v>1746.6</v>
      </c>
      <c r="AE60" s="3">
        <v>0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v>1466.53755</v>
      </c>
      <c r="G61" s="3">
        <v>1328.6319999999998</v>
      </c>
      <c r="H61" s="3">
        <v>1264.8567720000003</v>
      </c>
      <c r="I61" s="3">
        <v>1234.3214400000002</v>
      </c>
      <c r="J61" s="3">
        <v>1237.5446399999998</v>
      </c>
      <c r="K61" s="3">
        <v>1251.7853320000002</v>
      </c>
      <c r="L61" s="3">
        <v>1241.3526569999999</v>
      </c>
      <c r="M61" s="3">
        <v>1365.8209619999998</v>
      </c>
      <c r="N61" s="3">
        <v>1579.5</v>
      </c>
      <c r="O61" s="3">
        <v>1728.4913240000003</v>
      </c>
      <c r="P61" s="3">
        <v>1818.1999999999998</v>
      </c>
      <c r="Q61" s="3">
        <v>1884.7999999999997</v>
      </c>
      <c r="R61" s="3">
        <v>1892.4198309999999</v>
      </c>
      <c r="S61" s="3">
        <v>1818.5296719999997</v>
      </c>
      <c r="T61" s="3">
        <v>1772.1</v>
      </c>
      <c r="U61" s="3">
        <v>1753.9541119999999</v>
      </c>
      <c r="V61" s="3">
        <v>1748.853605</v>
      </c>
      <c r="W61" s="3">
        <v>1727.7082710000004</v>
      </c>
      <c r="X61" s="3">
        <v>1692.9306829999998</v>
      </c>
      <c r="Y61" s="3">
        <v>1646.8152349999998</v>
      </c>
      <c r="Z61" s="3">
        <v>1766.9834279999998</v>
      </c>
      <c r="AA61" s="3">
        <v>1939.17191</v>
      </c>
      <c r="AB61" s="3">
        <v>1883.7929920000004</v>
      </c>
      <c r="AC61" s="3">
        <v>1768.8269799999996</v>
      </c>
      <c r="AD61" s="2">
        <v>1936.2</v>
      </c>
      <c r="AE61" s="3">
        <v>0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v>1569.11592</v>
      </c>
      <c r="G62" s="3">
        <v>1430.8696050000001</v>
      </c>
      <c r="H62" s="3">
        <v>1354.9807970000002</v>
      </c>
      <c r="I62" s="3">
        <v>1302.2214450000001</v>
      </c>
      <c r="J62" s="3">
        <v>1303.9598980000001</v>
      </c>
      <c r="K62" s="3">
        <v>1308.8832550000002</v>
      </c>
      <c r="L62" s="3">
        <v>1302.5212409999999</v>
      </c>
      <c r="M62" s="3">
        <v>1414.825998</v>
      </c>
      <c r="N62" s="3">
        <v>1602.4318609999998</v>
      </c>
      <c r="O62" s="3">
        <v>1752.5830739999997</v>
      </c>
      <c r="P62" s="3">
        <v>1854.1681380000002</v>
      </c>
      <c r="Q62" s="3">
        <v>1883.120617</v>
      </c>
      <c r="R62" s="3">
        <v>1892.5</v>
      </c>
      <c r="S62" s="3">
        <v>1855.9999999999998</v>
      </c>
      <c r="T62" s="3">
        <v>1815.674702</v>
      </c>
      <c r="U62" s="3">
        <v>1795.669656</v>
      </c>
      <c r="V62" s="3">
        <v>1788.5518600000003</v>
      </c>
      <c r="W62" s="3">
        <v>1781.576084</v>
      </c>
      <c r="X62" s="3">
        <v>1752.4594159999999</v>
      </c>
      <c r="Y62" s="3">
        <v>1689.2230550000002</v>
      </c>
      <c r="Z62" s="3">
        <v>1785.3241199999998</v>
      </c>
      <c r="AA62" s="3">
        <v>1933.7897680000001</v>
      </c>
      <c r="AB62" s="3">
        <v>1867.2959069999997</v>
      </c>
      <c r="AC62" s="3">
        <v>1756.2522759999997</v>
      </c>
      <c r="AD62" s="2">
        <v>1946.5</v>
      </c>
      <c r="AE62" s="3">
        <v>0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v>1569.1688159999997</v>
      </c>
      <c r="G63" s="3">
        <v>1418.3012249999999</v>
      </c>
      <c r="H63" s="3">
        <v>1355.3874020000003</v>
      </c>
      <c r="I63" s="3">
        <v>1320.8345000000004</v>
      </c>
      <c r="J63" s="3">
        <v>1317</v>
      </c>
      <c r="K63" s="3">
        <v>1328.0227190000001</v>
      </c>
      <c r="L63" s="3">
        <v>1321.322592</v>
      </c>
      <c r="M63" s="3">
        <v>1446.0411079999999</v>
      </c>
      <c r="N63" s="3">
        <v>1634.0509519999996</v>
      </c>
      <c r="O63" s="3">
        <v>1777.2</v>
      </c>
      <c r="P63" s="3">
        <v>1855.6</v>
      </c>
      <c r="Q63" s="3">
        <v>1895.0809849999998</v>
      </c>
      <c r="R63" s="3">
        <v>1910.8106</v>
      </c>
      <c r="S63" s="3">
        <v>1852.6888259999998</v>
      </c>
      <c r="T63" s="3">
        <v>1796.0782259999999</v>
      </c>
      <c r="U63" s="3">
        <v>1783.9549220000004</v>
      </c>
      <c r="V63" s="3">
        <v>1767.2852680000001</v>
      </c>
      <c r="W63" s="3">
        <v>1762.1554860000003</v>
      </c>
      <c r="X63" s="3">
        <v>1726.7132300000003</v>
      </c>
      <c r="Y63" s="3">
        <v>1668.9586249999998</v>
      </c>
      <c r="Z63" s="3">
        <v>1766.1149909999997</v>
      </c>
      <c r="AA63" s="3">
        <v>1943.37978</v>
      </c>
      <c r="AB63" s="3">
        <v>1897.4699400000004</v>
      </c>
      <c r="AC63" s="3">
        <v>1770.2776679999997</v>
      </c>
      <c r="AD63" s="2">
        <v>1929.1000000000004</v>
      </c>
      <c r="AE63" s="3">
        <v>0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v>1576.0515410000003</v>
      </c>
      <c r="G64" s="3">
        <v>1443.5936520000002</v>
      </c>
      <c r="H64" s="3">
        <v>1374.3266849999998</v>
      </c>
      <c r="I64" s="3">
        <v>1345.0976270000003</v>
      </c>
      <c r="J64" s="3">
        <v>1315.2435269999999</v>
      </c>
      <c r="K64" s="3">
        <v>1318.6696119999999</v>
      </c>
      <c r="L64" s="3">
        <v>1310.5817679999998</v>
      </c>
      <c r="M64" s="3">
        <v>1400.3710060000001</v>
      </c>
      <c r="N64" s="3">
        <v>1563.9121239999999</v>
      </c>
      <c r="O64" s="3">
        <v>1704.5</v>
      </c>
      <c r="P64" s="3">
        <v>1786.4999999999998</v>
      </c>
      <c r="Q64" s="3">
        <v>1847.1000000000001</v>
      </c>
      <c r="R64" s="3">
        <v>1868.6</v>
      </c>
      <c r="S64" s="3">
        <v>1795.568636</v>
      </c>
      <c r="T64" s="3">
        <v>1762.086998</v>
      </c>
      <c r="U64" s="3">
        <v>1739.9873640000001</v>
      </c>
      <c r="V64" s="3">
        <v>1708.2792750000003</v>
      </c>
      <c r="W64" s="3">
        <v>1699.3985500000001</v>
      </c>
      <c r="X64" s="3">
        <v>1676.0586559999999</v>
      </c>
      <c r="Y64" s="3">
        <v>1641.9</v>
      </c>
      <c r="Z64" s="3">
        <v>1744.1883780000003</v>
      </c>
      <c r="AA64" s="3">
        <v>1845.50702</v>
      </c>
      <c r="AB64" s="3">
        <v>1767.8296319999999</v>
      </c>
      <c r="AC64" s="3">
        <v>1628.3663030000002</v>
      </c>
      <c r="AD64" s="2">
        <v>1889.1999999999998</v>
      </c>
      <c r="AE64" s="3">
        <v>0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v>1450.4064039999998</v>
      </c>
      <c r="G65" s="3">
        <v>1307.4023540000003</v>
      </c>
      <c r="H65" s="3">
        <v>1264.8590160000001</v>
      </c>
      <c r="I65" s="3">
        <v>1241.6051199999997</v>
      </c>
      <c r="J65" s="3">
        <v>1235.2194</v>
      </c>
      <c r="K65" s="3">
        <v>1242.9538400000001</v>
      </c>
      <c r="L65" s="3">
        <v>1233.6238879999999</v>
      </c>
      <c r="M65" s="3">
        <v>1325.8902849999999</v>
      </c>
      <c r="N65" s="3">
        <v>1516.221346</v>
      </c>
      <c r="O65" s="3">
        <v>1640.873276</v>
      </c>
      <c r="P65" s="3">
        <v>1724.4944379999999</v>
      </c>
      <c r="Q65" s="3">
        <v>1789.4</v>
      </c>
      <c r="R65" s="3">
        <v>1789.4999999999998</v>
      </c>
      <c r="S65" s="3">
        <v>1713.7482100000002</v>
      </c>
      <c r="T65" s="3">
        <v>1661.737539</v>
      </c>
      <c r="U65" s="3">
        <v>1663.5389360000004</v>
      </c>
      <c r="V65" s="3">
        <v>1643.990888</v>
      </c>
      <c r="W65" s="3">
        <v>1632.8024139999998</v>
      </c>
      <c r="X65" s="3">
        <v>1601.367782</v>
      </c>
      <c r="Y65" s="3">
        <v>1595.6093130000002</v>
      </c>
      <c r="Z65" s="3">
        <v>1706.1276479999999</v>
      </c>
      <c r="AA65" s="3">
        <v>1842.089438</v>
      </c>
      <c r="AB65" s="3">
        <v>1778.3822050000001</v>
      </c>
      <c r="AC65" s="3">
        <v>1670.2</v>
      </c>
      <c r="AD65" s="2">
        <v>1851.2</v>
      </c>
      <c r="AE65" s="3">
        <v>0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v>1488.5520480000002</v>
      </c>
      <c r="G66" s="3">
        <v>1346.2988519999997</v>
      </c>
      <c r="H66" s="3">
        <v>1294.8206710000002</v>
      </c>
      <c r="I66" s="3">
        <v>1265.7592770000001</v>
      </c>
      <c r="J66" s="3">
        <v>1257.031655</v>
      </c>
      <c r="K66" s="3">
        <v>1251.3301350000002</v>
      </c>
      <c r="L66" s="3">
        <v>1231.0142899999998</v>
      </c>
      <c r="M66" s="3">
        <v>1312.166596</v>
      </c>
      <c r="N66" s="3">
        <v>1487.95011</v>
      </c>
      <c r="O66" s="3">
        <v>1634.4961580000002</v>
      </c>
      <c r="P66" s="3">
        <v>1721.5</v>
      </c>
      <c r="Q66" s="3">
        <v>1767.7162660000001</v>
      </c>
      <c r="R66" s="3">
        <v>1750.564924</v>
      </c>
      <c r="S66" s="3">
        <v>1681.56141</v>
      </c>
      <c r="T66" s="3">
        <v>1608.4658440000001</v>
      </c>
      <c r="U66" s="3">
        <v>1576.618048</v>
      </c>
      <c r="V66" s="3">
        <v>1575.8960300000001</v>
      </c>
      <c r="W66" s="3">
        <v>1571.4282479999999</v>
      </c>
      <c r="X66" s="3">
        <v>1540.7860450000003</v>
      </c>
      <c r="Y66" s="3">
        <v>1517.3109280000001</v>
      </c>
      <c r="Z66" s="3">
        <v>1636.8497279999999</v>
      </c>
      <c r="AA66" s="3">
        <v>1811.993465</v>
      </c>
      <c r="AB66" s="3">
        <v>1772.896485</v>
      </c>
      <c r="AC66" s="3">
        <v>1667.0351419999997</v>
      </c>
      <c r="AD66" s="2">
        <v>1813.9999999999998</v>
      </c>
      <c r="AE66" s="3">
        <v>0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v>1493.3238819999999</v>
      </c>
      <c r="G67" s="3">
        <v>1349.1941339999998</v>
      </c>
      <c r="H67" s="3">
        <v>1287.883613</v>
      </c>
      <c r="I67" s="3">
        <v>1258.9865459999999</v>
      </c>
      <c r="J67" s="3">
        <v>1240.236674</v>
      </c>
      <c r="K67" s="3">
        <v>1225.9602559999998</v>
      </c>
      <c r="L67" s="3">
        <v>1172.4115919999997</v>
      </c>
      <c r="M67" s="3">
        <v>1189.778157</v>
      </c>
      <c r="N67" s="3">
        <v>1262.2204859999999</v>
      </c>
      <c r="O67" s="3">
        <v>1365.0757740000001</v>
      </c>
      <c r="P67" s="3">
        <v>1438.7506569999998</v>
      </c>
      <c r="Q67" s="3">
        <v>1470.2687759999997</v>
      </c>
      <c r="R67" s="3">
        <v>1464.560716</v>
      </c>
      <c r="S67" s="3">
        <v>1441.8502490000001</v>
      </c>
      <c r="T67" s="3">
        <v>1404.4685579999998</v>
      </c>
      <c r="U67" s="3">
        <v>1381.8909100000001</v>
      </c>
      <c r="V67" s="3">
        <v>1358.0917629999999</v>
      </c>
      <c r="W67" s="3">
        <v>1365.875366</v>
      </c>
      <c r="X67" s="3">
        <v>1366.9144699999999</v>
      </c>
      <c r="Y67" s="3">
        <v>1348.2886000000001</v>
      </c>
      <c r="Z67" s="3">
        <v>1476.9614320000001</v>
      </c>
      <c r="AA67" s="3">
        <v>1715.7281609999998</v>
      </c>
      <c r="AB67" s="3">
        <v>1700.4521820000002</v>
      </c>
      <c r="AC67" s="3">
        <v>1598.870077</v>
      </c>
      <c r="AD67" s="2">
        <v>1713.1</v>
      </c>
      <c r="AE67" s="3">
        <v>0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v>1423.7324120000001</v>
      </c>
      <c r="G68" s="3">
        <v>1278.1605199999999</v>
      </c>
      <c r="H68" s="3">
        <v>1218.0524480000001</v>
      </c>
      <c r="I68" s="3">
        <v>1190.4560080000001</v>
      </c>
      <c r="J68" s="3">
        <v>1181.76478</v>
      </c>
      <c r="K68" s="3">
        <v>1194.9752300000002</v>
      </c>
      <c r="L68" s="3">
        <v>1195.0761680000001</v>
      </c>
      <c r="M68" s="3">
        <v>1325.1793460000001</v>
      </c>
      <c r="N68" s="3">
        <v>1542.8016689999997</v>
      </c>
      <c r="O68" s="3">
        <v>1685.3740889999999</v>
      </c>
      <c r="P68" s="3">
        <v>1768.1460000000004</v>
      </c>
      <c r="Q68" s="3">
        <v>1818.7607330000001</v>
      </c>
      <c r="R68" s="3">
        <v>1830.17731</v>
      </c>
      <c r="S68" s="3">
        <v>1762.7733840000001</v>
      </c>
      <c r="T68" s="3">
        <v>1704.4164759999999</v>
      </c>
      <c r="U68" s="3">
        <v>1693.5007400000004</v>
      </c>
      <c r="V68" s="3">
        <v>1695.0211169999995</v>
      </c>
      <c r="W68" s="3">
        <v>1690.18814</v>
      </c>
      <c r="X68" s="3">
        <v>1646.9142149999998</v>
      </c>
      <c r="Y68" s="3">
        <v>1570.815439</v>
      </c>
      <c r="Z68" s="3">
        <v>1676.2298380000002</v>
      </c>
      <c r="AA68" s="3">
        <v>1893.7533730000002</v>
      </c>
      <c r="AB68" s="3">
        <v>1846.9453639999999</v>
      </c>
      <c r="AC68" s="3">
        <v>1722.8242399999999</v>
      </c>
      <c r="AD68" s="2">
        <v>1932</v>
      </c>
      <c r="AE68" s="3">
        <v>0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v>1524.3</v>
      </c>
      <c r="G69" s="3">
        <v>1371.7558579999995</v>
      </c>
      <c r="H69" s="3">
        <v>1313.8572199999999</v>
      </c>
      <c r="I69" s="3">
        <v>1280.0269880000001</v>
      </c>
      <c r="J69" s="3">
        <v>1271.4370510000001</v>
      </c>
      <c r="K69" s="3">
        <v>1270.6457560000001</v>
      </c>
      <c r="L69" s="3">
        <v>1252.9263100000001</v>
      </c>
      <c r="M69" s="3">
        <v>1371.7132859999999</v>
      </c>
      <c r="N69" s="3">
        <v>1654.3999999999999</v>
      </c>
      <c r="O69" s="3">
        <v>1723.8060209999999</v>
      </c>
      <c r="P69" s="3">
        <v>1795.6297809999999</v>
      </c>
      <c r="Q69" s="3">
        <v>1834.2983120000001</v>
      </c>
      <c r="R69" s="3">
        <v>1839.8519659999999</v>
      </c>
      <c r="S69" s="3">
        <v>1779.877665</v>
      </c>
      <c r="T69" s="3">
        <v>1712.3000000000004</v>
      </c>
      <c r="U69" s="3">
        <v>1715.0093360000001</v>
      </c>
      <c r="V69" s="3">
        <v>1719.325104</v>
      </c>
      <c r="W69" s="3">
        <v>1707.7685620000002</v>
      </c>
      <c r="X69" s="3">
        <v>1673.3195559999999</v>
      </c>
      <c r="Y69" s="3">
        <v>1634.3410240000001</v>
      </c>
      <c r="Z69" s="3">
        <v>1725.7000000000003</v>
      </c>
      <c r="AA69" s="3">
        <v>1910.3344440000001</v>
      </c>
      <c r="AB69" s="3">
        <v>1866.5980489999997</v>
      </c>
      <c r="AC69" s="3">
        <v>1744.6957189999998</v>
      </c>
      <c r="AD69" s="2">
        <v>1886.6000000000001</v>
      </c>
      <c r="AE69" s="3">
        <v>0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v>1526.6176370000003</v>
      </c>
      <c r="G70" s="3">
        <v>1381.7999999999997</v>
      </c>
      <c r="H70" s="3">
        <v>1315.2</v>
      </c>
      <c r="I70" s="3">
        <v>1286.638954</v>
      </c>
      <c r="J70" s="3">
        <v>1268.9381220000002</v>
      </c>
      <c r="K70" s="3">
        <v>1283.4477700000002</v>
      </c>
      <c r="L70" s="3">
        <v>1263.0817520000001</v>
      </c>
      <c r="M70" s="3">
        <v>1392.449012</v>
      </c>
      <c r="N70" s="3">
        <v>1569.4434100000001</v>
      </c>
      <c r="O70" s="3">
        <v>1691.4541960000001</v>
      </c>
      <c r="P70" s="3">
        <v>1784.3717479999998</v>
      </c>
      <c r="Q70" s="3">
        <v>1860.3999999999999</v>
      </c>
      <c r="R70" s="3">
        <v>1866.8327340000003</v>
      </c>
      <c r="S70" s="3">
        <v>1787.8170830000001</v>
      </c>
      <c r="T70" s="3">
        <v>1726.7825489999998</v>
      </c>
      <c r="U70" s="3">
        <v>1731.1017400000001</v>
      </c>
      <c r="V70" s="3">
        <v>1730.6984850000003</v>
      </c>
      <c r="W70" s="3">
        <v>1697.3543239999997</v>
      </c>
      <c r="X70" s="3">
        <v>1672.4481700000001</v>
      </c>
      <c r="Y70" s="3">
        <v>1625.1102679999999</v>
      </c>
      <c r="Z70" s="3">
        <v>1717.016122</v>
      </c>
      <c r="AA70" s="3">
        <v>1881.9708150000004</v>
      </c>
      <c r="AB70" s="3">
        <v>1836.7340500000003</v>
      </c>
      <c r="AC70" s="3">
        <v>1716.4273959999998</v>
      </c>
      <c r="AD70" s="2">
        <v>1898.8</v>
      </c>
      <c r="AE70" s="3">
        <v>0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v>1520.9271230000002</v>
      </c>
      <c r="G71" s="3">
        <v>1379.4819199999999</v>
      </c>
      <c r="H71" s="3">
        <v>1297.6465619999997</v>
      </c>
      <c r="I71" s="3">
        <v>1267.1160490000002</v>
      </c>
      <c r="J71" s="3">
        <v>1255.7761520000001</v>
      </c>
      <c r="K71" s="3">
        <v>1261.724005</v>
      </c>
      <c r="L71" s="3">
        <v>1247.7922680000001</v>
      </c>
      <c r="M71" s="3">
        <v>1367.8000000000002</v>
      </c>
      <c r="N71" s="3">
        <v>1580.7412820000002</v>
      </c>
      <c r="O71" s="3">
        <v>1718.4593919999998</v>
      </c>
      <c r="P71" s="3">
        <v>1780.4509439999999</v>
      </c>
      <c r="Q71" s="3">
        <v>1844.8</v>
      </c>
      <c r="R71" s="3">
        <v>1845.0294140000001</v>
      </c>
      <c r="S71" s="3">
        <v>1780.3425279999997</v>
      </c>
      <c r="T71" s="3">
        <v>1719.3822459999999</v>
      </c>
      <c r="U71" s="3">
        <v>1716.1</v>
      </c>
      <c r="V71" s="3">
        <v>1718.714694</v>
      </c>
      <c r="W71" s="3">
        <v>1720.4236759999999</v>
      </c>
      <c r="X71" s="3">
        <v>1665.5983060000003</v>
      </c>
      <c r="Y71" s="3">
        <v>1614.7752480000001</v>
      </c>
      <c r="Z71" s="3">
        <v>1686.824177</v>
      </c>
      <c r="AA71" s="3">
        <v>1898.0321140000001</v>
      </c>
      <c r="AB71" s="3">
        <v>1875.5103320000001</v>
      </c>
      <c r="AC71" s="3">
        <v>1747.080884</v>
      </c>
      <c r="AD71" s="2">
        <v>1916.8000000000002</v>
      </c>
      <c r="AE71" s="3">
        <v>0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v>1571.9290639999999</v>
      </c>
      <c r="G72" s="3">
        <v>1405.3699480000002</v>
      </c>
      <c r="H72" s="3">
        <v>1334.8123150000001</v>
      </c>
      <c r="I72" s="3">
        <v>1304.11184</v>
      </c>
      <c r="J72" s="3">
        <v>1298.0894519999997</v>
      </c>
      <c r="K72" s="3">
        <v>1308.8824899999997</v>
      </c>
      <c r="L72" s="3">
        <v>1305.3747640000001</v>
      </c>
      <c r="M72" s="3">
        <v>1439.8807579999998</v>
      </c>
      <c r="N72" s="3">
        <v>1652.2</v>
      </c>
      <c r="O72" s="3">
        <v>1786.8511979999998</v>
      </c>
      <c r="P72" s="3">
        <v>1873.3565940000001</v>
      </c>
      <c r="Q72" s="3">
        <v>1924.8000000000002</v>
      </c>
      <c r="R72" s="3">
        <v>1936.597391</v>
      </c>
      <c r="S72" s="3">
        <v>1878.7531260000001</v>
      </c>
      <c r="T72" s="3">
        <v>1811.6</v>
      </c>
      <c r="U72" s="3">
        <v>1827.9032079999999</v>
      </c>
      <c r="V72" s="3">
        <v>1831.1489979999994</v>
      </c>
      <c r="W72" s="3">
        <v>1804.67266</v>
      </c>
      <c r="X72" s="3">
        <v>1753.3905170000003</v>
      </c>
      <c r="Y72" s="3">
        <v>1697.2380519999999</v>
      </c>
      <c r="Z72" s="3">
        <v>1752.007443</v>
      </c>
      <c r="AA72" s="3">
        <v>1975.0544920000002</v>
      </c>
      <c r="AB72" s="3">
        <v>1947.0844800000002</v>
      </c>
      <c r="AC72" s="3">
        <v>1827.745285</v>
      </c>
      <c r="AD72" s="2">
        <v>1999.5</v>
      </c>
      <c r="AE72" s="3">
        <v>0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v>1640.091772</v>
      </c>
      <c r="G73" s="3">
        <v>1499</v>
      </c>
      <c r="H73" s="3">
        <v>1421.960806</v>
      </c>
      <c r="I73" s="3">
        <v>1383.5528630000001</v>
      </c>
      <c r="J73" s="3">
        <v>1359.7763600000001</v>
      </c>
      <c r="K73" s="3">
        <v>1355.9657000000002</v>
      </c>
      <c r="L73" s="3">
        <v>1326.8188179999997</v>
      </c>
      <c r="M73" s="3">
        <v>1436.3527990000002</v>
      </c>
      <c r="N73" s="3">
        <v>1642.5521249999997</v>
      </c>
      <c r="O73" s="3">
        <v>1787.3203450000001</v>
      </c>
      <c r="P73" s="3">
        <v>1894.5047640000003</v>
      </c>
      <c r="Q73" s="3">
        <v>1937.8024639999996</v>
      </c>
      <c r="R73" s="3">
        <v>1935.4005690000001</v>
      </c>
      <c r="S73" s="3">
        <v>1864.5684259999998</v>
      </c>
      <c r="T73" s="3">
        <v>1774.1809289999999</v>
      </c>
      <c r="U73" s="3">
        <v>1754.3816460000003</v>
      </c>
      <c r="V73" s="3">
        <v>1751.3064229999998</v>
      </c>
      <c r="W73" s="3">
        <v>1732.4027599999999</v>
      </c>
      <c r="X73" s="3">
        <v>1697.4368279999999</v>
      </c>
      <c r="Y73" s="3">
        <v>1635.5000679999998</v>
      </c>
      <c r="Z73" s="3">
        <v>1694.9570780000001</v>
      </c>
      <c r="AA73" s="3">
        <v>1903.7501520000001</v>
      </c>
      <c r="AB73" s="3">
        <v>1889.1636239999998</v>
      </c>
      <c r="AC73" s="3">
        <v>1810.4445639999997</v>
      </c>
      <c r="AD73" s="2">
        <v>1923.3000000000002</v>
      </c>
      <c r="AE73" s="3">
        <v>0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v>1649.1315889999998</v>
      </c>
      <c r="G74" s="3">
        <v>1514.1133759999996</v>
      </c>
      <c r="H74" s="3">
        <v>1430.5115140000003</v>
      </c>
      <c r="I74" s="3">
        <v>1370.4868670000001</v>
      </c>
      <c r="J74" s="3">
        <v>1341.196248</v>
      </c>
      <c r="K74" s="3">
        <v>1328.94462</v>
      </c>
      <c r="L74" s="3">
        <v>1285.8592100000001</v>
      </c>
      <c r="M74" s="3">
        <v>1327.5716199999999</v>
      </c>
      <c r="N74" s="3">
        <v>1441.494516</v>
      </c>
      <c r="O74" s="3">
        <v>1532.3030739999999</v>
      </c>
      <c r="P74" s="3">
        <v>1616.3999999999999</v>
      </c>
      <c r="Q74" s="3">
        <v>1669</v>
      </c>
      <c r="R74" s="3">
        <v>1691.4254800000001</v>
      </c>
      <c r="S74" s="3">
        <v>1668.2686519999997</v>
      </c>
      <c r="T74" s="3">
        <v>1618.6180199999997</v>
      </c>
      <c r="U74" s="3">
        <v>1597.6999999999998</v>
      </c>
      <c r="V74" s="3">
        <v>1577.7798180000002</v>
      </c>
      <c r="W74" s="3">
        <v>1585.6509659999997</v>
      </c>
      <c r="X74" s="3">
        <v>1561.6340249999998</v>
      </c>
      <c r="Y74" s="3">
        <v>1516.921652</v>
      </c>
      <c r="Z74" s="3">
        <v>1571.9833369999999</v>
      </c>
      <c r="AA74" s="3">
        <v>1831.5984600000002</v>
      </c>
      <c r="AB74" s="3">
        <v>1858.13814</v>
      </c>
      <c r="AC74" s="3">
        <v>1771.9005649999999</v>
      </c>
      <c r="AD74" s="2">
        <v>1843.5000000000002</v>
      </c>
      <c r="AE74" s="3">
        <v>0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v>1600.5298209999999</v>
      </c>
      <c r="G75" s="3">
        <v>1461.6000000000001</v>
      </c>
      <c r="H75" s="3">
        <v>1394.694964</v>
      </c>
      <c r="I75" s="3">
        <v>1356.0542500000001</v>
      </c>
      <c r="J75" s="3">
        <v>1329.907369</v>
      </c>
      <c r="K75" s="3">
        <v>1317.4720599999998</v>
      </c>
      <c r="L75" s="3">
        <v>1291.3299199999999</v>
      </c>
      <c r="M75" s="3">
        <v>1401.1999999999998</v>
      </c>
      <c r="N75" s="3">
        <v>1606.8000000000002</v>
      </c>
      <c r="O75" s="3">
        <v>1737.5999999999997</v>
      </c>
      <c r="P75" s="3">
        <v>1845.0432909999997</v>
      </c>
      <c r="Q75" s="3">
        <v>1902.2141190000002</v>
      </c>
      <c r="R75" s="3">
        <v>1906.0129969999998</v>
      </c>
      <c r="S75" s="3">
        <v>1847.9431889999998</v>
      </c>
      <c r="T75" s="3">
        <v>1780.651556</v>
      </c>
      <c r="U75" s="3">
        <v>1781.3509439999998</v>
      </c>
      <c r="V75" s="3">
        <v>1776.4323830000001</v>
      </c>
      <c r="W75" s="3">
        <v>1774.0381969999999</v>
      </c>
      <c r="X75" s="3">
        <v>1743.5681400000001</v>
      </c>
      <c r="Y75" s="3">
        <v>1679.3073159999999</v>
      </c>
      <c r="Z75" s="3">
        <v>1708.6268320000001</v>
      </c>
      <c r="AA75" s="3">
        <v>1932.6892499999999</v>
      </c>
      <c r="AB75" s="3">
        <v>1913.930568</v>
      </c>
      <c r="AC75" s="3">
        <v>1821.8560920000002</v>
      </c>
      <c r="AD75" s="2">
        <v>1952.6999999999998</v>
      </c>
      <c r="AE75" s="3">
        <v>0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v>1639.9999999999998</v>
      </c>
      <c r="G76" s="3">
        <v>1506.2331779999997</v>
      </c>
      <c r="H76" s="3">
        <v>1413.1348079999996</v>
      </c>
      <c r="I76" s="3">
        <v>1365.2194320000001</v>
      </c>
      <c r="J76" s="3">
        <v>1349.9932160000001</v>
      </c>
      <c r="K76" s="3">
        <v>1351.1919919999998</v>
      </c>
      <c r="L76" s="3">
        <v>1294.142746</v>
      </c>
      <c r="M76" s="3">
        <v>1342.8937799999999</v>
      </c>
      <c r="N76" s="3">
        <v>1466.8999999999999</v>
      </c>
      <c r="O76" s="3">
        <v>1573.2818579999998</v>
      </c>
      <c r="P76" s="3">
        <v>1669.3999999999999</v>
      </c>
      <c r="Q76" s="3">
        <v>1723.4999999999998</v>
      </c>
      <c r="R76" s="3">
        <v>1730.4999999999998</v>
      </c>
      <c r="S76" s="3">
        <v>1674.4201679999999</v>
      </c>
      <c r="T76" s="3">
        <v>1637.0495579999997</v>
      </c>
      <c r="U76" s="3">
        <v>1633.3513600000001</v>
      </c>
      <c r="V76" s="3">
        <v>1636.9981980000002</v>
      </c>
      <c r="W76" s="3">
        <v>1625.6644840000004</v>
      </c>
      <c r="X76" s="3">
        <v>1613.5244459999999</v>
      </c>
      <c r="Y76" s="3">
        <v>1562.3758539999999</v>
      </c>
      <c r="Z76" s="3">
        <v>1591.1999999999998</v>
      </c>
      <c r="AA76" s="3">
        <v>1838.2395119999999</v>
      </c>
      <c r="AB76" s="3">
        <v>1830.802494</v>
      </c>
      <c r="AC76" s="3">
        <v>1754.0157019999997</v>
      </c>
      <c r="AD76" s="2">
        <v>1860.6999999999996</v>
      </c>
      <c r="AE76" s="3">
        <v>0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v>1601.2363800000005</v>
      </c>
      <c r="G77" s="3">
        <v>1451.1070500000001</v>
      </c>
      <c r="H77" s="3">
        <v>1360.6915589999999</v>
      </c>
      <c r="I77" s="3">
        <v>1330.7</v>
      </c>
      <c r="J77" s="3">
        <v>1316.0401609999999</v>
      </c>
      <c r="K77" s="3">
        <v>1318.025754</v>
      </c>
      <c r="L77" s="3">
        <v>1268.4867850000001</v>
      </c>
      <c r="M77" s="3">
        <v>1327.4731500000003</v>
      </c>
      <c r="N77" s="3">
        <v>1463.6614810000001</v>
      </c>
      <c r="O77" s="3">
        <v>1595.0556640000002</v>
      </c>
      <c r="P77" s="3">
        <v>1692.2000000000003</v>
      </c>
      <c r="Q77" s="3">
        <v>1772.2381969999999</v>
      </c>
      <c r="R77" s="3">
        <v>1766.3150419999999</v>
      </c>
      <c r="S77" s="3">
        <v>1721.028065</v>
      </c>
      <c r="T77" s="3">
        <v>1673.8461299999999</v>
      </c>
      <c r="U77" s="3">
        <v>1671.3999999999999</v>
      </c>
      <c r="V77" s="3">
        <v>1671.5921150000001</v>
      </c>
      <c r="W77" s="3">
        <v>1652.3991699999999</v>
      </c>
      <c r="X77" s="3">
        <v>1636.6394599999999</v>
      </c>
      <c r="Y77" s="3">
        <v>1576.239454</v>
      </c>
      <c r="Z77" s="3">
        <v>1600.0604580000002</v>
      </c>
      <c r="AA77" s="3">
        <v>1867.3323260000002</v>
      </c>
      <c r="AB77" s="3">
        <v>1864.401415</v>
      </c>
      <c r="AC77" s="3">
        <v>1775.1600219999998</v>
      </c>
      <c r="AD77" s="2">
        <v>1912</v>
      </c>
      <c r="AE77" s="3">
        <v>0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v>1594.6999999999998</v>
      </c>
      <c r="G78" s="3">
        <v>1446.4875319999999</v>
      </c>
      <c r="H78" s="3">
        <v>1378.7052649999998</v>
      </c>
      <c r="I78" s="3">
        <v>1359.8838320000002</v>
      </c>
      <c r="J78" s="3">
        <v>1358.7929870000003</v>
      </c>
      <c r="K78" s="3">
        <v>1348.1984439999999</v>
      </c>
      <c r="L78" s="3">
        <v>1344.1000000000001</v>
      </c>
      <c r="M78" s="3">
        <v>1466.2835250000001</v>
      </c>
      <c r="N78" s="3">
        <v>1698.9529470000002</v>
      </c>
      <c r="O78" s="3">
        <v>1857.7000000000003</v>
      </c>
      <c r="P78" s="3">
        <v>1951.5</v>
      </c>
      <c r="Q78" s="3">
        <v>2013.7</v>
      </c>
      <c r="R78" s="3">
        <v>2041.289368</v>
      </c>
      <c r="S78" s="3">
        <v>1979.585814</v>
      </c>
      <c r="T78" s="3">
        <v>1923.013099</v>
      </c>
      <c r="U78" s="3">
        <v>1932.1</v>
      </c>
      <c r="V78" s="3">
        <v>1922.1175120000003</v>
      </c>
      <c r="W78" s="3">
        <v>1894.2024620000002</v>
      </c>
      <c r="X78" s="3">
        <v>1841.2758489999997</v>
      </c>
      <c r="Y78" s="3">
        <v>1766.7097449999999</v>
      </c>
      <c r="Z78" s="3">
        <v>1812.2782209999998</v>
      </c>
      <c r="AA78" s="3">
        <v>2042.4435860000001</v>
      </c>
      <c r="AB78" s="3">
        <v>2040.6146150000004</v>
      </c>
      <c r="AC78" s="3">
        <v>1935.9863</v>
      </c>
      <c r="AD78" s="2">
        <v>2046.8</v>
      </c>
      <c r="AE78" s="3">
        <v>0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v>1734.5007679999999</v>
      </c>
      <c r="G79" s="3">
        <v>1570.2000000000003</v>
      </c>
      <c r="H79" s="3">
        <v>1485.6280129999998</v>
      </c>
      <c r="I79" s="3">
        <v>1446.042332</v>
      </c>
      <c r="J79" s="3">
        <v>1431.3646699999999</v>
      </c>
      <c r="K79" s="3">
        <v>1432.1675650000002</v>
      </c>
      <c r="L79" s="3">
        <v>1408.1998599999999</v>
      </c>
      <c r="M79" s="3">
        <v>1542.4990399999999</v>
      </c>
      <c r="N79" s="3">
        <v>1776.5861749999999</v>
      </c>
      <c r="O79" s="3">
        <v>1915.6792079999996</v>
      </c>
      <c r="P79" s="3">
        <v>2005.9821660000005</v>
      </c>
      <c r="Q79" s="3">
        <v>2084.9304420000008</v>
      </c>
      <c r="R79" s="3">
        <v>2093.6999999999998</v>
      </c>
      <c r="S79" s="3">
        <v>2025.8522559999997</v>
      </c>
      <c r="T79" s="3">
        <v>1956.88663</v>
      </c>
      <c r="U79" s="3">
        <v>1966.2141860000004</v>
      </c>
      <c r="V79" s="3">
        <v>1969.5616320000004</v>
      </c>
      <c r="W79" s="3">
        <v>1939.777732</v>
      </c>
      <c r="X79" s="3">
        <v>1911.5189559999997</v>
      </c>
      <c r="Y79" s="3">
        <v>1828.1033559999998</v>
      </c>
      <c r="Z79" s="3">
        <v>1837.2476770000001</v>
      </c>
      <c r="AA79" s="3">
        <v>2070.8822569999998</v>
      </c>
      <c r="AB79" s="3">
        <v>2070.1000000000004</v>
      </c>
      <c r="AC79" s="3">
        <v>1957.5588190000001</v>
      </c>
      <c r="AD79" s="2">
        <v>2092.6999999999998</v>
      </c>
      <c r="AE79" s="3">
        <v>0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v>1764.5698140000002</v>
      </c>
      <c r="G80" s="3">
        <v>1614.3233240000002</v>
      </c>
      <c r="H80" s="3">
        <v>1525</v>
      </c>
      <c r="I80" s="3">
        <v>1488.9263299999998</v>
      </c>
      <c r="J80" s="3">
        <v>1476.795208</v>
      </c>
      <c r="K80" s="3">
        <v>1468.3727539999995</v>
      </c>
      <c r="L80" s="3">
        <v>1436.4077280000001</v>
      </c>
      <c r="M80" s="3">
        <v>1567.3380550000004</v>
      </c>
      <c r="N80" s="3">
        <v>1766.9445139999998</v>
      </c>
      <c r="O80" s="3">
        <v>1929.5000000000002</v>
      </c>
      <c r="P80" s="3">
        <v>2018.6438679999997</v>
      </c>
      <c r="Q80" s="3">
        <v>2078.9</v>
      </c>
      <c r="R80" s="3">
        <v>2049</v>
      </c>
      <c r="S80" s="3">
        <v>1968.542142</v>
      </c>
      <c r="T80" s="3">
        <v>1923.8058999999998</v>
      </c>
      <c r="U80" s="3">
        <v>1911.5324039999998</v>
      </c>
      <c r="V80" s="3">
        <v>1905.186238</v>
      </c>
      <c r="W80" s="3">
        <v>1879.1999999999998</v>
      </c>
      <c r="X80" s="3">
        <v>1842.3894380000002</v>
      </c>
      <c r="Y80" s="3">
        <v>1778.3774609999998</v>
      </c>
      <c r="Z80" s="3">
        <v>1799.3619080000003</v>
      </c>
      <c r="AA80" s="3">
        <v>2019.5638059999999</v>
      </c>
      <c r="AB80" s="3">
        <v>2019.2103259999997</v>
      </c>
      <c r="AC80" s="3">
        <v>1913.2894509999999</v>
      </c>
      <c r="AD80" s="2">
        <v>2047.2999999999995</v>
      </c>
      <c r="AE80" s="3">
        <v>0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v>1717.0096419999998</v>
      </c>
      <c r="G81" s="3">
        <v>1566.8860909999996</v>
      </c>
      <c r="H81" s="3">
        <v>1483.2</v>
      </c>
      <c r="I81" s="3">
        <v>1434.4</v>
      </c>
      <c r="J81" s="3">
        <v>1417.4475080000002</v>
      </c>
      <c r="K81" s="3">
        <v>1401.94687</v>
      </c>
      <c r="L81" s="3">
        <v>1321.2554600000003</v>
      </c>
      <c r="M81" s="3">
        <v>1356.5102519999998</v>
      </c>
      <c r="N81" s="3">
        <v>1470.8347960000001</v>
      </c>
      <c r="O81" s="3">
        <v>1565.5712640000004</v>
      </c>
      <c r="P81" s="3">
        <v>1678.8</v>
      </c>
      <c r="Q81" s="3">
        <v>1742.6032609999997</v>
      </c>
      <c r="R81" s="3">
        <v>1750.011724</v>
      </c>
      <c r="S81" s="3">
        <v>1726.10852</v>
      </c>
      <c r="T81" s="3">
        <v>1690.6000000000001</v>
      </c>
      <c r="U81" s="3">
        <v>1665.7892560000003</v>
      </c>
      <c r="V81" s="3">
        <v>1666.9</v>
      </c>
      <c r="W81" s="3">
        <v>1652.2058820000002</v>
      </c>
      <c r="X81" s="3">
        <v>1639.7197540000002</v>
      </c>
      <c r="Y81" s="3">
        <v>1587.4638179999999</v>
      </c>
      <c r="Z81" s="3">
        <v>1615.9729020000004</v>
      </c>
      <c r="AA81" s="3">
        <v>1878.428042</v>
      </c>
      <c r="AB81" s="3">
        <v>1919.28288</v>
      </c>
      <c r="AC81" s="3">
        <v>1849.9838279999999</v>
      </c>
      <c r="AD81" s="2">
        <v>1909.8000000000002</v>
      </c>
      <c r="AE81" s="3">
        <v>0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v>1681.1287159999999</v>
      </c>
      <c r="G82" s="3">
        <v>1526.5283749999999</v>
      </c>
      <c r="H82" s="3">
        <v>1450.6905019999997</v>
      </c>
      <c r="I82" s="3">
        <v>1400.7416040000001</v>
      </c>
      <c r="J82" s="3">
        <v>1392.0754429999997</v>
      </c>
      <c r="K82" s="3">
        <v>1392.0708400000001</v>
      </c>
      <c r="L82" s="3">
        <v>1358.1855659999999</v>
      </c>
      <c r="M82" s="3">
        <v>1479.144145</v>
      </c>
      <c r="N82" s="3">
        <v>1695.9194849999999</v>
      </c>
      <c r="O82" s="3">
        <v>1836.2476770000003</v>
      </c>
      <c r="P82" s="3">
        <v>1939.1892740000001</v>
      </c>
      <c r="Q82" s="3">
        <v>2018.8</v>
      </c>
      <c r="R82" s="3">
        <v>2038.2327470000002</v>
      </c>
      <c r="S82" s="3">
        <v>1977.4008239999998</v>
      </c>
      <c r="T82" s="3">
        <v>1931.898588</v>
      </c>
      <c r="U82" s="3">
        <v>1947.0915770000001</v>
      </c>
      <c r="V82" s="3">
        <v>1941.8826869999998</v>
      </c>
      <c r="W82" s="3">
        <v>1928.3999999999999</v>
      </c>
      <c r="X82" s="3">
        <v>1898.9319100000002</v>
      </c>
      <c r="Y82" s="3">
        <v>1800.2</v>
      </c>
      <c r="Z82" s="3">
        <v>1817.240542</v>
      </c>
      <c r="AA82" s="3">
        <v>2012.0306480000002</v>
      </c>
      <c r="AB82" s="3">
        <v>1996.7245199999998</v>
      </c>
      <c r="AC82" s="3">
        <v>1892.3582690000003</v>
      </c>
      <c r="AD82" s="2">
        <v>1997.5</v>
      </c>
      <c r="AE82" s="3">
        <v>0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v>1704.3879899999999</v>
      </c>
      <c r="G83" s="3">
        <v>1566.4915619999997</v>
      </c>
      <c r="H83" s="3">
        <v>1477.7633169999997</v>
      </c>
      <c r="I83" s="3">
        <v>1439.6861519999998</v>
      </c>
      <c r="J83" s="3">
        <v>1432.466353</v>
      </c>
      <c r="K83" s="3">
        <v>1431.7973999999997</v>
      </c>
      <c r="L83" s="3">
        <v>1402.6510899999998</v>
      </c>
      <c r="M83" s="3">
        <v>1528.3000000000004</v>
      </c>
      <c r="N83" s="3">
        <v>1743.2041220000001</v>
      </c>
      <c r="O83" s="3">
        <v>1887.3</v>
      </c>
      <c r="P83" s="3">
        <v>1981.3237740000002</v>
      </c>
      <c r="Q83" s="3">
        <v>2012.7169560000002</v>
      </c>
      <c r="R83" s="3">
        <v>2000.265363</v>
      </c>
      <c r="S83" s="3">
        <v>1921.6131340000004</v>
      </c>
      <c r="T83" s="3">
        <v>1921.612981</v>
      </c>
      <c r="U83" s="3">
        <v>1943.3604350000001</v>
      </c>
      <c r="V83" s="3">
        <v>1938.0968810000004</v>
      </c>
      <c r="W83" s="3">
        <v>1912.8330160000003</v>
      </c>
      <c r="X83" s="3">
        <v>1865.7590799999996</v>
      </c>
      <c r="Y83" s="3">
        <v>1781.4333009999998</v>
      </c>
      <c r="Z83" s="3">
        <v>1805.8</v>
      </c>
      <c r="AA83" s="3">
        <v>2041.5555439999998</v>
      </c>
      <c r="AB83" s="3">
        <v>2016.1312840000003</v>
      </c>
      <c r="AC83" s="3">
        <v>1908.1</v>
      </c>
      <c r="AD83" s="2">
        <v>2058</v>
      </c>
      <c r="AE83" s="3">
        <v>0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v>1712.3256080000001</v>
      </c>
      <c r="G84" s="3">
        <v>1569.8000000000002</v>
      </c>
      <c r="H84" s="3">
        <v>1480.9351020000004</v>
      </c>
      <c r="I84" s="3">
        <v>1448.567577</v>
      </c>
      <c r="J84" s="3">
        <v>1434.1685850000001</v>
      </c>
      <c r="K84" s="3">
        <v>1441.6464000000003</v>
      </c>
      <c r="L84" s="3">
        <v>1415.5267119999996</v>
      </c>
      <c r="M84" s="3">
        <v>1521.3656859999999</v>
      </c>
      <c r="N84" s="3">
        <v>1724.8056639999998</v>
      </c>
      <c r="O84" s="3">
        <v>1878.8589399999998</v>
      </c>
      <c r="P84" s="3">
        <v>2004.5389880000002</v>
      </c>
      <c r="Q84" s="3">
        <v>2078.444958</v>
      </c>
      <c r="R84" s="3">
        <v>2075.8999999999996</v>
      </c>
      <c r="S84" s="3">
        <v>2005.8620989999999</v>
      </c>
      <c r="T84" s="3">
        <v>1956.2117889999997</v>
      </c>
      <c r="U84" s="3">
        <v>1963.229392</v>
      </c>
      <c r="V84" s="3">
        <v>1949.4701409999998</v>
      </c>
      <c r="W84" s="3">
        <v>1932.2837340000001</v>
      </c>
      <c r="X84" s="3">
        <v>1906.724974</v>
      </c>
      <c r="Y84" s="3">
        <v>1823.7194160000001</v>
      </c>
      <c r="Z84" s="3">
        <v>1833.9981180000002</v>
      </c>
      <c r="AA84" s="3">
        <v>2069.9831749999998</v>
      </c>
      <c r="AB84" s="3">
        <v>2067.5301730000006</v>
      </c>
      <c r="AC84" s="3">
        <v>1950.864939</v>
      </c>
      <c r="AD84" s="2">
        <v>2088.4</v>
      </c>
      <c r="AE84" s="3">
        <v>0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v>1751.8590079999999</v>
      </c>
      <c r="G85" s="3">
        <v>1598.7389300000002</v>
      </c>
      <c r="H85" s="3">
        <v>1492.5241879999999</v>
      </c>
      <c r="I85" s="3">
        <v>1442.2502879999997</v>
      </c>
      <c r="J85" s="3">
        <v>1438.355949</v>
      </c>
      <c r="K85" s="3">
        <v>1423.834656</v>
      </c>
      <c r="L85" s="3">
        <v>1407.8000000000002</v>
      </c>
      <c r="M85" s="3">
        <v>1529.716107</v>
      </c>
      <c r="N85" s="3">
        <v>1659.9</v>
      </c>
      <c r="O85" s="3">
        <v>1873.0361639999999</v>
      </c>
      <c r="P85" s="3">
        <v>1980.46765</v>
      </c>
      <c r="Q85" s="3">
        <v>2041.510176</v>
      </c>
      <c r="R85" s="3">
        <v>2071.1727799999999</v>
      </c>
      <c r="S85" s="3">
        <v>2015.641216</v>
      </c>
      <c r="T85" s="3">
        <v>1945.6924439999998</v>
      </c>
      <c r="U85" s="3">
        <v>1965.6999999999996</v>
      </c>
      <c r="V85" s="3">
        <v>1976.8999999999999</v>
      </c>
      <c r="W85" s="3">
        <v>1953.1886189999996</v>
      </c>
      <c r="X85" s="3">
        <v>1899.0160059999996</v>
      </c>
      <c r="Y85" s="3">
        <v>1813.886835</v>
      </c>
      <c r="Z85" s="3">
        <v>1843.4085219999999</v>
      </c>
      <c r="AA85" s="3">
        <v>2054.8392560000002</v>
      </c>
      <c r="AB85" s="3">
        <v>2030.1457520000004</v>
      </c>
      <c r="AC85" s="3">
        <v>1933.6992779999998</v>
      </c>
      <c r="AD85" s="2">
        <v>2002.1</v>
      </c>
      <c r="AE85" s="3">
        <v>0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v>1735.4999999999998</v>
      </c>
      <c r="G86" s="3">
        <v>1579.2145800000001</v>
      </c>
      <c r="H86" s="3">
        <v>1499.5404199999996</v>
      </c>
      <c r="I86" s="3">
        <v>1474.8953060000001</v>
      </c>
      <c r="J86" s="3">
        <v>1448.4505039999999</v>
      </c>
      <c r="K86" s="3">
        <v>1445.6724100000001</v>
      </c>
      <c r="L86" s="3">
        <v>1415.049254</v>
      </c>
      <c r="M86" s="3">
        <v>1510.3150430000001</v>
      </c>
      <c r="N86" s="3">
        <v>1719.3198420000003</v>
      </c>
      <c r="O86" s="3">
        <v>1855.0395270000001</v>
      </c>
      <c r="P86" s="3">
        <v>1946.8940920000002</v>
      </c>
      <c r="Q86" s="3">
        <v>2027.9999999999998</v>
      </c>
      <c r="R86" s="3">
        <v>2045.8000000000004</v>
      </c>
      <c r="S86" s="3">
        <v>1994.6623459999998</v>
      </c>
      <c r="T86" s="3">
        <v>1944.006928</v>
      </c>
      <c r="U86" s="3">
        <v>1966.7949429999996</v>
      </c>
      <c r="V86" s="3">
        <v>1953.9999680000001</v>
      </c>
      <c r="W86" s="3">
        <v>1930.2264019999996</v>
      </c>
      <c r="X86" s="3">
        <v>1867.3358400000002</v>
      </c>
      <c r="Y86" s="3">
        <v>1819.838806</v>
      </c>
      <c r="Z86" s="3">
        <v>1835.237329</v>
      </c>
      <c r="AA86" s="3">
        <v>2029.8428879999999</v>
      </c>
      <c r="AB86" s="3">
        <v>1998.8000000000002</v>
      </c>
      <c r="AC86" s="3">
        <v>1907.019984</v>
      </c>
      <c r="AD86" s="2">
        <v>2045.6</v>
      </c>
      <c r="AE86" s="3">
        <v>0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v>1713.753868</v>
      </c>
      <c r="G87" s="3">
        <v>1559.7999999999997</v>
      </c>
      <c r="H87" s="3">
        <v>1468.2024599999997</v>
      </c>
      <c r="I87" s="3">
        <v>1443.0000000000002</v>
      </c>
      <c r="J87" s="3">
        <v>1425.3790000000001</v>
      </c>
      <c r="K87" s="3">
        <v>1412.0223899999999</v>
      </c>
      <c r="L87" s="3">
        <v>1385.9356620000001</v>
      </c>
      <c r="M87" s="3">
        <v>1488.9162670000001</v>
      </c>
      <c r="N87" s="3">
        <v>1673.6678669999994</v>
      </c>
      <c r="O87" s="3">
        <v>1789.8538500000004</v>
      </c>
      <c r="P87" s="3">
        <v>1906.5735980000002</v>
      </c>
      <c r="Q87" s="3">
        <v>1967.4432129999998</v>
      </c>
      <c r="R87" s="3">
        <v>1941.2</v>
      </c>
      <c r="S87" s="3">
        <v>1887.8244939999997</v>
      </c>
      <c r="T87" s="3">
        <v>1839.4919879999998</v>
      </c>
      <c r="U87" s="3">
        <v>1826.9039220000002</v>
      </c>
      <c r="V87" s="3">
        <v>1836.5408890000001</v>
      </c>
      <c r="W87" s="3">
        <v>1891.3205450000003</v>
      </c>
      <c r="X87" s="3">
        <v>1838.484588</v>
      </c>
      <c r="Y87" s="3">
        <v>1771.2999999999997</v>
      </c>
      <c r="Z87" s="3">
        <v>1770.3</v>
      </c>
      <c r="AA87" s="3">
        <v>1997.8941</v>
      </c>
      <c r="AB87" s="3">
        <v>2007.7400319999999</v>
      </c>
      <c r="AC87" s="3">
        <v>1935.8981559999997</v>
      </c>
      <c r="AD87" s="2">
        <v>2030.1</v>
      </c>
      <c r="AE87" s="3">
        <v>0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v>1753.5813400000002</v>
      </c>
      <c r="G88" s="3">
        <v>1601.8984300000002</v>
      </c>
      <c r="H88" s="3">
        <v>1502.3712519999997</v>
      </c>
      <c r="I88" s="3">
        <v>1461.8933600000003</v>
      </c>
      <c r="J88" s="3">
        <v>1419.6000000000001</v>
      </c>
      <c r="K88" s="3">
        <v>1395.6202089999997</v>
      </c>
      <c r="L88" s="3">
        <v>1337.3954359999998</v>
      </c>
      <c r="M88" s="3">
        <v>1373.7150710000001</v>
      </c>
      <c r="N88" s="3">
        <v>1467.0000000000002</v>
      </c>
      <c r="O88" s="3">
        <v>1587.5243639999999</v>
      </c>
      <c r="P88" s="3">
        <v>1691.9767919999999</v>
      </c>
      <c r="Q88" s="3">
        <v>1762.3374760000002</v>
      </c>
      <c r="R88" s="3">
        <v>1772.4933120000001</v>
      </c>
      <c r="S88" s="3">
        <v>1763.7255959999998</v>
      </c>
      <c r="T88" s="3">
        <v>1711.859905</v>
      </c>
      <c r="U88" s="3">
        <v>1667.264858</v>
      </c>
      <c r="V88" s="3">
        <v>1653.4578710000001</v>
      </c>
      <c r="W88" s="3">
        <v>1651.6000000000001</v>
      </c>
      <c r="X88" s="3">
        <v>1635.0003739999997</v>
      </c>
      <c r="Y88" s="3">
        <v>1594.4999999999998</v>
      </c>
      <c r="Z88" s="3">
        <v>1635.7433190000002</v>
      </c>
      <c r="AA88" s="3">
        <v>1885.6972160000003</v>
      </c>
      <c r="AB88" s="3">
        <v>1921.5056020000002</v>
      </c>
      <c r="AC88" s="3">
        <v>1865.9650220000003</v>
      </c>
      <c r="AD88" s="2">
        <v>1919.3999999999999</v>
      </c>
      <c r="AE88" s="3">
        <v>0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v>1701.7342780000001</v>
      </c>
      <c r="G89" s="3">
        <v>1536.3985539999999</v>
      </c>
      <c r="H89" s="3">
        <v>1445.595908</v>
      </c>
      <c r="I89" s="3">
        <v>1413.0678819999998</v>
      </c>
      <c r="J89" s="3">
        <v>1397.3012879999999</v>
      </c>
      <c r="K89" s="3">
        <v>1386.4562920000001</v>
      </c>
      <c r="L89" s="3">
        <v>1375.569745</v>
      </c>
      <c r="M89" s="3">
        <v>1510.4511510000002</v>
      </c>
      <c r="N89" s="3">
        <v>1751.53033</v>
      </c>
      <c r="O89" s="3">
        <v>1902.3141049999997</v>
      </c>
      <c r="P89" s="3">
        <v>2006.0745779999997</v>
      </c>
      <c r="Q89" s="3">
        <v>2097.1095699999996</v>
      </c>
      <c r="R89" s="3">
        <v>2120.1893279999999</v>
      </c>
      <c r="S89" s="3">
        <v>2072.6281329999997</v>
      </c>
      <c r="T89" s="3">
        <v>2020.2448879999997</v>
      </c>
      <c r="U89" s="3">
        <v>1985.3</v>
      </c>
      <c r="V89" s="3">
        <v>2033.1473599999999</v>
      </c>
      <c r="W89" s="3">
        <v>2004.45913</v>
      </c>
      <c r="X89" s="3">
        <v>1942.26998</v>
      </c>
      <c r="Y89" s="3">
        <v>1859.070555</v>
      </c>
      <c r="Z89" s="3">
        <v>1846</v>
      </c>
      <c r="AA89" s="3">
        <v>2087.157318</v>
      </c>
      <c r="AB89" s="3">
        <v>2102.6999999999998</v>
      </c>
      <c r="AC89" s="3">
        <v>2023.5069840000006</v>
      </c>
      <c r="AD89" s="2">
        <v>2111.5</v>
      </c>
      <c r="AE89" s="3">
        <v>0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v>1853.2539880000002</v>
      </c>
      <c r="G90" s="3">
        <v>1691.822596</v>
      </c>
      <c r="H90" s="3">
        <v>1581.034864</v>
      </c>
      <c r="I90" s="3">
        <v>1537.0985400000002</v>
      </c>
      <c r="J90" s="3">
        <v>1511.7142940000001</v>
      </c>
      <c r="K90" s="3">
        <v>1495.4058950000001</v>
      </c>
      <c r="L90" s="3">
        <v>1466.461634</v>
      </c>
      <c r="M90" s="3">
        <v>1588.57095</v>
      </c>
      <c r="N90" s="3">
        <v>1790.1803159999999</v>
      </c>
      <c r="O90" s="3">
        <v>1933.7984109999998</v>
      </c>
      <c r="P90" s="3">
        <v>2039.1</v>
      </c>
      <c r="Q90" s="3">
        <v>2127.7999999999997</v>
      </c>
      <c r="R90" s="3">
        <v>2160.4264560000001</v>
      </c>
      <c r="S90" s="3">
        <v>2081.0680280000001</v>
      </c>
      <c r="T90" s="3">
        <v>2039.1302989999997</v>
      </c>
      <c r="U90" s="3">
        <v>2053.0730959999996</v>
      </c>
      <c r="V90" s="3">
        <v>2046.558301</v>
      </c>
      <c r="W90" s="3">
        <v>2016.6654890000002</v>
      </c>
      <c r="X90" s="3">
        <v>1958.586834</v>
      </c>
      <c r="Y90" s="3">
        <v>2081.4239510000002</v>
      </c>
      <c r="Z90" s="3">
        <v>1837.2484929999998</v>
      </c>
      <c r="AA90" s="3">
        <v>2021.856867</v>
      </c>
      <c r="AB90" s="3">
        <v>2012.8591919999997</v>
      </c>
      <c r="AC90" s="3">
        <v>1927.2026949999999</v>
      </c>
      <c r="AD90" s="2">
        <v>1921.9999999999998</v>
      </c>
      <c r="AE90" s="3">
        <v>0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v>1765.5</v>
      </c>
      <c r="G91" s="3">
        <v>1606.7208050000002</v>
      </c>
      <c r="H91" s="3">
        <v>1513.2135800000003</v>
      </c>
      <c r="I91" s="3">
        <v>1468.4</v>
      </c>
      <c r="J91" s="3">
        <v>1444.4967240000001</v>
      </c>
      <c r="K91" s="3">
        <v>1418.5032650000001</v>
      </c>
      <c r="L91" s="3">
        <v>1371.3716939999999</v>
      </c>
      <c r="M91" s="3">
        <v>1414.3000000000002</v>
      </c>
      <c r="N91" s="3">
        <v>1516.6218559999998</v>
      </c>
      <c r="O91" s="3">
        <v>1625.1857540000001</v>
      </c>
      <c r="P91" s="3">
        <v>1778.021264</v>
      </c>
      <c r="Q91" s="3">
        <v>1849.7151520000002</v>
      </c>
      <c r="R91" s="3">
        <v>1850.9578819999997</v>
      </c>
      <c r="S91" s="3">
        <v>1779.654718</v>
      </c>
      <c r="T91" s="3">
        <v>1742.3857800000001</v>
      </c>
      <c r="U91" s="3">
        <v>1749.7921489999999</v>
      </c>
      <c r="V91" s="3">
        <v>1742.404992</v>
      </c>
      <c r="W91" s="3">
        <v>1745.2881739999998</v>
      </c>
      <c r="X91" s="3">
        <v>1719.723064</v>
      </c>
      <c r="Y91" s="3">
        <v>1686.7474360000001</v>
      </c>
      <c r="Z91" s="3">
        <v>1689.4</v>
      </c>
      <c r="AA91" s="3">
        <v>1931.9911959999999</v>
      </c>
      <c r="AB91" s="3">
        <v>1943.8699800000002</v>
      </c>
      <c r="AC91" s="3">
        <v>1875.9286030000003</v>
      </c>
      <c r="AD91" s="2">
        <v>1981.9999999999998</v>
      </c>
      <c r="AE91" s="3">
        <v>0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v>1705.1478440000001</v>
      </c>
      <c r="G92" s="3">
        <v>1552.213724</v>
      </c>
      <c r="H92" s="3">
        <v>1462.2329989999998</v>
      </c>
      <c r="I92" s="3">
        <v>1425.2311880000002</v>
      </c>
      <c r="J92" s="3">
        <v>1405.930779</v>
      </c>
      <c r="K92" s="3">
        <v>1398.983616</v>
      </c>
      <c r="L92" s="3">
        <v>1396.499452</v>
      </c>
      <c r="M92" s="3">
        <v>1493.6</v>
      </c>
      <c r="N92" s="3">
        <v>1712.5741879999998</v>
      </c>
      <c r="O92" s="3">
        <v>1835.3</v>
      </c>
      <c r="P92" s="3">
        <v>1994.6610119999998</v>
      </c>
      <c r="Q92" s="3">
        <v>2013.240757</v>
      </c>
      <c r="R92" s="3">
        <v>2018.6427459999998</v>
      </c>
      <c r="S92" s="3">
        <v>1927.9150049999998</v>
      </c>
      <c r="T92" s="3">
        <v>1884.4548600000001</v>
      </c>
      <c r="U92" s="3">
        <v>1896.2769699999999</v>
      </c>
      <c r="V92" s="3">
        <v>1893.5367040000003</v>
      </c>
      <c r="W92" s="3">
        <v>1860.3725949999996</v>
      </c>
      <c r="X92" s="3">
        <v>1807.4108050000002</v>
      </c>
      <c r="Y92" s="3">
        <v>1725.018372</v>
      </c>
      <c r="Z92" s="3">
        <v>1714.7999999999997</v>
      </c>
      <c r="AA92" s="3">
        <v>1955.8112119999998</v>
      </c>
      <c r="AB92" s="3">
        <v>1967.4206119999999</v>
      </c>
      <c r="AC92" s="3">
        <v>1879.552412</v>
      </c>
      <c r="AD92" s="2">
        <v>1967.6999999999998</v>
      </c>
      <c r="AE92" s="3">
        <v>0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v>1670.8965520000002</v>
      </c>
      <c r="G93" s="3">
        <v>1518.4388159999999</v>
      </c>
      <c r="H93" s="3">
        <v>1437.3542659999998</v>
      </c>
      <c r="I93" s="3">
        <v>1401.2704960000001</v>
      </c>
      <c r="J93" s="3">
        <v>1402.8393599999999</v>
      </c>
      <c r="K93" s="3">
        <v>1397.2451740000001</v>
      </c>
      <c r="L93" s="3">
        <v>1385.2999999999997</v>
      </c>
      <c r="M93" s="3">
        <v>1499.6792290000001</v>
      </c>
      <c r="N93" s="3">
        <v>1707.5702100000001</v>
      </c>
      <c r="O93" s="3">
        <v>1844.5093379999998</v>
      </c>
      <c r="P93" s="3">
        <v>1933.1000000000001</v>
      </c>
      <c r="Q93" s="3">
        <v>2001.9</v>
      </c>
      <c r="R93" s="3">
        <v>2000.3155950000003</v>
      </c>
      <c r="S93" s="3">
        <v>1936.9793049999998</v>
      </c>
      <c r="T93" s="3">
        <v>1892.6201880000001</v>
      </c>
      <c r="U93" s="3">
        <v>1894.0713680000001</v>
      </c>
      <c r="V93" s="3">
        <v>1893.1703479999999</v>
      </c>
      <c r="W93" s="3">
        <v>1877.2259299999998</v>
      </c>
      <c r="X93" s="3">
        <v>1825.6572549999999</v>
      </c>
      <c r="Y93" s="3">
        <v>1757.1881199999998</v>
      </c>
      <c r="Z93" s="3">
        <v>1769.8000000000002</v>
      </c>
      <c r="AA93" s="3">
        <v>1985.4814440000002</v>
      </c>
      <c r="AB93" s="3">
        <v>1986.812919</v>
      </c>
      <c r="AC93" s="3">
        <v>1901.0308900000002</v>
      </c>
      <c r="AD93" s="2">
        <v>2009.1</v>
      </c>
      <c r="AE93" s="3">
        <v>0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v>1710.2252000000001</v>
      </c>
      <c r="G94" s="3">
        <v>1560.5777919999998</v>
      </c>
      <c r="H94" s="3">
        <v>1470.8271439999999</v>
      </c>
      <c r="I94" s="3">
        <v>1436.9042719999998</v>
      </c>
      <c r="J94" s="3">
        <v>1433.4325759999999</v>
      </c>
      <c r="K94" s="3">
        <v>1414.6119350000001</v>
      </c>
      <c r="L94" s="3">
        <v>1370.4864589999997</v>
      </c>
      <c r="M94" s="3">
        <v>1469.4245940000001</v>
      </c>
      <c r="N94" s="3">
        <v>1671.2248199999999</v>
      </c>
      <c r="O94" s="3">
        <v>1796.7300869999997</v>
      </c>
      <c r="P94" s="3">
        <v>1881</v>
      </c>
      <c r="Q94" s="3">
        <v>1946.4186900000004</v>
      </c>
      <c r="R94" s="3">
        <v>1949.7159279999998</v>
      </c>
      <c r="S94" s="3">
        <v>1875.1111480000002</v>
      </c>
      <c r="T94" s="3">
        <v>1820.8194720000004</v>
      </c>
      <c r="U94" s="3">
        <v>1813.0596109999997</v>
      </c>
      <c r="V94" s="3">
        <v>1805.2878599999999</v>
      </c>
      <c r="W94" s="3">
        <v>1797.82891</v>
      </c>
      <c r="X94" s="3">
        <v>1776.98144</v>
      </c>
      <c r="Y94" s="3">
        <v>1705.1144360000001</v>
      </c>
      <c r="Z94" s="3">
        <v>1742.7088650000001</v>
      </c>
      <c r="AA94" s="3">
        <v>1955.3583600000002</v>
      </c>
      <c r="AB94" s="3">
        <v>1945.1670650000001</v>
      </c>
      <c r="AC94" s="3">
        <v>1878.5951419999999</v>
      </c>
      <c r="AD94" s="2">
        <v>1968.2</v>
      </c>
      <c r="AE94" s="3">
        <v>0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v>1718.11806</v>
      </c>
      <c r="G95" s="3">
        <v>1562.4492600000001</v>
      </c>
      <c r="H95" s="3">
        <v>1473.4665319999999</v>
      </c>
      <c r="I95" s="3">
        <v>1419.8999999999999</v>
      </c>
      <c r="J95" s="3">
        <v>1395.9895320000001</v>
      </c>
      <c r="K95" s="3">
        <v>1381.2978700000001</v>
      </c>
      <c r="L95" s="3">
        <v>1313.6710150000004</v>
      </c>
      <c r="M95" s="3">
        <v>1340.7997690000002</v>
      </c>
      <c r="N95" s="3">
        <v>1438.3508099999999</v>
      </c>
      <c r="O95" s="3">
        <v>1541.6950299999999</v>
      </c>
      <c r="P95" s="3">
        <v>1639.251088</v>
      </c>
      <c r="Q95" s="3">
        <v>1717.0085710000001</v>
      </c>
      <c r="R95" s="3">
        <v>1736.5958780000001</v>
      </c>
      <c r="S95" s="3">
        <v>1700.7509579999999</v>
      </c>
      <c r="T95" s="3">
        <v>1668.6336119999999</v>
      </c>
      <c r="U95" s="3">
        <v>1643.990888</v>
      </c>
      <c r="V95" s="3">
        <v>1630.3563750000003</v>
      </c>
      <c r="W95" s="3">
        <v>1614.9386919999999</v>
      </c>
      <c r="X95" s="3">
        <v>1598.005488</v>
      </c>
      <c r="Y95" s="3">
        <v>1564.340692</v>
      </c>
      <c r="Z95" s="3">
        <v>1629.2</v>
      </c>
      <c r="AA95" s="3">
        <v>1872.2692549999997</v>
      </c>
      <c r="AB95" s="3">
        <v>1906.64546</v>
      </c>
      <c r="AC95" s="3">
        <v>1827.7557299999996</v>
      </c>
      <c r="AD95" s="2">
        <v>1915.2999999999997</v>
      </c>
      <c r="AE95" s="3">
        <v>0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v>1686.14968</v>
      </c>
      <c r="G96" s="3">
        <v>1540.3990960000001</v>
      </c>
      <c r="H96" s="3">
        <v>1441.0002939999999</v>
      </c>
      <c r="I96" s="3">
        <v>1400.5410940000002</v>
      </c>
      <c r="J96" s="3">
        <v>1383.2371919999998</v>
      </c>
      <c r="K96" s="3">
        <v>1383.4904749999998</v>
      </c>
      <c r="L96" s="3">
        <v>1365.82035</v>
      </c>
      <c r="M96" s="3">
        <v>1480.6</v>
      </c>
      <c r="N96" s="3">
        <v>1694.6569500000001</v>
      </c>
      <c r="O96" s="3">
        <v>1858.2000000000003</v>
      </c>
      <c r="P96" s="3">
        <v>1967.7183680000001</v>
      </c>
      <c r="Q96" s="3">
        <v>2046.1157860000003</v>
      </c>
      <c r="R96" s="3">
        <v>2172.6000000000004</v>
      </c>
      <c r="S96" s="3">
        <v>2042.1452180000003</v>
      </c>
      <c r="T96" s="3">
        <v>1988.839702</v>
      </c>
      <c r="U96" s="3">
        <v>1986.153566</v>
      </c>
      <c r="V96" s="3">
        <v>1980.5205690000003</v>
      </c>
      <c r="W96" s="3">
        <v>1955.5272850000001</v>
      </c>
      <c r="X96" s="3">
        <v>1910.2340359999998</v>
      </c>
      <c r="Y96" s="3">
        <v>1847.36276</v>
      </c>
      <c r="Z96" s="3">
        <v>1840.3058699999999</v>
      </c>
      <c r="AA96" s="3">
        <v>2072.2790439999999</v>
      </c>
      <c r="AB96" s="3">
        <v>2087.978548</v>
      </c>
      <c r="AC96" s="3">
        <v>2013.5402470000001</v>
      </c>
      <c r="AD96" s="2">
        <v>2088.1</v>
      </c>
      <c r="AE96" s="3">
        <v>0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v>1789.583936</v>
      </c>
      <c r="G97" s="3">
        <v>1624.966473</v>
      </c>
      <c r="H97" s="3">
        <v>1540.7997820000001</v>
      </c>
      <c r="I97" s="3">
        <v>1498.7073280000002</v>
      </c>
      <c r="J97" s="3">
        <v>1472.76378</v>
      </c>
      <c r="K97" s="3">
        <v>1476.4535799999999</v>
      </c>
      <c r="L97" s="3">
        <v>1434.6583969999999</v>
      </c>
      <c r="M97" s="3">
        <v>1548.9103619999999</v>
      </c>
      <c r="N97" s="3">
        <v>1759.3119309999997</v>
      </c>
      <c r="O97" s="3">
        <v>1909.2883800000002</v>
      </c>
      <c r="P97" s="3">
        <v>2014.92426</v>
      </c>
      <c r="Q97" s="3">
        <v>2085</v>
      </c>
      <c r="R97" s="3">
        <v>2103.141744</v>
      </c>
      <c r="S97" s="3">
        <v>2005.445336</v>
      </c>
      <c r="T97" s="3">
        <v>2017.1</v>
      </c>
      <c r="U97" s="3">
        <v>2005.6615380000001</v>
      </c>
      <c r="V97" s="3">
        <v>1984.2136839999998</v>
      </c>
      <c r="W97" s="3">
        <v>1951.6346799999997</v>
      </c>
      <c r="X97" s="3">
        <v>1901.5515800000001</v>
      </c>
      <c r="Y97" s="3">
        <v>1809.140484</v>
      </c>
      <c r="Z97" s="3">
        <v>1838.251405</v>
      </c>
      <c r="AA97" s="3">
        <v>2035.6470539999998</v>
      </c>
      <c r="AB97" s="3">
        <v>2024.6523550000006</v>
      </c>
      <c r="AC97" s="3">
        <v>1928.0029420000001</v>
      </c>
      <c r="AD97" s="2">
        <v>2061.9</v>
      </c>
      <c r="AE97" s="3">
        <v>0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v>1744.376348</v>
      </c>
      <c r="G98" s="3">
        <v>1600.3041109999999</v>
      </c>
      <c r="H98" s="3">
        <v>1512.1512599999999</v>
      </c>
      <c r="I98" s="3">
        <v>1482.0294920000001</v>
      </c>
      <c r="J98" s="3">
        <v>1457.0646839999999</v>
      </c>
      <c r="K98" s="3">
        <v>1440.44487</v>
      </c>
      <c r="L98" s="3">
        <v>1406.0024610000003</v>
      </c>
      <c r="M98" s="3">
        <v>1530.5897720000003</v>
      </c>
      <c r="N98" s="3">
        <v>1768.1313080000004</v>
      </c>
      <c r="O98" s="3">
        <v>1890.3000000000002</v>
      </c>
      <c r="P98" s="3">
        <v>1999</v>
      </c>
      <c r="Q98" s="3">
        <v>2080.0500580000003</v>
      </c>
      <c r="R98" s="3">
        <v>2088.1344200000003</v>
      </c>
      <c r="S98" s="3">
        <v>2014.1249360000002</v>
      </c>
      <c r="T98" s="3">
        <v>1983.4260179999997</v>
      </c>
      <c r="U98" s="3">
        <v>1989.6362500000002</v>
      </c>
      <c r="V98" s="3">
        <v>1980.0908280000001</v>
      </c>
      <c r="W98" s="3">
        <v>1951.020086</v>
      </c>
      <c r="X98" s="3">
        <v>1892.1006259999997</v>
      </c>
      <c r="Y98" s="3">
        <v>1818.175105</v>
      </c>
      <c r="Z98" s="3">
        <v>1826.452828</v>
      </c>
      <c r="AA98" s="3">
        <v>2032.6944139999998</v>
      </c>
      <c r="AB98" s="3">
        <v>2021.953786</v>
      </c>
      <c r="AC98" s="3">
        <v>1919.7106940000003</v>
      </c>
      <c r="AD98" s="2">
        <v>2151.6</v>
      </c>
      <c r="AE98" s="3">
        <v>0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v>1735.1945040000003</v>
      </c>
      <c r="G99" s="3">
        <v>1592.8444380000001</v>
      </c>
      <c r="H99" s="3">
        <v>1507.6612560000001</v>
      </c>
      <c r="I99" s="3">
        <v>1479.54593</v>
      </c>
      <c r="J99" s="3">
        <v>1465.722248</v>
      </c>
      <c r="K99" s="3">
        <v>1447.32855</v>
      </c>
      <c r="L99" s="3">
        <v>1416.7063250000003</v>
      </c>
      <c r="M99" s="3">
        <v>1536.4943620000001</v>
      </c>
      <c r="N99" s="3">
        <v>1747.6052500000001</v>
      </c>
      <c r="O99" s="3">
        <v>1875.528501</v>
      </c>
      <c r="P99" s="3">
        <v>1958.9128090000002</v>
      </c>
      <c r="Q99" s="3">
        <v>2043.5247910000003</v>
      </c>
      <c r="R99" s="3">
        <v>2071.6558579999996</v>
      </c>
      <c r="S99" s="3">
        <v>2019.9607940000001</v>
      </c>
      <c r="T99" s="3">
        <v>1971.379643</v>
      </c>
      <c r="U99" s="3">
        <v>1970.1</v>
      </c>
      <c r="V99" s="3">
        <v>1956.6585129999999</v>
      </c>
      <c r="W99" s="3">
        <v>1928.8991520000004</v>
      </c>
      <c r="X99" s="3">
        <v>1881.6726509999999</v>
      </c>
      <c r="Y99" s="3">
        <v>1827.7051460000005</v>
      </c>
      <c r="Z99" s="3">
        <v>1830.851349</v>
      </c>
      <c r="AA99" s="3">
        <v>2040.9295339999999</v>
      </c>
      <c r="AB99" s="3">
        <v>2041.0702640000002</v>
      </c>
      <c r="AC99" s="3">
        <v>1957.672648</v>
      </c>
      <c r="AD99" s="2">
        <v>2063.1999999999994</v>
      </c>
      <c r="AE99" s="3">
        <v>0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v>1783.1755230000001</v>
      </c>
      <c r="G100" s="3">
        <v>1631.5566809999996</v>
      </c>
      <c r="H100" s="3">
        <v>1524.8203909999997</v>
      </c>
      <c r="I100" s="3">
        <v>1491.3</v>
      </c>
      <c r="J100" s="3">
        <v>1464.7826499999999</v>
      </c>
      <c r="K100" s="3">
        <v>1459.4587680000002</v>
      </c>
      <c r="L100" s="3">
        <v>1433.9599270000001</v>
      </c>
      <c r="M100" s="3">
        <v>1557.7153740000001</v>
      </c>
      <c r="N100" s="3">
        <v>1757.9194759999998</v>
      </c>
      <c r="O100" s="3">
        <v>1941.189376</v>
      </c>
      <c r="P100" s="3">
        <v>2017.2</v>
      </c>
      <c r="Q100" s="3">
        <v>2102.5538509999997</v>
      </c>
      <c r="R100" s="3">
        <v>2103.5129349999997</v>
      </c>
      <c r="S100" s="3">
        <v>2035.5001259999999</v>
      </c>
      <c r="T100" s="3">
        <v>1983.7761240000004</v>
      </c>
      <c r="U100" s="3">
        <v>1994.4639779999998</v>
      </c>
      <c r="V100" s="3">
        <v>1982.5662220000004</v>
      </c>
      <c r="W100" s="3">
        <v>1964.5797799999998</v>
      </c>
      <c r="X100" s="3">
        <v>1897.791446</v>
      </c>
      <c r="Y100" s="3">
        <v>1832.4998880000001</v>
      </c>
      <c r="Z100" s="3">
        <v>1849.4013820000002</v>
      </c>
      <c r="AA100" s="3">
        <v>2042.8985959999998</v>
      </c>
      <c r="AB100" s="3">
        <v>2043.8465710000005</v>
      </c>
      <c r="AC100" s="3">
        <v>1953.3999999999999</v>
      </c>
      <c r="AD100" s="2">
        <v>2035.8000000000002</v>
      </c>
      <c r="AE100" s="3">
        <v>0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v>1768.3161639999998</v>
      </c>
      <c r="G101" s="3">
        <v>1606.066476</v>
      </c>
      <c r="H101" s="3">
        <v>1506.1000000000001</v>
      </c>
      <c r="I101" s="3">
        <v>1478.3673970000004</v>
      </c>
      <c r="J101" s="3">
        <v>1461.3586759999998</v>
      </c>
      <c r="K101" s="3">
        <v>1456.485504</v>
      </c>
      <c r="L101" s="3">
        <v>1413.9286500000001</v>
      </c>
      <c r="M101" s="3">
        <v>1490.721622</v>
      </c>
      <c r="N101" s="3">
        <v>1677.341885</v>
      </c>
      <c r="O101" s="3">
        <v>1829.2856280000001</v>
      </c>
      <c r="P101" s="3">
        <v>1940.1112520000001</v>
      </c>
      <c r="Q101" s="3">
        <v>1996.7964140000001</v>
      </c>
      <c r="R101" s="3">
        <v>2009.7495640000004</v>
      </c>
      <c r="S101" s="3">
        <v>1945.3566099999998</v>
      </c>
      <c r="T101" s="3">
        <v>1878.8999999999999</v>
      </c>
      <c r="U101" s="3">
        <v>1857.1999999999998</v>
      </c>
      <c r="V101" s="3">
        <v>1853.9</v>
      </c>
      <c r="W101" s="3">
        <v>1842.5741840000001</v>
      </c>
      <c r="X101" s="3">
        <v>1795.4989760000001</v>
      </c>
      <c r="Y101" s="3">
        <v>1749.4641079999999</v>
      </c>
      <c r="Z101" s="3">
        <v>1785.4493620000001</v>
      </c>
      <c r="AA101" s="3">
        <v>1955.4857039999999</v>
      </c>
      <c r="AB101" s="3">
        <v>1909.3285870000002</v>
      </c>
      <c r="AC101" s="3">
        <v>1833.2915240000002</v>
      </c>
      <c r="AD101" s="2">
        <v>1918.9</v>
      </c>
      <c r="AE101" s="3">
        <v>0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v>1677.9400179999998</v>
      </c>
      <c r="G102" s="3">
        <v>1527.915968</v>
      </c>
      <c r="H102" s="3">
        <v>1427.7681890000001</v>
      </c>
      <c r="I102" s="3">
        <v>1389.6531299999999</v>
      </c>
      <c r="J102" s="3">
        <v>1358.385158</v>
      </c>
      <c r="K102" s="3">
        <v>1341.9020639999999</v>
      </c>
      <c r="L102" s="3">
        <v>1293.523545</v>
      </c>
      <c r="M102" s="3">
        <v>1315.2142539999998</v>
      </c>
      <c r="N102" s="3">
        <v>1390.7500700000001</v>
      </c>
      <c r="O102" s="3">
        <v>1484.7786839999999</v>
      </c>
      <c r="P102" s="3">
        <v>1587.1999999999998</v>
      </c>
      <c r="Q102" s="3">
        <v>1667.2291039999998</v>
      </c>
      <c r="R102" s="3">
        <v>1696.5791380000001</v>
      </c>
      <c r="S102" s="3">
        <v>1689.6756190000001</v>
      </c>
      <c r="T102" s="3">
        <v>1634.150952</v>
      </c>
      <c r="U102" s="3">
        <v>1590.9729329999998</v>
      </c>
      <c r="V102" s="3">
        <v>1580.6209979999996</v>
      </c>
      <c r="W102" s="3">
        <v>1576.3950099999997</v>
      </c>
      <c r="X102" s="3">
        <v>1563.9266299999997</v>
      </c>
      <c r="Y102" s="3">
        <v>1538.7997080000002</v>
      </c>
      <c r="Z102" s="3">
        <v>1594.6416839999999</v>
      </c>
      <c r="AA102" s="3">
        <v>1808.7998399999997</v>
      </c>
      <c r="AB102" s="3">
        <v>1835.0496659999999</v>
      </c>
      <c r="AC102" s="3">
        <v>1758.7626769999999</v>
      </c>
      <c r="AD102" s="2">
        <v>1845.3000000000002</v>
      </c>
      <c r="AE102" s="3">
        <v>0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v>1599.8999999999999</v>
      </c>
      <c r="G103" s="3">
        <v>1456.64265</v>
      </c>
      <c r="H103" s="3">
        <v>1388.8221090000002</v>
      </c>
      <c r="I103" s="3">
        <v>1346.2</v>
      </c>
      <c r="J103" s="3">
        <v>1343.8002540000002</v>
      </c>
      <c r="K103" s="3">
        <v>1337.1128749999998</v>
      </c>
      <c r="L103" s="3">
        <v>1308.8999999999999</v>
      </c>
      <c r="M103" s="3">
        <v>1439.1960340000001</v>
      </c>
      <c r="N103" s="3">
        <v>1643.6043180000001</v>
      </c>
      <c r="O103" s="3">
        <v>1780.3</v>
      </c>
      <c r="P103" s="3">
        <v>1910.7648340000001</v>
      </c>
      <c r="Q103" s="3">
        <v>1998.2000000000003</v>
      </c>
      <c r="R103" s="3">
        <v>2016.95552</v>
      </c>
      <c r="S103" s="3">
        <v>1942.5044959999998</v>
      </c>
      <c r="T103" s="3">
        <v>1883.7470059999996</v>
      </c>
      <c r="U103" s="3">
        <v>1887.4422119999999</v>
      </c>
      <c r="V103" s="3">
        <v>1885.0227379999994</v>
      </c>
      <c r="W103" s="3">
        <v>1868.5209399999999</v>
      </c>
      <c r="X103" s="3">
        <v>1837.0381350000002</v>
      </c>
      <c r="Y103" s="3">
        <v>1773.4585940000002</v>
      </c>
      <c r="Z103" s="3">
        <v>1795.96048</v>
      </c>
      <c r="AA103" s="3">
        <v>2000.2512519999998</v>
      </c>
      <c r="AB103" s="3">
        <v>1967.4005100000002</v>
      </c>
      <c r="AC103" s="3">
        <v>1869.023592</v>
      </c>
      <c r="AD103" s="2">
        <v>2024.7999999999997</v>
      </c>
      <c r="AE103" s="3">
        <v>0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v>1680.4</v>
      </c>
      <c r="G104" s="3">
        <v>1527.5267059999999</v>
      </c>
      <c r="H104" s="3">
        <v>1440.3999759999999</v>
      </c>
      <c r="I104" s="3">
        <v>1406.4361599999997</v>
      </c>
      <c r="J104" s="3">
        <v>1388.4544940000001</v>
      </c>
      <c r="K104" s="3">
        <v>1383.015848</v>
      </c>
      <c r="L104" s="3">
        <v>1379.2027149999999</v>
      </c>
      <c r="M104" s="3">
        <v>1501.9393700000001</v>
      </c>
      <c r="N104" s="3">
        <v>1695.1348129999999</v>
      </c>
      <c r="O104" s="3">
        <v>1839.304646</v>
      </c>
      <c r="P104" s="3">
        <v>1934.2</v>
      </c>
      <c r="Q104" s="3">
        <v>1999.1604349999998</v>
      </c>
      <c r="R104" s="3">
        <v>1974.8213769999995</v>
      </c>
      <c r="S104" s="3">
        <v>1913.3180380000001</v>
      </c>
      <c r="T104" s="3">
        <v>1864.66914</v>
      </c>
      <c r="U104" s="3">
        <v>1877.8330699999999</v>
      </c>
      <c r="V104" s="3">
        <v>1886.9229419999997</v>
      </c>
      <c r="W104" s="3">
        <v>1876.107884</v>
      </c>
      <c r="X104" s="3">
        <v>1807.0861770000001</v>
      </c>
      <c r="Y104" s="3">
        <v>1746.9587049999998</v>
      </c>
      <c r="Z104" s="3">
        <v>1753.3999999999999</v>
      </c>
      <c r="AA104" s="3">
        <v>1984.3523150000003</v>
      </c>
      <c r="AB104" s="3">
        <v>1994.6352140000001</v>
      </c>
      <c r="AC104" s="3">
        <v>1900.9309920000003</v>
      </c>
      <c r="AD104" s="2">
        <v>2024.9000000000003</v>
      </c>
      <c r="AE104" s="3">
        <v>0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v>1712.351525</v>
      </c>
      <c r="G105" s="3">
        <v>1539.1955679999999</v>
      </c>
      <c r="H105" s="3">
        <v>1442.2464629999999</v>
      </c>
      <c r="I105" s="3">
        <v>1402.0779040000002</v>
      </c>
      <c r="J105" s="3">
        <v>1372.820565</v>
      </c>
      <c r="K105" s="3">
        <v>1368.8307649999999</v>
      </c>
      <c r="L105" s="3">
        <v>1352.795537</v>
      </c>
      <c r="M105" s="3">
        <v>1452.7096000000004</v>
      </c>
      <c r="N105" s="3">
        <v>1647.2</v>
      </c>
      <c r="O105" s="3">
        <v>1769.6969950000005</v>
      </c>
      <c r="P105" s="3">
        <v>1882.8999999999999</v>
      </c>
      <c r="Q105" s="3">
        <v>1963.4635699999999</v>
      </c>
      <c r="R105" s="3">
        <v>1976.9</v>
      </c>
      <c r="S105" s="3">
        <v>1912.8181399999996</v>
      </c>
      <c r="T105" s="3">
        <v>1877.1812190000001</v>
      </c>
      <c r="U105" s="3">
        <v>1894.258298</v>
      </c>
      <c r="V105" s="3">
        <v>1879.826155</v>
      </c>
      <c r="W105" s="3">
        <v>1867.5059329999999</v>
      </c>
      <c r="X105" s="3">
        <v>1835.1216010000001</v>
      </c>
      <c r="Y105" s="3">
        <v>1768.5649179999998</v>
      </c>
      <c r="Z105" s="3">
        <v>1769.5</v>
      </c>
      <c r="AA105" s="3">
        <v>2003.524504</v>
      </c>
      <c r="AB105" s="3">
        <v>1971.3584699999999</v>
      </c>
      <c r="AC105" s="3">
        <v>1878.0000000000002</v>
      </c>
      <c r="AD105" s="2">
        <v>2010.2</v>
      </c>
      <c r="AE105" s="3">
        <v>0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v>1652.5567490000001</v>
      </c>
      <c r="G106" s="3">
        <v>1512.9</v>
      </c>
      <c r="H106" s="3">
        <v>1445.7000000000003</v>
      </c>
      <c r="I106" s="3">
        <v>1408.9</v>
      </c>
      <c r="J106" s="3">
        <v>1414.189762</v>
      </c>
      <c r="K106" s="3">
        <v>1398.143644</v>
      </c>
      <c r="L106" s="3">
        <v>1373.6344119999999</v>
      </c>
      <c r="M106" s="3">
        <v>1471.3999999999999</v>
      </c>
      <c r="N106" s="3">
        <v>1683.0457300000003</v>
      </c>
      <c r="O106" s="3">
        <v>1825.0078440000002</v>
      </c>
      <c r="P106" s="3">
        <v>1939.1949939999997</v>
      </c>
      <c r="Q106" s="3">
        <v>1993.5671989999998</v>
      </c>
      <c r="R106" s="3">
        <v>2008.3</v>
      </c>
      <c r="S106" s="3">
        <v>1963.6291800000001</v>
      </c>
      <c r="T106" s="3">
        <v>1905.9246679999999</v>
      </c>
      <c r="U106" s="3">
        <v>1899.0157509999999</v>
      </c>
      <c r="V106" s="3">
        <v>1885.722585</v>
      </c>
      <c r="W106" s="3">
        <v>1889.631633</v>
      </c>
      <c r="X106" s="3">
        <v>1856.3098299999999</v>
      </c>
      <c r="Y106" s="3">
        <v>1790.7553799999996</v>
      </c>
      <c r="Z106" s="3">
        <v>1794.569199</v>
      </c>
      <c r="AA106" s="3">
        <v>2018.7147359999999</v>
      </c>
      <c r="AB106" s="3">
        <v>2017.4563359999997</v>
      </c>
      <c r="AC106" s="3">
        <v>1922.0087559999999</v>
      </c>
      <c r="AD106" s="2">
        <v>2044.3</v>
      </c>
      <c r="AE106" s="3">
        <v>0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v>1728.90741</v>
      </c>
      <c r="G107" s="3">
        <v>1565.123738</v>
      </c>
      <c r="H107" s="3">
        <v>1486.9532719999997</v>
      </c>
      <c r="I107" s="3">
        <v>1442.4492409999998</v>
      </c>
      <c r="J107" s="3">
        <v>1418.4839480000001</v>
      </c>
      <c r="K107" s="3">
        <v>1418.9841010000002</v>
      </c>
      <c r="L107" s="3">
        <v>1395.120056</v>
      </c>
      <c r="M107" s="3">
        <v>1512.6707999999999</v>
      </c>
      <c r="N107" s="3">
        <v>1703.9</v>
      </c>
      <c r="O107" s="3">
        <v>1855.8101360000001</v>
      </c>
      <c r="P107" s="3">
        <v>1945.7716710000002</v>
      </c>
      <c r="Q107" s="3">
        <v>2029.4</v>
      </c>
      <c r="R107" s="3">
        <v>2045.5137460000001</v>
      </c>
      <c r="S107" s="3">
        <v>1983.9246140000002</v>
      </c>
      <c r="T107" s="3">
        <v>1928.7005530000001</v>
      </c>
      <c r="U107" s="3">
        <v>1942.78601</v>
      </c>
      <c r="V107" s="3">
        <v>1910.726445</v>
      </c>
      <c r="W107" s="3">
        <v>1875.7056399999999</v>
      </c>
      <c r="X107" s="3">
        <v>1840.4385760000002</v>
      </c>
      <c r="Y107" s="3">
        <v>1756.9632889999998</v>
      </c>
      <c r="Z107" s="3">
        <v>1764.8841929999999</v>
      </c>
      <c r="AA107" s="3">
        <v>2014.1270000000002</v>
      </c>
      <c r="AB107" s="3">
        <v>2030.1931119999999</v>
      </c>
      <c r="AC107" s="3">
        <v>1953.2634089999997</v>
      </c>
      <c r="AD107" s="2">
        <v>2025.1</v>
      </c>
      <c r="AE107" s="3">
        <v>0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v>1784.774758</v>
      </c>
      <c r="G108" s="3">
        <v>1610.8355330000002</v>
      </c>
      <c r="H108" s="3">
        <v>1499.6597119999999</v>
      </c>
      <c r="I108" s="3">
        <v>1446</v>
      </c>
      <c r="J108" s="3">
        <v>1419.2</v>
      </c>
      <c r="K108" s="3">
        <v>1398.0547750000001</v>
      </c>
      <c r="L108" s="3">
        <v>1350.7605479999997</v>
      </c>
      <c r="M108" s="3">
        <v>1398.7000000000003</v>
      </c>
      <c r="N108" s="3">
        <v>1538.3</v>
      </c>
      <c r="O108" s="3">
        <v>1668.2656739999998</v>
      </c>
      <c r="P108" s="3">
        <v>1781.3999999999999</v>
      </c>
      <c r="Q108" s="3">
        <v>1843.4091339999998</v>
      </c>
      <c r="R108" s="3">
        <v>1861.9352330000002</v>
      </c>
      <c r="S108" s="3">
        <v>1823.8548170000001</v>
      </c>
      <c r="T108" s="3">
        <v>1757.5749139999998</v>
      </c>
      <c r="U108" s="3">
        <v>1748.5</v>
      </c>
      <c r="V108" s="3">
        <v>1730.497498</v>
      </c>
      <c r="W108" s="3">
        <v>1730.9951219999998</v>
      </c>
      <c r="X108" s="3">
        <v>1690.3022699999999</v>
      </c>
      <c r="Y108" s="3">
        <v>1641.4472289999999</v>
      </c>
      <c r="Z108" s="3">
        <v>1658.160727</v>
      </c>
      <c r="AA108" s="3">
        <v>1903.4374609999998</v>
      </c>
      <c r="AB108" s="3">
        <v>1923.504021</v>
      </c>
      <c r="AC108" s="3">
        <v>1837.3508440000001</v>
      </c>
      <c r="AD108" s="2">
        <v>1925.4000000000003</v>
      </c>
      <c r="AE108" s="3">
        <v>0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v>1690.4509319999997</v>
      </c>
      <c r="G109" s="3">
        <v>1545.602026</v>
      </c>
      <c r="H109" s="3">
        <v>1456.9676129999998</v>
      </c>
      <c r="I109" s="3">
        <v>1403</v>
      </c>
      <c r="J109" s="3">
        <v>1384.1590460000002</v>
      </c>
      <c r="K109" s="3">
        <v>1365.4087830000001</v>
      </c>
      <c r="L109" s="3">
        <v>1310.2494939999999</v>
      </c>
      <c r="M109" s="3">
        <v>1330.192937</v>
      </c>
      <c r="N109" s="3">
        <v>1405.0678950000001</v>
      </c>
      <c r="O109" s="3">
        <v>1506.5470200000002</v>
      </c>
      <c r="P109" s="3">
        <v>1614.1380830000003</v>
      </c>
      <c r="Q109" s="3">
        <v>1683.2732729999998</v>
      </c>
      <c r="R109" s="3">
        <v>1721.7830620000002</v>
      </c>
      <c r="S109" s="3">
        <v>1718.3555160000001</v>
      </c>
      <c r="T109" s="3">
        <v>1687.6231849999999</v>
      </c>
      <c r="U109" s="3">
        <v>1667.7285939999999</v>
      </c>
      <c r="V109" s="3">
        <v>1662.5626139999999</v>
      </c>
      <c r="W109" s="3">
        <v>1664.835601</v>
      </c>
      <c r="X109" s="3">
        <v>1643.8821840000003</v>
      </c>
      <c r="Y109" s="3">
        <v>1600.5302799999999</v>
      </c>
      <c r="Z109" s="3">
        <v>1637.4501870000001</v>
      </c>
      <c r="AA109" s="3">
        <v>1872.3601640000002</v>
      </c>
      <c r="AB109" s="3">
        <v>1919.9117140000001</v>
      </c>
      <c r="AC109" s="3">
        <v>1855.638905</v>
      </c>
      <c r="AD109" s="2">
        <v>1923.6000000000001</v>
      </c>
      <c r="AE109" s="3">
        <v>0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v>1687.4245340000002</v>
      </c>
      <c r="G110" s="3">
        <v>1535.8</v>
      </c>
      <c r="H110" s="3">
        <v>1459.540763</v>
      </c>
      <c r="I110" s="3">
        <v>1434.3536660000002</v>
      </c>
      <c r="J110" s="3">
        <v>1429.4118199999998</v>
      </c>
      <c r="K110" s="3">
        <v>1409.2262150000001</v>
      </c>
      <c r="L110" s="3">
        <v>1388.754966</v>
      </c>
      <c r="M110" s="3">
        <v>1523.5702760000001</v>
      </c>
      <c r="N110" s="3">
        <v>1768.9</v>
      </c>
      <c r="O110" s="3">
        <v>1899.9652340000002</v>
      </c>
      <c r="P110" s="3">
        <v>2088.4133059999999</v>
      </c>
      <c r="Q110" s="3">
        <v>2144.0891939999997</v>
      </c>
      <c r="R110" s="3">
        <v>2176.7588279999995</v>
      </c>
      <c r="S110" s="3">
        <v>2135.0014979999996</v>
      </c>
      <c r="T110" s="3">
        <v>2093.3178820000003</v>
      </c>
      <c r="U110" s="3">
        <v>2101.4</v>
      </c>
      <c r="V110" s="3">
        <v>2074.8527979999999</v>
      </c>
      <c r="W110" s="3">
        <v>2035.0382549999999</v>
      </c>
      <c r="X110" s="3">
        <v>1990.7337</v>
      </c>
      <c r="Y110" s="3">
        <v>1902.2386849999998</v>
      </c>
      <c r="Z110" s="3">
        <v>1918.5860419999999</v>
      </c>
      <c r="AA110" s="3">
        <v>2125.1974949999999</v>
      </c>
      <c r="AB110" s="3">
        <v>2106.7284009999998</v>
      </c>
      <c r="AC110" s="3">
        <v>2032.3958419999999</v>
      </c>
      <c r="AD110" s="2">
        <v>2143.4</v>
      </c>
      <c r="AE110" s="3">
        <v>0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v>1836.7950479999997</v>
      </c>
      <c r="G111" s="3">
        <v>1671.0641639999997</v>
      </c>
      <c r="H111" s="3">
        <v>1581.0336400000001</v>
      </c>
      <c r="I111" s="3">
        <v>1540.58509</v>
      </c>
      <c r="J111" s="3">
        <v>1517.8472449999999</v>
      </c>
      <c r="K111" s="3">
        <v>1503.2387440000002</v>
      </c>
      <c r="L111" s="3">
        <v>1471.1999999999998</v>
      </c>
      <c r="M111" s="3">
        <v>1590.0258430000004</v>
      </c>
      <c r="N111" s="3">
        <v>1802.5675180000001</v>
      </c>
      <c r="O111" s="3">
        <v>1889.9790979999998</v>
      </c>
      <c r="P111" s="3">
        <v>1986.9282619999999</v>
      </c>
      <c r="Q111" s="3">
        <v>2087.2792620000005</v>
      </c>
      <c r="R111" s="3">
        <v>2156.6</v>
      </c>
      <c r="S111" s="3">
        <v>2118.504316</v>
      </c>
      <c r="T111" s="3">
        <v>2088.3583199999998</v>
      </c>
      <c r="U111" s="3">
        <v>2105.0000000000005</v>
      </c>
      <c r="V111" s="3">
        <v>2088.9</v>
      </c>
      <c r="W111" s="3">
        <v>2064.1743059999994</v>
      </c>
      <c r="X111" s="3">
        <v>1992.3717430000004</v>
      </c>
      <c r="Y111" s="3">
        <v>1915.3138559999998</v>
      </c>
      <c r="Z111" s="3">
        <v>1927.1999999999998</v>
      </c>
      <c r="AA111" s="3">
        <v>2144.4803780000002</v>
      </c>
      <c r="AB111" s="3">
        <v>2127.6927839999998</v>
      </c>
      <c r="AC111" s="3">
        <v>2036.6909459999997</v>
      </c>
      <c r="AD111" s="2">
        <v>2166.3000000000002</v>
      </c>
      <c r="AE111" s="3">
        <v>0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v>1841.4903559999998</v>
      </c>
      <c r="G112" s="3">
        <v>1668.8979289999997</v>
      </c>
      <c r="H112" s="3">
        <v>1564.6291799999999</v>
      </c>
      <c r="I112" s="3">
        <v>1524.2911630000003</v>
      </c>
      <c r="J112" s="3">
        <v>1510.914804</v>
      </c>
      <c r="K112" s="3">
        <v>1494.5667500000002</v>
      </c>
      <c r="L112" s="3">
        <v>1468.8</v>
      </c>
      <c r="M112" s="3">
        <v>1560.9884879999997</v>
      </c>
      <c r="N112" s="3">
        <v>1765.7571080000005</v>
      </c>
      <c r="O112" s="3">
        <v>1885.2438440000003</v>
      </c>
      <c r="P112" s="3">
        <v>2014.4567440000001</v>
      </c>
      <c r="Q112" s="3">
        <v>2115.3696799999998</v>
      </c>
      <c r="R112" s="3">
        <v>2145.7159499999998</v>
      </c>
      <c r="S112" s="3">
        <v>2101.7856880000004</v>
      </c>
      <c r="T112" s="3">
        <v>2070.2290000000003</v>
      </c>
      <c r="U112" s="3">
        <v>2073.7000000000003</v>
      </c>
      <c r="V112" s="3">
        <v>2073.8715609999999</v>
      </c>
      <c r="W112" s="3">
        <v>2034.5999999999995</v>
      </c>
      <c r="X112" s="3">
        <v>1972.0559199999998</v>
      </c>
      <c r="Y112" s="3">
        <v>1912.5549480000004</v>
      </c>
      <c r="Z112" s="3">
        <v>1940.8110399999996</v>
      </c>
      <c r="AA112" s="3">
        <v>2134.6764640000006</v>
      </c>
      <c r="AB112" s="3">
        <v>2133.0880089999996</v>
      </c>
      <c r="AC112" s="3">
        <v>2036.4462379999998</v>
      </c>
      <c r="AD112" s="2">
        <v>2159.6</v>
      </c>
      <c r="AE112" s="3">
        <v>0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v>1825.35879</v>
      </c>
      <c r="G113" s="3">
        <v>1671.6522500000001</v>
      </c>
      <c r="H113" s="3">
        <v>1578.2149880000002</v>
      </c>
      <c r="I113" s="3">
        <v>1539.1924199999996</v>
      </c>
      <c r="J113" s="3">
        <v>1509.3153649999999</v>
      </c>
      <c r="K113" s="3">
        <v>1506.2999999999997</v>
      </c>
      <c r="L113" s="3">
        <v>1488.0762360000001</v>
      </c>
      <c r="M113" s="3">
        <v>1584.065748</v>
      </c>
      <c r="N113" s="3">
        <v>1791.9000000000003</v>
      </c>
      <c r="O113" s="3">
        <v>1936.9000000000003</v>
      </c>
      <c r="P113" s="3">
        <v>2041.1000000000001</v>
      </c>
      <c r="Q113" s="3">
        <v>2137.6089120000001</v>
      </c>
      <c r="R113" s="3">
        <v>2164.7357379999994</v>
      </c>
      <c r="S113" s="3">
        <v>2126.298413</v>
      </c>
      <c r="T113" s="3">
        <v>2084.6429039999998</v>
      </c>
      <c r="U113" s="3">
        <v>2077.4970279999998</v>
      </c>
      <c r="V113" s="3">
        <v>2068.4302240000002</v>
      </c>
      <c r="W113" s="3">
        <v>2031.2448340000003</v>
      </c>
      <c r="X113" s="3">
        <v>1998.2140649999999</v>
      </c>
      <c r="Y113" s="3">
        <v>1897.4999999999995</v>
      </c>
      <c r="Z113" s="3">
        <v>1900</v>
      </c>
      <c r="AA113" s="3">
        <v>2125.7981070000001</v>
      </c>
      <c r="AB113" s="3">
        <v>2124.4019319999998</v>
      </c>
      <c r="AC113" s="3">
        <v>2026.3023700000001</v>
      </c>
      <c r="AD113" s="2">
        <v>2140.6000000000004</v>
      </c>
      <c r="AE113" s="3">
        <v>0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v>1832.650482</v>
      </c>
      <c r="G114" s="3">
        <v>1670.3277160000002</v>
      </c>
      <c r="H114" s="3">
        <v>1584.3770639999998</v>
      </c>
      <c r="I114" s="3">
        <v>1546.487343</v>
      </c>
      <c r="J114" s="3">
        <v>1509.52971</v>
      </c>
      <c r="K114" s="3">
        <v>1491.1371719999997</v>
      </c>
      <c r="L114" s="3">
        <v>1468.3000000000002</v>
      </c>
      <c r="M114" s="3">
        <v>1589.4250270000002</v>
      </c>
      <c r="N114" s="3">
        <v>1791.1557880000003</v>
      </c>
      <c r="O114" s="3">
        <v>1941.1000000000001</v>
      </c>
      <c r="P114" s="3">
        <v>2053.2824000000001</v>
      </c>
      <c r="Q114" s="3">
        <v>2119.6049600000001</v>
      </c>
      <c r="R114" s="3">
        <v>2136.6037420000002</v>
      </c>
      <c r="S114" s="3">
        <v>2104.0473350000002</v>
      </c>
      <c r="T114" s="3">
        <v>2064.7624880000003</v>
      </c>
      <c r="U114" s="3">
        <v>2097.814261</v>
      </c>
      <c r="V114" s="3">
        <v>2086.978803</v>
      </c>
      <c r="W114" s="3">
        <v>2049.838945</v>
      </c>
      <c r="X114" s="3">
        <v>2007.919506</v>
      </c>
      <c r="Y114" s="3">
        <v>1912.6293440000002</v>
      </c>
      <c r="Z114" s="3">
        <v>1922.074736</v>
      </c>
      <c r="AA114" s="3">
        <v>2154.4701780000005</v>
      </c>
      <c r="AB114" s="3">
        <v>2146.3540240000002</v>
      </c>
      <c r="AC114" s="3">
        <v>2078.9738560000005</v>
      </c>
      <c r="AD114" s="2">
        <v>2173.6000000000004</v>
      </c>
      <c r="AE114" s="3">
        <v>0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v>1857.9379869999998</v>
      </c>
      <c r="G115" s="3">
        <v>1679.129124</v>
      </c>
      <c r="H115" s="3">
        <v>1587.8496400000001</v>
      </c>
      <c r="I115" s="3">
        <v>1542.3926980000001</v>
      </c>
      <c r="J115" s="3">
        <v>1507.7316479999997</v>
      </c>
      <c r="K115" s="3">
        <v>1512.226752</v>
      </c>
      <c r="L115" s="3">
        <v>1463.9606140000001</v>
      </c>
      <c r="M115" s="3">
        <v>1549.6123509999998</v>
      </c>
      <c r="N115" s="3">
        <v>1740.1970959999999</v>
      </c>
      <c r="O115" s="3">
        <v>1943.68326</v>
      </c>
      <c r="P115" s="3">
        <v>2071.8999999999996</v>
      </c>
      <c r="Q115" s="3">
        <v>2123.0048879999999</v>
      </c>
      <c r="R115" s="3">
        <v>2054.9579680000002</v>
      </c>
      <c r="S115" s="3">
        <v>2005.6236879999999</v>
      </c>
      <c r="T115" s="3">
        <v>1975.1419380000002</v>
      </c>
      <c r="U115" s="3">
        <v>1965.5816830000001</v>
      </c>
      <c r="V115" s="3">
        <v>1954.2734640000001</v>
      </c>
      <c r="W115" s="3">
        <v>1941.5048020000002</v>
      </c>
      <c r="X115" s="3">
        <v>1887.6607170000002</v>
      </c>
      <c r="Y115" s="3">
        <v>1814.9278359999998</v>
      </c>
      <c r="Z115" s="3">
        <v>1844.3554849999998</v>
      </c>
      <c r="AA115" s="3">
        <v>2057.0033709999998</v>
      </c>
      <c r="AB115" s="3">
        <v>2041.7867639999997</v>
      </c>
      <c r="AC115" s="3">
        <v>1954.2618789999997</v>
      </c>
      <c r="AD115" s="2">
        <v>2087.6999999999998</v>
      </c>
      <c r="AE115" s="3">
        <v>0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v>1807.404184</v>
      </c>
      <c r="G116" s="3">
        <v>1671.9999999999998</v>
      </c>
      <c r="H116" s="3">
        <v>1574.0318980000002</v>
      </c>
      <c r="I116" s="3">
        <v>1524.0154299999999</v>
      </c>
      <c r="J116" s="3">
        <v>1509.7152119999998</v>
      </c>
      <c r="K116" s="3">
        <v>1496.30258</v>
      </c>
      <c r="L116" s="3">
        <v>1418.7422040000001</v>
      </c>
      <c r="M116" s="3">
        <v>1427.1567770000001</v>
      </c>
      <c r="N116" s="3">
        <v>1507.3301179999999</v>
      </c>
      <c r="O116" s="3">
        <v>1618.9167960000002</v>
      </c>
      <c r="P116" s="3">
        <v>1726.7049499999998</v>
      </c>
      <c r="Q116" s="3">
        <v>1830.1568570000002</v>
      </c>
      <c r="R116" s="3">
        <v>1855.9</v>
      </c>
      <c r="S116" s="3">
        <v>1838.8071860000002</v>
      </c>
      <c r="T116" s="3">
        <v>1812.9753719999997</v>
      </c>
      <c r="U116" s="3">
        <v>1793.440642</v>
      </c>
      <c r="V116" s="3">
        <v>1768.328</v>
      </c>
      <c r="W116" s="3">
        <v>1756.4778720000002</v>
      </c>
      <c r="X116" s="3">
        <v>1745.1811900000002</v>
      </c>
      <c r="Y116" s="3">
        <v>1678.228818</v>
      </c>
      <c r="Z116" s="3">
        <v>1711.1000000000001</v>
      </c>
      <c r="AA116" s="3">
        <v>1963.2427110000003</v>
      </c>
      <c r="AB116" s="3">
        <v>2006.5836959999999</v>
      </c>
      <c r="AC116" s="3">
        <v>1938.1880419999998</v>
      </c>
      <c r="AD116" s="2">
        <v>2007.5999999999997</v>
      </c>
      <c r="AE116" s="3">
        <v>0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v>1795.070066</v>
      </c>
      <c r="G117" s="3">
        <v>1645.1363319999998</v>
      </c>
      <c r="H117" s="3">
        <v>1552.0872779999997</v>
      </c>
      <c r="I117" s="3">
        <v>1511.3285880000001</v>
      </c>
      <c r="J117" s="3">
        <v>1497.2433779999999</v>
      </c>
      <c r="K117" s="3">
        <v>1482.313684</v>
      </c>
      <c r="L117" s="3">
        <v>1468.6999999999998</v>
      </c>
      <c r="M117" s="3">
        <v>1573.18247</v>
      </c>
      <c r="N117" s="3">
        <v>1778.9429360000001</v>
      </c>
      <c r="O117" s="3">
        <v>1928.0011139999999</v>
      </c>
      <c r="P117" s="3">
        <v>2057.3257819999999</v>
      </c>
      <c r="Q117" s="3">
        <v>2145.2083829999997</v>
      </c>
      <c r="R117" s="3">
        <v>2161.6160329999998</v>
      </c>
      <c r="S117" s="3">
        <v>2126.8007969999999</v>
      </c>
      <c r="T117" s="3">
        <v>2096.1429360000002</v>
      </c>
      <c r="U117" s="3">
        <v>2104.2366440000001</v>
      </c>
      <c r="V117" s="3">
        <v>2106.0335839999998</v>
      </c>
      <c r="W117" s="3">
        <v>2055.6059720000003</v>
      </c>
      <c r="X117" s="3">
        <v>2000.2282669999997</v>
      </c>
      <c r="Y117" s="3">
        <v>1928.09537</v>
      </c>
      <c r="Z117" s="3">
        <v>1908.7451560000002</v>
      </c>
      <c r="AA117" s="3">
        <v>2148.6894750000001</v>
      </c>
      <c r="AB117" s="3">
        <v>2159.0875840000003</v>
      </c>
      <c r="AC117" s="3">
        <v>2063.3657469999998</v>
      </c>
      <c r="AD117" s="2">
        <v>2177.5999999999995</v>
      </c>
      <c r="AE117" s="3">
        <v>0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v>1850.8229880000004</v>
      </c>
      <c r="G118" s="3">
        <v>1699.880107</v>
      </c>
      <c r="H118" s="3">
        <v>1620.8591120000003</v>
      </c>
      <c r="I118" s="3">
        <v>1561.8775880000003</v>
      </c>
      <c r="J118" s="3">
        <v>1552.0717</v>
      </c>
      <c r="K118" s="3">
        <v>1545.9893319999999</v>
      </c>
      <c r="L118" s="3">
        <v>1508.8724899999997</v>
      </c>
      <c r="M118" s="3">
        <v>1612.04152</v>
      </c>
      <c r="N118" s="3">
        <v>1814.7</v>
      </c>
      <c r="O118" s="3">
        <v>1979.3413260000002</v>
      </c>
      <c r="P118" s="3">
        <v>2059.5085440000003</v>
      </c>
      <c r="Q118" s="3">
        <v>2111.8999999999996</v>
      </c>
      <c r="R118" s="3">
        <v>2121.88375</v>
      </c>
      <c r="S118" s="3">
        <v>2072.8795219999997</v>
      </c>
      <c r="T118" s="3">
        <v>2043.3871959999999</v>
      </c>
      <c r="U118" s="3">
        <v>2046.4571790000005</v>
      </c>
      <c r="V118" s="3">
        <v>2026.2020879999995</v>
      </c>
      <c r="W118" s="3">
        <v>1993.7365399999999</v>
      </c>
      <c r="X118" s="3">
        <v>1946.5829499999998</v>
      </c>
      <c r="Y118" s="3">
        <v>1870.1000000000001</v>
      </c>
      <c r="Z118" s="3">
        <v>1899.4999999999998</v>
      </c>
      <c r="AA118" s="3">
        <v>2091.96704</v>
      </c>
      <c r="AB118" s="3">
        <v>2092.0672440000003</v>
      </c>
      <c r="AC118" s="3">
        <v>2000.7161050000002</v>
      </c>
      <c r="AD118" s="2">
        <v>2094.2999999999997</v>
      </c>
      <c r="AE118" s="3">
        <v>0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v>1803.8176899999999</v>
      </c>
      <c r="G119" s="3">
        <v>1639.8444410000002</v>
      </c>
      <c r="H119" s="3">
        <v>1559.390069</v>
      </c>
      <c r="I119" s="3">
        <v>1510.5694299999998</v>
      </c>
      <c r="J119" s="3">
        <v>1499.9781879999996</v>
      </c>
      <c r="K119" s="3">
        <v>1483.9565359999997</v>
      </c>
      <c r="L119" s="3">
        <v>1463.7872400000001</v>
      </c>
      <c r="M119" s="3">
        <v>1550.9166719999998</v>
      </c>
      <c r="N119" s="3">
        <v>1741.8053399999999</v>
      </c>
      <c r="O119" s="3">
        <v>1870.83698</v>
      </c>
      <c r="P119" s="3">
        <v>1977.2648959999999</v>
      </c>
      <c r="Q119" s="3">
        <v>2071.7733920000001</v>
      </c>
      <c r="R119" s="3">
        <v>2056.9846950000001</v>
      </c>
      <c r="S119" s="3">
        <v>2028.8506750000001</v>
      </c>
      <c r="T119" s="3">
        <v>2039.8</v>
      </c>
      <c r="U119" s="3">
        <v>2039.5174200000004</v>
      </c>
      <c r="V119" s="3">
        <v>2026.546724</v>
      </c>
      <c r="W119" s="3">
        <v>2006.183237</v>
      </c>
      <c r="X119" s="3">
        <v>1949.331408</v>
      </c>
      <c r="Y119" s="3">
        <v>1850</v>
      </c>
      <c r="Z119" s="3">
        <v>1851.4180920000001</v>
      </c>
      <c r="AA119" s="3">
        <v>2094.3452310000002</v>
      </c>
      <c r="AB119" s="3">
        <v>2090.797806</v>
      </c>
      <c r="AC119" s="3">
        <v>2003.9879799999999</v>
      </c>
      <c r="AD119" s="2">
        <v>2102.6</v>
      </c>
      <c r="AE119" s="3">
        <v>0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v>1815.6955</v>
      </c>
      <c r="G120" s="3">
        <v>1661.5802999999999</v>
      </c>
      <c r="H120" s="3">
        <v>1583.5064199999999</v>
      </c>
      <c r="I120" s="3">
        <v>1527.4210680000001</v>
      </c>
      <c r="J120" s="3">
        <v>1521.3000000000002</v>
      </c>
      <c r="K120" s="3">
        <v>1520.6345319999998</v>
      </c>
      <c r="L120" s="3">
        <v>1497.6000000000001</v>
      </c>
      <c r="M120" s="3">
        <v>1603.9951240000003</v>
      </c>
      <c r="N120" s="3">
        <v>1786.7258030000003</v>
      </c>
      <c r="O120" s="3">
        <v>1916.5922049999999</v>
      </c>
      <c r="P120" s="3">
        <v>2031.8975039999998</v>
      </c>
      <c r="Q120" s="3">
        <v>2127.2954669999999</v>
      </c>
      <c r="R120" s="3">
        <v>2147.6899339999991</v>
      </c>
      <c r="S120" s="3">
        <v>2084.464203</v>
      </c>
      <c r="T120" s="3">
        <v>2067.730071</v>
      </c>
      <c r="U120" s="3">
        <v>2076.1858360000001</v>
      </c>
      <c r="V120" s="3">
        <v>2063.8000000000002</v>
      </c>
      <c r="W120" s="3">
        <v>2035.822265</v>
      </c>
      <c r="X120" s="3">
        <v>1994.5991489999999</v>
      </c>
      <c r="Y120" s="3">
        <v>1910.2103450000004</v>
      </c>
      <c r="Z120" s="3">
        <v>1909.8757400000002</v>
      </c>
      <c r="AA120" s="3">
        <v>2154.3709940000003</v>
      </c>
      <c r="AB120" s="3">
        <v>2166.2604880000004</v>
      </c>
      <c r="AC120" s="3">
        <v>2089.1393339999995</v>
      </c>
      <c r="AD120" s="2">
        <v>2122.6</v>
      </c>
      <c r="AE120" s="3">
        <v>0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v>1888.0650010000002</v>
      </c>
      <c r="G121" s="3">
        <v>1728.9037770000002</v>
      </c>
      <c r="H121" s="3">
        <v>1633.9534679999999</v>
      </c>
      <c r="I121" s="3">
        <v>1603.0349519999997</v>
      </c>
      <c r="J121" s="3">
        <v>1582.1832800000002</v>
      </c>
      <c r="K121" s="3">
        <v>1567.3230599999997</v>
      </c>
      <c r="L121" s="3">
        <v>1536.093138</v>
      </c>
      <c r="M121" s="3">
        <v>1632.9524309999999</v>
      </c>
      <c r="N121" s="3">
        <v>1808.3084679999999</v>
      </c>
      <c r="O121" s="3">
        <v>1981.4999999999998</v>
      </c>
      <c r="P121" s="3">
        <v>2124.2952439999999</v>
      </c>
      <c r="Q121" s="3">
        <v>2188.38895</v>
      </c>
      <c r="R121" s="3">
        <v>2210.3189379999999</v>
      </c>
      <c r="S121" s="3">
        <v>2156.3352559999998</v>
      </c>
      <c r="T121" s="3">
        <v>2134.3000000000002</v>
      </c>
      <c r="U121" s="3">
        <v>2139.5751570000002</v>
      </c>
      <c r="V121" s="3">
        <v>2140.8064449999997</v>
      </c>
      <c r="W121" s="3">
        <v>2099.9372749999998</v>
      </c>
      <c r="X121" s="3">
        <v>2057.4329319999997</v>
      </c>
      <c r="Y121" s="3">
        <v>1968.3804590000002</v>
      </c>
      <c r="Z121" s="3">
        <v>1981.0140250000002</v>
      </c>
      <c r="AA121" s="3">
        <v>2181.7269470000001</v>
      </c>
      <c r="AB121" s="3">
        <v>2179.7493039999999</v>
      </c>
      <c r="AC121" s="3">
        <v>2093.4813019999997</v>
      </c>
      <c r="AD121" s="2">
        <v>2203.3000000000002</v>
      </c>
      <c r="AE121" s="3">
        <v>0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v>1906.2366959999999</v>
      </c>
      <c r="G122" s="3">
        <v>1722.7127559999997</v>
      </c>
      <c r="H122" s="3">
        <v>1647.8888479999998</v>
      </c>
      <c r="I122" s="3">
        <v>1612.7999999999997</v>
      </c>
      <c r="J122" s="3">
        <v>1600.7690060000002</v>
      </c>
      <c r="K122" s="3">
        <v>1597.83995</v>
      </c>
      <c r="L122" s="3">
        <v>1553.7</v>
      </c>
      <c r="M122" s="3">
        <v>1635.696158</v>
      </c>
      <c r="N122" s="3">
        <v>1794.4399800000001</v>
      </c>
      <c r="O122" s="3">
        <v>1977.0655079999997</v>
      </c>
      <c r="P122" s="3">
        <v>2098.2681119999997</v>
      </c>
      <c r="Q122" s="3">
        <v>2175.968754</v>
      </c>
      <c r="R122" s="3">
        <v>2209.358416</v>
      </c>
      <c r="S122" s="3">
        <v>2152.9274850000002</v>
      </c>
      <c r="T122" s="3">
        <v>2091.2999999999997</v>
      </c>
      <c r="U122" s="3">
        <v>2086.0583890000003</v>
      </c>
      <c r="V122" s="3">
        <v>2054.812551</v>
      </c>
      <c r="W122" s="3">
        <v>2009.922464</v>
      </c>
      <c r="X122" s="3">
        <v>1935.0947820000001</v>
      </c>
      <c r="Y122" s="3">
        <v>1874.4069999999999</v>
      </c>
      <c r="Z122" s="3">
        <v>1924.6887960000001</v>
      </c>
      <c r="AA122" s="3">
        <v>2111.2303200000001</v>
      </c>
      <c r="AB122" s="3">
        <v>2091.2372939999996</v>
      </c>
      <c r="AC122" s="3">
        <v>2003.76368</v>
      </c>
      <c r="AD122" s="2">
        <v>2084.5</v>
      </c>
      <c r="AE122" s="3">
        <v>0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v>1835.3</v>
      </c>
      <c r="G123" s="3">
        <v>1693.842744</v>
      </c>
      <c r="H123" s="3">
        <v>1603.5</v>
      </c>
      <c r="I123" s="3">
        <v>1557.9809540000001</v>
      </c>
      <c r="J123" s="3">
        <v>1544.6902499999999</v>
      </c>
      <c r="K123" s="3">
        <v>1527.6196399999999</v>
      </c>
      <c r="L123" s="3">
        <v>1456.925655</v>
      </c>
      <c r="M123" s="3">
        <v>1455.9670010000002</v>
      </c>
      <c r="N123" s="3">
        <v>1541.4994619999998</v>
      </c>
      <c r="O123" s="3">
        <v>1638.7498640000001</v>
      </c>
      <c r="P123" s="3">
        <v>1717.5672489999999</v>
      </c>
      <c r="Q123" s="3">
        <v>1793.056808</v>
      </c>
      <c r="R123" s="3">
        <v>1835.0984240000003</v>
      </c>
      <c r="S123" s="3">
        <v>1855.7184160000002</v>
      </c>
      <c r="T123" s="3">
        <v>1833.1999999999998</v>
      </c>
      <c r="U123" s="3">
        <v>1820.5</v>
      </c>
      <c r="V123" s="3">
        <v>1809.6000000000001</v>
      </c>
      <c r="W123" s="3">
        <v>1809</v>
      </c>
      <c r="X123" s="3">
        <v>1765.2512019999999</v>
      </c>
      <c r="Y123" s="3">
        <v>1717.6310199999998</v>
      </c>
      <c r="Z123" s="3">
        <v>1788.3999999999999</v>
      </c>
      <c r="AA123" s="3">
        <v>2007.1992750000006</v>
      </c>
      <c r="AB123" s="3">
        <v>2032.1500390000001</v>
      </c>
      <c r="AC123" s="3">
        <v>1884.1244210000002</v>
      </c>
      <c r="AD123" s="2">
        <v>2019.4</v>
      </c>
      <c r="AE123" s="3">
        <v>0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v>1800.334012</v>
      </c>
      <c r="G124" s="3">
        <v>1645.7462599999999</v>
      </c>
      <c r="H124" s="3">
        <v>1562.010084</v>
      </c>
      <c r="I124" s="3">
        <v>1576.1172750000001</v>
      </c>
      <c r="J124" s="3">
        <v>1608.393554</v>
      </c>
      <c r="K124" s="3">
        <v>1509.8302200000001</v>
      </c>
      <c r="L124" s="3">
        <v>1475.7655120000002</v>
      </c>
      <c r="M124" s="3">
        <v>1557.5082989999999</v>
      </c>
      <c r="N124" s="3">
        <v>1737.0961119999999</v>
      </c>
      <c r="O124" s="3">
        <v>1890.755952</v>
      </c>
      <c r="P124" s="3">
        <v>2036.1520790000006</v>
      </c>
      <c r="Q124" s="3">
        <v>2125.8980300000003</v>
      </c>
      <c r="R124" s="3">
        <v>2157.1250279999999</v>
      </c>
      <c r="S124" s="3">
        <v>2114.5190680000001</v>
      </c>
      <c r="T124" s="3">
        <v>2087.1204829999997</v>
      </c>
      <c r="U124" s="3">
        <v>2075.8733459999999</v>
      </c>
      <c r="V124" s="3">
        <v>2068.2044319999995</v>
      </c>
      <c r="W124" s="3">
        <v>2044.8573830000003</v>
      </c>
      <c r="X124" s="3">
        <v>1998.5924169999998</v>
      </c>
      <c r="Y124" s="3">
        <v>1956.4</v>
      </c>
      <c r="Z124" s="3">
        <v>2038.0054840000003</v>
      </c>
      <c r="AA124" s="3">
        <v>2187.8361949999999</v>
      </c>
      <c r="AB124" s="3">
        <v>2198.3339849999998</v>
      </c>
      <c r="AC124" s="3">
        <v>2105.8221979999998</v>
      </c>
      <c r="AD124" s="2">
        <v>2169.1999999999998</v>
      </c>
      <c r="AE124" s="3">
        <v>0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v>1913.4097839999999</v>
      </c>
      <c r="G125" s="3">
        <v>1742.4999999999998</v>
      </c>
      <c r="H125" s="3">
        <v>1643.9027880000001</v>
      </c>
      <c r="I125" s="3">
        <v>1647.2577009999998</v>
      </c>
      <c r="J125" s="3">
        <v>1692.8438660000004</v>
      </c>
      <c r="K125" s="3">
        <v>1586.9009119999998</v>
      </c>
      <c r="L125" s="3">
        <v>1534.7067</v>
      </c>
      <c r="M125" s="3">
        <v>1604.5948179999998</v>
      </c>
      <c r="N125" s="3">
        <v>1785.1703709999999</v>
      </c>
      <c r="O125" s="3">
        <v>1940.9088039999999</v>
      </c>
      <c r="P125" s="3">
        <v>2078.3740600000001</v>
      </c>
      <c r="Q125" s="3">
        <v>2146.8169699999999</v>
      </c>
      <c r="R125" s="3">
        <v>2171.2591150000003</v>
      </c>
      <c r="S125" s="3">
        <v>2184.3718800000006</v>
      </c>
      <c r="T125" s="3">
        <v>2100.2696419999997</v>
      </c>
      <c r="U125" s="3">
        <v>2092.2174229999996</v>
      </c>
      <c r="V125" s="3">
        <v>2073.8429180000003</v>
      </c>
      <c r="W125" s="3">
        <v>2030.8906640000002</v>
      </c>
      <c r="X125" s="3">
        <v>1996.1963949999999</v>
      </c>
      <c r="Y125" s="3">
        <v>1937.703994</v>
      </c>
      <c r="Z125" s="3">
        <v>2019.3053149999998</v>
      </c>
      <c r="AA125" s="3">
        <v>2186.2704520000002</v>
      </c>
      <c r="AB125" s="3">
        <v>2199.886876</v>
      </c>
      <c r="AC125" s="3">
        <v>2114.0190679999996</v>
      </c>
      <c r="AD125" s="2">
        <v>2189.5000000000005</v>
      </c>
      <c r="AE125" s="3">
        <v>0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v>1953.3173559999998</v>
      </c>
      <c r="G126" s="3">
        <v>1763.4</v>
      </c>
      <c r="H126" s="3">
        <v>1685.345118</v>
      </c>
      <c r="I126" s="3">
        <v>1695.7781689999999</v>
      </c>
      <c r="J126" s="3">
        <v>1730.2033689999996</v>
      </c>
      <c r="K126" s="3">
        <v>1619.6335920000001</v>
      </c>
      <c r="L126" s="3">
        <v>1571.1999999999998</v>
      </c>
      <c r="M126" s="3">
        <v>1649.555372</v>
      </c>
      <c r="N126" s="3">
        <v>1833.449314</v>
      </c>
      <c r="O126" s="3">
        <v>1996.730914</v>
      </c>
      <c r="P126" s="3">
        <v>2119.0067130000002</v>
      </c>
      <c r="Q126" s="3">
        <v>2195.2961409999998</v>
      </c>
      <c r="R126" s="3">
        <v>2201.3847339999998</v>
      </c>
      <c r="S126" s="3">
        <v>2181.9727470000003</v>
      </c>
      <c r="T126" s="3">
        <v>2164.6424149999998</v>
      </c>
      <c r="U126" s="3">
        <v>2143.1847640000001</v>
      </c>
      <c r="V126" s="3">
        <v>2121.695072</v>
      </c>
      <c r="W126" s="3">
        <v>2093.4179840000006</v>
      </c>
      <c r="X126" s="3">
        <v>2052.811021</v>
      </c>
      <c r="Y126" s="3">
        <v>1977.2764299999999</v>
      </c>
      <c r="Z126" s="3">
        <v>2017.0839619999999</v>
      </c>
      <c r="AA126" s="3">
        <v>2173.0218469999995</v>
      </c>
      <c r="AB126" s="3">
        <v>2194.6573280000002</v>
      </c>
      <c r="AC126" s="3">
        <v>2128.3988969999996</v>
      </c>
      <c r="AD126" s="2">
        <v>2142.1000000000004</v>
      </c>
      <c r="AE126" s="3">
        <v>0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v>1959.7128600000003</v>
      </c>
      <c r="G127" s="3">
        <v>1781.2220289999998</v>
      </c>
      <c r="H127" s="3">
        <v>1687.4742420000005</v>
      </c>
      <c r="I127" s="3">
        <v>1672.4317559999997</v>
      </c>
      <c r="J127" s="3">
        <v>1720.6907659999999</v>
      </c>
      <c r="K127" s="3">
        <v>1612.1488919999997</v>
      </c>
      <c r="L127" s="3">
        <v>1562.888794</v>
      </c>
      <c r="M127" s="3">
        <v>1633.9938119999999</v>
      </c>
      <c r="N127" s="3">
        <v>1824.6449790000001</v>
      </c>
      <c r="O127" s="3">
        <v>1981.746944</v>
      </c>
      <c r="P127" s="3">
        <v>2114.5645799999998</v>
      </c>
      <c r="Q127" s="3">
        <v>2193.3329649999996</v>
      </c>
      <c r="R127" s="3">
        <v>2233.6041800000003</v>
      </c>
      <c r="S127" s="3">
        <v>2179.9168639999998</v>
      </c>
      <c r="T127" s="3">
        <v>2180.4595320000003</v>
      </c>
      <c r="U127" s="3">
        <v>2162.7544319999997</v>
      </c>
      <c r="V127" s="3">
        <v>2139.0982279999994</v>
      </c>
      <c r="W127" s="3">
        <v>2100.413904</v>
      </c>
      <c r="X127" s="3">
        <v>2051.9921750000003</v>
      </c>
      <c r="Y127" s="3">
        <v>1989.2374659999998</v>
      </c>
      <c r="Z127" s="3">
        <v>2038.598242</v>
      </c>
      <c r="AA127" s="3">
        <v>2196.1965150000001</v>
      </c>
      <c r="AB127" s="3">
        <v>2215.9678550000008</v>
      </c>
      <c r="AC127" s="3">
        <v>2151.3466800000001</v>
      </c>
      <c r="AD127" s="2">
        <v>2192.3000000000002</v>
      </c>
      <c r="AE127" s="3">
        <v>0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v>1977.9764299999997</v>
      </c>
      <c r="G128" s="3">
        <v>1802.430748</v>
      </c>
      <c r="H128" s="3">
        <v>1689.9756189999998</v>
      </c>
      <c r="I128" s="3">
        <v>1690.2999999999997</v>
      </c>
      <c r="J128" s="3">
        <v>1722.5218399999999</v>
      </c>
      <c r="K128" s="3">
        <v>1638.5402249999997</v>
      </c>
      <c r="L128" s="3">
        <v>1577.9947550000002</v>
      </c>
      <c r="M128" s="3">
        <v>1651.8567489999998</v>
      </c>
      <c r="N128" s="3">
        <v>1821.8866940000003</v>
      </c>
      <c r="O128" s="3">
        <v>1979.9700979999998</v>
      </c>
      <c r="P128" s="3">
        <v>2089.7597480000004</v>
      </c>
      <c r="Q128" s="3">
        <v>2128.5962320000003</v>
      </c>
      <c r="R128" s="3">
        <v>2138.0811239999998</v>
      </c>
      <c r="S128" s="3">
        <v>2121.6062859999997</v>
      </c>
      <c r="T128" s="3">
        <v>2122.6026140000004</v>
      </c>
      <c r="U128" s="3">
        <v>2111.8184560000004</v>
      </c>
      <c r="V128" s="3">
        <v>2089.2527279999995</v>
      </c>
      <c r="W128" s="3">
        <v>2056.9654</v>
      </c>
      <c r="X128" s="3">
        <v>2012.6148140000003</v>
      </c>
      <c r="Y128" s="3">
        <v>1942.7939230000002</v>
      </c>
      <c r="Z128" s="3">
        <v>2014.9814120000003</v>
      </c>
      <c r="AA128" s="3">
        <v>2178.9907840000001</v>
      </c>
      <c r="AB128" s="3">
        <v>2177.375603</v>
      </c>
      <c r="AC128" s="3">
        <v>2140.678676</v>
      </c>
      <c r="AD128" s="2">
        <v>2172.9</v>
      </c>
      <c r="AE128" s="3">
        <v>0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v>1956.7000000000003</v>
      </c>
      <c r="G129" s="3">
        <v>1788.825701</v>
      </c>
      <c r="H129" s="3">
        <v>1679.7574320000001</v>
      </c>
      <c r="I129" s="3">
        <v>1652.1434549999999</v>
      </c>
      <c r="J129" s="3">
        <v>1693.063351</v>
      </c>
      <c r="K129" s="3">
        <v>1605.1975319999999</v>
      </c>
      <c r="L129" s="3">
        <v>1540.1000000000001</v>
      </c>
      <c r="M129" s="3">
        <v>1605.5829039999999</v>
      </c>
      <c r="N129" s="3">
        <v>1780.8032599999999</v>
      </c>
      <c r="O129" s="3">
        <v>1937.7688360000002</v>
      </c>
      <c r="P129" s="3">
        <v>2048.1</v>
      </c>
      <c r="Q129" s="3">
        <v>2140.0768010000002</v>
      </c>
      <c r="R129" s="3">
        <v>2140.7999999999997</v>
      </c>
      <c r="S129" s="3">
        <v>2088.3798140000004</v>
      </c>
      <c r="T129" s="3">
        <v>2078.2331820000004</v>
      </c>
      <c r="U129" s="3">
        <v>2066.8317029999998</v>
      </c>
      <c r="V129" s="3">
        <v>2035.7463399999999</v>
      </c>
      <c r="W129" s="3">
        <v>2023.491</v>
      </c>
      <c r="X129" s="3">
        <v>1989.3285169999999</v>
      </c>
      <c r="Y129" s="3">
        <v>1926.3999999999999</v>
      </c>
      <c r="Z129" s="3">
        <v>1988.6109300000001</v>
      </c>
      <c r="AA129" s="3">
        <v>2139.2945749999999</v>
      </c>
      <c r="AB129" s="3">
        <v>2153.0735440000003</v>
      </c>
      <c r="AC129" s="3">
        <v>2089.8709160000003</v>
      </c>
      <c r="AD129" s="2">
        <v>2107.7999999999997</v>
      </c>
      <c r="AE129" s="3">
        <v>0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v>1954.88867</v>
      </c>
      <c r="G130" s="3">
        <v>1785.2750129999999</v>
      </c>
      <c r="H130" s="3">
        <v>1667.8</v>
      </c>
      <c r="I130" s="3">
        <v>1643.6279849999996</v>
      </c>
      <c r="J130" s="3">
        <v>1688.048354</v>
      </c>
      <c r="K130" s="3">
        <v>1589.20946</v>
      </c>
      <c r="L130" s="3">
        <v>1488.369316</v>
      </c>
      <c r="M130" s="3">
        <v>1469.062858</v>
      </c>
      <c r="N130" s="3">
        <v>1552.6930779999998</v>
      </c>
      <c r="O130" s="3">
        <v>1639.8491329999999</v>
      </c>
      <c r="P130" s="3">
        <v>1745.1000000000004</v>
      </c>
      <c r="Q130" s="3">
        <v>1792.3819990000002</v>
      </c>
      <c r="R130" s="3">
        <v>1843.2056659999998</v>
      </c>
      <c r="S130" s="3">
        <v>1869.461924</v>
      </c>
      <c r="T130" s="3">
        <v>1846.6182679999999</v>
      </c>
      <c r="U130" s="3">
        <v>1845.6102559999999</v>
      </c>
      <c r="V130" s="3">
        <v>1831.2507879999998</v>
      </c>
      <c r="W130" s="3">
        <v>1825.3895500000003</v>
      </c>
      <c r="X130" s="3">
        <v>1806.564609</v>
      </c>
      <c r="Y130" s="3">
        <v>1790.7865880000002</v>
      </c>
      <c r="Z130" s="3">
        <v>1891.8</v>
      </c>
      <c r="AA130" s="3">
        <v>2046.9993149999998</v>
      </c>
      <c r="AB130" s="3">
        <v>2059.2999999999997</v>
      </c>
      <c r="AC130" s="3">
        <v>2008.5089600000003</v>
      </c>
      <c r="AD130" s="2">
        <v>2091.9</v>
      </c>
      <c r="AE130" s="3">
        <v>0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v>1896.8654519999998</v>
      </c>
      <c r="G131" s="3">
        <v>1719.3321449999999</v>
      </c>
      <c r="H131" s="3">
        <v>1635.7395279999998</v>
      </c>
      <c r="I131" s="3">
        <v>1632.6</v>
      </c>
      <c r="J131" s="3">
        <v>1671.7550550000001</v>
      </c>
      <c r="K131" s="3">
        <v>1583.1562640000002</v>
      </c>
      <c r="L131" s="3">
        <v>1535.9</v>
      </c>
      <c r="M131" s="3">
        <v>1608.3000000000002</v>
      </c>
      <c r="N131" s="3">
        <v>1824.454256</v>
      </c>
      <c r="O131" s="3">
        <v>1971.535104</v>
      </c>
      <c r="P131" s="3">
        <v>2115.3000000000002</v>
      </c>
      <c r="Q131" s="3">
        <v>2174.3661529999999</v>
      </c>
      <c r="R131" s="3">
        <v>2204.173886</v>
      </c>
      <c r="S131" s="3">
        <v>2190.8000000000002</v>
      </c>
      <c r="T131" s="3">
        <v>2186.4290890000002</v>
      </c>
      <c r="U131" s="3">
        <v>2162.3000000000002</v>
      </c>
      <c r="V131" s="3">
        <v>2128.1991010000002</v>
      </c>
      <c r="W131" s="3">
        <v>2116.3930319999999</v>
      </c>
      <c r="X131" s="3">
        <v>2086.0769670000004</v>
      </c>
      <c r="Y131" s="3">
        <v>2027.4935500000006</v>
      </c>
      <c r="Z131" s="3">
        <v>2101.8000000000002</v>
      </c>
      <c r="AA131" s="3">
        <v>2225.0971480000003</v>
      </c>
      <c r="AB131" s="3">
        <v>2238.7999999999997</v>
      </c>
      <c r="AC131" s="3">
        <v>2177.4239889999999</v>
      </c>
      <c r="AD131" s="2">
        <v>2207</v>
      </c>
      <c r="AE131" s="3">
        <v>0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v>2024.591408</v>
      </c>
      <c r="G132" s="3">
        <v>1851.7200809999997</v>
      </c>
      <c r="H132" s="3">
        <v>1754</v>
      </c>
      <c r="I132" s="3">
        <v>1732.6030660000004</v>
      </c>
      <c r="J132" s="3">
        <v>1765.0353440000001</v>
      </c>
      <c r="K132" s="3">
        <v>1675.7448549999997</v>
      </c>
      <c r="L132" s="3">
        <v>1628.7095539999996</v>
      </c>
      <c r="M132" s="3">
        <v>1675.36853</v>
      </c>
      <c r="N132" s="3">
        <v>1851.1162739999997</v>
      </c>
      <c r="O132" s="3">
        <v>2002.8032990000002</v>
      </c>
      <c r="P132" s="3">
        <v>2129.6996300000001</v>
      </c>
      <c r="Q132" s="3">
        <v>2208.654708</v>
      </c>
      <c r="R132" s="3">
        <v>2250.4809030000001</v>
      </c>
      <c r="S132" s="3">
        <v>2236.2582589999997</v>
      </c>
      <c r="T132" s="3">
        <v>2222.401226</v>
      </c>
      <c r="U132" s="3">
        <v>2194.1656239999998</v>
      </c>
      <c r="V132" s="3">
        <v>2149.6</v>
      </c>
      <c r="W132" s="3">
        <v>2116</v>
      </c>
      <c r="X132" s="3">
        <v>2069.3693169999997</v>
      </c>
      <c r="Y132" s="3">
        <v>2033.750423</v>
      </c>
      <c r="Z132" s="3">
        <v>2105.9</v>
      </c>
      <c r="AA132" s="3">
        <v>2201.615695</v>
      </c>
      <c r="AB132" s="3">
        <v>2197.092537</v>
      </c>
      <c r="AC132" s="3">
        <v>2132.4006819999995</v>
      </c>
      <c r="AD132" s="2">
        <v>2224.4999999999995</v>
      </c>
      <c r="AE132" s="3">
        <v>0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v>1984.1483720000003</v>
      </c>
      <c r="G133" s="3">
        <v>1825.7123319999998</v>
      </c>
      <c r="H133" s="3">
        <v>1721.121429</v>
      </c>
      <c r="I133" s="3">
        <v>1708.3145379999999</v>
      </c>
      <c r="J133" s="3">
        <v>1756.8539080000003</v>
      </c>
      <c r="K133" s="3">
        <v>1654.9228679999999</v>
      </c>
      <c r="L133" s="3">
        <v>1603.8999999999999</v>
      </c>
      <c r="M133" s="3">
        <v>1674.5016119999996</v>
      </c>
      <c r="N133" s="3">
        <v>1835.9506910000002</v>
      </c>
      <c r="O133" s="3">
        <v>2008.3383600000002</v>
      </c>
      <c r="P133" s="3">
        <v>2134.0033399999998</v>
      </c>
      <c r="Q133" s="3">
        <v>2185.6832890000001</v>
      </c>
      <c r="R133" s="3">
        <v>2210.2248919999997</v>
      </c>
      <c r="S133" s="3">
        <v>2171.5317049999999</v>
      </c>
      <c r="T133" s="3">
        <v>2163.4459569999995</v>
      </c>
      <c r="U133" s="3">
        <v>2149.6180920000006</v>
      </c>
      <c r="V133" s="3">
        <v>2086.877528</v>
      </c>
      <c r="W133" s="3">
        <v>2044.5426170000001</v>
      </c>
      <c r="X133" s="3">
        <v>1994.4622360000001</v>
      </c>
      <c r="Y133" s="3">
        <v>1906.536384</v>
      </c>
      <c r="Z133" s="3">
        <v>2015.1361159999999</v>
      </c>
      <c r="AA133" s="3">
        <v>2130.1205279999999</v>
      </c>
      <c r="AB133" s="3">
        <v>2144.0112579999995</v>
      </c>
      <c r="AC133" s="3">
        <v>2081.7999999999997</v>
      </c>
      <c r="AD133" s="2">
        <v>2121.5</v>
      </c>
      <c r="AE133" s="3">
        <v>0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v>1921.415123</v>
      </c>
      <c r="G134" s="3">
        <v>1748.7870519999997</v>
      </c>
      <c r="H134" s="3">
        <v>1668.8346320000003</v>
      </c>
      <c r="I134" s="3">
        <v>1631.1071059999999</v>
      </c>
      <c r="J134" s="3">
        <v>1688.9480759999999</v>
      </c>
      <c r="K134" s="3">
        <v>1601.830586</v>
      </c>
      <c r="L134" s="3">
        <v>1540.4977469999999</v>
      </c>
      <c r="M134" s="3">
        <v>1600.4302799999998</v>
      </c>
      <c r="N134" s="3">
        <v>1771.334368</v>
      </c>
      <c r="O134" s="3">
        <v>1934.6005259999999</v>
      </c>
      <c r="P134" s="3">
        <v>2072.5711019999999</v>
      </c>
      <c r="Q134" s="3">
        <v>2135.9052399999996</v>
      </c>
      <c r="R134" s="3">
        <v>2147.1082299999998</v>
      </c>
      <c r="S134" s="3">
        <v>2120.8948169999999</v>
      </c>
      <c r="T134" s="3">
        <v>2103.8871160000003</v>
      </c>
      <c r="U134" s="3">
        <v>2097.5415589999998</v>
      </c>
      <c r="V134" s="3">
        <v>2075.6727849999997</v>
      </c>
      <c r="W134" s="3">
        <v>2051.5758499999997</v>
      </c>
      <c r="X134" s="3">
        <v>2029.2498830000002</v>
      </c>
      <c r="Y134" s="3">
        <v>1976.9415300000001</v>
      </c>
      <c r="Z134" s="3">
        <v>2052.6189479999994</v>
      </c>
      <c r="AA134" s="3">
        <v>2167.9594679999996</v>
      </c>
      <c r="AB134" s="3">
        <v>2178.9243969999998</v>
      </c>
      <c r="AC134" s="3">
        <v>2105.2228299999997</v>
      </c>
      <c r="AD134" s="2">
        <v>2144.6999999999998</v>
      </c>
      <c r="AE134" s="3">
        <v>0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v>1955.4287880000002</v>
      </c>
      <c r="G135" s="3">
        <v>1783.8757269999996</v>
      </c>
      <c r="H135" s="3">
        <v>1674.9347139999998</v>
      </c>
      <c r="I135" s="3">
        <v>1656.2156399999997</v>
      </c>
      <c r="J135" s="3">
        <v>1723.565104</v>
      </c>
      <c r="K135" s="3">
        <v>1628.019176</v>
      </c>
      <c r="L135" s="3">
        <v>1608.2197849999995</v>
      </c>
      <c r="M135" s="3">
        <v>1671.0000000000002</v>
      </c>
      <c r="N135" s="3">
        <v>1830.1512470000002</v>
      </c>
      <c r="O135" s="3">
        <v>1983.2999999999997</v>
      </c>
      <c r="P135" s="3">
        <v>2099.650791</v>
      </c>
      <c r="Q135" s="3">
        <v>2160.7454980000007</v>
      </c>
      <c r="R135" s="3">
        <v>2184.7404959999999</v>
      </c>
      <c r="S135" s="3">
        <v>2146.291005</v>
      </c>
      <c r="T135" s="3">
        <v>2141.7629999999999</v>
      </c>
      <c r="U135" s="3">
        <v>2120.1074400000002</v>
      </c>
      <c r="V135" s="3">
        <v>2094.6</v>
      </c>
      <c r="W135" s="3">
        <v>2056.284236</v>
      </c>
      <c r="X135" s="3">
        <v>2027.4406309999997</v>
      </c>
      <c r="Y135" s="3">
        <v>1985.3989719999997</v>
      </c>
      <c r="Z135" s="3">
        <v>2087.554036</v>
      </c>
      <c r="AA135" s="3">
        <v>2188.5711999999999</v>
      </c>
      <c r="AB135" s="3">
        <v>2191.2680039999996</v>
      </c>
      <c r="AC135" s="3">
        <v>2129.0997770000004</v>
      </c>
      <c r="AD135" s="2">
        <v>2168.2999999999997</v>
      </c>
      <c r="AE135" s="3">
        <v>0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v>1967.2165829999999</v>
      </c>
      <c r="G136" s="3">
        <v>1815.5148939999999</v>
      </c>
      <c r="H136" s="3">
        <v>1705.2829630000001</v>
      </c>
      <c r="I136" s="3">
        <v>1678.6381820000001</v>
      </c>
      <c r="J136" s="3">
        <v>1723.2131640000002</v>
      </c>
      <c r="K136" s="3">
        <v>1627.8178839999996</v>
      </c>
      <c r="L136" s="3">
        <v>1572.2917600000001</v>
      </c>
      <c r="M136" s="3">
        <v>1640.1976199999999</v>
      </c>
      <c r="N136" s="3">
        <v>1818.537744</v>
      </c>
      <c r="O136" s="3">
        <v>1938.7067559999998</v>
      </c>
      <c r="P136" s="3">
        <v>2062.0313919999994</v>
      </c>
      <c r="Q136" s="3">
        <v>2153.012463</v>
      </c>
      <c r="R136" s="3">
        <v>2191.931333</v>
      </c>
      <c r="S136" s="3">
        <v>2128.6842800000004</v>
      </c>
      <c r="T136" s="3">
        <v>2106.4412149999998</v>
      </c>
      <c r="U136" s="3">
        <v>2084.5214520000004</v>
      </c>
      <c r="V136" s="3">
        <v>2054.9073490000001</v>
      </c>
      <c r="W136" s="3">
        <v>2029.5375649999996</v>
      </c>
      <c r="X136" s="3">
        <v>1998.5930289999999</v>
      </c>
      <c r="Y136" s="3">
        <v>1930.3</v>
      </c>
      <c r="Z136" s="3">
        <v>2045.3116039999998</v>
      </c>
      <c r="AA136" s="3">
        <v>2148.3791540000002</v>
      </c>
      <c r="AB136" s="3">
        <v>2140.2799</v>
      </c>
      <c r="AC136" s="3">
        <v>2087.6602250000001</v>
      </c>
      <c r="AD136" s="2">
        <v>2132.8000000000002</v>
      </c>
      <c r="AE136" s="3">
        <v>0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v>1967.1439779999996</v>
      </c>
      <c r="G137" s="3">
        <v>1807.3351869999999</v>
      </c>
      <c r="H137" s="3">
        <v>1681.8999999999999</v>
      </c>
      <c r="I137" s="3">
        <v>1652.5851760000003</v>
      </c>
      <c r="J137" s="3">
        <v>1686.1749789999999</v>
      </c>
      <c r="K137" s="3">
        <v>1599.5762280000001</v>
      </c>
      <c r="L137" s="3">
        <v>1507.7765699999998</v>
      </c>
      <c r="M137" s="3">
        <v>1480.0598000000002</v>
      </c>
      <c r="N137" s="3">
        <v>1541.0945340000001</v>
      </c>
      <c r="O137" s="3">
        <v>1636.1000000000001</v>
      </c>
      <c r="P137" s="3">
        <v>1759.7324270000001</v>
      </c>
      <c r="Q137" s="3">
        <v>1833.0990259999999</v>
      </c>
      <c r="R137" s="3">
        <v>1877.0709890000001</v>
      </c>
      <c r="S137" s="3">
        <v>1890.021514</v>
      </c>
      <c r="T137" s="3">
        <v>1889.877925</v>
      </c>
      <c r="U137" s="3">
        <v>1882.0738449999999</v>
      </c>
      <c r="V137" s="3">
        <v>1861.2632369999999</v>
      </c>
      <c r="W137" s="3">
        <v>1848.8422710000002</v>
      </c>
      <c r="X137" s="3">
        <v>1829.3</v>
      </c>
      <c r="Y137" s="3">
        <v>1802.5667000000003</v>
      </c>
      <c r="Z137" s="3">
        <v>1939.2020480000003</v>
      </c>
      <c r="AA137" s="3">
        <v>2086.6416800000002</v>
      </c>
      <c r="AB137" s="3">
        <v>2103.0858920000001</v>
      </c>
      <c r="AC137" s="3">
        <v>2031.8492979999999</v>
      </c>
      <c r="AD137" s="2">
        <v>2092.6000000000004</v>
      </c>
      <c r="AE137" s="3">
        <v>0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v>1896.7182500000001</v>
      </c>
      <c r="G138" s="3">
        <v>1742.7871570000004</v>
      </c>
      <c r="H138" s="3">
        <v>1652.8000000000002</v>
      </c>
      <c r="I138" s="3">
        <v>1622.741092</v>
      </c>
      <c r="J138" s="3">
        <v>1667.4356720000003</v>
      </c>
      <c r="K138" s="3">
        <v>1587.6715499999998</v>
      </c>
      <c r="L138" s="3">
        <v>1559.080342</v>
      </c>
      <c r="M138" s="3">
        <v>1624.6000000000001</v>
      </c>
      <c r="N138" s="3">
        <v>1811.4384</v>
      </c>
      <c r="O138" s="3">
        <v>1989.2</v>
      </c>
      <c r="P138" s="3">
        <v>2128.6966909999996</v>
      </c>
      <c r="Q138" s="3">
        <v>2205.4599969999999</v>
      </c>
      <c r="R138" s="3">
        <v>2252.3000000000002</v>
      </c>
      <c r="S138" s="3">
        <v>2228.349134</v>
      </c>
      <c r="T138" s="3">
        <v>2215.6435219999998</v>
      </c>
      <c r="U138" s="3">
        <v>2219.8461229999998</v>
      </c>
      <c r="V138" s="3">
        <v>2212.5189759999998</v>
      </c>
      <c r="W138" s="3">
        <v>2179.786908</v>
      </c>
      <c r="X138" s="3">
        <v>2113.5238749999999</v>
      </c>
      <c r="Y138" s="3">
        <v>2048.9999999999995</v>
      </c>
      <c r="Z138" s="3">
        <v>2137.1077070000001</v>
      </c>
      <c r="AA138" s="3">
        <v>2233.9602260000001</v>
      </c>
      <c r="AB138" s="3">
        <v>2235.5901079999999</v>
      </c>
      <c r="AC138" s="3">
        <v>2179.9246009999997</v>
      </c>
      <c r="AD138" s="2">
        <v>2215</v>
      </c>
      <c r="AE138" s="3">
        <v>0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v>2033.5</v>
      </c>
      <c r="G139" s="3">
        <v>1867.9329380000001</v>
      </c>
      <c r="H139" s="3">
        <v>1766.1693039999998</v>
      </c>
      <c r="I139" s="3">
        <v>1733.7018389999998</v>
      </c>
      <c r="J139" s="3">
        <v>1772.2226959999998</v>
      </c>
      <c r="K139" s="3">
        <v>1696.2402959999997</v>
      </c>
      <c r="L139" s="3">
        <v>1656.5806880000002</v>
      </c>
      <c r="M139" s="3">
        <v>1717.4878079999996</v>
      </c>
      <c r="N139" s="3">
        <v>1877.3630839999996</v>
      </c>
      <c r="O139" s="3">
        <v>2013.8690349999999</v>
      </c>
      <c r="P139" s="3">
        <v>2147.7897619999994</v>
      </c>
      <c r="Q139" s="3">
        <v>2234.455046</v>
      </c>
      <c r="R139" s="3">
        <v>2272.4525720000001</v>
      </c>
      <c r="S139" s="3">
        <v>2248.2138949999994</v>
      </c>
      <c r="T139" s="3">
        <v>2242.2229219999999</v>
      </c>
      <c r="U139" s="3">
        <v>2233.3922499999999</v>
      </c>
      <c r="V139" s="3">
        <v>2188.5695849999997</v>
      </c>
      <c r="W139" s="3">
        <v>2147.8532079999995</v>
      </c>
      <c r="X139" s="3">
        <v>2099.0736320000001</v>
      </c>
      <c r="Y139" s="3">
        <v>2042.1132120000002</v>
      </c>
      <c r="Z139" s="3">
        <v>2135.3033399999995</v>
      </c>
      <c r="AA139" s="3">
        <v>2232.5798080000004</v>
      </c>
      <c r="AB139" s="3">
        <v>2227.9</v>
      </c>
      <c r="AC139" s="3">
        <v>2154.9722179999999</v>
      </c>
      <c r="AD139" s="2">
        <v>2239.6999999999998</v>
      </c>
      <c r="AE139" s="3">
        <v>0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v>2019.3000000000002</v>
      </c>
      <c r="G140" s="3">
        <v>1862.4000000000003</v>
      </c>
      <c r="H140" s="3">
        <v>1762.5236580000001</v>
      </c>
      <c r="I140" s="3">
        <v>1730.2060239999998</v>
      </c>
      <c r="J140" s="3">
        <v>1764.2212200000001</v>
      </c>
      <c r="K140" s="3">
        <v>1679.43797</v>
      </c>
      <c r="L140" s="3">
        <v>1616.1616620000002</v>
      </c>
      <c r="M140" s="3">
        <v>1678.8049780000001</v>
      </c>
      <c r="N140" s="3">
        <v>1873.1678399999998</v>
      </c>
      <c r="O140" s="3">
        <v>2016.9999999999998</v>
      </c>
      <c r="P140" s="3">
        <v>2145.0188759999996</v>
      </c>
      <c r="Q140" s="3">
        <v>2170.9</v>
      </c>
      <c r="R140" s="3">
        <v>2241.0426570000004</v>
      </c>
      <c r="S140" s="3">
        <v>2227.8443420000003</v>
      </c>
      <c r="T140" s="3">
        <v>2244.6</v>
      </c>
      <c r="U140" s="3">
        <v>2250.6743999999999</v>
      </c>
      <c r="V140" s="3">
        <v>2237.6107349999997</v>
      </c>
      <c r="W140" s="3">
        <v>2201.1999999999998</v>
      </c>
      <c r="X140" s="3">
        <v>2134.1803399999999</v>
      </c>
      <c r="Y140" s="3">
        <v>2075.6</v>
      </c>
      <c r="Z140" s="3">
        <v>2167.6798869999998</v>
      </c>
      <c r="AA140" s="3">
        <v>2262.0720980000001</v>
      </c>
      <c r="AB140" s="3">
        <v>2283.8549759999996</v>
      </c>
      <c r="AC140" s="3">
        <v>2241.6</v>
      </c>
      <c r="AD140" s="2">
        <v>2265.6999999999998</v>
      </c>
      <c r="AE140" s="3">
        <v>0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v>2103.0533920000003</v>
      </c>
      <c r="G141" s="3">
        <v>1919.7171119999998</v>
      </c>
      <c r="H141" s="3">
        <v>1811.3</v>
      </c>
      <c r="I141" s="3">
        <v>1775.0806230000003</v>
      </c>
      <c r="J141" s="3">
        <v>1820.722391</v>
      </c>
      <c r="K141" s="3">
        <v>1724.02322</v>
      </c>
      <c r="L141" s="3">
        <v>1720.7313799999999</v>
      </c>
      <c r="M141" s="3">
        <v>1711.1000000000001</v>
      </c>
      <c r="N141" s="3">
        <v>1870.3978200000001</v>
      </c>
      <c r="O141" s="3">
        <v>2026.423675</v>
      </c>
      <c r="P141" s="3">
        <v>2106.6610420000002</v>
      </c>
      <c r="Q141" s="3">
        <v>2185.4287830000003</v>
      </c>
      <c r="R141" s="3">
        <v>2257.5342419999997</v>
      </c>
      <c r="S141" s="3">
        <v>2248.4</v>
      </c>
      <c r="T141" s="3">
        <v>2248.9123650000001</v>
      </c>
      <c r="U141" s="3">
        <v>2254.8250899999998</v>
      </c>
      <c r="V141" s="3">
        <v>2229.9505090000002</v>
      </c>
      <c r="W141" s="3">
        <v>2208.2393400000001</v>
      </c>
      <c r="X141" s="3">
        <v>2165.0335960000002</v>
      </c>
      <c r="Y141" s="3">
        <v>2100.7498729999998</v>
      </c>
      <c r="Z141" s="3">
        <v>2187.7000000000003</v>
      </c>
      <c r="AA141" s="3">
        <v>2284.9394140000004</v>
      </c>
      <c r="AB141" s="3">
        <v>2291.481925</v>
      </c>
      <c r="AC141" s="3">
        <v>2243.8411780000001</v>
      </c>
      <c r="AD141" s="2">
        <v>2307</v>
      </c>
      <c r="AE141" s="3">
        <v>0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v>2122</v>
      </c>
      <c r="G142" s="3">
        <v>1931.9972220000002</v>
      </c>
      <c r="H142" s="3">
        <v>1842.1910699999999</v>
      </c>
      <c r="I142" s="3">
        <v>1794.2092800000003</v>
      </c>
      <c r="J142" s="3">
        <v>1818.5194840000004</v>
      </c>
      <c r="K142" s="3">
        <v>1709.1271380000001</v>
      </c>
      <c r="L142" s="3">
        <v>1643.0000000000002</v>
      </c>
      <c r="M142" s="3">
        <v>1670.8298179999999</v>
      </c>
      <c r="N142" s="3">
        <v>1801.062316</v>
      </c>
      <c r="O142" s="3">
        <v>1972.9373480000004</v>
      </c>
      <c r="P142" s="3">
        <v>2109.2332849999998</v>
      </c>
      <c r="Q142" s="3">
        <v>2193.9924690000003</v>
      </c>
      <c r="R142" s="3">
        <v>2236.1999999999998</v>
      </c>
      <c r="S142" s="3">
        <v>2240.6556599999999</v>
      </c>
      <c r="T142" s="3">
        <v>2240.1667519999996</v>
      </c>
      <c r="U142" s="3">
        <v>2255.9024199999999</v>
      </c>
      <c r="V142" s="3">
        <v>2242.9</v>
      </c>
      <c r="W142" s="3">
        <v>2201.8000000000002</v>
      </c>
      <c r="X142" s="3">
        <v>2139.3886400000001</v>
      </c>
      <c r="Y142" s="3">
        <v>2075.4107049999998</v>
      </c>
      <c r="Z142" s="3">
        <v>2173.5999999999995</v>
      </c>
      <c r="AA142" s="3">
        <v>2272.7767159999999</v>
      </c>
      <c r="AB142" s="3">
        <v>2277.1471660000002</v>
      </c>
      <c r="AC142" s="3">
        <v>2222.6464799999999</v>
      </c>
      <c r="AD142" s="2">
        <v>2239.9</v>
      </c>
      <c r="AE142" s="3">
        <v>0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v>2087.7775790000001</v>
      </c>
      <c r="G143" s="3">
        <v>1928.0027969999999</v>
      </c>
      <c r="H143" s="3">
        <v>1808.5350360000002</v>
      </c>
      <c r="I143" s="3">
        <v>1753.1515650000003</v>
      </c>
      <c r="J143" s="3">
        <v>1793.0129519999998</v>
      </c>
      <c r="K143" s="3">
        <v>1718.6266310000001</v>
      </c>
      <c r="L143" s="3">
        <v>1630.3131919999998</v>
      </c>
      <c r="M143" s="3">
        <v>1662.8999999999999</v>
      </c>
      <c r="N143" s="3">
        <v>1820.582206</v>
      </c>
      <c r="O143" s="3">
        <v>1985.5259160000003</v>
      </c>
      <c r="P143" s="3">
        <v>2115.784024</v>
      </c>
      <c r="Q143" s="3">
        <v>2184.2534860000001</v>
      </c>
      <c r="R143" s="3">
        <v>2198.2343419999997</v>
      </c>
      <c r="S143" s="3">
        <v>2196.6651479999996</v>
      </c>
      <c r="T143" s="3">
        <v>2178.0242440000002</v>
      </c>
      <c r="U143" s="3">
        <v>2138.3950850000001</v>
      </c>
      <c r="V143" s="3">
        <v>2113.2906860000003</v>
      </c>
      <c r="W143" s="3">
        <v>2102.3138020000001</v>
      </c>
      <c r="X143" s="3">
        <v>2054.211327</v>
      </c>
      <c r="Y143" s="3">
        <v>1995.4303849999999</v>
      </c>
      <c r="Z143" s="3">
        <v>2111.1</v>
      </c>
      <c r="AA143" s="3">
        <v>2224.6342990000003</v>
      </c>
      <c r="AB143" s="3">
        <v>2227.4</v>
      </c>
      <c r="AC143" s="3">
        <v>2123.9965510000002</v>
      </c>
      <c r="AD143" s="2">
        <v>2140.8000000000002</v>
      </c>
      <c r="AE143" s="3">
        <v>0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v>2026.8813880000002</v>
      </c>
      <c r="G144" s="3">
        <v>1905.4690079999998</v>
      </c>
      <c r="H144" s="3">
        <v>1817.517488</v>
      </c>
      <c r="I144" s="3">
        <v>1761.8873039999999</v>
      </c>
      <c r="J144" s="3">
        <v>1786.5937280000003</v>
      </c>
      <c r="K144" s="3">
        <v>1668.96804</v>
      </c>
      <c r="L144" s="3">
        <v>1523.7166540000001</v>
      </c>
      <c r="M144" s="3">
        <v>1449.1999999999998</v>
      </c>
      <c r="N144" s="3">
        <v>1478</v>
      </c>
      <c r="O144" s="3">
        <v>1556.5922110000001</v>
      </c>
      <c r="P144" s="3">
        <v>1655.4576160000001</v>
      </c>
      <c r="Q144" s="3">
        <v>1751.0112140000001</v>
      </c>
      <c r="R144" s="3">
        <v>1837.9505380000003</v>
      </c>
      <c r="S144" s="3">
        <v>1839.1453409999999</v>
      </c>
      <c r="T144" s="3">
        <v>1855.1827060000001</v>
      </c>
      <c r="U144" s="3">
        <v>1854.4114799999998</v>
      </c>
      <c r="V144" s="3">
        <v>1888.7732329999999</v>
      </c>
      <c r="W144" s="3">
        <v>1881.2566960000001</v>
      </c>
      <c r="X144" s="3">
        <v>1848.0778559999999</v>
      </c>
      <c r="Y144" s="3">
        <v>1830.855174</v>
      </c>
      <c r="Z144" s="3">
        <v>1987.3999999999999</v>
      </c>
      <c r="AA144" s="3">
        <v>2106.5501079999999</v>
      </c>
      <c r="AB144" s="3">
        <v>2101.8167090000002</v>
      </c>
      <c r="AC144" s="3">
        <v>2065.4351710000001</v>
      </c>
      <c r="AD144" s="2">
        <v>2053.4</v>
      </c>
      <c r="AE144" s="3">
        <v>0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v>1954.4797799999997</v>
      </c>
      <c r="G145" s="3">
        <v>1800.0031119999999</v>
      </c>
      <c r="H145" s="3">
        <v>1686.65021</v>
      </c>
      <c r="I145" s="3">
        <v>1674.8224090000003</v>
      </c>
      <c r="J145" s="3">
        <v>1720.254936</v>
      </c>
      <c r="K145" s="3">
        <v>1653.06394</v>
      </c>
      <c r="L145" s="3">
        <v>1602.6802769999997</v>
      </c>
      <c r="M145" s="3">
        <v>1658.9471609999998</v>
      </c>
      <c r="N145" s="3">
        <v>1843.0809819999997</v>
      </c>
      <c r="O145" s="3">
        <v>1994.5355120000002</v>
      </c>
      <c r="P145" s="3">
        <v>2135.290023</v>
      </c>
      <c r="Q145" s="3">
        <v>2226.6</v>
      </c>
      <c r="R145" s="3">
        <v>2284.8000000000006</v>
      </c>
      <c r="S145" s="3">
        <v>2236.070811</v>
      </c>
      <c r="T145" s="3">
        <v>2225.2489640000003</v>
      </c>
      <c r="U145" s="3">
        <v>2229.0620369999997</v>
      </c>
      <c r="V145" s="3">
        <v>2190.8428739999999</v>
      </c>
      <c r="W145" s="3">
        <v>1842.4607839999999</v>
      </c>
      <c r="X145" s="3">
        <v>1886.137579</v>
      </c>
      <c r="Y145" s="3">
        <v>1897.8674189999999</v>
      </c>
      <c r="Z145" s="3">
        <v>1996.2617340000002</v>
      </c>
      <c r="AA145" s="3">
        <v>2115.5582360000003</v>
      </c>
      <c r="AB145" s="3">
        <v>2126.5149240000001</v>
      </c>
      <c r="AC145" s="3">
        <v>2068.1000000000004</v>
      </c>
      <c r="AD145" s="2">
        <v>2117.1999999999998</v>
      </c>
      <c r="AE145" s="3">
        <v>0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v>1955.2036559999999</v>
      </c>
      <c r="G146" s="3">
        <v>1841.946344</v>
      </c>
      <c r="H146" s="3">
        <v>1754.2088799999999</v>
      </c>
      <c r="I146" s="3">
        <v>1716.4489940000001</v>
      </c>
      <c r="J146" s="3">
        <v>1694.1368959999998</v>
      </c>
      <c r="K146" s="3">
        <v>1619.573596</v>
      </c>
      <c r="L146" s="3">
        <v>1557.3000000000002</v>
      </c>
      <c r="M146" s="3">
        <v>1583.11313</v>
      </c>
      <c r="N146" s="3">
        <v>1720.1018640000002</v>
      </c>
      <c r="O146" s="3">
        <v>1866.0506960000002</v>
      </c>
      <c r="P146" s="3">
        <v>2018.8571359999999</v>
      </c>
      <c r="Q146" s="3">
        <v>2125.3833930000001</v>
      </c>
      <c r="R146" s="3">
        <v>2157.199267</v>
      </c>
      <c r="S146" s="3">
        <v>2150.4</v>
      </c>
      <c r="T146" s="3">
        <v>2154.5</v>
      </c>
      <c r="U146" s="3">
        <v>2157.4991139999997</v>
      </c>
      <c r="V146" s="3">
        <v>2106.1000000000004</v>
      </c>
      <c r="W146" s="3">
        <v>2088.0679960000002</v>
      </c>
      <c r="X146" s="3">
        <v>2045.8650299999999</v>
      </c>
      <c r="Y146" s="3">
        <v>1997.3808160000001</v>
      </c>
      <c r="Z146" s="3">
        <v>2119.4185450000004</v>
      </c>
      <c r="AA146" s="3">
        <v>2180.1434159999999</v>
      </c>
      <c r="AB146" s="3">
        <v>2175.1790519999995</v>
      </c>
      <c r="AC146" s="3">
        <v>2120.1603599999999</v>
      </c>
      <c r="AD146" s="2">
        <v>2175.6</v>
      </c>
      <c r="AE146" s="3">
        <v>0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v>1993.1309219999998</v>
      </c>
      <c r="G147" s="3">
        <v>1852.6443669999999</v>
      </c>
      <c r="H147" s="3">
        <v>1770.2999999999997</v>
      </c>
      <c r="I147" s="3">
        <v>1741.445316</v>
      </c>
      <c r="J147" s="3">
        <v>1771.1962290000004</v>
      </c>
      <c r="K147" s="3">
        <v>1727.0846750000001</v>
      </c>
      <c r="L147" s="3">
        <v>1647.4881649999998</v>
      </c>
      <c r="M147" s="3">
        <v>1665.9450020000002</v>
      </c>
      <c r="N147" s="3">
        <v>1829.7326880000003</v>
      </c>
      <c r="O147" s="3">
        <v>2004.5217849999997</v>
      </c>
      <c r="P147" s="3">
        <v>2156.0937840000001</v>
      </c>
      <c r="Q147" s="3">
        <v>2240.4226100000005</v>
      </c>
      <c r="R147" s="3">
        <v>2259.3000000000002</v>
      </c>
      <c r="S147" s="3">
        <v>2249.0536750000001</v>
      </c>
      <c r="T147" s="3">
        <v>2254.649285</v>
      </c>
      <c r="U147" s="3">
        <v>2252.450664</v>
      </c>
      <c r="V147" s="3">
        <v>2242.6157119999998</v>
      </c>
      <c r="W147" s="3">
        <v>2192.0463569999997</v>
      </c>
      <c r="X147" s="3">
        <v>2140.6143439999996</v>
      </c>
      <c r="Y147" s="3">
        <v>2095.5681949999998</v>
      </c>
      <c r="Z147" s="3">
        <v>2211.154098</v>
      </c>
      <c r="AA147" s="3">
        <v>2294.6073879999999</v>
      </c>
      <c r="AB147" s="3">
        <v>2293.8090200000001</v>
      </c>
      <c r="AC147" s="3">
        <v>2238.4416350000001</v>
      </c>
      <c r="AD147" s="2">
        <v>2281.2000000000003</v>
      </c>
      <c r="AE147" s="3">
        <v>0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v>2103.8731930000004</v>
      </c>
      <c r="G148" s="3">
        <v>1927.0000000000002</v>
      </c>
      <c r="H148" s="3">
        <v>1820.0401320000003</v>
      </c>
      <c r="I148" s="3">
        <v>1792.9000000000003</v>
      </c>
      <c r="J148" s="3">
        <v>1826.301477</v>
      </c>
      <c r="K148" s="3">
        <v>1757.5055259999999</v>
      </c>
      <c r="L148" s="3">
        <v>1693.2711000000002</v>
      </c>
      <c r="M148" s="3">
        <v>1716.6</v>
      </c>
      <c r="N148" s="3">
        <v>1880.8999999999999</v>
      </c>
      <c r="O148" s="3">
        <v>2055.1941619999998</v>
      </c>
      <c r="P148" s="3">
        <v>2200.3435919999993</v>
      </c>
      <c r="Q148" s="3">
        <v>2273.9</v>
      </c>
      <c r="R148" s="3">
        <v>2321.9836079999995</v>
      </c>
      <c r="S148" s="3">
        <v>2303.0684540000002</v>
      </c>
      <c r="T148" s="3">
        <v>2282.034701</v>
      </c>
      <c r="U148" s="3">
        <v>2294.2817650000002</v>
      </c>
      <c r="V148" s="3">
        <v>2269.5223099999994</v>
      </c>
      <c r="W148" s="3">
        <v>2223.3160499999999</v>
      </c>
      <c r="X148" s="3">
        <v>2154.775948</v>
      </c>
      <c r="Y148" s="3">
        <v>2068</v>
      </c>
      <c r="Z148" s="3">
        <v>2197.9209290000008</v>
      </c>
      <c r="AA148" s="3">
        <v>2260.9602260000001</v>
      </c>
      <c r="AB148" s="3">
        <v>2247.3021479999998</v>
      </c>
      <c r="AC148" s="3">
        <v>2193.4364519999999</v>
      </c>
      <c r="AD148" s="2">
        <v>2250.9</v>
      </c>
      <c r="AE148" s="3">
        <v>0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v>2079.5</v>
      </c>
      <c r="G149" s="3">
        <v>1915.2770069999997</v>
      </c>
      <c r="H149" s="3">
        <v>1821</v>
      </c>
      <c r="I149" s="3">
        <v>1786.0737919999999</v>
      </c>
      <c r="J149" s="3">
        <v>1807.5027500000001</v>
      </c>
      <c r="K149" s="3">
        <v>1742.8387750000002</v>
      </c>
      <c r="L149" s="3">
        <v>1689.2087100000001</v>
      </c>
      <c r="M149" s="3">
        <v>1734.0516429999998</v>
      </c>
      <c r="N149" s="3">
        <v>1910.775834</v>
      </c>
      <c r="O149" s="3">
        <v>2037.7404000000006</v>
      </c>
      <c r="P149" s="3">
        <v>2192.4539129999998</v>
      </c>
      <c r="Q149" s="3">
        <v>2260.7999999999997</v>
      </c>
      <c r="R149" s="3">
        <v>2318.4310499999997</v>
      </c>
      <c r="S149" s="3">
        <v>2296.7000000000003</v>
      </c>
      <c r="T149" s="3">
        <v>2313.9181259999996</v>
      </c>
      <c r="U149" s="3">
        <v>2289.459304</v>
      </c>
      <c r="V149" s="3">
        <v>2279.4691979999998</v>
      </c>
      <c r="W149" s="3">
        <v>2218.5711660000002</v>
      </c>
      <c r="X149" s="3">
        <v>2158.3776879999996</v>
      </c>
      <c r="Y149" s="3">
        <v>2108.9387220000003</v>
      </c>
      <c r="Z149" s="3">
        <v>2220.5631079999998</v>
      </c>
      <c r="AA149" s="3">
        <v>2282.0288360000004</v>
      </c>
      <c r="AB149" s="3">
        <v>2232.8306250000001</v>
      </c>
      <c r="AC149" s="3">
        <v>2161.1841710000003</v>
      </c>
      <c r="AD149" s="2">
        <v>2271.4</v>
      </c>
      <c r="AE149" s="3">
        <v>0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v>2057.5</v>
      </c>
      <c r="G150" s="3">
        <v>1912.5334239999997</v>
      </c>
      <c r="H150" s="3">
        <v>1795.0080559999997</v>
      </c>
      <c r="I150" s="3">
        <v>1755.9423850000003</v>
      </c>
      <c r="J150" s="3">
        <v>1799.9600719999999</v>
      </c>
      <c r="K150" s="3">
        <v>1744.1760449999999</v>
      </c>
      <c r="L150" s="3">
        <v>1678.5451099999998</v>
      </c>
      <c r="M150" s="3">
        <v>1704.7820450000004</v>
      </c>
      <c r="N150" s="3">
        <v>1873.4381020000001</v>
      </c>
      <c r="O150" s="3">
        <v>2035.7531769999996</v>
      </c>
      <c r="P150" s="3">
        <v>2158.6842219999999</v>
      </c>
      <c r="Q150" s="3">
        <v>2239.8108099999999</v>
      </c>
      <c r="R150" s="3">
        <v>2261.6634860000004</v>
      </c>
      <c r="S150" s="3">
        <v>2234.2518349999996</v>
      </c>
      <c r="T150" s="3">
        <v>2212.2000000000003</v>
      </c>
      <c r="U150" s="3">
        <v>2204.2784610000003</v>
      </c>
      <c r="V150" s="3">
        <v>2191.9971270000005</v>
      </c>
      <c r="W150" s="3">
        <v>2144.4438049999994</v>
      </c>
      <c r="X150" s="3">
        <v>2096.8427829999996</v>
      </c>
      <c r="Y150" s="3">
        <v>2052.119968</v>
      </c>
      <c r="Z150" s="3">
        <v>2188.6000000000004</v>
      </c>
      <c r="AA150" s="3">
        <v>2256.2351600000002</v>
      </c>
      <c r="AB150" s="3">
        <v>2224.7011240000002</v>
      </c>
      <c r="AC150" s="3">
        <v>2164.7175079999997</v>
      </c>
      <c r="AD150" s="2">
        <v>2247.4</v>
      </c>
      <c r="AE150" s="3">
        <v>0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v>2062.5952619999998</v>
      </c>
      <c r="G151" s="3">
        <v>1907.5999999999997</v>
      </c>
      <c r="H151" s="3">
        <v>1782.3722600000001</v>
      </c>
      <c r="I151" s="3">
        <v>1734.4963399999997</v>
      </c>
      <c r="J151" s="3">
        <v>1750.0856240000001</v>
      </c>
      <c r="K151" s="3">
        <v>1701.982125</v>
      </c>
      <c r="L151" s="3">
        <v>1615.1860569999999</v>
      </c>
      <c r="M151" s="3">
        <v>1561.378608</v>
      </c>
      <c r="N151" s="3">
        <v>1620.6999999999998</v>
      </c>
      <c r="O151" s="3">
        <v>1719.9147959999998</v>
      </c>
      <c r="P151" s="3">
        <v>1838.2510990000001</v>
      </c>
      <c r="Q151" s="3">
        <v>1946.5061280000002</v>
      </c>
      <c r="R151" s="3">
        <v>2010.3612319999997</v>
      </c>
      <c r="S151" s="3">
        <v>2025.3069600000001</v>
      </c>
      <c r="T151" s="3">
        <v>2014.9275879999998</v>
      </c>
      <c r="U151" s="3">
        <v>2026.6023700000001</v>
      </c>
      <c r="V151" s="3">
        <v>2016.0569990000001</v>
      </c>
      <c r="W151" s="3">
        <v>1982.4908279999997</v>
      </c>
      <c r="X151" s="3">
        <v>1944.7699799999998</v>
      </c>
      <c r="Y151" s="3">
        <v>1922.5095719999999</v>
      </c>
      <c r="Z151" s="3">
        <v>2078.6000000000004</v>
      </c>
      <c r="AA151" s="3">
        <v>2145.7734740000001</v>
      </c>
      <c r="AB151" s="3">
        <v>2139.9</v>
      </c>
      <c r="AC151" s="3">
        <v>2102.575488</v>
      </c>
      <c r="AD151" s="2">
        <v>2063.7000000000003</v>
      </c>
      <c r="AE151" s="3">
        <v>0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v>1992.9804590000001</v>
      </c>
      <c r="G152" s="3">
        <v>1856.1456319999998</v>
      </c>
      <c r="H152" s="3">
        <v>1767.093169</v>
      </c>
      <c r="I152" s="3">
        <v>1724.5605999999998</v>
      </c>
      <c r="J152" s="3">
        <v>1742.1914799999997</v>
      </c>
      <c r="K152" s="3">
        <v>1676.9326429999996</v>
      </c>
      <c r="L152" s="3">
        <v>1602.8698729999999</v>
      </c>
      <c r="M152" s="3">
        <v>1603.1</v>
      </c>
      <c r="N152" s="3">
        <v>1736.7993850000003</v>
      </c>
      <c r="O152" s="3">
        <v>1893.6796589999999</v>
      </c>
      <c r="P152" s="3">
        <v>2055.762483</v>
      </c>
      <c r="Q152" s="3">
        <v>2151.1306570000002</v>
      </c>
      <c r="R152" s="3">
        <v>2200.3357699999997</v>
      </c>
      <c r="S152" s="3">
        <v>2184.6421280000004</v>
      </c>
      <c r="T152" s="3">
        <v>2169.9791219999997</v>
      </c>
      <c r="U152" s="3">
        <v>2161.2160329999997</v>
      </c>
      <c r="V152" s="3">
        <v>2143.8911069999995</v>
      </c>
      <c r="W152" s="3">
        <v>2117.904775</v>
      </c>
      <c r="X152" s="3">
        <v>2072.4802680000007</v>
      </c>
      <c r="Y152" s="3">
        <v>2033.3008940000002</v>
      </c>
      <c r="Z152" s="3">
        <v>2202.3365859999994</v>
      </c>
      <c r="AA152" s="3">
        <v>2260.5255440000001</v>
      </c>
      <c r="AB152" s="3">
        <v>2212.0133640000004</v>
      </c>
      <c r="AC152" s="3">
        <v>2163</v>
      </c>
      <c r="AD152" s="2">
        <v>2238</v>
      </c>
      <c r="AE152" s="3">
        <v>0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v>2028.0988</v>
      </c>
      <c r="G153" s="3">
        <v>1856.1452160000003</v>
      </c>
      <c r="H153" s="3">
        <v>1710.6129570000003</v>
      </c>
      <c r="I153" s="3">
        <v>1645.3999999999999</v>
      </c>
      <c r="J153" s="3">
        <v>1616.5819260000001</v>
      </c>
      <c r="K153" s="3">
        <v>1592.6888759999999</v>
      </c>
      <c r="L153" s="3">
        <v>1556.0128</v>
      </c>
      <c r="M153" s="3">
        <v>1477.8</v>
      </c>
      <c r="N153" s="3">
        <v>1516.4752880000001</v>
      </c>
      <c r="O153" s="3">
        <v>1593.3718110000002</v>
      </c>
      <c r="P153" s="3">
        <v>1646.4449340000003</v>
      </c>
      <c r="Q153" s="3">
        <v>1682</v>
      </c>
      <c r="R153" s="3">
        <v>1709.7136709999997</v>
      </c>
      <c r="S153" s="3">
        <v>1720.9166319999997</v>
      </c>
      <c r="T153" s="3">
        <v>1721.6236759999997</v>
      </c>
      <c r="U153" s="3">
        <v>1724.687244</v>
      </c>
      <c r="V153" s="3">
        <v>1716.3657190000001</v>
      </c>
      <c r="W153" s="3">
        <v>1706.4291780000001</v>
      </c>
      <c r="X153" s="3">
        <v>1688.269624</v>
      </c>
      <c r="Y153" s="3">
        <v>1663.7363150000001</v>
      </c>
      <c r="Z153" s="3">
        <v>1862.0023329999999</v>
      </c>
      <c r="AA153" s="3">
        <v>2006.88033</v>
      </c>
      <c r="AB153" s="3">
        <v>1993.4679640000002</v>
      </c>
      <c r="AC153" s="3">
        <v>1929.9002469999998</v>
      </c>
      <c r="AD153" s="2">
        <v>1975.8999999999999</v>
      </c>
      <c r="AE153" s="3">
        <v>0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v>1792.2281999999998</v>
      </c>
      <c r="G154" s="3">
        <v>1659.960523</v>
      </c>
      <c r="H154" s="3">
        <v>1556.0918539999998</v>
      </c>
      <c r="I154" s="3">
        <v>1512.0147020000002</v>
      </c>
      <c r="J154" s="3">
        <v>1501.5590999999999</v>
      </c>
      <c r="K154" s="3">
        <v>1494.5000000000002</v>
      </c>
      <c r="L154" s="3">
        <v>1479.6500100000003</v>
      </c>
      <c r="M154" s="3">
        <v>1472.7678579999999</v>
      </c>
      <c r="N154" s="3">
        <v>1580.9405680000002</v>
      </c>
      <c r="O154" s="3">
        <v>1707.8136199999999</v>
      </c>
      <c r="P154" s="3">
        <v>1872.1373880000001</v>
      </c>
      <c r="Q154" s="3">
        <v>1964.1646920000001</v>
      </c>
      <c r="R154" s="3">
        <v>2001.1649040000002</v>
      </c>
      <c r="S154" s="3">
        <v>1983.9739820000002</v>
      </c>
      <c r="T154" s="3">
        <v>1968.6175520000002</v>
      </c>
      <c r="U154" s="3">
        <v>1967</v>
      </c>
      <c r="V154" s="3">
        <v>1967.5810709999998</v>
      </c>
      <c r="W154" s="3">
        <v>1941.870592</v>
      </c>
      <c r="X154" s="3">
        <v>1897.048018</v>
      </c>
      <c r="Y154" s="3">
        <v>1872.6855029999999</v>
      </c>
      <c r="Z154" s="3">
        <v>2044.2621039999999</v>
      </c>
      <c r="AA154" s="3">
        <v>2145.9799699999999</v>
      </c>
      <c r="AB154" s="3">
        <v>2112.1229760000006</v>
      </c>
      <c r="AC154" s="3">
        <v>2023</v>
      </c>
      <c r="AD154" s="2">
        <v>2120.1999999999998</v>
      </c>
      <c r="AE154" s="3">
        <v>0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v>1865.1657870000004</v>
      </c>
      <c r="G155" s="3">
        <v>1700.4817390000001</v>
      </c>
      <c r="H155" s="3">
        <v>1604.5</v>
      </c>
      <c r="I155" s="3">
        <v>1561.8</v>
      </c>
      <c r="J155" s="3">
        <v>1534.0100520000001</v>
      </c>
      <c r="K155" s="3">
        <v>1525.4280040000001</v>
      </c>
      <c r="L155" s="3">
        <v>1530.4213279999999</v>
      </c>
      <c r="M155" s="3">
        <v>1594.5540319999998</v>
      </c>
      <c r="N155" s="3">
        <v>1796.4603780000002</v>
      </c>
      <c r="O155" s="3">
        <v>1946.6064850000002</v>
      </c>
      <c r="P155" s="3">
        <v>2081.4691129999997</v>
      </c>
      <c r="Q155" s="3">
        <v>2174.3361650000002</v>
      </c>
      <c r="R155" s="3">
        <v>2213.3673409999997</v>
      </c>
      <c r="S155" s="3">
        <v>2168.6799700000001</v>
      </c>
      <c r="T155" s="3">
        <v>2128.3205979999998</v>
      </c>
      <c r="U155" s="3">
        <v>2154.4115959999995</v>
      </c>
      <c r="V155" s="3">
        <v>2143.4913109999993</v>
      </c>
      <c r="W155" s="3">
        <v>2113.7071720000004</v>
      </c>
      <c r="X155" s="3">
        <v>2068.6862350000001</v>
      </c>
      <c r="Y155" s="3">
        <v>1983.3459240000004</v>
      </c>
      <c r="Z155" s="3">
        <v>2141.0055780000002</v>
      </c>
      <c r="AA155" s="3">
        <v>2234.1769519999998</v>
      </c>
      <c r="AB155" s="3">
        <v>2194.3327099999997</v>
      </c>
      <c r="AC155" s="3">
        <v>2102.4715800000004</v>
      </c>
      <c r="AD155" s="2">
        <v>2220.6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v>1902.6278299999999</v>
      </c>
      <c r="G156" s="3">
        <v>1782.0760329999998</v>
      </c>
      <c r="H156" s="3">
        <v>1679.5077240000001</v>
      </c>
      <c r="I156" s="3">
        <v>1630.2449680000002</v>
      </c>
      <c r="J156" s="3">
        <v>1605.6795380000001</v>
      </c>
      <c r="K156" s="3">
        <v>1597.2277809999996</v>
      </c>
      <c r="L156" s="3">
        <v>1592.19112</v>
      </c>
      <c r="M156" s="3">
        <v>1649.4444750000002</v>
      </c>
      <c r="N156" s="3">
        <v>1828.0919980000001</v>
      </c>
      <c r="O156" s="3">
        <v>1962.7</v>
      </c>
      <c r="P156" s="3">
        <v>2082.8000000000002</v>
      </c>
      <c r="Q156" s="3">
        <v>2190.9336620000004</v>
      </c>
      <c r="R156" s="3">
        <v>2229.3956159999998</v>
      </c>
      <c r="S156" s="3">
        <v>2157.1695659999996</v>
      </c>
      <c r="T156" s="3">
        <v>2154.9</v>
      </c>
      <c r="U156" s="3">
        <v>2179.3257230000004</v>
      </c>
      <c r="V156" s="3">
        <v>2174.3673050000002</v>
      </c>
      <c r="W156" s="3">
        <v>2149.5472920000007</v>
      </c>
      <c r="X156" s="3">
        <v>2080.7868280000002</v>
      </c>
      <c r="Y156" s="3">
        <v>2034.7467480000003</v>
      </c>
      <c r="Z156" s="3">
        <v>2167.6</v>
      </c>
      <c r="AA156" s="3">
        <v>2251.873505</v>
      </c>
      <c r="AB156" s="3">
        <v>2193.8593679999999</v>
      </c>
      <c r="AC156" s="3">
        <v>2089.7381100000002</v>
      </c>
      <c r="AD156" s="2">
        <v>2285.1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v>1692.3000000000002</v>
      </c>
      <c r="G157" s="3">
        <v>1706.183473</v>
      </c>
      <c r="H157" s="3">
        <v>1621.3549840000001</v>
      </c>
      <c r="I157" s="3">
        <v>1585.1772679999999</v>
      </c>
      <c r="J157" s="3">
        <v>1574.9642260000001</v>
      </c>
      <c r="K157" s="3">
        <v>1573.4475630000002</v>
      </c>
      <c r="L157" s="3">
        <v>1587.2166</v>
      </c>
      <c r="M157" s="3">
        <v>1623.7571740000001</v>
      </c>
      <c r="N157" s="3">
        <v>1768.0446670000001</v>
      </c>
      <c r="O157" s="3">
        <v>1914.6154880000004</v>
      </c>
      <c r="P157" s="3">
        <v>2025.7513380000003</v>
      </c>
      <c r="Q157" s="3">
        <v>2112.3919609999998</v>
      </c>
      <c r="R157" s="3">
        <v>2129.0995089999997</v>
      </c>
      <c r="S157" s="3">
        <v>2074.14149</v>
      </c>
      <c r="T157" s="3">
        <v>2027.9953559999999</v>
      </c>
      <c r="U157" s="3">
        <v>2010.117874</v>
      </c>
      <c r="V157" s="3">
        <v>2006.7614870000002</v>
      </c>
      <c r="W157" s="3">
        <v>1968.2418359999997</v>
      </c>
      <c r="X157" s="3">
        <v>1916.136978</v>
      </c>
      <c r="Y157" s="3">
        <v>1867.8</v>
      </c>
      <c r="Z157" s="3">
        <v>2054.0606979999998</v>
      </c>
      <c r="AA157" s="3">
        <v>2112.1222809999999</v>
      </c>
      <c r="AB157" s="3">
        <v>2053.27585</v>
      </c>
      <c r="AC157" s="3">
        <v>1913.3182420000003</v>
      </c>
      <c r="AD157" s="2">
        <v>2154.1999999999998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v>1860.5</v>
      </c>
      <c r="G158" s="3">
        <v>1720.5215819999999</v>
      </c>
      <c r="H158" s="3">
        <v>1624.6687679999995</v>
      </c>
      <c r="I158" s="3">
        <v>1565.5455880000002</v>
      </c>
      <c r="J158" s="3">
        <v>1518.0508150000001</v>
      </c>
      <c r="K158" s="3">
        <v>1511.6151609999999</v>
      </c>
      <c r="L158" s="3">
        <v>1484.1</v>
      </c>
      <c r="M158" s="3">
        <v>1437.2551840000001</v>
      </c>
      <c r="N158" s="3">
        <v>1544.5</v>
      </c>
      <c r="O158" s="3">
        <v>1640.050986</v>
      </c>
      <c r="P158" s="3">
        <v>1731.9012300000002</v>
      </c>
      <c r="Q158" s="3">
        <v>1815.4584890000001</v>
      </c>
      <c r="R158" s="3">
        <v>1816.6586420000001</v>
      </c>
      <c r="S158" s="3">
        <v>1798.5359500000004</v>
      </c>
      <c r="T158" s="3">
        <v>1777.3562479999996</v>
      </c>
      <c r="U158" s="3">
        <v>1770.6762299999998</v>
      </c>
      <c r="V158" s="3">
        <v>1761.8127469999999</v>
      </c>
      <c r="W158" s="3">
        <v>1761.072874</v>
      </c>
      <c r="X158" s="3">
        <v>1750.9073920000001</v>
      </c>
      <c r="Y158" s="3">
        <v>1745.1044849999998</v>
      </c>
      <c r="Z158" s="3">
        <v>1944.8999999999999</v>
      </c>
      <c r="AA158" s="3">
        <v>2015.231896</v>
      </c>
      <c r="AB158" s="3">
        <v>1974.2081679999999</v>
      </c>
      <c r="AC158" s="3">
        <v>1859.6371709999996</v>
      </c>
      <c r="AD158" s="2">
        <v>2020.0000000000002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v>1711.7716379999999</v>
      </c>
      <c r="G159" s="3">
        <v>1619.2774890000001</v>
      </c>
      <c r="H159" s="3">
        <v>1517.3</v>
      </c>
      <c r="I159" s="3">
        <v>1480.8185800000001</v>
      </c>
      <c r="J159" s="3">
        <v>1448.2854919999997</v>
      </c>
      <c r="K159" s="3">
        <v>1455.1554119999998</v>
      </c>
      <c r="L159" s="3">
        <v>1477.5638799999999</v>
      </c>
      <c r="M159" s="3">
        <v>1557.5276879999999</v>
      </c>
      <c r="N159" s="3">
        <v>1746.6050970000001</v>
      </c>
      <c r="O159" s="3">
        <v>1884.95126</v>
      </c>
      <c r="P159" s="3">
        <v>2020.6453469999999</v>
      </c>
      <c r="Q159" s="3">
        <v>2117.3798609999999</v>
      </c>
      <c r="R159" s="3">
        <v>2123.7025440000002</v>
      </c>
      <c r="S159" s="3">
        <v>2121.2058779999998</v>
      </c>
      <c r="T159" s="3">
        <v>2067.5685520000002</v>
      </c>
      <c r="U159" s="3">
        <v>2103.0870650000002</v>
      </c>
      <c r="V159" s="3">
        <v>2083.979484</v>
      </c>
      <c r="W159" s="3">
        <v>2052.2116329999994</v>
      </c>
      <c r="X159" s="3">
        <v>2003.1859910000003</v>
      </c>
      <c r="Y159" s="3">
        <v>1949.3902510000003</v>
      </c>
      <c r="Z159" s="3">
        <v>2134.4</v>
      </c>
      <c r="AA159" s="3">
        <v>2204.7951400000006</v>
      </c>
      <c r="AB159" s="3">
        <v>2144.4504350000002</v>
      </c>
      <c r="AC159" s="3">
        <v>2045.800845</v>
      </c>
      <c r="AD159" s="2">
        <v>2223.8000000000002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v>1885.024064</v>
      </c>
      <c r="G160" s="3">
        <v>1716.050416</v>
      </c>
      <c r="H160" s="3">
        <v>1604.0008979999998</v>
      </c>
      <c r="I160" s="3">
        <v>1576.1334279999999</v>
      </c>
      <c r="J160" s="3">
        <v>1575.1243720000002</v>
      </c>
      <c r="K160" s="3">
        <v>1605.0667619999999</v>
      </c>
      <c r="L160" s="3">
        <v>1570.2171949999999</v>
      </c>
      <c r="M160" s="3">
        <v>1641.1999999999998</v>
      </c>
      <c r="N160" s="3">
        <v>1803.3343200000002</v>
      </c>
      <c r="O160" s="3">
        <v>2023.7463669999997</v>
      </c>
      <c r="P160" s="3">
        <v>2147.9892199999995</v>
      </c>
      <c r="Q160" s="3">
        <v>2218.1900020000003</v>
      </c>
      <c r="R160" s="3">
        <v>2237.8436769999994</v>
      </c>
      <c r="S160" s="3">
        <v>2202.2229520000001</v>
      </c>
      <c r="T160" s="3">
        <v>2163.7999999999997</v>
      </c>
      <c r="U160" s="3">
        <v>2168.6200620000004</v>
      </c>
      <c r="V160" s="3">
        <v>2152.8867209999994</v>
      </c>
      <c r="W160" s="3">
        <v>2114.9115899999997</v>
      </c>
      <c r="X160" s="3">
        <v>2048.6165000000001</v>
      </c>
      <c r="Y160" s="3">
        <v>1972.5201529999997</v>
      </c>
      <c r="Z160" s="3">
        <v>2181.6431480000001</v>
      </c>
      <c r="AA160" s="3">
        <v>2237.9282770000004</v>
      </c>
      <c r="AB160" s="3">
        <v>2168.0356829999996</v>
      </c>
      <c r="AC160" s="3">
        <v>2060.4633600000002</v>
      </c>
      <c r="AD160" s="2">
        <v>2275.4000000000005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v>1892.1</v>
      </c>
      <c r="G161" s="3">
        <v>1737.0997479999999</v>
      </c>
      <c r="H161" s="3">
        <v>1650.3</v>
      </c>
      <c r="I161" s="3">
        <v>1599.175616</v>
      </c>
      <c r="J161" s="3">
        <v>1559.2</v>
      </c>
      <c r="K161" s="3">
        <v>1567.123315</v>
      </c>
      <c r="L161" s="3">
        <v>1580.0899100000001</v>
      </c>
      <c r="M161" s="3">
        <v>1648.254709</v>
      </c>
      <c r="N161" s="3">
        <v>1843.7999999999997</v>
      </c>
      <c r="O161" s="3">
        <v>1981.74918</v>
      </c>
      <c r="P161" s="3">
        <v>2086.9</v>
      </c>
      <c r="Q161" s="3">
        <v>2204.3386769999997</v>
      </c>
      <c r="R161" s="3">
        <v>2239.5849059999996</v>
      </c>
      <c r="S161" s="3">
        <v>2214.4561719999997</v>
      </c>
      <c r="T161" s="3">
        <v>2183.9443719999999</v>
      </c>
      <c r="U161" s="3">
        <v>2197.602108</v>
      </c>
      <c r="V161" s="3">
        <v>2188.6</v>
      </c>
      <c r="W161" s="3">
        <v>2138.8783699999994</v>
      </c>
      <c r="X161" s="3">
        <v>2071.1747970000001</v>
      </c>
      <c r="Y161" s="3">
        <v>2017.3000000000004</v>
      </c>
      <c r="Z161" s="3">
        <v>2225.7495909999998</v>
      </c>
      <c r="AA161" s="3">
        <v>2263.3157520000004</v>
      </c>
      <c r="AB161" s="3">
        <v>2207.2999999999997</v>
      </c>
      <c r="AC161" s="3">
        <v>2102.3132919999998</v>
      </c>
      <c r="AD161" s="2">
        <v>2287.6000000000004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v>1932.1988620000002</v>
      </c>
      <c r="G162" s="3">
        <v>1787.4738400000001</v>
      </c>
      <c r="H162" s="3">
        <v>1676.6878309999997</v>
      </c>
      <c r="I162" s="3">
        <v>1635.6512070000001</v>
      </c>
      <c r="J162" s="3">
        <v>1614.5087410000003</v>
      </c>
      <c r="K162" s="3">
        <v>1610.7024680000002</v>
      </c>
      <c r="L162" s="3">
        <v>1594.7530119999999</v>
      </c>
      <c r="M162" s="3">
        <v>1632.3000000000002</v>
      </c>
      <c r="N162" s="3">
        <v>1844.5289550000002</v>
      </c>
      <c r="O162" s="3">
        <v>2010.9401959999998</v>
      </c>
      <c r="P162" s="3">
        <v>2156.6602749999997</v>
      </c>
      <c r="Q162" s="3">
        <v>2247.7605560000002</v>
      </c>
      <c r="R162" s="3">
        <v>2291.7168509999997</v>
      </c>
      <c r="S162" s="3">
        <v>2266.0999999999995</v>
      </c>
      <c r="T162" s="3">
        <v>2224.2531119999999</v>
      </c>
      <c r="U162" s="3">
        <v>2229.9484709999992</v>
      </c>
      <c r="V162" s="3">
        <v>2187.7384560000005</v>
      </c>
      <c r="W162" s="3">
        <v>2134.7969720000001</v>
      </c>
      <c r="X162" s="3">
        <v>2077.7729240000003</v>
      </c>
      <c r="Y162" s="3">
        <v>2025.8000000000002</v>
      </c>
      <c r="Z162" s="3">
        <v>2244.3785820000003</v>
      </c>
      <c r="AA162" s="3">
        <v>2287.8181769999997</v>
      </c>
      <c r="AB162" s="3">
        <v>2220.4532650000001</v>
      </c>
      <c r="AC162" s="3">
        <v>2120.7088170000002</v>
      </c>
      <c r="AD162" s="2">
        <v>2299.8999999999996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v>1958.9722400000001</v>
      </c>
      <c r="G163" s="3">
        <v>1797.2706760000003</v>
      </c>
      <c r="H163" s="3">
        <v>1719.4238769999999</v>
      </c>
      <c r="I163" s="3">
        <v>1669.6616850000003</v>
      </c>
      <c r="J163" s="3">
        <v>1619.8525359999999</v>
      </c>
      <c r="K163" s="3">
        <v>1625.484224</v>
      </c>
      <c r="L163" s="3">
        <v>1628.463107</v>
      </c>
      <c r="M163" s="3">
        <v>1655.5583300000001</v>
      </c>
      <c r="N163" s="3">
        <v>1848.1</v>
      </c>
      <c r="O163" s="3">
        <v>2022.5459080000003</v>
      </c>
      <c r="P163" s="3">
        <v>2140.4057309999998</v>
      </c>
      <c r="Q163" s="3">
        <v>2244.8744770000003</v>
      </c>
      <c r="R163" s="3">
        <v>2281.3531399999997</v>
      </c>
      <c r="S163" s="3">
        <v>2219.4454600000008</v>
      </c>
      <c r="T163" s="3">
        <v>2195.3000000000002</v>
      </c>
      <c r="U163" s="3">
        <v>2196.1645360000002</v>
      </c>
      <c r="V163" s="3">
        <v>2178.257615</v>
      </c>
      <c r="W163" s="3">
        <v>2139.1469479999996</v>
      </c>
      <c r="X163" s="3">
        <v>2090.4521159999999</v>
      </c>
      <c r="Y163" s="3">
        <v>2053.1613609999999</v>
      </c>
      <c r="Z163" s="3">
        <v>2254.9679739999997</v>
      </c>
      <c r="AA163" s="3">
        <v>2288.4661799999999</v>
      </c>
      <c r="AB163" s="3">
        <v>2205.3789200000001</v>
      </c>
      <c r="AC163" s="3">
        <v>2112.268998</v>
      </c>
      <c r="AD163" s="2">
        <v>2312.1000000000004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v>1937.0940680000001</v>
      </c>
      <c r="G164" s="3">
        <v>1802.3326370000002</v>
      </c>
      <c r="H164" s="3">
        <v>1721.7818380000001</v>
      </c>
      <c r="I164" s="3">
        <v>1651.5858900000003</v>
      </c>
      <c r="J164" s="3">
        <v>1643.0970420000001</v>
      </c>
      <c r="K164" s="3">
        <v>1656.9294440000001</v>
      </c>
      <c r="L164" s="3">
        <v>1640.7999320000001</v>
      </c>
      <c r="M164" s="3">
        <v>1680.8151579999997</v>
      </c>
      <c r="N164" s="3">
        <v>1845.6649250000003</v>
      </c>
      <c r="O164" s="3">
        <v>2010.1999999999996</v>
      </c>
      <c r="P164" s="3">
        <v>2121.7964999999995</v>
      </c>
      <c r="Q164" s="3">
        <v>2219.3459700000003</v>
      </c>
      <c r="R164" s="3">
        <v>2250.109152</v>
      </c>
      <c r="S164" s="3">
        <v>2211.3694340000002</v>
      </c>
      <c r="T164" s="3">
        <v>2155.685344</v>
      </c>
      <c r="U164" s="3">
        <v>2127.1000000000004</v>
      </c>
      <c r="V164" s="3">
        <v>2118.5041630000001</v>
      </c>
      <c r="W164" s="3">
        <v>2079.4999999999995</v>
      </c>
      <c r="X164" s="3">
        <v>2007.8815539999998</v>
      </c>
      <c r="Y164" s="3">
        <v>1971.5999999999997</v>
      </c>
      <c r="Z164" s="3">
        <v>2194.5999999999995</v>
      </c>
      <c r="AA164" s="3">
        <v>2215.9623959999999</v>
      </c>
      <c r="AB164" s="3">
        <v>2164.7951000000007</v>
      </c>
      <c r="AC164" s="3">
        <v>2079.3488200000002</v>
      </c>
      <c r="AD164" s="2">
        <v>2247.4999999999995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v>1924.4090029999995</v>
      </c>
      <c r="G165" s="3">
        <v>1780.8287109999997</v>
      </c>
      <c r="H165" s="3">
        <v>1680.5563099999999</v>
      </c>
      <c r="I165" s="3">
        <v>1618.738848</v>
      </c>
      <c r="J165" s="3">
        <v>1580.2139680000002</v>
      </c>
      <c r="K165" s="3">
        <v>1586.9266019999998</v>
      </c>
      <c r="L165" s="3">
        <v>1548.770235</v>
      </c>
      <c r="M165" s="3">
        <v>1478.3678049999999</v>
      </c>
      <c r="N165" s="3">
        <v>1547.303811</v>
      </c>
      <c r="O165" s="3">
        <v>1665.1694679999996</v>
      </c>
      <c r="P165" s="3">
        <v>1780.0000000000002</v>
      </c>
      <c r="Q165" s="3">
        <v>1847.7</v>
      </c>
      <c r="R165" s="3">
        <v>1886.0234009999997</v>
      </c>
      <c r="S165" s="3">
        <v>1884.8694379999999</v>
      </c>
      <c r="T165" s="3">
        <v>1862.0354239999997</v>
      </c>
      <c r="U165" s="3">
        <v>1846.8566070000002</v>
      </c>
      <c r="V165" s="3">
        <v>1832.3394050000004</v>
      </c>
      <c r="W165" s="3">
        <v>1809.00188</v>
      </c>
      <c r="X165" s="3">
        <v>1760.472262</v>
      </c>
      <c r="Y165" s="3">
        <v>1761.413053</v>
      </c>
      <c r="Z165" s="3">
        <v>1986.6999999999998</v>
      </c>
      <c r="AA165" s="3">
        <v>2034.6814839999997</v>
      </c>
      <c r="AB165" s="3">
        <v>2003.9000000000003</v>
      </c>
      <c r="AC165" s="3">
        <v>1906.0134049999999</v>
      </c>
      <c r="AD165" s="2">
        <v>2048.5000000000005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v>1746.5883779999999</v>
      </c>
      <c r="G166" s="3">
        <v>1616.8607950000001</v>
      </c>
      <c r="H166" s="3">
        <v>1542.6961520000002</v>
      </c>
      <c r="I166" s="3">
        <v>1503.3387580000001</v>
      </c>
      <c r="J166" s="3">
        <v>1497.022199</v>
      </c>
      <c r="K166" s="3">
        <v>1512.862545</v>
      </c>
      <c r="L166" s="3">
        <v>1535.206584</v>
      </c>
      <c r="M166" s="3">
        <v>1608.134309</v>
      </c>
      <c r="N166" s="3">
        <v>1806.7</v>
      </c>
      <c r="O166" s="3">
        <v>1966.3999999999999</v>
      </c>
      <c r="P166" s="3">
        <v>2085.9560760000004</v>
      </c>
      <c r="Q166" s="3">
        <v>2176</v>
      </c>
      <c r="R166" s="3">
        <v>2190.8999999999996</v>
      </c>
      <c r="S166" s="3">
        <v>2152.2426</v>
      </c>
      <c r="T166" s="3">
        <v>2117.2104999999997</v>
      </c>
      <c r="U166" s="3">
        <v>2131.3012430000003</v>
      </c>
      <c r="V166" s="3">
        <v>2110.4907880000001</v>
      </c>
      <c r="W166" s="3">
        <v>2070.8000000000002</v>
      </c>
      <c r="X166" s="3">
        <v>2016.6847780000001</v>
      </c>
      <c r="Y166" s="3">
        <v>1973.4999999999998</v>
      </c>
      <c r="Z166" s="3">
        <v>2185.9704520000005</v>
      </c>
      <c r="AA166" s="3">
        <v>2187.869432</v>
      </c>
      <c r="AB166" s="3">
        <v>2125.1026140000004</v>
      </c>
      <c r="AC166" s="3">
        <v>2015.6138960000003</v>
      </c>
      <c r="AD166" s="2">
        <v>2221.1999999999998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v>1816.1742429999997</v>
      </c>
      <c r="G167" s="3">
        <v>1672.3530150000001</v>
      </c>
      <c r="H167" s="3">
        <v>1598.0393379999998</v>
      </c>
      <c r="I167" s="3">
        <v>1554.4653760000001</v>
      </c>
      <c r="J167" s="3">
        <v>1534.7057259999999</v>
      </c>
      <c r="K167" s="3">
        <v>1543.3984330000001</v>
      </c>
      <c r="L167" s="3">
        <v>1551.742264</v>
      </c>
      <c r="M167" s="3">
        <v>1621.6413470000002</v>
      </c>
      <c r="N167" s="3">
        <v>1803.4647110000001</v>
      </c>
      <c r="O167" s="3">
        <v>1943.1000000000001</v>
      </c>
      <c r="P167" s="3">
        <v>2053.8367010000002</v>
      </c>
      <c r="Q167" s="3">
        <v>2142.2917190000003</v>
      </c>
      <c r="R167" s="3">
        <v>2131.0951680000003</v>
      </c>
      <c r="S167" s="3">
        <v>2086.2214520000002</v>
      </c>
      <c r="T167" s="3">
        <v>2036.8227749999999</v>
      </c>
      <c r="U167" s="3">
        <v>2046.5821739999999</v>
      </c>
      <c r="V167" s="3">
        <v>2047.8410869999996</v>
      </c>
      <c r="W167" s="3">
        <v>1995.5291099999999</v>
      </c>
      <c r="X167" s="3">
        <v>1967.519184</v>
      </c>
      <c r="Y167" s="3">
        <v>1957.7128600000001</v>
      </c>
      <c r="Z167" s="3">
        <v>2153.6999999999994</v>
      </c>
      <c r="AA167" s="3">
        <v>2118.0123620000004</v>
      </c>
      <c r="AB167" s="3">
        <v>2028.4501889999999</v>
      </c>
      <c r="AC167" s="3">
        <v>1912.22721</v>
      </c>
      <c r="AD167" s="2">
        <v>2176.5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v>1734.195935</v>
      </c>
      <c r="G168" s="3">
        <v>1586.9437180000002</v>
      </c>
      <c r="H168" s="3">
        <v>1518.031254</v>
      </c>
      <c r="I168" s="3">
        <v>1478.4626559999999</v>
      </c>
      <c r="J168" s="3">
        <v>1460.7404059999997</v>
      </c>
      <c r="K168" s="3">
        <v>1466.8095899999998</v>
      </c>
      <c r="L168" s="3">
        <v>1489.925565</v>
      </c>
      <c r="M168" s="3">
        <v>1543.101312</v>
      </c>
      <c r="N168" s="3">
        <v>1711.9868389999999</v>
      </c>
      <c r="O168" s="3">
        <v>1847.947983</v>
      </c>
      <c r="P168" s="3">
        <v>1955.0085760000004</v>
      </c>
      <c r="Q168" s="3">
        <v>2049.7586069999998</v>
      </c>
      <c r="R168" s="3">
        <v>2084.8000000000002</v>
      </c>
      <c r="S168" s="3">
        <v>2022.7540409999997</v>
      </c>
      <c r="T168" s="3">
        <v>1960.8853550000001</v>
      </c>
      <c r="U168" s="3">
        <v>1960.7135149999997</v>
      </c>
      <c r="V168" s="3">
        <v>1969.7366340000001</v>
      </c>
      <c r="W168" s="3">
        <v>1931.8822039999998</v>
      </c>
      <c r="X168" s="3">
        <v>1873.1870120000001</v>
      </c>
      <c r="Y168" s="3">
        <v>1906.6868499999998</v>
      </c>
      <c r="Z168" s="3">
        <v>2071.2282859999996</v>
      </c>
      <c r="AA168" s="3">
        <v>2038.1767919999998</v>
      </c>
      <c r="AB168" s="3">
        <v>1977.1283719999999</v>
      </c>
      <c r="AC168" s="3">
        <v>1840.0934160000002</v>
      </c>
      <c r="AD168" s="2">
        <v>2082.7000000000003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v>1664.0115459999997</v>
      </c>
      <c r="G169" s="3">
        <v>1540.5999119999999</v>
      </c>
      <c r="H169" s="3">
        <v>1476.4644919999998</v>
      </c>
      <c r="I169" s="3">
        <v>1426.5717080000002</v>
      </c>
      <c r="J169" s="3">
        <v>1433.568608</v>
      </c>
      <c r="K169" s="3">
        <v>1431.983336</v>
      </c>
      <c r="L169" s="3">
        <v>1458.6522650000002</v>
      </c>
      <c r="M169" s="3">
        <v>1508.5266360000003</v>
      </c>
      <c r="N169" s="3">
        <v>1680.5393749999998</v>
      </c>
      <c r="O169" s="3">
        <v>1808.7</v>
      </c>
      <c r="P169" s="3">
        <v>1891.5999999999997</v>
      </c>
      <c r="Q169" s="3">
        <v>1972</v>
      </c>
      <c r="R169" s="3">
        <v>1982.2574420000001</v>
      </c>
      <c r="S169" s="3">
        <v>1936.5192619999998</v>
      </c>
      <c r="T169" s="3">
        <v>1889.4000000000003</v>
      </c>
      <c r="U169" s="3">
        <v>1888.8923119999999</v>
      </c>
      <c r="V169" s="3">
        <v>1874.6991149999997</v>
      </c>
      <c r="W169" s="3">
        <v>1847.274085</v>
      </c>
      <c r="X169" s="3">
        <v>1814.6173890000002</v>
      </c>
      <c r="Y169" s="3">
        <v>1807.8222330000001</v>
      </c>
      <c r="Z169" s="3">
        <v>2046.3621230000001</v>
      </c>
      <c r="AA169" s="3">
        <v>2025.7777959999999</v>
      </c>
      <c r="AB169" s="3">
        <v>1958.2900150000003</v>
      </c>
      <c r="AC169" s="3">
        <v>1851.512072</v>
      </c>
      <c r="AD169" s="2">
        <v>2073.7000000000003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v>1696.0293480000005</v>
      </c>
      <c r="G170" s="3">
        <v>1546.1890720000004</v>
      </c>
      <c r="H170" s="3">
        <v>1468.1490880000001</v>
      </c>
      <c r="I170" s="3">
        <v>1442.188079</v>
      </c>
      <c r="J170" s="3">
        <v>1437.7306899999999</v>
      </c>
      <c r="K170" s="3">
        <v>1439.791751</v>
      </c>
      <c r="L170" s="3">
        <v>1461.8091440000001</v>
      </c>
      <c r="M170" s="3">
        <v>1515.173466</v>
      </c>
      <c r="N170" s="3">
        <v>1699.3311639999997</v>
      </c>
      <c r="O170" s="3">
        <v>1807.8758799999998</v>
      </c>
      <c r="P170" s="3">
        <v>1926.744346</v>
      </c>
      <c r="Q170" s="3">
        <v>1995.4811220000001</v>
      </c>
      <c r="R170" s="3">
        <v>2016.5080229999999</v>
      </c>
      <c r="S170" s="3">
        <v>1962.9891129999999</v>
      </c>
      <c r="T170" s="3">
        <v>1928.4148839999998</v>
      </c>
      <c r="U170" s="3">
        <v>1933.986952</v>
      </c>
      <c r="V170" s="3">
        <v>1926.0315019999996</v>
      </c>
      <c r="W170" s="3">
        <v>1908.8938079999998</v>
      </c>
      <c r="X170" s="3">
        <v>1885.9722000000002</v>
      </c>
      <c r="Y170" s="3">
        <v>1866.1918860000003</v>
      </c>
      <c r="Z170" s="3">
        <v>2113.1202790000002</v>
      </c>
      <c r="AA170" s="3">
        <v>2106.5383830000001</v>
      </c>
      <c r="AB170" s="3">
        <v>2028.2416640000001</v>
      </c>
      <c r="AC170" s="3">
        <v>1912.9</v>
      </c>
      <c r="AD170" s="2">
        <v>2142.2000000000003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v>1728.8286680000001</v>
      </c>
      <c r="G171" s="3">
        <v>1593.9455740000001</v>
      </c>
      <c r="H171" s="3">
        <v>1499.3955279999998</v>
      </c>
      <c r="I171" s="3">
        <v>1452.8945820000001</v>
      </c>
      <c r="J171" s="3">
        <v>1445.4425210000002</v>
      </c>
      <c r="K171" s="3">
        <v>1454.806552</v>
      </c>
      <c r="L171" s="3">
        <v>1469.7388249999999</v>
      </c>
      <c r="M171" s="3">
        <v>1521.4</v>
      </c>
      <c r="N171" s="3">
        <v>1713.1667420000001</v>
      </c>
      <c r="O171" s="3">
        <v>1852.5547710000001</v>
      </c>
      <c r="P171" s="3">
        <v>1960.4096979999999</v>
      </c>
      <c r="Q171" s="3">
        <v>2029.9452959999999</v>
      </c>
      <c r="R171" s="3">
        <v>2041.0479209999996</v>
      </c>
      <c r="S171" s="3">
        <v>1980.3567360000002</v>
      </c>
      <c r="T171" s="3">
        <v>1938.2998899999998</v>
      </c>
      <c r="U171" s="3">
        <v>1930.0898159999997</v>
      </c>
      <c r="V171" s="3">
        <v>1905.258108</v>
      </c>
      <c r="W171" s="3">
        <v>1877.5305920000003</v>
      </c>
      <c r="X171" s="3">
        <v>1851.623906</v>
      </c>
      <c r="Y171" s="3">
        <v>1844.7094399999999</v>
      </c>
      <c r="Z171" s="3">
        <v>2106.3190359999999</v>
      </c>
      <c r="AA171" s="3">
        <v>2088.7197689999998</v>
      </c>
      <c r="AB171" s="3">
        <v>2024.6999999999998</v>
      </c>
      <c r="AC171" s="3">
        <v>1900.4461820000001</v>
      </c>
      <c r="AD171" s="2">
        <v>2152.6999999999998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v>1718.0173459999996</v>
      </c>
      <c r="G172" s="3">
        <v>1589.5747690000001</v>
      </c>
      <c r="H172" s="3">
        <v>1507.947625</v>
      </c>
      <c r="I172" s="3">
        <v>1473.2344900000001</v>
      </c>
      <c r="J172" s="3">
        <v>1450.62141</v>
      </c>
      <c r="K172" s="3">
        <v>1447.151854</v>
      </c>
      <c r="L172" s="3">
        <v>1430.8259739999999</v>
      </c>
      <c r="M172" s="3">
        <v>1377.54576</v>
      </c>
      <c r="N172" s="3">
        <v>1452.8866259999998</v>
      </c>
      <c r="O172" s="3">
        <v>1569.8302879999999</v>
      </c>
      <c r="P172" s="3">
        <v>1624.113124</v>
      </c>
      <c r="Q172" s="3">
        <v>1654.2411090000001</v>
      </c>
      <c r="R172" s="3">
        <v>1730.8970899999999</v>
      </c>
      <c r="S172" s="3">
        <v>1727.7053100000003</v>
      </c>
      <c r="T172" s="3">
        <v>1702.3616200000004</v>
      </c>
      <c r="U172" s="3">
        <v>1677.6389980000001</v>
      </c>
      <c r="V172" s="3">
        <v>1656.8594009999999</v>
      </c>
      <c r="W172" s="3">
        <v>1650.1438630000002</v>
      </c>
      <c r="X172" s="3">
        <v>1638.4469909999998</v>
      </c>
      <c r="Y172" s="3">
        <v>1656.5177819999999</v>
      </c>
      <c r="Z172" s="3">
        <v>1923.806818</v>
      </c>
      <c r="AA172" s="3">
        <v>1946.7928519999998</v>
      </c>
      <c r="AB172" s="3">
        <v>1897.4812910000003</v>
      </c>
      <c r="AC172" s="3">
        <v>1803.5944390000002</v>
      </c>
      <c r="AD172" s="2">
        <v>1939.3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v>1643.8934380000001</v>
      </c>
      <c r="G173" s="3">
        <v>1502.355581</v>
      </c>
      <c r="H173" s="3">
        <v>1429.06926</v>
      </c>
      <c r="I173" s="3">
        <v>1396.3192910000002</v>
      </c>
      <c r="J173" s="3">
        <v>1390.0034039999998</v>
      </c>
      <c r="K173" s="3">
        <v>1399.0269029999999</v>
      </c>
      <c r="L173" s="3">
        <v>1436.856867</v>
      </c>
      <c r="M173" s="3">
        <v>1491.1248509999998</v>
      </c>
      <c r="N173" s="3">
        <v>1705.7679659999999</v>
      </c>
      <c r="O173" s="3">
        <v>1874.1287559999998</v>
      </c>
      <c r="P173" s="3">
        <v>1985.6719930000004</v>
      </c>
      <c r="Q173" s="3">
        <v>2051.2793400000005</v>
      </c>
      <c r="R173" s="3">
        <v>2076.3146830000001</v>
      </c>
      <c r="S173" s="3">
        <v>2025.4538610000002</v>
      </c>
      <c r="T173" s="3">
        <v>1992.1</v>
      </c>
      <c r="U173" s="3">
        <v>1995.3250299999995</v>
      </c>
      <c r="V173" s="3">
        <v>1980.8702509999998</v>
      </c>
      <c r="W173" s="3">
        <v>1918.8187359999999</v>
      </c>
      <c r="X173" s="3">
        <v>1879.94622</v>
      </c>
      <c r="Y173" s="3">
        <v>1907.8000000000002</v>
      </c>
      <c r="Z173" s="3">
        <v>2119.9944089999995</v>
      </c>
      <c r="AA173" s="3">
        <v>2114.9131199999997</v>
      </c>
      <c r="AB173" s="3">
        <v>2050.2000000000003</v>
      </c>
      <c r="AC173" s="3">
        <v>1955.5477439999997</v>
      </c>
      <c r="AD173" s="2">
        <v>2130.3999999999996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v>1762.7240659999998</v>
      </c>
      <c r="G174" s="3">
        <v>1602.16056</v>
      </c>
      <c r="H174" s="3">
        <v>1528.3000000000002</v>
      </c>
      <c r="I174" s="3">
        <v>1496.3766280000002</v>
      </c>
      <c r="J174" s="3">
        <v>1460.8573400000002</v>
      </c>
      <c r="K174" s="3">
        <v>1463.48775</v>
      </c>
      <c r="L174" s="3">
        <v>1489.484528</v>
      </c>
      <c r="M174" s="3">
        <v>1541.3993599999999</v>
      </c>
      <c r="N174" s="3">
        <v>1723.4859180000001</v>
      </c>
      <c r="O174" s="3">
        <v>1873.629062</v>
      </c>
      <c r="P174" s="3">
        <v>1977.3658140000002</v>
      </c>
      <c r="Q174" s="3">
        <v>2040.1618980000001</v>
      </c>
      <c r="R174" s="3">
        <v>2051.5412909999995</v>
      </c>
      <c r="S174" s="3">
        <v>1998.2914400000004</v>
      </c>
      <c r="T174" s="3">
        <v>1945.0002630000001</v>
      </c>
      <c r="U174" s="3">
        <v>1962.7841310000001</v>
      </c>
      <c r="V174" s="3">
        <v>1961.4681599999997</v>
      </c>
      <c r="W174" s="3">
        <v>1950.0080660000001</v>
      </c>
      <c r="X174" s="3">
        <v>1918.0310030000001</v>
      </c>
      <c r="Y174" s="3">
        <v>1933.4977719999999</v>
      </c>
      <c r="Z174" s="3">
        <v>2145.1</v>
      </c>
      <c r="AA174" s="3">
        <v>2094.3485969999997</v>
      </c>
      <c r="AB174" s="3">
        <v>2021.7543979999998</v>
      </c>
      <c r="AC174" s="3">
        <v>1903.8409799999997</v>
      </c>
      <c r="AD174" s="2">
        <v>2162.4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v>1725.60546</v>
      </c>
      <c r="G175" s="3">
        <v>1577.840066</v>
      </c>
      <c r="H175" s="3">
        <v>1501.1757399999999</v>
      </c>
      <c r="I175" s="3">
        <v>1461.2187699999997</v>
      </c>
      <c r="J175" s="3">
        <v>1439.652124</v>
      </c>
      <c r="K175" s="3">
        <v>1449.3047039999997</v>
      </c>
      <c r="L175" s="3">
        <v>1470.4029619999997</v>
      </c>
      <c r="M175" s="3">
        <v>1519.2103159999997</v>
      </c>
      <c r="N175" s="3">
        <v>1704.1000000000001</v>
      </c>
      <c r="O175" s="3">
        <v>1841.6</v>
      </c>
      <c r="P175" s="3">
        <v>1951.4000000000003</v>
      </c>
      <c r="Q175" s="3">
        <v>2041.2150480000003</v>
      </c>
      <c r="R175" s="3">
        <v>2045.2561589999996</v>
      </c>
      <c r="S175" s="3">
        <v>1997.1390900000001</v>
      </c>
      <c r="T175" s="3">
        <v>1962.8919339999998</v>
      </c>
      <c r="U175" s="3">
        <v>1968.3906590000004</v>
      </c>
      <c r="V175" s="3">
        <v>1946.6728359999995</v>
      </c>
      <c r="W175" s="3">
        <v>1911.3884819999996</v>
      </c>
      <c r="X175" s="3">
        <v>1867.6650600000003</v>
      </c>
      <c r="Y175" s="3">
        <v>1920.7763089999996</v>
      </c>
      <c r="Z175" s="3">
        <v>2066.818448</v>
      </c>
      <c r="AA175" s="3">
        <v>2022.555439</v>
      </c>
      <c r="AB175" s="3">
        <v>1958.75683</v>
      </c>
      <c r="AC175" s="3">
        <v>1819.1576730000002</v>
      </c>
      <c r="AD175" s="2">
        <v>2051.7999999999997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v>1629.1886099999999</v>
      </c>
      <c r="G176" s="3">
        <v>1523.1802859999998</v>
      </c>
      <c r="H176" s="3">
        <v>1456.9253489999999</v>
      </c>
      <c r="I176" s="3">
        <v>1418.7841010000002</v>
      </c>
      <c r="J176" s="3">
        <v>1410.4664159999998</v>
      </c>
      <c r="K176" s="3">
        <v>1419.841592</v>
      </c>
      <c r="L176" s="3">
        <v>1436.5529010000002</v>
      </c>
      <c r="M176" s="3">
        <v>1493.3</v>
      </c>
      <c r="N176" s="3">
        <v>1657.6600639999999</v>
      </c>
      <c r="O176" s="3">
        <v>1804.5690480000001</v>
      </c>
      <c r="P176" s="3">
        <v>1900.6298559999998</v>
      </c>
      <c r="Q176" s="3">
        <v>1949.0902000000001</v>
      </c>
      <c r="R176" s="3">
        <v>1959.6000000000004</v>
      </c>
      <c r="S176" s="3">
        <v>1908.02324</v>
      </c>
      <c r="T176" s="3">
        <v>1866.2960600000001</v>
      </c>
      <c r="U176" s="3">
        <v>1895.9175869999999</v>
      </c>
      <c r="V176" s="3">
        <v>1888.6780999999996</v>
      </c>
      <c r="W176" s="3">
        <v>1863.0930379999998</v>
      </c>
      <c r="X176" s="3">
        <v>1842.4545439999995</v>
      </c>
      <c r="Y176" s="3">
        <v>1911.6181399999996</v>
      </c>
      <c r="Z176" s="3">
        <v>2054.2073489999998</v>
      </c>
      <c r="AA176" s="3">
        <v>1982.0920519999997</v>
      </c>
      <c r="AB176" s="3">
        <v>1887.68524</v>
      </c>
      <c r="AC176" s="3">
        <v>1779.67302</v>
      </c>
      <c r="AD176" s="2">
        <v>2047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v>1593.7565050000001</v>
      </c>
      <c r="G177" s="3">
        <v>1470.964082</v>
      </c>
      <c r="H177" s="3">
        <v>1402.5440649999998</v>
      </c>
      <c r="I177" s="3">
        <v>1355.7</v>
      </c>
      <c r="J177" s="3">
        <v>1348.1013520000001</v>
      </c>
      <c r="K177" s="3">
        <v>1346.1982420000002</v>
      </c>
      <c r="L177" s="3">
        <v>1353.8896459999996</v>
      </c>
      <c r="M177" s="3">
        <v>1350.1069630000002</v>
      </c>
      <c r="N177" s="3">
        <v>1436.6517279999998</v>
      </c>
      <c r="O177" s="3">
        <v>1554.1077380000002</v>
      </c>
      <c r="P177" s="3">
        <v>1676.1071199999999</v>
      </c>
      <c r="Q177" s="3">
        <v>1731.3999999999999</v>
      </c>
      <c r="R177" s="3">
        <v>1763.4855700000003</v>
      </c>
      <c r="S177" s="3">
        <v>1700.950652</v>
      </c>
      <c r="T177" s="3">
        <v>1663.5</v>
      </c>
      <c r="U177" s="3">
        <v>1668.9</v>
      </c>
      <c r="V177" s="3">
        <v>1644.0198250000001</v>
      </c>
      <c r="W177" s="3">
        <v>1624.77108</v>
      </c>
      <c r="X177" s="3">
        <v>1629.6075479999997</v>
      </c>
      <c r="Y177" s="3">
        <v>1727.984997</v>
      </c>
      <c r="Z177" s="3">
        <v>1926.8025770000002</v>
      </c>
      <c r="AA177" s="3">
        <v>1901.0443460000001</v>
      </c>
      <c r="AB177" s="3">
        <v>1823.3209459999998</v>
      </c>
      <c r="AC177" s="3">
        <v>1708.3516240000001</v>
      </c>
      <c r="AD177" s="2">
        <v>1922.1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v>1550.2885020000001</v>
      </c>
      <c r="G178" s="3">
        <v>1430.518744</v>
      </c>
      <c r="H178" s="3">
        <v>1367.5328050000001</v>
      </c>
      <c r="I178" s="3">
        <v>1338.406348</v>
      </c>
      <c r="J178" s="3">
        <v>1325.1787339999998</v>
      </c>
      <c r="K178" s="3">
        <v>1329.4202710000002</v>
      </c>
      <c r="L178" s="3">
        <v>1374.1684299999999</v>
      </c>
      <c r="M178" s="3">
        <v>1397.2</v>
      </c>
      <c r="N178" s="3">
        <v>1550.6934859999997</v>
      </c>
      <c r="O178" s="3">
        <v>1668.5658270000001</v>
      </c>
      <c r="P178" s="3">
        <v>1773.6795519999996</v>
      </c>
      <c r="Q178" s="3">
        <v>1848.9411489999998</v>
      </c>
      <c r="R178" s="3">
        <v>1837.0507420000001</v>
      </c>
      <c r="S178" s="3">
        <v>1799.6985700000002</v>
      </c>
      <c r="T178" s="3">
        <v>1765.1841419999998</v>
      </c>
      <c r="U178" s="3">
        <v>1746.2785889999998</v>
      </c>
      <c r="V178" s="3">
        <v>1755.4773619999999</v>
      </c>
      <c r="W178" s="3">
        <v>1723.611022</v>
      </c>
      <c r="X178" s="3">
        <v>1687.4903840000002</v>
      </c>
      <c r="Y178" s="3">
        <v>1781.3</v>
      </c>
      <c r="Z178" s="3">
        <v>1989.406187</v>
      </c>
      <c r="AA178" s="3">
        <v>1947.5585559999997</v>
      </c>
      <c r="AB178" s="3">
        <v>1869.4999999999998</v>
      </c>
      <c r="AC178" s="3">
        <v>1744.077368</v>
      </c>
      <c r="AD178" s="2">
        <v>1985.7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v>1572.982929</v>
      </c>
      <c r="G179" s="3">
        <v>1454.4110279999998</v>
      </c>
      <c r="H179" s="3">
        <v>1394.8191380000001</v>
      </c>
      <c r="I179" s="3">
        <v>1357.7928850000001</v>
      </c>
      <c r="J179" s="3">
        <v>1330.2069610000003</v>
      </c>
      <c r="K179" s="3">
        <v>1329.2831200000001</v>
      </c>
      <c r="L179" s="3">
        <v>1338.6930140000002</v>
      </c>
      <c r="M179" s="3">
        <v>1287.040994</v>
      </c>
      <c r="N179" s="3">
        <v>1357.11321</v>
      </c>
      <c r="O179" s="3">
        <v>1439.549088</v>
      </c>
      <c r="P179" s="3">
        <v>1536.2000000000003</v>
      </c>
      <c r="Q179" s="3">
        <v>1593.4999999999998</v>
      </c>
      <c r="R179" s="3">
        <v>1611.3633449999998</v>
      </c>
      <c r="S179" s="3">
        <v>1589.021553</v>
      </c>
      <c r="T179" s="3">
        <v>1566.6698360000003</v>
      </c>
      <c r="U179" s="3">
        <v>1552.4845239999997</v>
      </c>
      <c r="V179" s="3">
        <v>1545.8911539999999</v>
      </c>
      <c r="W179" s="3">
        <v>1527.8099219999999</v>
      </c>
      <c r="X179" s="3">
        <v>1520.9085309999998</v>
      </c>
      <c r="Y179" s="3">
        <v>1621.1572250000002</v>
      </c>
      <c r="Z179" s="3">
        <v>1876.1541460000001</v>
      </c>
      <c r="AA179" s="3">
        <v>1865.8948359999999</v>
      </c>
      <c r="AB179" s="3">
        <v>1806.9699659999999</v>
      </c>
      <c r="AC179" s="3">
        <v>1702.3169349999998</v>
      </c>
      <c r="AD179" s="2">
        <v>1890.3000000000002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v>1569.5</v>
      </c>
      <c r="G180" s="3">
        <v>1447.7</v>
      </c>
      <c r="H180" s="3">
        <v>1344.7999999999997</v>
      </c>
      <c r="I180" s="3">
        <v>1321.3000000000002</v>
      </c>
      <c r="J180" s="3">
        <v>1309.200425</v>
      </c>
      <c r="K180" s="3">
        <v>1319.2726140000002</v>
      </c>
      <c r="L180" s="3">
        <v>1378.4167540000001</v>
      </c>
      <c r="M180" s="3">
        <v>1442.4981519999999</v>
      </c>
      <c r="N180" s="3">
        <v>1638.1426899999997</v>
      </c>
      <c r="O180" s="3">
        <v>1788.1999999999998</v>
      </c>
      <c r="P180" s="3">
        <v>1869.4682860000003</v>
      </c>
      <c r="Q180" s="3">
        <v>1899.4835860000003</v>
      </c>
      <c r="R180" s="3">
        <v>1957.0725459999996</v>
      </c>
      <c r="S180" s="3">
        <v>1923.2947040000004</v>
      </c>
      <c r="T180" s="3">
        <v>1873</v>
      </c>
      <c r="U180" s="3">
        <v>1875.246275</v>
      </c>
      <c r="V180" s="3">
        <v>1860.7356279999997</v>
      </c>
      <c r="W180" s="3">
        <v>1834.9650959999999</v>
      </c>
      <c r="X180" s="3">
        <v>1811.8934649999999</v>
      </c>
      <c r="Y180" s="3">
        <v>1892.9585020000002</v>
      </c>
      <c r="Z180" s="3">
        <v>2074.7508600000001</v>
      </c>
      <c r="AA180" s="3">
        <v>1997.8297059999998</v>
      </c>
      <c r="AB180" s="3">
        <v>1937.3930480000001</v>
      </c>
      <c r="AC180" s="3">
        <v>1818.941562</v>
      </c>
      <c r="AD180" s="2">
        <v>2060.3000000000002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v>1560.8650049999999</v>
      </c>
      <c r="G181" s="3">
        <v>1459.55836</v>
      </c>
      <c r="H181" s="3">
        <v>1452.4461569999999</v>
      </c>
      <c r="I181" s="3">
        <v>1375.4918139999997</v>
      </c>
      <c r="J181" s="3">
        <v>1375.8241760000001</v>
      </c>
      <c r="K181" s="3">
        <v>1372.7086449999997</v>
      </c>
      <c r="L181" s="3">
        <v>1392.7985080000003</v>
      </c>
      <c r="M181" s="3">
        <v>1450.945455</v>
      </c>
      <c r="N181" s="3">
        <v>1611.2</v>
      </c>
      <c r="O181" s="3">
        <v>1765.9707870000002</v>
      </c>
      <c r="P181" s="3">
        <v>1859.1999999999996</v>
      </c>
      <c r="Q181" s="3">
        <v>1926.3832879999998</v>
      </c>
      <c r="R181" s="3">
        <v>1958</v>
      </c>
      <c r="S181" s="3">
        <v>1907.3130990000002</v>
      </c>
      <c r="T181" s="3">
        <v>1817.1587950000001</v>
      </c>
      <c r="U181" s="3">
        <v>1840.2999999999995</v>
      </c>
      <c r="V181" s="3">
        <v>1844.9314030000005</v>
      </c>
      <c r="W181" s="3">
        <v>1827.1536949999997</v>
      </c>
      <c r="X181" s="3">
        <v>1772.1183570000001</v>
      </c>
      <c r="Y181" s="3">
        <v>1878.5265629999999</v>
      </c>
      <c r="Z181" s="3">
        <v>2048.8778899999998</v>
      </c>
      <c r="AA181" s="3">
        <v>2036.69064</v>
      </c>
      <c r="AB181" s="3">
        <v>1921.1000000000001</v>
      </c>
      <c r="AC181" s="3">
        <v>1799.1649640000001</v>
      </c>
      <c r="AD181" s="2">
        <v>2057.2000000000003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v>1607.1791520000002</v>
      </c>
      <c r="G182" s="3">
        <v>1500.1905949999998</v>
      </c>
      <c r="H182" s="3">
        <v>1466.0097430000001</v>
      </c>
      <c r="I182" s="3">
        <v>1439.2446030000001</v>
      </c>
      <c r="J182" s="3">
        <v>1414.6697180000001</v>
      </c>
      <c r="K182" s="3">
        <v>1408.5995539999999</v>
      </c>
      <c r="L182" s="3">
        <v>1428.2299520000001</v>
      </c>
      <c r="M182" s="3">
        <v>1479.3369360000002</v>
      </c>
      <c r="N182" s="3">
        <v>1625.7867740000004</v>
      </c>
      <c r="O182" s="3">
        <v>1704.9842890000002</v>
      </c>
      <c r="P182" s="3">
        <v>1883.423065</v>
      </c>
      <c r="Q182" s="3">
        <v>1915.4825740000001</v>
      </c>
      <c r="R182" s="3">
        <v>1910.6107020000004</v>
      </c>
      <c r="S182" s="3">
        <v>1836.8427249999995</v>
      </c>
      <c r="T182" s="3">
        <v>1831.5504310000001</v>
      </c>
      <c r="U182" s="3">
        <v>1827.3465600000002</v>
      </c>
      <c r="V182" s="3">
        <v>1848.3416589999997</v>
      </c>
      <c r="W182" s="3">
        <v>1767.383122</v>
      </c>
      <c r="X182" s="3">
        <v>1747.4671679999999</v>
      </c>
      <c r="Y182" s="3">
        <v>1848.6574230000001</v>
      </c>
      <c r="Z182" s="3">
        <v>2033.6908679999997</v>
      </c>
      <c r="AA182" s="3">
        <v>1982.5347120000004</v>
      </c>
      <c r="AB182" s="3">
        <v>1945.0770259999999</v>
      </c>
      <c r="AC182" s="3">
        <v>1799.0676690000003</v>
      </c>
      <c r="AD182" s="2">
        <v>2074.5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v>1596.7772479999999</v>
      </c>
      <c r="G183" s="3">
        <v>1505.3318959999999</v>
      </c>
      <c r="H183" s="3">
        <v>1417.7140889999998</v>
      </c>
      <c r="I183" s="3">
        <v>1381.9911</v>
      </c>
      <c r="J183" s="3">
        <v>1368.998495</v>
      </c>
      <c r="K183" s="3">
        <v>1384.2914569999998</v>
      </c>
      <c r="L183" s="3">
        <v>1391.6877339999999</v>
      </c>
      <c r="M183" s="3">
        <v>1464.8982780000001</v>
      </c>
      <c r="N183" s="3">
        <v>1574.7147989999999</v>
      </c>
      <c r="O183" s="3">
        <v>1707.849068</v>
      </c>
      <c r="P183" s="3">
        <v>1818.4</v>
      </c>
      <c r="Q183" s="3">
        <v>1912.9804750000005</v>
      </c>
      <c r="R183" s="3">
        <v>1934.7918990000001</v>
      </c>
      <c r="S183" s="3">
        <v>1884.8250330000001</v>
      </c>
      <c r="T183" s="3">
        <v>1859.4371709999998</v>
      </c>
      <c r="U183" s="3">
        <v>1831.2514000000001</v>
      </c>
      <c r="V183" s="3">
        <v>1842.8156900000001</v>
      </c>
      <c r="W183" s="3">
        <v>1809.7404839999997</v>
      </c>
      <c r="X183" s="3">
        <v>1775.6583900000003</v>
      </c>
      <c r="Y183" s="3">
        <v>1939.2028130000001</v>
      </c>
      <c r="Z183" s="3">
        <v>2067.7600400000001</v>
      </c>
      <c r="AA183" s="3">
        <v>2031.4345049999999</v>
      </c>
      <c r="AB183" s="3">
        <v>1925.807924</v>
      </c>
      <c r="AC183" s="3">
        <v>1803.0584360000003</v>
      </c>
      <c r="AD183" s="2">
        <v>2047.5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v>1566.086601</v>
      </c>
      <c r="G184" s="3">
        <v>1442.040025</v>
      </c>
      <c r="H184" s="3">
        <v>1399.219304</v>
      </c>
      <c r="I184" s="3">
        <v>1375.5720120000001</v>
      </c>
      <c r="J184" s="3">
        <v>1364.953996</v>
      </c>
      <c r="K184" s="3">
        <v>1374.741235</v>
      </c>
      <c r="L184" s="3">
        <v>1387.707688</v>
      </c>
      <c r="M184" s="3">
        <v>1417.1000000000001</v>
      </c>
      <c r="N184" s="3">
        <v>1612.8</v>
      </c>
      <c r="O184" s="3">
        <v>1761.9258</v>
      </c>
      <c r="P184" s="3">
        <v>1842.9083179999998</v>
      </c>
      <c r="Q184" s="3">
        <v>1952.729247</v>
      </c>
      <c r="R184" s="3">
        <v>1970.9541860000002</v>
      </c>
      <c r="S184" s="3">
        <v>1887.6441499999996</v>
      </c>
      <c r="T184" s="3">
        <v>1859.6999999999998</v>
      </c>
      <c r="U184" s="3">
        <v>1850.3805640000003</v>
      </c>
      <c r="V184" s="3">
        <v>1853.7503159999999</v>
      </c>
      <c r="W184" s="3">
        <v>1842.8133950000001</v>
      </c>
      <c r="X184" s="3">
        <v>1848.6823999999997</v>
      </c>
      <c r="Y184" s="3">
        <v>1840.9534960000003</v>
      </c>
      <c r="Z184" s="3">
        <v>2029.3380749999999</v>
      </c>
      <c r="AA184" s="3">
        <v>1994.835112</v>
      </c>
      <c r="AB184" s="3">
        <v>1919.0183360000003</v>
      </c>
      <c r="AC184" s="3">
        <v>1770.0828670000003</v>
      </c>
      <c r="AD184" s="2">
        <v>1972.6000000000001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v>1555.692262</v>
      </c>
      <c r="G185" s="3">
        <v>1475.8000000000002</v>
      </c>
      <c r="H185" s="3">
        <v>1418.0452639999999</v>
      </c>
      <c r="I185" s="3">
        <v>1419.6616730000001</v>
      </c>
      <c r="J185" s="3">
        <v>1415.4</v>
      </c>
      <c r="K185" s="3">
        <v>1385.0123800000001</v>
      </c>
      <c r="L185" s="3">
        <v>1423.4907699999999</v>
      </c>
      <c r="M185" s="3">
        <v>1482.229339</v>
      </c>
      <c r="N185" s="3">
        <v>1596.1566839999998</v>
      </c>
      <c r="O185" s="3">
        <v>1790.8</v>
      </c>
      <c r="P185" s="3">
        <v>1901.7</v>
      </c>
      <c r="Q185" s="3">
        <v>1954.6730559999999</v>
      </c>
      <c r="R185" s="3">
        <v>1953.1</v>
      </c>
      <c r="S185" s="3">
        <v>1891.1</v>
      </c>
      <c r="T185" s="3">
        <v>1845.9</v>
      </c>
      <c r="U185" s="3">
        <v>1829.3</v>
      </c>
      <c r="V185" s="3">
        <v>1821.8</v>
      </c>
      <c r="W185" s="3">
        <v>1814.8999999999999</v>
      </c>
      <c r="X185" s="3">
        <v>1746.4000000000005</v>
      </c>
      <c r="Y185" s="3">
        <v>1910.7</v>
      </c>
      <c r="Z185" s="3">
        <v>2048.0000000000005</v>
      </c>
      <c r="AA185" s="3">
        <v>2023.5</v>
      </c>
      <c r="AB185" s="3">
        <v>1868.6999999999998</v>
      </c>
      <c r="AC185" s="3">
        <v>1756.7999999999997</v>
      </c>
      <c r="AD185" s="2">
        <v>2012.6999999999998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v>1617.220366</v>
      </c>
      <c r="G186" s="3">
        <v>1565.3291800000002</v>
      </c>
      <c r="H186" s="3">
        <v>1382.2806959999998</v>
      </c>
      <c r="I186" s="3">
        <v>1352.4913800000002</v>
      </c>
      <c r="J186" s="3">
        <v>1351.2026780000001</v>
      </c>
      <c r="K186" s="3">
        <v>1341.9977020000003</v>
      </c>
      <c r="L186" s="3">
        <v>1265.9399069999999</v>
      </c>
      <c r="M186" s="3">
        <v>1353.204514</v>
      </c>
      <c r="N186" s="3">
        <v>1446.23866</v>
      </c>
      <c r="O186" s="3">
        <v>1482.85645</v>
      </c>
      <c r="P186" s="3">
        <v>1602.5629679999997</v>
      </c>
      <c r="Q186" s="3">
        <v>1698.0169599999999</v>
      </c>
      <c r="R186" s="3">
        <v>1659.3599110000002</v>
      </c>
      <c r="S186" s="3">
        <v>1630.1448659999999</v>
      </c>
      <c r="T186" s="3">
        <v>1633.302584</v>
      </c>
      <c r="U186" s="3">
        <v>1625.2178840000001</v>
      </c>
      <c r="V186" s="3">
        <v>1617.5995039999998</v>
      </c>
      <c r="W186" s="3">
        <v>1590.3736979999999</v>
      </c>
      <c r="X186" s="3">
        <v>1742.8902140000002</v>
      </c>
      <c r="Y186" s="3">
        <v>1856.4101360000002</v>
      </c>
      <c r="Z186" s="3">
        <v>1874.707476</v>
      </c>
      <c r="AA186" s="3">
        <v>1835.8866279999997</v>
      </c>
      <c r="AB186" s="3">
        <v>1742.7924579999999</v>
      </c>
      <c r="AC186" s="3">
        <v>1574.1834979999999</v>
      </c>
      <c r="AD186" s="2">
        <v>1905.8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v>1418.6999999999998</v>
      </c>
      <c r="G187" s="3">
        <v>1370.755858</v>
      </c>
      <c r="H187" s="3">
        <v>1359.9825060000003</v>
      </c>
      <c r="I187" s="3">
        <v>1364.06718</v>
      </c>
      <c r="J187" s="3">
        <v>1352.6</v>
      </c>
      <c r="K187" s="3">
        <v>1338.80566</v>
      </c>
      <c r="L187" s="3">
        <v>1360.9</v>
      </c>
      <c r="M187" s="3">
        <v>1505.5174560000003</v>
      </c>
      <c r="N187" s="3">
        <v>1679.3557999999998</v>
      </c>
      <c r="O187" s="3">
        <v>1831.7967919999999</v>
      </c>
      <c r="P187" s="3">
        <v>1883.3234009999996</v>
      </c>
      <c r="Q187" s="3">
        <v>1945.7916789999999</v>
      </c>
      <c r="R187" s="3">
        <v>1934.7948840000004</v>
      </c>
      <c r="S187" s="3">
        <v>1923.2094619999996</v>
      </c>
      <c r="T187" s="3">
        <v>1910.9262919999996</v>
      </c>
      <c r="U187" s="3">
        <v>1897.5460290000001</v>
      </c>
      <c r="V187" s="3">
        <v>1863.26061</v>
      </c>
      <c r="W187" s="3">
        <v>1845.4272720000004</v>
      </c>
      <c r="X187" s="3">
        <v>2026.1000000000001</v>
      </c>
      <c r="Y187" s="3">
        <v>2111.0261700000001</v>
      </c>
      <c r="Z187" s="3">
        <v>2125.3980879999999</v>
      </c>
      <c r="AA187" s="3">
        <v>1994.6661440000003</v>
      </c>
      <c r="AB187" s="3">
        <v>1898.4632079999997</v>
      </c>
      <c r="AC187" s="3">
        <v>1702.349428</v>
      </c>
      <c r="AD187" s="2">
        <v>2039.2999999999997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v>1536.701595</v>
      </c>
      <c r="G188" s="3">
        <v>1436.2099719999999</v>
      </c>
      <c r="H188" s="3">
        <v>1411.5070509999998</v>
      </c>
      <c r="I188" s="3">
        <v>1414.6909859999996</v>
      </c>
      <c r="J188" s="3">
        <v>1370.3243280000002</v>
      </c>
      <c r="K188" s="3">
        <v>1383.636733</v>
      </c>
      <c r="L188" s="3">
        <v>1419.6750219999999</v>
      </c>
      <c r="M188" s="3">
        <v>1543.7026240000005</v>
      </c>
      <c r="N188" s="3">
        <v>1747.8061170000001</v>
      </c>
      <c r="O188" s="3">
        <v>1792.270168</v>
      </c>
      <c r="P188" s="3">
        <v>1937.9836049999999</v>
      </c>
      <c r="Q188" s="3">
        <v>1995.0666380000005</v>
      </c>
      <c r="R188" s="3">
        <v>1984.9756059999997</v>
      </c>
      <c r="S188" s="3">
        <v>1960.225312</v>
      </c>
      <c r="T188" s="3">
        <v>1938.5922319999997</v>
      </c>
      <c r="U188" s="3">
        <v>1922.2162799999999</v>
      </c>
      <c r="V188" s="3">
        <v>1947.2527850000001</v>
      </c>
      <c r="W188" s="3">
        <v>1935.7958020000001</v>
      </c>
      <c r="X188" s="3">
        <v>2036.7466459999998</v>
      </c>
      <c r="Y188" s="3">
        <v>2154.2609599999996</v>
      </c>
      <c r="Z188" s="3">
        <v>2152.385867</v>
      </c>
      <c r="AA188" s="3">
        <v>2081.8700219999996</v>
      </c>
      <c r="AB188" s="3">
        <v>1902.8440399999997</v>
      </c>
      <c r="AC188" s="3">
        <v>1750.3000000000002</v>
      </c>
      <c r="AD188" s="2">
        <v>2149.7999999999997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v>1573.9825719999997</v>
      </c>
      <c r="G189" s="3">
        <v>1474.6277600000001</v>
      </c>
      <c r="H189" s="3">
        <v>1443.0494329999999</v>
      </c>
      <c r="I189" s="3">
        <v>1423.6183480000002</v>
      </c>
      <c r="J189" s="3">
        <v>1421.1122270000001</v>
      </c>
      <c r="K189" s="3">
        <v>1434.1609979999998</v>
      </c>
      <c r="L189" s="3">
        <v>1448.9469340000001</v>
      </c>
      <c r="M189" s="3">
        <v>1555.1246279999998</v>
      </c>
      <c r="N189" s="3">
        <v>1737.6979119999996</v>
      </c>
      <c r="O189" s="3">
        <v>1822.5445709999997</v>
      </c>
      <c r="P189" s="3">
        <v>1876.7999999999995</v>
      </c>
      <c r="Q189" s="3">
        <v>2005.6741700000005</v>
      </c>
      <c r="R189" s="3">
        <v>1915.6207840000004</v>
      </c>
      <c r="S189" s="3">
        <v>1867.8940709999999</v>
      </c>
      <c r="T189" s="3">
        <v>1896.9772250000003</v>
      </c>
      <c r="U189" s="3">
        <v>1860.8132339999997</v>
      </c>
      <c r="V189" s="3">
        <v>1907.3059729999995</v>
      </c>
      <c r="W189" s="3">
        <v>1857.3759740000005</v>
      </c>
      <c r="X189" s="3">
        <v>2018.264418</v>
      </c>
      <c r="Y189" s="3">
        <v>2152.0436199999995</v>
      </c>
      <c r="Z189" s="3">
        <v>2065.9419399999997</v>
      </c>
      <c r="AA189" s="3">
        <v>1988.307172</v>
      </c>
      <c r="AB189" s="3">
        <v>1857.7450120000001</v>
      </c>
      <c r="AC189" s="3">
        <v>1680.5323599999997</v>
      </c>
      <c r="AD189" s="2">
        <v>2126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v>1514.712458</v>
      </c>
      <c r="G190" s="3">
        <v>1434.10672</v>
      </c>
      <c r="H190" s="3">
        <v>1404.9687620000002</v>
      </c>
      <c r="I190" s="3">
        <v>1383.9912399999998</v>
      </c>
      <c r="J190" s="3">
        <v>1383.3191509999999</v>
      </c>
      <c r="K190" s="3">
        <v>1388.6782349999999</v>
      </c>
      <c r="L190" s="3">
        <v>1407.567589</v>
      </c>
      <c r="M190" s="3">
        <v>1532.6030230000001</v>
      </c>
      <c r="N190" s="3">
        <v>1720.6</v>
      </c>
      <c r="O190" s="3">
        <v>1874.5</v>
      </c>
      <c r="P190" s="3">
        <v>1955.1726479999998</v>
      </c>
      <c r="Q190" s="3">
        <v>2005.6611300000002</v>
      </c>
      <c r="R190" s="3">
        <v>1937.79162</v>
      </c>
      <c r="S190" s="3">
        <v>1903.2392970000001</v>
      </c>
      <c r="T190" s="3">
        <v>1883.4244720000002</v>
      </c>
      <c r="U190" s="3">
        <v>1880.9348550000002</v>
      </c>
      <c r="V190" s="3">
        <v>1848.5033100000001</v>
      </c>
      <c r="W190" s="3">
        <v>1845.056648</v>
      </c>
      <c r="X190" s="3">
        <v>2001.863425</v>
      </c>
      <c r="Y190" s="3">
        <v>2129.0729580000002</v>
      </c>
      <c r="Z190" s="3">
        <v>2082.821911</v>
      </c>
      <c r="AA190" s="3">
        <v>1998.6657710000002</v>
      </c>
      <c r="AB190" s="3">
        <v>1863.7629050000003</v>
      </c>
      <c r="AC190" s="3">
        <v>1691.5644220000001</v>
      </c>
      <c r="AD190" s="2">
        <v>2133.7000000000003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v>1546.3808799999997</v>
      </c>
      <c r="G191" s="3">
        <v>1456.0038149999998</v>
      </c>
      <c r="H191" s="3">
        <v>1403.8392200000003</v>
      </c>
      <c r="I191" s="3">
        <v>1392.3752899999999</v>
      </c>
      <c r="J191" s="3">
        <v>1392.44956</v>
      </c>
      <c r="K191" s="3">
        <v>1414.5124449999998</v>
      </c>
      <c r="L191" s="3">
        <v>1388.6</v>
      </c>
      <c r="M191" s="3">
        <v>1518.6101119999998</v>
      </c>
      <c r="N191" s="3">
        <v>1727.8049020000001</v>
      </c>
      <c r="O191" s="3">
        <v>1843.7436480000003</v>
      </c>
      <c r="P191" s="3">
        <v>1910.4773720000003</v>
      </c>
      <c r="Q191" s="3">
        <v>1962.4000000000003</v>
      </c>
      <c r="R191" s="3">
        <v>1971.5196430000005</v>
      </c>
      <c r="S191" s="3">
        <v>1961.6270459999998</v>
      </c>
      <c r="T191" s="3">
        <v>1934.296924</v>
      </c>
      <c r="U191" s="3">
        <v>1926.1006579999998</v>
      </c>
      <c r="V191" s="3">
        <v>1874.7577160000003</v>
      </c>
      <c r="W191" s="3">
        <v>1867.0000000000002</v>
      </c>
      <c r="X191" s="3">
        <v>2031.0484820000001</v>
      </c>
      <c r="Y191" s="3">
        <v>2131.3819719999997</v>
      </c>
      <c r="Z191" s="3">
        <v>2081.7441280000003</v>
      </c>
      <c r="AA191" s="3">
        <v>1994.3675560000004</v>
      </c>
      <c r="AB191" s="3">
        <v>1868.5066469999999</v>
      </c>
      <c r="AC191" s="3">
        <v>1708.3850539999999</v>
      </c>
      <c r="AD191" s="2">
        <v>2094.2000000000003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v>1548.3842829999999</v>
      </c>
      <c r="G192" s="3">
        <v>1463.015251</v>
      </c>
      <c r="H192" s="3">
        <v>1419.8981650000003</v>
      </c>
      <c r="I192" s="3">
        <v>1400.541706</v>
      </c>
      <c r="J192" s="3">
        <v>1391.6999999999998</v>
      </c>
      <c r="K192" s="3">
        <v>1394.9194440000001</v>
      </c>
      <c r="L192" s="3">
        <v>1392.6238940000001</v>
      </c>
      <c r="M192" s="3">
        <v>1491.5240860000001</v>
      </c>
      <c r="N192" s="3">
        <v>1713.120406</v>
      </c>
      <c r="O192" s="3">
        <v>1861.2350800000002</v>
      </c>
      <c r="P192" s="3">
        <v>1940.10736</v>
      </c>
      <c r="Q192" s="3">
        <v>1972.9609179999995</v>
      </c>
      <c r="R192" s="3">
        <v>1955.2600429999998</v>
      </c>
      <c r="S192" s="3">
        <v>1883.6999999999998</v>
      </c>
      <c r="T192" s="3">
        <v>1846.8249769999998</v>
      </c>
      <c r="U192" s="3">
        <v>1834.8750459999999</v>
      </c>
      <c r="V192" s="3">
        <v>1816.9295140000004</v>
      </c>
      <c r="W192" s="3">
        <v>1806.1480320000003</v>
      </c>
      <c r="X192" s="3">
        <v>1978.5999999999997</v>
      </c>
      <c r="Y192" s="3">
        <v>2057.7816550000002</v>
      </c>
      <c r="Z192" s="3">
        <v>2004.1046299999998</v>
      </c>
      <c r="AA192" s="3">
        <v>1945.2759550000003</v>
      </c>
      <c r="AB192" s="3">
        <v>1814.6768440000001</v>
      </c>
      <c r="AC192" s="3">
        <v>1680.1826289999999</v>
      </c>
      <c r="AD192" s="2">
        <v>2054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v>1551.7706800000001</v>
      </c>
      <c r="G193" s="3">
        <v>1433.144753</v>
      </c>
      <c r="H193" s="3">
        <v>1366.1887029999998</v>
      </c>
      <c r="I193" s="3">
        <v>1344.4968620000002</v>
      </c>
      <c r="J193" s="3">
        <v>1343.9998720000001</v>
      </c>
      <c r="K193" s="3">
        <v>1351.2748800000002</v>
      </c>
      <c r="L193" s="3">
        <v>1311.0000000000002</v>
      </c>
      <c r="M193" s="3">
        <v>1345.9799540000001</v>
      </c>
      <c r="N193" s="3">
        <v>1460.7396409999999</v>
      </c>
      <c r="O193" s="3">
        <v>1563.8570489999997</v>
      </c>
      <c r="P193" s="3">
        <v>1622.16785</v>
      </c>
      <c r="Q193" s="3">
        <v>1647.58691</v>
      </c>
      <c r="R193" s="3">
        <v>1655.6157420000002</v>
      </c>
      <c r="S193" s="3">
        <v>1620.4742760000001</v>
      </c>
      <c r="T193" s="3">
        <v>1577.2368529999999</v>
      </c>
      <c r="U193" s="3">
        <v>1571.0067399999998</v>
      </c>
      <c r="V193" s="3">
        <v>1558.6378500000001</v>
      </c>
      <c r="W193" s="3">
        <v>1556.3805460000003</v>
      </c>
      <c r="X193" s="3">
        <v>1765.3846010000004</v>
      </c>
      <c r="Y193" s="3">
        <v>1899.6302779999999</v>
      </c>
      <c r="Z193" s="3">
        <v>1871.2409749999999</v>
      </c>
      <c r="AA193" s="3">
        <v>1804.5640989999999</v>
      </c>
      <c r="AB193" s="3">
        <v>1704.4701400000001</v>
      </c>
      <c r="AC193" s="3">
        <v>1543.7947239999999</v>
      </c>
      <c r="AD193" s="2">
        <v>1929.9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v>1387.4810399999999</v>
      </c>
      <c r="G194" s="3">
        <v>1308.3519419999998</v>
      </c>
      <c r="H194" s="3">
        <v>1280.75389</v>
      </c>
      <c r="I194" s="3">
        <v>1265.8551399999999</v>
      </c>
      <c r="J194" s="3">
        <v>1278.0984540000002</v>
      </c>
      <c r="K194" s="3">
        <v>1297.8233319999997</v>
      </c>
      <c r="L194" s="3">
        <v>1309.443315</v>
      </c>
      <c r="M194" s="3">
        <v>1452.262258</v>
      </c>
      <c r="N194" s="3">
        <v>1631.9</v>
      </c>
      <c r="O194" s="3">
        <v>1761.1</v>
      </c>
      <c r="P194" s="3">
        <v>1809.5000000000002</v>
      </c>
      <c r="Q194" s="3">
        <v>1874.4812189999998</v>
      </c>
      <c r="R194" s="3">
        <v>1858.4230259999999</v>
      </c>
      <c r="S194" s="3">
        <v>1830.103106</v>
      </c>
      <c r="T194" s="3">
        <v>1807.0629259999996</v>
      </c>
      <c r="U194" s="3">
        <v>1814.616366</v>
      </c>
      <c r="V194" s="3">
        <v>1788.7127990000001</v>
      </c>
      <c r="W194" s="3">
        <v>1794.7138200000004</v>
      </c>
      <c r="X194" s="3">
        <v>1987.0555039999997</v>
      </c>
      <c r="Y194" s="3">
        <v>2081.6514859999997</v>
      </c>
      <c r="Z194" s="3">
        <v>2028.8999999999999</v>
      </c>
      <c r="AA194" s="3">
        <v>1948.0072499999997</v>
      </c>
      <c r="AB194" s="3">
        <v>1823.4666900000002</v>
      </c>
      <c r="AC194" s="3">
        <v>1662.6442400000001</v>
      </c>
      <c r="AD194" s="2">
        <v>2074.4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v>1501.6720680000001</v>
      </c>
      <c r="G195" s="3">
        <v>1402.6716949999998</v>
      </c>
      <c r="H195" s="3">
        <v>1345.900052</v>
      </c>
      <c r="I195" s="3">
        <v>1323.237228</v>
      </c>
      <c r="J195" s="3">
        <v>1331.5852620000001</v>
      </c>
      <c r="K195" s="3">
        <v>1348.3904359999999</v>
      </c>
      <c r="L195" s="3">
        <v>1355.1</v>
      </c>
      <c r="M195" s="3">
        <v>1461.6147919999999</v>
      </c>
      <c r="N195" s="3">
        <v>1676.169652</v>
      </c>
      <c r="O195" s="3">
        <v>1785.545742</v>
      </c>
      <c r="P195" s="3">
        <v>1833.7490540000001</v>
      </c>
      <c r="Q195" s="3">
        <v>1879.1172510000001</v>
      </c>
      <c r="R195" s="3">
        <v>1821.8170239999999</v>
      </c>
      <c r="S195" s="3">
        <v>1786.5938279999998</v>
      </c>
      <c r="T195" s="3">
        <v>1774.1803169999996</v>
      </c>
      <c r="U195" s="3">
        <v>1786.4582349999998</v>
      </c>
      <c r="V195" s="3">
        <v>1787.2911760000002</v>
      </c>
      <c r="W195" s="3">
        <v>1789.5126459999997</v>
      </c>
      <c r="X195" s="3">
        <v>1984.083484</v>
      </c>
      <c r="Y195" s="3">
        <v>2049.2842700000006</v>
      </c>
      <c r="Z195" s="3">
        <v>2002.7481919999998</v>
      </c>
      <c r="AA195" s="3">
        <v>1919.522655</v>
      </c>
      <c r="AB195" s="3">
        <v>1801.0323310000003</v>
      </c>
      <c r="AC195" s="3">
        <v>1628.0652149999999</v>
      </c>
      <c r="AD195" s="2">
        <v>2059.6999999999998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v>1463.6387739999998</v>
      </c>
      <c r="G196" s="3">
        <v>1374.8840110000001</v>
      </c>
      <c r="H196" s="3">
        <v>1342.2931929999997</v>
      </c>
      <c r="I196" s="3">
        <v>1323.5647349999999</v>
      </c>
      <c r="J196" s="3">
        <v>1318.74702</v>
      </c>
      <c r="K196" s="3">
        <v>1328.2227189999996</v>
      </c>
      <c r="L196" s="3">
        <v>1332.5155279999999</v>
      </c>
      <c r="M196" s="3">
        <v>1459.5870050000001</v>
      </c>
      <c r="N196" s="3">
        <v>1639.1</v>
      </c>
      <c r="O196" s="3">
        <v>1765.9431369999998</v>
      </c>
      <c r="P196" s="3">
        <v>1840.3</v>
      </c>
      <c r="Q196" s="3">
        <v>1884.3290240000001</v>
      </c>
      <c r="R196" s="3">
        <v>1842.9560919999999</v>
      </c>
      <c r="S196" s="3">
        <v>1803.1439560000001</v>
      </c>
      <c r="T196" s="3">
        <v>1792.3677699999996</v>
      </c>
      <c r="U196" s="3">
        <v>1780.7000000000003</v>
      </c>
      <c r="V196" s="3">
        <v>1774.180419</v>
      </c>
      <c r="W196" s="3">
        <v>1769.8406890000001</v>
      </c>
      <c r="X196" s="3">
        <v>1982.9448019999998</v>
      </c>
      <c r="Y196" s="3">
        <v>2078.2103199999992</v>
      </c>
      <c r="Z196" s="3">
        <v>2020.0098399999999</v>
      </c>
      <c r="AA196" s="3">
        <v>1907.23486</v>
      </c>
      <c r="AB196" s="3">
        <v>1794.1419149999999</v>
      </c>
      <c r="AC196" s="3">
        <v>1612.9034649999999</v>
      </c>
      <c r="AD196" s="2">
        <v>2119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v>1451.5447410000002</v>
      </c>
      <c r="G197" s="3">
        <v>1375.6158869999999</v>
      </c>
      <c r="H197" s="3">
        <v>1328.7827119999999</v>
      </c>
      <c r="I197" s="3">
        <v>1299.7223629999999</v>
      </c>
      <c r="J197" s="3">
        <v>1312.3832470000002</v>
      </c>
      <c r="K197" s="3">
        <v>1325.0263909999999</v>
      </c>
      <c r="L197" s="3">
        <v>1329.1827120000003</v>
      </c>
      <c r="M197" s="3">
        <v>1439.596442</v>
      </c>
      <c r="N197" s="3">
        <v>1654.8403949999999</v>
      </c>
      <c r="O197" s="3">
        <v>1779.5764409999997</v>
      </c>
      <c r="P197" s="3">
        <v>1825.0000000000002</v>
      </c>
      <c r="Q197" s="3">
        <v>1894.1350719999996</v>
      </c>
      <c r="R197" s="3">
        <v>1891.4787920000001</v>
      </c>
      <c r="S197" s="3">
        <v>1845.2000000000003</v>
      </c>
      <c r="T197" s="3">
        <v>1844.0092360000001</v>
      </c>
      <c r="U197" s="3">
        <v>1817.2768900000001</v>
      </c>
      <c r="V197" s="3">
        <v>1809.4803629999999</v>
      </c>
      <c r="W197" s="3">
        <v>1832.4975059999999</v>
      </c>
      <c r="X197" s="3">
        <v>2058.8000000000002</v>
      </c>
      <c r="Y197" s="3">
        <v>2106.635624</v>
      </c>
      <c r="Z197" s="3">
        <v>2053.7739119999997</v>
      </c>
      <c r="AA197" s="3">
        <v>1955.0880070000001</v>
      </c>
      <c r="AB197" s="3">
        <v>1803.7164150000003</v>
      </c>
      <c r="AC197" s="3">
        <v>1643.9246699999999</v>
      </c>
      <c r="AD197" s="2">
        <v>2124.6999999999998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v>1490.9716459999997</v>
      </c>
      <c r="G198" s="3">
        <v>1393.1649749999999</v>
      </c>
      <c r="H198" s="3">
        <v>1350.4863049999999</v>
      </c>
      <c r="I198" s="3">
        <v>1340.3</v>
      </c>
      <c r="J198" s="3">
        <v>1336.8033399999999</v>
      </c>
      <c r="K198" s="3">
        <v>1354.1812559999998</v>
      </c>
      <c r="L198" s="3">
        <v>1367.7116030000002</v>
      </c>
      <c r="M198" s="3">
        <v>1467.4625519999997</v>
      </c>
      <c r="N198" s="3">
        <v>1648.9551170000002</v>
      </c>
      <c r="O198" s="3">
        <v>1748.4058110000003</v>
      </c>
      <c r="P198" s="3">
        <v>1809.5</v>
      </c>
      <c r="Q198" s="3">
        <v>1835.8000000000002</v>
      </c>
      <c r="R198" s="3">
        <v>1838.8</v>
      </c>
      <c r="S198" s="3">
        <v>1803.1300340000003</v>
      </c>
      <c r="T198" s="3">
        <v>1796.6682810000002</v>
      </c>
      <c r="U198" s="3">
        <v>1800.1408390000001</v>
      </c>
      <c r="V198" s="3">
        <v>1799.532586</v>
      </c>
      <c r="W198" s="3">
        <v>1804.5277900000006</v>
      </c>
      <c r="X198" s="3">
        <v>2026.1978040000001</v>
      </c>
      <c r="Y198" s="3">
        <v>2098.8492919999999</v>
      </c>
      <c r="Z198" s="3">
        <v>2014.6125700000002</v>
      </c>
      <c r="AA198" s="3">
        <v>1924.4035299999996</v>
      </c>
      <c r="AB198" s="3">
        <v>1811.7392600000003</v>
      </c>
      <c r="AC198" s="3">
        <v>1663.2368759999999</v>
      </c>
      <c r="AD198" s="2">
        <v>2106.1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v>1506.016844</v>
      </c>
      <c r="G199" s="3">
        <v>1430.9693500000001</v>
      </c>
      <c r="H199" s="3">
        <v>1344.9</v>
      </c>
      <c r="I199" s="3">
        <v>1319.6123160000002</v>
      </c>
      <c r="J199" s="3">
        <v>1324.0781220000001</v>
      </c>
      <c r="K199" s="3">
        <v>1336.70668</v>
      </c>
      <c r="L199" s="3">
        <v>1333.193855</v>
      </c>
      <c r="M199" s="3">
        <v>1428.1</v>
      </c>
      <c r="N199" s="3">
        <v>1611.0366550000001</v>
      </c>
      <c r="O199" s="3">
        <v>1781.0233040000001</v>
      </c>
      <c r="P199" s="3">
        <v>1811.0791389999999</v>
      </c>
      <c r="Q199" s="3">
        <v>1836.0000000000005</v>
      </c>
      <c r="R199" s="3">
        <v>1816.5724069999999</v>
      </c>
      <c r="S199" s="3">
        <v>1779.6552280000003</v>
      </c>
      <c r="T199" s="3">
        <v>1738.8000000000002</v>
      </c>
      <c r="U199" s="3">
        <v>1708.326118</v>
      </c>
      <c r="V199" s="3">
        <v>1697.452947</v>
      </c>
      <c r="W199" s="3">
        <v>1738.601932</v>
      </c>
      <c r="X199" s="3">
        <v>1942.5573749999996</v>
      </c>
      <c r="Y199" s="3">
        <v>1984.1135310000002</v>
      </c>
      <c r="Z199" s="3">
        <v>1935.2757350000002</v>
      </c>
      <c r="AA199" s="3">
        <v>1857.9075350000001</v>
      </c>
      <c r="AB199" s="3">
        <v>1750.9834820000001</v>
      </c>
      <c r="AC199" s="3">
        <v>1612.4628860000003</v>
      </c>
      <c r="AD199" s="2">
        <v>1996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v>1462.215557</v>
      </c>
      <c r="G200" s="3">
        <v>1359.4726879999998</v>
      </c>
      <c r="H200" s="3">
        <v>1316.7263659999999</v>
      </c>
      <c r="I200" s="3">
        <v>1287.1843780000002</v>
      </c>
      <c r="J200" s="3">
        <v>1286.0072070000001</v>
      </c>
      <c r="K200" s="3">
        <v>1289.1319599999999</v>
      </c>
      <c r="L200" s="3">
        <v>1259</v>
      </c>
      <c r="M200" s="3">
        <v>1273.3000000000002</v>
      </c>
      <c r="N200" s="3">
        <v>1370.835636</v>
      </c>
      <c r="O200" s="3">
        <v>1479.1588819999999</v>
      </c>
      <c r="P200" s="3">
        <v>1531.5076919999999</v>
      </c>
      <c r="Q200" s="3">
        <v>1578.512336</v>
      </c>
      <c r="R200" s="3">
        <v>1577.1</v>
      </c>
      <c r="S200" s="3">
        <v>1539.1936949999999</v>
      </c>
      <c r="T200" s="3">
        <v>1511.8376800000003</v>
      </c>
      <c r="U200" s="3">
        <v>1487.1747060000002</v>
      </c>
      <c r="V200" s="3">
        <v>1493.944092</v>
      </c>
      <c r="W200" s="3">
        <v>1530.6950900000002</v>
      </c>
      <c r="X200" s="3">
        <v>1776.1</v>
      </c>
      <c r="Y200" s="3">
        <v>1852.515032</v>
      </c>
      <c r="Z200" s="3">
        <v>1822.5547659999995</v>
      </c>
      <c r="AA200" s="3">
        <v>1773.2374319999999</v>
      </c>
      <c r="AB200" s="3">
        <v>1667.227073</v>
      </c>
      <c r="AC200" s="3">
        <v>1531.5042469999999</v>
      </c>
      <c r="AD200" s="2">
        <v>1859.9999999999998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v>1389.1032</v>
      </c>
      <c r="G201" s="3">
        <v>1296.9238929999999</v>
      </c>
      <c r="H201" s="3">
        <v>1266.5913750000002</v>
      </c>
      <c r="I201" s="3">
        <v>1249.0362550000002</v>
      </c>
      <c r="J201" s="3">
        <v>1251.7036619999999</v>
      </c>
      <c r="K201" s="3">
        <v>1274.0636629999999</v>
      </c>
      <c r="L201" s="3">
        <v>1320.8743479999998</v>
      </c>
      <c r="M201" s="3">
        <v>1425.6415909999998</v>
      </c>
      <c r="N201" s="3">
        <v>1638.0000000000002</v>
      </c>
      <c r="O201" s="3">
        <v>1788.4</v>
      </c>
      <c r="P201" s="3">
        <v>1863.4336010000002</v>
      </c>
      <c r="Q201" s="3">
        <v>1891.6372940000003</v>
      </c>
      <c r="R201" s="3">
        <v>1875.4000000000003</v>
      </c>
      <c r="S201" s="3">
        <v>1824.3442140000004</v>
      </c>
      <c r="T201" s="3">
        <v>1809.8999999999999</v>
      </c>
      <c r="U201" s="3">
        <v>1797.3529769999998</v>
      </c>
      <c r="V201" s="3">
        <v>1765.2296320000003</v>
      </c>
      <c r="W201" s="3">
        <v>1796.3309029999998</v>
      </c>
      <c r="X201" s="3">
        <v>2034.5999999999995</v>
      </c>
      <c r="Y201" s="3">
        <v>2063.7000000000003</v>
      </c>
      <c r="Z201" s="3">
        <v>1983.5834839999998</v>
      </c>
      <c r="AA201" s="3">
        <v>1915.4142639999998</v>
      </c>
      <c r="AB201" s="3">
        <v>1777.9325359999998</v>
      </c>
      <c r="AC201" s="3">
        <v>1628.0138039999999</v>
      </c>
      <c r="AD201" s="2">
        <v>2051.9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v>1453.6699880000001</v>
      </c>
      <c r="G202" s="3">
        <v>1375.2111300000001</v>
      </c>
      <c r="H202" s="3">
        <v>1342.100228</v>
      </c>
      <c r="I202" s="3">
        <v>1323.8100209999998</v>
      </c>
      <c r="J202" s="3">
        <v>1316.95479</v>
      </c>
      <c r="K202" s="3">
        <v>1334.112621</v>
      </c>
      <c r="L202" s="3">
        <v>1341.3000000000002</v>
      </c>
      <c r="M202" s="3">
        <v>1462.4767319999999</v>
      </c>
      <c r="N202" s="3">
        <v>1675.3052840000003</v>
      </c>
      <c r="O202" s="3">
        <v>1721.8932650000002</v>
      </c>
      <c r="P202" s="3">
        <v>1820.1000000000001</v>
      </c>
      <c r="Q202" s="3">
        <v>1874.5544519999999</v>
      </c>
      <c r="R202" s="3">
        <v>1870.7999999999997</v>
      </c>
      <c r="S202" s="3">
        <v>1820.3418169999998</v>
      </c>
      <c r="T202" s="3">
        <v>1796.8460479999999</v>
      </c>
      <c r="U202" s="3">
        <v>1793.1753199999998</v>
      </c>
      <c r="V202" s="3">
        <v>1782.4705280000001</v>
      </c>
      <c r="W202" s="3">
        <v>1801.621468</v>
      </c>
      <c r="X202" s="3">
        <v>2028.8248100000003</v>
      </c>
      <c r="Y202" s="3">
        <v>2070.5</v>
      </c>
      <c r="Z202" s="3">
        <v>1999.365618</v>
      </c>
      <c r="AA202" s="3">
        <v>1925.3030010000002</v>
      </c>
      <c r="AB202" s="3">
        <v>1811.2394639999998</v>
      </c>
      <c r="AC202" s="3">
        <v>1626.1999999999998</v>
      </c>
      <c r="AD202" s="2">
        <v>2075.5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v>1445.6000000000001</v>
      </c>
      <c r="G203" s="3">
        <v>1369.812878</v>
      </c>
      <c r="H203" s="3">
        <v>1322.6886019999997</v>
      </c>
      <c r="I203" s="3">
        <v>1292.6460940000002</v>
      </c>
      <c r="J203" s="3">
        <v>1273.4716539999999</v>
      </c>
      <c r="K203" s="3">
        <v>1289.8544160000004</v>
      </c>
      <c r="L203" s="3">
        <v>1324.5407149999999</v>
      </c>
      <c r="M203" s="3">
        <v>1415.9366950000001</v>
      </c>
      <c r="N203" s="3">
        <v>1644.8065620000002</v>
      </c>
      <c r="O203" s="3">
        <v>1763.934722</v>
      </c>
      <c r="P203" s="3">
        <v>1826.3451829999997</v>
      </c>
      <c r="Q203" s="3">
        <v>1859.6999999999998</v>
      </c>
      <c r="R203" s="3">
        <v>1821.556347</v>
      </c>
      <c r="S203" s="3">
        <v>1792.2763379999999</v>
      </c>
      <c r="T203" s="3">
        <v>1775.419989</v>
      </c>
      <c r="U203" s="3">
        <v>1765.1956720000003</v>
      </c>
      <c r="V203" s="3">
        <v>1771.3178</v>
      </c>
      <c r="W203" s="3">
        <v>1821</v>
      </c>
      <c r="X203" s="3">
        <v>2020.0553669999997</v>
      </c>
      <c r="Y203" s="3">
        <v>2040.144861</v>
      </c>
      <c r="Z203" s="3">
        <v>1954.5758099999998</v>
      </c>
      <c r="AA203" s="3">
        <v>1878.9025799999999</v>
      </c>
      <c r="AB203" s="3">
        <v>1773.6349799999998</v>
      </c>
      <c r="AC203" s="3">
        <v>1608.9649770000003</v>
      </c>
      <c r="AD203" s="2">
        <v>2080.1999999999998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v>1466.510049</v>
      </c>
      <c r="G204" s="3">
        <v>1387.4802750000003</v>
      </c>
      <c r="H204" s="3">
        <v>1343.9914550000001</v>
      </c>
      <c r="I204" s="3">
        <v>1329.719812</v>
      </c>
      <c r="J204" s="3">
        <v>1330.3131059999998</v>
      </c>
      <c r="K204" s="3">
        <v>1357.6765130000001</v>
      </c>
      <c r="L204" s="3">
        <v>1376.566084</v>
      </c>
      <c r="M204" s="3">
        <v>1473.3331639999999</v>
      </c>
      <c r="N204" s="3">
        <v>1653.5412110000004</v>
      </c>
      <c r="O204" s="3">
        <v>1771.1000000000001</v>
      </c>
      <c r="P204" s="3">
        <v>1828.8884279999997</v>
      </c>
      <c r="Q204" s="3">
        <v>1865.735641</v>
      </c>
      <c r="R204" s="3">
        <v>1816.3374820000001</v>
      </c>
      <c r="S204" s="3">
        <v>1786.7282520000006</v>
      </c>
      <c r="T204" s="3">
        <v>1772.2837850000001</v>
      </c>
      <c r="U204" s="3">
        <v>1747.8712</v>
      </c>
      <c r="V204" s="3">
        <v>1743.9915940000003</v>
      </c>
      <c r="W204" s="3">
        <v>1799.8668020000002</v>
      </c>
      <c r="X204" s="3">
        <v>2027.1416450000004</v>
      </c>
      <c r="Y204" s="3">
        <v>2039.7696520000002</v>
      </c>
      <c r="Z204" s="3">
        <v>1989.04062</v>
      </c>
      <c r="AA204" s="3">
        <v>1908.4330240000002</v>
      </c>
      <c r="AB204" s="3">
        <v>1799.064556</v>
      </c>
      <c r="AC204" s="3">
        <v>1644.5239050000002</v>
      </c>
      <c r="AD204" s="2">
        <v>2055.8000000000002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v>1474.6279639999998</v>
      </c>
      <c r="G205" s="3">
        <v>1379.8426999999997</v>
      </c>
      <c r="H205" s="3">
        <v>1332.41076</v>
      </c>
      <c r="I205" s="3">
        <v>1306.2798809999999</v>
      </c>
      <c r="J205" s="3">
        <v>1307.0999999999999</v>
      </c>
      <c r="K205" s="3">
        <v>1331.9063489999999</v>
      </c>
      <c r="L205" s="3">
        <v>1347.39824</v>
      </c>
      <c r="M205" s="3">
        <v>1448.4531679999998</v>
      </c>
      <c r="N205" s="3">
        <v>1641.7470760000001</v>
      </c>
      <c r="O205" s="3">
        <v>1739.3</v>
      </c>
      <c r="P205" s="3">
        <v>1803.3349829999997</v>
      </c>
      <c r="Q205" s="3">
        <v>1836.4020959999998</v>
      </c>
      <c r="R205" s="3">
        <v>1815.658948</v>
      </c>
      <c r="S205" s="3">
        <v>1776.4583399999999</v>
      </c>
      <c r="T205" s="3">
        <v>1765.6486010000001</v>
      </c>
      <c r="U205" s="3">
        <v>1763.5545680000002</v>
      </c>
      <c r="V205" s="3">
        <v>1753.8877689999997</v>
      </c>
      <c r="W205" s="3">
        <v>1817.6999999999998</v>
      </c>
      <c r="X205" s="3">
        <v>2034.180464</v>
      </c>
      <c r="Y205" s="3">
        <v>2043.0051800000001</v>
      </c>
      <c r="Z205" s="3">
        <v>1977.6716950000002</v>
      </c>
      <c r="AA205" s="3">
        <v>1915.1157939999996</v>
      </c>
      <c r="AB205" s="3">
        <v>1799.134828</v>
      </c>
      <c r="AC205" s="3">
        <v>1640.8429110000002</v>
      </c>
      <c r="AD205" s="2">
        <v>2060.4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v>1489.3999999999999</v>
      </c>
      <c r="G206" s="3">
        <v>1405.6027669999999</v>
      </c>
      <c r="H206" s="3">
        <v>1358.175289</v>
      </c>
      <c r="I206" s="3">
        <v>1333.9000000000003</v>
      </c>
      <c r="J206" s="3">
        <v>1333.086894</v>
      </c>
      <c r="K206" s="3">
        <v>1332.2862819999998</v>
      </c>
      <c r="L206" s="3">
        <v>1341.3948499999999</v>
      </c>
      <c r="M206" s="3">
        <v>1428.6000000000001</v>
      </c>
      <c r="N206" s="3">
        <v>1618.4999999999998</v>
      </c>
      <c r="O206" s="3">
        <v>1739.8000000000002</v>
      </c>
      <c r="P206" s="3">
        <v>1801.1</v>
      </c>
      <c r="Q206" s="3">
        <v>1849.7999999999997</v>
      </c>
      <c r="R206" s="3">
        <v>1832.2</v>
      </c>
      <c r="S206" s="3">
        <v>1786.7999999999997</v>
      </c>
      <c r="T206" s="3">
        <v>1746.6099899999999</v>
      </c>
      <c r="U206" s="3">
        <v>1725.8093959999997</v>
      </c>
      <c r="V206" s="3">
        <v>1719.6</v>
      </c>
      <c r="W206" s="3">
        <v>1783.724375</v>
      </c>
      <c r="X206" s="3">
        <v>1976.868635</v>
      </c>
      <c r="Y206" s="3">
        <v>1979.5617500000001</v>
      </c>
      <c r="Z206" s="3">
        <v>1928.301369</v>
      </c>
      <c r="AA206" s="3">
        <v>1852.8402310000001</v>
      </c>
      <c r="AB206" s="3">
        <v>1757.1</v>
      </c>
      <c r="AC206" s="3">
        <v>1611.1880459999998</v>
      </c>
      <c r="AD206" s="2">
        <v>1999.5999999999997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v>1484.2081759999999</v>
      </c>
      <c r="G207" s="3">
        <v>1366.0493039999999</v>
      </c>
      <c r="H207" s="3">
        <v>1311.9465869999999</v>
      </c>
      <c r="I207" s="3">
        <v>1282.3313900000001</v>
      </c>
      <c r="J207" s="3">
        <v>1269.7223280000001</v>
      </c>
      <c r="K207" s="3">
        <v>1253.4798240000002</v>
      </c>
      <c r="L207" s="3">
        <v>1243.7484649999999</v>
      </c>
      <c r="M207" s="3">
        <v>1239.2999999999997</v>
      </c>
      <c r="N207" s="3">
        <v>1350.3953329999999</v>
      </c>
      <c r="O207" s="3">
        <v>1469.064439</v>
      </c>
      <c r="P207" s="3">
        <v>1545.5</v>
      </c>
      <c r="Q207" s="3">
        <v>1583.1222730000002</v>
      </c>
      <c r="R207" s="3">
        <v>1581.8000000000002</v>
      </c>
      <c r="S207" s="3">
        <v>1538.5969960000002</v>
      </c>
      <c r="T207" s="3">
        <v>1488.0969559999999</v>
      </c>
      <c r="U207" s="3">
        <v>1374.1170320000001</v>
      </c>
      <c r="V207" s="3">
        <v>1425.9329080000002</v>
      </c>
      <c r="W207" s="3">
        <v>1543.8838700000001</v>
      </c>
      <c r="X207" s="3">
        <v>1765.8807310000002</v>
      </c>
      <c r="Y207" s="3">
        <v>1781.9230049999996</v>
      </c>
      <c r="Z207" s="3">
        <v>1752.9026100000001</v>
      </c>
      <c r="AA207" s="3">
        <v>1717.275288</v>
      </c>
      <c r="AB207" s="3">
        <v>1608.0984640000001</v>
      </c>
      <c r="AC207" s="3">
        <v>1447.2420649999997</v>
      </c>
      <c r="AD207" s="2">
        <v>1807.6000000000001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v>1322.7381719999998</v>
      </c>
      <c r="G208" s="3">
        <v>1251.5464960000002</v>
      </c>
      <c r="H208" s="3">
        <v>1226.9040849999997</v>
      </c>
      <c r="I208" s="3">
        <v>1206.1729549999998</v>
      </c>
      <c r="J208" s="3">
        <v>1217.3674980000001</v>
      </c>
      <c r="K208" s="3">
        <v>1245.10562</v>
      </c>
      <c r="L208" s="3">
        <v>1282.6340929999997</v>
      </c>
      <c r="M208" s="3">
        <v>1366.6166779999999</v>
      </c>
      <c r="N208" s="3">
        <v>1548.9885670000003</v>
      </c>
      <c r="O208" s="3">
        <v>1668</v>
      </c>
      <c r="P208" s="3">
        <v>1720.8999999999999</v>
      </c>
      <c r="Q208" s="3">
        <v>1756.8000000000004</v>
      </c>
      <c r="R208" s="3">
        <v>1752.7</v>
      </c>
      <c r="S208" s="3">
        <v>1705.6999999999998</v>
      </c>
      <c r="T208" s="3">
        <v>1665.2</v>
      </c>
      <c r="U208" s="3">
        <v>1669.8</v>
      </c>
      <c r="V208" s="3">
        <v>1684.1</v>
      </c>
      <c r="W208" s="3">
        <v>1732.5</v>
      </c>
      <c r="X208" s="3">
        <v>2000.8000000000002</v>
      </c>
      <c r="Y208" s="3">
        <v>2008.9</v>
      </c>
      <c r="Z208" s="3">
        <v>1949.3000000000002</v>
      </c>
      <c r="AA208" s="3">
        <v>1893.6000000000001</v>
      </c>
      <c r="AB208" s="3">
        <v>1789.9999999999995</v>
      </c>
      <c r="AC208" s="3">
        <v>1629.8</v>
      </c>
      <c r="AD208" s="2">
        <v>2052.5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v>1441.148146</v>
      </c>
      <c r="G209" s="3">
        <v>1360.7080330000001</v>
      </c>
      <c r="H209" s="3">
        <v>1328.11535</v>
      </c>
      <c r="I209" s="3">
        <v>1293.5258310000002</v>
      </c>
      <c r="J209" s="3">
        <v>1274.1053390000004</v>
      </c>
      <c r="K209" s="3">
        <v>1307.1188439999999</v>
      </c>
      <c r="L209" s="3">
        <v>1329.8000000000002</v>
      </c>
      <c r="M209" s="3">
        <v>1417.9749200000001</v>
      </c>
      <c r="N209" s="3">
        <v>1617.8796339999999</v>
      </c>
      <c r="O209" s="3">
        <v>1714.8096420000002</v>
      </c>
      <c r="P209" s="3">
        <v>1732.5</v>
      </c>
      <c r="Q209" s="3">
        <v>1772.736208</v>
      </c>
      <c r="R209" s="3">
        <v>1764.6</v>
      </c>
      <c r="S209" s="3">
        <v>1738.1</v>
      </c>
      <c r="T209" s="3">
        <v>1724.4999999999998</v>
      </c>
      <c r="U209" s="3">
        <v>1722.2000000000003</v>
      </c>
      <c r="V209" s="3">
        <v>1724.9999999999998</v>
      </c>
      <c r="W209" s="3">
        <v>1785.2999999999997</v>
      </c>
      <c r="X209" s="3">
        <v>2013.9</v>
      </c>
      <c r="Y209" s="3">
        <v>2021.4</v>
      </c>
      <c r="Z209" s="3">
        <v>1965.4999999999998</v>
      </c>
      <c r="AA209" s="3">
        <v>1875.9</v>
      </c>
      <c r="AB209" s="3">
        <v>1771.3999999999999</v>
      </c>
      <c r="AC209" s="3">
        <v>1613.3999999999999</v>
      </c>
      <c r="AD209" s="2">
        <v>2046.0000000000005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v>1446.2321199999999</v>
      </c>
      <c r="G210" s="3">
        <v>1346.6855899999998</v>
      </c>
      <c r="H210" s="3">
        <v>1313.915172</v>
      </c>
      <c r="I210" s="3">
        <v>1295.8713729999999</v>
      </c>
      <c r="J210" s="3">
        <v>1296.6698430000001</v>
      </c>
      <c r="K210" s="3">
        <v>1316.9264679999999</v>
      </c>
      <c r="L210" s="3">
        <v>1349.7</v>
      </c>
      <c r="M210" s="3">
        <v>1439.1000000000001</v>
      </c>
      <c r="N210" s="3">
        <v>1627.5000000000002</v>
      </c>
      <c r="O210" s="3">
        <v>1723.8</v>
      </c>
      <c r="P210" s="3">
        <v>1760.8000000000002</v>
      </c>
      <c r="Q210" s="3">
        <v>1778.8000000000002</v>
      </c>
      <c r="R210" s="3">
        <v>1789</v>
      </c>
      <c r="S210" s="3">
        <v>1711.8232620000003</v>
      </c>
      <c r="T210" s="3">
        <v>1667.1340709999997</v>
      </c>
      <c r="U210" s="3">
        <v>1676.0116</v>
      </c>
      <c r="V210" s="3">
        <v>1703.2297900000001</v>
      </c>
      <c r="W210" s="3">
        <v>1769.7624699999999</v>
      </c>
      <c r="X210" s="3">
        <v>2026.1491180000003</v>
      </c>
      <c r="Y210" s="3">
        <v>2024.25279</v>
      </c>
      <c r="Z210" s="3">
        <v>1976.026842</v>
      </c>
      <c r="AA210" s="3">
        <v>1961.830404</v>
      </c>
      <c r="AB210" s="3">
        <v>1775.4798580000004</v>
      </c>
      <c r="AC210" s="3">
        <v>1578.4383830000002</v>
      </c>
      <c r="AD210" s="2">
        <v>2005.2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v>1420.9604489999999</v>
      </c>
      <c r="G211" s="3">
        <v>1337.1999999999998</v>
      </c>
      <c r="H211" s="3">
        <v>1289.9718740000001</v>
      </c>
      <c r="I211" s="3">
        <v>1279.6326300000001</v>
      </c>
      <c r="J211" s="3">
        <v>1284.437322</v>
      </c>
      <c r="K211" s="3">
        <v>1300.5</v>
      </c>
      <c r="L211" s="3">
        <v>1337.3790919999999</v>
      </c>
      <c r="M211" s="3">
        <v>1418.7217140000002</v>
      </c>
      <c r="N211" s="3">
        <v>1588.8907120000001</v>
      </c>
      <c r="O211" s="3">
        <v>1685.1711539999999</v>
      </c>
      <c r="P211" s="3">
        <v>1701.671415</v>
      </c>
      <c r="Q211" s="3">
        <v>1721.815462</v>
      </c>
      <c r="R211" s="3">
        <v>1685.5948720000001</v>
      </c>
      <c r="S211" s="3">
        <v>1663.4624609999998</v>
      </c>
      <c r="T211" s="3">
        <v>1662.273344</v>
      </c>
      <c r="U211" s="3">
        <v>1666.6859099999997</v>
      </c>
      <c r="V211" s="3">
        <v>1677.2009889999999</v>
      </c>
      <c r="W211" s="3">
        <v>1745.604077</v>
      </c>
      <c r="X211" s="3">
        <v>1980.423323</v>
      </c>
      <c r="Y211" s="3">
        <v>1978.7981720000002</v>
      </c>
      <c r="Z211" s="3">
        <v>1918.5215919999996</v>
      </c>
      <c r="AA211" s="3">
        <v>1860.8715750000001</v>
      </c>
      <c r="AB211" s="3">
        <v>1752.9474849999999</v>
      </c>
      <c r="AC211" s="3">
        <v>1589.0221650000001</v>
      </c>
      <c r="AD211" s="2">
        <v>2001.2000000000003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v>1438.9515120000001</v>
      </c>
      <c r="G212" s="3">
        <v>1356.7771250000001</v>
      </c>
      <c r="H212" s="3">
        <v>1313.6299359999998</v>
      </c>
      <c r="I212" s="3">
        <v>1300.7220060000002</v>
      </c>
      <c r="J212" s="3">
        <v>1308.0812579999999</v>
      </c>
      <c r="K212" s="3">
        <v>1339.2970679999996</v>
      </c>
      <c r="L212" s="3">
        <v>1345.998801</v>
      </c>
      <c r="M212" s="3">
        <v>1447.3000000000002</v>
      </c>
      <c r="N212" s="3">
        <v>1637.5448999999996</v>
      </c>
      <c r="O212" s="3">
        <v>1743.7946989999998</v>
      </c>
      <c r="P212" s="3">
        <v>1784.2472720000001</v>
      </c>
      <c r="Q212" s="3">
        <v>1811.5195279999998</v>
      </c>
      <c r="R212" s="3">
        <v>1847.142832</v>
      </c>
      <c r="S212" s="3">
        <v>1768.8467649999998</v>
      </c>
      <c r="T212" s="3">
        <v>1720.9195929999998</v>
      </c>
      <c r="U212" s="3">
        <v>1721.2163800000003</v>
      </c>
      <c r="V212" s="3">
        <v>1704.8677620000001</v>
      </c>
      <c r="W212" s="3">
        <v>1772.4185610000002</v>
      </c>
      <c r="X212" s="3">
        <v>2011.472068</v>
      </c>
      <c r="Y212" s="3">
        <v>1987.4398040000001</v>
      </c>
      <c r="Z212" s="3">
        <v>1927.0015140000003</v>
      </c>
      <c r="AA212" s="3">
        <v>1846.3845420000002</v>
      </c>
      <c r="AB212" s="3">
        <v>1729.505625</v>
      </c>
      <c r="AC212" s="3">
        <v>1587.939128</v>
      </c>
      <c r="AD212" s="2">
        <v>2039.9999999999998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v>1450.8078659999999</v>
      </c>
      <c r="G213" s="3">
        <v>1343.3995159999997</v>
      </c>
      <c r="H213" s="3">
        <v>1301.7557839999999</v>
      </c>
      <c r="I213" s="3">
        <v>1283.03088</v>
      </c>
      <c r="J213" s="3">
        <v>1293.5999999999999</v>
      </c>
      <c r="K213" s="3">
        <v>1321.2415120000003</v>
      </c>
      <c r="L213" s="3">
        <v>1321.4753680000001</v>
      </c>
      <c r="M213" s="3">
        <v>1398.3999999999999</v>
      </c>
      <c r="N213" s="3">
        <v>1594.7</v>
      </c>
      <c r="O213" s="3">
        <v>1705.8000000000002</v>
      </c>
      <c r="P213" s="3">
        <v>1757.660535</v>
      </c>
      <c r="Q213" s="3">
        <v>1801</v>
      </c>
      <c r="R213" s="3">
        <v>1767.146765</v>
      </c>
      <c r="S213" s="3">
        <v>1722.8999999999999</v>
      </c>
      <c r="T213" s="3">
        <v>1678.4</v>
      </c>
      <c r="U213" s="3">
        <v>1645.673616</v>
      </c>
      <c r="V213" s="3">
        <v>1651.2231740000002</v>
      </c>
      <c r="W213" s="3">
        <v>1738.0976570000003</v>
      </c>
      <c r="X213" s="3">
        <v>1936.0866649999998</v>
      </c>
      <c r="Y213" s="3">
        <v>1929.899533</v>
      </c>
      <c r="Z213" s="3">
        <v>1866.0308599999996</v>
      </c>
      <c r="AA213" s="3">
        <v>1806.3351360000001</v>
      </c>
      <c r="AB213" s="3">
        <v>1685.050598</v>
      </c>
      <c r="AC213" s="3">
        <v>1537.600042</v>
      </c>
      <c r="AD213" s="2">
        <v>1937.1999999999998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v>1410.8655999999996</v>
      </c>
      <c r="G214" s="3">
        <v>1325.018002</v>
      </c>
      <c r="H214" s="3">
        <v>1260.9252290000002</v>
      </c>
      <c r="I214" s="3">
        <v>1241.904916</v>
      </c>
      <c r="J214" s="3">
        <v>1229.4000000000003</v>
      </c>
      <c r="K214" s="3">
        <v>1237.0614900000003</v>
      </c>
      <c r="L214" s="3">
        <v>1213.2975980000001</v>
      </c>
      <c r="M214" s="3">
        <v>1205.4295440000001</v>
      </c>
      <c r="N214" s="3">
        <v>1289.7727920000004</v>
      </c>
      <c r="O214" s="3">
        <v>1386.9040160000002</v>
      </c>
      <c r="P214" s="3">
        <v>1433.9457730000004</v>
      </c>
      <c r="Q214" s="3">
        <v>1470.5001039999997</v>
      </c>
      <c r="R214" s="3">
        <v>1468.8632660000001</v>
      </c>
      <c r="S214" s="3">
        <v>1441.6992740000001</v>
      </c>
      <c r="T214" s="3">
        <v>1426.926496</v>
      </c>
      <c r="U214" s="3">
        <v>1408.9632159999999</v>
      </c>
      <c r="V214" s="3">
        <v>1402.5575800000001</v>
      </c>
      <c r="W214" s="3">
        <v>1520.709908</v>
      </c>
      <c r="X214" s="3">
        <v>1775.3394679999999</v>
      </c>
      <c r="Y214" s="3">
        <v>1778.7280989999997</v>
      </c>
      <c r="Z214" s="3">
        <v>1745.4700240000002</v>
      </c>
      <c r="AA214" s="3">
        <v>1695.938052</v>
      </c>
      <c r="AB214" s="3">
        <v>1595.2423979999999</v>
      </c>
      <c r="AC214" s="3">
        <v>1444.7957039999997</v>
      </c>
      <c r="AD214" s="2">
        <v>1786.3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v>1323.4374319999997</v>
      </c>
      <c r="G215" s="3">
        <v>1245.05026</v>
      </c>
      <c r="H215" s="3">
        <v>1209.8031060000001</v>
      </c>
      <c r="I215" s="3">
        <v>1201.1165699999999</v>
      </c>
      <c r="J215" s="3">
        <v>1202.043768</v>
      </c>
      <c r="K215" s="3">
        <v>1230.7</v>
      </c>
      <c r="L215" s="3">
        <v>1273.9359800000002</v>
      </c>
      <c r="M215" s="3">
        <v>1363.88906</v>
      </c>
      <c r="N215" s="3">
        <v>1556.5</v>
      </c>
      <c r="O215" s="3">
        <v>1686.8895679999998</v>
      </c>
      <c r="P215" s="3">
        <v>1743.3947500000002</v>
      </c>
      <c r="Q215" s="3">
        <v>1765.6660400000001</v>
      </c>
      <c r="R215" s="3">
        <v>1609.9869750000003</v>
      </c>
      <c r="S215" s="3">
        <v>1567.452153</v>
      </c>
      <c r="T215" s="3">
        <v>1556.708758</v>
      </c>
      <c r="U215" s="3">
        <v>1569.2082839999998</v>
      </c>
      <c r="V215" s="3">
        <v>1587.5707540000003</v>
      </c>
      <c r="W215" s="3">
        <v>1687.3</v>
      </c>
      <c r="X215" s="3">
        <v>1870.9623519999998</v>
      </c>
      <c r="Y215" s="3">
        <v>1846.5058959999997</v>
      </c>
      <c r="Z215" s="3">
        <v>1827.7123349999999</v>
      </c>
      <c r="AA215" s="3">
        <v>1838.3853050000002</v>
      </c>
      <c r="AB215" s="3">
        <v>1720.7400950000001</v>
      </c>
      <c r="AC215" s="3">
        <v>1572.9835410000003</v>
      </c>
      <c r="AD215" s="2">
        <v>2003.6000000000001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v>1410.0332779999999</v>
      </c>
      <c r="G216" s="3">
        <v>1327.7284560000001</v>
      </c>
      <c r="H216" s="3">
        <v>1290.0053640000001</v>
      </c>
      <c r="I216" s="3">
        <v>1271.24486</v>
      </c>
      <c r="J216" s="3">
        <v>1275.41551</v>
      </c>
      <c r="K216" s="3">
        <v>1300.4290859999999</v>
      </c>
      <c r="L216" s="3">
        <v>1345.6960239999999</v>
      </c>
      <c r="M216" s="3">
        <v>1441.9</v>
      </c>
      <c r="N216" s="3">
        <v>1603.0644359999999</v>
      </c>
      <c r="O216" s="3">
        <v>1717.8215820000003</v>
      </c>
      <c r="P216" s="3">
        <v>1749.7</v>
      </c>
      <c r="Q216" s="3">
        <v>1765.2872559999998</v>
      </c>
      <c r="R216" s="3">
        <v>1734.6996040000001</v>
      </c>
      <c r="S216" s="3">
        <v>1686.049884</v>
      </c>
      <c r="T216" s="3">
        <v>1687.6122150000001</v>
      </c>
      <c r="U216" s="3">
        <v>1670.233459</v>
      </c>
      <c r="V216" s="3">
        <v>1705.6000000000001</v>
      </c>
      <c r="W216" s="3">
        <v>1800.8999999999999</v>
      </c>
      <c r="X216" s="3">
        <v>1986.0415379999997</v>
      </c>
      <c r="Y216" s="3">
        <v>1972.8551039999995</v>
      </c>
      <c r="Z216" s="3">
        <v>1919.5868579999999</v>
      </c>
      <c r="AA216" s="3">
        <v>1844.2094400000001</v>
      </c>
      <c r="AB216" s="3">
        <v>1722.0185220000001</v>
      </c>
      <c r="AC216" s="3">
        <v>1578.4160080000004</v>
      </c>
      <c r="AD216" s="2">
        <v>1999.6999999999998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v>1406.7674870000003</v>
      </c>
      <c r="G217" s="3">
        <v>1305.954696</v>
      </c>
      <c r="H217" s="3">
        <v>1268.3488159999999</v>
      </c>
      <c r="I217" s="3">
        <v>1253.5909320000001</v>
      </c>
      <c r="J217" s="3">
        <v>1248.951515</v>
      </c>
      <c r="K217" s="3">
        <v>1254.2779879999998</v>
      </c>
      <c r="L217" s="3">
        <v>1319.1000000000001</v>
      </c>
      <c r="M217" s="3">
        <v>1410.6999999999998</v>
      </c>
      <c r="N217" s="3">
        <v>1576.9378140000001</v>
      </c>
      <c r="O217" s="3">
        <v>1674.569499</v>
      </c>
      <c r="P217" s="3">
        <v>1718.513674</v>
      </c>
      <c r="Q217" s="3">
        <v>1699.748969</v>
      </c>
      <c r="R217" s="3">
        <v>1747.1495279999999</v>
      </c>
      <c r="S217" s="3">
        <v>1716.9</v>
      </c>
      <c r="T217" s="3">
        <v>1685.8248399999998</v>
      </c>
      <c r="U217" s="3">
        <v>1668.4</v>
      </c>
      <c r="V217" s="3">
        <v>1705.7512159999999</v>
      </c>
      <c r="W217" s="3">
        <v>1878.3515960000002</v>
      </c>
      <c r="X217" s="3">
        <v>2005.7608749999999</v>
      </c>
      <c r="Y217" s="3">
        <v>1984.442354</v>
      </c>
      <c r="Z217" s="3">
        <v>1964.5068849999998</v>
      </c>
      <c r="AA217" s="3">
        <v>1919.4448479999999</v>
      </c>
      <c r="AB217" s="3">
        <v>1661.141993</v>
      </c>
      <c r="AC217" s="3">
        <v>1556.384728</v>
      </c>
      <c r="AD217" s="2">
        <v>1985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v>1466.0372949999996</v>
      </c>
      <c r="G218" s="3">
        <v>1366.5109399999999</v>
      </c>
      <c r="H218" s="3">
        <v>1317.1999999999998</v>
      </c>
      <c r="I218" s="3">
        <v>1288.9821920000002</v>
      </c>
      <c r="J218" s="3">
        <v>1290.472231</v>
      </c>
      <c r="K218" s="3">
        <v>1317.2713900000001</v>
      </c>
      <c r="L218" s="3">
        <v>1357.1851580000002</v>
      </c>
      <c r="M218" s="3">
        <v>1436.0286099999998</v>
      </c>
      <c r="N218" s="3">
        <v>1604.1312800000001</v>
      </c>
      <c r="O218" s="3">
        <v>1711.3111719999997</v>
      </c>
      <c r="P218" s="3">
        <v>1658</v>
      </c>
      <c r="Q218" s="3">
        <v>1679.7715390000001</v>
      </c>
      <c r="R218" s="3">
        <v>1802.9297280000003</v>
      </c>
      <c r="S218" s="3">
        <v>1762.4719559999999</v>
      </c>
      <c r="T218" s="3">
        <v>1742.2049919999999</v>
      </c>
      <c r="U218" s="3">
        <v>1712.4295380000001</v>
      </c>
      <c r="V218" s="3">
        <v>1747.2850120000001</v>
      </c>
      <c r="W218" s="3">
        <v>1857.7</v>
      </c>
      <c r="X218" s="3">
        <v>2015.9165719999999</v>
      </c>
      <c r="Y218" s="3">
        <v>1970.1859749999996</v>
      </c>
      <c r="Z218" s="3">
        <v>1910.9102430000003</v>
      </c>
      <c r="AA218" s="3">
        <v>1830.200296</v>
      </c>
      <c r="AB218" s="3">
        <v>1715.7101010000001</v>
      </c>
      <c r="AC218" s="3">
        <v>1570.0942079999998</v>
      </c>
      <c r="AD218" s="2">
        <v>2014.3999999999999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v>1418.8223260000002</v>
      </c>
      <c r="G219" s="3">
        <v>1331.705788</v>
      </c>
      <c r="H219" s="3">
        <v>1290.3000000000002</v>
      </c>
      <c r="I219" s="3">
        <v>1273.3890000000004</v>
      </c>
      <c r="J219" s="3">
        <v>1256.0882800000002</v>
      </c>
      <c r="K219" s="3">
        <v>1285.6292990000002</v>
      </c>
      <c r="L219" s="3">
        <v>1325.3254730000001</v>
      </c>
      <c r="M219" s="3">
        <v>1416.172982</v>
      </c>
      <c r="N219" s="3">
        <v>1596.6</v>
      </c>
      <c r="O219" s="3">
        <v>1701.531524</v>
      </c>
      <c r="P219" s="3">
        <v>1749.8</v>
      </c>
      <c r="Q219" s="3">
        <v>1777.6284050000002</v>
      </c>
      <c r="R219" s="3">
        <v>1761.7382</v>
      </c>
      <c r="S219" s="3">
        <v>1721.5833680000003</v>
      </c>
      <c r="T219" s="3">
        <v>1692.4213210000003</v>
      </c>
      <c r="U219" s="3">
        <v>1692.440398</v>
      </c>
      <c r="V219" s="3">
        <v>1689.7</v>
      </c>
      <c r="W219" s="3">
        <v>1815.116876</v>
      </c>
      <c r="X219" s="3">
        <v>2008.9320760000001</v>
      </c>
      <c r="Y219" s="3">
        <v>1985.6999999999998</v>
      </c>
      <c r="Z219" s="3">
        <v>1916.3144680000003</v>
      </c>
      <c r="AA219" s="3">
        <v>1856.0128900000007</v>
      </c>
      <c r="AB219" s="3">
        <v>1724.0209249999998</v>
      </c>
      <c r="AC219" s="3">
        <v>1606.0314840000001</v>
      </c>
      <c r="AD219" s="2">
        <v>2018.9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v>1448.8795759999998</v>
      </c>
      <c r="G220" s="3">
        <v>1356.585464</v>
      </c>
      <c r="H220" s="3">
        <v>1304.4580280000002</v>
      </c>
      <c r="I220" s="3">
        <v>1282.9480249999999</v>
      </c>
      <c r="J220" s="3">
        <v>1276.8630699999999</v>
      </c>
      <c r="K220" s="3">
        <v>1292.076728</v>
      </c>
      <c r="L220" s="3">
        <v>1306.6548489999998</v>
      </c>
      <c r="M220" s="3">
        <v>1395.1759660000002</v>
      </c>
      <c r="N220" s="3">
        <v>1577.2798690000002</v>
      </c>
      <c r="O220" s="3">
        <v>1717.6156120000001</v>
      </c>
      <c r="P220" s="3">
        <v>1790.57078</v>
      </c>
      <c r="Q220" s="3">
        <v>1812.5754669999999</v>
      </c>
      <c r="R220" s="3">
        <v>1814.3317120000002</v>
      </c>
      <c r="S220" s="3">
        <v>1767.6835810000002</v>
      </c>
      <c r="T220" s="3">
        <v>1707.5384119999999</v>
      </c>
      <c r="U220" s="3">
        <v>1705.4281579999997</v>
      </c>
      <c r="V220" s="3">
        <v>1707.2</v>
      </c>
      <c r="W220" s="3">
        <v>1828.502698</v>
      </c>
      <c r="X220" s="3">
        <v>1972.6778070000003</v>
      </c>
      <c r="Y220" s="3">
        <v>1927.09854</v>
      </c>
      <c r="Z220" s="3">
        <v>1851.6779119999999</v>
      </c>
      <c r="AA220" s="3">
        <v>1805.687248</v>
      </c>
      <c r="AB220" s="3">
        <v>1716.2266309999998</v>
      </c>
      <c r="AC220" s="3">
        <v>1588.693976</v>
      </c>
      <c r="AD220" s="2">
        <v>2007.7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v>1430.1649759999998</v>
      </c>
      <c r="G221" s="3">
        <v>1316.6625999999999</v>
      </c>
      <c r="H221" s="3">
        <v>1264.7</v>
      </c>
      <c r="I221" s="3">
        <v>1237.3635400000001</v>
      </c>
      <c r="J221" s="3">
        <v>1225.739489</v>
      </c>
      <c r="K221" s="3">
        <v>1225.4000000000001</v>
      </c>
      <c r="L221" s="3">
        <v>1232.7126580000001</v>
      </c>
      <c r="M221" s="3">
        <v>1210.134078</v>
      </c>
      <c r="N221" s="3">
        <v>1249.0033560000002</v>
      </c>
      <c r="O221" s="3">
        <v>1297.676923</v>
      </c>
      <c r="P221" s="3">
        <v>1298.4831279999999</v>
      </c>
      <c r="Q221" s="3">
        <v>1302.6199149999998</v>
      </c>
      <c r="R221" s="3">
        <v>1305.3562259999999</v>
      </c>
      <c r="S221" s="3">
        <v>1304.0757840000001</v>
      </c>
      <c r="T221" s="3">
        <v>1304.0759880000003</v>
      </c>
      <c r="U221" s="3">
        <v>1300.643298</v>
      </c>
      <c r="V221" s="3">
        <v>1331.8058900000001</v>
      </c>
      <c r="W221" s="3">
        <v>1494.165679</v>
      </c>
      <c r="X221" s="3">
        <v>1732.8004620000002</v>
      </c>
      <c r="Y221" s="3">
        <v>1745.0720639999997</v>
      </c>
      <c r="Z221" s="3">
        <v>1729.2000000000003</v>
      </c>
      <c r="AA221" s="3">
        <v>1712.3000000000002</v>
      </c>
      <c r="AB221" s="3">
        <v>1636.051003</v>
      </c>
      <c r="AC221" s="3">
        <v>1500.4574169999999</v>
      </c>
      <c r="AD221" s="2">
        <v>1757.5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v>1348.5941339999999</v>
      </c>
      <c r="G222" s="3">
        <v>1266.9771620000001</v>
      </c>
      <c r="H222" s="3">
        <v>1223.1380610000001</v>
      </c>
      <c r="I222" s="3">
        <v>1210.7014230000002</v>
      </c>
      <c r="J222" s="3">
        <v>1206.070354</v>
      </c>
      <c r="K222" s="3">
        <v>1220.2485719999997</v>
      </c>
      <c r="L222" s="3">
        <v>1289.7274630000002</v>
      </c>
      <c r="M222" s="3">
        <v>1378.5</v>
      </c>
      <c r="N222" s="3">
        <v>1572.1999999999998</v>
      </c>
      <c r="O222" s="3">
        <v>1698.2663120000002</v>
      </c>
      <c r="P222" s="3">
        <v>1754.132832</v>
      </c>
      <c r="Q222" s="3">
        <v>1790.9286589999999</v>
      </c>
      <c r="R222" s="3">
        <v>1751.1485049999999</v>
      </c>
      <c r="S222" s="3">
        <v>1718.9803080000002</v>
      </c>
      <c r="T222" s="3">
        <v>1671.8000000000002</v>
      </c>
      <c r="U222" s="3">
        <v>1661.7722219999998</v>
      </c>
      <c r="V222" s="3">
        <v>1682.745424</v>
      </c>
      <c r="W222" s="3">
        <v>1814.8742429999998</v>
      </c>
      <c r="X222" s="3">
        <v>1975.97603</v>
      </c>
      <c r="Y222" s="3">
        <v>1948.6453899999999</v>
      </c>
      <c r="Z222" s="3">
        <v>1881.074793</v>
      </c>
      <c r="AA222" s="3">
        <v>1826.258178</v>
      </c>
      <c r="AB222" s="3">
        <v>1698.1378479999998</v>
      </c>
      <c r="AC222" s="3">
        <v>1557.3811580000001</v>
      </c>
      <c r="AD222" s="2">
        <v>1983.4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v>1397.3</v>
      </c>
      <c r="G223" s="3">
        <v>1306.6550019999997</v>
      </c>
      <c r="H223" s="3">
        <v>1268.0931599999999</v>
      </c>
      <c r="I223" s="3">
        <v>1254.347751</v>
      </c>
      <c r="J223" s="3">
        <v>1237.5000000000002</v>
      </c>
      <c r="K223" s="3">
        <v>1260.4000000000001</v>
      </c>
      <c r="L223" s="3">
        <v>1306.5999999999999</v>
      </c>
      <c r="M223" s="3">
        <v>1382.583016</v>
      </c>
      <c r="N223" s="3">
        <v>1547.8920810000002</v>
      </c>
      <c r="O223" s="3">
        <v>1639.7364479999999</v>
      </c>
      <c r="P223" s="3">
        <v>1667.6000000000001</v>
      </c>
      <c r="Q223" s="3">
        <v>1700.6407750000001</v>
      </c>
      <c r="R223" s="3">
        <v>1682.7159830000003</v>
      </c>
      <c r="S223" s="3">
        <v>1648.5421120000001</v>
      </c>
      <c r="T223" s="3">
        <v>1639.22261</v>
      </c>
      <c r="U223" s="3">
        <v>1655.554063</v>
      </c>
      <c r="V223" s="3">
        <v>1684.9184960000002</v>
      </c>
      <c r="W223" s="3">
        <v>1821.6</v>
      </c>
      <c r="X223" s="3">
        <v>2002.5535739999996</v>
      </c>
      <c r="Y223" s="3">
        <v>1981.6606550000004</v>
      </c>
      <c r="Z223" s="3">
        <v>1927.8431220000002</v>
      </c>
      <c r="AA223" s="3">
        <v>1864.8940279999999</v>
      </c>
      <c r="AB223" s="3">
        <v>1734.140095</v>
      </c>
      <c r="AC223" s="3">
        <v>1601.0029149999998</v>
      </c>
      <c r="AD223" s="2">
        <v>1996.3000000000004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v>1425.4716689999998</v>
      </c>
      <c r="G224" s="3">
        <v>1316.7</v>
      </c>
      <c r="H224" s="3">
        <v>1265.5360620000001</v>
      </c>
      <c r="I224" s="3">
        <v>1231.5564359999998</v>
      </c>
      <c r="J224" s="3">
        <v>1229.6544980000001</v>
      </c>
      <c r="K224" s="3">
        <v>1256.158267</v>
      </c>
      <c r="L224" s="3">
        <v>1302.8344499999998</v>
      </c>
      <c r="M224" s="3">
        <v>1355.4262120000001</v>
      </c>
      <c r="N224" s="3">
        <v>1544.361555</v>
      </c>
      <c r="O224" s="3">
        <v>1542.4449359999999</v>
      </c>
      <c r="P224" s="3">
        <v>1674.3</v>
      </c>
      <c r="Q224" s="3">
        <v>1712.4256049999997</v>
      </c>
      <c r="R224" s="3">
        <v>1727.565904</v>
      </c>
      <c r="S224" s="3">
        <v>1666.4972119999998</v>
      </c>
      <c r="T224" s="3">
        <v>1648.2583470000002</v>
      </c>
      <c r="U224" s="3">
        <v>1636.2907999999998</v>
      </c>
      <c r="V224" s="3">
        <v>1635.2369890000002</v>
      </c>
      <c r="W224" s="3">
        <v>1783.1780759999997</v>
      </c>
      <c r="X224" s="3">
        <v>1995.0961750000001</v>
      </c>
      <c r="Y224" s="3">
        <v>1963.1975950000001</v>
      </c>
      <c r="Z224" s="3">
        <v>1894.607004</v>
      </c>
      <c r="AA224" s="3">
        <v>1845.0257960000001</v>
      </c>
      <c r="AB224" s="3">
        <v>1721.9941099999999</v>
      </c>
      <c r="AC224" s="3">
        <v>1572.675845</v>
      </c>
      <c r="AD224" s="2">
        <v>2009.3999999999999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v>1430.4721920000002</v>
      </c>
      <c r="G225" s="3">
        <v>3222.5089640000001</v>
      </c>
      <c r="H225" s="3">
        <v>1278.2930739999999</v>
      </c>
      <c r="I225" s="3">
        <v>1265.9061300000001</v>
      </c>
      <c r="J225" s="3">
        <v>1254.1792840000001</v>
      </c>
      <c r="K225" s="3">
        <v>1259.1843840000001</v>
      </c>
      <c r="L225" s="3">
        <v>1310.1999999999998</v>
      </c>
      <c r="M225" s="3">
        <v>1400.127898</v>
      </c>
      <c r="N225" s="3">
        <v>1574.784895</v>
      </c>
      <c r="O225" s="3">
        <v>1678.766116</v>
      </c>
      <c r="P225" s="3">
        <v>1741.4109169999999</v>
      </c>
      <c r="Q225" s="3">
        <v>1750</v>
      </c>
      <c r="R225" s="3">
        <v>1733.841625</v>
      </c>
      <c r="S225" s="3">
        <v>1700.3000000000002</v>
      </c>
      <c r="T225" s="3">
        <v>1659.304556</v>
      </c>
      <c r="U225" s="3">
        <v>1644.3784070000002</v>
      </c>
      <c r="V225" s="3">
        <v>1659.204862</v>
      </c>
      <c r="W225" s="3">
        <v>1815.0505860000001</v>
      </c>
      <c r="X225" s="3">
        <v>1992.4643859999999</v>
      </c>
      <c r="Y225" s="3">
        <v>1961.0833850000001</v>
      </c>
      <c r="Z225" s="3">
        <v>1905.6429979999998</v>
      </c>
      <c r="AA225" s="3">
        <v>1835.005705</v>
      </c>
      <c r="AB225" s="3">
        <v>1708.5275940000001</v>
      </c>
      <c r="AC225" s="3">
        <v>1546.809908</v>
      </c>
      <c r="AD225" s="2">
        <v>2000.8000000000002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v>1396.6243899999999</v>
      </c>
      <c r="G226" s="3">
        <v>1311.1299620000002</v>
      </c>
      <c r="H226" s="3">
        <v>1274.0914519999999</v>
      </c>
      <c r="I226" s="3">
        <v>1274.3968480000001</v>
      </c>
      <c r="J226" s="3">
        <v>1273.3435999999999</v>
      </c>
      <c r="K226" s="3">
        <v>1261.2872400000001</v>
      </c>
      <c r="L226" s="3">
        <v>1299.136082</v>
      </c>
      <c r="M226" s="3">
        <v>1388.969016</v>
      </c>
      <c r="N226" s="3">
        <v>1556.9148599999999</v>
      </c>
      <c r="O226" s="3">
        <v>1640.4082820000001</v>
      </c>
      <c r="P226" s="3">
        <v>1701.4351219999999</v>
      </c>
      <c r="Q226" s="3">
        <v>1743.6</v>
      </c>
      <c r="R226" s="3">
        <v>1713.0722250000001</v>
      </c>
      <c r="S226" s="3">
        <v>1672.2815719999999</v>
      </c>
      <c r="T226" s="3">
        <v>1656.054981</v>
      </c>
      <c r="U226" s="3">
        <v>1658.75935</v>
      </c>
      <c r="V226" s="3">
        <v>1658.3101320000001</v>
      </c>
      <c r="W226" s="3">
        <v>1782.3893440000002</v>
      </c>
      <c r="X226" s="3">
        <v>1933.2235460000002</v>
      </c>
      <c r="Y226" s="3">
        <v>1876.7346540000001</v>
      </c>
      <c r="Z226" s="3">
        <v>1876.73496</v>
      </c>
      <c r="AA226" s="3">
        <v>1824.2682300000001</v>
      </c>
      <c r="AB226" s="3">
        <v>1703.9124160000001</v>
      </c>
      <c r="AC226" s="3">
        <v>1557.611684</v>
      </c>
      <c r="AD226" s="2">
        <v>1992.4000000000003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v>1416.876004</v>
      </c>
      <c r="G227" s="3">
        <v>1306.8</v>
      </c>
      <c r="H227" s="3">
        <v>1259.0843839999998</v>
      </c>
      <c r="I227" s="3">
        <v>1247.6428599999997</v>
      </c>
      <c r="J227" s="3">
        <v>1240.5</v>
      </c>
      <c r="K227" s="3">
        <v>1256.62168</v>
      </c>
      <c r="L227" s="3">
        <v>1238.4303499999999</v>
      </c>
      <c r="M227" s="3">
        <v>1337.46578</v>
      </c>
      <c r="N227" s="3">
        <v>1524.2</v>
      </c>
      <c r="O227" s="3">
        <v>1644.0000000000002</v>
      </c>
      <c r="P227" s="3">
        <v>1697.1781179999998</v>
      </c>
      <c r="Q227" s="3">
        <v>1716.229079</v>
      </c>
      <c r="R227" s="3">
        <v>1684.1254750000001</v>
      </c>
      <c r="S227" s="3">
        <v>1626.26785</v>
      </c>
      <c r="T227" s="3">
        <v>1577.76604</v>
      </c>
      <c r="U227" s="3">
        <v>1561.0651579999999</v>
      </c>
      <c r="V227" s="3">
        <v>1573.545858</v>
      </c>
      <c r="W227" s="3">
        <v>1741.4969430000001</v>
      </c>
      <c r="X227" s="3">
        <v>1893.7668799999999</v>
      </c>
      <c r="Y227" s="3">
        <v>1884.9763439999999</v>
      </c>
      <c r="Z227" s="3">
        <v>1822.4618499999999</v>
      </c>
      <c r="AA227" s="3">
        <v>1756.848604</v>
      </c>
      <c r="AB227" s="3">
        <v>1662.474262</v>
      </c>
      <c r="AC227" s="3">
        <v>1551.5787750000002</v>
      </c>
      <c r="AD227" s="2">
        <v>1896.4000000000003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v>1402.7412599999998</v>
      </c>
      <c r="G228" s="3">
        <v>1309.0999999999999</v>
      </c>
      <c r="H228" s="3">
        <v>1252.6255450000001</v>
      </c>
      <c r="I228" s="3">
        <v>1227.4761780000001</v>
      </c>
      <c r="J228" s="3">
        <v>1211.2</v>
      </c>
      <c r="K228" s="3">
        <v>1222.2740819999999</v>
      </c>
      <c r="L228" s="3">
        <v>1208.3699870000003</v>
      </c>
      <c r="M228" s="3">
        <v>1185.9390610000003</v>
      </c>
      <c r="N228" s="3">
        <v>1277.5</v>
      </c>
      <c r="O228" s="3">
        <v>1388.6452379999998</v>
      </c>
      <c r="P228" s="3">
        <v>1435.5542660000001</v>
      </c>
      <c r="Q228" s="3">
        <v>1470.8652549999999</v>
      </c>
      <c r="R228" s="3">
        <v>1461.5169339999998</v>
      </c>
      <c r="S228" s="3">
        <v>1420.4608570000003</v>
      </c>
      <c r="T228" s="3">
        <v>1394.388512</v>
      </c>
      <c r="U228" s="3">
        <v>1370.2707760000001</v>
      </c>
      <c r="V228" s="3">
        <v>1391.2</v>
      </c>
      <c r="W228" s="3">
        <v>1591.173035</v>
      </c>
      <c r="X228" s="3">
        <v>1762.9161200000001</v>
      </c>
      <c r="Y228" s="3">
        <v>1748.6643119999999</v>
      </c>
      <c r="Z228" s="3">
        <v>1713.3214260000002</v>
      </c>
      <c r="AA228" s="3">
        <v>1653.4830340000001</v>
      </c>
      <c r="AB228" s="3">
        <v>1573.60419</v>
      </c>
      <c r="AC228" s="3">
        <v>1473.3882739999999</v>
      </c>
      <c r="AD228" s="2">
        <v>1759.6000000000001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v>1352.3103290000001</v>
      </c>
      <c r="G229" s="3">
        <v>1259.4663599999999</v>
      </c>
      <c r="H229" s="3">
        <v>1213.9333690000001</v>
      </c>
      <c r="I229" s="3">
        <v>1187.693405</v>
      </c>
      <c r="J229" s="3">
        <v>1179.6833589999999</v>
      </c>
      <c r="K229" s="3">
        <v>1195.4754030000001</v>
      </c>
      <c r="L229" s="3">
        <v>1192.9038559999999</v>
      </c>
      <c r="M229" s="3">
        <v>1216.9355619999999</v>
      </c>
      <c r="N229" s="3">
        <v>1343.6</v>
      </c>
      <c r="O229" s="3">
        <v>1449.9445880000001</v>
      </c>
      <c r="P229" s="3">
        <v>1526.2173959999998</v>
      </c>
      <c r="Q229" s="3">
        <v>1556.317006</v>
      </c>
      <c r="R229" s="3">
        <v>1538.0999260000001</v>
      </c>
      <c r="S229" s="3">
        <v>1494.5662910000001</v>
      </c>
      <c r="T229" s="3">
        <v>1470.5645919999999</v>
      </c>
      <c r="U229" s="3">
        <v>1476.7681619999998</v>
      </c>
      <c r="V229" s="3">
        <v>1581.6542299999999</v>
      </c>
      <c r="W229" s="3">
        <v>1742.6956169999999</v>
      </c>
      <c r="X229" s="3">
        <v>1862.2998850000001</v>
      </c>
      <c r="Y229" s="3">
        <v>1838.9914780000001</v>
      </c>
      <c r="Z229" s="3">
        <v>1794.3069850000002</v>
      </c>
      <c r="AA229" s="3">
        <v>1731.80189</v>
      </c>
      <c r="AB229" s="3">
        <v>1643.038933</v>
      </c>
      <c r="AC229" s="3">
        <v>1499.1407260000001</v>
      </c>
      <c r="AD229" s="2">
        <v>1861.8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v>1354.1000000000001</v>
      </c>
      <c r="G230" s="3">
        <v>1253.490728</v>
      </c>
      <c r="H230" s="3">
        <v>1216.4291819999999</v>
      </c>
      <c r="I230" s="3">
        <v>1199.7188649999998</v>
      </c>
      <c r="J230" s="3">
        <v>1185.1361380000001</v>
      </c>
      <c r="K230" s="3">
        <v>1212.6323999999997</v>
      </c>
      <c r="L230" s="3">
        <v>1279.1967710000001</v>
      </c>
      <c r="M230" s="3">
        <v>1389.6457479999999</v>
      </c>
      <c r="N230" s="3">
        <v>1547.5949139999998</v>
      </c>
      <c r="O230" s="3">
        <v>1671.990984</v>
      </c>
      <c r="P230" s="3">
        <v>1698.817802</v>
      </c>
      <c r="Q230" s="3">
        <v>1687.9509319999997</v>
      </c>
      <c r="R230" s="3">
        <v>1733.2010260000002</v>
      </c>
      <c r="S230" s="3">
        <v>1684.9505980000001</v>
      </c>
      <c r="T230" s="3">
        <v>1654.6585849999999</v>
      </c>
      <c r="U230" s="3">
        <v>1647.9699440000002</v>
      </c>
      <c r="V230" s="3">
        <v>1673.2683770000001</v>
      </c>
      <c r="W230" s="3">
        <v>1841.1</v>
      </c>
      <c r="X230" s="3">
        <v>1977.8655749999998</v>
      </c>
      <c r="Y230" s="3">
        <v>1944.5921890000002</v>
      </c>
      <c r="Z230" s="3">
        <v>1892.0730000000005</v>
      </c>
      <c r="AA230" s="3">
        <v>1816.0371640000001</v>
      </c>
      <c r="AB230" s="3">
        <v>1735.090835</v>
      </c>
      <c r="AC230" s="3">
        <v>1579.4127439999997</v>
      </c>
      <c r="AD230" s="2">
        <v>1984.8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v>1419.4</v>
      </c>
      <c r="G231" s="3">
        <v>1324.0349840000001</v>
      </c>
      <c r="H231" s="3">
        <v>1290.9265449999998</v>
      </c>
      <c r="I231" s="3">
        <v>1266.5999999999999</v>
      </c>
      <c r="J231" s="3">
        <v>1252.652902</v>
      </c>
      <c r="K231" s="3">
        <v>1277.4336340000002</v>
      </c>
      <c r="L231" s="3">
        <v>1336.103697</v>
      </c>
      <c r="M231" s="3">
        <v>1394.2</v>
      </c>
      <c r="N231" s="3">
        <v>1574.5812969999999</v>
      </c>
      <c r="O231" s="3">
        <v>1655.4591969999999</v>
      </c>
      <c r="P231" s="3">
        <v>1694.3999999999999</v>
      </c>
      <c r="Q231" s="3">
        <v>1711.6110699999999</v>
      </c>
      <c r="R231" s="3">
        <v>1685.0962999999999</v>
      </c>
      <c r="S231" s="3">
        <v>1677.0856889999998</v>
      </c>
      <c r="T231" s="3">
        <v>1676.3573299999998</v>
      </c>
      <c r="U231" s="3">
        <v>1674.387219</v>
      </c>
      <c r="V231" s="3">
        <v>1647.1090100000001</v>
      </c>
      <c r="W231" s="3">
        <v>1829.2017799999999</v>
      </c>
      <c r="X231" s="3">
        <v>1979.7602199999999</v>
      </c>
      <c r="Y231" s="3">
        <v>1938.1898860000001</v>
      </c>
      <c r="Z231" s="3">
        <v>1894.5809849999998</v>
      </c>
      <c r="AA231" s="3">
        <v>1808.0252400000002</v>
      </c>
      <c r="AB231" s="3">
        <v>1712.2118349999998</v>
      </c>
      <c r="AC231" s="3">
        <v>1580.1357820000001</v>
      </c>
      <c r="AD231" s="2">
        <v>1974.0000000000002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v>1420.6389399999998</v>
      </c>
      <c r="G232" s="3">
        <v>1328.639064</v>
      </c>
      <c r="H232" s="3">
        <v>1279.9000000000001</v>
      </c>
      <c r="I232" s="3">
        <v>1257.7491890000001</v>
      </c>
      <c r="J232" s="3">
        <v>1244.4000000000001</v>
      </c>
      <c r="K232" s="3">
        <v>1275.2639179999999</v>
      </c>
      <c r="L232" s="3">
        <v>1316.3527320000001</v>
      </c>
      <c r="M232" s="3">
        <v>1397.8137829999998</v>
      </c>
      <c r="N232" s="3">
        <v>1560.9616390000001</v>
      </c>
      <c r="O232" s="3">
        <v>1647.6436079999999</v>
      </c>
      <c r="P232" s="3">
        <v>1696.8</v>
      </c>
      <c r="Q232" s="3">
        <v>1749.3827679999999</v>
      </c>
      <c r="R232" s="3">
        <v>1532.703125</v>
      </c>
      <c r="S232" s="3">
        <v>1514.5413959999998</v>
      </c>
      <c r="T232" s="3">
        <v>1643.4055419999997</v>
      </c>
      <c r="U232" s="3">
        <v>1638.4341049999998</v>
      </c>
      <c r="V232" s="3">
        <v>1670.0970219999999</v>
      </c>
      <c r="W232" s="3">
        <v>1828.9020860000003</v>
      </c>
      <c r="X232" s="3">
        <v>1981.9857279999999</v>
      </c>
      <c r="Y232" s="3">
        <v>1927.8892419999997</v>
      </c>
      <c r="Z232" s="3">
        <v>1882.9330620000003</v>
      </c>
      <c r="AA232" s="3">
        <v>1829.4532820000002</v>
      </c>
      <c r="AB232" s="3">
        <v>1728.7</v>
      </c>
      <c r="AC232" s="3">
        <v>1581.4092760000001</v>
      </c>
      <c r="AD232" s="2">
        <v>1998.6999999999998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v>1186.9442429999999</v>
      </c>
      <c r="G233" s="3">
        <v>1306.9011300000002</v>
      </c>
      <c r="H233" s="3">
        <v>1267.5769579999999</v>
      </c>
      <c r="I233" s="3">
        <v>1239.8</v>
      </c>
      <c r="J233" s="3">
        <v>1240.79285</v>
      </c>
      <c r="K233" s="3">
        <v>1265.5401109999998</v>
      </c>
      <c r="L233" s="3">
        <v>1328.9154520000002</v>
      </c>
      <c r="M233" s="3">
        <v>1410.3313020000001</v>
      </c>
      <c r="N233" s="3">
        <v>1599.8361759999998</v>
      </c>
      <c r="O233" s="3">
        <v>1672.3945740000001</v>
      </c>
      <c r="P233" s="3">
        <v>1677.1534199999999</v>
      </c>
      <c r="Q233" s="3">
        <v>1702.9989519999999</v>
      </c>
      <c r="R233" s="3">
        <v>1715.4400919999998</v>
      </c>
      <c r="S233" s="3">
        <v>1685.313028</v>
      </c>
      <c r="T233" s="3">
        <v>1643.5939480000002</v>
      </c>
      <c r="U233" s="3">
        <v>1644.991704</v>
      </c>
      <c r="V233" s="3">
        <v>1644.45272</v>
      </c>
      <c r="W233" s="3">
        <v>1881.7462619999999</v>
      </c>
      <c r="X233" s="3">
        <v>1983.1185800000001</v>
      </c>
      <c r="Y233" s="3">
        <v>1941.1670650000001</v>
      </c>
      <c r="Z233" s="3">
        <v>1901.383484</v>
      </c>
      <c r="AA233" s="3">
        <v>1826.7535930000004</v>
      </c>
      <c r="AB233" s="3">
        <v>1709.7479519999999</v>
      </c>
      <c r="AC233" s="3">
        <v>1583.031804</v>
      </c>
      <c r="AD233" s="2">
        <v>1968.1000000000004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v>1439.151167</v>
      </c>
      <c r="G234" s="3">
        <v>1327.308338</v>
      </c>
      <c r="H234" s="3">
        <v>1286.956864</v>
      </c>
      <c r="I234" s="3">
        <v>1271.8365920000003</v>
      </c>
      <c r="J234" s="3">
        <v>1266.690865</v>
      </c>
      <c r="K234" s="3">
        <v>1272.2251839999999</v>
      </c>
      <c r="L234" s="3">
        <v>1310.390114</v>
      </c>
      <c r="M234" s="3">
        <v>1355.9999999999998</v>
      </c>
      <c r="N234" s="3">
        <v>1518.1192040000003</v>
      </c>
      <c r="O234" s="3">
        <v>1642.152006</v>
      </c>
      <c r="P234" s="3">
        <v>1708.8249959999998</v>
      </c>
      <c r="Q234" s="3">
        <v>1753.0797079999998</v>
      </c>
      <c r="R234" s="3">
        <v>1728.6071550000001</v>
      </c>
      <c r="S234" s="3">
        <v>1682.5537599999998</v>
      </c>
      <c r="T234" s="3">
        <v>1627.1</v>
      </c>
      <c r="U234" s="3">
        <v>1614.42057</v>
      </c>
      <c r="V234" s="3">
        <v>1664.1000000000001</v>
      </c>
      <c r="W234" s="3">
        <v>1784.4247829999997</v>
      </c>
      <c r="X234" s="3">
        <v>1935.5669040000005</v>
      </c>
      <c r="Y234" s="3">
        <v>1903.1657420000001</v>
      </c>
      <c r="Z234" s="3">
        <v>1856.0104419999998</v>
      </c>
      <c r="AA234" s="3">
        <v>1793.4068319999999</v>
      </c>
      <c r="AB234" s="3">
        <v>1692.0856919999999</v>
      </c>
      <c r="AC234" s="3">
        <v>1556.0941489999998</v>
      </c>
      <c r="AD234" s="2">
        <v>1940.2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v>1391.4713499999998</v>
      </c>
      <c r="G235" s="3">
        <v>1291.153192</v>
      </c>
      <c r="H235" s="3">
        <v>1248.843895</v>
      </c>
      <c r="I235" s="3">
        <v>1216.0654070000003</v>
      </c>
      <c r="J235" s="3">
        <v>1190.0792280000001</v>
      </c>
      <c r="K235" s="3">
        <v>1203.8272489999997</v>
      </c>
      <c r="L235" s="3">
        <v>1189.0584559999998</v>
      </c>
      <c r="M235" s="3">
        <v>1164.5</v>
      </c>
      <c r="N235" s="3">
        <v>1252.0461289999998</v>
      </c>
      <c r="O235" s="3">
        <v>1340.092122</v>
      </c>
      <c r="P235" s="3">
        <v>1414.10473</v>
      </c>
      <c r="Q235" s="3">
        <v>1447.037742</v>
      </c>
      <c r="R235" s="3">
        <v>1434.2619549999997</v>
      </c>
      <c r="S235" s="3">
        <v>1415.609385</v>
      </c>
      <c r="T235" s="3">
        <v>1385.1879250000002</v>
      </c>
      <c r="U235" s="3">
        <v>1366.1505279999999</v>
      </c>
      <c r="V235" s="3">
        <v>1385.334897</v>
      </c>
      <c r="W235" s="3">
        <v>1604.9327079999998</v>
      </c>
      <c r="X235" s="3">
        <v>1747.7669640000001</v>
      </c>
      <c r="Y235" s="3">
        <v>1738.3999999999999</v>
      </c>
      <c r="Z235" s="3">
        <v>1710.3237720000002</v>
      </c>
      <c r="AA235" s="3">
        <v>1677.0573299999999</v>
      </c>
      <c r="AB235" s="3">
        <v>1597.0778600000001</v>
      </c>
      <c r="AC235" s="3">
        <v>1459.6976950000001</v>
      </c>
      <c r="AD235" s="2">
        <v>1755.7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v>1312.4316699999999</v>
      </c>
      <c r="G236" s="3">
        <v>1211.0671359999999</v>
      </c>
      <c r="H236" s="3">
        <v>1171.8881019999999</v>
      </c>
      <c r="I236" s="3">
        <v>1151.5893319999998</v>
      </c>
      <c r="J236" s="3">
        <v>1160.5616749999997</v>
      </c>
      <c r="K236" s="3">
        <v>1188.6771720000002</v>
      </c>
      <c r="L236" s="3">
        <v>1265.018497</v>
      </c>
      <c r="M236" s="3">
        <v>1359.1826079999998</v>
      </c>
      <c r="N236" s="3">
        <v>1530.508763</v>
      </c>
      <c r="O236" s="3">
        <v>1649.6999999999998</v>
      </c>
      <c r="P236" s="3">
        <v>1718.6000000000001</v>
      </c>
      <c r="Q236" s="3">
        <v>1760.5400360000001</v>
      </c>
      <c r="R236" s="3">
        <v>1712.156322</v>
      </c>
      <c r="S236" s="3">
        <v>1691.7848760000002</v>
      </c>
      <c r="T236" s="3">
        <v>1687.6688589999999</v>
      </c>
      <c r="U236" s="3">
        <v>1680.5036439999999</v>
      </c>
      <c r="V236" s="3">
        <v>1693.1413160000002</v>
      </c>
      <c r="W236" s="3">
        <v>1883.2700499999996</v>
      </c>
      <c r="X236" s="3">
        <v>1940.1640050000001</v>
      </c>
      <c r="Y236" s="3">
        <v>1921.5103800000002</v>
      </c>
      <c r="Z236" s="3">
        <v>1863.2675079999999</v>
      </c>
      <c r="AA236" s="3">
        <v>1793.3523700000001</v>
      </c>
      <c r="AB236" s="3">
        <v>1678</v>
      </c>
      <c r="AC236" s="3">
        <v>1539.8337300000003</v>
      </c>
      <c r="AD236" s="2">
        <v>1925.6999999999998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v>1341.6297570000002</v>
      </c>
      <c r="G237" s="3">
        <v>1286.77757</v>
      </c>
      <c r="H237" s="3">
        <v>1240.0553600000001</v>
      </c>
      <c r="I237" s="3">
        <v>1219.7350520000002</v>
      </c>
      <c r="J237" s="3">
        <v>1219.0643870000001</v>
      </c>
      <c r="K237" s="3">
        <v>1226.0137239999999</v>
      </c>
      <c r="L237" s="3">
        <v>1277.5331080000001</v>
      </c>
      <c r="M237" s="3">
        <v>1344.3</v>
      </c>
      <c r="N237" s="3">
        <v>1493.4764749999999</v>
      </c>
      <c r="O237" s="3">
        <v>1587.3931719999998</v>
      </c>
      <c r="P237" s="3">
        <v>1619.2584999999999</v>
      </c>
      <c r="Q237" s="3">
        <v>1663.5704879999998</v>
      </c>
      <c r="R237" s="3">
        <v>1661.1372329999997</v>
      </c>
      <c r="S237" s="3">
        <v>1626.8096559999999</v>
      </c>
      <c r="T237" s="3">
        <v>1604.764232</v>
      </c>
      <c r="U237" s="3">
        <v>1601.7028869999999</v>
      </c>
      <c r="V237" s="3">
        <v>1627.3553380000001</v>
      </c>
      <c r="W237" s="3">
        <v>1842.245739</v>
      </c>
      <c r="X237" s="3">
        <v>1968.6383169999999</v>
      </c>
      <c r="Y237" s="3">
        <v>1923.207355</v>
      </c>
      <c r="Z237" s="3">
        <v>1862.1323640000001</v>
      </c>
      <c r="AA237" s="3">
        <v>1799.6323800000002</v>
      </c>
      <c r="AB237" s="3">
        <v>1710.354585</v>
      </c>
      <c r="AC237" s="3">
        <v>1571.3103099999998</v>
      </c>
      <c r="AD237" s="2">
        <v>1978.8000000000002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v>1399.0838200000001</v>
      </c>
      <c r="G238" s="3">
        <v>1304.8198640000003</v>
      </c>
      <c r="H238" s="3">
        <v>1250.694808</v>
      </c>
      <c r="I238" s="3">
        <v>1235.4105159999999</v>
      </c>
      <c r="J238" s="3">
        <v>1237.9607250000004</v>
      </c>
      <c r="K238" s="3">
        <v>1245.2000000000003</v>
      </c>
      <c r="L238" s="3">
        <v>1300.4219549999998</v>
      </c>
      <c r="M238" s="3">
        <v>1361.8907429999999</v>
      </c>
      <c r="N238" s="3">
        <v>1524.215328</v>
      </c>
      <c r="O238" s="3">
        <v>1652.742129</v>
      </c>
      <c r="P238" s="3">
        <v>1732.5944860000002</v>
      </c>
      <c r="Q238" s="3">
        <v>1781.9761859999999</v>
      </c>
      <c r="R238" s="3">
        <v>1775.8120879999999</v>
      </c>
      <c r="S238" s="3">
        <v>1725.2146970000001</v>
      </c>
      <c r="T238" s="3">
        <v>1699.6772000000001</v>
      </c>
      <c r="U238" s="3">
        <v>1694.228869</v>
      </c>
      <c r="V238" s="3">
        <v>1780.5383939999999</v>
      </c>
      <c r="W238" s="3">
        <v>1915.2331340000003</v>
      </c>
      <c r="X238" s="3">
        <v>1965.5391760000002</v>
      </c>
      <c r="Y238" s="3">
        <v>1926.4994500000003</v>
      </c>
      <c r="Z238" s="3">
        <v>1857.7076880000002</v>
      </c>
      <c r="AA238" s="3">
        <v>1795.9031600000001</v>
      </c>
      <c r="AB238" s="3">
        <v>1683.526676</v>
      </c>
      <c r="AC238" s="3">
        <v>1494.2665969999998</v>
      </c>
      <c r="AD238" s="2">
        <v>1958.8999999999999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v>1376.7829400000001</v>
      </c>
      <c r="G239" s="3">
        <v>1294.9489079999998</v>
      </c>
      <c r="H239" s="3">
        <v>1267.7</v>
      </c>
      <c r="I239" s="3">
        <v>1206.3394839999999</v>
      </c>
      <c r="J239" s="3">
        <v>1198.3999999999996</v>
      </c>
      <c r="K239" s="3">
        <v>1204.3412179999998</v>
      </c>
      <c r="L239" s="3">
        <v>1260.5250759999999</v>
      </c>
      <c r="M239" s="3">
        <v>1333.3084140000001</v>
      </c>
      <c r="N239" s="3">
        <v>1513.144528</v>
      </c>
      <c r="O239" s="3">
        <v>1607.1</v>
      </c>
      <c r="P239" s="3">
        <v>1744.8877659999998</v>
      </c>
      <c r="Q239" s="3">
        <v>1716.40852</v>
      </c>
      <c r="R239" s="3">
        <v>1706.2647850000001</v>
      </c>
      <c r="S239" s="3">
        <v>1673.8314700000001</v>
      </c>
      <c r="T239" s="3">
        <v>1626.50884</v>
      </c>
      <c r="U239" s="3">
        <v>1609.9250579999998</v>
      </c>
      <c r="V239" s="3">
        <v>1652.9205730000001</v>
      </c>
      <c r="W239" s="3">
        <v>1837.9933140000003</v>
      </c>
      <c r="X239" s="3">
        <v>1925.9050679999996</v>
      </c>
      <c r="Y239" s="3">
        <v>1903.2491319999999</v>
      </c>
      <c r="Z239" s="3">
        <v>1849.1963099999998</v>
      </c>
      <c r="AA239" s="3">
        <v>1797.799947</v>
      </c>
      <c r="AB239" s="3">
        <v>1720.7295949999998</v>
      </c>
      <c r="AC239" s="3">
        <v>1580.112744</v>
      </c>
      <c r="AD239" s="2">
        <v>1932.1000000000001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v>1417.185019</v>
      </c>
      <c r="G240" s="3">
        <v>1297.5687720000001</v>
      </c>
      <c r="H240" s="3">
        <v>1256.6447520000002</v>
      </c>
      <c r="I240" s="3">
        <v>1240.5528610000001</v>
      </c>
      <c r="J240" s="3">
        <v>1235.5103120000001</v>
      </c>
      <c r="K240" s="3">
        <v>1251.9547279999999</v>
      </c>
      <c r="L240" s="3">
        <v>1296.1243520000003</v>
      </c>
      <c r="M240" s="3">
        <v>1367.1221860000001</v>
      </c>
      <c r="N240" s="3">
        <v>1490.7495839999999</v>
      </c>
      <c r="O240" s="3">
        <v>1617.71649</v>
      </c>
      <c r="P240" s="3">
        <v>1671.063042</v>
      </c>
      <c r="Q240" s="3">
        <v>1707.6667419999999</v>
      </c>
      <c r="R240" s="3">
        <v>1714.3563159999999</v>
      </c>
      <c r="S240" s="3">
        <v>1683.0000000000002</v>
      </c>
      <c r="T240" s="3">
        <v>1648.8448830000002</v>
      </c>
      <c r="U240" s="3">
        <v>1636.1</v>
      </c>
      <c r="V240" s="3">
        <v>1679.4717939999998</v>
      </c>
      <c r="W240" s="3">
        <v>1846.4561480000002</v>
      </c>
      <c r="X240" s="3">
        <v>1929.6861820000001</v>
      </c>
      <c r="Y240" s="3">
        <v>1890.6199330000002</v>
      </c>
      <c r="Z240" s="3">
        <v>1839.379692</v>
      </c>
      <c r="AA240" s="3">
        <v>1779.1310060000001</v>
      </c>
      <c r="AB240" s="3">
        <v>1690.5885480000002</v>
      </c>
      <c r="AC240" s="3">
        <v>1558.0711249999999</v>
      </c>
      <c r="AD240" s="2">
        <v>1938.8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v>1416.0068350000004</v>
      </c>
      <c r="G241" s="3">
        <v>1298.3092650000001</v>
      </c>
      <c r="H241" s="3">
        <v>1246.5471079999998</v>
      </c>
      <c r="I241" s="3">
        <v>1225.939081</v>
      </c>
      <c r="J241" s="3">
        <v>1206</v>
      </c>
      <c r="K241" s="3">
        <v>1224.0999999999999</v>
      </c>
      <c r="L241" s="3">
        <v>1269.1475919999998</v>
      </c>
      <c r="M241" s="3">
        <v>1236.9075579999999</v>
      </c>
      <c r="N241" s="3">
        <v>1450.5087840000001</v>
      </c>
      <c r="O241" s="3">
        <v>1582.7000000000003</v>
      </c>
      <c r="P241" s="3">
        <v>1634.0499490000002</v>
      </c>
      <c r="Q241" s="3">
        <v>1670.9224120000001</v>
      </c>
      <c r="R241" s="3">
        <v>1678.7852300000004</v>
      </c>
      <c r="S241" s="3">
        <v>1634.7025840000001</v>
      </c>
      <c r="T241" s="3">
        <v>1500.76009</v>
      </c>
      <c r="U241" s="3">
        <v>1531.7046319999999</v>
      </c>
      <c r="V241" s="3">
        <v>1553</v>
      </c>
      <c r="W241" s="3">
        <v>1711.6313740000003</v>
      </c>
      <c r="X241" s="3">
        <v>1851.3804620000001</v>
      </c>
      <c r="Y241" s="3">
        <v>1856.7000000000003</v>
      </c>
      <c r="Z241" s="3">
        <v>1806.7000000000003</v>
      </c>
      <c r="AA241" s="3">
        <v>1745.3813430000002</v>
      </c>
      <c r="AB241" s="3">
        <v>1688.9000000000003</v>
      </c>
      <c r="AC241" s="3">
        <v>1530.4127040000001</v>
      </c>
      <c r="AD241" s="2">
        <v>1888.6999999999998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v>1376.9829400000001</v>
      </c>
      <c r="G242" s="3">
        <v>1292.151764</v>
      </c>
      <c r="H242" s="3">
        <v>1235.3694049999999</v>
      </c>
      <c r="I242" s="3">
        <v>1201.2444819999998</v>
      </c>
      <c r="J242" s="3">
        <v>1186.2</v>
      </c>
      <c r="K242" s="3">
        <v>1195.8999999999999</v>
      </c>
      <c r="L242" s="3">
        <v>1187.0920599999999</v>
      </c>
      <c r="M242" s="3">
        <v>1143.6024179999999</v>
      </c>
      <c r="N242" s="3">
        <v>1213.6999540000002</v>
      </c>
      <c r="O242" s="3">
        <v>1302.63932</v>
      </c>
      <c r="P242" s="3">
        <v>1367.324022</v>
      </c>
      <c r="Q242" s="3">
        <v>1404.1313149999996</v>
      </c>
      <c r="R242" s="3">
        <v>1398.7831189999999</v>
      </c>
      <c r="S242" s="3">
        <v>1356.6766660000003</v>
      </c>
      <c r="T242" s="3">
        <v>1333.010632</v>
      </c>
      <c r="U242" s="3">
        <v>1322.1999999999998</v>
      </c>
      <c r="V242" s="3">
        <v>1343.396888</v>
      </c>
      <c r="W242" s="3">
        <v>1601.9</v>
      </c>
      <c r="X242" s="3">
        <v>1760.3400360000003</v>
      </c>
      <c r="Y242" s="3">
        <v>1753.1999999999998</v>
      </c>
      <c r="Z242" s="3">
        <v>1724.2113309999997</v>
      </c>
      <c r="AA242" s="3">
        <v>1682.2</v>
      </c>
      <c r="AB242" s="3">
        <v>1602.7022749999999</v>
      </c>
      <c r="AC242" s="3">
        <v>1477.5234759999998</v>
      </c>
      <c r="AD242" s="2">
        <v>1760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v>1324.1101739999999</v>
      </c>
      <c r="G243" s="3">
        <v>1235.5102099999999</v>
      </c>
      <c r="H243" s="3">
        <v>1199.4346700000001</v>
      </c>
      <c r="I243" s="3">
        <v>1168.4183900000003</v>
      </c>
      <c r="J243" s="3">
        <v>1168.878346</v>
      </c>
      <c r="K243" s="3">
        <v>1187.1591700000001</v>
      </c>
      <c r="L243" s="3">
        <v>1307.3860600000003</v>
      </c>
      <c r="M243" s="3">
        <v>1389.051702</v>
      </c>
      <c r="N243" s="3">
        <v>1509.840434</v>
      </c>
      <c r="O243" s="3">
        <v>1632.8009519999998</v>
      </c>
      <c r="P243" s="3">
        <v>1678.228257</v>
      </c>
      <c r="Q243" s="3">
        <v>1738.8979120000001</v>
      </c>
      <c r="R243" s="3">
        <v>1662.1769850000003</v>
      </c>
      <c r="S243" s="3">
        <v>1653.7999999999997</v>
      </c>
      <c r="T243" s="3">
        <v>1619.2</v>
      </c>
      <c r="U243" s="3">
        <v>1597.8691080000001</v>
      </c>
      <c r="V243" s="3">
        <v>1643.5</v>
      </c>
      <c r="W243" s="3">
        <v>1876.7426920000003</v>
      </c>
      <c r="X243" s="3">
        <v>1978.6632800000002</v>
      </c>
      <c r="Y243" s="3">
        <v>1936.3914159999997</v>
      </c>
      <c r="Z243" s="3">
        <v>1878.2754050000003</v>
      </c>
      <c r="AA243" s="3">
        <v>1824.0605699999999</v>
      </c>
      <c r="AB243" s="3">
        <v>1730.9966820000002</v>
      </c>
      <c r="AC243" s="3">
        <v>1603.228965</v>
      </c>
      <c r="AD243" s="2">
        <v>1979.5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v>1435.3562549999999</v>
      </c>
      <c r="G244" s="3">
        <v>1336.6103249999999</v>
      </c>
      <c r="H244" s="3">
        <v>1283.2366080000002</v>
      </c>
      <c r="I244" s="3">
        <v>1258.3999999999999</v>
      </c>
      <c r="J244" s="3">
        <v>1247.9505560000002</v>
      </c>
      <c r="K244" s="3">
        <v>1277.1992190000001</v>
      </c>
      <c r="L244" s="3">
        <v>1335.80385</v>
      </c>
      <c r="M244" s="3">
        <v>1389.0283180000001</v>
      </c>
      <c r="N244" s="3">
        <v>1517.5213460000004</v>
      </c>
      <c r="O244" s="3">
        <v>1608.3289339999999</v>
      </c>
      <c r="P244" s="3">
        <v>1652.0035050000001</v>
      </c>
      <c r="Q244" s="3">
        <v>1685.2180800000001</v>
      </c>
      <c r="R244" s="3">
        <v>1679.282629</v>
      </c>
      <c r="S244" s="3">
        <v>1641.294764</v>
      </c>
      <c r="T244" s="3">
        <v>1676.570825</v>
      </c>
      <c r="U244" s="3">
        <v>1617.5784100000001</v>
      </c>
      <c r="V244" s="3">
        <v>1666.5</v>
      </c>
      <c r="W244" s="3">
        <v>1890.7198310000001</v>
      </c>
      <c r="X244" s="3">
        <v>1979.6747979999996</v>
      </c>
      <c r="Y244" s="3">
        <v>1924.1025930000001</v>
      </c>
      <c r="Z244" s="3">
        <v>1851.3788299999999</v>
      </c>
      <c r="AA244" s="3">
        <v>1782.575319</v>
      </c>
      <c r="AB244" s="3">
        <v>1695.792835</v>
      </c>
      <c r="AC244" s="3">
        <v>1569.8501639999997</v>
      </c>
      <c r="AD244" s="2">
        <v>1990.1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v>1411.6296699999998</v>
      </c>
      <c r="G245" s="3">
        <v>1304.29269</v>
      </c>
      <c r="H245" s="3">
        <v>1254.4539219999999</v>
      </c>
      <c r="I245" s="3">
        <v>1229.5841950000001</v>
      </c>
      <c r="J245" s="3">
        <v>1225.260358</v>
      </c>
      <c r="K245" s="3">
        <v>1249.248016</v>
      </c>
      <c r="L245" s="3">
        <v>1296.550174</v>
      </c>
      <c r="M245" s="3">
        <v>1371.8142550000002</v>
      </c>
      <c r="N245" s="3">
        <v>1510.9</v>
      </c>
      <c r="O245" s="3">
        <v>1626.7127840000001</v>
      </c>
      <c r="P245" s="3">
        <v>1701.7585600000002</v>
      </c>
      <c r="Q245" s="3">
        <v>1746.9926589999998</v>
      </c>
      <c r="R245" s="3">
        <v>1739.3830800000001</v>
      </c>
      <c r="S245" s="3">
        <v>1691.1217799999999</v>
      </c>
      <c r="T245" s="3">
        <v>1642.1377089999999</v>
      </c>
      <c r="U245" s="3">
        <v>1660.2371820000001</v>
      </c>
      <c r="V245" s="3">
        <v>1739.1036629999999</v>
      </c>
      <c r="W245" s="3">
        <v>1935.5736949999998</v>
      </c>
      <c r="X245" s="3">
        <v>1981.6869520000002</v>
      </c>
      <c r="Y245" s="3">
        <v>1976.8658299999997</v>
      </c>
      <c r="Z245" s="3">
        <v>1858.437668</v>
      </c>
      <c r="AA245" s="3">
        <v>1797.8672099999999</v>
      </c>
      <c r="AB245" s="3">
        <v>1724.613932</v>
      </c>
      <c r="AC245" s="3">
        <v>1593.8837760000001</v>
      </c>
      <c r="AD245" s="2">
        <v>1966.9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v>1449.506744</v>
      </c>
      <c r="G246" s="3">
        <v>1330.911576</v>
      </c>
      <c r="H246" s="3">
        <v>1260.7839959999999</v>
      </c>
      <c r="I246" s="3">
        <v>1248.0006019999998</v>
      </c>
      <c r="J246" s="3">
        <v>1254.2457719999998</v>
      </c>
      <c r="K246" s="3">
        <v>1265.69103</v>
      </c>
      <c r="L246" s="3">
        <v>1319.6</v>
      </c>
      <c r="M246" s="3">
        <v>1410.3669640000001</v>
      </c>
      <c r="N246" s="3">
        <v>1542.1033240000004</v>
      </c>
      <c r="O246" s="3">
        <v>1641.2465149999998</v>
      </c>
      <c r="P246" s="3">
        <v>1660.8999999999999</v>
      </c>
      <c r="Q246" s="3">
        <v>1776.8770019999999</v>
      </c>
      <c r="R246" s="3">
        <v>1749.52755</v>
      </c>
      <c r="S246" s="3">
        <v>1722.1924999999999</v>
      </c>
      <c r="T246" s="3">
        <v>1705.839483</v>
      </c>
      <c r="U246" s="3">
        <v>1721.4932649999998</v>
      </c>
      <c r="V246" s="3">
        <v>1767.3446230000002</v>
      </c>
      <c r="W246" s="3">
        <v>1948.6546800000003</v>
      </c>
      <c r="X246" s="3">
        <v>1990.36798</v>
      </c>
      <c r="Y246" s="3">
        <v>1938.2663</v>
      </c>
      <c r="Z246" s="3">
        <v>1881.169897</v>
      </c>
      <c r="AA246" s="3">
        <v>1822.7079000000001</v>
      </c>
      <c r="AB246" s="3">
        <v>1741.587616</v>
      </c>
      <c r="AC246" s="3">
        <v>1621</v>
      </c>
      <c r="AD246" s="2">
        <v>2002.4999999999998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v>1453.3101900000001</v>
      </c>
      <c r="G247" s="3">
        <v>1323.8895709999997</v>
      </c>
      <c r="H247" s="3">
        <v>1288.1556399999999</v>
      </c>
      <c r="I247" s="3">
        <v>1277.4655499999999</v>
      </c>
      <c r="J247" s="3">
        <v>1269.1004650000002</v>
      </c>
      <c r="K247" s="3">
        <v>1275.1284480000002</v>
      </c>
      <c r="L247" s="3">
        <v>1326.4696310000002</v>
      </c>
      <c r="M247" s="3">
        <v>1411.4335199999998</v>
      </c>
      <c r="N247" s="3">
        <v>1538.8989939999999</v>
      </c>
      <c r="O247" s="3">
        <v>1638.99558</v>
      </c>
      <c r="P247" s="3">
        <v>1713.727396</v>
      </c>
      <c r="Q247" s="3">
        <v>1752.3436599999998</v>
      </c>
      <c r="R247" s="3">
        <v>1735.300105</v>
      </c>
      <c r="S247" s="3">
        <v>1692.0040550000001</v>
      </c>
      <c r="T247" s="3">
        <v>1645.0000000000002</v>
      </c>
      <c r="U247" s="3">
        <v>1660.579025</v>
      </c>
      <c r="V247" s="3">
        <v>1724.2045420000002</v>
      </c>
      <c r="W247" s="3">
        <v>1919.1934289999999</v>
      </c>
      <c r="X247" s="3">
        <v>1978.375002</v>
      </c>
      <c r="Y247" s="3">
        <v>1926.499356</v>
      </c>
      <c r="Z247" s="3">
        <v>1851.2783200000003</v>
      </c>
      <c r="AA247" s="3">
        <v>1769.8624699999998</v>
      </c>
      <c r="AB247" s="3">
        <v>1715.2102539999998</v>
      </c>
      <c r="AC247" s="3">
        <v>1604.1633760000002</v>
      </c>
      <c r="AD247" s="2">
        <v>1969.8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v>1462.9999999999998</v>
      </c>
      <c r="G248" s="3">
        <v>1343.0973210000002</v>
      </c>
      <c r="H248" s="3">
        <v>1286.5703950000002</v>
      </c>
      <c r="I248" s="3">
        <v>1264.440366</v>
      </c>
      <c r="J248" s="3">
        <v>1260.222624</v>
      </c>
      <c r="K248" s="3">
        <v>1265.0592260000001</v>
      </c>
      <c r="L248" s="3">
        <v>1296.81258</v>
      </c>
      <c r="M248" s="3">
        <v>1334.6949770000001</v>
      </c>
      <c r="N248" s="3">
        <v>1464.8233700000001</v>
      </c>
      <c r="O248" s="3">
        <v>1601.53332</v>
      </c>
      <c r="P248" s="3">
        <v>1661.6725279999996</v>
      </c>
      <c r="Q248" s="3">
        <v>1707.7129569999997</v>
      </c>
      <c r="R248" s="3">
        <v>1687.4503179999999</v>
      </c>
      <c r="S248" s="3">
        <v>1639.0441350000001</v>
      </c>
      <c r="T248" s="3">
        <v>1586.394996</v>
      </c>
      <c r="U248" s="3">
        <v>1585.2</v>
      </c>
      <c r="V248" s="3">
        <v>1629.9</v>
      </c>
      <c r="W248" s="3">
        <v>1829.847988</v>
      </c>
      <c r="X248" s="3">
        <v>1907.1301169999999</v>
      </c>
      <c r="Y248" s="3">
        <v>1863.684164</v>
      </c>
      <c r="Z248" s="3">
        <v>1796.7984170000004</v>
      </c>
      <c r="AA248" s="3">
        <v>1728.104392</v>
      </c>
      <c r="AB248" s="3">
        <v>1664.8359580000001</v>
      </c>
      <c r="AC248" s="3">
        <v>1572.7458799999999</v>
      </c>
      <c r="AD248" s="2">
        <v>1919.6999999999998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v>1426.77802</v>
      </c>
      <c r="G249" s="3">
        <v>1317.1252440000003</v>
      </c>
      <c r="H249" s="3">
        <v>1249.1514739999998</v>
      </c>
      <c r="I249" s="3">
        <v>1205.6087669999999</v>
      </c>
      <c r="J249" s="3">
        <v>1191.8773920000003</v>
      </c>
      <c r="K249" s="3">
        <v>1194.1766270000003</v>
      </c>
      <c r="L249" s="3">
        <v>1198.5932480000001</v>
      </c>
      <c r="M249" s="3">
        <v>1156.794885</v>
      </c>
      <c r="N249" s="3">
        <v>1216.7048499999999</v>
      </c>
      <c r="O249" s="3">
        <v>1300.6210369999999</v>
      </c>
      <c r="P249" s="3">
        <v>1372.5152240000002</v>
      </c>
      <c r="Q249" s="3">
        <v>1412.8688139999999</v>
      </c>
      <c r="R249" s="3">
        <v>1407.4669260000001</v>
      </c>
      <c r="S249" s="3">
        <v>1380.3994</v>
      </c>
      <c r="T249" s="3">
        <v>1354.7050240000001</v>
      </c>
      <c r="U249" s="3">
        <v>1347.79393</v>
      </c>
      <c r="V249" s="3">
        <v>1385.7211400000001</v>
      </c>
      <c r="W249" s="3">
        <v>1617.1195499999997</v>
      </c>
      <c r="X249" s="3">
        <v>1700.533156</v>
      </c>
      <c r="Y249" s="3">
        <v>1674.2875250000004</v>
      </c>
      <c r="Z249" s="3">
        <v>1622.5568680000003</v>
      </c>
      <c r="AA249" s="3">
        <v>1591.5999999999997</v>
      </c>
      <c r="AB249" s="3">
        <v>1546.2920720000002</v>
      </c>
      <c r="AC249" s="3">
        <v>1471.4030110000003</v>
      </c>
      <c r="AD249" s="2">
        <v>1710.7999999999997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v>1344.7925519999999</v>
      </c>
      <c r="G250" s="3">
        <v>1229.2395039999999</v>
      </c>
      <c r="H250" s="3">
        <v>1148.5999850000001</v>
      </c>
      <c r="I250" s="3">
        <v>1114.7336300000002</v>
      </c>
      <c r="J250" s="3">
        <v>1100.6476040000002</v>
      </c>
      <c r="K250" s="3">
        <v>1117.5841030000001</v>
      </c>
      <c r="L250" s="3">
        <v>1121.9380519999997</v>
      </c>
      <c r="M250" s="3">
        <v>1093.227576</v>
      </c>
      <c r="N250" s="3">
        <v>1101.14536</v>
      </c>
      <c r="O250" s="3">
        <v>1183.16121</v>
      </c>
      <c r="P250" s="3">
        <v>1214.2931610000003</v>
      </c>
      <c r="Q250" s="3">
        <v>1207.9681610000002</v>
      </c>
      <c r="R250" s="3">
        <v>1190.3000000000002</v>
      </c>
      <c r="S250" s="3">
        <v>1172.4121019999998</v>
      </c>
      <c r="T250" s="3">
        <v>1173.0130199999999</v>
      </c>
      <c r="U250" s="3">
        <v>1183.518681</v>
      </c>
      <c r="V250" s="3">
        <v>1231.8428549999999</v>
      </c>
      <c r="W250" s="3">
        <v>1464</v>
      </c>
      <c r="X250" s="3">
        <v>1547.4</v>
      </c>
      <c r="Y250" s="3">
        <v>1528.6133159999999</v>
      </c>
      <c r="Z250" s="3">
        <v>1498.9405219999999</v>
      </c>
      <c r="AA250" s="3">
        <v>1473.4979619999999</v>
      </c>
      <c r="AB250" s="3">
        <v>1443.0500059999999</v>
      </c>
      <c r="AC250" s="3">
        <v>1389.8</v>
      </c>
      <c r="AD250" s="2">
        <v>1552.6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v>1276.5233000000001</v>
      </c>
      <c r="G251" s="3">
        <v>1173.073042</v>
      </c>
      <c r="H251" s="3">
        <v>1114.1492209999999</v>
      </c>
      <c r="I251" s="3">
        <v>1086.3357700000001</v>
      </c>
      <c r="J251" s="3">
        <v>1076.13645</v>
      </c>
      <c r="K251" s="3">
        <v>1075.32404</v>
      </c>
      <c r="L251" s="3">
        <v>1078.733373</v>
      </c>
      <c r="M251" s="3">
        <v>1048.1507300000001</v>
      </c>
      <c r="N251" s="3">
        <v>1061.6176839999998</v>
      </c>
      <c r="O251" s="3">
        <v>1098.7498480000002</v>
      </c>
      <c r="P251" s="3">
        <v>1090.092318</v>
      </c>
      <c r="Q251" s="3">
        <v>1064.5699950000001</v>
      </c>
      <c r="R251" s="3">
        <v>1056.157449</v>
      </c>
      <c r="S251" s="3">
        <v>1072.5221020000001</v>
      </c>
      <c r="T251" s="3">
        <v>1099.1948</v>
      </c>
      <c r="U251" s="3">
        <v>1137.7810730000003</v>
      </c>
      <c r="V251" s="3">
        <v>1207.8000000000002</v>
      </c>
      <c r="W251" s="3">
        <v>1442.8499040000002</v>
      </c>
      <c r="X251" s="3">
        <v>1537.3990359999998</v>
      </c>
      <c r="Y251" s="3">
        <v>1541.994344</v>
      </c>
      <c r="Z251" s="3">
        <v>1530.7826319999999</v>
      </c>
      <c r="AA251" s="3">
        <v>1522.71154</v>
      </c>
      <c r="AB251" s="3">
        <v>1485.5451649999998</v>
      </c>
      <c r="AC251" s="3">
        <v>1380.8435919999999</v>
      </c>
      <c r="AD251" s="2">
        <v>1536.8999999999999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v>1253.563173</v>
      </c>
      <c r="G252" s="3">
        <v>1134.3145709999999</v>
      </c>
      <c r="H252" s="3">
        <v>1103.7472979999998</v>
      </c>
      <c r="I252" s="3">
        <v>1090.1695679999998</v>
      </c>
      <c r="J252" s="3">
        <v>1085.968038</v>
      </c>
      <c r="K252" s="3">
        <v>1094.58582</v>
      </c>
      <c r="L252" s="3">
        <v>1157.4760720000002</v>
      </c>
      <c r="M252" s="3">
        <v>1255.1124239999999</v>
      </c>
      <c r="N252" s="3">
        <v>1388.968163</v>
      </c>
      <c r="O252" s="3">
        <v>1531.6965690000002</v>
      </c>
      <c r="P252" s="3">
        <v>1641.1000000000001</v>
      </c>
      <c r="Q252" s="3">
        <v>1726.3032669999998</v>
      </c>
      <c r="R252" s="3">
        <v>1720.2335789999997</v>
      </c>
      <c r="S252" s="3">
        <v>1679.2999999999997</v>
      </c>
      <c r="T252" s="3">
        <v>1645.2</v>
      </c>
      <c r="U252" s="3">
        <v>1638.7006460000002</v>
      </c>
      <c r="V252" s="3">
        <v>1682.275897</v>
      </c>
      <c r="W252" s="3">
        <v>1891.7568919999999</v>
      </c>
      <c r="X252" s="3">
        <v>1927.8000000000002</v>
      </c>
      <c r="Y252" s="3">
        <v>1904.3374039999999</v>
      </c>
      <c r="Z252" s="3">
        <v>1860.6878749999996</v>
      </c>
      <c r="AA252" s="3">
        <v>1804.2006650000003</v>
      </c>
      <c r="AB252" s="3">
        <v>1726.3082680000002</v>
      </c>
      <c r="AC252" s="3">
        <v>1590.418799</v>
      </c>
      <c r="AD252" s="2">
        <v>1955.8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v>1413.4270179999999</v>
      </c>
      <c r="G253" s="3">
        <v>1316.3805</v>
      </c>
      <c r="H253" s="3">
        <v>1265.95994</v>
      </c>
      <c r="I253" s="3">
        <v>1244.697236</v>
      </c>
      <c r="J253" s="3">
        <v>1241.1521469999998</v>
      </c>
      <c r="K253" s="3">
        <v>1258.5999999999999</v>
      </c>
      <c r="L253" s="3">
        <v>1314.8415380000001</v>
      </c>
      <c r="M253" s="3">
        <v>1363.0782219999999</v>
      </c>
      <c r="N253" s="3">
        <v>1490.3</v>
      </c>
      <c r="O253" s="3">
        <v>1587.7741569999996</v>
      </c>
      <c r="P253" s="3">
        <v>1630.9030260000004</v>
      </c>
      <c r="Q253" s="3">
        <v>1663.4043549999999</v>
      </c>
      <c r="R253" s="3">
        <v>1668.8341729999997</v>
      </c>
      <c r="S253" s="3">
        <v>1618.91904</v>
      </c>
      <c r="T253" s="3">
        <v>1587.4464840000001</v>
      </c>
      <c r="U253" s="3">
        <v>1576.3397599999998</v>
      </c>
      <c r="V253" s="3">
        <v>1616.6189379999998</v>
      </c>
      <c r="W253" s="3">
        <v>1854.6128900000003</v>
      </c>
      <c r="X253" s="3">
        <v>1947.9425849999998</v>
      </c>
      <c r="Y253" s="3">
        <v>1912.3900120000001</v>
      </c>
      <c r="Z253" s="3">
        <v>1854.7119720000001</v>
      </c>
      <c r="AA253" s="3">
        <v>1806.8067249999999</v>
      </c>
      <c r="AB253" s="3">
        <v>1734.3013290000001</v>
      </c>
      <c r="AC253" s="3">
        <v>1582.034711</v>
      </c>
      <c r="AD253" s="2">
        <v>1961.5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v>1428.7222119999999</v>
      </c>
      <c r="G254" s="3">
        <v>1339.5</v>
      </c>
      <c r="H254" s="3">
        <v>1298.9859839999999</v>
      </c>
      <c r="I254" s="3">
        <v>1267.5389380000004</v>
      </c>
      <c r="J254" s="3">
        <v>1272.3867050000001</v>
      </c>
      <c r="K254" s="3">
        <v>1288.981172</v>
      </c>
      <c r="L254" s="3">
        <v>1317.585593</v>
      </c>
      <c r="M254" s="3">
        <v>1400.2411960000002</v>
      </c>
      <c r="N254" s="3">
        <v>1524.8000000000002</v>
      </c>
      <c r="O254" s="3">
        <v>1627.5631750000002</v>
      </c>
      <c r="P254" s="3">
        <v>1679.6277700000001</v>
      </c>
      <c r="Q254" s="3">
        <v>1717.5208169999999</v>
      </c>
      <c r="R254" s="3">
        <v>1717.4166319999999</v>
      </c>
      <c r="S254" s="3">
        <v>1678.4293279999999</v>
      </c>
      <c r="T254" s="3">
        <v>1621.9153679999999</v>
      </c>
      <c r="U254" s="3">
        <v>1621.614654</v>
      </c>
      <c r="V254" s="3">
        <v>1675.6000000000001</v>
      </c>
      <c r="W254" s="3">
        <v>1918.97738</v>
      </c>
      <c r="X254" s="3">
        <v>1994.966332</v>
      </c>
      <c r="Y254" s="3">
        <v>1948.4999999999998</v>
      </c>
      <c r="Z254" s="3">
        <v>1888.4207489999997</v>
      </c>
      <c r="AA254" s="3">
        <v>1825.9040239999997</v>
      </c>
      <c r="AB254" s="3">
        <v>1744.280272</v>
      </c>
      <c r="AC254" s="3">
        <v>1601.2284550000002</v>
      </c>
      <c r="AD254" s="2">
        <v>2014.1999999999998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v>1410.9530159999999</v>
      </c>
      <c r="G255" s="3">
        <v>1325.9075220000002</v>
      </c>
      <c r="H255" s="3">
        <v>1283.7133200000001</v>
      </c>
      <c r="I255" s="3">
        <v>1271.1625919999999</v>
      </c>
      <c r="J255" s="3">
        <v>1259.9258409999998</v>
      </c>
      <c r="K255" s="3">
        <v>1273.388541</v>
      </c>
      <c r="L255" s="3">
        <v>1304.3200170000002</v>
      </c>
      <c r="M255" s="3">
        <v>1353.216195</v>
      </c>
      <c r="N255" s="3">
        <v>1494.1790599999997</v>
      </c>
      <c r="O255" s="3">
        <v>1626.544815</v>
      </c>
      <c r="P255" s="3">
        <v>1697.8812800000003</v>
      </c>
      <c r="Q255" s="3">
        <v>1736.2955179999999</v>
      </c>
      <c r="R255" s="3">
        <v>1691.9147679999999</v>
      </c>
      <c r="S255" s="3">
        <v>1638.8335949999998</v>
      </c>
      <c r="T255" s="3">
        <v>1605.7337990000001</v>
      </c>
      <c r="U255" s="3">
        <v>1596.4290559999999</v>
      </c>
      <c r="V255" s="3">
        <v>1627.7597409999998</v>
      </c>
      <c r="W255" s="3">
        <v>1861.3635940000001</v>
      </c>
      <c r="X255" s="3">
        <v>1936.2787950000002</v>
      </c>
      <c r="Y255" s="3">
        <v>1898.0171280000002</v>
      </c>
      <c r="Z255" s="3">
        <v>1842.4999999999995</v>
      </c>
      <c r="AA255" s="3">
        <v>1776.0793479999998</v>
      </c>
      <c r="AB255" s="3">
        <v>1682.4275149999996</v>
      </c>
      <c r="AC255" s="3">
        <v>1564.0747319999998</v>
      </c>
      <c r="AD255" s="2">
        <v>1939.5000000000002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v>1408.3941730000001</v>
      </c>
      <c r="G256" s="3">
        <v>1288.6000000000001</v>
      </c>
      <c r="H256" s="3">
        <v>1237.945201</v>
      </c>
      <c r="I256" s="3">
        <v>1210.6680589999999</v>
      </c>
      <c r="J256" s="3">
        <v>1200</v>
      </c>
      <c r="K256" s="3">
        <v>1195.1465420000002</v>
      </c>
      <c r="L256" s="3">
        <v>1205.3129899999999</v>
      </c>
      <c r="M256" s="3">
        <v>1164.2152279999998</v>
      </c>
      <c r="N256" s="3">
        <v>1195.5481540000003</v>
      </c>
      <c r="O256" s="3">
        <v>1312.5689419999999</v>
      </c>
      <c r="P256" s="3">
        <v>1389.3239449999999</v>
      </c>
      <c r="Q256" s="3">
        <v>1425.7123300000001</v>
      </c>
      <c r="R256" s="3">
        <v>1415.147508</v>
      </c>
      <c r="S256" s="3">
        <v>1377.3643500000001</v>
      </c>
      <c r="T256" s="3">
        <v>1337.2045880000001</v>
      </c>
      <c r="U256" s="3">
        <v>1334.5062719999999</v>
      </c>
      <c r="V256" s="3">
        <v>1388</v>
      </c>
      <c r="W256" s="3">
        <v>1647.7999999999997</v>
      </c>
      <c r="X256" s="3">
        <v>1762.2353440000002</v>
      </c>
      <c r="Y256" s="3">
        <v>1763.3408420000001</v>
      </c>
      <c r="Z256" s="3">
        <v>1727.705823</v>
      </c>
      <c r="AA256" s="3">
        <v>1687.5474360000001</v>
      </c>
      <c r="AB256" s="3">
        <v>1613.4837620000001</v>
      </c>
      <c r="AC256" s="3">
        <v>1478.2202119999997</v>
      </c>
      <c r="AD256" s="2">
        <v>1763.6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v>1317.5608149999998</v>
      </c>
      <c r="G257" s="3">
        <v>1226.8349040000001</v>
      </c>
      <c r="H257" s="3">
        <v>1200.44489</v>
      </c>
      <c r="I257" s="3">
        <v>1179.249006</v>
      </c>
      <c r="J257" s="3">
        <v>1181.8999999999999</v>
      </c>
      <c r="K257" s="3">
        <v>1208.6903150000003</v>
      </c>
      <c r="L257" s="3">
        <v>1276.6671659999997</v>
      </c>
      <c r="M257" s="3">
        <v>1371.162605</v>
      </c>
      <c r="N257" s="3">
        <v>1505.7659040000001</v>
      </c>
      <c r="O257" s="3">
        <v>1618.5800419999998</v>
      </c>
      <c r="P257" s="3">
        <v>1659.5370289999996</v>
      </c>
      <c r="Q257" s="3">
        <v>1672.0604920000003</v>
      </c>
      <c r="R257" s="3">
        <v>1667.8593900000001</v>
      </c>
      <c r="S257" s="3">
        <v>1639.6510880000001</v>
      </c>
      <c r="T257" s="3">
        <v>1614.6</v>
      </c>
      <c r="U257" s="3">
        <v>1606.8924830000001</v>
      </c>
      <c r="V257" s="3">
        <v>1635.3494049999999</v>
      </c>
      <c r="W257" s="3">
        <v>1882.845986</v>
      </c>
      <c r="X257" s="3">
        <v>1955.2126049999999</v>
      </c>
      <c r="Y257" s="3">
        <v>1902.2374610000002</v>
      </c>
      <c r="Z257" s="3">
        <v>1856.4055840000001</v>
      </c>
      <c r="AA257" s="3">
        <v>1813.0926439999998</v>
      </c>
      <c r="AB257" s="3">
        <v>1709.4553500000002</v>
      </c>
      <c r="AC257" s="3">
        <v>1582.87869</v>
      </c>
      <c r="AD257" s="2">
        <v>1934.5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v>1439.650249</v>
      </c>
      <c r="G258" s="3">
        <v>1335.011524</v>
      </c>
      <c r="H258" s="3">
        <v>1267.3999999999999</v>
      </c>
      <c r="I258" s="3">
        <v>1249.5518210000002</v>
      </c>
      <c r="J258" s="3">
        <v>1244.291412</v>
      </c>
      <c r="K258" s="3">
        <v>1243.6007240000001</v>
      </c>
      <c r="L258" s="3">
        <v>1299.5</v>
      </c>
      <c r="M258" s="3">
        <v>1365.3297600000001</v>
      </c>
      <c r="N258" s="3">
        <v>1488.6</v>
      </c>
      <c r="O258" s="3">
        <v>1608.8</v>
      </c>
      <c r="P258" s="3">
        <v>1671.5000000000005</v>
      </c>
      <c r="Q258" s="3">
        <v>1702.2814050000002</v>
      </c>
      <c r="R258" s="3">
        <v>1683.976985</v>
      </c>
      <c r="S258" s="3">
        <v>1663.8949679999998</v>
      </c>
      <c r="T258" s="3">
        <v>1618.5714030000004</v>
      </c>
      <c r="U258" s="3">
        <v>1607.6648299999999</v>
      </c>
      <c r="V258" s="3">
        <v>1639.7390519999999</v>
      </c>
      <c r="W258" s="3">
        <v>1907.0493219999998</v>
      </c>
      <c r="X258" s="3">
        <v>1982.8</v>
      </c>
      <c r="Y258" s="3">
        <v>1937.3025659999996</v>
      </c>
      <c r="Z258" s="3">
        <v>1877.5000000000002</v>
      </c>
      <c r="AA258" s="3">
        <v>1831.0000460000003</v>
      </c>
      <c r="AB258" s="3">
        <v>1733.197465</v>
      </c>
      <c r="AC258" s="3">
        <v>1586.1733349999997</v>
      </c>
      <c r="AD258" s="2">
        <v>1990.0000000000002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v>1425.3740029999999</v>
      </c>
      <c r="G259" s="3">
        <v>1317.8265699999999</v>
      </c>
      <c r="H259" s="3">
        <v>1264.6808339999998</v>
      </c>
      <c r="I259" s="3">
        <v>1242.5536870000001</v>
      </c>
      <c r="J259" s="3">
        <v>1233.2426509999998</v>
      </c>
      <c r="K259" s="3">
        <v>1237.5000000000002</v>
      </c>
      <c r="L259" s="3">
        <v>1296.2164050000001</v>
      </c>
      <c r="M259" s="3">
        <v>1367.15164</v>
      </c>
      <c r="N259" s="3">
        <v>1493.05142</v>
      </c>
      <c r="O259" s="3">
        <v>1595.7833429999998</v>
      </c>
      <c r="P259" s="3">
        <v>1658.8818299999998</v>
      </c>
      <c r="Q259" s="3">
        <v>1706.350604</v>
      </c>
      <c r="R259" s="3">
        <v>1690.5575120000001</v>
      </c>
      <c r="S259" s="3">
        <v>1640.6424519999998</v>
      </c>
      <c r="T259" s="3">
        <v>1602.0674759999999</v>
      </c>
      <c r="U259" s="3">
        <v>1600.268037</v>
      </c>
      <c r="V259" s="3">
        <v>1646.5547089999998</v>
      </c>
      <c r="W259" s="3">
        <v>1888.8000000000004</v>
      </c>
      <c r="X259" s="3">
        <v>1963.7079050000002</v>
      </c>
      <c r="Y259" s="3">
        <v>1931.4928279999999</v>
      </c>
      <c r="Z259" s="3">
        <v>1879.7518</v>
      </c>
      <c r="AA259" s="3">
        <v>1816.5374699999995</v>
      </c>
      <c r="AB259" s="3">
        <v>1730.8030750000005</v>
      </c>
      <c r="AC259" s="3">
        <v>1569.0524589999998</v>
      </c>
      <c r="AD259" s="2">
        <v>1963.2999999999997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v>1418.3999999999999</v>
      </c>
      <c r="G260" s="3">
        <v>1312.6306500000001</v>
      </c>
      <c r="H260" s="3">
        <v>1275.0644790000001</v>
      </c>
      <c r="I260" s="3">
        <v>1255.9617659999999</v>
      </c>
      <c r="J260" s="3">
        <v>1245.5</v>
      </c>
      <c r="K260" s="3">
        <v>1250.602948</v>
      </c>
      <c r="L260" s="3">
        <v>1311.3321800000001</v>
      </c>
      <c r="M260" s="3">
        <v>1406.7633940000001</v>
      </c>
      <c r="N260" s="3">
        <v>1527.6875280000002</v>
      </c>
      <c r="O260" s="3">
        <v>1641.5662380000001</v>
      </c>
      <c r="P260" s="3">
        <v>1681.0000000000002</v>
      </c>
      <c r="Q260" s="3">
        <v>1732.8991809999998</v>
      </c>
      <c r="R260" s="3">
        <v>1721.9120420000002</v>
      </c>
      <c r="S260" s="3">
        <v>1695.1581489999996</v>
      </c>
      <c r="T260" s="3">
        <v>1641.9031960000002</v>
      </c>
      <c r="U260" s="3">
        <v>1648.4863999999998</v>
      </c>
      <c r="V260" s="3">
        <v>1684.0256559999998</v>
      </c>
      <c r="W260" s="3">
        <v>1916.0916440000001</v>
      </c>
      <c r="X260" s="3">
        <v>1954.8247349999999</v>
      </c>
      <c r="Y260" s="3">
        <v>1920.813228</v>
      </c>
      <c r="Z260" s="3">
        <v>1855.34746</v>
      </c>
      <c r="AA260" s="3">
        <v>1808.3838819999996</v>
      </c>
      <c r="AB260" s="3">
        <v>1710.7558600000002</v>
      </c>
      <c r="AC260" s="3">
        <v>1562.5502799999999</v>
      </c>
      <c r="AD260" s="2">
        <v>1986.2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v>1407.9917639999999</v>
      </c>
      <c r="G261" s="3">
        <v>1318.7865620000002</v>
      </c>
      <c r="H261" s="3">
        <v>1272.8</v>
      </c>
      <c r="I261" s="3">
        <v>1254.0999999999999</v>
      </c>
      <c r="J261" s="3">
        <v>1264.231192</v>
      </c>
      <c r="K261" s="3">
        <v>1273.3493480000002</v>
      </c>
      <c r="L261" s="3">
        <v>1333.3873020000001</v>
      </c>
      <c r="M261" s="3">
        <v>1418.8207959999997</v>
      </c>
      <c r="N261" s="3">
        <v>1554.220613</v>
      </c>
      <c r="O261" s="3">
        <v>1676.5699579999998</v>
      </c>
      <c r="P261" s="3">
        <v>1726.6034709999999</v>
      </c>
      <c r="Q261" s="3">
        <v>1800.2541520000002</v>
      </c>
      <c r="R261" s="3">
        <v>1782.4686900000004</v>
      </c>
      <c r="S261" s="3">
        <v>1741.8465760000001</v>
      </c>
      <c r="T261" s="3">
        <v>1691.5776589999998</v>
      </c>
      <c r="U261" s="3">
        <v>1716.4226530000001</v>
      </c>
      <c r="V261" s="3">
        <v>1772.0145359999999</v>
      </c>
      <c r="W261" s="3">
        <v>1956.571424</v>
      </c>
      <c r="X261" s="3">
        <v>1974.5475640000002</v>
      </c>
      <c r="Y261" s="3">
        <v>1942.3693679999997</v>
      </c>
      <c r="Z261" s="3">
        <v>1870.7427599999999</v>
      </c>
      <c r="AA261" s="3">
        <v>1823.4627680000001</v>
      </c>
      <c r="AB261" s="3">
        <v>1744.277368</v>
      </c>
      <c r="AC261" s="3">
        <v>1587.675585</v>
      </c>
      <c r="AD261" s="2">
        <v>1997.9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v>1438.0026280000002</v>
      </c>
      <c r="G262" s="3">
        <v>1335.2076999999999</v>
      </c>
      <c r="H262" s="3">
        <v>1280.6321040000003</v>
      </c>
      <c r="I262" s="3">
        <v>1260.0565740000002</v>
      </c>
      <c r="J262" s="3">
        <v>1244.0996119999998</v>
      </c>
      <c r="K262" s="3">
        <v>1254.5069260000002</v>
      </c>
      <c r="L262" s="3">
        <v>1299.4223120000001</v>
      </c>
      <c r="M262" s="3">
        <v>1330.006247</v>
      </c>
      <c r="N262" s="3">
        <v>1453.3657770000002</v>
      </c>
      <c r="O262" s="3">
        <v>1578.9203349999998</v>
      </c>
      <c r="P262" s="3">
        <v>1661.2443360000002</v>
      </c>
      <c r="Q262" s="3">
        <v>1695.2552420000002</v>
      </c>
      <c r="R262" s="3">
        <v>1679.8548539999999</v>
      </c>
      <c r="S262" s="3">
        <v>1621.5152659999999</v>
      </c>
      <c r="T262" s="3">
        <v>1567.2851220000002</v>
      </c>
      <c r="U262" s="3">
        <v>1544.0049700000002</v>
      </c>
      <c r="V262" s="3">
        <v>1569.82682</v>
      </c>
      <c r="W262" s="3">
        <v>1807.1367170000001</v>
      </c>
      <c r="X262" s="3">
        <v>1883.3244939999997</v>
      </c>
      <c r="Y262" s="3">
        <v>1832.3913200000002</v>
      </c>
      <c r="Z262" s="3">
        <v>1768.8206560000003</v>
      </c>
      <c r="AA262" s="3">
        <v>1706.9270359999998</v>
      </c>
      <c r="AB262" s="3">
        <v>1630.3534</v>
      </c>
      <c r="AC262" s="3">
        <v>1503.981415</v>
      </c>
      <c r="AD262" s="2">
        <v>1935.9000000000003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v>1346.4</v>
      </c>
      <c r="G263" s="3">
        <v>1241.652922</v>
      </c>
      <c r="H263" s="3">
        <v>1187.8999999999999</v>
      </c>
      <c r="I263" s="3">
        <v>1173.424612</v>
      </c>
      <c r="J263" s="3">
        <v>1166.869355</v>
      </c>
      <c r="K263" s="3">
        <v>1172.0337050000001</v>
      </c>
      <c r="L263" s="3">
        <v>1176.069778</v>
      </c>
      <c r="M263" s="3">
        <v>1143.1989919999999</v>
      </c>
      <c r="N263" s="3">
        <v>1183.2407439999999</v>
      </c>
      <c r="O263" s="3">
        <v>1288.3999999999999</v>
      </c>
      <c r="P263" s="3">
        <v>1375.9999999999998</v>
      </c>
      <c r="Q263" s="3">
        <v>1415.1230399999999</v>
      </c>
      <c r="R263" s="3">
        <v>1404.8677040000002</v>
      </c>
      <c r="S263" s="3">
        <v>1382.7795229999997</v>
      </c>
      <c r="T263" s="3">
        <v>1354.636986</v>
      </c>
      <c r="U263" s="3">
        <v>1351.704514</v>
      </c>
      <c r="V263" s="3">
        <v>1412.963356</v>
      </c>
      <c r="W263" s="3">
        <v>1655.1000000000001</v>
      </c>
      <c r="X263" s="3">
        <v>1726.8096479999999</v>
      </c>
      <c r="Y263" s="3">
        <v>1717.4243359999998</v>
      </c>
      <c r="Z263" s="3">
        <v>1686.9137450000001</v>
      </c>
      <c r="AA263" s="3">
        <v>1663.3000000000002</v>
      </c>
      <c r="AB263" s="3">
        <v>1596.180308</v>
      </c>
      <c r="AC263" s="3">
        <v>1475.0117990000001</v>
      </c>
      <c r="AD263" s="2">
        <v>1736.1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v>1317.8264349999999</v>
      </c>
      <c r="G264" s="3">
        <v>1206.4584760000002</v>
      </c>
      <c r="H264" s="3">
        <v>1175.1551260000001</v>
      </c>
      <c r="I264" s="3">
        <v>1166.7</v>
      </c>
      <c r="J264" s="3">
        <v>1160.606135</v>
      </c>
      <c r="K264" s="3">
        <v>1179.258812</v>
      </c>
      <c r="L264" s="3">
        <v>1254.059624</v>
      </c>
      <c r="M264" s="3">
        <v>1368.2573879999998</v>
      </c>
      <c r="N264" s="3">
        <v>1503.7819320000003</v>
      </c>
      <c r="O264" s="3">
        <v>1636.8919759999999</v>
      </c>
      <c r="P264" s="3">
        <v>1707.9715360000002</v>
      </c>
      <c r="Q264" s="3">
        <v>1753.0784839999997</v>
      </c>
      <c r="R264" s="3">
        <v>1736.9937360000001</v>
      </c>
      <c r="S264" s="3">
        <v>1708.5137219999999</v>
      </c>
      <c r="T264" s="3">
        <v>1656.3594009999999</v>
      </c>
      <c r="U264" s="3">
        <v>1651.0422819999997</v>
      </c>
      <c r="V264" s="3">
        <v>1727.495917</v>
      </c>
      <c r="W264" s="3">
        <v>1938.3909060000001</v>
      </c>
      <c r="X264" s="3">
        <v>1975.1525539999998</v>
      </c>
      <c r="Y264" s="3">
        <v>1922.6079239999999</v>
      </c>
      <c r="Z264" s="3">
        <v>1859.8999999999996</v>
      </c>
      <c r="AA264" s="3">
        <v>1793.169756</v>
      </c>
      <c r="AB264" s="3">
        <v>1719.9148979999998</v>
      </c>
      <c r="AC264" s="3">
        <v>1573.5257999999999</v>
      </c>
      <c r="AD264" s="2">
        <v>1986.7000000000005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v>1410.359952</v>
      </c>
      <c r="G265" s="3">
        <v>1318.4</v>
      </c>
      <c r="H265" s="3">
        <v>1265.9547319999999</v>
      </c>
      <c r="I265" s="3">
        <v>1259.4213999999999</v>
      </c>
      <c r="J265" s="3">
        <v>1248.2507599999999</v>
      </c>
      <c r="K265" s="3">
        <v>1266.5</v>
      </c>
      <c r="L265" s="3">
        <v>1317.8</v>
      </c>
      <c r="M265" s="3">
        <v>1399.9565600000001</v>
      </c>
      <c r="N265" s="3">
        <v>1524.0130839999999</v>
      </c>
      <c r="O265" s="3">
        <v>1623.1260299999999</v>
      </c>
      <c r="P265" s="3">
        <v>1681.62637</v>
      </c>
      <c r="Q265" s="3">
        <v>1705.7728459999996</v>
      </c>
      <c r="R265" s="3">
        <v>1691.9501160000002</v>
      </c>
      <c r="S265" s="3">
        <v>1635.1000000000001</v>
      </c>
      <c r="T265" s="3">
        <v>1640.6</v>
      </c>
      <c r="U265" s="3">
        <v>1632.2040460000001</v>
      </c>
      <c r="V265" s="3">
        <v>1658.9</v>
      </c>
      <c r="W265" s="3">
        <v>1881.9244210000002</v>
      </c>
      <c r="X265" s="3">
        <v>1958.4152999999999</v>
      </c>
      <c r="Y265" s="3">
        <v>1919.9120039999998</v>
      </c>
      <c r="Z265" s="3">
        <v>1870.0600619999998</v>
      </c>
      <c r="AA265" s="3">
        <v>1817.5155499999998</v>
      </c>
      <c r="AB265" s="3">
        <v>1727.9091890000004</v>
      </c>
      <c r="AC265" s="3">
        <v>1582.5827699999998</v>
      </c>
      <c r="AD265" s="2">
        <v>1956.0000000000002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v>1436.6918519999999</v>
      </c>
      <c r="G266" s="3">
        <v>1316.5268760000001</v>
      </c>
      <c r="H266" s="3">
        <v>1279.66533</v>
      </c>
      <c r="I266" s="3">
        <v>1262.5714050000001</v>
      </c>
      <c r="J266" s="3">
        <v>1236.5445889999999</v>
      </c>
      <c r="K266" s="3">
        <v>1243.2013360000003</v>
      </c>
      <c r="L266" s="3">
        <v>1303.3202209999999</v>
      </c>
      <c r="M266" s="3">
        <v>1388.9757999999999</v>
      </c>
      <c r="N266" s="3">
        <v>1503.8819320000002</v>
      </c>
      <c r="O266" s="3">
        <v>1614.9492720000001</v>
      </c>
      <c r="P266" s="3">
        <v>1658.538661</v>
      </c>
      <c r="Q266" s="3">
        <v>1696.5396839999999</v>
      </c>
      <c r="R266" s="3">
        <v>1682.1538620000001</v>
      </c>
      <c r="S266" s="3">
        <v>1650.9561370000001</v>
      </c>
      <c r="T266" s="3">
        <v>1625.0287840000003</v>
      </c>
      <c r="U266" s="3">
        <v>1613.537828</v>
      </c>
      <c r="V266" s="3">
        <v>1665.7346829999999</v>
      </c>
      <c r="W266" s="3">
        <v>1904.3249739999999</v>
      </c>
      <c r="X266" s="3">
        <v>1971.4204589999999</v>
      </c>
      <c r="Y266" s="3">
        <v>1931.298972</v>
      </c>
      <c r="Z266" s="3">
        <v>1875.2723750000002</v>
      </c>
      <c r="AA266" s="3">
        <v>1808.8026450000002</v>
      </c>
      <c r="AB266" s="3">
        <v>1719.0000000000002</v>
      </c>
      <c r="AC266" s="3">
        <v>1584.2293559999998</v>
      </c>
      <c r="AD266" s="2">
        <v>1978.7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v>1440.5985480000002</v>
      </c>
      <c r="G267" s="3">
        <v>1324.8172879999997</v>
      </c>
      <c r="H267" s="3">
        <v>1276.0339239999998</v>
      </c>
      <c r="I267" s="3">
        <v>1263.358614</v>
      </c>
      <c r="J267" s="3">
        <v>1264.0999999999997</v>
      </c>
      <c r="K267" s="3">
        <v>1263.9747709999997</v>
      </c>
      <c r="L267" s="3">
        <v>1329.5</v>
      </c>
      <c r="M267" s="3">
        <v>1432.5894040000001</v>
      </c>
      <c r="N267" s="3">
        <v>1546.9056839999998</v>
      </c>
      <c r="O267" s="3">
        <v>1662.6</v>
      </c>
      <c r="P267" s="3">
        <v>1706.7999999999997</v>
      </c>
      <c r="Q267" s="3">
        <v>1738.0911349999999</v>
      </c>
      <c r="R267" s="3">
        <v>1731.601635</v>
      </c>
      <c r="S267" s="3">
        <v>1689.2887519999999</v>
      </c>
      <c r="T267" s="3">
        <v>1665.8349889999997</v>
      </c>
      <c r="U267" s="3">
        <v>1672.6354279999998</v>
      </c>
      <c r="V267" s="3">
        <v>1719.8122460000002</v>
      </c>
      <c r="W267" s="3">
        <v>1936.4049200000002</v>
      </c>
      <c r="X267" s="3">
        <v>1975.6993960000002</v>
      </c>
      <c r="Y267" s="3">
        <v>1913.1218549999996</v>
      </c>
      <c r="Z267" s="3">
        <v>1858.7247400000001</v>
      </c>
      <c r="AA267" s="3">
        <v>1801.2184549999999</v>
      </c>
      <c r="AB267" s="3">
        <v>1736.7994929999998</v>
      </c>
      <c r="AC267" s="3">
        <v>1578.0929700000002</v>
      </c>
      <c r="AD267" s="2">
        <v>2028.4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v>1420.9793579999998</v>
      </c>
      <c r="G268" s="3">
        <v>1320.3323580000001</v>
      </c>
      <c r="H268" s="3">
        <v>1286.270497</v>
      </c>
      <c r="I268" s="3">
        <v>1258.4104999999997</v>
      </c>
      <c r="J268" s="3">
        <v>1250.3042639999999</v>
      </c>
      <c r="K268" s="3">
        <v>1272.526102</v>
      </c>
      <c r="L268" s="3">
        <v>1337.0919939999999</v>
      </c>
      <c r="M268" s="3">
        <v>1415.5728799999999</v>
      </c>
      <c r="N268" s="3">
        <v>1534.6952799999999</v>
      </c>
      <c r="O268" s="3">
        <v>1651.9577690000001</v>
      </c>
      <c r="P268" s="3">
        <v>1689.10329</v>
      </c>
      <c r="Q268" s="3">
        <v>1721.515003</v>
      </c>
      <c r="R268" s="3">
        <v>1718.7303600000002</v>
      </c>
      <c r="S268" s="3">
        <v>1692.4424379999998</v>
      </c>
      <c r="T268" s="3">
        <v>1631.6522269999998</v>
      </c>
      <c r="U268" s="3">
        <v>1616.4184280000002</v>
      </c>
      <c r="V268" s="3">
        <v>1662.6045079999999</v>
      </c>
      <c r="W268" s="3">
        <v>1919.5678</v>
      </c>
      <c r="X268" s="3">
        <v>1978.5668499999999</v>
      </c>
      <c r="Y268" s="3">
        <v>1936.5920279999998</v>
      </c>
      <c r="Z268" s="3">
        <v>1874.4545540000001</v>
      </c>
      <c r="AA268" s="3">
        <v>1820.1164120000001</v>
      </c>
      <c r="AB268" s="3">
        <v>1742.378796</v>
      </c>
      <c r="AC268" s="3">
        <v>1595.2710969999998</v>
      </c>
      <c r="AD268" s="2">
        <v>1999.2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v>1434.708136</v>
      </c>
      <c r="G269" s="3">
        <v>1316.1265699999999</v>
      </c>
      <c r="H269" s="3">
        <v>1258.2856280000001</v>
      </c>
      <c r="I269" s="3">
        <v>1237.458736</v>
      </c>
      <c r="J269" s="3">
        <v>1227.1590320000003</v>
      </c>
      <c r="K269" s="3">
        <v>1238.0216700000001</v>
      </c>
      <c r="L269" s="3">
        <v>1275.5556080000001</v>
      </c>
      <c r="M269" s="3">
        <v>1331.4941100000001</v>
      </c>
      <c r="N269" s="3">
        <v>1466.9887270000002</v>
      </c>
      <c r="O269" s="3">
        <v>1595.5851790000002</v>
      </c>
      <c r="P269" s="3">
        <v>1681.2</v>
      </c>
      <c r="Q269" s="3">
        <v>1718.291837</v>
      </c>
      <c r="R269" s="3">
        <v>1712.9387720000002</v>
      </c>
      <c r="S269" s="3">
        <v>1670.8000000000002</v>
      </c>
      <c r="T269" s="3">
        <v>1614.5125660000001</v>
      </c>
      <c r="U269" s="3">
        <v>1585.5239049999998</v>
      </c>
      <c r="V269" s="3">
        <v>1643.6458519999999</v>
      </c>
      <c r="W269" s="3">
        <v>1850.6588000000004</v>
      </c>
      <c r="X269" s="3">
        <v>1904.2241579999998</v>
      </c>
      <c r="Y269" s="3">
        <v>1858.8692799999999</v>
      </c>
      <c r="Z269" s="3">
        <v>1799.3664449999999</v>
      </c>
      <c r="AA269" s="3">
        <v>1742.0854739999997</v>
      </c>
      <c r="AB269" s="3">
        <v>1677.1591660000001</v>
      </c>
      <c r="AC269" s="3">
        <v>1549.2826</v>
      </c>
      <c r="AD269" s="2">
        <v>1916.3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v>1399.649165</v>
      </c>
      <c r="G270" s="3">
        <v>1294.8713729999999</v>
      </c>
      <c r="H270" s="3">
        <v>1234.0706800000003</v>
      </c>
      <c r="I270" s="3">
        <v>1215.9292839999998</v>
      </c>
      <c r="J270" s="3">
        <v>1210.2999999999997</v>
      </c>
      <c r="K270" s="3">
        <v>1197.89284</v>
      </c>
      <c r="L270" s="3">
        <v>1204.0492200000001</v>
      </c>
      <c r="M270" s="3">
        <v>1195.149582</v>
      </c>
      <c r="N270" s="3">
        <v>1231.929024</v>
      </c>
      <c r="O270" s="3">
        <v>1331.9080059999997</v>
      </c>
      <c r="P270" s="3">
        <v>1427.9635989999999</v>
      </c>
      <c r="Q270" s="3">
        <v>1488.5479679999999</v>
      </c>
      <c r="R270" s="3">
        <v>1507.2450239999998</v>
      </c>
      <c r="S270" s="3">
        <v>1479.7426150000001</v>
      </c>
      <c r="T270" s="3">
        <v>1439.249292</v>
      </c>
      <c r="U270" s="3">
        <v>1434.8</v>
      </c>
      <c r="V270" s="3">
        <v>1489.0244429999998</v>
      </c>
      <c r="W270" s="3">
        <v>1710.1120390000001</v>
      </c>
      <c r="X270" s="3">
        <v>1793.7051490000001</v>
      </c>
      <c r="Y270" s="3">
        <v>1773.1143320000001</v>
      </c>
      <c r="Z270" s="3">
        <v>1744.2942909999999</v>
      </c>
      <c r="AA270" s="3">
        <v>1716.4235709999996</v>
      </c>
      <c r="AB270" s="3">
        <v>1643.9236499999997</v>
      </c>
      <c r="AC270" s="3">
        <v>1509.05636</v>
      </c>
      <c r="AD270" s="2">
        <v>1798.2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v>1374.8497379999999</v>
      </c>
      <c r="G271" s="3">
        <v>1262.3821600000001</v>
      </c>
      <c r="H271" s="3">
        <v>1211.4000000000001</v>
      </c>
      <c r="I271" s="3">
        <v>1192.4768820000002</v>
      </c>
      <c r="J271" s="3">
        <v>1188.6205169999998</v>
      </c>
      <c r="K271" s="3">
        <v>1220.2</v>
      </c>
      <c r="L271" s="3">
        <v>1287.4709559999999</v>
      </c>
      <c r="M271" s="3">
        <v>1388.822772</v>
      </c>
      <c r="N271" s="3">
        <v>1501.340594</v>
      </c>
      <c r="O271" s="3">
        <v>1633.3483850000002</v>
      </c>
      <c r="P271" s="3">
        <v>1701.7287919999999</v>
      </c>
      <c r="Q271" s="3">
        <v>1750.371551</v>
      </c>
      <c r="R271" s="3">
        <v>1742.9757360000001</v>
      </c>
      <c r="S271" s="3">
        <v>1714.8</v>
      </c>
      <c r="T271" s="3">
        <v>1667.3000000000002</v>
      </c>
      <c r="U271" s="3">
        <v>1667.8334080000002</v>
      </c>
      <c r="V271" s="3">
        <v>1725.111484</v>
      </c>
      <c r="W271" s="3">
        <v>1939.9892739999998</v>
      </c>
      <c r="X271" s="3">
        <v>1968.4165319999997</v>
      </c>
      <c r="Y271" s="3">
        <v>1933.2883400000003</v>
      </c>
      <c r="Z271" s="3">
        <v>1870.7000000000003</v>
      </c>
      <c r="AA271" s="3">
        <v>1808.5238120000001</v>
      </c>
      <c r="AB271" s="3">
        <v>1725.4047460000002</v>
      </c>
      <c r="AC271" s="3">
        <v>1592.4163510000001</v>
      </c>
      <c r="AD271" s="2">
        <v>1994.8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v>1430.6101879999999</v>
      </c>
      <c r="G272" s="3">
        <v>1325.7376099999999</v>
      </c>
      <c r="H272" s="3">
        <v>1286.7396680000002</v>
      </c>
      <c r="I272" s="3">
        <v>1251.6999999999998</v>
      </c>
      <c r="J272" s="3">
        <v>1234.386526</v>
      </c>
      <c r="K272" s="3">
        <v>1240.0071599999999</v>
      </c>
      <c r="L272" s="3">
        <v>1307.3</v>
      </c>
      <c r="M272" s="3">
        <v>1402.8386459999997</v>
      </c>
      <c r="N272" s="3">
        <v>1487.2445860000003</v>
      </c>
      <c r="O272" s="3">
        <v>1612.1365020000001</v>
      </c>
      <c r="P272" s="3">
        <v>1683.5</v>
      </c>
      <c r="Q272" s="3">
        <v>1724.4119429999998</v>
      </c>
      <c r="R272" s="3">
        <v>1714.5480600000001</v>
      </c>
      <c r="S272" s="3">
        <v>1664.9037430000001</v>
      </c>
      <c r="T272" s="3">
        <v>1638.7963960000002</v>
      </c>
      <c r="U272" s="3">
        <v>1642.9369439999998</v>
      </c>
      <c r="V272" s="3">
        <v>1689.3758740000001</v>
      </c>
      <c r="W272" s="3">
        <v>1915.8236320000001</v>
      </c>
      <c r="X272" s="3">
        <v>1972.1567360000001</v>
      </c>
      <c r="Y272" s="3">
        <v>1938.1793640000003</v>
      </c>
      <c r="Z272" s="3">
        <v>1870.968337</v>
      </c>
      <c r="AA272" s="3">
        <v>1809.8408919999999</v>
      </c>
      <c r="AB272" s="3">
        <v>1727.3053640000001</v>
      </c>
      <c r="AC272" s="3">
        <v>1606.6346659999999</v>
      </c>
      <c r="AD272" s="2">
        <v>1954.8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v>1442.038495</v>
      </c>
      <c r="G273" s="3">
        <v>1346.8</v>
      </c>
      <c r="H273" s="3">
        <v>1290.1262899999999</v>
      </c>
      <c r="I273" s="3">
        <v>1277.3324259999999</v>
      </c>
      <c r="J273" s="3">
        <v>1269.7625409999998</v>
      </c>
      <c r="K273" s="3">
        <v>1271.1473079999998</v>
      </c>
      <c r="L273" s="3">
        <v>1321.7303689999997</v>
      </c>
      <c r="M273" s="3">
        <v>1381.9</v>
      </c>
      <c r="N273" s="3">
        <v>1479.0054040000002</v>
      </c>
      <c r="O273" s="3">
        <v>1579.8605459999999</v>
      </c>
      <c r="P273" s="3">
        <v>1636</v>
      </c>
      <c r="Q273" s="3">
        <v>1683.273987</v>
      </c>
      <c r="R273" s="3">
        <v>1680.727515</v>
      </c>
      <c r="S273" s="3">
        <v>1650.7848700000002</v>
      </c>
      <c r="T273" s="3">
        <v>1603.8</v>
      </c>
      <c r="U273" s="3">
        <v>1604.4558279999999</v>
      </c>
      <c r="V273" s="3">
        <v>1648.6116619999998</v>
      </c>
      <c r="W273" s="3">
        <v>1862.4</v>
      </c>
      <c r="X273" s="3">
        <v>1922.6017880000004</v>
      </c>
      <c r="Y273" s="3">
        <v>1897.9441929999998</v>
      </c>
      <c r="Z273" s="3">
        <v>1851.4779120000001</v>
      </c>
      <c r="AA273" s="3">
        <v>1787.6430900000003</v>
      </c>
      <c r="AB273" s="3">
        <v>1690.381408</v>
      </c>
      <c r="AC273" s="3">
        <v>1561.5739159999998</v>
      </c>
      <c r="AD273" s="2">
        <v>1963.3000000000002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v>1422.276145</v>
      </c>
      <c r="G274" s="3">
        <v>1312.480016</v>
      </c>
      <c r="H274" s="3">
        <v>1266.0531000000003</v>
      </c>
      <c r="I274" s="3">
        <v>1240.0999999999999</v>
      </c>
      <c r="J274" s="3">
        <v>1233.2857100000001</v>
      </c>
      <c r="K274" s="3">
        <v>1232.4000000000001</v>
      </c>
      <c r="L274" s="3">
        <v>1291.951458</v>
      </c>
      <c r="M274" s="3">
        <v>1390.24738</v>
      </c>
      <c r="N274" s="3">
        <v>1501.9620280000001</v>
      </c>
      <c r="O274" s="3">
        <v>1612.8116479999999</v>
      </c>
      <c r="P274" s="3">
        <v>1678.1999999999998</v>
      </c>
      <c r="Q274" s="3">
        <v>1707.2865839999999</v>
      </c>
      <c r="R274" s="3">
        <v>1704.3771299999999</v>
      </c>
      <c r="S274" s="3">
        <v>1696.1</v>
      </c>
      <c r="T274" s="3">
        <v>1615.8000000000002</v>
      </c>
      <c r="U274" s="3">
        <v>1595.5</v>
      </c>
      <c r="V274" s="3">
        <v>1621.8000000000002</v>
      </c>
      <c r="W274" s="3">
        <v>1881.0250840000001</v>
      </c>
      <c r="X274" s="3">
        <v>1965.562142</v>
      </c>
      <c r="Y274" s="3">
        <v>1929.1000000000001</v>
      </c>
      <c r="Z274" s="3">
        <v>1866.3316630000002</v>
      </c>
      <c r="AA274" s="3">
        <v>1808.3222819999999</v>
      </c>
      <c r="AB274" s="3">
        <v>1739.0016799999999</v>
      </c>
      <c r="AC274" s="3">
        <v>1601.056981</v>
      </c>
      <c r="AD274" s="2">
        <v>1975.1000000000001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v>1439.5441050000002</v>
      </c>
      <c r="G275" s="3">
        <v>1330.7228199999997</v>
      </c>
      <c r="H275" s="3">
        <v>1285.6702419999997</v>
      </c>
      <c r="I275" s="3">
        <v>1257.6658970000001</v>
      </c>
      <c r="J275" s="3">
        <v>1245.6000000000001</v>
      </c>
      <c r="K275" s="3">
        <v>1264.190265</v>
      </c>
      <c r="L275" s="3">
        <v>1328.283324</v>
      </c>
      <c r="M275" s="3">
        <v>1418.8</v>
      </c>
      <c r="N275" s="3">
        <v>1535.1958920000002</v>
      </c>
      <c r="O275" s="3">
        <v>1653.2167620000002</v>
      </c>
      <c r="P275" s="3">
        <v>1726.1071550000001</v>
      </c>
      <c r="Q275" s="3">
        <v>1770.1804189999998</v>
      </c>
      <c r="R275" s="3">
        <v>1757.32989</v>
      </c>
      <c r="S275" s="3">
        <v>1728.3050039999996</v>
      </c>
      <c r="T275" s="3">
        <v>1685.0922199999998</v>
      </c>
      <c r="U275" s="3">
        <v>1705.15302</v>
      </c>
      <c r="V275" s="3">
        <v>1767.1999999999998</v>
      </c>
      <c r="W275" s="3">
        <v>1963.6824479999998</v>
      </c>
      <c r="X275" s="3">
        <v>1999.3638839999999</v>
      </c>
      <c r="Y275" s="3">
        <v>1950.3167199999998</v>
      </c>
      <c r="Z275" s="3">
        <v>1896.9315020000001</v>
      </c>
      <c r="AA275" s="3">
        <v>1826.852155</v>
      </c>
      <c r="AB275" s="3">
        <v>1747.7000000000003</v>
      </c>
      <c r="AC275" s="3">
        <v>1633.3520909999997</v>
      </c>
      <c r="AD275" s="2">
        <v>2021.1000000000001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v>1476.2919949999998</v>
      </c>
      <c r="G276" s="3">
        <v>1352.5999999999997</v>
      </c>
      <c r="H276" s="3">
        <v>1298.7220569999999</v>
      </c>
      <c r="I276" s="3">
        <v>1275.0650909999999</v>
      </c>
      <c r="J276" s="3">
        <v>1267.461215</v>
      </c>
      <c r="K276" s="3">
        <v>1276.8660089999998</v>
      </c>
      <c r="L276" s="3">
        <v>1303.8747640000001</v>
      </c>
      <c r="M276" s="3">
        <v>1373.5441420000002</v>
      </c>
      <c r="N276" s="3">
        <v>1500.540747</v>
      </c>
      <c r="O276" s="3">
        <v>1657.2210460000001</v>
      </c>
      <c r="P276" s="3">
        <v>1754.3105029999999</v>
      </c>
      <c r="Q276" s="3">
        <v>1785.6264659999997</v>
      </c>
      <c r="R276" s="3">
        <v>1759.971344</v>
      </c>
      <c r="S276" s="3">
        <v>1699.9777899999999</v>
      </c>
      <c r="T276" s="3">
        <v>1651.77737</v>
      </c>
      <c r="U276" s="3">
        <v>1649.4000000000003</v>
      </c>
      <c r="V276" s="3">
        <v>1724.3947439999999</v>
      </c>
      <c r="W276" s="3">
        <v>1877.7263589999998</v>
      </c>
      <c r="X276" s="3">
        <v>1860.8011089999998</v>
      </c>
      <c r="Y276" s="3">
        <v>1780.0399800000002</v>
      </c>
      <c r="Z276" s="3">
        <v>1690.2799800000003</v>
      </c>
      <c r="AA276" s="3">
        <v>1621.3235820000002</v>
      </c>
      <c r="AB276" s="3">
        <v>1567.5691219999999</v>
      </c>
      <c r="AC276" s="3">
        <v>1506.346554</v>
      </c>
      <c r="AD276" s="2">
        <v>1889.4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v>1410.2577080000001</v>
      </c>
      <c r="G277" s="3">
        <v>1288.542422</v>
      </c>
      <c r="H277" s="3">
        <v>1189.233553</v>
      </c>
      <c r="I277" s="3">
        <v>1149.2972159999999</v>
      </c>
      <c r="J277" s="3">
        <v>1138.3043710000002</v>
      </c>
      <c r="K277" s="3">
        <v>1141.3083399999998</v>
      </c>
      <c r="L277" s="3">
        <v>1151.7852519999999</v>
      </c>
      <c r="M277" s="3">
        <v>1132.9131279999999</v>
      </c>
      <c r="N277" s="3">
        <v>1139.9028920000003</v>
      </c>
      <c r="O277" s="3">
        <v>1224.7796920000001</v>
      </c>
      <c r="P277" s="3">
        <v>1337.001657</v>
      </c>
      <c r="Q277" s="3">
        <v>1438.1467689999999</v>
      </c>
      <c r="R277" s="3">
        <v>1471.6985739999998</v>
      </c>
      <c r="S277" s="3">
        <v>1473.1283720000004</v>
      </c>
      <c r="T277" s="3">
        <v>1455.2829540000002</v>
      </c>
      <c r="U277" s="3">
        <v>1436.3510649999998</v>
      </c>
      <c r="V277" s="3">
        <v>1502.3337899999999</v>
      </c>
      <c r="W277" s="3">
        <v>1694.0569499999999</v>
      </c>
      <c r="X277" s="3">
        <v>1754.3</v>
      </c>
      <c r="Y277" s="3">
        <v>1729.1016440000001</v>
      </c>
      <c r="Z277" s="3">
        <v>1704.6273419999998</v>
      </c>
      <c r="AA277" s="3">
        <v>1673.3</v>
      </c>
      <c r="AB277" s="3">
        <v>1617.0352240000004</v>
      </c>
      <c r="AC277" s="3">
        <v>1494.20615</v>
      </c>
      <c r="AD277" s="2">
        <v>1753.1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v>1339.3947479999999</v>
      </c>
      <c r="G278" s="3">
        <v>1225.892355</v>
      </c>
      <c r="H278" s="3">
        <v>1186.5192930000001</v>
      </c>
      <c r="I278" s="3">
        <v>1173.8874900000003</v>
      </c>
      <c r="J278" s="3">
        <v>1168.1950379999998</v>
      </c>
      <c r="K278" s="3">
        <v>1181.6210720000001</v>
      </c>
      <c r="L278" s="3">
        <v>1247.1209200000003</v>
      </c>
      <c r="M278" s="3">
        <v>1352.59258</v>
      </c>
      <c r="N278" s="3">
        <v>1457.2</v>
      </c>
      <c r="O278" s="3">
        <v>1568.8</v>
      </c>
      <c r="P278" s="3">
        <v>1643.4315519999998</v>
      </c>
      <c r="Q278" s="3">
        <v>1685.7444440000002</v>
      </c>
      <c r="R278" s="3">
        <v>1677.2257749999997</v>
      </c>
      <c r="S278" s="3">
        <v>1642.9204679999998</v>
      </c>
      <c r="T278" s="3">
        <v>1590.4737120000002</v>
      </c>
      <c r="U278" s="3">
        <v>1581.7</v>
      </c>
      <c r="V278" s="3">
        <v>1610.3009119999999</v>
      </c>
      <c r="W278" s="3">
        <v>1854.793426</v>
      </c>
      <c r="X278" s="3">
        <v>1931.2657419999998</v>
      </c>
      <c r="Y278" s="3">
        <v>1895.267368</v>
      </c>
      <c r="Z278" s="3">
        <v>1838.5361999999998</v>
      </c>
      <c r="AA278" s="3">
        <v>1784.9606880000001</v>
      </c>
      <c r="AB278" s="3">
        <v>1718.8206070000003</v>
      </c>
      <c r="AC278" s="3">
        <v>1585.6189940000002</v>
      </c>
      <c r="AD278" s="2">
        <v>1941.5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v>1418.6370140000001</v>
      </c>
      <c r="G279" s="3">
        <v>1308.8767699999999</v>
      </c>
      <c r="H279" s="3">
        <v>1255.4469449999999</v>
      </c>
      <c r="I279" s="3">
        <v>1240.3465780000004</v>
      </c>
      <c r="J279" s="3">
        <v>1227.2591849999999</v>
      </c>
      <c r="K279" s="3">
        <v>1239.0999999999997</v>
      </c>
      <c r="L279" s="3">
        <v>1279.9249479999999</v>
      </c>
      <c r="M279" s="3">
        <v>1370.1391039999999</v>
      </c>
      <c r="N279" s="3">
        <v>1488.0188680000003</v>
      </c>
      <c r="O279" s="3">
        <v>1593.809925</v>
      </c>
      <c r="P279" s="3">
        <v>1657.2999999999997</v>
      </c>
      <c r="Q279" s="3">
        <v>1705.8563700000002</v>
      </c>
      <c r="R279" s="3">
        <v>1696.2872249999998</v>
      </c>
      <c r="S279" s="3">
        <v>1642.4381679999999</v>
      </c>
      <c r="T279" s="3">
        <v>1605.3650279999997</v>
      </c>
      <c r="U279" s="3">
        <v>1579.9779310000001</v>
      </c>
      <c r="V279" s="3">
        <v>1607.5639569999996</v>
      </c>
      <c r="W279" s="3">
        <v>1841.188316</v>
      </c>
      <c r="X279" s="3">
        <v>1929.2911960000001</v>
      </c>
      <c r="Y279" s="3">
        <v>1901.2383790000004</v>
      </c>
      <c r="Z279" s="3">
        <v>1855.4087589999999</v>
      </c>
      <c r="AA279" s="3">
        <v>1812.9180999999999</v>
      </c>
      <c r="AB279" s="3">
        <v>1737.3834400000003</v>
      </c>
      <c r="AC279" s="3">
        <v>1596.209752</v>
      </c>
      <c r="AD279" s="2">
        <v>1932.2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v>1423.2332280000003</v>
      </c>
      <c r="G280" s="3">
        <v>1317.3126729999997</v>
      </c>
      <c r="H280" s="3">
        <v>1263.2941800000001</v>
      </c>
      <c r="I280" s="3">
        <v>1253.5541259999998</v>
      </c>
      <c r="J280" s="3">
        <v>1232.2560739999999</v>
      </c>
      <c r="K280" s="3">
        <v>1246.149842</v>
      </c>
      <c r="L280" s="3">
        <v>1296.1471739999999</v>
      </c>
      <c r="M280" s="3">
        <v>1376.232998</v>
      </c>
      <c r="N280" s="3">
        <v>1484.503892</v>
      </c>
      <c r="O280" s="3">
        <v>1600.2313000000001</v>
      </c>
      <c r="P280" s="3">
        <v>1647.1699440000002</v>
      </c>
      <c r="Q280" s="3">
        <v>1698.1644759999999</v>
      </c>
      <c r="R280" s="3">
        <v>1680.779722</v>
      </c>
      <c r="S280" s="3">
        <v>1651.356035</v>
      </c>
      <c r="T280" s="3">
        <v>1599.570332</v>
      </c>
      <c r="U280" s="3">
        <v>1603.8661500000001</v>
      </c>
      <c r="V280" s="3">
        <v>1639.44031</v>
      </c>
      <c r="W280" s="3">
        <v>1859.8698540000003</v>
      </c>
      <c r="X280" s="3">
        <v>1953.1452959999999</v>
      </c>
      <c r="Y280" s="3">
        <v>1928.8</v>
      </c>
      <c r="Z280" s="3">
        <v>1887.3553400000003</v>
      </c>
      <c r="AA280" s="3">
        <v>1829.7491509999998</v>
      </c>
      <c r="AB280" s="3">
        <v>1760.7868960000001</v>
      </c>
      <c r="AC280" s="3">
        <v>1614.8965799999999</v>
      </c>
      <c r="AD280" s="2">
        <v>1955.1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v>1455.5642759999998</v>
      </c>
      <c r="G281" s="3">
        <v>1333.0123149999999</v>
      </c>
      <c r="H281" s="3">
        <v>1273.3698179999999</v>
      </c>
      <c r="I281" s="3">
        <v>1255</v>
      </c>
      <c r="J281" s="3">
        <v>1246.1999999999998</v>
      </c>
      <c r="K281" s="3">
        <v>1260.8999999999999</v>
      </c>
      <c r="L281" s="3">
        <v>1307.0360559999999</v>
      </c>
      <c r="M281" s="3">
        <v>1438.850555</v>
      </c>
      <c r="N281" s="3">
        <v>1541.803032</v>
      </c>
      <c r="O281" s="3">
        <v>1644.8091119999999</v>
      </c>
      <c r="P281" s="3">
        <v>1725.885456</v>
      </c>
      <c r="Q281" s="3">
        <v>1751.308565</v>
      </c>
      <c r="R281" s="3">
        <v>1741.2860859999998</v>
      </c>
      <c r="S281" s="3">
        <v>1694.0403980000001</v>
      </c>
      <c r="T281" s="3">
        <v>1658.6841250000002</v>
      </c>
      <c r="U281" s="3">
        <v>1658.9607779999999</v>
      </c>
      <c r="V281" s="3">
        <v>1726.2079650000001</v>
      </c>
      <c r="W281" s="3">
        <v>1941.4936679999996</v>
      </c>
      <c r="X281" s="3">
        <v>2008.6290160000001</v>
      </c>
      <c r="Y281" s="3">
        <v>1964.3628560000004</v>
      </c>
      <c r="Z281" s="3">
        <v>1904.1999999999998</v>
      </c>
      <c r="AA281" s="3">
        <v>1856.2087589999999</v>
      </c>
      <c r="AB281" s="3">
        <v>1783.5943400000001</v>
      </c>
      <c r="AC281" s="3">
        <v>1654.9950900000001</v>
      </c>
      <c r="AD281" s="2">
        <v>2009.5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v>1476.2944430000002</v>
      </c>
      <c r="G282" s="3">
        <v>1364.265956</v>
      </c>
      <c r="H282" s="3">
        <v>1315.851304</v>
      </c>
      <c r="I282" s="3">
        <v>1287.1000000000004</v>
      </c>
      <c r="J282" s="3">
        <v>1254.3076399999998</v>
      </c>
      <c r="K282" s="3">
        <v>1255</v>
      </c>
      <c r="L282" s="3">
        <v>1315.1000000000001</v>
      </c>
      <c r="M282" s="3">
        <v>1423.7</v>
      </c>
      <c r="N282" s="3">
        <v>1539.2985860000001</v>
      </c>
      <c r="O282" s="3">
        <v>1647.11105</v>
      </c>
      <c r="P282" s="3">
        <v>1716.2911740000002</v>
      </c>
      <c r="Q282" s="3">
        <v>1745.2694119999999</v>
      </c>
      <c r="R282" s="3">
        <v>1752.208259</v>
      </c>
      <c r="S282" s="3">
        <v>1722.7930100000001</v>
      </c>
      <c r="T282" s="3">
        <v>1671.0673570000001</v>
      </c>
      <c r="U282" s="3">
        <v>1662.6389359999998</v>
      </c>
      <c r="V282" s="3">
        <v>1697.4661079999998</v>
      </c>
      <c r="W282" s="3">
        <v>1901.5382259999997</v>
      </c>
      <c r="X282" s="3">
        <v>1979.4999999999998</v>
      </c>
      <c r="Y282" s="3">
        <v>1952.7875990000005</v>
      </c>
      <c r="Z282" s="3">
        <v>1875.3787709999999</v>
      </c>
      <c r="AA282" s="3">
        <v>1795.1953039999996</v>
      </c>
      <c r="AB282" s="3">
        <v>1737.699034</v>
      </c>
      <c r="AC282" s="3">
        <v>1609.7517479999999</v>
      </c>
      <c r="AD282" s="2">
        <v>1980.0999999999997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v>1445.5404960000001</v>
      </c>
      <c r="G283" s="3">
        <v>1332.413845</v>
      </c>
      <c r="H283" s="3">
        <v>1274.135556</v>
      </c>
      <c r="I283" s="3">
        <v>1251.246588</v>
      </c>
      <c r="J283" s="3">
        <v>1235.1091899999999</v>
      </c>
      <c r="K283" s="3">
        <v>1233.4865260000001</v>
      </c>
      <c r="L283" s="3">
        <v>1259.0266059999999</v>
      </c>
      <c r="M283" s="3">
        <v>1316.8999999999999</v>
      </c>
      <c r="N283" s="3">
        <v>1428.788282</v>
      </c>
      <c r="O283" s="3">
        <v>1547.4803050000003</v>
      </c>
      <c r="P283" s="3">
        <v>1644.4883380000001</v>
      </c>
      <c r="Q283" s="3">
        <v>1693.758276</v>
      </c>
      <c r="R283" s="3">
        <v>1682.8642409999998</v>
      </c>
      <c r="S283" s="3">
        <v>1621.8999999999996</v>
      </c>
      <c r="T283" s="3">
        <v>1554.072502</v>
      </c>
      <c r="U283" s="3">
        <v>1529.2066580000003</v>
      </c>
      <c r="V283" s="3">
        <v>1558.988488</v>
      </c>
      <c r="W283" s="3">
        <v>1775.8598140000001</v>
      </c>
      <c r="X283" s="3">
        <v>1882.4679080000001</v>
      </c>
      <c r="Y283" s="3">
        <v>1844.6000000000001</v>
      </c>
      <c r="Z283" s="3">
        <v>1773.5104560000002</v>
      </c>
      <c r="AA283" s="3">
        <v>1708.3238739999997</v>
      </c>
      <c r="AB283" s="3">
        <v>1653.2288349999994</v>
      </c>
      <c r="AC283" s="3">
        <v>1560.0017200000002</v>
      </c>
      <c r="AD283" s="2">
        <v>1885.4999999999998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v>1423.6863959999998</v>
      </c>
      <c r="G284" s="3">
        <v>1313.9280999999999</v>
      </c>
      <c r="H284" s="3">
        <v>1246.6487299999999</v>
      </c>
      <c r="I284" s="3">
        <v>1213.746425</v>
      </c>
      <c r="J284" s="3">
        <v>1206.7301049999999</v>
      </c>
      <c r="K284" s="3">
        <v>1199.8164169999998</v>
      </c>
      <c r="L284" s="3">
        <v>1228.3852150000002</v>
      </c>
      <c r="M284" s="3">
        <v>1216.3</v>
      </c>
      <c r="N284" s="3">
        <v>1225.9408149999999</v>
      </c>
      <c r="O284" s="3">
        <v>1319.3880919999999</v>
      </c>
      <c r="P284" s="3">
        <v>1409.129058</v>
      </c>
      <c r="Q284" s="3">
        <v>1467.6000000000001</v>
      </c>
      <c r="R284" s="3">
        <v>1454.3648879999998</v>
      </c>
      <c r="S284" s="3">
        <v>1429.2145740000001</v>
      </c>
      <c r="T284" s="3">
        <v>1395.8889199999999</v>
      </c>
      <c r="U284" s="3">
        <v>1376.1174679999999</v>
      </c>
      <c r="V284" s="3">
        <v>1402.3038379999998</v>
      </c>
      <c r="W284" s="3">
        <v>1655.4172719999999</v>
      </c>
      <c r="X284" s="3">
        <v>1795.2377859999999</v>
      </c>
      <c r="Y284" s="3">
        <v>1785.3717479999998</v>
      </c>
      <c r="Z284" s="3">
        <v>1745.5113130000002</v>
      </c>
      <c r="AA284" s="3">
        <v>1708.0698020000002</v>
      </c>
      <c r="AB284" s="3">
        <v>1643.6811640000001</v>
      </c>
      <c r="AC284" s="3">
        <v>1519.8453720000002</v>
      </c>
      <c r="AD284" s="2">
        <v>1811.3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v>1362.8</v>
      </c>
      <c r="G285" s="3">
        <v>1254.0000000000002</v>
      </c>
      <c r="H285" s="3">
        <v>1212.7659169999999</v>
      </c>
      <c r="I285" s="3">
        <v>1203.783889</v>
      </c>
      <c r="J285" s="3">
        <v>1198.7002239999997</v>
      </c>
      <c r="K285" s="3">
        <v>1221.1811250000001</v>
      </c>
      <c r="L285" s="3">
        <v>1289.1272589999999</v>
      </c>
      <c r="M285" s="3">
        <v>1389.7473799999998</v>
      </c>
      <c r="N285" s="3">
        <v>1508.7348680000005</v>
      </c>
      <c r="O285" s="3">
        <v>1618.2405820000004</v>
      </c>
      <c r="P285" s="3">
        <v>1692.6562359999996</v>
      </c>
      <c r="Q285" s="3">
        <v>1746.0663520000003</v>
      </c>
      <c r="R285" s="3">
        <v>1740.4874629999997</v>
      </c>
      <c r="S285" s="3">
        <v>1712.6748000000002</v>
      </c>
      <c r="T285" s="3">
        <v>1657.1</v>
      </c>
      <c r="U285" s="3">
        <v>1654.2000000000003</v>
      </c>
      <c r="V285" s="3">
        <v>1675.1690910000002</v>
      </c>
      <c r="W285" s="3">
        <v>1891.9570739999997</v>
      </c>
      <c r="X285" s="3">
        <v>2000.4644959999996</v>
      </c>
      <c r="Y285" s="3">
        <v>1957.199584</v>
      </c>
      <c r="Z285" s="3">
        <v>1907.2214040000003</v>
      </c>
      <c r="AA285" s="3">
        <v>1854.675872</v>
      </c>
      <c r="AB285" s="3">
        <v>1764.069508</v>
      </c>
      <c r="AC285" s="3">
        <v>1626.8173400000001</v>
      </c>
      <c r="AD285" s="2">
        <v>1989.8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v>1453.0648590000001</v>
      </c>
      <c r="G286" s="3">
        <v>1345.9983449999997</v>
      </c>
      <c r="H286" s="3">
        <v>1282.4709720000001</v>
      </c>
      <c r="I286" s="3">
        <v>1261.08287</v>
      </c>
      <c r="J286" s="3">
        <v>1253.8000000000002</v>
      </c>
      <c r="K286" s="3">
        <v>1266.119778</v>
      </c>
      <c r="L286" s="3">
        <v>1320.3112959999999</v>
      </c>
      <c r="M286" s="3">
        <v>1408.4332270000002</v>
      </c>
      <c r="N286" s="3">
        <v>1514.8311010000002</v>
      </c>
      <c r="O286" s="3">
        <v>1610.6034649999997</v>
      </c>
      <c r="P286" s="3">
        <v>1671.7185359999999</v>
      </c>
      <c r="Q286" s="3">
        <v>1704.46198</v>
      </c>
      <c r="R286" s="3">
        <v>1716.1241830000001</v>
      </c>
      <c r="S286" s="3">
        <v>1694.8999999999996</v>
      </c>
      <c r="T286" s="3">
        <v>1643.653485</v>
      </c>
      <c r="U286" s="3">
        <v>1648.5121720000002</v>
      </c>
      <c r="V286" s="3">
        <v>1667.2307360000002</v>
      </c>
      <c r="W286" s="3">
        <v>1878.1436100000001</v>
      </c>
      <c r="X286" s="3">
        <v>1976.525312</v>
      </c>
      <c r="Y286" s="3">
        <v>1942.0935149999993</v>
      </c>
      <c r="Z286" s="3">
        <v>1878.450474</v>
      </c>
      <c r="AA286" s="3">
        <v>1820.7554800000003</v>
      </c>
      <c r="AB286" s="3">
        <v>1745.4943929999999</v>
      </c>
      <c r="AC286" s="3">
        <v>1591.645458</v>
      </c>
      <c r="AD286" s="2">
        <v>1978.7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v>1442.5</v>
      </c>
      <c r="G287" s="3">
        <v>1322.0648880000003</v>
      </c>
      <c r="H287" s="3">
        <v>1279.9646480000001</v>
      </c>
      <c r="I287" s="3">
        <v>1247.9000000000001</v>
      </c>
      <c r="J287" s="3">
        <v>1240.4039879999998</v>
      </c>
      <c r="K287" s="3">
        <v>1257.310802</v>
      </c>
      <c r="L287" s="3">
        <v>1305.18912</v>
      </c>
      <c r="M287" s="3">
        <v>1424.4145739999997</v>
      </c>
      <c r="N287" s="3">
        <v>1529.0081880000002</v>
      </c>
      <c r="O287" s="3">
        <v>1626.7735480000001</v>
      </c>
      <c r="P287" s="3">
        <v>1668.2659800000004</v>
      </c>
      <c r="Q287" s="3">
        <v>1705.1601949999999</v>
      </c>
      <c r="R287" s="3">
        <v>1680.8046640000002</v>
      </c>
      <c r="S287" s="3">
        <v>1657.0590950000005</v>
      </c>
      <c r="T287" s="3">
        <v>1626.9</v>
      </c>
      <c r="U287" s="3">
        <v>1619.7282880000002</v>
      </c>
      <c r="V287" s="3">
        <v>1647.4097239999999</v>
      </c>
      <c r="W287" s="3">
        <v>1861.4898639999999</v>
      </c>
      <c r="X287" s="3">
        <v>1981.4867479999998</v>
      </c>
      <c r="Y287" s="3">
        <v>1943.1108279999996</v>
      </c>
      <c r="Z287" s="3">
        <v>1869.3999999999999</v>
      </c>
      <c r="AA287" s="3">
        <v>1812.919324</v>
      </c>
      <c r="AB287" s="3">
        <v>1756.8764440000002</v>
      </c>
      <c r="AC287" s="3">
        <v>1622.0701449999999</v>
      </c>
      <c r="AD287" s="2">
        <v>1952.8999999999999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v>1452.7444350000001</v>
      </c>
      <c r="G288" s="3">
        <v>1359.0648080000001</v>
      </c>
      <c r="H288" s="3">
        <v>1302.2</v>
      </c>
      <c r="I288" s="3">
        <v>1272.3360309999998</v>
      </c>
      <c r="J288" s="3">
        <v>1263.2406719999999</v>
      </c>
      <c r="K288" s="3">
        <v>1271.7079399999998</v>
      </c>
      <c r="L288" s="3">
        <v>1271.7079399999998</v>
      </c>
      <c r="M288" s="3">
        <v>1325.109052</v>
      </c>
      <c r="N288" s="3">
        <v>1413.6999999999998</v>
      </c>
      <c r="O288" s="3">
        <v>1607.9263840000001</v>
      </c>
      <c r="P288" s="3">
        <v>1660.973446</v>
      </c>
      <c r="Q288" s="3">
        <v>1692.4811549999999</v>
      </c>
      <c r="R288" s="3">
        <v>1678.2817340000001</v>
      </c>
      <c r="S288" s="3">
        <v>1628.4125799999999</v>
      </c>
      <c r="T288" s="3">
        <v>1594.12824</v>
      </c>
      <c r="U288" s="3">
        <v>1592.3713010000004</v>
      </c>
      <c r="V288" s="3">
        <v>1620.2</v>
      </c>
      <c r="W288" s="3">
        <v>1838.455745</v>
      </c>
      <c r="X288" s="3">
        <v>1969.0104120000001</v>
      </c>
      <c r="Y288" s="3">
        <v>1946.3807060000001</v>
      </c>
      <c r="Z288" s="3">
        <v>1882.6459860000004</v>
      </c>
      <c r="AA288" s="3">
        <v>1822.7</v>
      </c>
      <c r="AB288" s="3">
        <v>1749.4752230000001</v>
      </c>
      <c r="AC288" s="3">
        <v>1606.2655890000001</v>
      </c>
      <c r="AD288" s="2">
        <v>1959.3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v>1436.1551840000002</v>
      </c>
      <c r="G289" s="3">
        <v>1334.8999999999999</v>
      </c>
      <c r="H289" s="3">
        <v>1287.7713640000002</v>
      </c>
      <c r="I289" s="3">
        <v>1268.9228380000002</v>
      </c>
      <c r="J289" s="3">
        <v>1263.5313960000001</v>
      </c>
      <c r="K289" s="3">
        <v>1269.8237560000002</v>
      </c>
      <c r="L289" s="3">
        <v>1329.6000000000004</v>
      </c>
      <c r="M289" s="3">
        <v>1427.6110040000001</v>
      </c>
      <c r="N289" s="3">
        <v>1508.769168</v>
      </c>
      <c r="O289" s="3">
        <v>1619.7573780000005</v>
      </c>
      <c r="P289" s="3">
        <v>1685.3465179999996</v>
      </c>
      <c r="Q289" s="3">
        <v>1715.7084690000002</v>
      </c>
      <c r="R289" s="3">
        <v>1709.1999999999998</v>
      </c>
      <c r="S289" s="3">
        <v>1677.7566159999999</v>
      </c>
      <c r="T289" s="3">
        <v>1636.449269</v>
      </c>
      <c r="U289" s="3">
        <v>1615.5396640000001</v>
      </c>
      <c r="V289" s="3">
        <v>1626.0203999999999</v>
      </c>
      <c r="W289" s="3">
        <v>1827.682002</v>
      </c>
      <c r="X289" s="3">
        <v>1948.4666219999999</v>
      </c>
      <c r="Y289" s="3">
        <v>1918.0150639999997</v>
      </c>
      <c r="Z289" s="3">
        <v>1846.0239060000001</v>
      </c>
      <c r="AA289" s="3">
        <v>1801.4936740000003</v>
      </c>
      <c r="AB289" s="3">
        <v>1735.6000000000001</v>
      </c>
      <c r="AC289" s="3">
        <v>1611.2466479999996</v>
      </c>
      <c r="AD289" s="2">
        <v>1953.6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v>1444.6</v>
      </c>
      <c r="G290" s="3">
        <v>1316.655555</v>
      </c>
      <c r="H290" s="3">
        <v>1255.0544829999999</v>
      </c>
      <c r="I290" s="3">
        <v>1210.49261</v>
      </c>
      <c r="J290" s="3">
        <v>1199.1512339999999</v>
      </c>
      <c r="K290" s="3">
        <v>1203.0554160000002</v>
      </c>
      <c r="L290" s="3">
        <v>1190.5028159999999</v>
      </c>
      <c r="M290" s="3">
        <v>1175.3799559999998</v>
      </c>
      <c r="N290" s="3">
        <v>1174.6545280000003</v>
      </c>
      <c r="O290" s="3">
        <v>1284.9107259999998</v>
      </c>
      <c r="P290" s="3">
        <v>1351.0737839999999</v>
      </c>
      <c r="Q290" s="3">
        <v>1364.9601419999999</v>
      </c>
      <c r="R290" s="3">
        <v>1359.8810779999999</v>
      </c>
      <c r="S290" s="3">
        <v>1326.408134</v>
      </c>
      <c r="T290" s="3">
        <v>1310.9152230000002</v>
      </c>
      <c r="U290" s="3">
        <v>1302.0739479999997</v>
      </c>
      <c r="V290" s="3">
        <v>1331.7948749999998</v>
      </c>
      <c r="W290" s="3">
        <v>1521.1083780000001</v>
      </c>
      <c r="X290" s="3">
        <v>1679.6280529999997</v>
      </c>
      <c r="Y290" s="3">
        <v>1689.7228000000002</v>
      </c>
      <c r="Z290" s="3">
        <v>1655.6403439999999</v>
      </c>
      <c r="AA290" s="3">
        <v>1616.1131779999996</v>
      </c>
      <c r="AB290" s="3">
        <v>1538.6000000000001</v>
      </c>
      <c r="AC290" s="3">
        <v>1452.9866260000001</v>
      </c>
      <c r="AD290" s="2">
        <v>1708.1000000000004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v>1314.5403140000001</v>
      </c>
      <c r="G291" s="3">
        <v>1224.5</v>
      </c>
      <c r="H291" s="3">
        <v>1167.510164</v>
      </c>
      <c r="I291" s="3">
        <v>1134.693334</v>
      </c>
      <c r="J291" s="3">
        <v>1149.6984040000002</v>
      </c>
      <c r="K291" s="3">
        <v>1168.7298800000001</v>
      </c>
      <c r="L291" s="3">
        <v>1177.543038</v>
      </c>
      <c r="M291" s="3">
        <v>1161.5920800000001</v>
      </c>
      <c r="N291" s="3">
        <v>1174.714346</v>
      </c>
      <c r="O291" s="3">
        <v>1242.5486689999998</v>
      </c>
      <c r="P291" s="3">
        <v>1332.6124689999999</v>
      </c>
      <c r="Q291" s="3">
        <v>1374.2722289999999</v>
      </c>
      <c r="R291" s="3">
        <v>1415.8272220000001</v>
      </c>
      <c r="S291" s="3">
        <v>1392.049356</v>
      </c>
      <c r="T291" s="3">
        <v>1359.5595040000001</v>
      </c>
      <c r="U291" s="3">
        <v>1357.632515</v>
      </c>
      <c r="V291" s="3">
        <v>1396.0000000000002</v>
      </c>
      <c r="W291" s="3">
        <v>1615.677594</v>
      </c>
      <c r="X291" s="3">
        <v>1751.1730809999997</v>
      </c>
      <c r="Y291" s="3">
        <v>1765.814889</v>
      </c>
      <c r="Z291" s="3">
        <v>1757.4107579999998</v>
      </c>
      <c r="AA291" s="3">
        <v>1746.710092</v>
      </c>
      <c r="AB291" s="3">
        <v>1648.3865019999998</v>
      </c>
      <c r="AC291" s="3">
        <v>1520.6355150000002</v>
      </c>
      <c r="AD291" s="2">
        <v>1751.3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v>1412.0903740000001</v>
      </c>
      <c r="G292" s="3">
        <v>1278.7000000000003</v>
      </c>
      <c r="H292" s="3">
        <v>1219.836888</v>
      </c>
      <c r="I292" s="3">
        <v>1213.0982710000001</v>
      </c>
      <c r="J292" s="3">
        <v>1216.06863</v>
      </c>
      <c r="K292" s="3">
        <v>1230.28367</v>
      </c>
      <c r="L292" s="3">
        <v>1307.9950099999999</v>
      </c>
      <c r="M292" s="3">
        <v>1384.3615840000002</v>
      </c>
      <c r="N292" s="3">
        <v>1552.6000000000004</v>
      </c>
      <c r="O292" s="3">
        <v>1644.7738200000001</v>
      </c>
      <c r="P292" s="3">
        <v>1715.079696</v>
      </c>
      <c r="Q292" s="3">
        <v>1761.8000000000002</v>
      </c>
      <c r="R292" s="3">
        <v>1680.0791100000001</v>
      </c>
      <c r="S292" s="3">
        <v>1688.944886</v>
      </c>
      <c r="T292" s="3">
        <v>1587.82467</v>
      </c>
      <c r="U292" s="3">
        <v>1577.4571800000001</v>
      </c>
      <c r="V292" s="3">
        <v>1678.9716410000001</v>
      </c>
      <c r="W292" s="3">
        <v>1886.6999999999998</v>
      </c>
      <c r="X292" s="3">
        <v>1995.5657709999998</v>
      </c>
      <c r="Y292" s="3">
        <v>1961.3269359999999</v>
      </c>
      <c r="Z292" s="3">
        <v>1912.0085600000002</v>
      </c>
      <c r="AA292" s="3">
        <v>1857.9</v>
      </c>
      <c r="AB292" s="3">
        <v>1770.0426339999999</v>
      </c>
      <c r="AC292" s="3">
        <v>1613.7615089999999</v>
      </c>
      <c r="AD292" s="2">
        <v>1981.3999999999999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v>1449.3899920000001</v>
      </c>
      <c r="G293" s="3">
        <v>1342.2992610000001</v>
      </c>
      <c r="H293" s="3">
        <v>1296.14697</v>
      </c>
      <c r="I293" s="3">
        <v>1274.464479</v>
      </c>
      <c r="J293" s="3">
        <v>1259.82446</v>
      </c>
      <c r="K293" s="3">
        <v>1268.5222260000003</v>
      </c>
      <c r="L293" s="3">
        <v>1331.7867919999999</v>
      </c>
      <c r="M293" s="3">
        <v>1426.4125339999996</v>
      </c>
      <c r="N293" s="3">
        <v>1506.86825</v>
      </c>
      <c r="O293" s="3">
        <v>1643.9079900000002</v>
      </c>
      <c r="P293" s="3">
        <v>1711.8891339999998</v>
      </c>
      <c r="Q293" s="3">
        <v>1749.1911799999998</v>
      </c>
      <c r="R293" s="3">
        <v>1717.8271440000003</v>
      </c>
      <c r="S293" s="3">
        <v>1675.4873720000001</v>
      </c>
      <c r="T293" s="3">
        <v>1637.4787839999999</v>
      </c>
      <c r="U293" s="3">
        <v>1630.640259</v>
      </c>
      <c r="V293" s="3">
        <v>1656.3999999999996</v>
      </c>
      <c r="W293" s="3">
        <v>1872.2703259999998</v>
      </c>
      <c r="X293" s="3">
        <v>1989.3339550000003</v>
      </c>
      <c r="Y293" s="3">
        <v>1962.6634679999997</v>
      </c>
      <c r="Z293" s="3">
        <v>1907.8101919999999</v>
      </c>
      <c r="AA293" s="3">
        <v>1864.5272639999998</v>
      </c>
      <c r="AB293" s="3">
        <v>1785.6737890000002</v>
      </c>
      <c r="AC293" s="3">
        <v>1625.3741399999999</v>
      </c>
      <c r="AD293" s="2">
        <v>2011.8000000000002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v>1450.3170749999999</v>
      </c>
      <c r="G294" s="3">
        <v>1336.3087949999999</v>
      </c>
      <c r="H294" s="3">
        <v>1297.3510920000001</v>
      </c>
      <c r="I294" s="3">
        <v>1282.168406</v>
      </c>
      <c r="J294" s="3">
        <v>1286.756864</v>
      </c>
      <c r="K294" s="3">
        <v>1295.2496640000002</v>
      </c>
      <c r="L294" s="3">
        <v>1339.885824</v>
      </c>
      <c r="M294" s="3">
        <v>1431.5080459999999</v>
      </c>
      <c r="N294" s="3">
        <v>1532.4020540000001</v>
      </c>
      <c r="O294" s="3">
        <v>1642.889868</v>
      </c>
      <c r="P294" s="3">
        <v>1725.8061260000002</v>
      </c>
      <c r="Q294" s="3">
        <v>1751.9805240000001</v>
      </c>
      <c r="R294" s="3">
        <v>1749.8622719999998</v>
      </c>
      <c r="S294" s="3">
        <v>1723.0933159999997</v>
      </c>
      <c r="T294" s="3">
        <v>1677.0282060000002</v>
      </c>
      <c r="U294" s="3">
        <v>1676.3561060000002</v>
      </c>
      <c r="V294" s="3">
        <v>1692.5401940000002</v>
      </c>
      <c r="W294" s="3">
        <v>1904.286544</v>
      </c>
      <c r="X294" s="3">
        <v>1995.194559</v>
      </c>
      <c r="Y294" s="3">
        <v>1948.7093409999998</v>
      </c>
      <c r="Z294" s="3">
        <v>1890.1202389999999</v>
      </c>
      <c r="AA294" s="3">
        <v>1818.7135099999998</v>
      </c>
      <c r="AB294" s="3">
        <v>1735.6920559999999</v>
      </c>
      <c r="AC294" s="3">
        <v>1612.4024450000002</v>
      </c>
      <c r="AD294" s="2">
        <v>2007.3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v>1453.9428540000001</v>
      </c>
      <c r="G295" s="3">
        <v>1345.3892879999999</v>
      </c>
      <c r="H295" s="3">
        <v>1299.3774839999999</v>
      </c>
      <c r="I295" s="3">
        <v>1275.20029</v>
      </c>
      <c r="J295" s="3">
        <v>1267.3610619999999</v>
      </c>
      <c r="K295" s="3">
        <v>1278.2646830000001</v>
      </c>
      <c r="L295" s="3">
        <v>1335.3123649999998</v>
      </c>
      <c r="M295" s="3">
        <v>1426.9677300000001</v>
      </c>
      <c r="N295" s="3">
        <v>1508.9695760000002</v>
      </c>
      <c r="O295" s="3">
        <v>1614.360132</v>
      </c>
      <c r="P295" s="3">
        <v>1680.9150759999998</v>
      </c>
      <c r="Q295" s="3">
        <v>1734.8000000000002</v>
      </c>
      <c r="R295" s="3">
        <v>1702.4167310000003</v>
      </c>
      <c r="S295" s="3">
        <v>1672.8323369999998</v>
      </c>
      <c r="T295" s="3">
        <v>1618.7618149999998</v>
      </c>
      <c r="U295" s="3">
        <v>1630.5000000000002</v>
      </c>
      <c r="V295" s="3">
        <v>1674.9325919999999</v>
      </c>
      <c r="W295" s="3">
        <v>1871.5663480000001</v>
      </c>
      <c r="X295" s="3">
        <v>1986.878588</v>
      </c>
      <c r="Y295" s="3">
        <v>1959.8844369999999</v>
      </c>
      <c r="Z295" s="3">
        <v>1899.4303799999998</v>
      </c>
      <c r="AA295" s="3">
        <v>1851.1999999999998</v>
      </c>
      <c r="AB295" s="3">
        <v>1767.147377</v>
      </c>
      <c r="AC295" s="3">
        <v>1614.0225079999998</v>
      </c>
      <c r="AD295" s="2">
        <v>1989.9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v>1456.8984600000001</v>
      </c>
      <c r="G296" s="3">
        <v>1344.0000000000002</v>
      </c>
      <c r="H296" s="3">
        <v>1275.6672680000001</v>
      </c>
      <c r="I296" s="3">
        <v>1243.2006220000001</v>
      </c>
      <c r="J296" s="3">
        <v>1236.1999999999998</v>
      </c>
      <c r="K296" s="3">
        <v>1243.0507189999998</v>
      </c>
      <c r="L296" s="3">
        <v>1287.2000000000003</v>
      </c>
      <c r="M296" s="3">
        <v>1391.749012</v>
      </c>
      <c r="N296" s="3">
        <v>1462.2210239999999</v>
      </c>
      <c r="O296" s="3">
        <v>1558.7</v>
      </c>
      <c r="P296" s="3">
        <v>1637.550663</v>
      </c>
      <c r="Q296" s="3">
        <v>1667.0663060000002</v>
      </c>
      <c r="R296" s="3">
        <v>1634.045325</v>
      </c>
      <c r="S296" s="3">
        <v>1571.982929</v>
      </c>
      <c r="T296" s="3">
        <v>1562.587111</v>
      </c>
      <c r="U296" s="3">
        <v>1571.6172240000001</v>
      </c>
      <c r="V296" s="3">
        <v>1647.7000000000003</v>
      </c>
      <c r="W296" s="3">
        <v>1832.2498240000002</v>
      </c>
      <c r="X296" s="3">
        <v>1914.0269899999998</v>
      </c>
      <c r="Y296" s="3">
        <v>1882.0876880000001</v>
      </c>
      <c r="Z296" s="3">
        <v>1835.3274200000001</v>
      </c>
      <c r="AA296" s="3">
        <v>1788.541866</v>
      </c>
      <c r="AB296" s="3">
        <v>1721.418216</v>
      </c>
      <c r="AC296" s="3">
        <v>1581.4554540000001</v>
      </c>
      <c r="AD296" s="2">
        <v>1934.3999999999999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v>1429.5554510000002</v>
      </c>
      <c r="G297" s="3">
        <v>1317.157238</v>
      </c>
      <c r="H297" s="3">
        <v>1280.031849</v>
      </c>
      <c r="I297" s="3">
        <v>1262.9743120000001</v>
      </c>
      <c r="J297" s="3">
        <v>1254.0000000000002</v>
      </c>
      <c r="K297" s="3">
        <v>1274.2546519999999</v>
      </c>
      <c r="L297" s="3">
        <v>1311.9574239999999</v>
      </c>
      <c r="M297" s="3">
        <v>1354.193293</v>
      </c>
      <c r="N297" s="3">
        <v>1444.1470869999998</v>
      </c>
      <c r="O297" s="3">
        <v>1571.132918</v>
      </c>
      <c r="P297" s="3">
        <v>1649.542537</v>
      </c>
      <c r="Q297" s="3">
        <v>1700.8000000000002</v>
      </c>
      <c r="R297" s="3">
        <v>1694.057843</v>
      </c>
      <c r="S297" s="3">
        <v>1620.4</v>
      </c>
      <c r="T297" s="3">
        <v>1541.2834950000001</v>
      </c>
      <c r="U297" s="3">
        <v>1534.8006539999999</v>
      </c>
      <c r="V297" s="3">
        <v>1548.27954</v>
      </c>
      <c r="W297" s="3">
        <v>1734.0995380000002</v>
      </c>
      <c r="X297" s="3">
        <v>1869.7597560000002</v>
      </c>
      <c r="Y297" s="3">
        <v>1833.6971899999996</v>
      </c>
      <c r="Z297" s="3">
        <v>1772.9918950000001</v>
      </c>
      <c r="AA297" s="3">
        <v>1724.6000000000001</v>
      </c>
      <c r="AB297" s="3">
        <v>1638.9364</v>
      </c>
      <c r="AC297" s="3">
        <v>1536.2035980000001</v>
      </c>
      <c r="AD297" s="2">
        <v>1863.0999999999997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v>1392.6483360000002</v>
      </c>
      <c r="G298" s="3">
        <v>1279.2</v>
      </c>
      <c r="H298" s="3">
        <v>1201.87168</v>
      </c>
      <c r="I298" s="3">
        <v>1164.424066</v>
      </c>
      <c r="J298" s="3">
        <v>1152.1782499999999</v>
      </c>
      <c r="K298" s="3">
        <v>1160.1062369999997</v>
      </c>
      <c r="L298" s="3">
        <v>1163.749945</v>
      </c>
      <c r="M298" s="3">
        <v>1129.2496560000002</v>
      </c>
      <c r="N298" s="3">
        <v>1116.2144690000002</v>
      </c>
      <c r="O298" s="3">
        <v>1193.8486639999999</v>
      </c>
      <c r="P298" s="3">
        <v>1287.3147039999999</v>
      </c>
      <c r="Q298" s="3">
        <v>1341.99018</v>
      </c>
      <c r="R298" s="3">
        <v>1333.6149150000001</v>
      </c>
      <c r="S298" s="3">
        <v>1296.7</v>
      </c>
      <c r="T298" s="3">
        <v>1279.8611479999997</v>
      </c>
      <c r="U298" s="3">
        <v>1258.3</v>
      </c>
      <c r="V298" s="3">
        <v>1283.670752</v>
      </c>
      <c r="W298" s="3">
        <v>1483.2274009999999</v>
      </c>
      <c r="X298" s="3">
        <v>1676.7279510000001</v>
      </c>
      <c r="Y298" s="3">
        <v>1671.3</v>
      </c>
      <c r="Z298" s="3">
        <v>1641.0526179999999</v>
      </c>
      <c r="AA298" s="3">
        <v>1609.739276</v>
      </c>
      <c r="AB298" s="3">
        <v>1556</v>
      </c>
      <c r="AC298" s="3">
        <v>1456.2749879999999</v>
      </c>
      <c r="AD298" s="2">
        <v>1671.1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v>1315.4498760000001</v>
      </c>
      <c r="G299" s="3">
        <v>1195.0963079999999</v>
      </c>
      <c r="H299" s="3">
        <v>1147.7955179999999</v>
      </c>
      <c r="I299" s="3">
        <v>1131.4207630000001</v>
      </c>
      <c r="J299" s="3">
        <v>1141.2926859999998</v>
      </c>
      <c r="K299" s="3">
        <v>1131.865176</v>
      </c>
      <c r="L299" s="3">
        <v>1124.8401280000003</v>
      </c>
      <c r="M299" s="3">
        <v>1132.3930280000002</v>
      </c>
      <c r="N299" s="3">
        <v>1165.5647650000001</v>
      </c>
      <c r="O299" s="3">
        <v>1273.2337360000001</v>
      </c>
      <c r="P299" s="3">
        <v>1354.7656240000001</v>
      </c>
      <c r="Q299" s="3">
        <v>1414.5623869999999</v>
      </c>
      <c r="R299" s="3">
        <v>1436.6456739999999</v>
      </c>
      <c r="S299" s="3">
        <v>1391.7</v>
      </c>
      <c r="T299" s="3">
        <v>1351.3881159999996</v>
      </c>
      <c r="U299" s="3">
        <v>1351.8999999999999</v>
      </c>
      <c r="V299" s="3">
        <v>1379.57988</v>
      </c>
      <c r="W299" s="3">
        <v>1582.4224259999999</v>
      </c>
      <c r="X299" s="3">
        <v>1765.0476830000002</v>
      </c>
      <c r="Y299" s="3">
        <v>1759.4567100000002</v>
      </c>
      <c r="Z299" s="3">
        <v>1723.5049500000002</v>
      </c>
      <c r="AA299" s="3">
        <v>1679.3272880000002</v>
      </c>
      <c r="AB299" s="3">
        <v>1625.6172719999997</v>
      </c>
      <c r="AC299" s="3">
        <v>1501.8538980000001</v>
      </c>
      <c r="AD299" s="2">
        <v>1768.4999999999998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v>1357.907064</v>
      </c>
      <c r="G300" s="3">
        <v>1261.61529</v>
      </c>
      <c r="H300" s="3">
        <v>1205.1291869999998</v>
      </c>
      <c r="I300" s="3">
        <v>1174.4384479999999</v>
      </c>
      <c r="J300" s="3">
        <v>1171.644736</v>
      </c>
      <c r="K300" s="3">
        <v>1188.0999999999999</v>
      </c>
      <c r="L300" s="3">
        <v>1237.5879539999999</v>
      </c>
      <c r="M300" s="3">
        <v>1327.455402</v>
      </c>
      <c r="N300" s="3">
        <v>1421.9891239999999</v>
      </c>
      <c r="O300" s="3">
        <v>1549.1616799999997</v>
      </c>
      <c r="P300" s="3">
        <v>1631.5698420000001</v>
      </c>
      <c r="Q300" s="3">
        <v>1685.441276</v>
      </c>
      <c r="R300" s="3">
        <v>1662.4992519999998</v>
      </c>
      <c r="S300" s="3">
        <v>1619.32671</v>
      </c>
      <c r="T300" s="3">
        <v>1577.1</v>
      </c>
      <c r="U300" s="3">
        <v>1570.393806</v>
      </c>
      <c r="V300" s="3">
        <v>1577.8999999999999</v>
      </c>
      <c r="W300" s="3">
        <v>1740.8000000000002</v>
      </c>
      <c r="X300" s="3">
        <v>1908.770203</v>
      </c>
      <c r="Y300" s="3">
        <v>1887.1648560000001</v>
      </c>
      <c r="Z300" s="3">
        <v>1837.00586</v>
      </c>
      <c r="AA300" s="3">
        <v>1782.1798580000004</v>
      </c>
      <c r="AB300" s="3">
        <v>1712.7407069999999</v>
      </c>
      <c r="AC300" s="3">
        <v>1581.3231480000002</v>
      </c>
      <c r="AD300" s="2">
        <v>1921.8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v>1411.6348850000002</v>
      </c>
      <c r="G301" s="3">
        <v>1299.719975</v>
      </c>
      <c r="H301" s="3">
        <v>1266.6641159999999</v>
      </c>
      <c r="I301" s="3">
        <v>1236.4578079999999</v>
      </c>
      <c r="J301" s="3">
        <v>1232.340616</v>
      </c>
      <c r="K301" s="3">
        <v>1241.21453</v>
      </c>
      <c r="L301" s="3">
        <v>1291.5</v>
      </c>
      <c r="M301" s="3">
        <v>1372.9874279999999</v>
      </c>
      <c r="N301" s="3">
        <v>1455.5876459999999</v>
      </c>
      <c r="O301" s="3">
        <v>1573.3154389999997</v>
      </c>
      <c r="P301" s="3">
        <v>1654.1427409999999</v>
      </c>
      <c r="Q301" s="3">
        <v>1672.00053</v>
      </c>
      <c r="R301" s="3">
        <v>1651.3172750000001</v>
      </c>
      <c r="S301" s="3">
        <v>1608.0671700000003</v>
      </c>
      <c r="T301" s="3">
        <v>1553.904321</v>
      </c>
      <c r="U301" s="3">
        <v>1555.3050860000001</v>
      </c>
      <c r="V301" s="3">
        <v>1566.9100329999997</v>
      </c>
      <c r="W301" s="3">
        <v>1737.7972429999995</v>
      </c>
      <c r="X301" s="3">
        <v>1933.899678</v>
      </c>
      <c r="Y301" s="3">
        <v>1912.0229339999999</v>
      </c>
      <c r="Z301" s="3">
        <v>1849.8551280000001</v>
      </c>
      <c r="AA301" s="3">
        <v>1793.6267719999998</v>
      </c>
      <c r="AB301" s="3">
        <v>1734.5032160000001</v>
      </c>
      <c r="AC301" s="3">
        <v>1592.2757889999998</v>
      </c>
      <c r="AD301" s="2">
        <v>1944.8999999999999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v>1432.0141660000002</v>
      </c>
      <c r="G302" s="3">
        <v>1341.6036460000003</v>
      </c>
      <c r="H302" s="3">
        <v>1276.827632</v>
      </c>
      <c r="I302" s="3">
        <v>1259.6262999999999</v>
      </c>
      <c r="J302" s="3">
        <v>1249</v>
      </c>
      <c r="K302" s="3">
        <v>1257.4524940000001</v>
      </c>
      <c r="L302" s="3">
        <v>1295.1278709999999</v>
      </c>
      <c r="M302" s="3">
        <v>1368.309512</v>
      </c>
      <c r="N302" s="3">
        <v>1494.5000000000002</v>
      </c>
      <c r="O302" s="3">
        <v>1591.4237009999999</v>
      </c>
      <c r="P302" s="3">
        <v>1678.9</v>
      </c>
      <c r="Q302" s="3">
        <v>1720.8234179999999</v>
      </c>
      <c r="R302" s="3">
        <v>1713.5860230000003</v>
      </c>
      <c r="S302" s="3">
        <v>1667.5230859999999</v>
      </c>
      <c r="T302" s="3">
        <v>1613.4</v>
      </c>
      <c r="U302" s="3">
        <v>1612.8558279999997</v>
      </c>
      <c r="V302" s="3">
        <v>1615.9891170000001</v>
      </c>
      <c r="W302" s="3">
        <v>1769.7599100000002</v>
      </c>
      <c r="X302" s="3">
        <v>1938.3930909999999</v>
      </c>
      <c r="Y302" s="3">
        <v>1918.925068</v>
      </c>
      <c r="Z302" s="3">
        <v>1861.5758719999999</v>
      </c>
      <c r="AA302" s="3">
        <v>1811.735952</v>
      </c>
      <c r="AB302" s="3">
        <v>1742.5</v>
      </c>
      <c r="AC302" s="3">
        <v>1602.0276279999998</v>
      </c>
      <c r="AD302" s="2">
        <v>1918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v>1435.6565219999998</v>
      </c>
      <c r="G303" s="3">
        <v>1334.2227189999996</v>
      </c>
      <c r="H303" s="3">
        <v>1276.0136010000001</v>
      </c>
      <c r="I303" s="3">
        <v>1234.8396930000004</v>
      </c>
      <c r="J303" s="3">
        <v>1236.9000000000001</v>
      </c>
      <c r="K303" s="3">
        <v>1250.3</v>
      </c>
      <c r="L303" s="3">
        <v>1300.8490100000001</v>
      </c>
      <c r="M303" s="3">
        <v>1370.1102259999998</v>
      </c>
      <c r="N303" s="3">
        <v>1452.5049079999999</v>
      </c>
      <c r="O303" s="3">
        <v>1569.9356069999999</v>
      </c>
      <c r="P303" s="3">
        <v>1639.0006800000001</v>
      </c>
      <c r="Q303" s="3">
        <v>1664.7225760000001</v>
      </c>
      <c r="R303" s="3">
        <v>1652.7312830000001</v>
      </c>
      <c r="S303" s="3">
        <v>1634.4450190000002</v>
      </c>
      <c r="T303" s="3">
        <v>1568.8598030000003</v>
      </c>
      <c r="U303" s="3">
        <v>1562.5814640000001</v>
      </c>
      <c r="V303" s="3">
        <v>1581.0820110000002</v>
      </c>
      <c r="W303" s="3">
        <v>1733.6000000000001</v>
      </c>
      <c r="X303" s="3">
        <v>1917.0253740000001</v>
      </c>
      <c r="Y303" s="3">
        <v>1900.9524550000003</v>
      </c>
      <c r="Z303" s="3">
        <v>1854.5834199999997</v>
      </c>
      <c r="AA303" s="3">
        <v>1797.241356</v>
      </c>
      <c r="AB303" s="3">
        <v>1717.4341280000003</v>
      </c>
      <c r="AC303" s="3">
        <v>1583.6394539999999</v>
      </c>
      <c r="AD303" s="2">
        <v>1911.2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v>1334.1278439999999</v>
      </c>
      <c r="G304" s="3">
        <v>1304.9000000000001</v>
      </c>
      <c r="H304" s="3">
        <v>1253.329115</v>
      </c>
      <c r="I304" s="3">
        <v>1230.2712819999999</v>
      </c>
      <c r="J304" s="3">
        <v>1224.6387239999999</v>
      </c>
      <c r="K304" s="3">
        <v>1235.5732559999999</v>
      </c>
      <c r="L304" s="3">
        <v>1271.0731839999999</v>
      </c>
      <c r="M304" s="3">
        <v>1327.9069609999999</v>
      </c>
      <c r="N304" s="3">
        <v>1429.1000000000001</v>
      </c>
      <c r="O304" s="3">
        <v>1566.5129909999998</v>
      </c>
      <c r="P304" s="3">
        <v>1663.287842</v>
      </c>
      <c r="Q304" s="3">
        <v>1714.5166319999998</v>
      </c>
      <c r="R304" s="3">
        <v>1712.2207119999998</v>
      </c>
      <c r="S304" s="3">
        <v>1640.6478919999997</v>
      </c>
      <c r="T304" s="3">
        <v>1583</v>
      </c>
      <c r="U304" s="3">
        <v>1572.562696</v>
      </c>
      <c r="V304" s="3">
        <v>1581.2</v>
      </c>
      <c r="W304" s="3">
        <v>1720.7064799999998</v>
      </c>
      <c r="X304" s="3">
        <v>1894.2524550000001</v>
      </c>
      <c r="Y304" s="3">
        <v>1871.9590420000002</v>
      </c>
      <c r="Z304" s="3">
        <v>1798.9320250000001</v>
      </c>
      <c r="AA304" s="3">
        <v>1738.8977590000002</v>
      </c>
      <c r="AB304" s="3">
        <v>1670.4550549999999</v>
      </c>
      <c r="AC304" s="3">
        <v>1559.8373400000003</v>
      </c>
      <c r="AD304" s="2">
        <v>1907.7999999999997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v>1372.2362479999999</v>
      </c>
      <c r="G305" s="3">
        <v>1298.807225</v>
      </c>
      <c r="H305" s="3">
        <v>1207.373664</v>
      </c>
      <c r="I305" s="3">
        <v>1202.0276060000001</v>
      </c>
      <c r="J305" s="3">
        <v>1196.3748420000002</v>
      </c>
      <c r="K305" s="3">
        <v>1172.1228780000001</v>
      </c>
      <c r="L305" s="3">
        <v>1199.845298</v>
      </c>
      <c r="M305" s="3">
        <v>1189.9301869999999</v>
      </c>
      <c r="N305" s="3">
        <v>1215.0645909999998</v>
      </c>
      <c r="O305" s="3">
        <v>1297.753336</v>
      </c>
      <c r="P305" s="3">
        <v>1387.3</v>
      </c>
      <c r="Q305" s="3">
        <v>1431.0614570000002</v>
      </c>
      <c r="R305" s="3">
        <v>1425.6000000000001</v>
      </c>
      <c r="S305" s="3">
        <v>1385.9784520000003</v>
      </c>
      <c r="T305" s="3">
        <v>1353.3097419999999</v>
      </c>
      <c r="U305" s="3">
        <v>1332.6082100000001</v>
      </c>
      <c r="V305" s="3">
        <v>1353.6939559999998</v>
      </c>
      <c r="W305" s="3">
        <v>1518.089072</v>
      </c>
      <c r="X305" s="3">
        <v>1726.3057179999998</v>
      </c>
      <c r="Y305" s="3">
        <v>1749.6000000000001</v>
      </c>
      <c r="Z305" s="3">
        <v>1711.2208140000002</v>
      </c>
      <c r="AA305" s="3">
        <v>1687.0749050000002</v>
      </c>
      <c r="AB305" s="3">
        <v>1633.8943219999999</v>
      </c>
      <c r="AC305" s="3">
        <v>1521.617776</v>
      </c>
      <c r="AD305" s="2">
        <v>1736.8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v>1378.1</v>
      </c>
      <c r="G306" s="3">
        <v>1260.7574410000002</v>
      </c>
      <c r="H306" s="3">
        <v>1215.9925490000003</v>
      </c>
      <c r="I306" s="3">
        <v>1195.8475619999999</v>
      </c>
      <c r="J306" s="3">
        <v>1189.4404219999999</v>
      </c>
      <c r="K306" s="3">
        <v>1203.5547020000001</v>
      </c>
      <c r="L306" s="3">
        <v>1287.4000000000001</v>
      </c>
      <c r="M306" s="3">
        <v>1390.9747289999998</v>
      </c>
      <c r="N306" s="3">
        <v>1490.2756589999999</v>
      </c>
      <c r="O306" s="3">
        <v>1606.9</v>
      </c>
      <c r="P306" s="3">
        <v>1692.2999999999997</v>
      </c>
      <c r="Q306" s="3">
        <v>1727.4023999999999</v>
      </c>
      <c r="R306" s="3">
        <v>1698.35157</v>
      </c>
      <c r="S306" s="3">
        <v>1666.734479</v>
      </c>
      <c r="T306" s="3">
        <v>1614.12057</v>
      </c>
      <c r="U306" s="3">
        <v>1608.2710659999998</v>
      </c>
      <c r="V306" s="3">
        <v>1632.950595</v>
      </c>
      <c r="W306" s="3">
        <v>1778.9999999999998</v>
      </c>
      <c r="X306" s="3">
        <v>1961.084233</v>
      </c>
      <c r="Y306" s="3">
        <v>1939.3831459999999</v>
      </c>
      <c r="Z306" s="3">
        <v>1889</v>
      </c>
      <c r="AA306" s="3">
        <v>1821.7</v>
      </c>
      <c r="AB306" s="3">
        <v>1757.0490119999999</v>
      </c>
      <c r="AC306" s="3">
        <v>1629.36088</v>
      </c>
      <c r="AD306" s="2">
        <v>1897.9999999999998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v>1450.4</v>
      </c>
      <c r="G307" s="3">
        <v>1329.4925290000001</v>
      </c>
      <c r="H307" s="3">
        <v>1293.5000000000002</v>
      </c>
      <c r="I307" s="3">
        <v>1269.0103879999999</v>
      </c>
      <c r="J307" s="3">
        <v>1252.579416</v>
      </c>
      <c r="K307" s="3">
        <v>1266.2379240000002</v>
      </c>
      <c r="L307" s="3">
        <v>1315.01405</v>
      </c>
      <c r="M307" s="3">
        <v>1399.0406859999998</v>
      </c>
      <c r="N307" s="3">
        <v>1490.0235760000003</v>
      </c>
      <c r="O307" s="3">
        <v>1583.1671249999999</v>
      </c>
      <c r="P307" s="3">
        <v>1664.5286959999999</v>
      </c>
      <c r="Q307" s="3">
        <v>1716.2153059999998</v>
      </c>
      <c r="R307" s="3">
        <v>1709.2450959999999</v>
      </c>
      <c r="S307" s="3">
        <v>1679.941548</v>
      </c>
      <c r="T307" s="3">
        <v>1640.5515470000003</v>
      </c>
      <c r="U307" s="3">
        <v>1624.2682750000001</v>
      </c>
      <c r="V307" s="3">
        <v>1653.3588400000003</v>
      </c>
      <c r="W307" s="3">
        <v>1820.9289699999999</v>
      </c>
      <c r="X307" s="3">
        <v>1983.8715850000001</v>
      </c>
      <c r="Y307" s="3">
        <v>1950.4627970000001</v>
      </c>
      <c r="Z307" s="3">
        <v>1894.74863</v>
      </c>
      <c r="AA307" s="3">
        <v>1840.4752040000001</v>
      </c>
      <c r="AB307" s="3">
        <v>1779.4279460000002</v>
      </c>
      <c r="AC307" s="3">
        <v>1650.8428429999999</v>
      </c>
      <c r="AD307" s="2">
        <v>1978.8000000000002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v>1501.4999999999998</v>
      </c>
      <c r="G308" s="3">
        <v>1383.8121760000001</v>
      </c>
      <c r="H308" s="3">
        <v>1314.2691460000001</v>
      </c>
      <c r="I308" s="3">
        <v>1293.1742710000003</v>
      </c>
      <c r="J308" s="3">
        <v>1276.5335829999999</v>
      </c>
      <c r="K308" s="3">
        <v>1288.2717720000001</v>
      </c>
      <c r="L308" s="3">
        <v>1336.3000000000002</v>
      </c>
      <c r="M308" s="3">
        <v>1419.9526960000001</v>
      </c>
      <c r="N308" s="3">
        <v>1498.4583560000001</v>
      </c>
      <c r="O308" s="3">
        <v>1627.8048619999997</v>
      </c>
      <c r="P308" s="3">
        <v>1680.7731709999998</v>
      </c>
      <c r="Q308" s="3">
        <v>1707.2127019999996</v>
      </c>
      <c r="R308" s="3">
        <v>1688.886712</v>
      </c>
      <c r="S308" s="3">
        <v>1659.446688</v>
      </c>
      <c r="T308" s="3">
        <v>1615.9184279999997</v>
      </c>
      <c r="U308" s="3">
        <v>1613.6203659999999</v>
      </c>
      <c r="V308" s="3">
        <v>1615.3999999999999</v>
      </c>
      <c r="W308" s="3">
        <v>1737.802034</v>
      </c>
      <c r="X308" s="3">
        <v>1948.3000000000002</v>
      </c>
      <c r="Y308" s="3">
        <v>1917.7099800000003</v>
      </c>
      <c r="Z308" s="3">
        <v>1871.7353650000005</v>
      </c>
      <c r="AA308" s="3">
        <v>1819.6558369999998</v>
      </c>
      <c r="AB308" s="3">
        <v>1739.589299</v>
      </c>
      <c r="AC308" s="3">
        <v>1611.0246500000001</v>
      </c>
      <c r="AD308" s="2">
        <v>1958.1999999999996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v>1446.1842680000002</v>
      </c>
      <c r="G309" s="3">
        <v>1341.4006870000001</v>
      </c>
      <c r="H309" s="3">
        <v>1291.6260860000002</v>
      </c>
      <c r="I309" s="3">
        <v>1273.4354699999999</v>
      </c>
      <c r="J309" s="3">
        <v>1264.5792020000001</v>
      </c>
      <c r="K309" s="3">
        <v>1271.725694</v>
      </c>
      <c r="L309" s="3">
        <v>1328.213616</v>
      </c>
      <c r="M309" s="3">
        <v>1412.0044239999997</v>
      </c>
      <c r="N309" s="3">
        <v>1492.9285070000001</v>
      </c>
      <c r="O309" s="3">
        <v>1602.1325240000001</v>
      </c>
      <c r="P309" s="3">
        <v>1661.362869</v>
      </c>
      <c r="Q309" s="3">
        <v>1677.3781640000002</v>
      </c>
      <c r="R309" s="3">
        <v>1660.30818</v>
      </c>
      <c r="S309" s="3">
        <v>1622.6268259999999</v>
      </c>
      <c r="T309" s="3">
        <v>1583.4000000000003</v>
      </c>
      <c r="U309" s="3">
        <v>1584.9493339999999</v>
      </c>
      <c r="V309" s="3">
        <v>1607.7</v>
      </c>
      <c r="W309" s="3">
        <v>1724.2914290000001</v>
      </c>
      <c r="X309" s="3">
        <v>1940.3</v>
      </c>
      <c r="Y309" s="3">
        <v>1909.8336279999996</v>
      </c>
      <c r="Z309" s="3">
        <v>1859.9701600000001</v>
      </c>
      <c r="AA309" s="3">
        <v>1812.8463440000003</v>
      </c>
      <c r="AB309" s="3">
        <v>1741.5818559999998</v>
      </c>
      <c r="AC309" s="3">
        <v>1606.9185100000004</v>
      </c>
      <c r="AD309" s="2">
        <v>1942.6999999999998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v>1420.2971450000002</v>
      </c>
      <c r="G310" s="3">
        <v>1308.9338120000002</v>
      </c>
      <c r="H310" s="3">
        <v>1264.3931600000001</v>
      </c>
      <c r="I310" s="3">
        <v>1240.640193</v>
      </c>
      <c r="J310" s="3">
        <v>1244.4466189999998</v>
      </c>
      <c r="K310" s="3">
        <v>1240.2</v>
      </c>
      <c r="L310" s="3">
        <v>1303.5999999999999</v>
      </c>
      <c r="M310" s="3">
        <v>1423.957746</v>
      </c>
      <c r="N310" s="3">
        <v>1497.220108</v>
      </c>
      <c r="O310" s="3">
        <v>1602.765946</v>
      </c>
      <c r="P310" s="3">
        <v>1669.7341020000001</v>
      </c>
      <c r="Q310" s="3">
        <v>1701.315711</v>
      </c>
      <c r="R310" s="3">
        <v>1674.0158839999999</v>
      </c>
      <c r="S310" s="3">
        <v>1634.9</v>
      </c>
      <c r="T310" s="3">
        <v>1608.935737</v>
      </c>
      <c r="U310" s="3">
        <v>1598.03279</v>
      </c>
      <c r="V310" s="3">
        <v>1605.2285260000001</v>
      </c>
      <c r="W310" s="3">
        <v>1718.873981</v>
      </c>
      <c r="X310" s="3">
        <v>1918.8047350000002</v>
      </c>
      <c r="Y310" s="3">
        <v>1903.112793</v>
      </c>
      <c r="Z310" s="3">
        <v>1856.4367119999997</v>
      </c>
      <c r="AA310" s="3">
        <v>1809.0808220000004</v>
      </c>
      <c r="AB310" s="3">
        <v>1744.1663549999998</v>
      </c>
      <c r="AC310" s="3">
        <v>1614.9953050000001</v>
      </c>
      <c r="AD310" s="2">
        <v>1933.2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v>1432.753768</v>
      </c>
      <c r="G311" s="3">
        <v>1302.0788440000001</v>
      </c>
      <c r="H311" s="3">
        <v>1261.9000000000001</v>
      </c>
      <c r="I311" s="3">
        <v>1230.2700580000001</v>
      </c>
      <c r="J311" s="3">
        <v>1218.336174</v>
      </c>
      <c r="K311" s="3">
        <v>1224.6782640000001</v>
      </c>
      <c r="L311" s="3">
        <v>1264.1000000000001</v>
      </c>
      <c r="M311" s="3">
        <v>1315.6722060000002</v>
      </c>
      <c r="N311" s="3">
        <v>1418.439347</v>
      </c>
      <c r="O311" s="3">
        <v>1527.3999999999999</v>
      </c>
      <c r="P311" s="3">
        <v>1611.1372669999998</v>
      </c>
      <c r="Q311" s="3">
        <v>1636.8439820000001</v>
      </c>
      <c r="R311" s="3">
        <v>1619.0305319999998</v>
      </c>
      <c r="S311" s="3">
        <v>1559.189304</v>
      </c>
      <c r="T311" s="3">
        <v>1498.7741079999998</v>
      </c>
      <c r="U311" s="3">
        <v>1491.5246260000001</v>
      </c>
      <c r="V311" s="3">
        <v>1498.9800959999998</v>
      </c>
      <c r="W311" s="3">
        <v>1606.4618860000005</v>
      </c>
      <c r="X311" s="3">
        <v>1811.836309</v>
      </c>
      <c r="Y311" s="3">
        <v>1797.7294199999999</v>
      </c>
      <c r="Z311" s="3">
        <v>1755.1518680000004</v>
      </c>
      <c r="AA311" s="3">
        <v>1714.5771459999996</v>
      </c>
      <c r="AB311" s="3">
        <v>1644.6344960000004</v>
      </c>
      <c r="AC311" s="3">
        <v>1538.9</v>
      </c>
      <c r="AD311" s="2">
        <v>1821.7000000000003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v>1397.6440520000001</v>
      </c>
      <c r="G312" s="3">
        <v>1286.0120960000002</v>
      </c>
      <c r="H312" s="3">
        <v>1202.9803959999999</v>
      </c>
      <c r="I312" s="3">
        <v>1174.1858579999998</v>
      </c>
      <c r="J312" s="3">
        <v>1163.5</v>
      </c>
      <c r="K312" s="3">
        <v>1156.4106020000002</v>
      </c>
      <c r="L312" s="3">
        <v>1167.4412749999999</v>
      </c>
      <c r="M312" s="3">
        <v>1146.69202</v>
      </c>
      <c r="N312" s="3">
        <v>1161.0075630000001</v>
      </c>
      <c r="O312" s="3">
        <v>1254.828595</v>
      </c>
      <c r="P312" s="3">
        <v>1367</v>
      </c>
      <c r="Q312" s="3">
        <v>1406.966263</v>
      </c>
      <c r="R312" s="3">
        <v>1398.8427259999996</v>
      </c>
      <c r="S312" s="3">
        <v>1368.7731220000001</v>
      </c>
      <c r="T312" s="3">
        <v>1339.201249</v>
      </c>
      <c r="U312" s="3">
        <v>1335.506042</v>
      </c>
      <c r="V312" s="3">
        <v>1365.8870199999999</v>
      </c>
      <c r="W312" s="3">
        <v>1514.3999999999999</v>
      </c>
      <c r="X312" s="3">
        <v>1725.4060240000001</v>
      </c>
      <c r="Y312" s="3">
        <v>1726.1067499999997</v>
      </c>
      <c r="Z312" s="3">
        <v>1699.1805949999998</v>
      </c>
      <c r="AA312" s="3">
        <v>1661.0454639999998</v>
      </c>
      <c r="AB312" s="3">
        <v>1617.2189379999998</v>
      </c>
      <c r="AC312" s="3">
        <v>1480.3138879999999</v>
      </c>
      <c r="AD312" s="2">
        <v>1739.9999999999998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v>1318.6120100000001</v>
      </c>
      <c r="G313" s="3">
        <v>1215.2917839999998</v>
      </c>
      <c r="H313" s="3">
        <v>1175.469472</v>
      </c>
      <c r="I313" s="3">
        <v>1151.9852520000002</v>
      </c>
      <c r="J313" s="3">
        <v>1159.2934569999998</v>
      </c>
      <c r="K313" s="3">
        <v>1172.5467760000001</v>
      </c>
      <c r="L313" s="3">
        <v>1252.5999999999997</v>
      </c>
      <c r="M313" s="3">
        <v>1345.8978830000003</v>
      </c>
      <c r="N313" s="3">
        <v>1463.2372949999999</v>
      </c>
      <c r="O313" s="3">
        <v>1585.8000000000002</v>
      </c>
      <c r="P313" s="3">
        <v>1647.652924</v>
      </c>
      <c r="Q313" s="3">
        <v>1682.3562080000002</v>
      </c>
      <c r="R313" s="3">
        <v>1661.3273759999997</v>
      </c>
      <c r="S313" s="3">
        <v>1623.4894399999998</v>
      </c>
      <c r="T313" s="3">
        <v>1588.2000000000003</v>
      </c>
      <c r="U313" s="3">
        <v>1576.0426669999999</v>
      </c>
      <c r="V313" s="3">
        <v>1596.583343</v>
      </c>
      <c r="W313" s="3">
        <v>1731.6850960000002</v>
      </c>
      <c r="X313" s="3">
        <v>1924.403495</v>
      </c>
      <c r="Y313" s="3">
        <v>1916.9</v>
      </c>
      <c r="Z313" s="3">
        <v>1877.5535339999999</v>
      </c>
      <c r="AA313" s="3">
        <v>1827.1558829999999</v>
      </c>
      <c r="AB313" s="3">
        <v>1774.0622660000001</v>
      </c>
      <c r="AC313" s="3">
        <v>1640.1015640000001</v>
      </c>
      <c r="AD313" s="2">
        <v>1924.7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v>1452.6828399999999</v>
      </c>
      <c r="G314" s="3">
        <v>1323.425244</v>
      </c>
      <c r="H314" s="3">
        <v>1274.2353170000001</v>
      </c>
      <c r="I314" s="3">
        <v>1256.1095780000003</v>
      </c>
      <c r="J314" s="3">
        <v>1246.14212</v>
      </c>
      <c r="K314" s="3">
        <v>1256.8690999999999</v>
      </c>
      <c r="L314" s="3">
        <v>1321.8000000000002</v>
      </c>
      <c r="M314" s="3">
        <v>1406.4987889999998</v>
      </c>
      <c r="N314" s="3">
        <v>1524.7105340000003</v>
      </c>
      <c r="O314" s="3">
        <v>1648.2250099999999</v>
      </c>
      <c r="P314" s="3">
        <v>1716.7144900000001</v>
      </c>
      <c r="Q314" s="3">
        <v>1752.2436600000001</v>
      </c>
      <c r="R314" s="3">
        <v>1764.1320799999999</v>
      </c>
      <c r="S314" s="3">
        <v>1732.0996040000002</v>
      </c>
      <c r="T314" s="3">
        <v>1716.5163259999999</v>
      </c>
      <c r="U314" s="3">
        <v>1720.48398</v>
      </c>
      <c r="V314" s="3">
        <v>1720.3932139999999</v>
      </c>
      <c r="W314" s="3">
        <v>1814.0797580000001</v>
      </c>
      <c r="X314" s="3">
        <v>1966.6699020000001</v>
      </c>
      <c r="Y314" s="3">
        <v>1948.6392700000001</v>
      </c>
      <c r="Z314" s="3">
        <v>1903.1366959999998</v>
      </c>
      <c r="AA314" s="3">
        <v>1841.2452290000001</v>
      </c>
      <c r="AB314" s="3">
        <v>1777.0570639999999</v>
      </c>
      <c r="AC314" s="3">
        <v>1640.734105</v>
      </c>
      <c r="AD314" s="2">
        <v>1975.7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v>1457.5820360000002</v>
      </c>
      <c r="G315" s="3">
        <v>1344.994567</v>
      </c>
      <c r="H315" s="3">
        <v>1291.1999999999998</v>
      </c>
      <c r="I315" s="3">
        <v>1264.7786920000001</v>
      </c>
      <c r="J315" s="3">
        <v>1266.9608070000002</v>
      </c>
      <c r="K315" s="3">
        <v>1267.8381729999999</v>
      </c>
      <c r="L315" s="3">
        <v>1322.610531</v>
      </c>
      <c r="M315" s="3">
        <v>1414.1999999999998</v>
      </c>
      <c r="N315" s="3">
        <v>1517.1999999999998</v>
      </c>
      <c r="O315" s="3">
        <v>1634.504046</v>
      </c>
      <c r="P315" s="3">
        <v>1712.8999999999999</v>
      </c>
      <c r="Q315" s="3">
        <v>1754.6997990000002</v>
      </c>
      <c r="R315" s="3">
        <v>1739.519395</v>
      </c>
      <c r="S315" s="3">
        <v>1721.5999999999997</v>
      </c>
      <c r="T315" s="3">
        <v>1677.4297360000003</v>
      </c>
      <c r="U315" s="3">
        <v>1674.764776</v>
      </c>
      <c r="V315" s="3">
        <v>1716.6876040000002</v>
      </c>
      <c r="W315" s="3">
        <v>1836.3485999999998</v>
      </c>
      <c r="X315" s="3">
        <v>1968.6144920000002</v>
      </c>
      <c r="Y315" s="3">
        <v>1940.1736519999999</v>
      </c>
      <c r="Z315" s="3">
        <v>1879.9511879999998</v>
      </c>
      <c r="AA315" s="3">
        <v>1831.0020860000002</v>
      </c>
      <c r="AB315" s="3">
        <v>1774.5378909999997</v>
      </c>
      <c r="AC315" s="3">
        <v>1659.0769140000002</v>
      </c>
      <c r="AD315" s="2">
        <v>1993.1000000000004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v>1477.2494999999999</v>
      </c>
      <c r="G316" s="3">
        <v>1356.6000000000001</v>
      </c>
      <c r="H316" s="3">
        <v>1297.907735</v>
      </c>
      <c r="I316" s="3">
        <v>1281.0314920000003</v>
      </c>
      <c r="J316" s="3">
        <v>1272.2258980000001</v>
      </c>
      <c r="K316" s="3">
        <v>1278.2320180000002</v>
      </c>
      <c r="L316" s="3">
        <v>1299.0649470000001</v>
      </c>
      <c r="M316" s="3">
        <v>1288.4551300000001</v>
      </c>
      <c r="N316" s="3">
        <v>1350.3961999999999</v>
      </c>
      <c r="O316" s="3">
        <v>1479.203874</v>
      </c>
      <c r="P316" s="3">
        <v>1596.3101039999999</v>
      </c>
      <c r="Q316" s="3">
        <v>1671.0324389999998</v>
      </c>
      <c r="R316" s="3">
        <v>1663.2401600000003</v>
      </c>
      <c r="S316" s="3">
        <v>1615.6374679999999</v>
      </c>
      <c r="T316" s="3">
        <v>1577.3000000000002</v>
      </c>
      <c r="U316" s="3">
        <v>1568.4945139999998</v>
      </c>
      <c r="V316" s="3">
        <v>1592</v>
      </c>
      <c r="W316" s="3">
        <v>1690.3</v>
      </c>
      <c r="X316" s="3">
        <v>1861.06214</v>
      </c>
      <c r="Y316" s="3">
        <v>1853.3820299999998</v>
      </c>
      <c r="Z316" s="3">
        <v>1819.0114700000001</v>
      </c>
      <c r="AA316" s="3">
        <v>1759.039628</v>
      </c>
      <c r="AB316" s="3">
        <v>1720.2063780000001</v>
      </c>
      <c r="AC316" s="3">
        <v>1574.121312</v>
      </c>
      <c r="AD316" s="2">
        <v>1847.2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v>1406.6664669999998</v>
      </c>
      <c r="G317" s="3">
        <v>1288.6270549999999</v>
      </c>
      <c r="H317" s="3">
        <v>1234.9000000000001</v>
      </c>
      <c r="I317" s="3">
        <v>1206.9692829999999</v>
      </c>
      <c r="J317" s="3">
        <v>1203.7113680000002</v>
      </c>
      <c r="K317" s="3">
        <v>1210.932247</v>
      </c>
      <c r="L317" s="3">
        <v>1275.9673699999998</v>
      </c>
      <c r="M317" s="3">
        <v>1371.3541749999999</v>
      </c>
      <c r="N317" s="3">
        <v>1474.063574</v>
      </c>
      <c r="O317" s="3">
        <v>1575.6798180000001</v>
      </c>
      <c r="P317" s="3">
        <v>1650.1228679999999</v>
      </c>
      <c r="Q317" s="3">
        <v>1702.5</v>
      </c>
      <c r="R317" s="3">
        <v>1698.9657</v>
      </c>
      <c r="S317" s="3">
        <v>1655.85546</v>
      </c>
      <c r="T317" s="3">
        <v>1611.2364</v>
      </c>
      <c r="U317" s="3">
        <v>1601.3621520000002</v>
      </c>
      <c r="V317" s="3">
        <v>1610.7626309999998</v>
      </c>
      <c r="W317" s="3">
        <v>1700.2627639999998</v>
      </c>
      <c r="X317" s="3">
        <v>1917.7059590000001</v>
      </c>
      <c r="Y317" s="3">
        <v>1901.1400619999999</v>
      </c>
      <c r="Z317" s="3">
        <v>1846.4566580000003</v>
      </c>
      <c r="AA317" s="3">
        <v>1800.2956630000001</v>
      </c>
      <c r="AB317" s="3">
        <v>1755.54009</v>
      </c>
      <c r="AC317" s="3">
        <v>1641.594458</v>
      </c>
      <c r="AD317" s="2">
        <v>1938.2000000000003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v>1473.8283719999999</v>
      </c>
      <c r="G318" s="3">
        <v>1345.8962759999997</v>
      </c>
      <c r="H318" s="3">
        <v>1272.8</v>
      </c>
      <c r="I318" s="3">
        <v>1244.550056</v>
      </c>
      <c r="J318" s="3">
        <v>1239.3000000000002</v>
      </c>
      <c r="K318" s="3">
        <v>1246.149995</v>
      </c>
      <c r="L318" s="3">
        <v>1287.9554359999997</v>
      </c>
      <c r="M318" s="3">
        <v>1349.3069629999998</v>
      </c>
      <c r="N318" s="3">
        <v>1461.8</v>
      </c>
      <c r="O318" s="3">
        <v>1597.1301269999997</v>
      </c>
      <c r="P318" s="3">
        <v>1687</v>
      </c>
      <c r="Q318" s="3">
        <v>1731.899394</v>
      </c>
      <c r="R318" s="3">
        <v>1731.798992</v>
      </c>
      <c r="S318" s="3">
        <v>1688.3483819999999</v>
      </c>
      <c r="T318" s="3">
        <v>1627.2091460000001</v>
      </c>
      <c r="U318" s="3">
        <v>1606.829076</v>
      </c>
      <c r="V318" s="3">
        <v>1636.3999999999999</v>
      </c>
      <c r="W318" s="3">
        <v>1748.8927099999999</v>
      </c>
      <c r="X318" s="3">
        <v>1899.529462</v>
      </c>
      <c r="Y318" s="3">
        <v>1873.9526460000002</v>
      </c>
      <c r="Z318" s="3">
        <v>1828.394548</v>
      </c>
      <c r="AA318" s="3">
        <v>1774.1857749999999</v>
      </c>
      <c r="AB318" s="3">
        <v>1715.0310200000001</v>
      </c>
      <c r="AC318" s="3">
        <v>1639.0856519999998</v>
      </c>
      <c r="AD318" s="2">
        <v>1929.6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v>1447.5355999999999</v>
      </c>
      <c r="G319" s="3">
        <v>1335.210325</v>
      </c>
      <c r="H319" s="3">
        <v>1319.3742460000001</v>
      </c>
      <c r="I319" s="3">
        <v>1254.7449050000002</v>
      </c>
      <c r="J319" s="3">
        <v>1256.94363</v>
      </c>
      <c r="K319" s="3">
        <v>1251.1046819999999</v>
      </c>
      <c r="L319" s="3">
        <v>1272.3706340000001</v>
      </c>
      <c r="M319" s="3">
        <v>1246.5</v>
      </c>
      <c r="N319" s="3">
        <v>1244.149893</v>
      </c>
      <c r="O319" s="3">
        <v>1289.3733529999997</v>
      </c>
      <c r="P319" s="3">
        <v>1377.3399459999998</v>
      </c>
      <c r="Q319" s="3">
        <v>1444.0830440000002</v>
      </c>
      <c r="R319" s="3">
        <v>1462.3392329999999</v>
      </c>
      <c r="S319" s="3">
        <v>1425.927312</v>
      </c>
      <c r="T319" s="3">
        <v>1389.5257169999998</v>
      </c>
      <c r="U319" s="3">
        <v>1366.7348089999998</v>
      </c>
      <c r="V319" s="3">
        <v>1386.6533340000001</v>
      </c>
      <c r="W319" s="3">
        <v>1494.0051299999998</v>
      </c>
      <c r="X319" s="3">
        <v>1752.3686440000004</v>
      </c>
      <c r="Y319" s="3">
        <v>1773.3797050000001</v>
      </c>
      <c r="Z319" s="3">
        <v>1754.7891400000001</v>
      </c>
      <c r="AA319" s="3">
        <v>1729.3966310000003</v>
      </c>
      <c r="AB319" s="3">
        <v>1657.5165949999996</v>
      </c>
      <c r="AC319" s="3">
        <v>1547.978024</v>
      </c>
      <c r="AD319" s="2">
        <v>1778.5000000000002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v>1380.8213559999999</v>
      </c>
      <c r="G320" s="3">
        <v>1278.7329710000001</v>
      </c>
      <c r="H320" s="3">
        <v>1223.740616</v>
      </c>
      <c r="I320" s="3">
        <v>1201.772547</v>
      </c>
      <c r="J320" s="3">
        <v>1193.5066650000001</v>
      </c>
      <c r="K320" s="3">
        <v>1222.1095929999999</v>
      </c>
      <c r="L320" s="3">
        <v>1284.2052179999998</v>
      </c>
      <c r="M320" s="3">
        <v>1373.0514210000001</v>
      </c>
      <c r="N320" s="3">
        <v>1496.4549900000002</v>
      </c>
      <c r="O320" s="3">
        <v>1637.8999999999999</v>
      </c>
      <c r="P320" s="3">
        <v>1705.5700059999999</v>
      </c>
      <c r="Q320" s="3">
        <v>1754.4771579999999</v>
      </c>
      <c r="R320" s="3">
        <v>1736.2852249999996</v>
      </c>
      <c r="S320" s="3">
        <v>1706.31413</v>
      </c>
      <c r="T320" s="3">
        <v>1669.3550550000002</v>
      </c>
      <c r="U320" s="3">
        <v>1680.552128</v>
      </c>
      <c r="V320" s="3">
        <v>1689.5773530000004</v>
      </c>
      <c r="W320" s="3">
        <v>1763.2</v>
      </c>
      <c r="X320" s="3">
        <v>1959.0844370000002</v>
      </c>
      <c r="Y320" s="3">
        <v>1940.2506859999999</v>
      </c>
      <c r="Z320" s="3">
        <v>1892.5676960000005</v>
      </c>
      <c r="AA320" s="3">
        <v>1829.7505839999999</v>
      </c>
      <c r="AB320" s="3">
        <v>1761.6361600000002</v>
      </c>
      <c r="AC320" s="3">
        <v>1634.6478070000001</v>
      </c>
      <c r="AD320" s="2">
        <v>1984.2000000000003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v>1445.6830440000001</v>
      </c>
      <c r="G321" s="3">
        <v>1340.800381</v>
      </c>
      <c r="H321" s="3">
        <v>1286.1999999999998</v>
      </c>
      <c r="I321" s="3">
        <v>1257.2434769999998</v>
      </c>
      <c r="J321" s="3">
        <v>1256.8554519999998</v>
      </c>
      <c r="K321" s="3">
        <v>1251.1037640000002</v>
      </c>
      <c r="L321" s="3">
        <v>1287.9413</v>
      </c>
      <c r="M321" s="3">
        <v>1351.1038000000001</v>
      </c>
      <c r="N321" s="3">
        <v>1467.9353080000001</v>
      </c>
      <c r="O321" s="3">
        <v>1604.4987959999999</v>
      </c>
      <c r="P321" s="3">
        <v>1671.0626339999999</v>
      </c>
      <c r="Q321" s="3">
        <v>1719.2244920000003</v>
      </c>
      <c r="R321" s="3">
        <v>1717.43597</v>
      </c>
      <c r="S321" s="3">
        <v>1674.2685300000001</v>
      </c>
      <c r="T321" s="3">
        <v>1619.6179180000004</v>
      </c>
      <c r="U321" s="3">
        <v>1630.7527880000002</v>
      </c>
      <c r="V321" s="3">
        <v>1640.6000000000001</v>
      </c>
      <c r="W321" s="3">
        <v>1715.7</v>
      </c>
      <c r="X321" s="3">
        <v>1969.9197450000001</v>
      </c>
      <c r="Y321" s="3">
        <v>1963.0448959999999</v>
      </c>
      <c r="Z321" s="3">
        <v>1905.122934</v>
      </c>
      <c r="AA321" s="3">
        <v>1851.5161030000002</v>
      </c>
      <c r="AB321" s="3">
        <v>1788.1449260000002</v>
      </c>
      <c r="AC321" s="3">
        <v>1637.0404800000001</v>
      </c>
      <c r="AD321" s="2">
        <v>2004.8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v>1462.2388249999999</v>
      </c>
      <c r="G322" s="3">
        <v>1332.7</v>
      </c>
      <c r="H322" s="3">
        <v>1274.0999999999999</v>
      </c>
      <c r="I322" s="3">
        <v>1245.6000000000001</v>
      </c>
      <c r="J322" s="3">
        <v>1252.4085479999999</v>
      </c>
      <c r="K322" s="3">
        <v>1264.3753829999998</v>
      </c>
      <c r="L322" s="3">
        <v>1315.9705740000002</v>
      </c>
      <c r="M322" s="3">
        <v>1389.9505800000002</v>
      </c>
      <c r="N322" s="3">
        <v>1489.4707280000002</v>
      </c>
      <c r="O322" s="3">
        <v>1609.8368589999998</v>
      </c>
      <c r="P322" s="3">
        <v>1692.5</v>
      </c>
      <c r="Q322" s="3">
        <v>1726.2952540000001</v>
      </c>
      <c r="R322" s="3">
        <v>1702.7734549999998</v>
      </c>
      <c r="S322" s="3">
        <v>1680.8000000000002</v>
      </c>
      <c r="T322" s="3">
        <v>1637.9488099999999</v>
      </c>
      <c r="U322" s="3">
        <v>1631.8476200000002</v>
      </c>
      <c r="V322" s="3">
        <v>1633.3487250000001</v>
      </c>
      <c r="W322" s="3">
        <v>1722.0055619999996</v>
      </c>
      <c r="X322" s="3">
        <v>1957.7523930000002</v>
      </c>
      <c r="Y322" s="3">
        <v>1962.084284</v>
      </c>
      <c r="Z322" s="3">
        <v>1915.8169590000002</v>
      </c>
      <c r="AA322" s="3">
        <v>1846.5643920000002</v>
      </c>
      <c r="AB322" s="3">
        <v>1777.0867949999997</v>
      </c>
      <c r="AC322" s="3">
        <v>1639.7982320000003</v>
      </c>
      <c r="AD322" s="2">
        <v>1984.3000000000002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v>1460.560604</v>
      </c>
      <c r="G323" s="3">
        <v>1332.0065530000002</v>
      </c>
      <c r="H323" s="3">
        <v>1276.1000000000001</v>
      </c>
      <c r="I323" s="3">
        <v>1255.2</v>
      </c>
      <c r="J323" s="3">
        <v>1250.6536570000001</v>
      </c>
      <c r="K323" s="3">
        <v>1246.54619</v>
      </c>
      <c r="L323" s="3">
        <v>1309.9000000000001</v>
      </c>
      <c r="M323" s="3">
        <v>1395.8999999999999</v>
      </c>
      <c r="N323" s="3">
        <v>1496.8</v>
      </c>
      <c r="O323" s="3">
        <v>1625.8</v>
      </c>
      <c r="P323" s="3">
        <v>1693.4823230000002</v>
      </c>
      <c r="Q323" s="3">
        <v>1725.5208139999997</v>
      </c>
      <c r="R323" s="3">
        <v>1721.3197459999999</v>
      </c>
      <c r="S323" s="3">
        <v>1676.8867600000003</v>
      </c>
      <c r="T323" s="3">
        <v>1647.0441690000002</v>
      </c>
      <c r="U323" s="3">
        <v>1636.1982320000002</v>
      </c>
      <c r="V323" s="3">
        <v>1641.7374030000001</v>
      </c>
      <c r="W323" s="3">
        <v>1735.5000000000002</v>
      </c>
      <c r="X323" s="3">
        <v>1983.8999999999999</v>
      </c>
      <c r="Y323" s="3">
        <v>1986.408396</v>
      </c>
      <c r="Z323" s="3">
        <v>1937.1000000000001</v>
      </c>
      <c r="AA323" s="3">
        <v>1875.4276850000001</v>
      </c>
      <c r="AB323" s="3">
        <v>1798.5346239999999</v>
      </c>
      <c r="AC323" s="3">
        <v>1667.2009889999997</v>
      </c>
      <c r="AD323" s="2">
        <v>1998.8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v>1478.2484800000002</v>
      </c>
      <c r="G324" s="3">
        <v>1359.3623600000001</v>
      </c>
      <c r="H324" s="3">
        <v>1311.2160900000001</v>
      </c>
      <c r="I324" s="3">
        <v>1290.2</v>
      </c>
      <c r="J324" s="3">
        <v>1275.6000000000001</v>
      </c>
      <c r="K324" s="3">
        <v>1295.6244960000001</v>
      </c>
      <c r="L324" s="3">
        <v>1355.2</v>
      </c>
      <c r="M324" s="3">
        <v>1419.1504520000003</v>
      </c>
      <c r="N324" s="3">
        <v>1538.5</v>
      </c>
      <c r="O324" s="3">
        <v>1657.9000000000003</v>
      </c>
      <c r="P324" s="3">
        <v>1710.4206099999999</v>
      </c>
      <c r="Q324" s="3">
        <v>1757.4724659999997</v>
      </c>
      <c r="R324" s="3">
        <v>1741.6611559999999</v>
      </c>
      <c r="S324" s="3">
        <v>1709.6358109999996</v>
      </c>
      <c r="T324" s="3">
        <v>1670.8525050000001</v>
      </c>
      <c r="U324" s="3">
        <v>1668.5328469999997</v>
      </c>
      <c r="V324" s="3">
        <v>1677.4284100000002</v>
      </c>
      <c r="W324" s="3">
        <v>1777.830547</v>
      </c>
      <c r="X324" s="3">
        <v>2005.5381959999997</v>
      </c>
      <c r="Y324" s="3">
        <v>1994.3967010000003</v>
      </c>
      <c r="Z324" s="3">
        <v>1929.7982500000001</v>
      </c>
      <c r="AA324" s="3">
        <v>1859.5706699999998</v>
      </c>
      <c r="AB324" s="3">
        <v>1781.0273340000001</v>
      </c>
      <c r="AC324" s="3">
        <v>1650.767292</v>
      </c>
      <c r="AD324" s="2">
        <v>2017.8000000000002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v>1472.2004099999999</v>
      </c>
      <c r="G325" s="3">
        <v>1347.3804899999998</v>
      </c>
      <c r="H325" s="3">
        <v>1305.3542369999998</v>
      </c>
      <c r="I325" s="3">
        <v>1276.6984540000001</v>
      </c>
      <c r="J325" s="3">
        <v>1268.337765</v>
      </c>
      <c r="K325" s="3">
        <v>1271.6258980000002</v>
      </c>
      <c r="L325" s="3">
        <v>1312.6433739999998</v>
      </c>
      <c r="M325" s="3">
        <v>1396.572128</v>
      </c>
      <c r="N325" s="3">
        <v>1519.9</v>
      </c>
      <c r="O325" s="3">
        <v>1671.634714</v>
      </c>
      <c r="P325" s="3">
        <v>1770.5185610000001</v>
      </c>
      <c r="Q325" s="3">
        <v>1808.5209559999998</v>
      </c>
      <c r="R325" s="3">
        <v>1787.1225380000003</v>
      </c>
      <c r="S325" s="3">
        <v>1673.1199640000002</v>
      </c>
      <c r="T325" s="3">
        <v>1605.1</v>
      </c>
      <c r="U325" s="3">
        <v>1573.3422080000003</v>
      </c>
      <c r="V325" s="3">
        <v>1580.0560659999999</v>
      </c>
      <c r="W325" s="3">
        <v>1640.953876</v>
      </c>
      <c r="X325" s="3">
        <v>1845.1849499999998</v>
      </c>
      <c r="Y325" s="3">
        <v>1851.0787280000002</v>
      </c>
      <c r="Z325" s="3">
        <v>1806.0854119999999</v>
      </c>
      <c r="AA325" s="3">
        <v>1760.1565569999998</v>
      </c>
      <c r="AB325" s="3">
        <v>1697.9801070000003</v>
      </c>
      <c r="AC325" s="3">
        <v>1578.9582080000002</v>
      </c>
      <c r="AD325" s="2">
        <v>1923.9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v>1472.4337760000001</v>
      </c>
      <c r="G326" s="3">
        <v>1351.6954350000001</v>
      </c>
      <c r="H326" s="3">
        <v>1299.5219549999999</v>
      </c>
      <c r="I326" s="3">
        <v>1276.8659580000003</v>
      </c>
      <c r="J326" s="3">
        <v>1260.9224750000001</v>
      </c>
      <c r="K326" s="3">
        <v>1244</v>
      </c>
      <c r="L326" s="3">
        <v>1262.4376060000002</v>
      </c>
      <c r="M326" s="3">
        <v>1230.0128620000003</v>
      </c>
      <c r="N326" s="3">
        <v>1282.1387499999998</v>
      </c>
      <c r="O326" s="3">
        <v>1391.418195</v>
      </c>
      <c r="P326" s="3">
        <v>1466.7266340000003</v>
      </c>
      <c r="Q326" s="3">
        <v>1517.2349400000001</v>
      </c>
      <c r="R326" s="3">
        <v>1515.8</v>
      </c>
      <c r="S326" s="3">
        <v>1484.3543939999997</v>
      </c>
      <c r="T326" s="3">
        <v>1446.1550669999999</v>
      </c>
      <c r="U326" s="3">
        <v>1426.2129420000001</v>
      </c>
      <c r="V326" s="3">
        <v>1429.8443449999997</v>
      </c>
      <c r="W326" s="3">
        <v>1515.9214480000001</v>
      </c>
      <c r="X326" s="3">
        <v>1806.2717000000005</v>
      </c>
      <c r="Y326" s="3">
        <v>1846.6228349999999</v>
      </c>
      <c r="Z326" s="3">
        <v>1816.5688879999998</v>
      </c>
      <c r="AA326" s="3">
        <v>1780.8689449999999</v>
      </c>
      <c r="AB326" s="3">
        <v>1710.9119880000001</v>
      </c>
      <c r="AC326" s="3">
        <v>1603.8241199999998</v>
      </c>
      <c r="AD326" s="2">
        <v>1856.9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v>1446.1386600000001</v>
      </c>
      <c r="G327" s="3">
        <v>1314.1643849999998</v>
      </c>
      <c r="H327" s="3">
        <v>1270.0368470000001</v>
      </c>
      <c r="I327" s="3">
        <v>1254.7448030000003</v>
      </c>
      <c r="J327" s="3">
        <v>1236.8071499999999</v>
      </c>
      <c r="K327" s="3">
        <v>1240.2828440000001</v>
      </c>
      <c r="L327" s="3">
        <v>1294.9248110000001</v>
      </c>
      <c r="M327" s="3">
        <v>1319.0877350000001</v>
      </c>
      <c r="N327" s="3">
        <v>1447.1906040000003</v>
      </c>
      <c r="O327" s="3">
        <v>1615.5787159999995</v>
      </c>
      <c r="P327" s="3">
        <v>1594.1419699999999</v>
      </c>
      <c r="Q327" s="3">
        <v>1747.1069330000003</v>
      </c>
      <c r="R327" s="3">
        <v>1617.859571</v>
      </c>
      <c r="S327" s="3">
        <v>1586.1163059999999</v>
      </c>
      <c r="T327" s="3">
        <v>1541.5</v>
      </c>
      <c r="U327" s="3">
        <v>1522.0000000000002</v>
      </c>
      <c r="V327" s="3">
        <v>1535.2006260000001</v>
      </c>
      <c r="W327" s="3">
        <v>1569.2447870000001</v>
      </c>
      <c r="X327" s="3">
        <v>1893.1526080000001</v>
      </c>
      <c r="Y327" s="3">
        <v>1762.1373839999999</v>
      </c>
      <c r="Z327" s="3">
        <v>1856.6749539999996</v>
      </c>
      <c r="AA327" s="3">
        <v>1797.2348280000003</v>
      </c>
      <c r="AB327" s="3">
        <v>1741.2965349999999</v>
      </c>
      <c r="AC327" s="3">
        <v>1610.7108600000001</v>
      </c>
      <c r="AD327" s="2">
        <v>1725.7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v>1459.059788</v>
      </c>
      <c r="G328" s="3">
        <v>1340.2952579999999</v>
      </c>
      <c r="H328" s="3">
        <v>1274.234858</v>
      </c>
      <c r="I328" s="3">
        <v>1247.7509129999996</v>
      </c>
      <c r="J328" s="3">
        <v>1213.8657639999999</v>
      </c>
      <c r="K328" s="3">
        <v>1205.1860309999997</v>
      </c>
      <c r="L328" s="3">
        <v>1230.3999999999999</v>
      </c>
      <c r="M328" s="3">
        <v>1218.9367860000002</v>
      </c>
      <c r="N328" s="3">
        <v>1298.9781980000002</v>
      </c>
      <c r="O328" s="3">
        <v>1413.9999999999998</v>
      </c>
      <c r="P328" s="3">
        <v>1483.127248</v>
      </c>
      <c r="Q328" s="3">
        <v>1531.1025129999998</v>
      </c>
      <c r="R328" s="3">
        <v>1532.302666</v>
      </c>
      <c r="S328" s="3">
        <v>1485.972344</v>
      </c>
      <c r="T328" s="3">
        <v>1456.5534229999998</v>
      </c>
      <c r="U328" s="3">
        <v>1446.6801880000003</v>
      </c>
      <c r="V328" s="3">
        <v>1459.6774050000001</v>
      </c>
      <c r="W328" s="3">
        <v>1551.6062079999999</v>
      </c>
      <c r="X328" s="3">
        <v>1797.4999999999998</v>
      </c>
      <c r="Y328" s="3">
        <v>1841.1353810000003</v>
      </c>
      <c r="Z328" s="3">
        <v>1808.3443600000003</v>
      </c>
      <c r="AA328" s="3">
        <v>1771.6952100000001</v>
      </c>
      <c r="AB328" s="3">
        <v>1722.9058169999996</v>
      </c>
      <c r="AC328" s="3">
        <v>1576.4400659999999</v>
      </c>
      <c r="AD328" s="2">
        <v>1842.2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v>1413.2</v>
      </c>
      <c r="G329" s="3">
        <v>1305.919099</v>
      </c>
      <c r="H329" s="3">
        <v>1250.9000000000001</v>
      </c>
      <c r="I329" s="3">
        <v>1231.0568389999999</v>
      </c>
      <c r="J329" s="3">
        <v>1228.7</v>
      </c>
      <c r="K329" s="3">
        <v>1226.3794879999998</v>
      </c>
      <c r="L329" s="3">
        <v>1293.9486020000002</v>
      </c>
      <c r="M329" s="3">
        <v>1379.2814609999998</v>
      </c>
      <c r="N329" s="3">
        <v>1519.7181840000001</v>
      </c>
      <c r="O329" s="3">
        <v>1636.2409899999998</v>
      </c>
      <c r="P329" s="3">
        <v>1704.2430019999999</v>
      </c>
      <c r="Q329" s="3">
        <v>1743.3681400000003</v>
      </c>
      <c r="R329" s="3">
        <v>1718.1161219999999</v>
      </c>
      <c r="S329" s="3">
        <v>1698.8808499999998</v>
      </c>
      <c r="T329" s="3">
        <v>1657.439069</v>
      </c>
      <c r="U329" s="3">
        <v>1649.9563410000001</v>
      </c>
      <c r="V329" s="3">
        <v>1660.1747719999998</v>
      </c>
      <c r="W329" s="3">
        <v>1727.6035220000003</v>
      </c>
      <c r="X329" s="3">
        <v>1932.4</v>
      </c>
      <c r="Y329" s="3">
        <v>1972.0786740000001</v>
      </c>
      <c r="Z329" s="3">
        <v>1935.1999999999998</v>
      </c>
      <c r="AA329" s="3">
        <v>1860.9034040000001</v>
      </c>
      <c r="AB329" s="3">
        <v>1782.6949519999998</v>
      </c>
      <c r="AC329" s="3">
        <v>1642.52467</v>
      </c>
      <c r="AD329" s="2">
        <v>1976.6000000000001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v>1469.035255</v>
      </c>
      <c r="G330" s="3">
        <v>1358.1830160000002</v>
      </c>
      <c r="H330" s="3">
        <v>1310.78289</v>
      </c>
      <c r="I330" s="3">
        <v>1276.1667580000001</v>
      </c>
      <c r="J330" s="3">
        <v>1270.4725720000001</v>
      </c>
      <c r="K330" s="3">
        <v>1288.8794819999998</v>
      </c>
      <c r="L330" s="3">
        <v>1347.4901300000001</v>
      </c>
      <c r="M330" s="3">
        <v>1429.9643639999999</v>
      </c>
      <c r="N330" s="3">
        <v>1581.8</v>
      </c>
      <c r="O330" s="3">
        <v>1645.9884400000001</v>
      </c>
      <c r="P330" s="3">
        <v>1709.2123959999999</v>
      </c>
      <c r="Q330" s="3">
        <v>1748.984604</v>
      </c>
      <c r="R330" s="3">
        <v>1729.8047040000001</v>
      </c>
      <c r="S330" s="3">
        <v>1707.9</v>
      </c>
      <c r="T330" s="3">
        <v>1688.5500139999997</v>
      </c>
      <c r="U330" s="3">
        <v>1679.3269819999998</v>
      </c>
      <c r="V330" s="3">
        <v>1690.8410099999996</v>
      </c>
      <c r="W330" s="3">
        <v>1769.4509399999999</v>
      </c>
      <c r="X330" s="3">
        <v>1958.9675480000001</v>
      </c>
      <c r="Y330" s="3">
        <v>1969.6790820000003</v>
      </c>
      <c r="Z330" s="3">
        <v>1921.0999999999997</v>
      </c>
      <c r="AA330" s="3">
        <v>1855.1</v>
      </c>
      <c r="AB330" s="3">
        <v>1771.9386569999999</v>
      </c>
      <c r="AC330" s="3">
        <v>1639.1152519999998</v>
      </c>
      <c r="AD330" s="2">
        <v>1999.0000000000005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v>1467.7</v>
      </c>
      <c r="G331" s="3">
        <v>1329</v>
      </c>
      <c r="H331" s="3">
        <v>1269.6622860000002</v>
      </c>
      <c r="I331" s="3">
        <v>1256.8999999999999</v>
      </c>
      <c r="J331" s="3">
        <v>1260.8</v>
      </c>
      <c r="K331" s="3">
        <v>1261.8167179999998</v>
      </c>
      <c r="L331" s="3">
        <v>1316.6000000000001</v>
      </c>
      <c r="M331" s="3">
        <v>1409.3307920000002</v>
      </c>
      <c r="N331" s="3">
        <v>1527.8886499999999</v>
      </c>
      <c r="O331" s="3">
        <v>1621.1746499999999</v>
      </c>
      <c r="P331" s="3">
        <v>1690.121423</v>
      </c>
      <c r="Q331" s="3">
        <v>1725.0067409999999</v>
      </c>
      <c r="R331" s="3">
        <v>1737.1978099999999</v>
      </c>
      <c r="S331" s="3">
        <v>1705.6283620000002</v>
      </c>
      <c r="T331" s="3">
        <v>1673.5366520000002</v>
      </c>
      <c r="U331" s="3">
        <v>1682.925299</v>
      </c>
      <c r="V331" s="3">
        <v>1690.7979350000001</v>
      </c>
      <c r="W331" s="3">
        <v>1717.4693909999999</v>
      </c>
      <c r="X331" s="3">
        <v>1936.7</v>
      </c>
      <c r="Y331" s="3">
        <v>1979.791236</v>
      </c>
      <c r="Z331" s="3">
        <v>1920.3109840000002</v>
      </c>
      <c r="AA331" s="3">
        <v>1861.0346719999998</v>
      </c>
      <c r="AB331" s="3">
        <v>1804.4506840000001</v>
      </c>
      <c r="AC331" s="3">
        <v>1677.2107839999999</v>
      </c>
      <c r="AD331" s="2">
        <v>1956.4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v>1498.4755359999999</v>
      </c>
      <c r="G332" s="3">
        <v>1352.7945679999998</v>
      </c>
      <c r="H332" s="3">
        <v>1287.255844</v>
      </c>
      <c r="I332" s="3">
        <v>1274.7684920000002</v>
      </c>
      <c r="J332" s="3">
        <v>1267.1611130000001</v>
      </c>
      <c r="K332" s="3">
        <v>1275.2341439999998</v>
      </c>
      <c r="L332" s="3">
        <v>1299.1829240000002</v>
      </c>
      <c r="M332" s="3">
        <v>1356.9139239999997</v>
      </c>
      <c r="N332" s="3">
        <v>1486.450212</v>
      </c>
      <c r="O332" s="3">
        <v>1623.41005</v>
      </c>
      <c r="P332" s="3">
        <v>1705.937494</v>
      </c>
      <c r="Q332" s="3">
        <v>1729.6018419999998</v>
      </c>
      <c r="R332" s="3">
        <v>1681.4695960000001</v>
      </c>
      <c r="S332" s="3">
        <v>1615.560285</v>
      </c>
      <c r="T332" s="3">
        <v>1572.481603</v>
      </c>
      <c r="U332" s="3">
        <v>1558.8754459999998</v>
      </c>
      <c r="V332" s="3">
        <v>1573.9363859999999</v>
      </c>
      <c r="W332" s="3">
        <v>1613.876166</v>
      </c>
      <c r="X332" s="3">
        <v>1857.7049340000003</v>
      </c>
      <c r="Y332" s="3">
        <v>1903.886442</v>
      </c>
      <c r="Z332" s="3">
        <v>1859.3693439999997</v>
      </c>
      <c r="AA332" s="3">
        <v>1798.1999999999998</v>
      </c>
      <c r="AB332" s="3">
        <v>1747.2840939999999</v>
      </c>
      <c r="AC332" s="3">
        <v>1662.0628690000001</v>
      </c>
      <c r="AD332" s="2">
        <v>1909.5000000000002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v>1511.4860630000001</v>
      </c>
      <c r="G333" s="3">
        <v>1372.1152750000001</v>
      </c>
      <c r="H333" s="3">
        <v>1273.5</v>
      </c>
      <c r="I333" s="3">
        <v>1250.9468939999999</v>
      </c>
      <c r="J333" s="3">
        <v>1232.4120460000001</v>
      </c>
      <c r="K333" s="3">
        <v>1226.2175490000002</v>
      </c>
      <c r="L333" s="3">
        <v>1227.6585729999999</v>
      </c>
      <c r="M333" s="3">
        <v>1189.8435840000002</v>
      </c>
      <c r="N333" s="3">
        <v>1223.759491</v>
      </c>
      <c r="O333" s="3">
        <v>1316.9119079999998</v>
      </c>
      <c r="P333" s="3">
        <v>1405.5615839999998</v>
      </c>
      <c r="Q333" s="3">
        <v>1453.3265730000001</v>
      </c>
      <c r="R333" s="3">
        <v>1457.276059</v>
      </c>
      <c r="S333" s="3">
        <v>1423.6173279999998</v>
      </c>
      <c r="T333" s="3">
        <v>1390.7750349999999</v>
      </c>
      <c r="U333" s="3">
        <v>1381.6206300000001</v>
      </c>
      <c r="V333" s="3">
        <v>1381.5</v>
      </c>
      <c r="W333" s="3">
        <v>1440.3999999999999</v>
      </c>
      <c r="X333" s="3">
        <v>1698.0186179999998</v>
      </c>
      <c r="Y333" s="3">
        <v>1787.286384</v>
      </c>
      <c r="Z333" s="3">
        <v>1768.482714</v>
      </c>
      <c r="AA333" s="3">
        <v>1741.5814479999999</v>
      </c>
      <c r="AB333" s="3">
        <v>1673.0494450000001</v>
      </c>
      <c r="AC333" s="3">
        <v>1540.77368</v>
      </c>
      <c r="AD333" s="2">
        <v>1768.3999999999996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v>1374.111895</v>
      </c>
      <c r="G334" s="3">
        <v>1266.984745</v>
      </c>
      <c r="H334" s="3">
        <v>1229.8251119999998</v>
      </c>
      <c r="I334" s="3">
        <v>1210.4319919999998</v>
      </c>
      <c r="J334" s="3">
        <v>1193.475964</v>
      </c>
      <c r="K334" s="3">
        <v>1206.1382600000002</v>
      </c>
      <c r="L334" s="3">
        <v>1281.4198479999998</v>
      </c>
      <c r="M334" s="3">
        <v>1380.57988</v>
      </c>
      <c r="N334" s="3">
        <v>1518.8902449999996</v>
      </c>
      <c r="O334" s="3">
        <v>1638.5010880000004</v>
      </c>
      <c r="P334" s="3">
        <v>1700.2306060000001</v>
      </c>
      <c r="Q334" s="3">
        <v>1727.2</v>
      </c>
      <c r="R334" s="3">
        <v>1727.9025650000001</v>
      </c>
      <c r="S334" s="3">
        <v>1677.3704169999999</v>
      </c>
      <c r="T334" s="3">
        <v>1619.4999999999998</v>
      </c>
      <c r="U334" s="3">
        <v>1631.0000000000002</v>
      </c>
      <c r="V334" s="3">
        <v>1635.8485209999999</v>
      </c>
      <c r="W334" s="3">
        <v>1652.4716239999998</v>
      </c>
      <c r="X334" s="3">
        <v>1879.8204639999999</v>
      </c>
      <c r="Y334" s="3">
        <v>1923.104413</v>
      </c>
      <c r="Z334" s="3">
        <v>1879.6484340000002</v>
      </c>
      <c r="AA334" s="3">
        <v>1808.5214660000004</v>
      </c>
      <c r="AB334" s="3">
        <v>1738.363607</v>
      </c>
      <c r="AC334" s="3">
        <v>1650.7644359999999</v>
      </c>
      <c r="AD334" s="2">
        <v>1928.4999999999998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v>1455.1838720000001</v>
      </c>
      <c r="G335" s="3">
        <v>1297.3874120000003</v>
      </c>
      <c r="H335" s="3">
        <v>1247.4000000000001</v>
      </c>
      <c r="I335" s="3">
        <v>1218.587194</v>
      </c>
      <c r="J335" s="3">
        <v>1215.5345419999999</v>
      </c>
      <c r="K335" s="3">
        <v>1223.7</v>
      </c>
      <c r="L335" s="3">
        <v>1291.551152</v>
      </c>
      <c r="M335" s="3">
        <v>1350.0000000000002</v>
      </c>
      <c r="N335" s="3">
        <v>1490.1229130000002</v>
      </c>
      <c r="O335" s="3">
        <v>1612.1128720000002</v>
      </c>
      <c r="P335" s="3">
        <v>1672.4366520000001</v>
      </c>
      <c r="Q335" s="3">
        <v>1709.0117330000003</v>
      </c>
      <c r="R335" s="3">
        <v>1699.1000000000001</v>
      </c>
      <c r="S335" s="3">
        <v>1660.4456679999996</v>
      </c>
      <c r="T335" s="3">
        <v>1638.2484530000002</v>
      </c>
      <c r="U335" s="3">
        <v>1644.2889500000001</v>
      </c>
      <c r="V335" s="3">
        <v>1653.0414660000001</v>
      </c>
      <c r="W335" s="3">
        <v>1708.684391</v>
      </c>
      <c r="X335" s="3">
        <v>1929.699957</v>
      </c>
      <c r="Y335" s="3">
        <v>1966.214696</v>
      </c>
      <c r="Z335" s="3">
        <v>1920.3085520000002</v>
      </c>
      <c r="AA335" s="3">
        <v>1850.5000000000002</v>
      </c>
      <c r="AB335" s="3">
        <v>1773.9</v>
      </c>
      <c r="AC335" s="3">
        <v>1653.4958550000001</v>
      </c>
      <c r="AD335" s="2">
        <v>1967.6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v>1462.3765279999998</v>
      </c>
      <c r="G336" s="3">
        <v>1339.7908979999997</v>
      </c>
      <c r="H336" s="3">
        <v>1290.4000000000001</v>
      </c>
      <c r="I336" s="3">
        <v>1263.0999999999999</v>
      </c>
      <c r="J336" s="3">
        <v>1256.8999999999999</v>
      </c>
      <c r="K336" s="3">
        <v>1271.9493479999996</v>
      </c>
      <c r="L336" s="3">
        <v>1333.5154250000001</v>
      </c>
      <c r="M336" s="3">
        <v>1398.3285349999999</v>
      </c>
      <c r="N336" s="3">
        <v>1543.7956789999998</v>
      </c>
      <c r="O336" s="3">
        <v>1664.2922790000002</v>
      </c>
      <c r="P336" s="3">
        <v>1724.703522</v>
      </c>
      <c r="Q336" s="3">
        <v>1755.1310500000002</v>
      </c>
      <c r="R336" s="3">
        <v>1754.9213759999998</v>
      </c>
      <c r="S336" s="3">
        <v>1708.6367289999998</v>
      </c>
      <c r="T336" s="3">
        <v>1655.1588399999998</v>
      </c>
      <c r="U336" s="3">
        <v>1659.9000000000003</v>
      </c>
      <c r="V336" s="3">
        <v>1697.636726</v>
      </c>
      <c r="W336" s="3">
        <v>1720.8212279999998</v>
      </c>
      <c r="X336" s="3">
        <v>1882.123707</v>
      </c>
      <c r="Y336" s="3">
        <v>1987.4057280000002</v>
      </c>
      <c r="Z336" s="3">
        <v>1967.5369400000004</v>
      </c>
      <c r="AA336" s="3">
        <v>1966.3936249999999</v>
      </c>
      <c r="AB336" s="3">
        <v>1817.8685819999998</v>
      </c>
      <c r="AC336" s="3">
        <v>1648.013195</v>
      </c>
      <c r="AD336" s="2">
        <v>1997.3999999999999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v>1471.1678579999998</v>
      </c>
      <c r="G337" s="3">
        <v>1351.703902</v>
      </c>
      <c r="H337" s="3">
        <v>1288.1803559999998</v>
      </c>
      <c r="I337" s="3">
        <v>1258.3999999999999</v>
      </c>
      <c r="J337" s="3">
        <v>1255.3451600000001</v>
      </c>
      <c r="K337" s="3">
        <v>1261.1033600000001</v>
      </c>
      <c r="L337" s="3">
        <v>1316.9258560000003</v>
      </c>
      <c r="M337" s="3">
        <v>1378.0818179999999</v>
      </c>
      <c r="N337" s="3">
        <v>1526.7</v>
      </c>
      <c r="O337" s="3">
        <v>1654.5</v>
      </c>
      <c r="P337" s="3">
        <v>1725.3000000000002</v>
      </c>
      <c r="Q337" s="3">
        <v>1756.7931239999998</v>
      </c>
      <c r="R337" s="3">
        <v>1742.2947020000001</v>
      </c>
      <c r="S337" s="3">
        <v>1708.8706180000001</v>
      </c>
      <c r="T337" s="3">
        <v>1665.2644500000001</v>
      </c>
      <c r="U337" s="3">
        <v>1657.7377939999999</v>
      </c>
      <c r="V337" s="3">
        <v>1662.6999999999998</v>
      </c>
      <c r="W337" s="3">
        <v>1732.6944830000002</v>
      </c>
      <c r="X337" s="3">
        <v>1914.7124279999998</v>
      </c>
      <c r="Y337" s="3">
        <v>1964.534492</v>
      </c>
      <c r="Z337" s="3">
        <v>1916.6</v>
      </c>
      <c r="AA337" s="3">
        <v>1853.5390580000001</v>
      </c>
      <c r="AB337" s="3">
        <v>1800.720495</v>
      </c>
      <c r="AC337" s="3">
        <v>1672.6913500000001</v>
      </c>
      <c r="AD337" s="2">
        <v>1953.0000000000002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v>1479.259902</v>
      </c>
      <c r="G338" s="3">
        <v>1336.310504</v>
      </c>
      <c r="H338" s="3">
        <v>1276.4000000000001</v>
      </c>
      <c r="I338" s="3">
        <v>1258.1000000000001</v>
      </c>
      <c r="J338" s="3">
        <v>1250.051882</v>
      </c>
      <c r="K338" s="3">
        <v>1262.0151879999999</v>
      </c>
      <c r="L338" s="3">
        <v>1318.8872249999999</v>
      </c>
      <c r="M338" s="3">
        <v>1385.3000000000002</v>
      </c>
      <c r="N338" s="3">
        <v>1529.8033290000003</v>
      </c>
      <c r="O338" s="3">
        <v>1672.43706</v>
      </c>
      <c r="P338" s="3">
        <v>1714.4999999999998</v>
      </c>
      <c r="Q338" s="3">
        <v>1736.3897579999998</v>
      </c>
      <c r="R338" s="3">
        <v>1729.8024600000001</v>
      </c>
      <c r="S338" s="3">
        <v>1681.9438940000002</v>
      </c>
      <c r="T338" s="3">
        <v>1652.041925</v>
      </c>
      <c r="U338" s="3">
        <v>1646.7077860000002</v>
      </c>
      <c r="V338" s="3">
        <v>1654.5405989999999</v>
      </c>
      <c r="W338" s="3">
        <v>1689.3661050000001</v>
      </c>
      <c r="X338" s="3">
        <v>1910.1899609999998</v>
      </c>
      <c r="Y338" s="3">
        <v>1963.5984700000001</v>
      </c>
      <c r="Z338" s="3">
        <v>1917.2055</v>
      </c>
      <c r="AA338" s="3">
        <v>1838.7356869999999</v>
      </c>
      <c r="AB338" s="3">
        <v>1767.0479889999999</v>
      </c>
      <c r="AC338" s="3">
        <v>1617.0914800000003</v>
      </c>
      <c r="AD338" s="2">
        <v>1965.1000000000001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v>1461.3158629999998</v>
      </c>
      <c r="G339" s="3">
        <v>1337.8</v>
      </c>
      <c r="H339" s="3">
        <v>1273.3900709999998</v>
      </c>
      <c r="I339" s="3">
        <v>1251.1925640000002</v>
      </c>
      <c r="J339" s="3">
        <v>1241.2403460000003</v>
      </c>
      <c r="K339" s="3">
        <v>1250.5000000000002</v>
      </c>
      <c r="L339" s="3">
        <v>1290.5039359999998</v>
      </c>
      <c r="M339" s="3">
        <v>1325.3911520000001</v>
      </c>
      <c r="N339" s="3">
        <v>1492.2527460000003</v>
      </c>
      <c r="O339" s="3">
        <v>1642.1587720000002</v>
      </c>
      <c r="P339" s="3">
        <v>1720.1</v>
      </c>
      <c r="Q339" s="3">
        <v>1759.2</v>
      </c>
      <c r="R339" s="3">
        <v>1740.7910299999999</v>
      </c>
      <c r="S339" s="3">
        <v>1691.6776589999999</v>
      </c>
      <c r="T339" s="3">
        <v>1635.1986399999998</v>
      </c>
      <c r="U339" s="3">
        <v>1612.6209779999999</v>
      </c>
      <c r="V339" s="3">
        <v>1623.1287839999998</v>
      </c>
      <c r="W339" s="3">
        <v>1638.5410750000001</v>
      </c>
      <c r="X339" s="3">
        <v>1861.5000000000002</v>
      </c>
      <c r="Y339" s="3">
        <v>1922.6990339999998</v>
      </c>
      <c r="Z339" s="3">
        <v>1885.6527899999999</v>
      </c>
      <c r="AA339" s="3">
        <v>1842.644413</v>
      </c>
      <c r="AB339" s="3">
        <v>1750.4</v>
      </c>
      <c r="AC339" s="3">
        <v>1632.2540799999997</v>
      </c>
      <c r="AD339" s="2">
        <v>1925.0999999999997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v>1467.1062239999999</v>
      </c>
      <c r="G340" s="3">
        <v>1338.8014000000001</v>
      </c>
      <c r="H340" s="3">
        <v>1269.537</v>
      </c>
      <c r="I340" s="3">
        <v>1236.9457620000003</v>
      </c>
      <c r="J340" s="3">
        <v>1227.5407639999999</v>
      </c>
      <c r="K340" s="3">
        <v>1236.4773360000002</v>
      </c>
      <c r="L340" s="3">
        <v>1239.3039879999999</v>
      </c>
      <c r="M340" s="3">
        <v>1212.665305</v>
      </c>
      <c r="N340" s="3">
        <v>1265.3753259999999</v>
      </c>
      <c r="O340" s="3">
        <v>1370.1292240000002</v>
      </c>
      <c r="P340" s="3">
        <v>1455.3999999999999</v>
      </c>
      <c r="Q340" s="3">
        <v>1494.3000000000002</v>
      </c>
      <c r="R340" s="3">
        <v>1483.8796019999997</v>
      </c>
      <c r="S340" s="3">
        <v>1454.7425479999999</v>
      </c>
      <c r="T340" s="3">
        <v>1416.3219180000001</v>
      </c>
      <c r="U340" s="3">
        <v>1408.53018</v>
      </c>
      <c r="V340" s="3">
        <v>1400.9999999999998</v>
      </c>
      <c r="W340" s="3">
        <v>1464.9369889999998</v>
      </c>
      <c r="X340" s="3">
        <v>1705.2137730000002</v>
      </c>
      <c r="Y340" s="3">
        <v>1800.7</v>
      </c>
      <c r="Z340" s="3">
        <v>1772.5603280000003</v>
      </c>
      <c r="AA340" s="3">
        <v>1755.389905</v>
      </c>
      <c r="AB340" s="3">
        <v>1691.50125</v>
      </c>
      <c r="AC340" s="3">
        <v>1549.9666649999999</v>
      </c>
      <c r="AD340" s="2">
        <v>1799.9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v>1390.5622080000001</v>
      </c>
      <c r="G341" s="3">
        <v>1268.8009079999997</v>
      </c>
      <c r="H341" s="3">
        <v>1215.0456239999996</v>
      </c>
      <c r="I341" s="3">
        <v>1205.2176099999999</v>
      </c>
      <c r="J341" s="3">
        <v>1201.274995</v>
      </c>
      <c r="K341" s="3">
        <v>1222.5743880000002</v>
      </c>
      <c r="L341" s="3">
        <v>1289.0717719999998</v>
      </c>
      <c r="M341" s="3">
        <v>1361.009155</v>
      </c>
      <c r="N341" s="3">
        <v>1513.874472</v>
      </c>
      <c r="O341" s="3">
        <v>1636.8972120000003</v>
      </c>
      <c r="P341" s="3">
        <v>1707.1999999999998</v>
      </c>
      <c r="Q341" s="3">
        <v>1735.1000000000001</v>
      </c>
      <c r="R341" s="3">
        <v>1713.7188759999999</v>
      </c>
      <c r="S341" s="3">
        <v>1668.2293479999998</v>
      </c>
      <c r="T341" s="3">
        <v>1623.5999999999997</v>
      </c>
      <c r="U341" s="3">
        <v>1625.0427240000001</v>
      </c>
      <c r="V341" s="3">
        <v>1637.9000000000003</v>
      </c>
      <c r="W341" s="3">
        <v>1686.349068</v>
      </c>
      <c r="X341" s="3">
        <v>1902.6391440000002</v>
      </c>
      <c r="Y341" s="3">
        <v>1966.3625500000001</v>
      </c>
      <c r="Z341" s="3">
        <v>1920.4939389999997</v>
      </c>
      <c r="AA341" s="3">
        <v>1876.1543499999998</v>
      </c>
      <c r="AB341" s="3">
        <v>1799.2328900000005</v>
      </c>
      <c r="AC341" s="3">
        <v>1653.6412110000001</v>
      </c>
      <c r="AD341" s="2">
        <v>1938.1000000000004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v>1456.3015200000002</v>
      </c>
      <c r="G342" s="3">
        <v>1375.1831440000001</v>
      </c>
      <c r="H342" s="3">
        <v>1307.034934</v>
      </c>
      <c r="I342" s="3">
        <v>1300.0618870000001</v>
      </c>
      <c r="J342" s="3">
        <v>1288.672384</v>
      </c>
      <c r="K342" s="3">
        <v>1291.9256780000001</v>
      </c>
      <c r="L342" s="3">
        <v>1317.3127239999999</v>
      </c>
      <c r="M342" s="3">
        <v>1406.732309</v>
      </c>
      <c r="N342" s="3">
        <v>1541.5010570000002</v>
      </c>
      <c r="O342" s="3">
        <v>1660</v>
      </c>
      <c r="P342" s="3">
        <v>1720</v>
      </c>
      <c r="Q342" s="3">
        <v>1749.591639</v>
      </c>
      <c r="R342" s="3">
        <v>1738.881856</v>
      </c>
      <c r="S342" s="3">
        <v>1694.6571539999998</v>
      </c>
      <c r="T342" s="3">
        <v>1642.0521080000003</v>
      </c>
      <c r="U342" s="3">
        <v>1649.6108459999998</v>
      </c>
      <c r="V342" s="3">
        <v>1655.8175780000001</v>
      </c>
      <c r="W342" s="3">
        <v>1699.1650880000002</v>
      </c>
      <c r="X342" s="3">
        <v>1905.412742</v>
      </c>
      <c r="Y342" s="3">
        <v>1969.4140839999995</v>
      </c>
      <c r="Z342" s="3">
        <v>1930.3910349999999</v>
      </c>
      <c r="AA342" s="3">
        <v>1861.6</v>
      </c>
      <c r="AB342" s="3">
        <v>1767.8831220000002</v>
      </c>
      <c r="AC342" s="3">
        <v>1621.8693800000001</v>
      </c>
      <c r="AD342" s="2">
        <v>1967.1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v>1449.1898900000001</v>
      </c>
      <c r="G343" s="3">
        <v>1321.2887549999998</v>
      </c>
      <c r="H343" s="3">
        <v>1266.3768560000001</v>
      </c>
      <c r="I343" s="3">
        <v>1238.546323</v>
      </c>
      <c r="J343" s="3">
        <v>1232.5000000000002</v>
      </c>
      <c r="K343" s="3">
        <v>1236.5605720000001</v>
      </c>
      <c r="L343" s="3">
        <v>1300.2</v>
      </c>
      <c r="M343" s="3">
        <v>1365.311042</v>
      </c>
      <c r="N343" s="3">
        <v>1510.2141409999997</v>
      </c>
      <c r="O343" s="3">
        <v>1637.8439820000001</v>
      </c>
      <c r="P343" s="3">
        <v>1691.3687060000002</v>
      </c>
      <c r="Q343" s="3">
        <v>1733.6987879999999</v>
      </c>
      <c r="R343" s="3">
        <v>1727.2</v>
      </c>
      <c r="S343" s="3">
        <v>1687.6680939999997</v>
      </c>
      <c r="T343" s="3">
        <v>1630.3910579999999</v>
      </c>
      <c r="U343" s="3">
        <v>1615.3611009999997</v>
      </c>
      <c r="V343" s="3">
        <v>1605.6</v>
      </c>
      <c r="W343" s="3">
        <v>1644.69048</v>
      </c>
      <c r="X343" s="3">
        <v>1844.0439029999998</v>
      </c>
      <c r="Y343" s="3">
        <v>1933.577775</v>
      </c>
      <c r="Z343" s="3">
        <v>1918.3</v>
      </c>
      <c r="AA343" s="3">
        <v>1884.5436400000001</v>
      </c>
      <c r="AB343" s="3">
        <v>1794.4355420000002</v>
      </c>
      <c r="AC343" s="3">
        <v>1649.3032499999999</v>
      </c>
      <c r="AD343" s="2">
        <v>1933.2000000000003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v>1479.0863340000001</v>
      </c>
      <c r="G344" s="3">
        <v>1345.490742</v>
      </c>
      <c r="H344" s="3">
        <v>1288.8265960000001</v>
      </c>
      <c r="I344" s="3">
        <v>1267.2742040000001</v>
      </c>
      <c r="J344" s="3">
        <v>1264.0601439999998</v>
      </c>
      <c r="K344" s="3">
        <v>1279.466484</v>
      </c>
      <c r="L344" s="3">
        <v>1318.3120100000001</v>
      </c>
      <c r="M344" s="3">
        <v>1368.885847</v>
      </c>
      <c r="N344" s="3">
        <v>1524.5063890000001</v>
      </c>
      <c r="O344" s="3">
        <v>1644.0754519999998</v>
      </c>
      <c r="P344" s="3">
        <v>1700.9233099999999</v>
      </c>
      <c r="Q344" s="3">
        <v>1747.4859300000003</v>
      </c>
      <c r="R344" s="3">
        <v>1734.7951159999998</v>
      </c>
      <c r="S344" s="3">
        <v>1688.8668700000001</v>
      </c>
      <c r="T344" s="3">
        <v>1640.4516490000001</v>
      </c>
      <c r="U344" s="3">
        <v>1624.6872839999999</v>
      </c>
      <c r="V344" s="3">
        <v>1627.445835</v>
      </c>
      <c r="W344" s="3">
        <v>1647.0553210000003</v>
      </c>
      <c r="X344" s="3">
        <v>1886.6000000000001</v>
      </c>
      <c r="Y344" s="3">
        <v>1986.5</v>
      </c>
      <c r="Z344" s="3">
        <v>1928.3002469999997</v>
      </c>
      <c r="AA344" s="3">
        <v>1864.8000000000002</v>
      </c>
      <c r="AB344" s="3">
        <v>1784.389036</v>
      </c>
      <c r="AC344" s="3">
        <v>1637.7484019999999</v>
      </c>
      <c r="AD344" s="2">
        <v>1995.6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v>1459.1920849999999</v>
      </c>
      <c r="G345" s="3">
        <v>1336.2065009999999</v>
      </c>
      <c r="H345" s="3">
        <v>1293.3999999999999</v>
      </c>
      <c r="I345" s="3">
        <v>1266.8605009999999</v>
      </c>
      <c r="J345" s="3">
        <v>1266.4524880000001</v>
      </c>
      <c r="K345" s="3">
        <v>1277.1659070000001</v>
      </c>
      <c r="L345" s="3">
        <v>1334.9955890000001</v>
      </c>
      <c r="M345" s="3">
        <v>1397.4713629999999</v>
      </c>
      <c r="N345" s="3">
        <v>1544.0999999999997</v>
      </c>
      <c r="O345" s="3">
        <v>1659.3366720000004</v>
      </c>
      <c r="P345" s="3">
        <v>1707.7330569999999</v>
      </c>
      <c r="Q345" s="3">
        <v>1740.5955150000002</v>
      </c>
      <c r="R345" s="3">
        <v>1740.1964839999998</v>
      </c>
      <c r="S345" s="3">
        <v>1680.9130870000001</v>
      </c>
      <c r="T345" s="3">
        <v>1624.686978</v>
      </c>
      <c r="U345" s="3">
        <v>1626.9064939999996</v>
      </c>
      <c r="V345" s="3">
        <v>1625.14456</v>
      </c>
      <c r="W345" s="3">
        <v>1638.050935</v>
      </c>
      <c r="X345" s="3">
        <v>1848.5405370000003</v>
      </c>
      <c r="Y345" s="3">
        <v>1981.9518050000001</v>
      </c>
      <c r="Z345" s="3">
        <v>1942.8640639999999</v>
      </c>
      <c r="AA345" s="3">
        <v>1884.304255</v>
      </c>
      <c r="AB345" s="3">
        <v>1794.4693009999999</v>
      </c>
      <c r="AC345" s="3">
        <v>1650.3263870000003</v>
      </c>
      <c r="AD345" s="2">
        <v>1976.3000000000002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v>1475.4323989999998</v>
      </c>
      <c r="G346" s="3">
        <v>1354.9938539999998</v>
      </c>
      <c r="H346" s="3">
        <v>1289.4721290000002</v>
      </c>
      <c r="I346" s="3">
        <v>1261.7819559999998</v>
      </c>
      <c r="J346" s="3">
        <v>1270.9228380000002</v>
      </c>
      <c r="K346" s="3">
        <v>1271.2632040000001</v>
      </c>
      <c r="L346" s="3">
        <v>1298.423468</v>
      </c>
      <c r="M346" s="3">
        <v>1355.906299</v>
      </c>
      <c r="N346" s="3">
        <v>1515.1999999999998</v>
      </c>
      <c r="O346" s="3">
        <v>1636.5963959999999</v>
      </c>
      <c r="P346" s="3">
        <v>1722.4945400000004</v>
      </c>
      <c r="Q346" s="3">
        <v>1747.561864</v>
      </c>
      <c r="R346" s="3">
        <v>1732.7998020000002</v>
      </c>
      <c r="S346" s="3">
        <v>1676.5387349999996</v>
      </c>
      <c r="T346" s="3">
        <v>1607.027914</v>
      </c>
      <c r="U346" s="3">
        <v>1668.1839239999999</v>
      </c>
      <c r="V346" s="3">
        <v>1666.6000000000001</v>
      </c>
      <c r="W346" s="3">
        <v>1704.9278519999998</v>
      </c>
      <c r="X346" s="3">
        <v>1836.1031159999998</v>
      </c>
      <c r="Y346" s="3">
        <v>1913.2198660000004</v>
      </c>
      <c r="Z346" s="3">
        <v>1849.1564360000002</v>
      </c>
      <c r="AA346" s="3">
        <v>1817.3570609999999</v>
      </c>
      <c r="AB346" s="3">
        <v>1738.0961300000001</v>
      </c>
      <c r="AC346" s="3">
        <v>1601.1682410000001</v>
      </c>
      <c r="AD346" s="2">
        <v>1902.3999999999996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v>1444.1961119999999</v>
      </c>
      <c r="G347" s="3">
        <v>1314.5143050000001</v>
      </c>
      <c r="H347" s="3">
        <v>1249.69389</v>
      </c>
      <c r="I347" s="3">
        <v>1229.34158</v>
      </c>
      <c r="J347" s="3">
        <v>1209.5671359999999</v>
      </c>
      <c r="K347" s="3">
        <v>1216.03495</v>
      </c>
      <c r="L347" s="3">
        <v>1209.495502</v>
      </c>
      <c r="M347" s="3">
        <v>1179.3451810000001</v>
      </c>
      <c r="N347" s="3">
        <v>1256.5429670000001</v>
      </c>
      <c r="O347" s="3">
        <v>1357.8906919999999</v>
      </c>
      <c r="P347" s="3">
        <v>1453.3417830000001</v>
      </c>
      <c r="Q347" s="3">
        <v>1499.9</v>
      </c>
      <c r="R347" s="3">
        <v>1503.2502259999999</v>
      </c>
      <c r="S347" s="3">
        <v>1457.9067439999999</v>
      </c>
      <c r="T347" s="3">
        <v>1397.4</v>
      </c>
      <c r="U347" s="3">
        <v>1394.1163839999997</v>
      </c>
      <c r="V347" s="3">
        <v>1408.3669639999998</v>
      </c>
      <c r="W347" s="3">
        <v>1441.6507200000003</v>
      </c>
      <c r="X347" s="3">
        <v>1670.1999999999998</v>
      </c>
      <c r="Y347" s="3">
        <v>1809.560784</v>
      </c>
      <c r="Z347" s="3">
        <v>1788.0723100000002</v>
      </c>
      <c r="AA347" s="3">
        <v>1757.8877629999999</v>
      </c>
      <c r="AB347" s="3">
        <v>1682.1531480000001</v>
      </c>
      <c r="AC347" s="3">
        <v>1544.3019750000003</v>
      </c>
      <c r="AD347" s="2">
        <v>1796.0000000000002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v>1380.49532</v>
      </c>
      <c r="G348" s="3">
        <v>1254.5080480000001</v>
      </c>
      <c r="H348" s="3">
        <v>1206.3742759999998</v>
      </c>
      <c r="I348" s="3">
        <v>1184.560088</v>
      </c>
      <c r="J348" s="3">
        <v>1185.71965</v>
      </c>
      <c r="K348" s="3">
        <v>1201.8000000000002</v>
      </c>
      <c r="L348" s="3">
        <v>1254.0451600000001</v>
      </c>
      <c r="M348" s="3">
        <v>1323.4786319999998</v>
      </c>
      <c r="N348" s="3">
        <v>1509.8000000000002</v>
      </c>
      <c r="O348" s="3">
        <v>1643.85663</v>
      </c>
      <c r="P348" s="3">
        <v>1710.1874</v>
      </c>
      <c r="Q348" s="3">
        <v>1729.4999999999998</v>
      </c>
      <c r="R348" s="3">
        <v>1634.4504420000003</v>
      </c>
      <c r="S348" s="3">
        <v>1565.4707539999999</v>
      </c>
      <c r="T348" s="3">
        <v>1526.8090040000002</v>
      </c>
      <c r="U348" s="3">
        <v>1570.082776</v>
      </c>
      <c r="V348" s="3">
        <v>1577.3792060000001</v>
      </c>
      <c r="W348" s="3">
        <v>1648.8433019999998</v>
      </c>
      <c r="X348" s="3">
        <v>1803.2692519999998</v>
      </c>
      <c r="Y348" s="3">
        <v>1941.8550799999996</v>
      </c>
      <c r="Z348" s="3">
        <v>1912.5149780000004</v>
      </c>
      <c r="AA348" s="3">
        <v>1857.869535</v>
      </c>
      <c r="AB348" s="3">
        <v>1755.63499</v>
      </c>
      <c r="AC348" s="3">
        <v>1606.6649769999999</v>
      </c>
      <c r="AD348" s="2">
        <v>1966.6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v>1433.2099720000001</v>
      </c>
      <c r="G349" s="3">
        <v>1323.7184099999999</v>
      </c>
      <c r="H349" s="3">
        <v>1267.5120710000001</v>
      </c>
      <c r="I349" s="3">
        <v>1250.9818639999999</v>
      </c>
      <c r="J349" s="3">
        <v>1233.84413</v>
      </c>
      <c r="K349" s="3">
        <v>1242.2424879999999</v>
      </c>
      <c r="L349" s="3">
        <v>1282.3043</v>
      </c>
      <c r="M349" s="3">
        <v>1332.38924</v>
      </c>
      <c r="N349" s="3">
        <v>1611.8</v>
      </c>
      <c r="O349" s="3">
        <v>1629.2549979999999</v>
      </c>
      <c r="P349" s="3">
        <v>1632.9</v>
      </c>
      <c r="Q349" s="3">
        <v>1642.1190599999998</v>
      </c>
      <c r="R349" s="3">
        <v>1621.5130220000001</v>
      </c>
      <c r="S349" s="3">
        <v>1595.55648</v>
      </c>
      <c r="T349" s="3">
        <v>1560.8464039999999</v>
      </c>
      <c r="U349" s="3">
        <v>1565.8</v>
      </c>
      <c r="V349" s="3">
        <v>1562.6878759999997</v>
      </c>
      <c r="W349" s="3">
        <v>1667.6000000000001</v>
      </c>
      <c r="X349" s="3">
        <v>1882.1</v>
      </c>
      <c r="Y349" s="3">
        <v>1969.2786230000002</v>
      </c>
      <c r="Z349" s="3">
        <v>1924.897665</v>
      </c>
      <c r="AA349" s="3">
        <v>1858.8999999999999</v>
      </c>
      <c r="AB349" s="3">
        <v>1760.1237699999999</v>
      </c>
      <c r="AC349" s="3">
        <v>1604.1228449999996</v>
      </c>
      <c r="AD349" s="2">
        <v>1983.1999999999996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v>1437.4021300000002</v>
      </c>
      <c r="G350" s="3">
        <v>1313.2843690000002</v>
      </c>
      <c r="H350" s="3">
        <v>1271</v>
      </c>
      <c r="I350" s="3">
        <v>1249.6402230000001</v>
      </c>
      <c r="J350" s="3">
        <v>1233.887342</v>
      </c>
      <c r="K350" s="3">
        <v>1251.4918499999999</v>
      </c>
      <c r="L350" s="3">
        <v>1301.84085</v>
      </c>
      <c r="M350" s="3">
        <v>1368.4255519999999</v>
      </c>
      <c r="N350" s="3">
        <v>1531.1</v>
      </c>
      <c r="O350" s="3">
        <v>1569.9</v>
      </c>
      <c r="P350" s="3">
        <v>1731.1985689999999</v>
      </c>
      <c r="Q350" s="3">
        <v>1743.3129959999999</v>
      </c>
      <c r="R350" s="3">
        <v>1712.2379560000002</v>
      </c>
      <c r="S350" s="3">
        <v>1686.2480479999999</v>
      </c>
      <c r="T350" s="3">
        <v>1649.7</v>
      </c>
      <c r="U350" s="3">
        <v>1672.768632</v>
      </c>
      <c r="V350" s="3">
        <v>1690.5236160000002</v>
      </c>
      <c r="W350" s="3">
        <v>1729.806276</v>
      </c>
      <c r="X350" s="3">
        <v>1892.2356839999998</v>
      </c>
      <c r="Y350" s="3">
        <v>1963.2432130000002</v>
      </c>
      <c r="Z350" s="3">
        <v>1909.1000000000001</v>
      </c>
      <c r="AA350" s="3">
        <v>1852.0000000000002</v>
      </c>
      <c r="AB350" s="3">
        <v>1743.4673750000002</v>
      </c>
      <c r="AC350" s="3">
        <v>1598.1312399999999</v>
      </c>
      <c r="AD350" s="2">
        <v>1984.3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v>1415.4460800000002</v>
      </c>
      <c r="G351" s="3">
        <v>1304.3562260000001</v>
      </c>
      <c r="H351" s="3">
        <v>1240.1053240000001</v>
      </c>
      <c r="I351" s="3">
        <v>1227.8164320000001</v>
      </c>
      <c r="J351" s="3">
        <v>1211.025316</v>
      </c>
      <c r="K351" s="3">
        <v>1234.5</v>
      </c>
      <c r="L351" s="3">
        <v>1271.687776</v>
      </c>
      <c r="M351" s="3">
        <v>1327.4918150000001</v>
      </c>
      <c r="N351" s="3">
        <v>1489.6744859999999</v>
      </c>
      <c r="O351" s="3">
        <v>1614.476064</v>
      </c>
      <c r="P351" s="3">
        <v>1689.1000000000001</v>
      </c>
      <c r="Q351" s="3">
        <v>1715.827855</v>
      </c>
      <c r="R351" s="3">
        <v>1685.9799460000002</v>
      </c>
      <c r="S351" s="3">
        <v>1638.6795320000001</v>
      </c>
      <c r="T351" s="3">
        <v>1596.6000000000001</v>
      </c>
      <c r="U351" s="3">
        <v>1598.1695159999997</v>
      </c>
      <c r="V351" s="3">
        <v>1606.9648749999999</v>
      </c>
      <c r="W351" s="3">
        <v>1636.8496259999997</v>
      </c>
      <c r="X351" s="3">
        <v>1823.0546640000002</v>
      </c>
      <c r="Y351" s="3">
        <v>1936.4967790000001</v>
      </c>
      <c r="Z351" s="3">
        <v>1904.5360839999998</v>
      </c>
      <c r="AA351" s="3">
        <v>1842.7723480000002</v>
      </c>
      <c r="AB351" s="3">
        <v>1751.5469750000002</v>
      </c>
      <c r="AC351" s="3">
        <v>1616.078254</v>
      </c>
      <c r="AD351" s="2">
        <v>1893.3999999999999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v>1450.78836</v>
      </c>
      <c r="G352" s="3">
        <v>1334.5113199999998</v>
      </c>
      <c r="H352" s="3">
        <v>1279.9009339999998</v>
      </c>
      <c r="I352" s="3">
        <v>1250.7527490000002</v>
      </c>
      <c r="J352" s="3">
        <v>1241.7879439999999</v>
      </c>
      <c r="K352" s="3">
        <v>1235.6660900000002</v>
      </c>
      <c r="L352" s="3">
        <v>1267.2</v>
      </c>
      <c r="M352" s="3">
        <v>1331.1</v>
      </c>
      <c r="N352" s="3">
        <v>1458.27205</v>
      </c>
      <c r="O352" s="3">
        <v>1573.9501419999997</v>
      </c>
      <c r="P352" s="3">
        <v>1671.967408</v>
      </c>
      <c r="Q352" s="3">
        <v>1720.2171449999998</v>
      </c>
      <c r="R352" s="3">
        <v>1718.919746</v>
      </c>
      <c r="S352" s="3">
        <v>1656.414912</v>
      </c>
      <c r="T352" s="3">
        <v>1599.468343</v>
      </c>
      <c r="U352" s="3">
        <v>1587.6486199999999</v>
      </c>
      <c r="V352" s="3">
        <v>1584.7</v>
      </c>
      <c r="W352" s="3">
        <v>1613.4000000000003</v>
      </c>
      <c r="X352" s="3">
        <v>1799.2340119999999</v>
      </c>
      <c r="Y352" s="3">
        <v>1904.8913359999997</v>
      </c>
      <c r="Z352" s="3">
        <v>1874.7</v>
      </c>
      <c r="AA352" s="3">
        <v>1801.1864299999997</v>
      </c>
      <c r="AB352" s="3">
        <v>1713.3657120000003</v>
      </c>
      <c r="AC352" s="3">
        <v>1568.8339599999999</v>
      </c>
      <c r="AD352" s="2">
        <v>1906.1999999999998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v>1405.9680989999999</v>
      </c>
      <c r="G353" s="3">
        <v>1292.8509479999998</v>
      </c>
      <c r="H353" s="3">
        <v>1243.6483629999998</v>
      </c>
      <c r="I353" s="3">
        <v>1222.7374490000002</v>
      </c>
      <c r="J353" s="3">
        <v>1214.1984239999997</v>
      </c>
      <c r="K353" s="3">
        <v>1222.7830629999999</v>
      </c>
      <c r="L353" s="3">
        <v>1234.4555639999999</v>
      </c>
      <c r="M353" s="3">
        <v>1254.8074359999998</v>
      </c>
      <c r="N353" s="3">
        <v>1418.3377149999999</v>
      </c>
      <c r="O353" s="3">
        <v>1575.9</v>
      </c>
      <c r="P353" s="3">
        <v>1653.3999999999999</v>
      </c>
      <c r="Q353" s="3">
        <v>1701.9165780000001</v>
      </c>
      <c r="R353" s="3">
        <v>1691.2836519999998</v>
      </c>
      <c r="S353" s="3">
        <v>1616.8602340000002</v>
      </c>
      <c r="T353" s="3">
        <v>1561.7108999999998</v>
      </c>
      <c r="U353" s="3">
        <v>1543.4006860000002</v>
      </c>
      <c r="V353" s="3">
        <v>1541.6041729999997</v>
      </c>
      <c r="W353" s="3">
        <v>1575.8656320000002</v>
      </c>
      <c r="X353" s="3">
        <v>1750.0837879999997</v>
      </c>
      <c r="Y353" s="3">
        <v>1874.5142079999998</v>
      </c>
      <c r="Z353" s="3">
        <v>1839.3900960000001</v>
      </c>
      <c r="AA353" s="3">
        <v>1794.5833759999998</v>
      </c>
      <c r="AB353" s="3">
        <v>1696.1925799999999</v>
      </c>
      <c r="AC353" s="3">
        <v>1569.3000000000002</v>
      </c>
      <c r="AD353" s="2">
        <v>1866.6000000000001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v>1416.22559</v>
      </c>
      <c r="G354" s="3">
        <v>1296.5999999999999</v>
      </c>
      <c r="H354" s="3">
        <v>1228.2</v>
      </c>
      <c r="I354" s="3">
        <v>1200.4591650000002</v>
      </c>
      <c r="J354" s="3">
        <v>1193.077035</v>
      </c>
      <c r="K354" s="3">
        <v>1194.2999999999997</v>
      </c>
      <c r="L354" s="3">
        <v>1166.8795699999998</v>
      </c>
      <c r="M354" s="3">
        <v>1119.8854290000002</v>
      </c>
      <c r="N354" s="3">
        <v>1210.3012700000002</v>
      </c>
      <c r="O354" s="3">
        <v>1326.1575439999999</v>
      </c>
      <c r="P354" s="3">
        <v>1423.6</v>
      </c>
      <c r="Q354" s="3">
        <v>1456.2040919999997</v>
      </c>
      <c r="R354" s="3">
        <v>1451.3449449999998</v>
      </c>
      <c r="S354" s="3">
        <v>1410.8579119999999</v>
      </c>
      <c r="T354" s="3">
        <v>1371.271082</v>
      </c>
      <c r="U354" s="3">
        <v>1346.1997700000002</v>
      </c>
      <c r="V354" s="3">
        <v>1350.0934200000002</v>
      </c>
      <c r="W354" s="3">
        <v>1403.3214330000001</v>
      </c>
      <c r="X354" s="3">
        <v>1632.6208280000001</v>
      </c>
      <c r="Y354" s="3">
        <v>1790.1450279999999</v>
      </c>
      <c r="Z354" s="3">
        <v>1763.243708</v>
      </c>
      <c r="AA354" s="3">
        <v>1725.7399960000002</v>
      </c>
      <c r="AB354" s="3">
        <v>1653.398674</v>
      </c>
      <c r="AC354" s="3">
        <v>1517.8683960000001</v>
      </c>
      <c r="AD354" s="2">
        <v>1750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v>1343.8222600000001</v>
      </c>
      <c r="G355" s="3">
        <v>1243.3</v>
      </c>
      <c r="H355" s="3">
        <v>1194.8268210000001</v>
      </c>
      <c r="I355" s="3">
        <v>1166.4088380000003</v>
      </c>
      <c r="J355" s="3">
        <v>1165.5357750000001</v>
      </c>
      <c r="K355" s="3">
        <v>1187.0566550000001</v>
      </c>
      <c r="L355" s="3">
        <v>1221.7622450000001</v>
      </c>
      <c r="M355" s="3">
        <v>1315.16884</v>
      </c>
      <c r="N355" s="3">
        <v>1495.976985</v>
      </c>
      <c r="O355" s="3">
        <v>1635.3425539999998</v>
      </c>
      <c r="P355" s="3">
        <v>1698.9400149999999</v>
      </c>
      <c r="Q355" s="3">
        <v>1719.933675</v>
      </c>
      <c r="R355" s="3">
        <v>1719.2</v>
      </c>
      <c r="S355" s="3">
        <v>1656.7</v>
      </c>
      <c r="T355" s="3">
        <v>1616.3000000000002</v>
      </c>
      <c r="U355" s="3">
        <v>1632.8907519999998</v>
      </c>
      <c r="V355" s="3">
        <v>1639.5431659999997</v>
      </c>
      <c r="W355" s="3">
        <v>1667.82635</v>
      </c>
      <c r="X355" s="3">
        <v>1834.4962819999996</v>
      </c>
      <c r="Y355" s="3">
        <v>1935.6000000000001</v>
      </c>
      <c r="Z355" s="3">
        <v>1903.1</v>
      </c>
      <c r="AA355" s="3">
        <v>1849.3563009999998</v>
      </c>
      <c r="AB355" s="3">
        <v>1762.0666549999999</v>
      </c>
      <c r="AC355" s="3">
        <v>1627.2240410000002</v>
      </c>
      <c r="AD355" s="2">
        <v>1935.3999999999999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v>1294.0943479999999</v>
      </c>
      <c r="G356" s="3">
        <v>1231.9210319999997</v>
      </c>
      <c r="H356" s="3">
        <v>1281.2901919999999</v>
      </c>
      <c r="I356" s="3">
        <v>1325.521776</v>
      </c>
      <c r="J356" s="3">
        <v>1256.652351</v>
      </c>
      <c r="K356" s="3">
        <v>1296.1665540000001</v>
      </c>
      <c r="L356" s="3">
        <v>1289.5773659999998</v>
      </c>
      <c r="M356" s="3">
        <v>1353.6999999999998</v>
      </c>
      <c r="N356" s="3">
        <v>1508.1505</v>
      </c>
      <c r="O356" s="3">
        <v>1623.1000000000001</v>
      </c>
      <c r="P356" s="3">
        <v>1602.9</v>
      </c>
      <c r="Q356" s="3">
        <v>1614.7733409999998</v>
      </c>
      <c r="R356" s="3">
        <v>1589.3131800000001</v>
      </c>
      <c r="S356" s="3">
        <v>1598.983082</v>
      </c>
      <c r="T356" s="3">
        <v>1551.129154</v>
      </c>
      <c r="U356" s="3">
        <v>1567.300802</v>
      </c>
      <c r="V356" s="3">
        <v>1562.8966060000002</v>
      </c>
      <c r="W356" s="3">
        <v>1575.8090500000003</v>
      </c>
      <c r="X356" s="3">
        <v>1760.4</v>
      </c>
      <c r="Y356" s="3">
        <v>1912.8000000000004</v>
      </c>
      <c r="Z356" s="3">
        <v>1877.1543960000001</v>
      </c>
      <c r="AA356" s="3">
        <v>1844.3679699999998</v>
      </c>
      <c r="AB356" s="3">
        <v>1842.2148360000001</v>
      </c>
      <c r="AC356" s="3">
        <v>1710.6160399999999</v>
      </c>
      <c r="AD356" s="2">
        <v>1944.6000000000001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v>1452.9122280000001</v>
      </c>
      <c r="G357" s="3">
        <v>1336.1321800000001</v>
      </c>
      <c r="H357" s="3">
        <v>1274.9000000000001</v>
      </c>
      <c r="I357" s="3">
        <v>1254.9201499999999</v>
      </c>
      <c r="J357" s="3">
        <v>1247.1626019999999</v>
      </c>
      <c r="K357" s="3">
        <v>1249.4379080000001</v>
      </c>
      <c r="L357" s="3">
        <v>1281.1000000000001</v>
      </c>
      <c r="M357" s="3">
        <v>1326.5550700000001</v>
      </c>
      <c r="N357" s="3">
        <v>1518.0759140000002</v>
      </c>
      <c r="O357" s="3">
        <v>1650.2855499999998</v>
      </c>
      <c r="P357" s="3">
        <v>1696.8321329999997</v>
      </c>
      <c r="Q357" s="3">
        <v>1709.9178249999995</v>
      </c>
      <c r="R357" s="3">
        <v>1700.5183319999999</v>
      </c>
      <c r="S357" s="3">
        <v>1642.9</v>
      </c>
      <c r="T357" s="3">
        <v>1584.1898650000001</v>
      </c>
      <c r="U357" s="3">
        <v>1588.8</v>
      </c>
      <c r="V357" s="3">
        <v>1576.269456</v>
      </c>
      <c r="W357" s="3">
        <v>1582.3000000000002</v>
      </c>
      <c r="X357" s="3">
        <v>1760.2001050000001</v>
      </c>
      <c r="Y357" s="3">
        <v>1936.2190580000001</v>
      </c>
      <c r="Z357" s="3">
        <v>1910.9449659999998</v>
      </c>
      <c r="AA357" s="3">
        <v>1854.8498599999998</v>
      </c>
      <c r="AB357" s="3">
        <v>1768.8842499999998</v>
      </c>
      <c r="AC357" s="3">
        <v>1576.8789280000001</v>
      </c>
      <c r="AD357" s="2">
        <v>1917.8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v>1440.6360320000001</v>
      </c>
      <c r="G358" s="3">
        <v>1310.38652</v>
      </c>
      <c r="H358" s="3">
        <v>1253.9000000000001</v>
      </c>
      <c r="I358" s="3">
        <v>1228.7484550000001</v>
      </c>
      <c r="J358" s="3">
        <v>1220.0999999999999</v>
      </c>
      <c r="K358" s="3">
        <v>1239.9675539999998</v>
      </c>
      <c r="L358" s="3">
        <v>1270.0990920000002</v>
      </c>
      <c r="M358" s="3">
        <v>1370.4004600000001</v>
      </c>
      <c r="N358" s="3">
        <v>1566.7984840000001</v>
      </c>
      <c r="O358" s="3">
        <v>1672.7547089999998</v>
      </c>
      <c r="P358" s="3">
        <v>1731.440707</v>
      </c>
      <c r="Q358" s="3">
        <v>1764.7000000000003</v>
      </c>
      <c r="R358" s="3">
        <v>1680.8819120000001</v>
      </c>
      <c r="S358" s="3">
        <v>1631.9319939999998</v>
      </c>
      <c r="T358" s="3">
        <v>1607.440568</v>
      </c>
      <c r="U358" s="3">
        <v>1610.523242</v>
      </c>
      <c r="V358" s="3">
        <v>1587.4999999999998</v>
      </c>
      <c r="W358" s="3">
        <v>1572.2106960000001</v>
      </c>
      <c r="X358" s="3">
        <v>1744.8000000000002</v>
      </c>
      <c r="Y358" s="3">
        <v>1919.5363659999996</v>
      </c>
      <c r="Z358" s="3">
        <v>1884.2481279999997</v>
      </c>
      <c r="AA358" s="3">
        <v>1827.5100879999998</v>
      </c>
      <c r="AB358" s="3">
        <v>1749.2681879999998</v>
      </c>
      <c r="AC358" s="3">
        <v>1615.8991300000005</v>
      </c>
      <c r="AD358" s="2">
        <v>1902.1000000000001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v>1446.2305899999997</v>
      </c>
      <c r="G359" s="3">
        <v>1326.1381200000001</v>
      </c>
      <c r="H359" s="3">
        <v>1262.4415389999999</v>
      </c>
      <c r="I359" s="3">
        <v>1243.2513310000002</v>
      </c>
      <c r="J359" s="3">
        <v>1240.2576750000001</v>
      </c>
      <c r="K359" s="3">
        <v>1246.2498519999997</v>
      </c>
      <c r="L359" s="3">
        <v>1264.419721</v>
      </c>
      <c r="M359" s="3">
        <v>1338.0000000000002</v>
      </c>
      <c r="N359" s="3">
        <v>1509.4850430000004</v>
      </c>
      <c r="O359" s="3">
        <v>1627.51054</v>
      </c>
      <c r="P359" s="3">
        <v>1689.2434580000001</v>
      </c>
      <c r="Q359" s="3">
        <v>1714</v>
      </c>
      <c r="R359" s="3">
        <v>1691.7918119999999</v>
      </c>
      <c r="S359" s="3">
        <v>1632.1532979999999</v>
      </c>
      <c r="T359" s="3">
        <v>1566.5000000000002</v>
      </c>
      <c r="U359" s="3">
        <v>1571.1318980000001</v>
      </c>
      <c r="V359" s="3">
        <v>1562.9253550000001</v>
      </c>
      <c r="W359" s="3">
        <v>1607.3999999999999</v>
      </c>
      <c r="X359" s="3">
        <v>1773.4577780000002</v>
      </c>
      <c r="Y359" s="3">
        <v>1915.2264799999998</v>
      </c>
      <c r="Z359" s="3">
        <v>1896.5652480000003</v>
      </c>
      <c r="AA359" s="3">
        <v>1843.1955399999999</v>
      </c>
      <c r="AB359" s="3">
        <v>1761.7408520000001</v>
      </c>
      <c r="AC359" s="3">
        <v>1621.315572</v>
      </c>
      <c r="AD359" s="2">
        <v>1898.1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v>1443.2828280000001</v>
      </c>
      <c r="G360" s="3">
        <v>1325.425473</v>
      </c>
      <c r="H360" s="3">
        <v>1275.502432</v>
      </c>
      <c r="I360" s="3">
        <v>1238.753524</v>
      </c>
      <c r="J360" s="3">
        <v>1225.919594</v>
      </c>
      <c r="K360" s="3">
        <v>1239.491626</v>
      </c>
      <c r="L360" s="3">
        <v>1249.0890039999999</v>
      </c>
      <c r="M360" s="3">
        <v>1312.4838080000002</v>
      </c>
      <c r="N360" s="3">
        <v>1515.0876440000002</v>
      </c>
      <c r="O360" s="3">
        <v>1641.4033320000001</v>
      </c>
      <c r="P360" s="3">
        <v>1691.9415200000005</v>
      </c>
      <c r="Q360" s="3">
        <v>1694.8890099999999</v>
      </c>
      <c r="R360" s="3">
        <v>1653.4984050000003</v>
      </c>
      <c r="S360" s="3">
        <v>1627.8140080000003</v>
      </c>
      <c r="T360" s="3">
        <v>1572.0322040000001</v>
      </c>
      <c r="U360" s="3">
        <v>1532.3</v>
      </c>
      <c r="V360" s="3">
        <v>1535.60096</v>
      </c>
      <c r="W360" s="3">
        <v>1547.006296</v>
      </c>
      <c r="X360" s="3">
        <v>1712.8741880000002</v>
      </c>
      <c r="Y360" s="3">
        <v>1904.5385320000003</v>
      </c>
      <c r="Z360" s="3">
        <v>1878.1787709999999</v>
      </c>
      <c r="AA360" s="3">
        <v>1832.2506860000001</v>
      </c>
      <c r="AB360" s="3">
        <v>1754.3426400000003</v>
      </c>
      <c r="AC360" s="3">
        <v>1627.5624949999999</v>
      </c>
      <c r="AD360" s="2">
        <v>1907.2000000000003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v>1456.3652959999999</v>
      </c>
      <c r="G361" s="3">
        <v>1329.526212</v>
      </c>
      <c r="H361" s="3">
        <v>1267.1774680000001</v>
      </c>
      <c r="I361" s="3">
        <v>1242.5414170000001</v>
      </c>
      <c r="J361" s="3">
        <v>1211.3663200000001</v>
      </c>
      <c r="K361" s="3">
        <v>1210.8349959999998</v>
      </c>
      <c r="L361" s="3">
        <v>1177.4848889999998</v>
      </c>
      <c r="M361" s="3">
        <v>1174.1135300000001</v>
      </c>
      <c r="N361" s="3">
        <v>1280.1313900000002</v>
      </c>
      <c r="O361" s="3">
        <v>1391.274525</v>
      </c>
      <c r="P361" s="3">
        <v>1469.791328</v>
      </c>
      <c r="Q361" s="3">
        <v>1498.3753320000003</v>
      </c>
      <c r="R361" s="3">
        <v>1486.0532720000001</v>
      </c>
      <c r="S361" s="3">
        <v>1440.596916</v>
      </c>
      <c r="T361" s="3">
        <v>1405.7624759999999</v>
      </c>
      <c r="U361" s="3">
        <v>1390.3240979999998</v>
      </c>
      <c r="V361" s="3">
        <v>1389.2454419999999</v>
      </c>
      <c r="W361" s="3">
        <v>1403.5</v>
      </c>
      <c r="X361" s="3">
        <v>1587.6474020000001</v>
      </c>
      <c r="Y361" s="3">
        <v>1811.761039</v>
      </c>
      <c r="Z361" s="3">
        <v>1809.7236080000002</v>
      </c>
      <c r="AA361" s="3">
        <v>1772.7619599999998</v>
      </c>
      <c r="AB361" s="3">
        <v>1686.0191</v>
      </c>
      <c r="AC361" s="3">
        <v>1558.2697479999997</v>
      </c>
      <c r="AD361" s="2">
        <v>1817.0000000000002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v>1387.355718</v>
      </c>
      <c r="G362" s="3">
        <v>1270.4796449999999</v>
      </c>
      <c r="H362" s="3">
        <v>1219.9485720000002</v>
      </c>
      <c r="I362" s="3">
        <v>1180.5999999999999</v>
      </c>
      <c r="J362" s="3">
        <v>1174.0360000000001</v>
      </c>
      <c r="K362" s="3">
        <v>1193.3</v>
      </c>
      <c r="L362" s="3">
        <v>1217.4646929999999</v>
      </c>
      <c r="M362" s="3">
        <v>1300.0999999999999</v>
      </c>
      <c r="N362" s="3">
        <v>1465.6368870000001</v>
      </c>
      <c r="O362" s="3">
        <v>1601.569567</v>
      </c>
      <c r="P362" s="3">
        <v>1658.9609310000001</v>
      </c>
      <c r="Q362" s="3">
        <v>1671.4999999999998</v>
      </c>
      <c r="R362" s="3">
        <v>1659.7123110000002</v>
      </c>
      <c r="S362" s="3">
        <v>1614.9378790000001</v>
      </c>
      <c r="T362" s="3">
        <v>1567.4703459999998</v>
      </c>
      <c r="U362" s="3">
        <v>1563.5429360000001</v>
      </c>
      <c r="V362" s="3">
        <v>1559.0226659999998</v>
      </c>
      <c r="W362" s="3">
        <v>1577.3189600000001</v>
      </c>
      <c r="X362" s="3">
        <v>1738.2</v>
      </c>
      <c r="Y362" s="3">
        <v>1888.7938000000001</v>
      </c>
      <c r="Z362" s="3">
        <v>1868.9455649999998</v>
      </c>
      <c r="AA362" s="3">
        <v>1822.4160040000002</v>
      </c>
      <c r="AB362" s="3">
        <v>1740.5974020000001</v>
      </c>
      <c r="AC362" s="3">
        <v>1591.1587999999999</v>
      </c>
      <c r="AD362" s="2">
        <v>1886.5999999999997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v>1406.1988019999999</v>
      </c>
      <c r="G363" s="3">
        <v>1283.9457300000001</v>
      </c>
      <c r="H363" s="3">
        <v>1221.944084</v>
      </c>
      <c r="I363" s="3">
        <v>1200.029468</v>
      </c>
      <c r="J363" s="3">
        <v>1187.4373780000001</v>
      </c>
      <c r="K363" s="3">
        <v>1202.4720370000002</v>
      </c>
      <c r="L363" s="3">
        <v>1194.8</v>
      </c>
      <c r="M363" s="3">
        <v>1232.1855059999998</v>
      </c>
      <c r="N363" s="3">
        <v>1443.048209</v>
      </c>
      <c r="O363" s="3">
        <v>1586.4</v>
      </c>
      <c r="P363" s="3">
        <v>1607.8126450000002</v>
      </c>
      <c r="Q363" s="3">
        <v>1644.8451889999999</v>
      </c>
      <c r="R363" s="3">
        <v>1618.937842</v>
      </c>
      <c r="S363" s="3">
        <v>1577.1192640000002</v>
      </c>
      <c r="T363" s="3">
        <v>1520.133716</v>
      </c>
      <c r="U363" s="3">
        <v>1518.3297239999997</v>
      </c>
      <c r="V363" s="3">
        <v>1558.2</v>
      </c>
      <c r="W363" s="3">
        <v>1641.2</v>
      </c>
      <c r="X363" s="3">
        <v>1719.3911230000003</v>
      </c>
      <c r="Y363" s="3">
        <v>1862.2350800000002</v>
      </c>
      <c r="Z363" s="3">
        <v>1824.6534909999996</v>
      </c>
      <c r="AA363" s="3">
        <v>1776.478685</v>
      </c>
      <c r="AB363" s="3">
        <v>1687.5140000000001</v>
      </c>
      <c r="AC363" s="3">
        <v>1528.31862</v>
      </c>
      <c r="AD363" s="2">
        <v>1854.6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v>1364.1599119999998</v>
      </c>
      <c r="G364" s="3">
        <v>1250.760878</v>
      </c>
      <c r="H364" s="3">
        <v>1197.673955</v>
      </c>
      <c r="I364" s="3">
        <v>1163.9072060000001</v>
      </c>
      <c r="J364" s="3">
        <v>1159.8719919999999</v>
      </c>
      <c r="K364" s="3">
        <v>1180.26631</v>
      </c>
      <c r="L364" s="3">
        <v>1179.8</v>
      </c>
      <c r="M364" s="3">
        <v>1216.591019</v>
      </c>
      <c r="N364" s="3">
        <v>1373.1840110000001</v>
      </c>
      <c r="O364" s="3">
        <v>1501.0842200000002</v>
      </c>
      <c r="P364" s="3">
        <v>1574.3179889999999</v>
      </c>
      <c r="Q364" s="3">
        <v>1597.830076</v>
      </c>
      <c r="R364" s="3">
        <v>1579.9562639999999</v>
      </c>
      <c r="S364" s="3">
        <v>1509.1543199999999</v>
      </c>
      <c r="T364" s="3">
        <v>1465.4748959999997</v>
      </c>
      <c r="U364" s="3">
        <v>1456.042854</v>
      </c>
      <c r="V364" s="3">
        <v>1455.227032</v>
      </c>
      <c r="W364" s="3">
        <v>1480.339078</v>
      </c>
      <c r="X364" s="3">
        <v>1634.7965659999998</v>
      </c>
      <c r="Y364" s="3">
        <v>1810.261039</v>
      </c>
      <c r="Z364" s="3">
        <v>1779.2763400000003</v>
      </c>
      <c r="AA364" s="3">
        <v>1738.9999999999998</v>
      </c>
      <c r="AB364" s="3">
        <v>1668.232816</v>
      </c>
      <c r="AC364" s="3">
        <v>1542.2865549999999</v>
      </c>
      <c r="AD364" s="2">
        <v>1812.1999999999998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v>1374.5000000000002</v>
      </c>
      <c r="G365" s="3">
        <v>1247.89186</v>
      </c>
      <c r="H365" s="3">
        <v>1165.6362620000002</v>
      </c>
      <c r="I365" s="3">
        <v>1131.2164939999998</v>
      </c>
      <c r="J365" s="3">
        <v>1108.63924</v>
      </c>
      <c r="K365" s="3">
        <v>1115.164636</v>
      </c>
      <c r="L365" s="3">
        <v>1088.060252</v>
      </c>
      <c r="M365" s="3">
        <v>1086.0360759999999</v>
      </c>
      <c r="N365" s="3">
        <v>1183.2807069999999</v>
      </c>
      <c r="O365" s="3">
        <v>1311.1999999999998</v>
      </c>
      <c r="P365" s="3">
        <v>1411.4685579999998</v>
      </c>
      <c r="Q365" s="3">
        <v>1426.8259720000001</v>
      </c>
      <c r="R365" s="3">
        <v>1408.4999359999999</v>
      </c>
      <c r="S365" s="3">
        <v>1371.67608</v>
      </c>
      <c r="T365" s="3">
        <v>1339.307444</v>
      </c>
      <c r="U365" s="3">
        <v>1313.8452100000002</v>
      </c>
      <c r="V365" s="3">
        <v>1318.5405360000002</v>
      </c>
      <c r="W365" s="3">
        <v>1336.5074439999999</v>
      </c>
      <c r="X365" s="3">
        <v>1499.5581520000003</v>
      </c>
      <c r="Y365" s="3">
        <v>1715.4255599999999</v>
      </c>
      <c r="Z365" s="3">
        <v>1702.9658240000001</v>
      </c>
      <c r="AA365" s="3">
        <v>1670.2321639999998</v>
      </c>
      <c r="AB365" s="3">
        <v>1615.9814670000003</v>
      </c>
      <c r="AC365" s="3">
        <v>1513.5262420000001</v>
      </c>
      <c r="AD365" s="2">
        <v>1705.3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1349.59393</v>
      </c>
      <c r="G366" s="1">
        <v>1216.7581599999999</v>
      </c>
      <c r="H366" s="1">
        <v>1135.7072269999999</v>
      </c>
      <c r="I366" s="1">
        <v>1086.9241759999998</v>
      </c>
      <c r="J366" s="1">
        <v>1073.7610509999997</v>
      </c>
      <c r="K366" s="1">
        <v>1084.5326249999998</v>
      </c>
      <c r="L366" s="1">
        <v>1042.4074780000001</v>
      </c>
      <c r="M366" s="1">
        <v>1048.5999999999999</v>
      </c>
      <c r="N366" s="1">
        <v>1154.9000000000001</v>
      </c>
      <c r="O366" s="1">
        <v>1272.0999999999999</v>
      </c>
      <c r="P366" s="1">
        <v>1343.7000000000003</v>
      </c>
      <c r="Q366" s="1">
        <v>1362.6096650000002</v>
      </c>
      <c r="R366" s="1">
        <v>1336.909408</v>
      </c>
      <c r="S366" s="1">
        <v>1274.2384119999999</v>
      </c>
      <c r="T366" s="1">
        <v>1219.7107150000002</v>
      </c>
      <c r="U366" s="1">
        <v>1150.78692</v>
      </c>
      <c r="V366" s="1">
        <v>1130.3255059999999</v>
      </c>
      <c r="W366" s="1">
        <v>1158.6811360000002</v>
      </c>
      <c r="X366" s="1">
        <v>1314.814764</v>
      </c>
      <c r="Y366" s="1">
        <v>1533.003074</v>
      </c>
      <c r="Z366" s="1">
        <v>1535.596755</v>
      </c>
      <c r="AA366" s="1">
        <v>1509.065605</v>
      </c>
      <c r="AB366" s="1">
        <v>1475.8543449999997</v>
      </c>
      <c r="AC366" s="1">
        <v>1384.7353559999997</v>
      </c>
      <c r="AD366" s="1">
        <v>1502.3999999999999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1182.4+(661.9-166.6)+(-1.206048+(-0.675138--0.169932))+0-392.7--0.400554000000063</f>
        <v>1283.6893</v>
      </c>
      <c r="G1" s="3">
        <f>1065.7+(990.4-469.6)+(-2.174028+(-2.020416--0.957984))+0-391.6--0.798863999999983</f>
        <v>1192.4624040000001</v>
      </c>
      <c r="H1" s="3">
        <f>1054.7+(867.8-405.2)+(-2.689485+(-2.21289--1.03326))+0-392.2--1.00010999999994</f>
        <v>1122.2309949999999</v>
      </c>
      <c r="I1" s="3">
        <f>1066.8+(809.7-396.1)+(-1.632204+(-1.238841--0.606033))+0-388.5--0.594405000000023</f>
        <v>1090.2293930000001</v>
      </c>
      <c r="J1" s="3">
        <f>1066.7+(733.4-337.3)+(-0.544017+(-0.374034--0.172023))+0-388.7--0.198236999999961</f>
        <v>1073.5522089999999</v>
      </c>
      <c r="K1" s="3">
        <f>1066.1+(792.4-398.6)+(0+(0-0))+0-387.2-0</f>
        <v>1072.6999999999998</v>
      </c>
      <c r="L1" s="3">
        <f>1065.5+(842.6-479.8)+(-0.543405+(-0.429726--0.244698))+0-387.7--0.197726999999961</f>
        <v>1040.0692939999999</v>
      </c>
      <c r="M1" s="3">
        <f>1066.4+(806.8-390.9)+(0+(0-0))+0-389.3-0</f>
        <v>1093.0000000000002</v>
      </c>
      <c r="N1" s="3">
        <f>1093.2+(727.8-294.2)+(-1.115064+(-0.742356--0.300084))+0-387--0.394740000000062</f>
        <v>1138.6374039999998</v>
      </c>
      <c r="O1" s="3">
        <f>1116.9+(798.1-422.3)+(-1.708857+(-1.221093--0.646119))+0-388.1--0.593793000000022</f>
        <v>1102.9099620000002</v>
      </c>
      <c r="P1" s="3">
        <f>1116.9+(745.3-395.8)+(-1.708857+(-1.140309--0.605574))+0-388.7--0.594711000000022</f>
        <v>1076.051119</v>
      </c>
      <c r="Q1" s="3">
        <f>1117+(605.6-267.4)+(-0.56967+(-0.308856--0.136374))+0-388.9--0.198338999999961</f>
        <v>1065.756187</v>
      </c>
      <c r="R1" s="3">
        <f>1117.3+(521.8-209.2)+(0+(0-0))+0-388.4-0</f>
        <v>1041.5</v>
      </c>
      <c r="S1" s="3">
        <f>1117.6+(579.3-282)+(0.569976+(0.295443-0.14382))+0-382.1-0.194870999999961</f>
        <v>1033.3267279999998</v>
      </c>
      <c r="T1" s="3">
        <f>1117+(626-329.7)+(-2.84835+(-1.5963--0.840735))+0-383.7--0.978434999999944</f>
        <v>1026.97452</v>
      </c>
      <c r="U1" s="3">
        <f>1116.6+(678.3-387)+(-1.708398+(-1.037799--0.59211))+0-381--0.582930000000022</f>
        <v>1025.328843</v>
      </c>
      <c r="V1" s="3">
        <f>1118+(623.6-331.2)+(-1.71054+(-0.954108--0.506736))+0-378.2--0.578646000000022</f>
        <v>1030.6207340000001</v>
      </c>
      <c r="W1" s="3">
        <f>1120.1+(592.4-288.8)+(-1.142502+(-0.604248--0.294576))+0-377.7--0.38525400000006</f>
        <v>1044.9330799999998</v>
      </c>
      <c r="X1" s="3">
        <f>1270.6+(615.6-323.1)+(-1.296012+(-0.627912--0.329562))+0-382.4--0.390048000000061</f>
        <v>1179.495686</v>
      </c>
      <c r="Y1" s="3">
        <f>1406.1+(787.2-478.1)+(-1.434222+(-0.802944--0.487662))+0-386.6--0.394332000000062</f>
        <v>1327.2448280000001</v>
      </c>
      <c r="Z1" s="3">
        <f>1404.1+(871.4-579.3)+(-2.148273+(-1.333242--0.886329))+0-391--0.598230000000023</f>
        <v>1303.2030439999999</v>
      </c>
      <c r="AA1" s="3">
        <f>1339.2+(1132.8-778.8)+(-2.048976+(-1.733184--1.191564))+0-391.3--0.598689000000023</f>
        <v>1299.908093</v>
      </c>
      <c r="AB1" s="3">
        <f>1225.5+(1534.7-1096.4)+(-1.875015+(-2.348091--1.677492))+0-389.4--0.595782000000022</f>
        <v>1272.4501680000001</v>
      </c>
      <c r="AC1" s="3">
        <f>1205.2+(1156.6-767.5)+(-4.302564+(-4.129062--2.739975))+0-388.8--1.38801600000001</f>
        <v>1201.196365</v>
      </c>
      <c r="AD1" s="2">
        <v>1294.5</v>
      </c>
      <c r="AE1" s="3">
        <f>1406+(881.9-597.8)+(0+(0-0))+0-391.6-0</f>
        <v>1298.5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1126.2981825000002</v>
      </c>
      <c r="G2" s="3">
        <f>1115+(582.4-256)+(0+(0-0))+0-390-0</f>
        <v>1051.4000000000001</v>
      </c>
      <c r="H2" s="3">
        <f>1115.1+(583.5-276.9)+(-1.706103+(-0.892755--0.423657))+0-389.5--0.595935000000023</f>
        <v>1030.6207339999999</v>
      </c>
      <c r="I2" s="3">
        <f>1114.6+(591.7-295.7)+(-1.705338+(-0.905301--0.452421))+0-390.8--0.597924000000023</f>
        <v>1018.239706</v>
      </c>
      <c r="J2" s="3">
        <f>1114.4+(598.5-320.9)+(-1.705032+(-0.915705--0.490977))+0-388.5--0.594405000000023</f>
        <v>1001.964645</v>
      </c>
      <c r="K2" s="3">
        <f>1089.3+(653.6-356.3)+(1.666629+(1.000008-0.545139))+0-388.2-0.593946000000022</f>
        <v>999.92755199999976</v>
      </c>
      <c r="L2" s="3">
        <f>1082.9+(654.7-348.8)+(-1.656837+(-1.001691--0.533664))+0-387.4--0.592722000000022</f>
        <v>999.8678580000003</v>
      </c>
      <c r="M2" s="3">
        <f>1081.6+(843-573.8)+(0.551616+(0.42993-0.292638))+0-390.7-0.19925699999996</f>
        <v>960.589651</v>
      </c>
      <c r="N2" s="3">
        <f>1062.7+(738.7-437.7)+(0.541977+(0.376737-0.223227))+0-389.7-0.19874699999996</f>
        <v>974.49674000000005</v>
      </c>
      <c r="O2" s="3">
        <f>1036+(877.9-498.3)+(0.52836+(0.447729-0.254133))+0-390.4-0.19910399999996</f>
        <v>1025.7228520000001</v>
      </c>
      <c r="P2" s="3">
        <f>1040.2+(957.1-533.2)+(0+(0-0))+0-390.9-0</f>
        <v>1073.1999999999998</v>
      </c>
      <c r="Q2" s="3">
        <f>984+(825.3-373.9)+(-1.00368+(-0.841806--0.381378))+0-392.2--0.400044000000063</f>
        <v>1042.1359360000001</v>
      </c>
      <c r="R2" s="3">
        <f>920.5+(855.5-306.8)+(0+(0-0))+0-392.7-0</f>
        <v>1076.5</v>
      </c>
      <c r="S2" s="3">
        <f>882.1+(980-405.8)+(0+(0-0))+0-390.9-0</f>
        <v>1065.4000000000001</v>
      </c>
      <c r="T2" s="3">
        <f>883.9+(988.3-435)+(-0.901578+(-1.008066--0.4437))+0-379.7--0.387294000000061</f>
        <v>1056.4213499999998</v>
      </c>
      <c r="U2" s="3">
        <f>883+(928.4-381.4)+(-1.80132+(-1.893936--0.778056))+0-367.9--0.750515999999984</f>
        <v>1059.9333160000001</v>
      </c>
      <c r="V2" s="3">
        <f>885.6+(734.5-207)+(0.903312+(0.74919-0.21114))+0-366.3-0.373626000000058</f>
        <v>1047.8677359999999</v>
      </c>
      <c r="W2" s="3">
        <f>973.5+(837.9-446.9)+(-0.99297+(-0.854658--0.455838))+0-367.3--0.374646000000059</f>
        <v>996.18285600000024</v>
      </c>
      <c r="X2" s="3">
        <f>1117.7+(890.1-600.7)+(-1.140054+(-0.907902--0.612714))+0-365.8--0.373116000000058</f>
        <v>1040.2378739999999</v>
      </c>
      <c r="Y2" s="3">
        <f>1330.6+(545-347.5)+(0+(0-0))+0-369.7-0</f>
        <v>1158.3999999999999</v>
      </c>
      <c r="Z2" s="3">
        <f>1358.5+(764.2-463)+(-2.078505+(-1.169226--0.70839))+0-360.8--0.552024000000021</f>
        <v>1296.9126830000002</v>
      </c>
      <c r="AA2" s="3">
        <f>1353.9+(921.8-593.3)+(-1.380978+(-0.940236--0.605166))+0-366.1--0.373422000000058</f>
        <v>1314.9573740000001</v>
      </c>
      <c r="AB2" s="3">
        <f>1205+(1474.6-1041.3)+(1.2291+(1.504092-1.062126))+0-361.5-0.368730000000058</f>
        <v>1278.1023359999999</v>
      </c>
      <c r="AC2" s="3">
        <f>1136.1+(1403.5-925.5)+(-0.579411+(-0.715785--0.472005))+0-366--0.186659999999963</f>
        <v>1247.463469</v>
      </c>
      <c r="AD2" s="2">
        <v>1360.0000000000002</v>
      </c>
      <c r="AE2" s="3">
        <f>1362+(706.3-350.3)+(0+(0-0))+0-354-0</f>
        <v>1364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985.3+(1293.4-694.1)+(-1.507509+(-1.978902--1.061973))+0-368.5--0.563805000000021</f>
        <v>1214.2393669999999</v>
      </c>
      <c r="G3" s="3">
        <f>929.2+(913.6-345.5)+(-0.473892+(-0.465936--0.176205))+0-372.1--0.189770999999962</f>
        <v>1124.6261480000001</v>
      </c>
      <c r="H3" s="3">
        <f>875.2+(837.1-292.3)+(-0.446352+(-0.426921--0.149073))+0-371.6--0.189515999999962</f>
        <v>1047.8653159999999</v>
      </c>
      <c r="I3" s="3">
        <f>827.1+(952.9-385.4)+(1.687284+(1.943916-0.786216))+0-369.8-0.754391999999984</f>
        <v>1026.890592</v>
      </c>
      <c r="J3" s="3">
        <f>830+(919.6-366.9)+(0+(0-0))+0-367.8-0</f>
        <v>1014.9000000000001</v>
      </c>
      <c r="K3" s="3">
        <f>829.2+(922.5-371.9)+(0.422892+(0.470475-0.189669))+0-365.6-0.186455999999963</f>
        <v>1014.7172420000003</v>
      </c>
      <c r="L3" s="3">
        <f>828.6+(936.5-384.1)+(0.422586+(0.477615-0.195891))+0-367.5-0.187424999999963</f>
        <v>1014.0168850000001</v>
      </c>
      <c r="M3" s="3">
        <f>829.6+(1059.6-550.3)+(-1.692384+(-2.161584--1.122612))+0-366.5--0.747659999999984</f>
        <v>970.41630400000008</v>
      </c>
      <c r="N3" s="3">
        <f>828.5+(977.5-455.8)+(-0.422535+(-0.498525--0.232458))+0-369.5--0.188444999999963</f>
        <v>980.1998430000001</v>
      </c>
      <c r="O3" s="3">
        <f>827.1+(948.9-351.6)+(0.421821+(0.483939-0.179316))+0-374.2-0.190841999999962</f>
        <v>1050.735602</v>
      </c>
      <c r="P3" s="3">
        <f>872+(901.9-307.2)+(-0.44472+(-0.459969--0.156672))+0-371.2--0.189311999999962</f>
        <v>1094.9412950000001</v>
      </c>
      <c r="Q3" s="3">
        <f>879.3+(925.1-317.9)+(0+(0-0))+0-375.9-0</f>
        <v>1110.5999999999999</v>
      </c>
      <c r="R3" s="3">
        <f>875.1+(902-294.6)+(-2.231505+(-2.3001--0.75123))+0-378.9--0.966194999999945</f>
        <v>1100.7858200000001</v>
      </c>
      <c r="S3" s="3">
        <f>879.3+(827.6-236.3)+(0.896886+(0.844152-0.241026))+0-381.8-0.389436000000061</f>
        <v>1089.9105759999998</v>
      </c>
      <c r="T3" s="3">
        <f>876+(870.9-291.2)+(-0.89352+(-0.888318--0.297024))+0-377.1--0.38464200000006</f>
        <v>1077.499828</v>
      </c>
      <c r="U3" s="3">
        <f>877.7+(907.7-344.9)+(-1.790508+(-1.851708--0.703596))+0-373.1--0.761123999999984</f>
        <v>1065.2225040000001</v>
      </c>
      <c r="V3" s="3">
        <f>876.6+(908.7-358.1)+(0+(0-0))+0-373.5-0</f>
        <v>1053.7</v>
      </c>
      <c r="W3" s="3">
        <f>898.8+(847.5-333.6)+(0.458388+(0.432225-0.170136))+0-377.9-0.192728999999962</f>
        <v>1035.3277480000002</v>
      </c>
      <c r="X3" s="3">
        <f>1148.1+(650.4-283.4)+(-1.756593+(-0.995112--0.433602))+0-386.4--0.591192000000022</f>
        <v>1126.9730889999998</v>
      </c>
      <c r="Y3" s="3">
        <f>1344.7+(600-294.8)+(0+(0-0))+0-391.8-0</f>
        <v>1258.1000000000001</v>
      </c>
      <c r="Z3" s="3">
        <f>1345.1+(747.5-359.5)+(-4.116006+(-2.28735--1.10007))+0-388.6--1.18911600000004</f>
        <v>1340.3858299999997</v>
      </c>
      <c r="AA3" s="3">
        <f>1347.6+(1036-655.6)+(-0.687276+(-0.52836--0.334356))+0-388.2--0.197981999999961</f>
        <v>1339.1167019999998</v>
      </c>
      <c r="AB3" s="3">
        <f>1241.5+(1222.3-765.3)+(-1.26633+(-1.246746--0.780606))+0-382.4--0.390048000000061</f>
        <v>1314.757578</v>
      </c>
      <c r="AC3" s="3">
        <f>1163.3+(1252.2-749.7)+(-1.779849+(-1.915866--1.147041))+0-388.6--0.594558000000022</f>
        <v>1275.2458840000002</v>
      </c>
      <c r="AD3" s="2">
        <v>1297.9000000000001</v>
      </c>
      <c r="AE3" s="3">
        <f>1342+(700.3-351)+(0+(0-0))+0-389.4-0</f>
        <v>1301.9000000000001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1058.6+(903.4-380.7)+(-1.079772+(-0.921468--0.388314))+0-391.7--0.399534000000062</f>
        <v>1188.386608</v>
      </c>
      <c r="G4" s="3">
        <f>1000.3+(798.9-281.3)+(-1.530459+(-1.222317--0.430389))+0-393--0.601290000000023</f>
        <v>1123.178903</v>
      </c>
      <c r="H4" s="3">
        <f>861.8+(748.8-182.4)+(-0.439518+(-0.381888--0.093024))+0-391.3--0.19956299999996</f>
        <v>1036.3711809999998</v>
      </c>
      <c r="I4" s="3">
        <f>831.9+(795.7-221.1)+(0+(0-0))+0-391.6-0</f>
        <v>1014.9</v>
      </c>
      <c r="J4" s="3">
        <f>830.9+(770.6-205.9)+(-1.271277+(-1.179018--0.315027))+0-392.4--0.600372000000023</f>
        <v>1001.6651039999999</v>
      </c>
      <c r="K4" s="3">
        <f>831.2+(760.8-188)+(-0.423912+(-0.388008--0.09588))+0-390.3--0.19905299999996</f>
        <v>1013.183013</v>
      </c>
      <c r="L4" s="3">
        <f>831.5+(775.8-218)+(-1.69626+(-1.582632--0.44472))+0-389.6--0.794783999999983</f>
        <v>997.66061199999979</v>
      </c>
      <c r="M4" s="3">
        <f>830.6+(871.6-345)+(-2.541636+(-2.667096--1.0557))+0-392.6--1.20135600000005</f>
        <v>961.64832400000012</v>
      </c>
      <c r="N4" s="3">
        <f>836+(939-408.8)+(0.85272+(0.95778-0.416976))+0-388.5-0.396270000000062</f>
        <v>978.69725400000004</v>
      </c>
      <c r="O4" s="3">
        <f>807.4+(1025.8-397.1)+(0.411774+(0.523158-0.202521))+0-392-0.19991999999996</f>
        <v>1044.6324909999998</v>
      </c>
      <c r="P4" s="3">
        <f>776.1+(966.7-257.7)+(0.791622+(0.986034-0.262854))+0-391.8-0.399636000000063</f>
        <v>1094.4151659999998</v>
      </c>
      <c r="Q4" s="3">
        <f>777+(931.3-220.2)+(0+(0-0))+0-375.1-0</f>
        <v>1113</v>
      </c>
      <c r="R4" s="3">
        <f>778.4+(842.9-114)+(-1.98492+(-2.149395--0.2907))+0-387.9--0.989144999999944</f>
        <v>1116.5455299999999</v>
      </c>
      <c r="S4" s="3">
        <f>813.9+(825.3-157.4)+(-1.660356+(-1.683612--0.321096))+0-384.4--0.784175999999983</f>
        <v>1095.161304</v>
      </c>
      <c r="T4" s="3">
        <f>876.8+(798.1-193.2)+(-0.894336+(-0.814062--0.197064))+0-382.8--0.390456000000061</f>
        <v>1097.7791220000001</v>
      </c>
      <c r="U4" s="3">
        <f>882.4+(807.6-216.7)+(-1.350072+(-1.235628--0.331551))+0-385.4--0.589662000000022</f>
        <v>1086.2355130000003</v>
      </c>
      <c r="V4" s="3">
        <f>882.4+(817.4-222.6)+(0.450024+(0.416874-0.113526))+0-382.4-0.195023999999961</f>
        <v>1095.358348</v>
      </c>
      <c r="W4" s="3">
        <f>893.7+(796.9-216.5)+(1.823148+(1.625676-0.44166))+0-386.4-0.788255999999983</f>
        <v>1089.9189079999999</v>
      </c>
      <c r="X4" s="3">
        <f>1061.1+(720.6-273.8)+(-0.541161+(-0.367506--0.139638))+0-382.7--0.195176999999961</f>
        <v>1124.6261479999998</v>
      </c>
      <c r="Y4" s="3">
        <f>1331.3+(577.8-276.9)+(0+(0-0))+0-384.7-0</f>
        <v>1247.4999999999998</v>
      </c>
      <c r="Z4" s="3">
        <f>1380.2+(933.5-548.5)+(-3.51951+(-2.380425--1.398675))+0-385.5--0.983024999999944</f>
        <v>1376.181765</v>
      </c>
      <c r="AA4" s="3">
        <f>1380.9+(1340.1-958.7)+(-2.817036+(-2.733804--1.955748))+0-386.4--0.788255999999983</f>
        <v>1373.0931640000001</v>
      </c>
      <c r="AB4" s="3">
        <f>1380.1+(1329.8-978.4)+(0+(0-0))+0-385.2-0</f>
        <v>1346.3</v>
      </c>
      <c r="AC4" s="3">
        <f>1359.8+(1043.3-704.2)+(0.693498+(0.532083-0.359142))+0-387.2-0.197471999999961</f>
        <v>1312.3689669999997</v>
      </c>
      <c r="AD4" s="2">
        <v>1350.4</v>
      </c>
      <c r="AE4" s="3">
        <f>1379+(1033-672.8)+(0+(0-0))+0-384.8-0</f>
        <v>1354.4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1265.5+(810.5-452.7)+(-3.227025+(-2.066775--1.154385))+0-386.3--0.985064999999944</f>
        <v>1233.8456499999998</v>
      </c>
      <c r="G5" s="3">
        <f>927.7+(977.1-375.4)+(-1.892508+(-1.993284--0.765816))+0-387.4--0.790295999999983</f>
        <v>1139.6703199999999</v>
      </c>
      <c r="H5" s="3">
        <f>880.4+(914.9-432.8)+(0.449004+(0.466599-0.220728))+0-384.9-0.196298999999961</f>
        <v>978.09857599999998</v>
      </c>
      <c r="I5" s="3">
        <f>880.1+(846.9-467.7)+(-2.693106+(-2.591514--1.431162))+0-385.8--1.18054800000004</f>
        <v>870.82709</v>
      </c>
      <c r="J5" s="3">
        <f>880.7+(875.2-353.4)+(-0.898314+(-0.892704--0.360468))+0-382.5--0.390150000000061</f>
        <v>1018.9596</v>
      </c>
      <c r="K5" s="3">
        <f>880.2+(880.2-338.1)+(0.897804+(0.897804-0.344862))+0-384.9-0.392598000000061</f>
        <v>1038.4581479999999</v>
      </c>
      <c r="L5" s="3">
        <f>879.7+(970.4-386)+(-1.345941+(-1.484712--0.59058))+0-389.3--0.595629000000023</f>
        <v>1073.1555559999999</v>
      </c>
      <c r="M5" s="3">
        <f>880.3+(1108.8-509.2)+(-0.448953+(-0.565488--0.259692))+0-413.9--0.211088999999958</f>
        <v>1065.4563399999997</v>
      </c>
      <c r="N5" s="3">
        <f>880+(1253.5-575.5)+(0.4488+(0.639285-0.293505))+0-413.7-0.210986999999958</f>
        <v>1144.883593</v>
      </c>
      <c r="O5" s="3">
        <f>941.7+(1155.6-503)+(0.480267+(0.589356-0.25653))+0-415.7-0.212006999999958</f>
        <v>1179.201086</v>
      </c>
      <c r="P5" s="3">
        <f>1042.1+(802.4-237.8)+(0+(0-0))+0-423.5-0</f>
        <v>1183.1999999999998</v>
      </c>
      <c r="Q5" s="3">
        <f>1123.4+(798.4-244.3)+(0.572934+(0.407184-0.124593))+0-425.8-0.217157999999957</f>
        <v>1252.3383670000001</v>
      </c>
      <c r="R5" s="3">
        <f>1219.5+(778.4-343.8)+(-2.48778+(-1.587936--0.701352))+0-424.1--0.865163999999982</f>
        <v>1227.4907999999998</v>
      </c>
      <c r="S5" s="3">
        <f>1221.3+(735.4-316.5)+(-1.868589+(-1.125162--0.484245))+0-442.9--0.677637000000026</f>
        <v>1195.4681309999999</v>
      </c>
      <c r="T5" s="3">
        <f>1221.4+(771.4-407.9)+(-0.622914+(-0.393414--0.208029))+0-424.9--0.216698999999957</f>
        <v>1159.4084000000003</v>
      </c>
      <c r="U5" s="3">
        <f>1220.8+(736-411.6)+(-3.11304+(-1.8768--1.04958))+0-419.9--1.07074499999994</f>
        <v>1122.4304849999999</v>
      </c>
      <c r="V5" s="3">
        <f>1218.9+(671.8-294.6)+(0+(0-0))+0-435.3-0</f>
        <v>1160.8</v>
      </c>
      <c r="W5" s="3">
        <f>1219.1+(660.9-273.8)+(0.621741+(0.337059-0.139638))+0-444.8-0.226847999999955</f>
        <v>1161.9923139999999</v>
      </c>
      <c r="X5" s="3">
        <f>1223.3+(666-240.9)+(0+(0-0))+0-428.8-0</f>
        <v>1219.6000000000001</v>
      </c>
      <c r="Y5" s="3">
        <f>1353.6+(644.4-214.6)+(1.380672+(0.657288-0.218892))+0-428.4-0.436968000000068</f>
        <v>1356.3820999999998</v>
      </c>
      <c r="Z5" s="3">
        <f>1371.7+(912.6-356.5)+(-1.399134+(-0.930852--0.36363))+0-437.5--0.44625000000007</f>
        <v>1488.7798940000002</v>
      </c>
      <c r="AA5" s="3">
        <f>1371+(859-338.1)+(-2.09763+(-1.31427--0.517293))+0-394.5--0.603585000000023</f>
        <v>1495.1089780000002</v>
      </c>
      <c r="AB5" s="3">
        <f>1264.6+(935.5-369.3)+(0.644946+(0.477105-0.188343))+0-391.4-0.19961399999996</f>
        <v>1440.1340940000002</v>
      </c>
      <c r="AC5" s="3">
        <f>1149.1+(893.7-244.6)+(-2.344164+(-1.823148--0.498984))+0-393.5--0.802739999999983</f>
        <v>1401.8344119999999</v>
      </c>
      <c r="AD5" s="2">
        <v>1465.6999999999998</v>
      </c>
      <c r="AE5" s="3">
        <f>1369+(915.2-395.6)+(0+(0-0))+0-418.9-0</f>
        <v>1469.6999999999998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967.2+(1010.3-318.8)+(-1.479816+(-1.545759--0.487764))+0-419.1--0.641223000000024</f>
        <v>1237.7034120000003</v>
      </c>
      <c r="G6" s="3">
        <f>883.6+(985-287)+(-2.25318+(-2.51175--0.73185))+0-423.6--1.08017999999994</f>
        <v>1155.0470999999998</v>
      </c>
      <c r="H6" s="3">
        <f>883.8+(927.2-287.1)+(-1.352214+(-1.418616--0.439263))+0-430.4--0.658512000000025</f>
        <v>1091.8269450000003</v>
      </c>
      <c r="I6" s="3">
        <f>884.3+(1031.8-411.1)+(0+(0-0))+0-428.3-0</f>
        <v>1076.7</v>
      </c>
      <c r="J6" s="3">
        <f>884.2+(1013.1-386)+(0+(0-0))+0-429.3-0</f>
        <v>1082.0000000000002</v>
      </c>
      <c r="K6" s="3">
        <f>883.7+(1037.3-428.9)+(0.450687+(0.529023-0.218739))+0-430.6-0.219605999999956</f>
        <v>1062.0413649999998</v>
      </c>
      <c r="L6" s="3">
        <f>884.4+(1079.9-537.7)+(-0.451044+(-0.550749--0.274227))+0-392.2--0.20002199999996</f>
        <v>1033.8724559999998</v>
      </c>
      <c r="M6" s="3">
        <f>884.1+(1307.1-759)+(0+(0-0))+0-390.2-0</f>
        <v>1041.9999999999998</v>
      </c>
      <c r="N6" s="3">
        <f>886.8+(1375.7-719.4)+(0+(0-0))+0-404.9-0</f>
        <v>1138.1999999999998</v>
      </c>
      <c r="O6" s="3">
        <f>928.7+(1265.4-608.6)+(1.894548+(2.581416-1.241544))+0-401.4-0.818855999999982</f>
        <v>1186.5155640000003</v>
      </c>
      <c r="P6" s="3">
        <f>940.5+(1033.2-263.8)+(0.95931+(1.053864-0.269076))+0-410.6-0.418812000000066</f>
        <v>1300.6252859999997</v>
      </c>
      <c r="Q6" s="3">
        <f>1100.4+(689.5-134.3)+(-2.244816+(-1.40658--0.273972))+0-416.5--0.849659999999982</f>
        <v>1236.5722360000002</v>
      </c>
      <c r="R6" s="3">
        <f>1112.7+(726.7-165.9)+(-1.134954+(-0.741234--0.169218))+0-429.9--0.438498000000069</f>
        <v>1242.3315280000002</v>
      </c>
      <c r="S6" s="3">
        <f>1102.7+(778.3-237.4)+(-2.249508+(-1.587732--0.484296))+0-412.5--0.841499999999982</f>
        <v>1228.5885559999999</v>
      </c>
      <c r="T6" s="3">
        <f>1102.5+(863.5-342.5)+(0.562275+(0.440385-0.174675))+0-430.2-0.219401999999956</f>
        <v>1193.9085829999999</v>
      </c>
      <c r="U6" s="3">
        <f>1103.1+(961.8-430.2)+(-1.687743+(-1.471554--0.658206))+0-433.1--0.662643000000025</f>
        <v>1199.7615519999999</v>
      </c>
      <c r="V6" s="3">
        <f>1101.9+(987.5-462.4)+(-1.123938+(-1.00725--0.471648))+0-400.8--0.408816000000064</f>
        <v>1224.9492760000001</v>
      </c>
      <c r="W6" s="3">
        <f>1100.9+(923.9-423.5)+(-3.930213+(-3.298323--1.511895))+0-402--1.43514000000001</f>
        <v>1195.0184990000002</v>
      </c>
      <c r="X6" s="3">
        <f>1113.5+(885.9-384.9)+(-0.567885+(-0.451809--0.196299))+0-392.1--0.19997099999996</f>
        <v>1221.7765760000002</v>
      </c>
      <c r="Y6" s="3">
        <f>1308.8+(653.7-220.6)+(1.334976+(0.666774-0.225012))+0-388.5-0.396270000000062</f>
        <v>1354.7804680000002</v>
      </c>
      <c r="Z6" s="3">
        <f>1365.2+(959.4-463)+(-2.088756+(-1.467882--0.70839))+0-401.9--0.614907000000023</f>
        <v>1457.4666590000002</v>
      </c>
      <c r="AA6" s="3">
        <f>1365.6+(980.7-519.3)+(-1.392912+(-1.000314--0.529686))+0-389.4--0.397188000000062</f>
        <v>1436.1336480000002</v>
      </c>
      <c r="AB6" s="3">
        <f>1367.1+(970.4-517)+(-0.697221+(-0.494904--0.26367))+0-423.5--0.215984999999957</f>
        <v>1396.2875300000001</v>
      </c>
      <c r="AC6" s="3">
        <f>1349.5+(771.7-354.3)+(0+(0-0))+0-389-0</f>
        <v>1377.9</v>
      </c>
      <c r="AD6" s="2">
        <v>1455.6</v>
      </c>
      <c r="AE6" s="3">
        <f>1364+(957.6-472.2)+(0+(0-0))+0-389.8-0</f>
        <v>1459.6000000000001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1098.8+(973.4-353.1)+(-1.120776+(-0.992868--0.360162))+0-390.6--0.398412000000062</f>
        <v>1327.1449299999999</v>
      </c>
      <c r="G7" s="3">
        <f>932+(1021.4-359)+(-0.95064+(-1.041828--0.36618))+0-431.5--0.440130000000069</f>
        <v>1161.7138420000003</v>
      </c>
      <c r="H7" s="3">
        <f>907.1+(944-293.9)+(-0.925242+(-0.96288--0.299778))+0-432.3--0.440946000000069</f>
        <v>1123.7526020000003</v>
      </c>
      <c r="I7" s="3">
        <f>887.4+(955.8-302)+(0.452574+(0.487458-0.15402))+0-432.6-0.220625999999956</f>
        <v>1109.1653859999999</v>
      </c>
      <c r="J7" s="3">
        <f>887.5+(901.3-272.3)+(-0.90525+(-0.919326--0.277746))+0-394.2--0.402084000000063</f>
        <v>1121.155254</v>
      </c>
      <c r="K7" s="3">
        <f>888.1+(860.2-274.9)+(2.264655+(2.19351-0.700995))+0-401.7-1.02433499999994</f>
        <v>1074.4328350000003</v>
      </c>
      <c r="L7" s="3">
        <f>887.6+(883.8-292.8)+(0.452676+(0.450738-0.149328))+0-382.7-0.195176999999961</f>
        <v>1096.4589089999997</v>
      </c>
      <c r="M7" s="3">
        <f>887.6+(948.2-356.7)+(0+(0-0))+0-385.1-0</f>
        <v>1094</v>
      </c>
      <c r="N7" s="3">
        <f>886.3+(1007.8-341.5)+(-1.356039+(-1.541934--0.522495))+0-419.6--0.641988000000024</f>
        <v>1131.2665100000002</v>
      </c>
      <c r="O7" s="3">
        <f>913.3+(977.4-263.7)+(-0.931566+(-0.996948--0.268974))+0-426.6--0.435132000000068</f>
        <v>1199.1755920000001</v>
      </c>
      <c r="P7" s="3">
        <f>927.1+(829-158.1)+(0.945642+(0.84558-0.161262))+0-412.1-0.420342000000066</f>
        <v>1187.1096179999997</v>
      </c>
      <c r="Q7" s="3">
        <f>926.7+(969.7-185.2)+(-1.890468+(-1.978188--0.377808))+0-389.4--0.794375999999983</f>
        <v>1319.1035280000003</v>
      </c>
      <c r="R7" s="3">
        <f>927.3+(936.1-180.9)+(-1.418769+(-1.432233--0.276777))+0-432.1--0.661113000000025</f>
        <v>1248.4868879999999</v>
      </c>
      <c r="S7" s="3">
        <f>927.3+(1003.4-284.3)+(-1.891692+(-2.046936--0.579972))+0-427.9--0.872915999999981</f>
        <v>1216.0142599999997</v>
      </c>
      <c r="T7" s="3">
        <f>927.5+(1020.8-316.7)+(-1.8921+(-2.082432--0.646068))+0-434.4--0.886175999999981</f>
        <v>1194.7577120000001</v>
      </c>
      <c r="U7" s="3">
        <f>927.8+(867.3-167.2)+(0+(0-0))+0-428.9-0</f>
        <v>1199</v>
      </c>
      <c r="V7" s="3">
        <f>928.2+(869-156.3)+(-1.420146+(-1.32957--0.239139))+0-438.1--0.670293000000025</f>
        <v>1200.9597160000003</v>
      </c>
      <c r="W7" s="3">
        <f>928.9+(800.2-110.2)+(0.947478+(0.816204-0.112404))+0-434.5-0.443190000000069</f>
        <v>1185.6080880000002</v>
      </c>
      <c r="X7" s="3">
        <f>1031.2+(795.3-176.1)+(-2.62956+(-2.028015--0.449055))+0-441.6--1.12607999999994</f>
        <v>1205.71756</v>
      </c>
      <c r="Y7" s="3">
        <f>1200.8+(1052.8-466.9)+(0.612408+(0.536928-0.238119))+0-436.4-0.222563999999956</f>
        <v>1350.9886530000001</v>
      </c>
      <c r="Z7" s="3">
        <f>1358.7+(1463.7-937.8)+(-1.385874+(-1.492974--0.956556))+0-401.7--0.409734000000064</f>
        <v>1481.3874420000002</v>
      </c>
      <c r="AA7" s="3">
        <f>1382.2+(1491.9-1003.3)+(-3.52461+(-3.804345--2.558415))+0-442.4--1.12811999999994</f>
        <v>1424.75758</v>
      </c>
      <c r="AB7" s="3">
        <f>1302.4+(1333.5-785.2)+(-3.32112+(-3.400425--2.00226))+0-441.1--1.12480499999994</f>
        <v>1406.0055200000002</v>
      </c>
      <c r="AC7" s="3">
        <f>968.4+(1584.1-760.5)+(0.987768+(1.615782-0.77571))+0-434.8-0.443496000000069</f>
        <v>1358.5843439999999</v>
      </c>
      <c r="AD7" s="2">
        <v>1462.7</v>
      </c>
      <c r="AE7" s="3">
        <f>1373+(1464.9-936.4)+(0+(0-0))+0-434.8-0</f>
        <v>1466.7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883.9+(1200.9-390.4)+(-1.803156+(-2.449836--0.796416))+0-434.1--0.885563999999981</f>
        <v>1257.7289880000001</v>
      </c>
      <c r="G8" s="3">
        <f>884.9+(885.3-160.2)+(-1.805196+(-1.806012--0.326808))+0-441.4--0.900455999999981</f>
        <v>1166.216056</v>
      </c>
      <c r="H8" s="3">
        <f>884.6+(896-211.5)+(1.804584+(1.82784-0.43146))+0-441-0.899639999999981</f>
        <v>1130.4013239999999</v>
      </c>
      <c r="I8" s="3">
        <f>884.6+(944.4-271.1)+(0.902292+(0.963288-0.276522))+0-435.9-0.444618000000069</f>
        <v>1123.14444</v>
      </c>
      <c r="J8" s="3">
        <f>884.4+(688.8-41.2)+(-2.25522+(-1.75644--0.10506))+0-438.9--1.11919499999994</f>
        <v>1090.3125950000001</v>
      </c>
      <c r="K8" s="3">
        <f>884.8+(679.3-44.2)+(-0.902496+(-0.692886--0.045084))+0-441.1--0.44992200000007</f>
        <v>1077.6996239999996</v>
      </c>
      <c r="L8" s="3">
        <f>884.2+(739.4-102.6)+(2.25471+(1.88547-0.26163))+0-440.5-1.12327499999994</f>
        <v>1083.255275</v>
      </c>
      <c r="M8" s="3">
        <f>884.8+(911.4-257.4)+(-1.353744+(-1.394442--0.393822))+0-436.9--0.668457000000025</f>
        <v>1100.2140929999998</v>
      </c>
      <c r="N8" s="3">
        <f>884.1+(975.4-272.1)+(0.901782+(0.994908-0.277542))+0-451.7-0.460734000000072</f>
        <v>1136.858414</v>
      </c>
      <c r="O8" s="3">
        <f>1022.7+(942.4-307.9)+(1.043154+(0.961248-0.314058))+0-428.9-0.437478000000068</f>
        <v>1229.5528660000002</v>
      </c>
      <c r="P8" s="3">
        <f>1141.6+(772.8-182.4)+(1.164432+(0.788256-0.186048))+0-428.7-0.437274000000068</f>
        <v>1304.6293659999999</v>
      </c>
      <c r="Q8" s="3">
        <f>1216+(694.6-163.2)+(0.62016+(0.354246-0.083232))+0-410.4-0.209303999999958</f>
        <v>1337.6818700000003</v>
      </c>
      <c r="R8" s="3">
        <f>1215+(684.9-158.2)+(0+(0-0))+0-429.3-0</f>
        <v>1312.4</v>
      </c>
      <c r="S8" s="3">
        <f>1214.8+(645-169.2)+(-2.478192+(-1.3158--0.345168))+0-428.5--0.874139999999981</f>
        <v>1259.5253159999997</v>
      </c>
      <c r="T8" s="3">
        <f>1215+(629.8-203)+(-1.85895+(-0.963594--0.31059))+0-424--0.648720000000025</f>
        <v>1215.9367659999998</v>
      </c>
      <c r="U8" s="3">
        <f>1202+(743.1-318.1)+(-1.22604+(-0.757962--0.324462))+0-389.4--0.397188000000062</f>
        <v>1236.3376479999999</v>
      </c>
      <c r="V8" s="3">
        <f>1195+(720.7-244.3)+(-1.82835+(-1.102671--0.373779))+0-413.2--0.632196000000024</f>
        <v>1256.274954</v>
      </c>
      <c r="W8" s="3">
        <f>1197.9+(702.7-212.5)+(-1.221858+(-0.716754--0.21675))+0-418.7--0.427074000000067</f>
        <v>1268.1052120000002</v>
      </c>
      <c r="X8" s="3">
        <f>1212+(706.4-204.3)+(0.61812+(0.360264-0.104193))+0-420.9-0.214658999999957</f>
        <v>1293.8595320000002</v>
      </c>
      <c r="Y8" s="3">
        <f>1296.5+(962.3-424.6)+(1.32243+(0.981546-0.433092))+0-416.9-0.425238000000066</f>
        <v>1418.7456459999996</v>
      </c>
      <c r="Z8" s="3">
        <f>1340.5+(1173.6-598.8)+(-2.050965+(-1.795608--0.916164))+0.7-420.2--0.642906000000024</f>
        <v>1493.5124969999999</v>
      </c>
      <c r="AA8" s="3">
        <f>1356.4+(992.5-516.8)+(-0.691764+(-0.506175--0.263568))+1.7-419.1--0.213740999999957</f>
        <v>1413.97937</v>
      </c>
      <c r="AB8" s="3">
        <f>1358.1+(824.3-360.2)+(0+(0-0))+0-421-0</f>
        <v>1401.1999999999998</v>
      </c>
      <c r="AC8" s="3">
        <f>1354+(692-244)+(-0.69054+(-0.35292--0.12444))+0-419.4--0.213893999999957</f>
        <v>1381.8948740000001</v>
      </c>
      <c r="AD8" s="2">
        <v>1488.0000000000002</v>
      </c>
      <c r="AE8" s="3">
        <f>1334+(1219.4-661.6)+(0+(0-0))+0-399.8-0</f>
        <v>1492.0000000000002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1111.5+(797.2-170.3)+(-1.13373+(-0.813144--0.173706))+0-418.9--0.427278000000067</f>
        <v>1318.1541100000004</v>
      </c>
      <c r="G9" s="3">
        <f>815.7+(909.3-87.1)+(-1.248021+(-1.391229--0.133263))+0-419.7--0.642141000000024</f>
        <v>1216.3361540000001</v>
      </c>
      <c r="H9" s="3">
        <f>780.5+(944.9-137.4)+(-0.398055+(-0.481899--0.070074))+0-425.2--0.216851999999957</f>
        <v>1162.206972</v>
      </c>
      <c r="I9" s="3">
        <f>781.8+(909.2-143.9)+(-0.797436+(-0.927384--0.146778))+0-418.4--0.426768000000067</f>
        <v>1127.5487259999998</v>
      </c>
      <c r="J9" s="3">
        <f>781.3+(920.4-174.9)+(-0.796926+(-0.938808--0.178398))+0-421.5--0.429930000000067</f>
        <v>1104.1725939999999</v>
      </c>
      <c r="K9" s="3">
        <f>781.3+(900.7-138.5)+(0.398463+(0.459357-0.070635))+0-419.2-0.213791999999957</f>
        <v>1124.8733929999999</v>
      </c>
      <c r="L9" s="3">
        <f>781.9+(870.6-124.4)+(0.797538+(0.888012-0.126888))+0-415.5-0.423810000000066</f>
        <v>1113.7348519999998</v>
      </c>
      <c r="M9" s="3">
        <f>789.9+(890.2-156)+(-0.402849+(-0.454002--0.07956))+0-415.3--0.211802999999958</f>
        <v>1108.2345119999998</v>
      </c>
      <c r="N9" s="3">
        <f>831.6+(956.5-228.5)+(-0.424116+(-0.487815--0.116535))+0-408.3--0.208232999999959</f>
        <v>1150.712837</v>
      </c>
      <c r="O9" s="3">
        <f>831.5+(872.5-72.8)+(-0.424065+(-0.444975--0.037128))+0-419.3--0.213842999999957</f>
        <v>1211.281931</v>
      </c>
      <c r="P9" s="3">
        <f>902.9+(1055.9-301.7)+(0+(0-0))+0-420.7-0</f>
        <v>1236.3999999999999</v>
      </c>
      <c r="Q9" s="3">
        <f>1106.6+(843.3-255.3)+(1.128732+(0.860166-0.260406))+0-412.6-0.420852000000066</f>
        <v>1283.3076399999998</v>
      </c>
      <c r="R9" s="3">
        <f>1162.7+(878.7-317.5)+(0+(0-0))+0-417-0</f>
        <v>1306.9000000000001</v>
      </c>
      <c r="S9" s="3">
        <f>1162.6+(846.1-316)+(-2.96463+(-2.157555--0.8058))+0-422.7--1.07788499999994</f>
        <v>1266.7614999999996</v>
      </c>
      <c r="T9" s="3">
        <f>1163.3+(751-247.2)+(-1.186566+(-0.76602--0.252144))+0-414.1--0.422382000000066</f>
        <v>1251.7219399999997</v>
      </c>
      <c r="U9" s="3">
        <f>1163.1+(677-173)+(-1.779543+(-1.03581--0.26469))+0-416--0.636480000000024</f>
        <v>1249.185817</v>
      </c>
      <c r="V9" s="3">
        <f>1163.6+(634.2-137)+(0+(0-0))+0-415.4-0</f>
        <v>1245.4000000000001</v>
      </c>
      <c r="W9" s="3">
        <f>1164+(636.8-138.1)+(2.9682+(1.62384-0.352155))+0-414.6-1.05722999999994</f>
        <v>1251.282655</v>
      </c>
      <c r="X9" s="3">
        <f>1249.7+(617.2-178.1)+(2.549388+(1.259088-0.363324))+0-414.2-0.844967999999982</f>
        <v>1277.2001840000003</v>
      </c>
      <c r="Y9" s="3">
        <f>1376.9+(805.3-354.9)+(1.404438+(0.821406-0.361998))+0-424.4-0.432888000000068</f>
        <v>1404.3309580000002</v>
      </c>
      <c r="Z9" s="3">
        <f>1376.9+(1422.6-868.1)+(0.702219+(0.725526-0.442731))+0-423.8-0.216137999999957</f>
        <v>1508.3688760000002</v>
      </c>
      <c r="AA9" s="3">
        <f>1378.2+(1262.4-738.8)+(0+(0-0))+0-421-0</f>
        <v>1480.8000000000002</v>
      </c>
      <c r="AB9" s="3">
        <f>1301.8+(1019.8-477.6)+(-1.991754+(-1.560294--0.730728))+0-411.5--0.629595000000024</f>
        <v>1430.3082750000001</v>
      </c>
      <c r="AC9" s="3">
        <f>1255.1+(855-294.2)+(-0.640101+(-0.43605--0.150042))+0-422.8--0.215627999999957</f>
        <v>1392.3895189999998</v>
      </c>
      <c r="AD9" s="2">
        <v>1475.3</v>
      </c>
      <c r="AE9" s="3">
        <f>1372+(1451.6-909.6)+(0+(0-0))+0-434.7-0</f>
        <v>1479.3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1222.2+(727.7-152)+(-1.869966+(-1.113381--0.23256))+0-425--0.650250000000025</f>
        <v>1370.7994630000001</v>
      </c>
      <c r="G10" s="3">
        <f>1059.6+(743.2-140.4)+(0+(0-0))+0-425.9-0</f>
        <v>1236.5</v>
      </c>
      <c r="H10" s="3">
        <f>774.8+(967.3-202.7)+(-1.185444+(-1.479969--0.310131))+0-422--0.645660000000024</f>
        <v>1115.690378</v>
      </c>
      <c r="I10" s="3">
        <f>742.3+(971.6-147.8)+(-1.135719+(-1.486548--0.226134))+0-422.6--0.646578000000024</f>
        <v>1141.7504449999999</v>
      </c>
      <c r="J10" s="3">
        <f>741.8+(934.1-146.2)+(-1.134954+(-1.429173--0.223686))+0-425.6--0.651168000000025</f>
        <v>1102.4107270000002</v>
      </c>
      <c r="K10" s="3">
        <f>741.9+(890.6-156.2)+(0+(0-0))+0-414.6-0</f>
        <v>1061.7000000000003</v>
      </c>
      <c r="L10" s="3">
        <f>742.2+(917.3-144)+(0+(0-0))+0-413.5-0</f>
        <v>1102</v>
      </c>
      <c r="M10" s="3">
        <f>741.4+(911.8-157.6)+(-0.378114+(-0.465018--0.080376))+0-421.2--0.214811999999957</f>
        <v>1073.8520559999997</v>
      </c>
      <c r="N10" s="3">
        <f>742.4+(1114.8-300.6)+(0+(0-0))+0-426.9-0</f>
        <v>1129.6999999999998</v>
      </c>
      <c r="O10" s="3">
        <f>814.2+(992-172.9)+(-0.830484+(-1.01184--0.176358))+0-414.6--0.422892000000066</f>
        <v>1217.4569260000003</v>
      </c>
      <c r="P10" s="3">
        <f>1104.5+(713.6-114)+(-0.563295+(-0.363936--0.05814))+0-422.2--0.215321999999957</f>
        <v>1281.2462309999999</v>
      </c>
      <c r="Q10" s="3">
        <f>1163+(818-236.1)+(-1.18626+(-0.83436--0.240822))+0-426.5--0.435030000000068</f>
        <v>1317.0552320000002</v>
      </c>
      <c r="R10" s="3">
        <f>1164+(794.9-230.6)+(-0.59364+(-0.405399--0.117606))+0-417.9--0.213128999999958</f>
        <v>1309.7316960000001</v>
      </c>
      <c r="S10" s="3">
        <f>1163.2+(732.3-219.2)+(-2.372928+(-1.493892--0.447168))+0-422.8--0.862511999999982</f>
        <v>1250.9428599999999</v>
      </c>
      <c r="T10" s="3">
        <f>1164.3+(698.2-201.4)+(0.593793+(0.356082-0.102714))+0-424.5-0.216494999999957</f>
        <v>1237.2306659999999</v>
      </c>
      <c r="U10" s="3">
        <f>1163.4+(698.1-220.8)+(-1.186668+(-0.712062--0.225216))+0-423.7--0.432174000000068</f>
        <v>1215.75866</v>
      </c>
      <c r="V10" s="3">
        <f>1176+(656.8-196.1)+(-0.59976+(-0.334968--0.100011))+0-425.8--0.217157999999957</f>
        <v>1210.2824409999998</v>
      </c>
      <c r="W10" s="3">
        <f>1217.4+(768.7-318.6)+(-1.862622+(-1.176111--0.487458))+0-427.3--0.653769000000025</f>
        <v>1238.302494</v>
      </c>
      <c r="X10" s="3">
        <f>1219.1+(776.7-337.1)+(-1.243482+(-0.792234--0.343842))+0-422.6--0.431052000000067</f>
        <v>1234.8391779999999</v>
      </c>
      <c r="Y10" s="3">
        <f>1331.7+(658.5-320.5)+(1.358334+(0.67167-0.32691))+0-422.5-0.430950000000067</f>
        <v>1248.4721439999998</v>
      </c>
      <c r="Z10" s="3">
        <f>1368.4+(1240.2-677.7)+(-4.187304+(-3.795012--2.073762))+0-424.4--1.29866400000005</f>
        <v>1501.89011</v>
      </c>
      <c r="AA10" s="3">
        <f>1313.4+(970.2-402.7)+(0+(0-0))+0-419.3-0</f>
        <v>1461.6000000000001</v>
      </c>
      <c r="AB10" s="3">
        <f>1213.4+(885.7-260.6)+(-0.618834+(-0.451707--0.132906))+0-426.3--0.217412999999957</f>
        <v>1411.4797779999999</v>
      </c>
      <c r="AC10" s="3">
        <f>1196.9+(907.3-241)+(-2.441676+(-1.850892--0.49164))+0-423.7--0.864347999999981</f>
        <v>1436.56342</v>
      </c>
      <c r="AD10" s="2">
        <v>1480.3999999999996</v>
      </c>
      <c r="AE10" s="3">
        <f>1370+(1306.7-751.9)+(0+(0-0))+0-440.4-0</f>
        <v>1484.4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1069.2+(865.9-204.6)+(-1.090584+(-0.883218--0.208692))+0-423.6--0.432072000000068</f>
        <v>1305.5669619999999</v>
      </c>
      <c r="G11" s="3">
        <f>928.4+(860.8-170.2)+(-1.420452+(-1.317024--0.260406))+0-427.3--0.653769000000025</f>
        <v>1189.8766990000001</v>
      </c>
      <c r="H11" s="3">
        <f>836.7+(926.2-179.6)+(-1.280151+(-1.417086--0.274788))+0-424.3--0.649179000000024</f>
        <v>1157.2267300000003</v>
      </c>
      <c r="I11" s="3">
        <f>830.4+(798.1-86.1)+(-0.423504+(-0.407031--0.043911))+0-428.1--0.218330999999957</f>
        <v>1113.7317069999999</v>
      </c>
      <c r="J11" s="3">
        <f>830.4+(771-81.8)+(0.847008+(0.78642-0.083436))+0-412.8-0.421056000000066</f>
        <v>1107.9289359999998</v>
      </c>
      <c r="K11" s="3">
        <f>830+(754.7-94.9)+(0+(0-0))+0-411.5-0</f>
        <v>1078.3000000000002</v>
      </c>
      <c r="L11" s="3">
        <f>829.4+(771.5-80.5)+(-1.691976+(-1.57386--0.16422))+0-417.1--0.850883999999982</f>
        <v>1101.0492680000002</v>
      </c>
      <c r="M11" s="3">
        <f>829.3+(725.9-89.3)+(-0.422943+(-0.370209--0.045543))+0-421.5--0.214964999999957</f>
        <v>1043.867356</v>
      </c>
      <c r="N11" s="3">
        <f>830.2+(848.5-146.5)+(-0.846804+(-0.86547--0.14943))+0-420.9--0.429318000000067</f>
        <v>1110.1664740000001</v>
      </c>
      <c r="O11" s="3">
        <f>829.6+(877.9-168.4)+(-0.423096+(-0.447729--0.085884))+0-428.1--0.218330999999957</f>
        <v>1110.4333900000001</v>
      </c>
      <c r="P11" s="3">
        <f>932.3+(748.2-111.3)+(-0.950946+(-0.763164--0.113526))+0-412--0.420240000000066</f>
        <v>1156.0196560000002</v>
      </c>
      <c r="Q11" s="3">
        <f>1105.8+(674.8-150.8)+(-1.691874+(-1.032444--0.230724))+0-431.9--0.660807000000025</f>
        <v>1196.067213</v>
      </c>
      <c r="R11" s="3">
        <f>1111.4+(869.7-306.2)+(-1.133628+(-0.887094--0.312324))+0-419--0.427380000000067</f>
        <v>1254.6189820000002</v>
      </c>
      <c r="S11" s="3">
        <f>1105.6+(992.2-408.9)+(-1.691568+(-1.518066--0.625617))+0-424.4--0.649332000000024</f>
        <v>1262.5653150000003</v>
      </c>
      <c r="T11" s="3">
        <f>1110.2+(924-388.8)+(-1.698606+(-1.41372--0.594864))+0-430.4--0.658512000000025</f>
        <v>1213.1410500000002</v>
      </c>
      <c r="U11" s="3">
        <f>1111.3+(679.7-163.7)+(-1.700289+(-1.039941--0.250461))+0-421.7--0.645201000000024</f>
        <v>1203.7554319999999</v>
      </c>
      <c r="V11" s="3">
        <f>1112.1+(678.8-161.8)+(-3.403026+(-2.077128--0.495108))+4.3-416.9--1.27571400000005</f>
        <v>1212.7906679999999</v>
      </c>
      <c r="W11" s="3">
        <f>1110.8+(634.2-149.7)+(-1.133016+(-0.646884--0.152694))+0-424.5--0.432990000000068</f>
        <v>1169.6057840000001</v>
      </c>
      <c r="X11" s="3">
        <f>1133.3+(698.1-177.2)+(0.577983+(0.356031-0.090372))+0-424.9-0.216698999999957</f>
        <v>1229.9269429999999</v>
      </c>
      <c r="Y11" s="3">
        <f>1277.5+(864.7-648.5)+(0+(0-0))+0-407-0</f>
        <v>1086.7</v>
      </c>
      <c r="Z11" s="3">
        <f>1290.3+(1471.9-947.9)+(-2.632212+(-3.002676--1.933716))+0-393.9--0.803555999999983</f>
        <v>1417.5023840000001</v>
      </c>
      <c r="AA11" s="3">
        <f>1291.1+(1355.6-873.7)+(-1.316922+(-1.382712--0.891174))+0-395.3--0.403206000000063</f>
        <v>1376.2947459999998</v>
      </c>
      <c r="AB11" s="3">
        <f>1203.3+(1198.9-672.9)+(-0.613683+(-0.611439--0.343179))+0-363.4--0.185333999999963</f>
        <v>1365.2033910000002</v>
      </c>
      <c r="AC11" s="3">
        <f>1001.7+(1245.5-478.5)+(-1.532601+(-1.905615--0.732105))+0-357.6--0.547128000000021</f>
        <v>1408.9410169999999</v>
      </c>
      <c r="AD11" s="2">
        <v>1389.7000000000003</v>
      </c>
      <c r="AE11" s="3">
        <f>1289+(1498.4-987.3)+(0+(0-0))+0-406.4-0</f>
        <v>1393.7000000000003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876.6+(1095-308)+(-1.341198+(-1.67535--0.47124))+0-367--0.561510000000021</f>
        <v>1294.6162019999999</v>
      </c>
      <c r="G12" s="3">
        <f>839.1+(757.4-15.6)+(-0.855882+(-0.772548--0.015912))+0-372.6--0.380052000000059</f>
        <v>1207.0675340000003</v>
      </c>
      <c r="H12" s="3">
        <f>710.5+(749.8-35.2)+(0.72471+(0.764796-0.035904))+0-375.8-0.38331600000006</f>
        <v>1050.3702859999999</v>
      </c>
      <c r="I12" s="3">
        <f>692.1+(840.3-85.5)+(1.058913+(1.285659-0.130815))+0-381.7-0.584001000000022</f>
        <v>1066.8297560000001</v>
      </c>
      <c r="J12" s="3">
        <f>694.1+(819.5-114.9)+(0.353991+(0.417945-0.058599))+0-384.8-0.196247999999961</f>
        <v>1014.417089</v>
      </c>
      <c r="K12" s="3">
        <f>693.6+(886.1-166.4)+(1.061208+(1.355733-0.254592))+0-385.7-0.590121000000022</f>
        <v>1029.1722280000001</v>
      </c>
      <c r="L12" s="3">
        <f>693.9+(873.6-168.7)+(-1.061667+(-1.336608--0.258111))+0-385.1--0.589203000000022</f>
        <v>1012.1490390000002</v>
      </c>
      <c r="M12" s="3">
        <f>693.9+(800.2-97)+(-0.707778+(-0.816204--0.09894))+0-383.7--0.391374000000061</f>
        <v>1012.3663319999998</v>
      </c>
      <c r="N12" s="3">
        <f>693.6+(936.2-194.4)+(-0.353736+(-0.477462--0.099144))+0-387.6--0.197675999999961</f>
        <v>1047.2656220000001</v>
      </c>
      <c r="O12" s="3">
        <f>693.5+(873.5-123.1)+(0.70737+(0.89097-0.125562))+0-390.7-0.398514000000062</f>
        <v>1054.2742640000001</v>
      </c>
      <c r="P12" s="3">
        <f>693.4+(834-36.5)+(1.060902+(1.27602-0.055845))+0-381-0.582930000000022</f>
        <v>1111.5981470000002</v>
      </c>
      <c r="Q12" s="3">
        <f>727.3+(1045.6-227.9)+(-0.370923+(-0.533256--0.116229))+0-372.5--0.189974999999962</f>
        <v>1171.9020250000001</v>
      </c>
      <c r="R12" s="3">
        <f>797.6+(1018.3-314.9)+(-0.813552+(-1.038666--0.321198))+0-372.1--0.379542000000059</f>
        <v>1127.7485220000003</v>
      </c>
      <c r="S12" s="3">
        <f>834.6+(974.7-324.6)+(0+(0-0))+0-379.5-0</f>
        <v>1105.2</v>
      </c>
      <c r="T12" s="3">
        <f>835.9+(884.2-254.3)+(0.426309+(0.450942-0.129693))+0-378.3-0.192932999999962</f>
        <v>1088.0546250000002</v>
      </c>
      <c r="U12" s="3">
        <f>835.5+(833.5-148.7)+(-0.426105+(-0.425085--0.075837))+0-389.8--0.19879799999996</f>
        <v>1129.9234449999999</v>
      </c>
      <c r="V12" s="3">
        <f>835.3+(858.9-117.5)+(1.278009+(1.314117-0.179775))+0-390.3-0.597159000000023</f>
        <v>1188.2151919999999</v>
      </c>
      <c r="W12" s="3">
        <f>836.4+(787.9-142.8)+(-0.853128+(-0.803658--0.145656))+0-391.7--0.399534000000062</f>
        <v>1088.688404</v>
      </c>
      <c r="X12" s="3">
        <f>923.1+(831.6-217.1)+(-0.470781+(-0.424116--0.110721))+0-389.9--0.19884899999996</f>
        <v>1147.114673</v>
      </c>
      <c r="Y12" s="3">
        <f>1160+(962-350.9)+(1.1832+(0.98124-0.357918))+0-392.3-0.400146000000063</f>
        <v>1380.2063760000001</v>
      </c>
      <c r="Z12" s="3">
        <f>1252.1+(1489.2-732.1)+(0.638571+(0.759492-0.373371))+0-389.6-0.19869599999996</f>
        <v>1620.4259959999999</v>
      </c>
      <c r="AA12" s="3">
        <f>1254.3+(1350-667.1)+(0.639693+(0.6885-0.340221))+0-389.3-0.198542999999961</f>
        <v>1548.6894289999998</v>
      </c>
      <c r="AB12" s="3">
        <f>1158.8+(1235-551.2)+(-1.181976+(-1.2597--0.562224))+0-390.2--0.398004000000062</f>
        <v>1450.9185520000001</v>
      </c>
      <c r="AC12" s="3">
        <f>1107.1+(916.4-297.2)+(-0.564621+(-0.467364--0.151572))+0-389.8--0.19879799999996</f>
        <v>1335.8183849999998</v>
      </c>
      <c r="AD12" s="2">
        <v>1428.7000000000003</v>
      </c>
      <c r="AE12" s="3">
        <f>1254+(1435.3-864.6)+(0+(0-0))+0-392-0</f>
        <v>1432.6999999999998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1002.3+(840.5-169.9)+(-0.511173+(-0.428655--0.086649))+0-387.3--0.197522999999961</f>
        <v>1284.9443440000002</v>
      </c>
      <c r="G13" s="3">
        <f>890.6+(889.6-159.3)+(-0.908412+(-0.907392--0.162486))+0-391.9--0.399738000000062</f>
        <v>1227.7464200000004</v>
      </c>
      <c r="H13" s="3">
        <f>785.6+(1088.2-336.7)+(-0.801312+(-1.109964--0.343434))+0-392.9--0.400758000000063</f>
        <v>1143.0329159999999</v>
      </c>
      <c r="I13" s="3">
        <f>763.8+(994.2-253.9)+(0+(0-0))+0-389.3-0</f>
        <v>1114.8</v>
      </c>
      <c r="J13" s="3">
        <f>737.5+(907.4-188.2)+(0.376125+(0.462774-0.095982))+0-389.4-0.19859399999996</f>
        <v>1067.8443230000003</v>
      </c>
      <c r="K13" s="3">
        <f>738.6+(909.5-190.3)+(0.753372+(0.92769-0.194106))+0-388.3-0.396066000000062</f>
        <v>1070.5908900000002</v>
      </c>
      <c r="L13" s="3">
        <f>738+(896.4-159.3)+(0+(0-0))+0-389.8-0</f>
        <v>1085.3</v>
      </c>
      <c r="M13" s="3">
        <f>736.7+(701.5-97.1)+(-0.375717+(-0.357765--0.049521))+0-389.8--0.19879799999996</f>
        <v>950.81483700000001</v>
      </c>
      <c r="N13" s="3">
        <f>697.3+(778.4-94.6)+(0.711246+(0.793968-0.096492))+0-388.2-0.395964000000062</f>
        <v>993.91275799999971</v>
      </c>
      <c r="O13" s="3">
        <f>698.7+(859.2-124.9)+(-0.356337+(-0.438192--0.063699))+0-393.9--0.20088899999996</f>
        <v>1038.5700589999999</v>
      </c>
      <c r="P13" s="3">
        <f>698+(931.1-195.1)+(-1.7799+(-2.374305--0.497505))+0-392.4--1.00061999999994</f>
        <v>1038.9439199999999</v>
      </c>
      <c r="Q13" s="3">
        <f>697.9+(863.7-143)+(-0.355929+(-0.440487--0.07293))+0-387.9--0.197828999999961</f>
        <v>1030.1743429999999</v>
      </c>
      <c r="R13" s="3">
        <f>698+(980-258.8)+(0+(0-0))+0-388.3-0</f>
        <v>1030.9000000000001</v>
      </c>
      <c r="S13" s="3">
        <f>697.6+(920.6-251.6)+(0+(0-0))+0-388.6-0</f>
        <v>977.99999999999989</v>
      </c>
      <c r="T13" s="3">
        <f>698.3+(838.3-195.2)+(-0.712266+(-0.855066--0.199104))+0-387.3--0.395046000000062</f>
        <v>953.12681799999996</v>
      </c>
      <c r="U13" s="3">
        <f>697.9+(685-145.1)+(-0.355929+(-0.34935--0.074001))+0-293.4--0.14963399999997</f>
        <v>943.9183559999999</v>
      </c>
      <c r="V13" s="3">
        <f>744.6+(653.1-113.1)+(0.379746+(0.333081-0.057681))+0-321.1-0.163760999999967</f>
        <v>963.99138499999992</v>
      </c>
      <c r="W13" s="3">
        <f>840.1+(612.1-89.3)+(-0.428451+(-0.312171--0.045543))+0-385.2--0.196451999999961</f>
        <v>977.20137299999988</v>
      </c>
      <c r="X13" s="3">
        <f>849.7+(603.9-72.9)+(-0.866694+(-0.615978--0.074358))+0-387.1--0.394842000000062</f>
        <v>992.58652800000004</v>
      </c>
      <c r="Y13" s="3">
        <f>1071+(760.5-287.2)+(0.54621+(0.387855-0.146472))+0-386.4-0.197063999999961</f>
        <v>1158.4905290000002</v>
      </c>
      <c r="Z13" s="3">
        <f>1162.4+(1913.1-1304.5)+(-1.185648+(-1.951362--1.33059))+0-389.3--0.397086000000062</f>
        <v>1380.2906660000003</v>
      </c>
      <c r="AA13" s="3">
        <f>1202.2+(1940.5-1339.4)+(-0.613122+(-0.989655--0.683094))+0-375.6--0.191555999999962</f>
        <v>1426.9718729999997</v>
      </c>
      <c r="AB13" s="3">
        <f>1202.1+(1646.8-1090.7)+(-1.226142+(-1.679736--1.112514))+0-386.8--0.394536000000062</f>
        <v>1370.0011719999998</v>
      </c>
      <c r="AC13" s="3">
        <f>1182.9+(1040.7-495.2)+(-0.603279+(-0.530757--0.252552))+0-411.1--0.209660999999958</f>
        <v>1316.6281770000001</v>
      </c>
      <c r="AD13" s="2">
        <v>1376.4</v>
      </c>
      <c r="AE13" s="3">
        <f>1140+(2065.4-1433.1)+(0+(0-0))+0-391.9-0</f>
        <v>1380.4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1109.4+(652.3-118.9)+(-1.131588+(-0.665346--0.121278))+0-422.5--0.430950000000067</f>
        <v>1219.0552940000005</v>
      </c>
      <c r="G14" s="3">
        <f>946.4+(667.2-62.4)+(-0.965328+(-0.680544--0.063648))+0-421.3--0.429726000000067</f>
        <v>1128.7475020000002</v>
      </c>
      <c r="H14" s="3">
        <f>836.2+(736.8-53.6)+(-0.852924+(-0.751536--0.054672))+0-415.4--0.423708000000066</f>
        <v>1102.8739200000002</v>
      </c>
      <c r="I14" s="3">
        <f>739.6+(868.2-105.9)+(-0.754392+(-0.885564--0.108018))+0-416.8--0.425136000000066</f>
        <v>1083.9931980000001</v>
      </c>
      <c r="J14" s="3">
        <f>741.1+(872.4-118.9)+(-0.755922+(-0.889848--0.121278))+0-413.7--0.421974000000066</f>
        <v>1079.7974819999999</v>
      </c>
      <c r="K14" s="3">
        <f>741+(869.6-104.1)+(0.37791+(0.443496-0.053091))+0-420.3-0.214352999999957</f>
        <v>1086.7539620000002</v>
      </c>
      <c r="L14" s="3">
        <f>741.3+(875.6-106.9)+(0+(0-0))+0-418.9-0</f>
        <v>1091.0999999999999</v>
      </c>
      <c r="M14" s="3">
        <f>741.4+(906.4-120)+(0.378114+(0.462264-0.0612))+0-419.6-0.213995999999957</f>
        <v>1108.7651820000001</v>
      </c>
      <c r="N14" s="3">
        <f>862.7+(973.4-200.1)+(-0.439977+(-0.496434--0.102051))+0-426.9--0.217718999999957</f>
        <v>1208.4833590000001</v>
      </c>
      <c r="O14" s="3">
        <f>1085.7+(750.3-120.9)+(0+(0-0))+0-406.3-0</f>
        <v>1308.8</v>
      </c>
      <c r="P14" s="3">
        <f>1105+(952.9-259.2)+(0+(0-0))+0-415.2-0</f>
        <v>1383.5</v>
      </c>
      <c r="Q14" s="3">
        <f>1171.2+(981.7-318.6)+(-0.597312+(-0.500667--0.162486))+0-412.4--0.210323999999958</f>
        <v>1421.174831</v>
      </c>
      <c r="R14" s="3">
        <f>1209.4+(919.5-264.7)+(-1.233588+(-0.93789--0.269994))+0-425.8--0.434316000000068</f>
        <v>1436.9328320000002</v>
      </c>
      <c r="S14" s="3">
        <f>1209+(811.5-220)+(-2.46636+(-1.65546--0.4488))+0-422.1--0.861083999999982</f>
        <v>1375.5880639999998</v>
      </c>
      <c r="T14" s="3">
        <f>1207.6+(717.2-154.7)+(-1.847628+(-1.097316--0.236691))+0-408--0.624240000000024</f>
        <v>1360.015987</v>
      </c>
      <c r="U14" s="3">
        <f>1108+(787-134.6)+(-1.13016+(-0.80274--0.137292))+0-387.8--0.395556000000062</f>
        <v>1371.1999480000004</v>
      </c>
      <c r="V14" s="3">
        <f>1103.7+(786.4-125.2)+(0+(0-0))+0-387.8-0</f>
        <v>1377.1000000000001</v>
      </c>
      <c r="W14" s="3">
        <f>1103.5+(804.5-126.6)+(-0.562785+(-0.410295--0.064566))+0-403.8--0.205937999999959</f>
        <v>1376.8974240000002</v>
      </c>
      <c r="X14" s="3">
        <f>1107.1+(793.5-104.7)+(-0.564621+(-0.404685--0.053397))+0-408.9--0.208538999999959</f>
        <v>1386.2926299999997</v>
      </c>
      <c r="Y14" s="3">
        <f>1237.1+(973.4-305.3)+(0.630921+(0.496434-0.155703))+0-423.3-0.215882999999957</f>
        <v>1482.655769</v>
      </c>
      <c r="Z14" s="3">
        <f>1260.4+(1313.1-555.7)+(-3.856824+(-4.018086--1.700442))+0-417--1.27602000000005</f>
        <v>1595.901552</v>
      </c>
      <c r="AA14" s="3">
        <f>1260.9+(1002.5-286.6)+(-1.929177+(-1.533825--0.438498))+0-422.5--0.646425000000024</f>
        <v>1551.9219210000003</v>
      </c>
      <c r="AB14" s="3">
        <f>1204.7+(944.2-221.7)+(-0.614397+(-0.481542--0.113067))+0-420.4--0.214403999999957</f>
        <v>1506.0315320000002</v>
      </c>
      <c r="AC14" s="3">
        <f>989.8+(1081.5-209.8)+(-1.514394+(-1.654695--0.320994))+0-422.5--0.646425000000024</f>
        <v>1436.7983300000001</v>
      </c>
      <c r="AD14" s="2">
        <v>1565.7999999999997</v>
      </c>
      <c r="AE14" s="3">
        <f>1260+(1382.7-635.8)+(0+(0-0))+0-437.1-0</f>
        <v>1569.8000000000002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917.8+(998.4-257.7)+(-1.872312+(-2.036736--0.525708))+0-421.9--0.860675999999982</f>
        <v>1234.0773360000001</v>
      </c>
      <c r="G15" s="3">
        <f>875.4+(1089-255.8)+(-2.23227+(-2.77695--0.65229))+0-422.5--1.07737499999994</f>
        <v>1282.8204449999998</v>
      </c>
      <c r="H15" s="3">
        <f>744.1+(1154.5-291)+(-1.897455+(-2.943975--0.74205))+0-418.5--1.06717499999994</f>
        <v>1186.0677949999997</v>
      </c>
      <c r="I15" s="3">
        <f>741.1+(1152.7-285.3)+(-0.755922+(-1.175754--0.291006))+0-419.4--0.427788000000067</f>
        <v>1187.8871180000001</v>
      </c>
      <c r="J15" s="3">
        <f>739.8+(1129.6-248.6)+(0.377298+(0.576096-0.126786))+0-420-0.214199999999957</f>
        <v>1201.4124079999999</v>
      </c>
      <c r="K15" s="3">
        <f>740.2+(1102-255.1)+(-0.377502+(-0.56202--0.130101))+0-408.3--0.208232999999959</f>
        <v>1178.1988120000001</v>
      </c>
      <c r="L15" s="3">
        <f>746.2+(1133.9-273.5)+(0.380562+(0.578289-0.139485))+0-416-0.212159999999958</f>
        <v>1191.207206</v>
      </c>
      <c r="M15" s="3">
        <f>868.1+(1084.7-298.1)+(-0.442731+(-0.553197--0.152031))+0-426.1--0.217310999999957</f>
        <v>1227.973414</v>
      </c>
      <c r="N15" s="3">
        <f>969.1+(1100.1-277)+(0+(0-0))+0-420.1-0</f>
        <v>1372.1</v>
      </c>
      <c r="O15" s="3">
        <f>978.2+(1115.8-297.2)+(-0.997764+(-1.138116--0.303144))+0-415.8--0.424116000000066</f>
        <v>1379.5913800000001</v>
      </c>
      <c r="P15" s="3">
        <f>1088+(1203.9-437.8)+(-0.55488+(-0.613989--0.223278))+0-410.6--0.209405999999958</f>
        <v>1442.7638150000002</v>
      </c>
      <c r="Q15" s="3">
        <f>1170.4+(1478.4-597.2)+(-2.98452+(-3.76992--1.52286))+0-414.3--1.05646499999994</f>
        <v>1633.1248850000004</v>
      </c>
      <c r="R15" s="3">
        <f>1209+(1352-764)+(-1.23318+(-1.37904--0.77928))+0-435--0.443700000000069</f>
        <v>1360.61076</v>
      </c>
      <c r="S15" s="3">
        <f>1218+(1061-526)+(-3.1059+(-2.70555--1.3413))+0-440--1.12199999999994</f>
        <v>1309.6518499999997</v>
      </c>
      <c r="T15" s="3">
        <f>1216+(1139-527)+(-3.1008+(-2.90445--1.34385))+0-442--1.12709999999994</f>
        <v>1382.4657</v>
      </c>
      <c r="U15" s="3">
        <f>1218+(978-453)+(-1.24236+(-0.99756--0.46206))+0-441--0.44982000000007</f>
        <v>1300.6719600000001</v>
      </c>
      <c r="V15" s="3">
        <f>1217+(917-339)+(-2.48268+(-1.87068--0.69156))+0-443--0.903719999999981</f>
        <v>1349.2419199999999</v>
      </c>
      <c r="W15" s="3">
        <f>1218+(885.2-360)+(-0.62118+(-0.451452--0.1836))+0-422--0.215219999999957</f>
        <v>1320.526188</v>
      </c>
      <c r="X15" s="3">
        <f>1223+(932-360)+(0+(0-0))+0-440-0</f>
        <v>1355</v>
      </c>
      <c r="Y15" s="3">
        <f>1249+(1006-408)+(0.63699+(0.51306-0.20808))+0-445-0.226949999999955</f>
        <v>1402.7150200000001</v>
      </c>
      <c r="Z15" s="3">
        <f>1247+(1241-538)+(1.27194+(1.26582-0.54876))+0-431-0.439620000000069</f>
        <v>1520.5493799999999</v>
      </c>
      <c r="AA15" s="3">
        <f>1249+(1017-355)+(-1.91097+(-1.55601--0.54315))+0-404--0.618120000000023</f>
        <v>1504.6942900000001</v>
      </c>
      <c r="AB15" s="3">
        <f>1247+(1121-457)+(0+(0-0))+0-432-0</f>
        <v>1479</v>
      </c>
      <c r="AC15" s="3">
        <f>1146+(1197-530)+(-1.16892+(-1.22094--0.5406))+0-436--0.44472000000007</f>
        <v>1375.59546</v>
      </c>
      <c r="AD15" s="2">
        <v>1545.6999999999998</v>
      </c>
      <c r="AE15" s="3">
        <f>1246+(1252.1-535.3)+(0+(0-0))+0-413.1-0</f>
        <v>1549.6999999999998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1020+(1191.5-508.2)+(0+(0-0))+0-403.9-0</f>
        <v>1299.4000000000001</v>
      </c>
      <c r="G16" s="3">
        <f>808+(1222-384.3)+(0+(0-0))+0-407.7-0</f>
        <v>1238</v>
      </c>
      <c r="H16" s="3">
        <f>755+(1206.6-351.7)+(0+(0-0))+0-424-0</f>
        <v>1185.8999999999999</v>
      </c>
      <c r="I16" s="3">
        <f>743+(1215.8-350.4)+(0+(0-0))+0-416.6-0</f>
        <v>1191.8000000000002</v>
      </c>
      <c r="J16" s="3">
        <f>744+(1098.7-274.6)+(0+(0-0))+0-415.7-0</f>
        <v>1152.3999999999999</v>
      </c>
      <c r="K16" s="3">
        <f>743+(1030.4-275.2)+(0+(0-0))+0-412.1-0</f>
        <v>1086.0999999999999</v>
      </c>
      <c r="L16" s="3">
        <f>748.4+(1041.8-319.2)+(0.381684+(0.531318-0.162792))+0-410.1-0.209150999999958</f>
        <v>1061.4410589999998</v>
      </c>
      <c r="M16" s="3">
        <f>821.7+(1009.4-350.3)+(1.257201+(1.544382-0.535959))+0-416.3-0.636939000000024</f>
        <v>1066.1286849999999</v>
      </c>
      <c r="N16" s="3">
        <f>889.7+(1058-299)+(-0.907494+(-1.07916--0.30498))+0-424.7--0.433194000000068</f>
        <v>1222.75152</v>
      </c>
      <c r="O16" s="3">
        <f>889.4+(1183.3-304)+(-0.907188+(-1.206966--0.31008))+0-425--0.433500000000068</f>
        <v>1342.329426</v>
      </c>
      <c r="P16" s="3">
        <f>889.8+(1147-324.4)+(-1.361394+(-1.75491--0.496332))+0-408.3--0.624699000000024</f>
        <v>1302.1047270000001</v>
      </c>
      <c r="Q16" s="3">
        <f>900.5+(1099.7-331.4)+(0+(0-0))+0-398.9-0</f>
        <v>1269.9000000000001</v>
      </c>
      <c r="R16" s="3">
        <f>975.9+(1048.5-277.3)+(-2.986254+(-3.20841--0.848538))+0-425.9--1.30325400000005</f>
        <v>1317.1571280000001</v>
      </c>
      <c r="S16" s="3">
        <f>975.3+(815.1-67.6)+(0.497403+(0.415701-0.034476))+0-425.7-0.217106999999957</f>
        <v>1297.7615209999999</v>
      </c>
      <c r="T16" s="3">
        <f>975.7+(808.9-52.8)+(-0.995214+(-0.825078--0.053856))+0-420.3--0.428706000000067</f>
        <v>1310.1622700000003</v>
      </c>
      <c r="U16" s="3">
        <f>976.1+(866.5-97.2)+(-0.497811+(-0.441915--0.049572))+0-419.8--0.214097999999957</f>
        <v>1324.9239440000001</v>
      </c>
      <c r="V16" s="3">
        <f>976.4+(916.7-169.1)+(-0.995928+(-0.935034--0.172482))+0-392.1--0.399942000000063</f>
        <v>1330.5414620000001</v>
      </c>
      <c r="W16" s="3">
        <f>975.7+(1050-266.3)+(0+(0-0))+0-422.2-0</f>
        <v>1337.2</v>
      </c>
      <c r="X16" s="3">
        <f>982.1+(1111.9-308.8)+(-0.500871+(-0.567069--0.157488))+0-423.9--0.216188999999957</f>
        <v>1360.6057370000001</v>
      </c>
      <c r="Y16" s="3">
        <f>1088.7+(1051.1-292.9)+(0.555237+(0.536061-0.149379))+0-417.7-0.213026999999958</f>
        <v>1429.9288920000001</v>
      </c>
      <c r="Z16" s="3">
        <f>1249.8+(1083.6-385.7)+(-1.912194+(-1.657908--0.590121))+0-419.7--0.642141000000024</f>
        <v>1525.6621599999999</v>
      </c>
      <c r="AA16" s="3">
        <f>1258.3+(1020.6-368.2)+(-3.850398+(-3.123036--1.126692))+0-422.1--1.29162600000005</f>
        <v>1484.0448840000001</v>
      </c>
      <c r="AB16" s="3">
        <f>1194.6+(1033.6-354.1)+(-3.04623+(-2.63568--0.902955))+0-419.4--1.06946999999994</f>
        <v>1450.990515</v>
      </c>
      <c r="AC16" s="3">
        <f>1120+(997.1-311.1)+(-2.2848+(-2.034084--0.634644))+0-422.7--0.862307999999982</f>
        <v>1380.4780679999999</v>
      </c>
      <c r="AD16" s="2">
        <v>1528.5</v>
      </c>
      <c r="AE16" s="3">
        <f>1249+(1111.3-385.9)+(0+(0-0))+0-441.9-0</f>
        <v>1532.5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955.4+(1148.3-368.7)+(-0.487254+(-0.585633--0.188037))+0-417.7--0.213026999999958</f>
        <v>1316.6281770000001</v>
      </c>
      <c r="G17" s="3">
        <f>947.2+(1145-531)+(-1.449216+(-1.75185--0.81243))+0-428.4--0.655452000000025</f>
        <v>1131.066816</v>
      </c>
      <c r="H17" s="3">
        <f>928.9+(1233.9-629.3)+(0.947478+(1.258578-0.641886))+0-423.4-0.431868000000067</f>
        <v>1111.2323019999999</v>
      </c>
      <c r="I17" s="3">
        <f>929.1+(1202.8-598.5)+(0.947682+(1.226856-0.61047))+0-424.8-0.433296000000068</f>
        <v>1109.7307719999999</v>
      </c>
      <c r="J17" s="3">
        <f>928.7+(1159.2-561.2)+(-0.947274+(-1.182384--0.572424))+0-419.7--0.428094000000067</f>
        <v>1105.87086</v>
      </c>
      <c r="K17" s="3">
        <f>928.8+(1031-421)+(0.473688+(0.52581-0.21471))+0-431.6-0.220115999999956</f>
        <v>1107.7646719999998</v>
      </c>
      <c r="L17" s="3">
        <f>928.7+(918-321.6)+(-0.947274+(-0.93636--0.328032))+0-419.6--0.427992000000067</f>
        <v>1104.3723900000002</v>
      </c>
      <c r="M17" s="3">
        <f>928.8+(908.7-286.8)+(0.947376+(0.926874-0.292536))+0-419.2-0.427584000000067</f>
        <v>1132.6541299999999</v>
      </c>
      <c r="N17" s="3">
        <f>928.8+(952.4-247.1)+(0.947376+(0.971448-0.252042))+0-429.2-0.437784000000068</f>
        <v>1206.1289979999999</v>
      </c>
      <c r="O17" s="3">
        <f>938.2+(1060-290.5)+(1.435446+(1.6218-0.444465))+0-422.6-0.646578000000024</f>
        <v>1287.0662030000001</v>
      </c>
      <c r="P17" s="3">
        <f>975.6+(1096.3-310.9)+(1.492668+(1.677339-0.475677))+0-413.4-0.632502000000024</f>
        <v>1349.6618280000002</v>
      </c>
      <c r="Q17" s="3">
        <f>1068+(1151.2-440.1)+(0+(0-0))+0-403.7-0</f>
        <v>1375.3999999999999</v>
      </c>
      <c r="R17" s="3">
        <f>1194.6+(1043.8-438.2)+(0+(0-0))+0-380.1-0</f>
        <v>1420.1</v>
      </c>
      <c r="S17" s="3">
        <f>1192.9+(837.8-422.1)+(-3.650274+(-2.563668--1.291626))+0-380.1--1.16310600000004</f>
        <v>1224.7407899999998</v>
      </c>
      <c r="T17" s="3">
        <f>1195.2+(659.8-230.2)+(0+(0-0))+0-380.4-0</f>
        <v>1244.4000000000001</v>
      </c>
      <c r="U17" s="3">
        <f>1195.4+(840.1-355.4)+(0+(0-0))+0-382.6-0</f>
        <v>1297.5</v>
      </c>
      <c r="V17" s="3">
        <f>1195+(1155.9-722.8)+(-1.2189+(-1.179018--0.737256))+0-388.2--0.395964000000062</f>
        <v>1238.6353020000001</v>
      </c>
      <c r="W17" s="3">
        <f>1195.5+(1301.2-821.1)+(-1.829115+(-1.990836--1.256283))+0-363.6--0.556308000000021</f>
        <v>1309.9926399999997</v>
      </c>
      <c r="X17" s="3">
        <f>1204.7+(936.5-476.4)+(-0.614397+(-0.477615--0.242964))+0-361.8--0.184517999999963</f>
        <v>1302.3354700000002</v>
      </c>
      <c r="Y17" s="3">
        <f>1252.7+(759.7-228)+(1.916631+(1.162341-0.34884))+0-361.3-0.552789000000021</f>
        <v>1425.277343</v>
      </c>
      <c r="Z17" s="3">
        <f>1255.6+(962.4-328.5)+(0+(0-0))+0-376.3-0</f>
        <v>1513.2</v>
      </c>
      <c r="AA17" s="3">
        <f>1255.1+(919.6-340.1)+(-1.920303+(-1.406988--0.520353))+0-376.2--0.575586000000022</f>
        <v>1456.1686479999998</v>
      </c>
      <c r="AB17" s="3">
        <f>1254.7+(1104.1-599)+(-2.559588+(-2.252364--1.22196))+0-376.5--0.768059999999984</f>
        <v>1380.4780679999999</v>
      </c>
      <c r="AC17" s="3">
        <f>1239.7+(1422.3-958)+(-3.161235+(-3.626865--2.4429))+0-386.4--0.985319999999944</f>
        <v>1314.2401200000002</v>
      </c>
      <c r="AD17" s="2">
        <v>1550.8</v>
      </c>
      <c r="AE17" s="3">
        <f>1252+(1021-340.2)+(0+(0-0))+0-378-0</f>
        <v>1554.8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956.3+(1156.3-410.5)+(1.463139+(1.769139-0.628065))+0-392.7-0.600831000000023</f>
        <v>1311.403382</v>
      </c>
      <c r="G18" s="3">
        <f>749+(1393.2-541.9)+(-1.14597+(-2.131596--0.829107))+0-395.9--0.605727000000023</f>
        <v>1202.5572680000005</v>
      </c>
      <c r="H18" s="3">
        <f>742.8+(1394.2-578.3)+(-0.378828+(-0.711042--0.294933))+0-406.7--0.207416999999959</f>
        <v>1151.41248</v>
      </c>
      <c r="I18" s="3">
        <f>742.6+(1280.7-488.2)+(-1.89363+(-3.265785--1.24491))+0-404.4--1.03121999999994</f>
        <v>1127.8167149999999</v>
      </c>
      <c r="J18" s="3">
        <f>742.6+(1472.8-674.7)+(1.514904+(3.004512-1.376388))+0-424.5-0.865979999999981</f>
        <v>1118.4770479999997</v>
      </c>
      <c r="K18" s="3">
        <f>743.3+(1301.2-494.3)+(-0.379083+(-0.663612--0.252093))+0-426.4--0.217463999999957</f>
        <v>1123.2268620000002</v>
      </c>
      <c r="L18" s="3">
        <f>742.5+(1205.9-431.7)+(-1.5147+(-2.460036--0.880668))+0-417.3--0.851291999999982</f>
        <v>1097.157224</v>
      </c>
      <c r="M18" s="3">
        <f>742.1+(1113.4-378.8)+(-1.135413+(-1.703502--0.579564))+0-417.2--0.638316000000024</f>
        <v>1057.8789650000003</v>
      </c>
      <c r="N18" s="3">
        <f>770.9+(1172.1-424.7)+(-0.393159+(-0.597771--0.216597))+0-417.5--0.212924999999958</f>
        <v>1100.2385919999997</v>
      </c>
      <c r="O18" s="3">
        <f>846+(1128.5-377.3)+(0+(0-0))+0-425.6-0</f>
        <v>1171.5999999999999</v>
      </c>
      <c r="P18" s="3">
        <f>1024.2+(908.1-276.3)+(0+(0-0))+0-419.8-0</f>
        <v>1236.2</v>
      </c>
      <c r="Q18" s="3">
        <f>1101.1+(788-224.2)+(0.561561+(0.40188-0.114342))+0-420.5-0.214454999999957</f>
        <v>1245.0346439999998</v>
      </c>
      <c r="R18" s="3">
        <f>1101.6+(796.9-232.3)+(-0.561816+(-0.406419--0.118473))+0-422.2--0.215321999999957</f>
        <v>1243.3655599999997</v>
      </c>
      <c r="S18" s="3">
        <f>1101.5+(742.3-220.7)+(-1.12353+(-0.757146--0.225114))+0-420.1--0.428502000000067</f>
        <v>1201.7729400000001</v>
      </c>
      <c r="T18" s="3">
        <f>1102.1+(809.2-307.9)+(-0.562071+(-0.412692--0.157029))+0-427.7--0.218126999999957</f>
        <v>1175.1003929999999</v>
      </c>
      <c r="U18" s="3">
        <f>1102.1+(890.5-398.7)+(-2.810355+(-2.270775--1.016685))+0-415.8--1.06028999999994</f>
        <v>1175.0958449999998</v>
      </c>
      <c r="V18" s="3">
        <f>1102.2+(1124.9-636.3)+(0+(0-0))+0-407.8-0</f>
        <v>1183.0000000000002</v>
      </c>
      <c r="W18" s="3">
        <f>1102.2+(1183.6-721.1)+(-2.81061+(-3.01818--1.838805))+0-384.2--0.979709999999944</f>
        <v>1177.4897249999997</v>
      </c>
      <c r="X18" s="3">
        <f>1114.1+(934.7-475.8)+(-0.568191+(-0.476697--0.242658))+0-382.5--0.195074999999961</f>
        <v>1189.8928449999999</v>
      </c>
      <c r="Y18" s="3">
        <f>1223.8+(728.6-248.5)+(-0.624138+(-0.371586--0.126735))+0-417.6--0.212975999999958</f>
        <v>1285.6439870000002</v>
      </c>
      <c r="Z18" s="3">
        <f>1248.5+(1039-417.3)+(-1.910205+(-1.58967--0.638469))+0-417.4--0.638622000000024</f>
        <v>1450.5772160000001</v>
      </c>
      <c r="AA18" s="3">
        <f>1247.9+(987.5-365.3)+(-2.545716+(-2.0145--0.745212))+0-419.8--0.856391999999982</f>
        <v>1447.3413880000001</v>
      </c>
      <c r="AB18" s="3">
        <f>1234+(923-367.2)+(-0.62934+(-0.47073--0.187272))+0-406.1--0.207110999999959</f>
        <v>1382.9943129999999</v>
      </c>
      <c r="AC18" s="3">
        <f>1142.1+(891.8-306)+(0.582471+(0.454818-0.15606))+0-402.6-0.205325999999959</f>
        <v>1325.9759029999998</v>
      </c>
      <c r="AD18" s="2">
        <v>1435.9999999999998</v>
      </c>
      <c r="AE18" s="3">
        <f>1247+(1056.2-425.7)+(0+(0-0))+0-437.5-0</f>
        <v>1440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1120.1+(1180.7-635.8)+(-2.856255+(-3.010785--1.62129))+0-412.3--1.05136499999994</f>
        <v>1249.505615</v>
      </c>
      <c r="G19" s="3">
        <f>972.3+(1625.3-1012.6)+(-2.479365+(-4.144515--2.58213))+0-401.3--1.02331499999994</f>
        <v>1180.6815649999999</v>
      </c>
      <c r="H19" s="3">
        <f>816.5+(1329.9-610.7)+(1.249245+(2.034747-0.934371))+0-405.1-0.619803000000023</f>
        <v>1132.3298180000002</v>
      </c>
      <c r="I19" s="3">
        <f>752+(1416.1-648.4)+(1.9176+(3.611055-1.65342))+0-405-1.03274999999994</f>
        <v>1117.5424849999999</v>
      </c>
      <c r="J19" s="3">
        <f>783.2+(1386.3-646)+(-1.99716+(-3.535065--1.6473))+0-404.6--1.03172999999994</f>
        <v>1116.0468049999997</v>
      </c>
      <c r="K19" s="3">
        <f>806+(1320.2-590.1)+(0+(0-0))+0-402-0</f>
        <v>1134.0999999999999</v>
      </c>
      <c r="L19" s="3">
        <f>802.6+(1048.1-283.9)+(-1.637304+(-2.138124--0.579156))+0-403.3--0.822731999999982</f>
        <v>1161.1264600000002</v>
      </c>
      <c r="M19" s="3">
        <f>803.7+(1059.4-287.6)+(0.409887+(0.540294-0.146676))+0-384.1-0.195890999999961</f>
        <v>1192.0076139999999</v>
      </c>
      <c r="N19" s="3">
        <f>803.5+(1230.9-343.2)+(0.81957+(1.255518-0.350064))+0-375.4-0.38290800000006</f>
        <v>1317.142116</v>
      </c>
      <c r="O19" s="3">
        <f>871.4+(1265.5-290.1)+(0+(0-0))+0-384.8-0</f>
        <v>1462</v>
      </c>
      <c r="P19" s="3">
        <f>972.4+(1232-317.1)+(-0.495924+(-0.62832--0.161721))+0-389.8--0.19879799999996</f>
        <v>1496.736275</v>
      </c>
      <c r="Q19" s="3">
        <f>1200.2+(1077.2-270)+(-2.448408+(-2.197488--0.5508))+0-417--0.850679999999982</f>
        <v>1587.1555840000001</v>
      </c>
      <c r="R19" s="3">
        <f>1218.9+(1038.1-435.9)+(1.243278+(1.058862-0.444618))+0-387.2-0.394944000000062</f>
        <v>1435.3625779999998</v>
      </c>
      <c r="S19" s="3">
        <f>1246.2+(1084.1-534.9)+(-1.906686+(-1.658673--0.818397))+0-394.2--0.603126000000023</f>
        <v>1399.0561640000001</v>
      </c>
      <c r="T19" s="3">
        <f>1286.6+(951.7-469.8)+(-0.656166+(-0.485367--0.239598))+0-382.2--0.194921999999961</f>
        <v>1385.5929869999998</v>
      </c>
      <c r="U19" s="3">
        <f>1249.6+(947.2-431.8)+(-1.911888+(-1.449216--0.660654))+0-387.7--0.593181000000022</f>
        <v>1375.1927309999999</v>
      </c>
      <c r="V19" s="3">
        <f>1227.5+(1244.9-743.9)+(0.626025+(0.634899-0.379389))+0-370.8-0.189107999999962</f>
        <v>1358.392427</v>
      </c>
      <c r="W19" s="3">
        <f>1227.8+(1399.1-834.5)+(-1.252356+(-1.427082--0.85119))+0-398.6--0.406572000000064</f>
        <v>1392.378324</v>
      </c>
      <c r="X19" s="3">
        <f>1227.9+(1142.1-630.7)+(-2.504916+(-2.329884--1.286628))+0-401.1--0.818243999999983</f>
        <v>1335.4700720000001</v>
      </c>
      <c r="Y19" s="3">
        <f>1338.9+(988-508.8)+(0.682839+(0.50388-0.259488))+0-396-0.20195999999996</f>
        <v>1422.8252710000002</v>
      </c>
      <c r="Z19" s="3">
        <f>1389.3+(966.1-294.9)+(-2.125629+(-1.478133--0.451197))+0-389.1--0.595323000000022</f>
        <v>1668.8427580000002</v>
      </c>
      <c r="AA19" s="3">
        <f>1221.5+(1184-426.1)+(-3.114825+(-3.0192--1.086555))+0-408.4--1.04141999999994</f>
        <v>1566.99395</v>
      </c>
      <c r="AB19" s="3">
        <f>1080.3+(1112-352.6)+(-2.203812+(-2.26848--0.719304))+0-377.7--0.770507999999984</f>
        <v>1459.0175199999999</v>
      </c>
      <c r="AC19" s="3">
        <f>1041+(924.3-338.8)+(-2.12364+(-1.885572--0.691152))+0-365.4--0.745415999999984</f>
        <v>1258.5273559999998</v>
      </c>
      <c r="AD19" s="2">
        <v>1642.6</v>
      </c>
      <c r="AE19" s="3">
        <f>1386+(954.7-300.7)+(0+(0-0))+0-393.4-0</f>
        <v>1646.6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917.4+(1069.6-336.8)+(0+(0-0))+0-369-0</f>
        <v>1281.1999999999998</v>
      </c>
      <c r="G20" s="3">
        <f>856.2+(1726.2-915.6)+(-1.746648+(-3.521448--1.867824))+0-372.7--0.760307999999984</f>
        <v>1291.4600359999999</v>
      </c>
      <c r="H20" s="3">
        <f>826.2+(1560.3-796.3)+(-1.685448+(-3.183012--1.624452))+0-373.2--0.761327999999984</f>
        <v>1214.5173200000002</v>
      </c>
      <c r="I20" s="3">
        <f>826.1+(1473.8-716)+(-0.842622+(-1.503276--0.73032))+0-381.3--0.388926000000061</f>
        <v>1201.3733480000003</v>
      </c>
      <c r="J20" s="3">
        <f>825.9+(1138.3-387)+(-1.263627+(-1.741599--0.59211))+0-385.7--0.590121000000022</f>
        <v>1189.6770049999998</v>
      </c>
      <c r="K20" s="3">
        <f>825.7+(1089.6-350.1)+(0.421107+(0.555696-0.178551))+0-386.3-0.197012999999961</f>
        <v>1179.5012389999999</v>
      </c>
      <c r="L20" s="3">
        <f>905.8+(965.4-203.9)+(0+(0-0))+0-384.2-0</f>
        <v>1283.0999999999999</v>
      </c>
      <c r="M20" s="3">
        <f>905.8+(926.3-185.7)+(-0.461958+(-0.472413--0.094707))+0-382.3--0.194972999999961</f>
        <v>1263.4553089999997</v>
      </c>
      <c r="N20" s="3">
        <f>905.5+(1052.3-256.9)+(-1.385415+(-1.610019--0.393057))+0-382.3--0.584919000000022</f>
        <v>1316.5825420000003</v>
      </c>
      <c r="O20" s="3">
        <f>926.5+(1073.8-213.7)+(0.472515+(0.547638-0.108987))+0-389.4-0.19859399999996</f>
        <v>1397.9125720000002</v>
      </c>
      <c r="P20" s="3">
        <f>1094.3+(948.2-201.3)+(0+(0-0))+0-387.8-0</f>
        <v>1453.4</v>
      </c>
      <c r="Q20" s="3">
        <f>1097.1+(1050-220.8)+(1.119042+(1.071-0.225216))+0-391-0.398820000000062</f>
        <v>1536.8660059999997</v>
      </c>
      <c r="R20" s="3">
        <f>1135.3+(995.5-230.1)+(0.579003+(0.507705-0.117351))+0-391.4-0.19961399999996</f>
        <v>1510.0697429999998</v>
      </c>
      <c r="S20" s="3">
        <f>1156.3+(914.6-217.1)+(-3.538278+(-2.798676--0.664326))+0-391.3--1.19737800000005</f>
        <v>1458.02475</v>
      </c>
      <c r="T20" s="3">
        <f>1188.6+(885.3-214.5)+(-1.212372+(-0.903006--0.21879))+0-388.5--0.396270000000062</f>
        <v>1469.3996819999998</v>
      </c>
      <c r="U20" s="3">
        <f>1188+(908-246.9)+(-1.81764+(-1.38924--0.377757))+0-382.8--0.585684000000022</f>
        <v>1464.0565610000001</v>
      </c>
      <c r="V20" s="3">
        <f>1188.3+(824.2-156.4)+(-0.606033+(-0.420342--0.079764))+0-384.7--0.196196999999961</f>
        <v>1470.6495859999998</v>
      </c>
      <c r="W20" s="3">
        <f>1188.8+(795.2-159.4)+(0.606288+(0.405552-0.081294))+0-374-0.190739999999962</f>
        <v>1451.339806</v>
      </c>
      <c r="X20" s="3">
        <f>1199.3+(797.9-160.3)+(-1.834929+(-1.220787--0.245259))+0-388--0.593640000000022</f>
        <v>1446.6831829999999</v>
      </c>
      <c r="Y20" s="3">
        <f>1332.5+(885.7-296.1)+(-1.35915+(-0.903414--0.302022))+0-390.5--0.398310000000062</f>
        <v>1530.0377679999999</v>
      </c>
      <c r="Z20" s="3">
        <f>1521.9+(1465.3-932.6)+(-3.880845+(-3.736515--2.37813))+0-387.7--0.988634999999944</f>
        <v>1662.6494049999997</v>
      </c>
      <c r="AA20" s="3">
        <f>1501.2+(1392.2-863.8)+(-3.062448+(-2.840088--1.762152))+0-389.4--0.794375999999983</f>
        <v>1636.8539920000001</v>
      </c>
      <c r="AB20" s="3">
        <f>1148.4+(1429.1-640.2)+(-1.171368+(-1.457682--0.653004))+0-388.1--0.395862000000062</f>
        <v>1547.6198160000001</v>
      </c>
      <c r="AC20" s="3">
        <f>1044.7+(1170-351)+(-1.598391+(-1.7901--0.53703))+0-389.3--0.595629000000023</f>
        <v>1472.144168</v>
      </c>
      <c r="AD20" s="2">
        <v>1650.4999999999998</v>
      </c>
      <c r="AE20" s="3">
        <f>1523+(1556.6-1038.9)+(0+(0-0))+0-386.2-0</f>
        <v>1654.4999999999998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1044.7+(1115.7-361.3)+(-1.598391+(-1.707021--0.552789))+0-415--0.634950000000024</f>
        <v>1381.9823270000002</v>
      </c>
      <c r="G21" s="3">
        <f>1044.6+(1620.8-923.1)+(-2.130984+(-3.306432--1.883124))+0-419--0.854759999999982</f>
        <v>1320.6004679999996</v>
      </c>
      <c r="H21" s="3">
        <f>1043.8+(1499.8-839.9)+(-1.064676+(-1.529796--0.856698))+0-423.1--0.431562000000068</f>
        <v>1279.2937879999997</v>
      </c>
      <c r="I21" s="3">
        <f>1043.9+(1304.3-664.8)+(-1.597167+(-1.995579--1.017144))+0-425.8--0.651474000000025</f>
        <v>1255.6758720000003</v>
      </c>
      <c r="J21" s="3">
        <f>1044+(1129.8-506.4)+(-0.53244+(-0.576198--0.258264))+0-421.5--0.214964999999957</f>
        <v>1245.2645909999999</v>
      </c>
      <c r="K21" s="3">
        <f>1044.1+(1100.6-474.6)+(0.532491+(0.561306-0.242046))+0-419-0.213689999999957</f>
        <v>1251.7380609999998</v>
      </c>
      <c r="L21" s="3">
        <f>1043.5+(905.3-272.4)+(-3.725295+(-3.231921--0.972468))+0-417.7--1.49118900000001</f>
        <v>1254.206441</v>
      </c>
      <c r="M21" s="3">
        <f>1044.4+(898-225.9)+(0+(0-0))+0-419.4-0</f>
        <v>1297.0999999999999</v>
      </c>
      <c r="N21" s="3">
        <f>1043.9+(864.4-100.5)+(0.532389+(0.440844-0.051255))+0-415.1-0.211700999999958</f>
        <v>1393.4102770000002</v>
      </c>
      <c r="O21" s="3">
        <f>1110.5+(905-114.6)+(-1.13271+(-0.9231--0.116892))+0-422.2--0.430644000000067</f>
        <v>1477.191726</v>
      </c>
      <c r="P21" s="3">
        <f>1232.3+(854.5-127.5)+(0.628473+(0.435795-0.065025))+0-416.5-0.212414999999958</f>
        <v>1543.586828</v>
      </c>
      <c r="Q21" s="3">
        <f>1245.7+(1109.3-344.7)+(0+(0-0))+0-415.8-0</f>
        <v>1594.5</v>
      </c>
      <c r="R21" s="3">
        <f>1244.1+(971.6-317.4)+(0+(0-0))+0-389.4-0</f>
        <v>1508.9</v>
      </c>
      <c r="S21" s="3">
        <f>1261.6+(718-98.3)+(-3.21708+(-1.8309--0.250665))+0-407.7--1.03963499999994</f>
        <v>1469.8423199999997</v>
      </c>
      <c r="T21" s="3">
        <f>1274.8+(702.5-83.8)+(0+(0-0))+0-415.4-0</f>
        <v>1478.1</v>
      </c>
      <c r="U21" s="3">
        <f>1301.7+(754.1-156.4)+(-1.327734+(-0.769182--0.159528))+0-418.5--0.426870000000067</f>
        <v>1479.389482</v>
      </c>
      <c r="V21" s="3">
        <f>1303.7+(788.7-174)+(-1.994661+(-1.206711--0.26622))+0-415.4--0.635562000000024</f>
        <v>1500.7004099999999</v>
      </c>
      <c r="W21" s="3">
        <f>1303.6+(809.7-207)+(-0.664836+(-0.412947--0.10557))+0-422.4--0.215423999999957</f>
        <v>1483.1432110000001</v>
      </c>
      <c r="X21" s="3">
        <f>1307.8+(858-284.4)+(-2.000934+(-1.31274--0.435132))+0-422.3--0.646119000000024</f>
        <v>1456.8675770000002</v>
      </c>
      <c r="Y21" s="3">
        <f>1399.7+(915-399.6)+(-0.713847+(-0.46665--0.203796))+0-426.4--0.217463999999957</f>
        <v>1487.9407629999998</v>
      </c>
      <c r="Z21" s="3">
        <f>1570.6+(701-186.1)+(-1.602012+(-0.71502--0.189822))+0-425.2--0.433704000000068</f>
        <v>1658.6064939999999</v>
      </c>
      <c r="AA21" s="3">
        <f>1576.3+(748.5-279.2)+(-0.803913+(-0.381735--0.142392))+0-417.7--0.213026999999958</f>
        <v>1627.0697709999999</v>
      </c>
      <c r="AB21" s="3">
        <f>1537.3+(1090.4-638.5)+(-3.136092+(-2.224416--1.30254))+0-424.6--0.866183999999982</f>
        <v>1561.4082159999998</v>
      </c>
      <c r="AC21" s="3">
        <f>1365.9+(1473.6-912.7)+(0.696609+(0.751536-0.465477))+0-420.3-0.214352999999957</f>
        <v>1507.2683150000003</v>
      </c>
      <c r="AD21" s="2">
        <v>1714.1</v>
      </c>
      <c r="AE21" s="3">
        <f>1575+(776.7-199)+(0+(0-0))+0-434.6-0</f>
        <v>1718.1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1164.7+(1829-1160.5)+(0.593997+(0.93279-0.591855))+0-420.4-0.214403999999957</f>
        <v>1413.5205279999998</v>
      </c>
      <c r="G22" s="3">
        <f>1060.5+(2017.1-1318.9)+(-0.540855+(-1.028721--0.672639))+0-426.2--0.217361999999957</f>
        <v>1331.8204249999997</v>
      </c>
      <c r="H22" s="3">
        <f>1029.6+(1681.8-1008.3)+(-0.525096+(-0.857718--0.514233))+0-425.1--0.216800999999957</f>
        <v>1277.3482199999999</v>
      </c>
      <c r="I22" s="3">
        <f>1010.1+(1689.8-1013.9)+(0+(0-0))+0-424.5-0</f>
        <v>1261.5</v>
      </c>
      <c r="J22" s="3">
        <f>1009.9+(1612.5-940.5)+(0+(0-0))+0-427.7-0</f>
        <v>1254.2</v>
      </c>
      <c r="K22" s="3">
        <f>1010.3+(1408.3-725.5)+(-1.545759+(-2.154699--1.110015))+0-428.4--0.655452000000025</f>
        <v>1262.7650089999997</v>
      </c>
      <c r="L22" s="3">
        <f>1009.6+(1144.7-476.5)+(-1.029792+(-1.167594--0.48603))+0-413.4--0.421668000000066</f>
        <v>1263.1103120000002</v>
      </c>
      <c r="M22" s="3">
        <f>1009.6+(916.3-208.6)+(1.029792+(0.934626-0.212772))+0-409.5-0.417690000000065</f>
        <v>1309.1339559999999</v>
      </c>
      <c r="N22" s="3">
        <f>1022.8+(945.7-131)+(2.086512+(1.929228-0.26724))+0-412.1-0.840683999999982</f>
        <v>1428.3078159999998</v>
      </c>
      <c r="O22" s="3">
        <f>1101.1+(966.4-130.3)+(-1.123122+(-0.985728--0.132906))+0-398.7--0.406674000000064</f>
        <v>1536.9307299999998</v>
      </c>
      <c r="P22" s="3">
        <f>1243.6+(815.5-134.8)+(-0.634236+(-0.415905--0.068748))+0-423--0.215729999999957</f>
        <v>1500.5343369999998</v>
      </c>
      <c r="Q22" s="3">
        <f>1353.4+(786.4-110.1)+(1.380468+(0.802128-0.112302))+0-406-0.414120000000065</f>
        <v>1625.356174</v>
      </c>
      <c r="R22" s="3">
        <f>1360.2+(872-240.8)+(0+(0-0))+0-405-0</f>
        <v>1586.4</v>
      </c>
      <c r="S22" s="3">
        <f>1370.7+(831.8-291.3)+(-2.796228+(-1.696872--0.594252))+0-401.5--0.819059999999982</f>
        <v>1506.620212</v>
      </c>
      <c r="T22" s="3">
        <f>1374+(698.4-245.8)+(1.40148+(0.712368-0.250716))+0-379.8-0.387396000000061</f>
        <v>1448.2757359999998</v>
      </c>
      <c r="U22" s="3">
        <f>1386.8+(745.4-220.7)+(1.414536+(0.760308-0.225114))+0-382.9-0.390558000000061</f>
        <v>1530.1591720000001</v>
      </c>
      <c r="V22" s="3">
        <f>1386.8+(696-196.8)+(-2.121804+(-1.06488--0.301104))+0-393.8--0.602514000000023</f>
        <v>1489.9169340000001</v>
      </c>
      <c r="W22" s="3">
        <f>1384.3+(715.7-189)+(-0.705993+(-0.365007--0.09639))+0-401.9--0.204968999999959</f>
        <v>1508.330359</v>
      </c>
      <c r="X22" s="3">
        <f>1382.2+(631-196.3)+(-3.52461+(-1.60905--0.500565))+0-398.6--1.01642999999994</f>
        <v>1414.6833349999999</v>
      </c>
      <c r="Y22" s="3">
        <f>1584+(683.2-278.3)+(1.61568+(0.696864-0.283866))+0-392.1-0.399942000000063</f>
        <v>1598.4287359999998</v>
      </c>
      <c r="Z22" s="3">
        <f>1663.3+(1145.9-723.4)+(-0.848283+(-0.584409--0.368934))+0-396.6--0.20226599999996</f>
        <v>1688.3385080000005</v>
      </c>
      <c r="AA22" s="3">
        <f>1661.6+(853.4-536.4)+(-3.389664+(-1.740936--1.094256))+0-405.5--0.827219999999982</f>
        <v>1569.8908759999997</v>
      </c>
      <c r="AB22" s="3">
        <f>1662.8+(590.2-314.1)+(-1.696056+(-0.602004--0.320382))+0-406.7--0.414834000000065</f>
        <v>1530.6371560000002</v>
      </c>
      <c r="AC22" s="3">
        <f>1607.7+(594.5-296.1)+(-3.279708+(-1.21278--0.604044))+0-407.2--0.830687999999982</f>
        <v>1495.8422439999999</v>
      </c>
      <c r="AD22" s="2">
        <v>1677</v>
      </c>
      <c r="AE22" s="3">
        <f>1659+(1225-781.9)+(0+(0-0))+0-421.1-0</f>
        <v>1681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1389.1+(1047.4-612.9)+(-0.708441+(-0.534174--0.312579))+0-411--0.209609999999958</f>
        <v>1411.8795739999998</v>
      </c>
      <c r="G23" s="3">
        <f>1289.8+(1666.1-1210.6)+(-1.973394+(-2.549133--1.852218))+0-406.6--0.622098000000024</f>
        <v>1336.6517889999998</v>
      </c>
      <c r="H23" s="3">
        <f>1196.3+(1732-1226.5)+(0+(0-0))+0-411.8-0</f>
        <v>1290</v>
      </c>
      <c r="I23" s="3">
        <f>1197.6+(1836.8-1354.4)+(-3.05388+(-4.68384--3.45372))+0-415--1.05824999999994</f>
        <v>1261.7742499999997</v>
      </c>
      <c r="J23" s="3">
        <f>1196.6+(1917.1-1428.8)+(1.220532+(1.955442-1.457376))+0-417-0.425340000000067</f>
        <v>1269.1932579999998</v>
      </c>
      <c r="K23" s="3">
        <f>1196.8+(1684.6-1195.8)+(-0.610368+(-0.859146--0.609858))+0-414.6--0.211445999999958</f>
        <v>1270.3517899999999</v>
      </c>
      <c r="L23" s="3">
        <f>1196.7+(1437-909.6)+(-3.051585+(-3.66435--2.31948))+0-415.9--1.06054499999994</f>
        <v>1304.8640899999998</v>
      </c>
      <c r="M23" s="3">
        <f>1195.6+(921.3-396.6)+(-0.609756+(-0.469863--0.202266))+0-416.3--0.212312999999958</f>
        <v>1303.3349599999997</v>
      </c>
      <c r="N23" s="3">
        <f>1195.6+(1076.3-397)+(-0.609756+(-0.548913--0.20247))+0-395.7--0.20180699999996</f>
        <v>1478.4456079999998</v>
      </c>
      <c r="O23" s="3">
        <f>1195.7+(1243.5-400)+(0.609807+(0.634185-0.204))+0-417-0.212669999999958</f>
        <v>1623.0273220000001</v>
      </c>
      <c r="P23" s="3">
        <f>1257.4+(1256.6-534.3)+(1.282548+(1.281732-0.544986))+0-421-0.429420000000067</f>
        <v>1560.2898739999998</v>
      </c>
      <c r="Q23" s="3">
        <f>1302.9+(1110.9-471.5)+(0+(0-0))+0-424.9-0</f>
        <v>1517.4</v>
      </c>
      <c r="R23" s="3">
        <f>1287.5+(968.9-285.7)+(-1.31325+(-0.988278--0.291414))+0-418.4--0.426768000000067</f>
        <v>1550.7166540000001</v>
      </c>
      <c r="S23" s="3">
        <f>1288.7+(866-217.2)+(-0.657237+(-0.44166--0.110772))+0-423.1--0.215780999999957</f>
        <v>1513.6276559999997</v>
      </c>
      <c r="T23" s="3">
        <f>1288.6+(911.8-282.4)+(-2.628744+(-1.860072--0.576096))+0-424.9--0.866795999999981</f>
        <v>1490.0540760000001</v>
      </c>
      <c r="U23" s="3">
        <f>1292.2+(900.6-216.9)+(0+(0-0))+0-420.6-0</f>
        <v>1555.3000000000002</v>
      </c>
      <c r="V23" s="3">
        <f>1429.3+(756.7-228.3)+(-2.186829+(-1.157751--0.349299))+0-398.7--0.610011000000023</f>
        <v>1556.61473</v>
      </c>
      <c r="W23" s="3">
        <f>1450+(804.6-296.5)+(-0.7395+(-0.410346--0.151215))+0-422.7--0.215576999999957</f>
        <v>1534.6169459999999</v>
      </c>
      <c r="X23" s="3">
        <f>1474.4+(985.7-505.4)+(-3.007776+(-2.010828--1.031016))+0-425.6--0.868223999999981</f>
        <v>1525.9806360000005</v>
      </c>
      <c r="Y23" s="3">
        <f>1551.4+(841.9-499.1)+(0.791214+(0.429369-0.254541))+0-422.5-0.215474999999957</f>
        <v>1472.4505670000001</v>
      </c>
      <c r="Z23" s="3">
        <f>1668+(714-459.8)+(-0.85068+(-0.36414--0.234498))+0-421.5--0.214964999999957</f>
        <v>1499.9346430000001</v>
      </c>
      <c r="AA23" s="3">
        <f>1674.9+(743-400.2)+(-1.708398+(-0.75786--0.408204))+0-420--0.428400000000067</f>
        <v>1596.070346</v>
      </c>
      <c r="AB23" s="3">
        <f>1675.9+(1195.9-936.2)+(0+(0-0))+0-420.1-0</f>
        <v>1515.5</v>
      </c>
      <c r="AC23" s="3">
        <f>1648.3+(1873-1559.6)+(-3.362532+(-3.82092--3.181584))+0-419.8--0.856391999999982</f>
        <v>1538.7545239999999</v>
      </c>
      <c r="AD23" s="2">
        <v>1675.8999999999996</v>
      </c>
      <c r="AE23" s="3">
        <f>1674+(836.6-429.3)+(0+(0-0))+0-401.4-0</f>
        <v>1679.9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1500.5+(2250.9-1917.4)+(-1.53051+(-2.295918--1.955748))+0-421.4--0.429828000000067</f>
        <v>1411.159148</v>
      </c>
      <c r="G24" s="3">
        <f>1221.3+(2331.6-1863.7)+(-1.245726+(-2.378232--1.900974))+0-418.2--0.426564000000067</f>
        <v>1269.7035799999999</v>
      </c>
      <c r="H24" s="3">
        <f>1211.3+(2292-1859.2)+(-3.088815+(-5.8446--4.74096))+0-423--1.07864999999994</f>
        <v>1217.9861949999997</v>
      </c>
      <c r="I24" s="3">
        <f>1208.1+(2293.5-1869.8)+(-1.232262+(-2.33937--1.907196))+0-422.7--0.431154000000067</f>
        <v>1207.866718</v>
      </c>
      <c r="J24" s="3">
        <f>1119+(2073.6-1607.2)+(0.57069+(1.057536-0.819672))+0-411-0.209609999999958</f>
        <v>1174.9989439999999</v>
      </c>
      <c r="K24" s="3">
        <f>1114.2+(1976.2-1489.4)+(0.568242+(1.007862-0.759594))+0-419.5-0.213944999999957</f>
        <v>1182.1025650000001</v>
      </c>
      <c r="L24" s="3">
        <f>1114.4+(1792.3-1301.9)+(-1.136688+(-1.828146--1.327938))+0-415.8--0.424116000000066</f>
        <v>1187.7872200000002</v>
      </c>
      <c r="M24" s="3">
        <f>1113.6+(1222.6-837.1)+(1.135872+(1.247052-0.853842))+0-414.2-0.422484000000066</f>
        <v>1086.0065979999997</v>
      </c>
      <c r="N24" s="3">
        <f>1113.7+(900.8-339.9)+(2.271948+(1.837632-0.693396))+0-409.2-0.834767999999982</f>
        <v>1267.9814159999999</v>
      </c>
      <c r="O24" s="3">
        <f>1138.3+(956.6-278.3)+(0.580533+(0.487866-0.141933))+0-415.5-0.211904999999958</f>
        <v>1401.8145609999999</v>
      </c>
      <c r="P24" s="3">
        <f>1194.6+(1051.1-422.4)+(0+(0-0))+0-420.3-0</f>
        <v>1402.9999999999998</v>
      </c>
      <c r="Q24" s="3">
        <f>1357.3+(1179.5-664.2)+(-0.692223+(-0.601545--0.338742))+0-388.8--0.198287999999961</f>
        <v>1483.0432619999999</v>
      </c>
      <c r="R24" s="3">
        <f>1481.5+(850.4-321.3)+(-1.51113+(-0.867408--0.327726))+0-406.9--0.415038000000065</f>
        <v>1602.064226</v>
      </c>
      <c r="S24" s="3">
        <f>1415.7+(673.9-152.4)+(-1.444014+(-0.687378--0.155448))+0-407.8--0.415956000000065</f>
        <v>1527.8400120000001</v>
      </c>
      <c r="T24" s="3">
        <f>1360.8+(709.9-148.6)+(-1.388016+(-0.724098--0.151572))+0-394.6--0.402492000000063</f>
        <v>1525.9419499999999</v>
      </c>
      <c r="U24" s="3">
        <f>1360.6+(628.4-216.2)+(-0.693906+(-0.320484--0.110262))+0-413.2--0.210731999999958</f>
        <v>1358.906604</v>
      </c>
      <c r="V24" s="3">
        <f>1366.1+(630.3-120)+(0+(0-0))+0-412.3-0</f>
        <v>1464.1</v>
      </c>
      <c r="W24" s="3">
        <f>1367.1+(672.6-147.3)+(-1.394442+(-0.686052--0.150246))+0-416.1--0.424422000000066</f>
        <v>1474.7941740000001</v>
      </c>
      <c r="X24" s="3">
        <f>1366.8+(742.3-213.5)+(1.394136+(0.757146-0.21777))+0-414.1-0.422382000000066</f>
        <v>1483.0111300000001</v>
      </c>
      <c r="Y24" s="3">
        <f>1435.5+(548.9-260.9)+(0+(0-0))+0-414.6-0</f>
        <v>1308.9000000000001</v>
      </c>
      <c r="Z24" s="3">
        <f>1501.1+(1167.1-757.1)+(-3.062244+(-2.380884--1.544484))+0-416.2--0.849047999999982</f>
        <v>1491.8504039999998</v>
      </c>
      <c r="AA24" s="3">
        <f>1486.8+(1169.1-654.7)+(-1.516536+(-1.192482--0.667794))+0-413.8--0.422076000000066</f>
        <v>1585.7808519999999</v>
      </c>
      <c r="AB24" s="3">
        <f>1433.4+(1032.4-495.1)+(-2.924136+(-2.106096--1.010004))+0-420--0.856799999999982</f>
        <v>1547.5365720000002</v>
      </c>
      <c r="AC24" s="3">
        <f>1425.8+(873.1-294.7)+(-2.181474+(-1.335843--0.450891))+0-413.7--0.632961000000024</f>
        <v>1588.0665349999999</v>
      </c>
      <c r="AD24" s="2">
        <v>1368.6</v>
      </c>
      <c r="AE24" s="3">
        <f>1493+(1270.1-843.4)+(0+(0-0))+0-428.1-0</f>
        <v>1491.6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1345+(781.9-242.1)+(-1.3719+(-0.797538--0.246942))+0-419.9--0.428298000000067</f>
        <v>1463.405802</v>
      </c>
      <c r="G25" s="3">
        <f>1217.9+(781.4-278.6)+(-1.863387+(-1.195542--0.426258))+0-427.6--0.654228000000025</f>
        <v>1291.1215570000002</v>
      </c>
      <c r="H25" s="3">
        <f>1209.9+(747-326.4)+(-1.234098+(-0.76194--0.332928))+0-423--0.431460000000067</f>
        <v>1206.2683500000001</v>
      </c>
      <c r="I25" s="3">
        <f>1210.7+(725.7-304.2)+(-1.234914+(-0.740214--0.310284))+0-416.4--0.424728000000066</f>
        <v>1214.5598840000002</v>
      </c>
      <c r="J25" s="3">
        <f>1210.1+(713.4-308.5)+(1.234302+(0.727668-0.31467))+0-423.3-0.431766000000067</f>
        <v>1192.915534</v>
      </c>
      <c r="K25" s="3">
        <f>1210.8+(769.6-326.8)+(-0.617508+(-0.392496--0.166668))+0-424.9--0.216698999999957</f>
        <v>1228.073363</v>
      </c>
      <c r="L25" s="3">
        <f>1210.1+(752.9-373.8)+(-3.702906+(-2.303874--1.143828))+0-420--1.28520000000005</f>
        <v>1165.6222479999999</v>
      </c>
      <c r="M25" s="3">
        <f>1209.7+(751.8-395.9)+(-0.616947+(-0.383418--0.201909))+0-424.5--0.216494999999957</f>
        <v>1140.5180389999998</v>
      </c>
      <c r="N25" s="3">
        <f>1174.2+(867.4-428.8)+(0.598842+(0.442374-0.218688))+0-423.9-0.216188999999957</f>
        <v>1189.5063389999998</v>
      </c>
      <c r="O25" s="3">
        <f>1171.1+(857.6-435)+(-0.597261+(-0.437376--0.22185))+0-422--0.215219999999957</f>
        <v>1171.1024329999998</v>
      </c>
      <c r="P25" s="3">
        <f>1200.4+(762.9-337.5)+(0.612204+(0.389079-0.172125))+0-423.5-0.215984999999957</f>
        <v>1202.9131730000001</v>
      </c>
      <c r="Q25" s="3">
        <f>1205.9+(821.3-394.1)+(-1.230018+(-0.837726--0.401982))+0-422--0.430440000000067</f>
        <v>1209.8646779999999</v>
      </c>
      <c r="R25" s="3">
        <f>1210.4+(810.7-344.1)+(0.617304+(0.413457-0.175491))+0-420.6-0.214505999999957</f>
        <v>1257.0407640000001</v>
      </c>
      <c r="S25" s="3">
        <f>1209.6+(764.6-330.4)+(0.616896+(0.389946-0.168504))+0-425.7-0.217106999999957</f>
        <v>1218.721231</v>
      </c>
      <c r="T25" s="3">
        <f>1209.9+(762.4-333)+(0.617049+(0.388824-0.16983))+0-417.8-0.213077999999958</f>
        <v>1222.1229650000002</v>
      </c>
      <c r="U25" s="3">
        <f>1209.8+(733.2-343.5)+(-1.233996+(-0.747864--0.35037))+0-393.4--0.401268000000063</f>
        <v>1204.8697780000002</v>
      </c>
      <c r="V25" s="3">
        <f>1210+(864.8-425.2)+(1.2342+(0.882096-0.433704))+0-395.6-0.403512000000063</f>
        <v>1255.27908</v>
      </c>
      <c r="W25" s="3">
        <f>1210.6+(1050.1-566.8)+(1.852218+(1.606653-0.867204))+0-398.2-0.609246000000023</f>
        <v>1297.6824209999997</v>
      </c>
      <c r="X25" s="3">
        <f>1388.1+(1025.9-632.5)+(-2.123793+(-1.569627--0.967725))+0-401.7--0.614601000000023</f>
        <v>1377.6889059999999</v>
      </c>
      <c r="Y25" s="3">
        <f>1624.7+(700.6-459.4)+(0.828597+(0.357306-0.234294))+0-408.4-0.208283999999959</f>
        <v>1458.2433250000001</v>
      </c>
      <c r="Z25" s="3">
        <f>1650.4+(1041-689.4)+(-2.525112+(-1.59273--1.054782))+0-392.8--0.600984000000023</f>
        <v>1606.737924</v>
      </c>
      <c r="AA25" s="3">
        <f>1651.3+(1136.2-747.5)+(-4.210815+(-2.89731--1.906125))+0-404.1--1.03045499999994</f>
        <v>1631.7284549999997</v>
      </c>
      <c r="AB25" s="3">
        <f>1439.4+(1147-626.7)+(-1.468188+(-1.16994--0.639234))+0-411.9--0.420138000000066</f>
        <v>1546.2212440000001</v>
      </c>
      <c r="AC25" s="3">
        <f>1205.1+(1153.9-474.2)+(-0.614601+(-0.588489--0.241842))+0-413.2--0.210731999999958</f>
        <v>1470.8494839999998</v>
      </c>
      <c r="AD25" s="2">
        <v>1524.2999999999997</v>
      </c>
      <c r="AE25" s="3">
        <f>1649+(1004.6-696.7)+(0+(0-0))+0-428.6-0</f>
        <v>1528.3000000000002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1166.4+(1039.1-335.2)+(-0.594864+(-0.529941--0.170952))+0-416.8--0.212567999999958</f>
        <v>1452.7587149999999</v>
      </c>
      <c r="G26" s="3">
        <f>1165.9+(1410.6-708)+(0.594609+(0.719406-0.36108))+0-423.6-0.216035999999957</f>
        <v>1445.6368989999999</v>
      </c>
      <c r="H26" s="3">
        <f>1165.7+(1320.4-794.5)+(-0.594507+(-0.673404--0.405195))+0-426.5--0.217514999999957</f>
        <v>1264.4547990000001</v>
      </c>
      <c r="I26" s="3">
        <f>1165.3+(1218.7-849.8)+(-1.188606+(-1.243074--0.866796))+0-425.2--0.433704000000068</f>
        <v>1107.8688200000001</v>
      </c>
      <c r="J26" s="3">
        <f>1164.6+(1191.4-807.7)+(2.375784+(2.430456-1.647708))+0-425.5-0.868019999999981</f>
        <v>1125.090512</v>
      </c>
      <c r="K26" s="3">
        <f>1165.3+(973.2-626.6)+(-1.188606+(-0.992664--0.639132))+0-418.4--0.426768000000067</f>
        <v>1092.3846300000002</v>
      </c>
      <c r="L26" s="3">
        <f>1165.4+(779.2-454.2)+(1.783062+(1.192176-0.694926))+0-423.7-0.648261000000025</f>
        <v>1068.3320510000001</v>
      </c>
      <c r="M26" s="3">
        <f>1165+(744-269.4)+(-0.59415+(-0.37944--0.137394))+0-412.4--0.210323999999958</f>
        <v>1226.574128</v>
      </c>
      <c r="N26" s="3">
        <f>1166+(978.9-361)+(-0.59466+(-0.499239--0.18411))+0-424.9--0.216698999999957</f>
        <v>1358.3069100000002</v>
      </c>
      <c r="O26" s="3">
        <f>1165.6+(1256.2-554.1)+(-1.188912+(-1.281324--0.565182))+0-425--0.433500000000068</f>
        <v>1441.2284459999998</v>
      </c>
      <c r="P26" s="3">
        <f>1220.4+(1253.8-551.1)+(-1.867212+(-1.918314--0.843183))+0-432.7--0.662031000000025</f>
        <v>1488.119688</v>
      </c>
      <c r="Q26" s="3">
        <f>1260.3+(1486.8-732.2)+(-2.571012+(-3.033072--1.493688))+0-459--0.93635999999998</f>
        <v>1552.7259639999997</v>
      </c>
      <c r="R26" s="3">
        <f>1371.5+(1321.4-980.8)+(-2.098395+(-2.021742--1.500624))+0-425--0.650250000000025</f>
        <v>1285.130737</v>
      </c>
      <c r="S26" s="3">
        <f>1383.7+(1330.5-1030.4)+(-2.822748+(-2.71422--2.102016))+0-441--0.899639999999981</f>
        <v>1240.264688</v>
      </c>
      <c r="T26" s="3">
        <f>1385.1+(1325.5-1024.7)+(-2.119203+(-2.028015--1.567791))+0-446--0.682380000000026</f>
        <v>1238.0029529999999</v>
      </c>
      <c r="U26" s="3">
        <f>1383+(1387-1177.4)+(-4.23198+(-4.24422--3.602844))+0-422.8--1.29376800000005</f>
        <v>1166.2204119999999</v>
      </c>
      <c r="V26" s="3">
        <f>1385.1+(1365.2-1121.6)+(-0.706401+(-0.696252--0.572016))+0-430.7--0.219656999999956</f>
        <v>1197.3890199999998</v>
      </c>
      <c r="W26" s="3">
        <f>1383.9+(1356.2-1133.6)+(-3.528945+(-3.45831--2.89068))+0-427.4--1.08986999999994</f>
        <v>1176.0932950000004</v>
      </c>
      <c r="X26" s="3">
        <f>1385.4+(1259-984.9)+(-0.706554+(-0.64209--0.502299))+0-429.1--0.218840999999956</f>
        <v>1229.772496</v>
      </c>
      <c r="Y26" s="3">
        <f>1500.2+(1273.1-810.3)+(0.765102+(0.649281-0.413253))+0-421.1-0.214760999999957</f>
        <v>1542.6863690000002</v>
      </c>
      <c r="Z26" s="3">
        <f>1653.9+(1535.4-1148.9)+(-4.217445+(-3.91527--2.929695))+0-423.4--1.07966999999994</f>
        <v>1612.8766499999999</v>
      </c>
      <c r="AA26" s="3">
        <f>1662+(1667.1-1329.3)+(-4.2381+(-4.251105--3.389715))+0-424.3--1.08196499999994</f>
        <v>1571.4824749999998</v>
      </c>
      <c r="AB26" s="3">
        <f>1477.5+(1916.2-1448.8)+(-0.753525+(-0.977262--0.738888))+0-422.8--0.215627999999957</f>
        <v>1521.323729</v>
      </c>
      <c r="AC26" s="3">
        <f>1424.4+(1236.8-823.2)+(-2.905776+(-2.523072--1.679328))+0-396.2--0.808247999999983</f>
        <v>1438.8587279999999</v>
      </c>
      <c r="AD26" s="2">
        <v>1662</v>
      </c>
      <c r="AE26" s="3">
        <f>1660+(1595-1150.6)+(0+(0-0))+0-438.4-0</f>
        <v>1666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1225.1+(862.1-325.8)+(-2.499204+(-1.758684--0.664632))+0-413.4--0.843335999999982</f>
        <v>1345.2500799999998</v>
      </c>
      <c r="G27" s="3">
        <f>1141.2+(806-270.2)+(-1.746036+(-1.23318--0.413406))+0-410.2--0.627606000000024</f>
        <v>1264.8617959999999</v>
      </c>
      <c r="H27" s="3">
        <f>1073.7+(798-239.4)+(0+(0-0))+0-415.4-0</f>
        <v>1216.9000000000001</v>
      </c>
      <c r="I27" s="3">
        <f>1075.8+(777.2-228.8)+(-1.097316+(-0.792744--0.233376))+0-420.2--0.428604000000067</f>
        <v>1202.7719200000001</v>
      </c>
      <c r="J27" s="3">
        <f>1075.3+(777.9-222.9)+(0+(0-0))+0-420.8-0</f>
        <v>1209.5</v>
      </c>
      <c r="K27" s="3">
        <f>1076.6+(771.2-221.2)+(0+(0-0))+0-419.6-0</f>
        <v>1207</v>
      </c>
      <c r="L27" s="3">
        <f>1076+(752.2-206.3)+(1.64628+(1.150866-0.315639))+0-418.6-0.640458000000024</f>
        <v>1205.1410490000001</v>
      </c>
      <c r="M27" s="3">
        <f>1139.9+(787.1-232.7)+(-1.162698+(-0.802842--0.237354))+0-420.3--0.428706000000067</f>
        <v>1272.7005200000003</v>
      </c>
      <c r="N27" s="3">
        <f>1192+(818.5-232.2)+(-0.60792+(-0.417435--0.118422))+0-420.5--0.214454999999957</f>
        <v>1357.107522</v>
      </c>
      <c r="O27" s="3">
        <f>1173+(1106-363.1)+(0+(0-0))+0-431.1-0</f>
        <v>1484.8000000000002</v>
      </c>
      <c r="P27" s="3">
        <f>1162.3+(1742.7-965.7)+(-1.185546+(-1.777554--0.985014))+0-428.5--0.437070000000068</f>
        <v>1509.2589840000001</v>
      </c>
      <c r="Q27" s="3">
        <f>1162.2+(1661.5-875)+(-1.778166+(-2.542095--1.33875))+0-409.4--0.626382000000024</f>
        <v>1536.9448710000001</v>
      </c>
      <c r="R27" s="3">
        <f>1162.3+(1683.3-935.6)+(-1.185546+(-1.716966--0.954312))+0-406.7--0.414834000000065</f>
        <v>1501.7666340000001</v>
      </c>
      <c r="S27" s="3">
        <f>1161.9+(1282.8-598.3)+(-2.370276+(-2.616912--1.220532))+0-414.3--0.845171999999982</f>
        <v>1429.1785160000002</v>
      </c>
      <c r="T27" s="3">
        <f>1162.2+(1108.2-452.1)+(-0.592722+(-0.565182--0.230571))+0-410.9--0.209558999999958</f>
        <v>1406.6822259999999</v>
      </c>
      <c r="U27" s="3">
        <f>1161.1+(1163.4-498.1)+(-2.960805+(-2.96667--1.270155))+0-412.3--1.05136499999994</f>
        <v>1410.4940450000001</v>
      </c>
      <c r="V27" s="3">
        <f>1160.8+(1258.3-567.2)+(-3.552048+(-3.850398--1.735632))+0-416.3--1.27387800000005</f>
        <v>1431.2070639999999</v>
      </c>
      <c r="W27" s="3">
        <f>1161.6+(1362-671)+(-1.777248+(-2.08386--1.02663))+0-419.8--0.642294000000024</f>
        <v>1430.607816</v>
      </c>
      <c r="X27" s="3">
        <f>1165+(1451.1-750.2)+(-1.1883+(-1.480122--0.765204))+0-433.4--0.442068000000069</f>
        <v>1431.0388500000001</v>
      </c>
      <c r="Y27" s="3">
        <f>1374.8+(1438.7-901.1)+(0.701148+(0.733737-0.459561))+0-427.1-0.217820999999957</f>
        <v>1486.0575030000002</v>
      </c>
      <c r="Z27" s="3">
        <f>1621.9+(1759.8-1347.7)+(-2.481507+(-2.692494--2.061981))+0-430--0.657900000000025</f>
        <v>1601.5458799999999</v>
      </c>
      <c r="AA27" s="3">
        <f>1660+(1470.9-1143.1)+(-2.5398+(-2.250477--1.748943))+0-423.6--0.648108000000025</f>
        <v>1561.8067740000004</v>
      </c>
      <c r="AB27" s="3">
        <f>1639.6+(1003.9-749.7)+(-1.672392+(-1.023978--0.764694))+0-394--0.401880000000063</f>
        <v>1498.2702039999999</v>
      </c>
      <c r="AC27" s="3">
        <f>1363.6+(926.3-484.7)+(0+(0-0))+0-390.5-0</f>
        <v>1414.6999999999998</v>
      </c>
      <c r="AD27" s="2">
        <v>1602.6</v>
      </c>
      <c r="AE27" s="3">
        <f>1657+(1861.1-1470.4)+(0+(0-0))+0-441.1-0</f>
        <v>1606.6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1259.6+(707-264.8)+(-1.927188+(-1.08171--0.405144))+0-392.7--0.600831000000023</f>
        <v>1307.0970769999999</v>
      </c>
      <c r="G28" s="3">
        <f>1258.3+(603.4-228.5)+(-1.925199+(-0.923202--0.349605))+0-393--0.601290000000023</f>
        <v>1238.3024939999998</v>
      </c>
      <c r="H28" s="3">
        <f>1256.9+(730.9-388.4)+(-1.923057+(-1.118277--0.594252))+0-394--0.602820000000023</f>
        <v>1203.5557380000002</v>
      </c>
      <c r="I28" s="3">
        <f>1250.3+(825.7-475.3)+(0+(0-0))+0-394.4-0</f>
        <v>1206.3000000000002</v>
      </c>
      <c r="J28" s="3">
        <f>1166.1+(919.3-502.3)+(1.189422+(0.937686-0.512346))+0-392.8-0.400656000000063</f>
        <v>1191.5141059999999</v>
      </c>
      <c r="K28" s="3">
        <f>1169.1+(669.2-275.3)+(0+(0-0))+0-388.9-0</f>
        <v>1174.0999999999999</v>
      </c>
      <c r="L28" s="3">
        <f>1190.1+(712.8-325.2)+(-1.820853+(-1.090584--0.497556))+0-382.6--0.585378000000022</f>
        <v>1193.271497</v>
      </c>
      <c r="M28" s="3">
        <f>1226.6+(697.1-312)+(0+(0-0))+0-386.5-0</f>
        <v>1225.1999999999998</v>
      </c>
      <c r="N28" s="3">
        <f>1227.7+(730.5-225.9)+(-0.626127+(-0.372555--0.115209))+0-391.2--0.19951199999996</f>
        <v>1340.416039</v>
      </c>
      <c r="O28" s="3">
        <f>1227.2+(907.1-324.9)+(-1.251744+(-0.925242--0.331398))+0-392.3--0.400146000000063</f>
        <v>1415.6545580000002</v>
      </c>
      <c r="P28" s="3">
        <f>1232+(1194.1-578.6)+(0.62832+(0.608991-0.295086))+0-384.6-0.196145999999961</f>
        <v>1463.6460789999999</v>
      </c>
      <c r="Q28" s="3">
        <f>1353.5+(1364.1-884.7)+(0.690285+(0.695691-0.451197))+0-351.3-0.179162999999964</f>
        <v>1482.3556159999998</v>
      </c>
      <c r="R28" s="3">
        <f>1454.6+(1450.7-1091.4)+(0.741846+(0.739857-0.556614))+0-361.3-0.184262999999963</f>
        <v>1453.3408260000001</v>
      </c>
      <c r="S28" s="3">
        <f>1430.1+(1171.7-831.6)+(0.729351+(0.597567-0.424116))+0-379.8-0.193697999999961</f>
        <v>1391.1091039999999</v>
      </c>
      <c r="T28" s="3">
        <f>1397.6+(1465.3-1086.5)+(2.138328+(2.241909-1.662345))+0-385-0.589050000000022</f>
        <v>1393.5288419999997</v>
      </c>
      <c r="U28" s="3">
        <f>1397.9+(1287.6-906.6)+(-1.425858+(-1.313352--0.924732))+0-391.3--0.399126000000062</f>
        <v>1386.1846480000002</v>
      </c>
      <c r="V28" s="3">
        <f>1397+(1166.9-779.7)+(-0.71247+(-0.595119--0.397647))+0-393.4--0.20063399999996</f>
        <v>1390.090692</v>
      </c>
      <c r="W28" s="3">
        <f>1398+(1089.8-709.3)+(-0.71298+(-0.555798--0.361743))+0-394.5--0.20119499999996</f>
        <v>1383.2941599999999</v>
      </c>
      <c r="X28" s="3">
        <f>1403.4+(954.2-559.7)+(-2.862936+(-1.946568--1.141788))+0-388.2--0.791927999999983</f>
        <v>1406.824212</v>
      </c>
      <c r="Y28" s="3">
        <f>1530.3+(877.2-596.2)+(2.341359+(1.342116-0.912186))+0-390.8-0.597924000000023</f>
        <v>1422.6733650000001</v>
      </c>
      <c r="Z28" s="3">
        <f>1661.8+(1693.1-1397.4)+(-0.847518+(-0.863481--0.712674))+0-391.3--0.19956299999996</f>
        <v>1565.4012379999997</v>
      </c>
      <c r="AA28" s="3">
        <f>1664.2+(1456.4-1197.6)+(-2.546226+(-2.228292--1.832328))+0-391.5--0.598995000000023</f>
        <v>1529.1568050000003</v>
      </c>
      <c r="AB28" s="3">
        <f>1626+(873.1-616.4)+(-4.1463+(-2.226405--1.57182))+0-394.4--1.00571999999994</f>
        <v>1484.504835</v>
      </c>
      <c r="AC28" s="3">
        <f>1357.3+(666.8-214.5)+(0.692223+(0.340068-0.109395))+0-406.7-0.207416999999959</f>
        <v>1403.6154790000001</v>
      </c>
      <c r="AD28" s="2">
        <v>1568.3</v>
      </c>
      <c r="AE28" s="3">
        <f>1662+(1727.5-1423.4)+(0+(0-0))+0-393.8-0</f>
        <v>1572.3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1236.1+(1020.3-538.6)+(-1.260822+(-1.040706--0.549372))+0-415.4--0.423708000000066</f>
        <v>1301.0715519999997</v>
      </c>
      <c r="G29" s="3">
        <f>1234.6+(1415.4-1001.3)+(-2.518584+(-2.887416--2.042652))+0-413.4--0.843335999999982</f>
        <v>1232.7799879999998</v>
      </c>
      <c r="H29" s="3">
        <f>1234+(1632.2-1257.8)+(-0.62934+(-0.832422--0.641478))+0-421.5--0.214964999999957</f>
        <v>1186.2946810000001</v>
      </c>
      <c r="I29" s="3">
        <f>1233.2+(1430.4-1074.3)+(0.628932+(0.729504-0.547893))+0-421.4-0.214913999999957</f>
        <v>1168.4956290000002</v>
      </c>
      <c r="J29" s="3">
        <f>1234+(1034.5-682.7)+(-0.62934+(-0.527595--0.348177))+0-419--0.213689999999957</f>
        <v>1166.2049320000001</v>
      </c>
      <c r="K29" s="3">
        <f>1235+(800-446.7)+(0.62985+(0.408-0.227817))+0-425.4-0.216953999999957</f>
        <v>1163.4930789999999</v>
      </c>
      <c r="L29" s="3">
        <f>1233.7+(569.9-215.2)+(-1.258374+(-0.581298--0.219504))+0-425.4--0.433908000000068</f>
        <v>1161.8137400000001</v>
      </c>
      <c r="M29" s="3">
        <f>1233.1+(634.8-230.8)+(1.257762+(0.647496-0.235416))+0-427.5-0.436050000000068</f>
        <v>1210.8337919999999</v>
      </c>
      <c r="N29" s="3">
        <f>1235+(763.9-219.5)+(1.2597+(0.779178-0.22389))+0-435-0.443700000000069</f>
        <v>1345.7712880000001</v>
      </c>
      <c r="O29" s="3">
        <f>1234.1+(892.6-324)+(1.258782+(0.910452-0.33048))+0-421.4-0.429828000000067</f>
        <v>1382.708926</v>
      </c>
      <c r="P29" s="3">
        <f>1228.4+(1328.5-683)+(1.252968+(1.35507-0.69666))+0-415.4-0.423708000000066</f>
        <v>1459.9876700000002</v>
      </c>
      <c r="Q29" s="3">
        <f>1308.9+(1340.9-796.7)+(-4.005234+(-4.103154--2.437902))+0-419.8--1.28458800000005</f>
        <v>1428.9141020000002</v>
      </c>
      <c r="R29" s="3">
        <f>1386.1+(1238.9-740.1)+(1.413822+(1.263678-0.754902))+0-418.5-0.426870000000067</f>
        <v>1467.8957280000002</v>
      </c>
      <c r="S29" s="3">
        <f>1406.9+(1048.9-624.6)+(-1.435038+(-1.069878--0.637092))+0-413.1--0.421362000000066</f>
        <v>1416.6535380000005</v>
      </c>
      <c r="T29" s="3">
        <f>1308.5+(1050.1-541.1)+(-4.00401+(-3.213306--1.655766))+0-427.7--1.30876200000005</f>
        <v>1385.5472120000002</v>
      </c>
      <c r="U29" s="3">
        <f>1280+(866.7-338.9)+(-2.6112+(-1.768068--0.691356))+0-424.5--0.865979999999981</f>
        <v>1380.4780680000001</v>
      </c>
      <c r="V29" s="3">
        <f>1288.9+(894.3-373)+(-0.657339+(-0.456093--0.19023))+0-427.2--0.217871999999957</f>
        <v>1382.29467</v>
      </c>
      <c r="W29" s="3">
        <f>1291.2+(1224.7-700.7)+(2.634048+(2.498388-1.429428))+0-426.4-0.869855999999981</f>
        <v>1391.6331520000001</v>
      </c>
      <c r="X29" s="3">
        <f>1291.3+(1459.6-928.2)+(-1.317126+(-1.488792--0.946764))+0-429.5--0.438090000000068</f>
        <v>1391.7789359999999</v>
      </c>
      <c r="Y29" s="3">
        <f>1363.8+(1008-519)+(-1.391076+(-1.02816--0.52938))+0-428.7--0.437274000000068</f>
        <v>1422.647418</v>
      </c>
      <c r="Z29" s="3">
        <f>1552.6+(1242.8-828.4)+(-2.375478+(-1.901484--1.267452))+0-420.8--0.643824000000024</f>
        <v>1543.8343139999999</v>
      </c>
      <c r="AA29" s="3">
        <f>1553.2+(1247.7-846.2)+(-1.584264+(-1.272654--0.863124))+0-426.5--0.435030000000068</f>
        <v>1526.6412360000002</v>
      </c>
      <c r="AB29" s="3">
        <f>1454.7+(877-421.4)+(-1.483794+(-0.89454--0.429828))+0-425.8--0.434316000000068</f>
        <v>1482.9858100000004</v>
      </c>
      <c r="AC29" s="3">
        <f>1281.1+(759.7-212.9)+(-1.306722+(-0.774894--0.217158))+0-425.1--0.433602000000068</f>
        <v>1401.3691440000002</v>
      </c>
      <c r="AD29" s="2">
        <v>1553.3999999999999</v>
      </c>
      <c r="AE29" s="3">
        <f>1551+(1234.1-783.7)+(0+(0-0))+0-444-0</f>
        <v>1557.3999999999999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1278.9+(836.9-357.1)+(-1.956717+(-1.280457--0.546363))+0-421.1--0.644283000000024</f>
        <v>1335.5534720000001</v>
      </c>
      <c r="G30" s="3">
        <f>1291.4+(1363.8-985.3)+(-0.658614+(-0.695538--0.502503))+0-418.6--0.213485999999958</f>
        <v>1250.6618369999999</v>
      </c>
      <c r="H30" s="3">
        <f>1291.6+(1441.6-1098.5)+(1.976148+(2.205648-1.680705))+0-426.1-0.651933000000025</f>
        <v>1210.4491579999999</v>
      </c>
      <c r="I30" s="3">
        <f>1292.4+(1325.9-1000.9)+(-1.318248+(-1.352418--1.020918))+0-428--0.436560000000068</f>
        <v>1188.1868120000001</v>
      </c>
      <c r="J30" s="3">
        <f>1292.3+(1311.9-1005.7)+(-1.318146+(-1.338138--1.025814))+0-424.3--0.432786000000068</f>
        <v>1173.0023160000001</v>
      </c>
      <c r="K30" s="3">
        <f>1291.3+(1122.8-832.3)+(-2.634252+(-2.290512--1.697892))+0-412.8--0.842111999999982</f>
        <v>1166.6152400000001</v>
      </c>
      <c r="L30" s="3">
        <f>1290.9+(839.4-541.2)+(-2.633436+(-1.712376--1.104048))+0-421.2--0.859247999999982</f>
        <v>1165.5174839999997</v>
      </c>
      <c r="M30" s="3">
        <f>1291+(596.4-257.9)+(0.65841+(0.304164-0.131529))+0-426.4-0.217463999999957</f>
        <v>1203.7135809999997</v>
      </c>
      <c r="N30" s="3">
        <f>1291.4+(739.7-325.4)+(0.658614+(0.377247-0.165954))+0-413.1-0.210680999999958</f>
        <v>1293.2592260000001</v>
      </c>
      <c r="O30" s="3">
        <f>1290.8+(1093.3-565.5)+(0.658308+(0.557583-0.288405))+0-414.9-0.211598999999958</f>
        <v>1404.4158869999999</v>
      </c>
      <c r="P30" s="3">
        <f>1291.7+(1615.8-1011)+(0.658767+(0.824058-0.51561))+0-424.6-0.216545999999957</f>
        <v>1472.6506689999999</v>
      </c>
      <c r="Q30" s="3">
        <f>1296.6+(1828.4-1134.3)+(-0.661266+(-0.932484--0.578493))+0-424--0.216239999999957</f>
        <v>1565.900983</v>
      </c>
      <c r="R30" s="3">
        <f>1301.8+(1652.3-1076.9)+(0.663918+(0.842673-0.549219))+0-432-0.220319999999956</f>
        <v>1445.937052</v>
      </c>
      <c r="S30" s="3">
        <f>1293+(1420.1-881.4)+(-3.29715+(-3.621255--2.24757))+0-424--1.08119999999994</f>
        <v>1404.1103649999998</v>
      </c>
      <c r="T30" s="3">
        <f>1293+(1315.4-816.3)+(-0.65943+(-0.670854--0.416313))+0-420.8--0.214607999999957</f>
        <v>1370.6006370000002</v>
      </c>
      <c r="U30" s="3">
        <f>1294.5+(1064.4-586.6)+(-2.64078+(-2.171376--1.196664))+0-426.6--0.870263999999981</f>
        <v>1342.9547720000003</v>
      </c>
      <c r="V30" s="3">
        <f>1295.9+(798.8-297.6)+(-0.660909+(-0.407388--0.151776))+0-430--0.219299999999956</f>
        <v>1366.4027789999998</v>
      </c>
      <c r="W30" s="3">
        <f>1295.1+(787.4-295.4)+(-2.642004+(-1.606296--0.602616))+0-425.9--0.868835999999981</f>
        <v>1358.4231519999996</v>
      </c>
      <c r="X30" s="3">
        <f>1296.6+(686.9-217)+(-1.983798+(-1.050957--0.33201))+0-431--0.659430000000025</f>
        <v>1333.4566849999999</v>
      </c>
      <c r="Y30" s="3">
        <f>1426.1+(726.3-369.2)+(-3.636555+(-1.852065--0.94146))+0-419.1--1.06870499999994</f>
        <v>1360.6215449999997</v>
      </c>
      <c r="Z30" s="3">
        <f>1652.2+(1304.2-968.1)+(-2.527866+(-1.995426--1.481193))+0-414.8--0.634644000000024</f>
        <v>1571.0925450000002</v>
      </c>
      <c r="AA30" s="3">
        <f>1662.6+(1563.4-1261.4)+(-4.23963+(-3.98667--3.21657))+0-403.9--1.02994499999994</f>
        <v>1556.7202150000001</v>
      </c>
      <c r="AB30" s="3">
        <f>1447.9+(1447.4-976.3)+(-2.215287+(-2.214522--1.493739))+0-416.9--0.637857000000024</f>
        <v>1499.8017870000001</v>
      </c>
      <c r="AC30" s="3">
        <f>1261.2+(1342.2-747.6)+(-2.572848+(-2.738088--1.525104))+0-423.9--0.864755999999981</f>
        <v>1428.978924</v>
      </c>
      <c r="AD30" s="2">
        <v>1595.1999999999998</v>
      </c>
      <c r="AE30" s="3">
        <f>1687+(1274.6-968.8)+(0+(0-0))+0-393.6-0</f>
        <v>1599.1999999999998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1250+(868-318.4)+(-2.55+(-1.77072--0.649536))+0-430--0.877199999999981</f>
        <v>1366.8060159999998</v>
      </c>
      <c r="G31" s="3">
        <f>1250.9+(755.3-301.2)+(-1.913877+(-1.155609--0.460836))+0-425.8--0.651474000000025</f>
        <v>1277.2428240000002</v>
      </c>
      <c r="H31" s="3">
        <f>1249.9+(1051.6-632.9)+(-3.187245+(-2.68158--1.613895))+0-431.9--1.10134499999994</f>
        <v>1233.5464149999998</v>
      </c>
      <c r="I31" s="3">
        <f>1231.9+(896.8-493)+(0+(0-0))+0-425.2-0</f>
        <v>1210.5</v>
      </c>
      <c r="J31" s="3">
        <f>1074.6+(896.2-384.6)+(-0.548046+(-0.457062--0.196146))+0.6-423.6--0.216035999999957</f>
        <v>1162.6070739999998</v>
      </c>
      <c r="K31" s="3">
        <f>1063.2+(831.4-292.2)+(0.542232+(0.424014-0.149022))+0-423.9-0.216188999999957</f>
        <v>1179.1010349999999</v>
      </c>
      <c r="L31" s="3">
        <f>1059.6+(785-266.6)+(-0.540396+(-0.40035--0.135966))+0-424.7--0.216596999999957</f>
        <v>1152.7118169999999</v>
      </c>
      <c r="M31" s="3">
        <f>1049.5+(720.5-171.7)+(0.535245+(0.367455-0.087567))+0-415.3-0.211802999999958</f>
        <v>1183.6033300000001</v>
      </c>
      <c r="N31" s="3">
        <f>1044.2+(895.3-212.7)+(-0.532542+(-0.456603--0.108477))+0-416.4--0.212363999999958</f>
        <v>1309.7316959999998</v>
      </c>
      <c r="O31" s="3">
        <f>1075.4+(1180.3-478)+(-1.096908+(-1.203906--0.48756))+0-416.2--0.424524000000066</f>
        <v>1360.1112700000001</v>
      </c>
      <c r="P31" s="3">
        <f>1208.4+(1495.5-909.7)+(0.616284+(0.762705-0.463947))+0-380.9-0.194258999999961</f>
        <v>1414.0207830000004</v>
      </c>
      <c r="Q31" s="3">
        <f>1217.2+(1650.2-1053)+(-3.724632+(-5.049612--3.22218))+0-365.8--1.11934800000004</f>
        <v>1444.1672840000001</v>
      </c>
      <c r="R31" s="3">
        <f>1185.2+(1536.5-911.5)+(-2.417808+(-3.13446--1.85946))+0-392.5--0.800699999999983</f>
        <v>1414.807892</v>
      </c>
      <c r="S31" s="3">
        <f>1187.6+(1492.1-931.3)+(-3.02838+(-3.804855--2.374815))+0-408.9--1.04269499999994</f>
        <v>1336.0842749999999</v>
      </c>
      <c r="T31" s="3">
        <f>1188.2+(1376.8-829.7)+(0+(0-0))+0-425.5-0</f>
        <v>1309.8</v>
      </c>
      <c r="U31" s="3">
        <f>1186.1+(1494.7-962.2)+(-1.209822+(-1.524594--0.981444))+0-417.5--0.425850000000067</f>
        <v>1299.772878</v>
      </c>
      <c r="V31" s="3">
        <f>1178.3+(1732.1-1181.5)+(-0.600933+(-0.883371--0.602565))+0-424.7--0.216596999999957</f>
        <v>1303.5348579999998</v>
      </c>
      <c r="W31" s="3">
        <f>1178.7+(1656.3-1117.2)+(-1.202274+(-1.689426--1.139544))+0-426.7--0.435234000000068</f>
        <v>1289.7830779999999</v>
      </c>
      <c r="X31" s="3">
        <f>1191.1+(1319.3-806.7)+(1.214922+(1.345686-0.822834))+0-419.5-0.427890000000067</f>
        <v>1285.5098839999996</v>
      </c>
      <c r="Y31" s="3">
        <f>1347.3+(823.1-421)+(0.687123+(0.419781-0.21471))+0-427.3-0.217922999999957</f>
        <v>1322.7742710000002</v>
      </c>
      <c r="Z31" s="3">
        <f>1387.4+(1683.3-1127.4)+(-2.122722+(-2.575449--1.724922))+0-425.5--0.651015000000025</f>
        <v>1515.477766</v>
      </c>
      <c r="AA31" s="3">
        <f>1417.9+(1372.3-847.6)+(-2.169387+(-2.099619--1.296828))+0-423.5--0.647955000000024</f>
        <v>1516.7757769999998</v>
      </c>
      <c r="AB31" s="3">
        <f>1416.1+(806.3-358)+(-2.166633+(-1.233639--0.54774))+0-393.3--0.601749000000023</f>
        <v>1468.8492169999997</v>
      </c>
      <c r="AC31" s="3">
        <f>1351.4+(723-254.1)+(-1.378428+(-0.73746--0.259182))+0-420.2--0.428604000000067</f>
        <v>1398.6718980000003</v>
      </c>
      <c r="AD31" s="2">
        <v>1556.9</v>
      </c>
      <c r="AE31" s="3">
        <f>1418+(1724.4-1144.5)+(0+(0-0))+0-437-0</f>
        <v>1560.9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1226.4+(1095.5-322.2)+(-0.625464+(-0.558705--0.164322))+0-414.4--0.211343999999958</f>
        <v>1584.4914970000002</v>
      </c>
      <c r="G32" s="3">
        <f>925.8+(1066.1-191.5)+(-0.944316+(-1.087422--0.19533))+0-416.3--0.424626000000066</f>
        <v>1382.688218</v>
      </c>
      <c r="H32" s="3">
        <f>865.7+(947.7-134.7)+(-0.883014+(-0.966654--0.137394))+0-425.2--0.433704000000068</f>
        <v>1252.2214300000001</v>
      </c>
      <c r="I32" s="3">
        <f>864.4+(991.3-153)+(0+(0-0))+0-422.7-0</f>
        <v>1279.9999999999998</v>
      </c>
      <c r="J32" s="3">
        <f>864.7+(1023.8-199.8)+(0+(0-0))+0-421.4-0</f>
        <v>1267.3000000000002</v>
      </c>
      <c r="K32" s="3">
        <f>864.7+(1004.6-196.4)+(-0.881994+(-1.024692--0.200328))+0-425.8--0.434316000000068</f>
        <v>1245.8279580000003</v>
      </c>
      <c r="L32" s="3">
        <f>866.5+(985.5-321.3)+(0+(0-0))+0-427.3-0</f>
        <v>1103.4000000000001</v>
      </c>
      <c r="M32" s="3">
        <f>868.8+(1002.8-362.7)+(0+(0-0))+0-425.1-0</f>
        <v>1083.7999999999997</v>
      </c>
      <c r="N32" s="3">
        <f>869.6+(1048.6-363.7)+(0.886992+(1.069572-0.370974))+0-427.3-0.435846000000068</f>
        <v>1128.3497439999999</v>
      </c>
      <c r="O32" s="3">
        <f>936.8+(1015.8-357.4)+(0.955536+(1.036116-0.364548))+0-418.7-0.427074000000067</f>
        <v>1177.7000299999995</v>
      </c>
      <c r="P32" s="3">
        <f>1013.3+(899-270.9)+(0+(0-0))+0-424.1-0</f>
        <v>1217.3000000000002</v>
      </c>
      <c r="Q32" s="3">
        <f>1150.2+(861-328.6)+(-1.759806+(-1.31733--0.502758))+0-428.2--0.655146000000025</f>
        <v>1252.4807679999999</v>
      </c>
      <c r="R32" s="3">
        <f>1113.9+(968-398.7)+(0+(0-0))+0-425-0</f>
        <v>1258.2</v>
      </c>
      <c r="S32" s="3">
        <f>1128.6+(834.8-391.7)+(-2.302344+(-1.702992--0.799068))+0-419.6--0.855983999999982</f>
        <v>1149.749716</v>
      </c>
      <c r="T32" s="3">
        <f>1153.4+(838.6-366.7)+(0+(0-0))+0-426-0</f>
        <v>1199.3000000000002</v>
      </c>
      <c r="U32" s="3">
        <f>1152+(829.7-327.5)+(-3.52512+(-2.538882--1.00215))+0-415--1.26990000000005</f>
        <v>1235.408048</v>
      </c>
      <c r="V32" s="3">
        <f>1152.6+(790.2-330.8)+(0.587826+(0.403002-0.168708))+0-411.2-0.209711999999958</f>
        <v>1201.4124080000001</v>
      </c>
      <c r="W32" s="3">
        <f>1153.1+(871.8-378.8)+(-0.588081+(-0.444618--0.193188))+0-423.3--0.215882999999957</f>
        <v>1222.1763719999999</v>
      </c>
      <c r="X32" s="3">
        <f>1153.8+(1059.2-520)+(0+(0-0))+0-428.3-0</f>
        <v>1264.7</v>
      </c>
      <c r="Y32" s="3">
        <f>1290.6+(1137.2-742.4)+(0+(0-0))+0-424.9-0</f>
        <v>1260.5</v>
      </c>
      <c r="Z32" s="3">
        <f>1355.4+(1145-640.3)+(-1.382508+(-1.1679--0.653106))+0-425.7--0.434214000000068</f>
        <v>1432.9369120000001</v>
      </c>
      <c r="AA32" s="3">
        <f>1354.5+(1055.8-573.6)+(-2.072385+(-1.615374--0.877608))+0-415.4--0.635562000000024</f>
        <v>1419.125411</v>
      </c>
      <c r="AB32" s="3">
        <f>1355.8+(1065.8-584.8)+(-2.765832+(-2.174232--1.192992))+0-405.9--0.828035999999982</f>
        <v>1427.9809639999999</v>
      </c>
      <c r="AC32" s="3">
        <f>1324.7+(889.1-437.7)+(-0.675597+(-0.453441--0.223227))+0-409.2--0.208691999999958</f>
        <v>1366.2028809999999</v>
      </c>
      <c r="AD32" s="2">
        <v>1462.5</v>
      </c>
      <c r="AE32" s="3">
        <f>1350+(1148.9-594.9)+(0+(0-0))+0-437.5-0</f>
        <v>1466.5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1166.4+(784.8-301.5)+(-1.189728+(-0.800496--0.30753))+0-394.3--0.402186000000063</f>
        <v>1254.119492</v>
      </c>
      <c r="G33" s="3">
        <f>894.5+(932-235.1)+(-0.91239+(-0.95064--0.239802))+0-394.6--0.402492000000063</f>
        <v>1195.5792640000004</v>
      </c>
      <c r="H33" s="3">
        <f>870+(1100.5-336.2)+(-2.2185+(-2.806275--0.85731))+0-395.9--1.00954499999994</f>
        <v>1235.24208</v>
      </c>
      <c r="I33" s="3">
        <f>869.4+(1194.7-538.6)+(0.886788+(1.218594-0.549372))+0-393.5-0.401370000000063</f>
        <v>1133.15464</v>
      </c>
      <c r="J33" s="3">
        <f>869.6+(1178-543.8)+(0.886992+(1.20156-0.554676))+0-391.9-0.399738000000062</f>
        <v>1113.034138</v>
      </c>
      <c r="K33" s="3">
        <f>869.4+(1081-485.5)+(0.443394+(0.55131-0.247605))+0-391.7-0.19976699999996</f>
        <v>1073.7473319999999</v>
      </c>
      <c r="L33" s="3">
        <f>869.2+(1014.8-344.2)+(-0.443292+(-0.517548--0.175542))+0-390.2--0.19900199999996</f>
        <v>1149.013704</v>
      </c>
      <c r="M33" s="3">
        <f>869.5+(978.7-250.8)+(0.443445+(0.499137-0.127908))+0-392.6-0.20022599999996</f>
        <v>1205.414448</v>
      </c>
      <c r="N33" s="3">
        <f>893.3+(979.5-184.8)+(0+(0-0))+0-388.2-0</f>
        <v>1299.8</v>
      </c>
      <c r="O33" s="3">
        <f>1030.6+(1184.4-406.3)+(0.525606+(0.604044-0.207213))+0-382.6-0.195125999999961</f>
        <v>1426.827311</v>
      </c>
      <c r="P33" s="3">
        <f>1191.2+(1279-588.7)+(1.215024+(1.30458-0.600474))+0-383.4-0.391068000000061</f>
        <v>1499.628062</v>
      </c>
      <c r="Q33" s="3">
        <f>1209+(1436.5-775.3)+(-0.61659+(-0.732615--0.395403))+0-388.9--0.198338999999961</f>
        <v>1480.5445370000002</v>
      </c>
      <c r="R33" s="3">
        <f>1208.3+(1256.7-607.8)+(-2.464932+(-2.563668--1.239912))+0-397.1--0.810083999999983</f>
        <v>1457.1213959999998</v>
      </c>
      <c r="S33" s="3">
        <f>1207.6+(924.7-356.4)+(-3.07938+(-2.357985--0.90882))+0-394.8--1.00673999999994</f>
        <v>1377.5781950000003</v>
      </c>
      <c r="T33" s="3">
        <f>1209.8+(899.5-331.6)+(-1.233996+(-0.91749--0.338232))+0-394.9--0.402798000000063</f>
        <v>1381.3895440000001</v>
      </c>
      <c r="U33" s="3">
        <f>1211.4+(973.3-396.7)+(1.235628+(0.992766-0.404634))+0-394.2-0.402084000000063</f>
        <v>1395.2216759999999</v>
      </c>
      <c r="V33" s="3">
        <f>1209.3+(990.7-398.2)+(-1.850229+(-1.515771--0.609246))+0-394.7--0.603891000000023</f>
        <v>1404.9471369999999</v>
      </c>
      <c r="W33" s="3">
        <f>1211+(1082.4-511.9)+(-0.61761+(-0.552024--0.261069))+0-395.9--0.20190899999996</f>
        <v>1384.8933440000001</v>
      </c>
      <c r="X33" s="3">
        <f>1207.1+(1212.9-643)+(-3.078105+(-3.092895--1.63965))+0-394.7--1.00648499999994</f>
        <v>1378.7751349999999</v>
      </c>
      <c r="Y33" s="3">
        <f>1235.2+(1455.6-863.8)+(0.629952+(0.742356-0.440538))+0-394-0.20093999999996</f>
        <v>1433.73083</v>
      </c>
      <c r="Z33" s="3">
        <f>1360.3+(1508.1-890)+(-2.775012+(-3.076524--1.8156))+0-394.9--0.805595999999983</f>
        <v>1580.2696599999997</v>
      </c>
      <c r="AA33" s="3">
        <f>1366.9+(1567.4-891.5)+(-3.485595+(-3.99687--2.273325))+0-391.8--0.999089999999943</f>
        <v>1646.7899500000003</v>
      </c>
      <c r="AB33" s="3">
        <f>1366.9+(1077-529.2)+(-3.485595+(-2.74635--1.34946))+0-373.4--0.952169999999946</f>
        <v>1537.3696850000001</v>
      </c>
      <c r="AC33" s="3">
        <f>1367.3+(987.5-433.8)+(-2.091969+(-1.510875--0.663714))+0-393.4--0.601902000000023</f>
        <v>1525.2627720000003</v>
      </c>
      <c r="AD33" s="2">
        <v>1628.9</v>
      </c>
      <c r="AE33" s="3">
        <f>1363+(1623.9-960.9)+(0+(0-0))+0-393.1-0</f>
        <v>1632.9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1315.3+(864.3-379.7)+(-1.341606+(-0.881586--0.387294))+0-425.9--0.434418000000068</f>
        <v>1372.5985199999998</v>
      </c>
      <c r="G34" s="3">
        <f>1024.1+(1051.1-387.9)+(-1.044582+(-1.072122--0.395658))+0-432.5--0.441150000000069</f>
        <v>1253.5201039999999</v>
      </c>
      <c r="H34" s="3">
        <f>868.1+(1230.5-475.9)+(-0.885462+(-1.25511--0.485418))+0-429--0.437580000000068</f>
        <v>1192.482426</v>
      </c>
      <c r="I34" s="3">
        <f>867.3+(1372.3-601.7)+(-0.442323+(-0.699873--0.306867))+0-432.6--0.220625999999956</f>
        <v>1204.6852969999998</v>
      </c>
      <c r="J34" s="3">
        <f>867.4+(1271.9-566)+(-1.769496+(-2.594676--1.15464))+0-427.6--0.872303999999981</f>
        <v>1143.3627719999999</v>
      </c>
      <c r="K34" s="3">
        <f>866.8+(1042.1-330.1)+(0.884136+(1.062942-0.336702))+0-427.3-0.435846000000068</f>
        <v>1152.6745299999998</v>
      </c>
      <c r="L34" s="3">
        <f>867.2+(1070.3-297.9)+(-0.442272+(-0.545853--0.151929))+0-428.2--0.218381999999957</f>
        <v>1210.7821859999999</v>
      </c>
      <c r="M34" s="3">
        <f>867.1+(1067.6-181.2)+(1.326663+(1.633428-0.277236))+0-422.6-0.646578000000024</f>
        <v>1332.936277</v>
      </c>
      <c r="N34" s="3">
        <f>879.1+(1182.5-326.7)+(0.896682+(1.20615-0.333234))+0-429.9-0.438498000000069</f>
        <v>1306.3311000000003</v>
      </c>
      <c r="O34" s="3">
        <f>964.4+(1296.9-378.9)+(-0.491844+(-0.661419--0.193239))+0-429.2--0.218891999999956</f>
        <v>1452.4588679999999</v>
      </c>
      <c r="P34" s="3">
        <f>979.2+(1306.8-386)+(-0.499392+(-0.666468--0.19686))+0-428.6--0.218585999999957</f>
        <v>1470.649586</v>
      </c>
      <c r="Q34" s="3">
        <f>1144.6+(1444.7-606.4)+(-1.751238+(-2.210391--0.927792))+0-424.2--0.649026000000025</f>
        <v>1556.3151890000001</v>
      </c>
      <c r="R34" s="3">
        <f>1176.4+(1492.3-745.8)+(0+(0-0))+0-426.2-0</f>
        <v>1496.7</v>
      </c>
      <c r="S34" s="3">
        <f>1211.1+(1247.6-591.5)+(-3.088305+(-3.18138--1.508325))+0-428.3--1.09216499999994</f>
        <v>1435.2308049999999</v>
      </c>
      <c r="T34" s="3">
        <f>1211.7+(1142.6-499.2)+(1.235934+(1.165452-0.509184))+0-425.5-0.434010000000068</f>
        <v>1431.0581919999997</v>
      </c>
      <c r="U34" s="3">
        <f>1212.2+(1110.5-449.1)+(-1.854666+(-1.699065--0.687123))+0-411--0.628830000000024</f>
        <v>1460.362222</v>
      </c>
      <c r="V34" s="3">
        <f>1212.7+(1026.5-372.9)+(-0.618477+(-0.523515--0.190179))+0-415.1--0.211700999999958</f>
        <v>1450.4598880000001</v>
      </c>
      <c r="W34" s="3">
        <f>1212.4+(989.6-332.5)+(-1.854972+(-1.514088--0.508725))+0-428.1--0.654993000000025</f>
        <v>1439.1946579999999</v>
      </c>
      <c r="X34" s="3">
        <f>1212.4+(1018-407)+(-0.618324+(-0.51918--0.20757))+0-429.6--0.219095999999956</f>
        <v>1393.089162</v>
      </c>
      <c r="Y34" s="3">
        <f>1250.4+(1093.2-508.6)+(0+(0-0))+0-427-0</f>
        <v>1408</v>
      </c>
      <c r="Z34" s="3">
        <f>1354.8+(1284.6-609.5)+(0+(0-0))+0-407.7-0</f>
        <v>1622.1999999999998</v>
      </c>
      <c r="AA34" s="3">
        <f>1350.5+(1153.8-509.1)+(-2.75502+(-2.353752--1.038564))+0-391.4--0.798455999999983</f>
        <v>1600.5282479999996</v>
      </c>
      <c r="AB34" s="3">
        <f>1268.1+(1100.9-430.2)+(-1.293462+(-1.122918--0.438804))+0-393.3--0.401166000000063</f>
        <v>1543.9235900000001</v>
      </c>
      <c r="AC34" s="3">
        <f>1123.6+(1075.9-298.2)+(-0.573036+(-0.548709--0.152082))+0-424.3--0.216392999999957</f>
        <v>1476.2467299999998</v>
      </c>
      <c r="AD34" s="2">
        <v>1637.6</v>
      </c>
      <c r="AE34" s="3">
        <f>1353+(1244.5-554.3)+(0+(0-0))+0-401.6-0</f>
        <v>1641.6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881.6+(1137.6-224.6)+(-1.798464+(-2.320704--0.458184))+0-431.6--0.880463999999981</f>
        <v>1360.21948</v>
      </c>
      <c r="G35" s="3">
        <f>868.3+(1211.9-359.8)+(-0.442833+(-0.618069--0.183498))+0-430.6--0.219605999999956</f>
        <v>1289.1422019999998</v>
      </c>
      <c r="H35" s="3">
        <f>867.8+(1320.4-498)+(-0.442578+(-0.673404--0.25398))+0-432.2--0.220421999999956</f>
        <v>1257.3584199999998</v>
      </c>
      <c r="I35" s="3">
        <f>867.6+(1408.1-612.4)+(1.327428+(2.154393-0.936972))+0-428.6-0.655758000000025</f>
        <v>1236.5890910000001</v>
      </c>
      <c r="J35" s="3">
        <f>867.1+(1368.7-585.5)+(-1.326663+(-2.094111--0.895815))+0-430.4--0.658512000000025</f>
        <v>1218.0335530000002</v>
      </c>
      <c r="K35" s="3">
        <f>865.1+(1333-551.4)+(-0.441201+(-0.67983--0.281214))+0-427.3--0.217922999999957</f>
        <v>1218.778106</v>
      </c>
      <c r="L35" s="3">
        <f>866.9+(1013.5-198.1)+(-1.768476+(-2.06754--0.404124))+0-426.1--0.869243999999981</f>
        <v>1253.6373519999997</v>
      </c>
      <c r="M35" s="3">
        <f>863.4+(1059.8-276)+(1.761336+(2.161992-0.56304))+0-429-0.875159999999981</f>
        <v>1220.6851279999998</v>
      </c>
      <c r="N35" s="3">
        <f>829.9+(1438.2-319.1)+(0.423249+(0.733482-0.162741))+0-426-0.217259999999957</f>
        <v>1523.77673</v>
      </c>
      <c r="O35" s="3">
        <f>847.7+(1437.9-387.6)+(0.432327+(0.733329-0.197676))+0-411.8-0.210017999999958</f>
        <v>1486.9579620000002</v>
      </c>
      <c r="P35" s="3">
        <f>971.1+(1389.9-450.4)+(-0.495261+(-0.708849--0.229704))+0-409--0.208589999999959</f>
        <v>1500.8341840000001</v>
      </c>
      <c r="Q35" s="3">
        <f>1005.8+(1395.5-487.2)+(1.025916+(1.42341-0.496944))+0-403.4-0.411468000000064</f>
        <v>1512.2409139999997</v>
      </c>
      <c r="R35" s="3">
        <f>1079.8+(1118.7-262.4)+(-1.101396+(-1.141074--0.267648))+0-414.9--0.423198000000066</f>
        <v>1519.6483760000001</v>
      </c>
      <c r="S35" s="3">
        <f>1111.4+(923.3-145.5)+(1.133628+(0.941766-0.14841))+0-415.8-0.424116000000066</f>
        <v>1474.9028679999999</v>
      </c>
      <c r="T35" s="3">
        <f>1110.2+(908.6-133.1)+(1.132404+(0.926772-0.135762))+0-407.7-0.415854000000065</f>
        <v>1479.50756</v>
      </c>
      <c r="U35" s="3">
        <f>1182.3+(887.5-172.6)+(-0.602973+(-0.452625--0.088026))+0-399.7--0.203846999999959</f>
        <v>1496.7362749999998</v>
      </c>
      <c r="V35" s="3">
        <f>1250.1+(907.3-264.1)+(-2.550204+(-1.850892--0.538764))+0-394.8--0.805391999999983</f>
        <v>1495.4430599999998</v>
      </c>
      <c r="W35" s="3">
        <f>1254.5+(1172.9-539.4)+(-3.198975+(-2.990895--1.37547))+0-397.1--1.01260499999994</f>
        <v>1487.0982049999998</v>
      </c>
      <c r="X35" s="3">
        <f>1256.6+(1003.6-405)+(-4.486062+(-3.582852--1.44585))+0-398.5--1.42264500000001</f>
        <v>1451.4995809999998</v>
      </c>
      <c r="Y35" s="3">
        <f>1312.2+(834.1-283.1)+(0.669222+(0.425391-0.144381))+0-397.1-0.20252099999996</f>
        <v>1466.8477110000001</v>
      </c>
      <c r="Z35" s="3">
        <f>1381.3+(906.5-256.2)+(-0.704463+(-0.462315--0.130662))+0-384.7--0.196196999999961</f>
        <v>1646.0600809999999</v>
      </c>
      <c r="AA35" s="3">
        <f>1387.9+(909-283.1)+(-5.662632+(-3.70872--1.155048))+0-371.9--1.51735199999997</f>
        <v>1635.2010480000001</v>
      </c>
      <c r="AB35" s="3">
        <f>1385.2+(1024.3-449.8)+(-3.53226+(-2.611965--1.14699))+0-373.2--0.951659999999946</f>
        <v>1582.4544249999999</v>
      </c>
      <c r="AC35" s="3">
        <f>1236.6+(1211.6-537.1)+(-1.891998+(-1.853748--0.821763))+0-402.2--0.615366000000023</f>
        <v>1506.591383</v>
      </c>
      <c r="AD35" s="2">
        <v>1680.8</v>
      </c>
      <c r="AE35" s="3">
        <f>1376+(962.5-288)+(0+(0-0))+0-365.7-0</f>
        <v>1684.8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1164.8+(1793.3-1126.1)+(-2.376192+(-3.658332--2.297244))+0-408.1--0.832523999999982</f>
        <v>1420.9952439999997</v>
      </c>
      <c r="G36" s="3">
        <f>1071.4+(2074.9-1394.1)+(-2.185656+(-4.232796--2.843964))+0-410.7--0.837827999999982</f>
        <v>1338.7633400000002</v>
      </c>
      <c r="H36" s="3">
        <f>932.7+(2223.8-1450.2)+(-2.378385+(-5.67069--3.69801))+0-405.1--1.03300499999994</f>
        <v>1297.88194</v>
      </c>
      <c r="I36" s="3">
        <f>867+(1988-1179.8)+(0.88434+(2.02776-1.203396))+0-407.7-0.415854000000065</f>
        <v>1268.7928499999998</v>
      </c>
      <c r="J36" s="3">
        <f>865.8+(1881.7-1088.8)+(-0.441558+(-0.959667--0.555288))+0-411.5--0.209864999999958</f>
        <v>1246.563928</v>
      </c>
      <c r="K36" s="3">
        <f>864.7+(1946-1155.9)+(0+(0-0))+0-406.5-0</f>
        <v>1248.3</v>
      </c>
      <c r="L36" s="3">
        <f>865.6+(1918.2-1124.2)+(-0.441456+(-0.978282--0.573342))+0-410.9--0.209558999999958</f>
        <v>1248.0631629999998</v>
      </c>
      <c r="M36" s="3">
        <f>865.2+(1760.7-892.2)+(0.882504+(1.795914-0.910044))+0-409.5-0.417690000000065</f>
        <v>1325.550684</v>
      </c>
      <c r="N36" s="3">
        <f>866.5+(1711.7-726.9)+(0.441915+(0.872967-0.370719))+0-409.4-0.208793999999958</f>
        <v>1442.6353690000003</v>
      </c>
      <c r="O36" s="3">
        <f>934.9+(1588.4-600.5)+(0.476799+(0.810084-0.306255))+0-412.9-0.210578999999958</f>
        <v>1510.6700490000003</v>
      </c>
      <c r="P36" s="3">
        <f>1065.8+(1411-508.8)+(-1.630674+(-2.15883--0.778464))+0-415.3--0.635409000000024</f>
        <v>1550.3243689999999</v>
      </c>
      <c r="Q36" s="3">
        <f>1195.7+(1290.6-478.8)+(-0.609807+(-0.658206--0.244188))+0-410--0.209099999999958</f>
        <v>1596.685275</v>
      </c>
      <c r="R36" s="3">
        <f>1202.8+(1296.2-499.9)+(-2.453712+(-2.644248--1.019796))+0-414.4--0.845375999999982</f>
        <v>1581.4672119999998</v>
      </c>
      <c r="S36" s="3">
        <f>1202+(1332.6-590.1)+(-1.22604+(-1.359252--0.601902))+0-413.8--0.422076000000066</f>
        <v>1529.138686</v>
      </c>
      <c r="T36" s="3">
        <f>1203.9+(1236.2-510.2)+(1.227978+(1.260924-0.520404))+0-415.9-0.424218000000066</f>
        <v>1515.5442800000001</v>
      </c>
      <c r="U36" s="3">
        <f>1204.6+(1286.7-535.6)+(-1.843038+(-1.968651--0.819468))+0-415.3--0.635409000000024</f>
        <v>1538.0431879999999</v>
      </c>
      <c r="V36" s="3">
        <f>1200.7+(1117.3-360.9)+(-1.837071+(-1.709469--0.552177))+0-420.8--0.643824000000024</f>
        <v>1533.9494609999999</v>
      </c>
      <c r="W36" s="3">
        <f>1201.7+(1043.9-314.5)+(-3.677202+(-3.194334--0.96237))+0-420.3--1.28611800000005</f>
        <v>1506.1769520000003</v>
      </c>
      <c r="X36" s="3">
        <f>1201.9+(979.8-287)+(-2.451876+(-1.998792--0.58548))+0-419.2--0.855167999999982</f>
        <v>1472.4899800000001</v>
      </c>
      <c r="Y36" s="3">
        <f>1244.9+(933-275.1)+(0+(0-0))+0-421.3-0</f>
        <v>1481.5000000000002</v>
      </c>
      <c r="Z36" s="3">
        <f>1338+(963.6-259.6)+(-2.04714+(-1.474308--0.397188))+0-388.7--0.594711000000022</f>
        <v>1650.7704509999999</v>
      </c>
      <c r="AA36" s="3">
        <f>1273.4+(1012.1-275.1)+(-2.597736+(-2.064684--0.561204))+0-389.3--0.794171999999983</f>
        <v>1617.792956</v>
      </c>
      <c r="AB36" s="3">
        <f>1120.7+(1213.2-377.8)+(0+(0-0))+0-395.6-0</f>
        <v>1560.5</v>
      </c>
      <c r="AC36" s="3">
        <f>1120.2+(1167.8-368.4)+(-1.142604+(-1.191156--0.375768))+0-419.9--0.428298000000067</f>
        <v>1498.1703059999998</v>
      </c>
      <c r="AD36" s="2">
        <v>1659.0999999999997</v>
      </c>
      <c r="AE36" s="3">
        <f>1347+(989.2-287.3)+(0+(0-0))+0-385.8-0</f>
        <v>1663.1000000000001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1071.3+(1377.9-575.3)+(-1.092726+(-1.405458--0.586806))+0-430.8--0.439416000000069</f>
        <v>1441.6280380000003</v>
      </c>
      <c r="G37" s="3">
        <f>924.1+(1920.2-1078.6)+(-0.942582+(-1.958604--1.100172))+0-421.5--0.429930000000067</f>
        <v>1342.8289160000004</v>
      </c>
      <c r="H37" s="3">
        <f>867.6+(2017.9-1170.7)+(-0.884952+(-2.058258--1.194114))+0-426.1--0.434622000000068</f>
        <v>1287.3855260000003</v>
      </c>
      <c r="I37" s="3">
        <f>865.2+(2199.5-1379.3)+(0+(0-0))+0-419.8-0</f>
        <v>1265.6000000000001</v>
      </c>
      <c r="J37" s="3">
        <f>867.3+(1975.8-1173.7)+(-0.884646+(-2.015316--1.197174))+0-417--0.425340000000067</f>
        <v>1251.1225519999998</v>
      </c>
      <c r="K37" s="3">
        <f>867.6+(1623.3-814)+(-1.327428+(-2.483649--1.24542))+0-424--0.648720000000025</f>
        <v>1250.9830629999999</v>
      </c>
      <c r="L37" s="3">
        <f>871.6+(1639.4-871.3)+(-2.22258+(-4.18047--2.221815))+0-423.9--1.08094499999994</f>
        <v>1212.6997100000001</v>
      </c>
      <c r="M37" s="3">
        <f>858.8+(1398.6-632.5)+(0+(0-0))+0-421.6-0</f>
        <v>1203.2999999999997</v>
      </c>
      <c r="N37" s="3">
        <f>859.1+(1368.5-515.1)+(0+(0-0))+0-425.7-0</f>
        <v>1286.8</v>
      </c>
      <c r="O37" s="3">
        <f>858.7+(1406.8-468)+(0+(0-0))+0-426.1-0</f>
        <v>1371.4</v>
      </c>
      <c r="P37" s="3">
        <f>916.6+(1352.4-401.9)+(-1.869864+(-2.758896--0.819876))+0-421.7--0.860267999999982</f>
        <v>1442.451384</v>
      </c>
      <c r="Q37" s="3">
        <f>1030.6+(1201.2-365.5)+(0.525606+(0.612612-0.186405))+0-429.5-0.219044999999956</f>
        <v>1437.5327679999998</v>
      </c>
      <c r="R37" s="3">
        <f>1027.3+(1141.7-307.3)+(-2.095692+(-2.329068--0.626892))+0-430.9--0.879035999999981</f>
        <v>1427.8811680000001</v>
      </c>
      <c r="S37" s="3">
        <f>1027.2+(1162.1-369.6)+(0+(0-0))+0-427-0</f>
        <v>1392.6999999999998</v>
      </c>
      <c r="T37" s="3">
        <f>1027.5+(1240.1-453.4)+(-0.524025+(-0.632451--0.231234))+0-427.4--0.217973999999957</f>
        <v>1386.0927319999998</v>
      </c>
      <c r="U37" s="3">
        <f>1027.7+(1378.5-581.7)+(-2.096508+(-2.81214--1.186668))+0-426.1--0.869243999999981</f>
        <v>1395.5472639999998</v>
      </c>
      <c r="V37" s="3">
        <f>1029.4+(1510.7-711.7)+(-0.524994+(-0.770457--0.362967))+0-428.7--0.218636999999957</f>
        <v>1398.9861530000001</v>
      </c>
      <c r="W37" s="3">
        <f>1029.1+(1315-533)+(-2.099364+(-2.6826--1.08732))+0-426.2--0.869447999999981</f>
        <v>1382.0748039999999</v>
      </c>
      <c r="X37" s="3">
        <f>1030.9+(1227-438.3)+(-2.103036+(-2.50308--0.894132))+0-427.8--0.872711999999981</f>
        <v>1388.9607280000002</v>
      </c>
      <c r="Y37" s="3">
        <f>1260.8+(1029.9-449.6)+(-0.643008+(-0.525249--0.229296))+0-414.2--0.211241999999958</f>
        <v>1426.1722809999997</v>
      </c>
      <c r="Z37" s="3">
        <f>1353+(1093.1-457.2)+(-2.07009+(-1.672443--0.699516))+0-394.4--0.603432000000023</f>
        <v>1592.0604150000001</v>
      </c>
      <c r="AA37" s="3">
        <f>1350.9+(991.9-368.9)+(-2.066877+(-1.517607--0.564417))+0-390.7--0.597771000000023</f>
        <v>1580.7777040000001</v>
      </c>
      <c r="AB37" s="3">
        <f>1353.4+(1038.7-462)+(-0.690234+(-0.529737--0.23562))+0-393.6--0.20073599999996</f>
        <v>1535.7163849999999</v>
      </c>
      <c r="AC37" s="3">
        <f>1339.4+(1464.7-894.7)+(-0.683094+(-0.746997--0.456297))+0-423.1--0.215780999999957</f>
        <v>1485.5419870000001</v>
      </c>
      <c r="AD37" s="2">
        <v>1616.8</v>
      </c>
      <c r="AE37" s="3">
        <f>1349+(1159.7-495.1)+(0+(0-0))+0-392.8-0</f>
        <v>1620.8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1315.5+(1580.9-1059.6)+(-0.670905+(-0.806259--0.540396))+0-427.2--0.217871999999957</f>
        <v>1408.8811040000001</v>
      </c>
      <c r="G38" s="3">
        <f>1218.6+(2051.9-1492)+(-2.485944+(-4.185876--3.04368))+0-428.9--0.874955999999981</f>
        <v>1346.846816</v>
      </c>
      <c r="H38" s="3">
        <f>1011+(1871.1-1193.7)+(-0.51561+(-0.954261--0.608787))+0-400.2--0.204101999999959</f>
        <v>1287.5430179999998</v>
      </c>
      <c r="I38" s="3">
        <f>911.7+(1820.7-1086.2)+(-0.464967+(-0.928557--0.553962))+0-387.4--0.197573999999961</f>
        <v>1258.1580120000001</v>
      </c>
      <c r="J38" s="3">
        <f>907.5+(1580.2-824.5)+(-0.92565+(-1.611804--0.84099))+0-414.2--0.422484000000066</f>
        <v>1247.7260200000001</v>
      </c>
      <c r="K38" s="3">
        <f>940.7+(1559.3-821.4)+(-0.959514+(-1.590486--0.837828))+0-424.2--0.432684000000068</f>
        <v>1253.120512</v>
      </c>
      <c r="L38" s="3">
        <f>946.3+(1353.5-645.2)+(-1.930452+(-2.76114--1.316208))+0-421.5--0.859859999999982</f>
        <v>1230.584476</v>
      </c>
      <c r="M38" s="3">
        <f>947.4+(1130.5-366.3)+(0.483174+(0.576555-0.186813))+0-430.9-0.219758999999956</f>
        <v>1281.353157</v>
      </c>
      <c r="N38" s="3">
        <f>947.6+(1089.1-221.1)+(0.483276+(0.555441-0.112761))+0-407.4-0.207773999999959</f>
        <v>1408.9181819999999</v>
      </c>
      <c r="O38" s="3">
        <f>948.2+(1181.5-218.4)+(-0.483582+(-0.602565--0.111384))+0-402.9--0.205478999999959</f>
        <v>1507.6307160000003</v>
      </c>
      <c r="P38" s="3">
        <f>1007.5+(1131.3-190.5)+(1.02765+(1.153926-0.19431))+0-397.5-0.405450000000063</f>
        <v>1552.3818160000001</v>
      </c>
      <c r="Q38" s="3">
        <f>1101.8+(1051.6-179.9)+(0+(0-0))+0-394.2-0</f>
        <v>1579.3</v>
      </c>
      <c r="R38" s="3">
        <f>1174+(956.1-180.5)+(-1.19748+(-0.975222--0.18411))+0-392.2--0.400044000000063</f>
        <v>1555.8114519999999</v>
      </c>
      <c r="S38" s="3">
        <f>1226.7+(958.7-304.5)+(-0.625617+(-0.488937--0.155295))+0-394.6--0.20124599999996</f>
        <v>1485.5419869999998</v>
      </c>
      <c r="T38" s="3">
        <f>1226.6+(998.7-365.5)+(-1.251132+(-1.018674--0.37281))+0-393.7--0.401574000000063</f>
        <v>1464.6045779999999</v>
      </c>
      <c r="U38" s="3">
        <f>1227.1+(1120.2-479.7)+(-1.877463+(-1.713906--0.733941))+0-397.6--0.608328000000023</f>
        <v>1467.7508999999998</v>
      </c>
      <c r="V38" s="3">
        <f>1227.5+(1207.8-572.5)+(0+(0-0))+0-388.6-0</f>
        <v>1474.1999999999998</v>
      </c>
      <c r="W38" s="3">
        <f>1228.2+(1207.4-582.1)+(-0.626382+(-0.615774--0.296871))+0-387.3--0.197522999999961</f>
        <v>1465.4522380000001</v>
      </c>
      <c r="X38" s="3">
        <f>1223+(1316-703.9)+(-1.87119+(-2.01348--1.076967))+0-384.2--0.587826000000022</f>
        <v>1448.6801229999999</v>
      </c>
      <c r="Y38" s="3">
        <f>1319.5+(932.4-435.6)+(-0.672945+(-0.475524--0.222156))+0-386.7--0.197216999999961</f>
        <v>1428.8709039999999</v>
      </c>
      <c r="Z38" s="3">
        <f>1368.5+(902.4-273.2)+(-1.39587+(-0.920448--0.278664))+0-393.5--0.401370000000063</f>
        <v>1602.5637160000001</v>
      </c>
      <c r="AA38" s="3">
        <f>1336.9+(993.9-369.7)+(-2.045457+(-1.520667--0.565641))+0-361.2--0.552636000000021</f>
        <v>1597.4521530000002</v>
      </c>
      <c r="AB38" s="3">
        <f>1217.4+(1056.6-370.2)+(-1.241748+(-1.077732--0.377604))+0-353.3--0.360366000000056</f>
        <v>1548.91849</v>
      </c>
      <c r="AC38" s="3">
        <f>1106.6+(1113.7-335.8)+(1.693098+(1.703961-0.513774))+0-388.9-0.595017000000022</f>
        <v>1497.8882679999997</v>
      </c>
      <c r="AD38" s="2">
        <v>1620.5000000000002</v>
      </c>
      <c r="AE38" s="3">
        <f>1366+(921.8-305.8)+(0+(0-0))+0-357.5-0</f>
        <v>1624.5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967.5+(1283.9-447.8)+(0+(0-0))+0-401.7-0</f>
        <v>1401.9</v>
      </c>
      <c r="G39" s="3">
        <f>947.2+(1726.6-924.4)+(-0.483072+(-0.880566--0.471444))+0-400.7--0.204356999999959</f>
        <v>1348.0121629999999</v>
      </c>
      <c r="H39" s="3">
        <f>947.1+(1734.4-982.4)+(1.449063+(2.653632-1.503072))+0-400.2-0.612306000000023</f>
        <v>1300.8873170000002</v>
      </c>
      <c r="I39" s="3">
        <f>946.5+(1614.3-883.5)+(-1.93086+(-3.293172--1.80234))+0-407--0.830279999999982</f>
        <v>1267.708588</v>
      </c>
      <c r="J39" s="3">
        <f>946.3+(1654.6-936.4)+(-1.447839+(-2.531538--1.432692))+0-406.6--0.622098000000024</f>
        <v>1255.9754129999999</v>
      </c>
      <c r="K39" s="3">
        <f>946+(1448.5-730)+(-0.96492+(-1.47747--0.7446))+0-403.7--0.411774000000064</f>
        <v>1259.5139840000002</v>
      </c>
      <c r="L39" s="3">
        <f>945.1+(1392.7-709.7)+(-3.374007+(-4.971939--2.533629))+0-409--1.46013000000001</f>
        <v>1214.747813</v>
      </c>
      <c r="M39" s="3">
        <f>945.5+(1405.1-732.9)+(0.482205+(0.716601-0.373779))+0-412.6-0.210425999999958</f>
        <v>1205.7146009999999</v>
      </c>
      <c r="N39" s="3">
        <f>945.3+(1219.7-460.6)+(0.482103+(0.622047-0.234906))+0-414.4-0.211343999999958</f>
        <v>1290.6578999999999</v>
      </c>
      <c r="O39" s="3">
        <f>945.3+(1229.3-413.6)+(-0.964206+(-1.253886--0.421872))+0-411--0.419220000000066</f>
        <v>1348.623</v>
      </c>
      <c r="P39" s="3">
        <f>1027.3+(1223.7-431.8)+(-1.571769+(-1.872261--0.660654))+0-406.8--0.622404000000023</f>
        <v>1410.239028</v>
      </c>
      <c r="Q39" s="3">
        <f>1041.3+(1365.5-571.7)+(-2.124252+(-2.78562--1.166268))+0-411.4--0.839255999999982</f>
        <v>1420.795652</v>
      </c>
      <c r="R39" s="3">
        <f>1042.2+(1446.3-654.5)+(0+(0-0))+0-410.7-0</f>
        <v>1423.3</v>
      </c>
      <c r="S39" s="3">
        <f>1065.6+(1639.3-933.9)+(-1.630368+(-2.508129--1.428867))+0-385.9--0.590427000000022</f>
        <v>1382.9807970000002</v>
      </c>
      <c r="T39" s="3">
        <f>1092.8+(1755.4-1097.6)+(-0.557328+(-0.895254--0.559776))+0-387.9--0.197828999999961</f>
        <v>1362.0050229999999</v>
      </c>
      <c r="U39" s="3">
        <f>1151.2+(1470.7-862.8)+(-1.174224+(-1.500114--0.880056))+0-387.9--0.395658000000062</f>
        <v>1369.8013760000001</v>
      </c>
      <c r="V39" s="3">
        <f>1155.2+(1408.5-806.7)+(-1.178304+(-1.43667--0.822834))+0-390.7--0.398514000000062</f>
        <v>1364.9063739999999</v>
      </c>
      <c r="W39" s="3">
        <f>1155.7+(1219.5-627)+(-1.768221+(-1.865835--0.95931))+0-389.2--0.595476000000022</f>
        <v>1356.92073</v>
      </c>
      <c r="X39" s="3">
        <f>1156+(976.1-402.4)+(-1.76868+(-1.493433--0.615672))+0-391.6--0.599148000000023</f>
        <v>1336.0527070000001</v>
      </c>
      <c r="Y39" s="3">
        <f>1287.5+(880.7-400.4)+(-1.31325+(-0.898314--0.408408))+0-388.9--0.396678000000062</f>
        <v>1377.4935220000002</v>
      </c>
      <c r="Z39" s="3">
        <f>1372.9+(857.4-285.2)+(-0.700179+(-0.437274--0.145452))+0-386.4--0.197063999999961</f>
        <v>1557.9050630000002</v>
      </c>
      <c r="AA39" s="3">
        <f>1372.4+(873.9-271.4)+(-1.399848+(-0.891378--0.276828))+0-390.5--0.398310000000062</f>
        <v>1582.7839120000001</v>
      </c>
      <c r="AB39" s="3">
        <f>1372.9+(992.9-432.3)+(0.700179+(0.506379-0.220473))+0-391.1-0.19946099999996</f>
        <v>1543.1866240000002</v>
      </c>
      <c r="AC39" s="3">
        <f>1230.2+(1470.4-834.4)+(-1.882206+(-2.249712--1.276632))+0-393.1--0.601443000000023</f>
        <v>1470.8461570000004</v>
      </c>
      <c r="AD39" s="2">
        <v>1586.6</v>
      </c>
      <c r="AE39" s="3">
        <f>1370+(853.9-246.9)+(0+(0-0))+0-386.4-0</f>
        <v>1590.6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1157.4+(2208.2-1577.1)+(-0.590274+(-1.126182--0.804321))+0-391.6--0.19971599999996</f>
        <v>1396.1875809999999</v>
      </c>
      <c r="G40" s="3">
        <f>1114.1+(2332.4-1732.1)+(-1.704573+(-3.568572--2.650113))+0-388.5--0.594405000000023</f>
        <v>1323.8713730000002</v>
      </c>
      <c r="H40" s="3">
        <f>963.7+(2168.7-1455.6)+(0.982974+(2.212074-1.484712))+0-391.5-0.399330000000062</f>
        <v>1286.6110060000001</v>
      </c>
      <c r="I40" s="3">
        <f>946.4+(1975.6-1271.1)+(0.482664+(1.007556-0.648261))+0-390.5-0.19915499999996</f>
        <v>1261.0428040000002</v>
      </c>
      <c r="J40" s="3">
        <f>946.3+(1953.3-1241)+(0+(0-0))+0-402.4-0</f>
        <v>1256.1999999999998</v>
      </c>
      <c r="K40" s="3">
        <f>946+(1741.9-1003.2)+(-1.44738+(-2.665107--1.534896))+0-420.1--0.642753000000024</f>
        <v>1262.6651620000002</v>
      </c>
      <c r="L40" s="3">
        <f>945.8+(1446.1-707)+(-0.482358+(-0.737511--0.36057))+0-424.1--0.216290999999957</f>
        <v>1260.1569919999999</v>
      </c>
      <c r="M40" s="3">
        <f>945.9+(1228.5-394.1)+(0.482409+(0.626535-0.200991))+0-422.3-0.215372999999957</f>
        <v>1358.6925799999999</v>
      </c>
      <c r="N40" s="3">
        <f>995.3+(1192.4-273.6)+(0.507603+(0.608124-0.139536))+0-412.1-0.210170999999958</f>
        <v>1502.7660199999998</v>
      </c>
      <c r="O40" s="3">
        <f>1164.2+(1099.3-241.1)+(0+(0-0))+0-412.7-0</f>
        <v>1609.7</v>
      </c>
      <c r="P40" s="3">
        <f>1231.3+(1097.6-254.8)+(0+(0-0))+0-415.7-0</f>
        <v>1658.3999999999999</v>
      </c>
      <c r="Q40" s="3">
        <f>1230.9+(1097.8-222.7)+(-1.883277+(-1.679634--0.340731))+0-414.3--0.633879000000024</f>
        <v>1689.1116989999998</v>
      </c>
      <c r="R40" s="3">
        <f>1232.1+(980.1-156)+(-2.513484+(-1.999404--0.31824))+0-411--0.838439999999982</f>
        <v>1641.8437919999997</v>
      </c>
      <c r="S40" s="3">
        <f>1231.9+(1032.7-261.5)+(-1.256538+(-1.053354--0.26673))+0-413.9--0.422178000000066</f>
        <v>1587.5790160000004</v>
      </c>
      <c r="T40" s="3">
        <f>1231.9+(989.4-202.3)+(0+(0-0))+0-412-0</f>
        <v>1607</v>
      </c>
      <c r="U40" s="3">
        <f>1232.7+(957.4-185.9)+(-1.257354+(-0.976548--0.189618))+0-413.1--0.421362000000066</f>
        <v>1589.4770779999999</v>
      </c>
      <c r="V40" s="3">
        <f>1231.4+(1029.4-236.5)+(-1.256028+(-1.049988--0.24123))+0-422.8--0.431256000000067</f>
        <v>1599.8664700000004</v>
      </c>
      <c r="W40" s="3">
        <f>1231+(1096.3-303.4)+(-1.25562+(-1.118226--0.309468))+0-424.9--0.433398000000068</f>
        <v>1597.3690200000001</v>
      </c>
      <c r="X40" s="3">
        <f>1230.9+(973.6-199.9)+(-1.883277+(-1.489608--0.305847))+0-428.1--0.654993000000025</f>
        <v>1574.0879550000004</v>
      </c>
      <c r="Y40" s="3">
        <f>1313.8+(964.9-286.1)+(-2.010114+(-1.476297--0.437733))+0-426.7--0.652851000000025</f>
        <v>1563.5041729999998</v>
      </c>
      <c r="Z40" s="3">
        <f>1369.6+(1001.6-239)+(-2.793984+(-2.043264--0.48756))+0-425.4--0.867815999999981</f>
        <v>1703.3181279999999</v>
      </c>
      <c r="AA40" s="3">
        <f>1370.1+(998.2-250.3)+(-1.397502+(-1.018164--0.255306))+0-424.5--0.432990000000068</f>
        <v>1691.7726300000002</v>
      </c>
      <c r="AB40" s="3">
        <f>1369.9+(1223.6-543.7)+(-2.095947+(-1.872108--0.831861))+0-412.1--0.630513000000024</f>
        <v>1635.1943190000002</v>
      </c>
      <c r="AC40" s="3">
        <f>1312.3+(2000.5-1320)+(-2.677092+(-4.08102--2.6928))+0-423.4--0.863735999999982</f>
        <v>1566.1984239999999</v>
      </c>
      <c r="AD40" s="2">
        <v>1766.9</v>
      </c>
      <c r="AE40" s="3">
        <f>1369+(1091.9-258.5)+(0+(0-0))+0-431.5-0</f>
        <v>1770.9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990.9+(2224.8-1315.2)+(-1.516077+(-3.403944--2.012256))+0-420.9--0.643977000000024</f>
        <v>1477.3362119999999</v>
      </c>
      <c r="G41" s="3">
        <f>956.2+(1995.2-1128.2)+(-1.462986+(-3.052656--1.726146))+0-420.9--0.643977000000024</f>
        <v>1400.1544809999998</v>
      </c>
      <c r="H41" s="3">
        <f>955+(1903.5-1077.8)+(0.48705+(0.970785-0.549678))+0-414.5-0.211394999999958</f>
        <v>1366.8967620000001</v>
      </c>
      <c r="I41" s="3">
        <f>954.1+(1823.3-998.7)+(0.973182+(1.859766-1.018674))+0-426.9-0.435438000000068</f>
        <v>1353.178836</v>
      </c>
      <c r="J41" s="3">
        <f>953.9+(1705.6-905.9)+(-0.486489+(-0.869856--0.462009))+0-425.4--0.216953999999957</f>
        <v>1327.522618</v>
      </c>
      <c r="K41" s="3">
        <f>953.3+(1642.8-837.5)+(-1.944732+(-3.351312--1.7085))+0-424.6--0.866183999999982</f>
        <v>1331.27864</v>
      </c>
      <c r="L41" s="3">
        <f>952.7+(1449.3-693.3)+(-1.457631+(-2.217429--1.060749))+0-422.7--0.646731000000024</f>
        <v>1284.03242</v>
      </c>
      <c r="M41" s="3">
        <f>952.4+(1172.7-330.1)+(0+(0-0))+0-406.6-0</f>
        <v>1388.4</v>
      </c>
      <c r="N41" s="3">
        <f>952.1+(1184.6-189.4)+(0.485571+(0.604146-0.096594))+0-413.3-0.210782999999958</f>
        <v>1534.78234</v>
      </c>
      <c r="O41" s="3">
        <f>1067+(1173.1-193.8)+(0.54417+(0.598281-0.098838))+0-415.5-0.211904999999958</f>
        <v>1631.6317080000001</v>
      </c>
      <c r="P41" s="3">
        <f>1123.7+(1119.5-159.1)+(-0.573087+(-0.570945--0.081141))+0-413.7--0.210986999999958</f>
        <v>1669.5480959999998</v>
      </c>
      <c r="Q41" s="3">
        <f>1216.9+(1205.7-340.8)+(-1.861857+(-1.844721--0.521424))+0-403.4--0.617202000000023</f>
        <v>1675.8320480000004</v>
      </c>
      <c r="R41" s="3">
        <f>1218+(1521.4-659.9)+(-1.24236+(-1.551828--0.673098))+0-405--0.413100000000065</f>
        <v>1672.7920099999999</v>
      </c>
      <c r="S41" s="3">
        <f>1218+(1938.3-1159.8)+(-2.48472+(-3.954132--2.365992))+0-395--0.805799999999983</f>
        <v>1598.2329400000001</v>
      </c>
      <c r="T41" s="3">
        <f>1219.2+(1934.6-1126.5)+(-0.621792+(-0.986646--0.574515))+0-404.3--0.206192999999959</f>
        <v>1622.17227</v>
      </c>
      <c r="U41" s="3">
        <f>1218.7+(1998.9-1182.3)+(-2.486148+(-4.077756--2.411892))+0-406.6--0.829463999999982</f>
        <v>1625.3774520000002</v>
      </c>
      <c r="V41" s="3">
        <f>1219.7+(1715.6-907.3)+(-1.244094+(-1.749912--0.925446))+0-413.5--0.421770000000066</f>
        <v>1612.8532100000002</v>
      </c>
      <c r="W41" s="3">
        <f>1219.2+(1985.5-1165.5)+(-3.10896+(-5.063025--2.972025))+0-414.7--1.05748499999994</f>
        <v>1620.3575250000001</v>
      </c>
      <c r="X41" s="3">
        <f>1220.2+(1891.2-1129)+(-5.600718+(-8.680608--5.18211))+0-418.7--1.92183300000007</f>
        <v>1556.5226170000001</v>
      </c>
      <c r="Y41" s="3">
        <f>1263.1+(1491.6-797.3)+(0+(0-0))+0-416-0</f>
        <v>1541.3999999999999</v>
      </c>
      <c r="Z41" s="3">
        <f>1346.9+(1534.1-760.9)+(-0.686919+(-0.782391--0.388059))+0-416.5--0.212414999999958</f>
        <v>1702.7311639999998</v>
      </c>
      <c r="AA41" s="3">
        <f>1344.1+(1625.7-838.4)+(-4.112946+(-4.974642--2.565504))+0-419.3--1.28305800000005</f>
        <v>1706.8609739999999</v>
      </c>
      <c r="AB41" s="3">
        <f>1344.9+(1953.9-1275.9)+(0+(0-0))+0-373.5-0</f>
        <v>1649.4</v>
      </c>
      <c r="AC41" s="3">
        <f>1215.3+(2427.5-1670)+(0+(0-0))+0-388.9-0</f>
        <v>1583.9</v>
      </c>
      <c r="AD41" s="2">
        <v>1689.8</v>
      </c>
      <c r="AE41" s="3">
        <f>1347+(1288-498)+(0+(0-0))+0-443.2-0</f>
        <v>1693.8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1101.4+(2598.3-1797.2)+(-1.123428+(-2.650266--1.833144))+0-389.6--0.397392000000062</f>
        <v>1511.3568420000004</v>
      </c>
      <c r="G42" s="3">
        <f>1013.2+(2854.8-2049.2)+(-1.033464+(-2.911896--2.090184))+0-389.4--0.397188000000062</f>
        <v>1427.9420120000007</v>
      </c>
      <c r="H42" s="3">
        <f>957.7+(2830.3-2009)+(0+(0-0))+0-390.2-0</f>
        <v>1388.8000000000002</v>
      </c>
      <c r="I42" s="3">
        <f>951.4+(2820-2003.9)+(0.970428+(2.8764-2.043978))+0-389.5-0.397290000000062</f>
        <v>1379.4055599999999</v>
      </c>
      <c r="J42" s="3">
        <f>951.2+(2548.8-1753.7)+(-0.970224+(-2.599776--1.788774))+0-387.7--0.395454000000062</f>
        <v>1357.214228</v>
      </c>
      <c r="K42" s="3">
        <f>951.4+(2403.3-1626)+(-0.485214+(-1.225683--0.82926))+0-387.8--0.197777999999961</f>
        <v>1340.2161410000003</v>
      </c>
      <c r="L42" s="3">
        <f>949.3+(1880.8-1119.2)+(-2.420715+(-4.79604--2.85396))+0-388.9--0.991694999999943</f>
        <v>1318.6288999999999</v>
      </c>
      <c r="M42" s="3">
        <f>940.8+(1478.9-655.7)+(1.439424+(2.262717-1.003221))+0-388.6-0.594558000000022</f>
        <v>1377.5043619999999</v>
      </c>
      <c r="N42" s="3">
        <f>941.1+(1244.5-293.5)+(0+(0-0))+0-391.5-0</f>
        <v>1500.6</v>
      </c>
      <c r="O42" s="3">
        <f>942.5+(1503.5-459.8)+(0.480675+(0.766785-0.234498))+0-389-0.198389999999961</f>
        <v>1598.014572</v>
      </c>
      <c r="P42" s="3">
        <f>1075.3+(1503.3-552.8)+(-0.548403+(-0.766683--0.281928))+0-385.4--0.196553999999961</f>
        <v>1639.5633959999998</v>
      </c>
      <c r="Q42" s="3">
        <f>1109.1+(1249.3-301.1)+(-2.828205+(-3.185715--0.767805))+0-385.4--0.982769999999944</f>
        <v>1667.6366549999996</v>
      </c>
      <c r="R42" s="3">
        <f>1208.1+(1465-626.7)+(-2.464524+(-2.9886--1.278468))+0-389--0.793559999999983</f>
        <v>1654.018904</v>
      </c>
      <c r="S42" s="3">
        <f>1215.6+(1643.6-878.9)+(-1.859868+(-2.514708--1.344717))+0-387.5--0.592875000000022</f>
        <v>1590.3630159999998</v>
      </c>
      <c r="T42" s="3">
        <f>1217+(1784-1022.4)+(1.86201+(2.72952-1.564272))+0-385.8-0.590274000000022</f>
        <v>1595.2369840000001</v>
      </c>
      <c r="U42" s="3">
        <f>1216.8+(1761.3-987.7)+(-3.10284+(-4.491315--2.518635))+0-387.8--0.988889999999944</f>
        <v>1598.5133699999997</v>
      </c>
      <c r="V42" s="3">
        <f>1216.3+(1927.8-1150.9)+(-1.240626+(-1.966356--1.173918))+0-389.2--0.396984000000062</f>
        <v>1602.3639199999998</v>
      </c>
      <c r="W42" s="3">
        <f>1217.5+(1963.5-1209)+(-3.104625+(-5.006925--3.08295))+0-387.1--0.987104999999944</f>
        <v>1580.8585049999999</v>
      </c>
      <c r="X42" s="3">
        <f>1217.5+(1961.5-1209)+(-3.104625+(-5.001825--3.08295))+0-387.1--0.987104999999944</f>
        <v>1578.8636049999998</v>
      </c>
      <c r="Y42" s="3">
        <f>1215.4+(1556-820.3)+(-3.09927+(-3.9678--2.091765))+0-389.9--0.994244999999943</f>
        <v>1557.2189400000002</v>
      </c>
      <c r="Z42" s="3">
        <f>1346.1+(1623.1-867.3)+(-2.059533+(-2.483343--1.326969))+0-389.7--0.596241000000023</f>
        <v>1709.5803339999998</v>
      </c>
      <c r="AA42" s="3">
        <f>1318.3+(1633.9-877.5)+(-2.016999+(-2.499867--1.342575))+0-388.3--0.594099000000022</f>
        <v>1683.819808</v>
      </c>
      <c r="AB42" s="3">
        <f>1158.4+(1464.4-602.4)+(1.772352+(2.240532-0.921672))+0-399.6-0.611388000000023</f>
        <v>1623.279824</v>
      </c>
      <c r="AC42" s="3">
        <f>1127.8+(1781.3-932)+(-2.87589+(-4.542315--2.3766))+0-422.8--1.07813999999994</f>
        <v>1550.3365349999999</v>
      </c>
      <c r="AD42" s="2">
        <v>1714.1999999999998</v>
      </c>
      <c r="AE42" s="3">
        <f>1341+(1755.6-989)+(0+(0-0))+0-390.4-0</f>
        <v>1717.1999999999998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1125.8+(2054.7-1332.7)+(-1.722474+(-3.143691--2.039031))+0-425.5--0.651015000000025</f>
        <v>1420.1238809999998</v>
      </c>
      <c r="G43" s="3">
        <f>1100.6+(2575.3-1914.1)+(-2.245224+(-5.253612--3.904764))+0-420.2--0.857207999999982</f>
        <v>1338.8631359999999</v>
      </c>
      <c r="H43" s="3">
        <f>1003.1+(2659.9-1931)+(-1.534743+(-4.069647--2.95443))+0-425.6--0.651168000000025</f>
        <v>1304.401208</v>
      </c>
      <c r="I43" s="3">
        <f>957+(2427.9-1688.3)+(-2.44035+(-6.191145--4.305165))+0-416.1--1.06105499999994</f>
        <v>1277.234725</v>
      </c>
      <c r="J43" s="3">
        <f>948.7+(2073.1-1349.1)+(0.483837+(1.057281-0.688041))+0-409.2-0.208691999999958</f>
        <v>1264.1443850000001</v>
      </c>
      <c r="K43" s="3">
        <f>949.4+(1910.1-1178)+(-1.936776+(-3.896604--2.40312))+0-424.6--0.866183999999982</f>
        <v>1254.335924</v>
      </c>
      <c r="L43" s="3">
        <f>948.7+(1324.7-555.5)+(0.967674+(1.351194-0.56661))+0-407.2-0.415344000000065</f>
        <v>1312.036914</v>
      </c>
      <c r="M43" s="3">
        <f>949+(1047.4-309.2)+(0+(0-0))+0-409.8-0</f>
        <v>1277.4000000000001</v>
      </c>
      <c r="N43" s="3">
        <f>948.5+(1314-313.4)+(0.96747+(1.34028-0.319668))+0-415.9-0.424218000000066</f>
        <v>1534.763864</v>
      </c>
      <c r="O43" s="3">
        <f>948.5+(1525-353)+(0+(0-0))+0-437-0</f>
        <v>1683.5</v>
      </c>
      <c r="P43" s="3">
        <f>953.4+(1540.2-404.4)+(-0.486234+(-0.785502--0.206244))+0-423.6--0.216035999999957</f>
        <v>1664.7505440000002</v>
      </c>
      <c r="Q43" s="3">
        <f>967.4+(1626.5-478.4)+(0.493374+(0.829515-0.243984))+0-427.9-0.218228999999957</f>
        <v>1688.4606759999997</v>
      </c>
      <c r="R43" s="3">
        <f>965.1+(2035.2-888)+(-1.968804+(-4.151808--1.81152))+0-425.3--0.867611999999982</f>
        <v>1683.5585200000003</v>
      </c>
      <c r="S43" s="3">
        <f>963.3+(2128.3-1046.4)+(-0.982566+(-2.170866--1.067328))+0-418.7--0.427074000000067</f>
        <v>1624.8409700000002</v>
      </c>
      <c r="T43" s="3">
        <f>950.7+(1911.2-809.6)+(-0.969714+(-1.949424--0.825792))+0-422.7--0.431154000000067</f>
        <v>1627.9378080000001</v>
      </c>
      <c r="U43" s="3">
        <f>949.8+(1941.5-857)+(-2.906388+(-5.94099--2.62242))+21.9-422.4--1.29254400000005</f>
        <v>1628.8675860000001</v>
      </c>
      <c r="V43" s="3">
        <f>958.5+(1865.5-815.7)+(-1.95534+(-3.80562--1.664028))+42-419.3--0.855371999999982</f>
        <v>1627.7584400000001</v>
      </c>
      <c r="W43" s="3">
        <f>974.7+(1792-715.1)+(-1.491291+(-2.74176--1.094103))+3.7-418.6--0.640458000000024</f>
        <v>1634.2015100000006</v>
      </c>
      <c r="X43" s="3">
        <f>982.2+(1782.7-757.2)+(-2.003688+(-3.636708--1.544688))+0-422.2--0.861287999999982</f>
        <v>1582.26558</v>
      </c>
      <c r="Y43" s="3">
        <f>1035.5+(1800.4-841.5)+(-0.528105+(-0.918204--0.429165))+0-424.7--0.216596999999957</f>
        <v>1568.899453</v>
      </c>
      <c r="Z43" s="3">
        <f>1348.6+(1915.6-1116.6)+(-1.375572+(-1.953912--1.138932))+0-412.1--0.420342000000066</f>
        <v>1733.7297900000001</v>
      </c>
      <c r="AA43" s="3">
        <f>1369.1+(2143.5-1345)+(-2.792964+(-4.37274--2.7438))+0-422.4--0.861695999999981</f>
        <v>1741.6397919999999</v>
      </c>
      <c r="AB43" s="3">
        <f>1212.8+(2550.9-1660.9)+(-1.855584+(-3.902877--2.541177))+0-420.9--0.643977000000024</f>
        <v>1679.3266930000002</v>
      </c>
      <c r="AC43" s="3">
        <f>1093.3+(2406.8-1484)+(-2.787915+(-6.13734--3.7842))+0-416.5--1.06207499999994</f>
        <v>1595.5210200000001</v>
      </c>
      <c r="AD43" s="2">
        <v>1756.3999999999999</v>
      </c>
      <c r="AE43" s="3">
        <f>1384+(2109-1300.4)+(0+(0-0))+0-432.2-0</f>
        <v>1760.3999999999999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949.5+(2416.4-1438)+(-0.96849+(-2.464728--1.46676))+0-416.6--0.424932000000066</f>
        <v>1509.758474</v>
      </c>
      <c r="G44" s="3">
        <f>947.5+(2390.9-1471.5)+(0+(0-0))+0-424.1-0</f>
        <v>1442.8000000000002</v>
      </c>
      <c r="H44" s="3">
        <f>947.3+(2336.1-1447.6)+(-2.415615+(-5.957055--3.69138))+0-426.8--1.08833999999994</f>
        <v>1405.40705</v>
      </c>
      <c r="I44" s="3">
        <f>946.6+(2289.1-1431.3)+(0+(0-0))+0-424.5-0</f>
        <v>1379.9</v>
      </c>
      <c r="J44" s="3">
        <f>945.8+(2181.8-1330.2)+(-1.929432+(-4.450872--2.713608))+0-426.1--0.869243999999981</f>
        <v>1368.5025479999999</v>
      </c>
      <c r="K44" s="3">
        <f>946.5+(2141.5-1287.2)+(-2.413575+(-5.460825--3.28236))+0-427.5--1.09012499999994</f>
        <v>1369.7980849999999</v>
      </c>
      <c r="L44" s="3">
        <f>946.5+(2142.5-1219)+(-2.413575+(-5.463375--3.10845))+0-427.5--1.09012499999994</f>
        <v>1438.821625</v>
      </c>
      <c r="M44" s="3">
        <f>945.6+(1944.7-1056.4)+(-3.375792+(-6.942579--3.771348))+0-426.8--1.52367600000001</f>
        <v>1402.0766530000001</v>
      </c>
      <c r="N44" s="3">
        <f>980+(1896.8-887.6)+(0.4998+(0.967368-0.452676))+0-427.7-0.218126999999957</f>
        <v>1562.2963649999999</v>
      </c>
      <c r="O44" s="3">
        <f>980.8+(1469-411.4)+(0.500208+(0.74919-0.209814))+0-417.9-0.213128999999958</f>
        <v>1621.3264550000001</v>
      </c>
      <c r="P44" s="3">
        <f>981.3+(1407.6-281.6)+(0+(0-0))+0-411.7-0</f>
        <v>1695.6000000000001</v>
      </c>
      <c r="Q44" s="3">
        <f>981.5+(1332.3-160.1)+(0.500565+(0.679473-0.081651))+0-421.5-0.214964999999957</f>
        <v>1733.0834219999999</v>
      </c>
      <c r="R44" s="3">
        <f>987.7+(1572.3-441.4)+(-1.511181+(-2.405619--0.675342))+0-409.7--0.626841000000024</f>
        <v>1706.2853830000004</v>
      </c>
      <c r="S44" s="3">
        <f>1132.9+(2045.1-1099.1)+(0+(0-0))+0-415.7-0</f>
        <v>1663.2</v>
      </c>
      <c r="T44" s="3">
        <f>1187.8+(1912.8-1009.5)+(-2.423112+(-3.902112--2.05938))+0-424.4--0.865775999999981</f>
        <v>1663.2999319999997</v>
      </c>
      <c r="U44" s="3">
        <f>1188.3+(2020-1092.6)+(-2.424132+(-4.1208--2.228904))+0-422.6--0.862103999999982</f>
        <v>1689.6460759999998</v>
      </c>
      <c r="V44" s="3">
        <f>1188.4+(1942.1-1028.7)+(-2.424336+(-3.961884--2.098548))+0-424.7--0.866387999999981</f>
        <v>1673.6787160000001</v>
      </c>
      <c r="W44" s="3">
        <f>1184.1+(1741.6-844.5)+(-4.831128+(-7.105728--3.44556))+0-426.9--1.74175199999996</f>
        <v>1647.5504559999995</v>
      </c>
      <c r="X44" s="3">
        <f>1186.2+(1637.2-755)+(-5.444658+(-7.514748--3.46545))+0-427.3--1.96130700000007</f>
        <v>1633.5673510000004</v>
      </c>
      <c r="Y44" s="3">
        <f>1216.3+(1436.6-622.9)+(0+(0-0))+0-425.2-0</f>
        <v>1604.8</v>
      </c>
      <c r="Z44" s="3">
        <f>1376.3+(1216.6-436.9)+(1.403826+(1.240932-0.445638))+0-423.1-0.431562000000068</f>
        <v>1734.6675580000003</v>
      </c>
      <c r="AA44" s="3">
        <f>1351.4+(1322.9-504.5)+(-4.824498+(-4.722753--1.801065))+0-429.9--1.53474300000001</f>
        <v>1733.6885570000002</v>
      </c>
      <c r="AB44" s="3">
        <f>1137.7+(1481.2-537.6)+(-1.160454+(-1.510824--0.548352))+0-407--0.415140000000065</f>
        <v>1672.5922140000002</v>
      </c>
      <c r="AC44" s="3">
        <f>1041.5+(1844.6-864.8)+(-2.12466+(-3.762984--1.764192))+0-424.6--0.866183999999982</f>
        <v>1593.442732</v>
      </c>
      <c r="AD44" s="2">
        <v>1700.6000000000001</v>
      </c>
      <c r="AE44" s="3">
        <f>1381+(1160-435.7)+(0+(0-0))+0-400.7-0</f>
        <v>1704.6000000000001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979.6+(2170.9-1217.1)+(-0.499596+(-1.107159--0.620721))+0-422.1--0.215270999999957</f>
        <v>1510.5292370000002</v>
      </c>
      <c r="G45" s="3">
        <f>948+(2268.5-1362.9)+(-0.96696+(-2.31387--1.390158))+0-420.9--0.429318000000067</f>
        <v>1431.2386459999998</v>
      </c>
      <c r="H45" s="3">
        <f>947.3+(2359.9-1481.9)+(-2.415615+(-6.017745--3.778845))+0-417.6--1.06487999999994</f>
        <v>1404.110365</v>
      </c>
      <c r="I45" s="3">
        <f>947.2+(2319.2-1467.6)+(-0.483072+(-1.182792--0.748476))+0-423.2--0.215831999999957</f>
        <v>1374.8984439999997</v>
      </c>
      <c r="J45" s="3">
        <f>947.5+(2310.5-1472.1)+(-0.96645+(-2.35671--1.501542))+0-420.1--0.428502000000067</f>
        <v>1364.4068840000002</v>
      </c>
      <c r="K45" s="3">
        <f>947+(2227.7-1411)+(-1.93188+(-4.544508--2.87844))+0-420.7--0.858227999999982</f>
        <v>1340.2602799999997</v>
      </c>
      <c r="L45" s="3">
        <f>946.8+(1800.8-996.5)+(-0.965736+(-1.836816--1.01643))+0-424.4--0.432888000000068</f>
        <v>1325.3467659999999</v>
      </c>
      <c r="M45" s="3">
        <f>947.3+(1620.8-760)+(-0.483123+(-0.826608--0.3876))+0-420.5--0.214454999999957</f>
        <v>1386.8923239999999</v>
      </c>
      <c r="N45" s="3">
        <f>947.9+(1737.3-719.4)+(0+(0-0))+0-427.6-0</f>
        <v>1538.1999999999998</v>
      </c>
      <c r="O45" s="3">
        <f>948.2+(1617.3-513.2)+(0.483582+(0.824823-0.261732))+0-422.4-0.215423999999957</f>
        <v>1630.7312489999999</v>
      </c>
      <c r="P45" s="3">
        <f>948.5+(1430.8-287.5)+(1.451205+(2.189124-0.439875))+0-424.2-0.649026000000025</f>
        <v>1670.1514279999999</v>
      </c>
      <c r="Q45" s="3">
        <f>948.5+(1369.6-246.2)+(-0.483735+(-0.698496--0.125562))+0-424--0.216239999999957</f>
        <v>1647.0595709999996</v>
      </c>
      <c r="R45" s="3">
        <f>983.2+(1482.3-377.9)+(-1.002864+(-1.511946--0.385458))+0-413.8--0.422076000000066</f>
        <v>1672.0927240000005</v>
      </c>
      <c r="S45" s="3">
        <f>1023.3+(2034.5-1025.2)+(-1.565649+(-3.112785--1.568556))+0-411.8--0.630054000000024</f>
        <v>1618.3201759999999</v>
      </c>
      <c r="T45" s="3">
        <f>1127.1+(2260.6-1352)+(-1.724463+(-3.458718--2.06856))+0-418.5--0.640305000000024</f>
        <v>1614.725684</v>
      </c>
      <c r="U45" s="3">
        <f>1126.3+(2540.2-1620)+(-1.148826+(-2.591004--1.6524))+0-418.6--0.426972000000067</f>
        <v>1626.2395419999996</v>
      </c>
      <c r="V45" s="3">
        <f>1128.2+(2499.4-1598.8)+(-3.452292+(-7.648164--4.892328))+0-418.7--1.28122200000005</f>
        <v>1605.1730940000002</v>
      </c>
      <c r="W45" s="3">
        <f>1127.6+(1931.8-1062.6)+(-1.725228+(-2.955654--1.625778))+0-419.4--0.641682000000024</f>
        <v>1574.986578</v>
      </c>
      <c r="X45" s="3">
        <f>1129.7+(1581.4-746.2)+(-0.576147+(-0.806514--0.380562))+0-424.7--0.216596999999957</f>
        <v>1539.4144979999999</v>
      </c>
      <c r="Y45" s="3">
        <f>1131.4+(1353.9-510.2)+(0.577014+(0.690489-0.260202))+0-426.9-0.217718999999957</f>
        <v>1548.9895820000004</v>
      </c>
      <c r="Z45" s="3">
        <f>1139.1+(1770.3-774.4)+(-1.161882+(-1.805706--0.789888))+0-428.3--0.436866000000068</f>
        <v>1704.9591659999999</v>
      </c>
      <c r="AA45" s="3">
        <f>1139.1+(2279.1-1308.6)+(-1.742823+(-3.487023--2.002158))+0-427.4--0.653922000000025</f>
        <v>1679.6262339999998</v>
      </c>
      <c r="AB45" s="3">
        <f>1130.5+(2401.5-1492.4)+(-3.45933+(-7.34859--4.566744))+0-429--1.31274000000005</f>
        <v>1605.671564</v>
      </c>
      <c r="AC45" s="3">
        <f>1112.5+(2551-1676)+(-1.13475+(-2.60202--1.70952))+0-423.5--0.431970000000068</f>
        <v>1562.40472</v>
      </c>
      <c r="AD45" s="2">
        <v>1714.3999999999999</v>
      </c>
      <c r="AE45" s="3">
        <f>1137+(2363.2-1348.5)+(0+(0-0))+0-433.3-0</f>
        <v>1718.3999999999999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1092.7+(2905.1-2102.7)+(-2.229108+(-5.926404--4.289508))+0-417.1--0.850883999999982</f>
        <v>1474.98488</v>
      </c>
      <c r="G46" s="3">
        <f>1093+(2951.8-2222.1)+(-1.11486+(-3.010836--2.266542))+0-421.5--0.429930000000067</f>
        <v>1399.7707760000003</v>
      </c>
      <c r="H46" s="3">
        <f>1050.5+(2684.4-1952.8)+(-0.535755+(-1.369044--0.995928))+0-420.3--0.214352999999957</f>
        <v>1361.1054819999999</v>
      </c>
      <c r="I46" s="3">
        <f>990+(2449.2-1682.5)+(2.0196+(4.996368-3.4323))+0-426.5-0.870059999999981</f>
        <v>1332.9136079999998</v>
      </c>
      <c r="J46" s="3">
        <f>952.9+(2421.4-1655.9)+(0+(0-0))+0-422.3-0</f>
        <v>1296.1000000000001</v>
      </c>
      <c r="K46" s="3">
        <f>952.9+(2367.7-1608.5)+(-1.457937+(-3.622581--2.461005))+0-416--0.636480000000024</f>
        <v>1294.1169669999999</v>
      </c>
      <c r="L46" s="3">
        <f>904.2+(2253.6-1532.1)+(-0.922284+(-2.298672--1.562742))+0-416.3--0.424626000000066</f>
        <v>1208.166412</v>
      </c>
      <c r="M46" s="3">
        <f>862.7+(2112-1358.5)+(-0.879954+(-2.15424--1.38567))+0-422.5--0.430950000000067</f>
        <v>1192.4824260000003</v>
      </c>
      <c r="N46" s="3">
        <f>862.6+(2049.2-1260.5)+(-0.439926+(-1.045092--0.642855))+0-426--0.217259999999957</f>
        <v>1224.6750969999996</v>
      </c>
      <c r="O46" s="3">
        <f>862.1+(1778.1-935.1)+(0+(0-0))+0-423.1-0</f>
        <v>1282</v>
      </c>
      <c r="P46" s="3">
        <f>900.6+(1427.2-563.6)+(0+(0-0))+0-414.5-0</f>
        <v>1349.7</v>
      </c>
      <c r="Q46" s="3">
        <f>947.2+(1596.5-723.7)+(-1.449216+(-2.442645--1.107261))+0-417--0.638010000000024</f>
        <v>1400.8534100000002</v>
      </c>
      <c r="R46" s="3">
        <f>952.3+(1942.3-1057.6)+(-0.485673+(-0.990573--0.539376))+0-424.3--0.216392999999957</f>
        <v>1411.979523</v>
      </c>
      <c r="S46" s="3">
        <f>952.6+(2142.3-1284.6)+(0+(0-0))+0-422-0</f>
        <v>1388.3000000000002</v>
      </c>
      <c r="T46" s="3">
        <f>952+(2515.6-1578.1)+(-2.4276+(-6.41478--4.024155))+0-426.4--1.08731999999994</f>
        <v>1459.3690949999998</v>
      </c>
      <c r="U46" s="3">
        <f>955+(2657-1747.8)+(-1.46115+(-4.06521--2.674134))+0-420.7--0.643671000000024</f>
        <v>1441.2914450000001</v>
      </c>
      <c r="V46" s="3">
        <f>953.3+(2555.6-1692)+(-2.430915+(-6.51678--4.3146))+0-414.6--1.05722999999994</f>
        <v>1398.7241349999999</v>
      </c>
      <c r="W46" s="3">
        <f>952.8+(2112.2-1293.2)+(-0.971856+(-2.154444--1.319064))+0-417.5--0.425850000000067</f>
        <v>1352.9186139999997</v>
      </c>
      <c r="X46" s="3">
        <f>945.1+(1903.3-1083.1)+(-1.446003+(-2.912049--1.657143))+0-423.3--0.647649000000024</f>
        <v>1339.9467400000003</v>
      </c>
      <c r="Y46" s="3">
        <f>963+(1977.2-1144.3)+(-0.49113+(-1.008372--0.583593))+0-422.2--0.215321999999957</f>
        <v>1372.999413</v>
      </c>
      <c r="Z46" s="3">
        <f>1104.8+(1972.5-1086.9)+(0+(0-0))+0-421.6-0</f>
        <v>1568.7999999999997</v>
      </c>
      <c r="AA46" s="3">
        <f>1218.4+(1907.4-1081.8)+(-2.485536+(-3.891096--2.206872))+0-423.1--0.863123999999982</f>
        <v>1617.5933640000003</v>
      </c>
      <c r="AB46" s="3">
        <f>1224.7+(2171.9-1382.5)+(-2.498388+(-4.430676--2.8203))+0-422--0.860879999999982</f>
        <v>1588.852116</v>
      </c>
      <c r="AC46" s="3">
        <f>1158.9+(2530-1732.2)+(-1.773117+(-3.8709--2.650266))+0-423.9--0.648567000000024</f>
        <v>1530.4548160000002</v>
      </c>
      <c r="AD46" s="2">
        <v>1653.0999999999997</v>
      </c>
      <c r="AE46" s="3">
        <f>1225+(1881.7-1021.4)+(0+(0-0))+0-428.2-0</f>
        <v>1657.1000000000001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1019.6+(2795.5-1933)+(-0.519996+(-1.425705--0.98583))+0-422.2--0.215321999999957</f>
        <v>1459.1554509999999</v>
      </c>
      <c r="G47" s="3">
        <f>948.6+(2777.4-1934.4)+(-1.451358+(-4.249422--2.959632))+0-424.9--0.650097000000025</f>
        <v>1364.6089489999997</v>
      </c>
      <c r="H47" s="3">
        <f>947.9+(2778.1-1971)+(-0.966858+(-2.833662--2.01042))+0-422.4--0.430848000000067</f>
        <v>1331.2407480000002</v>
      </c>
      <c r="I47" s="3">
        <f>947.8+(2688.2-1895.2)+(-2.41689+(-6.85491--4.83276))+0-424.4--1.08221999999994</f>
        <v>1313.0431799999999</v>
      </c>
      <c r="J47" s="3">
        <f>947.7+(2589-1814.1)+(-2.416635+(-6.60195--4.625955))+0-418.8--1.06793999999994</f>
        <v>1300.47531</v>
      </c>
      <c r="K47" s="3">
        <f>948+(2542.5-1771.7)+(-1.45044+(-3.890025--2.710701))+0-421.9--0.645507000000024</f>
        <v>1294.9157429999998</v>
      </c>
      <c r="L47" s="3">
        <f>945+(2141-1369.6)+(-2.8917+(-6.55146--4.190976))+0-423.2--1.29499200000005</f>
        <v>1289.2428080000002</v>
      </c>
      <c r="M47" s="3">
        <f>940+(1810-945.2)+(-0.4794+(-0.9231--0.482052))+0-421.3--0.214862999999957</f>
        <v>1382.7944149999998</v>
      </c>
      <c r="N47" s="3">
        <f>941+(2319.3-1322.7)+(2.39955+(5.914215-3.372885))+0-425.1-1.08400499999994</f>
        <v>1516.3568750000002</v>
      </c>
      <c r="O47" s="3">
        <f>939.7+(1855-790.3)+(-0.958494+(-1.8921--0.806106))+0-422.2--0.430644000000067</f>
        <v>1580.5861560000001</v>
      </c>
      <c r="P47" s="3">
        <f>939.3+(1507.3-386.9)+(-0.958086+(-1.537446--0.394638))+0-424--0.432480000000068</f>
        <v>1634.0315859999998</v>
      </c>
      <c r="Q47" s="3">
        <f>939.1+(1409.2-270.6)+(-1.915764+(-2.874768--0.552024))+0-431--0.879239999999981</f>
        <v>1643.3407319999999</v>
      </c>
      <c r="R47" s="3">
        <f>1074.4+(1479.8-511.8)+(0.547944+(0.754698-0.261018))+0-427.1-0.217820999999957</f>
        <v>1616.1238030000002</v>
      </c>
      <c r="S47" s="3">
        <f>1086.5+(1799.7-881.7)+(-1.662345+(-2.753541--1.349001))+0-421.9--0.645507000000024</f>
        <v>1580.1786220000001</v>
      </c>
      <c r="T47" s="3">
        <f>1086.9+(1876.6-962.3)+(0.554319+(0.957066-0.490773))+0-421.1-0.214760999999957</f>
        <v>1580.9058510000002</v>
      </c>
      <c r="U47" s="3">
        <f>1087+(1786.3-865.2)+(0.55437+(0.911013-0.441252))+0-418.4-0.213383999999958</f>
        <v>1590.510747</v>
      </c>
      <c r="V47" s="3">
        <f>1086.8+(1793.2-841.4)+(-2.217072+(-3.658128--1.716456))+0-422.9--0.862715999999982</f>
        <v>1612.4039720000001</v>
      </c>
      <c r="W47" s="3">
        <f>1087.8+(2095.8-1178.9)+(-3.328668+(-6.413148--3.607434))+0-420.4--1.28642400000005</f>
        <v>1579.4520420000001</v>
      </c>
      <c r="X47" s="3">
        <f>1087.5+(1776.7-930.9)+(-3.882375+(-6.342819--3.323313))+0-409.2--1.46084400000001</f>
        <v>1518.6589630000001</v>
      </c>
      <c r="Y47" s="3">
        <f>1102.9+(1813.7-1008.8)+(-2.249916+(-3.699948--2.057952))+0-384.2--0.783767999999983</f>
        <v>1520.4918560000001</v>
      </c>
      <c r="Z47" s="3">
        <f>1449.4+(2018.9-1366)+(-1.478388+(-2.059278--1.39332))+0-401.7--0.409734000000064</f>
        <v>1698.8653880000002</v>
      </c>
      <c r="AA47" s="3">
        <f>1564.8+(2151.6-1618.8)+(-4.788288+(-6.583896--4.953528))+0-390.8--1.19584800000005</f>
        <v>1701.5771920000002</v>
      </c>
      <c r="AB47" s="3">
        <f>1486.8+(2597-2051.8)+(-3.033072+(-5.29788--4.185672))+0-373.4--0.761735999999984</f>
        <v>1655.2164559999997</v>
      </c>
      <c r="AC47" s="3">
        <f>1402.3+(2858.9-2289.6)+(-1.430346+(-2.916078--2.335392))+0-378.4--0.38596800000006</f>
        <v>1591.574936</v>
      </c>
      <c r="AD47" s="2">
        <v>1731.7</v>
      </c>
      <c r="AE47" s="3">
        <f>1598+(1960.9-1445.4)+(0+(0-0))+0-377.8-0</f>
        <v>1735.7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1277.5+(2846.6-2303.3)+(-1.954575+(-4.355298--3.524049))+0-377.4--0.577422000000022</f>
        <v>1441.1915979999997</v>
      </c>
      <c r="G48" s="3">
        <f>1272.8+(2829.1-2343.3)+(-1.947384+(-4.328523--3.585249))+0-389.8--0.596394000000023</f>
        <v>1366.7057359999997</v>
      </c>
      <c r="H48" s="3">
        <f>1097+(2835.1-2212.4)+(0+(0-0))+0-393.6-0</f>
        <v>1326.1</v>
      </c>
      <c r="I48" s="3">
        <f>949.9+(2930.7-2201.8)+(-0.968898+(-2.989314--2.245836))+0-393.4--0.401268000000063</f>
        <v>1284.0888919999998</v>
      </c>
      <c r="J48" s="3">
        <f>949.3+(2819.2-2093.2)+(-1.452429+(-4.313376--3.202596))+0-393.5--0.602055000000023</f>
        <v>1279.8388460000001</v>
      </c>
      <c r="K48" s="3">
        <f>949.9+(2567.3-1837.5)+(-2.422245+(-6.546615--4.685625))+0-403--1.02764999999994</f>
        <v>1273.4444150000002</v>
      </c>
      <c r="L48" s="3">
        <f>949.8+(2303.3-1541.2)+(0+(0-0))+0-401.5-0</f>
        <v>1310.4000000000001</v>
      </c>
      <c r="M48" s="3">
        <f>948.9+(2170.2-1320.1)+(-0.483939+(-1.106802--0.673251))+0-402.9--0.205478999999959</f>
        <v>1395.3879890000001</v>
      </c>
      <c r="N48" s="3">
        <f>949.8+(2210.5-1233.5)+(0+(0-0))+0-401.8-0</f>
        <v>1525</v>
      </c>
      <c r="O48" s="3">
        <f>948.3+(1641.2-596.9)+(-0.483633+(-0.837012--0.304419))+0-403.9--0.205988999999959</f>
        <v>1587.8897630000001</v>
      </c>
      <c r="P48" s="3">
        <f>951+(1471.3-400.5)+(-0.48501+(-0.750363--0.204255))+0-392.4--0.20012399999996</f>
        <v>1628.5690059999997</v>
      </c>
      <c r="Q48" s="3">
        <f>950.2+(1387.8-298.6)+(-0.484602+(-0.707778--0.152286))+0-395.7--0.20180699999996</f>
        <v>1642.8617129999998</v>
      </c>
      <c r="R48" s="3">
        <f>958.1+(1582.3-529.2)+(0+(0-0))+0-384.6-0</f>
        <v>1626.6</v>
      </c>
      <c r="S48" s="3">
        <f>1037.7+(1923.6-994.7)+(-2.116908+(-3.924144--2.029188))+0-390.9--0.797435999999983</f>
        <v>1572.4855719999998</v>
      </c>
      <c r="T48" s="3">
        <f>1037.5+(1970.8-1044.1)+(-0.529125+(-1.005108--0.532491))+0-385.8--0.196757999999961</f>
        <v>1577.5950160000002</v>
      </c>
      <c r="U48" s="3">
        <f>1040.7+(2005.6-1074.8)+(-1.061514+(-2.045712--1.096296))+0-375.3--0.38280600000006</f>
        <v>1594.5718760000002</v>
      </c>
      <c r="V48" s="3">
        <f>1042.3+(1919.8-996.6)+(-2.657865+(-4.89549--2.54133))+0-374.6--0.955229999999946</f>
        <v>1586.8432050000001</v>
      </c>
      <c r="W48" s="3">
        <f>1041.5+(2071.6-1145)+(-1.06233+(-2.113032--1.1679))+0-394.4--0.402288000000063</f>
        <v>1572.0948259999998</v>
      </c>
      <c r="X48" s="3">
        <f>1041.2+(1864-963.1)+(-3.186072+(-5.70384--2.947086))+0-395.1--1.20900600000005</f>
        <v>1542.2661800000001</v>
      </c>
      <c r="Y48" s="3">
        <f>1056.6+(1771.6-882.9)+(0+(0-0))+0-400.9-0</f>
        <v>1544.3999999999996</v>
      </c>
      <c r="Z48" s="3">
        <f>1091.1+(1583.4-613.2)+(-1.112922+(-1.615068--0.625464))+0-401.5--0.409530000000064</f>
        <v>1658.1070040000002</v>
      </c>
      <c r="AA48" s="3">
        <f>1090.2+(1328.9-315.1)+(-2.78001+(-3.388695--0.803505))+0-397.8--1.01438999999994</f>
        <v>1701.8491899999999</v>
      </c>
      <c r="AB48" s="3">
        <f>1088.8+(1380.9-441)+(-1.665864+(-2.112777--0.67473))+0-377.7--0.577881000000022</f>
        <v>1648.47397</v>
      </c>
      <c r="AC48" s="3">
        <f>1055.5+(1661.8-763.4)+(-2.15322+(-3.390072--1.557336))+0-365.9--0.746435999999984</f>
        <v>1584.7604799999999</v>
      </c>
      <c r="AD48" s="2">
        <v>1753.1999999999998</v>
      </c>
      <c r="AE48" s="3">
        <f>1123+(1396.6-345.9)+(0+(0-0))+0-416.5-0</f>
        <v>1757.1999999999998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1035.8+(2349.3-1494)+(-3.697806+(-8.387001--5.33358))+0-362.2--1.29305400000001</f>
        <v>1523.4418270000001</v>
      </c>
      <c r="G49" s="3">
        <f>964.4+(2753.1-1931.1)+(-3.442908+(-9.828567--6.894027))+0-361.8--1.29162600000001</f>
        <v>1419.5141780000001</v>
      </c>
      <c r="H49" s="3">
        <f>939.2+(2628-1827.9)+(-0.957984+(-2.68056--1.864458))+0-365.5--0.372810000000058</f>
        <v>1372.3987240000001</v>
      </c>
      <c r="I49" s="3">
        <f>939.3+(2445.6-1666.1)+(-0.479043+(-1.247256--0.849711))+0-366.1--0.186710999999963</f>
        <v>1352.0101229999998</v>
      </c>
      <c r="J49" s="3">
        <f>938.7+(2189.8-1426.7)+(-0.478737+(-1.116798--0.727617))+0-365.4--0.186353999999963</f>
        <v>1335.7184360000001</v>
      </c>
      <c r="K49" s="3">
        <f>938.5+(1894-1121.8)+(-1.91454+(-3.86376--2.288472))+0-366.6--0.747863999999984</f>
        <v>1341.3580360000001</v>
      </c>
      <c r="L49" s="3">
        <f>938.3+(1636.8-881.7)+(-1.914132+(-3.339072--1.798668))+0-361.4--0.737255999999984</f>
        <v>1329.2827199999997</v>
      </c>
      <c r="M49" s="3">
        <f>938+(1225.8-395.1)+(2.3919+(3.12579-1.007505))+0-360.5-0.919274999999948</f>
        <v>1411.7909099999999</v>
      </c>
      <c r="N49" s="3">
        <f>938.7+(1552-591.4)+(0.478737+(0.79152-0.301614))+0-360.2-0.183701999999963</f>
        <v>1539.884941</v>
      </c>
      <c r="O49" s="3">
        <f>938.1+(1568-535.4)+(-0.478431+(-0.79968--0.273054))+0-359.3--0.183242999999964</f>
        <v>1610.5781859999997</v>
      </c>
      <c r="P49" s="3">
        <f>939+(1414-343.6)+(-0.47889+(-0.72114--0.175236))+0-358.1--0.182630999999964</f>
        <v>1650.4578370000002</v>
      </c>
      <c r="Q49" s="3">
        <f>939+(1473.2-388.1)+(-0.47889+(-0.751332--0.197931))+0-362.1--0.184670999999963</f>
        <v>1661.15238</v>
      </c>
      <c r="R49" s="3">
        <f>938.8+(1394.7-279.6)+(-2.872728+(-4.267782--0.855576))+0-362.7--1.10986200000004</f>
        <v>1686.0249279999996</v>
      </c>
      <c r="S49" s="3">
        <f>939.3+(1533.6-441.2)+(-1.437129+(-2.346408--0.675036))+0-363.6--0.556308000000021</f>
        <v>1665.5478069999997</v>
      </c>
      <c r="T49" s="3">
        <f>939.9+(1445.9-369.8)+(0.479349+(0.737409-0.188598))+0-365-0.186149999999963</f>
        <v>1651.8420100000001</v>
      </c>
      <c r="U49" s="3">
        <f>975.3+(1372.1-337.5)+(-2.487015+(-3.498855--0.860625))+0-367.1--0.936104999999947</f>
        <v>1638.61086</v>
      </c>
      <c r="V49" s="3">
        <f>938.8+(1411.6-338.4)+(-2.39394+(-3.59958--0.86292))+0-369.9--0.943244999999946</f>
        <v>1637.9126449999999</v>
      </c>
      <c r="W49" s="3">
        <f>937.9+(1419.3-365.2)+(-2.391645+(-3.619215--0.93126))+0-371.9--0.948344999999946</f>
        <v>1615.9687449999999</v>
      </c>
      <c r="X49" s="3">
        <f>937.5+(1181.1-163.5)+(-0.95625+(-1.204722--0.16677))+0-366.5--0.373830000000058</f>
        <v>1586.9796279999998</v>
      </c>
      <c r="Y49" s="3">
        <f>940+(1124.7-117.2)+(-0.4794+(-0.573597--0.059772))+0-381.2--0.194411999999961</f>
        <v>1565.5011870000001</v>
      </c>
      <c r="Z49" s="3">
        <f>1101.3+(1258.9-242.5)+(-1.684989+(-1.926117--0.371025))+0-384.5--0.588285000000022</f>
        <v>1730.5482039999999</v>
      </c>
      <c r="AA49" s="3">
        <f>1140.6+(1485.6-465.9)+(-2.90853+(-3.78828--1.188045))+0-384.4--0.980219999999944</f>
        <v>1771.3714549999995</v>
      </c>
      <c r="AB49" s="3">
        <f>1175+(1594.4-690.1)+(-1.79775+(-2.439432--1.055853))+0-381.6--0.583848000000022</f>
        <v>1695.1025190000003</v>
      </c>
      <c r="AC49" s="3">
        <f>1155.2+(1944.5-1090.3)+(-1.767456+(-2.975085--1.668159))+0-384.6--0.588438000000022</f>
        <v>1622.3140559999999</v>
      </c>
      <c r="AD49" s="2">
        <v>1780.4</v>
      </c>
      <c r="AE49" s="3">
        <f>1136+(1425.3-391.3)+(0+(0-0))+0-385.6-0</f>
        <v>1784.4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1053+(2097.1-1246.4)+(-2.68515+(-5.347605--3.17832))+0-384.7--0.980984999999944</f>
        <v>1515.1265499999997</v>
      </c>
      <c r="G50" s="3">
        <f>1060.3+(2260.2-1496.2)+(-1.622259+(-3.458106--2.289186))+0-379.4--0.580482000000022</f>
        <v>1442.6893029999999</v>
      </c>
      <c r="H50" s="3">
        <f>1060+(2155.2-1434.8)+(-2.703+(-5.49576--3.65874))+0-382.6--0.975629999999945</f>
        <v>1394.2356099999997</v>
      </c>
      <c r="I50" s="3">
        <f>1059.7+(2249-1542.5)+(-2.161788+(-4.58796--3.1467))+0-382.2--0.779687999999983</f>
        <v>1381.1766400000001</v>
      </c>
      <c r="J50" s="3">
        <f>1060.2+(2170.7-1481.9)+(-1.622106+(-3.321171--2.267307))+0-381.8--0.584154000000022</f>
        <v>1365.1081839999999</v>
      </c>
      <c r="K50" s="3">
        <f>1059.9+(2112.6-1423.1)+(-1.081098+(-2.154852--1.451562))+0-380--0.387600000000061</f>
        <v>1368.0032120000001</v>
      </c>
      <c r="L50" s="3">
        <f>1059.6+(1682.6-1006.6)+(-2.161584+(-3.432504--2.053464))+0-380.2--0.775607999999983</f>
        <v>1352.6349839999998</v>
      </c>
      <c r="M50" s="3">
        <f>1059.3+(1527.1-757.7)+(1.080486+(1.557642-0.772854))+0-375.1-0.38260200000006</f>
        <v>1455.0826719999995</v>
      </c>
      <c r="N50" s="3">
        <f>1059+(1648-736)+(-1.08018+(-1.68096--0.75072))+0-375--0.38250000000006</f>
        <v>1594.3720800000001</v>
      </c>
      <c r="O50" s="3">
        <f>1063+(1166.1-189.9)+(0+(0-0))+0-378.5-0</f>
        <v>1660.6999999999998</v>
      </c>
      <c r="P50" s="3">
        <f>1096.5+(1147-142)+(0+(0-0))+0-376.8-0</f>
        <v>1724.7</v>
      </c>
      <c r="Q50" s="3">
        <f>1099.5+(1214.8-197.9)+(0+(0-0))+0-378.3-0</f>
        <v>1738.1000000000001</v>
      </c>
      <c r="R50" s="3">
        <f>1135+(1337-326)+(0+(0-0))+0-377-0</f>
        <v>1769</v>
      </c>
      <c r="S50" s="3">
        <f>1304.9+(1584.8-836)+(-3.327495+(-4.04124--2.1318))+0-376.9--0.961094999999945</f>
        <v>1672.5241599999997</v>
      </c>
      <c r="T50" s="3">
        <f>1315+(1540-888)+(-3.35325+(-3.927--2.2644))+0-375--0.956249999999946</f>
        <v>1587.9404</v>
      </c>
      <c r="U50" s="3">
        <f>1325.7+(1666.7-930.8)+(-2.028321+(-2.550051--1.424124))+0-378.4--0.578952000000022</f>
        <v>1680.6247040000005</v>
      </c>
      <c r="V50" s="3">
        <f>1349.2+(1705.4-967.7)+(-2.752368+(-3.479016--1.974108))+0-383.7--0.782747999999983</f>
        <v>1699.7254720000003</v>
      </c>
      <c r="W50" s="3">
        <f>1348.4+(1236.2-519.8)+(-3.43842+(-3.15231--1.32549))+0-386.4--0.985319999999944</f>
        <v>1674.1200799999999</v>
      </c>
      <c r="X50" s="3">
        <f>1347.9+(1131.1-443.5)+(-3.437145+(-2.884305--1.130925))+0-385--0.981749999999944</f>
        <v>1646.2912249999999</v>
      </c>
      <c r="Y50" s="3">
        <f>1355.3+(1018.7-354.8)+(-1.382406+(-1.039074--0.361896))+0-386.8--0.394536000000062</f>
        <v>1630.734952</v>
      </c>
      <c r="Z50" s="3">
        <f>1364.9+(946.6-148.9)+(-2.088297+(-1.448298--0.227817))+0-385.2--0.589356000000022</f>
        <v>1774.6805780000002</v>
      </c>
      <c r="AA50" s="3">
        <f>1345.1+(1070.7-244.1)+(-4.116006+(-3.276342--0.746946))+0-384.9--1.17779400000004</f>
        <v>1781.3323919999996</v>
      </c>
      <c r="AB50" s="3">
        <f>1232.4+(1178.6-304.3)+(-0.628524+(-0.601086--0.155193))+0-380.4--0.194003999999961</f>
        <v>1725.4195869999999</v>
      </c>
      <c r="AC50" s="3">
        <f>1178.2+(1531.6-683.5)+(-1.802646+(-2.343348--1.045755))+0-384.5--0.588285000000022</f>
        <v>1639.2880459999999</v>
      </c>
      <c r="AD50" s="2">
        <v>1807.2</v>
      </c>
      <c r="AE50" s="3">
        <f>1370+(1085.3-262.3)+(0+(0-0))+0-381.8-0</f>
        <v>1811.2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1181.1+(2138.3-1388.4)+(-3.011805+(-5.452665--3.54042))+0-388.5--0.990674999999944</f>
        <v>1538.5666249999999</v>
      </c>
      <c r="G51" s="3">
        <f>1187.6+(2277-1609.3)+(-3.02838+(-5.80635--4.103715))+0-386.9--0.986594999999944</f>
        <v>1464.6555799999996</v>
      </c>
      <c r="H51" s="3">
        <f>1187.9+(2548.9-1917.3)+(-2.423316+(-5.199756--3.911292))+0-385.8--0.787031999999983</f>
        <v>1430.7752520000001</v>
      </c>
      <c r="I51" s="3">
        <f>1186.9+(2440-1829.3)+(-0.605319+(-1.2444--0.932943))+0-384.9--0.196298999999961</f>
        <v>1411.9795230000002</v>
      </c>
      <c r="J51" s="3">
        <f>1195.3+(2168.5-1568.7)+(1.828809+(3.317805-2.400111))+0-386-0.590580000000022</f>
        <v>1411.2559229999999</v>
      </c>
      <c r="K51" s="3">
        <f>1197.2+(1967.5-1382)+(-1.831716+(-3.010275--2.11446))+0-385--0.589050000000022</f>
        <v>1395.5615190000001</v>
      </c>
      <c r="L51" s="3">
        <f>1196.3+(1532.5-972.1)+(-0.610113+(-0.781575--0.495771))+0-383.8--0.195737999999961</f>
        <v>1372.1998209999997</v>
      </c>
      <c r="M51" s="3">
        <f>1196+(1102.4-449.8)+(-2.43984+(-2.248896--0.917592))+0-383.6--0.782543999999983</f>
        <v>1462.0114000000001</v>
      </c>
      <c r="N51" s="3">
        <f>1212.7+(1136.7-337.3)+(-1.855431+(-1.739151--0.516069))+0-383.2--0.586296000000022</f>
        <v>1626.4077830000001</v>
      </c>
      <c r="O51" s="3">
        <f>1227.5+(1060.2-178)+(-1.25205+(-1.081404--0.18156))+0-403.1--0.411162000000064</f>
        <v>1704.8592679999999</v>
      </c>
      <c r="P51" s="3">
        <f>1247.1+(954.7-91.9)+(-1.272042+(-0.973794--0.093738))+0-374.4--0.38188800000006</f>
        <v>1733.7297900000001</v>
      </c>
      <c r="Q51" s="3">
        <f>1269.6+(889.2-34.9)+(-1.294992+(-0.906984--0.035598))+0-386.3--0.394026000000062</f>
        <v>1735.8276480000004</v>
      </c>
      <c r="R51" s="3">
        <f>1297.5+(1021.3-223)+(-0.661725+(-0.520863--0.11373))+0-404.1--0.206090999999959</f>
        <v>1690.8372330000002</v>
      </c>
      <c r="S51" s="3">
        <f>1298.1+(1070.4-270.6)+(-2.648124+(-2.183616--0.552024))+0-411.1--0.838643999999982</f>
        <v>1683.3589280000001</v>
      </c>
      <c r="T51" s="3">
        <f>1298.1+(1066.4-270.6)+(-2.648124+(-2.175456--0.552024))+0-411.1--0.838643999999982</f>
        <v>1679.367088</v>
      </c>
      <c r="U51" s="3">
        <f>1298.6+(1205.8-358.8)+(0+(0-0))+0-392-0</f>
        <v>1753.6</v>
      </c>
      <c r="V51" s="3">
        <f>1299.6+(1323.1-481.4)+(-2.651184+(-2.699124--0.982056))+0-409.1--0.834563999999982</f>
        <v>1728.6663119999996</v>
      </c>
      <c r="W51" s="3">
        <f>1299.2+(1424.3-594.9)+(-3.975552+(-4.358358--1.820394))+0-406.9--1.24511400000005</f>
        <v>1716.4315979999999</v>
      </c>
      <c r="X51" s="3">
        <f>1299.2+(1418.3-594.9)+(-3.975552+(-4.339998--1.820394))+0-406.9--1.24511400000005</f>
        <v>1710.4499579999999</v>
      </c>
      <c r="Y51" s="3">
        <f>1299.2+(1236-487)+(-4.638144+(-4.41252--1.73859))+0-415.8--1.48440600000001</f>
        <v>1626.572332</v>
      </c>
      <c r="Z51" s="3">
        <f>1384.6+(1229.2-405.6)+(-0.706146+(-0.626892--0.206856))+0-422.1--0.215270999999957</f>
        <v>1785.189089</v>
      </c>
      <c r="AA51" s="3">
        <f>1397.1+(1479.9-622.1)+(-4.275126+(-4.528494--1.903626))+0-426.3--1.30447800000005</f>
        <v>1823.0044840000003</v>
      </c>
      <c r="AB51" s="3">
        <f>1378.9+(1477.1-672.1)+(-2.109717+(-2.259963--1.028313))+0-422.4--0.646272000000024</f>
        <v>1758.804905</v>
      </c>
      <c r="AC51" s="3">
        <f>1254.2+(1798.4-948.4)+(-2.558568+(-3.668736--1.934736))+0-419.3--0.855371999999982</f>
        <v>1681.4628040000005</v>
      </c>
      <c r="AD51" s="2">
        <v>1826.1000000000004</v>
      </c>
      <c r="AE51" s="3">
        <f>1395+(1367.8-495.2)+(0+(0-0))+0-437.5-0</f>
        <v>1830.1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1253.6+(2102.8-1361.9)+(-3.19668+(-5.36214--3.472845))+0-417--1.06334999999994</f>
        <v>1573.4773749999999</v>
      </c>
      <c r="G52" s="3">
        <f>1246.9+(2376.4-1698.9)+(-2.543676+(-4.847856--3.465756))+0-418.4--0.853535999999982</f>
        <v>1502.92776</v>
      </c>
      <c r="H52" s="3">
        <f>1239.8+(2432.2-1799.4)+(-1.896894+(-3.721266--2.753082))+0-400.4--0.612612000000023</f>
        <v>1469.9475339999997</v>
      </c>
      <c r="I52" s="3">
        <f>1176.8+(2427.7-1751.6)+(3.00084+(6.190635-4.46658))+0-415.8-1.06028999999994</f>
        <v>1440.7646050000001</v>
      </c>
      <c r="J52" s="3">
        <f>1162.7+(2297.9-1613.4)+(-1.778931+(-3.515787--2.468502))+0-418.8--0.640764000000024</f>
        <v>1426.2145480000001</v>
      </c>
      <c r="K52" s="3">
        <f>1162.3+(2180.1-1496.7)+(-0.592773+(-1.111851--0.763317))+0-423.5--0.215984999999957</f>
        <v>1421.4746779999998</v>
      </c>
      <c r="L52" s="3">
        <f>1161.5+(1896.8-1252.4)+(-1.18473+(-1.934736--1.277448))+0-416.4--0.424728000000066</f>
        <v>1388.0827099999997</v>
      </c>
      <c r="M52" s="3">
        <f>1161.3+(1347.5-658.5)+(0.592263+(0.687225-0.335835))+0-391.8-0.19981799999996</f>
        <v>1459.243835</v>
      </c>
      <c r="N52" s="3">
        <f>1222.8+(1207.5-428.1)+(0+(0-0))+0-387.5-0</f>
        <v>1614.6999999999998</v>
      </c>
      <c r="O52" s="3">
        <f>1287.6+(1391.8-586.6)+(-1.313352+(-1.419636--0.598332))+0-390.2--0.398004000000062</f>
        <v>1700.8633479999996</v>
      </c>
      <c r="P52" s="3">
        <f>1288.5+(1201.4-411.8)+(0.657135+(0.612714-0.210018))+0-377.7-0.192626999999962</f>
        <v>1701.2672040000004</v>
      </c>
      <c r="Q52" s="3">
        <f>1293.6+(1001.9-148.2)+(-0.659736+(-0.510969--0.075582))+0-379.3--0.193442999999962</f>
        <v>1767.0983200000001</v>
      </c>
      <c r="R52" s="3">
        <f>1294.1+(1052.9-213.9)+(1.319982+(1.073958-0.218178))+0-375.1-0.38260200000006</f>
        <v>1759.7931599999997</v>
      </c>
      <c r="S52" s="3">
        <f>1294.1+(1223-433.5)+(-2.639964+(-2.49492--0.88434))+0-388.2--0.791927999999983</f>
        <v>1691.9413839999997</v>
      </c>
      <c r="T52" s="3">
        <f>1295.2+(1419.2-618.9)+(0.660552+(0.723792-0.315639))+0-405-0.206549999999959</f>
        <v>1691.3621550000003</v>
      </c>
      <c r="U52" s="3">
        <f>1295+(1538.7-773.4)+(-1.3209+(-1.569474--0.788868))+0-378.3--0.38586600000006</f>
        <v>1680.2843600000003</v>
      </c>
      <c r="V52" s="3">
        <f>1295.2+(1654.2-884.2)+(-2.642208+(-3.374568--1.803768))+0-379.9--0.774995999999983</f>
        <v>1681.8619879999994</v>
      </c>
      <c r="W52" s="3">
        <f>1294.7+(1879.7-1097.7)+(0.660297+(0.958647-0.559827))+0-410.7-0.209456999999958</f>
        <v>1666.8496599999996</v>
      </c>
      <c r="X52" s="3">
        <f>1295+(1611.3-885.5)+(-4.62315+(-5.752341--3.161235))+0-402.8--1.43799600000001</f>
        <v>1612.2237400000001</v>
      </c>
      <c r="Y52" s="3">
        <f>1425.2+(1555.1-957.6)+(-2.180556+(-2.379303--1.465128))+0-412.9--0.631737000000024</f>
        <v>1607.337006</v>
      </c>
      <c r="Z52" s="3">
        <f>1607.7+(1582.8-1022.4)+(-1.639854+(-1.614456--1.042848))+0-415.7--0.424014000000066</f>
        <v>1750.6125519999998</v>
      </c>
      <c r="AA52" s="3">
        <f>1641.6+(1633.4-1084.8)+(-5.023296+(-4.998204--3.319488))+0-419.6--1.28397600000005</f>
        <v>1765.1819639999997</v>
      </c>
      <c r="AB52" s="3">
        <f>1643.1+(2165-1651.8)+(0+(0-0))+0-424.2-0</f>
        <v>1732.1000000000001</v>
      </c>
      <c r="AC52" s="3">
        <f>1586.5+(2813.8-2331.3)+(-0.809115+(-1.435038--1.188963))+0-400.5--0.204254999999959</f>
        <v>1667.6490649999998</v>
      </c>
      <c r="AD52" s="2">
        <v>1811.2999999999997</v>
      </c>
      <c r="AE52" s="3">
        <f>1639+(1429.1-874.4)+(0+(0-0))+0-379.4-0</f>
        <v>1814.2999999999997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1393.7+(2882.6-2304.9)+(-3.553935+(-7.35063--5.877495))+0-399.6--1.01897999999994</f>
        <v>1567.7919099999995</v>
      </c>
      <c r="G53" s="3">
        <f>1349.5+(2693.8-2136.8)+(-0.688245+(-1.373838--1.089768))+0-417.3--0.212822999999958</f>
        <v>1488.4405080000001</v>
      </c>
      <c r="H53" s="3">
        <f>1242.9+(2755.8-2137)+(-1.901637+(-4.216374--3.26961))+0-422.3--0.646119000000024</f>
        <v>1437.1977180000004</v>
      </c>
      <c r="I53" s="3">
        <f>1198.3+(2728-2098)+(-2.444532+(-5.56512--4.27992))+0-419.9--0.856595999999982</f>
        <v>1405.5268639999999</v>
      </c>
      <c r="J53" s="3">
        <f>1195.1+(2610.6-1989.8)+(0+(0-0))+0-422.2-0</f>
        <v>1393.6999999999998</v>
      </c>
      <c r="K53" s="3">
        <f>1195.1+(2512-1898.5)+(-2.438004+(-5.12448--3.87294))+0-419.8--0.856391999999982</f>
        <v>1385.9668479999998</v>
      </c>
      <c r="L53" s="3">
        <f>1195.1+(2323.2-1757.8)+(-2.438004+(-4.739328--3.585912))+0-419.9--0.856595999999982</f>
        <v>1337.8651759999998</v>
      </c>
      <c r="M53" s="3">
        <f>1194+(1843.7-1253.6)+(0+(0-0))+0-417.4-0</f>
        <v>1366.7000000000003</v>
      </c>
      <c r="N53" s="3">
        <f>1194.4+(1725.4-1068.4)+(-1.218288+(-1.759908--1.089768))+0-417--0.425340000000067</f>
        <v>1432.9369120000001</v>
      </c>
      <c r="O53" s="3">
        <f>1194.4+(1376.1-646.9)+(0+(0-0))+0-421.1-0</f>
        <v>1502.5</v>
      </c>
      <c r="P53" s="3">
        <f>1170.3+(1226.5-415.6)+(0+(0-0))+0-423.1-0</f>
        <v>1558.1</v>
      </c>
      <c r="Q53" s="3">
        <f>1195.3+(1352.9-530.7)+(-0.609603+(-0.689979--0.270657))+0-421.6--0.215015999999957</f>
        <v>1595.0860909999999</v>
      </c>
      <c r="R53" s="3">
        <f>1194.9+(1392.8-588.1)+(-0.609399+(-0.710328--0.299931))+0-420.2--0.214301999999957</f>
        <v>1578.5945059999997</v>
      </c>
      <c r="S53" s="3">
        <f>1195.8+(1596.6-830.5)+(-1.219716+(-1.628532--0.84711))+0-413.6--0.421872000000066</f>
        <v>1546.7207339999998</v>
      </c>
      <c r="T53" s="3">
        <f>1195.7+(2012.9-1258.9)+(-1.829421+(-3.079737--1.926117))+0-415.7--0.636021000000024</f>
        <v>1531.6529800000001</v>
      </c>
      <c r="U53" s="3">
        <f>1196.1+(2157.8-1412.1)+(-1.220022+(-2.200956--1.440342))+0-416.1--0.424422000000066</f>
        <v>1524.1437860000001</v>
      </c>
      <c r="V53" s="3">
        <f>1195.8+(2006.1-1241)+(0.609858+(1.023111-0.63291))+0-414-0.211139999999958</f>
        <v>1547.6889189999999</v>
      </c>
      <c r="W53" s="3">
        <f>1195.6+(1693.4-946.7)+(-0.609756+(-0.863634--0.482817))+0-396.5--0.20221499999996</f>
        <v>1545.0116419999999</v>
      </c>
      <c r="X53" s="3">
        <f>1208.4+(1550.5-795.6)+(-3.08142+(-3.953775--2.02878))+0-418.3--1.06666499999994</f>
        <v>1541.06025</v>
      </c>
      <c r="Y53" s="3">
        <f>1285.7+(1495.2-803.3)+(-1.967121+(-2.287656--1.229049))+0-416.9--0.637857000000024</f>
        <v>1558.3121290000001</v>
      </c>
      <c r="Z53" s="3">
        <f>1388+(1738.1-1006.4)+(-2.12364+(-2.659293--1.539792))+0-410.8--0.628524000000024</f>
        <v>1706.2853829999999</v>
      </c>
      <c r="AA53" s="3">
        <f>1387.9+(1861-1069.4)+(-2.123487+(-2.84733--1.636182))+0-420.5--0.643365000000024</f>
        <v>1756.30873</v>
      </c>
      <c r="AB53" s="3">
        <f>1389.2+(2058.7-1343.6)+(1.416984+(2.099874-1.370472))+0-397.8-0.405756000000063</f>
        <v>1708.24063</v>
      </c>
      <c r="AC53" s="3">
        <f>1344.7+(2144.4-1447.2)+(-1.371594+(-2.187288--1.476144))+0-410.1--0.418302000000065</f>
        <v>1630.1355640000002</v>
      </c>
      <c r="AD53" s="2">
        <v>1714.1</v>
      </c>
      <c r="AE53" s="3">
        <f>1391+(1817-1064.4)+(0+(0-0))+0-426.5-0</f>
        <v>1717.1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1250.3+(2504.2-1815.6)+(-0.637653+(-1.277142--0.925956))+0-385.8--0.196757999999961</f>
        <v>1552.3079189999999</v>
      </c>
      <c r="G54" s="3">
        <f>1249.7+(2672.8-2072.4)+(-3.186735+(-6.81564--5.28462))+0-387.2--0.987359999999944</f>
        <v>1459.169605</v>
      </c>
      <c r="H54" s="3">
        <f>1249.9+(2470.3-1899.7)+(0+(0-0))+0-393.3-0</f>
        <v>1427.2000000000003</v>
      </c>
      <c r="I54" s="3">
        <f>1248.9+(2383.9-1812.6)+(-1.910817+(-3.647367--2.773278))+0-418.1--0.639693000000024</f>
        <v>1399.9547870000001</v>
      </c>
      <c r="J54" s="3">
        <f>1249.2+(2352.1-1788.5)+(1.911276+(3.598713-2.736405))+0-422.9-0.647037000000024</f>
        <v>1392.0265470000002</v>
      </c>
      <c r="K54" s="3">
        <f>1249+(2157.1-1595.7)+(-1.27398+(-2.200242--1.627614))+0-420.9--0.429318000000067</f>
        <v>1388.0827099999997</v>
      </c>
      <c r="L54" s="3">
        <f>1248.6+(1813.8-1253.9)+(-1.910358+(-2.775114--1.918467))+0-417--0.638010000000024</f>
        <v>1389.371005</v>
      </c>
      <c r="M54" s="3">
        <f>1246.6+(1749.7-1091)+(0.635766+(0.892347-0.55641))+0-414.1-0.211190999999958</f>
        <v>1491.9605120000001</v>
      </c>
      <c r="N54" s="3">
        <f>1254.4+(1786.3-1014.4)+(2.558976+(3.644052-2.069376))+0-386.8-0.789071999999983</f>
        <v>1642.8445800000002</v>
      </c>
      <c r="O54" s="3">
        <f>1292.7+(1378.9-554.6)+(-0.659277+(-0.703239--0.282846))+0-373.6--0.190535999999962</f>
        <v>1742.5108660000001</v>
      </c>
      <c r="P54" s="3">
        <f>1262.7+(1151.2-230.4)+(0+(0-0))+0-389-0</f>
        <v>1794.5</v>
      </c>
      <c r="Q54" s="3">
        <f>1246.3+(1045.5-97.6)+(-1.271226+(-1.06641--0.099552))+0-388--0.395760000000062</f>
        <v>1804.3576759999999</v>
      </c>
      <c r="R54" s="3">
        <f>1288.2+(1076.8-186.7)+(-0.656982+(-0.549168--0.095217))+0-384.1--0.195890999999961</f>
        <v>1793.2849580000004</v>
      </c>
      <c r="S54" s="3">
        <f>1424.8+(1253.6-559.2)+(-1.453296+(-1.278672--0.570384))+0-380.3--0.387906000000061</f>
        <v>1737.1263220000001</v>
      </c>
      <c r="T54" s="3">
        <f>1611+(1424.8-893)+(-0.82161+(-0.726648--0.45543))+0-389.2--0.198491999999961</f>
        <v>1752.7056640000003</v>
      </c>
      <c r="U54" s="3">
        <f>1618+(1419.3-881.8)+(-2.47554+(-2.171529--1.349154))+0-393.4--0.601902000000023</f>
        <v>1759.4039869999999</v>
      </c>
      <c r="V54" s="3">
        <f>1614.3+(1528.8-980.1)+(0+(0-0))+0-392.8-0</f>
        <v>1770.2</v>
      </c>
      <c r="W54" s="3">
        <f>1558.9+(1593.5-979.9)+(-2.385117+(-2.438055--1.499247))+0-402.8--0.616284000000023</f>
        <v>1766.9923589999999</v>
      </c>
      <c r="X54" s="3">
        <f>1384.9+(1691.9-931.1)+(-3.531495+(-4.314345--2.374305))+0-409.7--1.04473499999994</f>
        <v>1731.5732</v>
      </c>
      <c r="Y54" s="3">
        <f>1381.9+(1463.6-732.1)+(-2.114307+(-2.239308--1.120113))+0-402.7--0.616131000000023</f>
        <v>1708.082629</v>
      </c>
      <c r="Z54" s="3">
        <f>1393+(1300.4-438.3)+(-0.71043+(-0.663204--0.223533))+0-417.1--0.212720999999958</f>
        <v>1837.0626200000002</v>
      </c>
      <c r="AA54" s="3">
        <f>1394.8+(1295-380.1)+(-2.845392+(-2.6418--0.775404))+0-421.6--0.860063999999982</f>
        <v>1884.2482759999998</v>
      </c>
      <c r="AB54" s="3">
        <f>1394.7+(1893.8-1053.6)+(-0.711297+(-0.965838--0.537336))+0-410.5--0.209354999999958</f>
        <v>1823.469556</v>
      </c>
      <c r="AC54" s="3">
        <f>1393+(2394.8-1635.2)+(0.71043+(1.221348-0.833952))+0-414.3-0.211292999999958</f>
        <v>1739.1865330000005</v>
      </c>
      <c r="AD54" s="2">
        <v>1872.1000000000001</v>
      </c>
      <c r="AE54" s="3">
        <f>1387+(1265.6-344.2)+(0+(0-0))+0-433.3-0</f>
        <v>1875.0999999999997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1306.4+(2473.2-1714)+(-1.332528+(-2.522664--1.74828))+0-417.5--0.425850000000067</f>
        <v>1646.4189379999998</v>
      </c>
      <c r="G55" s="3">
        <f>1243.2+(2497.7-1769)+(-3.17016+(-6.369135--4.51095))+0-414.7--1.05748499999994</f>
        <v>1553.2291399999999</v>
      </c>
      <c r="H55" s="3">
        <f>1243.3+(2258.3-1580.3)+(-1.902249+(-3.455199--2.417859))+0-412.9--0.631737000000024</f>
        <v>1506.092148</v>
      </c>
      <c r="I55" s="3">
        <f>1242.2+(2281.2-1620.7)+(-1.267044+(-2.326824--1.653114))+0-412.5--0.420750000000066</f>
        <v>1488.6799959999998</v>
      </c>
      <c r="J55" s="3">
        <f>1242.9+(2266.9-1621.7)+(-1.267758+(-2.312238--1.654134))+0-418.6--0.426972000000067</f>
        <v>1468.0011099999999</v>
      </c>
      <c r="K55" s="3">
        <f>1241.8+(2119.2-1471.9)+(-3.16659+(-5.40396--3.753345))+0-414.9--1.05799499999994</f>
        <v>1470.4407899999994</v>
      </c>
      <c r="L55" s="3">
        <f>1242.5+(1845-1218.6)+(-2.5347+(-3.7638--2.485944))+0-418.9--0.854555999999982</f>
        <v>1447.0420000000001</v>
      </c>
      <c r="M55" s="3">
        <f>1242+(1651.8-947.2)+(1.90026+(2.527254-1.449216))+0-413-0.631890000000024</f>
        <v>1535.9464079999998</v>
      </c>
      <c r="N55" s="3">
        <f>1242.7+(1455.2-620.7)+(1.267554+(1.484304-0.633114))+0-415.1-0.423402000000066</f>
        <v>1663.7953419999997</v>
      </c>
      <c r="O55" s="3">
        <f>1242.4+(1389.7-466.6)+(0+(0-0))+0-414.5-0</f>
        <v>1751</v>
      </c>
      <c r="P55" s="3">
        <f>1242.8+(1145.8-205.1)+(0+(0-0))+0-391.6-0</f>
        <v>1791.9</v>
      </c>
      <c r="Q55" s="3">
        <f>1241.7+(1020.2-49.4)+(0+(0-0))+0-394.7-0</f>
        <v>1817.8</v>
      </c>
      <c r="R55" s="3">
        <f>1276.7+(1025.3-103.4)+(-0.651117+(-0.522903--0.052734))+0-398.3--0.20313299999996</f>
        <v>1799.3818469999999</v>
      </c>
      <c r="S55" s="3">
        <f>1273.3+(1097.2-258.5)+(-1.298766+(-1.119144--0.26367))+0-404--0.412080000000064</f>
        <v>1706.2578400000002</v>
      </c>
      <c r="T55" s="3">
        <f>1279.3+(1180-342.3)+(0+(0-0))+0-408.8-0</f>
        <v>1708.2</v>
      </c>
      <c r="U55" s="3">
        <f>1320.3+(1141.9-311.4)+(-2.693412+(-2.329476--0.635256))+0-405.6--0.827423999999982</f>
        <v>1741.6397920000004</v>
      </c>
      <c r="V55" s="3">
        <f>1376.4+(1296.8-501.5)+(-3.50982+(-3.30684--1.278825))+0-407.8--1.03988999999994</f>
        <v>1759.4020549999998</v>
      </c>
      <c r="W55" s="3">
        <f>1420.1+(1336.2-594.9)+(-5.069757+(-4.770234--2.123793))+0-419--1.49583000000001</f>
        <v>1736.1796320000001</v>
      </c>
      <c r="X55" s="3">
        <f>1426.7+(1174.6-482.3)+(-5.093319+(-4.193322--1.721811))+21.9-415.2--1.48226400000001</f>
        <v>1719.6174340000002</v>
      </c>
      <c r="Y55" s="3">
        <f>1428.5+(1402.6-746)+(-0.728535+(-0.715326--0.38046))+36.5-419--0.213689999999957</f>
        <v>1701.7502890000001</v>
      </c>
      <c r="Z55" s="3">
        <f>1441.9+(1193.8-387.1)+(0.735369+(0.608838-0.197421))+0-419.5-0.213944999999957</f>
        <v>1830.0328409999997</v>
      </c>
      <c r="AA55" s="3">
        <f>1469.7+(1151.1-328.3)+(-4.497282+(-3.522366--1.004598))+0-408.8--1.25092800000005</f>
        <v>1877.9358780000002</v>
      </c>
      <c r="AB55" s="3">
        <f>1481.7+(1417-698.7)+(-3.778335+(-3.61335--1.781685))+0-384.2--0.979709999999944</f>
        <v>1811.1697099999997</v>
      </c>
      <c r="AC55" s="3">
        <f>1479.3+(1751.7-1124.3)+(-3.772215+(-4.466835--2.866965))+0-384.8--0.981239999999944</f>
        <v>1717.5091549999997</v>
      </c>
      <c r="AD55" s="2">
        <v>1883.1</v>
      </c>
      <c r="AE55" s="3">
        <f>1447+(1105.9-248.8)+(0+(0-0))+0-417-0</f>
        <v>1887.1000000000004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1366.5+(1907.9-1259.8)+(-1.39383+(-1.946058--1.284996))+0-386.4--0.394128000000062</f>
        <v>1626.5392360000003</v>
      </c>
      <c r="G56" s="3">
        <f>1338.8+(2088.6-1486.3)+(-0.682788+(-1.065186--0.758013))+0-385.7--0.196706999999961</f>
        <v>1554.6067459999999</v>
      </c>
      <c r="H56" s="3">
        <f>1338.1+(2153.5-1598)+(-2.729724+(-4.39314--3.25992))+0-387.9--0.791315999999983</f>
        <v>1502.6283719999999</v>
      </c>
      <c r="I56" s="3">
        <f>1338.2+(2170.5-1640.4)+(-2.047446+(-3.320865--2.509812))+0-388.4--0.594252000000022</f>
        <v>1477.6357530000002</v>
      </c>
      <c r="J56" s="3">
        <f>1338.2+(2251.5-1735.6)+(0+(0-0))+0-385.8-0</f>
        <v>1468.3000000000002</v>
      </c>
      <c r="K56" s="3">
        <f>1336.5+(2105.4-1597.6)+(-2.72646+(-4.295016--3.259104))+0-385.7--0.786827999999983</f>
        <v>1455.6244560000002</v>
      </c>
      <c r="L56" s="3">
        <f>1323+(1759.8-1253.5)+(-0.67473+(-0.897498--0.639285))+0-384.4--0.196043999999961</f>
        <v>1444.1631009999999</v>
      </c>
      <c r="M56" s="3">
        <f>1316.6+(1583.4-979.9)+(-0.671466+(-0.807534--0.499749))+0-377.7--0.192626999999962</f>
        <v>1541.6133759999998</v>
      </c>
      <c r="N56" s="3">
        <f>1315.4+(1455.7-704.1)+(0.670854+(0.742407-0.359091))+0-375.2-0.191351999999962</f>
        <v>1692.6628179999998</v>
      </c>
      <c r="O56" s="3">
        <f>1317+(1208.5-370.4)+(0.67167+(0.616335-0.188904))+0-376.9-0.192218999999962</f>
        <v>1779.1068819999996</v>
      </c>
      <c r="P56" s="3">
        <f>1271.7+(1077.9-151.9)+(-1.297134+(-1.099458--0.154938))+0-371.6--0.379032000000059</f>
        <v>1824.2373780000005</v>
      </c>
      <c r="Q56" s="3">
        <f>1246.6+(1093-105.9)+(0+(0-0))+0-375.2-0</f>
        <v>1858.4999999999998</v>
      </c>
      <c r="R56" s="3">
        <f>1275.9+(1086-155.1)+(0+(0-0))+0-374.3-0</f>
        <v>1832.5000000000002</v>
      </c>
      <c r="S56" s="3">
        <f>1353.7+(1176.3-384.7)+(-2.071161+(-1.799739--0.588591))+0-376.6--0.576198000000022</f>
        <v>1765.9938890000001</v>
      </c>
      <c r="T56" s="3">
        <f>1459.2+(1199.6-504.7)+(-3.72096+(-3.05898--1.286985))+0-371.6--0.947579999999946</f>
        <v>1777.9546249999999</v>
      </c>
      <c r="U56" s="3">
        <f>1497.5+(1292.6-586.1)+(-3.818625+(-3.29613--1.494555))+0-376.8--0.960839999999945</f>
        <v>1822.5406400000002</v>
      </c>
      <c r="V56" s="3">
        <f>1495.4+(1341.2-667.5)+(-3.050616+(-2.736048--1.3617))+0-382.6--0.780503999999983</f>
        <v>1782.8555400000007</v>
      </c>
      <c r="W56" s="3">
        <f>1465.1+(1253.1-531.3)+(-1.494402+(-1.278162--0.541926))+0-375.5--0.38301000000006</f>
        <v>1809.5523719999997</v>
      </c>
      <c r="X56" s="3">
        <f>1435.6+(1295.5-613.4)+(-3.66078+(-3.303525--1.56417))+0-380.2--0.969509999999945</f>
        <v>1733.0693749999998</v>
      </c>
      <c r="Y56" s="3">
        <f>1445.6+(985.4-329.1)+(0.737256+(0.502554-0.167841))+0-376-0.191759999999962</f>
        <v>1726.7802089999998</v>
      </c>
      <c r="Z56" s="3">
        <f>1396.3+(1017.1-167.6)+(0+(0-0))+0-386.6-0</f>
        <v>1859.2000000000003</v>
      </c>
      <c r="AA56" s="3">
        <f>1532.3+(1201.4-457.5)+(-4.688838+(-3.676284--1.39995))+0-378.5--1.15821000000004</f>
        <v>1891.8930379999997</v>
      </c>
      <c r="AB56" s="3">
        <f>1480.7+(1643.4-913.6)+(-2.265471+(-2.514402--1.397808))+0-382--0.584460000000022</f>
        <v>1825.7023950000003</v>
      </c>
      <c r="AC56" s="3">
        <f>1308.8+(2014.1-1156.6)+(-2.002464+(-3.081573--1.769598))+0-421.7--0.645201000000024</f>
        <v>1741.930762</v>
      </c>
      <c r="AD56" s="2">
        <v>1916.3999999999999</v>
      </c>
      <c r="AE56" s="3">
        <f>1539+(1200.2-435.6)+(0+(0-0))+0-383.2-0</f>
        <v>1920.3999999999999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1083.7+(2531.2-1561.9)+(-1.105374+(-2.581824--1.593138))+0-417.5--0.425850000000067</f>
        <v>1633.8317900000002</v>
      </c>
      <c r="G57" s="3">
        <f>980.1+(2425.5-1454.3)+(-1.499553+(-3.711015--2.225079))+0-418.5--0.640305000000024</f>
        <v>1530.4548160000004</v>
      </c>
      <c r="H57" s="3">
        <f>917.6+(2177.6-1196.3)+(-0.467976+(-1.110576--0.610113))+0-419.3--0.213842999999957</f>
        <v>1478.8454040000001</v>
      </c>
      <c r="I57" s="3">
        <f>873.9+(2445.8-1441.3)+(0.445689+(1.247358-0.735063))+0-414.6-0.211445999999958</f>
        <v>1464.5465379999998</v>
      </c>
      <c r="J57" s="3">
        <f>846.6+(2363.5-1364.8)+(0+(0-0))+0-409.8-0</f>
        <v>1435.5000000000002</v>
      </c>
      <c r="K57" s="3">
        <f>847.1+(2271.8-1273.4)+(-1.296063+(-3.475854--1.948302))+0-410.9--0.628677000000024</f>
        <v>1432.405062</v>
      </c>
      <c r="L57" s="3">
        <f>845.8+(1984.5-1000.3)+(0+(0-0))+0-412.8-0</f>
        <v>1417.2</v>
      </c>
      <c r="M57" s="3">
        <f>845.8+(1715.8-636.5)+(0+(0-0))+0-414.5-0</f>
        <v>1510.6</v>
      </c>
      <c r="N57" s="3">
        <f>849.3+(1831-604.8)+(-0.866286+(-1.86762--0.616896))+0-414.4--0.422688000000066</f>
        <v>1659.4056780000001</v>
      </c>
      <c r="O57" s="3">
        <f>856+(1744.1-456.5)+(-0.43656+(-0.889491--0.232815))+0-398.4--0.20318399999996</f>
        <v>1744.3099479999996</v>
      </c>
      <c r="P57" s="3">
        <f>868.1+(1603.9-315.4)+(2.213655+(4.089945-0.80427))+0-400.9-1.02229499999994</f>
        <v>1760.1770349999999</v>
      </c>
      <c r="Q57" s="3">
        <f>1022.7+(1351.7-198.3)+(0.521577+(0.689367-0.101133))+0-403.6-0.205835999999959</f>
        <v>1773.4039750000004</v>
      </c>
      <c r="R57" s="3">
        <f>1058.7+(1424.3-283)+(1.079874+(1.452786-0.28866))+0-403.6-0.411672000000064</f>
        <v>1798.2323280000003</v>
      </c>
      <c r="S57" s="3">
        <f>1056+(1692.1-617.3)+(0+(0-0))+0-398.3-0</f>
        <v>1732.5000000000002</v>
      </c>
      <c r="T57" s="3">
        <f>1056.2+(1863.5-785.1)+(1.077324+(1.90077-0.800802))+0-404.3-0.412386000000064</f>
        <v>1732.0649060000003</v>
      </c>
      <c r="U57" s="3">
        <f>1157.5+(1825.2-746.3)+(0+(0-0))+0-405.6-0</f>
        <v>1830.8000000000002</v>
      </c>
      <c r="V57" s="3">
        <f>1042+(1750-667.1)+(-2.6571+(-4.4625--1.701105))+0-405.8--1.03478999999994</f>
        <v>1714.7162950000002</v>
      </c>
      <c r="W57" s="3">
        <f>1035.2+(1833-747.4)+(-1.583856+(-2.80449--1.143522))+0-408.2--0.624546000000024</f>
        <v>1709.9797220000003</v>
      </c>
      <c r="X57" s="3">
        <f>1052.5+(1574.6-537.9)+(-3.757425+(-5.621322--1.920303))+0-413.5--1.47619500000001</f>
        <v>1669.7177509999999</v>
      </c>
      <c r="Y57" s="3">
        <f>1063.1+(1597.8-586.7)+(-0.542181+(-0.814878--0.299217))+0-416.3--0.212312999999958</f>
        <v>1657.0544709999997</v>
      </c>
      <c r="Z57" s="3">
        <f>1130.9+(1556.4-467.1)+(-1.153518+(-1.587528--0.476442))+0-419.2--0.427584000000067</f>
        <v>1799.1629800000003</v>
      </c>
      <c r="AA57" s="3">
        <f>1130.5+(1624-493.9)+(-2.30622+(-3.31296--1.007556))+0-417.3--0.851291999999982</f>
        <v>1839.5396679999999</v>
      </c>
      <c r="AB57" s="3">
        <f>1132.5+(1994.9-913)+(-3.46545+(-6.104394--2.79378))+0-416.7--1.27510200000005</f>
        <v>1792.199038</v>
      </c>
      <c r="AC57" s="3">
        <f>1130.5+(2434.4-1430.6)+(-2.30622+(-4.966176--2.918424))+0-423--0.862919999999981</f>
        <v>1707.8089480000003</v>
      </c>
      <c r="AD57" s="2">
        <v>1851.9</v>
      </c>
      <c r="AE57" s="3">
        <f>1127+(1635.2-471.2)+(0+(0-0))+0-435.1-0</f>
        <v>1855.9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1093+(2277.1-1391.3)+(-0.55743+(-1.161321--0.709563))+0-418.8--0.213587999999958</f>
        <v>1559.2043999999999</v>
      </c>
      <c r="G58" s="3">
        <f>977+(2249.6-1309.9)+(-2.49135+(-5.73648--3.340245))+0-421.3--1.07431499999994</f>
        <v>1491.5867299999998</v>
      </c>
      <c r="H58" s="3">
        <f>866.2+(2391.6-1387.3)+(-1.767048+(-4.878864--2.830092))+0-418.6--0.853943999999982</f>
        <v>1448.9381239999998</v>
      </c>
      <c r="I58" s="3">
        <f>867.6+(2502.1-1519.4)+(-1.327428+(-3.828213--2.324682))+0-423.9--0.648567000000024</f>
        <v>1424.2176079999997</v>
      </c>
      <c r="J58" s="3">
        <f>867.3+(2440-1460.8)+(-2.211615+(-6.222--3.72504))+0-419.9--1.07074499999994</f>
        <v>1422.9621699999998</v>
      </c>
      <c r="K58" s="3">
        <f>866.8+(2202.6-1235.5)+(-2.21034+(-5.61663--3.150525))+0-415.4--1.05926999999994</f>
        <v>1414.8828249999999</v>
      </c>
      <c r="L58" s="3">
        <f>861.7+(1813-858.7)+(0.439467+(0.92463-0.437937))+0-409.5-0.208844999999958</f>
        <v>1407.2173150000001</v>
      </c>
      <c r="M58" s="3">
        <f>876.3+(1602.8-552)+(1.340739+(2.452284-0.84456))+0-414-0.633420000000024</f>
        <v>1515.4150429999997</v>
      </c>
      <c r="N58" s="3">
        <f>916.4+(1780.9-576.2)+(0.934728+(1.816518-0.587724))+0-410.7-0.418914000000065</f>
        <v>1712.1446079999996</v>
      </c>
      <c r="O58" s="3">
        <f>917.7+(1743.6-488)+(-1.404081+(-2.667708--0.74664))+0-421.6--0.645048000000024</f>
        <v>1749.0198990000006</v>
      </c>
      <c r="P58" s="3">
        <f>963+(1513.7-265)+(-1.47339+(-2.315961--0.40545))+0-421.7--0.645201000000024</f>
        <v>1787.2612999999997</v>
      </c>
      <c r="Q58" s="3">
        <f>1030+(1373.3-163.4)+(-1.5759+(-2.101149--0.250002))+0-417.1--0.638163000000024</f>
        <v>1820.0111159999997</v>
      </c>
      <c r="R58" s="3">
        <f>1070.3+(1345.6-185.5)+(0+(0-0))+0-414.6-0</f>
        <v>1815.7999999999997</v>
      </c>
      <c r="S58" s="3">
        <f>1071.5+(1558.8-470)+(1.09293+(1.589976-0.4794))+0-423.7-0.432174000000068</f>
        <v>1738.3713319999999</v>
      </c>
      <c r="T58" s="3">
        <f>1111.3+(1478.8-463.3)+(-1.700289+(-2.262564--0.708849))+0-417.3--0.638469000000024</f>
        <v>1706.8844650000003</v>
      </c>
      <c r="U58" s="3">
        <f>1183.5+(1437.1-455.9)+(1.20717+(1.465842-0.465018))+0-409.9-0.418098000000065</f>
        <v>1756.5898959999995</v>
      </c>
      <c r="V58" s="3">
        <f>1180.7+(1755.6-750.8)+(-0.602157+(-0.895356--0.382908))+0-420.8--0.214607999999957</f>
        <v>1763.8000029999998</v>
      </c>
      <c r="W58" s="3">
        <f>1157.2+(1791.9-802.3)+(-2.95086+(-4.569345--2.045865))+0-432.3--1.10236499999994</f>
        <v>1710.128025</v>
      </c>
      <c r="X58" s="3">
        <f>1121.5+(1741-744.8)+(-2.859825+(-4.43955--1.89924))+0-420.7--1.07278499999994</f>
        <v>1692.6726499999997</v>
      </c>
      <c r="Y58" s="3">
        <f>1121.9+(1638.7-648.3)+(-1.144338+(-1.671474--0.661266))+0-420.9--0.429318000000067</f>
        <v>1689.6747719999998</v>
      </c>
      <c r="Z58" s="3">
        <f>1125.9+(1547.5-431.9)+(0+(0-0))+0-424.4-0</f>
        <v>1817.1</v>
      </c>
      <c r="AA58" s="3">
        <f>1235.1+(1588.6-534.3)+(-3.149505+(-4.05093--1.362465))+0-419--1.06844999999994</f>
        <v>1865.6304799999996</v>
      </c>
      <c r="AB58" s="3">
        <f>1253.2+(1576.9-595)+(-3.19566+(-4.021095--1.51725))+0-421.1--1.07380499999994</f>
        <v>1809.3743000000004</v>
      </c>
      <c r="AC58" s="3">
        <f>1164.8+(1787.2-796.3)+(-0.594048+(-0.911472--0.406113))+0-421--0.214709999999957</f>
        <v>1733.8153029999996</v>
      </c>
      <c r="AD58" s="2">
        <v>1993.5999999999997</v>
      </c>
      <c r="AE58" s="3">
        <f>1259+(1621.1-481.8)+(0+(0-0))+0-400.7-0</f>
        <v>1997.6000000000001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1109.7+(2280.1-1320.1)+(-3.961629+(-8.139957--4.712757))+0-417.7--1.49118900000001</f>
        <v>1646.1023599999999</v>
      </c>
      <c r="G59" s="3">
        <f>987.7+(2149.1-1152.3)+(-0.503727+(-1.096041--0.587673))+0-420.2--0.214301999999957</f>
        <v>1563.5022069999998</v>
      </c>
      <c r="H59" s="3">
        <f>948.4+(2022.2-1040.6)+(0+(0-0))+0-420.2-0</f>
        <v>1509.8</v>
      </c>
      <c r="I59" s="3">
        <f>948.4+(2079.1-1137)+(-1.451052+(-3.181023--1.73961))+0-413.7--0.632961000000024</f>
        <v>1474.5404960000001</v>
      </c>
      <c r="J59" s="3">
        <f>948.1+(2070.3-1129.2)+(-2.417655+(-5.279265--2.87946))+0-418.9--1.06819499999994</f>
        <v>1466.5507350000003</v>
      </c>
      <c r="K59" s="3">
        <f>947.9+(2046.8-1107.3)+(-1.933716+(-4.175472--2.258892))+0-420.2--0.857207999999982</f>
        <v>1464.2069119999999</v>
      </c>
      <c r="L59" s="3">
        <f>947.9+(2006.3-1129.8)+(-1.450287+(-3.069639--1.728594))+0-403.7--0.617661000000023</f>
        <v>1418.526329</v>
      </c>
      <c r="M59" s="3">
        <f>948.3+(1706.7-735.2)+(0+(0-0))+0-416.2-0</f>
        <v>1503.6</v>
      </c>
      <c r="N59" s="3">
        <f>947.5+(1749.4-641.5)+(0.483225+(0.892194-0.327165))+0-415.2-0.211751999999958</f>
        <v>1641.0365019999999</v>
      </c>
      <c r="O59" s="3">
        <f>947.7+(1687.1-465)+(-0.483327+(-0.860421--0.23715))+0-422.5--0.215474999999957</f>
        <v>1746.4088770000003</v>
      </c>
      <c r="P59" s="3">
        <f>1026.3+(1487.5-300)+(0+(0-0))+0-416.7-0</f>
        <v>1797.1000000000001</v>
      </c>
      <c r="Q59" s="3">
        <f>1147.9+(1371-277.2)+(-0.585429+(-0.69921--0.141372))+0-420.4--0.214403999999957</f>
        <v>1820.3711369999999</v>
      </c>
      <c r="R59" s="3">
        <f>1204.2+(1384.8-340.3)+(1.228284+(1.412496-0.347106))+0-421-0.429420000000067</f>
        <v>1829.5642539999997</v>
      </c>
      <c r="S59" s="3">
        <f>1243.7+(1593-661.6)+(-1.902861+(-2.43729--1.012248))+0-418.7--0.640611000000024</f>
        <v>1753.712708</v>
      </c>
      <c r="T59" s="3">
        <f>1244.4+(1794.4-892.1)+(0.634644+(0.915144-0.454971))+0-420.1-0.214250999999957</f>
        <v>1727.4805660000006</v>
      </c>
      <c r="U59" s="3">
        <f>1243.5+(1793.3-897.9)+(-3.80511+(-5.487498--2.747574))+0-400.6--1.22583600000005</f>
        <v>1732.980802</v>
      </c>
      <c r="V59" s="3">
        <f>1243.2+(1884.3-988)+(-2.536128+(-3.843972--2.01552))+0-403.2--0.822527999999982</f>
        <v>1732.7579479999999</v>
      </c>
      <c r="W59" s="3">
        <f>1242.5+(1955.4-1055.1)+(-3.168375+(-4.98627--2.690505))+0-412--1.05059999999994</f>
        <v>1726.3864600000002</v>
      </c>
      <c r="X59" s="3">
        <f>1246.9+(1641.5-786)+(-3.815514+(-5.02299--2.40516))+0-411.5--1.25919000000005</f>
        <v>1685.725846</v>
      </c>
      <c r="Y59" s="3">
        <f>1142.7+(1554.8-640.7)+(1.165554+(1.585896-0.653514))+0-410.7-0.418914000000065</f>
        <v>1647.7790220000002</v>
      </c>
      <c r="Z59" s="3">
        <f>1125.4+(1464.2-349.5)+(-0.573954+(-0.746742--0.178245))+0-420.5--0.214454999999957</f>
        <v>1818.6720040000002</v>
      </c>
      <c r="AA59" s="3">
        <f>1126.3+(1514.4-386)+(-2.872065+(-3.86172--0.9843))+0-420.3--1.07176499999994</f>
        <v>1829.72228</v>
      </c>
      <c r="AB59" s="3">
        <f>1126.3+(1599.5-530.2)+(-1.723239+(-2.447235--0.811206))+0-416.4--0.637092000000024</f>
        <v>1776.4778239999996</v>
      </c>
      <c r="AC59" s="3">
        <f>1125.9+(1734.2-732)+(-1.148418+(-1.768884--0.74664))+0-417.9--0.426258000000067</f>
        <v>1708.4555960000002</v>
      </c>
      <c r="AD59" s="2">
        <v>1856.4</v>
      </c>
      <c r="AE59" s="3">
        <f>1124+(1394.7-220.7)+(0+(0-0))+0-437.6-0</f>
        <v>1860.4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977.1+(2034.4-994)+(-0.996642+(-2.075088--1.01388))+0-401.5--0.409530000000064</f>
        <v>1614.3516800000002</v>
      </c>
      <c r="G60" s="3">
        <f>940.2+(1788.4-819)+(0.959004+(1.824168-0.83538))+0-400.5-0.408510000000064</f>
        <v>1510.6392820000001</v>
      </c>
      <c r="H60" s="3">
        <f>940.5+(1937.4-986.1)+(-0.479655+(-0.988074--0.502911))+0-417--0.212669999999958</f>
        <v>1474.0478520000001</v>
      </c>
      <c r="I60" s="3">
        <f>940.1+(2230.1-1302.3)+(0+(0-0))+0-416.4-0</f>
        <v>1451.5</v>
      </c>
      <c r="J60" s="3">
        <f>940.5+(2420.6-1511.5)+(0+(0-0))+0-416.1-0</f>
        <v>1433.5</v>
      </c>
      <c r="K60" s="3">
        <f>940.3+(2223.8-1328.8)+(-1.438659+(-3.402414--2.033064))+0-413.4--0.632502000000024</f>
        <v>1419.7244930000002</v>
      </c>
      <c r="L60" s="3">
        <f>939.8+(2140.3-1297.4)+(-1.437894+(-3.274659--1.985022))+0-413.2--0.632196000000024</f>
        <v>1367.404665</v>
      </c>
      <c r="M60" s="3">
        <f>940+(1920.3-1065.3)+(-1.4382+(-2.938059--1.629909))+0-412.2--0.630666000000024</f>
        <v>1380.6843160000001</v>
      </c>
      <c r="N60" s="3">
        <f>942.1+(1927.5-990.8)+(0+(0-0))+0-406.4-0</f>
        <v>1472.4</v>
      </c>
      <c r="O60" s="3">
        <f>942.2+(1878.6-837.2)+(-0.480522+(-0.958086--0.426972))+0-421.9--0.215168999999957</f>
        <v>1560.9035330000002</v>
      </c>
      <c r="P60" s="3">
        <f>973.2+(1724.6-660.3)+(0.992664+(1.759092-0.673506))+0-420.2-0.428604000000067</f>
        <v>1618.9496459999998</v>
      </c>
      <c r="Q60" s="3">
        <f>997.1+(1778.2-732.4)+(1.525563+(2.720646-1.120572))+0-408.9-0.625617000000024</f>
        <v>1636.5000200000002</v>
      </c>
      <c r="R60" s="3">
        <f>1084.7+(1937.8-985.2)+(0+(0-0))+0-410.9-0</f>
        <v>1626.4</v>
      </c>
      <c r="S60" s="3">
        <f>1261.7+(2073.6-1295.4)+(-0.643467+(-1.057536--0.660654))+0-412.2--0.210221999999958</f>
        <v>1626.8698729999996</v>
      </c>
      <c r="T60" s="3">
        <f>1329+(2038.8-1340.3)+(-1.35558+(-2.079576--1.367106))+0-421.4--0.429828000000067</f>
        <v>1604.4617780000001</v>
      </c>
      <c r="U60" s="3">
        <f>1329.5+(2195.1-1500)+(-1.35609+(-2.239002--1.53))+0-419.8--0.428196000000067</f>
        <v>1603.163104</v>
      </c>
      <c r="V60" s="3">
        <f>1333+(2180.5-1485.8)+(-2.71932+(-4.44822--3.031032))+0-419.9--0.856595999999982</f>
        <v>1604.5200880000002</v>
      </c>
      <c r="W60" s="3">
        <f>1157.3+(2134.2-1269.2)+(-2.360892+(-4.353768--2.589168))+0-422--0.860879999999982</f>
        <v>1597.0353879999998</v>
      </c>
      <c r="X60" s="3">
        <f>1196.6+(1789.3-1000.4)+(-1.830798+(-2.737629--1.530612))+0-419.2--0.641376000000024</f>
        <v>1563.9035610000001</v>
      </c>
      <c r="Y60" s="3">
        <f>1225.1+(1520.2-775)+(-0.624801+(-0.775302--0.39525))+0-420.4--0.214403999999957</f>
        <v>1549.1095510000002</v>
      </c>
      <c r="Z60" s="3">
        <f>1228.8+(1471.9-597.8)+(0+(0-0))+0-404.2-0</f>
        <v>1698.7</v>
      </c>
      <c r="AA60" s="3">
        <f>1262.5+(1294.8-389.7)+(-1.931625+(-1.981044--0.596241))+0-385.3--0.589509000000022</f>
        <v>1779.573081</v>
      </c>
      <c r="AB60" s="3">
        <f>1295.8+(1477.7-639.3)+(-2.643432+(-3.014508--1.304172))+0-385.2--0.785807999999983</f>
        <v>1745.4320399999999</v>
      </c>
      <c r="AC60" s="3">
        <f>1341.3+(1836.2-1106.5)+(-2.736252+(-3.745848--2.25726))+0-387.5--0.790499999999983</f>
        <v>1680.0656600000002</v>
      </c>
      <c r="AD60" s="2">
        <v>1792.4999999999998</v>
      </c>
      <c r="AE60" s="3">
        <f>1261+(1264-345.3)+(0+(0-0))+0-383.2-0</f>
        <v>1796.4999999999998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1234.6+(2422.6-1660.5)+(-0.629646+(-1.235526--0.846855))+0-402--0.205019999999959</f>
        <v>1593.8867029999997</v>
      </c>
      <c r="G61" s="3">
        <f>1225.5+(2671.4-1971.9)+(-3.125025+(-6.81207--5.028345))+0-418.6--1.06742999999994</f>
        <v>1502.5586799999999</v>
      </c>
      <c r="H61" s="3">
        <f>1225.2+(2796.8-2129.4)+(-2.499408+(-5.705472--4.343976))+0-423.9--0.864755999999981</f>
        <v>1465.7038520000001</v>
      </c>
      <c r="I61" s="3">
        <f>1225.2+(2954.9-2309)+(-2.499408+(-6.027996--4.71036))+0-420.6--0.858023999999982</f>
        <v>1447.54098</v>
      </c>
      <c r="J61" s="3">
        <f>1225.1+(2595.7-1970.7)+(0.624801+(1.323807-1.005057))+0-419.4-0.213893999999957</f>
        <v>1431.4296569999997</v>
      </c>
      <c r="K61" s="3">
        <f>1225+(2414.1-1781.9)+(-2.499+(-4.924764--3.635076))+0-422.1--0.861083999999982</f>
        <v>1432.1723959999997</v>
      </c>
      <c r="L61" s="3">
        <f>1224.2+(2237.6-1618.4)+(-0.624342+(-1.141176--0.825384))+0-404.1--0.206090999999959</f>
        <v>1438.5659569999998</v>
      </c>
      <c r="M61" s="3">
        <f>1224.7+(1843.6-1108.1)+(1.249194+(1.880472-1.130262))+0-420.6-0.429012000000067</f>
        <v>1541.170392</v>
      </c>
      <c r="N61" s="3">
        <f>1226.8+(2124.2-1223.8)+(0+(0-0))+0-419.6-0</f>
        <v>1707.6</v>
      </c>
      <c r="O61" s="3">
        <f>1292.8+(1873.1-940.6)+(1.318656+(1.910562-0.959412))+0-419.5-0.427890000000067</f>
        <v>1807.6419159999994</v>
      </c>
      <c r="P61" s="3">
        <f>1320.8+(1433.2-490.6)+(0+(0-0))+0-419.4-0</f>
        <v>1844</v>
      </c>
      <c r="Q61" s="3">
        <f>1382+(1256.5-366.5)+(0+(0-0))+0-398.2-0</f>
        <v>1873.8</v>
      </c>
      <c r="R61" s="3">
        <f>1486+(1229.1-433)+(-0.75786+(-0.626841--0.22083))+0-401.1--0.204560999999959</f>
        <v>1880.0406899999998</v>
      </c>
      <c r="S61" s="3">
        <f>1691.4+(1606.6-1032.4)+(-3.450456+(-3.277464--2.106096))+0-413.9--0.844355999999982</f>
        <v>1847.922532</v>
      </c>
      <c r="T61" s="3">
        <f>1721.8+(1693.3-1172.6)+(0+(0-0))+0-412.5-0</f>
        <v>1830</v>
      </c>
      <c r="U61" s="3">
        <f>1731+(1795.2-1279.3)+(-3.53124+(-3.662208--2.609772))+0-405.8--0.827831999999982</f>
        <v>1837.3441559999999</v>
      </c>
      <c r="V61" s="3">
        <f>1719.5+(1911.3-1395.9)+(-4.384725+(-4.873815--3.559545))+0-405.2--1.03325999999994</f>
        <v>1825.0342649999993</v>
      </c>
      <c r="W61" s="3">
        <f>1670.5+(2178.9-1714.2)+(-2.555865+(-3.333717--2.622726))+0-279.6--0.427788000000016</f>
        <v>1852.7609319999997</v>
      </c>
      <c r="X61" s="3">
        <f>1609.7+(2245.8-1630.7)+(-5.746629+(-8.017506--5.821599))+0-427.7--1.52688900000001</f>
        <v>1790.6843530000001</v>
      </c>
      <c r="Y61" s="3">
        <f>1564.6+(1731-1122.4)+(-3.98973+(-4.41405--2.86212))+0-434.8--1.10873999999994</f>
        <v>1733.9670799999999</v>
      </c>
      <c r="Z61" s="3">
        <f>1595.4+(1877.6-1179.6)+(-0.813654+(-0.957576--0.601596))+0-432.2--0.220421999999956</f>
        <v>1860.2507880000001</v>
      </c>
      <c r="AA61" s="3">
        <f>1596.4+(1859.9-1104.8)+(-4.07082+(-4.742745--2.81724))+0-422.9--1.07839499999994</f>
        <v>1923.6820699999998</v>
      </c>
      <c r="AB61" s="3">
        <f>1594.7+(1986.4-1291.7)+(-3.253188+(-4.052256--2.635068))+0-424.2--0.865367999999981</f>
        <v>1861.394992</v>
      </c>
      <c r="AC61" s="3">
        <f>1541.3+(2208.1-1539.2)+(-3.144252+(-4.504524--3.139968))+0-421.7--0.860267999999982</f>
        <v>1784.8514599999996</v>
      </c>
      <c r="AD61" s="2">
        <v>1930.2</v>
      </c>
      <c r="AE61" s="3">
        <f>1596+(1840-1062.6)+(0+(0-0))+0-439.2-0</f>
        <v>1934.2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1498.2+(2488.2-1861.1)+(-3.82041+(-6.34491--4.745805))+0-411.8--1.05008999999994</f>
        <v>1709.1305750000001</v>
      </c>
      <c r="G62" s="3">
        <f>1455+(2496.1-1898.5)+(-3.71025+(-6.365055--4.841175))+0-420.6--1.07252999999994</f>
        <v>1627.8383999999996</v>
      </c>
      <c r="H62" s="3">
        <f>1436.5+(2793.4-2238.5)+(-2.197845+(-4.273902--3.424905))+0-416.4--0.637092000000024</f>
        <v>1572.5902500000002</v>
      </c>
      <c r="I62" s="3">
        <f>1436.5+(2783.7-2263.9)+(-0.732615+(-1.419687--1.154589))+0-422--0.215219999999957</f>
        <v>1533.5175069999998</v>
      </c>
      <c r="J62" s="3">
        <f>1437.6+(2878.3-2377.3)+(-2.199528+(-4.403799--3.637269))+0-421.9--0.645507000000024</f>
        <v>1514.3794489999998</v>
      </c>
      <c r="K62" s="3">
        <f>1437.4+(2708.2-2219.4)+(-3.66537+(-6.90591--5.65947))+0-422.8--1.07813999999994</f>
        <v>1499.5663299999997</v>
      </c>
      <c r="L62" s="3">
        <f>1434.7+(2146.3-1672.6)+(-0.731697+(-1.094613--0.853026))+0-427.5--0.218024999999957</f>
        <v>1480.1447410000003</v>
      </c>
      <c r="M62" s="3">
        <f>1428.5+(1926.8-1356.4)+(-1.45707+(-1.965336--1.383528))+0-423.8--0.432276000000068</f>
        <v>1573.4933979999998</v>
      </c>
      <c r="N62" s="3">
        <f>1447.2+(1861.7-1159.7)+(0.738072+(0.949467-0.591447))+0-419.6-0.213995999999957</f>
        <v>1730.4820960000002</v>
      </c>
      <c r="O62" s="3">
        <f>1480.1+(1965.2-1172.8)+(-1.509702+(-2.004504--1.196256))+0-419.5--0.427890000000067</f>
        <v>1851.1099400000001</v>
      </c>
      <c r="P62" s="3">
        <f>1480.6+(1836.1-1040.4)+(2.265318+(2.809233-1.591812))+0-423.1-0.647343000000025</f>
        <v>1856.0353959999998</v>
      </c>
      <c r="Q62" s="3">
        <f>1551.8+(1602.7-845.3)+(2.374254+(2.452131-1.293309))+0-428.1-0.654993000000025</f>
        <v>1883.978083</v>
      </c>
      <c r="R62" s="3">
        <f>1778.1+(1473.1-907.9)+(0+(0-0))+0-422.7-0</f>
        <v>1920.5999999999997</v>
      </c>
      <c r="S62" s="3">
        <f>1862.9+(1806.3-1393.1)+(0+(0-0))+0-419.3-0</f>
        <v>1856.8000000000004</v>
      </c>
      <c r="T62" s="3">
        <f>1881.6+(1856.9-1456.7)+(-2.878848+(-2.841057--2.228751))+0-417--0.638010000000024</f>
        <v>1861.9468560000005</v>
      </c>
      <c r="U62" s="3">
        <f>1862+(1932.8-1491.4)+(-3.79848+(-3.942912--3.042456))+0-412.2--0.840887999999982</f>
        <v>1887.3419519999998</v>
      </c>
      <c r="V62" s="3">
        <f>1876.1+(2095.5-1688.9)+(-4.784055+(-5.343525--4.306695))+0-411.7--1.04983499999994</f>
        <v>1866.2289499999997</v>
      </c>
      <c r="W62" s="3">
        <f>1720+(2309.4-1787.3)+(-0.8772+(-1.177794--0.911523))+0-411.2--0.209711999999958</f>
        <v>1829.9662410000003</v>
      </c>
      <c r="X62" s="3">
        <f>1696.9+(1920.7-1332.5)+(-3.461676+(-3.918228--2.7183))+0-410.9--0.838235999999982</f>
        <v>1870.3766320000004</v>
      </c>
      <c r="Y62" s="3">
        <f>1702.1+(1493.9-1010.6)+(-0.868071+(-0.761889--0.515406))+0-410.6--0.209405999999958</f>
        <v>1773.8948519999999</v>
      </c>
      <c r="Z62" s="3">
        <f>1724.7+(1461.2-908.3)+(0.879597+(0.745212-0.463233))+0-412.6-0.210425999999958</f>
        <v>1865.9511500000006</v>
      </c>
      <c r="AA62" s="3">
        <f>1728.1+(1608.9-1024)+(-3.525324+(-3.282156--2.08896))+0-413.3--0.843131999999982</f>
        <v>1895.8246120000001</v>
      </c>
      <c r="AB62" s="3">
        <f>1727.1+(2003.5-1461.2)+(-2.642463+(-3.065355--2.235636))+0-413.1--0.632043000000024</f>
        <v>1853.4598609999998</v>
      </c>
      <c r="AC62" s="3">
        <f>1664.2+(2194.6-1703.3)+(-3.394968+(-4.476984--3.474732))+0-411.7--0.839867999999982</f>
        <v>1740.2426480000001</v>
      </c>
      <c r="AD62" s="2">
        <v>1941.3999999999996</v>
      </c>
      <c r="AE62" s="3">
        <f>1727+(1552.7-906.3)+(0+(0-0))+0-428-0</f>
        <v>1945.4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1597.9+(2393.6-1876.3)+(-1.629858+(-2.441472--1.913826))+0-414.7--0.422994000000066</f>
        <v>1698.76549</v>
      </c>
      <c r="G63" s="3">
        <f>1555.1+(2356.7-1898.4)+(-3.965505+(-6.009585--4.84092))+0-409.9--1.04524499999994</f>
        <v>1599.4110749999998</v>
      </c>
      <c r="H63" s="3">
        <f>1545.5+(2642.8-2202.2)+(-1.57641+(-2.695656--2.246244))+0-412.8--0.421056000000066</f>
        <v>1571.6952340000005</v>
      </c>
      <c r="I63" s="3">
        <f>1546.4+(2509.8-2103.8)+(-2.365992+(-3.839994--3.218814))+0-404.8--0.619344000000023</f>
        <v>1545.232172</v>
      </c>
      <c r="J63" s="3">
        <f>1545.5+(2284.9-1889.5)+(0+(0-0))+0-411.2-0</f>
        <v>1529.7</v>
      </c>
      <c r="K63" s="3">
        <f>1546.3+(2206-1839.8)+(-2.365839+(-3.37518--2.814894))+0-397.4--0.608022000000023</f>
        <v>1512.7818970000001</v>
      </c>
      <c r="L63" s="3">
        <f>1544.5+(1648.8-1332)+(-1.57539+(-1.681776--1.35864))+0-385--0.392700000000061</f>
        <v>1474.7941740000001</v>
      </c>
      <c r="M63" s="3">
        <f>1545.5+(1130.7-715.8)+(-2.364615+(-1.729971--1.095174))+0-387.7--0.593181000000022</f>
        <v>1570.2937690000001</v>
      </c>
      <c r="N63" s="3">
        <f>1545.3+(1027.6-468.1)+(-0.788103+(-0.524076--0.238731))+0-381.9--0.194768999999961</f>
        <v>1722.0213209999995</v>
      </c>
      <c r="O63" s="3">
        <f>1542.6+(1641.8-1000.6)+(0+(0-0))+0-367.7-0</f>
        <v>1816.0999999999997</v>
      </c>
      <c r="P63" s="3">
        <f>1539.7+(1637.6-939)+(0+(0-0))+0-367.2-0</f>
        <v>1871.1000000000001</v>
      </c>
      <c r="Q63" s="3">
        <f>1541.5+(1372.5-655.2)+(0.786165+(0.699975-0.334152))+0-367.6-0.187475999999963</f>
        <v>1892.1645120000003</v>
      </c>
      <c r="R63" s="3">
        <f>1618.6+(1370-728.4)+(-0.825486+(-0.6987--0.371484))+0-366.6--0.186965999999963</f>
        <v>1892.634264</v>
      </c>
      <c r="S63" s="3">
        <f>1697.4+(1640.3-1141.4)+(-1.731348+(-1.673106--1.164228))+0-367.4--0.374748000000059</f>
        <v>1827.0345220000002</v>
      </c>
      <c r="T63" s="3">
        <f>1696.9+(1600.4-1112.4)+(-0.865419+(-0.816204--0.567324))+0-364.8--0.186047999999963</f>
        <v>1819.1717490000003</v>
      </c>
      <c r="U63" s="3">
        <f>1697.6+(1635.9-1147)+(-1.731552+(-1.668618--1.16994))+0-365.1--0.372402000000058</f>
        <v>1819.5421719999999</v>
      </c>
      <c r="V63" s="3">
        <f>1690+(1586.7-1070.2)+(-5.1714+(-4.855302--3.274812))+0-366.6--1.12179600000004</f>
        <v>1834.2699060000002</v>
      </c>
      <c r="W63" s="3">
        <f>1635.7+(1974.7-1424.2)+(-2.502621+(-3.021291--2.179026))+0-364.2--0.557226000000021</f>
        <v>1819.21234</v>
      </c>
      <c r="X63" s="3">
        <f>1640.5+(1934.9-1429.1)+(-5.856585+(-6.907593--5.101887))+0-364.6--1.30162200000001</f>
        <v>1775.3393310000001</v>
      </c>
      <c r="Y63" s="3">
        <f>1650.6+(1576.7-1138.5)+(-4.20903+(-4.020585--2.903175))+0-362.3--0.923864999999947</f>
        <v>1722.0974250000004</v>
      </c>
      <c r="Z63" s="3">
        <f>1711.3+(1523.7-1036.1)+(0.872763+(0.777087-0.528411))+0-341.8-0.174317999999965</f>
        <v>1858.0471210000003</v>
      </c>
      <c r="AA63" s="3">
        <f>1714.1+(1645.5-1073.8)+(-2.622573+(-2.517615--1.642914))+0-361.9--0.553707000000021</f>
        <v>1920.9564330000003</v>
      </c>
      <c r="AB63" s="3">
        <f>1711.8+(2013.8-1504.2)+(-3.492072+(-4.108152--3.068568))+0-355.5--0.725219999999984</f>
        <v>1862.0935639999996</v>
      </c>
      <c r="AC63" s="3">
        <f>1712.2+(2355.5-1911.6)+(-1.746444+(-2.40261--1.949832))+0-365.3--0.372606000000058</f>
        <v>1788.9733840000004</v>
      </c>
      <c r="AD63" s="2">
        <v>1926.0000000000005</v>
      </c>
      <c r="AE63" s="3">
        <f>1711+(1850.9-1259.3)+(0+(0-0))+0-372.6-0</f>
        <v>1930.0000000000005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1628+(2640-2222)+(-2.49084+(-4.0392--3.39966))+0-358.8--0.548964000000021</f>
        <v>1684.6185840000001</v>
      </c>
      <c r="G64" s="3">
        <f>1547.1+(2569.7-2151.4)+(-3.156084+(-5.242188--4.388856))+0-365.5--0.745619999999984</f>
        <v>1596.6362039999995</v>
      </c>
      <c r="H64" s="3">
        <f>1546.1+(2774-2398.8)+(-3.942555+(-7.0737--6.11694))+0-370.9--0.945794999999946</f>
        <v>1546.4464799999998</v>
      </c>
      <c r="I64" s="3">
        <f>1546.3+(2915.1-2551.5)+(-2.365839+(-4.460103--3.903795))+0-369.8--0.565794000000021</f>
        <v>1537.743647</v>
      </c>
      <c r="J64" s="3">
        <f>1544.9+(2821.9-2469)+(-2.363697+(-4.317507--3.77757))+0-370.7--0.567171000000021</f>
        <v>1524.763537</v>
      </c>
      <c r="K64" s="3">
        <f>1545.8+(2766.8-2425.3)+(-4.730148+(-8.466408--7.421418))+0-369.6--1.13097600000004</f>
        <v>1513.055838</v>
      </c>
      <c r="L64" s="3">
        <f>1544.7+(2260.3-1936.4)+(0.787797+(1.152753-0.987564))+0-370.3-0.188852999999962</f>
        <v>1499.0641330000003</v>
      </c>
      <c r="M64" s="3">
        <f>1545.8+(1974.5-1564)+(-0.788358+(-1.006995--0.79764))+0-375--0.191249999999962</f>
        <v>1580.4935369999998</v>
      </c>
      <c r="N64" s="3">
        <f>1544.2+(1834.7-1278.3)+(0.787542+(0.935697-0.651933))+0-376.6-0.192065999999962</f>
        <v>1724.8792400000002</v>
      </c>
      <c r="O64" s="3">
        <f>1548.1+(1617.8-960.5)+(0+(0-0))+0-376.5-0</f>
        <v>1828.8999999999996</v>
      </c>
      <c r="P64" s="3">
        <f>1547.3+(1632.7-911)+(0+(0-0))+0-378.6-0</f>
        <v>1890.4</v>
      </c>
      <c r="Q64" s="3">
        <f>1548.6+(1520.1-788.4)+(0+(0-0))+0-377-0</f>
        <v>1903.2999999999997</v>
      </c>
      <c r="R64" s="3">
        <f>1618.7+(1398.1-752.3)+(0+(0-0))+0-366.8-0</f>
        <v>1897.7</v>
      </c>
      <c r="S64" s="3">
        <f>1673.8+(1928.9-1369.8)+(-3.414552+(-3.934956--2.794392))+0-378.8--0.772751999999983</f>
        <v>1850.3176360000002</v>
      </c>
      <c r="T64" s="3">
        <f>1671.1+(1953.2-1448.6)+(-0.852261+(-0.996132--0.738786))+0-383.5--0.195584999999961</f>
        <v>1791.2859779999999</v>
      </c>
      <c r="U64" s="3">
        <f>1652.9+(1949.4-1416.3)+(-3.371916+(-3.976776--2.889252))+0-386.3--0.788051999999983</f>
        <v>1796.0286119999998</v>
      </c>
      <c r="V64" s="3">
        <f>1617.7+(1817-1256)+(-5.775189+(-6.48669--4.48392))+0-373.9--1.33482300000001</f>
        <v>1798.3568639999996</v>
      </c>
      <c r="W64" s="3">
        <f>1583.3+(1619.6-1083.8)+(-4.844898+(-4.955976--3.316428))+0-372.5--1.13985000000004</f>
        <v>1741.255404</v>
      </c>
      <c r="X64" s="3">
        <f>1619.7+(1536.5-1059)+(-1.652094+(-1.56723--1.08018))+0-371.6--0.379032000000059</f>
        <v>1723.8398879999997</v>
      </c>
      <c r="Y64" s="3">
        <f>1671.9+(1454.2-1066.4)+(0+(0-0))+0-363.6-0</f>
        <v>1696.1</v>
      </c>
      <c r="Z64" s="3">
        <f>1683.6+(1594.5-1074.2)+(-1.717272+(-1.62639--1.095684))+0-369.7--0.377094000000059</f>
        <v>1832.3291159999999</v>
      </c>
      <c r="AA64" s="3">
        <f>1681.9+(2151.9-1571.4)+(-4.288845+(-5.487345--4.00707))+0-374.2--0.954209999999946</f>
        <v>1883.38509</v>
      </c>
      <c r="AB64" s="3">
        <f>1684.8+(2074.5-1539.6)+(-3.436992+(-4.23198--3.140784))+0-387.2--0.789887999999983</f>
        <v>1828.7616999999996</v>
      </c>
      <c r="AC64" s="3">
        <f>1576.6+(2361.3-1771.4)+(-5.628462+(-8.429841--6.323898))+0-406.4--1.45084800000001</f>
        <v>1753.8164429999997</v>
      </c>
      <c r="AD64" s="2">
        <v>1925.4999999999998</v>
      </c>
      <c r="AE64" s="3">
        <f>1674+(1987.6-1363.4)+(0+(0-0))+0-368.7-0</f>
        <v>1929.4999999999998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1539.8+(2482-1924.6)+(-5.497086+(-8.86074--6.870822))+0-409.4--1.46155800000001</f>
        <v>1681.7745539999996</v>
      </c>
      <c r="G65" s="3">
        <f>1542.2+(2360.3-1875.1)+(-4.719132+(-7.222518--5.737806))+0-411.2--1.25827200000005</f>
        <v>1611.2544280000004</v>
      </c>
      <c r="H65" s="3">
        <f>1542.1+(2447.8-2011.3)+(-3.145884+(-4.993512--4.103052))+0-412.4--0.841295999999982</f>
        <v>1563.0049520000002</v>
      </c>
      <c r="I65" s="3">
        <f>1542.8+(2702.7-2285.4)+(-3.147312+(-5.513508--4.662216))+0-410.4--0.837215999999982</f>
        <v>1546.5386119999998</v>
      </c>
      <c r="J65" s="3">
        <f>1540.7+(2428.6-2022.2)+(-3.143028+(-4.954344--4.125288))+0-412.6--0.841703999999982</f>
        <v>1531.3696199999999</v>
      </c>
      <c r="K65" s="3">
        <f>1540.8+(2280.7-1890.4)+(-2.357424+(-3.489471--2.892312))+0-408.6--0.625158000000024</f>
        <v>1520.1705749999999</v>
      </c>
      <c r="L65" s="3">
        <f>1542.7+(1953-1604)+(-3.147108+(-3.98412--3.27216))+0-409--0.834359999999982</f>
        <v>1479.6752920000001</v>
      </c>
      <c r="M65" s="3">
        <f>1540.7+(1508.8-1062.9)+(0.785757+(0.769488-0.542079))+0-409.9-0.209048999999958</f>
        <v>1577.504117</v>
      </c>
      <c r="N65" s="3">
        <f>1536.1+(1902.1-1301.7)+(-1.566822+(-1.940142--1.327734))+0-422.4--0.430848000000067</f>
        <v>1712.3516179999997</v>
      </c>
      <c r="O65" s="3">
        <f>1537.7+(1706.7-998.5)+(-4.705362+(-5.222502--3.05541))+0-437.3--1.33813800000005</f>
        <v>1803.0656840000004</v>
      </c>
      <c r="P65" s="3">
        <f>1542.2+(1294.5-527)+(0.786522+(0.660195-0.26877))+0-440.1-0.224450999999955</f>
        <v>1870.553496</v>
      </c>
      <c r="Q65" s="3">
        <f>1523.6+(1488.8-718)+(0+(0-0))+0-393.1-0</f>
        <v>1901.2999999999997</v>
      </c>
      <c r="R65" s="3">
        <f>1527.8+(1733-968.1)+(0+(0-0))+0-430.7-0</f>
        <v>1861.9999999999998</v>
      </c>
      <c r="S65" s="3">
        <f>1545.6+(2119.3-1429.9)+(-3.94128+(-5.404215--3.646245))+0-422.7--1.07788499999994</f>
        <v>1807.6786349999998</v>
      </c>
      <c r="T65" s="3">
        <f>1551.8+(2200.7-1528.6)+(-0.791418+(-1.122357--0.779586))+0-424.5--0.216494999999957</f>
        <v>1798.4823059999997</v>
      </c>
      <c r="U65" s="3">
        <f>1542+(2065.3-1362.9)+(-3.14568+(-4.213212--2.780316))+0-423.3--0.863531999999982</f>
        <v>1817.3849560000003</v>
      </c>
      <c r="V65" s="3">
        <f>1535.1+(1671.2-961.4)+(-1.565802+(-1.704624--0.980628))+0-425.5--0.434010000000068</f>
        <v>1817.5442120000005</v>
      </c>
      <c r="W65" s="3">
        <f>1545.5+(1296.3-640.4)+(-1.57641+(-1.322226--0.653208))+0-425.7--0.434214000000068</f>
        <v>1773.888786</v>
      </c>
      <c r="X65" s="3">
        <f>1547.5+(851.4-240.6)+(-0.789225+(-0.434214--0.122706))+0-427.9--0.218228999999957</f>
        <v>1729.5174959999999</v>
      </c>
      <c r="Y65" s="3">
        <f>1545.8+(837.6-259.4)+(-2.365074+(-1.281528--0.396882))+0-426.1--0.651933000000025</f>
        <v>1695.3022130000004</v>
      </c>
      <c r="Z65" s="3">
        <f>1549.7+(922.4-253.6)+(-1.580694+(-0.940848--0.258672))+0-383.5--0.391170000000061</f>
        <v>1833.1283000000001</v>
      </c>
      <c r="AA65" s="3">
        <f>1554.8+(1045.3-321.2)+(-1.585896+(-1.066206--0.327624))+0-421--0.429420000000067</f>
        <v>1856.0049419999998</v>
      </c>
      <c r="AB65" s="3">
        <f>1554.1+(1085.4-413.7)+(-3.962955+(-2.76777--1.054935))+0-396.6--1.01132999999994</f>
        <v>1824.5355400000005</v>
      </c>
      <c r="AC65" s="3">
        <f>1546.3+(1469.1-853.4)+(0+(0-0))+0-387.2-0</f>
        <v>1774.8</v>
      </c>
      <c r="AD65" s="2">
        <v>1866.7999999999997</v>
      </c>
      <c r="AE65" s="3">
        <f>1556+(1058.6-312.4)+(0+(0-0))+0-431.4-0</f>
        <v>1870.7999999999997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1521.4+(1776.8-1218.7)+(-1.551828+(-1.812336--1.243074))+0-431.6--0.440232000000069</f>
        <v>1646.2191420000001</v>
      </c>
      <c r="G66" s="3">
        <f>1500.9+(2400.3-1883.2)+(-0.765459+(-1.224153--0.960432))+0-436.7--0.222716999999956</f>
        <v>1580.4935370000001</v>
      </c>
      <c r="H66" s="3">
        <f>1502.3+(2481.5-2013.2)+(2.298519+(3.796695-3.080196))+0-435.9-0.666927000000025</f>
        <v>1537.0480909999999</v>
      </c>
      <c r="I66" s="3">
        <f>1500.8+(2324.2-1883)+(0.765408+(1.185342-0.96033))+0-436.5-0.222614999999956</f>
        <v>1506.267805</v>
      </c>
      <c r="J66" s="3">
        <f>1501+(2106.5-1703.6)+(-2.29653+(-3.222945--2.606508))+0-423--0.647190000000024</f>
        <v>1478.6342230000002</v>
      </c>
      <c r="K66" s="3">
        <f>1502+(2146.8-1720.1)+(-3.8301+(-5.47434--4.386255))+0-430.6--1.09802999999994</f>
        <v>1494.2798450000003</v>
      </c>
      <c r="L66" s="3">
        <f>1501.6+(1993.6-1609.6)+(-1.531632+(-2.033472--1.641792))+0-429.3--0.437886000000068</f>
        <v>1454.8145740000002</v>
      </c>
      <c r="M66" s="3">
        <f>1501.8+(1564.8-1106.7)+(1.531836+(1.596096-1.128834))+0-429-0.437580000000068</f>
        <v>1532.4615179999998</v>
      </c>
      <c r="N66" s="3">
        <f>1530.6+(1379.5-797.9)+(-1.561212+(-1.40709--0.813858))+0-440.6--0.44941200000007</f>
        <v>1669.8949680000003</v>
      </c>
      <c r="O66" s="3">
        <f>1546.6+(977.8-316.6)+(1.577532+(0.997356-0.322932))+0-443.3-0.452166000000071</f>
        <v>1766.2997899999998</v>
      </c>
      <c r="P66" s="3">
        <f>1540.3+(850.3-150.8)+(0+(0-0))+0-436.6-0</f>
        <v>1803.2000000000003</v>
      </c>
      <c r="Q66" s="3">
        <f>1581.2+(870-173.4)+(0.806412+(0.4437-0.088434))+0-394.6-0.20124599999996</f>
        <v>1884.1604320000004</v>
      </c>
      <c r="R66" s="3">
        <f>1506.3+(954.1-199)+(-3.072852+(-1.946364--0.40596))+0-444.2--0.906167999999981</f>
        <v>1813.4929119999999</v>
      </c>
      <c r="S66" s="3">
        <f>1494.8+(1337.8-641)+(-1.524696+(-1.364556--0.65382))+0-431.3--0.439926000000069</f>
        <v>1758.504494</v>
      </c>
      <c r="T66" s="3">
        <f>1497.3+(1535.8-863.3)+(-0.763623+(-0.783258--0.440283))+0-444.4--0.226643999999955</f>
        <v>1724.5200460000001</v>
      </c>
      <c r="U66" s="3">
        <f>1498.3+(1600.3-930.3)+(-3.056532+(-3.264612--1.897812))+0-447.3--0.912491999999981</f>
        <v>1717.4891600000003</v>
      </c>
      <c r="V66" s="3">
        <f>1500.6+(1653.7-979.3)+(-3.82653+(-4.216935--2.497215))+0-443.5--1.13092499999994</f>
        <v>1727.0846750000001</v>
      </c>
      <c r="W66" s="3">
        <f>1500.2+(1731.4-1100.1)+(-3.060408+(-3.532056--2.244204))+0-430.4--0.878015999999981</f>
        <v>1697.6297559999996</v>
      </c>
      <c r="X66" s="3">
        <f>1497.8+(1239-652.4)+(-3.81939+(-3.15945--1.66362))+0-432.1--1.10185499999994</f>
        <v>1648.0866350000001</v>
      </c>
      <c r="Y66" s="3">
        <f>1499.8+(1027.8-441)+(-0.764898+(-0.524178--0.22491))+0-436.8--0.222767999999956</f>
        <v>1648.9586019999997</v>
      </c>
      <c r="Z66" s="3">
        <f>1619.4+(908.9-279.1)+(-0.825894+(-0.463539--0.142341))+0-394--0.20093999999996</f>
        <v>1854.2538479999996</v>
      </c>
      <c r="AA66" s="3">
        <f>1708.6+(957.5-385.3)+(-4.35693+(-2.441625--0.982515))+0-435.7--1.11103499999994</f>
        <v>1840.3949949999999</v>
      </c>
      <c r="AB66" s="3">
        <f>1680.9+(1225.2-668.9)+(-4.286295+(-3.12426--1.705695))+0-434.5--1.10797499999994</f>
        <v>1798.1031150000003</v>
      </c>
      <c r="AC66" s="3">
        <f>1548.1+(1467.9-867.4)+(-0.789531+(-0.748629--0.442374))+0-429.2--0.218891999999956</f>
        <v>1718.5231059999999</v>
      </c>
      <c r="AD66" s="2">
        <v>1851.3000000000002</v>
      </c>
      <c r="AE66" s="3">
        <f>1705+(930.4-382.6)+(0+(0-0))+0-397.5-0</f>
        <v>1855.3000000000002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1474.7+(1714.9-1179.5)+(-0.752097+(-0.874599--0.601545))+0-436.6--0.222665999999956</f>
        <v>1572.6975150000001</v>
      </c>
      <c r="G67" s="3">
        <f>1449+(2217.4-1678.2)+(-1.47798+(-2.261748--1.711764))+0-437.9--0.44665800000007</f>
        <v>1548.7186939999999</v>
      </c>
      <c r="H67" s="3">
        <f>1448.6+(2237.1-1747.7)+(-2.216358+(-3.422763--2.673981))+0-433.9--0.663867000000025</f>
        <v>1501.7987269999996</v>
      </c>
      <c r="I67" s="3">
        <f>1448.4+(2095.1-1612.7)+(-1.477368+(-2.137002--1.644954))+0-433.3--0.441966000000069</f>
        <v>1495.9725500000002</v>
      </c>
      <c r="J67" s="3">
        <f>1448.1+(1807.2-1336.4)+(2.215593+(2.765016-2.044692))+0-435.6-0.666468000000025</f>
        <v>1485.5694489999998</v>
      </c>
      <c r="K67" s="3">
        <f>1379.8+(1801.4-1335.1)+(-0.703698+(-0.918714--0.680901))+0-432.8--0.220727999999956</f>
        <v>1412.5792170000002</v>
      </c>
      <c r="L67" s="3">
        <f>1335.3+(2070-1564.1)+(0.681003+(1.0557-0.797691))+0-430.6-0.219605999999956</f>
        <v>1411.3194060000003</v>
      </c>
      <c r="M67" s="3">
        <f>1326.9+(1973.1-1460.7)+(-0.676719+(-1.006281--0.744957))+0-432--0.220319999999956</f>
        <v>1406.5822769999997</v>
      </c>
      <c r="N67" s="3">
        <f>1328.6+(1945.1-1335.5)+(-2.032758+(-2.976003--2.043315))+0-435.3--0.666009000000025</f>
        <v>1500.600563</v>
      </c>
      <c r="O67" s="3">
        <f>1325.6+(1792.3-1155.7)+(-1.352112+(-1.828146--1.178814))+0-439.4--0.44818800000007</f>
        <v>1521.2467439999998</v>
      </c>
      <c r="P67" s="3">
        <f>1353.4+(1456.3-778.8)+(-0.690234+(-0.742713--0.397188))+0-433.9--0.221288999999956</f>
        <v>1596.18553</v>
      </c>
      <c r="Q67" s="3">
        <f>1413.9+(1462.2-801.8)+(-1.442178+(-1.491444--0.817836))+0-435.3--0.444006000000069</f>
        <v>1637.3282200000006</v>
      </c>
      <c r="R67" s="3">
        <f>1477.9+(1437.1-842.6)+(0.753729+(0.732921-0.429726))+0-432-0.220319999999956</f>
        <v>1641.2366040000002</v>
      </c>
      <c r="S67" s="3">
        <f>1491.2+(1430.6-868.9)+(-0.760512+(-0.729606--0.443139))+0-441.4--0.225113999999955</f>
        <v>1610.6781349999997</v>
      </c>
      <c r="T67" s="3">
        <f>1478.1+(1525.8-972.9)+(-0.753831+(-0.778158--0.496179))+0-441.9--0.225368999999955</f>
        <v>1588.2895590000001</v>
      </c>
      <c r="U67" s="3">
        <f>1456.6+(1766.1-1204)+(3.71433+(4.503555-3.0702))+0-424.7-1.08298499999994</f>
        <v>1598.0646999999997</v>
      </c>
      <c r="V67" s="3">
        <f>1463.7+(1981.6-1428.9)+(-0.746487+(-1.010616--0.728739))+0-438--0.223379999999956</f>
        <v>1577.5950159999998</v>
      </c>
      <c r="W67" s="3">
        <f>1464.4+(2124.1-1556.3)+(-1.493688+(-2.166582--1.587426))+0-438.4--0.44716800000007</f>
        <v>1592.1743240000001</v>
      </c>
      <c r="X67" s="3">
        <f>1492.4+(2107.2-1592.4)+(-4.566744+(-6.448032--4.872744))+0-426.6--1.30539600000005</f>
        <v>1575.7633639999997</v>
      </c>
      <c r="Y67" s="3">
        <f>1501.6+(1727-1232.2)+(-2.297448+(-2.64231--1.885266))+0-436.3--0.667539000000025</f>
        <v>1557.713047</v>
      </c>
      <c r="Z67" s="3">
        <f>1600.8+(1560.5-1057.6)+(-1.632816+(-1.59171--1.078752))+0-426.9--0.435438000000068</f>
        <v>1675.0896639999996</v>
      </c>
      <c r="AA67" s="3">
        <f>1911+(1353.5-1040.7)+(-2.92383+(-2.070855--1.592271))+0-422.2--0.645966000000024</f>
        <v>1798.843552</v>
      </c>
      <c r="AB67" s="3">
        <f>1940.8+(1804.4-1542.7)+(-2.969424+(-2.760732--2.360331))+0-427.8--0.654534000000025</f>
        <v>1771.9847089999998</v>
      </c>
      <c r="AC67" s="3">
        <f>1936.8+(2402.9-2162.8)+(-0.987768+(-1.225479--1.103028))+0-431.1--0.219860999999956</f>
        <v>1744.9096419999996</v>
      </c>
      <c r="AD67" s="2">
        <v>1745.8999999999999</v>
      </c>
      <c r="AE67" s="3">
        <f>1935+(1447.2-1209)+(0+(0-0))+0-423.3-0</f>
        <v>1749.8999999999999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1677.6+(2614.9-2227.4)+(-3.422304+(-5.334396--4.543896))+0-443.3--0.904331999999981</f>
        <v>1618.4915280000002</v>
      </c>
      <c r="G68" s="3">
        <f>1503.6+(2532-2052.2)+(-3.83418+(-6.4566--5.23311))+0-437.2--1.11485999999994</f>
        <v>1542.25719</v>
      </c>
      <c r="H68" s="3">
        <f>1503.6+(2547.4-2117.8)+(-3.067344+(-5.196696--4.320312))+0-441.8--0.901271999999981</f>
        <v>1488.357544</v>
      </c>
      <c r="I68" s="3">
        <f>1506.4+(2446.6-2055.6)+(-1.536528+(-2.495532--2.096712))+0-445.7--0.454614000000071</f>
        <v>1450.2192660000001</v>
      </c>
      <c r="J68" s="3">
        <f>1508.4+(2347.9-1963)+(-1.538568+(-2.394858--2.00226))+0-441.8--0.45063600000007</f>
        <v>1450.0194700000002</v>
      </c>
      <c r="K68" s="3">
        <f>1507.4+(2286.1-1907)+(-3.84387+(-5.829555--4.86285))+0-441.2--1.12505999999994</f>
        <v>1441.6144849999998</v>
      </c>
      <c r="L68" s="3">
        <f>1507+(1927.4-1567.9)+(-0.76857+(-0.982974--0.799629))+0-430.4--0.219503999999956</f>
        <v>1435.3675889999997</v>
      </c>
      <c r="M68" s="3">
        <f>1507.1+(1796-1311.1)+(1.537242+(1.83192-1.337322))+0-433.2-0.441864000000069</f>
        <v>1560.3899759999999</v>
      </c>
      <c r="N68" s="3">
        <f>1508.2+(1285.3-631.7)+(0.769182+(0.655503-0.322167))+0-433.2-0.220931999999956</f>
        <v>1729.4815860000003</v>
      </c>
      <c r="O68" s="3">
        <f>1506.3+(1011.2-294.3)+(0.768213+(0.515712-0.150093))+0-411.8-0.210017999999958</f>
        <v>1812.3238139999999</v>
      </c>
      <c r="P68" s="3">
        <f>1506+(969.1-201.8)+(-2.30418+(-1.482723--0.308754))+0-398.6--0.609858000000023</f>
        <v>1871.8317090000003</v>
      </c>
      <c r="Q68" s="3">
        <f>1564.2+(927.9-202.3)+(-0.797742+(-0.473229--0.103173))+0-406.9--0.207518999999959</f>
        <v>1881.9397210000002</v>
      </c>
      <c r="R68" s="3">
        <f>1718.8+(823-255.5)+(1.753176+(0.83946-0.26061))+0-395.8-0.403716000000063</f>
        <v>1892.4283100000002</v>
      </c>
      <c r="S68" s="3">
        <f>1802+(899.6-498.1)+(-1.83804+(-0.917592--0.508062))+0-395.3--0.403206000000063</f>
        <v>1806.355636</v>
      </c>
      <c r="T68" s="3">
        <f>1845.5+(974.5-635.8)+(-0.941205+(-0.496995--0.324258))+0-375.3--0.191402999999962</f>
        <v>1807.9774609999999</v>
      </c>
      <c r="U68" s="3">
        <f>1899.8+(1080.6-723.1)+(-4.84449+(-2.75553--1.843905))+0-406.5--1.03657499999994</f>
        <v>1846.0804599999994</v>
      </c>
      <c r="V68" s="3">
        <f>1884.5+(1210.1-842.5)+(-0.961095+(-0.617151--0.429675))+0-410.5--0.209354999999958</f>
        <v>1840.6607839999997</v>
      </c>
      <c r="W68" s="3">
        <f>1694.4+(1365.4-832.1)+(-3.456576+(-2.785416--1.697484))+0-406--0.828239999999982</f>
        <v>1817.9837320000004</v>
      </c>
      <c r="X68" s="3">
        <f>1683.5+(1675.8-1183.3)+(-4.292925+(-4.27329--3.017415))+0-391.3--0.997814999999943</f>
        <v>1780.149015</v>
      </c>
      <c r="Y68" s="3">
        <f>1690.8+(1283.6-838.5)+(0.862308+(0.654636-0.427635))+0-404.4-0.206243999999959</f>
        <v>1732.3830649999995</v>
      </c>
      <c r="Z68" s="3">
        <f>1797+(1564.5-1127.3)+(-0.91647+(-0.797895--0.574923))+0-356.5--0.181814999999964</f>
        <v>1876.7423729999996</v>
      </c>
      <c r="AA68" s="3">
        <f>1877.8+(1757.6-1312)+(-2.873034+(-2.689128--2.00736))+0-382.2--0.584766000000022</f>
        <v>1938.2299639999994</v>
      </c>
      <c r="AB68" s="3">
        <f>1831.5+(2056.6-1623.4)+(-5.60439+(-6.293196--4.967604))+0-354.1--1.08354600000004</f>
        <v>1904.7535639999999</v>
      </c>
      <c r="AC68" s="3">
        <f>1572.1+(2660.6-2037.9)+(-4.008855+(-6.78453--5.196645))+0-407.1--1.03810499999994</f>
        <v>1783.1413649999997</v>
      </c>
      <c r="AD68" s="2">
        <v>1946.9</v>
      </c>
      <c r="AE68" s="3">
        <f>1874+(1706.3-1272.8)+(0+(0-0))+0-356.6-0</f>
        <v>1950.9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1509.8+(2839.1-2241)+(0+(0-0))+0-366.1-0</f>
        <v>1741.7999999999997</v>
      </c>
      <c r="G69" s="3">
        <f>1503.8+(2666.9-2145.7)+(-2.300814+(-4.080357--3.282921))+0-390--0.596700000000023</f>
        <v>1632.4984500000003</v>
      </c>
      <c r="H69" s="3">
        <f>1500.6+(2650.8-2174.6)+(-3.061224+(-5.407632--4.436184))+0-412.7--0.841907999999982</f>
        <v>1560.909236</v>
      </c>
      <c r="I69" s="3">
        <f>1501.3+(2542.3-2090.3)+(-3.062652+(-5.186292--4.264212))+0-366.2--0.747047999999984</f>
        <v>1583.862316</v>
      </c>
      <c r="J69" s="3">
        <f>1484.9+(2498.2-2058.4)+(-0.757299+(-1.274082--1.049784))+0-409.3--0.208742999999958</f>
        <v>1514.6271459999998</v>
      </c>
      <c r="K69" s="3">
        <f>1491.4+(2412-1989)+(-3.042456+(-4.92048--4.05756))+0-367.6--0.749903999999984</f>
        <v>1543.644528</v>
      </c>
      <c r="L69" s="3">
        <f>1501.5+(2027.9-1621.3)+(-3.828825+(-5.171145--4.134315))+0-408.8--1.04243999999994</f>
        <v>1495.4767850000001</v>
      </c>
      <c r="M69" s="3">
        <f>1500.5+(1746.2-1236.9)+(0.765255+(0.890562-0.630819))+0-376.9-0.192218999999962</f>
        <v>1633.7327789999999</v>
      </c>
      <c r="N69" s="3">
        <f>1263.6+(1550-682.4)+(0+(0-0))+0-417.4-0</f>
        <v>1713.7999999999997</v>
      </c>
      <c r="O69" s="3">
        <f>1201.4+(1636.5-640.7)+(-0.612714+(-0.834615--0.326757))+0-415.8--0.212057999999958</f>
        <v>1780.4914860000001</v>
      </c>
      <c r="P69" s="3">
        <f>1200.9+(1628.4-570.5)+(0.612459+(0.830484-0.290955))+0-412.5-0.210374999999958</f>
        <v>1847.2416130000004</v>
      </c>
      <c r="Q69" s="3">
        <f>1200.3+(1566.5-464.1)+(-1.224306+(-1.59783--0.473382))+0-415.8--0.424116000000066</f>
        <v>1884.9753619999999</v>
      </c>
      <c r="R69" s="3">
        <f>1206+(1904.4-804.1)+(0.61506+(0.971244-0.410091))+0-412.3-0.210272999999958</f>
        <v>1894.9659400000005</v>
      </c>
      <c r="S69" s="3">
        <f>1203.7+(2458.3-1440.2)+(-0.613887+(-1.253733--0.734502))+0-425.9--0.217208999999957</f>
        <v>1794.9840909999998</v>
      </c>
      <c r="T69" s="3">
        <f>1205.8+(2529.8-1521.1)+(0+(0-0))+0-370.4-0</f>
        <v>1844.1</v>
      </c>
      <c r="U69" s="3">
        <f>1206.2+(2592.8-1548.6)+(-0.615162+(-1.322328--0.789786))+0-422--0.215219999999957</f>
        <v>1827.4675160000006</v>
      </c>
      <c r="V69" s="3">
        <f>1206.4+(2582.2-1523.1)+(-2.461056+(-5.267688--3.107124))+0-428.7--0.874547999999981</f>
        <v>1833.0529280000001</v>
      </c>
      <c r="W69" s="3">
        <f>1206.2+(2310.4-1298.4)+(-3.690972+(-7.069824--3.973104))+0-430.8--1.31824800000005</f>
        <v>1781.930556</v>
      </c>
      <c r="X69" s="3">
        <f>1205.8+(1735.4-744.1)+(-2.459832+(-3.540216--1.517964))+0-421.3--0.859451999999982</f>
        <v>1772.1773679999997</v>
      </c>
      <c r="Y69" s="3">
        <f>1234.6+(1632.3-697.3)+(1.888938+(2.497419-1.066869))+0-433.6-0.663408000000025</f>
        <v>1738.65608</v>
      </c>
      <c r="Z69" s="3">
        <f>1367.3+(1496.4-540)+(0+(0-0))+0-432.5-0</f>
        <v>1891.1999999999998</v>
      </c>
      <c r="AA69" s="3">
        <f>1373.2+(1510.9-569.5)+(-2.801328+(-3.082236--1.16178))+0-381.3--0.777851999999983</f>
        <v>1929.3560680000005</v>
      </c>
      <c r="AB69" s="3">
        <f>1228.8+(1855.3-888.9)+(-1.880064+(-2.838609--1.360017))+0-376.2--0.575586000000022</f>
        <v>1816.2169299999998</v>
      </c>
      <c r="AC69" s="3">
        <f>1273.8+(2281.8-1387.7)+(-0.649638+(-1.163718--0.707727))+0-382--0.194819999999961</f>
        <v>1784.9891909999999</v>
      </c>
      <c r="AD69" s="2">
        <v>2006.9999999999995</v>
      </c>
      <c r="AE69" s="3">
        <f>1396+(1715.1-697.7)+(0+(0-0))+0-402.4-0</f>
        <v>2010.9999999999995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1353.2+(2539.9-1838.1)+(-2.070396+(-3.886047--2.812293))+0-381.6--0.583848000000022</f>
        <v>1670.839698</v>
      </c>
      <c r="G70" s="3">
        <f>1438.1+(2715.1-2158)+(0+(0-0))+0-382.1-0</f>
        <v>1613.1</v>
      </c>
      <c r="H70" s="3">
        <f>1499.1+(2809.3-2325.4)+(0+(0-0))+0-382-0</f>
        <v>1601</v>
      </c>
      <c r="I70" s="3">
        <f>1502.9+(2699.2-2258.6)+(1.532958+(2.753184-2.303772))+0-381.5-0.389130000000061</f>
        <v>1563.5932399999999</v>
      </c>
      <c r="J70" s="3">
        <f>1503.2+(2583.7-2165.5)+(-0.766632+(-1.317687--1.104405))+0-381.9--0.194768999999961</f>
        <v>1538.7148549999999</v>
      </c>
      <c r="K70" s="3">
        <f>1502.2+(2416.9-1968.6)+(-3.83061+(-6.163095--5.01993))+0-381.6--0.973079999999945</f>
        <v>1564.8993050000001</v>
      </c>
      <c r="L70" s="3">
        <f>1502.9+(1977.4-1597.5)+(-1.532958+(-2.016948--1.62945))+0-376.6--0.38413200000006</f>
        <v>1504.6636760000001</v>
      </c>
      <c r="M70" s="3">
        <f>1502.1+(1645.3-1176.7)+(1.532142+(1.678206-1.200234))+0-378.7-0.38627400000006</f>
        <v>1593.6238399999997</v>
      </c>
      <c r="N70" s="3">
        <f>1502.4+(1497.8-887.3)+(2.298672+(2.291634-1.357569))+0-367.9-0.562887000000021</f>
        <v>1747.6698499999998</v>
      </c>
      <c r="O70" s="3">
        <f>1503.6+(1564.2-875)+(1.533672+(1.595484-0.8925))+0-376.7-0.38423400000006</f>
        <v>1817.9524220000001</v>
      </c>
      <c r="P70" s="3">
        <f>1500+(1239.7-496.1)+(2.295+(1.896741-0.759033))+0-381.7-0.584001000000022</f>
        <v>1864.7487069999997</v>
      </c>
      <c r="Q70" s="3">
        <f>1513.6+(1126.2-371.7)+(0+(0-0))+0-373.6-0</f>
        <v>1894.5</v>
      </c>
      <c r="R70" s="3">
        <f>1635.9+(1172.2-562)+(-0.834309+(-0.597822--0.28662))+0-351.8--0.179417999999964</f>
        <v>1893.3339070000002</v>
      </c>
      <c r="S70" s="3">
        <f>1638.3+(1628.1-1079.4)+(-2.506599+(-2.490993--1.651482))+0-362--0.553860000000021</f>
        <v>1822.20775</v>
      </c>
      <c r="T70" s="3">
        <f>1637.3+(1715.9-1164)+(2.505069+(2.625327-1.78092))+0-362.4-0.554472000000021</f>
        <v>1829.5950039999996</v>
      </c>
      <c r="U70" s="3">
        <f>1639.3+(1612-1040.6)+(-1.672086+(-1.64424--1.061412))+0-350.5--0.357510000000056</f>
        <v>1858.3025959999998</v>
      </c>
      <c r="V70" s="3">
        <f>1641.3+(1305.8-737)+(-4.185315+(-3.32979--1.87935))+0-354.4--0.903719999999949</f>
        <v>1850.967965</v>
      </c>
      <c r="W70" s="3">
        <f>1640.4+(1006.8-444.9)+(-2.509812+(-1.540404--0.680697))+0-364.2--0.557226000000021</f>
        <v>1835.2877070000004</v>
      </c>
      <c r="X70" s="3">
        <f>1640.8+(1024-497.6)+(-4.18404+(-2.6112--1.26888))+0-363.1--0.925904999999947</f>
        <v>1799.4995450000001</v>
      </c>
      <c r="Y70" s="3">
        <f>1650.3+(1115.9-640.3)+(-1.683306+(-1.138218--0.653106))+0-360.5--0.367710000000057</f>
        <v>1763.5992919999999</v>
      </c>
      <c r="Z70" s="3">
        <f>1807.7+(1337.2-920.1)+(-1.843854+(-1.363944--0.938502))+0-361.8--0.369036000000058</f>
        <v>1861.0997400000003</v>
      </c>
      <c r="AA70" s="3">
        <f>1821.9+(1376.1-896.1)+(-2.787507+(-2.105433--1.371033))+0-362.7--0.554931000000021</f>
        <v>1936.2330240000003</v>
      </c>
      <c r="AB70" s="3">
        <f>1725.1+(1701.5-1192.5)+(-4.399005+(-4.338825--3.040875))+0-361.4--0.921569999999947</f>
        <v>1867.9246149999999</v>
      </c>
      <c r="AC70" s="3">
        <f>1697+(2109.8-1624.6)+(-2.59641+(-3.227994--2.485638))+0-379.3--0.580329000000022</f>
        <v>1800.1415630000006</v>
      </c>
      <c r="AD70" s="2">
        <v>1938.3999999999999</v>
      </c>
      <c r="AE70" s="3">
        <f>1824+(1409.4-925.2)+(0+(0-0))+0-365.8-0</f>
        <v>1942.3999999999999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1548.3+(2696.8-2169.9)+(-2.368899+(-4.126104--3.319947))+0-364.5--0.557685000000021</f>
        <v>1708.0826289999998</v>
      </c>
      <c r="G71" s="3">
        <f>1454.8+(2595.2-2097.1)+(-0.741948+(-1.323552--1.069521))+0-347.4--0.177173999999965</f>
        <v>1604.6811949999997</v>
      </c>
      <c r="H71" s="3">
        <f>1450.5+(2381.8-1921.6)+(-1.47951+(-2.429436--1.960032))+0-349--0.355980000000056</f>
        <v>1560.1070660000003</v>
      </c>
      <c r="I71" s="3">
        <f>1451.4+(2391.2-1955.6)+(-2.220642+(-3.658536--2.992068))+0-352.2--0.53886600000002</f>
        <v>1532.4517560000002</v>
      </c>
      <c r="J71" s="3">
        <f>1450.9+(2321-1882.5)+(-2.959836+(-4.73484--3.8403))+0-352.8--0.719711999999985</f>
        <v>1533.4653360000002</v>
      </c>
      <c r="K71" s="3">
        <f>1451.2+(2167.3-1725)+(-2.220336+(-3.315969--2.63925))+0-355.9--0.544527000000021</f>
        <v>1535.2474720000005</v>
      </c>
      <c r="L71" s="3">
        <f>1450.9+(1928-1504.8)+(-2.959836+(-3.93312--3.069792))+0-357.4--0.729095999999984</f>
        <v>1513.6059320000004</v>
      </c>
      <c r="M71" s="3">
        <f>1450.5+(1571.2-1046.8)+(0+(0-0))+0-360.9-0</f>
        <v>1614</v>
      </c>
      <c r="N71" s="3">
        <f>1450.2+(1547.5-874.3)+(1.479204+(1.57845-0.891786))+0-359.5-0.366690000000057</f>
        <v>1765.6991780000001</v>
      </c>
      <c r="O71" s="3">
        <f>1451.9+(1334-567.9)+(2.961876+(2.72136-1.158516))+0-368.8-0.752351999999984</f>
        <v>1852.972368</v>
      </c>
      <c r="P71" s="3">
        <f>1485.1+(1141.1-349.9)+(-1.514802+(-1.163922--0.356898))+0-367.2--0.374544000000059</f>
        <v>1907.1527179999998</v>
      </c>
      <c r="Q71" s="3">
        <f>1558.8+(901.6-146.2)+(0+(0-0))+0-368.6-0</f>
        <v>1945.6</v>
      </c>
      <c r="R71" s="3">
        <f>1680.1+(830.2-176.5)+(-2.570553+(-1.270206--0.270045))+0-375.3--0.574209000000022</f>
        <v>1955.5034950000004</v>
      </c>
      <c r="S71" s="3">
        <f>1691+(1304.7-743.3)+(1.72482+(1.330794-0.758166))+0-375.3-0.38280600000006</f>
        <v>1879.0146419999999</v>
      </c>
      <c r="T71" s="3">
        <f>1686.2+(1444.5-886.6)+(1.719924+(1.47339-0.904332))+0-369.7-0.377094000000059</f>
        <v>1876.3118879999997</v>
      </c>
      <c r="U71" s="3">
        <f>1686.4+(1507.8-933.4)+(0+(0-0))+0-371.2-0</f>
        <v>1889.6000000000001</v>
      </c>
      <c r="V71" s="3">
        <f>1698.2+(1608.1-1022.2)+(-1.732164+(-1.640262--1.042644))+0-374.3--0.38178600000006</f>
        <v>1907.8520040000003</v>
      </c>
      <c r="W71" s="3">
        <f>1699.8+(1735.8-1167)+(-3.467592+(-3.541032--2.38068))+0-377.4--0.769895999999983</f>
        <v>1887.341952</v>
      </c>
      <c r="X71" s="3">
        <f>1699.4+(1834.1-1312.4)+(-5.200164+(-5.612346--4.015944))+0-372.9--1.14107400000004</f>
        <v>1842.544508</v>
      </c>
      <c r="Y71" s="3">
        <f>1700.9+(1405.8-939.8)+(1.734918+(1.433916-0.958596))+0-372-0.379440000000059</f>
        <v>1796.730798</v>
      </c>
      <c r="Z71" s="3">
        <f>1818.5+(1605-1145.2)+(-0.927435+(-0.81855--0.584052))+0-376.1--0.191810999999962</f>
        <v>1901.2298780000003</v>
      </c>
      <c r="AA71" s="3">
        <f>1935+(1481.5-1046.3)+(-1.9737+(-1.51113--1.067226))+0-377--0.38454000000006</f>
        <v>1991.1669359999996</v>
      </c>
      <c r="AB71" s="3">
        <f>1932+(1889-1510.8)+(-3.94128+(-3.85356--3.082032))+0-364.6--0.743783999999984</f>
        <v>1941.6309759999997</v>
      </c>
      <c r="AC71" s="3">
        <f>1783+(2070.2-1650.9)+(-2.72799+(-3.167406--2.525877))+0-348.8--0.53366400000002</f>
        <v>1850.664145</v>
      </c>
      <c r="AD71" s="2">
        <v>2024</v>
      </c>
      <c r="AE71" s="3">
        <f>1932+(1521.3-1030.8)+(0+(0-0))+0-394.5-0</f>
        <v>2028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1669.1+(2172-1728.7)+(-3.404964+(-4.43088--3.526548))+0-351.3--0.716651999999985</f>
        <v>1757.5073559999998</v>
      </c>
      <c r="G72" s="3">
        <f>1558.1+(2208.4-1726.4)+(-3.178524+(-4.505136--3.521856))+0-364.2--0.742967999999984</f>
        <v>1672.4811639999998</v>
      </c>
      <c r="H72" s="3">
        <f>1493.6+(2267.4-1767.5)+(-2.285208+(-3.469122--2.704275))+0-369.5--0.565335000000021</f>
        <v>1621.5152800000001</v>
      </c>
      <c r="I72" s="3">
        <f>1495.7+(2269.8-1790.7)+(-4.576842+(-6.945588--5.479542))+0-373.1--1.14168600000004</f>
        <v>1596.7987980000003</v>
      </c>
      <c r="J72" s="3">
        <f>1495+(2291.4-1818.1)+(-3.0498+(-4.674456--3.708924))+0-378--0.771119999999983</f>
        <v>1587.0557880000001</v>
      </c>
      <c r="K72" s="3">
        <f>1495.5+(2194-1736.7)+(-3.813525+(-5.5947--4.428585))+0-385.3--0.982514999999944</f>
        <v>1563.5028749999999</v>
      </c>
      <c r="L72" s="3">
        <f>1495.1+(1996.2-1550.7)+(-3.050004+(-4.072248--3.163428))+0-394.3--0.804371999999983</f>
        <v>1543.145548</v>
      </c>
      <c r="M72" s="3">
        <f>1492.6+(1751.8-1206.5)+(4.567356+(5.360508-3.69189))+0-393.5-1.20411000000005</f>
        <v>1649.4318639999997</v>
      </c>
      <c r="N72" s="3">
        <f>1495.8+(1866.7-1177)+(0+(0-0))+0-398.5-0</f>
        <v>1787</v>
      </c>
      <c r="O72" s="3">
        <f>1495.7+(1784-1031.3)+(1.525614+(1.81968-1.051926))+0-385.7-0.393414000000061</f>
        <v>1864.599954</v>
      </c>
      <c r="P72" s="3">
        <f>1494.1+(1449.1-607.2)+(-1.523982+(-1.478082--0.619344))+0-383.3--0.390966000000061</f>
        <v>1950.7082460000001</v>
      </c>
      <c r="Q72" s="3">
        <f>1497.1+(1116.4-297.8)+(0+(0-0))+0-387.4-0</f>
        <v>1928.2999999999997</v>
      </c>
      <c r="R72" s="3">
        <f>1522.6+(1127.1-325.7)+(-0.776526+(-0.574821--0.166107))+0-388.8--0.198287999999961</f>
        <v>1934.2130480000003</v>
      </c>
      <c r="S72" s="3">
        <f>1439.2+(1373.4-547.1)+(-1.467984+(-1.400868--0.558042))+0-387.9--0.395658000000062</f>
        <v>1875.6848480000001</v>
      </c>
      <c r="T72" s="3">
        <f>1537+(1420.4-677)+(0+(0-0))+0-378.5-0</f>
        <v>1901.9</v>
      </c>
      <c r="U72" s="3">
        <f>1635.4+(1388.2-735.7)+(-1.668108+(-1.415964--0.750414))+0-360.7--0.367914000000058</f>
        <v>1925.2342560000002</v>
      </c>
      <c r="V72" s="3">
        <f>1634.2+(1376.3-712.3)+(-2.500326+(-2.105739--1.089819))+0-359.4--0.549882000000021</f>
        <v>1935.8336359999996</v>
      </c>
      <c r="W72" s="3">
        <f>1634.9+(1457.4-806.7)+(-5.002794+(-4.459644--2.468502))+0-365.7--1.11904200000004</f>
        <v>1914.0251060000005</v>
      </c>
      <c r="X72" s="3">
        <f>1637.1+(1812.8-1220.2)+(-0.834921+(-0.924528--0.622302))+0-366.2--0.186761999999963</f>
        <v>1862.5496149999999</v>
      </c>
      <c r="Y72" s="3">
        <f>1636.6+(1664.7-1112.8)+(-1.669332+(-1.697994--1.135056))+0-380.3--0.387906000000061</f>
        <v>1806.3556360000002</v>
      </c>
      <c r="Z72" s="3">
        <f>1833.1+(1408.8-959.6)+(0.934881+(0.718488-0.489396))+0-372.9-0.190178999999962</f>
        <v>1910.3737939999999</v>
      </c>
      <c r="AA72" s="3">
        <f>1942.2+(1219-754.9)+(-1.981044+(-1.24338--0.769998))+0-385.4--0.393108000000061</f>
        <v>2018.8386820000003</v>
      </c>
      <c r="AB72" s="3">
        <f>1944.1+(1757.9-1353.8)+(-1.982982+(-1.793058--1.380876))+0-378.6--0.38617200000006</f>
        <v>1967.5910079999999</v>
      </c>
      <c r="AC72" s="3">
        <f>1944+(2549-2239.4)+(0.99144+(1.29999-1.142094))+0-383.3-0.195482999999961</f>
        <v>1871.2538529999999</v>
      </c>
      <c r="AD72" s="2">
        <v>2006.9999999999998</v>
      </c>
      <c r="AE72" s="3">
        <f>1939+(1166-703.3)+(0+(0-0))+0-390.7-0</f>
        <v>2010.9999999999998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1813.8+(2932.1-2547.7)+(-3.700152+(-5.981484--5.197308))+0-384.8--0.784991999999983</f>
        <v>1809.7006639999997</v>
      </c>
      <c r="G73" s="3">
        <f>1595.2+(2814.9-2303.7)+(0+(0-0))+0-387.4-0</f>
        <v>1719.0000000000005</v>
      </c>
      <c r="H73" s="3">
        <f>1499.7+(2769-2222.2)+(-0.764847+(-1.41219--1.133322))+0-387.3--0.197522999999961</f>
        <v>1658.3538080000003</v>
      </c>
      <c r="I73" s="3">
        <f>1499.3+(2397.4-1884)+(2.293929+(3.668022-2.88252))+0-395.3-0.604809000000023</f>
        <v>1619.8746220000003</v>
      </c>
      <c r="J73" s="3">
        <f>1499.1+(2254.9-1755.7)+(-2.293623+(-3.449997--2.686221))+0-395.3--0.604809000000023</f>
        <v>1600.5474099999999</v>
      </c>
      <c r="K73" s="3">
        <f>1498.7+(2252.8-1777.9)+(-3.821685+(-5.74464--4.533645))+0-388.6--0.990929999999944</f>
        <v>1580.9582500000001</v>
      </c>
      <c r="L73" s="3">
        <f>1497.9+(2312.3-1878.8)+(-1.527858+(-2.358546--1.916376))+0-386.1--0.393822000000062</f>
        <v>1543.7237940000005</v>
      </c>
      <c r="M73" s="3">
        <f>1499.5+(2116.7-1591.9)+(-0.764745+(-1.079517--0.811869))+0-390.5--0.19915499999996</f>
        <v>1632.9667619999998</v>
      </c>
      <c r="N73" s="3">
        <f>1497.5+(1910.2-1244.1)+(3.818625+(4.87101-3.172455))+0-393.5-1.00342499999994</f>
        <v>1774.6137550000003</v>
      </c>
      <c r="O73" s="3">
        <f>1499.7+(1685.5-934.4)+(3.824235+(4.298025-2.38272))+0-397.2-1.01285999999994</f>
        <v>1858.3266800000001</v>
      </c>
      <c r="P73" s="3">
        <f>1498.4+(1234-443.3)+(3.056736+(2.51736-0.904332))+0-389-0.793559999999983</f>
        <v>1903.9762040000005</v>
      </c>
      <c r="Q73" s="3">
        <f>1554.6+(1003.4-218.4)+(1.585692+(1.023468-0.222768))+0-393.9-0.401778000000063</f>
        <v>1947.6846139999996</v>
      </c>
      <c r="R73" s="3">
        <f>1591.8+(1046.6-299)+(0.811818+(0.533766-0.15249))+0-399.4-0.203693999999959</f>
        <v>1940.9893999999997</v>
      </c>
      <c r="S73" s="3">
        <f>1591.3+(1271-588.5)+(-1.623126+(-1.29642--0.60027))+0-399.5--0.407490000000064</f>
        <v>1872.3882140000001</v>
      </c>
      <c r="T73" s="3">
        <f>1590.8+(1361-697)+(-0.811308+(-0.69411--0.35547))+0-399.2--0.20359199999996</f>
        <v>1854.653644</v>
      </c>
      <c r="U73" s="3">
        <f>1589.8+(1357.9-665.9)+(-1.621596+(-1.385058--0.679218))+0-400.8--0.408816000000064</f>
        <v>1879.0813800000003</v>
      </c>
      <c r="V73" s="3">
        <f>1591.5+(1481.1-791.7)+(0.811665+(0.755361-0.403767))+0-397.9-0.20292899999996</f>
        <v>1883.9603299999994</v>
      </c>
      <c r="W73" s="3">
        <f>1588.6+(1625.9-955.9)+(-1.620372+(-1.658418--0.975018))+0-402.8--0.410856000000064</f>
        <v>1853.9070839999997</v>
      </c>
      <c r="X73" s="3">
        <f>1591+(1966.4-1340.8)+(-1.62282+(-2.005728--1.367616))+0-400.4--0.408408000000064</f>
        <v>1814.3474760000001</v>
      </c>
      <c r="Y73" s="3">
        <f>1603.9+(1599-1063.1)+(-1.635978+(-1.63098--1.084362))+0-385--0.392700000000061</f>
        <v>1753.0101040000002</v>
      </c>
      <c r="Z73" s="3">
        <f>1853.8+(1963.7-1557.4)+(-2.836314+(-3.004461--2.382822))+0-388.9--0.595017000000022</f>
        <v>1868.3370639999998</v>
      </c>
      <c r="AA73" s="3">
        <f>2046.1+(1814.4-1473.4)+(-4.174044+(-3.701376--3.005736))+0-399.9--0.815795999999983</f>
        <v>1983.1461120000001</v>
      </c>
      <c r="AB73" s="3">
        <f>2050.1+(2338.6-2045.8)+(-3.136653+(-3.578058--3.130074))+0-401.8--0.614754000000023</f>
        <v>1938.1301169999997</v>
      </c>
      <c r="AC73" s="3">
        <f>2046.8+(2689.6-2440.3)+(-4.175472+(-5.486784--4.978212))+0-405.8--0.827831999999982</f>
        <v>1886.4437879999994</v>
      </c>
      <c r="AD73" s="2">
        <v>1998.8</v>
      </c>
      <c r="AE73" s="3">
        <f>2042+(1923.5-1558.5)+(0+(0-0))+0-405.2-0</f>
        <v>2001.8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2042.7+(2592.6-2489.4)+(-3.125331+(-3.966678--3.808782))+0-404.8--0.619344000000023</f>
        <v>1738.4361169999997</v>
      </c>
      <c r="G74" s="3">
        <f>1922.5+(2824.8-2604.1)+(-0.980475+(-1.440648--1.328091))+0-406.1--0.207110999999959</f>
        <v>1736.2140790000001</v>
      </c>
      <c r="H74" s="3">
        <f>1759.5+(2643.7-2392.7)+(-1.79469+(-2.696574--2.440554))+0-406.3--0.414426000000065</f>
        <v>1602.5637160000001</v>
      </c>
      <c r="I74" s="3">
        <f>1637.3+(2314.2-1979.1)+(-0.835023+(-1.180242--1.009341))+0-409.1--0.208640999999958</f>
        <v>1562.5027169999996</v>
      </c>
      <c r="J74" s="3">
        <f>1597.7+(2153.7-1796.1)+(-5.703789+(-7.688709--6.412077))+0-407.7--1.45548900000001</f>
        <v>1542.0750679999999</v>
      </c>
      <c r="K74" s="3">
        <f>1596.9+(2059.6-1734)+(-8.14419+(-10.50396--8.8434))+0-406.8--2.07468000000003</f>
        <v>1507.96993</v>
      </c>
      <c r="L74" s="3">
        <f>1539.3+(2103.5-1775.7)+(-1.570086+(-2.14557--1.811214))+0-402--0.410040000000064</f>
        <v>1463.6055979999999</v>
      </c>
      <c r="M74" s="3">
        <f>1496.4+(1908.6-1526.3)+(2.289492+(2.920158-2.335239))+0-400.5-0.612765000000023</f>
        <v>1480.461646</v>
      </c>
      <c r="N74" s="3">
        <f>1495.9+(1784.2-1322.3)+(3.051636+(3.639768-2.697492))+0-405.5-0.827219999999982</f>
        <v>1555.4666920000002</v>
      </c>
      <c r="O74" s="3">
        <f>1470+(1959-1410.2)+(-0.7497+(-0.99909--0.719202))+0-408.4--0.208283999999959</f>
        <v>1609.5786959999998</v>
      </c>
      <c r="P74" s="3">
        <f>1456.7+(1875-1219.8)+(0+(0-0))+0-410.8-0</f>
        <v>1701.1000000000001</v>
      </c>
      <c r="Q74" s="3">
        <f>1495+(1777.6-1139.6)+(0+(0-0))+0-397.4-0</f>
        <v>1735.6</v>
      </c>
      <c r="R74" s="3">
        <f>1499.1+(2037.6-1387.5)+(2.293623+(3.117528-2.122875))+0-401.4-0.614142000000023</f>
        <v>1750.4741339999998</v>
      </c>
      <c r="S74" s="3">
        <f>1503.6+(1970.4-1343.6)+(-1.533672+(-2.009808--1.370472))+0-407.1--0.415242000000065</f>
        <v>1721.542234</v>
      </c>
      <c r="T74" s="3">
        <f>1583.7+(2021.6-1477.1)+(-1.615374+(-2.062032--1.506642))+0-401.4--0.409428000000064</f>
        <v>1725.0386639999999</v>
      </c>
      <c r="U74" s="3">
        <f>1592.1+(2263.7-1742.3)+(0+(0-0))+0-390.9-0</f>
        <v>1722.6</v>
      </c>
      <c r="V74" s="3">
        <f>1594+(2129.4-1590.8)+(-0.81294+(-1.085994--0.811308))+0-403--0.205529999999959</f>
        <v>1728.7179040000003</v>
      </c>
      <c r="W74" s="3">
        <f>1589.3+(2022.2-1470.6)+(-1.621086+(-2.062644--1.500012))+0-405.3--0.413406000000065</f>
        <v>1733.829688</v>
      </c>
      <c r="X74" s="3">
        <f>1582.3+(1924.1-1390.8)+(-4.034865+(-4.906455--3.54654))+0-398.4--1.01591999999994</f>
        <v>1712.8211399999998</v>
      </c>
      <c r="Y74" s="3">
        <f>1588.2+(1727.1-1241.2)+(-1.619964+(-1.761642--1.266024))+0-401.6--0.409632000000064</f>
        <v>1670.7940500000002</v>
      </c>
      <c r="Z74" s="3">
        <f>1788.8+(1418.1-1021.9)+(-0.912288+(-0.723231--0.521169))+0-405.3--0.206702999999959</f>
        <v>1778.7923530000003</v>
      </c>
      <c r="AA74" s="3">
        <f>1903.6+(1177.2-768.2)+(-3.883344+(-2.401488--1.567128))+0-402.3--0.820691999999982</f>
        <v>1906.4029879999998</v>
      </c>
      <c r="AB74" s="3">
        <f>1938.5+(1395.6-1064.2)+(-0.988635+(-0.711756--0.542742))+0-399.6--0.203795999999959</f>
        <v>1869.3461469999995</v>
      </c>
      <c r="AC74" s="3">
        <f>1929.9+(1904.7-1607.7)+(-4.921245+(-4.856985--4.099635))+0-395.5--1.00852499999994</f>
        <v>1826.7299300000002</v>
      </c>
      <c r="AD74" s="2">
        <v>1917.5000000000002</v>
      </c>
      <c r="AE74" s="3">
        <f>1937+(1211.1-830.3)+(0+(0-0))+0-396.3-0</f>
        <v>1921.5000000000002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1798.7+(2090.5-1734.7)+(0.917337+(1.066155-0.884697))+0-404-0.206039999999959</f>
        <v>1751.3927549999999</v>
      </c>
      <c r="G75" s="3">
        <f>1612.4+(2558.3-2120.2)+(0+(0-0))+0-401.1-0</f>
        <v>1649.4000000000005</v>
      </c>
      <c r="H75" s="3">
        <f>1492.4+(2769.1-2269.2)+(3.044496+(5.648964-4.629168))+0-402.3-0.820691999999982</f>
        <v>1593.2436000000002</v>
      </c>
      <c r="I75" s="3">
        <f>1499.4+(2616.4-2150)+(-4.588164+(-8.006184--6.579))+0-405.5--1.24083000000005</f>
        <v>1555.5254820000002</v>
      </c>
      <c r="J75" s="3">
        <f>1498.1+(2029.4-1565.9)+(-0.764031+(-1.034994--0.798609))+0-408.4--0.208283999999959</f>
        <v>1552.407868</v>
      </c>
      <c r="K75" s="3">
        <f>1497.9+(1896.7-1457)+(-4.583574+(-5.803902--4.45842))+0-405.6--1.24113600000005</f>
        <v>1527.3120800000002</v>
      </c>
      <c r="L75" s="3">
        <f>1498.9+(2019.8-1614.3)+(-3.822195+(-5.15049--4.116465))+0-400.5--1.02127499999994</f>
        <v>1500.065055</v>
      </c>
      <c r="M75" s="3">
        <f>1496.5+(1927.2-1450.6)+(0+(0-0))+0-398.7-0</f>
        <v>1574.4</v>
      </c>
      <c r="N75" s="3">
        <f>1497.3+(1793.9-1160.5)+(0+(0-0))+0-402-0</f>
        <v>1728.6999999999998</v>
      </c>
      <c r="O75" s="3">
        <f>1493.8+(1700.4-983.5)+(0+(0-0))+0-405.3-0</f>
        <v>1805.3999999999999</v>
      </c>
      <c r="P75" s="3">
        <f>1497.6+(1629.7-873.5)+(-0.763776+(-0.831147--0.445485))+0-388--0.197879999999961</f>
        <v>1864.8484420000002</v>
      </c>
      <c r="Q75" s="3">
        <f>1495.8+(1201.7-423.1)+(-0.762858+(-0.612867--0.215781))+0-386.8--0.197267999999961</f>
        <v>1886.637324</v>
      </c>
      <c r="R75" s="3">
        <f>1533+(1065.4-408.3)+(-0.78183+(-0.543354--0.208233))+0-318.2--0.162281999999968</f>
        <v>1870.9453310000004</v>
      </c>
      <c r="S75" s="3">
        <f>1612.2+(1248-681.6)+(-0.822222+(-0.63648--0.347616))+0-325.3--0.165902999999967</f>
        <v>1852.3548170000001</v>
      </c>
      <c r="T75" s="3">
        <f>1617.7+(1233.5-659.8)+(-1.650054+(-1.25817--0.672996))+0-336.9--0.343638000000054</f>
        <v>1852.60841</v>
      </c>
      <c r="U75" s="3">
        <f>1613.3+(1293.1-674.5)+(-1.645566+(-1.318962--0.68799))+0-362.5--0.369750000000058</f>
        <v>1867.4932119999996</v>
      </c>
      <c r="V75" s="3">
        <f>1616.2+(1377.7-724.9)+(-2.472786+(-2.107881--1.109097))+0-374.9--0.573597000000022</f>
        <v>1891.2020269999998</v>
      </c>
      <c r="W75" s="3">
        <f>1617.7+(1667.1-1040.4)+(-2.475081+(-2.550663--1.591812))+0-371.2--0.567936000000021</f>
        <v>1870.3340039999996</v>
      </c>
      <c r="X75" s="3">
        <f>1619.2+(2057.7-1444.9)+(-4.12896+(-5.247135--3.684495))+0-392.7--1.00138499999994</f>
        <v>1834.6097849999999</v>
      </c>
      <c r="Y75" s="3">
        <f>1622.2+(2163.9-1614.9)+(-3.309288+(-4.414356--3.294396))+0-385.2--0.785807999999983</f>
        <v>1782.3565599999999</v>
      </c>
      <c r="Z75" s="3">
        <f>1831.6+(2317.9-1879.1)+(-1.868232+(-2.364258--1.916682))+0-379.9--0.387498000000061</f>
        <v>1888.5716900000002</v>
      </c>
      <c r="AA75" s="3">
        <f>1969.9+(2111.2-1699.8)+(-5.023245+(-5.38356--4.33449))+0-375.7--0.958034999999945</f>
        <v>2000.4857200000001</v>
      </c>
      <c r="AB75" s="3">
        <f>1961.2+(2213-1844.1)+(-4.000848+(-4.51452--3.761964))+0-380.6--0.776423999999983</f>
        <v>1945.5230200000003</v>
      </c>
      <c r="AC75" s="3">
        <f>1888.8+(2412.1-2030.5)+(-0.963288+(-1.230171--1.035555))+0-397.1--0.20252099999996</f>
        <v>1872.3446169999995</v>
      </c>
      <c r="AD75" s="2">
        <v>1969.6000000000006</v>
      </c>
      <c r="AE75" s="3">
        <f>1969+(2131.1-1759.7)+(0+(0-0))+0-366.8-0</f>
        <v>1973.5999999999997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1709.5+(2641.2-2167.8)+(0+(0-0))+0-404.9-0</f>
        <v>1777.9999999999995</v>
      </c>
      <c r="G76" s="3">
        <f>1504.4+(2878.2-2303.5)+(-1.534488+(-2.935764--2.34957))+0-405.8--0.413916000000065</f>
        <v>1671.5932339999997</v>
      </c>
      <c r="H76" s="3">
        <f>1505.7+(2905.1-2379.8)+(0.767907+(1.481601-1.213698))+0-410.3-0.209252999999958</f>
        <v>1621.5265569999999</v>
      </c>
      <c r="I76" s="3">
        <f>1505.4+(2666.5-2181.4)+(1.535508+(2.71983-2.225028))+0-408-0.416160000000065</f>
        <v>1584.1141500000001</v>
      </c>
      <c r="J76" s="3">
        <f>1505+(2695.5-2231.5)+(-1.5351+(-2.74941--2.27613))+0-409.7--0.417894000000065</f>
        <v>1557.7095140000001</v>
      </c>
      <c r="K76" s="3">
        <f>1504+(2570.1-2131.6)+(-1.53408+(-2.621502--2.174232))+0-406.8--0.414936000000065</f>
        <v>1534.1335860000002</v>
      </c>
      <c r="L76" s="3">
        <f>1503.3+(2451.1-2069.3)+(-4.600098+(-7.500366--6.332058))+0-400.2--1.22461200000005</f>
        <v>1480.3562059999997</v>
      </c>
      <c r="M76" s="3">
        <f>1501.4+(2201.9-1771.6)+(3.062856+(4.491876-3.614064))+0-407-0.830279999999982</f>
        <v>1527.8103880000003</v>
      </c>
      <c r="N76" s="3">
        <f>1505.6+(1987.3-1470)+(0+(0-0))+0-403.4-0</f>
        <v>1619.5</v>
      </c>
      <c r="O76" s="3">
        <f>1503.3+(1950.3-1369.5)+(-0.766683+(-0.994653--0.698445))+0-399.8--0.203897999999959</f>
        <v>1683.4410069999999</v>
      </c>
      <c r="P76" s="3">
        <f>1502+(1909.1-1268.7)+(0+(0-0))+0-402.1-0</f>
        <v>1740.2999999999997</v>
      </c>
      <c r="Q76" s="3">
        <f>1504.5+(1645-974.5)+(0+(0-0))+0-390.5-0</f>
        <v>1784.5</v>
      </c>
      <c r="R76" s="3">
        <f>1503.8+(1638-976.9)+(0+(0-0))+0-387.3-0</f>
        <v>1777.6000000000001</v>
      </c>
      <c r="S76" s="3">
        <f>1656.5+(1769.1-1289)+(-3.37926+(-3.608964--2.62956))+0-385.8--0.787031999999983</f>
        <v>1747.228368</v>
      </c>
      <c r="T76" s="3">
        <f>1702.6+(1895.3-1473.8)+(0.868326+(0.966603-0.751638))+0-376.7-0.192116999999962</f>
        <v>1748.2911739999997</v>
      </c>
      <c r="U76" s="3">
        <f>1699.5+(1884.3-1429.6)+(-0.866745+(-0.960993--0.729096))+0-382.7--0.195176999999961</f>
        <v>1770.5965349999999</v>
      </c>
      <c r="V76" s="3">
        <f>1699.9+(1951.1-1482.9)+(1.733898+(1.990122-1.512558))+0-387.8-0.395556000000062</f>
        <v>1782.115906</v>
      </c>
      <c r="W76" s="3">
        <f>1672.8+(1926.2-1434.7)+(-2.559384+(-2.947086--2.195091))+0-393.2--0.601596000000023</f>
        <v>1768.3902169999999</v>
      </c>
      <c r="X76" s="3">
        <f>1638.8+(2033.6-1535.2)+(-1.671576+(-2.074272--1.565904))+0-391.5--0.399330000000062</f>
        <v>1743.9193859999998</v>
      </c>
      <c r="Y76" s="3">
        <f>1641.7+(1874.5-1422.7)+(-1.674534+(-1.91199--1.451154))+0-390.5--0.398310000000062</f>
        <v>1701.2629400000001</v>
      </c>
      <c r="Z76" s="3">
        <f>1750.6+(1940.6-1495.7)+(0+(0-0))+0-401.7-0</f>
        <v>1793.8</v>
      </c>
      <c r="AA76" s="3">
        <f>1943.6+(1683-1309.8)+(-2.973708+(-2.57499--2.003994))+0-401.5--0.614295000000023</f>
        <v>1912.3695910000004</v>
      </c>
      <c r="AB76" s="3">
        <f>1909.4+(1688.3-1331)+(-1.947588+(-1.722066--1.35762))+0-398--0.405960000000063</f>
        <v>1866.7939259999998</v>
      </c>
      <c r="AC76" s="3">
        <f>1697.3+(1801-1319.4)+(1.731246+(1.83702-1.345788))+0-380.7-0.388314000000061</f>
        <v>1800.0341639999997</v>
      </c>
      <c r="AD76" s="2">
        <v>1864.8000000000002</v>
      </c>
      <c r="AE76" s="3">
        <f>1938+(1708.5-1378.1)+(0+(0-0))+0-399.6-0</f>
        <v>1868.8000000000002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1685.1+(2376.2-1956)+(-1.718802+(-2.423724--1.99512))+0-378.1--0.38566200000006</f>
        <v>1725.4382559999999</v>
      </c>
      <c r="G77" s="3">
        <f>1601.6+(2821.3-2437.3)+(1.633632+(2.877726-2.486046))+0-357.1-0.364242000000057</f>
        <v>1630.1610699999997</v>
      </c>
      <c r="H77" s="3">
        <f>1504.2+(2749.9-2351.2)+(-0.767142+(-1.402449--1.199112))+0-356.6--0.181865999999964</f>
        <v>1545.511387</v>
      </c>
      <c r="I77" s="3">
        <f>1505.7+(2575.1-2199.3)+(0+(0-0))+0-360.3-0</f>
        <v>1521.1999999999998</v>
      </c>
      <c r="J77" s="3">
        <f>1503.4+(2526.7-2151.7)+(-2.300202+(-3.865851--3.292101))+0-361.9--0.553707000000021</f>
        <v>1514.1797550000001</v>
      </c>
      <c r="K77" s="3">
        <f>1502.8+(2469.7-2127.2)+(-1.532856+(-2.519094--2.169744))+0-360.3--0.367506000000057</f>
        <v>1483.4853000000001</v>
      </c>
      <c r="L77" s="3">
        <f>1504.2+(2337.1-2031.5)+(-3.83571+(-5.959605--5.180325))+0-366--0.933299999999947</f>
        <v>1440.1183099999998</v>
      </c>
      <c r="M77" s="3">
        <f>1501.2+(2084.4-1721.4)+(2.296836+(3.189132-2.633742))+0-368.5-0.563805000000021</f>
        <v>1497.988421</v>
      </c>
      <c r="N77" s="3">
        <f>1502.8+(2009.7-1542.9)+(0.766428+(1.024947-0.786879))+0-371.5-0.189464999999962</f>
        <v>1598.915031</v>
      </c>
      <c r="O77" s="3">
        <f>1503.3+(2231.8-1669.5)+(1.533366+(2.276436-1.70289))+0-374.4-0.38188800000006</f>
        <v>1692.9250240000003</v>
      </c>
      <c r="P77" s="3">
        <f>1503.6+(2237-1607.8)+(0+(0-0))+0-378.1-0</f>
        <v>1754.7000000000003</v>
      </c>
      <c r="Q77" s="3">
        <f>1506.1+(2117.4-1443.4)+(-2.304333+(-3.239622--2.208402))+0-378.6--0.579258000000022</f>
        <v>1798.7437050000001</v>
      </c>
      <c r="R77" s="3">
        <f>1591.7+(2118.1-1508.8)+(0.811767+(1.080231-0.769488))+0-381.3-0.194462999999961</f>
        <v>1820.6280470000002</v>
      </c>
      <c r="S77" s="3">
        <f>1675.3+(2306.4-1819.8)+(-4.272015+(-5.88132--4.64049))+0-383.7--0.978434999999944</f>
        <v>1773.6655899999998</v>
      </c>
      <c r="T77" s="3">
        <f>1681.4+(2311.4-1837.4)+(-4.28757+(-5.89407--4.68537))+0-377.9--0.963644999999945</f>
        <v>1772.9673749999999</v>
      </c>
      <c r="U77" s="3">
        <f>1681.2+(2448.9-1961.9)+(0+(0-0))+0-366.9-0</f>
        <v>1801.2999999999997</v>
      </c>
      <c r="V77" s="3">
        <f>1680.9+(2384.5-1912.2)+(-2.571777+(-3.648285--2.925666))+0-353.7--0.54116100000002</f>
        <v>1796.7467650000001</v>
      </c>
      <c r="W77" s="3">
        <f>1680.9+(1957.9-1475.3)+(-4.286295+(-4.992645--3.762015))+0-366--0.933299999999947</f>
        <v>1792.916375</v>
      </c>
      <c r="X77" s="3">
        <f>1670.7+(1254.1-774.3)+(-4.260285+(-3.197955--1.974465))+0-383.6--0.978179999999944</f>
        <v>1762.3944049999998</v>
      </c>
      <c r="Y77" s="3">
        <f>1664.6+(1311.8-867.2)+(-2.546838+(-2.007054--1.326816))+0-381.4--0.583542000000022</f>
        <v>1725.1564659999997</v>
      </c>
      <c r="Z77" s="3">
        <f>1714.5+(1578.4-1079.4)+(1.74879+(1.609968-1.100988))+0-380.5-0.388110000000061</f>
        <v>1834.8696600000001</v>
      </c>
      <c r="AA77" s="3">
        <f>1900.7+(1529.9-1084.5)+(-0.969357+(-0.780249--0.553095))+0-382.5--0.195074999999961</f>
        <v>1962.5985640000001</v>
      </c>
      <c r="AB77" s="3">
        <f>1927+(1789.3-1401)+(-2.94831+(-2.737629--2.14353))+0-389.2--0.595476000000022</f>
        <v>1923.153067</v>
      </c>
      <c r="AC77" s="3">
        <f>1887.8+(2291.4-1878.3)+(-1.925556+(-2.337228--1.915866))+0-405.1--0.413202000000065</f>
        <v>1893.866284</v>
      </c>
      <c r="AD77" s="2">
        <v>1894.5000000000002</v>
      </c>
      <c r="AE77" s="3">
        <f>1886+(1624.6-1230.8)+(0+(0-0))+0-381.3-0</f>
        <v>1898.5000000000002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1553.8+(2688.9-2052.2)+(0+(0-0))+0-405.6-0</f>
        <v>1784.9</v>
      </c>
      <c r="G78" s="3">
        <f>1443.4+(2852.4-2196.7)+(-2.944536+(-5.818896--4.481268))+0-411.7--0.839867999999982</f>
        <v>1683.9577040000001</v>
      </c>
      <c r="H78" s="3">
        <f>1454.2+(2651.9-2057)+(-3.70821+(-6.762345--5.24535))+0-406.4--1.03631999999994</f>
        <v>1638.5111150000005</v>
      </c>
      <c r="I78" s="3">
        <f>1452+(2670.9-2109.4)+(-1.48104+(-2.724318--2.151588))+0-406.5--0.414630000000065</f>
        <v>1605.36086</v>
      </c>
      <c r="J78" s="3">
        <f>1452.8+(2811.8-2261.8)+(-0.740928+(-1.434018--1.153518))+0-405.2--0.206651999999959</f>
        <v>1596.7852239999997</v>
      </c>
      <c r="K78" s="3">
        <f>1451.6+(2637.4-2102.5)+(-0.740316+(-1.345074--1.072275))+0-404.3--0.206192999999959</f>
        <v>1581.3930780000001</v>
      </c>
      <c r="L78" s="3">
        <f>1451.8+(2261.3-1753.6)+(0+(0-0))+0-403.4-0</f>
        <v>1556.1000000000004</v>
      </c>
      <c r="M78" s="3">
        <f>1485.2+(2274.5-1692)+(2.272356+(3.479985-2.58876))+0-402.3-0.615519000000023</f>
        <v>1667.9480619999997</v>
      </c>
      <c r="N78" s="3">
        <f>1501.3+(2176.1-1459.3)+(-2.296989+(-3.329433--2.232729))+0-398.1--0.609093000000023</f>
        <v>1817.2154</v>
      </c>
      <c r="O78" s="3">
        <f>1500.1+(1902.2-1094)+(0+(0-0))+0-378.5-0</f>
        <v>1929.8000000000002</v>
      </c>
      <c r="P78" s="3">
        <f>1501.7+(1578.3-690.4)+(0+(0-0))+0-393.3-0</f>
        <v>1996.3</v>
      </c>
      <c r="Q78" s="3">
        <f>1501.7+(1311.1-373.6)+(0+(0-0))+0-393-0</f>
        <v>2046.1999999999998</v>
      </c>
      <c r="R78" s="3">
        <f>1560.9+(1260.5-377)+(1.592118+(1.28571-0.38454))+0-393.6-0.401472000000063</f>
        <v>2052.8918160000003</v>
      </c>
      <c r="S78" s="3">
        <f>1686.9+(1442-753.5)+(-0.860319+(-0.73542--0.384285))+0-375.5--0.191504999999962</f>
        <v>1998.8800510000003</v>
      </c>
      <c r="T78" s="3">
        <f>1687.5+(1379.8-704.7)+(-0.860625+(-0.703698--0.359397))+0-361.1--0.184160999999963</f>
        <v>2000.479235</v>
      </c>
      <c r="U78" s="3">
        <f>1685.2+(1439.1-747)+(0+(0-0))+0-361.1-0</f>
        <v>2016.2000000000003</v>
      </c>
      <c r="V78" s="3">
        <f>1682.3+(1503.1-795.3)+(-3.431892+(-3.066324--1.622412))+0-374.4--0.763775999999984</f>
        <v>2011.587972</v>
      </c>
      <c r="W78" s="3">
        <f>1656.5+(1700-949.7)+(-5.06889+(-5.202--2.906082))+0-403.2--1.23379200000005</f>
        <v>1997.4689840000003</v>
      </c>
      <c r="X78" s="3">
        <f>1655.1+(2066-1371.5)+(-7.596909+(-9.48294--6.295185))+0-398.2--1.82773800000007</f>
        <v>1942.4430740000003</v>
      </c>
      <c r="Y78" s="3">
        <f>1662.1+(1689-1077.8)+(-4.238355+(-4.30695--2.74839))+0-405.2--1.03325999999994</f>
        <v>1863.3363450000002</v>
      </c>
      <c r="Z78" s="3">
        <f>1820.7+(1575.3-1029.5)+(-2.785671+(-2.410209--1.575135))+0-411.3--0.629289000000024</f>
        <v>1952.2085439999998</v>
      </c>
      <c r="AA78" s="3">
        <f>1935.5+(1441.3-896.9)+(-0.987105+(-0.735063--0.457419))+0-405.6--0.206855999999959</f>
        <v>2073.242107</v>
      </c>
      <c r="AB78" s="3">
        <f>1935.7+(1696.9-1189)+(-4.936035+(-4.327095--3.03195))+0-403.4--1.02866999999994</f>
        <v>2034.99749</v>
      </c>
      <c r="AC78" s="3">
        <f>1900.3+(2170.2-1679)+(-3.876612+(-4.427208--3.42516))+0-401.8--0.819671999999983</f>
        <v>1985.6410120000003</v>
      </c>
      <c r="AD78" s="2">
        <v>2069.6999999999998</v>
      </c>
      <c r="AE78" s="3">
        <f>1930+(1417.8-854.3)+(0+(0-0))+0-420.8-0</f>
        <v>2072.6999999999998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1636.7+(2161.1-1510.7)+(-0.834717+(-1.102161--0.770457))+0-406.4--0.207263999999959</f>
        <v>1879.7408429999998</v>
      </c>
      <c r="G79" s="3">
        <f>1492.8+(2850.2-2162.6)+(0+(0-0))+0-407.7-0</f>
        <v>1772.6999999999996</v>
      </c>
      <c r="H79" s="3">
        <f>1396.4+(2971.1-2244.2)+(-0.712164+(-1.515261--1.144542))+0-412.1--0.210170999999958</f>
        <v>1710.3272880000002</v>
      </c>
      <c r="I79" s="3">
        <f>1374.4+(2855.4-2147.6)+(-2.102832+(-4.368762--3.285828))+0-407.4--0.623322000000023</f>
        <v>1672.237556</v>
      </c>
      <c r="J79" s="3">
        <f>1374.6+(2869.2-2177.2)+(-2.103138+(-4.389876--3.331116))+0-406.4--0.621792000000023</f>
        <v>1657.6598939999999</v>
      </c>
      <c r="K79" s="3">
        <f>1374.4+(2595.7-1935.8)+(-3.50472+(-6.619035--4.93629))+0-408.4--1.04141999999994</f>
        <v>1621.7539550000001</v>
      </c>
      <c r="L79" s="3">
        <f>1374+(2351-1735.4)+(-2.10222+(-3.59703--2.655162))+0-404.7--0.619191000000023</f>
        <v>1582.4751029999998</v>
      </c>
      <c r="M79" s="3">
        <f>1373.4+(2121.2-1399.1)+(2.101302+(3.245436-2.140623))+0-400.6-0.612918000000023</f>
        <v>1697.493197</v>
      </c>
      <c r="N79" s="3">
        <f>1374.7+(2380.2-1517.9)+(3.505485+(6.06951-3.870645))+0-395.8-1.00928999999994</f>
        <v>1845.8950600000001</v>
      </c>
      <c r="O79" s="3">
        <f>1385.5+(2098.4-1156)+(1.41321+(2.140368-1.17912))+0-402.5-0.410550000000064</f>
        <v>1927.3639079999998</v>
      </c>
      <c r="P79" s="3">
        <f>1438.8+(1827.5-851.2)+(-2.201364+(-2.796075--1.302336))+0-405.6--0.620568000000023</f>
        <v>2006.425465</v>
      </c>
      <c r="Q79" s="3">
        <f>1502.9+(1511.6-620.1)+(2.299437+(2.312748-0.948753))+0-409.6-0.626688000000024</f>
        <v>1987.836744</v>
      </c>
      <c r="R79" s="3">
        <f>1494.5+(1395.2-470)+(0+(0-0))+0-409.3-0</f>
        <v>2010.3999999999999</v>
      </c>
      <c r="S79" s="3">
        <f>1489.5+(1527-614.1)+(-0.759645+(-0.77877--0.313191))+0-407.7--0.207926999999959</f>
        <v>1993.6827030000002</v>
      </c>
      <c r="T79" s="3">
        <f>1657.4+(1420.7-676.1)+(-0.845274+(-0.724557--0.344811))+0-394--0.20093999999996</f>
        <v>2006.9759200000001</v>
      </c>
      <c r="U79" s="3">
        <f>1680.4+(1386-633.5)+(0.857004+(0.70686-0.323085))+0-408.7-0.208436999999959</f>
        <v>2025.2323420000002</v>
      </c>
      <c r="V79" s="3">
        <f>1667.9+(1425.4-636.2)+(-1.701258+(-1.453908--0.648924))+0-404.9--0.412998000000065</f>
        <v>2050.1067560000006</v>
      </c>
      <c r="W79" s="3">
        <f>1672.6+(1562.3-816.5)+(-3.412104+(-3.187092--1.66566))+0-397.9--0.811715999999983</f>
        <v>2016.3781799999995</v>
      </c>
      <c r="X79" s="3">
        <f>1689.4+(2037.2-1352.7)+(-1.723188+(-2.077944--1.379754))+0-396.7--0.404634000000063</f>
        <v>1975.183256</v>
      </c>
      <c r="Y79" s="3">
        <f>1691.8+(1866.3-1262.3)+(-3.451272+(-3.807252--2.575092))+0-401.9--0.819875999999982</f>
        <v>1890.0364440000003</v>
      </c>
      <c r="Z79" s="3">
        <f>1910.3+(1787.5-1325)+(-0.974253+(-0.911625--0.67575))+0-405.2--0.206651999999959</f>
        <v>1966.5965239999998</v>
      </c>
      <c r="AA79" s="3">
        <f>1936.7+(1473.4-914.7)+(-2.963151+(-2.254302--1.399491))+0-403.6--0.617508000000023</f>
        <v>2088.5995459999999</v>
      </c>
      <c r="AB79" s="3">
        <f>1937+(1915.3-1396.1)+(0+(0-0))+0-404.3-0</f>
        <v>2051.8999999999996</v>
      </c>
      <c r="AC79" s="3">
        <f>1900.1+(2604.7-2103.5)+(-2.907153+(-3.985191--3.218355))+0-404.3--0.618579000000023</f>
        <v>1993.9445899999998</v>
      </c>
      <c r="AD79" s="2">
        <v>2068.2999999999997</v>
      </c>
      <c r="AE79" s="3">
        <f>1934+(1707.7-1142.6)+(0+(0-0))+0-426.8-0</f>
        <v>2072.3000000000002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1754.1+(2931.7-2371.6)+(-1.789182+(-2.990334--2.419032))+0-405.9--0.414018000000065</f>
        <v>1906.3535340000001</v>
      </c>
      <c r="G80" s="3">
        <f>1591.8+(2661.7-2050.7)+(-1.623636+(-2.714934--2.091714))+0-405.2--0.413304000000065</f>
        <v>1795.7664480000001</v>
      </c>
      <c r="H80" s="3">
        <f>1498.9+(2642.4-2012.1)+(0+(0-0))+0-407.2-0</f>
        <v>1722.0000000000002</v>
      </c>
      <c r="I80" s="3">
        <f>1497.6+(2450.1-1842)+(-0.763776+(-1.249551--0.93942))+0-410.7--0.209456999999958</f>
        <v>1694.1355499999997</v>
      </c>
      <c r="J80" s="3">
        <f>1497.5+(2158.4-1593.5)+(-2.291175+(-3.302352--2.438055))+0-397.3--0.607869000000023</f>
        <v>1662.5523970000002</v>
      </c>
      <c r="K80" s="3">
        <f>1498.5+(2246.3-1698.8)+(-1.52847+(-2.291226--1.732776))+0-395.1--0.403002000000063</f>
        <v>1649.2160820000004</v>
      </c>
      <c r="L80" s="3">
        <f>1496.9+(2068.2-1542.4)+(-3.053676+(-4.219128--3.146496))+0-409.9--0.836195999999982</f>
        <v>1609.5098879999998</v>
      </c>
      <c r="M80" s="3">
        <f>1497.9+(1960.4-1366.5)+(2.291787+(2.999412-2.090745))+0-409-0.625770000000024</f>
        <v>1685.3746839999999</v>
      </c>
      <c r="N80" s="3">
        <f>1530.4+(1816.4-1105)+(2.341512+(2.779092-1.69065))+0-409.7-0.626841000000024</f>
        <v>1834.9031130000003</v>
      </c>
      <c r="O80" s="3">
        <f>1537.6+(1453.9-637.8)+(0+(0-0))+0-410.5-0</f>
        <v>1943.1999999999998</v>
      </c>
      <c r="P80" s="3">
        <f>1515.9+(1181.1-296.3)+(0.773109+(0.602361-0.151113))+0-407.8-0.207977999999959</f>
        <v>1993.916379</v>
      </c>
      <c r="Q80" s="3">
        <f>1549.5+(983.1-167.6)+(0+(0-0))+0-339.8-0</f>
        <v>2025.2</v>
      </c>
      <c r="R80" s="3">
        <f>1543.9+(1061.2-168.8)+(0+(0-0))+0-402-0</f>
        <v>2034.3000000000002</v>
      </c>
      <c r="S80" s="3">
        <f>1661.6+(1017-304.5)+(-2.542248+(-1.55601--0.465885))+0-409.3--0.626229000000024</f>
        <v>1961.793856</v>
      </c>
      <c r="T80" s="3">
        <f>1668.1+(1119.5-407.6)+(-1.701462+(-1.14189--0.415752))+0-411.6--0.419832000000066</f>
        <v>1966.3922320000001</v>
      </c>
      <c r="U80" s="3">
        <f>1670.4+(1199.6-490.5)+(-3.407616+(-2.447184--1.00062))+0-397.8--0.811511999999983</f>
        <v>1977.6573320000002</v>
      </c>
      <c r="V80" s="3">
        <f>1661.5+(1360.3-649.5)+(0.847365+(0.693753-0.331245))+0-398.5-0.20323499999996</f>
        <v>1974.806638</v>
      </c>
      <c r="W80" s="3">
        <f>1662.6+(1582-909.7)+(0+(0-0))+0-395.9-0</f>
        <v>1938.9999999999995</v>
      </c>
      <c r="X80" s="3">
        <f>1662.7+(1920-1303)+(-1.695954+(-1.9584--1.32906))+0-393.5--0.401370000000063</f>
        <v>1884.2760759999996</v>
      </c>
      <c r="Y80" s="3">
        <f>1662.8+(1460.9-931.8)+(-0.848028+(-0.745059--0.475218))+0-379.4--0.193493999999962</f>
        <v>1811.5756249999997</v>
      </c>
      <c r="Z80" s="3">
        <f>1848.7+(1732.1-1296.1)+(1.885674+(1.766742-1.322022))+0-383-0.390660000000061</f>
        <v>1903.6397339999999</v>
      </c>
      <c r="AA80" s="3">
        <f>1926.5+(1774.5-1271.2)+(-2.947545+(-2.714985--1.944936))+0-384.6--0.588438000000022</f>
        <v>2042.0708440000001</v>
      </c>
      <c r="AB80" s="3">
        <f>1928.7+(2216.4-1737.7)+(-1.967274+(-2.260728--1.772454))+0-395.4--0.403308000000063</f>
        <v>2009.9477600000002</v>
      </c>
      <c r="AC80" s="3">
        <f>1911.5+(2554.8-2114.7)+(0.974865+(1.302948-1.078497))+0-395.3-0.20160299999996</f>
        <v>1957.2977130000006</v>
      </c>
      <c r="AD80" s="2">
        <v>2017.0000000000002</v>
      </c>
      <c r="AE80" s="3">
        <f>1924+(2134.8-1647.6)+(0+(0-0))+0-392.2-0</f>
        <v>2019.0000000000002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1754.9+(2653.6-2136)+(-0.894999+(-1.353336--1.08936))+0-399.8--0.203897999999959</f>
        <v>1871.7449230000002</v>
      </c>
      <c r="G81" s="3">
        <f>1552.6+(2673.8-2072.5)+(-0.791826+(-1.363638--1.056975))+0-397.3--0.20262299999996</f>
        <v>1755.7041340000001</v>
      </c>
      <c r="H81" s="3">
        <f>1372.2+(2629.1-1934.3)+(0+(0-0))+0-394.2-0</f>
        <v>1672.8</v>
      </c>
      <c r="I81" s="3">
        <f>1372.1+(2352.6-1697.3)+(0+(0-0))+0-397.3-0</f>
        <v>1630.1</v>
      </c>
      <c r="J81" s="3">
        <f>1370.8+(2125.9-1499.9)+(-2.796432+(-4.336836--3.059796))+0-400.2--0.816407999999982</f>
        <v>1593.3429359999998</v>
      </c>
      <c r="K81" s="3">
        <f>1370.6+(2265.8-1657.4)+(-3.49503+(-5.77779--4.22637))+0-403.8--1.02968999999994</f>
        <v>1571.1832399999998</v>
      </c>
      <c r="L81" s="3">
        <f>1370.2+(2040-1490.2)+(-3.49401+(-5.202--3.80001))+0-399.6--1.01897999999994</f>
        <v>1516.5229799999997</v>
      </c>
      <c r="M81" s="3">
        <f>1369+(1807.6-1256.2)+(1.39638+(1.843752-1.281324))+0-392.3-0.400146000000063</f>
        <v>1529.658662</v>
      </c>
      <c r="N81" s="3">
        <f>1353.5+(1588.1-955.5)+(-0.690285+(-0.809931--0.487305))+0-395.9--0.20190899999996</f>
        <v>1589.3889979999999</v>
      </c>
      <c r="O81" s="3">
        <f>1395+(1730.5-1080.7)+(-1.4229+(-1.76511--1.102314))+0-364.5--0.371790000000058</f>
        <v>1678.586094</v>
      </c>
      <c r="P81" s="3">
        <f>1447.6+(1558.9-843.1)+(0+(0-0))+0-414.8-0</f>
        <v>1748.6000000000001</v>
      </c>
      <c r="Q81" s="3">
        <f>1478+(1432.5-705.7)+(0.75378+(0.730575-0.359907))+0-405.6-0.206855999999959</f>
        <v>1800.1175920000003</v>
      </c>
      <c r="R81" s="3">
        <f>1505.5+(1337.9-623.9)+(1.53561+(1.364658-0.636378))+0-408-0.416160000000065</f>
        <v>1813.3477300000002</v>
      </c>
      <c r="S81" s="3">
        <f>1666.6+(1161-614.7)+(-0.849966+(-0.59211--0.313497))+0-410.6--0.209405999999958</f>
        <v>1801.3808269999995</v>
      </c>
      <c r="T81" s="3">
        <f>1682.6+(1199-672.7)+(0+(0-0))+0-411-0</f>
        <v>1797.8999999999996</v>
      </c>
      <c r="U81" s="3">
        <f>1683.2+(1334-814.7)+(-1.716864+(-1.36068--0.830994))+0-400.6--0.408612000000064</f>
        <v>1800.0620620000004</v>
      </c>
      <c r="V81" s="3">
        <f>1682.6+(1410.7-907.9)+(0+(0-0))+0-391.6-0</f>
        <v>1793.8000000000002</v>
      </c>
      <c r="W81" s="3">
        <f>1680.9+(1524.2-1020.2)+(-1.714518+(-1.554684--1.040604))+0-394.7--0.402594000000063</f>
        <v>1788.373996</v>
      </c>
      <c r="X81" s="3">
        <f>1680.2+(1586.5-1108.3)+(-1.713804+(-1.61823--1.130466))+0-398.3--0.406266000000064</f>
        <v>1758.3046980000001</v>
      </c>
      <c r="Y81" s="3">
        <f>1677.8+(1167.3-733.5)+(-1.711356+(-1.190646--0.74817))+0-390.4--0.398208000000062</f>
        <v>1719.4443759999999</v>
      </c>
      <c r="Z81" s="3">
        <f>1860.7+(1232.9-892.5)+(1.897914+(1.257558-0.91035))+0-391.4-0.399228000000062</f>
        <v>1811.5458940000001</v>
      </c>
      <c r="AA81" s="3">
        <f>1933.2+(1013.1-597)+(-0.985932+(-0.516681--0.30447))+0-390.7--0.19925699999996</f>
        <v>1957.6011140000001</v>
      </c>
      <c r="AB81" s="3">
        <f>1934.2+(1149.8-749.3)+(1.972884+(1.172796-0.764286))+0-390.6-0.398412000000062</f>
        <v>1946.0829819999999</v>
      </c>
      <c r="AC81" s="3">
        <f>1911+(1591.3-1206.4)+(-1.94922+(-1.623126--1.230528))+0-386.8--0.394536000000062</f>
        <v>1907.1527179999998</v>
      </c>
      <c r="AD81" s="2">
        <v>1964.0000000000002</v>
      </c>
      <c r="AE81" s="3">
        <f>1928+(1042.3-599)+(0+(0-0))+0-405.3-0</f>
        <v>1966.0000000000002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1712.2+(2024.2-1526)+(-0.873222+(-1.032342--0.77826))+0-391.5--0.19966499999996</f>
        <v>1817.9723609999999</v>
      </c>
      <c r="G82" s="3">
        <f>1609.4+(2343.9-1834.7)+(-4.10397+(-5.976945--4.678485))+0-396.2--1.01030999999994</f>
        <v>1718.0078800000001</v>
      </c>
      <c r="H82" s="3">
        <f>1484.4+(2544-1969.5)+(-1.514088+(-2.59488--2.00889))+0-397.7--0.405654000000063</f>
        <v>1659.5055760000002</v>
      </c>
      <c r="I82" s="3">
        <f>1486+(2607.4-2077.3)+(-1.51572+(-2.659548--2.118846))+0-399.8--0.407796000000064</f>
        <v>1614.6513739999998</v>
      </c>
      <c r="J82" s="3">
        <f>1486.1+(2510.9-1997.9)+(-0.757911+(-1.280559--1.018929))+0-395.7--0.20180699999996</f>
        <v>1602.5822659999999</v>
      </c>
      <c r="K82" s="3">
        <f>1485.4+(2323.2-1821.5)+(-3.78777+(-5.92416--4.644825))+0-402.1--1.02535499999994</f>
        <v>1580.9582499999999</v>
      </c>
      <c r="L82" s="3">
        <f>1484.7+(2008.9-1531.3)+(-1.514394+(-2.049078--1.561926))+0-394.6--0.402492000000063</f>
        <v>1566.1009460000005</v>
      </c>
      <c r="M82" s="3">
        <f>1485.1+(1366-779.9)+(-3.787005+(-3.4833--1.988745))+0-396.8--1.01183999999994</f>
        <v>1670.1302799999999</v>
      </c>
      <c r="N82" s="3">
        <f>1483.2+(1209.6-462.6)+(-0.756432+(-0.616896--0.235926))+0-404.5--0.206294999999959</f>
        <v>1824.7688929999999</v>
      </c>
      <c r="O82" s="3">
        <f>1482.7+(1397.2-551.6)+(-0.756177+(-0.712572--0.281316))+0-407.9--0.208028999999959</f>
        <v>1919.4205959999999</v>
      </c>
      <c r="P82" s="3">
        <f>1487.3+(1617.2-712.3)+(-1.517046+(-1.649544--0.726546))+0-405.3--0.413406000000065</f>
        <v>1984.873362</v>
      </c>
      <c r="Q82" s="3">
        <f>1483.1+(1466.4-514.6)+(0+(0-0))+0-409.1-0</f>
        <v>2025.8000000000002</v>
      </c>
      <c r="R82" s="3">
        <f>1635.1+(1409.8-533.8)+(-2.501703+(-2.156994--0.816714))+0-412.2--0.630666000000024</f>
        <v>2095.6886830000003</v>
      </c>
      <c r="S82" s="3">
        <f>1866.8+(1655.1-930.2)+(-3.808272+(-3.376404--1.897608))+0-414.6--0.845783999999982</f>
        <v>2172.6587159999999</v>
      </c>
      <c r="T82" s="3">
        <f>1792.5+(1679.7-928.3)+(1.82835+(1.713294-0.946866))+0-413.3-0.421566000000066</f>
        <v>2132.7732120000001</v>
      </c>
      <c r="U82" s="3">
        <f>1750+(1698.1-931.4)+(-0.8925+(-0.866031--0.475014))+0-409.2--0.208691999999958</f>
        <v>2106.4251750000003</v>
      </c>
      <c r="V82" s="3">
        <f>1684.7+(1831.5-1026.8)+(-2.577591+(-2.802195--1.571004))+0-411.8--0.630054000000024</f>
        <v>2074.421272</v>
      </c>
      <c r="W82" s="3">
        <f>1539.2+(1807.3-948.7)+(0+(0-0))+0-414.5-0</f>
        <v>1983.3000000000002</v>
      </c>
      <c r="X82" s="3">
        <f>1538.3+(1803-1038.1)+(-1.569066+(-1.83906--1.058862))+0-414--0.422280000000066</f>
        <v>1887.2730159999999</v>
      </c>
      <c r="Y82" s="3">
        <f>1561.8+(1562.2-981.1)+(0+(0-0))+0-418.5-0</f>
        <v>1724.4</v>
      </c>
      <c r="Z82" s="3">
        <f>1743.6+(1340.9-762.5)+(0.889236+(0.683859-0.388875))+0-367.8-0.187577999999963</f>
        <v>1955.1966420000001</v>
      </c>
      <c r="AA82" s="3">
        <f>1731+(1260.8-497.9)+(-3.53124+(-2.572032--1.015716))+0-395.2--0.806207999999983</f>
        <v>2094.4186520000003</v>
      </c>
      <c r="AB82" s="3">
        <f>1574+(1464.5-599.9)+(-4.0137+(-3.734475--1.529745))+0-407.6--1.03937999999994</f>
        <v>2025.82095</v>
      </c>
      <c r="AC82" s="3">
        <f>1523.9+(1835-983.4)+(-2.331567+(-2.80755--1.504602))+0-416.1--0.636633000000024</f>
        <v>1956.402118</v>
      </c>
      <c r="AD82" s="2">
        <v>2074.8000000000002</v>
      </c>
      <c r="AE82" s="3">
        <f>1716+(1243.9-473)+(0+(0-0))+0-410.1-0</f>
        <v>2076.8000000000002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1478+(2264.1-1465.1)+(-3.7689+(-5.773455--3.736005))+0-408.7--1.04218499999994</f>
        <v>1863.5358350000001</v>
      </c>
      <c r="G83" s="3">
        <f>1477.2+(2623.3-1926.7)+(-1.506744+(-2.675766--1.965234))+0-402.1--0.410142000000064</f>
        <v>1769.8928660000004</v>
      </c>
      <c r="H83" s="3">
        <f>1478.3+(2342.8-1698.5)+(0.753933+(1.194828-0.866235))+0-409.4-0.208793999999958</f>
        <v>1714.0737320000005</v>
      </c>
      <c r="I83" s="3">
        <f>1479.1+(2420.3-1807.3)+(3.017364+(4.937412-3.686892))+0-412.8-0.842111999999982</f>
        <v>1682.7257720000002</v>
      </c>
      <c r="J83" s="3">
        <f>1477.1+(2248.9-1658.2)+(-2.259963+(-3.440817--2.537046))+0-404.5--0.618885000000023</f>
        <v>1660.7551510000001</v>
      </c>
      <c r="K83" s="3">
        <f>1477.2+(2093.3-1530.2)+(-3.76686+(-5.337915--3.90201))+0-400.2--1.02050999999994</f>
        <v>1635.917745</v>
      </c>
      <c r="L83" s="3">
        <f>1476.9+(2011.6-1477.7)+(-1.506438+(-2.051832--1.507254))+0-409.2--0.417384000000065</f>
        <v>1599.9663680000001</v>
      </c>
      <c r="M83" s="3">
        <f>1476.6+(1923-1302.6)+(0+(0-0))+0-407.6-0</f>
        <v>1689.4</v>
      </c>
      <c r="N83" s="3">
        <f>1475.7+(2212.9-1465)+(2.257821+(3.385737-2.24145))+0-392.7-0.600831000000023</f>
        <v>1833.7012770000006</v>
      </c>
      <c r="O83" s="3">
        <f>1511.8+(2030.1-1214.8)+(0+(0-0))+0-386.3-0</f>
        <v>1940.8</v>
      </c>
      <c r="P83" s="3">
        <f>1510.3+(1765.4-845.6)+(0.770253+(0.900354-0.431256))+0-388.3-0.198032999999961</f>
        <v>2042.8413180000002</v>
      </c>
      <c r="Q83" s="3">
        <f>1570.7+(1444.5-594.5)+(-1.602114+(-1.47339--0.60639))+0-383--0.390660000000061</f>
        <v>2035.6215459999999</v>
      </c>
      <c r="R83" s="3">
        <f>1673.4+(1650.5-879.7)+(-0.853434+(-0.841755--0.448647))+0-380--0.193799999999961</f>
        <v>2063.147258</v>
      </c>
      <c r="S83" s="3">
        <f>1725.1+(1939.6-1283.1)+(-2.639403+(-2.967588--1.963143))+0-382.9--0.585837000000022</f>
        <v>1995.6419889999997</v>
      </c>
      <c r="T83" s="3">
        <f>1726.2+(1901.6-1225.1)+(-2.641086+(-2.909448--1.874403))+0-381.5--0.583695000000022</f>
        <v>2018.1075639999997</v>
      </c>
      <c r="U83" s="3">
        <f>1725.4+(1894.8-1178.9)+(-4.39977+(-4.83174--3.006195))+0-386.2--0.984809999999944</f>
        <v>2049.8594950000002</v>
      </c>
      <c r="V83" s="3">
        <f>1727.3+(1635.9-924.6)+(-0.880923+(-0.834309--0.471546))+0-385.3--0.196502999999961</f>
        <v>2052.2528170000001</v>
      </c>
      <c r="W83" s="3">
        <f>1676+(1534-842.7)+(-3.41904+(-3.12936--1.719108))+0-391.9--0.799475999999983</f>
        <v>1971.3701840000001</v>
      </c>
      <c r="X83" s="3">
        <f>1663+(1477.1-842.1)+(-4.24065+(-3.766605--2.147355))+0-388.5--0.990674999999944</f>
        <v>1904.6307750000001</v>
      </c>
      <c r="Y83" s="3">
        <f>1672.7+(1181.5-614.7)+(-2.559231+(-1.807695--0.940491))+0-394.6--0.603738000000023</f>
        <v>1842.0773030000003</v>
      </c>
      <c r="Z83" s="3">
        <f>1685.5+(1185.8-546.8)+(0+(0-0))+0-390.1-0</f>
        <v>1934.4</v>
      </c>
      <c r="AA83" s="3">
        <f>1690+(1444.2-712.3)+(-2.5857+(-2.209626--1.089819))+0-391.2--0.598536000000023</f>
        <v>2027.5930289999999</v>
      </c>
      <c r="AB83" s="3">
        <f>1621.1+(1517.3-803.2)+(-4.960566+(-4.642938--2.457792))+0-367--1.12302000000004</f>
        <v>1962.1773079999998</v>
      </c>
      <c r="AC83" s="3">
        <f>1528.5+(1701.9-943.1)+(0+(0-0))+0-365.2-0</f>
        <v>1922.1000000000001</v>
      </c>
      <c r="AD83" s="2">
        <v>2040.8</v>
      </c>
      <c r="AE83" s="3">
        <f>1685.8+(1500.7-741.4)+(0+(0-0))+0-402.3-0</f>
        <v>2042.8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1483.5+(2027.9-1319.9)+(-1.51317+(-2.068458--1.346298))+0-366.2--0.373524000000058</f>
        <v>1823.4381940000001</v>
      </c>
      <c r="G84" s="3">
        <f>1483+(2528.3-1914)+(0+(0-0))+0-365.8-0</f>
        <v>1731.5000000000002</v>
      </c>
      <c r="H84" s="3">
        <f>1483.9+(2547.6-1980)+(-0.756789+(-1.299276--1.0098))+0-366.2--0.186761999999963</f>
        <v>1684.4404970000001</v>
      </c>
      <c r="I84" s="3">
        <f>1483.5+(2481.8-1927.9)+(-2.269755+(-3.797154--2.949687))+0-367.7--0.562581000000021</f>
        <v>1667.1453589999999</v>
      </c>
      <c r="J84" s="3">
        <f>1482.3+(2330.6-1799.7)+(-3.779865+(-5.94303--4.589235))+0-367.7--0.937634999999947</f>
        <v>1641.3039749999998</v>
      </c>
      <c r="K84" s="3">
        <f>1482.8+(2398.8-1871.7)+(-3.78114+(-6.11694--4.772835))+0-369.1--0.941204999999947</f>
        <v>1636.6159599999999</v>
      </c>
      <c r="L84" s="3">
        <f>1481.2+(2337.6-1805.8)+(-1.510824+(-2.384352--1.841916))+0-364.4--0.371688000000058</f>
        <v>1646.9184280000002</v>
      </c>
      <c r="M84" s="3">
        <f>1480.8+(1797.5-1244.1)+(2.265624+(2.750175-1.903473))+0-366.8-0.561204000000021</f>
        <v>1669.9511219999999</v>
      </c>
      <c r="N84" s="3">
        <f>1482.9+(1763.1-1003.3)+(-0.756279+(-0.899181--0.511683))+0-368.6--0.187985999999963</f>
        <v>1873.1442089999996</v>
      </c>
      <c r="O84" s="3">
        <f>1481.9+(1780.9-1013.5)+(-1.511538+(-1.816518--1.03377))+0-364.2--0.371484000000058</f>
        <v>1883.1771980000003</v>
      </c>
      <c r="P84" s="3">
        <f>1484.2+(1805.7-929.9)+(-1.513884+(-1.841814--0.948498))+0-375--0.38250000000006</f>
        <v>1982.9753000000001</v>
      </c>
      <c r="Q84" s="3">
        <f>1483.7+(1458.5-516.4)+(1.513374+(1.48767-0.526728))+0-372.1-0.379542000000059</f>
        <v>2055.794774</v>
      </c>
      <c r="R84" s="3">
        <f>1485+(1276.2-327.4)+(0+(0-0))+0-375-0</f>
        <v>2058.8000000000002</v>
      </c>
      <c r="S84" s="3">
        <f>1489.6+(1406.7-501.5)+(-0.759696+(-0.717417--0.255765))+0-374.4--0.190943999999962</f>
        <v>2019.369596</v>
      </c>
      <c r="T84" s="3">
        <f>1656+(1293.9-581.7)+(0.84456+(0.659889-0.296667))+0-371.2-0.189311999999962</f>
        <v>1998.0184699999998</v>
      </c>
      <c r="U84" s="3">
        <f>1655.3+(1338.2-592)+(1.688406+(1.364964-0.60384))+0-375.4-0.38290800000006</f>
        <v>2028.1666219999997</v>
      </c>
      <c r="V84" s="3">
        <f>1660.7+(1426.3-687.2)+(-2.540871+(-2.182239--1.051416))+0-376.8--0.576504000000022</f>
        <v>2019.9048100000002</v>
      </c>
      <c r="W84" s="3">
        <f>1654.6+(1565.5-850.6)+(-5.063076+(-4.79043--2.602836))+0-366.7--1.12210200000004</f>
        <v>1996.6714320000001</v>
      </c>
      <c r="X84" s="3">
        <f>1656.6+(1693.1-1056.3)+(-1.689732+(-1.726962--1.077426))+0-371.3--0.378726000000059</f>
        <v>1920.1394579999996</v>
      </c>
      <c r="Y84" s="3">
        <f>1657.4+(1541.5-971.9)+(-5.071644+(-4.71699--2.974014))+0-371.6--1.13709600000004</f>
        <v>1849.7224759999999</v>
      </c>
      <c r="Z84" s="3">
        <f>1677.4+(1650.3-1033.8)+(1.710948+(1.683306-1.054476))+0-372-0.379440000000059</f>
        <v>1923.860338</v>
      </c>
      <c r="AA84" s="3">
        <f>1792.8+(1453.6-836.3)+(-2.742984+(-2.224008--1.279539))+0-366.9--0.561357000000021</f>
        <v>2040.0739039999999</v>
      </c>
      <c r="AB84" s="3">
        <f>1754.7+(1848.8-1207.5)+(-0.894897+(-0.942888--0.615825))+0-375.2--0.191351999999962</f>
        <v>2019.7693920000002</v>
      </c>
      <c r="AC84" s="3">
        <f>1594.4+(2079.3-1338.7)+(-2.439432+(-3.181329--2.048211))+0-377.7--0.577881000000022</f>
        <v>1954.305331</v>
      </c>
      <c r="AD84" s="2">
        <v>2003.5</v>
      </c>
      <c r="AE84" s="3">
        <f>1802+(1407.5-825.9)+(0+(0-0))+0-378.1-0</f>
        <v>2005.5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1479.7+(2142.2-1386.7)+(-3.018588+(-4.370088--2.828868))+0-371.1--0.757043999999984</f>
        <v>1860.2972359999999</v>
      </c>
      <c r="G85" s="3">
        <f>1478.2+(2413.1-1740.1)+(-1.507764+(-2.461362--1.774902))+0-395.6--0.403512000000063</f>
        <v>1753.8092880000002</v>
      </c>
      <c r="H85" s="3">
        <f>1478.2+(2395.7-1777.1)+(-0.753882+(-1.221807--0.906321))+0-396--0.20195999999996</f>
        <v>1699.9325920000001</v>
      </c>
      <c r="I85" s="3">
        <f>1477.7+(2483.5-1890.7)+(-2.260881+(-3.799755--2.892771))+0-402--0.615060000000023</f>
        <v>1665.9471950000002</v>
      </c>
      <c r="J85" s="3">
        <f>1478.7+(2581-2009)+(-2.262411+(-3.94893--3.07377))+0-404.8--0.619344000000023</f>
        <v>1643.3817729999998</v>
      </c>
      <c r="K85" s="3">
        <f>1477.6+(2510.8-1956.6)+(-3.014304+(-5.122032--3.991464))+0-407.4--0.831095999999982</f>
        <v>1621.0862240000001</v>
      </c>
      <c r="L85" s="3">
        <f>1477.1+(1952.6-1448.6)+(0+(0-0))+0-402.3-0</f>
        <v>1578.8</v>
      </c>
      <c r="M85" s="3">
        <f>1477+(1771.6-1153.4)+(-2.25981+(-2.710548--1.764702))+0-407.1--0.622863000000024</f>
        <v>1685.5172069999999</v>
      </c>
      <c r="N85" s="3">
        <f>1477+(1690.9-1009)+(0+(0-0))+0-395-0</f>
        <v>1763.9</v>
      </c>
      <c r="O85" s="3">
        <f>1477.9+(1629.8-868.1)+(1.507458+(1.662396-0.885462))+0-368-0.375360000000059</f>
        <v>1873.5090319999999</v>
      </c>
      <c r="P85" s="3">
        <f>1477+(1392-468)+(2.25981+(2.12976-0.71604))+0-407.9-0.624087000000023</f>
        <v>1996.149443</v>
      </c>
      <c r="Q85" s="3">
        <f>1539.6+(1120-208)+(1.570392+(1.1424-0.21216))+0-410.2-0.418404000000065</f>
        <v>2043.4822280000001</v>
      </c>
      <c r="R85" s="3">
        <f>1772.5+(977.3-269.5)+(3.6159+(1.993692-0.54978))+0-410.1-0.836603999999982</f>
        <v>2074.4232080000002</v>
      </c>
      <c r="S85" s="3">
        <f>1789.1+(1066.8-432.1)+(0.912441+(0.544068-0.220371))+0-416.5-0.212414999999958</f>
        <v>2008.323723</v>
      </c>
      <c r="T85" s="3">
        <f>1790.7+(1080.3-431.7)+(-0.913257+(-0.550953--0.220167))+0-405.7--0.206906999999959</f>
        <v>2032.562864</v>
      </c>
      <c r="U85" s="3">
        <f>1787.9+(1171.9-548.8)+(0+(0-0))+0-406.8-0</f>
        <v>2004.2</v>
      </c>
      <c r="V85" s="3">
        <f>1790.7+(1224.5-613.8)+(0+(0-0))+0-408.5-0</f>
        <v>1992.9</v>
      </c>
      <c r="W85" s="3">
        <f>1794.1+(1370.6-775.7)+(-0.914991+(-0.699006--0.395607))+0-417.3--0.212822999999958</f>
        <v>1970.6944330000001</v>
      </c>
      <c r="X85" s="3">
        <f>1794.5+(1838.5-1287)+(-0.915195+(-0.937635--0.65637))+0-423.6--0.216035999999957</f>
        <v>1921.419576</v>
      </c>
      <c r="Y85" s="3">
        <f>1744.4+(1767-1243)+(-4.44822+(-4.50585--3.16965))+0-417.2--1.06385999999994</f>
        <v>1846.4794400000001</v>
      </c>
      <c r="Z85" s="3">
        <f>1747.4+(1950.9-1360.3)+(1.782348+(1.989918-1.387506))+0-395-0.402900000000063</f>
        <v>1944.9818599999999</v>
      </c>
      <c r="AA85" s="3">
        <f>1806.8+(1750.3-1093.2)+(-3.685872+(-3.570612--2.230128))+0-406.7--0.829667999999982</f>
        <v>2053.0033119999998</v>
      </c>
      <c r="AB85" s="3">
        <f>1768.3+(2210.8-1550.9)+(-2.705499+(-3.382524--2.372877))+0-399.5--0.611235000000023</f>
        <v>2025.5960889999999</v>
      </c>
      <c r="AC85" s="3">
        <f>1575.1+(2741-1939)+(-0.803301+(-1.39791--0.98889))+0-406.1--0.207110999999959</f>
        <v>1969.99479</v>
      </c>
      <c r="AD85" s="2">
        <v>2072.6999999999998</v>
      </c>
      <c r="AE85" s="3">
        <f>1811+(1773.1-1114.7)+(0+(0-0))+0-394.7-0</f>
        <v>2074.6999999999998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1524.6+(2814.8-2075.4)+(0+(0-0))+0-414.5-0</f>
        <v>1849.5</v>
      </c>
      <c r="G86" s="3">
        <f>1553+(2502.1-1892.9)+(-3.16812+(-5.104284--3.861516))+0-415.7--0.848027999999982</f>
        <v>1742.9371399999998</v>
      </c>
      <c r="H86" s="3">
        <f>1489.5+(2242.4-1604.3)+(-1.51929+(-2.287248--1.636386))+0-418.8--0.427176000000067</f>
        <v>1707.0570240000004</v>
      </c>
      <c r="I86" s="3">
        <f>1485.3+(2433.9-1822)+(2.272509+(3.723867-2.78766))+0-418.8-0.640764000000024</f>
        <v>1680.967952</v>
      </c>
      <c r="J86" s="3">
        <f>1485.9+(2441.1-1849.7)+(-0.757809+(-1.244961--0.943347))+0-416.1--0.212210999999958</f>
        <v>1660.3527880000001</v>
      </c>
      <c r="K86" s="3">
        <f>1485.2+(2347.4-1769.4)+(-3.78726+(-5.98587--4.51197))+0-417.4--1.06436999999994</f>
        <v>1641.6032099999998</v>
      </c>
      <c r="L86" s="3">
        <f>1484.8+(2170-1669.3)+(-1.514496+(-2.2134--1.702686))+0-388.4--0.396168000000062</f>
        <v>1595.4709580000001</v>
      </c>
      <c r="M86" s="3">
        <f>1484+(1837.5-1240.9)+(2.27052+(2.811375-1.898577))+0-399.4-0.611082000000023</f>
        <v>1683.7722359999996</v>
      </c>
      <c r="N86" s="3">
        <f>1484.4+(2117.7-1344.7)+(-0.757044+(-1.080027--0.685797))+0-415--0.211649999999958</f>
        <v>1841.4603759999998</v>
      </c>
      <c r="O86" s="3">
        <f>1485.7+(2026.6-1152.7)+(2.273121+(3.100698-1.763631))+0-417.7-0.639081000000024</f>
        <v>1944.8711069999999</v>
      </c>
      <c r="P86" s="3">
        <f>1505.5+(1441.3-515.2)+(0.767805+(0.735063-0.262752))+0-412-0.210119999999958</f>
        <v>2020.6299959999999</v>
      </c>
      <c r="Q86" s="3">
        <f>1666.1+(1154-354.2)+(0+(0-0))+0-410.8-0</f>
        <v>2055.0999999999995</v>
      </c>
      <c r="R86" s="3">
        <f>1781.3+(1084.8-438.4)+(0+(0-0))+0-354.2-0</f>
        <v>2073.5</v>
      </c>
      <c r="S86" s="3">
        <f>1789.2+(1259.4-632.3)+(-1.824984+(-1.284588--0.644946))+0-407.7--0.415854000000065</f>
        <v>2006.5512280000003</v>
      </c>
      <c r="T86" s="3">
        <f>1791.7+(1186.3-581.6)+(-0.913767+(-0.605013--0.296616))+0-403.4--0.205733999999959</f>
        <v>1991.9835700000001</v>
      </c>
      <c r="U86" s="3">
        <f>1791.5+(1198.4-593.7)+(-0.913665+(-0.611184--0.302787))+0-406.3--0.207212999999959</f>
        <v>1988.885151</v>
      </c>
      <c r="V86" s="3">
        <f>1793.7+(1295.2-710.3)+(-3.659148+(-2.642208--1.449012))+0-405.7--0.827627999999982</f>
        <v>1968.8752840000004</v>
      </c>
      <c r="W86" s="3">
        <f>1669.1+(1685.8-985.3)+(-1.702482+(-1.719516--1.005006))+0-393.7--0.401574000000063</f>
        <v>1973.8845819999999</v>
      </c>
      <c r="X86" s="3">
        <f>1610.7+(2189.9-1456.5)+(-2.464371+(-3.350547--2.228445))+0-408.4--0.624852000000024</f>
        <v>1932.7383790000004</v>
      </c>
      <c r="Y86" s="3">
        <f>1614.5+(2017.8-1345.1)+(-1.64679+(-2.058156--1.372002))+0-408.4--0.416568000000065</f>
        <v>1876.8836239999996</v>
      </c>
      <c r="Z86" s="3">
        <f>1630.3+(2130.4-1398.9)+(0.831453+(1.086504-0.713439))+0-415.5-0.211904999999958</f>
        <v>1947.2926130000003</v>
      </c>
      <c r="AA86" s="3">
        <f>1651.4+(1719.6-944.3)+(-3.368856+(-3.507984--1.926372))+0-381.7--0.778667999999983</f>
        <v>2040.8281999999997</v>
      </c>
      <c r="AB86" s="3">
        <f>1634.3+(2008.4-1228.8)+(0+(0-0))+0-397.4-0</f>
        <v>2016.5</v>
      </c>
      <c r="AC86" s="3">
        <f>1583.8+(2407.3-1634.2)+(-0.807738+(-1.227723--0.833442))+0-396--0.20195999999996</f>
        <v>1959.8999410000001</v>
      </c>
      <c r="AD86" s="2">
        <v>2064.1000000000004</v>
      </c>
      <c r="AE86" s="3">
        <f>1656+(1733.1-924.3)+(0+(0-0))+0-398.7-0</f>
        <v>2066.1000000000004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1567+(2836.4-2129.3)+(-3.19668+(-5.786256--4.343772))+0-382.6--0.780503999999983</f>
        <v>1887.6413399999999</v>
      </c>
      <c r="G87" s="3">
        <f>1478.8+(2448-1759.2)+(0+(0-0))+0-392-0</f>
        <v>1775.6</v>
      </c>
      <c r="H87" s="3">
        <f>1466.4+(2500.3-1825.9)+(1.495728+(2.550306-1.862418))+0-412.3-0.420546000000066</f>
        <v>1730.26307</v>
      </c>
      <c r="I87" s="3">
        <f>1455.2+(2422-1771)+(0+(0-0))+0-419-0</f>
        <v>1687.1999999999998</v>
      </c>
      <c r="J87" s="3">
        <f>1433.1+(2217.7-1564)+(1.461762+(2.262054-1.59528))+0-416.5-0.424830000000066</f>
        <v>1672.0037059999997</v>
      </c>
      <c r="K87" s="3">
        <f>1430.3+(2065.6-1428.7)+(-3.647265+(-5.26728--3.643185))+0-414.9--1.05799499999994</f>
        <v>1648.0866349999994</v>
      </c>
      <c r="L87" s="3">
        <f>1431.1+(1887.2-1314)+(-2.189583+(-2.887416--2.01042))+0-408--0.624240000000024</f>
        <v>1593.857661</v>
      </c>
      <c r="M87" s="3">
        <f>1431.5+(1530.8-872.4)+(2.190195+(2.342124-1.334772))+0-411.9-0.630207000000024</f>
        <v>1680.5673400000003</v>
      </c>
      <c r="N87" s="3">
        <f>1432+(1751.5-944.1)+(0.73032+(0.893265-0.481491))+0-407.7-0.207926999999959</f>
        <v>1832.6341669999999</v>
      </c>
      <c r="O87" s="3">
        <f>1441.6+(1737.4-823.9)+(1.470432+(1.772148-0.840378))+0-414.6-0.422892000000066</f>
        <v>1942.4793100000002</v>
      </c>
      <c r="P87" s="3">
        <f>1476.1+(1545.1-602.5)+(1.505622+(1.576002-0.61455))+0-409.7-0.417894000000065</f>
        <v>2011.0491799999998</v>
      </c>
      <c r="Q87" s="3">
        <f>1483.9+(1307.6-325.2)+(-2.270367+(-2.000628--0.497556))+0-412.6--0.631278000000024</f>
        <v>2050.5578390000001</v>
      </c>
      <c r="R87" s="3">
        <f>1515.8+(1275.2-339)+(0+(0-0))+0-411.6-0</f>
        <v>2040.4</v>
      </c>
      <c r="S87" s="3">
        <f>1579.7+(1523.1-726.3)+(-4.833882+(-4.660686--2.222478))+0-415.2--1.27051200000005</f>
        <v>1955.2984220000001</v>
      </c>
      <c r="T87" s="3">
        <f>1577.9+(1620.5-851.1)+(-1.609458+(-1.65291--0.868122))+0-412.8--0.421056000000066</f>
        <v>1932.5268100000005</v>
      </c>
      <c r="U87" s="3">
        <f>1578.9+(1790.3-1004.9)+(-1.610478+(-1.826106--1.024998))+0-416.1--0.424422000000066</f>
        <v>1946.2128360000002</v>
      </c>
      <c r="V87" s="3">
        <f>1575.5+(2089.1-1319.7)+(-2.410515+(-3.196323--2.019141))+0-417.4--0.638622000000024</f>
        <v>1924.5509249999996</v>
      </c>
      <c r="W87" s="3">
        <f>1575.6+(2423.2-1668.9)+(-0.803556+(-1.235832--0.851139))+0-417.2--0.212771999999958</f>
        <v>1911.7245229999996</v>
      </c>
      <c r="X87" s="3">
        <f>1573.9+(2161-1468.3)+(-3.210756+(-4.40844--2.995332))+0-416.1--0.848843999999982</f>
        <v>1846.7249800000002</v>
      </c>
      <c r="Y87" s="3">
        <f>1580+(1852-1217.7)+(0+(0-0))+0-414.5-0</f>
        <v>1799.8000000000002</v>
      </c>
      <c r="Z87" s="3">
        <f>1624.4+(1836.9-1171.9)+(0+(0-0))+0-416.3-0</f>
        <v>1873.1000000000001</v>
      </c>
      <c r="AA87" s="3">
        <f>1683.7+(1583.2-853.9)+(-2.576061+(-2.422296--1.306467))+0-410.6--0.628218000000024</f>
        <v>1999.3363280000001</v>
      </c>
      <c r="AB87" s="3">
        <f>1683.7+(1664.7-964.3)+(-3.434748+(-3.395988--1.967172))+0-410.9--0.838235999999982</f>
        <v>1969.1746720000001</v>
      </c>
      <c r="AC87" s="3">
        <f>1513.8+(1844.4-1041.6)+(-0.772038+(-0.940644--0.531216))+0-411--0.209609999999958</f>
        <v>1904.6281440000002</v>
      </c>
      <c r="AD87" s="2">
        <v>2012.4999999999998</v>
      </c>
      <c r="AE87" s="3">
        <f>1683+(1641-891.3)+(0+(0-0))+0-418.2-0</f>
        <v>2014.4999999999998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1478.8+(2024.4-1272.7)+(-1.508376+(-2.064888--1.298154))+0-414.4--0.422688000000066</f>
        <v>1814.247578</v>
      </c>
      <c r="G88" s="3">
        <f>1478.1+(2288.4-1618.1)+(-4.522986+(-7.002504--4.951386))+0-411.1--1.25796600000005</f>
        <v>1731.9838620000005</v>
      </c>
      <c r="H88" s="3">
        <f>1477.1+(2607.8-2009.4)+(-3.013284+(-5.319912--4.099176))+0-411.8--0.840071999999982</f>
        <v>1660.3060520000001</v>
      </c>
      <c r="I88" s="3">
        <f>1478.6+(2632.9-2071.8)+(-3.77043+(-6.713895--5.28309))+0-417.4--1.06436999999994</f>
        <v>1618.1631349999998</v>
      </c>
      <c r="J88" s="3">
        <f>1477.7+(2247.4-1699.1)+(0+(0-0))+0-414.5-0</f>
        <v>1611.5000000000002</v>
      </c>
      <c r="K88" s="3">
        <f>1434+(2232.3-1674)+(-2.19402+(-3.415419--2.56122))+0-413.1--0.632043000000024</f>
        <v>1576.7838240000001</v>
      </c>
      <c r="L88" s="3">
        <f>1339.2+(2492.9-1903.2)+(0.682992+(1.271379-0.970632))+0-411.1-0.209660999999958</f>
        <v>1518.5740780000001</v>
      </c>
      <c r="M88" s="3">
        <f>1318.4+(2217.5-1594.3)+(0.672384+(1.130925-0.813093))+0-412.9-0.210578999999958</f>
        <v>1529.4796369999999</v>
      </c>
      <c r="N88" s="3">
        <f>1314.8+(1991.7-1288.4)+(0+(0-0))+0-409.9-0</f>
        <v>1608.1999999999998</v>
      </c>
      <c r="O88" s="3">
        <f>1317.2+(1978.6-1206.5)+(0.671772+(1.009086-0.615315))+0-415.8-0.212057999999958</f>
        <v>1674.3534850000003</v>
      </c>
      <c r="P88" s="3">
        <f>1318.8+(2182.2-1337.5)+(0.672588+(1.112922-0.682125))+0-419.3-0.213842999999957</f>
        <v>1745.0895419999999</v>
      </c>
      <c r="Q88" s="3">
        <f>1318.4+(1808.7-939)+(2.017152+(2.767311-1.43667))+0-402.3-0.615519000000023</f>
        <v>1788.5322740000004</v>
      </c>
      <c r="R88" s="3">
        <f>1319.2+(1765-898.1)+(4.036752+(5.4009-2.748186))+0-397.4-1.21604400000005</f>
        <v>1794.1734219999996</v>
      </c>
      <c r="S88" s="3">
        <f>1369.4+(1609.9-784.9)+(1.396788+(1.642098-0.800598))+0-402.3-0.410346000000064</f>
        <v>1793.927942</v>
      </c>
      <c r="T88" s="3">
        <f>1541+(1393.2-734.7)+(2.35773+(2.131596-1.124091))+0-403.7-0.617661000000023</f>
        <v>1798.5475740000002</v>
      </c>
      <c r="U88" s="3">
        <f>1570.9+(1327.4-704.3)+(0.801159+(0.676974-0.359193))+0-402.1-0.205070999999959</f>
        <v>1792.8138690000001</v>
      </c>
      <c r="V88" s="3">
        <f>1573.4+(1312.9-669.5)+(0.802434+(0.669579-0.341445))+0-412.8-0.210527999999958</f>
        <v>1804.9200400000002</v>
      </c>
      <c r="W88" s="3">
        <f>1571.9+(1428.5-800.7)+(0+(0-0))+0-408-0</f>
        <v>1791.6999999999998</v>
      </c>
      <c r="X88" s="3">
        <f>1572.2+(1622-1037.4)+(-1.603644+(-1.65444--1.058148))+0-406--0.414120000000065</f>
        <v>1749.0141840000003</v>
      </c>
      <c r="Y88" s="3">
        <f>1571+(1730.3-1199.9)+(0+(0-0))+0-399.7-0</f>
        <v>1701.6999999999996</v>
      </c>
      <c r="Z88" s="3">
        <f>1638.6+(1953.6-1407.6)+(2.507058+(2.989008-2.153628))+0-396.4-0.606492000000023</f>
        <v>1790.9359459999998</v>
      </c>
      <c r="AA88" s="3">
        <f>1676.4+(1320.7-638.6)+(3.419856+(2.694228-1.302744))+0-409.7-0.835787999999982</f>
        <v>1952.7755520000001</v>
      </c>
      <c r="AB88" s="3">
        <f>1675.8+(1380.4-699.9)+(-0.854658+(-0.704004--0.356949))+0-409.2--0.208691999999958</f>
        <v>1946.1069790000001</v>
      </c>
      <c r="AC88" s="3">
        <f>1606.8+(1970.5-1274.8)+(0.819468+(1.004955-0.650148))+0-410.6-0.209405999999958</f>
        <v>1892.864869</v>
      </c>
      <c r="AD88" s="2">
        <v>1951.0000000000005</v>
      </c>
      <c r="AE88" s="3">
        <f>1681+(1256.8-572.2)+(0+(0-0))+0-414.6-0</f>
        <v>1951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1546.9+(2300.3-1622.6)+(-1.577838+(-2.346306--1.655052))+0-412.8--0.421056000000066</f>
        <v>1809.9519640000005</v>
      </c>
      <c r="G89" s="3">
        <f>1453.3+(2281.6-1591.9)+(-4.447098+(-6.981696--4.871214))+0-413.9--1.26653400000005</f>
        <v>1723.8089539999999</v>
      </c>
      <c r="H89" s="3">
        <f>1451.1+(2802.6-2162.3)+(-1.480122+(-2.858652--2.205546))+0-413.3--0.421566000000066</f>
        <v>1676.3883379999995</v>
      </c>
      <c r="I89" s="3">
        <f>1448+(2569.5-1966.7)+(1.47696+(2.62089-2.006034))+0-411.6-0.419832000000066</f>
        <v>1640.8719840000003</v>
      </c>
      <c r="J89" s="3">
        <f>1450.5+(2599.1-2031.4)+(2.95902+(5.302164-4.144056))+0-405.9-0.828035999999982</f>
        <v>1615.5890920000002</v>
      </c>
      <c r="K89" s="3">
        <f>1450.3+(2626-2066)+(-1.479306+(-2.67852--2.10732))+0-413.4--0.421668000000066</f>
        <v>1595.271162</v>
      </c>
      <c r="L89" s="3">
        <f>1448.5+(2282.9-1735.6)+(3.693675+(5.821395-4.42578))+0-410.4-1.04651999999994</f>
        <v>1589.4427700000001</v>
      </c>
      <c r="M89" s="3">
        <f>1450.5+(2042.2-1384.1)+(2.219265+(3.124566-2.117673))+0-414.7-0.634491000000024</f>
        <v>1696.4916670000002</v>
      </c>
      <c r="N89" s="3">
        <f>1450.4+(2185.8-1379.6)+(3.69852+(5.57379-3.51798))+0-406.9-1.03759499999994</f>
        <v>1854.4167350000005</v>
      </c>
      <c r="O89" s="3">
        <f>1449.3+(2125.5-1224.5)+(3.695715+(5.420025-3.122475))+0-401.8-1.02458999999994</f>
        <v>1953.4686750000003</v>
      </c>
      <c r="P89" s="3">
        <f>1515.6+(1708.1-791.9)+(1.545912+(1.742262-0.807738))+0-402.2-0.410244000000064</f>
        <v>2031.6701919999994</v>
      </c>
      <c r="Q89" s="3">
        <f>1572.7+(1709.3-802.8)+(4.010385+(4.358715-2.04714))+0-407.6-1.03937999999994</f>
        <v>2076.88258</v>
      </c>
      <c r="R89" s="3">
        <f>1656.4+(1541.3-737.7)+(1.689528+(1.572126-0.752454))+0-403.5-0.411570000000064</f>
        <v>2058.5976299999998</v>
      </c>
      <c r="S89" s="3">
        <f>1694.1+(1598.6-873.4)+(-0.863991+(-0.815286--0.445434))+0-406.9--0.207518999999959</f>
        <v>2011.3736759999997</v>
      </c>
      <c r="T89" s="3">
        <f>1694.8+(1493-741.3)+(0.864348+(0.76143-0.378063))+0-401.5-0.204764999999959</f>
        <v>2046.04295</v>
      </c>
      <c r="U89" s="3">
        <f>1694.2+(1527.2-769.6)+(0+(0-0))+0-398.4-0</f>
        <v>2053.4</v>
      </c>
      <c r="V89" s="3">
        <f>1694.9+(1745.8-982.5)+(-0.864399+(-0.890358--0.501075))+0-395.6--0.20175599999996</f>
        <v>2061.5480739999998</v>
      </c>
      <c r="W89" s="3">
        <f>1684.6+(1822.7-1066.7)+(-5.154876+(-5.577462--3.264102))+0-406.7--1.24450200000005</f>
        <v>2027.6762659999997</v>
      </c>
      <c r="X89" s="3">
        <f>1633.2+(1970.9-1219.7)+(-3.331728+(-4.020636--2.488188))+0-412.6--0.841703999999982</f>
        <v>1967.7775280000001</v>
      </c>
      <c r="Y89" s="3">
        <f>1631.1+(1644.8-973.1)+(-4.159305+(-4.19424--2.481405))+0-413.8--1.05518999999994</f>
        <v>1884.1830499999999</v>
      </c>
      <c r="Z89" s="3">
        <f>1647.8+(1632-885.5)+(0+(0-0))+0-418.5-0</f>
        <v>1975.8000000000002</v>
      </c>
      <c r="AA89" s="3">
        <f>1648+(1699.3-857.6)+(-2.52144+(-2.599929--1.312128))+0-407.7--0.623781000000024</f>
        <v>2078.8145400000003</v>
      </c>
      <c r="AB89" s="3">
        <f>1647.4+(1962.2-1139.4)+(0+(0-0))+0-413.5-0</f>
        <v>2056.6999999999998</v>
      </c>
      <c r="AC89" s="3">
        <f>1581.8+(2542.6-1711.9)+(-3.226872+(-5.186904--3.492276))+0-411.7--0.839867999999982</f>
        <v>1996.7183680000001</v>
      </c>
      <c r="AD89" s="2">
        <v>2060.5999999999995</v>
      </c>
      <c r="AE89" s="3">
        <f>1647+(1620.7-816.8)+(0+(0-0))+0-389.3-0</f>
        <v>2061.6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1488.8+(2686.8-1866.1)+(-3.037152+(-5.481072--3.806844))+0-435.6--0.888623999999981</f>
        <v>1870.0772439999998</v>
      </c>
      <c r="G90" s="3">
        <f>1478.5+(2594.3-1866.6)+(-0.754035+(-1.323093--0.951966))+0-437.3--0.223022999999956</f>
        <v>1767.9978610000005</v>
      </c>
      <c r="H90" s="3">
        <f>1476+(2553.9-1891.5)+(-2.25828+(-3.907467--2.893995))+0-438.1--0.670293000000025</f>
        <v>1697.6985410000002</v>
      </c>
      <c r="I90" s="3">
        <f>1475.6+(2678.2-2037.4)+(-3.76278+(-6.82941--5.19537))+0-438.6--1.11842999999994</f>
        <v>1673.5216099999998</v>
      </c>
      <c r="J90" s="3">
        <f>1475.9+(2592-1970.5)+(-0.752709+(-1.32192--1.004955))+0-441--0.224909999999955</f>
        <v>1655.5552360000001</v>
      </c>
      <c r="K90" s="3">
        <f>1476.7+(2668.4-2069.5)+(-3.765585+(-6.80442--5.277225))+0-436.5--1.11307499999994</f>
        <v>1634.9202950000001</v>
      </c>
      <c r="L90" s="3">
        <f>1477.3+(2491.6-1952.1)+(0.753423+(1.270716-0.995571))+0-438.2-0.223481999999956</f>
        <v>1579.405086</v>
      </c>
      <c r="M90" s="3">
        <f>1477.1+(2000-1375.5)+(2.259963+(3.06-2.104515))+0-439.9-0.673047000000025</f>
        <v>1664.2424009999997</v>
      </c>
      <c r="N90" s="3">
        <f>1477.9+(2129.6-1375.8)+(2.261187+(3.258288-2.104974))+0-428-0.654840000000025</f>
        <v>1806.4596610000001</v>
      </c>
      <c r="O90" s="3">
        <f>1478.3+(2044.9-1194.3)+(-0.753933+(-1.042899--0.609093))+0-397.3--0.20262299999996</f>
        <v>1930.6148840000001</v>
      </c>
      <c r="P90" s="3">
        <f>1482.7+(1955.5-1023.7)+(0+(0-0))+0-432-0</f>
        <v>1982.5</v>
      </c>
      <c r="Q90" s="3">
        <f>1488.2+(1717.7-694.2)+(0+(0-0))+0-428.7-0</f>
        <v>2083</v>
      </c>
      <c r="R90" s="3">
        <f>1476.4+(1653.9-644.5)+(1.505928+(1.686978-0.65739))+0-407.8-0.415956000000065</f>
        <v>2080.1195599999996</v>
      </c>
      <c r="S90" s="3">
        <f>1516.9+(1883.2-995.7)+(-2.320857+(-2.881296--1.523421))+0-382.8--0.585684000000022</f>
        <v>2018.5069520000004</v>
      </c>
      <c r="T90" s="3">
        <f>1518.8+(1726.5-840.1)+(-2.323764+(-2.641545--1.285353))+0-385.8--0.590274000000022</f>
        <v>2016.3103179999998</v>
      </c>
      <c r="U90" s="3">
        <f>1522.1+(1561.1-638.2)+(-1.552542+(-1.592322--0.650964))+0-417.4--0.425748000000067</f>
        <v>2025.5318480000001</v>
      </c>
      <c r="V90" s="3">
        <f>1521.3+(1709.8-800.7)+(0.775863+(0.871998-0.408357))+0-408-0.208079999999959</f>
        <v>2023.4314239999999</v>
      </c>
      <c r="W90" s="3">
        <f>1523.8+(2000.5-1104.6)+(-2.331414+(-3.060765--1.690038))+0-385.4--0.589662000000022</f>
        <v>2031.1875209999996</v>
      </c>
      <c r="X90" s="3">
        <f>1521.6+(2465.8-1629.7)+(-0.776016+(-1.257558--0.831147))+0-390--0.19889999999996</f>
        <v>1966.6964729999995</v>
      </c>
      <c r="Y90" s="3">
        <f>1523+(1726.1-947.2)+(-0.77673+(-0.880311--0.483072))+0-427.8--0.218177999999957</f>
        <v>1873.1442089999996</v>
      </c>
      <c r="Z90" s="3">
        <f>1552.3+(1752.2-942.2)+(-0.791673+(-0.893622--0.480522))+0-431.8--0.220217999999956</f>
        <v>1929.5154450000002</v>
      </c>
      <c r="AA90" s="3">
        <f>1574.8+(1606-711)+(-5.622036+(-5.73342--2.53827))+0-387.9--1.38480300000001</f>
        <v>2074.4676169999998</v>
      </c>
      <c r="AB90" s="3">
        <f>1565.3+(1462.9-620.9)+(-0.798303+(-0.746079--0.316659))+0-371.9--0.189668999999962</f>
        <v>2034.361946</v>
      </c>
      <c r="AC90" s="3">
        <f>1518.9+(1670.2-819)+(-0.774639+(-0.851802--0.41769))+0-381.3--0.194462999999961</f>
        <v>1987.7857120000003</v>
      </c>
      <c r="AD90" s="2">
        <v>2037.7999999999997</v>
      </c>
      <c r="AE90" s="3">
        <f>1573+(1637.5-746.8)+(0+(0-0))+0-425.4-0</f>
        <v>2038.2999999999997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1480.8+(2007.5-1144.8)+(0+(0-0))+0-387.3-0</f>
        <v>1956.2</v>
      </c>
      <c r="G91" s="3">
        <f>1474.9+(1998.4-1284.3)+(-3.760995+(-5.09592--3.274965))+0-390.3--0.995264999999943</f>
        <v>1794.1133150000003</v>
      </c>
      <c r="H91" s="3">
        <f>1460.2+(1853-1200.1)+(-0.744702+(-0.94503--0.612051))+0-381.3--0.194462999999961</f>
        <v>1730.9167820000002</v>
      </c>
      <c r="I91" s="3">
        <f>1453.6+(1901.6-1266.9)+(0+(0-0))+0-390.5-0</f>
        <v>1697.7999999999997</v>
      </c>
      <c r="J91" s="3">
        <f>1452.9+(2048.4-1436.4)+(-1.481958+(-2.089368--1.465128))+0-393.4--0.401268000000063</f>
        <v>1669.7950700000001</v>
      </c>
      <c r="K91" s="3">
        <f>1417.1+(2268.3-1649.2)+(-3.613605+(-5.784165--4.20546))+0-393.4--1.00316999999994</f>
        <v>1638.6108600000002</v>
      </c>
      <c r="L91" s="3">
        <f>1359.8+(2382.5-1779.3)+(-1.386996+(-2.43015--1.814886))+0-390.9--0.398718000000062</f>
        <v>1570.4964580000003</v>
      </c>
      <c r="M91" s="3">
        <f>1315.6+(2356.6-1695.2)+(0+(0-0))+0-370.4-0</f>
        <v>1606.6</v>
      </c>
      <c r="N91" s="3">
        <f>1314.3+(2127.7-1370.3)+(-1.340586+(-2.170254--1.397706))+0-370--0.377400000000059</f>
        <v>1699.9642659999997</v>
      </c>
      <c r="O91" s="3">
        <f>1310.9+(1917.4-1041)+(1.337118+(1.955748-1.06182))+0-385.4-0.393108000000061</f>
        <v>1803.737938</v>
      </c>
      <c r="P91" s="3">
        <f>1313.2+(1519.2-565.5)+(0.669732+(0.774792-0.288405))+0-387.4-0.197573999999961</f>
        <v>1880.4585450000002</v>
      </c>
      <c r="Q91" s="3">
        <f>1311.1+(1422.2-398.1)+(1.337322+(1.450644-0.406062))+0-385.9-0.393618000000062</f>
        <v>1951.2882859999995</v>
      </c>
      <c r="R91" s="3">
        <f>1311.6+(1641.8-627.9)+(0.668916+(0.837318-0.320229))+0-384.8-0.196247999999961</f>
        <v>1941.6897570000001</v>
      </c>
      <c r="S91" s="3">
        <f>1309.4+(1886-934.6)+(-1.335588+(-1.92372--0.953292))+0-385.4--0.393108000000061</f>
        <v>1873.4870920000001</v>
      </c>
      <c r="T91" s="3">
        <f>1332.3+(1951.3-1046.3)+(-2.038419+(-2.985489--1.600839))+0-380--0.581400000000022</f>
        <v>1854.4583310000003</v>
      </c>
      <c r="U91" s="3">
        <f>1432.8+(2204-1414.1)+(-0.730728+(-1.12404--0.721191))+0-376.5--0.192014999999962</f>
        <v>1845.2584379999996</v>
      </c>
      <c r="V91" s="3">
        <f>1406+(2448.2-1583.4)+(1.43412+(2.497164-1.615068))+0-381.1-0.388722000000061</f>
        <v>1891.6274939999998</v>
      </c>
      <c r="W91" s="3">
        <f>1431.2+(2405-1576.4)+(-1.459824+(-2.4531--1.607928))+0-385.3--0.393006000000061</f>
        <v>1872.5880100000004</v>
      </c>
      <c r="X91" s="3">
        <f>1429.2+(2536.6-1735.3)+(-2.915568+(-5.174664--3.540012))+0-385.5--0.786419999999983</f>
        <v>1841.2361999999998</v>
      </c>
      <c r="Y91" s="3">
        <f>1435.1+(2131.5-1398.7)+(-1.463802+(-2.17413--1.426674))+0-372.7--0.380154000000059</f>
        <v>1793.3688959999997</v>
      </c>
      <c r="Z91" s="3">
        <f>1472.3+(2315.2-1547.7)+(0+(0-0))+0-373.9-0</f>
        <v>1865.8999999999996</v>
      </c>
      <c r="AA91" s="3">
        <f>1491.6+(2250.1-1376.6)+(-3.042864+(-4.590204--2.808264))+0-409--0.834359999999982</f>
        <v>1952.1095560000001</v>
      </c>
      <c r="AB91" s="3">
        <f>1488.4+(2147.6-1256.2)+(-3.036336+(-4.381104--2.562648))+0-402.8--0.821711999999982</f>
        <v>1972.9669200000001</v>
      </c>
      <c r="AC91" s="3">
        <f>1490.4+(2327.2-1490.3)+(-0.760104+(-1.186872--0.760053))+0-425.3--0.216902999999957</f>
        <v>1901.02998</v>
      </c>
      <c r="AD91" s="2">
        <v>2015.4</v>
      </c>
      <c r="AE91" s="3">
        <f>1487+(2079.6-1178.8)+(0+(0-0))+0-370.4-0</f>
        <v>2017.4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1481.9+(2359.1-1597.5)+(-1.511538+(-2.406282--1.62945))+0-423.9--0.432378000000068</f>
        <v>1817.7440079999997</v>
      </c>
      <c r="G92" s="3">
        <f>1481.3+(2638.1-1958.1)+(-3.021852+(-5.381724--3.994524))+0-434.8--0.886991999999981</f>
        <v>1722.9779400000002</v>
      </c>
      <c r="H92" s="3">
        <f>1478.7+(2953.8-2324.1)+(-2.262411+(-4.519314--3.555873))+0-433.6--0.663408000000025</f>
        <v>1672.2375560000007</v>
      </c>
      <c r="I92" s="3">
        <f>1478.5+(2762.4-2168.1)+(-3.01614+(-5.635296--4.422924))+0-426.6--0.870263999999981</f>
        <v>1642.841752</v>
      </c>
      <c r="J92" s="3">
        <f>1477.8+(2527.4-1944.3)+(0.753678+(1.288974-0.991593))+0-429.6-0.219095999999956</f>
        <v>1632.131963</v>
      </c>
      <c r="K92" s="3">
        <f>1477.2+(2293.5-1747.4)+(-3.013488+(-4.67874--3.564696))+0-433--0.883319999999981</f>
        <v>1587.0557879999999</v>
      </c>
      <c r="L92" s="3">
        <f>1477+(2216.3-1701.8)+(3.01308+(4.521252-3.471672))+0-427-0.871079999999981</f>
        <v>1567.6915800000004</v>
      </c>
      <c r="M92" s="3">
        <f>1476.8+(2028.7-1406.7)+(0+(0-0))+0-434-0</f>
        <v>1664.8000000000002</v>
      </c>
      <c r="N92" s="3">
        <f>1478+(2319.8-1548.2)+(1.50756+(2.366196-1.579164))+0-435.8-0.44451600000007</f>
        <v>1815.6500760000006</v>
      </c>
      <c r="O92" s="3">
        <f>1477.7+(2230.3-1372.8)+(0+(0-0))+0-439.3-0</f>
        <v>1895.9000000000003</v>
      </c>
      <c r="P92" s="3">
        <f>1480.6+(2302.7-1358.7)+(1.510212+(2.348754-1.385874))+0-435.6-0.444312000000069</f>
        <v>1991.0287799999996</v>
      </c>
      <c r="Q92" s="3">
        <f>1480.1+(2049-1071.1)+(0.754851+(1.04499-0.546261))+0-429.4-0.218993999999956</f>
        <v>2029.6345859999999</v>
      </c>
      <c r="R92" s="3">
        <f>1556.4+(1770.2-857.9)+(0.793764+(0.902802-0.437529))+0-426.6-0.217565999999957</f>
        <v>2043.1414710000001</v>
      </c>
      <c r="S92" s="3">
        <f>1568.1+(1869.8-1020.5)+(-3.998655+(-4.76799--2.602275))+0-428.5--1.09267499999994</f>
        <v>1983.8283049999995</v>
      </c>
      <c r="T92" s="3">
        <f>1627.2+(1848-1047.2)+(-1.659744+(-1.88496--1.068144))+0-439.8--0.44859600000007</f>
        <v>1986.1720360000002</v>
      </c>
      <c r="U92" s="3">
        <f>1602.9+(1892.9-1041.9)+(-4.087395+(-4.826895--2.656845))+0-435.3--1.11001499999994</f>
        <v>2013.4525699999999</v>
      </c>
      <c r="V92" s="3">
        <f>1356.3+(2077.4-998.3)+(-1.383426+(-2.118948--1.018266))+0-437.3--0.44604600000007</f>
        <v>1996.0619380000001</v>
      </c>
      <c r="W92" s="3">
        <f>1355.7+(2011.6-958.6)+(-3.457035+(-5.12958--2.44443))+0-439.4--1.12046999999994</f>
        <v>1964.2782849999994</v>
      </c>
      <c r="X92" s="3">
        <f>1342.3+(1977.5-944.1)+(-3.422865+(-5.042625--2.407455))+0-448.4--1.14341999999993</f>
        <v>1922.3853849999996</v>
      </c>
      <c r="Y92" s="3">
        <f>1269+(2095.5-1060)+(-2.58876+(-4.27482--2.1624))+0-447.9--0.91371599999998</f>
        <v>1852.8125359999999</v>
      </c>
      <c r="Z92" s="3">
        <f>1299.5+(2137.8-1098.6)+(0+(0-0))+0-449.1-0</f>
        <v>1889.6000000000004</v>
      </c>
      <c r="AA92" s="3">
        <f>1349.1+(1954.7-844.5)+(-4.128246+(-5.981382--2.58417))+0-442.3--1.35343800000005</f>
        <v>2010.8279800000003</v>
      </c>
      <c r="AB92" s="3">
        <f>1400.3+(2080.6-1061.6)+(-2.856612+(-4.244424--2.165664))+0-447.6--0.91310399999998</f>
        <v>1967.6777320000003</v>
      </c>
      <c r="AC92" s="3">
        <f>1447.9+(2190.3-1277.9)+(-1.476858+(-2.234106--1.303458))+0-445.8--0.454716000000071</f>
        <v>1912.5472100000002</v>
      </c>
      <c r="AD92" s="2">
        <v>1972.8</v>
      </c>
      <c r="AE92" s="3">
        <f>1378+(2075.1-1037)+(0+(0-0))+0-441.3-0</f>
        <v>1974.8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1476.8+(2154-1362.9)+(-2.259504+(-3.29562--2.085237))+0-441.2--0.675036000000026</f>
        <v>1823.9051489999995</v>
      </c>
      <c r="G93" s="3">
        <f>1468.7+(2580.3-1868.9)+(-2.996148+(-5.263812--3.812556))+0-446.9--0.91167599999998</f>
        <v>1729.6642720000002</v>
      </c>
      <c r="H93" s="3">
        <f>1474.5+(2805.3-2142.1)+(-2.255985+(-4.292109--3.277413))+0-441--0.674730000000025</f>
        <v>1694.1040490000003</v>
      </c>
      <c r="I93" s="3">
        <f>1480+(2711.4-2092.8)+(-0.7548+(-1.382814--1.067328))+0-437.9--0.223328999999956</f>
        <v>1659.8530429999996</v>
      </c>
      <c r="J93" s="3">
        <f>1480.6+(2628.2-2039.4)+(-1.510212+(-2.680764--2.080188))+0-443.3--0.452166000000071</f>
        <v>1624.4413779999998</v>
      </c>
      <c r="K93" s="3">
        <f>1474.1+(2421.4-1855.5)+(-1.503582+(-2.469828--1.89261))+0-432.2--0.440844000000069</f>
        <v>1606.160044</v>
      </c>
      <c r="L93" s="3">
        <f>1460.2+(2392.6-1845.4)+(0+(0-0))+0-395-0</f>
        <v>1612.3999999999999</v>
      </c>
      <c r="M93" s="3">
        <f>1460.1+(2172.8-1544.5)+(0.744651+(1.108128-0.787695))+0-449.1-0.229040999999954</f>
        <v>1640.136043</v>
      </c>
      <c r="N93" s="3">
        <f>1468.1+(2282-1510.6)+(1.497462+(2.32764-1.540812))+0-443.3-0.452166000000071</f>
        <v>1798.0321240000001</v>
      </c>
      <c r="O93" s="3">
        <f>1543.2+(2171.7-1346.8)+(1.574064+(2.215134-1.373736))+0-441.3-0.45012600000007</f>
        <v>1928.7653359999997</v>
      </c>
      <c r="P93" s="3">
        <f>1538.4+(1910-1083.2)+(0+(0-0))+0-433.7-0</f>
        <v>1931.4999999999998</v>
      </c>
      <c r="Q93" s="3">
        <f>1514+(1861.1-961.7)+(0+(0-0))+0-436.4-0</f>
        <v>1976.9999999999995</v>
      </c>
      <c r="R93" s="3">
        <f>1488.7+(1659.9-725.7)+(-3.796185+(-4.232745--1.850535))+0-435.2--1.10975999999994</f>
        <v>1982.6313650000002</v>
      </c>
      <c r="S93" s="3">
        <f>1486.7+(1860.6-980.9)+(-3.791085+(-4.74453--2.501295))+0-434.6--1.10822999999994</f>
        <v>1926.87391</v>
      </c>
      <c r="T93" s="3">
        <f>1486.5+(1720.6-754.2)+(-0.758115+(-0.877506--0.384642))+0-419.7--0.214046999999957</f>
        <v>2032.1630679999996</v>
      </c>
      <c r="U93" s="3">
        <f>1487.8+(1573.7-676.4)+(-3.035112+(-3.210348--1.379856))+0-430.4--0.878015999999981</f>
        <v>1950.7124119999996</v>
      </c>
      <c r="V93" s="3">
        <f>1487.4+(1586.4-679.6)+(-3.034296+(-3.236256--1.386384))+0-440.6--0.898823999999981</f>
        <v>1949.6146560000002</v>
      </c>
      <c r="W93" s="3">
        <f>1488.4+(1433.8-568.8)+(-3.79542+(-3.65619--1.45044))+0-438.5--1.11817499999994</f>
        <v>1910.0170049999999</v>
      </c>
      <c r="X93" s="3">
        <f>1486.8+(1246.4-426.1)+(-3.79134+(-3.17832--1.086555))+0-432.6--1.10312999999994</f>
        <v>1869.7200250000001</v>
      </c>
      <c r="Y93" s="3">
        <f>1488.4+(1052.5-282.6)+(-0.759084+(-0.536775--0.144126))+0-446.2--0.227561999999955</f>
        <v>1811.175829</v>
      </c>
      <c r="Z93" s="3">
        <f>1490.2+(1244.4-408.7)+(0+(0-0))+0-432.7-0</f>
        <v>1893.2</v>
      </c>
      <c r="AA93" s="3">
        <f>1498.7+(1553.6-607.4)+(-3.057348+(-3.169344--1.239096))+0-443.1--0.903923999999981</f>
        <v>1997.7163280000002</v>
      </c>
      <c r="AB93" s="3">
        <f>1500.9+(1598.8-695)+(-2.296377+(-2.446164--1.06335))+0-438.7--0.671211000000025</f>
        <v>1962.9920199999997</v>
      </c>
      <c r="AC93" s="3">
        <f>1493+(1876.7-1029.8)+(-1.52286+(-1.914234--1.050396))+0-441.4--0.45022800000007</f>
        <v>1896.5635300000004</v>
      </c>
      <c r="AD93" s="2">
        <v>2009.1</v>
      </c>
      <c r="AE93" s="3">
        <f>1495+(1801.5-854.5)+(0+(0-0))+0-430.9-0</f>
        <v>2011.1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1489.9+(2189.8-1415.5)+(-1.519698+(-2.233596--1.44381))+0-445.2--0.454104000000071</f>
        <v>1817.1446200000005</v>
      </c>
      <c r="G94" s="3">
        <f>1486.5+(2287.1-1606.3)+(-1.51623+(-2.332842--1.638426))+0-444.7--0.453594000000071</f>
        <v>1720.8429480000002</v>
      </c>
      <c r="H94" s="3">
        <f>1487.5+(2464-1847.2)+(1.51725+(2.51328-1.884144))+0-442.1-0.450942000000071</f>
        <v>1663.895444</v>
      </c>
      <c r="I94" s="3">
        <f>1487.6+(2718.2-2129.8)+(-1.517352+(-2.772564--2.172396))+0-440.8--0.44961600000007</f>
        <v>1633.5320959999999</v>
      </c>
      <c r="J94" s="3">
        <f>1487+(2921.2-2349.9)+(2.27511+(4.469436-3.595347))+0-439.6-0.672588000000025</f>
        <v>1621.1766109999996</v>
      </c>
      <c r="K94" s="3">
        <f>1486.9+(2618.2-2081.9)+(-3.791595+(-6.67641--5.308845))+0-441.4--1.12556999999994</f>
        <v>1577.76641</v>
      </c>
      <c r="L94" s="3">
        <f>1486.8+(2419.5-1926.5)+(-0.758268+(-1.233945--0.982515))+0-438.1--0.223430999999956</f>
        <v>1540.9137329999999</v>
      </c>
      <c r="M94" s="3">
        <f>1485.6+(2190.5-1649.1)+(1.515312+(2.23431-1.682082))+0-445.7-0.454614000000071</f>
        <v>1582.912926</v>
      </c>
      <c r="N94" s="3">
        <f>1486.5+(2239.3-1531.3)+(1.51623+(2.284086-1.561926))+0-445.5-0.454410000000071</f>
        <v>1750.7839799999999</v>
      </c>
      <c r="O94" s="3">
        <f>1487+(2114.3-1329.2)+(0.75837+(1.078293-0.677892))+0-445.9-0.227408999999955</f>
        <v>1827.1313620000003</v>
      </c>
      <c r="P94" s="3">
        <f>1489.9+(1694.2-827.5)+(0+(0-0))+0-448.6-0</f>
        <v>1908.0000000000005</v>
      </c>
      <c r="Q94" s="3">
        <f>1502.6+(1473.9-581.5)+(2.298978+(2.255067-0.889695))+0-433.7-0.663561000000025</f>
        <v>1964.3007889999999</v>
      </c>
      <c r="R94" s="3">
        <f>1538.2+(1356.3-510.9)+(1.568964+(1.383426-0.521118))+0-450.3-0.459306000000072</f>
        <v>1935.2719659999998</v>
      </c>
      <c r="S94" s="3">
        <f>1565.1+(1586.4-841.5)+(-3.192804+(-3.236256--1.71666))+0-452.2--0.92248799999998</f>
        <v>1854.010088</v>
      </c>
      <c r="T94" s="3">
        <f>1569.1+(1792.4-1060.1)+(-3.200964+(-3.656496--2.162604))+0-443.7--0.905147999999981</f>
        <v>1853.910292</v>
      </c>
      <c r="U94" s="3">
        <f>1575.2+(1937-1217.5)+(-0.803352+(-0.98787--0.620925))+0-392.3--0.20007299999996</f>
        <v>1901.4297759999997</v>
      </c>
      <c r="V94" s="3">
        <f>1573.9+(1936.1-1231.5)+(-2.408067+(-2.962233--1.884195))+0-434.2--0.664326000000025</f>
        <v>1841.4782210000001</v>
      </c>
      <c r="W94" s="3">
        <f>1567.3+(2105.1-1404.9)+(-3.996615+(-5.368005--3.582495))+0-442.5--1.12837499999994</f>
        <v>1820.3462499999998</v>
      </c>
      <c r="X94" s="3">
        <f>1570.8+(2160.6-1516.2)+(-4.00554+(-5.50953--3.86631))+0-446.4--1.13831999999994</f>
        <v>1764.2895599999997</v>
      </c>
      <c r="Y94" s="3">
        <f>1571.6+(1598.2-972.3)+(-0.801516+(-0.815082--0.495873))+0-409.6--0.208895999999958</f>
        <v>1786.9881709999997</v>
      </c>
      <c r="Z94" s="3">
        <f>1588.2+(1706.2-1027.1)+(2.429946+(2.610486-1.571463))+0-445.5-0.681615000000026</f>
        <v>1824.5873540000002</v>
      </c>
      <c r="AA94" s="3">
        <f>1601.4+(1515.1-723.9)+(-2.450142+(-2.318103--1.107567))+0-438.7--0.671211000000025</f>
        <v>1950.9105329999998</v>
      </c>
      <c r="AB94" s="3">
        <f>1602.1+(1596.8-841.2)+(-4.085355+(-4.07184--2.14506))+0-445.7--1.13653499999994</f>
        <v>1907.1243999999997</v>
      </c>
      <c r="AC94" s="3">
        <f>1597.8+(1991.9-1305.5)+(-2.444634+(-3.047607--1.997415))+0-427.6--0.654228000000025</f>
        <v>1853.7594019999999</v>
      </c>
      <c r="AD94" s="2">
        <v>1969.3</v>
      </c>
      <c r="AE94" s="3">
        <f>1595+(1553.1-731.5)+(0+(0-0))+0-445.3-0</f>
        <v>1971.3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1535.7+(2340.7-1669.2)+(-1.566414+(-2.387514--1.702584))+0-417--0.425340000000067</f>
        <v>1788.373996</v>
      </c>
      <c r="G95" s="3">
        <f>1488.7+(2185-1543.2)+(-3.036948+(-4.4574--3.148128))+0-433.7--0.884747999999981</f>
        <v>1693.338528</v>
      </c>
      <c r="H95" s="3">
        <f>1483.6+(1968.4-1396.4)+(-1.513272+(-2.007768--1.424328))+0-436.9--0.44563800000007</f>
        <v>1617.0489259999999</v>
      </c>
      <c r="I95" s="3">
        <f>1483.6+(2187.6-1631.9)+(0+(0-0))+0-441-0</f>
        <v>1598.2999999999997</v>
      </c>
      <c r="J95" s="3">
        <f>1483.4+(2265.1-1737.5)+(-3.026136+(-4.620804--3.5445))+0-434--0.885359999999981</f>
        <v>1573.7829200000001</v>
      </c>
      <c r="K95" s="3">
        <f>1482.7+(2434.4-1931.8)+(-3.780885+(-6.20772--4.92609))+0-447.4--1.14086999999993</f>
        <v>1533.978355</v>
      </c>
      <c r="L95" s="3">
        <f>1484.7+(2431.5-2008)+(-3.785985+(-6.200325--5.1204))+0-434.7--1.10848499999994</f>
        <v>1469.742575</v>
      </c>
      <c r="M95" s="3">
        <f>1481.1+(2116.8-1688.4)+(-2.266083+(-3.238704--2.583252))+0-431.8--0.660654000000025</f>
        <v>1475.4391190000001</v>
      </c>
      <c r="N95" s="3">
        <f>1477.3+(1993.7-1502.4)+(-0.753423+(-1.016787--0.766224))+0-415.6--0.211955999999958</f>
        <v>1552.2079699999997</v>
      </c>
      <c r="O95" s="3">
        <f>1395.5+(2216.9-1594.6)+(-1.42341+(-2.261238--1.626492))+0-418.3--0.426666000000067</f>
        <v>1597.8685100000002</v>
      </c>
      <c r="P95" s="3">
        <f>1416.5+(2009.2-1341.4)+(0.722415+(1.024692-0.684114))+0-363.7-0.185486999999963</f>
        <v>1721.4775060000002</v>
      </c>
      <c r="Q95" s="3">
        <f>1484.6+(2357.1-1665.7)+(-0.757146+(-1.202121--0.849507))+0-438.7--0.223736999999955</f>
        <v>1736.4139770000002</v>
      </c>
      <c r="R95" s="3">
        <f>1483+(2141.8-1446.4)+(-2.26899+(-3.276954--2.212992))+0-451.4--0.690642000000026</f>
        <v>1724.3576899999998</v>
      </c>
      <c r="S95" s="3">
        <f>1482.4+(1916.4-1254.5)+(-2.268072+(-2.932092--1.919385))+0-446.3--0.682839000000026</f>
        <v>1695.4020600000001</v>
      </c>
      <c r="T95" s="3">
        <f>1480.8+(1786.6-1130.4)+(-0.755208+(-0.911166--0.576504))+0-443.4--0.226133999999955</f>
        <v>1692.7362640000001</v>
      </c>
      <c r="U95" s="3">
        <f>1479.1+(1920.8-1257.6)+(-1.508682+(-1.959216--1.282752))+0-449.9--0.458898000000072</f>
        <v>1690.6737520000004</v>
      </c>
      <c r="V95" s="3">
        <f>1477.3+(1916-1255.6)+(-2.260269+(-2.93148--1.921068))+0-453.1--0.693243000000026</f>
        <v>1682.0225619999999</v>
      </c>
      <c r="W95" s="3">
        <f>1477.4+(1911.9-1249.6)+(-3.013896+(-3.900276--2.549184))+0-454--0.92615999999998</f>
        <v>1682.2611720000004</v>
      </c>
      <c r="X95" s="3">
        <f>1479.8+(2083.9-1439.8)+(-2.264094+(-3.188367--2.202894))+0-445.5--0.681615000000026</f>
        <v>1675.8320480000002</v>
      </c>
      <c r="Y95" s="3">
        <f>1477.4+(2018.1-1390.9)+(-3.013896+(-4.116924--2.837436))+0-445.6--0.909023999999981</f>
        <v>1655.61564</v>
      </c>
      <c r="Z95" s="3">
        <f>1501.8+(2358.6-1672.2)+(0+(0-0))+0-448.2-0</f>
        <v>1739.9999999999998</v>
      </c>
      <c r="AA95" s="3">
        <f>1591.3+(1995-1231)+(0.811563+(1.01745-0.62781))+0-448.7-0.228836999999954</f>
        <v>1907.5723660000003</v>
      </c>
      <c r="AB95" s="3">
        <f>1592+(1840.7-1084.5)+(-3.24768+(-3.755028--2.21238))+0-444.1--0.905963999999981</f>
        <v>1900.2156359999999</v>
      </c>
      <c r="AC95" s="3">
        <f>1589.5+(2100.9-1395.6)+(-2.431935+(-3.214377--2.135268))+0-443.1--0.677943000000026</f>
        <v>1848.8668990000003</v>
      </c>
      <c r="AD95" s="2">
        <v>1934.3999999999999</v>
      </c>
      <c r="AE95" s="3">
        <f>1592+(1875.7-1084.5)+(0+(0-0))+0-446.8-0</f>
        <v>1936.3999999999999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1578+(2410-1769.1)+(-1.60956+(-2.4582--1.804482))+0-440.7--0.44951400000007</f>
        <v>1776.3862360000003</v>
      </c>
      <c r="G96" s="3">
        <f>1475.3+(2227.4-1581.6)+(-0.752403+(-1.135974--0.806616))+0-449.9--0.229448999999954</f>
        <v>1670.3476880000003</v>
      </c>
      <c r="H96" s="3">
        <f>1466.3+(2318.7-1709.9)+(-1.495626+(-2.365074--1.744098))+0-447.5--0.456450000000071</f>
        <v>1625.9398479999995</v>
      </c>
      <c r="I96" s="3">
        <f>1466.3+(2267-1696)+(-1.495626+(-2.31234--1.72992))+0-448.1--0.457062000000071</f>
        <v>1587.5790159999999</v>
      </c>
      <c r="J96" s="3">
        <f>1466.5+(2250.3-1696.6)+(-2.243745+(-3.442959--2.595798))+0-440.9--0.674577000000025</f>
        <v>1576.8836710000003</v>
      </c>
      <c r="K96" s="3">
        <f>1466+(2350.5-1819.5)+(-3.7383+(-5.993775--4.639725))+0-447.2--1.14035999999993</f>
        <v>1545.8480099999999</v>
      </c>
      <c r="L96" s="3">
        <f>1465.4+(2247.5-1745.6)+(1.494708+(2.29245-1.780512))+0-452-0.461040000000072</f>
        <v>1516.8456060000001</v>
      </c>
      <c r="M96" s="3">
        <f>1464.5+(2053.9-1448.9)+(0+(0-0))+0-439.3-0</f>
        <v>1630.2</v>
      </c>
      <c r="N96" s="3">
        <f>1476.7+(1945.2-1220)+(1.506234+(1.984104-1.2444))+0-423.3-0.431766000000067</f>
        <v>1780.414172</v>
      </c>
      <c r="O96" s="3">
        <f>1469.7+(1586.9-777.1)+(0+(0-0))+0-390.2-0</f>
        <v>1889.3</v>
      </c>
      <c r="P96" s="3">
        <f>1484.4+(1228.4-378.3)+(0.757044+(0.626484-0.192933))+0-380-0.193799999999961</f>
        <v>1955.496795</v>
      </c>
      <c r="Q96" s="3">
        <f>1652.1+(986.4-268.4)+(1.685142+(1.006128-0.273768))+0-367.6-0.374952000000059</f>
        <v>2004.5425499999997</v>
      </c>
      <c r="R96" s="3">
        <f>1665.5+(1120.4-382.1)+(0+(0-0))+0-374-0</f>
        <v>2029.8000000000002</v>
      </c>
      <c r="S96" s="3">
        <f>1663.6+(1362.8-681.2)+(-0.848436+(-0.695028--0.347412))+0-385.5--0.196604999999961</f>
        <v>1958.7005529999999</v>
      </c>
      <c r="T96" s="3">
        <f>1663.6+(1244.1-534.4)+(-1.696872+(-1.268982--0.545088))+0-392.9--0.400758000000063</f>
        <v>1978.3799919999994</v>
      </c>
      <c r="U96" s="3">
        <f>1685.9+(1197.2-516.9)+(1.719618+(1.221144-0.527238))+0-383.1-0.390762000000061</f>
        <v>1985.1227620000004</v>
      </c>
      <c r="V96" s="3">
        <f>1702.2+(1336.9-674.6)+(-2.604366+(-2.045457--1.032138))+0-382.1--0.584613000000022</f>
        <v>1979.3669279999999</v>
      </c>
      <c r="W96" s="3">
        <f>1700.1+(1444.6-815.4)+(-4.335255+(-3.68373--2.07927))+0-384--0.979199999999944</f>
        <v>1940.3394849999997</v>
      </c>
      <c r="X96" s="3">
        <f>1643.7+(1828.9-1100.4)+(-3.353148+(-3.730956--2.244816))+0-391--0.797639999999983</f>
        <v>1977.1583519999997</v>
      </c>
      <c r="Y96" s="3">
        <f>1581.6+(1749.7-1055.3)+(-3.226464+(-3.569388--2.152812))+0-395.2--0.806207999999983</f>
        <v>1876.963168</v>
      </c>
      <c r="Z96" s="3">
        <f>1597.2+(1750.6-1024.8)+(1.629144+(1.785612-1.045296))+0-399.4-0.407388000000064</f>
        <v>1925.5620719999997</v>
      </c>
      <c r="AA96" s="3">
        <f>1609.4+(1484.8-657)+(-2.462382+(-2.271744--1.00521))+0-397.6--0.608328000000023</f>
        <v>2036.4794119999999</v>
      </c>
      <c r="AB96" s="3">
        <f>1611.7+(1682.6-877.1)+(0.821967+(0.858126-0.447321))+0-396-0.20195999999996</f>
        <v>2022.2308119999998</v>
      </c>
      <c r="AC96" s="3">
        <f>1607.9+(2202.7-1429.4)+(0.820029+(1.123377-0.728994))+0-397.2-0.20257199999996</f>
        <v>1985.0118399999997</v>
      </c>
      <c r="AD96" s="2">
        <v>2053.8000000000002</v>
      </c>
      <c r="AE96" s="3">
        <f>1605+(1495.3-645.5)+(0+(0-0))+0-399-0</f>
        <v>2055.8000000000002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1583.3+(2689.5-1967.1)+(-3.229932+(-5.48658--4.012884))+0-397.5--0.810899999999983</f>
        <v>1904.3072719999996</v>
      </c>
      <c r="G97" s="3">
        <f>1496.7+(2983.8-2294.6)+(-2.289951+(-4.565214--3.510738))+0-394.5--0.603585000000023</f>
        <v>1788.6591580000006</v>
      </c>
      <c r="H97" s="3">
        <f>1486.9+(2974.9-2339.8)+(0.758319+(1.517199-1.193298))+0-394.7-0.20129699999996</f>
        <v>1728.1809229999997</v>
      </c>
      <c r="I97" s="3">
        <f>1486.3+(2866.2-2261.8)+(3.032052+(5.847048-4.614072))+0-394.2-0.804167999999983</f>
        <v>1699.9608599999997</v>
      </c>
      <c r="J97" s="3">
        <f>1484+(2914.3-2320.2)+(-3.7842+(-7.431465--5.91651))+0-396.2--1.01030999999994</f>
        <v>1677.6111550000001</v>
      </c>
      <c r="K97" s="3">
        <f>1481.9+(2875.2-2310.4)+(-3.778845+(-7.33176--5.89152))+0-394.4--1.00571999999994</f>
        <v>1648.0866349999999</v>
      </c>
      <c r="L97" s="3">
        <f>1481.3+(2278.9-1771.7)+(-2.266389+(-3.486717--2.710701))+0-393.5--0.602055000000023</f>
        <v>1592.5596500000001</v>
      </c>
      <c r="M97" s="3">
        <f>1481.3+(2232.6-1634)+(2.266389+(3.415878-2.50002))+0-394.9-0.604197000000023</f>
        <v>1687.5780499999996</v>
      </c>
      <c r="N97" s="3">
        <f>1482.5+(2713-1972.8)+(0.756075+(1.38363-1.006128))+0-396.2-0.20206199999996</f>
        <v>1827.4315149999998</v>
      </c>
      <c r="O97" s="3">
        <f>1481.8+(2119.7-1284.4)+(0.755718+(1.081047-0.655044))+0-397.8-0.20287799999996</f>
        <v>1920.2788429999994</v>
      </c>
      <c r="P97" s="3">
        <f>1492.5+(1554.2-619.1)+(2.283525+(2.377926-0.947223))+0-386.7-0.591651000000022</f>
        <v>2044.0225769999997</v>
      </c>
      <c r="Q97" s="3">
        <f>1573+(1195.8-349.2)+(0+(0-0))+0-380.2-0</f>
        <v>2039.3999999999999</v>
      </c>
      <c r="R97" s="3">
        <f>1696.9+(1283.4-542.6)+(-3.461676+(-2.618136--1.106904))+0-386.5--0.788459999999983</f>
        <v>2047.0155520000001</v>
      </c>
      <c r="S97" s="3">
        <f>1692.4+(1892-1216)+(-3.452496+(-3.85968--2.48064))+0-385.3--0.786011999999983</f>
        <v>1979.054476</v>
      </c>
      <c r="T97" s="3">
        <f>1693.5+(1838-1140.9)+(0+(0-0))+0-386.8-0</f>
        <v>2003.8</v>
      </c>
      <c r="U97" s="3">
        <f>1729.4+(1935.9-1256.1)+(-0.881994+(-0.987309--0.640611))+0-387.4--0.197573999999961</f>
        <v>2020.7688820000001</v>
      </c>
      <c r="V97" s="3">
        <f>1703+(1967-1270.8)+(-2.60559+(-3.00951--1.944324))+0-392.8--0.600984000000023</f>
        <v>2003.3302079999999</v>
      </c>
      <c r="W97" s="3">
        <f>1574.7+(1735.1-922.3)+(-4.015485+(-4.424505--2.351865))+0-393.3--1.00291499999994</f>
        <v>1989.1147899999999</v>
      </c>
      <c r="X97" s="3">
        <f>1574.9+(2042-1274.7)+(-3.212796+(-4.16568--2.600388))+0-394.6--0.804983999999983</f>
        <v>1943.6268959999998</v>
      </c>
      <c r="Y97" s="3">
        <f>1581.2+(1886.8-1188)+(-3.225648+(-3.849072--2.42352))+0-395.1--0.806003999999983</f>
        <v>1881.0548040000003</v>
      </c>
      <c r="Z97" s="3">
        <f>1590.9+(1780.4-1037.6)+(0.811359+(0.908004-0.529176))+0-395.5-0.20170499999996</f>
        <v>1939.1884820000005</v>
      </c>
      <c r="AA97" s="3">
        <f>1599.4+(1886.2-1011)+(-0.815694+(-0.961962--0.51561))+0-393.5--0.20068499999996</f>
        <v>2080.0386390000003</v>
      </c>
      <c r="AB97" s="3">
        <f>1595+(2164.3-1309.4)+(-4.06725+(-5.518965--3.33897))+0-392.1--0.999854999999943</f>
        <v>2052.5526100000002</v>
      </c>
      <c r="AC97" s="3">
        <f>1507.1+(2331.4-1461.6)+(-1.537242+(-2.378028--1.490832))+0-392.4--0.400248000000063</f>
        <v>1982.4758100000001</v>
      </c>
      <c r="AD97" s="2">
        <v>2062.6</v>
      </c>
      <c r="AE97" s="3">
        <f>1593+(1975.5-1107.3)+(0+(0-0))+0-396.6-0</f>
        <v>2064.6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1484.7+(2425.5-1628.3)+(-3.028788+(-4.94802--3.321732))+0-393.7--0.803147999999983</f>
        <v>1884.348072</v>
      </c>
      <c r="G98" s="3">
        <f>1482.4+(2764.9-2046.4)+(-2.268072+(-4.230297--3.130992))+0-396.3--0.606339000000023</f>
        <v>1801.838962</v>
      </c>
      <c r="H98" s="3">
        <f>1484+(3096.7-2450.5)+(-3.02736+(-6.317268--4.99902))+0-391.1--0.797843999999983</f>
        <v>1735.5522359999998</v>
      </c>
      <c r="I98" s="3">
        <f>1483.5+(3078-2467)+(-0.756585+(-1.56978--1.25817))+0-395.1--0.20150099999996</f>
        <v>1698.5333060000003</v>
      </c>
      <c r="J98" s="3">
        <f>1482.8+(2749.9-2160.4)+(-3.024912+(-5.609796--4.407216))+0-395.8--0.807431999999983</f>
        <v>1673.0799400000003</v>
      </c>
      <c r="K98" s="3">
        <f>1482.4+(2718.5-2157.7)+(-3.78012+(-6.932175--5.502135))+0-394.9--1.00699499999994</f>
        <v>1644.0968350000001</v>
      </c>
      <c r="L98" s="3">
        <f>1482.9+(2472.9-1952.5)+(-2.268837+(-3.783537--2.987325))+0-391.8--0.599454000000023</f>
        <v>1609.0344050000001</v>
      </c>
      <c r="M98" s="3">
        <f>1482.6+(2492.3-1895.3)+(1.512252+(2.542146-1.933206))+0-390.5-0.398310000000062</f>
        <v>1690.8228820000004</v>
      </c>
      <c r="N98" s="3">
        <f>1481.3+(2313.2-1577.1)+(1.510926+(2.359464-1.608642))+0-395.5-0.403410000000063</f>
        <v>1823.7583379999994</v>
      </c>
      <c r="O98" s="3">
        <f>1482.7+(2081.3-1259.4)+(0+(0-0))+0-393.3-0</f>
        <v>1911.3000000000004</v>
      </c>
      <c r="P98" s="3">
        <f>1483+(1833-925.6)+(0+(0-0))+0-397.4-0</f>
        <v>1993</v>
      </c>
      <c r="Q98" s="3">
        <f>1484.1+(1623.1-654)+(1.513782+(1.655562-0.66708))+0-394.6-0.402492000000063</f>
        <v>2060.6997719999999</v>
      </c>
      <c r="R98" s="3">
        <f>1484.7+(1678.7-709.3)+(2.271591+(2.568411-1.085229))+0-393.1-0.601443000000023</f>
        <v>2064.1533300000006</v>
      </c>
      <c r="S98" s="3">
        <f>1641+(1809.2-1073.9)+(-3.34764+(-3.690768--2.190756))+0-392.7--0.801107999999983</f>
        <v>1979.5534560000001</v>
      </c>
      <c r="T98" s="3">
        <f>1824.5+(1929.4-1350.3)+(0.930495+(0.983994-0.688653))+0-393.7-0.20078699999996</f>
        <v>2010.9250490000004</v>
      </c>
      <c r="U98" s="3">
        <f>2006.1+(1895.6-1483.6)+(-5.115555+(-4.83378--3.78318))+0-392.6--1.00112999999994</f>
        <v>2020.334975</v>
      </c>
      <c r="V98" s="3">
        <f>2030.4+(1772.8-1392)+(-4.142016+(-3.616512--2.83968))+0-393.2--0.802127999999983</f>
        <v>2013.88328</v>
      </c>
      <c r="W98" s="3">
        <f>1935+(1498.5-1023.3)+(-5.9211+(-4.58541--3.131298))+0-434.9--1.33079400000005</f>
        <v>1969.2555819999998</v>
      </c>
      <c r="X98" s="3">
        <f>1758.3+(1772.7-1141.3)+(-5.380398+(-5.424462--3.492378))+0-438.1--1.34058600000005</f>
        <v>1945.6281040000001</v>
      </c>
      <c r="Y98" s="3">
        <f>1614.5+(1553.7-864.9)+(-4.116975+(-3.961935--2.205495))+0-433.4--1.10516999999994</f>
        <v>1865.1317550000001</v>
      </c>
      <c r="Z98" s="3">
        <f>1625.3+(1490.4-726.3)+(-0.828903+(-0.760104--0.370413))+0-443.2--0.226031999999955</f>
        <v>1945.2074380000001</v>
      </c>
      <c r="AA98" s="3">
        <f>1636.4+(1499.4-640.6)+(-1.669128+(-1.529388--0.653412))+0-421.9--0.430338000000067</f>
        <v>2071.1852340000005</v>
      </c>
      <c r="AB98" s="3">
        <f>1573.8+(1439.9-573.3)+(-0.802638+(-0.734349--0.292383))+0-420--0.214199999999957</f>
        <v>2019.369596</v>
      </c>
      <c r="AC98" s="3">
        <f>1539.5+(1439.3-589.4)+(-1.57029+(-1.468086--0.601188))+0-437--0.44574000000007</f>
        <v>1950.4085520000003</v>
      </c>
      <c r="AD98" s="2">
        <v>2058.5999999999995</v>
      </c>
      <c r="AE98" s="3">
        <f>1634+(1536.1-686.7)+(0+(0-0))+0-422.8-0</f>
        <v>2060.5999999999995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1482.5+(2089.5-1267.8)+(-3.0243+(-4.26258--2.586312))+0-435.3--0.888011999999981</f>
        <v>1865.0874439999996</v>
      </c>
      <c r="G99" s="3">
        <f>1470.3+(2560.8-1813.1)+(-1.499706+(-2.612016--1.849362))+0-440.3--0.44910600000007</f>
        <v>1775.8867459999999</v>
      </c>
      <c r="H99" s="3">
        <f>1465+(2777.2-2079.4)+(-2.9886+(-5.665488--4.241976))+0-438.6--0.894743999999981</f>
        <v>1720.6826319999998</v>
      </c>
      <c r="I99" s="3">
        <f>1463.7+(2720.9-2087.4)+(-3.732435+(-6.938295--5.32287))+0-418.5--1.06717499999994</f>
        <v>1674.4193149999999</v>
      </c>
      <c r="J99" s="3">
        <f>1462.7+(2545.1-1933.4)+(1.491954+(2.596002-1.972068))+0-429-0.437580000000068</f>
        <v>1647.0783079999994</v>
      </c>
      <c r="K99" s="3">
        <f>1464.6+(2585.7-1986.2)+(-3.73473+(-6.593535--5.06481))+0-437.3--1.11511499999994</f>
        <v>1622.6516599999995</v>
      </c>
      <c r="L99" s="3">
        <f>1471.4+(2162.3-1626.4)+(-3.75207+(-5.513865--4.14732))+0-435.6--1.11077999999994</f>
        <v>1567.6921649999999</v>
      </c>
      <c r="M99" s="3">
        <f>1474.5+(1930.3-1309.2)+(1.50399+(1.968906-1.335384))+0-432.2-0.440844000000069</f>
        <v>1665.0966679999997</v>
      </c>
      <c r="N99" s="3">
        <f>1475.9+(1626.6-878.9)+(0.752709+(0.829566-0.448239))+0-411.3-0.209762999999958</f>
        <v>1813.2242729999998</v>
      </c>
      <c r="O99" s="3">
        <f>1475.3+(1536.7-692.3)+(-0.752403+(-0.783717--0.353073))+0-411.7--0.209966999999958</f>
        <v>1907.0269199999998</v>
      </c>
      <c r="P99" s="3">
        <f>1476.9+(1499.3-584.7)+(0.753219+(0.764643-0.298197))+0-393.7-0.20078699999996</f>
        <v>1998.818878</v>
      </c>
      <c r="Q99" s="3">
        <f>1534.3+(1213.1-297.5)+(-2.347479+(-1.856043--0.455175))+0-394.6--0.603738000000023</f>
        <v>2052.1553909999998</v>
      </c>
      <c r="R99" s="3">
        <f>1579.8+(1147.4-274.3)+(-1.611396+(-1.170348--0.279786))+0-400.3--0.408306000000064</f>
        <v>2050.5063480000003</v>
      </c>
      <c r="S99" s="3">
        <f>1661.9+(1229.3-498.9)+(-5.932983+(-4.388601--1.781073))+0-416.7--1.48761900000001</f>
        <v>1968.547108</v>
      </c>
      <c r="T99" s="3">
        <f>1664.6+(1173.6-436.1)+(-0.848946+(-0.598536--0.222411))+0-422.6--0.215525999999957</f>
        <v>1978.4904550000001</v>
      </c>
      <c r="U99" s="3">
        <f>1665.1+(1185.1-423.2)+(0+(0-0))+0-432.5-0</f>
        <v>1994.5</v>
      </c>
      <c r="V99" s="3">
        <f>1663.9+(1160.5-406.9)+(-2.545767+(-1.775565--0.622557))+0-425.2--0.650556000000025</f>
        <v>1989.2517810000002</v>
      </c>
      <c r="W99" s="3">
        <f>1664.9+(1170.8-427.7)+(-3.396396+(-2.388432--0.872508))+0-428--0.873119999999981</f>
        <v>1975.9608000000001</v>
      </c>
      <c r="X99" s="3">
        <f>1664.9+(1696.1-983.6)+(-2.547297+(-2.595033--1.504908))+0-430.6--0.658818000000025</f>
        <v>1943.8213960000005</v>
      </c>
      <c r="Y99" s="3">
        <f>1664.3+(1719.6-1071)+(-1.697586+(-1.753992--1.09242))+0-424--0.432480000000068</f>
        <v>1886.9733219999996</v>
      </c>
      <c r="Z99" s="3">
        <f>1677.8+(1545.6-860.5)+(-0.855678+(-0.788256--0.438855))+0-432.4--0.220523999999956</f>
        <v>1929.5154449999998</v>
      </c>
      <c r="AA99" s="3">
        <f>1689.6+(1450.6-642.2)+(-2.585088+(-2.219418--0.982566))+0-434.1--0.664173000000025</f>
        <v>2060.7422330000004</v>
      </c>
      <c r="AB99" s="3">
        <f>1690.2+(1637.4-861)+(-3.448008+(-3.340296--1.75644))+0-429.8--0.876791999999981</f>
        <v>2032.6449280000004</v>
      </c>
      <c r="AC99" s="3">
        <f>1687+(2346.1-1621.1)+(-1.72074+(-2.393022--1.653522))+0-431.1--0.439722000000069</f>
        <v>1978.8794820000003</v>
      </c>
      <c r="AD99" s="2">
        <v>2083.5</v>
      </c>
      <c r="AE99" s="3">
        <f>1690+(1406.6-580.6)+(0+(0-0))+0-430.5-0</f>
        <v>2085.5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1568.8+(2772.4-2033.6)+(-0.800088+(-1.413924--1.037136))+0-444.4--0.226643999999955</f>
        <v>1862.2497680000001</v>
      </c>
      <c r="G100" s="3">
        <f>1482+(2696.3-1971.2)+(-2.26746+(-4.125339--3.015936))+0-440.8--0.674424000000025</f>
        <v>1763.5975610000005</v>
      </c>
      <c r="H100" s="3">
        <f>1478.9+(2250.4-1589.2)+(-2.262717+(-3.443112--2.431476))+0-439.6--0.672588000000025</f>
        <v>1697.8982350000008</v>
      </c>
      <c r="I100" s="3">
        <f>1478.6+(2162-1528.4)+(0+(0-0))+0-438.3-0</f>
        <v>1673.8999999999999</v>
      </c>
      <c r="J100" s="3">
        <f>1479.9+(2102.1-1489)+(-3.773745+(-5.360355--3.79695))+0-441.5--1.12582499999994</f>
        <v>1647.288675</v>
      </c>
      <c r="K100" s="3">
        <f>1479.3+(2027-1427.1)+(-3.017772+(-4.13508--2.911284))+0-441.5--0.900659999999981</f>
        <v>1634.3590919999999</v>
      </c>
      <c r="L100" s="3">
        <f>1477.8+(1847.5-1310.6)+(-2.261034+(-2.826675--2.005218))+0-439.7--0.672741000000025</f>
        <v>1572.5902500000002</v>
      </c>
      <c r="M100" s="3">
        <f>1478.1+(1500.6-880.5)+(1.507662+(1.530612-0.89811))+0-393.9-0.401778000000063</f>
        <v>1706.0383859999995</v>
      </c>
      <c r="N100" s="3">
        <f>1474.6+(1332.6-561.7)+(1.504092+(1.359252-0.572934))+0-434.8-0.443496000000069</f>
        <v>1812.546914</v>
      </c>
      <c r="O100" s="3">
        <f>1478.9+(1370.2-499.2)+(-1.508478+(-1.397604--0.509184))+0-443.9--0.452778000000071</f>
        <v>1904.0558800000001</v>
      </c>
      <c r="P100" s="3">
        <f>1490+(1181.7-199.7)+(0+(0-0))+0-446.7-0</f>
        <v>2025.3</v>
      </c>
      <c r="Q100" s="3">
        <f>1572.6+(1050.3-129.1)+(2.406078+(1.606959-0.197523))+0-459-0.702270000000026</f>
        <v>2037.9132439999996</v>
      </c>
      <c r="R100" s="3">
        <f>1848.7+(938.4-274.5)+(-0.942837+(-0.478584--0.139995))+0-451.5--0.230264999999954</f>
        <v>2060.048839</v>
      </c>
      <c r="S100" s="3">
        <f>1997.2+(1013.9-579.8)+(-2.037144+(-1.034178--0.591396))+0-436.9--0.44563800000007</f>
        <v>1992.3657120000003</v>
      </c>
      <c r="T100" s="3">
        <f>2002.7+(1032.2-595.6)+(-1.021377+(-0.526422--0.303756))+0-439.2--0.223991999999955</f>
        <v>1999.0799489999999</v>
      </c>
      <c r="U100" s="3">
        <f>1793.6+(1125.4-501.4)+(2.744208+(1.721862-0.767142))+0-448.3-0.685899000000026</f>
        <v>1972.3130289999997</v>
      </c>
      <c r="V100" s="3">
        <f>1639.9+(1215.2-456.8)+(-1.672698+(-1.239504--0.465936))+0-452.4--0.461448000000072</f>
        <v>1943.9151820000002</v>
      </c>
      <c r="W100" s="3">
        <f>1619.1+(1383.7-616.7)+(-2.477223+(-2.117061--0.943551))+0-424.7--0.649791000000025</f>
        <v>1958.399058</v>
      </c>
      <c r="X100" s="3">
        <f>1616+(1696.3-965.4)+(-4.94496+(-5.190678--2.954124))+0-414.9--1.26959400000005</f>
        <v>1926.0880800000002</v>
      </c>
      <c r="Y100" s="3">
        <f>1618.3+(1830.9-1149.7)+(-3.301332+(-3.735036--2.345388))+0-445.8--0.909431999999981</f>
        <v>1849.9184520000001</v>
      </c>
      <c r="Z100" s="3">
        <f>1634.2+(2015-1287.9)+(1.666884+(2.0553-1.313658))+0-445.7-0.454614000000071</f>
        <v>1917.5539120000003</v>
      </c>
      <c r="AA100" s="3">
        <f>1643.2+(1624.2-782.8)+(-1.676064+(-1.656684--0.798456))+0-450.3--0.459306000000072</f>
        <v>2032.2250140000006</v>
      </c>
      <c r="AB100" s="3">
        <f>1640.6+(1805.8-981.7)+(0.836706+(0.920958-0.500667))+0-439.9-0.224348999999955</f>
        <v>2025.8326479999998</v>
      </c>
      <c r="AC100" s="3">
        <f>1636.6+(2150.4-1361.4)+(0+(0-0))+0-450.5-0</f>
        <v>1975.1</v>
      </c>
      <c r="AD100" s="2">
        <v>2033.4</v>
      </c>
      <c r="AE100" s="3">
        <f>1649+(1867.5-1034)+(0+(0-0))+0-447.1-0</f>
        <v>2035.4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1616.2+(2276.4-1538.8)+(0.824262+(1.160964-0.784788))+0-451.4-0.230213999999954</f>
        <v>1903.370224</v>
      </c>
      <c r="G101" s="3">
        <f>1502.3+(1921.3-1175.9)+(1.532346+(1.959726-1.199418))+0-457-0.466140000000073</f>
        <v>1792.5265139999997</v>
      </c>
      <c r="H101" s="3">
        <f>1482.4+(2000.6-1308.9)+(0+(0-0))+0-457.5-0</f>
        <v>1716.6</v>
      </c>
      <c r="I101" s="3">
        <f>1481.3+(2366.4-1723.8)+(0.755463+(1.206864-0.879138))+0-454.1-0.231590999999954</f>
        <v>1670.6515980000001</v>
      </c>
      <c r="J101" s="3">
        <f>1482.8+(2521-1903.7)+(0.756228+(1.28571-0.970887))+0-456.6-0.232865999999954</f>
        <v>1644.3381849999998</v>
      </c>
      <c r="K101" s="3">
        <f>1481.2+(2579.8-1974.1)+(-1.510824+(-2.631396--2.013582))+0-449.3--0.458286000000072</f>
        <v>1635.9296480000005</v>
      </c>
      <c r="L101" s="3">
        <f>1480.9+(2057.3-1511.3)+(-1.510518+(-2.098446--1.541526))+0-456.6--0.465732000000073</f>
        <v>1568.6982940000003</v>
      </c>
      <c r="M101" s="3">
        <f>1480.3+(1776.2-1156)+(2.264859+(2.717586-1.76868))+0-454.5-0.695385000000026</f>
        <v>1648.51838</v>
      </c>
      <c r="N101" s="3">
        <f>1481.3+(1912.8-1168.1)+(3.777315+(4.87764-2.978655))+0-453-1.15514999999993</f>
        <v>1777.5211500000003</v>
      </c>
      <c r="O101" s="3">
        <f>1480.9+(1387-561.9)+(3.021036+(2.82948-1.146276))+0-454-0.92615999999998</f>
        <v>1855.77808</v>
      </c>
      <c r="P101" s="3">
        <f>1483.4+(1274.2-364.1)+(3.026136+(2.599368-0.742764))+0-457.4-0.93309599999998</f>
        <v>1940.0496439999999</v>
      </c>
      <c r="Q101" s="3">
        <f>1485+(1150.2-193.1)+(2.27205+(1.759806-0.295443))+0-445.8-0.682074000000026</f>
        <v>1999.354339</v>
      </c>
      <c r="R101" s="3">
        <f>1571.4+(1165.1-285.7)+(3.205656+(2.376804-0.582828))+0-440-0.897599999999981</f>
        <v>2014.9020320000002</v>
      </c>
      <c r="S101" s="3">
        <f>1658.5+(1469.1-754.8)+(-4.229175+(-3.746205--1.92474))+0-452.1--1.15285499999993</f>
        <v>1915.8022150000002</v>
      </c>
      <c r="T101" s="3">
        <f>1745.7+(1606.4-1007.3)+(0+(0-0))+7.2-436.8-0</f>
        <v>1915.2</v>
      </c>
      <c r="U101" s="3">
        <f>1743.2+(1718.7-1115.2)+(0+(0-0))+0-439.6-0</f>
        <v>1907.1</v>
      </c>
      <c r="V101" s="3">
        <f>1655.2+(1871.3-1188.3)+(0+(0-0))+0-448.9-0</f>
        <v>1889.2999999999997</v>
      </c>
      <c r="W101" s="3">
        <f>1620.9+(2117-1423.7)+(-3.306636+(-4.31868--2.904348))+0-448.4--0.91473599999998</f>
        <v>1861.9937679999996</v>
      </c>
      <c r="X101" s="3">
        <f>1595+(2368.4-1700.9)+(-4.8807+(-7.247304--5.204754))+0-445.4--1.36292400000005</f>
        <v>1811.5396740000001</v>
      </c>
      <c r="Y101" s="3">
        <f>1573.5+(1659.3-1006.6)+(-3.20994+(-3.384972--2.053464))+0-441.2--0.900047999999981</f>
        <v>1781.3585999999998</v>
      </c>
      <c r="Z101" s="3">
        <f>1598.4+(2034.1-1339.5)+(1.630368+(2.074782-1.36629))+0-444.3-0.453186000000071</f>
        <v>1850.5856739999999</v>
      </c>
      <c r="AA101" s="3">
        <f>1601.7+(1880.2-1058.9)+(-5.718069+(-6.712314--3.780273))+0-437.8--1.56294600000001</f>
        <v>1978.112836</v>
      </c>
      <c r="AB101" s="3">
        <f>1601.7+(1935.8-1140.2)+(-2.450601+(-2.961774--1.744506))+0-446.1--0.682533000000026</f>
        <v>1948.2146640000003</v>
      </c>
      <c r="AC101" s="3">
        <f>1598.7+(2363.2-1622.3)+(-3.261348+(-4.820928--3.309492))+0-443.5--0.904739999999981</f>
        <v>1892.2319560000001</v>
      </c>
      <c r="AD101" s="2">
        <v>1969.6000000000004</v>
      </c>
      <c r="AE101" s="3">
        <f>1600+(1806.8-998.7)+(0+(0-0))+0-436.5-0</f>
        <v>1971.6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1591.1+(2235.7-1546.9)+(1.622922+(2.280414-1.577838))+0-449.7-0.458694000000072</f>
        <v>1832.0668039999996</v>
      </c>
      <c r="G102" s="3">
        <f>1588+(2345.8-1735.9)+(-3.23952+(-4.785432--3.541236))+0-450.7--0.91942799999998</f>
        <v>1743.6357119999998</v>
      </c>
      <c r="H102" s="3">
        <f>1522.9+(2656.7-2067)+(-2.330037+(-4.064751--3.16251))+0-449--0.686970000000026</f>
        <v>1661.0546919999999</v>
      </c>
      <c r="I102" s="3">
        <f>1496.3+(2681.9-2097.5)+(-1.526226+(-2.735538--2.13945))+0-451--0.460020000000072</f>
        <v>1628.0377059999996</v>
      </c>
      <c r="J102" s="3">
        <f>1489.5+(2957.5-2377.9)+(-1.51929+(-3.01665--2.425458))+0-446.6--0.455532000000071</f>
        <v>1620.8450500000001</v>
      </c>
      <c r="K102" s="3">
        <f>1486.7+(2989.1-2462.1)+(-2.274651+(-4.573323--3.767013))+0-442.7--0.677331000000026</f>
        <v>1568.5963700000002</v>
      </c>
      <c r="L102" s="3">
        <f>1486.7+(2670.8-2209.6)+(-3.791085+(-6.81054--5.63448))+0-443.8--1.13168999999994</f>
        <v>1500.2645450000002</v>
      </c>
      <c r="M102" s="3">
        <f>1485+(2410.8-1943.8)+(-0.75735+(-1.229508--0.991338))+0-443.7--0.226286999999955</f>
        <v>1507.5307670000002</v>
      </c>
      <c r="N102" s="3">
        <f>1486.3+(2645.6-2099.4)+(-1.516026+(-2.698512--2.141388))+0-448.2--0.457164000000071</f>
        <v>1582.6840139999999</v>
      </c>
      <c r="O102" s="3">
        <f>1485.5+(2442.8-1823)+(-2.272815+(-3.737484--2.78919))+0-448.4--0.686052000000026</f>
        <v>1654.364943</v>
      </c>
      <c r="P102" s="3">
        <f>1486.8+(2143-1453.4)+(0+(0-0))+0-440.4-0</f>
        <v>1735.9999999999995</v>
      </c>
      <c r="Q102" s="3">
        <f>1487.3+(1940.1-1194.2)+(1.517046+(1.978902-1.218084))+0-401.2-0.409224000000064</f>
        <v>1833.8686399999999</v>
      </c>
      <c r="R102" s="3">
        <f>1520.1+(1708.7-995.8)+(0.775251+(0.871437-0.507858))+0-440.4-0.224603999999955</f>
        <v>1793.5142259999998</v>
      </c>
      <c r="S102" s="3">
        <f>1656.5+(1885.8-1327.4)+(0.844815+(0.961758-0.676974))+0-439.5-0.224144999999955</f>
        <v>1776.3054539999996</v>
      </c>
      <c r="T102" s="3">
        <f>1661.8+(1998-1428.8)+(-0.847518+(-1.01898--0.728688))+0-446--0.227459999999955</f>
        <v>1784.0896499999999</v>
      </c>
      <c r="U102" s="3">
        <f>1661.5+(2107.1-1560.4)+(-0.847365+(-1.074621--0.795804))+0-446--0.227459999999955</f>
        <v>1761.3012779999999</v>
      </c>
      <c r="V102" s="3">
        <f>1658.5+(2299.8-1741.8)+(0.845835+(1.172898-0.888318))+0-440.1-0.224450999999955</f>
        <v>1777.3059640000001</v>
      </c>
      <c r="W102" s="3">
        <f>1660.5+(2297.8-1732.2)+(-4.234275+(-5.85939--4.41711))+0-446.8--1.13933999999994</f>
        <v>1774.7627850000003</v>
      </c>
      <c r="X102" s="3">
        <f>1659.8+(2507.9-1970.5)+(-4.23249+(-6.395145--5.024775))+0-444.7--1.13398499999994</f>
        <v>1748.0311249999997</v>
      </c>
      <c r="Y102" s="3">
        <f>1637.7+(2128.3-1606.2)+(-0.835227+(-1.085433--0.819162))+0-437.6--0.223175999999956</f>
        <v>1721.3216780000002</v>
      </c>
      <c r="Z102" s="3">
        <f>1636.4+(1978.9-1382.9)+(-1.669128+(-2.018478--1.410558))+0-440.3--0.44910600000007</f>
        <v>1790.2720580000002</v>
      </c>
      <c r="AA102" s="3">
        <f>1638.8+(1645-884.2)+(-4.17894+(-4.19475--2.25471))+0-443.8--1.13168999999994</f>
        <v>1950.8127099999997</v>
      </c>
      <c r="AB102" s="3">
        <f>1637.5+(1819.3-1073.9)+(-0.835125+(-0.927843--0.547689))+0-443.9--0.226388999999955</f>
        <v>1938.0111099999995</v>
      </c>
      <c r="AC102" s="3">
        <f>1634.8+(2319.2-1616.2)+(-2.501244+(-3.548376--2.472786))+0-434.7--0.665091000000025</f>
        <v>1900.1882569999998</v>
      </c>
      <c r="AD102" s="2">
        <v>1973.2</v>
      </c>
      <c r="AE102" s="3">
        <f>1642+(1754.8-982.3)+(0+(0-0))+0-439.3-0</f>
        <v>1975.2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1533.6+(2735.1-2039.1)+(0+(0-0))+0-443.8-0</f>
        <v>1785.8</v>
      </c>
      <c r="G103" s="3">
        <f>1478.8+(2730.5-2079.6)+(-0.754188+(-1.392555--1.060596))+0-437.5--0.223124999999956</f>
        <v>1691.3369779999998</v>
      </c>
      <c r="H103" s="3">
        <f>1477.4+(2774.7-2194.2)+(0.753474+(1.415097-1.119042))+0-438.4-0.223583999999956</f>
        <v>1620.325945</v>
      </c>
      <c r="I103" s="3">
        <f>1481.8+(2673.2-2127.9)+(0+(0-0))+0-442-0</f>
        <v>1585.0999999999997</v>
      </c>
      <c r="J103" s="3">
        <f>1482.9+(2784.1-2263.5)+(-1.512558+(-2.839782--2.30877))+0-450.3--0.459306000000072</f>
        <v>1551.615736</v>
      </c>
      <c r="K103" s="3">
        <f>1482.1+(2718.4-2212.6)+(-3.779355+(-6.93192--5.64213))+0-390.1--0.994754999999943</f>
        <v>1593.7256100000002</v>
      </c>
      <c r="L103" s="3">
        <f>1482.3+(2733.5-2241.8)+(0+(0-0))+0-431.2-0</f>
        <v>1542.7999999999997</v>
      </c>
      <c r="M103" s="3">
        <f>1481.9+(2631.5-2040.6)+(1.511538+(2.68413-2.081412))+0-426.1-0.434622000000068</f>
        <v>1648.3796340000001</v>
      </c>
      <c r="N103" s="3">
        <f>1482.6+(2416-1662.3)+(1.512252+(2.46432-1.695546))+0-439.6-0.44839200000007</f>
        <v>1798.5326340000004</v>
      </c>
      <c r="O103" s="3">
        <f>1294.7+(2599.2-1556)+(0+(0-0))+0-443.8-0</f>
        <v>1894.0999999999997</v>
      </c>
      <c r="P103" s="3">
        <f>1173+(2737.9-1493.8)+(1.79469+(4.188987-2.285514))+0-436.7-0.668151000000025</f>
        <v>1983.4300120000003</v>
      </c>
      <c r="Q103" s="3">
        <f>1333.5+(2337.4-1185.1)+(0+(0-0))+0-452.8-0</f>
        <v>2033.0000000000002</v>
      </c>
      <c r="R103" s="3">
        <f>1357.8+(2103.2-971.3)+(-0.692478+(-1.072632--0.495363))+0-440--0.224399999999955</f>
        <v>2048.6546530000001</v>
      </c>
      <c r="S103" s="3">
        <f>1362.6+(2534.4-1481.5)+(0.694926+(1.292544-0.755565))+0-432.9-0.220778999999956</f>
        <v>1983.611126</v>
      </c>
      <c r="T103" s="3">
        <f>1525.4+(2335.8-1457.9)+(-1.555908+(-2.382516--1.487058))+0-396.5--0.404430000000063</f>
        <v>2004.7530640000004</v>
      </c>
      <c r="U103" s="3">
        <f>1603+(2292.3-1454.7)+(-1.63506+(-2.338146--1.483794))+0-420.6--0.429012000000067</f>
        <v>2017.9396000000006</v>
      </c>
      <c r="V103" s="3">
        <f>1512.8+(2391.7-1458.7)+(-0.771528+(-1.219767--0.743937))+0-432.8--0.220727999999956</f>
        <v>2011.9733699999997</v>
      </c>
      <c r="W103" s="3">
        <f>1545.2+(2521.2-1630.1)+(-3.152208+(-5.143248--3.325404))+0-439.5--0.896579999999981</f>
        <v>1992.7265280000001</v>
      </c>
      <c r="X103" s="3">
        <f>1470+(2663.3-1748)+(-2.2491+(-4.074849--2.67444))+0-441.8--0.675954000000026</f>
        <v>1940.5264450000004</v>
      </c>
      <c r="Y103" s="3">
        <f>1477+(2499-1675.4)+(-1.50654+(-2.54898--1.708908))+0-442.6--0.451452000000071</f>
        <v>1856.1048400000002</v>
      </c>
      <c r="Z103" s="3">
        <f>1490.1+(2917.1-2051.3)+(1.519902+(2.975442-2.092326))+0-441.4-0.45022800000007</f>
        <v>1916.4527899999994</v>
      </c>
      <c r="AA103" s="3">
        <f>1506.6+(2935.6-1954.5)+(-3.073464+(-5.988624--3.98718))+0-420.4--0.857615999999982</f>
        <v>2063.0827079999995</v>
      </c>
      <c r="AB103" s="3">
        <f>1504.6+(3168.5-2211.9)+(-3.83673+(-8.079675--5.640345))+0-419.6--1.06997999999994</f>
        <v>2036.3939199999998</v>
      </c>
      <c r="AC103" s="3">
        <f>1501.4+(3138.8-2257.1)+(-3.062856+(-6.403152--4.604484))+0-410.4--0.837215999999982</f>
        <v>1968.6756920000003</v>
      </c>
      <c r="AD103" s="2">
        <v>2053.1999999999998</v>
      </c>
      <c r="AE103" s="3">
        <f>1507+(3072.5-2083)+(0+(0-0))+0-441.3-0</f>
        <v>2055.1999999999998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1502.2+(2844.7-2055.8)+(0+(0-0))+0-403.4-0</f>
        <v>1887.6999999999994</v>
      </c>
      <c r="G104" s="3">
        <f>1488.4+(2736-2044.3)+(-4.554504+(-8.37216--6.255558))+0-411.3--1.25857800000005</f>
        <v>1763.3874720000006</v>
      </c>
      <c r="H104" s="3">
        <f>1481+(2582.1-1941.7)+(-3.02124+(-5.267484--3.961068))+0-408.8--0.833951999999982</f>
        <v>1709.1062959999997</v>
      </c>
      <c r="I104" s="3">
        <f>1480.7+(2641.4-2037.6)+(-3.775785+(-6.73557--5.19588))+0-425.3--1.08451499999994</f>
        <v>1654.9690400000002</v>
      </c>
      <c r="J104" s="3">
        <f>1481.3+(2684.1-2089.8)+(-4.532778+(-8.213346--6.394788))+0-417.4--1.27724400000005</f>
        <v>1653.1259079999993</v>
      </c>
      <c r="K104" s="3">
        <f>1481.2+(2602.6-2024.5)+(-3.021648+(-5.309304--4.12998))+0-426.7--0.870467999999981</f>
        <v>1629.2694960000001</v>
      </c>
      <c r="L104" s="3">
        <f>1479.6+(2471.6-1938.3)+(-3.77298+(-6.30258--4.942665))+0-425.4--1.08476999999994</f>
        <v>1583.4518749999997</v>
      </c>
      <c r="M104" s="3">
        <f>1481.4+(2315.8-1716.6)+(2.266542+(3.543174-2.626398))+0-426.3-0.652239000000025</f>
        <v>1656.8310790000003</v>
      </c>
      <c r="N104" s="3">
        <f>1481.7+(2193.7-1502.3)+(2.267001+(3.356361-2.298519))+0-373.5-0.571455000000022</f>
        <v>1802.3533879999998</v>
      </c>
      <c r="O104" s="3">
        <f>1482.7+(2418.2-1601.8)+(1.512354+(2.466564-1.633836))+0-402.1-0.410142000000064</f>
        <v>1898.9349399999999</v>
      </c>
      <c r="P104" s="3">
        <f>1479.5+(2610.8-1680.8)+(0+(0-0))+0-417.5-0</f>
        <v>1992</v>
      </c>
      <c r="Q104" s="3">
        <f>1486.5+(2411.8-1476.5)+(3.790575+(6.15009-3.765075))+0-435.2-1.10975999999994</f>
        <v>1991.6658299999999</v>
      </c>
      <c r="R104" s="3">
        <f>1658.6+(2188.8-1373.2)+(0.845886+(1.116288-0.700332))+0-430.4-0.219503999999956</f>
        <v>2044.8423379999997</v>
      </c>
      <c r="S104" s="3">
        <f>1663.7+(2501.7-1764.9)+(-1.696974+(-2.551734--1.800198))+0-387.7--0.395454000000062</f>
        <v>2010.7469439999998</v>
      </c>
      <c r="T104" s="3">
        <f>1664+(2486.1-1736.3)+(-1.69728+(-2.535822--1.771026))+0-418.7--0.427074000000067</f>
        <v>1993.0649980000005</v>
      </c>
      <c r="U104" s="3">
        <f>1661.9+(2337.4-1564.3)+(-4.237845+(-5.96037--3.988965))+0-436--1.11179999999994</f>
        <v>1993.90255</v>
      </c>
      <c r="V104" s="3">
        <f>1662.5+(2556.2-1787.8)+(-0.847875+(-1.303662--0.911778))+0-427.4--0.217973999999957</f>
        <v>2002.4782149999994</v>
      </c>
      <c r="W104" s="3">
        <f>1662.4+(2720.3-1962.6)+(-3.391296+(-5.549412--4.003704))+0-380.7--0.776627999999983</f>
        <v>2035.2396240000005</v>
      </c>
      <c r="X104" s="3">
        <f>1632.1+(2613.6-1871)+(-2.497113+(-3.998808--2.86263))+0-422--0.645660000000024</f>
        <v>1949.7123689999999</v>
      </c>
      <c r="Y104" s="3">
        <f>1615.8+(2519.9-1836.4)+(-4.12029+(-6.425745--4.68282))+0-432--1.10159999999994</f>
        <v>1862.5383850000003</v>
      </c>
      <c r="Z104" s="3">
        <f>1637.3+(2748.1-2033.4)+(0+(0-0))+0-441.7-0</f>
        <v>1910.3</v>
      </c>
      <c r="AA104" s="3">
        <f>1643+(2605.7-1759.7)+(-4.18965+(-6.644535--4.487235))+0-385.6--0.983279999999944</f>
        <v>2098.0363299999999</v>
      </c>
      <c r="AB104" s="3">
        <f>1590.1+(2427.1-1589.6)+(-1.621902+(-2.475642--1.621392))+0-383.5--0.391170000000061</f>
        <v>2042.0150179999998</v>
      </c>
      <c r="AC104" s="3">
        <f>1536.3+(2791.4-1951.4)+(-1.567026+(-2.847228--1.990428))+0-382.5--0.390150000000061</f>
        <v>1991.7663239999999</v>
      </c>
      <c r="AD104" s="2">
        <v>2059.1</v>
      </c>
      <c r="AE104" s="3">
        <f>1636+(2567.7-1700.5)+(0+(0-0))+0-441.1-0</f>
        <v>2062.1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1489.4+(2878.4-2084.8)+(-3.79797+(-7.33992--5.31624))+0-383--0.976649999999944</f>
        <v>1895.155</v>
      </c>
      <c r="G105" s="3">
        <f>1481.9+(2759.9-2073.3)+(-3.023076+(-5.630196--4.229532))+0-377.3--0.769691999999984</f>
        <v>1787.5459519999999</v>
      </c>
      <c r="H105" s="3">
        <f>1480.8+(2927-2334.1)+(-2.265624+(-4.47831--3.571173))+0-359.8--0.550494000000021</f>
        <v>1711.2777330000001</v>
      </c>
      <c r="I105" s="3">
        <f>1481.6+(2964.7-2392.9)+(-3.022464+(-6.047988--4.881516))+0-378.5--0.772139999999984</f>
        <v>1671.4832039999997</v>
      </c>
      <c r="J105" s="3">
        <f>1480.1+(2798.4-2244.9)+(-3.774255+(-7.13592--5.724495))+0-389.7--0.993734999999943</f>
        <v>1639.7080549999998</v>
      </c>
      <c r="K105" s="3">
        <f>1479.1+(2799.2-2264.5)+(-3.771705+(-7.13796--5.774475))+0-391.3--0.997814999999943</f>
        <v>1618.3626249999998</v>
      </c>
      <c r="L105" s="3">
        <f>1480.6+(2792.6-2304.1)+(-0.755106+(-1.424226--1.175091))+0-388--0.197879999999961</f>
        <v>1580.2936389999998</v>
      </c>
      <c r="M105" s="3">
        <f>1476.9+(2400.6-1824.9)+(1.506438+(2.448612-1.861398))+0-394.7-0.402594000000063</f>
        <v>1659.5910579999997</v>
      </c>
      <c r="N105" s="3">
        <f>1475.6+(2382.1-1660)+(0+(0-0))+0-398.1-0</f>
        <v>1799.6</v>
      </c>
      <c r="O105" s="3">
        <f>1477.4+(2609-1803.7)+(-3.76737+(-6.65295--4.599435))+0-398.7--1.01668499999994</f>
        <v>1879.1957999999997</v>
      </c>
      <c r="P105" s="3">
        <f>1480.9+(2858.2-1968.4)+(0+(0-0))+0-394.4-0</f>
        <v>1976.2999999999997</v>
      </c>
      <c r="Q105" s="3">
        <f>1624.1+(3019.2-2264.2)+(-1.656582+(-3.079584--2.309484))+0-341--0.347820000000054</f>
        <v>2036.0211380000001</v>
      </c>
      <c r="R105" s="3">
        <f>1697.9+(2893.4-2188.2)+(0+(0-0))+0-343.7-0</f>
        <v>2059.4000000000005</v>
      </c>
      <c r="S105" s="3">
        <f>1691.4+(3037.5-2357.8)+(-1.725228+(-3.09825--2.404956))+0-369.4--0.376788000000059</f>
        <v>1999.6582659999999</v>
      </c>
      <c r="T105" s="3">
        <f>1690.5+(2861.2-2174.2)+(-2.586465+(-4.377636--3.326526))+0-378.1--0.578493000000022</f>
        <v>1996.3409179999999</v>
      </c>
      <c r="U105" s="3">
        <f>1689.4+(2781.3-2075.4)+(1.723188+(2.836926-2.116908))+0-387.4-0.395148000000062</f>
        <v>2009.9480579999999</v>
      </c>
      <c r="V105" s="3">
        <f>1691.9+(2326.8-1632.7)+(-0.862869+(-1.186668--0.832677))+0-384.8--0.196247999999961</f>
        <v>2000.179388</v>
      </c>
      <c r="W105" s="3">
        <f>1689.7+(2617.2-1929.5)+(-6.032229+(-9.343404--6.888315))+0-396.2--1.41443400000001</f>
        <v>1974.1271159999997</v>
      </c>
      <c r="X105" s="3">
        <f>1690.1+(2412.5-1774.4)+(-6.033657+(-8.612625--6.334608))+0-392.5--1.40122500000001</f>
        <v>1928.7895509999998</v>
      </c>
      <c r="Y105" s="3">
        <f>1692.9+(1707.9-1131)+(-1.726758+(-1.742058--1.15362))+0-398.2--0.406164000000063</f>
        <v>1869.6909680000001</v>
      </c>
      <c r="Z105" s="3">
        <f>1703.7+(1706.4-1104.1)+(0+(0-0))+0-401.1-0</f>
        <v>1904.9</v>
      </c>
      <c r="AA105" s="3">
        <f>1718.7+(2088.5-1318.6)+(-1.753074+(-2.13027--1.344972))+0-434.2--0.442884000000069</f>
        <v>2052.3045120000006</v>
      </c>
      <c r="AB105" s="3">
        <f>1601.1+(1670.8-797.6)+(-1.633122+(-1.704216--0.813552))+0-443.2--0.452064000000071</f>
        <v>2029.0282779999995</v>
      </c>
      <c r="AC105" s="3">
        <f>1527.6+(1708.4-831.7)+(0+(0-0))+0-447.4-0</f>
        <v>1956.9</v>
      </c>
      <c r="AD105" s="2">
        <v>2071.1999999999998</v>
      </c>
      <c r="AE105" s="3">
        <f>1723+(1556.1-822.1)+(0+(0-0))+0-381.8-0</f>
        <v>2075.1999999999998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1482.5+(2030.9-1209.4)+(0.756075+(1.035759-0.616794))+0-431.9-0.220268999999956</f>
        <v>1873.0547710000001</v>
      </c>
      <c r="G106" s="3">
        <f>1475.8+(2759-2034.5)+(0+(0-0))+0-422-0</f>
        <v>1778.3000000000002</v>
      </c>
      <c r="H106" s="3">
        <f>1476.8+(2904.6-2239.2)+(0+(0-0))+0-422.2-0</f>
        <v>1719.9999999999998</v>
      </c>
      <c r="I106" s="3">
        <f>1475.3+(2827.1-2197.1)+(0+(0-0))+0-422.7-0</f>
        <v>1682.6000000000001</v>
      </c>
      <c r="J106" s="3">
        <f>1474.6+(2616-2015.1)+(-2.256138+(-4.00248--3.083103))+0-428.8--0.656064000000025</f>
        <v>1644.1805490000002</v>
      </c>
      <c r="K106" s="3">
        <f>1474.8+(2388.5-1794.9)+(-1.504296+(-2.43627--1.830798))+0-428.9--0.437478000000068</f>
        <v>1637.8277099999998</v>
      </c>
      <c r="L106" s="3">
        <f>1474.5+(2145.8-1612.4)+(-3.00798+(-4.377432--3.289296))+0-428.7--0.874547999999981</f>
        <v>1575.9784320000001</v>
      </c>
      <c r="M106" s="3">
        <f>1473.7+(2066-1444.9)+(0+(0-0))+0-428.6-0</f>
        <v>1666.2000000000003</v>
      </c>
      <c r="N106" s="3">
        <f>1474.7+(2300.8-1521.8)+(1.504194+(2.346816-1.552236))+0-407.7-0.415854000000065</f>
        <v>1847.88292</v>
      </c>
      <c r="O106" s="3">
        <f>1473.9+(2144.5-1278.9)+(-3.006756+(-4.37478--2.608956))+0-405.5--0.827219999999982</f>
        <v>1930.0546400000001</v>
      </c>
      <c r="P106" s="3">
        <f>1478.7+(1840.5-905.4)+(-0.754137+(-0.938655--0.461754))+0-403.8--0.205937999999959</f>
        <v>2008.9749000000004</v>
      </c>
      <c r="Q106" s="3">
        <f>1555.1+(1651.8-730.6)+(-0.793101+(-0.842418--0.372606))+0-391--0.19940999999996</f>
        <v>2084.2364969999999</v>
      </c>
      <c r="R106" s="3">
        <f>1673.5+(1869.7-1043.3)+(0+(0-0))+0-390.7-0</f>
        <v>2109.2000000000003</v>
      </c>
      <c r="S106" s="3">
        <f>1708.1+(2224.9-1529.6)+(-3.484524+(-4.538796--3.120384))+0-393.1--0.801923999999983</f>
        <v>2006.1989880000001</v>
      </c>
      <c r="T106" s="3">
        <f>1720.7+(2145.4-1462)+(-1.755114+(-2.188308--1.49124))+0-392.2--0.400044000000063</f>
        <v>2009.8478620000003</v>
      </c>
      <c r="U106" s="3">
        <f>1811.1+(2203.7-1579.2)+(-0.923661+(-1.123887--0.805392))+0-394.9--0.20139899999996</f>
        <v>2039.6592429999996</v>
      </c>
      <c r="V106" s="3">
        <f>1740.4+(2310.2-1632)+(-0.887604+(-1.178202--0.83232))+0-393.4--0.20063399999996</f>
        <v>2024.1671479999998</v>
      </c>
      <c r="W106" s="3">
        <f>1572.1+(2542.1-1687.5)+(2.405313+(3.889413-2.581875))+0-398.1-0.609093000000023</f>
        <v>2031.7037579999997</v>
      </c>
      <c r="X106" s="3">
        <f>1475.2+(2975.7-2066.5)+(-2.257056+(-4.552821--3.161745))+0-402--0.615060000000023</f>
        <v>1979.3669279999999</v>
      </c>
      <c r="Y106" s="3">
        <f>1476.5+(2618.6-1796.4)+(1.50603+(2.670972-1.832328))+0-401.3-0.409326000000064</f>
        <v>1899.3353479999998</v>
      </c>
      <c r="Z106" s="3">
        <f>1495.1+(2892-2014.3)+(-0.762501+(-1.47492--1.027293))+0-407.1--0.207620999999959</f>
        <v>1964.6974930000001</v>
      </c>
      <c r="AA106" s="3">
        <f>1504.4+(3052.4-2034)+(-3.068976+(-6.226896--4.14936))+0-401.6--0.819263999999983</f>
        <v>2116.8727520000007</v>
      </c>
      <c r="AB106" s="3">
        <f>1503.1+(3089.7-2080.2)+(-0.766581+(-1.575747--1.060902))+0-403.5--0.205784999999959</f>
        <v>2108.024359</v>
      </c>
      <c r="AC106" s="3">
        <f>1501.8+(3336.4-2398.8)+(-1.531836+(-3.403128--2.446776))+0-403.8--0.411876000000064</f>
        <v>2033.523688</v>
      </c>
      <c r="AD106" s="2">
        <v>2122.2000000000007</v>
      </c>
      <c r="AE106" s="3">
        <f>1501+(3126.6-2085.2)+(0+(0-0))+0-416.2-0</f>
        <v>2126.2000000000003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1487.6+(3068.7-2236.1)+(-3.79338+(-7.825185--5.702055))+0-408--1.04039999999994</f>
        <v>1907.3238899999997</v>
      </c>
      <c r="G107" s="3">
        <f>1476.6+(2601.2-1856.8)+(1.506132+(2.653224-1.893936))+0-411.4-0.419628000000066</f>
        <v>1811.445792</v>
      </c>
      <c r="H107" s="3">
        <f>1476+(2536.7-1859.2)+(-1.50552+(-2.587434--1.896384))+0-407.2--0.415344000000065</f>
        <v>1744.5187739999999</v>
      </c>
      <c r="I107" s="3">
        <f>1477.7+(2716.6-2084.9)+(0.753627+(1.385466-1.063299))+0-410-0.209099999999958</f>
        <v>1700.2666939999995</v>
      </c>
      <c r="J107" s="3">
        <f>1477.3+(2596.4-1997.3)+(-2.260269+(-3.972492--3.055869))+0-408.3--0.624699000000024</f>
        <v>1665.5478070000001</v>
      </c>
      <c r="K107" s="3">
        <f>1476.9+(2286.1-1697.1)+(-2.259657+(-3.497733--2.596563))+0-404.7--0.619191000000023</f>
        <v>1658.6583639999999</v>
      </c>
      <c r="L107" s="3">
        <f>1476.4+(1913.8-1372.5)+(-2.258892+(-2.928114--2.099925))+0-413--0.631890000000024</f>
        <v>1602.2448090000003</v>
      </c>
      <c r="M107" s="3">
        <f>1475+(1728.5-1088.2)+(1.5045+(1.76307-1.109964))+0-417-0.425340000000067</f>
        <v>1700.0322660000004</v>
      </c>
      <c r="N107" s="3">
        <f>1489.4+(1834.6-1055.3)+(0+(0-0))+0-408.7-0</f>
        <v>1859.9999999999998</v>
      </c>
      <c r="O107" s="3">
        <f>1546+(1841.2-984)+(-2.36538+(-2.817036--1.50552))+0-398.4--0.609552000000023</f>
        <v>2001.7326559999999</v>
      </c>
      <c r="P107" s="3">
        <f>1563.2+(1551.2-714.2)+(-2.391696+(-2.373336--1.092726))+0-358.5--0.548505000000021</f>
        <v>2038.5761989999999</v>
      </c>
      <c r="Q107" s="3">
        <f>1594.3+(1663-797.3)+(0+(0-0))+0-370.2-0</f>
        <v>2089.8000000000002</v>
      </c>
      <c r="R107" s="3">
        <f>1613.9+(1763.2-905.6)+(1.646178+(1.798464-0.923712))+0-386.7-0.394434000000062</f>
        <v>2086.926496</v>
      </c>
      <c r="S107" s="3">
        <f>1805.7+(2250.8-1612)+(-5.525442+(-6.887448--4.93272))+0-404.1--1.23654600000005</f>
        <v>2034.1563760000004</v>
      </c>
      <c r="T107" s="3">
        <f>1809.3+(2078-1456.7)+(-0.922743+(-1.05978--0.742917))+0-404.2--0.206141999999959</f>
        <v>2025.3665359999998</v>
      </c>
      <c r="U107" s="3">
        <f>1772+(1816-1159.1)+(-1.80744+(-1.85232--1.182282))+0-406.2--0.414324000000065</f>
        <v>2020.6368460000003</v>
      </c>
      <c r="V107" s="3">
        <f>1960+(1816.9-1309.2)+(-2.9988+(-2.779857--2.003076))+0-409.2--0.626076000000024</f>
        <v>2055.3504950000001</v>
      </c>
      <c r="W107" s="3">
        <f>1980.4+(2016-1535.1)+(-4.040016+(-4.11264--3.131604))+0-404.8--0.825791999999982</f>
        <v>2052.30474</v>
      </c>
      <c r="X107" s="3">
        <f>1832.8+(2154.9-1582)+(-7.477824+(-8.791992--6.45456))+0-408.5--1.66667999999996</f>
        <v>1989.051424</v>
      </c>
      <c r="Y107" s="3">
        <f>1610.7+(1919.7-1210.8)+(-2.464371+(-2.937141--1.852524))+0-411.7--0.629901000000024</f>
        <v>1904.9809130000003</v>
      </c>
      <c r="Z107" s="3">
        <f>1602.2+(2347.5-1559.5)+(-0.817122+(-1.197225--0.795345))+0-414.7--0.211496999999958</f>
        <v>1974.492495</v>
      </c>
      <c r="AA107" s="3">
        <f>1677.2+(2781.4-1939.9)+(-5.132232+(-8.511084--5.936094))+0-411.3--1.25857800000005</f>
        <v>2100.9513559999996</v>
      </c>
      <c r="AB107" s="3">
        <f>1685.7+(2442.2-1640.7)+(-3.438828+(-4.982088--3.347028))+0-410.7--0.837827999999982</f>
        <v>2072.2639400000003</v>
      </c>
      <c r="AC107" s="3">
        <f>1579.7+(2394.8-1533.1)+(-2.416941+(-3.664044--2.345643))+0-412.4--0.630972000000024</f>
        <v>2025.8956300000004</v>
      </c>
      <c r="AD107" s="2">
        <v>2098.7999999999997</v>
      </c>
      <c r="AE107" s="3">
        <f>1669+(2797.7-1939.8)+(0+(0-0))+0-425.1-0</f>
        <v>2101.7999999999997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1485.8+(2462.8-1588)+(-0.757758+(-1.256028--0.80988))+0-413--0.210629999999958</f>
        <v>1946.6067240000002</v>
      </c>
      <c r="G108" s="3">
        <f>1477.7+(2226.3-1443.3)+(0.753627+(1.135413-0.736083))+0-414.2-0.211241999999958</f>
        <v>1847.4417150000002</v>
      </c>
      <c r="H108" s="3">
        <f>1477.3+(2017.6-1314.6)+(-2.260269+(-3.086928--2.011338))+0-413.3--0.632349000000024</f>
        <v>1764.2964900000004</v>
      </c>
      <c r="I108" s="3">
        <f>1478.6+(1707.8-1061.9)+(0+(0-0))+0-412.4-0</f>
        <v>1712.1</v>
      </c>
      <c r="J108" s="3">
        <f>1477.8+(1868.1-1245.2)+(0+(0-0))+0-417.4-0</f>
        <v>1683.2999999999997</v>
      </c>
      <c r="K108" s="3">
        <f>1478+(2012-1425)+(-3.7689+(-5.1306--3.63375))+0-419.7--1.07023499999994</f>
        <v>1641.1044849999998</v>
      </c>
      <c r="L108" s="3">
        <f>1479.2+(1913.5-1422.4)+(-5.280744+(-6.831195--5.077968))+0-411.7--1.46976900000001</f>
        <v>1553.0357979999999</v>
      </c>
      <c r="M108" s="3">
        <f>1477.9+(1925.2-1398.2)+(0+(0-0))+0-413.4-0</f>
        <v>1591.5</v>
      </c>
      <c r="N108" s="3">
        <f>1477.6+(2019.9-1424.9)+(0+(0-0))+0-397.9-0</f>
        <v>1674.6999999999998</v>
      </c>
      <c r="O108" s="3">
        <f>1478.6+(1947.5-1272.5)+(0.754086+(0.993225-0.648975))+0-388.4-0.198083999999961</f>
        <v>1766.100252</v>
      </c>
      <c r="P108" s="3">
        <f>1480.6+(2069.7-1322.5)+(0+(0-0))+0-381.2-0</f>
        <v>1846.5999999999997</v>
      </c>
      <c r="Q108" s="3">
        <f>1479.9+(1781-989.3)+(1.509498+(1.81662-1.009086))+0-385.2-0.392904000000061</f>
        <v>1888.3241280000002</v>
      </c>
      <c r="R108" s="3">
        <f>1470.6+(1803.5-991.4)+(-0.750006+(-0.919785--0.505614))+0-387.6--0.197675999999961</f>
        <v>1894.1334989999998</v>
      </c>
      <c r="S108" s="3">
        <f>1445.4+(1904.5-1130.5)+(-0.737154+(-0.971295--0.576555))+0-386.1--0.196910999999961</f>
        <v>1832.3650170000001</v>
      </c>
      <c r="T108" s="3">
        <f>1439.9+(1913.9-1106.1)+(-1.468698+(-1.952178--1.128222))+0-379.3--0.386886000000061</f>
        <v>1866.4942320000005</v>
      </c>
      <c r="U108" s="3">
        <f>1432.7+(1900.9-1079.4)+(0+(0-0))+0-382.6-0</f>
        <v>1871.6</v>
      </c>
      <c r="V108" s="3">
        <f>1326.4+(1953-1039.6)+(0.676464+(0.99603-0.530196))+0-385-0.196349999999961</f>
        <v>1855.7459480000005</v>
      </c>
      <c r="W108" s="3">
        <f>1330.7+(1806.8-889.1)+(-4.071942+(-5.528808--2.720646))+0-382.9--1.17167400000004</f>
        <v>1859.7915700000001</v>
      </c>
      <c r="X108" s="3">
        <f>1369.9+(1695.9-856.1)+(-3.493245+(-4.324545--2.183055))+0-380--0.968999999999945</f>
        <v>1825.0342650000002</v>
      </c>
      <c r="Y108" s="3">
        <f>1423.2+(1799.3-1073.5)+(-0.725832+(-0.917643--0.547485))+0-368.6--0.187985999999963</f>
        <v>1779.4919960000002</v>
      </c>
      <c r="Z108" s="3">
        <f>1475.1+(1775.6-1026.4)+(0.752301+(0.905556-0.523464))+0-366.3-0.186812999999963</f>
        <v>1858.9475799999996</v>
      </c>
      <c r="AA108" s="3">
        <f>1500+(1434.9-547.9)+(-2.295+(-2.195397--0.838287))+0-371.1--0.567783000000021</f>
        <v>2012.8156730000001</v>
      </c>
      <c r="AB108" s="3">
        <f>1501.3+(1365-509.4)+(-0.765663+(-0.69615--0.259794))+0-373--0.190229999999962</f>
        <v>1982.8882110000002</v>
      </c>
      <c r="AC108" s="3">
        <f>1493.4+(1435.3-624.4)+(0.761634+(0.732003-0.318444))+0-382.3-0.194972999999961</f>
        <v>1922.9802200000004</v>
      </c>
      <c r="AD108" s="2">
        <v>2040.1</v>
      </c>
      <c r="AE108" s="3">
        <f>1506+(1449.2-533.5)+(0+(0-0))+0-378.6-0</f>
        <v>2043.1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1479.5+(1301.5-613.9)+(1.50909+(1.32753-0.626178))+0-286.9-0.292638000000046</f>
        <v>1882.1178039999998</v>
      </c>
      <c r="G109" s="3">
        <f>1475.6+(1354.5-667.1)+(0.752556+(0.690795-0.340221))+0-380.7-0.194156999999961</f>
        <v>1783.208973</v>
      </c>
      <c r="H109" s="3">
        <f>1476+(1495.1-905.4)+(2.25828+(2.287503-1.385262))+0-374.5-0.572985000000022</f>
        <v>1693.7875359999996</v>
      </c>
      <c r="I109" s="3">
        <f>1475.6+(1756.5-1198.4)+(0+(0-0))+0-378.3-0</f>
        <v>1655.3999999999999</v>
      </c>
      <c r="J109" s="3">
        <f>1475.3+(1954.7-1477.3)+(-1.504806+(-1.993794--1.506846))+0-318.8--0.325176000000051</f>
        <v>1632.2334220000002</v>
      </c>
      <c r="K109" s="3">
        <f>1474+(2172.1-1824.1)+(-5.26218+(-7.754397--6.512037))+0-219.3--0.782901000000003</f>
        <v>1596.9783610000002</v>
      </c>
      <c r="L109" s="3">
        <f>1474.7+(2390.1-2125.8)+(-2.256291+(-3.656853--3.252474))+0-219.4--0.335682000000013</f>
        <v>1517.2750119999996</v>
      </c>
      <c r="M109" s="3">
        <f>1473+(2153.7-1876.4)+(0.75123+(1.098387-0.956964))+0-212.6-0.108425999999978</f>
        <v>1538.4842269999999</v>
      </c>
      <c r="N109" s="3">
        <f>1474.3+(2029.8-1616.4)+(-0.751893+(-1.035198--0.824364))+0-209.5--0.106844999999979</f>
        <v>1677.3441179999998</v>
      </c>
      <c r="O109" s="3">
        <f>1472.5+(1780.5-1338.5)+(2.252925+(2.724165-2.047905))+0-231.7-0.354501000000013</f>
        <v>1685.3746839999999</v>
      </c>
      <c r="P109" s="3">
        <f>1474.9+(1811.2-1222.3)+(0.752199+(0.923712-0.623373))+0-303.2-0.154631999999969</f>
        <v>1761.4979060000001</v>
      </c>
      <c r="Q109" s="3">
        <f>1476.1+(1762.2-1069.5)+(0.752811+(0.898722-0.545445))+0-346.8-0.176867999999965</f>
        <v>1822.9292200000002</v>
      </c>
      <c r="R109" s="3">
        <f>1482.4+(1672-975.9)+(1.512048+(1.70544-0.995418))+0-343.5-0.350370000000055</f>
        <v>1836.8716999999997</v>
      </c>
      <c r="S109" s="3">
        <f>1647.5+(1601.4-1028.2)+(3.3609+(3.266856-2.097528))+0-385.8-0.787031999999983</f>
        <v>1838.643196</v>
      </c>
      <c r="T109" s="3">
        <f>1655.6+(1532.5-975.3)+(2.533068+(2.344725-1.492209))+0-383.6-0.586908000000022</f>
        <v>1831.9986760000004</v>
      </c>
      <c r="U109" s="3">
        <f>1655+(1490.7-922.3)+(1.6881+(1.520514-0.940746))+0-393.2-0.401064000000063</f>
        <v>1832.0668039999998</v>
      </c>
      <c r="V109" s="3">
        <f>1592.7+(1518.8-893.3)+(0.812277+(0.774588-0.455583))+0-390-0.19889999999996</f>
        <v>1829.1323819999998</v>
      </c>
      <c r="W109" s="3">
        <f>1569.8+(1590-947.6)+(-0.800598+(-0.8109--0.483276))+0-379.4--0.193493999999962</f>
        <v>1831.8652719999998</v>
      </c>
      <c r="X109" s="3">
        <f>1506.6+(1679.3-985.7)+(-3.073464+(-3.425772--2.010828))+0-396.7--0.809267999999983</f>
        <v>1799.8208599999996</v>
      </c>
      <c r="Y109" s="3">
        <f>1540.6+(1444.5-822)+(0.785706+(0.736695-0.41922))+0-398-0.20297999999996</f>
        <v>1766.0002009999998</v>
      </c>
      <c r="Z109" s="3">
        <f>1595.9+(1356.8-734.2)+(-0.813909+(-0.691968--0.374442))+0-402.6--0.205325999999959</f>
        <v>1814.9738910000003</v>
      </c>
      <c r="AA109" s="3">
        <f>1597+(1244.4-438.7)+(-1.62894+(-1.269288--0.447474))+0-403.7--0.411774000000064</f>
        <v>1996.96102</v>
      </c>
      <c r="AB109" s="3">
        <f>1598.9+(1362.4-561.2)+(-1.630878+(-1.389648--0.572424))+0-407--0.415140000000065</f>
        <v>1991.0670380000006</v>
      </c>
      <c r="AC109" s="3">
        <f>1562.9+(1678.4-899.8)+(-0.797079+(-0.855984--0.458898))+0-408.9--0.208538999999959</f>
        <v>1931.614374</v>
      </c>
      <c r="AD109" s="2">
        <v>1980.9</v>
      </c>
      <c r="AE109" s="3">
        <f>1590+(1277.5-470.5)+(0+(0-0))+0-414.1-0</f>
        <v>1982.9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1479.3+(2151.1-1366.4)+(-0.754443+(-1.097061--0.696864))+0-405.8--0.206957999999959</f>
        <v>1857.2523179999998</v>
      </c>
      <c r="G110" s="3">
        <f>1475.6+(2368.8-1651.9)+(0+(0-0))+0-410.4-0</f>
        <v>1782.1</v>
      </c>
      <c r="H110" s="3">
        <f>1474.6+(2437.8-1784.6)+(-0.752046+(-1.243278--0.910146))+0-417.3--0.212822999999958</f>
        <v>1709.6276450000005</v>
      </c>
      <c r="I110" s="3">
        <f>1475+(2603.6-1982.8)+(-0.75225+(-1.327836--1.011228))+0-414.1--0.211190999999958</f>
        <v>1680.8423330000001</v>
      </c>
      <c r="J110" s="3">
        <f>1473.6+(2533.6-1938.9)+(-1.503072+(-2.584272--1.977678))+0-412.6--0.420852000000066</f>
        <v>1654.011186</v>
      </c>
      <c r="K110" s="3">
        <f>1473.3+(2286.8-1715.6)+(-3.756915+(-5.83134--4.37478))+0-411.4--1.04906999999994</f>
        <v>1628.9355950000004</v>
      </c>
      <c r="L110" s="3">
        <f>1474+(2179-1661)+(-1.50348+(-2.22258--1.69422))+0-409.4--0.417588000000065</f>
        <v>1580.9857479999998</v>
      </c>
      <c r="M110" s="3">
        <f>1473.3+(2184.7-1588.7)+(2.254149+(3.342591-2.430711))+0-411.2-0.629136000000024</f>
        <v>1660.6368929999996</v>
      </c>
      <c r="N110" s="3">
        <f>1468.9+(2107-1328)+(0+(0-0))+0-414.2-0</f>
        <v>1833.7</v>
      </c>
      <c r="O110" s="3">
        <f>1471.3+(2102.2-1188.8)+(1.500726+(2.144244-1.212576))+0-419.2-0.427584000000067</f>
        <v>1967.5048099999997</v>
      </c>
      <c r="P110" s="3">
        <f>1478.4+(2140.5-1160.2)+(2.261952+(3.274965-1.775106))+0-416.4-0.637092000000024</f>
        <v>2045.4247189999996</v>
      </c>
      <c r="Q110" s="3">
        <f>1486.6+(1615.4-602.6)+(2.274498+(2.471562-0.921978))+0-419.2-0.641376000000024</f>
        <v>2083.3827060000003</v>
      </c>
      <c r="R110" s="3">
        <f>1488.8+(1475.9-435.9)+(3.037152+(3.010836-0.889236))+0-412.1-0.840683999999982</f>
        <v>2121.0180680000003</v>
      </c>
      <c r="S110" s="3">
        <f>1659.2+(1523.8-703.2)+(0.846192+(0.777138-0.358632))+0-408-0.208079999999959</f>
        <v>2072.8566180000003</v>
      </c>
      <c r="T110" s="3">
        <f>1678.2+(1524.7-727.3)+(-0.855882+(-0.777597--0.370923))+0-404.2--0.206141999999959</f>
        <v>2070.3435860000004</v>
      </c>
      <c r="U110" s="3">
        <f>1878.3+(1408-775.3)+(0+(0-0))+0-402.1-0</f>
        <v>2108.9</v>
      </c>
      <c r="V110" s="3">
        <f>1924.4+(1441.7-842.7)+(-1.962888+(-1.470534--0.859554))+0-394.8--0.402696000000063</f>
        <v>2126.4288280000001</v>
      </c>
      <c r="W110" s="3">
        <f>1811.3+(1674.8-970.7)+(-2.771289+(-2.562444--1.485171))+0-395.9--0.605727000000023</f>
        <v>2116.2571649999995</v>
      </c>
      <c r="X110" s="3">
        <f>1651.8+(2238.7-1440)+(-4.21209+(-5.708685--3.672))+0-395.7--1.00903499999994</f>
        <v>2049.5602600000002</v>
      </c>
      <c r="Y110" s="3">
        <f>1493.1+(2347.1-1505)+(-2.284443+(-3.591063--2.30265))+0-388.6--0.594558000000022</f>
        <v>1943.6217020000001</v>
      </c>
      <c r="Z110" s="3">
        <f>1513+(2578.1-1698.4)+(1.54326+(2.629662-1.732368))+0-404.2-0.412284000000064</f>
        <v>1990.5282699999996</v>
      </c>
      <c r="AA110" s="3">
        <f>1531.9+(2185.6-1154.9)+(-2.343807+(-3.343968--1.766997))+0-407.8--0.623934000000024</f>
        <v>2151.5031559999998</v>
      </c>
      <c r="AB110" s="3">
        <f>1533.3+(2485.5-1480)+(-2.345949+(-3.802815--2.2644))+0-408.4--0.624852000000024</f>
        <v>2127.140488</v>
      </c>
      <c r="AC110" s="3">
        <f>1530.6+(2981.2-2032.6)+(-1.561212+(-3.040824--2.073252))+0-408--0.416160000000065</f>
        <v>2069.0873759999999</v>
      </c>
      <c r="AD110" s="2">
        <v>2144</v>
      </c>
      <c r="AE110" s="3">
        <f>1529+(2124.4-1087.7)+(0+(0-0))+0-418.7-0</f>
        <v>2147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1485.8+(3005.9-2129.1)+(-1.515516+(-3.066018--2.171682))+0-408.7--0.416874000000065</f>
        <v>1951.9070220000006</v>
      </c>
      <c r="G111" s="3">
        <f>1481+(2953.1-2159.9)+(-1.51062+(-3.012162--2.203098))+0-408.3--0.416466000000065</f>
        <v>1863.9967819999999</v>
      </c>
      <c r="H111" s="3">
        <f>1479.2+(2884.8-2151.7)+(-2.263176+(-4.413744--3.292101))+0-412.2--0.630666000000024</f>
        <v>1797.3458470000003</v>
      </c>
      <c r="I111" s="3">
        <f>1478.9+(2589.9-1900.5)+(-4.525434+(-7.925094--5.81553))+0-411.6--1.25949600000005</f>
        <v>1751.3244980000004</v>
      </c>
      <c r="J111" s="3">
        <f>1478.2+(2407.4-1748.7)+(-3.76941+(-6.13887--4.459185))+0-407.5--1.03912499999994</f>
        <v>1724.9900300000002</v>
      </c>
      <c r="K111" s="3">
        <f>1478.6+(2400.3-1781)+(-6.786774+(-11.017377--8.17479))+0-393.4--1.80570600000007</f>
        <v>1696.6763450000003</v>
      </c>
      <c r="L111" s="3">
        <f>1479+(2358.4-1837.6)+(0+(0-0))+0-387.1-0</f>
        <v>1612.7000000000003</v>
      </c>
      <c r="M111" s="3">
        <f>1477.4+(2256.2-1679.2)+(0.753474+(1.150662-0.856392))+0-387.9-0.197828999999961</f>
        <v>1667.3499149999996</v>
      </c>
      <c r="N111" s="3">
        <f>1478.5+(2218.8-1463.8)+(1.50807+(2.263176-1.493076))+0-396.4-0.404328000000063</f>
        <v>1838.9738419999999</v>
      </c>
      <c r="O111" s="3">
        <f>1489.8+(1993.4-1154.2)+(0.759798+(1.016634-0.588642))+0-394.6-0.20124599999996</f>
        <v>1935.3865440000002</v>
      </c>
      <c r="P111" s="3">
        <f>1478.4+(1770.9-843.9)+(0.753984+(0.903159-0.430389))+0-388.1-0.197930999999961</f>
        <v>2018.3288230000001</v>
      </c>
      <c r="Q111" s="3">
        <f>1478.6+(1746.3-773.3)+(0.754086+(0.890613-0.394383))+0-369.9-0.188648999999962</f>
        <v>2082.7616669999998</v>
      </c>
      <c r="R111" s="3">
        <f>1479.5+(1512.6-506.1)+(0+(0-0))+0-388.5-0</f>
        <v>2097.5</v>
      </c>
      <c r="S111" s="3">
        <f>1632.7+(1503.4-700.9)+(-0.832677+(-0.766734--0.357459))+0-391.2--0.19951199999996</f>
        <v>2042.9575600000003</v>
      </c>
      <c r="T111" s="3">
        <f>1915.8+(1307.2-763.9)+(1.954116+(1.333344-0.779178))+0-399.9-0.407898000000064</f>
        <v>2061.3003839999997</v>
      </c>
      <c r="U111" s="3">
        <f>1937+(1269.4-835.4)+(0+(0-0))+0-296.5-0</f>
        <v>2074.5</v>
      </c>
      <c r="V111" s="3">
        <f>1919.4+(1485-1089.9)+(0+(0-0))+0-227.2-0</f>
        <v>2087.3000000000002</v>
      </c>
      <c r="W111" s="3">
        <f>1900.3+(1645.1-1249.5)+(-5.814918+(-5.034006--3.82347))+0-225.4--0.689724000000026</f>
        <v>2064.1642699999993</v>
      </c>
      <c r="X111" s="3">
        <f>1569.2+(2020.5-1303.9)+(-7.202628+(-9.274095--5.984901))+0-264.3--1.21313700000005</f>
        <v>2012.2213150000002</v>
      </c>
      <c r="Y111" s="3">
        <f>1421.8+(1920.6-1101.7)+(-1.450236+(-1.959012--1.123734))+0-331.7--0.338334000000053</f>
        <v>1907.0528199999997</v>
      </c>
      <c r="Z111" s="3">
        <f>1478.4+(1583.8-731.7)+(0+(0-0))+0-365.9-0</f>
        <v>1964.6</v>
      </c>
      <c r="AA111" s="3">
        <f>1498.7+(1563-549.1)+(-1.528674+(-1.59426--0.560082))+0-397.5--0.405450000000063</f>
        <v>2112.9425980000001</v>
      </c>
      <c r="AB111" s="3">
        <f>1497.8+(1953.2-1004.9)+(-3.055512+(-3.984528--2.049996))+0-375.2--0.765407999999984</f>
        <v>2066.6753640000002</v>
      </c>
      <c r="AC111" s="3">
        <f>1497.5+(2438.8-1582.8)+(-1.52745+(-2.487576--1.614456))+0-354--0.361080000000056</f>
        <v>1997.4605100000003</v>
      </c>
      <c r="AD111" s="2">
        <v>2101.9999999999995</v>
      </c>
      <c r="AE111" s="3">
        <f>1494+(1614.2-594.3)+(0+(0-0))+0-408.9-0</f>
        <v>2105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1485.2+(2612.1-1809)+(-1.514904+(-2.664342--1.84518))+0-370.6--0.378012000000059</f>
        <v>1915.7439460000005</v>
      </c>
      <c r="G112" s="3">
        <f>1482.9+(2808.8-2107.4)+(-2.268837+(-4.297464--3.224322))+0-364.5--0.557685000000021</f>
        <v>1817.0157060000004</v>
      </c>
      <c r="H112" s="3">
        <f>1472+(2840.6-2192.9)+(-3.7536+(-7.24353--5.591895))+0-365.2--0.931259999999947</f>
        <v>1750.0260249999994</v>
      </c>
      <c r="I112" s="3">
        <f>1473.3+(2674-2064.8)+(0.751383+(1.36374-1.053048))+0-377.8-0.192677999999962</f>
        <v>1705.569397</v>
      </c>
      <c r="J112" s="3">
        <f>1473.2+(2352.4-1773.9)+(-0.751332+(-1.199724--0.904689))+0-380.8--0.194207999999961</f>
        <v>1670.0478409999998</v>
      </c>
      <c r="K112" s="3">
        <f>1472+(2434.1-1872.7)+(-2.25216+(-3.724173--2.865231))+0-388.6--0.594558000000022</f>
        <v>1642.2834559999999</v>
      </c>
      <c r="L112" s="3">
        <f>1472+(2313.1-1791.6)+(0+(0-0))+0-392.5-0</f>
        <v>1601</v>
      </c>
      <c r="M112" s="3">
        <f>1471.8+(1990.2-1399.9)+(-0.750618+(-1.015002--0.713949))+0-394--0.20093999999996</f>
        <v>1667.2492689999997</v>
      </c>
      <c r="N112" s="3">
        <f>1472.2+(1962.4-1224.6)+(3.003288+(4.003296-2.498184))+0-392.5-0.800699999999983</f>
        <v>1821.2077000000002</v>
      </c>
      <c r="O112" s="3">
        <f>1456.9+(1782.9-932)+(-1.486038+(-1.818558--0.95064))+0-383.2--0.390864000000061</f>
        <v>1922.6369080000002</v>
      </c>
      <c r="P112" s="3">
        <f>1477.3+(1531.2-617.1)+(-0.753423+(-0.780912--0.314721))+0-375.1--0.191300999999962</f>
        <v>2015.2716870000002</v>
      </c>
      <c r="Q112" s="3">
        <f>1503.3+(1432.5-494.8)+(3.066732+(2.9223-1.009392))+0-377.2-0.769487999999984</f>
        <v>2068.0101520000003</v>
      </c>
      <c r="R112" s="3">
        <f>1606.8+(1228.7-408.3)+(1.638936+(1.253274-0.416466))+0-372.6-0.380052000000059</f>
        <v>2056.6956919999998</v>
      </c>
      <c r="S112" s="3">
        <f>1662+(1405.4-687.9)+(0.84762+(0.716754-0.350829))+0-382.4-0.195023999999961</f>
        <v>1998.1185210000001</v>
      </c>
      <c r="T112" s="3">
        <f>1791.4+(1260.5-643.7)+(-0.913614+(-0.642855--0.328287))+0-386.9--0.197318999999961</f>
        <v>2020.2691369999998</v>
      </c>
      <c r="U112" s="3">
        <f>1768.5+(1391-720.6)+(0+(0-0))+0-385.4-0</f>
        <v>2053.5</v>
      </c>
      <c r="V112" s="3">
        <f>1694.8+(1517.7-744.6)+(0.864348+(0.774027-0.379746))+0-390.9-0.19935899999996</f>
        <v>2078.0592699999997</v>
      </c>
      <c r="W112" s="3">
        <f>1689.1+(1680.2-959.5)+(0+(0-0))+0-381-0</f>
        <v>2028.8000000000002</v>
      </c>
      <c r="X112" s="3">
        <f>1485.8+(2237.3-1355.3)+(-1.515516+(-2.282046--1.382406))+0-389.4--0.397188000000062</f>
        <v>1976.3820320000002</v>
      </c>
      <c r="Y112" s="3">
        <f>1476.4+(1932.1-1144.7)+(3.011856+(3.941484-2.335188))+0-383-0.781319999999983</f>
        <v>1884.6368320000001</v>
      </c>
      <c r="Z112" s="3">
        <f>1499.4+(2228.2-1407.1)+(2.294082+(3.409146-2.152863))+0-384.1-0.587673000000022</f>
        <v>1939.3626920000002</v>
      </c>
      <c r="AA112" s="3">
        <f>1501.6+(1873.3-895.5)+(-3.063264+(-3.821532--1.82682))+0-390.2--0.796007999999983</f>
        <v>2084.9380319999996</v>
      </c>
      <c r="AB112" s="3">
        <f>1500.8+(2071.3-1096.5)+(-2.296224+(-3.169089--1.677645))+0-407--0.622710000000024</f>
        <v>2065.4350420000005</v>
      </c>
      <c r="AC112" s="3">
        <f>1494.7+(2334.8-1427.6)+(-0.762297+(-1.190748--0.728076))+0-407.1--0.207620999999959</f>
        <v>1993.7826520000008</v>
      </c>
      <c r="AD112" s="2">
        <v>2073.9</v>
      </c>
      <c r="AE112" s="3">
        <f>1495+(1834.1-859.3)+(0+(0-0))+0-392.9-0</f>
        <v>2076.9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1481.6+(2588-1735.3)+(-2.266848+(-3.95964--2.655009))+0-411.9--0.630207000000024</f>
        <v>1919.4587279999998</v>
      </c>
      <c r="G113" s="3">
        <f>1473.8+(2907.7-2146.5)+(-3.75819+(-7.414635--5.473575))+0-406.8--1.03733999999994</f>
        <v>1823.5380899999998</v>
      </c>
      <c r="H113" s="3">
        <f>1474.8+(2697.6-1998.6)+(-3.008592+(-5.503104--4.077144))+0-408.8--0.833951999999982</f>
        <v>1761.3994</v>
      </c>
      <c r="I113" s="3">
        <f>1476.1+(2744.7-2076.3)+(-3.764055+(-6.998985--5.294565))+0-414.8--1.05773999999994</f>
        <v>1725.2892649999994</v>
      </c>
      <c r="J113" s="3">
        <f>1475.5+(2613.9-1988.4)+(-0.752505+(-1.333089--1.014084))+0-405.8--0.206957999999959</f>
        <v>1694.3354479999998</v>
      </c>
      <c r="K113" s="3">
        <f>1427.8+(2730.7-2072.5)+(0+(0-0))+0-412-0</f>
        <v>1674</v>
      </c>
      <c r="L113" s="3">
        <f>1334.8+(2420.8-1747.2)+(-2.042244+(-3.703824--2.673216))+0-419.1--0.641223000000024</f>
        <v>1586.868371</v>
      </c>
      <c r="M113" s="3">
        <f>1312.6+(2143.5-1357.7)+(2.008278+(3.279555-2.077281))+0-418.5-0.640305000000024</f>
        <v>1682.4702469999995</v>
      </c>
      <c r="N113" s="3">
        <f>1316.3+(2568.7-1627.6)+(0+(0-0))+0-421.5-0</f>
        <v>1835.8999999999996</v>
      </c>
      <c r="O113" s="3">
        <f>1303.5+(1906.9-871.2)+(0+(0-0))+0-417.4-0</f>
        <v>1921.7999999999997</v>
      </c>
      <c r="P113" s="3">
        <f>1293.2+(1504.6-373.6)+(0+(0-0))+0-422.7-0</f>
        <v>2001.4999999999998</v>
      </c>
      <c r="Q113" s="3">
        <f>1336.5+(1318.5-325.5)+(1.36323+(1.34487-0.33201))+0-268.4-0.273768000000043</f>
        <v>2063.2023220000001</v>
      </c>
      <c r="R113" s="3">
        <f>1405.1+(1271.3-384.6)+(1.433202+(1.296726-0.392292))+0-222.9-0.227358000000036</f>
        <v>2071.0102779999997</v>
      </c>
      <c r="S113" s="3">
        <f>1537.4+(1231.6-558.5)+(-2.352222+(-1.884348--0.854505))+0-222.1--0.339813000000013</f>
        <v>1985.3577480000004</v>
      </c>
      <c r="T113" s="3">
        <f>1729+(1177.6-549.4)+(-1.76358+(-1.201152--0.560388))+0-329.1--0.335682000000052</f>
        <v>2026.031338</v>
      </c>
      <c r="U113" s="3">
        <f>1787.8+(1185.9-535.2)+(-3.647112+(-2.419236--1.091808))+0-393.2--0.802127999999983</f>
        <v>2041.1275879999998</v>
      </c>
      <c r="V113" s="3">
        <f>1845.4+(1258-670)+(-0.941154+(-0.64158--0.3417))+0-377.4--0.192473999999962</f>
        <v>2054.9514399999998</v>
      </c>
      <c r="W113" s="3">
        <f>1861.8+(1536.1-937.5)+(-2.848554+(-2.350233--1.434375))+0-400.3--0.612459000000023</f>
        <v>2056.9480469999994</v>
      </c>
      <c r="X113" s="3">
        <f>1494+(2076.6-1196.8)+(-3.8097+(-5.29533--3.05184))+0-406.4--1.03631999999994</f>
        <v>1962.3831299999999</v>
      </c>
      <c r="Y113" s="3">
        <f>1474.3+(1870.3-1016.7)+(0+(0-0))+0-417-0</f>
        <v>1910.8999999999996</v>
      </c>
      <c r="Z113" s="3">
        <f>1495.9+(2161.7-1280.2)+(0+(0-0))+0-426.2-0</f>
        <v>1951.1999999999996</v>
      </c>
      <c r="AA113" s="3">
        <f>1499.8+(1908-862.7)+(-2.294694+(-2.91924--1.319931))+0-428.5--0.655605000000025</f>
        <v>2113.3616019999999</v>
      </c>
      <c r="AB113" s="3">
        <f>1502.2+(1967.2-953.5)+(-2.298366+(-3.009816--1.458855))+0-422.2--0.645966000000024</f>
        <v>2090.4966390000004</v>
      </c>
      <c r="AC113" s="3">
        <f>1489.4+(2177-1226.3)+(-1.519188+(-2.22054--1.250826))+0-419.8--0.428196000000067</f>
        <v>2018.2392940000004</v>
      </c>
      <c r="AD113" s="2">
        <v>2156.9</v>
      </c>
      <c r="AE113" s="3">
        <f>1502+(1896.5-801.4)+(0+(0-0))+0-437.2-0</f>
        <v>2159.9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1433.1+(2345.3-1422.9)+(-0.730881+(-1.196103--0.725679))+0-422.6--0.215525999999957</f>
        <v>1931.914221</v>
      </c>
      <c r="G114" s="3">
        <f>1427.1+(2804.7-1986.8)+(-2.911284+(-5.721588--4.053072))+0-423.9--0.864755999999981</f>
        <v>1817.3849559999999</v>
      </c>
      <c r="H114" s="3">
        <f>1442.6+(2694.7-1965.5)+(-0.735726+(-1.374297--1.002405))+0-420.7--0.214556999999957</f>
        <v>1750.2069389999997</v>
      </c>
      <c r="I114" s="3">
        <f>1457.5+(2676.3-1999.6)+(-2.229975+(-4.094739--3.059388))+0-419.4--0.641682000000024</f>
        <v>1712.1763559999999</v>
      </c>
      <c r="J114" s="3">
        <f>1472.6+(2247.1-1603.4)+(-1.502052+(-2.292042--1.635468))+0-422.3--0.430746000000067</f>
        <v>1692.2721199999999</v>
      </c>
      <c r="K114" s="3">
        <f>1474+(2300.6-1688.7)+(-4.51044+(-7.039836--5.167422))+0-417.6--1.27785600000005</f>
        <v>1663.1950019999999</v>
      </c>
      <c r="L114" s="3">
        <f>1472.6+(2231.3-1676.1)+(0+(0-0))+0-415.9-0</f>
        <v>1611.9</v>
      </c>
      <c r="M114" s="3">
        <f>1472+(1986.4-1354.2)+(0.75072+(1.013064-0.690642))+0-421.7-0.215066999999957</f>
        <v>1683.3580750000001</v>
      </c>
      <c r="N114" s="3">
        <f>1472.6+(1587.2-817.4)+(1.502052+(1.618944-0.833748))+0-410.5-0.418710000000065</f>
        <v>1833.768538</v>
      </c>
      <c r="O114" s="3">
        <f>1471.3+(1947.2-1062.3)+(0+(0-0))+0-417.5-0</f>
        <v>1938.6999999999998</v>
      </c>
      <c r="P114" s="3">
        <f>1472.1+(1939.2-968.7)+(2.252313+(2.966976-1.482111))+0-417.8-0.639234000000024</f>
        <v>2027.8979439999998</v>
      </c>
      <c r="Q114" s="3">
        <f>1513.1+(1355.7-538.6)+(-1.543362+(-1.382814--0.549372))+0-268.1--0.273462000000043</f>
        <v>2059.996658</v>
      </c>
      <c r="R114" s="3">
        <f>1598.7+(1161-439.2)+(0.815337+(0.59211-0.223992))+0-226.4-0.115463999999977</f>
        <v>2095.1679909999998</v>
      </c>
      <c r="S114" s="3">
        <f>1643.8+(1158.2-483.4)+(-4.19169+(-2.95341--1.23267))+0-282.4--0.720119999999959</f>
        <v>2031.0076899999999</v>
      </c>
      <c r="T114" s="3">
        <f>1737.4+(1173.2-482.8)+(-1.772148+(-1.196664--0.492456))+0-366.3--0.373626000000058</f>
        <v>2059.3972699999999</v>
      </c>
      <c r="U114" s="3">
        <f>1871.6+(1145.2-538.9)+(-0.954516+(-0.584052--0.274839))+0-395.5--0.20170499999996</f>
        <v>2081.3379760000003</v>
      </c>
      <c r="V114" s="3">
        <f>1855.6+(1222.4-586.4)+(0.946356+(0.623424-0.299064))+0-414.1-0.211190999999958</f>
        <v>2078.5595250000001</v>
      </c>
      <c r="W114" s="3">
        <f>1715.6+(1449-676.4)+(-0.874956+(-0.73899--0.344964))+0-420.2--0.214301999999957</f>
        <v>2066.9453199999998</v>
      </c>
      <c r="X114" s="3">
        <f>1580.2+(1937.6-1084.4)+(-1.611804+(-1.976352--1.106088))+0-413.9--0.422178000000066</f>
        <v>2017.4401099999998</v>
      </c>
      <c r="Y114" s="3">
        <f>1445+(1762.6-870.5)+(-2.9478+(-3.595704--1.77582))+0-414.8--0.846191999999982</f>
        <v>1918.378508</v>
      </c>
      <c r="Z114" s="3">
        <f>1495.6+(2142.9-1271.4)+(3.051024+(4.371516-2.593656))+0-422.5-0.861899999999982</f>
        <v>1948.566984</v>
      </c>
      <c r="AA114" s="3">
        <f>1514.1+(1990.4-971.3)+(-1.544382+(-2.030208--0.990726))+0-417.5--0.425850000000067</f>
        <v>2113.5419859999997</v>
      </c>
      <c r="AB114" s="3">
        <f>1514.8+(2171.4-1155.9)+(-3.090192+(-4.429656--2.358036))+0-425.3--0.867611999999982</f>
        <v>2100.7058000000002</v>
      </c>
      <c r="AC114" s="3">
        <f>1511.9+(2586-1646.5)+(0.771069+(1.31886-0.839715))+0-417.2-0.212771999999958</f>
        <v>2035.2374420000003</v>
      </c>
      <c r="AD114" s="2">
        <v>2129</v>
      </c>
      <c r="AE114" s="3">
        <f>1514+(1930.4-881.5)+(0+(0-0))+0-430.9-0</f>
        <v>2132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1498.6+(2668.9-1835.7)+(-0.764286+(-1.361139--0.936207))+0-428--0.218279999999957</f>
        <v>1902.8290620000002</v>
      </c>
      <c r="G115" s="3">
        <f>1494.4+(2723-2011.9)+(-0.762144+(-1.38873--1.026069))+0-422.9--0.215678999999957</f>
        <v>1781.6908739999999</v>
      </c>
      <c r="H115" s="3">
        <f>1490.4+(2881.8-2246.3)+(-1.520208+(-2.939436--2.291226))+0-415.8--0.424116000000066</f>
        <v>1708.3556980000001</v>
      </c>
      <c r="I115" s="3">
        <f>1493.1+(2978.3-2394.8)+(-2.284443+(-4.556799--3.664044))+0-414.7--0.634491000000024</f>
        <v>1659.357293</v>
      </c>
      <c r="J115" s="3">
        <f>1492.4+(2745.6-2119.5)+(-1.522248+(-2.800512--2.16189))+12.3-418.8--0.427176000000067</f>
        <v>1710.2663060000002</v>
      </c>
      <c r="K115" s="3">
        <f>1492.6+(2875.1-2272.8)+(-1.522452+(-2.932602--2.318256))+16-417.9--0.426258000000067</f>
        <v>1691.2894599999995</v>
      </c>
      <c r="L115" s="3">
        <f>1492.3+(2194.9-1659.3)+(0.761073+(1.119399-0.846243))+16-421.6-0.215015999999957</f>
        <v>1623.1192130000002</v>
      </c>
      <c r="M115" s="3">
        <f>1490.5+(1912.3-1315.1)+(2.280465+(2.925819-2.012103))+2.1-420.3-0.643059000000024</f>
        <v>1672.0511219999996</v>
      </c>
      <c r="N115" s="3">
        <f>1490.4+(2133.6-1383.7)+(-0.760104+(-1.088136--0.705687))+0-416.7--0.212516999999958</f>
        <v>1822.6699639999999</v>
      </c>
      <c r="O115" s="3">
        <f>1491.4+(2214.4-1382.1)+(3.042456+(4.517376-2.819484))+0-412.9-0.842315999999982</f>
        <v>1914.698032</v>
      </c>
      <c r="P115" s="3">
        <f>1493.9+(1538-633.5)+(0+(0-0))+0-388.7-0</f>
        <v>2009.7</v>
      </c>
      <c r="Q115" s="3">
        <f>1559.7+(1358.5-462.6)+(3.181788+(2.77134-0.943704))+0-388.4-0.792335999999983</f>
        <v>2071.4170879999997</v>
      </c>
      <c r="R115" s="3">
        <f>1737.3+(1276-500.4)+(-0.886023+(-0.65076--0.255204))+0-407.2--0.207671999999959</f>
        <v>2104.6260930000003</v>
      </c>
      <c r="S115" s="3">
        <f>1783.2+(1784.5-989.6)+(-1.818864+(-1.82019--1.009392))+0-413.7--0.421974000000066</f>
        <v>2162.1923120000001</v>
      </c>
      <c r="T115" s="3">
        <f>1591.2+(1970.3-1080.9)+(1.623024+(2.009706-1.102518))+0-427.5-0.436050000000068</f>
        <v>2055.1941619999998</v>
      </c>
      <c r="U115" s="3">
        <f>1530.3+(2161-1250.5)+(-0.780453+(-1.10211--0.637755))+0-414.9--0.211598999999958</f>
        <v>2024.8667910000001</v>
      </c>
      <c r="V115" s="3">
        <f>1532.2+(2331.3-1437.1)+(-1.562844+(-2.377926--1.465842))+0-413.9--0.422178000000066</f>
        <v>2010.4472500000004</v>
      </c>
      <c r="W115" s="3">
        <f>1471.7+(2437.6-1499.7)+(0.750567+(1.243176-0.764847))+0-416.2-0.212261999999958</f>
        <v>1994.4166339999999</v>
      </c>
      <c r="X115" s="3">
        <f>1376.4+(2630.4-1654.5)+(-2.105892+(-4.024512--2.531385))+0-400.8--0.613224000000023</f>
        <v>1948.5142049999999</v>
      </c>
      <c r="Y115" s="3">
        <f>1347.4+(2639.5-1708.8)+(-2.748696+(-5.38458--3.485952))+0-397.5--0.810899999999983</f>
        <v>1876.7635760000003</v>
      </c>
      <c r="Z115" s="3">
        <f>1473.9+(2700.1-1802.2)+(0.751689+(1.377051-0.919122))+0-405.2-0.206651999999959</f>
        <v>1967.6029660000002</v>
      </c>
      <c r="AA115" s="3">
        <f>1505.2+(2643.9-1658.3)+(-2.302956+(-4.045167--2.537199))+0-411.7--0.629901000000024</f>
        <v>2075.9189770000007</v>
      </c>
      <c r="AB115" s="3">
        <f>1506.6+(2909.9-1947.1)+(-1.536732+(-2.968098--1.986042))+0-415.7--0.424014000000066</f>
        <v>2051.6052260000006</v>
      </c>
      <c r="AC115" s="3">
        <f>1501+(3155-2259.6)+(-2.29653+(-4.82715--3.457188))+0-416.7--0.637551000000024</f>
        <v>1976.6710590000002</v>
      </c>
      <c r="AD115" s="2">
        <v>2091.3999999999996</v>
      </c>
      <c r="AE115" s="3">
        <f>1504+(2705.9-1695.3)+(0+(0-0))+0-420.2-0</f>
        <v>2094.4000000000005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1488.9+(3057.6-2252.1)+(2.278017+(4.678128-3.445713))+0-422-0.645660000000024</f>
        <v>1875.264772</v>
      </c>
      <c r="G116" s="3">
        <f>1490.2+(2885.3-2165.4)+(0+(0-0))+0-421.6-0</f>
        <v>1788.5000000000005</v>
      </c>
      <c r="H116" s="3">
        <f>1488+(2876-2223.3)+(1.51776+(2.93352-2.267766))+0-420.7-0.429114000000067</f>
        <v>1721.7543999999996</v>
      </c>
      <c r="I116" s="3">
        <f>1489.2+(2841.2-2232.8)+(-1.518984+(-2.898024--2.277456))+0-423.2--0.431664000000067</f>
        <v>1672.6921119999993</v>
      </c>
      <c r="J116" s="3">
        <f>1489+(2833.4-2252.3)+(-0.75939+(-1.445034--1.148673))+0-420.4--0.214403999999957</f>
        <v>1648.858653</v>
      </c>
      <c r="K116" s="3">
        <f>1487.3+(2773.8-2243.1)+(-3.792615+(-7.07319--5.719905))+0-401.8--1.02458999999994</f>
        <v>1612.0786900000003</v>
      </c>
      <c r="L116" s="3">
        <f>1487.4+(2807.3-2338.3)+(-3.034296+(-5.726892--4.770132))+0-408.3--0.832931999999982</f>
        <v>1544.9418760000001</v>
      </c>
      <c r="M116" s="3">
        <f>1487.6+(2653.8-2169.5)+(-0.758676+(-1.353438--1.106445))+0-420.2--0.214301999999957</f>
        <v>1550.908633</v>
      </c>
      <c r="N116" s="3">
        <f>1476.7+(2579.9-2018)+(-1.506234+(-2.631498--2.05836))+0-415.5--0.423810000000066</f>
        <v>1621.4444380000002</v>
      </c>
      <c r="O116" s="3">
        <f>1430.7+(2733.2-2048.6)+(-1.459314+(-2.787864--2.089572))+0-407.6--0.415752000000065</f>
        <v>1705.9581460000002</v>
      </c>
      <c r="P116" s="3">
        <f>1464.8+(2632.7-1902)+(-0.747048+(-1.342677--0.97002))+0-398.2--0.20308199999996</f>
        <v>1796.3833769999999</v>
      </c>
      <c r="Q116" s="3">
        <f>1489.4+(2565.1-1797.3)+(-0.759594+(-1.308201--0.916623))+0-398.3--0.20313299999996</f>
        <v>1857.951961</v>
      </c>
      <c r="R116" s="3">
        <f>1491.2+(2463-1675.7)+(0+(0-0))+0-397-0</f>
        <v>1881.5</v>
      </c>
      <c r="S116" s="3">
        <f>1444.3+(2484.2-1684.9)+(-1.473186+(-2.533884--1.718598))+0-398.8--0.406776000000064</f>
        <v>1842.9183039999994</v>
      </c>
      <c r="T116" s="3">
        <f>1393.5+(2520.1-1661.5)+(1.42137+(2.570502-1.69473))+0-396.2-0.404124000000063</f>
        <v>1857.7930179999996</v>
      </c>
      <c r="U116" s="3">
        <f>1377.8+(2463.1-1613.9)+(-1.405356+(-2.512362--1.646178))+0-388.9--0.396678000000062</f>
        <v>1836.2251379999998</v>
      </c>
      <c r="V116" s="3">
        <f>1363.6+(2332.6-1455.7)+(-2.781744+(-4.758504--2.969628))+0-392.3--0.800291999999983</f>
        <v>1844.429672</v>
      </c>
      <c r="W116" s="3">
        <f>1359.5+(2441.4-1576.2)+(-1.38669+(-2.490228--1.607724))+0-390.9--0.398718000000062</f>
        <v>1831.9295239999999</v>
      </c>
      <c r="X116" s="3">
        <f>1416+(2565.3-1752)+(-2.16648+(-3.924909--2.68056))+0-405.6--0.620568000000023</f>
        <v>1820.9097390000004</v>
      </c>
      <c r="Y116" s="3">
        <f>1507.1+(2121.1-1427.3)+(-0.768621+(-1.081761--0.727923))+0-413.7--0.210986999999958</f>
        <v>1786.2885279999994</v>
      </c>
      <c r="Z116" s="3">
        <f>1604.3+(2448.6-1793)+(0+(0-0))+0-412.6-0</f>
        <v>1847.2999999999997</v>
      </c>
      <c r="AA116" s="3">
        <f>1725.5+(2507.9-1805.9)+(2.640015+(3.837087-2.763027))+0-409.1-0.625923000000024</f>
        <v>2021.4881519999999</v>
      </c>
      <c r="AB116" s="3">
        <f>1723.8+(2508-1837.1)+(-2.637414+(-3.83724--2.810763))+0-398.1--0.609093000000023</f>
        <v>1993.5452019999998</v>
      </c>
      <c r="AC116" s="3">
        <f>1685.6+(2832.6-2164.5)+(-2.578968+(-4.333878--3.311685))+0-408.3--0.624699000000024</f>
        <v>1942.4235379999998</v>
      </c>
      <c r="AD116" s="2">
        <v>2064</v>
      </c>
      <c r="AE116" s="3">
        <f>1723+(2554.1-1849.8)+(0+(0-0))+0-392.3-0</f>
        <v>2035.0000000000002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1518.8+(2938.7-2170.4)+(-0.774588+(-1.498737--1.106904))+0-408.7--0.208436999999959</f>
        <v>1877.4420159999995</v>
      </c>
      <c r="G117" s="3">
        <f>1485.1+(2905.2-2195.1)+(-2.272203+(-4.444956--3.358503))+0-412.4--0.630972000000024</f>
        <v>1780.0723159999998</v>
      </c>
      <c r="H117" s="3">
        <f>1482.7+(2960.9-2330.6)+(-1.512354+(-3.020118--2.377212))+0-410.1--0.418302000000065</f>
        <v>1701.1630420000001</v>
      </c>
      <c r="I117" s="3">
        <f>1482.3+(2964.3-2374.6)+(-1.511946+(-3.023586--2.422092))+0-408.9--0.417078000000065</f>
        <v>1661.403638</v>
      </c>
      <c r="J117" s="3">
        <f>1482.1+(3004.3-2436.3)+(-1.511742+(-3.064386--2.485026))+0-408.8--0.416976000000065</f>
        <v>1639.6258740000001</v>
      </c>
      <c r="K117" s="3">
        <f>1482.2+(2888.4-2353.1)+(-3.023688+(-5.892336--4.800324))+0-401.9--0.819875999999982</f>
        <v>1612.3041760000001</v>
      </c>
      <c r="L117" s="3">
        <f>1480.6+(2624.1-2133.1)+(0+(0-0))+0-396.1-0</f>
        <v>1575.5</v>
      </c>
      <c r="M117" s="3">
        <f>1482.8+(2359.8-1796)+(-0.756228+(-1.203498--0.91596))+0-391.2--0.19951199999996</f>
        <v>1654.555746</v>
      </c>
      <c r="N117" s="3">
        <f>1485.7+(2430.9-1688.2)+(1.515414+(2.479518-1.721964))+0-390-0.397800000000062</f>
        <v>1840.2751680000003</v>
      </c>
      <c r="O117" s="3">
        <f>1487.3+(2345.1-1505.7)+(-0.758523+(-1.196001--0.767907))+0-366.9--0.187118999999963</f>
        <v>1958.8005019999998</v>
      </c>
      <c r="P117" s="3">
        <f>1488.5+(2156.1-1211.9)+(1.51827+(2.199222-1.236138))+0-366.2-0.373524000000058</f>
        <v>2068.6078299999999</v>
      </c>
      <c r="Q117" s="3">
        <f>1527.7+(1778.7-829.4)+(0.779127+(0.907137-0.422994))+0-366.1-0.186710999999963</f>
        <v>2111.9765590000002</v>
      </c>
      <c r="R117" s="3">
        <f>1695.3+(1584-778.3)+(0.864603+(0.80784-0.396933))+0-368.3-0.187832999999963</f>
        <v>2133.7876769999998</v>
      </c>
      <c r="S117" s="3">
        <f>1717.7+(1625.3-912.2)+(-0.876027+(-0.828903--0.465222))+0-368.3--0.187832999999963</f>
        <v>2061.4481249999999</v>
      </c>
      <c r="T117" s="3">
        <f>1884.6+(1400.6-809.5)+(-2.883438+(-2.142918--1.238535))+0-373.7--0.571761000000022</f>
        <v>2098.7839400000003</v>
      </c>
      <c r="U117" s="3">
        <f>1886.7+(1395.6-818.4)+(-3.848868+(-2.847024--1.669536))+0-371.9--0.758675999999984</f>
        <v>2087.7323200000001</v>
      </c>
      <c r="V117" s="3">
        <f>1879.6+(1477.7-877.5)+(-3.834384+(-3.014508--1.7901))+0-379.5--0.774179999999983</f>
        <v>2096.0153880000003</v>
      </c>
      <c r="W117" s="3">
        <f>1879.8+(1467.3-883.9)+(-2.876094+(-2.244969--1.352367))+0-373.8--0.571914000000022</f>
        <v>2086.2032179999997</v>
      </c>
      <c r="X117" s="3">
        <f>1852.8+(1857.2-1328.4)+(-6.614496+(-6.630204--4.742388))+0-373.1--1.33196700000001</f>
        <v>2001.329655</v>
      </c>
      <c r="Y117" s="3">
        <f>1611.9+(2219.6-1533.3)+(-4.110345+(-5.65998--3.909915))+0-368.2--0.938909999999947</f>
        <v>1925.0784999999998</v>
      </c>
      <c r="Z117" s="3">
        <f>1535.6+(2401.2-1580.9)+(3.132624+(4.898448-3.225036))+0-367.2-0.749087999999984</f>
        <v>1992.7569479999995</v>
      </c>
      <c r="AA117" s="3">
        <f>1506.8+(2130-1138.4)+(-0.768468+(-1.0863--0.580584))+0-364.1--0.185690999999963</f>
        <v>2133.211507</v>
      </c>
      <c r="AB117" s="3">
        <f>1507.4+(2248-1297.1)+(-4.612644+(-6.87888--3.969126))+0-353.5--1.08171000000004</f>
        <v>2098.359312</v>
      </c>
      <c r="AC117" s="3">
        <f>1495.7+(2774.8-1875.9)+(0.762807+(1.415148-0.956709))+0-363.2-0.185231999999963</f>
        <v>2032.4360140000003</v>
      </c>
      <c r="AD117" s="2">
        <v>2168.3999999999996</v>
      </c>
      <c r="AE117" s="3">
        <f>1502+(2198.3-1210.3)+(0+(0-0))+0-349.4-0</f>
        <v>2140.6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1494.9+(2887.5-2118.4)+(-2.287197+(-4.417875--3.241152))+0-367.2--0.561816000000021</f>
        <v>1893.8978959999997</v>
      </c>
      <c r="G118" s="3">
        <f>1485.3+(3144.1-2444)+(0.757503+(1.603491-1.24644))+0-367.7-0.187526999999963</f>
        <v>1818.6270269999998</v>
      </c>
      <c r="H118" s="3">
        <f>1482.2+(3151.4-2548.7)+(-0.755922+(-1.607214--1.299837))+0-368.7--0.188036999999963</f>
        <v>1715.3247380000005</v>
      </c>
      <c r="I118" s="3">
        <f>1482+(2970.5-2380.8)+(-1.51164+(-3.02991--2.428416))+0-365.9--0.373218000000058</f>
        <v>1704.0600839999995</v>
      </c>
      <c r="J118" s="3">
        <f>1482.6+(2725.1-2207.1)+(-3.024504+(-5.559204--4.502484))+0-364.8--0.744191999999984</f>
        <v>1632.4629679999998</v>
      </c>
      <c r="K118" s="3">
        <f>1480.2+(2478.7-1944.3)+(-2.264706+(-3.792411--2.974779))+0-365.5--0.559215000000021</f>
        <v>1646.576877</v>
      </c>
      <c r="L118" s="3">
        <f>1483+(2543.7-2045.5)+(-3.78165+(-6.486435--5.216025))+0-366.5--0.934574999999947</f>
        <v>1610.5825149999998</v>
      </c>
      <c r="M118" s="3">
        <f>1481+(2270-1706.6)+(3.02124+(4.6308-3.481464))+0-367.4-0.749495999999984</f>
        <v>1680.4210800000001</v>
      </c>
      <c r="N118" s="3">
        <f>1478.7+(2445.5-1723.4)+(0+(0-0))+0-368.9-0</f>
        <v>1831.9</v>
      </c>
      <c r="O118" s="3">
        <f>1454.4+(2289.4-1427.3)+(1.483488+(2.335188-1.455846))+0-373.6-0.38107200000006</f>
        <v>1944.881758</v>
      </c>
      <c r="P118" s="3">
        <f>1464.5+(1987.2-1062.8)+(1.49379+(2.026944-1.084056))+0-370.1-0.377502000000059</f>
        <v>2020.8591760000002</v>
      </c>
      <c r="Q118" s="3">
        <f>1483.3+(1673.7-703.6)+(0+(0-0))+0-370.4-0</f>
        <v>2083</v>
      </c>
      <c r="R118" s="3">
        <f>1511+(1683.4-696.3)+(0.77061+(0.858534-0.355113))+0-371.7-0.189566999999962</f>
        <v>2127.4844640000006</v>
      </c>
      <c r="S118" s="3">
        <f>1551+(1818.5-970.3)+(-1.58202+(-1.85487--0.989706))+0-370.1--0.377502000000059</f>
        <v>2027.0303179999999</v>
      </c>
      <c r="T118" s="3">
        <f>1856.3+(1570.7-987.5)+(-3.786852+(-3.204228--2.0145))+0-370.6--0.756023999999984</f>
        <v>2064.6794439999999</v>
      </c>
      <c r="U118" s="3">
        <f>1973.2+(1638-1165.2)+(1.006332+(0.83538-0.594252))+0-371.2-0.189311999999962</f>
        <v>2075.8581480000003</v>
      </c>
      <c r="V118" s="3">
        <f>1960.7+(1704.3-1196.2)+(-3.999828+(-3.476772--2.440248))+0-370.6--0.756023999999984</f>
        <v>2093.919672</v>
      </c>
      <c r="W118" s="3">
        <f>1748+(2056.4-1334.2)+(-1.78296+(-2.097528--1.360884))+0-372.7--0.380154000000059</f>
        <v>2095.3605499999999</v>
      </c>
      <c r="X118" s="3">
        <f>1466.7+(2608.1-1685.7)+(-1.496034+(-2.660262--1.719414))+0-372.4--0.379848000000059</f>
        <v>2014.6429659999999</v>
      </c>
      <c r="Y118" s="3">
        <f>1459.4+(2437.6-1591.5)+(0+(0-0))+0-370.5-0</f>
        <v>1935</v>
      </c>
      <c r="Z118" s="3">
        <f>1503.8+(2480.8-1636.4)+(0+(0-0))+0-363.9-0</f>
        <v>1984.2999999999997</v>
      </c>
      <c r="AA118" s="3">
        <f>1527.9+(2440.2-1469.1)+(-3.116916+(-4.978008--2.996964))+0-369--0.752759999999984</f>
        <v>2125.6547999999998</v>
      </c>
      <c r="AB118" s="3">
        <f>1533.5+(2656.6-1734.6)+(-3.12834+(-5.419464--3.538584))+0-372--0.758879999999984</f>
        <v>2079.2496599999999</v>
      </c>
      <c r="AC118" s="3">
        <f>1524.8+(3003.4-2162.5)+(-3.88824+(-7.65867--5.514375))+0-348.7--0.889184999999949</f>
        <v>2011.8566499999999</v>
      </c>
      <c r="AD118" s="2">
        <v>2091.0000000000005</v>
      </c>
      <c r="AE118" s="3">
        <f>1533+(2506.4-1574.3)+(0+(0-0))+0-370.1-0</f>
        <v>2095.0000000000005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1486.1+(3049.5-2315.6)+(-3.789555+(-7.776225--5.90478))+0-352.5--0.898874999999949</f>
        <v>1862.7378749999998</v>
      </c>
      <c r="G119" s="3">
        <f>1488.9+(3243.7-2617.1)+(-2.278017+(-4.962861--4.004163))+0-350.6--0.53641800000002</f>
        <v>1762.199703</v>
      </c>
      <c r="H119" s="3">
        <f>1487.2+(3231.3-2669.7)+(-0.758472+(-1.647963--1.361547))+0-349.8--0.178397999999965</f>
        <v>1698.1335100000003</v>
      </c>
      <c r="I119" s="3">
        <f>1487.6+(3178.6-2662.4)+(-3.79338+(-8.10543--6.78912))+0-349.6--0.891479999999949</f>
        <v>1649.9817899999996</v>
      </c>
      <c r="J119" s="3">
        <f>1485.5+(2995.7-2507)+(-3.03042+(-6.111228--5.11428))+0-342.9--0.699515999999985</f>
        <v>1627.9721479999996</v>
      </c>
      <c r="K119" s="3">
        <f>1487.3+(2801.6-2337.2)+(-1.517046+(-2.857632--2.383944))+0-338--0.344760000000054</f>
        <v>1612.054026</v>
      </c>
      <c r="L119" s="3">
        <f>1484.9+(2357.7-1927.8)+(-3.786495+(-6.012135--4.91589))+0-343.9--0.87694499999995</f>
        <v>1566.8942050000001</v>
      </c>
      <c r="M119" s="3">
        <f>1483.9+(2288.3-1777.8)+(3.027156+(4.668132-3.626712))+0-348.4-0.710735999999985</f>
        <v>1649.3578400000001</v>
      </c>
      <c r="N119" s="3">
        <f>1486.2+(2753-2088.6)+(3.78981+(7.02015-5.32593))+0-349.2-0.890459999999949</f>
        <v>1805.9935700000005</v>
      </c>
      <c r="O119" s="3">
        <f>1485.8+(2563.3-1806.3)+(1.515516+(2.614566-1.842426))+0-350.9-0.357918000000056</f>
        <v>1893.8297379999999</v>
      </c>
      <c r="P119" s="3">
        <f>1487.7+(2565-1719.8)+(2.276181+(3.92445-2.631294))+0-349.6-0.53488800000002</f>
        <v>1986.3344490000002</v>
      </c>
      <c r="Q119" s="3">
        <f>1487.3+(2235.3-1329.6)+(3.034092+(4.560012-2.712384))+0-351.8-0.717671999999985</f>
        <v>2045.3640479999999</v>
      </c>
      <c r="R119" s="3">
        <f>1492.2+(2247.2-1369.1)+(2.283066+(3.438216-2.094723))+0-351.5-0.53779500000002</f>
        <v>2021.888764</v>
      </c>
      <c r="S119" s="3">
        <f>1650.7+(2539.3-1882.2)+(-0.841857+(-1.295043--0.959922))+0-343.1--0.174980999999965</f>
        <v>1963.6980030000002</v>
      </c>
      <c r="T119" s="3">
        <f>1742.4+(2367.4-1777.1)+(0+(0-0))+0-342.6-0</f>
        <v>1990.1000000000004</v>
      </c>
      <c r="U119" s="3">
        <f>1902.1+(2301.5-1866.3)+(-4.850355+(-5.868825--4.759065))+0-343.8--0.87668999999995</f>
        <v>1988.4165750000004</v>
      </c>
      <c r="V119" s="3">
        <f>1927.9+(2399.4-2036.5)+(0.983229+(1.223694-1.038615))+0-346.1-0.176510999999965</f>
        <v>1945.6917970000002</v>
      </c>
      <c r="W119" s="3">
        <f>1818+(2456.2-1959.4)+(-2.78154+(-3.757986--2.997882))+0-356.5--0.545445000000021</f>
        <v>1955.3038009999998</v>
      </c>
      <c r="X119" s="3">
        <f>1671.1+(2644-2060.6)+(-5.113566+(-8.09064--6.305436))+0-352.2--1.07773200000004</f>
        <v>1896.4789620000001</v>
      </c>
      <c r="Y119" s="3">
        <f>1502.2+(2258.9-1566.8)+(0+(0-0))+0-355.8-0</f>
        <v>1838.5000000000002</v>
      </c>
      <c r="Z119" s="3">
        <f>1511.7+(2480.1-1727.2)+(-2.312901+(-3.794553--2.642616))+0-357.3--0.546669000000021</f>
        <v>1904.3818310000001</v>
      </c>
      <c r="AA119" s="3">
        <f>1517.6+(2078.1-1179.5)+(-2.321928+(-3.179493--1.804635))+0-405.4--0.620262000000023</f>
        <v>2007.7234759999997</v>
      </c>
      <c r="AB119" s="3">
        <f>1517.1+(2017.5-1115.8)+(-4.642326+(-6.17355--3.414348))+0-406--1.24236000000005</f>
        <v>2006.6408320000003</v>
      </c>
      <c r="AC119" s="3">
        <f>1514.1+(2368.2-1564)+(-2.316573+(-3.623346--2.39292))+0-404.6--0.619038000000023</f>
        <v>1910.7720389999997</v>
      </c>
      <c r="AD119" s="2">
        <v>2069.9999999999995</v>
      </c>
      <c r="AE119" s="3">
        <f>1516+(2094.2-1182.3)+(0+(0-0))+0-354.9-0</f>
        <v>2072.9999999999995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1507+(2650.4-1931.3)+(-5.37999+(-9.461928--6.894741))+0-375.5--1.34053500000001</f>
        <v>1843.9933580000004</v>
      </c>
      <c r="G120" s="3">
        <f>1493.5+(2770.7-2129.6)+(-3.808425+(-7.065285--5.43048))+0-378.6--0.965429999999945</f>
        <v>1751.5222000000001</v>
      </c>
      <c r="H120" s="3">
        <f>1488.3+(2741.4-2155)+(-3.036132+(-5.592456--4.3962))+0-383.3--0.781931999999983</f>
        <v>1687.9495439999998</v>
      </c>
      <c r="I120" s="3">
        <f>1492.7+(2821.6-2272.7)+(-3.045108+(-5.756064--4.636308))+0-382.2--0.779687999999983</f>
        <v>1656.0148240000001</v>
      </c>
      <c r="J120" s="3">
        <f>1493.4+(2757.7-2237.8)+(0+(0-0))+0-378.8-0</f>
        <v>1634.4999999999998</v>
      </c>
      <c r="K120" s="3">
        <f>1494+(2874.5-2379.9)+(-3.04776+(-5.86398--4.854996))+0-382.7--0.780707999999983</f>
        <v>1602.6239639999999</v>
      </c>
      <c r="L120" s="3">
        <f>1492.5+(2809.7-2349.3)+(0+(0-0))+0-383-0</f>
        <v>1569.8999999999996</v>
      </c>
      <c r="M120" s="3">
        <f>1493.3+(2599.3-2067.9)+(2.284749+(3.976929-3.163887))+0-379.4-0.580482000000022</f>
        <v>1647.8173089999998</v>
      </c>
      <c r="N120" s="3">
        <f>1492.9+(2472.4-1763.1)+(0.761379+(1.260924-0.899181))+0-380.5-0.194054999999961</f>
        <v>1822.6290670000003</v>
      </c>
      <c r="O120" s="3">
        <f>1490.8+(2273.1-1435.9)+(0.760308+(1.159281-0.732309))+0-385.4-0.196553999999961</f>
        <v>1943.5907260000001</v>
      </c>
      <c r="P120" s="3">
        <f>1490.6+(1990.9-1068)+(3.040824+(4.061436-2.17872))+0-381.8-0.778871999999983</f>
        <v>2035.8446679999997</v>
      </c>
      <c r="Q120" s="3">
        <f>1520.9+(1930.7-966.3)+(2.326977+(2.953971-1.478439))+0-378.4-0.578952000000022</f>
        <v>2110.1235570000003</v>
      </c>
      <c r="R120" s="3">
        <f>1520.5+(2025.6-1093)+(-0.775455+(-1.033056--0.55743))+0-379--0.193289999999962</f>
        <v>2073.0422090000002</v>
      </c>
      <c r="S120" s="3">
        <f>1533.8+(2372-1560.1)+(-2.346714+(-3.62916--2.386953))+0-380.9--0.582777000000022</f>
        <v>1961.7938559999998</v>
      </c>
      <c r="T120" s="3">
        <f>1841.9+(2006.8-1442.1)+(-0.939369+(-1.023468--0.735471))+0-379.5--0.193544999999961</f>
        <v>2026.0661790000001</v>
      </c>
      <c r="U120" s="3">
        <f>1929.8+(1910.6-1422)+(3.936792+(3.897624-2.90088))+0-381.5-0.778259999999983</f>
        <v>2041.0552759999996</v>
      </c>
      <c r="V120" s="3">
        <f>1932.4+(1968.6-1480.4)+(0+(0-0))+0-386.4-0</f>
        <v>2034.1999999999998</v>
      </c>
      <c r="W120" s="3">
        <f>1936.6+(2092.4-1624.3)+(-4.93833+(-5.33562--4.141965))+0-375.2--0.956759999999946</f>
        <v>2024.3247749999998</v>
      </c>
      <c r="X120" s="3">
        <f>1752.2+(2583.7-1994.2)+(-2.680866+(-3.953061--3.051126))+0-368.6--0.563958000000021</f>
        <v>1970.0811569999998</v>
      </c>
      <c r="Y120" s="3">
        <f>1520.8+(2690.3-1934.6)+(-0.775608+(-1.372053--0.986646))+0-380.4--0.194003999999961</f>
        <v>1895.1329889999997</v>
      </c>
      <c r="Z120" s="3">
        <f>1535.8+(2707.6-1898.4)+(1.566516+(2.761752-1.936368))+0-373.6-0.38107200000006</f>
        <v>1973.410828</v>
      </c>
      <c r="AA120" s="3">
        <f>1542.6+(2426.4-1473.6)+(-1.573452+(-2.474928--1.503072))+0-383.2--0.390864000000061</f>
        <v>2110.045556</v>
      </c>
      <c r="AB120" s="3">
        <f>1544.4+(2591.3-1666.7)+(-1.575288+(-2.643126--1.700034))+0-378.4--0.38596800000006</f>
        <v>2088.467588</v>
      </c>
      <c r="AC120" s="3">
        <f>1529.2+(2868.3-2003.5)+(-1.559784+(-2.925666--2.04357))+0-382.2--0.389844000000061</f>
        <v>2009.7479640000001</v>
      </c>
      <c r="AD120" s="2">
        <v>2033.7000000000003</v>
      </c>
      <c r="AE120" s="3">
        <f>1542+(2420.3-1561.5)+(0+(0-0))+0-363.1-0</f>
        <v>2037.7000000000003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1483.3+(2799.6-1993.5)+(-2.269449+(-4.283388--3.050055))+0-380.2--0.581706000000022</f>
        <v>1906.2789239999995</v>
      </c>
      <c r="G121" s="3">
        <f>1482.8+(2461.6-1753.5)+(-0.756228+(-1.255416--0.894285))+0-379--0.193289999999962</f>
        <v>1810.9759309999997</v>
      </c>
      <c r="H121" s="3">
        <f>1483.7+(2926.5-2294.4)+(-2.270061+(-4.477545--3.510432))+0-373.4--0.571302000000022</f>
        <v>1739.7341280000003</v>
      </c>
      <c r="I121" s="3">
        <f>1483+(2803-2217.8)+(-1.51266+(-2.85906--2.262156))+0-378.3--0.38586600000006</f>
        <v>1688.1763020000001</v>
      </c>
      <c r="J121" s="3">
        <f>1482.7+(2721.1-2161.9)+(-3.780885+(-6.938805--5.512845))+0-377.9--0.963644999999945</f>
        <v>1659.7567999999999</v>
      </c>
      <c r="K121" s="3">
        <f>1482.2+(2628.7-2086.8)+(-3.77961+(-6.703185--5.32134))+0-380.8--0.971039999999945</f>
        <v>1639.1095849999997</v>
      </c>
      <c r="L121" s="3">
        <f>1482.4+(2804.7-2313)+(1.512048+(2.860794-2.35926))+0-368.8-0.376176000000059</f>
        <v>1606.937406</v>
      </c>
      <c r="M121" s="3">
        <f>1481.2+(2593.8-2033.3)+(-0.755412+(-1.322838--1.036983))+0-379.5--0.193544999999961</f>
        <v>1661.3522780000001</v>
      </c>
      <c r="N121" s="3">
        <f>1481.7+(2488.7-1743.4)+(2.267001+(3.807711-2.667402))+0-386.4-0.591192000000022</f>
        <v>1843.4161179999999</v>
      </c>
      <c r="O121" s="3">
        <f>1481.3+(2371.9-1525.2)+(0+(0-0))+0-377.9-0</f>
        <v>1950.1</v>
      </c>
      <c r="P121" s="3">
        <f>1508.2+(2147.5-1249.6)+(1.538364+(2.19045-1.274592))+0-367.3-0.374646000000059</f>
        <v>2040.8795760000003</v>
      </c>
      <c r="Q121" s="3">
        <f>1578.7+(1766.2-1000.7)+(2.415411+(2.702286-1.531071))+0-365.2-0.558756000000021</f>
        <v>1982.0278699999994</v>
      </c>
      <c r="R121" s="3">
        <f>1606.4+(1503.4-641.4)+(2.457792+(2.300202-0.981342))+0-376-0.575280000000022</f>
        <v>2095.6013720000001</v>
      </c>
      <c r="S121" s="3">
        <f>1709.4+(1466.8-777.9)+(-3.487176+(-2.992272--1.586916))+0-393.5--0.802739999999983</f>
        <v>2000.7102080000004</v>
      </c>
      <c r="T121" s="3">
        <f>1858+(1395.3-845.9)+(0+(0-0))+0-376.6-0</f>
        <v>2030.8000000000002</v>
      </c>
      <c r="U121" s="3">
        <f>1873.8+(1355.6-788.3)+(-2.866914+(-2.074068--1.206099))+0-377.3--0.577269000000022</f>
        <v>2060.6423859999995</v>
      </c>
      <c r="V121" s="3">
        <f>1877.7+(1447.3-891.1)+(0.957627+(0.738123-0.454461))+0-369.5-0.188444999999963</f>
        <v>2065.4528440000004</v>
      </c>
      <c r="W121" s="3">
        <f>1856.4+(1639.8-1080.6)+(-2.840292+(-2.508894--1.653318))+0-371.5--0.568395000000022</f>
        <v>2040.9725270000006</v>
      </c>
      <c r="X121" s="3">
        <f>1753+(2353.5-1763)+(-3.57612+(-4.80114--3.59652))+0-371.5--0.757859999999984</f>
        <v>1967.9771199999998</v>
      </c>
      <c r="Y121" s="3">
        <f>1598+(2572-1875.8)+(-0.81498+(-1.31172--0.956658))+0-373.5--0.190484999999962</f>
        <v>1919.7204429999995</v>
      </c>
      <c r="Z121" s="3">
        <f>1530.1+(2605.5-1748)+(3.901755+(6.644025-4.4574))+0-369.1-0.941204999999947</f>
        <v>2023.6471750000003</v>
      </c>
      <c r="AA121" s="3">
        <f>1529.2+(2114.2-1115.8)+(0.779892+(1.078242-0.569058))+0-372.6-0.190025999999962</f>
        <v>2156.0990500000003</v>
      </c>
      <c r="AB121" s="3">
        <f>1530.1+(2213.5-1271.4)+(1.560702+(2.25777-1.296828))+0-370.9-0.378318000000059</f>
        <v>2103.4433259999996</v>
      </c>
      <c r="AC121" s="3">
        <f>1523.8+(2515.5-1638.4)+(0.777138+(1.282905-0.835584))+0-379.8-0.193697999999961</f>
        <v>2022.1307609999997</v>
      </c>
      <c r="AD121" s="2">
        <v>2091.9</v>
      </c>
      <c r="AE121" s="3">
        <f>1527+(2049.5-1093.4)+(0+(0-0))+0-387.2-0</f>
        <v>2095.9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1481.7+(2592.5-1759.1)+(-2.267001+(-3.966525--2.691423))+0-380.3--0.581859000000022</f>
        <v>1931.8397560000003</v>
      </c>
      <c r="G122" s="3">
        <f>1480.5+(2434.1-1720.1)+(-1.51011+(-2.482782--1.754502))+0-367.6--0.374952000000059</f>
        <v>1825.0365620000002</v>
      </c>
      <c r="H122" s="3">
        <f>1478.6+(2848.7-2203.6)+(-1.508172+(-2.905674--2.247672))+0-379.8--0.387396000000061</f>
        <v>1742.121222</v>
      </c>
      <c r="I122" s="3">
        <f>1480.9+(2976.9-2385.8)+(0+(0-0))+0-372.8-0</f>
        <v>1699.2</v>
      </c>
      <c r="J122" s="3">
        <f>1479.9+(2953.7-2391.7)+(-0.754749+(-1.506387--1.219767))+0-375.7--0.191606999999962</f>
        <v>1665.350238</v>
      </c>
      <c r="K122" s="3">
        <f>1480.7+(3050.3-2505.6)+(-1.510314+(-3.111306--2.555712))+0-380.1--0.387702000000061</f>
        <v>1643.6217940000001</v>
      </c>
      <c r="L122" s="3">
        <f>1478.7+(2833.3-2345.5)+(0+(0-0))+0-375.2-0</f>
        <v>1591.3000000000002</v>
      </c>
      <c r="M122" s="3">
        <f>1479.7+(2599.4-2031.6)+(1.509294+(2.651388-2.072232))+0-377.7-0.38525400000006</f>
        <v>1671.5031960000001</v>
      </c>
      <c r="N122" s="3">
        <f>1480.8+(2739.4-2034.5)+(3.77604+(6.98547-5.187975))+0-375.7-0.958034999999945</f>
        <v>1814.6154999999999</v>
      </c>
      <c r="O122" s="3">
        <f>1524.7+(2451.2-1661.5)+(2.332791+(3.750336-2.542095))+0-381.5-0.583695000000022</f>
        <v>1935.8573369999997</v>
      </c>
      <c r="P122" s="3">
        <f>1517.5+(1879.5-981.8)+(1.54785+(1.91709-1.001436))+0-379.2-0.38678400000006</f>
        <v>2038.0767199999996</v>
      </c>
      <c r="Q122" s="3">
        <f>1590.5+(1475.6-606.2)+(2.433465+(2.257668-0.927486))+0-380.5-0.582165000000022</f>
        <v>2082.5814820000001</v>
      </c>
      <c r="R122" s="3">
        <f>1695.9+(1365.5-564.7)+(-0.864909+(-0.696405--0.287997))+0-390.4--0.19910399999996</f>
        <v>2105.2257869999994</v>
      </c>
      <c r="S122" s="3">
        <f>1689.5+(1503.9-798.5)+(-4.308225+(-3.834945--2.036175))+0-389.6--0.993479999999944</f>
        <v>2000.1864849999999</v>
      </c>
      <c r="T122" s="3">
        <f>1686.9+(1593.3-901.5)+(0+(0-0))+0-385.9-0</f>
        <v>1992.7999999999997</v>
      </c>
      <c r="U122" s="3">
        <f>1688.3+(1665.5-966.9)+(-2.583099+(-2.548215--1.479357))+0-388--0.593640000000022</f>
        <v>1995.8416830000001</v>
      </c>
      <c r="V122" s="3">
        <f>1689.9+(1832.4-1149.1)+(-2.585547+(-2.803572--1.758123))+0-387--0.592110000000022</f>
        <v>1983.1611140000005</v>
      </c>
      <c r="W122" s="3">
        <f>1689.8+(2201.4-1539.1)+(-1.723596+(-2.245428--1.569882))+0-393.6--0.401472000000063</f>
        <v>1956.5023300000003</v>
      </c>
      <c r="X122" s="3">
        <f>1688.2+(2671.8-2064.8)+(-1.721964+(-2.725236--2.106096))+0-392.3--0.400146000000063</f>
        <v>1900.9590419999997</v>
      </c>
      <c r="Y122" s="3">
        <f>1697.9+(2625.6-2048.5)+(2.597787+(4.017168-3.134205))+0-395.5-0.605115000000023</f>
        <v>1882.3756350000001</v>
      </c>
      <c r="Z122" s="3">
        <f>1604.7+(2753.4-1976.9)+(1.636794+(2.808468-2.016438))+0-394-0.401880000000063</f>
        <v>1989.2269439999998</v>
      </c>
      <c r="AA122" s="3">
        <f>1529.3+(2407.6-1425.3)+(-3.119772+(-4.911504--2.907612))+0-393.4--0.802535999999983</f>
        <v>2113.8788719999998</v>
      </c>
      <c r="AB122" s="3">
        <f>1525.9+(2690.8-1751.7)+(-1.556418+(-2.744616--1.786734))+0-394.4--0.402288000000063</f>
        <v>2068.4879880000003</v>
      </c>
      <c r="AC122" s="3">
        <f>1509.9+(2773.7-1895.3)+(-0.770049+(-1.414587--0.966603))+0-391.7--0.19976699999996</f>
        <v>1995.5817340000001</v>
      </c>
      <c r="AD122" s="2">
        <v>2066.9</v>
      </c>
      <c r="AE122" s="3">
        <f>1523+(2406.8-1487.5)+(0+(0-0))+0-371.4-0</f>
        <v>2070.9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1478.8+(2342.3-1514)+(0+(0-0))+0-396.3-0</f>
        <v>1910.8000000000004</v>
      </c>
      <c r="G123" s="3">
        <f>1475.5+(2577.3-1847.1)+(-1.50501+(-2.628846--1.884042))+0-394.8--0.402696000000063</f>
        <v>1809.0528820000006</v>
      </c>
      <c r="H123" s="3">
        <f>1476+(3021.7-2359.7)+(0+(0-0))+0-397.5-0</f>
        <v>1740.5</v>
      </c>
      <c r="I123" s="3">
        <f>1474.3+(2900.7-2277.9)+(-1.503786+(-2.958714--2.323458))+0-396.3--0.404226000000063</f>
        <v>1699.0651839999998</v>
      </c>
      <c r="J123" s="3">
        <f>1475.1+(3079.2-2482.3)+(-2.256903+(-4.711176--3.797919))+0-396.6--0.606798000000023</f>
        <v>1672.8366379999995</v>
      </c>
      <c r="K123" s="3">
        <f>1475.6+(3155-2595.1)+(-3.010224+(-6.4362--5.294004))+0-393.6--0.802943999999983</f>
        <v>1638.5505240000002</v>
      </c>
      <c r="L123" s="3">
        <f>1473.7+(2732.6-2265.9)+(-2.254761+(-4.180878--3.466827))+0-394.9--0.604197000000023</f>
        <v>1543.135385</v>
      </c>
      <c r="M123" s="3">
        <f>1472.5+(2868.9-2405)+(2.252925+(4.389417-3.67965))+0-396.3-0.606339000000023</f>
        <v>1542.4563530000003</v>
      </c>
      <c r="N123" s="3">
        <f>1474.9+(2728.7-2223.2)+(1.504398+(2.783274-2.267664))+0-395.2-0.403104000000063</f>
        <v>1586.816904</v>
      </c>
      <c r="O123" s="3">
        <f>1474.3+(2934.8-2336.4)+(0.751893+(1.496748-1.191564))+0-401.5-0.204764999999959</f>
        <v>1672.0523119999998</v>
      </c>
      <c r="P123" s="3">
        <f>1475.9+(2766.8-2091.2)+(2.258127+(4.233204-3.199536))+0-397.6-0.608328000000023</f>
        <v>1756.5834670000006</v>
      </c>
      <c r="Q123" s="3">
        <f>1529.1+(2754-2060.5)+(1.559682+(2.80908-2.10171))+0-396.2-0.404124000000063</f>
        <v>1828.2629279999999</v>
      </c>
      <c r="R123" s="3">
        <f>1649.7+(2715.6-2138.8)+(1.682694+(2.769912-2.181576))+0-395.1-0.403002000000063</f>
        <v>1833.268028</v>
      </c>
      <c r="S123" s="3">
        <f>1745.5+(2746.8-2246.4)+(1.78041+(2.801736-2.291328))+0-393.7-0.401574000000063</f>
        <v>1854.089244</v>
      </c>
      <c r="T123" s="3">
        <f>1784.7+(2795.3-2405.9)+(0+(0-0))+0-390.3-0</f>
        <v>1783.8000000000004</v>
      </c>
      <c r="U123" s="3">
        <f>1780.7+(2919.6-2538)+(0+(0-0))+0-357.3-0</f>
        <v>1805.0000000000002</v>
      </c>
      <c r="V123" s="3">
        <f>1767+(2977.7-2546.4)+(0+(0-0))+0-380.8-0</f>
        <v>1817.4999999999998</v>
      </c>
      <c r="W123" s="3">
        <f>1743.2+(2872.3-2442.8)+(0+(0-0))+0-397.3-0</f>
        <v>1775.3999999999999</v>
      </c>
      <c r="X123" s="3">
        <f>1723.8+(2764.5-2303)+(-2.637414+(-4.229685--3.52359))+0-399.9--0.611847000000023</f>
        <v>1782.6683380000004</v>
      </c>
      <c r="Y123" s="3">
        <f>1573.9+(2878.9-2280.4)+(-3.210756+(-5.872956--4.652016))+0-398.3--0.812531999999983</f>
        <v>1770.480836</v>
      </c>
      <c r="Z123" s="3">
        <f>1489.3+(2628.1-1822.1)+(0+(0-0))+0-390.3-0</f>
        <v>1905.0000000000002</v>
      </c>
      <c r="AA123" s="3">
        <f>1500.6+(2418.1-1525.9)+(-3.82653+(-6.166155--3.891045))+0-393.6--1.00367999999994</f>
        <v>1994.10204</v>
      </c>
      <c r="AB123" s="3">
        <f>1501.4+(2496.3-1609.5)+(0.765714+(1.273113-0.820845))+0-398.3-0.20313299999996</f>
        <v>1990.9148490000005</v>
      </c>
      <c r="AC123" s="3">
        <f>1492.7+(2789.8-1976.4)+(-0.761277+(-1.422798--1.007964))+0-377.4--0.192473999999962</f>
        <v>1927.716363</v>
      </c>
      <c r="AD123" s="2">
        <v>1966.9999999999998</v>
      </c>
      <c r="AE123" s="3">
        <f>1501+(2557.4-1710.7)+(0+(0-0))+0-376.7-0</f>
        <v>1970.9999999999998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1483.3+(2807.7-2047.8)+(-1.512966+(-2.863854--2.088756))+0-397.3--0.405246000000063</f>
        <v>1844.017182</v>
      </c>
      <c r="G124" s="3">
        <f>1477.5+(3014.1-2366.2)+(-0.753525+(-1.537191--1.206762))+0-393.4--0.20063399999996</f>
        <v>1731.1166799999999</v>
      </c>
      <c r="H124" s="3">
        <f>1477.6+(3249.1-2665.3)+(0.753576+(1.657041-1.359303))+0-393.9-0.20088899999996</f>
        <v>1668.3504249999994</v>
      </c>
      <c r="I124" s="3">
        <f>1476.9+(2988.5-2395.1)+(0.753219+(1.524135-1.221501))+0-395.1-0.20150099999996</f>
        <v>1676.0543520000001</v>
      </c>
      <c r="J124" s="3">
        <f>1475.4+(2928.7-2311)+(-2.257362+(-4.480911--3.53583))+0-392.8--0.600984000000023</f>
        <v>1697.6985409999998</v>
      </c>
      <c r="K124" s="3">
        <f>1478.4+(3268.6-2734.9)+(-1.507968+(-3.333972--2.789598))+0-391.2--0.399024000000062</f>
        <v>1619.246682</v>
      </c>
      <c r="L124" s="3">
        <f>1476.5+(3247-2756.7)+(-1.50603+(-3.31194--2.811834))+0-393.6--0.401472000000063</f>
        <v>1571.5953360000003</v>
      </c>
      <c r="M124" s="3">
        <f>1477.8+(3171.1-2606.9)+(0.753678+(1.617261-1.329519))+0-394.2-0.20104199999996</f>
        <v>1648.6403779999998</v>
      </c>
      <c r="N124" s="3">
        <f>1510.5+(3103.8-2423.7)+(3.08142+(6.331752-4.944348))+0-388.7-0.792947999999983</f>
        <v>1805.5758760000003</v>
      </c>
      <c r="O124" s="3">
        <f>1570.2+(3074.4-2332.6)+(1.601604+(3.135888-2.379252))+0-393.4-0.401268000000063</f>
        <v>1920.5569719999999</v>
      </c>
      <c r="P124" s="3">
        <f>1753.1+(2787.8-2144.3)+(0.894081+(1.421778-1.093593))+0-384.1-0.195890999999961</f>
        <v>2013.5263750000001</v>
      </c>
      <c r="Q124" s="3">
        <f>1758.6+(2523.7-1822.8)+(0.896886+(1.287087-0.929628))+0-392.5-0.20017499999996</f>
        <v>2068.0541699999999</v>
      </c>
      <c r="R124" s="3">
        <f>1767.4+(2357.4-1650.8)+(1.802748+(2.404548-1.683816))+0-396-0.403920000000063</f>
        <v>2080.1195599999996</v>
      </c>
      <c r="S124" s="3">
        <f>1869.8+(2278.5-1735.3)+(-2.860794+(-3.486105--2.655009))+0-394--0.602820000000023</f>
        <v>2015.91093</v>
      </c>
      <c r="T124" s="3">
        <f>1875.7+(2104-1575.8)+(-0.956607+(-1.07304--0.803658))+0-389.7--0.19874699999996</f>
        <v>2013.1727579999999</v>
      </c>
      <c r="U124" s="3">
        <f>1872.5+(2247.6-1779.5)+(0.954975+(1.146276-0.907545))+0-394.1-0.20099099999996</f>
        <v>1947.4927150000001</v>
      </c>
      <c r="V124" s="3">
        <f>1872.3+(2470-2002.1)+(2.864619+(3.7791-3.063213))+0-396-0.605880000000023</f>
        <v>1947.1746259999995</v>
      </c>
      <c r="W124" s="3">
        <f>1874.4+(2746.4-2285.1)+(0.955944+(1.400664-1.165401))+0-402.8-0.205427999999959</f>
        <v>1933.8857790000002</v>
      </c>
      <c r="X124" s="3">
        <f>1881.1+(2983-2565.4)+(-2.878083+(-4.56399--3.925062))+0-393.6--0.602208000000023</f>
        <v>1902.185197</v>
      </c>
      <c r="Y124" s="3">
        <f>1883.2+(2872.8-2466.7)+(0+(0-0))+0-394.1-0</f>
        <v>1895.2000000000003</v>
      </c>
      <c r="Z124" s="3">
        <f>1895.8+(2795.5-2269.9)+(1.933716+(2.85141-2.315298))+0-394.9-0.402798000000063</f>
        <v>2028.5670299999992</v>
      </c>
      <c r="AA124" s="3">
        <f>1899.2+(2620.8-2015.6)+(-4.84296+(-6.68304--5.13978))+0-394.6--1.00622999999994</f>
        <v>2104.4200100000007</v>
      </c>
      <c r="AB124" s="3">
        <f>1749.8+(3018.7-2316.4)+(0.892398+(1.539537-1.181364))+0-390.4-0.19910399999996</f>
        <v>2062.7514669999996</v>
      </c>
      <c r="AC124" s="3">
        <f>1711.8+(3118.1-2434.7)+(-1.746036+(-3.180462--2.483394))+0-397.6--0.405552000000063</f>
        <v>1995.5624480000001</v>
      </c>
      <c r="AD124" s="2">
        <v>2102.7999999999993</v>
      </c>
      <c r="AE124" s="3">
        <f>1896+(2583.4-1977.3)+(0+(0-0))+0-395.3-0</f>
        <v>2106.8000000000002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1673.4+(3123-2501.8)+(-0.853434+(-1.59273--1.275918))+0-395.3--0.20160299999996</f>
        <v>1898.3313569999998</v>
      </c>
      <c r="G125" s="3">
        <f>1621.2+(3119.1-2547)+(0+(0-0))+0-397.1-0</f>
        <v>1796.2000000000003</v>
      </c>
      <c r="H125" s="3">
        <f>1520.4+(3090.3-2475.5)+(1.550808+(3.152106-2.52501))+0-400.4-0.408408000000064</f>
        <v>1736.5694960000003</v>
      </c>
      <c r="I125" s="3">
        <f>1506.9+(2844.5-2238.9)+(2.305557+(4.352085-3.425517))+0-398.9-0.610317000000023</f>
        <v>1716.2218079999998</v>
      </c>
      <c r="J125" s="3">
        <f>1508.6+(2966.4-2328.3)+(-1.538772+(-3.025728--2.374866))+0-397.4--0.405348000000063</f>
        <v>1747.5157139999999</v>
      </c>
      <c r="K125" s="3">
        <f>1507.9+(3398.6-2842.4)+(-3.076116+(-6.933144--5.798496))+0-397.3--0.810491999999983</f>
        <v>1663.3997280000001</v>
      </c>
      <c r="L125" s="3">
        <f>1509+(3184.1-2701.2)+(-3.84795+(-8.119455--6.88806))+0-390.6--0.996029999999943</f>
        <v>1597.2166850000001</v>
      </c>
      <c r="M125" s="3">
        <f>1508.3+(3140.9-2589.7)+(2.307699+(4.805577-3.962241))+0-397.1-0.607563000000023</f>
        <v>1664.9434719999999</v>
      </c>
      <c r="N125" s="3">
        <f>1507.9+(3172.6-2478.6)+(2.307087+(4.854078-3.792258))+0-396.1-0.606033000000023</f>
        <v>1808.5628740000002</v>
      </c>
      <c r="O125" s="3">
        <f>1513.6+(3037.4-2211.8)+(3.087744+(6.196296-4.512072))+0-399.1-0.814163999999983</f>
        <v>1944.057804</v>
      </c>
      <c r="P125" s="3">
        <f>1547.3+(2565.5-1680.7)+(0.789123+(1.308405-0.857157))+0-399.2-0.20359199999996</f>
        <v>2033.9367789999997</v>
      </c>
      <c r="Q125" s="3">
        <f>1557.6+(2407.5-1501.1)+(1.588752+(2.45565-1.531122))+0-398.6-0.406572000000064</f>
        <v>2067.5067080000003</v>
      </c>
      <c r="R125" s="3">
        <f>1688.9+(2131.8-1331.9)+(2.584017+(3.261654-2.037807))+0-397.5-0.608175000000023</f>
        <v>2094.4996890000002</v>
      </c>
      <c r="S125" s="3">
        <f>1847.3+(2042.9-1454.9)+(-0.942123+(-1.041879--0.741999))+0-396--0.20195999999996</f>
        <v>2038.2599570000002</v>
      </c>
      <c r="T125" s="3">
        <f>1875+(1725.7-1194.6)+(1.9125+(1.760214-1.218492))+0-399.6-0.407592000000064</f>
        <v>2008.5466300000003</v>
      </c>
      <c r="U125" s="3">
        <f>1877.1+(1694-1129.6)+(-0.957321+(-0.86394--0.576096))+0-400.8--0.204407999999959</f>
        <v>2039.6592430000003</v>
      </c>
      <c r="V125" s="3">
        <f>1876.3+(1981-1434.2)+(1.913826+(2.02062-1.462884))+0-401.1-0.409122000000064</f>
        <v>2024.0624400000002</v>
      </c>
      <c r="W125" s="3">
        <f>1870.7+(2165.9-1624.2)+(-3.816228+(-4.418436--3.313368))+0-404.6--0.825383999999982</f>
        <v>2003.7040880000002</v>
      </c>
      <c r="X125" s="3">
        <f>1669.6+(2694.2-2004.7)+(-2.554488+(-4.122126--3.067191))+0-397.4--0.608022000000023</f>
        <v>1958.6985989999996</v>
      </c>
      <c r="Y125" s="3">
        <f>1509.5+(2323.3-1507.6)+(1.53969+(2.369766-1.537752))+0-395.5-0.403410000000063</f>
        <v>1931.6682940000003</v>
      </c>
      <c r="Z125" s="3">
        <f>1522.8+(2097.6-1182)+(3.88314+(5.34888-3.0141))+0-398.1-1.01515499999994</f>
        <v>2045.5027649999997</v>
      </c>
      <c r="AA125" s="3">
        <f>1530.2+(1957.6-939.4)+(-0.780402+(-0.998376--0.479094))+0-397.2--0.20257199999996</f>
        <v>2150.1028880000003</v>
      </c>
      <c r="AB125" s="3">
        <f>1530.6+(2176.6-1230.1)+(-2.341818+(-3.330198--1.882053))+0-371.5--0.568395000000022</f>
        <v>2102.378432</v>
      </c>
      <c r="AC125" s="3">
        <f>1528.2+(2665.9-1808.8)+(-2.338146+(-4.078827--2.767464))+0-372.4--0.569772000000021</f>
        <v>2009.8202630000003</v>
      </c>
      <c r="AD125" s="2">
        <v>2168.6</v>
      </c>
      <c r="AE125" s="3">
        <f>1522+(1948.3-938.8)+(0+(0-0))+0-412.9-0</f>
        <v>2118.6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1509.6+(2754.6-1979.5)+(1.539792+(2.809692-2.01909))+0-372.7-0.380154000000059</f>
        <v>1913.9502399999999</v>
      </c>
      <c r="G126" s="3">
        <f>1506.5+(2657.1-2004)+(0+(0-0))+0-372.4-0</f>
        <v>1787.1999999999998</v>
      </c>
      <c r="H126" s="3">
        <f>1485+(3109.4-2501.8)+(1.5147+(3.171588-2.551836))+0-354.5-0.361590000000057</f>
        <v>1739.8728619999997</v>
      </c>
      <c r="I126" s="3">
        <f>1509.5+(2924.8-2358.9)+(0.769845+(1.491648-1.203039))+0-357.9-0.182528999999964</f>
        <v>1718.3759250000001</v>
      </c>
      <c r="J126" s="3">
        <f>1508.4+(2798.5-2182.7)+(-0.769284+(-1.427235--1.113177))+0-370.5--0.188954999999962</f>
        <v>1752.8056130000002</v>
      </c>
      <c r="K126" s="3">
        <f>1509.9+(3097.3-2585.8)+(-3.080196+(-6.318492--5.275032))+0-369.6--0.753983999999984</f>
        <v>1648.4303279999999</v>
      </c>
      <c r="L126" s="3">
        <f>1508.8+(2918-2464.6)+(0+(0-0))+0-366.8-0</f>
        <v>1595.4</v>
      </c>
      <c r="M126" s="3">
        <f>1509.8+(2920.8-2399.3)+(0.769998+(1.489608-1.223643))+0-369.4-0.188393999999963</f>
        <v>1662.7475689999999</v>
      </c>
      <c r="N126" s="3">
        <f>1510.8+(2958.3-2314.4)+(0.770508+(1.508733-1.180344))+0-370.4-0.188903999999962</f>
        <v>1785.2099929999997</v>
      </c>
      <c r="O126" s="3">
        <f>1511+(2777.8-2031.7)+(0.77061+(1.416678-1.036167))+0-362.9-0.185078999999963</f>
        <v>1895.1660420000003</v>
      </c>
      <c r="P126" s="3">
        <f>1511.8+(2527.6-1665.7)+(-0.771018+(-1.289076--0.849507))+0-357.3--0.182222999999964</f>
        <v>2015.3716359999999</v>
      </c>
      <c r="Q126" s="3">
        <f>1513+(2164.5-1238.7)+(2.31489+(3.311685-1.895211))+0-361.6-0.553248000000021</f>
        <v>2080.3781160000003</v>
      </c>
      <c r="R126" s="3">
        <f>1656+(1774.8-965.2)+(-2.53368+(-2.715444--1.476756))+0-365.4--0.559062000000021</f>
        <v>2096.9866939999997</v>
      </c>
      <c r="S126" s="3">
        <f>1709.5+(1798.1-1136.4)+(-0.871845+(-0.917031--0.579564))+0-372.2--0.189821999999962</f>
        <v>1997.9805099999999</v>
      </c>
      <c r="T126" s="3">
        <f>2044.4+(1634.3-1283.6)+(-3.127932+(-2.500479--1.963908))+0-372.2--0.569466000000021</f>
        <v>2019.8049630000003</v>
      </c>
      <c r="U126" s="3">
        <f>2108.6+(1794.7-1512.3)+(-2.150772+(-1.830594--1.542546))+0-379.6--0.387192000000061</f>
        <v>2009.3483720000004</v>
      </c>
      <c r="V126" s="3">
        <f>1919.9+(2090.6-1657.9)+(0.979149+(1.066206-0.845529))+0-375.3-0.191402999999962</f>
        <v>1978.3084229999999</v>
      </c>
      <c r="W126" s="3">
        <f>1683.3+(2417.8-1784.8)+(-0.858483+(-1.233078--0.910248))+0-378.7--0.193136999999962</f>
        <v>1936.6118240000001</v>
      </c>
      <c r="X126" s="3">
        <f>1514.4+(2910.7-2144.1)+(-2.317032+(-4.453371--3.280473))+0-376.5--0.576045000000022</f>
        <v>1901.5861149999998</v>
      </c>
      <c r="Y126" s="3">
        <f>1513.6+(2679.8-1933.1)+(-0.771936+(-1.366698--0.985881))+0-377.9--0.192728999999962</f>
        <v>1881.4399760000001</v>
      </c>
      <c r="Z126" s="3">
        <f>1525.5+(2560.4-1716)+(1.55601+(2.611608-1.75032))+0-378.3-0.38586600000006</f>
        <v>1993.6314319999999</v>
      </c>
      <c r="AA126" s="3">
        <f>1530.5+(2132.3-1142.9)+(0.780555+(1.087473-0.582879))+0-384-0.195839999999961</f>
        <v>2136.989309</v>
      </c>
      <c r="AB126" s="3">
        <f>1530.7+(2337.7-1363.7)+(-3.122628+(-4.768908--2.781948))+0-403.8--0.823751999999982</f>
        <v>2096.6141639999996</v>
      </c>
      <c r="AC126" s="3">
        <f>1528.1+(2617.7-1717)+(0.779331+(1.335027-0.87567))+0-404.5-0.206294999999959</f>
        <v>2025.3323929999997</v>
      </c>
      <c r="AD126" s="2">
        <v>2123.6</v>
      </c>
      <c r="AE126" s="3">
        <f>1524+(2064-1111)+(0+(0-0))+0-379.4-0</f>
        <v>2097.6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1514.9+(2768.4-1969.2)+(0.772599+(1.411884-1.004292))+0-405.4-0.206753999999959</f>
        <v>1909.6734370000001</v>
      </c>
      <c r="G127" s="3">
        <f>1511.6+(2758.6-2052.8)+(0.770916+(1.406886-1.046928))+0-404.3-0.206192999999959</f>
        <v>1814.0246809999996</v>
      </c>
      <c r="H127" s="3">
        <f>1512.7+(2980.8-2342.3)+(0.771477+(1.520208-1.194573))+0-404.6-0.206345999999959</f>
        <v>1747.4907659999999</v>
      </c>
      <c r="I127" s="3">
        <f>1512.2+(2808.8-2203.5)+(1.542444+(2.864976-2.24757))+0-401.9-0.409938000000064</f>
        <v>1717.3499119999999</v>
      </c>
      <c r="J127" s="3">
        <f>1511.2+(2854-2199.7)+(0.770712+(1.45554-1.121847))+0-404.2-0.206141999999959</f>
        <v>1762.198263</v>
      </c>
      <c r="K127" s="3">
        <f>1512.4+(3096.2-2544.2)+(-3.085296+(-6.316248--5.190168))+0-405.8--0.827831999999982</f>
        <v>1655.2164559999999</v>
      </c>
      <c r="L127" s="3">
        <f>1510.6+(2986.8-2459.2)+(-0.770406+(-1.523268--1.254192))+0-401.4--0.204713999999959</f>
        <v>1635.9652320000005</v>
      </c>
      <c r="M127" s="3">
        <f>1513.9+(2775.3-2201.6)+(1.544178+(2.830806-2.245632))+0-404.2-0.412284000000064</f>
        <v>1685.1170680000002</v>
      </c>
      <c r="N127" s="3">
        <f>1510.6+(2836.4-2133.8)+(0.770406+(1.446564-1.088238))+0-398.3-0.20313299999996</f>
        <v>1815.825599</v>
      </c>
      <c r="O127" s="3">
        <f>1509.9+(2720.3-1853.3)+(-1.540098+(-2.774706--1.890366))+0-402--0.410040000000064</f>
        <v>1972.8856020000005</v>
      </c>
      <c r="P127" s="3">
        <f>1493.4+(2557.2-1625.2)+(3.046536+(5.216688-3.315408))+0-405.8-0.827831999999982</f>
        <v>2023.7199839999996</v>
      </c>
      <c r="Q127" s="3">
        <f>1495+(2166.9-1170.6)+(0.76245+(1.105119-0.597006))+0-407.4-0.207773999999959</f>
        <v>2084.9627890000002</v>
      </c>
      <c r="R127" s="3">
        <f>1532.8+(1960.3-986.3)+(1.563456+(1.999506-1.006026))+0-403.9-0.411978000000064</f>
        <v>2105.044958</v>
      </c>
      <c r="S127" s="3">
        <f>1760.3+(1670.5-981.8)+(-2.693259+(-2.555865--1.502154))+0-404--0.618120000000023</f>
        <v>2041.8711499999999</v>
      </c>
      <c r="T127" s="3">
        <f>2047.7+(1374.2-943.5)+(-4.177308+(-2.803368--1.92474))+0-405.6--0.827423999999982</f>
        <v>2068.571488</v>
      </c>
      <c r="U127" s="3">
        <f>2112.3+(1473.7-1128.1)+(-4.309092+(-3.006348--2.301324))+0-401.9--0.819875999999982</f>
        <v>2051.8057600000006</v>
      </c>
      <c r="V127" s="3">
        <f>2110.9+(1828.8-1498.9)+(-2.153118+(-1.865376--1.528878))+0-386.9--0.394638000000062</f>
        <v>2051.8050220000005</v>
      </c>
      <c r="W127" s="3">
        <f>1876.6+(2106.3-1567.9)+(-0.957066+(-1.074213--0.799629))+0-394.5--0.20119499999996</f>
        <v>2019.4695449999997</v>
      </c>
      <c r="X127" s="3">
        <f>1610.8+(2376.7-1596.8)+(-4.10754+(-6.060585--4.07184))+0-403.8--1.02968999999994</f>
        <v>1981.8334049999996</v>
      </c>
      <c r="Y127" s="3">
        <f>1510.2+(2499.6-1671.8)+(-4.621212+(-7.648776--5.115708))+0-398.3--1.21879800000005</f>
        <v>1933.764518</v>
      </c>
      <c r="Z127" s="3">
        <f>1522.1+(2204.1-1269.9)+(1.552542+(2.248182-1.295298))+0-402.7-0.410754000000064</f>
        <v>2055.6946720000001</v>
      </c>
      <c r="AA127" s="3">
        <f>1524.5+(2137.1-1117.2)+(-2.332485+(-3.269763--1.709316))+0-394.4--0.603432000000023</f>
        <v>2146.7104999999992</v>
      </c>
      <c r="AB127" s="3">
        <f>1527.1+(2361.2-1353.4)+(-3.894105+(-6.02106--3.45117))+0-396.6--1.01132999999994</f>
        <v>2132.8473349999995</v>
      </c>
      <c r="AC127" s="3">
        <f>1517+(2643-1703.7)+(-3.09468+(-5.39172--3.475548))+0-407.2--0.830687999999982</f>
        <v>2044.9198360000003</v>
      </c>
      <c r="AD127" s="2">
        <v>2124.2000000000003</v>
      </c>
      <c r="AE127" s="3">
        <f>1522+(1985.9-976.3)+(0+(0-0))+0-413.4-0</f>
        <v>2118.2000000000003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1509+(2277.7-1408.3)+(-0.76959+(-1.161627--0.718233))+0-402.3--0.205172999999959</f>
        <v>1975.092189</v>
      </c>
      <c r="G128" s="3">
        <f>1508.3+(1939.5-1207.3)+(-1.538466+(-1.97829--1.231446))+0-402--0.410040000000064</f>
        <v>1836.6247299999998</v>
      </c>
      <c r="H128" s="3">
        <f>1507.5+(1994.4-1322)+(0.768825+(1.017144-0.67422))+0-408.3-0.208232999999959</f>
        <v>1772.5035160000002</v>
      </c>
      <c r="I128" s="3">
        <f>1508.2+(2102.9-1460.9)+(0+(0-0))+0-405.7-0</f>
        <v>1744.4999999999998</v>
      </c>
      <c r="J128" s="3">
        <f>1508.5+(2149.6-1495.6)+(-3.07734+(-4.385184--3.051024))+0-405.2--0.826607999999982</f>
        <v>1753.7151079999999</v>
      </c>
      <c r="K128" s="3">
        <f>1509.6+(2665.3-2085.6)+(-3.84948+(-6.796515--5.31828))+0-405.4--1.03376999999994</f>
        <v>1679.6060550000002</v>
      </c>
      <c r="L128" s="3">
        <f>1507.2+(2761.2-2234.1)+(-3.84336+(-7.04106--5.696955))+0-403.8--1.02968999999994</f>
        <v>1626.3422249999999</v>
      </c>
      <c r="M128" s="3">
        <f>1507+(2655.5-2073)+(0.76857+(1.354305-1.05723))+0-399.1-0.20354099999996</f>
        <v>1691.2621040000004</v>
      </c>
      <c r="N128" s="3">
        <f>1507.5+(2558.6-1814.9)+(1.53765+(2.609772-1.851198))+0-406.5-0.414630000000065</f>
        <v>1846.581594</v>
      </c>
      <c r="O128" s="3">
        <f>1507.5+(2465.7-1628.8)+(2.306475+(3.772521-2.492064))+0-401.7-0.614601000000023</f>
        <v>1945.6723309999998</v>
      </c>
      <c r="P128" s="3">
        <f>1507.9+(2618.4-1688.2)+(1.538058+(2.670768-1.721964))+0-405-0.413100000000065</f>
        <v>2035.1737620000006</v>
      </c>
      <c r="Q128" s="3">
        <f>1522.6+(2289.6-1410.3)+(2.329578+(3.503088-2.157759))+0-404.5-0.618885000000023</f>
        <v>2000.4560219999996</v>
      </c>
      <c r="R128" s="3">
        <f>1557.3+(1886.7-956.7)+(-2.382669+(-2.886651--1.463751))+0-404.4--0.618732000000023</f>
        <v>2079.7131629999999</v>
      </c>
      <c r="S128" s="3">
        <f>1711.1+(1728.4-1022.7)+(-1.745322+(-1.762968--1.043154))+0-405.4--0.413508000000065</f>
        <v>2009.3483720000004</v>
      </c>
      <c r="T128" s="3">
        <f>1877.4+(1401.2-828.4)+(-1.914948+(-1.429224--0.844968))+0-403.9--0.411978000000064</f>
        <v>2044.2127740000001</v>
      </c>
      <c r="U128" s="3">
        <f>1940.3+(1441.8-927.4)+(-2.968659+(-2.205954--1.418922))+0-406.2--0.621486000000023</f>
        <v>2045.3657949999999</v>
      </c>
      <c r="V128" s="3">
        <f>1852.5+(1718.3-1130.1)+(-2.834325+(-2.628999--1.729053))+0-395.7--0.605421000000023</f>
        <v>2041.8711499999999</v>
      </c>
      <c r="W128" s="3">
        <f>1695.2+(1983.7-1275.5)+(-4.32276+(-5.058435--3.252525))+0-382.7--0.975884999999944</f>
        <v>2015.5472149999998</v>
      </c>
      <c r="X128" s="3">
        <f>1516.3+(1887-1044)+(-1.546626+(-1.92474--1.06488))+0-381.7--0.389334000000061</f>
        <v>1975.5828480000002</v>
      </c>
      <c r="Y128" s="3">
        <f>1507.7+(1918-1120.2)+(-0.768927+(-0.97818--0.571302))+0-388.5--0.198134999999961</f>
        <v>1916.02233</v>
      </c>
      <c r="Z128" s="3">
        <f>1516.4+(2287-1394.1)+(1.546728+(2.33274-1.421982))+0-389.7-0.397494000000062</f>
        <v>2021.6599919999999</v>
      </c>
      <c r="AA128" s="3">
        <f>1525.1+(2211-1227.6)+(-3.111204+(-4.51044--2.504304))+0-400.6--0.817223999999983</f>
        <v>2103.5998840000002</v>
      </c>
      <c r="AB128" s="3">
        <f>1526.5+(2382.4-1420.7)+(-0.778515+(-1.215024--0.724557))+0-402.4--0.205223999999959</f>
        <v>2084.7362419999995</v>
      </c>
      <c r="AC128" s="3">
        <f>1520.7+(2311.7-1409)+(-2.326671+(-3.536901--2.15577))+0-396.2--0.606186000000023</f>
        <v>2024.0983839999997</v>
      </c>
      <c r="AD128" s="2">
        <v>2086.3000000000002</v>
      </c>
      <c r="AE128" s="3">
        <f>1521+(2305.9-1315.3)+(0+(0-0))+0-421.3-0</f>
        <v>2090.3000000000002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1505.6+(2438.4-1600.1)+(0+(0-0))+0-406.7-0</f>
        <v>1937.2</v>
      </c>
      <c r="G129" s="3">
        <f>1505.6+(2685.8-1961.2)+(0.767856+(1.369758-1.000212))+0-405.2-0.206651999999959</f>
        <v>1825.9307499999998</v>
      </c>
      <c r="H129" s="3">
        <f>1505.7+(2874.9-2190.1)+(-1.535814+(-2.932398--2.233902))+0-408.7--0.416874000000065</f>
        <v>1779.9825640000001</v>
      </c>
      <c r="I129" s="3">
        <f>1504.5+(2901.1-2259.4)+(-0.767295+(-1.479561--1.152294))+0-405.2--0.206651999999959</f>
        <v>1740.1120899999994</v>
      </c>
      <c r="J129" s="3">
        <f>1504.6+(2910-2230.1)+(-2.302038+(-4.4523--3.412053))+0-407.8--0.623934000000024</f>
        <v>1773.9816489999998</v>
      </c>
      <c r="K129" s="3">
        <f>1505.1+(2952.5-2351.2)+(-2.302803+(-4.517325--3.597336))+0-407.4--0.623322000000023</f>
        <v>1696.4005299999999</v>
      </c>
      <c r="L129" s="3">
        <f>1504.3+(2874.2-2326.4)+(0+(0-0))+0-403.9-0</f>
        <v>1648.1999999999994</v>
      </c>
      <c r="M129" s="3">
        <f>1504.2+(2662.9-2080.7)+(4.602852+(8.148474-6.366942))+0-404.4-1.23746400000005</f>
        <v>1687.1469200000004</v>
      </c>
      <c r="N129" s="3">
        <f>1504.4+(2345.8-1639.5)+(3.83622+(5.98179-4.180725))+0-400.4-1.02101999999994</f>
        <v>1814.9162650000001</v>
      </c>
      <c r="O129" s="3">
        <f>1502.6+(2051-1236.7)+(4.597956+(6.27606-3.784302))+0-405.8-1.24174800000005</f>
        <v>1916.9479659999997</v>
      </c>
      <c r="P129" s="3">
        <f>1507.1+(1969.6-1086.3)+(0+(0-0))+0-400.7-0</f>
        <v>1989.6999999999996</v>
      </c>
      <c r="Q129" s="3">
        <f>1685.4+(2147-1388.8)+(2.578662+(3.28491-2.124864))+0-400.4-0.612612000000023</f>
        <v>2046.326096</v>
      </c>
      <c r="R129" s="3">
        <f>1815.6+(1979-1353.6)+(0+(0-0))+0-393.1-0</f>
        <v>2047.9</v>
      </c>
      <c r="S129" s="3">
        <f>1813+(2121-1564)+(-5.54778+(-6.49026--4.78584))+0-389.7--1.19248200000005</f>
        <v>1974.2402820000002</v>
      </c>
      <c r="T129" s="3">
        <f>1814+(2072.6-1535.5)+(-0.92514+(-1.057026--0.783105))+0-384.6--0.196145999999961</f>
        <v>1965.4970850000002</v>
      </c>
      <c r="U129" s="3">
        <f>1813.1+(2150.3-1581.9)+(-0.924681+(-1.096653--0.806769))+0-394.5--0.20119499999996</f>
        <v>1985.9866299999996</v>
      </c>
      <c r="V129" s="3">
        <f>1763.9+(2417.5-1815.6)+(-0.899589+(-1.232925--0.925956))+0-393.5--0.20068499999996</f>
        <v>1971.2941270000003</v>
      </c>
      <c r="W129" s="3">
        <f>1641.6+(2656.5-1933.8)+(1.674432+(2.70963-1.972476))+0-400.3-0.408306000000064</f>
        <v>1966.0032800000004</v>
      </c>
      <c r="X129" s="3">
        <f>1582.5+(2784-2021.7)+(0.807075+(1.41984-1.031067))+0-403.3-0.205682999999959</f>
        <v>1942.4901650000002</v>
      </c>
      <c r="Y129" s="3">
        <f>1511.2+(2954.7-2176)+(0+(0-0))+0-403.3-0</f>
        <v>1886.5999999999997</v>
      </c>
      <c r="Z129" s="3">
        <f>1545+(2687.1-1822.1)+(-2.36385+(-4.111263--2.787813))+0-402.1--0.615213000000023</f>
        <v>2004.8279130000001</v>
      </c>
      <c r="AA129" s="3">
        <f>1583.5+(2633.3-1718.1)+(-0.807585+(-1.342983--0.876231))+0-402--0.205019999999959</f>
        <v>2095.6306830000003</v>
      </c>
      <c r="AB129" s="3">
        <f>1585.2+(2498-1619)+(-1.616904+(-2.54796--1.65138))+0-403.1--0.411162000000064</f>
        <v>2058.9976779999997</v>
      </c>
      <c r="AC129" s="3">
        <f>1577+(2895.2-2060.2)+(-3.21708+(-5.906208--4.202808))+0-400.3--0.816611999999983</f>
        <v>2007.5961319999999</v>
      </c>
      <c r="AD129" s="2">
        <v>2081.1000000000004</v>
      </c>
      <c r="AE129" s="3">
        <f>1579+(2593.6-1708.7)+(0+(0-0))+0-377.8-0</f>
        <v>2086.0999999999995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1535.7+(2936.6-2131.1)+(-0.783207+(-1.497666--1.086861))+0-398.3--0.20313299999996</f>
        <v>1941.9091209999999</v>
      </c>
      <c r="G130" s="3">
        <f>1510.9+(2879.9-2148.1)+(-0.770559+(-1.468749--1.095531))+0-403.9--0.205988999999959</f>
        <v>1837.8622120000005</v>
      </c>
      <c r="H130" s="3">
        <f>1506.8+(3039.5-2372.6)+(0+(0-0))+0-397.9-0</f>
        <v>1775.7999999999997</v>
      </c>
      <c r="I130" s="3">
        <f>1506.8+(2895.5-2262.5)+(-3.84234+(-7.383525--5.769375))+0-401.9--1.02484499999994</f>
        <v>1733.468355</v>
      </c>
      <c r="J130" s="3">
        <f>1506.8+(2903.4-2253.6)+(-1.536936+(-2.961468--2.298672))+0-404.2--0.412284000000064</f>
        <v>1750.6125520000003</v>
      </c>
      <c r="K130" s="3">
        <f>1507.8+(2941.7-2373.9)+(-5.382846+(-10.501869--8.474823))+0-397.2--1.41800400000001</f>
        <v>1672.4081119999994</v>
      </c>
      <c r="L130" s="3">
        <f>1506.5+(2886-2410.3)+(-5.378205+(-10.30302--8.604771))+0-399.9--1.42764300000001</f>
        <v>1576.6511889999997</v>
      </c>
      <c r="M130" s="3">
        <f>1505+(2863.5-2400.9)+(0.76755+(1.460385-1.224459))+0-401.7-0.204866999999959</f>
        <v>1566.698609</v>
      </c>
      <c r="N130" s="3">
        <f>1502+(2771.7-2247.8)+(-0.76602+(-1.413567--1.146378))+0-404.2--0.206141999999959</f>
        <v>1620.8729329999996</v>
      </c>
      <c r="O130" s="3">
        <f>1455.2+(2895.1-2273.2)+(2.226456+(4.429503-3.477996))+0-401.4-0.614142000000023</f>
        <v>1678.2638210000002</v>
      </c>
      <c r="P130" s="3">
        <f>1470.4+(2857.6-2167.2)+(0+(0-0))+0-402-0</f>
        <v>1758.8000000000002</v>
      </c>
      <c r="Q130" s="3">
        <f>1484.6+(2731.2-2010.1)+(2.271438+(4.178736-3.075453))+0-393.4-0.601902000000023</f>
        <v>1815.0728189999998</v>
      </c>
      <c r="R130" s="3">
        <f>1546.9+(2554.6-1860.8)+(1.577838+(2.605692-1.898016))+0-403.5-0.411570000000064</f>
        <v>1839.073944</v>
      </c>
      <c r="S130" s="3">
        <f>1662+(2309.7-1734.3)+(3.39048+(4.711788-3.537972))+0-403.1-0.822323999999982</f>
        <v>1838.0419719999998</v>
      </c>
      <c r="T130" s="3">
        <f>1810.5+(1829.8-1383.4)+(3.69342+(3.732792-2.822136))+0-402.6-0.821303999999982</f>
        <v>1858.0827719999997</v>
      </c>
      <c r="U130" s="3">
        <f>1816.8+(1741.1-1296.9)+(1.853136+(1.775922-1.322838))+0-402.7-0.410754000000064</f>
        <v>1860.1954659999999</v>
      </c>
      <c r="V130" s="3">
        <f>1811.3+(1914.8-1479.7)+(-0.923763+(-0.976548--0.754647))+0-392.5--0.20017499999996</f>
        <v>1852.9545109999995</v>
      </c>
      <c r="W130" s="3">
        <f>1761.6+(2076.3-1611)+(1.796832+(2.117826-1.64322))+0-374.7-0.38219400000006</f>
        <v>1854.0892440000002</v>
      </c>
      <c r="X130" s="3">
        <f>1654.1+(2323.2-1745.9)+(-0.843591+(-1.184832--0.890409))+0-401.8--0.204917999999959</f>
        <v>1828.6669039999995</v>
      </c>
      <c r="Y130" s="3">
        <f>1597.2+(2584.3-1939.8)+(-3.258288+(-5.271972--3.957192))+0-402.1--0.820283999999982</f>
        <v>1835.8472160000001</v>
      </c>
      <c r="Z130" s="3">
        <f>1609.7+(2345.4-1618.7)+(0+(0-0))+0-401.6-0</f>
        <v>1934.8000000000002</v>
      </c>
      <c r="AA130" s="3">
        <f>1615.6+(2113.6-1278.6)+(-4.11978+(-5.38968--3.26043))+0-401.2--1.02305999999994</f>
        <v>2044.1740299999999</v>
      </c>
      <c r="AB130" s="3">
        <f>1615.3+(2349.4-1535.4)+(0+(0-0))+0-402.2-0</f>
        <v>2027.1000000000001</v>
      </c>
      <c r="AC130" s="3">
        <f>1612.7+(2535.5-1761.9)+(2.467431+(3.879315-2.695707))+0-404.8-0.619344000000023</f>
        <v>1984.5316950000001</v>
      </c>
      <c r="AD130" s="2">
        <v>2023.8000000000002</v>
      </c>
      <c r="AE130" s="3">
        <f>1612+(2248.8-1453.1)+(0+(0-0))+0-378.9-0</f>
        <v>2028.8000000000002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1600.1+(2564.3-1868.4)+(-3.264204+(-5.231172--3.811536))+0-381.5--0.778259999999983</f>
        <v>1910.5944199999999</v>
      </c>
      <c r="G131" s="3">
        <f>1547.7+(2879.7-2239)+(-3.946635+(-7.343235--5.70945))+0-388.5--0.990674999999944</f>
        <v>1795.3102549999999</v>
      </c>
      <c r="H131" s="3">
        <f>1506.8+(2779.3-2151.6)+(-5.379276+(-9.922101--7.681212))+0-403.5--1.44049500000001</f>
        <v>1724.8203300000002</v>
      </c>
      <c r="I131" s="3">
        <f>1506.6+(2419.2-1824.7)+(0+(0-0))+0-405.6-0</f>
        <v>1695.4999999999995</v>
      </c>
      <c r="J131" s="3">
        <f>1507.4+(2333.1-1703.9)+(-3.84387+(-5.949405--4.344945))+0-402.9--1.02739499999994</f>
        <v>1729.2790649999995</v>
      </c>
      <c r="K131" s="3">
        <f>1507.8+(2557.9-2021.8)+(-4.613868+(-7.827174--6.186708))+0-405.2--1.23991200000005</f>
        <v>1633.6855780000001</v>
      </c>
      <c r="L131" s="3">
        <f>1507+(2616.4-2092.5)+(0+(0-0))+0-395.8-0</f>
        <v>1635.1000000000001</v>
      </c>
      <c r="M131" s="3">
        <f>1507.1+(2444.4-1833.2)+(0+(0-0))+0-403.6-0</f>
        <v>1714.7000000000003</v>
      </c>
      <c r="N131" s="3">
        <f>1507.7+(2150.8-1433)+(-0.768927+(-1.096908--0.73083))+0-403.7--0.205886999999959</f>
        <v>1820.8708819999997</v>
      </c>
      <c r="O131" s="3">
        <f>1504+(1869.1-1025.3)+(-2.30112+(-2.859723--1.568709))+0-405.5--0.620415000000023</f>
        <v>1939.3282810000003</v>
      </c>
      <c r="P131" s="3">
        <f>1506.3+(1716.6-739.1)+(0+(0-0))+2.5-377-0</f>
        <v>2109.2999999999997</v>
      </c>
      <c r="Q131" s="3">
        <f>1506.3+(1450-495.5)+(2.304639+(2.2185-0.758115))+0-359-0.549270000000021</f>
        <v>2105.015754</v>
      </c>
      <c r="R131" s="3">
        <f>1505.3+(1442.2-459.6)+(1.535406+(1.471044-0.468792))+0-394.2-0.402084000000063</f>
        <v>2095.8355740000002</v>
      </c>
      <c r="S131" s="3">
        <f>1502.5+(1345.9-438.9)+(0+(0-0))+0-401.8-0</f>
        <v>2007.7</v>
      </c>
      <c r="T131" s="3">
        <f>1568.8+(1131-264.8)+(0.800088+(0.57681-0.135048))+0-403.4-0.205733999999959</f>
        <v>2032.6361159999999</v>
      </c>
      <c r="U131" s="3">
        <f>1688.2+(1136.2-369)+(0+(0-0))+0-404.4-0</f>
        <v>2051</v>
      </c>
      <c r="V131" s="3">
        <f>1688.6+(1397.5-638.6)+(0.861186+(0.712725-0.325686))+0-403.7-0.205886999999959</f>
        <v>2044.8423379999999</v>
      </c>
      <c r="W131" s="3">
        <f>1685+(1796.5-1044.9)+(0.85935+(0.916215-0.532899))+0-402.8-0.205427999999959</f>
        <v>2034.8372380000001</v>
      </c>
      <c r="X131" s="3">
        <f>1690.8+(2294-1588.1)+(0.862308+(1.16994-0.809931))+0-402.1-0.205070999999959</f>
        <v>1995.6172460000003</v>
      </c>
      <c r="Y131" s="3">
        <f>1695.2+(2087.8-1423.8)+(1.729104+(2.129556-1.452276))+0-400.3-0.408306000000064</f>
        <v>1960.8980780000002</v>
      </c>
      <c r="Z131" s="3">
        <f>1713.6+(2079.8-1340.9)+(0+(0-0))+0-401.6-0</f>
        <v>2050.9</v>
      </c>
      <c r="AA131" s="3">
        <f>1715.3+(1887.2-1063.2)+(-3.499212+(-3.849888--2.168928))+0-400.6--0.817223999999983</f>
        <v>2134.3370520000003</v>
      </c>
      <c r="AB131" s="3">
        <f>1712.8+(2177.6-1377.5)+(0+(0-0))+0-400.2-0</f>
        <v>2112.6999999999998</v>
      </c>
      <c r="AC131" s="3">
        <f>1616.5+(1886.9-1039.7)+(0.824415+(0.962319-0.530247))+0-404.8-0.206447999999959</f>
        <v>2059.9500389999998</v>
      </c>
      <c r="AD131" s="2">
        <v>2090.3999999999996</v>
      </c>
      <c r="AE131" s="3">
        <f>1711+(1705.7-908.4)+(0+(0-0))+0-413.9-0</f>
        <v>2094.4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1582.6+(2081.7-1284.7)+(1.614252+(2.123334-1.310394))+0-403.6-0.411672000000064</f>
        <v>1978.0155199999997</v>
      </c>
      <c r="G132" s="3">
        <f>1493+(2429.9-1670)+(-2.28429+(-3.717747--2.5551))+0-400.9--0.613377000000023</f>
        <v>1849.16644</v>
      </c>
      <c r="H132" s="3">
        <f>1477+(2771.2-2050)+(0+(0-0))+0-403.2-0</f>
        <v>1794.9999999999998</v>
      </c>
      <c r="I132" s="3">
        <f>1477.1+(2815.8-2127.9)+(-1.506642+(-2.872116--2.170458))+0-401.6--0.409632000000064</f>
        <v>1761.6013320000004</v>
      </c>
      <c r="J132" s="3">
        <f>1477.6+(2887.3-2176.7)+(-3.014304+(-5.890092--4.440468))+0-399.1--0.814163999999983</f>
        <v>1785.4502360000001</v>
      </c>
      <c r="K132" s="3">
        <f>1477.1+(2778.7-2121.3)+(-3.766605+(-7.085685--5.409315))+0-403.5--1.02892499999994</f>
        <v>1726.5859499999995</v>
      </c>
      <c r="L132" s="3">
        <f>1475.2+(2658.4-2071)+(-1.504704+(-2.711568--2.11242))+0-405.9--0.414018000000065</f>
        <v>1655.0101660000003</v>
      </c>
      <c r="M132" s="3">
        <f>1472.9+(2365.4-1730.9)+(0.751179+(1.206354-0.882759))+0-407.1-0.207620999999959</f>
        <v>1701.1671530000003</v>
      </c>
      <c r="N132" s="3">
        <f>1475.3+(2235.2-1458.9)+(1.504806+(2.279904-1.488078))+0-408.3-0.416466000000065</f>
        <v>1845.1801659999994</v>
      </c>
      <c r="O132" s="3">
        <f>1474.6+(2131.5-1234.1)+(2.256138+(3.261195-1.888173))+0-409.3-0.626229000000024</f>
        <v>1965.702931</v>
      </c>
      <c r="P132" s="3">
        <f>1475.9+(2010.2-1034.4)+(1.505418+(2.050404-1.055088))+0-408.6-0.416772000000065</f>
        <v>2045.1839620000001</v>
      </c>
      <c r="Q132" s="3">
        <f>1475.5+(1691.2-674.2)+(3.01002+(3.450048-1.375368))+0-410.9-0.838235999999982</f>
        <v>2085.8464639999997</v>
      </c>
      <c r="R132" s="3">
        <f>1564.8+(1463.5-502.2)+(2.394144+(2.239155-0.768366))+0-404.3-0.618579000000023</f>
        <v>2125.0463539999996</v>
      </c>
      <c r="S132" s="3">
        <f>1621.5+(1304-476.5)+(2.480895+(1.99512-0.729045))+0-402.1-0.615213000000023</f>
        <v>2050.0317570000002</v>
      </c>
      <c r="T132" s="3">
        <f>1784.7+(1149.7-468.3)+(-1.820394+(-1.172694--0.477666))+0-403--0.411060000000064</f>
        <v>2060.9956380000003</v>
      </c>
      <c r="U132" s="3">
        <f>1783.8+(1298.5-604.7)+(1.819476+(1.32447-0.616794))+0-402-0.410040000000064</f>
        <v>2077.7171119999998</v>
      </c>
      <c r="V132" s="3">
        <f>1770.2+(1427.3-735.6)+(0+(0-0))+0-391.3-0</f>
        <v>2070.6</v>
      </c>
      <c r="W132" s="3">
        <f>1786.4+(1606.3-940.4)+(0+(0-0))+0-400.5-0</f>
        <v>2051.8000000000002</v>
      </c>
      <c r="X132" s="3">
        <f>1721.4+(2160.2-1453.6)+(0.877914+(1.101702-0.741336))+0-404.1-0.206090999999959</f>
        <v>2024.9321890000001</v>
      </c>
      <c r="Y132" s="3">
        <f>1694.6+(2275-1578.7)+(2.592738+(3.48075-2.415411))+0-405.7-0.620721000000023</f>
        <v>1988.2373559999996</v>
      </c>
      <c r="Z132" s="3">
        <f>1717.7+(1963-1187.5)+(0+(0-0))+0-404.7-0</f>
        <v>2088.5</v>
      </c>
      <c r="AA132" s="3">
        <f>1719.2+(1748.2-903.1)+(-6.137544+(-6.241074--3.224067))+0-407.7--1.45548900000001</f>
        <v>2148.9009380000002</v>
      </c>
      <c r="AB132" s="3">
        <f>1667.8+(1822.1-987.9)+(-2.551734+(-2.787813--1.511487))+0-381.1--0.583083000000022</f>
        <v>2117.6550230000003</v>
      </c>
      <c r="AC132" s="3">
        <f>1646.9+(1723.6-930.3)+(0.839919+(0.879036-0.474453))+0-376.4-0.191963999999962</f>
        <v>2064.8525379999996</v>
      </c>
      <c r="AD132" s="2">
        <v>2138.2000000000003</v>
      </c>
      <c r="AE132" s="3">
        <f>1712+(1682.8-872.1)+(0+(0-0))+0-379.5-0</f>
        <v>2143.1999999999998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1519.4+(1795.6-949)+(-1.549788+(-1.831512--0.96798))+0-375.5--0.38301000000006</f>
        <v>1988.4696899999999</v>
      </c>
      <c r="G133" s="3">
        <f>1514.9+(2294.1-1539.5)+(-3.090396+(-4.679964--3.14058))+0-377.2--0.769487999999984</f>
        <v>1888.4397079999997</v>
      </c>
      <c r="H133" s="3">
        <f>1512.6+(2577.9-1904.4)+(-2.314278+(-3.944187--2.913732))+0-379.2--0.580176000000022</f>
        <v>1804.1354429999999</v>
      </c>
      <c r="I133" s="3">
        <f>1512+(2692.7-2067.4)+(-0.77112+(-1.373277--1.054374))+0-378.3--0.192932999999962</f>
        <v>1758.1029099999996</v>
      </c>
      <c r="J133" s="3">
        <f>1512.4+(2688.1-2058.9)+(-3.085296+(-5.483724--4.200156))+0-380.6--0.776423999999983</f>
        <v>1757.4075599999999</v>
      </c>
      <c r="K133" s="3">
        <f>1511.4+(2664.4-2121.6)+(-2.312442+(-4.076532--3.246048))+0-378.3--0.578799000000022</f>
        <v>1673.3358730000004</v>
      </c>
      <c r="L133" s="3">
        <f>1510.9+(2388.8-1921.1)+(0+(0-0))+0-377.1-0</f>
        <v>1601.5000000000005</v>
      </c>
      <c r="M133" s="3">
        <f>1513.5+(2322.7-1799.4)+(2.315655+(3.553731-2.753082))+0-377.2-0.577116000000022</f>
        <v>1662.1391879999996</v>
      </c>
      <c r="N133" s="3">
        <f>1510.2+(2215.6-1527.9)+(0.770202+(1.129956-0.779229))+0-375.3-0.191402999999962</f>
        <v>1823.5295259999998</v>
      </c>
      <c r="O133" s="3">
        <f>1509+(2367.3-1567.7)+(0.76959+(1.207323-0.799527))+0-361.5-0.184364999999963</f>
        <v>1948.0930210000001</v>
      </c>
      <c r="P133" s="3">
        <f>1511.8+(2285.6-1402.5)+(3.084072+(4.662624-2.8611))+0-370.2-0.755207999999984</f>
        <v>2028.8303879999996</v>
      </c>
      <c r="Q133" s="3">
        <f>1510.7+(1784.3-819.2)+(2.311371+(2.729979-1.253376))+0-378.7-0.579411000000022</f>
        <v>2100.308563</v>
      </c>
      <c r="R133" s="3">
        <f>1508.7+(1426.6-438.9)+(-3.077748+(-2.910264--0.895356))+0-375.1--0.765203999999984</f>
        <v>2116.9725480000002</v>
      </c>
      <c r="S133" s="3">
        <f>1508.2+(1503.3-627.5)+(-2.307546+(-2.300049--0.960075))+0-375.3--0.574209000000022</f>
        <v>2005.6266890000002</v>
      </c>
      <c r="T133" s="3">
        <f>1507.7+(1439-564.4)+(2.306781+(2.20167-0.863532))+0-375.5-0.574515000000022</f>
        <v>2009.870404</v>
      </c>
      <c r="U133" s="3">
        <f>1507+(1494.9-612.7)+(1.53714+(1.524798-0.624954))+0-370.8-0.378216000000059</f>
        <v>2020.4587679999997</v>
      </c>
      <c r="V133" s="3">
        <f>1507.7+(1526.9-664.2)+(0.768927+(0.778719-0.338742))+0-354.8-0.180947999999964</f>
        <v>2016.6279560000003</v>
      </c>
      <c r="W133" s="3">
        <f>1508.2+(1807.6-919.8)+(-0.769182+(-0.921876--0.469098))+0-377.9--0.192728999999962</f>
        <v>2017.0707689999999</v>
      </c>
      <c r="X133" s="3">
        <f>1507.9+(2084.9-1238.8)+(1.538058+(2.126598-1.263576))+0-377.9-0.38545800000006</f>
        <v>1978.115622</v>
      </c>
      <c r="Y133" s="3">
        <f>1515.1+(2249-1450.7)+(3.090804+(4.58796-2.959428))+0-377.5-0.770099999999984</f>
        <v>1939.8492359999998</v>
      </c>
      <c r="Z133" s="3">
        <f>1661.8+(2143-1355.8)+(0.847518+(1.09293-0.691458))+0-377-0.192269999999962</f>
        <v>2073.05672</v>
      </c>
      <c r="AA133" s="3">
        <f>1718.4+(1998.9-1182.9)+(-3.505536+(-4.077756--2.413116))+0-382.7--0.780707999999983</f>
        <v>2147.310532</v>
      </c>
      <c r="AB133" s="3">
        <f>1578.1+(1732.7-782.3)+(1.609662+(1.767354-0.797946))+0-402.8-0.410856000000064</f>
        <v>2127.8682139999996</v>
      </c>
      <c r="AC133" s="3">
        <f>1530.3+(1871.3-915.7)+(0+(0-0))+0-403.3-0</f>
        <v>2082.5999999999995</v>
      </c>
      <c r="AD133" s="2">
        <v>2161.8000000000002</v>
      </c>
      <c r="AE133" s="3">
        <f>1716+(1922.6-1094.8)+(0+(0-0))+0-378-0</f>
        <v>2165.8000000000002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1515.1+(2139.3-1289.5)+(-2.318103+(-3.273129--1.972935))+0-401.6--0.614448000000023</f>
        <v>1960.2961510000002</v>
      </c>
      <c r="G134" s="3">
        <f>1506.7+(2158.4-1415.9)+(-1.536834+(-2.201568--1.444218))+0-403.3--0.411366000000064</f>
        <v>1844.017182</v>
      </c>
      <c r="H134" s="3">
        <f>1505.7+(2336.9-1663.9)+(-0.767907+(-1.191819--0.848589))+0-398.5--0.20323499999996</f>
        <v>1779.2920979999999</v>
      </c>
      <c r="I134" s="3">
        <f>1505.1+(2244.3-1580)+(-1.535202+(-2.289186--1.6116))+0-405.8--0.413916000000065</f>
        <v>1761.8011280000003</v>
      </c>
      <c r="J134" s="3">
        <f>1507.4+(2421.5-1748.4)+(1.537548+(2.46993-1.783368))+0-406.7-0.414834000000065</f>
        <v>1775.6092759999999</v>
      </c>
      <c r="K134" s="3">
        <f>1507+(2697.6-2103.5)+(0.76857+(1.375776-1.072785))+0-401.8-0.204917999999959</f>
        <v>1700.1666430000002</v>
      </c>
      <c r="L134" s="3">
        <f>1507.2+(2597.4-2058)+(-2.306016+(-3.974022--3.14874))+0-403.7--0.617661000000023</f>
        <v>1640.3863630000001</v>
      </c>
      <c r="M134" s="3">
        <f>1505+(2254.9-1668)+(0.76755+(1.149999-0.85068))+0-405.5-0.206804999999959</f>
        <v>1687.2600640000003</v>
      </c>
      <c r="N134" s="3">
        <f>1506.4+(2453.6-1714.4)+(1.536528+(2.502672-1.748688))+0-403-0.411060000000064</f>
        <v>1844.4794519999998</v>
      </c>
      <c r="O134" s="3">
        <f>1523.8+(2481.9-1626.8)+(1.554276+(2.531538-1.659336))+0-403.5-0.411570000000064</f>
        <v>1977.414908</v>
      </c>
      <c r="P134" s="3">
        <f>1559+(2463.5-1562.6)+(0.79509+(1.256385-0.796926))+0-404-0.206039999999959</f>
        <v>2056.9485090000003</v>
      </c>
      <c r="Q134" s="3">
        <f>1558.4+(1988.9-1046.6)+(1.589568+(2.028678-1.067532))+0-403.5-0.411570000000064</f>
        <v>2099.339144</v>
      </c>
      <c r="R134" s="3">
        <f>1555+(1811.4-839.7)+(0.79305+(0.923814-0.428247))+0-402.2-0.205121999999959</f>
        <v>2125.5834950000003</v>
      </c>
      <c r="S134" s="3">
        <f>1553.2+(1840.8-919.2)+(0.792132+(0.938808-0.468792))+0-404.6-0.206345999999959</f>
        <v>2071.2558020000001</v>
      </c>
      <c r="T134" s="3">
        <f>1587.3+(1606.7-704.7)+(0.809523+(0.819417-0.359397))+0-404.7-0.206396999999959</f>
        <v>2085.6631460000003</v>
      </c>
      <c r="U134" s="3">
        <f>1683.1+(1591.7-787.8)+(-2.575143+(-2.435301--1.205334))+0-403.8--0.617814000000023</f>
        <v>2080.0127040000002</v>
      </c>
      <c r="V134" s="3">
        <f>1689.2+(1662.7-866.2)+(0.861492+(0.847977-0.441762))+0-400.1-0.204050999999959</f>
        <v>2086.6636559999997</v>
      </c>
      <c r="W134" s="3">
        <f>1690.8+(1955.1-1188.4)+(-1.724616+(-1.994202--1.212168))+0-393.7--0.401574000000063</f>
        <v>2061.6949240000004</v>
      </c>
      <c r="X134" s="3">
        <f>1688.6+(2170-1448.7)+(-2.583558+(-3.3201--2.216511))+0-399.6--0.611388000000023</f>
        <v>2007.2242409999997</v>
      </c>
      <c r="Y134" s="3">
        <f>1599.4+(2000.4-1230)+(1.631388+(2.040408-1.2546))+0-397.7-0.405654000000063</f>
        <v>1974.1115419999999</v>
      </c>
      <c r="Z134" s="3">
        <f>1617.4+(1876-992.3)+(1.649748+(1.91352-1.012146))+0-405-0.413100000000065</f>
        <v>2098.238022</v>
      </c>
      <c r="AA134" s="3">
        <f>1627+(1797.5-857.7)+(-1.65954+(-1.83345--0.874854))+0-401.7--0.409734000000064</f>
        <v>2162.8915980000002</v>
      </c>
      <c r="AB134" s="3">
        <f>1627.9+(1857-938.8)+(0.830229+(0.94707-0.478788))+0-405.9-0.207008999999959</f>
        <v>2141.2915020000005</v>
      </c>
      <c r="AC134" s="3">
        <f>1617.5+(1930-1070.4)+(4.124625+(4.9215-2.72952))+0-403.8-1.02968999999994</f>
        <v>2078.5869149999999</v>
      </c>
      <c r="AD134" s="2">
        <v>2169.5000000000005</v>
      </c>
      <c r="AE134" s="3">
        <f>1629+(1687.3-729.2)+(0+(0-0))+0-413.6-0</f>
        <v>2173.5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1527.6+(1967.1-1088.7)+(2.337228+(3.009663-1.665711))+0-399.8-0.611694000000023</f>
        <v>2009.2694860000001</v>
      </c>
      <c r="G135" s="3">
        <f>1510.6+(2654.5-1863.8)+(-0.770406+(-1.353795--0.950538))+0-404.1--0.206090999999959</f>
        <v>1896.2324280000003</v>
      </c>
      <c r="H135" s="3">
        <f>1512+(3007-2289.5)+(1.54224+(3.06714-2.33529))+0-405.3-0.413406000000065</f>
        <v>1826.0606839999998</v>
      </c>
      <c r="I135" s="3">
        <f>1512.6+(3055.1-2397.1)+(1.542852+(3.116202-2.445042))+0-398-0.405960000000063</f>
        <v>1774.4080519999998</v>
      </c>
      <c r="J135" s="3">
        <f>1513.1+(3054.2-2361.7)+(3.086724+(6.230568-4.817868))+0-396.9-0.809675999999983</f>
        <v>1812.3897479999998</v>
      </c>
      <c r="K135" s="3">
        <f>1512.1+(2981.3-2338.8)+(-4.627026+(-9.122778--7.156728))+0-402.5--1.23165000000005</f>
        <v>1746.7385739999997</v>
      </c>
      <c r="L135" s="3">
        <f>1510.4+(2793.5-2222.8)+(-3.85152+(-7.123425--5.66814))+0-404.3--1.03096499999994</f>
        <v>1672.5241599999997</v>
      </c>
      <c r="M135" s="3">
        <f>1511.4+(2541.5-1947.6)+(0+(0-0))+0-398.5-0</f>
        <v>1706.8000000000002</v>
      </c>
      <c r="N135" s="3">
        <f>1510.9+(2292-1571.3)+(-0.770559+(-1.16892--0.801363))+0-378.2--0.192881999999962</f>
        <v>1852.4547660000003</v>
      </c>
      <c r="O135" s="3">
        <f>1508.9+(2509.8-1646.5)+(0+(0-0))+0-376.6-0</f>
        <v>1995.6000000000004</v>
      </c>
      <c r="P135" s="3">
        <f>1542.6+(2180.7-1273.8)+(2.360178+(3.336471-1.948914))+0-377.7-0.577881000000022</f>
        <v>2074.9698539999999</v>
      </c>
      <c r="Q135" s="3">
        <f>1603.5+(1746-820.2)+(2.453355+(2.67138-1.254906))+0-387.3-0.592569000000022</f>
        <v>2145.2772600000003</v>
      </c>
      <c r="R135" s="3">
        <f>1687.3+(1621.8-737.9)+(-1.721046+(-1.654236--0.752658))+0-385.4--0.393108000000061</f>
        <v>2183.5704839999999</v>
      </c>
      <c r="S135" s="3">
        <f>1691+(1669-835.7)+(-0.86241+(-0.85119--0.426207))+0-386.2--0.196961999999961</f>
        <v>2137.0095690000003</v>
      </c>
      <c r="T135" s="3">
        <f>1686.2+(1489.3-700.1)+(-3.439848+(-3.038172--1.428204))+0-385.4--0.786215999999983</f>
        <v>2085.7363999999998</v>
      </c>
      <c r="U135" s="3">
        <f>1652.8+(1494-674.4)+(-2.528784+(-2.28582--1.031832))+0-375.3--0.574209000000022</f>
        <v>2093.8914369999998</v>
      </c>
      <c r="V135" s="3">
        <f>1657.1+(1687.6-878.3)+(0+(0-0))+0-378.8-0</f>
        <v>2087.5999999999995</v>
      </c>
      <c r="W135" s="3">
        <f>1656.6+(1869-1076.5)+(2.534598+(2.85957-1.647045))+0-377.3-0.577269000000022</f>
        <v>2074.9698539999999</v>
      </c>
      <c r="X135" s="3">
        <f>1632.6+(2302-1511.1)+(2.497878+(3.52206-2.311983))+0-381.1-0.583083000000022</f>
        <v>2045.524872</v>
      </c>
      <c r="Y135" s="3">
        <f>1660.6+(2442.4-1726.9)+(3.387624+(4.982496-3.522876))+0-378.3-0.771731999999984</f>
        <v>2001.8755120000001</v>
      </c>
      <c r="Z135" s="3">
        <f>1718.5+(1838.3-1078.2)+(1.75287+(1.875066-1.099764))+0-381.7-0.389334000000061</f>
        <v>2099.0388379999999</v>
      </c>
      <c r="AA135" s="3">
        <f>1719.9+(1782.3-909.6)+(-3.508596+(-3.635892--1.855584))+0-385.2--0.785807999999983</f>
        <v>2202.8969040000002</v>
      </c>
      <c r="AB135" s="3">
        <f>1718.7+(2214-1375.8)+(-0.876537+(-1.12914--0.701658))+0-378.7--0.193136999999962</f>
        <v>2177.0891179999999</v>
      </c>
      <c r="AC135" s="3">
        <f>1712.6+(2550.8-1761.1)+(-0.873426+(-1.300908--0.898161))+0-381.4--0.194513999999961</f>
        <v>2119.8183409999997</v>
      </c>
      <c r="AD135" s="2">
        <v>2209.5</v>
      </c>
      <c r="AE135" s="3">
        <f>1720+(1693.4-803.6)+(0+(0-0))+0-395.3-0</f>
        <v>2214.5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1699.9+(2984.4-2261.2)+(0.866949+(1.522044-1.153212))+0-381.4-0.194513999999961</f>
        <v>2042.7412670000001</v>
      </c>
      <c r="G136" s="3">
        <f>1607.6+(3038.1-2329.5)+(2.459628+(4.648293-3.564135))+0-385.2-0.589356000000022</f>
        <v>1933.95443</v>
      </c>
      <c r="H136" s="3">
        <f>1510.8+(2802.3-2085.6)+(0.770508+(1.429173-1.063656))+0-384.6-0.196145999999961</f>
        <v>1843.8398789999999</v>
      </c>
      <c r="I136" s="3">
        <f>1510.7+(2750.5-2076.8)+(1.540914+(2.80551-2.118336))+0-383.8-0.391476000000061</f>
        <v>1802.4366119999995</v>
      </c>
      <c r="J136" s="3">
        <f>1511.5+(2785.9-2084)+(-1.54173+(-2.841618--2.12568))+0-391--0.398820000000062</f>
        <v>1820.541152</v>
      </c>
      <c r="K136" s="3">
        <f>1510.5+(2855.2-2227.1)+(-3.08142+(-5.824608--4.543284))+0-384.2--0.783767999999983</f>
        <v>1750.8210239999999</v>
      </c>
      <c r="L136" s="3">
        <f>1510.2+(2830.5-2269.5)+(-4.621212+(-8.66133--6.94467))+0-381.9--1.16861400000004</f>
        <v>1684.1307419999996</v>
      </c>
      <c r="M136" s="3">
        <f>1509.3+(2883-2317.9)+(3.078972+(5.88132-4.728516))+0-387.7-0.790907999999983</f>
        <v>1690.1408679999997</v>
      </c>
      <c r="N136" s="3">
        <f>1538.4+(2555.9-1884.1)+(4.707504+(7.821054-5.765346))+0-388.1-1.18758600000004</f>
        <v>1827.6756260000002</v>
      </c>
      <c r="O136" s="3">
        <f>1563.9+(2207.4-1441.2)+(2.392767+(3.377322-2.205036))+0-391.1-0.598383000000023</f>
        <v>1941.9666700000002</v>
      </c>
      <c r="P136" s="3">
        <f>1566.3+(1994.9-1148.3)+(1.597626+(2.034798-1.171266))+0-387.2-0.394944000000062</f>
        <v>2027.766214</v>
      </c>
      <c r="Q136" s="3">
        <f>1603.1+(1723-897.8)+(0.817581+(0.87873-0.457878))+0-364.2-0.185741999999963</f>
        <v>2065.1526910000002</v>
      </c>
      <c r="R136" s="3">
        <f>1709.2+(1571.9-799.1)+(0.871692+(0.801669-0.407541))+0-381.9-0.194768999999961</f>
        <v>2101.1710509999998</v>
      </c>
      <c r="S136" s="3">
        <f>1818.5+(1571.7-968.9)+(-5.56461+(-4.809402--2.964834))+0-394.3--1.20655800000005</f>
        <v>2020.7973800000004</v>
      </c>
      <c r="T136" s="3">
        <f>1817.7+(1560.9-965.3)+(-4.635135+(-3.980295--2.461515))+0-392.1--0.999854999999943</f>
        <v>2016.0459400000004</v>
      </c>
      <c r="U136" s="3">
        <f>1814.4+(1781.3-1217.6)+(-0.925344+(-0.908463--0.620976))+0-373.6--0.190535999999962</f>
        <v>2003.4777050000007</v>
      </c>
      <c r="V136" s="3">
        <f>1813.1+(2015.5-1444.4)+(-2.774043+(-3.083715--2.209932))+0-380.2--0.581706000000022</f>
        <v>2000.9338799999998</v>
      </c>
      <c r="W136" s="3">
        <f>1779.4+(2336.5-1715.2)+(-4.53747+(-5.958075--4.37376))+0-387.2--0.987359999999944</f>
        <v>2008.3655749999998</v>
      </c>
      <c r="X136" s="3">
        <f>1577.2+(2757-1998.3)+(-2.413116+(-4.21821--3.057399))+0-385.1--0.589203000000022</f>
        <v>1947.8152760000003</v>
      </c>
      <c r="Y136" s="3">
        <f>1521.9+(2908.2-2126.4)+(0+(0-0))+0-393.8-0</f>
        <v>1909.8999999999999</v>
      </c>
      <c r="Z136" s="3">
        <f>1535.1+(2341.1-1470.2)+(1.565802+(2.387922-1.499604))+0-396.5-0.404430000000063</f>
        <v>2011.5496899999998</v>
      </c>
      <c r="AA136" s="3">
        <f>1535.3+(2218.4-1254.5)+(-1.566006+(-2.262768--1.27959))+0-395.9--0.403818000000063</f>
        <v>2101.154634</v>
      </c>
      <c r="AB136" s="3">
        <f>1535.9+(2644.8-1711.8)+(-2.349927+(-4.046544--2.619054))+0-393.3--0.601749000000023</f>
        <v>2072.4243320000005</v>
      </c>
      <c r="AC136" s="3">
        <f>1533.6+(3114-2234.3)+(-2.346408+(-4.76442--3.418479))+0-393.4--0.601902000000023</f>
        <v>2016.8095529999998</v>
      </c>
      <c r="AD136" s="2">
        <v>2094.6</v>
      </c>
      <c r="AE136" s="3">
        <f>1533+(2253.3-1280.4)+(0+(0-0))+0-405.3-0</f>
        <v>2100.6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1526.8+(3031.4-2195.8)+(-2.336004+(-4.638042--3.359574))+0-400.5--0.612765000000023</f>
        <v>1958.8982929999995</v>
      </c>
      <c r="G137" s="3">
        <f>1524.1+(2674.2-1944.9)+(0.777291+(1.363842-0.991899))+0-387.8-0.197777999999961</f>
        <v>1866.5514559999997</v>
      </c>
      <c r="H137" s="3">
        <f>1523.8+(2690.3-2028.5)+(0+(0-0))+0-383.7-0</f>
        <v>1801.9000000000003</v>
      </c>
      <c r="I137" s="3">
        <f>1517.9+(2935.6-2313.7)+(-1.548258+(-2.994312--2.359974))+0-390.4--0.398208000000062</f>
        <v>1747.6156120000001</v>
      </c>
      <c r="J137" s="3">
        <f>1513.6+(3015.8-2377.3)+(-2.315808+(-4.614174--3.637269))+0-393.5--0.602055000000023</f>
        <v>1755.9093420000002</v>
      </c>
      <c r="K137" s="3">
        <f>1516.2+(2914.4-2341.8)+(-3.093048+(-5.945376--4.777272))+0-392.9--0.801515999999983</f>
        <v>1692.440364</v>
      </c>
      <c r="L137" s="3">
        <f>1515.9+(2655.9-2224.2)+(-3.865545+(-6.772545--5.67171))+0-372.4--0.949619999999946</f>
        <v>1571.1832400000003</v>
      </c>
      <c r="M137" s="3">
        <f>1513.7+(2690-2276.3)+(-1.543974+(-2.7438--2.321826))+0-378.6--0.38617200000006</f>
        <v>1547.2202239999997</v>
      </c>
      <c r="N137" s="3">
        <f>1514.1+(2913.3-2416.4)+(-2.316573+(-4.457349--3.697092))+0-382.3--0.584919000000022</f>
        <v>1626.2080890000002</v>
      </c>
      <c r="O137" s="3">
        <f>1497.4+(2824.9-2209.9)+(0+(0-0))+0-396.5-0</f>
        <v>1715.9</v>
      </c>
      <c r="P137" s="3">
        <f>1482.2+(2965.9-2262.1)+(2.267766+(4.537827-3.461013))+0-394-0.602820000000023</f>
        <v>1794.7417599999999</v>
      </c>
      <c r="Q137" s="3">
        <f>1509.1+(2728.6-1992.1)+(-1.539282+(-2.783172--2.031942))+0-389.2--0.396984000000062</f>
        <v>1854.5064719999998</v>
      </c>
      <c r="R137" s="3">
        <f>1623.7+(2709.6-2057.2)+(0.828087+(1.381896-1.049172))+0-392.2-0.20002199999996</f>
        <v>1884.8607890000005</v>
      </c>
      <c r="S137" s="3">
        <f>1690.5+(2461.9-1901.5)+(-0.862155+(-1.255569--0.969765))+0-385.2--0.196451999999961</f>
        <v>1864.7484930000001</v>
      </c>
      <c r="T137" s="3">
        <f>1660.4+(2120.5-1515.5)+(0.846804+(1.081455-0.772905))+0-381.7-0.194666999999961</f>
        <v>1884.6606870000001</v>
      </c>
      <c r="U137" s="3">
        <f>1653.1+(1963.5-1355.1)+(0.843081+(1.001385-0.691101))+0-382.6-0.195125999999961</f>
        <v>1879.8582390000001</v>
      </c>
      <c r="V137" s="3">
        <f>1633+(1998.4-1361.4)+(0.83283+(1.019184-0.694314))+0-393.4-0.20063399999996</f>
        <v>1877.5570660000001</v>
      </c>
      <c r="W137" s="3">
        <f>1623.5+(2014.7-1357.6)+(-0.827985+(-1.027497--0.692376))+0-396.6--0.20226599999996</f>
        <v>1883.0391600000005</v>
      </c>
      <c r="X137" s="3">
        <f>1554.7+(2332.8-1607.1)+(0+(0-0))+0-397.2-0</f>
        <v>1883.2000000000005</v>
      </c>
      <c r="Y137" s="3">
        <f>1556.2+(2398.9-1704.9)+(-0.793662+(-1.223439--0.869499))+0-394--0.20093999999996</f>
        <v>1855.2533379999998</v>
      </c>
      <c r="Z137" s="3">
        <f>1566+(2161.3-1353.2)+(0.79866+(1.102263-0.690132))+0-392.3-0.20007299999996</f>
        <v>1982.8107180000004</v>
      </c>
      <c r="AA137" s="3">
        <f>1563.3+(2027.1-1104.2)+(-1.594566+(-2.067642--1.126284))+0-395.2--0.403104000000063</f>
        <v>2088.8671800000002</v>
      </c>
      <c r="AB137" s="3">
        <f>1618.4+(2120.4-1273.7)+(0.825384+(1.081404-0.649587))+0-394.4-0.20114399999996</f>
        <v>2071.7560570000001</v>
      </c>
      <c r="AC137" s="3">
        <f>1615.5+(2233.5-1425.8)+(-0.823905+(-1.139085--0.727158))+0-398.1--0.20303099999996</f>
        <v>2024.0671990000001</v>
      </c>
      <c r="AD137" s="2">
        <v>2133</v>
      </c>
      <c r="AE137" s="3">
        <f>1559+(2023.5-1092.2)+(0+(0-0))+0-407.3-0</f>
        <v>2083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1581.1+(2203.1-1421.7)+(-0.806361+(-1.123581--0.725067))+0-394.6--0.20124599999996</f>
        <v>1966.896371</v>
      </c>
      <c r="G138" s="3">
        <f>1514.5+(2307.8-1543.2)+(-2.317185+(-3.530934--2.361096))+0-396.8--0.607104000000023</f>
        <v>1879.4200810000002</v>
      </c>
      <c r="H138" s="3">
        <f>1515.3+(2474.4-1799.4)+(0+(0-0))+0-392-0</f>
        <v>1798.3000000000002</v>
      </c>
      <c r="I138" s="3">
        <f>1512.7+(2238.7-1589.2)+(0.771477+(1.141737-0.810492))+0-397.6-0.20277599999996</f>
        <v>1765.4999460000001</v>
      </c>
      <c r="J138" s="3">
        <f>1513.3+(2239.2-1568.3)+(-3.087132+(-4.567968--3.199332))+0-397.7--0.811307999999983</f>
        <v>1782.85554</v>
      </c>
      <c r="K138" s="3">
        <f>1516.2+(2746.8-2151.7)+(-3.86631+(-7.00434--5.486835))+0-387.9--0.989144999999944</f>
        <v>1719.00533</v>
      </c>
      <c r="L138" s="3">
        <f>1513.7+(2678.5-2140.6)+(-1.543974+(-2.73207--2.183412))+0-377.7--0.38525400000006</f>
        <v>1672.1926220000005</v>
      </c>
      <c r="M138" s="3">
        <f>1515.3+(2464.3-1870.5)+(0+(0-0))+0-380.8-0</f>
        <v>1728.3000000000004</v>
      </c>
      <c r="N138" s="3">
        <f>1515.1+(2508.8-1775.4)+(0.772701+(1.279488-0.905454))+0-377.7-0.192626999999962</f>
        <v>1871.7541079999999</v>
      </c>
      <c r="O138" s="3">
        <f>1512.2+(2326.9-1474.2)+(0+(0-0))+0-378.2-0</f>
        <v>1986.7</v>
      </c>
      <c r="P138" s="3">
        <f>1510.9+(1878.2-932.9)+(2.311677+(2.873646-1.427337))+0-381.7-0.584001000000022</f>
        <v>2077.6739850000004</v>
      </c>
      <c r="Q138" s="3">
        <f>1684.6+(1468.8-622.3)+(-0.859146+(-0.749088--0.317373))+0-383.5--0.195584999999961</f>
        <v>2146.5047239999999</v>
      </c>
      <c r="R138" s="3">
        <f>1777.4+(1332.3-550)+(0+(0-0))+0-384.6-0</f>
        <v>2175.1</v>
      </c>
      <c r="S138" s="3">
        <f>1759.4+(1258.9-543.3)+(-0.897294+(-0.642039--0.277083))+0-386.4--0.197063999999961</f>
        <v>2087.5348139999996</v>
      </c>
      <c r="T138" s="3">
        <f>1753.3+(1215.9-472.6)+(0.894183+(0.620109-0.241026))+0-374.6-0.191045999999962</f>
        <v>2123.0822200000002</v>
      </c>
      <c r="U138" s="3">
        <f>1752.9+(1182.7-435.7)+(0.893979+(0.603177-0.222207))+0-390.6-0.19920599999996</f>
        <v>2110.3757430000005</v>
      </c>
      <c r="V138" s="3">
        <f>1757.7+(1243.6-494.9)+(-3.585708+(-2.536944--1.009596))+0-390.3--0.796211999999983</f>
        <v>2111.783156</v>
      </c>
      <c r="W138" s="3">
        <f>1742+(1482.8-727.8)+(-3.55368+(-3.024912--1.484712))+0-398.8--0.813551999999983</f>
        <v>2093.919672</v>
      </c>
      <c r="X138" s="3">
        <f>1688.4+(1883.7-1117)+(-4.30542+(-4.803435--2.84835))+0-397.7--1.01413499999994</f>
        <v>2052.1536300000002</v>
      </c>
      <c r="Y138" s="3">
        <f>1659.6+(2184.4-1440.8)+(0+(0-0))+0-395.6-0</f>
        <v>2007.6</v>
      </c>
      <c r="Z138" s="3">
        <f>1715+(1641-851.8)+(2.62395+(2.51073-1.303254))+0-398.4-0.609552000000023</f>
        <v>2109.021874</v>
      </c>
      <c r="AA138" s="3">
        <f>1776.6+(1509.5-761.5)+(-5.436396+(-4.61907--2.33019))+0-401.8--1.22950800000005</f>
        <v>2116.3042319999995</v>
      </c>
      <c r="AB138" s="3">
        <f>1777.5+(1767.1-977.5)+(-1.81305+(-1.802442--0.99705))+0-397.3--0.405246000000063</f>
        <v>2167.586804</v>
      </c>
      <c r="AC138" s="3">
        <f>1771.9+(1988.3-1223.7)+(0.903669+(1.014033-0.624087))+0-402.7-0.205376999999959</f>
        <v>2134.8882380000005</v>
      </c>
      <c r="AD138" s="2">
        <v>2199.4</v>
      </c>
      <c r="AE138" s="3">
        <f>1774+(1453.6-612)+(0+(0-0))+0-410.2-0</f>
        <v>2205.4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1762.2+(2067.1-1379.3)+(0+(0-0))+0-402-0</f>
        <v>2048</v>
      </c>
      <c r="G139" s="3">
        <f>1675.8+(2430.2-1766.1)+(-0.854658+(-1.239402--0.900711))+0-399.1--0.20354099999996</f>
        <v>1939.8101919999995</v>
      </c>
      <c r="H139" s="3">
        <f>1502+(2853-2110.9)+(-1.53204+(-2.91006--2.153118))+0-401.2--0.409224000000064</f>
        <v>1841.0202419999998</v>
      </c>
      <c r="I139" s="3">
        <f>1503.6+(2945.3-2243.1)+(-0.766836+(-1.502103--1.143981))+0-398.1--0.20303099999996</f>
        <v>1806.7780730000004</v>
      </c>
      <c r="J139" s="3">
        <f>1504.1+(2877.3-2148.8)+(-3.068364+(-5.869692--4.383552))+0-401--0.818039999999982</f>
        <v>1827.8635359999996</v>
      </c>
      <c r="K139" s="3">
        <f>1503.3+(3071.7-2411.2)+(-1.533366+(-3.133134--2.459424))+0-398.2--0.406164000000063</f>
        <v>1763.799088</v>
      </c>
      <c r="L139" s="3">
        <f>1502.9+(2625.2-2040.5)+(-1.532958+(-2.677704--2.08131))+0-393.8--0.401676000000063</f>
        <v>1692.072324</v>
      </c>
      <c r="M139" s="3">
        <f>1501.6+(2503.9-1893.9)+(0.765816+(1.276989-0.965889))+0-394.7-0.20129699999996</f>
        <v>1717.7756189999998</v>
      </c>
      <c r="N139" s="3">
        <f>1503.2+(2586.5-1821.8)+(0.766632+(1.319115-0.929118))+0-396.1-0.20201099999996</f>
        <v>1872.7546180000004</v>
      </c>
      <c r="O139" s="3">
        <f>1503.3+(2714.3-1849.8)+(-0.766683+(-1.384293--0.943398))+0-395.4--0.20165399999996</f>
        <v>1971.394076</v>
      </c>
      <c r="P139" s="3">
        <f>1587.3+(2145.9-1265.7)+(-1.619046+(-2.188818--1.291014))+0-397.4--0.405348000000063</f>
        <v>2067.9884980000002</v>
      </c>
      <c r="Q139" s="3">
        <f>1590.2+(1649.6-711.6)+(2.433006+(2.523888-1.088748))+0-388.4-0.594252000000022</f>
        <v>2143.0738939999997</v>
      </c>
      <c r="R139" s="3">
        <f>1655.2+(1445.3-537.3)+(-1.688304+(-1.474206--0.548046))+0-393.4--0.401268000000063</f>
        <v>2167.5868039999996</v>
      </c>
      <c r="S139" s="3">
        <f>1697+(1281-529.5)+(-2.59641+(-1.95993--0.810135))+0-350.4--0.53611200000002</f>
        <v>2094.8899070000002</v>
      </c>
      <c r="T139" s="3">
        <f>1937+(1053.9-465.8)+(-2.96361+(-1.612467--0.712674))+0-396.2--0.606186000000023</f>
        <v>2125.6427830000007</v>
      </c>
      <c r="U139" s="3">
        <f>1972.9+(1030.2-472.9)+(-2.012358+(-1.050804--0.482358))+0-390.7--0.398514000000062</f>
        <v>2137.3177100000003</v>
      </c>
      <c r="V139" s="3">
        <f>1974.1+(1010.8-453.6)+(-1.006791+(-0.515508--0.231336))+0-392.9--0.20037899999996</f>
        <v>2137.3094159999996</v>
      </c>
      <c r="W139" s="3">
        <f>1884.8+(1249.8-626.6)+(-3.844992+(-2.549592--1.278264))+0-390.3--0.796211999999983</f>
        <v>2113.3798919999999</v>
      </c>
      <c r="X139" s="3">
        <f>1701+(1670.7-912.6)+(-5.20506+(-5.112342--2.792556))+0-399.2--1.22155200000005</f>
        <v>2053.5967060000003</v>
      </c>
      <c r="Y139" s="3">
        <f>1614.9+(1392.7-639.5)+(3.294396+(2.841108-1.30458))+0-394.9-0.805595999999983</f>
        <v>1977.2253280000002</v>
      </c>
      <c r="Z139" s="3">
        <f>1617.6+(1549.7-679.4)+(3.299904+(3.161388-1.385976))+0-402.5-0.821099999999982</f>
        <v>2089.6542159999999</v>
      </c>
      <c r="AA139" s="3">
        <f>1625.5+(1579.1-609)+(-3.31602+(-3.221364--1.24236))+0-400.4--0.816815999999982</f>
        <v>2190.7217919999998</v>
      </c>
      <c r="AB139" s="3">
        <f>1628.2+(1729.7-820)+(0+(0-0))+0-378.9-0</f>
        <v>2159</v>
      </c>
      <c r="AC139" s="3">
        <f>1626.5+(1851.2-1014.9)+(-1.65903+(-1.888224--1.035198))+0-368.7--0.376074000000059</f>
        <v>2091.9640180000006</v>
      </c>
      <c r="AD139" s="2">
        <v>2120.9</v>
      </c>
      <c r="AE139" s="3">
        <f>1626+(1533.3-621.8)+(0+(0-0))+0-410.6-0</f>
        <v>2126.9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1586.8+(2267.6-1470.1)+(0+(0-0))+0-364.9-0</f>
        <v>2019.4</v>
      </c>
      <c r="G140" s="3">
        <f>1501.9+(2687.1-1903.4)+(0+(0-0))+0-369.7-0</f>
        <v>1915.8999999999999</v>
      </c>
      <c r="H140" s="3">
        <f>1457.6+(2902.4-2183.2)+(1.486752+(2.960448-2.226864))+0-347.3-0.354246000000055</f>
        <v>1831.36609</v>
      </c>
      <c r="I140" s="3">
        <f>1460.6+(2871.6-2163.5)+(-1.489812+(-2.929032--2.20677))+0-373.1--0.38056200000006</f>
        <v>1793.7684879999999</v>
      </c>
      <c r="J140" s="3">
        <f>1477.7+(2763.8-2087.5)+(-3.768135+(-7.04769--5.323125))+0-366.4--0.934319999999947</f>
        <v>1783.04162</v>
      </c>
      <c r="K140" s="3">
        <f>1496+(3015-2390.5)+(-3.8148+(-7.68825--6.095775))+0-372.5--0.949874999999946</f>
        <v>1743.5426</v>
      </c>
      <c r="L140" s="3">
        <f>1507.1+(2332.2-1784.4)+(-0.768621+(-1.189422--0.910044))+0-372.9--0.190178999999962</f>
        <v>1681.1421799999996</v>
      </c>
      <c r="M140" s="3">
        <f>1506.7+(2236.4-1662.5)+(2.305251+(3.421692-2.543625))+0-375.4-0.574362000000022</f>
        <v>1707.8089560000001</v>
      </c>
      <c r="N140" s="3">
        <f>1507.6+(2222-1511)+(3.075504+(4.53288-3.08244))+0-373.2-0.761327999999984</f>
        <v>1849.1646159999998</v>
      </c>
      <c r="O140" s="3">
        <f>1506.5+(2012.6-1203.4)+(0+(0-0))+0-367.8-0</f>
        <v>1947.8999999999999</v>
      </c>
      <c r="P140" s="3">
        <f>1509.4+(1696.7-773.4)+(2.309382+(2.595951-1.183302))+0-369.1-0.564723000000021</f>
        <v>2066.7573080000002</v>
      </c>
      <c r="Q140" s="3">
        <f>1599.3+(1335.9-436.5)+(0+(0-0))+0-364.3-0</f>
        <v>2134.3999999999996</v>
      </c>
      <c r="R140" s="3">
        <f>1690.5+(1107.5-297.8)+(-0.862155+(-0.564825--0.151878))+0-368.9--0.188138999999963</f>
        <v>2130.2130369999995</v>
      </c>
      <c r="S140" s="3">
        <f>1691.3+(1091.1-332.8)+(-2.587689+(-1.669383--0.509184))+0-373.5--0.571455000000022</f>
        <v>2072.9235670000003</v>
      </c>
      <c r="T140" s="3">
        <f>1690.8+(1091.3-325.7)+(0+(0-0))+0-373.4-0</f>
        <v>2082.9999999999995</v>
      </c>
      <c r="U140" s="3">
        <f>1691.1+(1125.3-355.3)+(-1.724922+(-1.147806--0.362406))+0-376.6--0.38413200000006</f>
        <v>2082.37381</v>
      </c>
      <c r="V140" s="3">
        <f>1690.3+(1167.5-402)+(-4.310265+(-2.977125--1.0251))+0-376.8--0.960839999999945</f>
        <v>2073.6985499999996</v>
      </c>
      <c r="W140" s="3">
        <f>1590.2+(1363.6-518.4)+(0+(0-0))+0-379.5-0</f>
        <v>2055.9</v>
      </c>
      <c r="X140" s="3">
        <f>1503.4+(1617.5-728.1)+(-3.066936+(-3.2997--1.485324))+0-359.1--0.732563999999984</f>
        <v>2029.5512520000002</v>
      </c>
      <c r="Y140" s="3">
        <f>1505.5+(1895.1-1040.5)+(0+(0-0))+0-375.1-0</f>
        <v>1985</v>
      </c>
      <c r="Z140" s="3">
        <f>1595.3+(1746.2-864)+(-0.813603+(-0.890562--0.44064))+0-378.5--0.193034999999962</f>
        <v>2097.9295099999999</v>
      </c>
      <c r="AA140" s="3">
        <f>1614.3+(1719-794.5)+(-4.939758+(-5.26014--2.43117))+0-365.9--1.11965400000004</f>
        <v>2166.2509260000002</v>
      </c>
      <c r="AB140" s="3">
        <f>1614.8+(1842.4-955.2)+(1.647096+(1.879248-0.974304))+0-376.4-0.38392800000006</f>
        <v>2127.7681119999997</v>
      </c>
      <c r="AC140" s="3">
        <f>1610.7+(2257.1-1403.9)+(0+(0-0))+0-375.1-0</f>
        <v>2088.7999999999997</v>
      </c>
      <c r="AD140" s="2">
        <v>2163.6999999999998</v>
      </c>
      <c r="AE140" s="3">
        <f>1606+(1653.3-709.3)+(0+(0-0))+0-380.3-0</f>
        <v>2169.6999999999998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1541.9+(2364.2-1519.7)+(2.359107+(3.617226-2.325141))+0-370.4-0.566712000000021</f>
        <v>2019.0844799999993</v>
      </c>
      <c r="G141" s="3">
        <f>1509.1+(2767-2016.2)+(-2.308923+(-4.23351--3.084786))+0-361.5--0.553095000000021</f>
        <v>1895.4954479999994</v>
      </c>
      <c r="H141" s="3">
        <f>1508.7+(2936.9-2256)+(0+(0-0))+0-363.8-0</f>
        <v>1825.8000000000004</v>
      </c>
      <c r="I141" s="3">
        <f>1508.4+(3078.1-2443.9)+(-0.769284+(-1.569831--1.246389))+0-369.9--0.188648999999962</f>
        <v>1771.7959229999999</v>
      </c>
      <c r="J141" s="3">
        <f>1508.3+(3205.6-2536.3)+(2.307699+(4.904568-3.880539))+0-371-0.567630000000021</f>
        <v>1809.3640979999996</v>
      </c>
      <c r="K141" s="3">
        <f>1508.8+(3090.9-2479.6)+(-3.84744+(-7.881795--6.32298))+0-370.9--0.945794999999946</f>
        <v>1744.7395400000003</v>
      </c>
      <c r="L141" s="3">
        <f>1508+(2704-2173.8)+(-3.8454+(-6.8952--5.54319))+0-371.8--0.948089999999946</f>
        <v>1662.1506799999997</v>
      </c>
      <c r="M141" s="3">
        <f>1506.7+(2034.2-1461)+(0+(0-0))+0-380.9-0</f>
        <v>1699</v>
      </c>
      <c r="N141" s="3">
        <f>1506.8+(2323.3-1606)+(2.305404+(3.554649-2.45718))+0-378.3-0.578799000000022</f>
        <v>1848.6240740000003</v>
      </c>
      <c r="O141" s="3">
        <f>1508.7+(2133.9-1327.5)+(3.847185+(5.441445-3.385125))+0-375.4-0.957269999999945</f>
        <v>1944.6462350000006</v>
      </c>
      <c r="P141" s="3">
        <f>1509.8+(1702.9-795.6)+(2.309994+(2.605437-1.217268))+0-379.4-0.580482000000022</f>
        <v>2040.8176809999998</v>
      </c>
      <c r="Q141" s="3">
        <f>1563.6+(1399.1-464.5)+(0.797436+(0.713541-0.236895))+0-381.7-0.194666999999961</f>
        <v>2117.5794150000002</v>
      </c>
      <c r="R141" s="3">
        <f>1770.4+(1183-453)+(-0.902904+(-0.60333--0.23103))+0-377.7--0.192626999999962</f>
        <v>2121.6174230000001</v>
      </c>
      <c r="S141" s="3">
        <f>1798.4+(1122.2-502.2)+(0+(0-0))+0-373.9-0</f>
        <v>2044.5</v>
      </c>
      <c r="T141" s="3">
        <f>1833.4+(987.5-392.4)+(-2.805102+(-1.510875--0.600372))+0-343.6--0.52570800000002</f>
        <v>2081.7101030000003</v>
      </c>
      <c r="U141" s="3">
        <f>1923.7+(888.7-497.6)+(1.962174+(0.906474-0.507552))+0-191.5-0.195330000000031</f>
        <v>2125.4657660000003</v>
      </c>
      <c r="V141" s="3">
        <f>1924.8+(1050.5-508.2)+(0.981648+(0.535755-0.259182))+0-364.7-0.185996999999963</f>
        <v>2103.4722240000001</v>
      </c>
      <c r="W141" s="3">
        <f>1803.4+(1296.1-652.9)+(0.919734+(0.661011-0.332979))+0-368.2-0.187781999999963</f>
        <v>2079.4599840000001</v>
      </c>
      <c r="X141" s="3">
        <f>1740.7+(1857.8-1207.3)+(1.775514+(1.894956-1.231446))+0-369-0.376380000000059</f>
        <v>2024.2626439999995</v>
      </c>
      <c r="Y141" s="3">
        <f>1589.3+(2269.9-1537.2)+(2.431629+(3.472947-2.351916))+0-362.4-0.554472000000021</f>
        <v>1962.5981879999997</v>
      </c>
      <c r="Z141" s="3">
        <f>1647.3+(1706.6-885.6)+(0+(0-0))+0-371.9-0</f>
        <v>2096.3999999999996</v>
      </c>
      <c r="AA141" s="3">
        <f>1662.4+(1731.5-844.4)+(-1.695648+(-1.76613--0.861288))+0-376.2--0.38372400000006</f>
        <v>2171.0832340000006</v>
      </c>
      <c r="AB141" s="3">
        <f>1644.5+(2093-1207.5)+(0.838695+(1.06743-0.615825))+0-383.4-0.195533999999961</f>
        <v>2147.6947660000001</v>
      </c>
      <c r="AC141" s="3">
        <f>1522.5+(2388.8-1448.7)+(-0.776475+(-1.218288--0.738837))+0-381.8--0.194717999999961</f>
        <v>2079.7387920000001</v>
      </c>
      <c r="AD141" s="2">
        <v>2194.6000000000004</v>
      </c>
      <c r="AE141" s="3">
        <f>1652+(1720.5-837.7)+(0+(0-0))+0-377.2-0</f>
        <v>2157.6000000000004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1510.9+(2467.6-1550.1)+(0+(0-0))+0-385.6-0</f>
        <v>2042.8000000000002</v>
      </c>
      <c r="G142" s="3">
        <f>1510.1+(2558.2-1745.5)+(-2.310453+(-3.914046--2.670615))+0-389.1--0.595323000000022</f>
        <v>1930.7414389999999</v>
      </c>
      <c r="H142" s="3">
        <f>1508+(2555.8-1825.9)+(-1.53816+(-2.606916--1.862418))+0-389.9--0.397698000000062</f>
        <v>1846.1150399999999</v>
      </c>
      <c r="I142" s="3">
        <f>1507.9+(2855.2-2166.4)+(-2.307087+(-4.368456--3.314592))+0-391.9--0.599607000000023</f>
        <v>1802.0386559999997</v>
      </c>
      <c r="J142" s="3">
        <f>1508+(2889-2179.3)+(2.30724+(4.42017-3.334329))+0-388.8-0.594864000000022</f>
        <v>1831.6982170000001</v>
      </c>
      <c r="K142" s="3">
        <f>1508.1+(2821.6-2182)+(-1.538262+(-2.878032--2.22564))+0-387.1--0.394842000000062</f>
        <v>1758.8041880000001</v>
      </c>
      <c r="L142" s="3">
        <f>1507.8+(2688-2152.8)+(0+(0-0))+0-380.9-0</f>
        <v>1662.1</v>
      </c>
      <c r="M142" s="3">
        <f>1508+(2670.2-2130.3)+(1.53816+(2.723604-2.172906))+0-385-0.392700000000061</f>
        <v>1664.5961579999996</v>
      </c>
      <c r="N142" s="3">
        <f>1504.2+(2578.5-1926.7)+(1.534284+(2.63007-1.965234))+0-382-0.389640000000061</f>
        <v>1775.8094800000001</v>
      </c>
      <c r="O142" s="3">
        <f>1505.9+(2451.6-1655.9)+(1.536018+(2.500632-1.689018))+0-382.8-0.390456000000061</f>
        <v>1920.7571759999998</v>
      </c>
      <c r="P142" s="3">
        <f>1521.4+(2108.2-1206.2)+(3.87957+(5.37591-3.07581))+0-378.4-0.964919999999945</f>
        <v>2050.2147499999996</v>
      </c>
      <c r="Q142" s="3">
        <f>1608.9+(1550.2-708.1)+(2.461617+(2.371806-1.083393))+0-381.8-0.584154000000022</f>
        <v>2072.3658759999998</v>
      </c>
      <c r="R142" s="3">
        <f>1691.2+(1199.1-420.4)+(0+(0-0))+0-371.4-0</f>
        <v>2098.5</v>
      </c>
      <c r="S142" s="3">
        <f>1684.5+(1125.1-380.7)+(0.859095+(0.573801-0.194157))+0-379.6-0.193595999999961</f>
        <v>2050.3451429999996</v>
      </c>
      <c r="T142" s="3">
        <f>1788.3+(964.1-299.9)+(-3.648132+(-1.966764--0.611796))+0-379.7--0.774587999999983</f>
        <v>2068.571488</v>
      </c>
      <c r="U142" s="3">
        <f>1813.5+(1089.1-432.3)+(-2.774655+(-1.666323--0.661419))+0-379.3--0.580329000000022</f>
        <v>2087.8007699999998</v>
      </c>
      <c r="V142" s="3">
        <f>1814.6+(1185.8-544.8)+(0+(0-0))+0-376.1-0</f>
        <v>2079.5</v>
      </c>
      <c r="W142" s="3">
        <f>1814.5+(1456.1-814.5)+(0+(0-0))+0-380.9-0</f>
        <v>2075.1999999999998</v>
      </c>
      <c r="X142" s="3">
        <f>1786.8+(1973.7-1333.5)+(-1.822536+(-2.013174--1.36017))+0-388.4--0.396168000000062</f>
        <v>2036.520628</v>
      </c>
      <c r="Y142" s="3">
        <f>1650.1+(1947-1235)+(2.524653+(2.97891-1.88955))+0-387.8-0.593334000000022</f>
        <v>1977.3206789999999</v>
      </c>
      <c r="Z142" s="3">
        <f>1672.6+(1684.4-861.8)+(0+(0-0))+0-377.7-0</f>
        <v>2117.5</v>
      </c>
      <c r="AA142" s="3">
        <f>1680.5+(1686.6-820.9)+(-2.571165+(-2.580498--1.255977))+0-372.7--0.570231000000021</f>
        <v>2170.1745450000003</v>
      </c>
      <c r="AB142" s="3">
        <f>1620.9+(1996.2-1106.3)+(-1.653318+(-2.036124--1.128426))+0-372.5--0.379950000000059</f>
        <v>2136.1189340000001</v>
      </c>
      <c r="AC142" s="3">
        <f>1525.9+(2336.2-1429)+(0.778209+(1.191462-0.72879))+0-378.6-0.193085999999962</f>
        <v>2055.5477950000004</v>
      </c>
      <c r="AD142" s="2">
        <v>2147</v>
      </c>
      <c r="AE142" s="3">
        <f>1675+(1640.8-794.5)+(0+(0-0))+0-368.3-0</f>
        <v>2153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1509.2+(2484.5-1620.4)+(0.769692+(1.267095-0.826404))+0-384.4-0.196043999999961</f>
        <v>1989.9143390000002</v>
      </c>
      <c r="G143" s="3">
        <f>1508.5+(2708.6-1942.5)+(-0.769335+(-1.381386--0.990675))+0-386.8--0.197267999999961</f>
        <v>1886.8372219999999</v>
      </c>
      <c r="H143" s="3">
        <f>1508.3+(2735.6-2052.9)+(3.076932+(5.580624-4.187916))+0-386.5-0.788459999999983</f>
        <v>1808.1811799999998</v>
      </c>
      <c r="I143" s="3">
        <f>1506.7+(2668.3-2030.3)+(-3.842085+(-6.804165--5.177265))+0-387.4--0.987869999999944</f>
        <v>1752.8188850000001</v>
      </c>
      <c r="J143" s="3">
        <f>1506.8+(2747.5-2092.9)+(-2.305404+(-4.203675--3.202137))+0-384.4--0.588132000000022</f>
        <v>1774.2811899999995</v>
      </c>
      <c r="K143" s="3">
        <f>1507.3+(2746.8-2141.1)+(-2.306169+(-4.202604--3.275883))+0-386--0.590580000000022</f>
        <v>1724.3576899999998</v>
      </c>
      <c r="L143" s="3">
        <f>1510.6+(2749.7-2220.5)+(-3.081624+(-5.609388--4.52982))+0-387--0.789479999999983</f>
        <v>1649.4282879999996</v>
      </c>
      <c r="M143" s="3">
        <f>1509.8+(2523.6-1994.5)+(0+(0-0))+0-370.7-0</f>
        <v>1668.1999999999998</v>
      </c>
      <c r="N143" s="3">
        <f>1510.6+(2393.4-1729.5)+(1.540812+(2.441268-1.76409))+0-369.9-0.377298000000059</f>
        <v>1806.4406919999999</v>
      </c>
      <c r="O143" s="3">
        <f>1507.5+(2464.6-1675.1)+(0.768825+(1.256946-0.854301))+0-371.4-0.189413999999962</f>
        <v>1926.5820560000002</v>
      </c>
      <c r="P143" s="3">
        <f>1549.2+(1811.1-982.9)+(1.580184+(1.847322-1.002558))+0-371.3-0.378726000000059</f>
        <v>2008.1462219999999</v>
      </c>
      <c r="Q143" s="3">
        <f>1655.3+(1461.6-684.5)+(1.688406+(1.490832-0.69819))+0-375.9-0.38341800000006</f>
        <v>2058.5976299999998</v>
      </c>
      <c r="R143" s="3">
        <f>1716.2+(1239.7-527.5)+(0.875262+(0.632247-0.269025))+0-378.9-0.193238999999962</f>
        <v>2050.5452449999998</v>
      </c>
      <c r="S143" s="3">
        <f>1713.4+(1196.7-554.3)+(-0.873834+(-0.610317--0.282693))+0-358.8--0.182987999999964</f>
        <v>1995.9815300000002</v>
      </c>
      <c r="T143" s="3">
        <f>1710+(1132.7-477.6)+(0.8721+(0.577677-0.243576))+0-370.5-0.188954999999962</f>
        <v>1995.617246</v>
      </c>
      <c r="U143" s="3">
        <f>1702.9+(1118.8-472)+(-0.868479+(-0.570588--0.24072))+0-375.9--0.191708999999962</f>
        <v>1972.7933619999997</v>
      </c>
      <c r="V143" s="3">
        <f>1681.4+(1262.5-613.6)+(0.857514+(0.643875-0.312936))+0-378.4-0.192983999999962</f>
        <v>1952.8954690000003</v>
      </c>
      <c r="W143" s="3">
        <f>1664.5+(1417.9-791.7)+(-0.848895+(-0.723129--0.403767))+0-372.8--0.190127999999962</f>
        <v>1916.921871</v>
      </c>
      <c r="X143" s="3">
        <f>1663.1+(1807.3-1238.9)+(-2.544543+(-2.765169--1.895517))+0-366.9--0.561357000000021</f>
        <v>1861.7471620000001</v>
      </c>
      <c r="Y143" s="3">
        <f>1631.3+(1954.6-1378.7)+(-4.159815+(-4.98423--3.515685))+0-378.1--0.964154999999945</f>
        <v>1824.4357949999996</v>
      </c>
      <c r="Z143" s="3">
        <f>1682.6+(2027.4-1390.3)+(0+(0-0))+0-378.3-0</f>
        <v>1941.3999999999999</v>
      </c>
      <c r="AA143" s="3">
        <f>1694.5+(2021.3-1350.4)+(-6.049365+(-7.216041--4.820928))+0-368.9--1.31697300000001</f>
        <v>1989.3724949999996</v>
      </c>
      <c r="AB143" s="3">
        <f>1564.2+(2196.1-1441.6)+(0+(0-0))+0-378.4-0</f>
        <v>1940.2999999999997</v>
      </c>
      <c r="AC143" s="3">
        <f>1517.6+(2483.2-1768.1)+(0.773976+(1.266432-0.901731))+0-383.5-0.195584999999961</f>
        <v>1850.1430919999998</v>
      </c>
      <c r="AD143" s="2">
        <v>2005.6000000000004</v>
      </c>
      <c r="AE143" s="3">
        <f>1698+(1888.3-1203.1)+(0+(0-0))+0-371.6-0</f>
        <v>2011.6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1511.3+(2763-2130.4)+(3.083052+(5.63652-4.346016))+0-377.1-0.769283999999984</f>
        <v>1770.4042719999998</v>
      </c>
      <c r="G144" s="3">
        <f>1510.1+(2793.8-2207.3)+(1.540302+(2.849676-2.251446))+0-378.1-0.38566200000006</f>
        <v>1720.2528699999998</v>
      </c>
      <c r="H144" s="3">
        <f>1510.6+(2842.2-2331.4)+(-1.540812+(-2.899044--2.378028))+0-374.7--0.38219400000006</f>
        <v>1645.0203659999995</v>
      </c>
      <c r="I144" s="3">
        <f>1510.2+(2809.2-2339.9)+(-0.770202+(-1.432692--1.193349))+0-384.6--0.196145999999961</f>
        <v>1594.0866009999997</v>
      </c>
      <c r="J144" s="3">
        <f>1509.2+(2525.1-2039.7)+(-3.078768+(-5.151204--4.160988))+0-374.6--0.764183999999984</f>
        <v>1616.6951999999999</v>
      </c>
      <c r="K144" s="3">
        <f>1509+(2713.8-2327.5)+(-1.53918+(-2.768076--2.37405))+0-366.5--0.373830000000058</f>
        <v>1527.2406240000003</v>
      </c>
      <c r="L144" s="3">
        <f>1510.1+(2465.3-2199.4)+(-1.540302+(-2.514606--2.243388))+0-365.5--0.372810000000058</f>
        <v>1409.0612900000001</v>
      </c>
      <c r="M144" s="3">
        <f>1507.3+(2677-2496.3)+(0+(0-0))+0-370.9-0</f>
        <v>1317.1</v>
      </c>
      <c r="N144" s="3">
        <f>1509+(2673.9-2429.1)+(0+(0-0))+0-373.8-0</f>
        <v>1380.0000000000002</v>
      </c>
      <c r="O144" s="3">
        <f>1457.1+(2511.7-2143.1)+(-0.743121+(-1.280967--1.092981))+0-373.6--0.190535999999962</f>
        <v>1451.3594289999996</v>
      </c>
      <c r="P144" s="3">
        <f>1485+(2653.4-2238.9)+(0.75735+(1.353234-1.141839))+0-375.1-0.191300999999962</f>
        <v>1525.1774439999997</v>
      </c>
      <c r="Q144" s="3">
        <f>1507.5+(2862.5-2430.1)+(1.53765+(2.91975-2.478702))+0-370.8-0.378216000000059</f>
        <v>1570.700482</v>
      </c>
      <c r="R144" s="3">
        <f>1507.8+(2956.6-2507.5)+(0.768978+(1.507866-1.278825))+0-356.2-0.181661999999964</f>
        <v>1601.516357</v>
      </c>
      <c r="S144" s="3">
        <f>1516.2+(2539.3-2076.8)+(2.319786+(3.885129-3.177504))+0-366.2-0.560286000000021</f>
        <v>1614.9671249999999</v>
      </c>
      <c r="T144" s="3">
        <f>1556.4+(2120.6-1670.5)+(-1.587528+(-2.163012--1.70391))+0-366.4--0.373728000000058</f>
        <v>1638.4270980000001</v>
      </c>
      <c r="U144" s="3">
        <f>1555.1+(2088.6-1605.3)+(1.586202+(2.130372-1.637406))+0-370.7-0.378114000000059</f>
        <v>1669.4010539999997</v>
      </c>
      <c r="V144" s="3">
        <f>1537.2+(2235.9-1718.2)+(0.783972+(1.140309-0.876282))+0-373.9-0.190688999999962</f>
        <v>1681.8573099999999</v>
      </c>
      <c r="W144" s="3">
        <f>1546+(2253.7-1708.6)+(-1.57692+(-2.298774--1.742772))+0-373.9--0.38137800000006</f>
        <v>1715.4484560000001</v>
      </c>
      <c r="X144" s="3">
        <f>1552.4+(2641-2090.3)+(-3.166896+(-5.38764--4.264212))+0-375--0.764999999999984</f>
        <v>1724.5746759999997</v>
      </c>
      <c r="Y144" s="3">
        <f>1562.2+(2395.6-1826.3)+(-0.796722+(-1.221756--0.931413))+0-379.1--0.193340999999962</f>
        <v>1751.5062759999998</v>
      </c>
      <c r="Z144" s="3">
        <f>1589.2+(1711.7-999.3)+(0+(0-0))+0-382.4-0</f>
        <v>1919.2000000000003</v>
      </c>
      <c r="AA144" s="3">
        <f>1592+(1619.6-815.9)+(-3.24768+(-3.303984--1.664436))+0-378.8--0.772751999999983</f>
        <v>2012.7855239999999</v>
      </c>
      <c r="AB144" s="3">
        <f>1588.3+(1802.2-998.1)+(-0.810033+(-0.919122--0.509031))+0-392.8--0.20032799999996</f>
        <v>1998.5802040000001</v>
      </c>
      <c r="AC144" s="3">
        <f>1588.9+(1949.6-1170.7)+(-0.810339+(-0.994296--0.597057))+0-401.2--0.204611999999959</f>
        <v>1965.5970340000001</v>
      </c>
      <c r="AD144" s="2">
        <v>2018.9</v>
      </c>
      <c r="AE144" s="3">
        <f>1586+(1631-812.6)+(0+(0-0))+0-379.5-0</f>
        <v>2024.9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1568.5+(2394.3-1654.7)+(-2.399805+(-3.663279--2.531691))+0-394.7--0.603891000000023</f>
        <v>1910.4724980000001</v>
      </c>
      <c r="G145" s="3">
        <f>1519+(3139.6-2443.9)+(-3.09876+(-6.404784--4.985556))+0-410.7--0.837827999999982</f>
        <v>1800.3198399999997</v>
      </c>
      <c r="H145" s="3">
        <f>1512.3+(3244.8-2633.5)+(-3.856365+(-8.27424--6.715425))+0-404.8--1.03223999999994</f>
        <v>1714.4170600000004</v>
      </c>
      <c r="I145" s="3">
        <f>1509.7+(3078.1-2501.3)+(-2.309841+(-4.709493--3.826989))+0-407.9--0.624087000000023</f>
        <v>1676.0317419999999</v>
      </c>
      <c r="J145" s="3">
        <f>1510.1+(2906.9-2304.2)+(-2.310453+(-4.447557--3.525426))+0-398--0.608940000000023</f>
        <v>1712.1763560000004</v>
      </c>
      <c r="K145" s="3">
        <f>1510.4+(2995.2-2446.6)+(-3.85152+(-7.63776--6.23883))+0-401.6--1.02407999999994</f>
        <v>1653.17363</v>
      </c>
      <c r="L145" s="3">
        <f>1510.3+(2705.3-2202.8)+(-0.770253+(-1.379703--1.123428))+0-401.7--0.204866999999959</f>
        <v>1610.2783389999997</v>
      </c>
      <c r="M145" s="3">
        <f>1510+(2651.9-2112.1)+(0.7701+(1.352469-1.077171))+0-404.8-0.206447999999959</f>
        <v>1645.8389500000005</v>
      </c>
      <c r="N145" s="3">
        <f>1508.7+(2835.1-2128.2)+(1.538874+(2.891802-2.170764))+0-398-0.405960000000063</f>
        <v>1819.4539520000003</v>
      </c>
      <c r="O145" s="3">
        <f>1508.2+(2604.2-1732.5)+(1.538364+(2.656284-1.76715))+0-397.8-0.405756000000063</f>
        <v>1984.1217419999996</v>
      </c>
      <c r="P145" s="3">
        <f>1510+(2148.6-1273.7)+(0.7701+(1.095786-0.649587))+0-375-0.191249999999962</f>
        <v>2010.9250489999999</v>
      </c>
      <c r="Q145" s="3">
        <f>1511.6+(1748.9-768)+(0+(0-0))+0-394.5-0</f>
        <v>2098</v>
      </c>
      <c r="R145" s="3">
        <f>1513+(1489.1-553.3)+(0+(0-0))+0-363-0</f>
        <v>2085.8000000000002</v>
      </c>
      <c r="S145" s="3">
        <f>1684.3+(1283.2-554.6)+(-2.576979+(-1.963296--0.848538))+0-374.2--0.572526000000022</f>
        <v>2035.5807889999999</v>
      </c>
      <c r="T145" s="3">
        <f>1860.1+(942.3-358.5)+(-3.794604+(-1.922292--0.73134))+0-383--0.781319999999983</f>
        <v>2056.6957639999996</v>
      </c>
      <c r="U145" s="3">
        <f>2032+(952.8-503.1)+(-1.03632+(-0.485928--0.256581))+0-388.8--0.198287999999961</f>
        <v>2091.8326209999996</v>
      </c>
      <c r="V145" s="3">
        <f>1965.3+(1092.5-567.4)+(-3.006909+(-1.671525--0.868122))+0-403.4--0.617202000000023</f>
        <v>2083.8068899999998</v>
      </c>
      <c r="W145" s="3">
        <f>1815.8+(1226.2-574.8)+(-0.926058+(-0.625362--0.293148))+0-408.5--0.208334999999959</f>
        <v>2057.6500629999996</v>
      </c>
      <c r="X145" s="3">
        <f>1735.3+(1604.9-898.3)+(-0.885003+(-0.818499--0.458133))+0-401.9--0.204968999999959</f>
        <v>2038.9595999999997</v>
      </c>
      <c r="Y145" s="3">
        <f>1694.8+(1958-1253.6)+(0.864348+(0.99858-0.639336))+0-406-0.207059999999959</f>
        <v>1994.2165319999997</v>
      </c>
      <c r="Z145" s="3">
        <f>1688.9+(1568.4-711)+(-1.722678+(-1.599768--0.72522))+0-413.5--0.421770000000066</f>
        <v>2130.6245440000002</v>
      </c>
      <c r="AA145" s="3">
        <f>1680.4+(1535.2-608.7)+(-2.571012+(-2.348856--0.931311))+0-414.9--0.634797000000024</f>
        <v>2188.64624</v>
      </c>
      <c r="AB145" s="3">
        <f>1510.8+(1896.2-849.5)+(-0.770508+(-0.967062--0.433245))+0-420.2--0.214301999999957</f>
        <v>2136.209977</v>
      </c>
      <c r="AC145" s="3">
        <f>1479.1+(1991.2-1002.5)+(0+(0-0))+0-406.9-0</f>
        <v>2060.9</v>
      </c>
      <c r="AD145" s="2">
        <v>2210.8999999999996</v>
      </c>
      <c r="AE145" s="3">
        <f>1701+(1497.7-548.3)+(0+(0-0))+0-433.5-0</f>
        <v>2216.9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1464.4+(1963.9-1013.3)+(-1.493688+(-2.003178--1.033566))+0-398--0.405960000000063</f>
        <v>2014.9426600000002</v>
      </c>
      <c r="G146" s="3">
        <f>1454.2+(2502.4-1623.3)+(-4.449852+(-7.657344--4.967298))+0-409.6--1.25337600000005</f>
        <v>1917.8134780000005</v>
      </c>
      <c r="H146" s="3">
        <f>1451.2+(2438.6-1627.3)+(-1.480224+(-2.487372--1.659846))+0-417.8--0.426156000000067</f>
        <v>1842.8184060000001</v>
      </c>
      <c r="I146" s="3">
        <f>1450.9+(2327.9-1552.5)+(1.479918+(2.374458-1.58355))+0-420.9-0.429318000000067</f>
        <v>1807.2415080000001</v>
      </c>
      <c r="J146" s="3">
        <f>1451.9+(2374.5-1601.3)+(-2.961876+(-4.84398--3.266652))+0-419.1--0.854963999999982</f>
        <v>1802.3157600000002</v>
      </c>
      <c r="K146" s="3">
        <f>1452.5+(2653.7-1966)+(-0.740775+(-1.353387--1.00266))+0-415.3--0.211802999999958</f>
        <v>1724.0203009999996</v>
      </c>
      <c r="L146" s="3">
        <f>1452.5+(2665.7-2059)+(0+(0-0))+0-416.9-0</f>
        <v>1642.2999999999997</v>
      </c>
      <c r="M146" s="3">
        <f>1452.6+(2575.3-1975.2)+(1.481652+(2.626806-2.014704))+0-403.4-0.411468000000064</f>
        <v>1650.9822859999997</v>
      </c>
      <c r="N146" s="3">
        <f>1452.7+(2063.8-1328.8)+(2.963508+(4.210152-2.710752))+0-397.2-0.810287999999983</f>
        <v>1794.1526200000003</v>
      </c>
      <c r="O146" s="3">
        <f>1451.9+(2237.9-1368)+(2.221407+(3.423987-2.09304))+0-402.4-0.615672000000023</f>
        <v>1922.3366819999999</v>
      </c>
      <c r="P146" s="3">
        <f>1453.5+(2314.7-1374.6)+(1.48257+(2.360994-1.402092))+0-396-0.403920000000063</f>
        <v>1999.6375519999999</v>
      </c>
      <c r="Q146" s="3">
        <f>1454.2+(1735.4-741.9)+(0.741642+(0.885054-0.378369))+0-382.7-0.195176999999961</f>
        <v>2066.0531500000002</v>
      </c>
      <c r="R146" s="3">
        <f>1556.7+(1478.3-551.7)+(-0.793917+(-0.753933--0.281367))+0-383.5--0.195584999999961</f>
        <v>2098.7291020000002</v>
      </c>
      <c r="S146" s="3">
        <f>1689.5+(1347.8-607.5)+(0+(0-0))+0-390.3-0</f>
        <v>2039.5000000000002</v>
      </c>
      <c r="T146" s="3">
        <f>1747.6+(1166-455.3)+(0+(0-0))+0-397.2-0</f>
        <v>2061.1000000000004</v>
      </c>
      <c r="U146" s="3">
        <f>1815.6+(1137.2-507.5)+(-0.925956+(-0.579972--0.258825))+0-383.9--0.195788999999961</f>
        <v>2060.3486859999998</v>
      </c>
      <c r="V146" s="3">
        <f>1816.8+(1047-399.7)+(0+(0-0))+0-387.2-0</f>
        <v>2076.9</v>
      </c>
      <c r="W146" s="3">
        <f>1788.3+(1372.4-688.1)+(-1.824066+(-1.399848--0.701862))+0-395--0.402900000000063</f>
        <v>2075.4808480000002</v>
      </c>
      <c r="X146" s="3">
        <f>1646.7+(1736.1-979)+(-2.519451+(-2.656233--1.49787))+0-391--0.598230000000023</f>
        <v>2009.7204160000001</v>
      </c>
      <c r="Y146" s="3">
        <f>1605.6+(1988.7-1228.1)+(-0.818856+(-1.014237--0.626331))+0-408.1--0.208130999999959</f>
        <v>1957.101369</v>
      </c>
      <c r="Z146" s="3">
        <f>1633+(1431.8-557.4)+(-0.83283+(-0.730218--0.284274))+0-408.2--0.208181999999959</f>
        <v>2098.1294080000002</v>
      </c>
      <c r="AA146" s="3">
        <f>1560+(1506.4-512.6)+(-3.1824+(-3.073056--1.045704))+0-412--0.840479999999982</f>
        <v>2137.4307279999998</v>
      </c>
      <c r="AB146" s="3">
        <f>1536+(1679.9-699.1)+(-1.56672+(-1.713498--0.713082))+0-413--0.421260000000066</f>
        <v>2101.6541240000001</v>
      </c>
      <c r="AC146" s="3">
        <f>1532.9+(1711.1-807.8)+(1.563558+(1.745322-0.823956))+0-394.1-0.401982000000063</f>
        <v>2044.1829419999997</v>
      </c>
      <c r="AD146" s="2">
        <v>2137.1</v>
      </c>
      <c r="AE146" s="3">
        <f>1568+(1440.7-436.2)+(0+(0-0))+0-429.4-0</f>
        <v>2143.1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1523.8+(1599.3-771.7)+(1.554276+(1.631286-0.787134))+0-388.8-0.396576000000062</f>
        <v>1964.6018519999996</v>
      </c>
      <c r="G147" s="3">
        <f>1519.5+(1838.9-1102.8)+(0.774945+(0.937839-0.562428))+0-392.5-0.20017499999996</f>
        <v>1864.0501810000005</v>
      </c>
      <c r="H147" s="3">
        <f>1504.6+(2500.6-1835.8)+(0+(0-0))+0-380-0</f>
        <v>1789.3999999999996</v>
      </c>
      <c r="I147" s="3">
        <f>1503.2+(2881.5-2258.6)+(3.066528+(5.87826-4.607544))+0-391.8-0.799271999999983</f>
        <v>1737.8379720000003</v>
      </c>
      <c r="J147" s="3">
        <f>1503.2+(2799.9-2152.8)+(-0.766632+(-1.427949--1.097928))+0-392.6--0.20022599999996</f>
        <v>1756.8035730000001</v>
      </c>
      <c r="K147" s="3">
        <f>1497.2+(2940.2-2309.7)+(-3.81786+(-7.49751--5.889735))+0-392.4--1.00061999999994</f>
        <v>1730.8749849999997</v>
      </c>
      <c r="L147" s="3">
        <f>1493.4+(2500.5-1942.9)+(-3.80817+(-6.376275--4.954395))+0-387.7--0.988634999999944</f>
        <v>1659.058585</v>
      </c>
      <c r="M147" s="3">
        <f>1489.9+(2365.6-1792.2)+(2.279547+(3.619368-2.742066))+0-389-0.595170000000023</f>
        <v>1676.8616790000001</v>
      </c>
      <c r="N147" s="3">
        <f>1482.5+(2561.2-1839.8)+(0.756075+(1.306212-0.938298))+0-383-0.195329999999961</f>
        <v>1821.8286589999998</v>
      </c>
      <c r="O147" s="3">
        <f>1487.4+(2215.6-1391.7)+(0.758574+(1.129956-0.709767))+0-376.9-0.192218999999962</f>
        <v>1935.386544</v>
      </c>
      <c r="P147" s="3">
        <f>1584.8+(1948.8-1140)+(2.424744+(2.981664-1.7442))+0-372.9-0.570537000000022</f>
        <v>2023.791671</v>
      </c>
      <c r="Q147" s="3">
        <f>1640.8+(1489.7-673.1)+(2.510424+(2.279241-1.029843))+0-376.8-0.576504000000022</f>
        <v>2083.7833179999998</v>
      </c>
      <c r="R147" s="3">
        <f>1580.1+(1304.2-408.9)+(0+(0-0))+0-379.5-0</f>
        <v>2095.9</v>
      </c>
      <c r="S147" s="3">
        <f>1621.5+(1246.2-480)+(-2.480895+(-1.906686--0.7344))+0-364.5--0.557685000000021</f>
        <v>2020.1045039999997</v>
      </c>
      <c r="T147" s="3">
        <f>1842.1+(1065.1-469.1)+(0.939471+(0.543201-0.239241))+0-359.9-0.183548999999963</f>
        <v>2079.2598819999998</v>
      </c>
      <c r="U147" s="3">
        <f>2057.8+(965.5-575.2)+(-1.049478+(-0.492405--0.293352))+0-357.4--0.182273999999964</f>
        <v>2089.6337429999999</v>
      </c>
      <c r="V147" s="3">
        <f>2043.6+(972.8-561.1)+(-4.168944+(-1.984512--1.144644))+0-355.6--0.725423999999985</f>
        <v>2095.416612</v>
      </c>
      <c r="W147" s="3">
        <f>2040.9+(1160-758.8)+(-7.286013+(-4.1412--2.708916))+0-364.9--1.302693</f>
        <v>2069.7843960000005</v>
      </c>
      <c r="X147" s="3">
        <f>1749.9+(1632.6-991.9)+(-1.784898+(-1.665252--1.011738))+0-367.2--0.374544000000059</f>
        <v>2021.3361319999999</v>
      </c>
      <c r="Y147" s="3">
        <f>1461.4+(1786.9-933.9)+(0.745314+(0.911319-0.476289))+0-353.8-0.180437999999964</f>
        <v>1961.5999060000001</v>
      </c>
      <c r="Z147" s="3">
        <f>1484.7+(1382.2-383.5)+(1.514394+(1.409844-0.39117))+0-362.8-0.370056000000058</f>
        <v>2122.7630119999999</v>
      </c>
      <c r="AA147" s="3">
        <f>1512.1+(1550.9-520.6)+(-3.084684+(-3.163836--1.062024))+0-361.9--0.738275999999984</f>
        <v>2176.0517800000002</v>
      </c>
      <c r="AB147" s="3">
        <f>1514.5+(1935.4-908.5)+(-3.08958+(-3.948216--1.85334))+0-386--0.787439999999983</f>
        <v>2151.0029840000002</v>
      </c>
      <c r="AC147" s="3">
        <f>1505.8+(2199.5-1238.8)+(0.767958+(1.121745-0.631788))+0-370.4-0.188903999999962</f>
        <v>2097.169011</v>
      </c>
      <c r="AD147" s="2">
        <v>2182</v>
      </c>
      <c r="AE147" s="3">
        <f>1495+(1369-332.7)+(0+(0-0))+0-349.3-0</f>
        <v>2182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1489.6+(2265.8-1369.2)+(0.759696+(1.155558-0.698292))+0-365.6-0.186455999999963</f>
        <v>2021.630506</v>
      </c>
      <c r="G148" s="3">
        <f>1489.9+(2519.9-1693.2)+(0+(0-0))+0-390.7-0</f>
        <v>1925.9000000000003</v>
      </c>
      <c r="H148" s="3">
        <f>1489.4+(2858.5-2110.5)+(-1.519188+(-2.91567--2.15271))+0-393.7--0.401574000000063</f>
        <v>1841.8194260000002</v>
      </c>
      <c r="I148" s="3">
        <f>1489.8+(3000-2289.5)+(0+(0-0))+0-397-0</f>
        <v>1803.3000000000002</v>
      </c>
      <c r="J148" s="3">
        <f>1488.9+(2845.4-2106.2)+(-2.278017+(-4.353462--3.222486))+0-405.7--0.620721000000023</f>
        <v>1819.6117280000003</v>
      </c>
      <c r="K148" s="3">
        <f>1488.6+(2861.9-2171.2)+(-4.555116+(-8.757414--6.643872))+0-411.7--1.25980200000005</f>
        <v>1762.1911440000001</v>
      </c>
      <c r="L148" s="3">
        <f>1489.4+(2778.2-2167.1)+(-1.519188+(-2.833764--2.210442))+0-418.5--0.426870000000067</f>
        <v>1680.2843599999999</v>
      </c>
      <c r="M148" s="3">
        <f>1488.2+(2681.6-2053)+(0+(0-0))+0-416.3-0</f>
        <v>1700.5000000000002</v>
      </c>
      <c r="N148" s="3">
        <f>1489.7+(2569.6-1808.6)+(0+(0-0))+0-397.1-0</f>
        <v>1853.6</v>
      </c>
      <c r="O148" s="3">
        <f>1487.7+(2183.2-1317.2)+(1.517454+(2.226864-1.343544))+0-402.9-0.410958000000064</f>
        <v>1952.7898159999997</v>
      </c>
      <c r="P148" s="3">
        <f>1487.9+(1812.7-867)+(1.517658+(1.848954-0.88434))+0-391-0.398820000000062</f>
        <v>2044.6834520000004</v>
      </c>
      <c r="Q148" s="3">
        <f>1486.2+(1508.4-510.3)+(0+(0-0))+0-394.9-0</f>
        <v>2089.4</v>
      </c>
      <c r="R148" s="3">
        <f>1477.2+(1314.2-289.4)+(0.753372+(0.670242-0.147594))+0-388.9-0.198338999999961</f>
        <v>2114.1776809999997</v>
      </c>
      <c r="S148" s="3">
        <f>1646.4+(1147.9-342.8)+(-2.518992+(-1.756287--0.524484))+0-396--0.605880000000023</f>
        <v>2052.3550850000001</v>
      </c>
      <c r="T148" s="3">
        <f>1909.7+(996.7-456.6)+(-0.973947+(-0.508317--0.232866))+0-379.4--0.193493999999962</f>
        <v>2069.3440960000003</v>
      </c>
      <c r="U148" s="3">
        <f>2043.4+(937.3-499.1)+(-3.126402+(-1.434069--0.763623))+0-386.2--0.590886000000022</f>
        <v>2092.1940380000001</v>
      </c>
      <c r="V148" s="3">
        <f>2010.1+(914.7-441.2)+(-3.075453+(-1.399491--0.675036))+0-386.9--0.591957000000022</f>
        <v>2093.492049</v>
      </c>
      <c r="W148" s="3">
        <f>1897.8+(1059.4-481.2)+(-4.83939+(-2.70147--1.22706))+0-392.1--0.999854999999943</f>
        <v>2078.5860550000002</v>
      </c>
      <c r="X148" s="3">
        <f>1847.1+(1538.4-925.9)+(-6.594147+(-5.492088--3.305463))+0-397.1--1.41764700000001</f>
        <v>2055.1368750000001</v>
      </c>
      <c r="Y148" s="3">
        <f>1619.9+(1867.3-1095.3)+(0+(0-0))+0-393-0</f>
        <v>1998.9</v>
      </c>
      <c r="Z148" s="3">
        <f>1562.8+(1398.5-439.7)+(0.797028+(0.713235-0.224247))+0-398.7-0.20333699999996</f>
        <v>2123.9826790000002</v>
      </c>
      <c r="AA148" s="3">
        <f>1596.8+(1409.4-406)+(-4.886208+(-4.312764--1.24236))+0-410.5--1.25613000000005</f>
        <v>2182.9995180000001</v>
      </c>
      <c r="AB148" s="3">
        <f>1600.7+(1675.4-708.8)+(-4.898142+(-5.126724--2.168928))+0-403.1--1.23348600000005</f>
        <v>2157.5775480000002</v>
      </c>
      <c r="AC148" s="3">
        <f>1521.7+(1989.6-1011.1)+(1.552134+(2.029392-1.031322))+0-406.2-0.414324000000065</f>
        <v>2096.1358800000003</v>
      </c>
      <c r="AD148" s="2">
        <v>2126.4</v>
      </c>
      <c r="AE148" s="3">
        <f>1590+(1261.6-330.7)+(0+(0-0))+0-394.5-0</f>
        <v>2126.3999999999996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1492.8+(2118.1-1199.6)+(0+(0-0))+0-403.8-0</f>
        <v>2007.5000000000002</v>
      </c>
      <c r="G149" s="3">
        <f>1485.5+(2595.9-1764.6)+(0.757605+(1.323909-0.899946))+0-398.3-0.20313299999996</f>
        <v>1919.4784350000002</v>
      </c>
      <c r="H149" s="3">
        <f>1486.7+(2752.9-1996)+(0+(0-0))+0-408-0</f>
        <v>1835.6000000000004</v>
      </c>
      <c r="I149" s="3">
        <f>1485.5+(2605.3-1911.9)+(-1.51521+(-2.657406--1.950138))+0-401.5--0.409530000000064</f>
        <v>1775.5870520000001</v>
      </c>
      <c r="J149" s="3">
        <f>1487.9+(2455.1-1747.9)+(3.794145+(6.260505-4.457145))+0-397-1.01234999999994</f>
        <v>1802.6851550000001</v>
      </c>
      <c r="K149" s="3">
        <f>1486.9+(2394.8-1731.1)+(-3.791595+(-6.10674--4.414305))+0-392.8--1.00163999999994</f>
        <v>1753.3176100000003</v>
      </c>
      <c r="L149" s="3">
        <f>1485.6+(2499.8-1917.9)+(-4.545936+(-7.649388--5.868774))+0-387--1.18422000000004</f>
        <v>1675.3576699999999</v>
      </c>
      <c r="M149" s="3">
        <f>1485.1+(2338.1-1721.5)+(2.272203+(3.577293-2.633895))+0-395.1-0.604503000000023</f>
        <v>1709.2110979999998</v>
      </c>
      <c r="N149" s="3">
        <f>1483.4+(2185.9-1421.9)+(0.756534+(1.114809-0.725169))+0-388.9-0.198338999999961</f>
        <v>1859.4478349999999</v>
      </c>
      <c r="O149" s="3">
        <f>1483.3+(1972.1-1204.2)+(0.756483+(1.005771-0.614142))+0-280.3-0.142952999999972</f>
        <v>1971.9051589999997</v>
      </c>
      <c r="P149" s="3">
        <f>1487.2+(1828.3-889.9)+(2.275416+(2.797299-1.361547))+0-368.7-0.564111000000021</f>
        <v>2060.0470569999998</v>
      </c>
      <c r="Q149" s="3">
        <f>1601.3+(1423.8-560.4)+(0+(0-0))+0-381-0</f>
        <v>2083.6999999999998</v>
      </c>
      <c r="R149" s="3">
        <f>1673.4+(1214-403)+(-1.706868+(-1.23828--0.41106))+0-369.2--0.376584000000059</f>
        <v>2113.0424960000005</v>
      </c>
      <c r="S149" s="3">
        <f>1671.4+(1126-368)+(0+(0-0))+0-379.3-0</f>
        <v>2050.1</v>
      </c>
      <c r="T149" s="3">
        <f>1671.1+(1083-285.6)+(-0.852261+(-0.55233--0.145656))+0-394.8--0.20134799999996</f>
        <v>2072.642413</v>
      </c>
      <c r="U149" s="3">
        <f>1667.8+(1144.8-321.6)+(-1.701156+(-1.167696--0.328032))+0-401.4--0.409428000000064</f>
        <v>2087.4686079999997</v>
      </c>
      <c r="V149" s="3">
        <f>1636.6+(1115.4-244.9)+(-1.669332+(-1.137708--0.249798))+0-406.3--0.414426000000065</f>
        <v>2098.6571840000001</v>
      </c>
      <c r="W149" s="3">
        <f>1523.8+(1245.1-295.9)+(-0.777138+(-0.635001--0.150909))+0-406.5--0.207314999999959</f>
        <v>2065.446085</v>
      </c>
      <c r="X149" s="3">
        <f>1486.2+(1528-585.8)+(-3.031848+(-3.11712--1.195032))+0-398.8--0.813551999999983</f>
        <v>2025.4596160000003</v>
      </c>
      <c r="Y149" s="3">
        <f>1487.5+(1684.6-786.4)+(-1.51725+(-1.718292--0.802128))+0-393.1--0.400962000000063</f>
        <v>1990.567548</v>
      </c>
      <c r="Z149" s="3">
        <f>1514.2+(1417.1-401.7)+(-0.772242+(-0.722721--0.204867))+0-402.7--0.205376999999959</f>
        <v>2125.8152809999997</v>
      </c>
      <c r="AA149" s="3">
        <f>1522+(1423.3-377.5)+(-0.77622+(-0.725883--0.192525))+0-404.6--0.206345999999959</f>
        <v>2162.0967680000003</v>
      </c>
      <c r="AB149" s="3">
        <f>1521.9+(1510-475.7)+(-3.880845+(-3.8505--1.213035))+0-411.4--1.04906999999994</f>
        <v>2139.3307599999998</v>
      </c>
      <c r="AC149" s="3">
        <f>1517.2+(1729.3-755)+(-0.773772+(-0.881943--0.38505))+0-407.7--0.207926999999959</f>
        <v>2082.7372620000001</v>
      </c>
      <c r="AD149" s="2">
        <v>2184.6999999999998</v>
      </c>
      <c r="AE149" s="3">
        <f>1520+(1430.5-353.5)+(0+(0-0))+0-412.3-0</f>
        <v>2184.6999999999998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1490.5+(1876.3-968.2)+(0+(0-0))+0-407.5-0</f>
        <v>1991.1</v>
      </c>
      <c r="G150" s="3">
        <f>1477.6+(1732.5-883.2)+(-3.014304+(-3.5343--1.801728))+0-414.3--0.845171999999982</f>
        <v>1908.6982959999996</v>
      </c>
      <c r="H150" s="3">
        <f>1477+(1849.3-1079.7)+(-2.25981+(-2.829429--1.651941))+0-407.9--0.624087000000023</f>
        <v>1835.8867889999999</v>
      </c>
      <c r="I150" s="3">
        <f>1476.3+(1963-1247.9)+(-3.764565+(-5.00565--3.182145))+0-393.3--1.00291499999994</f>
        <v>1793.5148449999999</v>
      </c>
      <c r="J150" s="3">
        <f>1478.4+(2157.4-1461.3)+(1.507968+(2.200548-1.490526))+0-386.6-0.394332000000062</f>
        <v>1789.7236580000001</v>
      </c>
      <c r="K150" s="3">
        <f>1477.2+(2427-1749.8)+(-3.76686+(-6.18885--4.46199))+0-391.5--0.998324999999943</f>
        <v>1758.4046050000002</v>
      </c>
      <c r="L150" s="3">
        <f>1476.5+(2302.7-1695)+(-3.765075+(-5.871885--4.32225))+0-400--1.01999999999994</f>
        <v>1679.9052899999997</v>
      </c>
      <c r="M150" s="3">
        <f>1475.5+(2361-1739.1)+(0.752505+(1.20411-0.886941))+0-402.3-0.205172999999959</f>
        <v>1695.9645009999999</v>
      </c>
      <c r="N150" s="3">
        <f>1476.8+(2278.8-1528.4)+(1.506336+(2.324376-1.558968))+0-398.7-0.406674000000064</f>
        <v>1830.3650699999998</v>
      </c>
      <c r="O150" s="3">
        <f>1492.4+(2077.8-1224.8)+(2.283372+(3.179034-1.873944))+0-430-0.657900000000025</f>
        <v>1918.3305620000008</v>
      </c>
      <c r="P150" s="3">
        <f>1505.6+(1768.5-867.7)+(-0.767856+(-0.901935--0.442527))+0-437--0.222869999999956</f>
        <v>1968.3956059999996</v>
      </c>
      <c r="Q150" s="3">
        <f>1581+(1423.5-536.6)+(1.61262+(1.45197-0.547332))+0-400.5-0.408510000000064</f>
        <v>2069.5087479999997</v>
      </c>
      <c r="R150" s="3">
        <f>1646.6+(1168-332.7)+(-1.679532+(-1.19136--0.339354))+0-405.8--0.413916000000065</f>
        <v>2073.9823779999992</v>
      </c>
      <c r="S150" s="3">
        <f>1678.2+(1083.9-369.4)+(0.855882+(0.552789-0.188394))+0-405.7-0.206906999999959</f>
        <v>1988.0133700000001</v>
      </c>
      <c r="T150" s="3">
        <f>1690.2+(1027.1-309.2)+(0+(0-0))+0-409.4-0</f>
        <v>1998.6999999999998</v>
      </c>
      <c r="U150" s="3">
        <f>1856.6+(925.8-368.9)+(-2.840598+(-1.416474--0.564417))+0-409.9--0.627147000000024</f>
        <v>2000.534492</v>
      </c>
      <c r="V150" s="3">
        <f>1868.3+(1000.5-474.9)+(-2.858499+(-1.530765--0.726597))+0-399.3--0.610929000000023</f>
        <v>1991.548262</v>
      </c>
      <c r="W150" s="3">
        <f>1860.8+(1311.6-788)+(-4.74504+(-3.34458--2.0094))+0-405.6--1.03427999999994</f>
        <v>1973.7540599999998</v>
      </c>
      <c r="X150" s="3">
        <f>1847.1+(1784.7-1263.8)+(-2.826063+(-2.730591--1.933614))+0-402.4--0.615672000000023</f>
        <v>1962.5926320000001</v>
      </c>
      <c r="Y150" s="3">
        <f>1681+(2107.1-1432.4)+(1.71462+(2.149242-1.461048))+0-411.3-0.419526000000066</f>
        <v>1946.3832879999998</v>
      </c>
      <c r="Z150" s="3">
        <f>1598.7+(1584.1-680.3)+(0+(0-0))+0-418.9-0</f>
        <v>2083.6</v>
      </c>
      <c r="AA150" s="3">
        <f>1599.9+(1688.9-723.2)+(-0.815949+(-0.861339--0.368832))+0-419.6--0.213995999999957</f>
        <v>2144.9055400000002</v>
      </c>
      <c r="AB150" s="3">
        <f>1514.6+(1992-1000.6)+(-1.544892+(-2.03184--1.020612))+0-415.6--0.423912000000066</f>
        <v>2088.2677920000001</v>
      </c>
      <c r="AC150" s="3">
        <f>1498.3+(2184.4-1237.2)+(-3.056532+(-4.456176--2.523888))+0-415.9--0.848435999999982</f>
        <v>2025.4596159999999</v>
      </c>
      <c r="AD150" s="2">
        <v>2164.6</v>
      </c>
      <c r="AE150" s="3">
        <f>1599+(1610.7-614.6)+(0+(0-0))+0-430.5-0</f>
        <v>2164.6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1489.6+(2650.2-1757.5)+(-2.279088+(-4.054806--2.688975))+0-420.1--0.642753000000024</f>
        <v>1959.1978340000001</v>
      </c>
      <c r="G151" s="3">
        <f>1490+(2858.7-2073.5)+(0+(0-0))+0-413.8-0</f>
        <v>1861.3999999999999</v>
      </c>
      <c r="H151" s="3">
        <f>1488.3+(2899.3-2165.2)+(-3.795165+(-7.393215--5.52126))+0-411.9--1.05034499999994</f>
        <v>1805.8832250000003</v>
      </c>
      <c r="I151" s="3">
        <f>1487.8+(2840.7-2158.3)+(-3.035112+(-5.795028--4.402932))+0-415.9--0.848435999999982</f>
        <v>1750.7212279999997</v>
      </c>
      <c r="J151" s="3">
        <f>1488.6+(2791-2098.3)+(-1.518372+(-2.84682--2.140266))+0-408.6--0.416772000000065</f>
        <v>1770.891846</v>
      </c>
      <c r="K151" s="3">
        <f>1487.5+(2620.7-2033.4)+(-3.793125+(-6.682785--5.18517))+0-376.6--0.960329999999945</f>
        <v>1693.8695899999998</v>
      </c>
      <c r="L151" s="3">
        <f>1487.9+(2676.9-2177.1)+(-2.276487+(-4.095657--3.330963))+0-393.5--0.602055000000023</f>
        <v>1591.7608740000003</v>
      </c>
      <c r="M151" s="3">
        <f>1486.9+(2401.3-1919.8)+(-1.516638+(-2.449326--1.958196))+0-401.2--0.409224000000064</f>
        <v>1565.6014560000003</v>
      </c>
      <c r="N151" s="3">
        <f>1469.5+(2044.7-1489.9)+(0+(0-0))+0-392.9-0</f>
        <v>1631.4</v>
      </c>
      <c r="O151" s="3">
        <f>1448.2+(2089.2-1495)+(-1.477164+(-2.130984--1.5249))+0-363.8--0.371076000000058</f>
        <v>1676.8878280000001</v>
      </c>
      <c r="P151" s="3">
        <f>1466+(2077.7-1390.5)+(0.74766+(1.059627-0.709155))+0-379.4-0.193493999999962</f>
        <v>1774.7046379999999</v>
      </c>
      <c r="Q151" s="3">
        <f>1488.1+(2026.2-1301.3)+(0.758931+(1.033362-0.663663))+0-401.2-0.204611999999959</f>
        <v>1812.7240180000001</v>
      </c>
      <c r="R151" s="3">
        <f>1576+(1940-1263.2)+(-0.80376+(-0.9894--0.644232))+0-399.6--0.203795999999959</f>
        <v>1852.2548680000002</v>
      </c>
      <c r="S151" s="3">
        <f>1627.4+(1824.7-1200.8)+(-1.659948+(-1.861194--1.224816))+0-405.7--0.413814000000065</f>
        <v>1843.717488</v>
      </c>
      <c r="T151" s="3">
        <f>1627.9+(1608.2-1011.8)+(-3.320916+(-3.280728--2.064072))+0-373.7--0.762347999999984</f>
        <v>1846.8247759999999</v>
      </c>
      <c r="U151" s="3">
        <f>1628.1+(1457.7-847.1)+(-1.660662+(-1.486854--0.864042))+0-391.8--0.399636000000063</f>
        <v>1845.0161620000001</v>
      </c>
      <c r="V151" s="3">
        <f>1627.5+(1631.6-1000.7)+(-0.830025+(-0.832116--0.510357))+0-405.7--0.206906999999959</f>
        <v>1851.7551229999995</v>
      </c>
      <c r="W151" s="3">
        <f>1573.9+(1981.3-1290.8)+(-3.210756+(-4.041852--2.633232))+0-419.2--0.855167999999982</f>
        <v>1841.435792</v>
      </c>
      <c r="X151" s="3">
        <f>1538.6+(2301.3-1604.4)+(-3.138744+(-4.694652--3.272976))+0-413.9--0.844355999999982</f>
        <v>1817.8839360000002</v>
      </c>
      <c r="Y151" s="3">
        <f>1551.1+(2315.1-1451.7)+(-1.582122+(-2.361402--1.480734))+0-384.4--0.392088000000061</f>
        <v>2028.0292979999999</v>
      </c>
      <c r="Z151" s="3">
        <f>1570.5+(1688.1-714)+(0+(0-0))+0-279.6-0</f>
        <v>2265</v>
      </c>
      <c r="AA151" s="3">
        <f>1573.5+(1588.9-712.6)+(-2.407455+(-2.431017--1.090278))+0-390.2--0.597006000000023</f>
        <v>2056.4488120000005</v>
      </c>
      <c r="AB151" s="3">
        <f>1571.9+(1846.7-994.5)+(0+(0-0))+0-400.1-0</f>
        <v>2024.0000000000005</v>
      </c>
      <c r="AC151" s="3">
        <f>1528.5+(1736.8-896.9)+(0.779535+(0.885768-0.457419))+0-383.7-0.195686999999961</f>
        <v>1985.7121970000001</v>
      </c>
      <c r="AD151" s="2">
        <v>1988.1000000000001</v>
      </c>
      <c r="AE151" s="3">
        <f>1573+(1488.3-673.9)+(0+(0-0))+0-399.3-0</f>
        <v>1988.1000000000001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1497.8+(1949.1-1160.5)+(-0.763878+(-0.994041--0.591855))+0-373.2--0.190331999999962</f>
        <v>1912.2242679999995</v>
      </c>
      <c r="G152" s="3">
        <f>1499.5+(2387.1-1674.7)+(-2.294235+(-3.652263--2.562291))+0-394.8--0.604044000000023</f>
        <v>1814.3198369999996</v>
      </c>
      <c r="H152" s="3">
        <f>1497.1+(2809.6-2183.3)+(-0.763521+(-1.432896--1.113483))+0-394.4--0.20114399999996</f>
        <v>1728.1182099999994</v>
      </c>
      <c r="I152" s="3">
        <f>1497.3+(2854.8-2238.3)+(-3.054492+(-5.823792--4.566132))+0-401.5--0.819059999999982</f>
        <v>1708.8069080000002</v>
      </c>
      <c r="J152" s="3">
        <f>1461.4+(2633.5-1967.8)+(0.745314+(1.343085-1.003578))+0-403.1-0.205580999999959</f>
        <v>1724.8792400000004</v>
      </c>
      <c r="K152" s="3">
        <f>1447.9+(2697.3-2067.7)+(-0.738429+(-1.375623--1.054527))+0-402.6--0.205325999999959</f>
        <v>1674.0458010000004</v>
      </c>
      <c r="L152" s="3">
        <f>1448+(2573.2-2029.5)+(-0.73848+(-1.312332--1.035045))+0-405.3--0.206702999999959</f>
        <v>1585.5909359999998</v>
      </c>
      <c r="M152" s="3">
        <f>1447.8+(2257.9-1700.1)+(0+(0-0))+0-411.9-0</f>
        <v>1593.7000000000003</v>
      </c>
      <c r="N152" s="3">
        <f>1456.1+(1847.2-1145.1)+(0.742611+(0.942072-0.584001))+0-412.7-0.210476999999958</f>
        <v>1746.3902049999997</v>
      </c>
      <c r="O152" s="3">
        <f>1457.5+(2056.8-1255.6)+(0.743325+(1.048968-0.640356))+0-417.1-0.212720999999958</f>
        <v>1842.5392160000006</v>
      </c>
      <c r="P152" s="3">
        <f>1458.7+(2328.2-1443.5)+(0.743937+(1.187382-0.736185))+0-399.6-0.203795999999959</f>
        <v>1944.7913379999998</v>
      </c>
      <c r="Q152" s="3">
        <f>1460.1+(2362.8-1388.3)+(2.233953+(3.615084-2.124099))+0-364.2-0.557226000000021</f>
        <v>2073.5677120000005</v>
      </c>
      <c r="R152" s="3">
        <f>1564.6+(1883.1-1042.8)+(0.797946+(0.960381-0.531828))+0-380.7-0.194156999999961</f>
        <v>2025.2323419999996</v>
      </c>
      <c r="S152" s="3">
        <f>1642.9+(1610.8-916)+(-1.675758+(-1.643016--0.93432))+0-386.7--0.394434000000062</f>
        <v>1949.0099799999998</v>
      </c>
      <c r="T152" s="3">
        <f>1642.2+(1447.4-740.9)+(-0.837522+(-0.738174--0.377859))+0-392.6--0.20022599999996</f>
        <v>1955.1023890000001</v>
      </c>
      <c r="U152" s="3">
        <f>1645+(1536.6-814.1)+(0.83895+(0.783666-0.415191))+0-391.8-0.19981799999996</f>
        <v>1976.7076070000001</v>
      </c>
      <c r="V152" s="3">
        <f>1642.8+(1737.2-999.9)+(-0.837828+(-0.885972--0.509949))+0-398.8--0.20338799999996</f>
        <v>1980.2895369999999</v>
      </c>
      <c r="W152" s="3">
        <f>1642.7+(2184.2-1465.2)+(-0.837777+(-1.113942--0.747252))+0-399.4--0.203693999999959</f>
        <v>1961.2992269999997</v>
      </c>
      <c r="X152" s="3">
        <f>1644.8+(2476.3-1791.7)+(-2.516544+(-3.788739--2.741301))+0-406.8--0.622404000000023</f>
        <v>1919.658422</v>
      </c>
      <c r="Y152" s="3">
        <f>1652.7+(2315.4-1646.8)+(1.685754+(2.361708-1.679736))+0-403.7-0.411774000000064</f>
        <v>1919.5559519999999</v>
      </c>
      <c r="Z152" s="3">
        <f>1673.7+(1808.3-1001.1)+(0.853587+(0.922233-0.510561))+0-408.7-0.208436999999959</f>
        <v>2073.2568220000003</v>
      </c>
      <c r="AA152" s="3">
        <f>1676.3+(1820.9-973.6)+(-3.419652+(-3.714636--1.986144))+0-414.2--0.844967999999982</f>
        <v>2105.0968240000002</v>
      </c>
      <c r="AB152" s="3">
        <f>1673.4+(2291.6-1492.9)+(-1.706868+(-2.337432--1.522758))+0-383.6--0.391272000000061</f>
        <v>2086.3697299999999</v>
      </c>
      <c r="AC152" s="3">
        <f>1671.2+(2319.4-1579.7)+(0+(0-0))+0-410-0</f>
        <v>2000.9</v>
      </c>
      <c r="AD152" s="2">
        <v>2116.8000000000002</v>
      </c>
      <c r="AE152" s="3">
        <f>1668+(1702.3-818)+(0+(0-0))+0-435.5-0</f>
        <v>2116.8000000000002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1610.8+(2213.3-1499.9)+(-1.643016+(-2.257566--1.529898))+0-409.3--0.417486000000065</f>
        <v>1912.9468019999999</v>
      </c>
      <c r="G153" s="3">
        <f>1514.1+(2623.1-1949.4)+(-3.088764+(-5.351124--3.976776))+0-408.5--0.833339999999982</f>
        <v>1775.6702279999997</v>
      </c>
      <c r="H153" s="3">
        <f>1529.1+(2455.2-1868.5)+(-0.779841+(-1.252152--0.952935))+0-415.4--0.211853999999958</f>
        <v>1699.5327959999997</v>
      </c>
      <c r="I153" s="3">
        <f>1518.1+(2369.6-1838.7)+(0+(0-0))+0-409.5-0</f>
        <v>1639.5</v>
      </c>
      <c r="J153" s="3">
        <f>1514.8+(2488.5-1998.2)+(-2.317644+(-3.807405--3.057246))+0-400.3--0.612459000000023</f>
        <v>1602.344656</v>
      </c>
      <c r="K153" s="3">
        <f>1513.7+(2303.8-1839.9)+(-3.087948+(-4.699752--3.753396))+0-392.9--0.801515999999983</f>
        <v>1581.467212</v>
      </c>
      <c r="L153" s="3">
        <f>1514.5+(2188.7-1795.7)+(-6.17916+(-8.929896--7.326456))+0-385.3--1.57202399999997</f>
        <v>1515.9894239999999</v>
      </c>
      <c r="M153" s="3">
        <f>1513+(1707.1-1344.6)+(0+(0-0))+0-385.8-0</f>
        <v>1489.7</v>
      </c>
      <c r="N153" s="3">
        <f>1512+(1721.9-1310)+(1.54224+(1.756338-1.3362))+0-381.2-0.388824000000061</f>
        <v>1544.2735539999999</v>
      </c>
      <c r="O153" s="3">
        <f>1510.9+(1770.8-1282.3)+(-0.770559+(-0.903108--0.653973))+0-386.7--0.197216999999961</f>
        <v>1611.8775229999999</v>
      </c>
      <c r="P153" s="3">
        <f>1513.3+(2095.3-1534.9)+(-0.771783+(-1.068603--0.782799))+0-390.2--0.19900199999996</f>
        <v>1682.6414150000001</v>
      </c>
      <c r="Q153" s="3">
        <f>1514+(2085.5-1515.4)+(0+(0-0))+0-380-0</f>
        <v>1704.1</v>
      </c>
      <c r="R153" s="3">
        <f>1514.5+(1895-1277.1)+(-0.772395+(-0.96645--0.651321))+0-392.7--0.20027699999996</f>
        <v>1738.8127529999999</v>
      </c>
      <c r="S153" s="3">
        <f>1515+(1830.5-1242.4)+(-1.5453+(-1.86711--1.267248))+0-400--0.408000000000064</f>
        <v>1701.3628380000002</v>
      </c>
      <c r="T153" s="3">
        <f>1512.9+(1870.4-1288.9)+(-3.086316+(-3.815616--2.629356))+0-393.4--0.802535999999983</f>
        <v>1697.5299600000001</v>
      </c>
      <c r="U153" s="3">
        <f>1508.5+(1971.7-1363.4)+(1.53867+(2.011134-1.390668))+0-399.3-0.407286000000064</f>
        <v>1719.2518500000003</v>
      </c>
      <c r="V153" s="3">
        <f>1503.1+(1953.7-1341.7)+(2.299743+(2.989161-2.052801))+0-399.2-0.610776000000023</f>
        <v>1718.5253270000001</v>
      </c>
      <c r="W153" s="3">
        <f>1478.3+(2101.5-1476)+(-1.507866+(-2.14353--1.50552))+0-384.6--0.392292000000061</f>
        <v>1717.4464160000002</v>
      </c>
      <c r="X153" s="3">
        <f>1457.4+(1989.1-1330.4)+(-2.229822+(-3.043323--2.035512))+0-397.8--0.608634000000023</f>
        <v>1715.6710009999997</v>
      </c>
      <c r="Y153" s="3">
        <f>1463+(1559.4-894.4)+(-0.74613+(-0.795294--0.456144))+0-400.1--0.204050999999959</f>
        <v>1727.0187710000002</v>
      </c>
      <c r="Z153" s="3">
        <f>1514.9+(1539.9-703.5)+(-2.317797+(-2.356047--1.076355))+0-412.1--0.630513000000024</f>
        <v>1936.2330240000001</v>
      </c>
      <c r="AA153" s="3">
        <f>1543.8+(1407.8-578.6)+(-2.362014+(-2.153934--0.885258))+0-407.3--0.623169000000024</f>
        <v>1962.692479</v>
      </c>
      <c r="AB153" s="3">
        <f>1536.2+(1173.6-417.4)+(-0.783462+(-0.598536--0.212874))+0-366.3--0.186812999999963</f>
        <v>1925.1176890000002</v>
      </c>
      <c r="AC153" s="3">
        <f>1486.5+(1171.2-418.8)+(-0.758115+(-0.597312--0.213588))+0-368.2--0.187781999999963</f>
        <v>1869.7459430000001</v>
      </c>
      <c r="AD153" s="2">
        <v>1998.3000000000002</v>
      </c>
      <c r="AE153" s="3">
        <f>1528+(1599.6-711.8)+(0+(0-0))+0-417.5-0</f>
        <v>1998.3000000000002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1464.6+(1501.2-790.1)+(0.746946+(0.765612-0.402951))+0-393.7-0.20078699999996</f>
        <v>1782.9088199999997</v>
      </c>
      <c r="G154" s="3">
        <f>1458.2+(2020.6-1407.2)+(0.743682+(1.030506-0.717672))+0-380-0.193799999999961</f>
        <v>1692.462716</v>
      </c>
      <c r="H154" s="3">
        <f>1460+(2036-1478)+(-0.7446+(-1.03836--0.75378))+0-386.9--0.197318999999961</f>
        <v>1630.2681389999998</v>
      </c>
      <c r="I154" s="3">
        <f>1458.6+(2090.6-1573.5)+(-0.743886+(-1.066206--0.802485))+0-391.1--0.19946099999996</f>
        <v>1583.7918539999998</v>
      </c>
      <c r="J154" s="3">
        <f>1458.5+(1950.2-1466.2)+(-2.231505+(-2.983806--2.243286))+0-376.3--0.575739000000022</f>
        <v>1563.8037140000001</v>
      </c>
      <c r="K154" s="3">
        <f>1458.8+(1796.6-1312.6)+(0+(0-0))+0-389.5-0</f>
        <v>1553.3</v>
      </c>
      <c r="L154" s="3">
        <f>1457.3+(2000.7-1589.2)+(-3.716115+(-5.101785--4.05246))+0-373.8--0.953189999999946</f>
        <v>1491.1877500000001</v>
      </c>
      <c r="M154" s="3">
        <f>1457.8+(1851.6-1441.1)+(-1.486956+(-1.888632--1.469922))+0-387.4--0.395148000000062</f>
        <v>1479.389482</v>
      </c>
      <c r="N154" s="3">
        <f>1456.9+(1808.5-1312.9)+(1.486038+(1.84467-1.339158))+0-382.2-0.389844000000061</f>
        <v>1571.9017059999999</v>
      </c>
      <c r="O154" s="3">
        <f>1458.7+(1830.7-1218)+(-0.743937+(-0.933657--0.62118))+0-386.3--0.197012999999961</f>
        <v>1684.240599</v>
      </c>
      <c r="P154" s="3">
        <f>1460.1+(1779.5-1062.9)+(1.489302+(1.81509-1.084158))+0-386.1-0.393822000000062</f>
        <v>1792.4264119999998</v>
      </c>
      <c r="Q154" s="3">
        <f>1457.6+(1967.2-1181.2)+(-1.486752+(-2.006544--1.204824))+0-385.8--0.393516000000062</f>
        <v>1855.9050439999999</v>
      </c>
      <c r="R154" s="3">
        <f>1459.1+(1754.7-958.1)+(-0.744141+(-0.894897--0.488631))+0-382.6--0.195125999999961</f>
        <v>1872.1447189999999</v>
      </c>
      <c r="S154" s="3">
        <f>1457.7+(1536.2-803.2)+(-0.743427+(-0.783462--0.409632))+0-383.3--0.195482999999961</f>
        <v>1806.4782259999999</v>
      </c>
      <c r="T154" s="3">
        <f>1458.5+(1309.7-552.8)+(-2.97534+(-2.671788--1.127712))+0-383--0.781319999999983</f>
        <v>1828.661904</v>
      </c>
      <c r="U154" s="3">
        <f>1457.9+(1380.1-605.3)+(0+(0-0))+0-383.3-0</f>
        <v>1849.3999999999999</v>
      </c>
      <c r="V154" s="3">
        <f>1459+(1387-594.9)+(-0.74409+(-0.70737--0.303399))+0-387.1--0.197420999999961</f>
        <v>1863.04936</v>
      </c>
      <c r="W154" s="3">
        <f>1459.7+(1531.5-766.6)+(-2.977788+(-3.12426--1.563864))+0-369.2--0.753167999999984</f>
        <v>1851.6149839999998</v>
      </c>
      <c r="X154" s="3">
        <f>1441.5+(1588.6-809.6)+(-2.205495+(-2.430558--1.238688))+0-387.5--0.592875000000022</f>
        <v>1830.1955100000002</v>
      </c>
      <c r="Y154" s="3">
        <f>1474+(1447.7-693.7)+(-2.25522+(-2.214981--1.061361))+0-389.3--0.595629000000023</f>
        <v>1835.8867889999999</v>
      </c>
      <c r="Z154" s="3">
        <f>1659.7+(1387.1-656.2)+(-3.385788+(-2.829684--1.338648))+0-388.8--0.793151999999983</f>
        <v>1997.716328</v>
      </c>
      <c r="AA154" s="3">
        <f>1674.3+(1352.8-604.6)+(-1.707786+(-1.379856--0.616692))+0-388.4--0.396168000000062</f>
        <v>2032.025218</v>
      </c>
      <c r="AB154" s="3">
        <f>1673.2+(1297.8-554.2)+(-3.413328+(-2.647512--1.130568))+0-410.3--0.837011999999982</f>
        <v>2002.4067400000001</v>
      </c>
      <c r="AC154" s="3">
        <f>1644.3+(1628.1-904.6)+(0+(0-0))+0-407.9-0</f>
        <v>1959.8999999999996</v>
      </c>
      <c r="AD154" s="2">
        <v>1986.2</v>
      </c>
      <c r="AE154" s="3">
        <f>1665+(1299.9-561)+(0+(0-0))+0-417.7-0</f>
        <v>1986.2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1516.7+(2157.9-1402.6)+(0.773517+(1.100529-0.715326))+0-405.3-0.206702999999959</f>
        <v>1867.6520169999999</v>
      </c>
      <c r="G155" s="3">
        <f>1507.9+(2332.2-1667.6)+(0.769029+(1.189422-0.850476))+0-407.1-0.207620999999959</f>
        <v>1766.300354</v>
      </c>
      <c r="H155" s="3">
        <f>1507.3+(2406.2-1806.1)+(0+(0-0))+0-408.8-0</f>
        <v>1698.5999999999997</v>
      </c>
      <c r="I155" s="3">
        <f>1507.8+(2400.2-1854.8)+(0+(0-0))+0-408.9-0</f>
        <v>1644.2999999999997</v>
      </c>
      <c r="J155" s="3">
        <f>1505.3+(2212.3-1685.5)+(-3.070812+(-4.513092--3.43842))+0-407.3--0.830891999999982</f>
        <v>1621.4854080000002</v>
      </c>
      <c r="K155" s="3">
        <f>1506.2+(2148.2-1625.9)+(-3.072648+(-4.382328--3.316836))+0-410.8--0.838031999999982</f>
        <v>1614.3998919999997</v>
      </c>
      <c r="L155" s="3">
        <f>1499.4+(2030.6-1522.9)+(-6.117552+(-8.284848--6.213432))+0-411.4--1.67851199999996</f>
        <v>1589.1895439999998</v>
      </c>
      <c r="M155" s="3">
        <f>1506.6+(1687.7-1165.7)+(1.536732+(1.721454-1.189014))+0-410.4-0.418608000000065</f>
        <v>1619.8505639999996</v>
      </c>
      <c r="N155" s="3">
        <f>1507.9+(1816.3-1168.9)+(1.538058+(1.852626-1.192278))+0-401.1-0.409122000000064</f>
        <v>1755.9892840000002</v>
      </c>
      <c r="O155" s="3">
        <f>1507+(1685.3-939.2)+(0.76857+(0.859503-0.478992))+0-384.9-0.196298999999961</f>
        <v>1869.1527819999999</v>
      </c>
      <c r="P155" s="3">
        <f>1509+(1633.1-799.7)+(0.76959+(0.832881-0.407847))+0-372.8-0.190127999999962</f>
        <v>1970.6044959999999</v>
      </c>
      <c r="Q155" s="3">
        <f>1509.6+(1590.5-691.8)+(2.309688+(2.433465-1.058454))+0-387.3-0.592569000000022</f>
        <v>2024.0921300000002</v>
      </c>
      <c r="R155" s="3">
        <f>1505.8+(1385.3-534.1)+(-0.767958+(-0.706503--0.272391))+0-381.4--0.194513999999961</f>
        <v>1974.5924440000001</v>
      </c>
      <c r="S155" s="3">
        <f>1596+(1362.3-624.8)+(-1.62792+(-1.389546--0.637296))+0-384.5--0.392190000000061</f>
        <v>1947.0120200000001</v>
      </c>
      <c r="T155" s="3">
        <f>1644.6+(1248-554.4)+(-2.516238+(-1.90944--0.848232))+0-332.5--0.508725000000019</f>
        <v>2002.6312789999999</v>
      </c>
      <c r="U155" s="3">
        <f>1643.7+(1391.9-605.7)+(0.838287+(0.709869-0.308907))+0-413-0.210629999999958</f>
        <v>2017.9286190000003</v>
      </c>
      <c r="V155" s="3">
        <f>1643.4+(1513.6-818.6)+(-0.838134+(-0.771936--0.417486))+0-385.3--0.196502999999961</f>
        <v>1952.1039190000001</v>
      </c>
      <c r="W155" s="3">
        <f>1643.9+(1883.6-1141.5)+(-0.838389+(-0.960636--0.582165))+0-370.9--0.189158999999962</f>
        <v>2014.0722989999999</v>
      </c>
      <c r="X155" s="3">
        <f>1621.2+(2423.2-1679.9)+(-2.480436+(-3.707496--2.570247))+0-397.5--0.608175000000023</f>
        <v>1963.9904899999999</v>
      </c>
      <c r="Y155" s="3">
        <f>1617.8+(2279.8-1599.1)+(-1.650156+(-2.325396--1.631082))+0-383.8--0.391476000000061</f>
        <v>1912.7470060000001</v>
      </c>
      <c r="Z155" s="3">
        <f>1855.2+(2237.4-1601.5)+(0.946152+(1.141074-0.816765))+0-400.7-0.204356999999959</f>
        <v>2091.4661040000005</v>
      </c>
      <c r="AA155" s="3">
        <f>1862.7+(2132.8-1468.1)+(-3.799908+(-4.350912--2.994924))+0-397.5--0.810899999999983</f>
        <v>2125.5550040000003</v>
      </c>
      <c r="AB155" s="3">
        <f>1862.9+(2421.9-1784.3)+(0.950079+(1.235169-0.909993))+0-402.6-0.205325999999959</f>
        <v>2098.9699290000003</v>
      </c>
      <c r="AC155" s="3">
        <f>1853.3+(2373-1814)+(1.890366+(2.42046-1.85028))+0-400.7-0.408714000000064</f>
        <v>2013.6518319999998</v>
      </c>
      <c r="AD155" s="2">
        <v>2165.3000000000002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1656.4+(2715.2-2028.8)+(-1.689528+(-2.769504--2.069376))+0-404.7--0.412794000000065</f>
        <v>1936.1231380000004</v>
      </c>
      <c r="G156" s="3">
        <f>1543.2+(2924.6-2247.6)+(-0.787032+(-1.491546--1.146276))+0-405--0.206549999999959</f>
        <v>1814.2742479999997</v>
      </c>
      <c r="H156" s="3">
        <f>1459.9+(2502.1-1805.7)+(-2.978196+(-5.104284--3.683628))+0-410.3--0.837011999999982</f>
        <v>1742.4381600000004</v>
      </c>
      <c r="I156" s="3">
        <f>1460.3+(2473.5-1836)+(0.744753+(1.261485-0.93636))+0-408.5-0.208334999999959</f>
        <v>1690.1615429999999</v>
      </c>
      <c r="J156" s="3">
        <f>1461.8+(2563.4-1950.6)+(4.473108+(7.844004-5.968836))+0-412.5-1.26225000000005</f>
        <v>1667.1860260000005</v>
      </c>
      <c r="K156" s="3">
        <f>1460.3+(2523.2-1925.3)+(0.744753+(1.286832-0.981903))+0-414.1-0.211190999999958</f>
        <v>1644.9384909999999</v>
      </c>
      <c r="L156" s="3">
        <f>1459.6+(2562.5-2008.7)+(-2.977584+(-5.2275--4.097748))+0-415.9--0.848435999999982</f>
        <v>1594.2411</v>
      </c>
      <c r="M156" s="3">
        <f>1458.4+(2306.5-1703.4)+(-0.743784+(-1.176315--0.868734))+0-412.2--0.210221999999958</f>
        <v>1648.4588570000001</v>
      </c>
      <c r="N156" s="3">
        <f>1459.4+(2427.4-1672)+(1.488588+(2.475948-1.70544))+0-416.6-0.424932000000066</f>
        <v>1800.0341639999999</v>
      </c>
      <c r="O156" s="3">
        <f>1460.7+(2378.7-1540.8)+(0+(0-0))+0-420.4-0</f>
        <v>1878.1999999999998</v>
      </c>
      <c r="P156" s="3">
        <f>1465.1+(2166.3-1213.3)+(0+(0-0))+0-410.8-0</f>
        <v>2007.3000000000004</v>
      </c>
      <c r="Q156" s="3">
        <f>1555.2+(2003.9-1175.8)+(-1.586304+(-2.043978--1.199316))+0-398.8--0.406776000000064</f>
        <v>1982.4758100000004</v>
      </c>
      <c r="R156" s="3">
        <f>1649.9+(1576.6-807.3)+(-1.682898+(-1.608132--0.823446))+0-389.5--0.397290000000062</f>
        <v>2027.6297059999999</v>
      </c>
      <c r="S156" s="3">
        <f>1650.1+(1405.1-717)+(-1.683102+(-1.433202--0.73134))+0-403.4--0.411468000000064</f>
        <v>1932.8265039999999</v>
      </c>
      <c r="T156" s="3">
        <f>1648.7+(1403.1-657.8)+(0+(0-0))+0-404.1-0</f>
        <v>1989.9</v>
      </c>
      <c r="U156" s="3">
        <f>1648.5+(1433.4-691.2)+(0.840735+(0.731034-0.352512))+0-392.6-0.20022599999996</f>
        <v>1999.1190310000002</v>
      </c>
      <c r="V156" s="3">
        <f>1646.8+(1641.9-833.9)+(-4.19934+(-4.186845--2.126445))+0-406.8--1.03733999999994</f>
        <v>2042.7776000000001</v>
      </c>
      <c r="W156" s="3">
        <f>1600.4+(2121.5-1289)+(-3.264816+(-4.32786--2.62956))+0-407.3--0.830891999999982</f>
        <v>2021.4677760000002</v>
      </c>
      <c r="X156" s="3">
        <f>1568.9+(2541.8-1740.4)+(-3.200556+(-5.185272--3.550416))+0-412--0.840479999999982</f>
        <v>1954.3050680000003</v>
      </c>
      <c r="Y156" s="3">
        <f>1446.9+(2355.9-1470)+(-0.737919+(-1.201509--0.7497))+0-411.2--0.209711999999958</f>
        <v>1920.6199840000002</v>
      </c>
      <c r="Z156" s="3">
        <f>1453.2+(2206.7-1197)+(0+(0-0))+0-409.7-0</f>
        <v>2053.1999999999998</v>
      </c>
      <c r="AA156" s="3">
        <f>1488.2+(2179.9-1174.5)+(-3.79491+(-5.558745--2.994975))+0-398.7--1.01668499999994</f>
        <v>2089.5580050000008</v>
      </c>
      <c r="AB156" s="3">
        <f>1443.6+(2264.1-1276.8)+(-2.944944+(-4.618764--2.604672))+0-394.5--0.804779999999983</f>
        <v>2032.2457439999994</v>
      </c>
      <c r="AC156" s="3">
        <f>1443.5+(2419.1-1508.9)+(-1.47237+(-2.467482--1.539078))+0-396.2--0.404124000000063</f>
        <v>1955.5033499999997</v>
      </c>
      <c r="AD156" s="2">
        <v>2095.9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1445.8+(2285.3-1447.1)+(0+(0-0))+0-399.1-0</f>
        <v>1884.9</v>
      </c>
      <c r="G157" s="3">
        <f>1444.3+(2439.6-1672.2)+(0.736593+(1.244196-0.852822))+0-403.6-0.205835999999959</f>
        <v>1809.0221309999999</v>
      </c>
      <c r="H157" s="3">
        <f>1444.8+(2381.9-1687.6)+(2.947392+(4.859076-3.442704))+0-406.7-0.829667999999982</f>
        <v>1735.9340960000004</v>
      </c>
      <c r="I157" s="3">
        <f>1446.8+(2680.3-2021.4)+(-0.737868+(-1.366953--1.030914))+0-408.2--0.208181999999959</f>
        <v>1696.6342749999997</v>
      </c>
      <c r="J157" s="3">
        <f>1454.7+(2738.8-2115)+(-1.483794+(-2.793576--2.1573))+0-411.4--0.419628000000066</f>
        <v>1665.3995580000001</v>
      </c>
      <c r="K157" s="3">
        <f>1454+(2587.8-1961.4)+(-2.22462+(-3.959334--3.000942))+0-416.8--0.637704000000024</f>
        <v>1661.0546920000002</v>
      </c>
      <c r="L157" s="3">
        <f>1453+(2549.2-1957.6)+(-5.18721+(-9.100644--6.988632))+0-414.8--1.48083600000001</f>
        <v>1623.9816139999998</v>
      </c>
      <c r="M157" s="3">
        <f>1454.2+(2360.9-1733.8)+(-0.741642+(-1.204059--0.884238))+0-425.4--0.216953999999957</f>
        <v>1655.0554910000001</v>
      </c>
      <c r="N157" s="3">
        <f>1452.6+(2390.1-1637.9)+(2.222478+(3.656853-2.505987))+0-423.1-0.647343000000025</f>
        <v>1784.4260009999998</v>
      </c>
      <c r="O157" s="3">
        <f>1452.2+(2222-1392.2)+(-1.481244+(-2.26644--1.420044))+0-410.1--0.418302000000065</f>
        <v>1869.9906620000002</v>
      </c>
      <c r="P157" s="3">
        <f>1457.7+(1864.4-957.6)+(-0.743427+(-0.950844--0.488376))+0-408--0.208079999999959</f>
        <v>1955.5021849999998</v>
      </c>
      <c r="Q157" s="3">
        <f>1534.1+(1977.3-1092.1)+(0.782391+(1.008423-0.556971))+0-403.5-0.205784999999959</f>
        <v>2016.8280580000003</v>
      </c>
      <c r="R157" s="3">
        <f>1544.1+(2005.8-1113.2)+(0.787491+(1.022958-0.567732))+0-404.8-0.206447999999959</f>
        <v>2032.936269</v>
      </c>
      <c r="S157" s="3">
        <f>1539.7+(2134.9-1301)+(1.570494+(2.177598-1.32702))+0-402.3-0.410346000000064</f>
        <v>1973.3107260000004</v>
      </c>
      <c r="T157" s="3">
        <f>1626.7+(2208.3-1451.4)+(-3.318468+(-4.504932--2.960856))+0-406.2--0.828647999999982</f>
        <v>1973.3661040000002</v>
      </c>
      <c r="U157" s="3">
        <f>1636.9+(2399.8-1654)+(-1.669638+(-2.447796--1.68708))+0-408.9--0.417078000000065</f>
        <v>1971.7867240000003</v>
      </c>
      <c r="V157" s="3">
        <f>1615.4+(2415.4-1642.6)+(-0.823854+(-1.231854--0.837726))+0-408.8--0.208487999999959</f>
        <v>1978.3905060000002</v>
      </c>
      <c r="W157" s="3">
        <f>1451.9+(2529.8-1630.5)+(-2.221407+(-3.870594--2.494665))+0-393.9--0.602667000000023</f>
        <v>1954.3053310000005</v>
      </c>
      <c r="X157" s="3">
        <f>1423+(2501.7-1647.3)+(-4.35438+(-7.655202--5.040738))+0-397.4--1.21604400000005</f>
        <v>1874.2471999999996</v>
      </c>
      <c r="Y157" s="3">
        <f>1463.1+(2176.5-1360.3)+(0+(0-0))+0-409.3-0</f>
        <v>1870.0000000000002</v>
      </c>
      <c r="Z157" s="3">
        <f>1564.1+(2475-1576)+(0.797691+(1.26225-0.80376))+0-419.9-0.214148999999957</f>
        <v>2044.2420320000001</v>
      </c>
      <c r="AA157" s="3">
        <f>1693.3+(2674.9-1880.7)+(-2.590749+(-4.092597--2.877471))+0-415.6--0.635868000000024</f>
        <v>2068.7299929999999</v>
      </c>
      <c r="AB157" s="3">
        <f>1650.7+(2820.2-2029)+(-1.683714+(-2.876604--2.06958))+0-410.3--0.418506000000065</f>
        <v>2029.5277679999997</v>
      </c>
      <c r="AC157" s="3">
        <f>1556+(2954.9-2160.9)+(-1.58712+(-3.013998--2.204118))+0-406.7--0.414834000000065</f>
        <v>1941.3178340000002</v>
      </c>
      <c r="AD157" s="2">
        <v>2070.3999999999996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1495.4+(2769.8-2039.2)+(0+(0-0))+0-403-0</f>
        <v>1823</v>
      </c>
      <c r="G158" s="3">
        <f>1490.6+(2912.9-2240.7)+(-2.280618+(-4.456737--3.428271))+0-400.4--0.612612000000023</f>
        <v>1759.7035280000002</v>
      </c>
      <c r="H158" s="3">
        <f>1458.2+(2931.1-2298.9)+(-2.231046+(-4.484583--3.517317))+0-406.6--0.622098000000024</f>
        <v>1681.2237859999998</v>
      </c>
      <c r="I158" s="3">
        <f>1454.6+(2911.4-2330)+(-2.967384+(-5.939256--4.7532))+0-399.2--0.814367999999983</f>
        <v>1633.460928</v>
      </c>
      <c r="J158" s="3">
        <f>1457.2+(2675.9-2135.3)+(-3.71586+(-6.823545--5.445015))+0-402.2--1.02560999999994</f>
        <v>1591.5312199999998</v>
      </c>
      <c r="K158" s="3">
        <f>1455.7+(2616.5-2068.5)+(-0.742407+(-1.334415--1.054935))+0-406.1--0.207110999999959</f>
        <v>1596.785224</v>
      </c>
      <c r="L158" s="3">
        <f>1457+(2823.6-2297.4)+(0+(0-0))+0-399.8-0</f>
        <v>1583.3999999999999</v>
      </c>
      <c r="M158" s="3">
        <f>1454.8+(2889.2-2411.1)+(-2.225844+(-4.420476--3.688983))+0-400.6--0.612918000000023</f>
        <v>1529.9555809999999</v>
      </c>
      <c r="N158" s="3">
        <f>1440.6+(2811.6-2241.2)+(0+(0-0))+0-405.8-0</f>
        <v>1605.2</v>
      </c>
      <c r="O158" s="3">
        <f>1412.9+(2431.1-1764.3)+(0.720579+(1.239861-0.899793))+0-431.9-0.220268999999956</f>
        <v>1648.6403779999996</v>
      </c>
      <c r="P158" s="3">
        <f>1419.8+(2283.7-1530.6)+(-1.448196+(-2.329374--1.561212))+0-433.6--0.442272000000069</f>
        <v>1737.5259139999996</v>
      </c>
      <c r="Q158" s="3">
        <f>1451.5+(2529.5-1753.3)+(-0.740265+(-1.290045--0.894183))+0-423.2--0.215831999999957</f>
        <v>1803.5797049999994</v>
      </c>
      <c r="R158" s="3">
        <f>1632.2+(2841.8-2222)+(-0.832422+(-1.449318--1.13322))+0-422.1--0.215270999999957</f>
        <v>1828.9667509999999</v>
      </c>
      <c r="S158" s="3">
        <f>1623.7+(2591.4-1998.3)+(-1.656174+(-2.643228--2.038266))+0-416.2--0.424524000000066</f>
        <v>1798.7633880000001</v>
      </c>
      <c r="T158" s="3">
        <f>1624.9+(2452.3-1831.8)+(-1.657398+(-2.501346--1.868436))+0-433.8--0.442476000000069</f>
        <v>1809.7521680000007</v>
      </c>
      <c r="U158" s="3">
        <f>1610.2+(2569.8-1945.9)+(4.10601+(6.55299-4.962045))+0-440.5-1.12327499999994</f>
        <v>1798.1736800000003</v>
      </c>
      <c r="V158" s="3">
        <f>1597.7+(2599.5-1954.4)+(0.814827+(1.325745-0.996744))+0-450-0.229499999999954</f>
        <v>1793.7143280000005</v>
      </c>
      <c r="W158" s="3">
        <f>1527.7+(2639.8-1909.8)+(-1.558254+(-2.692596--1.947996))+0-452.1--0.461142000000072</f>
        <v>1803.7582880000004</v>
      </c>
      <c r="X158" s="3">
        <f>1534.2+(2451.4-1757.3)+(0.782442+(1.250214-0.896223))+0-441.2-0.225011999999955</f>
        <v>1788.0114210000004</v>
      </c>
      <c r="Y158" s="3">
        <f>1480.8+(2161.8-1407.1)+(0.755208+(1.102518-0.717621))+0-451.2-0.230111999999954</f>
        <v>1785.2099929999999</v>
      </c>
      <c r="Z158" s="3">
        <f>1561.2+(2418.2-1555.5)+(0+(0-0))+0-453.3-0</f>
        <v>1970.5999999999997</v>
      </c>
      <c r="AA158" s="3">
        <f>1590+(2434.3-1609.4)+(-4.8654+(-7.448958--4.924764))+0-441.9--1.35221400000005</f>
        <v>1966.9626199999998</v>
      </c>
      <c r="AB158" s="3">
        <f>1587.5+(2663.9-1868.2)+(-3.2385+(-5.434356--3.811128))+0-445.8--0.909431999999981</f>
        <v>1933.4477039999999</v>
      </c>
      <c r="AC158" s="3">
        <f>1578.4+(2913-2162.5)+(-0.804984+(-1.48563--1.102875))+0-443.2--0.226031999999955</f>
        <v>1884.7382930000001</v>
      </c>
      <c r="AD158" s="2">
        <v>2024.6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1521.3+(2948.8-2206.4)+(1.551726+(3.007776-2.250528))+0-437.1-0.44584200000007</f>
        <v>1828.4631319999999</v>
      </c>
      <c r="G159" s="3">
        <f>1452.6+(2885-2165.4)+(-2.222478+(-4.41405--3.313062))+0-443.4--0.678402000000026</f>
        <v>1726.1549359999999</v>
      </c>
      <c r="H159" s="3">
        <f>1454.1+(2505.4-1830.6)+(0+(0-0))+0-449.5-0</f>
        <v>1679.4</v>
      </c>
      <c r="I159" s="3">
        <f>1454.1+(2453.6-1805.8)+(-2.966364+(-5.005344--3.683832))+0-452.9--0.92391599999998</f>
        <v>1645.6360399999996</v>
      </c>
      <c r="J159" s="3">
        <f>1454+(2449.9-1839.3)+(-2.96616+(-4.997796--3.752172))+0-444.9--0.907595999999981</f>
        <v>1616.3958120000002</v>
      </c>
      <c r="K159" s="3">
        <f>1453.1+(2547.5-1943)+(0.741081+(1.299225-0.99093))+0-446.1-0.227510999999955</f>
        <v>1612.3218649999999</v>
      </c>
      <c r="L159" s="3">
        <f>1453.7+(2311.9-1750.8)+(-1.482774+(-2.358138--1.785816))+0-435.4--0.444108000000069</f>
        <v>1577.7890120000002</v>
      </c>
      <c r="M159" s="3">
        <f>1453.7+(2028.2-1426)+(2.965548+(4.137528-2.90904))+0-429.4-0.875975999999981</f>
        <v>1629.8180599999998</v>
      </c>
      <c r="N159" s="3">
        <f>1454.8+(2200.1-1445.8)+(0.741948+(1.122051-0.737358))+0-427.5-0.218024999999957</f>
        <v>1782.5086159999998</v>
      </c>
      <c r="O159" s="3">
        <f>1470.1+(2158.2-1311.8)+(1.499502+(2.201364-1.338036))+0-424.2-0.432684000000068</f>
        <v>1894.2301459999999</v>
      </c>
      <c r="P159" s="3">
        <f>1473.8+(2171.8-1237.8)+(0.751638+(1.107618-0.631278))+0-426.6-0.217565999999957</f>
        <v>1982.2104120000001</v>
      </c>
      <c r="Q159" s="3">
        <f>1461.9+(2070.7-1076.3)+(2.236707+(3.168171-1.646739))+0-417.9-0.639387000000024</f>
        <v>2041.5187520000002</v>
      </c>
      <c r="R159" s="3">
        <f>1473.9+(1940.6-929.8)+(-2.255067+(-2.969118--1.422594))+0-420--0.642600000000024</f>
        <v>2061.541009</v>
      </c>
      <c r="S159" s="3">
        <f>1640.3+(2086-1297.8)+(-1.673106+(-2.12772--1.323756))+0-415--0.423300000000066</f>
        <v>2011.4462300000002</v>
      </c>
      <c r="T159" s="3">
        <f>1643.3+(1881.4-1076.1)+(0.838083+(0.959514-0.548811))+0-421.6-0.215015999999957</f>
        <v>2028.0337700000007</v>
      </c>
      <c r="U159" s="3">
        <f>1642.7+(1851.5-1038.6)+(0.837777+(0.944265-0.529686))+0-422.2-0.215321999999957</f>
        <v>2034.4370340000003</v>
      </c>
      <c r="V159" s="3">
        <f>1644.3+(1999.7-1177)+(-3.354372+(-4.079388--2.40108))+0-424.7--0.866387999999981</f>
        <v>2038.1337080000001</v>
      </c>
      <c r="W159" s="3">
        <f>1642.8+(2102.3-1289.7)+(-2.513484+(-3.216519--1.973241))+0-422.6--0.646578000000024</f>
        <v>2029.6898160000003</v>
      </c>
      <c r="X159" s="3">
        <f>1642.5+(2122.8-1363.3)+(-2.513025+(-3.247884--2.085849))+0-423--0.647190000000024</f>
        <v>1975.9721300000001</v>
      </c>
      <c r="Y159" s="3">
        <f>1653.4+(1922.4-1201.7)+(-0.843234+(-0.980424--0.612867))+0-406.2--0.207161999999959</f>
        <v>1966.8963710000003</v>
      </c>
      <c r="Z159" s="3">
        <f>1676.9+(1842.5-1012.6)+(0+(0-0))+0-394.6-0</f>
        <v>2112.2000000000003</v>
      </c>
      <c r="AA159" s="3">
        <f>1633.9+(1920.6-1026)+(-4.166445+(-4.89753--2.6163))+0-385.7--0.983534999999944</f>
        <v>2137.3358600000001</v>
      </c>
      <c r="AB159" s="3">
        <f>1533.2+(2345.8-1390.9)+(-3.90966+(-5.98179--3.546795))+0-396.7--1.01158499999994</f>
        <v>2086.0669300000004</v>
      </c>
      <c r="AC159" s="3">
        <f>1491.8+(2626.5-1709.7)+(-3.80409+(-6.697575--4.359735))+0-407.3--1.03861499999994</f>
        <v>1996.1966850000001</v>
      </c>
      <c r="AD159" s="2">
        <v>2215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1477.3+(2860.9-2006.9)+(-0.753423+(-1.459059--1.023519))+0-421.8--0.215117999999957</f>
        <v>1908.526155</v>
      </c>
      <c r="G160" s="3">
        <f>1459.8+(2862.2-2072.5)+(2.977992+(5.838888-4.2279))+0-425.1-0.867203999999981</f>
        <v>1828.1217760000002</v>
      </c>
      <c r="H160" s="3">
        <f>1463.8+(2701.6-1973.1)+(-2.239614+(-4.133448--3.018843))+0-426.5--0.652545000000025</f>
        <v>1763.0983260000003</v>
      </c>
      <c r="I160" s="3">
        <f>1460.5+(2866.6-2180.5)+(1.48971+(2.923932-2.22411))+0-418.9-0.427278000000067</f>
        <v>1729.4622539999996</v>
      </c>
      <c r="J160" s="3">
        <f>1460.3+(2535.8-1880.3)+(-2.979012+(-5.173032--3.835812))+0-418.1--0.852923999999982</f>
        <v>1694.2366920000002</v>
      </c>
      <c r="K160" s="3">
        <f>1458.6+(2366.1-1692.3)+(-0.743886+(-1.206711--0.863073))+0-424.1--0.216290999999957</f>
        <v>1707.4287669999997</v>
      </c>
      <c r="L160" s="3">
        <f>1459.4+(2406.5-1744.5)+(-3.72147+(-6.136575--4.448475))+0-416.5--1.06207499999994</f>
        <v>1700.5525050000003</v>
      </c>
      <c r="M160" s="3">
        <f>1459.1+(2384.3-1700.4)+(0+(0-0))+0-424.5-0</f>
        <v>1718.5</v>
      </c>
      <c r="N160" s="3">
        <f>1458.4+(2367.3-1583.3)+(0.743784+(1.207323-0.807483))+0-406.9-0.207518999999959</f>
        <v>1836.4361050000002</v>
      </c>
      <c r="O160" s="3">
        <f>1458.7+(2022.7-1179.9)+(0.743937+(1.031577-0.601749))+0-411.5-0.209864999999958</f>
        <v>1890.9639</v>
      </c>
      <c r="P160" s="3">
        <f>1462.1+(2274.2-1333)+(-0.745671+(-1.159842--0.67983))+0-408.8--0.208487999999959</f>
        <v>1993.4828049999996</v>
      </c>
      <c r="Q160" s="3">
        <f>1459.8+(2220.8-1243.6)+(1.488996+(2.265216-1.268472))+0-388.6-0.396372000000062</f>
        <v>2050.489368</v>
      </c>
      <c r="R160" s="3">
        <f>1545.9+(1907.8-1028.2)+(-0.788409+(-0.972978--0.524382))+0-402--0.205019999999959</f>
        <v>2022.4680149999999</v>
      </c>
      <c r="S160" s="3">
        <f>1647.9+(2094.5-1369.8)+(-1.680858+(-2.13639--1.397196))+0-405.7--0.413814000000065</f>
        <v>1964.8937620000004</v>
      </c>
      <c r="T160" s="3">
        <f>1643+(1982.6-1234.4)+(0+(0-0))+0-409.9-0</f>
        <v>1981.2999999999997</v>
      </c>
      <c r="U160" s="3">
        <f>1640.9+(2002.5-1234.3)+(0.836859+(1.021275-0.629493))+0-414.7-0.211496999999958</f>
        <v>1995.4171440000005</v>
      </c>
      <c r="V160" s="3">
        <f>1635.7+(2177.4-1424.6)+(-0.834207+(-1.110474--0.726546))+0-394.2--0.20104199999996</f>
        <v>1993.2829069999998</v>
      </c>
      <c r="W160" s="3">
        <f>1642.1+(2521.9-1794.2)+(-1.674942+(-2.572338--1.830084))+0-394.8--0.402696000000063</f>
        <v>1972.9855000000005</v>
      </c>
      <c r="X160" s="3">
        <f>1490.8+(2297.9-1469.8)+(1.520616+(2.343858-1.499196))+0-393-0.400860000000063</f>
        <v>1927.8644180000003</v>
      </c>
      <c r="Y160" s="3">
        <f>1465.7+(2194.7-1353.8)+(0.747507+(1.119297-0.690438))+0-390.5-0.19915499999996</f>
        <v>1917.077211</v>
      </c>
      <c r="Z160" s="3">
        <f>1485.8+(2376.8-1404)+(-1.515516+(-2.424336--1.43208))+0-391--0.398820000000062</f>
        <v>2065.4910480000003</v>
      </c>
      <c r="AA160" s="3">
        <f>1485.7+(2302.1-1333.9)+(-2.273121+(-3.522213--2.040867))+0-391.9--0.599607000000023</f>
        <v>2058.8451399999994</v>
      </c>
      <c r="AB160" s="3">
        <f>1484.4+(2307.8-1394.3)+(-2.271132+(-3.530934--2.133279))+0-391.8--0.599454000000023</f>
        <v>2003.0306670000004</v>
      </c>
      <c r="AC160" s="3">
        <f>1470.8+(2281.4-1442.5)+(-3.75054+(-5.81757--3.678375))+0-392.9--1.00189499999994</f>
        <v>1911.9121599999994</v>
      </c>
      <c r="AD160" s="2">
        <v>2096.3000000000002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1462.5+(2690-1900.8)+(0+(0-0))+0-390.6-0</f>
        <v>1861.1</v>
      </c>
      <c r="G161" s="3">
        <f>1460.6+(2559.1-1849.3)+(-0.744906+(-1.305141--0.943143))+0-393--0.20042999999996</f>
        <v>1776.4935259999993</v>
      </c>
      <c r="H161" s="3">
        <f>1459.8+(2596.4-1953.3)+(0+(0-0))+0-391.3-0</f>
        <v>1711.6000000000001</v>
      </c>
      <c r="I161" s="3">
        <f>1459.4+(2532.6-1923.4)+(-2.977176+(-5.166504--3.923736))+0-389.7--0.794987999999983</f>
        <v>1675.4750439999998</v>
      </c>
      <c r="J161" s="3">
        <f>1459.1+(2136.6-1564.9)+(0+(0-0))+0-384.8-0</f>
        <v>1645.9999999999998</v>
      </c>
      <c r="K161" s="3">
        <f>1459.3+(1983.8-1512.1)+(-3.721215+(-5.05869--3.855855))+0-277.1--0.70660499999996</f>
        <v>1649.6825549999999</v>
      </c>
      <c r="L161" s="3">
        <f>1458.4+(2057.2-1575.2)+(-3.71892+(-5.24586--4.01676))+0-311.8--0.795089999999955</f>
        <v>1624.4470699999997</v>
      </c>
      <c r="M161" s="3">
        <f>1456.9+(1830.6-1254)+(0.743019+(0.933606-0.63954))+0-377.8-0.192677999999962</f>
        <v>1656.5444070000001</v>
      </c>
      <c r="N161" s="3">
        <f>1454.2+(2058.3-1352.3)+(0+(0-0))+0-373.7-0</f>
        <v>1786.5000000000002</v>
      </c>
      <c r="O161" s="3">
        <f>1454.4+(1898.1-1116.1)+(1.483488+(1.936062-1.138422))+0-372.9-0.380358000000059</f>
        <v>1865.40077</v>
      </c>
      <c r="P161" s="3">
        <f>1456.8+(1955.5-1086.6)+(0+(0-0))+0-372.2-0</f>
        <v>1953.4999999999998</v>
      </c>
      <c r="Q161" s="3">
        <f>1455.7+(2104.9-1170.8)+(0.742407+(1.073499-0.597108))+0-373.6-0.190535999999962</f>
        <v>2017.2282620000001</v>
      </c>
      <c r="R161" s="3">
        <f>1488.1+(1592.5-666.1)+(-1.517862+(-1.62435--0.679422))+0-371.6--0.379032000000059</f>
        <v>2040.8162420000001</v>
      </c>
      <c r="S161" s="3">
        <f>1642.2+(1674.8-968)+(-0.837522+(-0.854148--0.49368))+0-371--0.189209999999962</f>
        <v>1976.9912199999999</v>
      </c>
      <c r="T161" s="3">
        <f>1713.3+(1328.1-677.5)+(-1.747566+(-1.354662--0.69105))+0-374.8--0.38229600000006</f>
        <v>1987.0711179999998</v>
      </c>
      <c r="U161" s="3">
        <f>1762.1+(1291.8-691)+(2.696013+(1.976454-1.05723))+0-377.4-0.577422000000022</f>
        <v>1988.5378149999995</v>
      </c>
      <c r="V161" s="3">
        <f>1764.3+(1266.4-678.4)+(0+(0-0))+0-359.5-0</f>
        <v>1992.8000000000002</v>
      </c>
      <c r="W161" s="3">
        <f>1673.9+(1599.7-958.3)+(-2.561067+(-2.447541--1.466199))+0-365.6--0.559368000000021</f>
        <v>1946.7169590000001</v>
      </c>
      <c r="X161" s="3">
        <f>1569.6+(1865.8-1145)+(-5.603472+(-6.660906--4.08765))+0-379.2--1.35374400000001</f>
        <v>1904.3770159999997</v>
      </c>
      <c r="Y161" s="3">
        <f>1573.1+(1742.5-1005.3)+(0+(0-0))+0-380.7-0</f>
        <v>1929.6000000000001</v>
      </c>
      <c r="Z161" s="3">
        <f>1622.5+(1737.1-1033.5)+(0.827475+(0.885921-0.527085))+0-426.6-0.217565999999957</f>
        <v>1900.4687449999999</v>
      </c>
      <c r="AA161" s="3">
        <f>1710.2+(1796.4-1150.2)+(-3.488808+(-3.664656--2.346408))+0-383.7--0.782747999999983</f>
        <v>1968.675692</v>
      </c>
      <c r="AB161" s="3">
        <f>1692.2+(2351.9-1582.5)+(0+(0-0))+0-434.7-0</f>
        <v>2026.9000000000003</v>
      </c>
      <c r="AC161" s="3">
        <f>1292.1+(2583.7-1465.3)+(-0.658971+(-1.317687--0.747303))+0-425.7--0.217106999999957</f>
        <v>1983.787752</v>
      </c>
      <c r="AD161" s="2">
        <v>2071.3000000000002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1257.9+(2750.5-1711.9)+(-1.283058+(-2.80551--1.746138))+0-430.4--0.439008000000069</f>
        <v>1864.1965779999998</v>
      </c>
      <c r="G162" s="3">
        <f>1253.6+(2826.9-1886.4)+(-0.639336+(-1.441719--0.962064))+0-437.1--0.222920999999956</f>
        <v>1756.1039300000002</v>
      </c>
      <c r="H162" s="3">
        <f>1211.1+(2592.9-1666.9)+(-1.852983+(-3.967137--2.550357))+0-431.5--0.660195000000025</f>
        <v>1702.9904320000001</v>
      </c>
      <c r="I162" s="3">
        <f>1157.9+(2558.6-1626.5)+(-0.590529+(-1.304886--0.829515))+0-438.2--0.223481999999956</f>
        <v>1650.9575819999998</v>
      </c>
      <c r="J162" s="3">
        <f>1158.3+(2743-1823.6)+(1.772199+(4.19679-2.790108))+0-431.6-0.660348000000025</f>
        <v>1648.6185329999996</v>
      </c>
      <c r="K162" s="3">
        <f>1197.1+(2461.1-1594.9)+(1.831563+(3.765483-2.440197))+0-436.5-0.667845000000025</f>
        <v>1629.2890039999997</v>
      </c>
      <c r="L162" s="3">
        <f>1236.1+(2373.8-1571.4)+(1.260822+(2.421276-1.602828))+0-389.6-0.397392000000062</f>
        <v>1650.5818779999997</v>
      </c>
      <c r="M162" s="3">
        <f>1239.9+(1999.7-1192.5)+(0+(0-0))+0-421-0</f>
        <v>1626.1000000000001</v>
      </c>
      <c r="N162" s="3">
        <f>1277.7+(2096.6-1196)+(-1.954881+(-3.207798--1.82988))+0-417.5--0.638775000000024</f>
        <v>1758.1059760000005</v>
      </c>
      <c r="O162" s="3">
        <f>1341.7+(2085.7-1120.1)+(0.684267+(1.063707-0.571251))+0-419-0.213689999999957</f>
        <v>1889.2630330000002</v>
      </c>
      <c r="P162" s="3">
        <f>1408.2+(2054.9-1084)+(3.59091+(5.239995-2.7642))+0-423.5-1.07992499999994</f>
        <v>1960.5867800000005</v>
      </c>
      <c r="Q162" s="3">
        <f>1430.5+(1779.9-767.5)+(0.729555+(0.907749-0.391425))+0-413.2-0.210731999999958</f>
        <v>2030.7351470000001</v>
      </c>
      <c r="R162" s="3">
        <f>1567.6+(1580.1-683.7)+(-0.799476+(-0.805851--0.348687))+0-416.4--0.212363999999958</f>
        <v>2046.5557239999998</v>
      </c>
      <c r="S162" s="3">
        <f>1639.3+(1589.7-984.6)+(0+(0-0))+0-259.8-0</f>
        <v>1984.6000000000001</v>
      </c>
      <c r="T162" s="3">
        <f>1641.8+(1339.7-619.9)+(-0.837318+(-0.683247--0.316149))+0-354.7--0.180896999999964</f>
        <v>2005.8764809999998</v>
      </c>
      <c r="U162" s="3">
        <f>1645.4+(1374.6-582.6)+(-0.839154+(-0.701046--0.297126))+0-432.3--0.220472999999956</f>
        <v>2004.077399</v>
      </c>
      <c r="V162" s="3">
        <f>1688.1+(1294.5-550.7)+(-1.721862+(-1.32039--0.561714))+0-445--0.453900000000071</f>
        <v>1984.8733619999998</v>
      </c>
      <c r="W162" s="3">
        <f>1693.9+(1470.3-743)+(-0.863889+(-0.749853--0.37893))+0-433--0.220829999999956</f>
        <v>1987.1860179999996</v>
      </c>
      <c r="X162" s="3">
        <f>1689.4+(1943.4-1236)+(-2.584782+(-2.973402--1.89108))+0-418--0.639540000000024</f>
        <v>1975.7724360000002</v>
      </c>
      <c r="Y162" s="3">
        <f>1701.6+(2044.1-1371.2)+(0+(0-0))+0-419.8-0</f>
        <v>1954.7</v>
      </c>
      <c r="Z162" s="3">
        <f>1779.4+(1694-927.6)+(-1.814988+(-1.72788--0.946152))+0-429.6--0.438192000000069</f>
        <v>2114.0414760000003</v>
      </c>
      <c r="AA162" s="3">
        <f>1785.1+(1724.4-988.8)+(-0.910401+(-0.879444--0.504288))+0-417.8--0.213077999999958</f>
        <v>2101.8275209999993</v>
      </c>
      <c r="AB162" s="3">
        <f>1700.6+(2213.7-1444.2)+(-0.867306+(-1.128987--0.736542))+0-430--0.219299999999956</f>
        <v>2039.0595489999994</v>
      </c>
      <c r="AC162" s="3">
        <f>1675.3+(2748.3-2022.9)+(-2.563209+(-4.204899--3.095037))+0-431.4--0.660042000000025</f>
        <v>1966.2869709999995</v>
      </c>
      <c r="AD162" s="2">
        <v>2105.8000000000002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1546.9+(2737.3-2002.2)+(-1.577838+(-2.792046--2.042244))+0-439.5--0.44829000000007</f>
        <v>1840.6206500000001</v>
      </c>
      <c r="G163" s="3">
        <f>1460.9+(2703.4-1977.6)+(-2.980236+(-5.514936--4.034304))+0-442.4--0.902495999999981</f>
        <v>1740.741628</v>
      </c>
      <c r="H163" s="3">
        <f>1460.6+(2792.8-2143.8)+(-2.234718+(-4.272984--3.280014))+0-434.7--0.665091000000025</f>
        <v>1672.337403</v>
      </c>
      <c r="I163" s="3">
        <f>1460.2+(2835.1-2217.4)+(-3.72351+(-7.229505--5.65437))+0-446.3--1.13806499999994</f>
        <v>1627.4394199999997</v>
      </c>
      <c r="J163" s="3">
        <f>1459.7+(2510-1865.8)+(2.977788+(5.1204-3.806232))+0-442.5-0.902699999999981</f>
        <v>1664.7892560000003</v>
      </c>
      <c r="K163" s="3">
        <f>1459.5+(2575.6-1943.1)+(1.48869+(2.627112-1.981962))+0-433-0.441660000000069</f>
        <v>1660.69218</v>
      </c>
      <c r="L163" s="3">
        <f>1459.1+(2088.4-1508.4)+(-2.232423+(-3.195252--2.307852))+0-406.4--0.621792000000023</f>
        <v>1630.2019689999997</v>
      </c>
      <c r="M163" s="3">
        <f>1458.3+(1884-1283.8)+(0.743733+(0.96084-0.654738))+0-420.5-0.214454999999957</f>
        <v>1638.8353799999998</v>
      </c>
      <c r="N163" s="3">
        <f>1459.3+(2271.1-1532.5)+(0+(0-0))+0-420.3-0</f>
        <v>1777.5999999999997</v>
      </c>
      <c r="O163" s="3">
        <f>1459.5+(2290.9-1441.8)+(0.744345+(1.168359-0.735318))+0-423.4-0.215933999999957</f>
        <v>1886.1614520000001</v>
      </c>
      <c r="P163" s="3">
        <f>1452+(2169.3-1215.1)+(0.74052+(1.106343-0.619701))+0-429.1-0.218840999999956</f>
        <v>1978.1083210000006</v>
      </c>
      <c r="Q163" s="3">
        <f>1432.1+(2021.9-1002.1)+(2.191113+(3.093507-1.533213))+0-441.2-0.675036000000026</f>
        <v>2013.7763710000002</v>
      </c>
      <c r="R163" s="3">
        <f>1601.7+(1653-770.5)+(1.633734+(1.68606-0.78591))+0-434.3-0.442986000000069</f>
        <v>2051.9908979999996</v>
      </c>
      <c r="S163" s="3">
        <f>1622.1+(1567.6-784.5)+(0.827271+(0.799476-0.400095))+0-429.3-0.218942999999956</f>
        <v>1976.9077089999998</v>
      </c>
      <c r="T163" s="3">
        <f>1730.6+(1276.1-608)+(0+(0-0))+0-412.8-0</f>
        <v>1985.8999999999999</v>
      </c>
      <c r="U163" s="3">
        <f>1748.9+(1243.5-584.9)+(-0.891939+(-0.634185--0.298299))+0-432.2--0.220421999999956</f>
        <v>1974.2925969999999</v>
      </c>
      <c r="V163" s="3">
        <f>1744.3+(1305.1-624.4)+(-4.447965+(-3.328005--1.59222))+0-427.2--1.08935999999994</f>
        <v>1992.7056099999998</v>
      </c>
      <c r="W163" s="3">
        <f>1635.9+(1537-756.4)+(-5.005854+(-4.70322--2.314584))+0-429.3--1.31365800000005</f>
        <v>1981.1191679999999</v>
      </c>
      <c r="X163" s="3">
        <f>1629+(1997.9-1253.1)+(-2.49237+(-3.056787--1.917243))+0-441--0.674730000000025</f>
        <v>1929.8428160000001</v>
      </c>
      <c r="Y163" s="3">
        <f>1636.2+(1891.5-1159.7)+(0.834462+(0.964665-0.591447))+0-435.1-0.221900999999956</f>
        <v>1933.8857790000002</v>
      </c>
      <c r="Z163" s="3">
        <f>1665.5+(1615.1-735)+(-1.69881+(-1.647402--0.7497))+0-439.1--0.44788200000007</f>
        <v>2104.3513699999999</v>
      </c>
      <c r="AA163" s="3">
        <f>1667+(1829.6-974.4)+(-3.40068+(-3.732384--1.987776))+0-443.6--0.904943999999981</f>
        <v>2074.3596559999996</v>
      </c>
      <c r="AB163" s="3">
        <f>1660.6+(2261-1436.3)+(-2.540718+(-3.45933--2.197539))+0-430.4--0.658512000000025</f>
        <v>2051.756003</v>
      </c>
      <c r="AC163" s="3">
        <f>1623.1+(2587.6-1795.6)+(2.483343+(3.959028-2.747268))+0-442.8-0.677484000000026</f>
        <v>1975.3176189999999</v>
      </c>
      <c r="AD163" s="2">
        <v>2131.6000000000004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1494.4+(2893.4-2030.7)+(-1.524288+(-2.951268--2.071314))+0-443.3--0.452166000000071</f>
        <v>1911.8479240000004</v>
      </c>
      <c r="G164" s="3">
        <f>1445.7+(2603.3-1814.2)+(0.737307+(1.327683-0.925242))+0-442.6-0.225725999999955</f>
        <v>1793.1140220000004</v>
      </c>
      <c r="H164" s="3">
        <f>1445.1+(2468.8-1742.9)+(1.474002+(2.518176-1.777758))+0-438.5-0.44727000000007</f>
        <v>1734.2671499999997</v>
      </c>
      <c r="I164" s="3">
        <f>1445.5+(2400-1745.2)+(-1.47441+(-2.448--1.780104))+0-437.6--0.44635200000007</f>
        <v>1661.0040460000002</v>
      </c>
      <c r="J164" s="3">
        <f>1444.6+(2711.1-2091.7)+(4.420476+(8.295966-6.400602))+0-439.3-1.34425800000005</f>
        <v>1629.6715820000002</v>
      </c>
      <c r="K164" s="3">
        <f>1445.2+(2601.7-1990.3)+(2.948208+(5.307468-4.060212))+0-441.8-0.901271999999981</f>
        <v>1618.0941919999998</v>
      </c>
      <c r="L164" s="3">
        <f>1444.2+(2178.2-1587.1)+(1.473084+(2.221764-1.618842))+0-446.7-0.455634000000071</f>
        <v>1590.2203719999998</v>
      </c>
      <c r="M164" s="3">
        <f>1442.8+(2036.3-1431.8)+(4.414968+(6.231078-4.381308))+0-446.7-1.36690200000005</f>
        <v>1605.497836</v>
      </c>
      <c r="N164" s="3">
        <f>1444.6+(1987.3-1239.7)+(2.210238+(3.040569-1.896741))+0-399.3-0.610929000000023</f>
        <v>1795.6431369999998</v>
      </c>
      <c r="O164" s="3">
        <f>1444.3+(2269.7-1417.2)+(0+(0-0))+0-446.3-0</f>
        <v>1850.4999999999998</v>
      </c>
      <c r="P164" s="3">
        <f>1445.7+(2218.3-1275.3)+(0.737307+(1.131333-0.650403))+0-451.4-0.230213999999954</f>
        <v>1938.2880230000003</v>
      </c>
      <c r="Q164" s="3">
        <f>1466.3+(1750.5-764.3)+(0.747813+(0.892755-0.389793))+0-454.3-0.231692999999954</f>
        <v>1999.2190820000001</v>
      </c>
      <c r="R164" s="3">
        <f>1635.7+(1445.5-608.5)+(-2.502621+(-2.211615--0.931005))+0-445.2--0.681156000000026</f>
        <v>2024.397925</v>
      </c>
      <c r="S164" s="3">
        <f>1747.4+(1640.9-1009.4)+(-2.673522+(-2.510577--1.544382))+0-446.5--0.683145000000026</f>
        <v>1929.443428</v>
      </c>
      <c r="T164" s="3">
        <f>1755.8+(1765.6-1163)+(-0.895458+(-0.900456--0.59313))+0-436.6--0.222665999999956</f>
        <v>1920.8198819999996</v>
      </c>
      <c r="U164" s="3">
        <f>1756.1+(1924.4-1319.1)+(0+(0-0))+0-438.1-0</f>
        <v>1923.3000000000002</v>
      </c>
      <c r="V164" s="3">
        <f>1756.9+(2213.4-1607.2)+(-0.896019+(-1.128834--0.819672))+0-423.6--0.216035999999957</f>
        <v>1938.5108550000007</v>
      </c>
      <c r="W164" s="3">
        <f>1755.4+(2542.3-1945.3)+(0+(0-0))+0-427.1-0</f>
        <v>1925.3000000000006</v>
      </c>
      <c r="X164" s="3">
        <f>1623.1+(2473.9-1777.9)+(-2.483343+(-3.785067--2.720187))+0-432.8--0.662184000000025</f>
        <v>1883.4139610000002</v>
      </c>
      <c r="Y164" s="3">
        <f>1594.7+(2180.1-1448.9)+(0+(0-0))+0-425.9-0</f>
        <v>1899.9999999999995</v>
      </c>
      <c r="Z164" s="3">
        <f>1623.3+(2031.7-1142.8)+(0+(0-0))+0-427.3-0</f>
        <v>2084.8999999999996</v>
      </c>
      <c r="AA164" s="3">
        <f>1623.1+(2065-1216)+(-2.483343+(-3.15945--1.86048))+0-442.5--0.677025000000026</f>
        <v>2026.4947119999997</v>
      </c>
      <c r="AB164" s="3">
        <f>1621.1+(2035.4-1214)+(-4.133805+(-5.19027--3.0957))+0-448.7--1.14418499999993</f>
        <v>1988.7158099999997</v>
      </c>
      <c r="AC164" s="3">
        <f>1621.3+(2010.2-1244.3)+(-1.653726+(-2.050404--1.269186))+0-448.7--0.457674000000072</f>
        <v>1936.5227299999997</v>
      </c>
      <c r="AD164" s="2">
        <v>2092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1554.3+(2050.1-1293.6)+(-2.378079+(-3.136653--1.979208))+0-455.2--0.696456000000026</f>
        <v>1852.7609320000004</v>
      </c>
      <c r="G165" s="3">
        <f>1449.7+(1995.6-1228.3)+(-2.218041+(-3.053268--1.879299))+0-450.4--0.689112000000026</f>
        <v>1763.8971019999999</v>
      </c>
      <c r="H165" s="3">
        <f>1449.7+(2190.6-1496.2)+(-1.478694+(-2.234412--1.526124))+0-445.2--0.454104000000071</f>
        <v>1697.1671219999998</v>
      </c>
      <c r="I165" s="3">
        <f>1450.4+(2349.1-1721.6)+(0.739704+(1.198041-0.878016))+0-452.8-0.230927999999954</f>
        <v>1625.9288010000002</v>
      </c>
      <c r="J165" s="3">
        <f>1449.6+(2451-1868.2)+(-2.957184+(-5.00004--3.811128))+0-451.5--0.92105999999998</f>
        <v>1577.6749639999998</v>
      </c>
      <c r="K165" s="3">
        <f>1449+(2532.8-1952.9)+(-2.21697+(-3.875184--2.987937))+0-442.4--0.676872000000026</f>
        <v>1584.0726549999999</v>
      </c>
      <c r="L165" s="3">
        <f>1449.4+(2220.2-1699.2)+(-3.69597+(-5.66151--4.33296))+0-437.4--1.11536999999994</f>
        <v>1529.09085</v>
      </c>
      <c r="M165" s="3">
        <f>1448.5+(1876-1391.9)+(0.738735+(0.95676-0.709869))+0-456.3-0.232712999999954</f>
        <v>1477.052913</v>
      </c>
      <c r="N165" s="3">
        <f>1416.6+(1864.2-1296.5)+(0.722466+(0.950742-0.661215))+0-453.5-0.231284999999954</f>
        <v>1531.5807080000002</v>
      </c>
      <c r="O165" s="3">
        <f>1418.7+(2091.9-1444.4)+(-1.447074+(-2.133738--1.473288))+0-448.7--0.457674000000072</f>
        <v>1615.8501499999998</v>
      </c>
      <c r="P165" s="3">
        <f>1433.3+(2004.3-1274.9)+(0+(0-0))+0-445.2-0</f>
        <v>1717.4999999999998</v>
      </c>
      <c r="Q165" s="3">
        <f>1443.6+(2090.7-1330.6)+(0+(0-0))+0-450.7-0</f>
        <v>1752.9999999999998</v>
      </c>
      <c r="R165" s="3">
        <f>1445.2+(2181.7-1403.6)+(-0.737052+(-1.112667--0.715836))+0-451.4--0.230213999999954</f>
        <v>1770.9963310000001</v>
      </c>
      <c r="S165" s="3">
        <f>1452.9+(2376.3-1633.9)+(-2.222937+(-3.635739--2.499867))+0-449.3--0.687429000000026</f>
        <v>1743.3286200000005</v>
      </c>
      <c r="T165" s="3">
        <f>1532.8+(2314.8-1652.4)+(-3.126912+(-4.722192--3.370896))+0-443.5--0.904739999999981</f>
        <v>1748.1265319999998</v>
      </c>
      <c r="U165" s="3">
        <f>1532.9+(2286.2-1651.3)+(0.781779+(1.165962-0.842163))+0-424.2-0.216341999999957</f>
        <v>1744.4892360000003</v>
      </c>
      <c r="V165" s="3">
        <f>1533.6+(2237.5-1575.3)+(-3.91068+(-5.705625--4.017015))+0-446--1.13729999999994</f>
        <v>1745.3380099999999</v>
      </c>
      <c r="W165" s="3">
        <f>1534.5+(2119.6-1473.3)+(-3.912975+(-5.40498--3.756915))+0-448.3--1.14316499999993</f>
        <v>1728.0821250000001</v>
      </c>
      <c r="X165" s="3">
        <f>1532.5+(2193.8-1550.5)+(-1.56315+(-2.237676--1.58151))+0-443.7--0.452574000000071</f>
        <v>1730.3332580000001</v>
      </c>
      <c r="Y165" s="3">
        <f>1603.5+(2128.8-1507.6)+(0.817785+(1.085688-0.768876))+0-450.2-0.229601999999954</f>
        <v>1775.4049950000006</v>
      </c>
      <c r="Z165" s="3">
        <f>1766.6+(2057-1432)+(0+(0-0))+0-448-0</f>
        <v>1943.6</v>
      </c>
      <c r="AA165" s="3">
        <f>1826.5+(1765-1175.7)+(-3.72606+(-3.6006--2.398428))+0-452.2--0.92248799999998</f>
        <v>1959.5942559999999</v>
      </c>
      <c r="AB165" s="3">
        <f>1853.9+(1604.1-1102.9)+(0+(0-0))+0-445.4-0</f>
        <v>1909.6999999999998</v>
      </c>
      <c r="AC165" s="3">
        <f>1826.9+(2063.6-1584.8)+(-0.931719+(-1.052436--0.808248))+0-435.1--0.221900999999956</f>
        <v>1869.645994</v>
      </c>
      <c r="AD165" s="2">
        <v>2023.1000000000001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1763+(2457.1-1991.2)+(-1.79826+(-2.506242--2.031024))+0-433.6--0.442272000000069</f>
        <v>1793.4687939999997</v>
      </c>
      <c r="G166" s="3">
        <f>1500.5+(2716.5-2088)+(-0.765255+(-1.385415--1.06488))+0-452.1--0.230570999999954</f>
        <v>1676.0447810000001</v>
      </c>
      <c r="H166" s="3">
        <f>1431.3+(2466.5-1821.7)+(-1.459926+(-2.51583--1.858134))+0-459.8--0.468996000000073</f>
        <v>1614.6513739999998</v>
      </c>
      <c r="I166" s="3">
        <f>1442.7+(2325.3-1737.3)+(2.207331+(3.557709-2.658069))+0-449.4-0.687582000000026</f>
        <v>1583.7193890000003</v>
      </c>
      <c r="J166" s="3">
        <f>1442.1+(2594.3-2040.5)+(-0.735471+(-1.323093--1.040655))+0-448.5--0.228734999999955</f>
        <v>1546.6108260000001</v>
      </c>
      <c r="K166" s="3">
        <f>1439.7+(2564-1990.7)+(-3.671235+(-6.5382--5.076285))+0-451.1--1.15030499999993</f>
        <v>1557.9171549999999</v>
      </c>
      <c r="L166" s="3">
        <f>1439.7+(2367.6-1801.9)+(-2.936988+(-4.829904--3.675876))+0-446.2--0.910247999999981</f>
        <v>1556.0192319999996</v>
      </c>
      <c r="M166" s="3">
        <f>1439.2+(2217.4-1625.7)+(0.733992+(1.130874-0.829107))+0-440.3-0.224552999999955</f>
        <v>1591.4112060000002</v>
      </c>
      <c r="N166" s="3">
        <f>1447.8+(2372.6-1644.1)+(0+(0-0))+0-413-0</f>
        <v>1763.3000000000002</v>
      </c>
      <c r="O166" s="3">
        <f>1478.4+(2256-1442.7)+(0+(0-0))+0-441.3-0</f>
        <v>1850.3999999999999</v>
      </c>
      <c r="P166" s="3">
        <f>1488.9+(2202.1-1308.5)+(1.518678+(2.246142-1.33467))+0-416.9-0.425238000000066</f>
        <v>1967.604912</v>
      </c>
      <c r="Q166" s="3">
        <f>1492.6+(2328-1397.5)+(0+(0-0))+0-437.3-0</f>
        <v>1985.8</v>
      </c>
      <c r="R166" s="3">
        <f>1496.3+(2428.2-1476)+(0+(0-0))+0-432.5-0</f>
        <v>2016</v>
      </c>
      <c r="S166" s="3">
        <f>1532.8+(2578.8-1711.6)+(-3.126912+(-5.260752--3.491664))+0-446.1--0.910043999999981</f>
        <v>1949.9140439999999</v>
      </c>
      <c r="T166" s="3">
        <f>1533.7+(2494.4-1629.7)+(-2.346561+(-3.816432--2.493441))+0-448.8--0.686664000000026</f>
        <v>1946.6171120000004</v>
      </c>
      <c r="U166" s="3">
        <f>1538.4+(2589.7-1713.8)+(0.784584+(1.320747-0.874038))+0-443.4-0.226133999999955</f>
        <v>1971.9051589999999</v>
      </c>
      <c r="V166" s="3">
        <f>1525.3+(2725.8-1824)+(0.777903+(1.390158-0.93024))+0-450.4-0.229703999999954</f>
        <v>1977.7081170000006</v>
      </c>
      <c r="W166" s="3">
        <f>1460.3+(2746-1790.3)+(0+(0-0))+0-453.5-0</f>
        <v>1962.5</v>
      </c>
      <c r="X166" s="3">
        <f>1436.5+(2277.5-1357.6)+(1.46523+(2.32305-1.384752))+0-452.5-0.461550000000072</f>
        <v>1905.8419779999999</v>
      </c>
      <c r="Y166" s="3">
        <f>1461.6+(2169.2-1286.3)+(0+(0-0))+0-453.2-0</f>
        <v>1891.3</v>
      </c>
      <c r="Z166" s="3">
        <f>1487.7+(2515.2-1471.1)+(-0.758727+(-1.282752--0.750261))+0-443.4--0.226133999999955</f>
        <v>2087.3349160000002</v>
      </c>
      <c r="AA166" s="3">
        <f>1489.3+(2574.7-1571.1)+(-0.759543+(-1.313097--0.801261))+0-436.4--0.222563999999956</f>
        <v>2055.4511849999999</v>
      </c>
      <c r="AB166" s="3">
        <f>1489.8+(2528.3-1587.4)+(-1.519596+(-2.578866--1.619148))+0-450.7--0.459714000000072</f>
        <v>1977.9803999999997</v>
      </c>
      <c r="AC166" s="3">
        <f>1478.4+(2411.5-1534.5)+(-1.507968+(-2.45973--1.56519))+0-440.6--0.44941200000007</f>
        <v>1912.8469040000002</v>
      </c>
      <c r="AD166" s="2">
        <v>2040.6999999999998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1454.9+(2031-1234.3)+(-2.225997+(-3.10743--1.888479))+0-447.3--0.684369000000026</f>
        <v>1801.5394210000006</v>
      </c>
      <c r="G167" s="3">
        <f>1452.8+(2230.8-1524.1)+(-3.70464+(-5.68854--3.886455))+0-448.8--1.14443999999993</f>
        <v>1706.3377149999999</v>
      </c>
      <c r="H167" s="3">
        <f>1451.2+(1972.3-1318.3)+(-1.480224+(-2.011746--1.344666))+0-448--0.456960000000071</f>
        <v>1655.5096559999997</v>
      </c>
      <c r="I167" s="3">
        <f>1451.2+(2092.1-1491.3)+(-2.960448+(-4.267884--3.042252))+0-445--0.907799999999981</f>
        <v>1603.72172</v>
      </c>
      <c r="J167" s="3">
        <f>1449.9+(2261.2-1693.5)+(-0.739449+(-1.153212--0.863685))+0-453.4--0.231233999999954</f>
        <v>1563.4022579999996</v>
      </c>
      <c r="K167" s="3">
        <f>1390.5+(2228.3-1606.1)+(-0.709155+(-1.136433--0.819111))+0-421.1--0.214760999999957</f>
        <v>1590.7882840000004</v>
      </c>
      <c r="L167" s="3">
        <f>1303.9+(2138.2-1443.1)+(-4.654923+(-7.633374--5.151867))+0-444.7--1.58757900000001</f>
        <v>1548.7511489999999</v>
      </c>
      <c r="M167" s="3">
        <f>1283.9+(1816-1083.5)+(0.654789+(0.92616-0.552585))+0-453.7-0.231386999999954</f>
        <v>1563.496977</v>
      </c>
      <c r="N167" s="3">
        <f>1286.4+(1706.5-831.5)+(-0.656064+(-0.870315--0.424065))+0-455.2--0.232151999999954</f>
        <v>1705.3298379999999</v>
      </c>
      <c r="O167" s="3">
        <f>1287.6+(1837.7-871.7)+(0+(0-0))+0-453.5-0</f>
        <v>1800.1</v>
      </c>
      <c r="P167" s="3">
        <f>1289.6+(1741.9-678.6)+(-0.657696+(-0.888369--0.346086))+0-454--0.231539999999954</f>
        <v>1897.9315610000001</v>
      </c>
      <c r="Q167" s="3">
        <f>1289.1+(1873.1-768.2)+(-0.657441+(-0.955281--0.391782))+0-458--0.233579999999954</f>
        <v>1935.0126399999997</v>
      </c>
      <c r="R167" s="3">
        <f>1290.2+(2071.2-956.6)+(-1.316004+(-2.112624--0.975732))+0-433.9--0.442578000000069</f>
        <v>1968.8896820000004</v>
      </c>
      <c r="S167" s="3">
        <f>1318.2+(2390.9-1396.6)+(-0.672282+(-1.219359--0.712266))+0-429.4--0.218993999999956</f>
        <v>1882.1396189999998</v>
      </c>
      <c r="T167" s="3">
        <f>1465.2+(2181.4-1308.7)+(-3.73626+(-5.56257--3.337185))+0-438.5--1.11817499999994</f>
        <v>1894.5565300000001</v>
      </c>
      <c r="U167" s="3">
        <f>1440.8+(2241.9-1331.5)+(-1.469616+(-2.286738--1.35813))+0-433--0.441660000000069</f>
        <v>1916.2434359999997</v>
      </c>
      <c r="V167" s="3">
        <f>1485.7+(2139.7-1278)+(-0.757707+(-1.091247--0.65178))+0-437.8--0.223277999999956</f>
        <v>1908.6261039999997</v>
      </c>
      <c r="W167" s="3">
        <f>1552.7+(2051.1-1257.6)+(-3.959385+(-5.230305--3.20688))+0-439.7--1.12123499999994</f>
        <v>1901.6384249999996</v>
      </c>
      <c r="X167" s="3">
        <f>1553.4+(2127.5-1365.9)+(-3.168936+(-4.3401--2.786436))+0-450.3--0.91861199999998</f>
        <v>1860.8960119999999</v>
      </c>
      <c r="Y167" s="3">
        <f>1560.3+(1966-1196.7)+(0.795753+(1.00266-0.610317))+0-457.8-0.233477999999954</f>
        <v>1872.7546179999999</v>
      </c>
      <c r="Z167" s="3">
        <f>1621.6+(2274.7-1422.6)+(0+(0-0))+0-435-0</f>
        <v>2038.6999999999998</v>
      </c>
      <c r="AA167" s="3">
        <f>1630+(2439.1-1611.3)+(-5.8191+(-8.707587--5.752341))+0-404--1.44228000000001</f>
        <v>2046.467934</v>
      </c>
      <c r="AB167" s="3">
        <f>1578.1+(2117.2-1291.3)+(-2.414493+(-3.239316--1.975689))+0-401.3--0.613989000000023</f>
        <v>1999.635869</v>
      </c>
      <c r="AC167" s="3">
        <f>1476.1+(2600.6-1780)+(-2.258433+(-3.978918--2.7234))+0-402.3--0.615519000000023</f>
        <v>1891.5015679999999</v>
      </c>
      <c r="AD167" s="2">
        <v>1991.4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1446.4+(2723.7-1920.6)+(-3.68832+(-6.945435--4.89753))+0-447.7--1.14163499999994</f>
        <v>1797.2054099999998</v>
      </c>
      <c r="G168" s="3">
        <f>1447.2+(2607.1-1927.2)+(-4.428432+(-7.977726--5.897232))+0-413--1.26378000000005</f>
        <v>1708.8548539999999</v>
      </c>
      <c r="H168" s="3">
        <f>1446.7+(2354.7-1755)+(-2.213451+(-3.602691--2.68515))+0-405.1--0.619803000000023</f>
        <v>1638.7888109999999</v>
      </c>
      <c r="I168" s="3">
        <f>1446.5+(2167.6-1663.5)+(-1.47543+(-2.210952--1.69677))+0-396.6--0.404532000000063</f>
        <v>1552.4149199999997</v>
      </c>
      <c r="J168" s="3">
        <f>1447.3+(2191.5-1681.4)+(-0.738123+(-1.117665--0.857514))+0-402.5--0.205274999999959</f>
        <v>1554.1070009999999</v>
      </c>
      <c r="K168" s="3">
        <f>1446.5+(2185.5-1653.2)+(-2.213145+(-3.343815--2.529396))+0-400.8--0.613224000000023</f>
        <v>1575.58566</v>
      </c>
      <c r="L168" s="3">
        <f>1445.9+(2173.7-1635.3)+(-0.737409+(-1.108587--0.834003))+0-398.9--0.20343899999996</f>
        <v>1584.5914459999999</v>
      </c>
      <c r="M168" s="3">
        <f>1446.3+(1846.5-1276)+(0.737613+(0.941715-0.65076))+0-399.3-0.203642999999959</f>
        <v>1618.3249249999999</v>
      </c>
      <c r="N168" s="3">
        <f>1446.5+(1532.1-860.4)+(0.737715+(0.781371-0.438804))+0-376.6-0.192065999999962</f>
        <v>1742.4882159999997</v>
      </c>
      <c r="O168" s="3">
        <f>1445.4+(1645.5-879.2)+(-0.737154+(-0.839205--0.448392))+0-387.5--0.197624999999961</f>
        <v>1823.2696579999999</v>
      </c>
      <c r="P168" s="3">
        <f>1447+(1605.7-783)+(0.73797+(0.818907-0.39933))+0-383.6-0.195635999999961</f>
        <v>1887.0619109999998</v>
      </c>
      <c r="Q168" s="3">
        <f>1443.2+(1935.3-1076.2)+(0.736032+(0.987003-0.548862))+0-368.5-0.187934999999963</f>
        <v>1934.7862380000001</v>
      </c>
      <c r="R168" s="3">
        <f>1444.3+(2089.1-1216.1)+(0+(0-0))+0-380.2-0</f>
        <v>1937.1000000000001</v>
      </c>
      <c r="S168" s="3">
        <f>1435.5+(2457.1-1678.2)+(-0.732105+(-1.253121--0.855882))+0-370.3--0.188852999999962</f>
        <v>1843.1595089999996</v>
      </c>
      <c r="T168" s="3">
        <f>1552.3+(2585-1905)+(-0.791673+(-1.31835--0.97155))+0-362.2--0.184721999999963</f>
        <v>1869.1462490000001</v>
      </c>
      <c r="U168" s="3">
        <f>1621.7+(2543.4-1879.8)+(-4.135335+(-6.48567--4.79349))+0-386--0.984299999999944</f>
        <v>1894.4567850000001</v>
      </c>
      <c r="V168" s="3">
        <f>1571.8+(2314.2-1589.1)+(-2.404854+(-3.540726--2.431323))+0-394.4--0.603432000000023</f>
        <v>1899.5891749999998</v>
      </c>
      <c r="W168" s="3">
        <f>1537.9+(2102.8-1351.7)+(-4.705974+(-6.434568--4.136202))+0-399.2--1.22155200000005</f>
        <v>1884.017212</v>
      </c>
      <c r="X168" s="3">
        <f>1539.2+(1714.9-977.3)+(-5.494944+(-6.122193--3.488961))+0-399.4--1.42585800000001</f>
        <v>1870.697682</v>
      </c>
      <c r="Y168" s="3">
        <f>1548.6+(1344-625.5)+(0.789786+(0.68544-0.319005))+0-405.9-0.207008999999959</f>
        <v>1862.149212</v>
      </c>
      <c r="Z168" s="3">
        <f>1574.4+(1480.7-608.9)+(-0.802944+(-0.755157--0.310539))+0-447.1--0.228020999999955</f>
        <v>1998.0804590000002</v>
      </c>
      <c r="AA168" s="3">
        <f>1519.3+(1753.8-873.5)+(-3.099372+(-3.577752--1.78194))+0-443.8--0.905351999999981</f>
        <v>1951.810168</v>
      </c>
      <c r="AB168" s="3">
        <f>1487.9+(2121.4-1234.4)+(-2.276487+(-3.245742--1.888632))+0-432.2--0.661266000000025</f>
        <v>1939.7276690000001</v>
      </c>
      <c r="AC168" s="3">
        <f>1477.9+(2164.3-1331.5)+(-1.507458+(-2.207586--1.35813))+0-447.8--0.456756000000071</f>
        <v>1860.9998420000004</v>
      </c>
      <c r="AD168" s="2">
        <v>1940.8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1447.9+(2341-1542.7)+(-2.215287+(-3.58173--2.360331))+0-449.4--0.687582000000026</f>
        <v>1794.0508959999997</v>
      </c>
      <c r="G169" s="3">
        <f>1272.2+(2549.9-1625.2)+(-0.648822+(-1.300449--0.828852))+0-449.5--0.229244999999954</f>
        <v>1746.5088260000002</v>
      </c>
      <c r="H169" s="3">
        <f>1231.2+(2524.8-1659.1)+(-1.255824+(-2.575296--1.692282))+0-446.8--0.455736000000071</f>
        <v>1648.4168980000009</v>
      </c>
      <c r="I169" s="3">
        <f>1231+(2558.2-1697.6)+(-1.88343+(-3.914046--2.597328))+0-448.3--0.685899000000026</f>
        <v>1640.7857510000001</v>
      </c>
      <c r="J169" s="3">
        <f>1230.6+(2221.9-1466.1)+(2.510424+(4.532676-2.990844))+0-437.9-0.893315999999981</f>
        <v>1551.65894</v>
      </c>
      <c r="K169" s="3">
        <f>1230.6+(2146.2-1392.4)+(-1.882818+(-3.283686--2.130372))+0-457.1--0.699363000000026</f>
        <v>1524.9632309999995</v>
      </c>
      <c r="L169" s="3">
        <f>1230.5+(2080.5-1318.1)+(-3.137775+(-5.305275--3.361155))+0-402.8--1.02713999999994</f>
        <v>1586.045245</v>
      </c>
      <c r="M169" s="3">
        <f>1229.7+(1741-940.6)+(-0.627147+(-0.88791--0.479706))+0-457.1--0.233120999999954</f>
        <v>1572.19777</v>
      </c>
      <c r="N169" s="3">
        <f>1256.8+(1589.9-684.3)+(-0.640968+(-0.810849--0.348993))+0-448.4--0.228683999999955</f>
        <v>1713.1258599999999</v>
      </c>
      <c r="O169" s="3">
        <f>1437.3+(1534.4-703.6)+(0+(0-0))+0-456.2-0</f>
        <v>1811.8999999999999</v>
      </c>
      <c r="P169" s="3">
        <f>1446+(1615.1-738.1)+(0+(0-0))+0-416.6-0</f>
        <v>1906.4</v>
      </c>
      <c r="Q169" s="3">
        <f>1447.8+(1569.3-669.3)+(0+(0-0))+0-405.3-0</f>
        <v>1942.5000000000002</v>
      </c>
      <c r="R169" s="3">
        <f>1551.1+(1671.1-874.1)+(-2.373183+(-2.556783--1.337373))+0-404.8--0.619344000000023</f>
        <v>1940.3267510000001</v>
      </c>
      <c r="S169" s="3">
        <f>1629.5+(2106-1455.2)+(-1.66209+(-2.14812--1.484304))+0-394.3--0.402186000000063</f>
        <v>1884.0762800000002</v>
      </c>
      <c r="T169" s="3">
        <f>1627.4+(2076.9-1400.1)+(0+(0-0))+0-448.8-0</f>
        <v>1855.4000000000003</v>
      </c>
      <c r="U169" s="3">
        <f>1627.5+(2136.9-1419.4)+(2.490075+(3.269457-2.171682))+0-452.5-0.692325000000026</f>
        <v>1895.3955249999999</v>
      </c>
      <c r="V169" s="3">
        <f>1630+(2046.1-1316.2)+(-4.1565+(-5.217555--3.35631))+0-449.1--1.14520499999993</f>
        <v>1905.9274599999997</v>
      </c>
      <c r="W169" s="3">
        <f>1597+(2249.8-1497.9)+(-4.07235+(-5.73699--3.819645))+0-450.2--1.14800999999993</f>
        <v>1893.8583149999997</v>
      </c>
      <c r="X169" s="3">
        <f>1480.4+(2068.8-1243.2)+(-2.265012+(-3.165264--1.902096))+0-444.9--0.680697000000026</f>
        <v>1858.2525170000001</v>
      </c>
      <c r="Y169" s="3">
        <f>1458.5+(1961.3-1103.8)+(0.743835+(1.000263-0.562938))+0-449.8-0.229397999999954</f>
        <v>1867.1517620000002</v>
      </c>
      <c r="Z169" s="3">
        <f>1486.5+(2057.4-1071.1)+(-2.274345+(-3.147822--1.638783))+0-456.7--0.698751000000026</f>
        <v>2013.0153670000004</v>
      </c>
      <c r="AA169" s="3">
        <f>1488.2+(2066.4-1119.9)+(-4.553892+(-6.323184--3.426894))+0-452.4--1.38434400000005</f>
        <v>1976.2341619999997</v>
      </c>
      <c r="AB169" s="3">
        <f>1486.9+(2393.7-1493.4)+(-3.791595+(-6.103935--3.80817))+0-449.2--1.14545999999993</f>
        <v>1933.0580999999997</v>
      </c>
      <c r="AC169" s="3">
        <f>1485.2+(2651.8-1810.9)+(-4.544712+(-8.114508--5.541354))+0-450.2--1.37761200000005</f>
        <v>1870.1597460000003</v>
      </c>
      <c r="AD169" s="2">
        <v>2039.2000000000003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1472.9+(2258.5-1508.6)+(-3.004716+(-4.60734--3.077544))+0-456.6--0.93146399999998</f>
        <v>1762.5969520000001</v>
      </c>
      <c r="G170" s="3">
        <f>1456.7+(1810.9-1151.4)+(0.742917+(0.923559-0.587214))+0-467-0.238169999999953</f>
        <v>1650.0410920000002</v>
      </c>
      <c r="H170" s="3">
        <f>1445.1+(1829.8-1217.6)+(0.737001+(0.933198-0.620976))+0-455.5-0.232304999999954</f>
        <v>1602.6169180000002</v>
      </c>
      <c r="I170" s="3">
        <f>1443.6+(2003.3-1411.3)+(-2.208708+(-3.065049--2.159289))+0-448.9--0.686817000000026</f>
        <v>1584.2723490000001</v>
      </c>
      <c r="J170" s="3">
        <f>1444.1+(2282.2-1706.1)+(-1.472982+(-2.327844--1.740222))+0-412.9--0.421158000000066</f>
        <v>1605.660554</v>
      </c>
      <c r="K170" s="3">
        <f>1444+(2156.7-1580.2)+(-2.20932+(-3.299751--2.417706))+0-450.4--0.689112000000026</f>
        <v>1567.6977469999997</v>
      </c>
      <c r="L170" s="3">
        <f>1443.1+(1884.1-1320.4)+(-4.415886+(-5.765346--4.040424))+0-452.4--1.38434400000005</f>
        <v>1549.6435359999996</v>
      </c>
      <c r="M170" s="3">
        <f>1441.8+(1709.7-1085.9)+(0.735318+(0.871947-0.553809))+0-449.6-0.229295999999954</f>
        <v>1616.8241600000001</v>
      </c>
      <c r="N170" s="3">
        <f>1425.9+(1705.2-936)+(-0.727209+(-0.869652--0.47736))+0-462.5--0.235874999999953</f>
        <v>1731.7163740000001</v>
      </c>
      <c r="O170" s="3">
        <f>1424+(1816.9-971.2)+(-0.72624+(-0.926619--0.495312))+0-451.9--0.230468999999954</f>
        <v>1816.8729219999998</v>
      </c>
      <c r="P170" s="3">
        <f>1427.3+(1746.9-817.6)+(-2.183769+(-2.672757--1.250928))+0-451--0.690030000000026</f>
        <v>1902.6844319999998</v>
      </c>
      <c r="Q170" s="3">
        <f>1442.8+(1566.6-605.5)+(-0.735828+(-0.798966--0.308805))+0-452.5--0.230774999999954</f>
        <v>1950.4047859999996</v>
      </c>
      <c r="R170" s="3">
        <f>1477.2+(1562.5-668.2)+(-2.260116+(-2.390625--1.022346))+0-461.4--0.705942000000027</f>
        <v>1907.1775469999998</v>
      </c>
      <c r="S170" s="3">
        <f>1514+(1951.2-1176.3)+(-2.31642+(-2.985336--1.799739))+0-430.7--0.658971000000025</f>
        <v>1855.3569540000003</v>
      </c>
      <c r="T170" s="3">
        <f>1500.2+(1941.9-1158.4)+(-0.765102+(-0.990369--0.590784))+0-392.1--0.19997099999996</f>
        <v>1890.635284</v>
      </c>
      <c r="U170" s="3">
        <f>1476.9+(1934-1077.1)+(0.753219+(0.98634-0.549321))+0-437.1-0.222920999999956</f>
        <v>1897.6673170000004</v>
      </c>
      <c r="V170" s="3">
        <f>1461.1+(1986.3-1071.6)+(-1.490322+(-2.026026--1.093032))+0-432.2--0.440844000000069</f>
        <v>1941.6175280000002</v>
      </c>
      <c r="W170" s="3">
        <f>1417.5+(2023.6-1144.4)+(-2.8917+(-4.128144--2.334576))+0-437.7--0.892907999999981</f>
        <v>1855.2076399999996</v>
      </c>
      <c r="X170" s="3">
        <f>1416.4+(1997.3-1076.2)+(-1.444728+(-2.037246--1.097724))+0-444--0.452880000000071</f>
        <v>1891.56863</v>
      </c>
      <c r="Y170" s="3">
        <f>1443.9+(1803.2-995.2)+(-1.472778+(-1.839264--1.015104))+0-457.8--0.466956000000073</f>
        <v>1792.2700180000002</v>
      </c>
      <c r="Z170" s="3">
        <f>1459.5+(2030.4-1023.2)+(-0.744345+(-1.035504--0.521832))+0-411.7--0.209966999999958</f>
        <v>2053.9519499999997</v>
      </c>
      <c r="AA170" s="3">
        <f>1459.6+(2230.3-1284.4)+(-5.210772+(-7.962171--4.585308))+0-447.2--1.59650400000001</f>
        <v>1951.3088690000002</v>
      </c>
      <c r="AB170" s="3">
        <f>1459.3+(2393.4-1546.3)+(-2.976972+(-4.882536--3.154452))+0-451.1--0.92024399999998</f>
        <v>1851.5151880000003</v>
      </c>
      <c r="AC170" s="3">
        <f>1445.9+(2635.7-1701.1)+(0+(0-0))+0-448.8-0</f>
        <v>1931.7</v>
      </c>
      <c r="AD170" s="2">
        <v>1992.5000000000002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1432.4+(2125.8-1382.1)+(-1.461048+(-2.168316--1.409742))+0-450.6--0.459612000000072</f>
        <v>1723.7399900000005</v>
      </c>
      <c r="G171" s="3">
        <f>1431.7+(2498.4-1769.9)+(-2.190501+(-3.822552--2.707947))+0-451.5--0.690795000000026</f>
        <v>1706.085689</v>
      </c>
      <c r="H171" s="3">
        <f>1430.8+(2741.1-2032.7)+(-2.918832+(-5.591844--4.146708))+0-450--0.91799999999998</f>
        <v>1685.7540319999996</v>
      </c>
      <c r="I171" s="3">
        <f>1430.9+(2787-2098)+(-1.459518+(-2.84274--2.13996))+0-445--0.453900000000071</f>
        <v>1673.1916019999999</v>
      </c>
      <c r="J171" s="3">
        <f>1430.3+(2672.8-2033.4)+(2.188359+(4.089384-3.111102))+0-448.9-0.686817000000026</f>
        <v>1623.2798239999995</v>
      </c>
      <c r="K171" s="3">
        <f>1430.5+(2244.6-1687.9)+(2.91822+(4.578984-3.443316))+0-452.3-0.92269199999998</f>
        <v>1538.0311959999999</v>
      </c>
      <c r="L171" s="3">
        <f>1430.5+(1994-1490.9)+(-0.729555+(-1.01694--0.760359))+0-448--0.228479999999955</f>
        <v>1484.8423439999999</v>
      </c>
      <c r="M171" s="3">
        <f>1430.5+(1699.9-1179)+(0+(0-0))+0-455.2-0</f>
        <v>1496.2</v>
      </c>
      <c r="N171" s="3">
        <f>1429.7+(1868.7-1223.9)+(1.458294+(1.906074-1.248378))+0-413.4-0.421668000000066</f>
        <v>1662.7943219999997</v>
      </c>
      <c r="O171" s="3">
        <f>1429.6+(1827.5-1056.8)+(0.729096+(0.932025-0.538968))+0-413.4-0.210833999999958</f>
        <v>1787.8113189999999</v>
      </c>
      <c r="P171" s="3">
        <f>1432.6+(1727.7-885.4)+(0.730626+(0.881127-0.451554))+0-430.3-0.219452999999956</f>
        <v>1845.5407460000001</v>
      </c>
      <c r="Q171" s="3">
        <f>1473.3+(1644.1-787.4)+(0.751383+(0.838491-0.401574))+0-441-0.224909999999955</f>
        <v>1889.9633899999999</v>
      </c>
      <c r="R171" s="3">
        <f>1518.8+(1782-1131.2)+(-0.774588+(-0.90882--0.576912))+0-447.2--0.228071999999955</f>
        <v>1721.5215759999999</v>
      </c>
      <c r="S171" s="3">
        <f>1527+(2180.2-1527.5)+(-1.55754+(-2.223804--1.55805))+0-459--0.468180000000073</f>
        <v>1718.944886</v>
      </c>
      <c r="T171" s="3">
        <f>1526.8+(2205.7-1562.7)+(-0.778668+(-1.124907--0.796977))+0-460.4--0.234803999999953</f>
        <v>1708.5282059999997</v>
      </c>
      <c r="U171" s="3">
        <f>1527.3+(2472.9-1750.1)+(1.557846+(2.522358-1.785102))+0-447.5-0.456450000000071</f>
        <v>1804.4386520000003</v>
      </c>
      <c r="V171" s="3">
        <f>1528.3+(2536.9-1752.5)+(-3.117732+(-5.175276--3.5751))+0-457.1--0.93248399999998</f>
        <v>1851.8145759999998</v>
      </c>
      <c r="W171" s="3">
        <f>1528.6+(2445.6-1717.3)+(-0.779586+(-1.247256--0.875823))+0-446.3--0.227612999999955</f>
        <v>1809.6765939999998</v>
      </c>
      <c r="X171" s="3">
        <f>1528.4+(2022.9-1282.8)+(-2.338452+(-3.095037--1.962684))+0-459.3--0.702729000000027</f>
        <v>1806.4319240000002</v>
      </c>
      <c r="Y171" s="3">
        <f>1552.4+(2058.3-1380.6)+(1.583448+(2.099466-1.408212))+0-458.1-0.467262000000073</f>
        <v>1773.8074400000005</v>
      </c>
      <c r="Z171" s="3">
        <f>1560.5+(2499.1-1620.8)+(-1.59171+(-2.549082--1.653216))+0-459.6--0.468792000000073</f>
        <v>1977.1812160000004</v>
      </c>
      <c r="AA171" s="3">
        <f>1562.6+(2725.6-1840.2)+(-0.796926+(-1.390056--0.938502))+0-465.1--0.237200999999953</f>
        <v>1981.8887209999998</v>
      </c>
      <c r="AB171" s="3">
        <f>1561.3+(2708-1954.1)+(0+(0-0))+0-449.1-0</f>
        <v>1866.1</v>
      </c>
      <c r="AC171" s="3">
        <f>1551.9+(2788.2-2074.9)+(-2.374407+(-4.265946--3.174597))+0-453.7--0.694161000000026</f>
        <v>1808.7284049999998</v>
      </c>
      <c r="AD171" s="2">
        <v>1915.3999999999999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1533.2+(2663.3-1983.2)+(-1.563864+(-2.716566--2.022864))+0-453.5--0.462570000000072</f>
        <v>1758.0050040000001</v>
      </c>
      <c r="G172" s="3">
        <f>1533+(2699-2118.8)+(-0.78183+(-1.37649--1.080588))+0-456.2--0.232661999999954</f>
        <v>1656.1549299999995</v>
      </c>
      <c r="H172" s="3">
        <f>1475.1+(2931.7-2376.1)+(-2.256903+(-4.485501--3.635433))+0-456.3--0.698139000000026</f>
        <v>1571.991168</v>
      </c>
      <c r="I172" s="3">
        <f>1444.1+(2853.5-2302.2)+(-0.736491+(-1.455285--1.174122))+0-461--0.235109999999953</f>
        <v>1533.6174559999999</v>
      </c>
      <c r="J172" s="3">
        <f>1443.2+(2900.8-2399.4)+(-3.68016+(-7.39704--6.11847))+0-455.1--1.16050499999993</f>
        <v>1485.701775</v>
      </c>
      <c r="K172" s="3">
        <f>1402.9+(2905.7-2387.7)+(2.146437+(4.445721-3.653181))+0-457.7-0.700281000000026</f>
        <v>1465.4386959999999</v>
      </c>
      <c r="L172" s="3">
        <f>1393.6+(2794.9-2306)+(-4.264416+(-8.552394--7.05636))+0-454.5--1.39077000000005</f>
        <v>1423.63032</v>
      </c>
      <c r="M172" s="3">
        <f>1397.4+(2873.6-2457)+(-2.138022+(-4.396608--3.75921))+0-396.9--0.607257000000023</f>
        <v>1414.9318370000001</v>
      </c>
      <c r="N172" s="3">
        <f>1385.3+(2611.8-2131.3)+(-1.413006+(-2.664036--2.173926))+0-392.8--0.400656000000063</f>
        <v>1471.4975400000001</v>
      </c>
      <c r="O172" s="3">
        <f>1339.3+(2777.8-2139.4)+(-2.732172+(-5.666712--4.364376))+0-408.6--0.833543999999982</f>
        <v>1565.8990360000003</v>
      </c>
      <c r="P172" s="3">
        <f>1272.1+(2399.1-1604.5)+(-1.297542+(-2.447082--1.63659))+0-423.9--0.432378000000068</f>
        <v>1641.1243439999998</v>
      </c>
      <c r="Q172" s="3">
        <f>1217.4+(2408.9-1515.9)+(-0.620874+(-1.228539--0.773109))+0-410.8--0.209507999999958</f>
        <v>1698.7332039999999</v>
      </c>
      <c r="R172" s="3">
        <f>1178+(2593.8-1663.8)+(0.60078+(1.322838-0.848538))+0-435.5-0.222104999999956</f>
        <v>1673.352975</v>
      </c>
      <c r="S172" s="3">
        <f>1156.2+(2961.3-2036.1)+(-1.179324+(-3.020526--2.076822))+0-439.4--0.44818800000007</f>
        <v>1640.3251600000006</v>
      </c>
      <c r="T172" s="3">
        <f>1228+(3015-2148.8)+(-2.50512+(-6.1506--4.383552))+0-441.8--0.901271999999981</f>
        <v>1649.029104</v>
      </c>
      <c r="U172" s="3">
        <f>1229.3+(3052.4-2191.6)+(1.253886+(3.113448-2.235432))+0-447.5-0.456450000000071</f>
        <v>1644.2754520000003</v>
      </c>
      <c r="V172" s="3">
        <f>1229.2+(2861.6-1994.1)+(0.626892+(1.459416-1.016991))+0-447.9-0.228428999999955</f>
        <v>1649.6408879999997</v>
      </c>
      <c r="W172" s="3">
        <f>1227.2+(2645.6-1763.6)+(-0.625872+(-1.349256--0.899436))+0-439--0.223889999999955</f>
        <v>1669.3481979999999</v>
      </c>
      <c r="X172" s="3">
        <f>1226+(1936-1077.3)+(1.87578+(2.96208-1.648269))+0-427.3-0.653769000000025</f>
        <v>1659.9358219999997</v>
      </c>
      <c r="Y172" s="3">
        <f>1230.1+(1908.3-996.3)+(1.254702+(1.946466-1.016226))+0-441.5-0.45033000000007</f>
        <v>1702.3346119999997</v>
      </c>
      <c r="Z172" s="3">
        <f>1241.6+(2059.5-984.2)+(-1.266432+(-2.10069--1.003884))+0-450.6--0.459612000000072</f>
        <v>1864.3963739999999</v>
      </c>
      <c r="AA172" s="3">
        <f>1203.3+(2090.6-987.4)+(-0.613683+(-1.066206--0.503574))+0-458.2--0.233681999999954</f>
        <v>1847.3573669999998</v>
      </c>
      <c r="AB172" s="3">
        <f>1145.5+(1926.7-820.8)+(0.584205+(0.982617-0.418608))+0-455.6-0.232355999999954</f>
        <v>1796.715858</v>
      </c>
      <c r="AC172" s="3">
        <f>1138.9+(2072.9-1016.7)+(-1.742517+(-3.171537--1.555551))+0-457.3--0.699669000000026</f>
        <v>1735.1411660000006</v>
      </c>
      <c r="AD172" s="2">
        <v>1900.1000000000001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1131.9+(2276.3-1286.8)+(-1.154538+(-2.321826--1.312536))+0-460.8--0.470016000000073</f>
        <v>1658.9061880000004</v>
      </c>
      <c r="G173" s="3">
        <f>1134.3+(2314.2-1406.4)+(-1.735479+(-3.540726--2.151792))+0-461.4--0.705942000000027</f>
        <v>1578.2815289999999</v>
      </c>
      <c r="H173" s="3">
        <f>1134.8+(2140.6-1297.8)+(-1.736244+(-3.275118--1.985634))+0-457.6--0.700128000000027</f>
        <v>1517.6743999999999</v>
      </c>
      <c r="I173" s="3">
        <f>1133.6+(2484.5-1692.8)+(-1.734408+(-3.801285--2.589984))+0-451.9--0.691407000000026</f>
        <v>1471.145698</v>
      </c>
      <c r="J173" s="3">
        <f>1133.9+(2365.5-1588.9)+(-2.313156+(-4.82562--3.241356))+0-458.1--0.93452399999998</f>
        <v>1449.4371039999999</v>
      </c>
      <c r="K173" s="3">
        <f>1133.5+(2116.7-1340.2)+(0.578085+(1.079517-0.683502))+0-449.7-0.229346999999954</f>
        <v>1461.0447529999997</v>
      </c>
      <c r="L173" s="3">
        <f>1134+(1892.6-1137.4)+(-1.73502+(-2.895678--1.740222))+0-445--0.680850000000026</f>
        <v>1441.9903739999997</v>
      </c>
      <c r="M173" s="3">
        <f>1133.6+(2076.4-1297.1)+(-0.578136+(-1.058964--0.661521))+0-453.4--0.231233999999954</f>
        <v>1458.7556549999999</v>
      </c>
      <c r="N173" s="3">
        <f>1134.8+(2182.5-1243)+(1.157496+(2.22615-1.26786))+0-451.8-0.460836000000072</f>
        <v>1624.1549500000001</v>
      </c>
      <c r="O173" s="3">
        <f>1135.1+(2238.8-1182.9)+(-0.578901+(-1.141788--0.603279))+0-416.1--0.212210999999958</f>
        <v>1773.9948010000003</v>
      </c>
      <c r="P173" s="3">
        <f>1136.5+(2192.9-1037.2)+(-0.579615+(-1.118379--0.528972))+0-448.6--0.228785999999954</f>
        <v>1842.6597639999998</v>
      </c>
      <c r="Q173" s="3">
        <f>1137+(2009.6-785.2)+(1.73961+(3.074688-1.201356))+0-402.1-0.615213000000023</f>
        <v>1962.2977289999999</v>
      </c>
      <c r="R173" s="3">
        <f>1136.6+(1958-746.7)+(1.738998+(2.99574-1.142451))+0-451.1-0.690183000000026</f>
        <v>1899.7021039999997</v>
      </c>
      <c r="S173" s="3">
        <f>1138.2+(2000.5-837.3)+(-1.741446+(-3.060765--1.281069))+0-446.4--0.682992000000026</f>
        <v>1852.16185</v>
      </c>
      <c r="T173" s="3">
        <f>1180.6+(1965.1-852.8)+(0+(0-0))+0-452.7-0</f>
        <v>1840.1999999999996</v>
      </c>
      <c r="U173" s="3">
        <f>1180.7+(1954.9-876.1)+(-3.010785+(-4.984995--2.234055))+0-415.4--1.05926999999994</f>
        <v>1839.397545</v>
      </c>
      <c r="V173" s="3">
        <f>1182.5+(2157.4-1061.7)+(1.809225+(3.300822-1.624401))+0-427.5-0.654075000000025</f>
        <v>1853.531571</v>
      </c>
      <c r="W173" s="3">
        <f>1181.5+(2335.5-1217.6)+(-2.41026+(-4.76442--2.483904))+0-454.7--0.92758799999998</f>
        <v>1840.9368120000001</v>
      </c>
      <c r="X173" s="3">
        <f>1182.3+(2196.9-1106.2)+(-3.617838+(-6.722514--3.384972))+0-455.5--1.39383000000005</f>
        <v>1811.9384500000001</v>
      </c>
      <c r="Y173" s="3">
        <f>1236.6+(1795.4-743)+(0+(0-0))+0-458.5-0</f>
        <v>1830.5</v>
      </c>
      <c r="Z173" s="3">
        <f>1428.9+(1705.5-672.5)+(0.728739+(0.869805-0.342975))+0-458.4-0.233783999999953</f>
        <v>2004.5217849999999</v>
      </c>
      <c r="AA173" s="3">
        <f>1437.3+(2001.7-1001.8)+(-1.466046+(-2.041734--1.021836))+0-461.5--0.470730000000074</f>
        <v>1973.6847859999998</v>
      </c>
      <c r="AB173" s="3">
        <f>1310+(2694.4-1649.1)+(0+(0-0))+0-446.6-0</f>
        <v>1908.7000000000003</v>
      </c>
      <c r="AC173" s="3">
        <f>1241.2+(2739.8-1676.8)+(-2.532048+(-5.589192--3.420672))+0-449.9--0.91779599999998</f>
        <v>1850.5172279999999</v>
      </c>
      <c r="AD173" s="2">
        <v>1978.5000000000005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1132.8+(2677.4-1615.7)+(1.155456+(2.730948-1.648014))+0-451.4-0.460428000000072</f>
        <v>1744.8779619999998</v>
      </c>
      <c r="G174" s="3">
        <f>1129.6+(2767.6-1827.1)+(1.152192+(2.822952-1.863642))+0-448.4-0.457368000000072</f>
        <v>1623.3541339999999</v>
      </c>
      <c r="H174" s="3">
        <f>1129.3+(2849.2-1983.4)+(0+(0-0))+0-454.5-0</f>
        <v>1540.5999999999997</v>
      </c>
      <c r="I174" s="3">
        <f>1129.8+(2778.5-1926.1)+(0.576198+(1.417035-0.982311))+0-449.9-0.229448999999954</f>
        <v>1533.0814730000002</v>
      </c>
      <c r="J174" s="3">
        <f>1128.6+(2634.3-1816.4)+(-2.302344+(-5.373972--3.705456))+0-450--0.91799999999998</f>
        <v>1493.44714</v>
      </c>
      <c r="K174" s="3">
        <f>1128.9+(2498.3-1679.2)+(-2.878695+(-6.370665--4.28196))+0-449.7--1.14673499999993</f>
        <v>1494.4793350000002</v>
      </c>
      <c r="L174" s="3">
        <f>1128.4+(2346.8-1571.5)+(-4.603872+(-9.574944--6.41172))+0-457.3--1.86578399999996</f>
        <v>1440.4986880000001</v>
      </c>
      <c r="M174" s="3">
        <f>1127.9+(2278.6-1485.4)+(1.150458+(2.324172-1.515108))+0-417.5-0.425850000000067</f>
        <v>1505.1336719999999</v>
      </c>
      <c r="N174" s="3">
        <f>1129.1+(2134.9-1195.9)+(1.151682+(2.177598-1.219818))+0-463.7-0.472974000000074</f>
        <v>1606.0364879999997</v>
      </c>
      <c r="O174" s="3">
        <f>1134.2+(1995.4-963.9)+(-0.578442+(-1.017654--0.491589))+0-453.3--0.231182999999954</f>
        <v>1711.5266759999997</v>
      </c>
      <c r="P174" s="3">
        <f>1218.6+(1941.7-866.4)+(1.864458+(2.970801-1.325592))+0-451.1-0.690183000000026</f>
        <v>1845.6194840000001</v>
      </c>
      <c r="Q174" s="3">
        <f>1230+(1673.2-547.9)+(1.8819+(2.559996-0.838287))+0-463.8-0.709614000000027</f>
        <v>1894.3939949999999</v>
      </c>
      <c r="R174" s="3">
        <f>1268.8+(1759.1-667.7)+(-0.647088+(-0.897141--0.340527))+0-458.5--0.233834999999953</f>
        <v>1900.730133</v>
      </c>
      <c r="S174" s="3">
        <f>1266.5+(2020.8-1032.1)+(-2.58366+(-4.122432--2.105484))+0-445.1--0.908003999999981</f>
        <v>1806.4073959999996</v>
      </c>
      <c r="T174" s="3">
        <f>1262.5+(1998.7-996.4)+(0.643875+(1.019337-0.508164))+0-443.5-0.226184999999955</f>
        <v>1822.2288630000003</v>
      </c>
      <c r="U174" s="3">
        <f>1262.2+(1927.1-888.9)+(-0.643722+(-0.982821--0.453339))+0-448.8--0.228887999999954</f>
        <v>1850.6556839999994</v>
      </c>
      <c r="V174" s="3">
        <f>1262.2+(2001.6-952.5)+(-1.287444+(-2.041632--0.97155))+0-446.8--0.455736000000071</f>
        <v>1862.5982100000006</v>
      </c>
      <c r="W174" s="3">
        <f>1261.7+(2341.3-1295.7)+(0.643467+(1.194063-0.660807))+0-462.7-0.235976999999953</f>
        <v>1845.5407460000001</v>
      </c>
      <c r="X174" s="3">
        <f>1262.8+(1879.6-843.1)+(-4.508196+(-6.710172--3.009867))+0-461.4--1.64719800000001</f>
        <v>1831.3386970000001</v>
      </c>
      <c r="Y174" s="3">
        <f>1271.4+(1825.3-751.4)+(1.296828+(1.861806-0.766428))+0-456.2-0.465324000000073</f>
        <v>1891.0268820000001</v>
      </c>
      <c r="Z174" s="3">
        <f>1295+(1918.1-746.2)+(0+(0-0))+0-456.5-0</f>
        <v>2010.3999999999996</v>
      </c>
      <c r="AA174" s="3">
        <f>1294.5+(2269.4-1144.6)+(-1.980585+(-3.472182--1.751238))+0-451.3--0.690489000000026</f>
        <v>1964.9889600000004</v>
      </c>
      <c r="AB174" s="3">
        <f>1288.2+(2875.2-1825.1)+(-0.656982+(-1.466352--0.930801))+0-417--0.212669999999958</f>
        <v>1920.3201370000002</v>
      </c>
      <c r="AC174" s="3">
        <f>1236.5+(2924.8-1902)+(-1.891845+(-4.474944--2.91006))+0-403.5--0.617355000000023</f>
        <v>1852.9606260000003</v>
      </c>
      <c r="AD174" s="2">
        <v>1948.8999999999996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1140.8+(2634.8-1621.6)+(-0.581808+(-1.343748--0.827016))+0-435.2--0.221951999999956</f>
        <v>1717.9234119999999</v>
      </c>
      <c r="G175" s="3">
        <f>1130.1+(2695.2-1755.9)+(-1.729053+(-4.123656--2.686527))+0-396.7--0.606951000000023</f>
        <v>1670.1407689999996</v>
      </c>
      <c r="H175" s="3">
        <f>1128.9+(2490.3-1633.5)+(-2.302956+(-5.080212--3.33234))+0-395.7--0.807227999999983</f>
        <v>1586.7564000000002</v>
      </c>
      <c r="I175" s="3">
        <f>1127+(2587.9-1776.4)+(-1.72431+(-3.959487--2.717892))+0-396.2--0.606186000000023</f>
        <v>1539.9402809999999</v>
      </c>
      <c r="J175" s="3">
        <f>1128.8+(2527.4-1723.9)+(-1.727064+(-3.866922--2.637567))+0-403.2--0.616896000000023</f>
        <v>1526.7604769999998</v>
      </c>
      <c r="K175" s="3">
        <f>1129.9+(2474.4-1694.9)+(1.152498+(2.523888-1.728798))+0-400.3-0.408306000000064</f>
        <v>1510.6392820000001</v>
      </c>
      <c r="L175" s="3">
        <f>1129+(2197.6-1416.7)+(-3.45474+(-6.724656--4.335102))+0-401.4--1.22828400000005</f>
        <v>1503.88399</v>
      </c>
      <c r="M175" s="3">
        <f>1127.8+(1853.2-1067.6)+(-0.575178+(-0.945132--0.544476))+0-396.7--0.20231699999996</f>
        <v>1515.926483</v>
      </c>
      <c r="N175" s="3">
        <f>1128.5+(1577.6-643.1)+(0+(0-0))+0-388.8-0</f>
        <v>1674.2</v>
      </c>
      <c r="O175" s="3">
        <f>1124.1+(1685.6-680.1)+(0+(0-0))+0-357.6-0</f>
        <v>1772</v>
      </c>
      <c r="P175" s="3">
        <f>1127.2+(1671.6-592.6)+(0+(0-0))+0-361.2-0</f>
        <v>1844.9999999999998</v>
      </c>
      <c r="Q175" s="3">
        <f>1125.8+(1676.4-526.1)+(2.296632+(3.419856-1.073244))+0-373.8-0.762551999999984</f>
        <v>1906.1806920000004</v>
      </c>
      <c r="R175" s="3">
        <f>1126.7+(1627-462.1)+(0.574617+(0.82977-0.235671))+0-386.5-0.197114999999961</f>
        <v>1906.0716010000006</v>
      </c>
      <c r="S175" s="3">
        <f>1121.1+(1823.7-729)+(-1.143522+(-1.860174--0.74358))+0-398.1--0.406062000000063</f>
        <v>1815.8459460000004</v>
      </c>
      <c r="T175" s="3">
        <f>1139.8+(1780-702.4)+(-0.581298+(-0.9078--0.358224))+0-398.5--0.20323499999996</f>
        <v>1817.9723609999996</v>
      </c>
      <c r="U175" s="3">
        <f>1217.7+(1790.1-762.7)+(-0.621027+(-0.912951--0.388977))+0-394.8--0.20134799999996</f>
        <v>1849.3563470000001</v>
      </c>
      <c r="V175" s="3">
        <f>1221.7+(1935.6-898.6)+(-2.492268+(-3.948624--1.833144))+0-396.6--0.809063999999983</f>
        <v>1858.301316</v>
      </c>
      <c r="W175" s="3">
        <f>1221.1+(2236.3-1228.9)+(0.622761+(1.140513-0.626739))+0-393.3-0.20058299999996</f>
        <v>1836.1359520000001</v>
      </c>
      <c r="X175" s="3">
        <f>1222.7+(2163.2-1161.9)+(-1.247154+(-2.206464--1.185138))+0-400.6--0.408612000000064</f>
        <v>1821.5401320000001</v>
      </c>
      <c r="Y175" s="3">
        <f>1303.7+(2021.7-1055.1)+(1.994661+(3.093201-1.614303))+0-400.2-0.612306000000023</f>
        <v>1872.9612530000002</v>
      </c>
      <c r="Z175" s="3">
        <f>1405.1+(1879.8-902.8)+(-2.866404+(-3.834792--1.841712))+0-397.7--0.811307999999983</f>
        <v>1980.3518239999999</v>
      </c>
      <c r="AA175" s="3">
        <f>1410.8+(2259.1-1327.3)+(-5.036556+(-8.064987--4.738461))+0-401.8--1.43442600000001</f>
        <v>1933.8713440000001</v>
      </c>
      <c r="AB175" s="3">
        <f>1351.4+(2911.4-1980.8)+(-2.067642+(-4.454442--3.030624))+0-401.3--0.613989000000023</f>
        <v>1877.8225289999998</v>
      </c>
      <c r="AC175" s="3">
        <f>1240.6+(3084.7-2106)+(-0.632706+(-1.573197--1.07406))+0-402.7--0.205376999999959</f>
        <v>1815.6735339999996</v>
      </c>
      <c r="AD175" s="2">
        <v>1948.7000000000003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1202.5+(3031.3-2146)+(1.22655+(3.091926-2.18892))+0-408.1-0.416262000000065</f>
        <v>1681.4132940000002</v>
      </c>
      <c r="G176" s="3">
        <f>1140.6+(3153.9-2251.3)+(1.163412+(3.216978-2.296326))+0-408.2-0.416364000000065</f>
        <v>1636.6676999999995</v>
      </c>
      <c r="H176" s="3">
        <f>1130.6+(3249.4-2370.8)+(-1.729818+(-4.971582--3.627324))+0-412.7--0.631431000000024</f>
        <v>1594.0573549999997</v>
      </c>
      <c r="I176" s="3">
        <f>1130.3+(3052.3-2165.6)+(-1.729359+(-4.670019--3.313368))+0-452.2--0.691866000000026</f>
        <v>1562.4058560000003</v>
      </c>
      <c r="J176" s="3">
        <f>1130.8+(2703.2-1890.9)+(-0.576708+(-1.378632--0.964359))+0-442.9--0.225878999999955</f>
        <v>1499.4348979999997</v>
      </c>
      <c r="K176" s="3">
        <f>1129.8+(2644.9-1819.6)+(-2.304792+(-5.395596--3.711984))+0-445.6--0.909023999999981</f>
        <v>1506.4206200000003</v>
      </c>
      <c r="L176" s="3">
        <f>1130.5+(2648.3-1836.6)+(-0.576555+(-1.350633--0.936666))+0-448.2--0.228581999999955</f>
        <v>1493.2380600000001</v>
      </c>
      <c r="M176" s="3">
        <f>1130.2+(2311.9-1459.7)+(0+(0-0))+0-452.9-0</f>
        <v>1529.5</v>
      </c>
      <c r="N176" s="3">
        <f>1124.2+(1881.3-881.8)+(0.573342+(0.959463-0.449718))+0-448.9-0.228938999999954</f>
        <v>1675.6541479999999</v>
      </c>
      <c r="O176" s="3">
        <f>1126.9+(1908-901.9)+(1.149438+(1.94616-0.919938))+0-451-0.460020000000072</f>
        <v>1683.7156399999999</v>
      </c>
      <c r="P176" s="3">
        <f>1171.6+(1852.2-759.6)+(2.390064+(3.778488-1.549584))+0-461.5-0.94145999999998</f>
        <v>1806.377508</v>
      </c>
      <c r="Q176" s="3">
        <f>1173.3+(1674.8-522.7)+(-0.598383+(-0.854148--0.266577))+0-440.7--0.224756999999955</f>
        <v>1883.7388029999995</v>
      </c>
      <c r="R176" s="3">
        <f>1173.3+(1660.8-513.8)+(0+(0-0))+0-449.3-0</f>
        <v>1871.0000000000002</v>
      </c>
      <c r="S176" s="3">
        <f>1171.2+(1827-738.6)+(-1.194624+(-1.86354--0.753372))+0-451--0.460020000000072</f>
        <v>1806.7552280000004</v>
      </c>
      <c r="T176" s="3">
        <f>1171.8+(1676.4-579.7)+(-1.792854+(-2.564892--0.886941))+0-454.9--0.695997000000026</f>
        <v>1810.825192</v>
      </c>
      <c r="U176" s="3">
        <f>1170.8+(1763.8-666.2)+(-0.597108+(-0.899538--0.339762))+0-448.5--0.228734999999955</f>
        <v>1818.9718509999996</v>
      </c>
      <c r="V176" s="3">
        <f>1172.2+(1812.2-721.9)+(-2.391288+(-3.696888--1.472676))+0-448.8--0.91555199999998</f>
        <v>1810.0000520000001</v>
      </c>
      <c r="W176" s="3">
        <f>1170.9+(1875.2-774.5)+(-3.582954+(-5.738112--2.36997))+0-449--1.37394000000005</f>
        <v>1817.0228440000005</v>
      </c>
      <c r="X176" s="3">
        <f>1171.8+(1871.9-798.8)+(-3.585708+(-5.728014--2.444328))+0-459.2--1.40515200000005</f>
        <v>1780.2357580000003</v>
      </c>
      <c r="Y176" s="3">
        <f>1188.3+(1789.2-682.4)+(-1.212066+(-1.824984--0.696048))+0-439.2--0.44798400000007</f>
        <v>1854.0069820000003</v>
      </c>
      <c r="Z176" s="3">
        <f>1197.5+(1858.6-646.2)+(-1.832175+(-2.843658--0.988686))+0-424--0.648720000000025</f>
        <v>1982.8615729999995</v>
      </c>
      <c r="AA176" s="3">
        <f>1199.8+(1990.8-820.6)+(-2.447592+(-4.061232--1.674024))+0-458.4--0.93513599999998</f>
        <v>1907.7003359999999</v>
      </c>
      <c r="AB176" s="3">
        <f>1197.4+(2517.4-1407.3)+(-2.442696+(-5.135496--2.870892))+0-448.6--0.91514399999998</f>
        <v>1855.1078440000001</v>
      </c>
      <c r="AC176" s="3">
        <f>1143+(2587.6-1557.4)+(2.33172+(5.278704-3.177096))+0-448.7-0.91534799999998</f>
        <v>1728.0179799999999</v>
      </c>
      <c r="AD176" s="2">
        <v>2022.8999999999999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1139.7+(2609.3-1610.7)+(-2.906235+(-6.653715--4.107285))+0-443.2--1.13015999999994</f>
        <v>1690.7774950000003</v>
      </c>
      <c r="G177" s="3">
        <f>1142.5+(2471.7-1617)+(0.582675+(1.260567-0.82467))+0-436.6-0.222665999999956</f>
        <v>1561.395906</v>
      </c>
      <c r="H177" s="3">
        <f>1140+(2301.3-1512.9)+(-2.907+(-5.868315--3.857895))+0-438.1--1.11715499999994</f>
        <v>1486.4997349999999</v>
      </c>
      <c r="I177" s="3">
        <f>1140.6+(2222.8-1437.1)+(0+(0-0))+0-420.9-0</f>
        <v>1505.4</v>
      </c>
      <c r="J177" s="3">
        <f>1140.5+(2185.7-1361.9)+(0.581655+(1.114707-0.694569))+0-441.6-0.225215999999955</f>
        <v>1523.4765769999997</v>
      </c>
      <c r="K177" s="3">
        <f>1137+(1943.2-1165.5)+(1.73961+(2.973096-1.783215))+0-436.6-0.667998000000025</f>
        <v>1480.3614930000001</v>
      </c>
      <c r="L177" s="3">
        <f>1128.6+(1858.7-1049.7)+(-1.151172+(-1.895874--1.070694))+0-454--0.463080000000072</f>
        <v>1482.086728</v>
      </c>
      <c r="M177" s="3">
        <f>1130+(1979.7-1240.4)+(1.7289+(3.028941-1.897812))+0-451.3-0.690489000000026</f>
        <v>1420.1695399999999</v>
      </c>
      <c r="N177" s="3">
        <f>1128.6+(1995.5-1159.1)+(-0.575586+(-1.017705--0.591141))+0-439.2--0.223991999999955</f>
        <v>1525.0218419999999</v>
      </c>
      <c r="O177" s="3">
        <f>1137.2+(1791.6-852.3)+(0.579972+(0.913716-0.434673))+0-444.7-0.226796999999955</f>
        <v>1632.6322179999997</v>
      </c>
      <c r="P177" s="3">
        <f>1171.8+(1833.8-880.6)+(1.792854+(2.805714-1.347318))+0-434.4-0.664632000000025</f>
        <v>1693.1866179999997</v>
      </c>
      <c r="Q177" s="3">
        <f>1166.6+(1834.1-886.6)+(0+(0-0))+0-437.4-0</f>
        <v>1676.6999999999998</v>
      </c>
      <c r="R177" s="3">
        <f>1178.6+(1813.7-850.8)+(-0.601086+(-0.924987--0.433908))+0-437--0.222869999999956</f>
        <v>1703.630705</v>
      </c>
      <c r="S177" s="3">
        <f>1176.4+(1963.1-1012.7)+(-1.799892+(-3.003543--1.549431))+0-441--0.674730000000025</f>
        <v>1683.2207260000002</v>
      </c>
      <c r="T177" s="3">
        <f>1176.4+(2063.4-1154.7)+(0+(0-0))+0-445.8-0</f>
        <v>1639.3000000000004</v>
      </c>
      <c r="U177" s="3">
        <f>1177.2+(1959.8-1023.8)+(0+(0-0))+0-443.4-0</f>
        <v>1669.7999999999997</v>
      </c>
      <c r="V177" s="3">
        <f>1176.5+(1889-956.3)+(-3.000075+(-4.81695--2.438565))+0-443.5--1.13092499999994</f>
        <v>1661.4524649999998</v>
      </c>
      <c r="W177" s="3">
        <f>1175.7+(1729.3-733.5)+(-2.998035+(-4.409715--1.870425))+0-450.4--1.14851999999993</f>
        <v>1716.7111950000001</v>
      </c>
      <c r="X177" s="3">
        <f>1177.1+(1420.8-465.9)+(-3.601926+(-4.347648--1.425654))+0-447.7--1.36996200000005</f>
        <v>1679.1460419999999</v>
      </c>
      <c r="Y177" s="3">
        <f>1181.1+(1349.2-320.9)+(1.807083+(2.064276-0.490977))+0-415.8-0.636174000000024</f>
        <v>1796.344208</v>
      </c>
      <c r="Z177" s="3">
        <f>1314+(1357.4-456.9)+(-2.01042+(-2.076822--0.699057))+0-403.1--0.616743000000023</f>
        <v>1808.6285580000003</v>
      </c>
      <c r="AA177" s="3">
        <f>1339.7+(1625.6-780.7)+(-2.049741+(-2.487168--1.194471))+0-403.6--0.617508000000023</f>
        <v>1778.2750699999999</v>
      </c>
      <c r="AB177" s="3">
        <f>1280.7+(1689.2-805.7)+(-3.918942+(-5.168952--2.465442))+0-396.6--1.21359600000005</f>
        <v>1762.1911439999999</v>
      </c>
      <c r="AC177" s="3">
        <f>1223+(1969.5-1114.1)+(-2.49492+(-4.01778--2.272764))+0-435.8--0.889031999999981</f>
        <v>1639.2490960000002</v>
      </c>
      <c r="AD177" s="2">
        <v>2036.5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1132.1+(2220.2-1248.2)+(-1.154742+(-2.264604--1.273164))+0-442.8--0.451656000000071</f>
        <v>1659.6054739999997</v>
      </c>
      <c r="G178" s="3">
        <f>1131.1+(2274-1316.4)+(-2.307444+(-4.63896--2.685456))+0-447.7--0.91330799999998</f>
        <v>1637.6523599999996</v>
      </c>
      <c r="H178" s="3">
        <f>1131.5+(2190.6-1287)+(-2.885325+(-5.58603--3.28185))+0-449.8--1.14698999999993</f>
        <v>1581.2574849999999</v>
      </c>
      <c r="I178" s="3">
        <f>1130.1+(2241.1-1324.7)+(-1.729053+(-3.428883--2.026791))+0-453.1--0.693243000000026</f>
        <v>1590.9620979999997</v>
      </c>
      <c r="J178" s="3">
        <f>1130.9+(2121.6-1250.8)+(1.153518+(2.164032-1.275816))+0-448.8-0.457776000000072</f>
        <v>1554.483958</v>
      </c>
      <c r="K178" s="3">
        <f>1132.3+(2009.6-1137.3)+(-1.732419+(-3.074688--1.740069))+0-447.2--0.684216000000026</f>
        <v>1555.0171780000001</v>
      </c>
      <c r="L178" s="3">
        <f>1131.1+(1700.5-875.2)+(-1.153722+(-1.73451--0.892704))+0-451.5--0.460530000000072</f>
        <v>1503.365002</v>
      </c>
      <c r="M178" s="3">
        <f>1130.7+(1305.6-458)+(0+(0-0))+0-457.7-0</f>
        <v>1520.6</v>
      </c>
      <c r="N178" s="3">
        <f>1131.9+(1130.1-273.1)+(-0.577269+(-0.576351--0.139281))+0-451--0.230009999999954</f>
        <v>1537.115671</v>
      </c>
      <c r="O178" s="3">
        <f>1188+(1223.5-305.9)+(0.60588+(0.623985-0.156009))+0-445.7-0.227306999999955</f>
        <v>1660.746549</v>
      </c>
      <c r="P178" s="3">
        <f>1177.1+(1292.7-287.2)+(-0.600321+(-0.659277--0.146472))+0-459.8--0.234497999999953</f>
        <v>1721.9213719999998</v>
      </c>
      <c r="Q178" s="3">
        <f>1186.9+(1424.6-389.3)+(-0.605319+(-0.726546--0.198543))+0-425.4--0.216953999999957</f>
        <v>1795.8836319999996</v>
      </c>
      <c r="R178" s="3">
        <f>1151.1+(1375.2-321.8)+(0.587061+(0.701352-0.164118))+0-445.7-0.227306999999955</f>
        <v>1759.6969880000001</v>
      </c>
      <c r="S178" s="3">
        <f>1148.5+(1539.2-564.5)+(-1.757205+(-2.354976--0.863685))+0-448.5--0.686205000000026</f>
        <v>1672.1377089999996</v>
      </c>
      <c r="T178" s="3">
        <f>1170.1+(1692-733.2)+(-0.596751+(-0.86292--0.373932))+0-386.5--0.197114999999961</f>
        <v>1741.5113759999995</v>
      </c>
      <c r="U178" s="3">
        <f>1176.9+(1894.1-929.7)+(-1.800657+(-2.897973--1.422441))+0-386.3--0.591039000000022</f>
        <v>1752.31485</v>
      </c>
      <c r="V178" s="3">
        <f>1178.1+(2062.2-1132.6)+(-1.201662+(-2.103444--1.155252))+0-383.6--0.391272000000061</f>
        <v>1722.3414180000002</v>
      </c>
      <c r="W178" s="3">
        <f>1177.6+(1896.3-910.3)+(-1.201152+(-1.934226--0.928506))+0-398.2--0.406164000000063</f>
        <v>1763.5992919999997</v>
      </c>
      <c r="X178" s="3">
        <f>1177.3+(1460.9-564.1)+(-2.401692+(-2.980236--1.150764))+0-398--0.811919999999983</f>
        <v>1672.680756</v>
      </c>
      <c r="Y178" s="3">
        <f>1186.5+(1404.7-431.3)+(0+(0-0))+0-403.7-0</f>
        <v>1756.2</v>
      </c>
      <c r="Z178" s="3">
        <f>1185.7+(1582.8-394.4)+(-1.814121+(-2.421684--0.603432))+0-400.5--0.612765000000023</f>
        <v>1970.5803920000005</v>
      </c>
      <c r="AA178" s="3">
        <f>1143.7+(1440.8-303.3)+(-2.333148+(-2.939232--0.618732))+0-400.3--0.816611999999983</f>
        <v>1877.062964</v>
      </c>
      <c r="AB178" s="3">
        <f>1141.9+(1226.5-294.3)+(0+(0-0))+0-447.6-0</f>
        <v>1626.5000000000005</v>
      </c>
      <c r="AC178" s="3">
        <f>1134.5+(1379.6-413.2)+(-2.31438+(-2.814384--0.842928))+0-448.1--0.914123999999981</f>
        <v>1649.4282879999996</v>
      </c>
      <c r="AD178" s="2">
        <v>1851.3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1128.1+(1741.1-982.9)+(-0.575331+(-0.887961--0.501279))+0-443.9--0.226388999999955</f>
        <v>1441.6643759999997</v>
      </c>
      <c r="G179" s="3">
        <f>1129.1+(2347.6-1627.8)+(1.151682+(2.394552-1.660356))+0-440-0.44880000000007</f>
        <v>1410.3370779999998</v>
      </c>
      <c r="H179" s="3">
        <f>1128.9+(2200.2-1517.8)+(-1.727217+(-3.366306--2.322234))+0-443.7--0.678861000000026</f>
        <v>1365.507572</v>
      </c>
      <c r="I179" s="3">
        <f>1129+(2121.1-1509.8)+(-0.57579+(-1.081761--0.769998))+0-446.9--0.227918999999955</f>
        <v>1292.740366</v>
      </c>
      <c r="J179" s="3">
        <f>1129.7+(2101.8-1446.4)+(-0.576147+(-1.071918--0.737664))+0-449.2--0.229091999999954</f>
        <v>1335.218691</v>
      </c>
      <c r="K179" s="3">
        <f>1128.4+(2083.4-1474)+(1.150968+(2.125068-1.50348))+0-452.4-0.461448000000072</f>
        <v>1286.711108</v>
      </c>
      <c r="L179" s="3">
        <f>1129.3+(1975-1296)+(1.151886+(2.0145-1.32192))+0-399.7-0.407694000000064</f>
        <v>1410.0367719999999</v>
      </c>
      <c r="M179" s="3">
        <f>1128.2+(1720.7-1055.9)+(1.150764+(1.755114-1.077018))+0-437.1-0.44584200000007</f>
        <v>1357.2830180000001</v>
      </c>
      <c r="N179" s="3">
        <f>1112.7+(1614.4-870.3)+(1.134954+(1.646688-0.887706))+0-395.3-0.403206000000063</f>
        <v>1462.9907300000002</v>
      </c>
      <c r="O179" s="3">
        <f>1111.8+(1353.6-568.9)+(0.567018+(0.690336-0.290139))+0-444.8-0.226847999999955</f>
        <v>1452.4403669999999</v>
      </c>
      <c r="P179" s="3">
        <f>1130.1+(1326.6-485.5)+(0+(0-0))+0-448.3-0</f>
        <v>1522.8999999999999</v>
      </c>
      <c r="Q179" s="3">
        <f>1129.3+(1309-482.8)+(0+(0-0))+0-443.5-0</f>
        <v>1512</v>
      </c>
      <c r="R179" s="3">
        <f>1131+(1741.4-839.8)+(-0.57681+(-0.888114--0.428298))+0-390.6--0.19920599999996</f>
        <v>1641.1625799999999</v>
      </c>
      <c r="S179" s="3">
        <f>1129.4+(1790.2-969)+(-1.727982+(-2.739006--1.48257))+0-391.5--0.598995000000023</f>
        <v>1556.7145770000002</v>
      </c>
      <c r="T179" s="3">
        <f>1129.5+(1832.1-1047.6)+(-1.15209+(-1.868742--1.068552))+0-388.2--0.395964000000062</f>
        <v>1524.243684</v>
      </c>
      <c r="U179" s="3">
        <f>1130.7+(1936-1140.6)+(-1.153314+(-1.97472--1.163412))+0-437--0.44574000000007</f>
        <v>1487.5811180000003</v>
      </c>
      <c r="V179" s="3">
        <f>1129.9+(1821.4-1017)+(-1.152498+(-1.857828--1.03734))+0-394.7--0.402594000000063</f>
        <v>1538.0296080000003</v>
      </c>
      <c r="W179" s="3">
        <f>1128.5+(1478.8-665.6)+(-1.15107+(-1.508376--0.678912))+0-393.4--0.401268000000063</f>
        <v>1546.720734</v>
      </c>
      <c r="X179" s="3">
        <f>1163.5+(1217.9-427.7)+(-0.593385+(-0.621129--0.218127))+0-395.8--0.20185799999996</f>
        <v>1557.1054710000001</v>
      </c>
      <c r="Y179" s="3">
        <f>1255+(1166.6-373)+(-0.64005+(-0.594966--0.19023))+0-398.8--0.20338799999996</f>
        <v>1648.9586019999999</v>
      </c>
      <c r="Z179" s="3">
        <f>1261.3+(1283.9-366.8)+(-1.286526+(-1.309578--0.374136))+0-386--0.393720000000062</f>
        <v>1790.5717520000003</v>
      </c>
      <c r="AA179" s="3">
        <f>1244.5+(1250.1-335.7)+(-1.904085+(-1.912653--0.513621))+0-391.4--0.598842000000023</f>
        <v>1764.7957249999997</v>
      </c>
      <c r="AB179" s="3">
        <f>1175.9+(1458.2-535.1)+(1.199418+(1.487364-0.545802))+0-389.2-0.396984000000062</f>
        <v>1711.5439960000001</v>
      </c>
      <c r="AC179" s="3">
        <f>1173.5+(1780.3-946.1)+(-0.598485+(-0.907953--0.482511))+0-394.9--0.20139899999996</f>
        <v>1611.977472</v>
      </c>
      <c r="AD179" s="2">
        <v>1814.5000000000002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1163.5+(2416.5-1542.1)+(0+(0-0))+0-450-0</f>
        <v>1587.9</v>
      </c>
      <c r="G180" s="3">
        <f>1163.5+(2724.7-1988.7)+(0+(0-0))+0-449.2-0</f>
        <v>1450.2999999999997</v>
      </c>
      <c r="H180" s="3">
        <f>1162.7+(2544-1871.4)+(0+(0-0))+13.3-448.8-0</f>
        <v>1399.8</v>
      </c>
      <c r="I180" s="3">
        <f>1162.4+(2478.2-1829.4)+(0+(0-0))+0-454.4-0</f>
        <v>1356.7999999999997</v>
      </c>
      <c r="J180" s="3">
        <f>1162.7+(2179.7-1550.3)+(2.964885+(5.558235-3.953265))+0-461.6-1.17707999999993</f>
        <v>1333.8927749999998</v>
      </c>
      <c r="K180" s="3">
        <f>1163.5+(1965.8-1325.4)+(1.18677+(2.005116-1.351908))+0-455.9-0.465018000000073</f>
        <v>1349.3749599999999</v>
      </c>
      <c r="L180" s="3">
        <f>1161.1+(1430.7-762.9)+(0.592161+(0.729657-0.389079))+0-452.9-0.230978999999954</f>
        <v>1376.7017600000004</v>
      </c>
      <c r="M180" s="3">
        <f>1160.9+(1376.9-661.1)+(-1.184118+(-1.404438--0.674322))+0-455.8--0.464916000000073</f>
        <v>1419.4506820000004</v>
      </c>
      <c r="N180" s="3">
        <f>1160.8+(1317.9-460.1)+(2.96004+(3.360645-1.173255))+0-457.3-1.16611499999993</f>
        <v>1565.2813149999999</v>
      </c>
      <c r="O180" s="3">
        <f>1161.4+(1525.6-550.1)+(0+(0-0))+0-456.2-0</f>
        <v>1680.7</v>
      </c>
      <c r="P180" s="3">
        <f>1160.4+(1514.5-460.6)+(0.591804+(0.772395-0.234906))+0-460.3-0.234752999999953</f>
        <v>1754.8945400000002</v>
      </c>
      <c r="Q180" s="3">
        <f>1138.5+(1561.4-443.2)+(0.580635+(0.796314-0.226032))+0-458.4-0.233783999999953</f>
        <v>1799.2171329999996</v>
      </c>
      <c r="R180" s="3">
        <f>1217.4+(1568.3-506.1)+(-1.241748+(-1.599666--0.516222))+0-447.1--0.456042000000071</f>
        <v>1830.6308500000002</v>
      </c>
      <c r="S180" s="3">
        <f>1223.3+(2020.4-1072.8)+(0.623883+(1.030404-0.547128))+0-404-0.206039999999959</f>
        <v>1767.8011190000002</v>
      </c>
      <c r="T180" s="3">
        <f>1222.2+(2028.7-1130.6)+(0+(0-0))+0-366.8-0</f>
        <v>1753.5000000000002</v>
      </c>
      <c r="U180" s="3">
        <f>1236.1+(2011.9-995)+(3.152055+(5.130345-2.53725))+0-405.9-1.03504499999994</f>
        <v>1851.8101050000002</v>
      </c>
      <c r="V180" s="3">
        <f>1239.1+(2027.6-1087.6)+(-2.527764+(-4.136304--2.218704))+0-405.6--0.827423999999982</f>
        <v>1769.8820599999999</v>
      </c>
      <c r="W180" s="3">
        <f>1241.4+(2101.9-1187.1)+(-5.064912+(-8.575752--4.843368))+0-406.1--1.65688799999996</f>
        <v>1742.9595920000002</v>
      </c>
      <c r="X180" s="3">
        <f>1239.9+(1594.5-653.2)+(-3.161745+(-4.065975--1.66566))+0-404.3--1.03096499999994</f>
        <v>1772.3689049999996</v>
      </c>
      <c r="Y180" s="3">
        <f>1254.9+(1513.5-516.1)+(1.279998+(1.54377-0.526422))+0-407-0.415140000000065</f>
        <v>1847.182206</v>
      </c>
      <c r="Z180" s="3">
        <f>1264.7+(1763.4-690.1)+(-1.289994+(-1.798668--0.703902))+0-405--0.413100000000065</f>
        <v>1931.0283400000001</v>
      </c>
      <c r="AA180" s="3">
        <f>1265.2+(1847-827.9)+(-1.290504+(-1.88394--0.844458))+0-405.5--0.413610000000065</f>
        <v>1876.8836240000001</v>
      </c>
      <c r="AB180" s="3">
        <f>1257.3+(1691.8-730.3)+(-1.282446+(-1.725636--0.744906))+0-449.6--0.458592000000072</f>
        <v>1767.3954160000005</v>
      </c>
      <c r="AC180" s="3">
        <f>1138+(2095.9-1070.7)+(0.58038+(1.068909-0.546057))+0-450.4-0.229703999999954</f>
        <v>1713.6735279999998</v>
      </c>
      <c r="AD180" s="2">
        <v>1943.3999999999996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1132.5+(2597-1654.5)+(-1.732725+(-3.97341--2.531385))+0-460.6--0.704718000000027</f>
        <v>1611.9299679999999</v>
      </c>
      <c r="G181" s="3">
        <f>1131.3+(2896.7-2042.8)+(-2.307852+(-5.909268--4.167312))+0-444.6--0.906983999999981</f>
        <v>1537.4571759999997</v>
      </c>
      <c r="H181" s="3">
        <f>1132.4+(2861.1-2083.7)+(-1.732572+(-4.377483--3.188061))+0-453.5--0.693855000000026</f>
        <v>1454.0718610000001</v>
      </c>
      <c r="I181" s="3">
        <f>1131.7+(2694.3-1954.7)+(-0.577167+(-1.374093--0.996897))+0-450.2--0.229601999999954</f>
        <v>1420.375239</v>
      </c>
      <c r="J181" s="3">
        <f>1130.4+(2591.4-1866.7)+(2.306016+(5.286456-3.808068))+0-452.7-0.92350799999998</f>
        <v>1405.260896</v>
      </c>
      <c r="K181" s="3">
        <f>1132.1+(2135.4-1404.8)+(0.577371+(1.089054-0.716448))+0-446-0.227459999999955</f>
        <v>1417.422517</v>
      </c>
      <c r="L181" s="3">
        <f>1132+(1674.8-937.9)+(-2.30928+(-3.416592--1.913316))+0-446.4--0.91065599999998</f>
        <v>1419.5981000000002</v>
      </c>
      <c r="M181" s="3">
        <f>1129.7+(1261.9-477.6)+(-0.576147+(-0.643569--0.243576))+0-449.3--0.229142999999954</f>
        <v>1463.9530030000001</v>
      </c>
      <c r="N181" s="3">
        <f>1137+(1408.3-505.5)+(0+(0-0))+0-433.1-0</f>
        <v>1606.6999999999998</v>
      </c>
      <c r="O181" s="3">
        <f>1148.5+(1636.2-661.4)+(-4.100145+(-5.841234--2.361198))+0-400.6--1.43014200000001</f>
        <v>1716.5499610000004</v>
      </c>
      <c r="P181" s="3">
        <f>1146.9+(1739.3-684.1)+(0+(0-0))+0-443-0</f>
        <v>1759.1</v>
      </c>
      <c r="Q181" s="3">
        <f>1130.5+(1743.1-629.4)+(1.15311+(1.777962-0.641988))+0-437.3-0.44604600000007</f>
        <v>1808.7430379999998</v>
      </c>
      <c r="R181" s="3">
        <f>1208.2+(1694.2-657.5)+(0+(0-0))+0-443-0</f>
        <v>1801.9</v>
      </c>
      <c r="S181" s="3">
        <f>1219.6+(2169.4-1225)+(-0.621996+(-1.106394--0.62475))+0-444.6--0.226745999999955</f>
        <v>1718.5231060000003</v>
      </c>
      <c r="T181" s="3">
        <f>1219.1+(2276.3-1319.3)+(-0.621741+(-1.160913--0.672843))+0-393.3--0.20058299999996</f>
        <v>1781.8907720000007</v>
      </c>
      <c r="U181" s="3">
        <f>1220+(2404.2-1423.7)+(0+(0-0))+0-437.4-0</f>
        <v>1763.1</v>
      </c>
      <c r="V181" s="3">
        <f>1217.6+(2388.7-1402.3)+(-1.862928+(-3.654711--2.145519))+0-444.5--0.680085000000026</f>
        <v>1756.807965</v>
      </c>
      <c r="W181" s="3">
        <f>1218.8+(2257-1285.9)+(-0.621588+(-1.15107--0.655809))+0-439.1--0.223940999999955</f>
        <v>1749.9070919999997</v>
      </c>
      <c r="X181" s="3">
        <f>1218.5+(1424.6-475.9)+(0.621435+(0.726546-0.242709))+0-450.4-0.229703999999954</f>
        <v>1717.6755679999997</v>
      </c>
      <c r="Y181" s="3">
        <f>1228.2+(1581.4-540.2)+(-0.626382+(-0.806514--0.275502))+0-452.7--0.230876999999954</f>
        <v>1815.7734830000002</v>
      </c>
      <c r="Z181" s="3">
        <f>1231.6+(1770.1-623.3)+(-1.256232+(-1.805502--0.635766))+0-465.7--0.475014000000074</f>
        <v>1910.7490459999997</v>
      </c>
      <c r="AA181" s="3">
        <f>1196.1+(1984.5-876.9)+(-1.220022+(-2.02419--0.894438))+0-450.7--0.459714000000072</f>
        <v>1851.1099400000001</v>
      </c>
      <c r="AB181" s="3">
        <f>1144.8+(1506.7-416.8)+(0+(0-0))+0-458.2-0</f>
        <v>1776.4999999999998</v>
      </c>
      <c r="AC181" s="3">
        <f>1142.1+(1622.5-587.9)+(-2.329884+(-3.3099--1.199316))+0-453.9--0.92595599999998</f>
        <v>1719.285488</v>
      </c>
      <c r="AD181" s="2">
        <v>1886.8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1131.5+(2191.9-1221.9)+(-3.46239+(-6.707214--3.739014))+0-450.3--1.37791800000005</f>
        <v>1646.1473280000002</v>
      </c>
      <c r="G182" s="3">
        <f>1130.8+(2675.5-1831.2)+(-2.88354+(-6.822525--4.66956))+0-451.6--1.15157999999993</f>
        <v>1519.6150749999999</v>
      </c>
      <c r="H182" s="3">
        <f>1131+(2938.2-2156.9)+(-1.73043+(-4.495446--3.300057))+0-453--0.693090000000026</f>
        <v>1457.0672709999997</v>
      </c>
      <c r="I182" s="3">
        <f>1131.8+(2657-1919.7)+(-4.040526+(-9.48549--6.853329))+0-449.5--1.60471500000001</f>
        <v>1414.5320279999999</v>
      </c>
      <c r="J182" s="3">
        <f>1130.6+(2624.9-1927.6)+(1.153212+(2.677398-1.966152))+0-404.7-0.412794000000065</f>
        <v>1424.651664</v>
      </c>
      <c r="K182" s="3">
        <f>1129.7+(2377.6-1688.6)+(-1.728441+(-3.637728--2.583558))+0-403.5--0.617355000000023</f>
        <v>1413.034744</v>
      </c>
      <c r="L182" s="3">
        <f>1130.1+(2108.4-1448.8)+(-3.458106+(-6.451704--4.433328))+0-402.9--1.23287400000005</f>
        <v>1382.5563920000002</v>
      </c>
      <c r="M182" s="3">
        <f>1126.2+(1779.1-1056.3)+(1.148724+(1.814682-1.077426))+0-403.7-0.411774000000064</f>
        <v>1446.7742059999998</v>
      </c>
      <c r="N182" s="3">
        <f>1121.7+(1769.3-891.6)+(1.144134+(1.804686-0.909432))+0-398.7-0.406674000000064</f>
        <v>1602.3327139999999</v>
      </c>
      <c r="O182" s="3">
        <f>1133+(1630.9-673.7)+(0.57783+(0.831759-0.343587))+0-397.9-0.20292899999996</f>
        <v>1693.1630729999997</v>
      </c>
      <c r="P182" s="3">
        <f>1132.3+(1813.1-779)+(1.732419+(2.774043-1.19187))+0-400-0.612000000000023</f>
        <v>1769.1025919999997</v>
      </c>
      <c r="Q182" s="3">
        <f>1135.6+(1602.4-517.2)+(1.158312+(1.634448-0.527544))+0-399.4-0.407388000000064</f>
        <v>1823.2578279999998</v>
      </c>
      <c r="R182" s="3">
        <f>1191.2+(1537.1-493.7)+(-0.607512+(-0.783921--0.251787))+0-399.5--0.203744999999959</f>
        <v>1834.1640989999999</v>
      </c>
      <c r="S182" s="3">
        <f>1201.2+(1744.2-806.5)+(-1.837836+(-2.668626--1.233945))+0-398.5--0.609705000000023</f>
        <v>1737.7371880000003</v>
      </c>
      <c r="T182" s="3">
        <f>1202.3+(1592.4-654.7)+(-0.613173+(-0.812124--0.333897))+0-396.7--0.20231699999996</f>
        <v>1742.4109170000002</v>
      </c>
      <c r="U182" s="3">
        <f>1111.8+(1647.4-627.7)+(0.567018+(0.840174-0.320127))+0-391.5-0.19966499999996</f>
        <v>1740.8874000000003</v>
      </c>
      <c r="V182" s="3">
        <f>1193.2+(1729.3-774.2)+(-0.608532+(-0.881943--0.394842))+0-388.2--0.197981999999961</f>
        <v>1759.2023490000001</v>
      </c>
      <c r="W182" s="3">
        <f>1196+(1993.8-1036.5)+(-0.60996+(-1.016838--0.528615))+0-388.2--0.197981999999961</f>
        <v>1764.199799</v>
      </c>
      <c r="X182" s="3">
        <f>1195.1+(1840.9-902.9)+(-2.438004+(-3.755436--1.841916))+0-391.9--0.799475999999983</f>
        <v>1737.6479519999996</v>
      </c>
      <c r="Y182" s="3">
        <f>1209.7+(1636.4-643.4)+(0.616947+(0.834564-0.328134))+0-394.3-0.20109299999996</f>
        <v>1809.3222840000003</v>
      </c>
      <c r="Z182" s="3">
        <f>1213.9+(1583.9-497.3)+(-2.476356+(-3.231156--1.014492))+0-390--0.795599999999983</f>
        <v>1906.6025799999998</v>
      </c>
      <c r="AA182" s="3">
        <f>1212.7+(1674.1-647.4)+(-3.710862+(-5.122746--1.981044))+0-388.7--1.18942200000004</f>
        <v>1845.0368579999999</v>
      </c>
      <c r="AB182" s="3">
        <f>1176.3+(1990.3-975.8)+(-1.799739+(-3.045159--1.492974))+0-387--0.592110000000022</f>
        <v>1801.0401860000002</v>
      </c>
      <c r="AC182" s="3">
        <f>1158.2+(2148.8-1199.2)+(-0.590682+(-1.095888--0.611592))+0-393.9--0.20088899999996</f>
        <v>1713.025911</v>
      </c>
      <c r="AD182" s="2">
        <v>1922.1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1175.7+(2424.6-1573.5)+(-2.398428+(-4.946184--3.20994))+0-397.8--0.811511999999983</f>
        <v>1625.6768400000001</v>
      </c>
      <c r="G183" s="3">
        <f>1139.6+(2426.4-1634.8)+(-4.649568+(-9.899712--6.669984))+0-400.6--1.63444799999997</f>
        <v>1524.3551519999999</v>
      </c>
      <c r="H183" s="3">
        <f>1135.5+(2365-1607)+(-1.737315+(-3.61845--2.45871))+0-399.2--0.610776000000023</f>
        <v>1492.013721</v>
      </c>
      <c r="I183" s="3">
        <f>1136.1+(2360.8-1648.2)+(-0.579411+(-1.204008--0.840582))+0-398.1--0.20303099999996</f>
        <v>1449.8601939999999</v>
      </c>
      <c r="J183" s="3">
        <f>1135.5+(2212.5-1526)+(-0.579105+(-1.128375--0.77826))+0-395--0.20144999999996</f>
        <v>1426.27223</v>
      </c>
      <c r="K183" s="3">
        <f>1135.2+(2117.6-1448.7)+(-0.578952+(-1.079976--0.738837))+0-396.6--0.20226599999996</f>
        <v>1406.7821750000001</v>
      </c>
      <c r="L183" s="3">
        <f>1135.6+(1880.9-1205.2)+(-0.579156+(-0.959259--0.614652))+0-396.8--0.20236799999996</f>
        <v>1413.778605</v>
      </c>
      <c r="M183" s="3">
        <f>1134.6+(1717.6-1009.8)+(1.157292+(1.751952-1.029996))+0-395.3-0.403206000000063</f>
        <v>1448.5760419999999</v>
      </c>
      <c r="N183" s="3">
        <f>1134.8+(1312.6-487.5)+(1.736244+(2.008278-0.745875))+0-385.5-0.589815000000022</f>
        <v>1576.8088319999997</v>
      </c>
      <c r="O183" s="3">
        <f>1128+(1353.8-397)+(-1.15056+(-1.380876--0.40494))+0-387.7--0.395454000000062</f>
        <v>1695.3689580000002</v>
      </c>
      <c r="P183" s="3">
        <f>1117.5+(1420.5-409.5)+(0+(0-0))+0-392.8-0</f>
        <v>1735.7</v>
      </c>
      <c r="Q183" s="3">
        <f>1154.2+(1421.9-371.1)+(0.588642+(0.725169-0.189261))+0-392.1-0.19997099999996</f>
        <v>1813.8245790000001</v>
      </c>
      <c r="R183" s="3">
        <f>1275.1+(1409.8-479)+(0.650301+(0.718998-0.24429))+0-393.4-0.20063399999996</f>
        <v>1813.4243749999994</v>
      </c>
      <c r="S183" s="3">
        <f>1270.9+(1585.4-727.8)+(-0.648159+(-0.808554--0.371178))+0-395.9--0.20190899999996</f>
        <v>1731.7163739999996</v>
      </c>
      <c r="T183" s="3">
        <f>1272.5+(1549.1-683.8)+(-0.648975+(-0.790041--0.348738))+0-398.8--0.20338799999996</f>
        <v>1738.11311</v>
      </c>
      <c r="U183" s="3">
        <f>1270.8+(1566.9-667.6)+(-0.648108+(-0.799119--0.340476))+0-401.2--0.204611999999959</f>
        <v>1767.9978610000001</v>
      </c>
      <c r="V183" s="3">
        <f>1270.6+(1660.6-745.1)+(-3.24003+(-4.23453--1.900005))+0-398.4--1.01591999999994</f>
        <v>1783.1413649999997</v>
      </c>
      <c r="W183" s="3">
        <f>1270.6+(1929.3-1029.5)+(-2.592024+(-3.935772--2.10018))+0-393.3--0.802331999999983</f>
        <v>1773.4747159999997</v>
      </c>
      <c r="X183" s="3">
        <f>1251.7+(1579.2-698.6)+(-1.276734+(-1.610784--0.712572))+0-389.7--0.397494000000062</f>
        <v>1740.8225480000001</v>
      </c>
      <c r="Y183" s="3">
        <f>1232.3+(1590.1-614.7)+(0.628473+(0.810951-0.313497))+0-393.2-0.20053199999996</f>
        <v>1815.4253949999998</v>
      </c>
      <c r="Z183" s="3">
        <f>1244.6+(1544-485.5)+(-1.269492+(-1.57488--0.49521))+0-392.1--0.399942000000063</f>
        <v>1909.05078</v>
      </c>
      <c r="AA183" s="3">
        <f>1244.1+(1823.4-805.7)+(-3.172455+(-4.64967--2.054535))+0-390.5--0.995774999999943</f>
        <v>1866.5281850000001</v>
      </c>
      <c r="AB183" s="3">
        <f>1242.9+(2190.7-1258.1)+(-2.535516+(-4.469028--2.566524))+0-391.2--0.798047999999983</f>
        <v>1780.6600279999998</v>
      </c>
      <c r="AC183" s="3">
        <f>1176.4+(2508.6-1588.3)+(-2.399856+(-5.117544--3.240132))+0-396.3--0.808451999999983</f>
        <v>1696.931184</v>
      </c>
      <c r="AD183" s="2">
        <v>1860.7000000000003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1119.1+(2710.9-1807.4)+(-0.570741+(-1.382559--0.921774))+0-397.6--0.20277599999996</f>
        <v>1624.1712499999996</v>
      </c>
      <c r="G184" s="3">
        <f>1102.8+(2731.2-1900.1)+(-2.81214+(-6.96456--4.845255))+0-398.8--1.01693999999994</f>
        <v>1531.1854949999999</v>
      </c>
      <c r="H184" s="3">
        <f>1122.2+(2392.3-1626.9)+(-3.433932+(-7.320438--4.978314))+0-396.6--1.21359600000005</f>
        <v>1486.4375400000004</v>
      </c>
      <c r="I184" s="3">
        <f>1122.7+(2332.4-1607.8)+(-4.008039+(-8.326668--5.739846))+0-399.2--1.42514400000001</f>
        <v>1442.9302830000001</v>
      </c>
      <c r="J184" s="3">
        <f>1121.3+(2226.7-1530)+(-2.287452+(-4.542468--3.1212))+0-398.1--0.812123999999983</f>
        <v>1417.0034039999996</v>
      </c>
      <c r="K184" s="3">
        <f>1120.8+(2300.8-1603.9)+(1.714824+(3.520224-2.453967))+0-397.7-0.608481000000023</f>
        <v>1422.1726000000001</v>
      </c>
      <c r="L184" s="3">
        <f>1122.1+(2025.1-1322.6)+(-2.289084+(-4.131204--2.698104))+0-398.4--0.812735999999983</f>
        <v>1423.2905520000002</v>
      </c>
      <c r="M184" s="3">
        <f>1119.9+(1680.3-966.6)+(0+(0-0))+0-399-0</f>
        <v>1434.6</v>
      </c>
      <c r="N184" s="3">
        <f>1122.8+(1472.5-629.2)+(0+(0-0))+0-400.8-0</f>
        <v>1565.3</v>
      </c>
      <c r="O184" s="3">
        <f>1121+(1635.2-670.4)+(1.14342+(1.667904-0.683808))+0-402.9-0.410958000000064</f>
        <v>1684.6165579999999</v>
      </c>
      <c r="P184" s="3">
        <f>1124.5+(1796.2-740.2)+(1.14699+(1.832124-0.755004))+0-404-0.412080000000064</f>
        <v>1778.31203</v>
      </c>
      <c r="Q184" s="3">
        <f>1124.9+(1655.5-557.8)+(1.721097+(2.532915-0.853434))+0-403.7-0.617661000000023</f>
        <v>1821.6829170000005</v>
      </c>
      <c r="R184" s="3">
        <f>1126.1+(1564.2-479.4)+(1.722933+(2.393226-0.733482))+0-404.6-0.619038000000023</f>
        <v>1809.0636390000002</v>
      </c>
      <c r="S184" s="3">
        <f>1123.5+(1680.2-689.3)+(-1.14597+(-1.713804--0.703086))+0-399--0.406980000000064</f>
        <v>1713.650292</v>
      </c>
      <c r="T184" s="3">
        <f>1122.7+(1781.2-781.6)+(0+(0-0))+0-395.3-0</f>
        <v>1727.0000000000002</v>
      </c>
      <c r="U184" s="3">
        <f>1122.7+(1878.2-863.9)+(-1.145154+(-1.915764--0.881178))+0-396--0.403920000000063</f>
        <v>1739.2241799999999</v>
      </c>
      <c r="V184" s="3">
        <f>1123.8+(2012.2-976.8)+(-2.292552+(-4.104888--1.992672))+0-397.4--0.810695999999983</f>
        <v>1758.2059279999999</v>
      </c>
      <c r="W184" s="3">
        <f>1122.6+(1993.1-981.3)+(-2.86263+(-5.082405--2.502315))+0-398.3--1.01566499999994</f>
        <v>1731.6729449999996</v>
      </c>
      <c r="X184" s="3">
        <f>1122.5+(1849.8-864.2)+(-1.14495+(-1.886796--0.881484))+0-395.2--0.403104000000063</f>
        <v>1711.1528419999997</v>
      </c>
      <c r="Y184" s="3">
        <f>1139.4+(1674.9-620.3)+(0.581094+(0.854199-0.316353))+0-396.3-0.20211299999996</f>
        <v>1798.6168269999998</v>
      </c>
      <c r="Z184" s="3">
        <f>1145.4+(1731.9-581.2)+(-2.92077+(-4.416345--1.48206))+0-397.3--1.01311499999994</f>
        <v>1893.9580600000004</v>
      </c>
      <c r="AA184" s="3">
        <f>1145.3+(1713-604.5)+(-1.168206+(-1.74726--0.61659))+0-444.9--0.453798000000071</f>
        <v>1807.0549220000003</v>
      </c>
      <c r="AB184" s="3">
        <f>1143.3+(1804.6-767.5)+(-1.749249+(-2.761038--1.174275))+0-455.5--0.696915000000026</f>
        <v>1722.2609029999994</v>
      </c>
      <c r="AC184" s="3">
        <f>1140.4+(1824.4-838.2)+(-0.581604+(-0.930444--0.427482))+0-449.3--0.229142999999954</f>
        <v>1676.4445770000004</v>
      </c>
      <c r="AD184" s="2">
        <v>1909.6999999999998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1132.1+(1838-908.2)+(-0.577371+(-0.93738--0.463182))+0-455.7--0.232406999999954</f>
        <v>1605.3808379999994</v>
      </c>
      <c r="G185" s="3">
        <f>1132.2+(2527.7-1706.9)+(0+(0-0))+0-451.5-0</f>
        <v>1501.4999999999998</v>
      </c>
      <c r="H185" s="3">
        <f>1130.9+(2331.7-1582.1)+(-2.307036+(-4.756668--3.227484))+0-460.4--0.93921599999998</f>
        <v>1417.2029960000002</v>
      </c>
      <c r="I185" s="3">
        <f>1130.7+(2475.4-1759.1)+(-0.576657+(-1.262454--0.897141))+0-456.8--0.232967999999954</f>
        <v>1389.4909980000002</v>
      </c>
      <c r="J185" s="3">
        <f>1131.1+(2491-1780.2)+(0+(0-0))+0-459.2-0</f>
        <v>1382.6999999999998</v>
      </c>
      <c r="K185" s="3">
        <f>1131.3+(2461.7-1750.4)+(-2.307852+(-5.021868--3.570816))+0-455--0.92819999999998</f>
        <v>1384.7692959999997</v>
      </c>
      <c r="L185" s="3">
        <f>1114.5+(2538.8-1821.4)+(-2.841975+(-6.47394--4.64457))+0-447.7--1.14163499999994</f>
        <v>1380.67029</v>
      </c>
      <c r="M185" s="3">
        <f>1099.7+(2202.5-1471.3)+(-0.560847+(-1.123275--0.750363))+0-460.1--0.234650999999953</f>
        <v>1370.1008920000002</v>
      </c>
      <c r="N185" s="3">
        <f>1088.7+(2013.2-1125.7)+(1.110474+(2.053464-1.148214))+0-450.3-0.459306000000072</f>
        <v>1527.4564180000002</v>
      </c>
      <c r="O185" s="3">
        <f>1082.5+(2133.8-1159.5)+(0+(0-0))+0-448.6-0</f>
        <v>1608.2000000000003</v>
      </c>
      <c r="P185" s="3">
        <f>1049.5+(1945.3-899.7)+(0+(0-0))+0-449.6-0</f>
        <v>1645.5</v>
      </c>
      <c r="Q185" s="3">
        <f>1060+(1920.8-788)+(-1.0812+(-1.959216--0.80376))+0-455.3--0.464406000000073</f>
        <v>1735.7277500000002</v>
      </c>
      <c r="R185" s="3">
        <f>1073.7+(2011.1-917.8)+(0+(0-0))+0-446.4-0</f>
        <v>1720.6</v>
      </c>
      <c r="S185" s="3">
        <f>1059.3+(2210.9-1194.7)+(0+(0-0))+0-451.3-0</f>
        <v>1624.2</v>
      </c>
      <c r="T185" s="3">
        <f>1083.6+(2282.1-1294.9)+(0+(0-0))+0-415.4-0</f>
        <v>1655.3999999999996</v>
      </c>
      <c r="U185" s="3">
        <f>1187.9+(2329.3-1439.8)+(0+(0-0))+0-456-0</f>
        <v>1621.4000000000005</v>
      </c>
      <c r="V185" s="3">
        <f>1170.1+(2523.1-1575.6)+(0+(0-0))+0-453.9-0</f>
        <v>1663.6999999999998</v>
      </c>
      <c r="W185" s="3">
        <f>1062.6+(2364.2-1326.2)+(0+(0-0))+0-451-0</f>
        <v>1649.5999999999995</v>
      </c>
      <c r="X185" s="3">
        <f>1060.4+(2076.2-1096.8)+(0+(0-0))+0-444.2-0</f>
        <v>1595.6</v>
      </c>
      <c r="Y185" s="3">
        <f>1065.4+(1765.2-694.9)+(0+(0-0))+0-432-0</f>
        <v>1703.7000000000003</v>
      </c>
      <c r="Z185" s="3">
        <f>1077.8+(1943.4-799.2)+(0+(0-0))+0-418.7-0</f>
        <v>1803.3</v>
      </c>
      <c r="AA185" s="3">
        <f>1078.1+(1737.4-677.7)+(0+(0-0))+0-418-0</f>
        <v>1719.8000000000002</v>
      </c>
      <c r="AB185" s="3">
        <f>1075.3+(1529.5-499.3)+(0+(0-0))+0-389.5-0</f>
        <v>1716</v>
      </c>
      <c r="AC185" s="3">
        <f>1075.7+(1566.9-597.3)+(0+(0-0))+0-431.3-0</f>
        <v>1614.0000000000002</v>
      </c>
      <c r="AD185" s="2">
        <v>1795.7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1075.4+(1724.4-833.3)+(-1.096908+(-1.758888--0.849966))+0-430.9--0.439518000000069</f>
        <v>1534.0336880000004</v>
      </c>
      <c r="G186" s="3">
        <f>870.6+(1953-1017.1)+(-2.22003+(-4.98015--2.593605))+0-441.4--1.12556999999994</f>
        <v>1361.618995</v>
      </c>
      <c r="H186" s="3">
        <f>868.7+(1984.3-1071.2)+(-0.443037+(-1.011993--0.546312))+0-437.3--0.223022999999956</f>
        <v>1343.8143050000001</v>
      </c>
      <c r="I186" s="3">
        <f>869.4+(2057.5-1161.9)+(-0.886788+(-2.09865--1.185138))+0-436.9--0.44563800000007</f>
        <v>1326.7453380000002</v>
      </c>
      <c r="J186" s="3">
        <f>869.1+(2081.8-1202.8)+(0.443241+(1.061718-0.613428))+0-434.4-0.221543999999956</f>
        <v>1314.3699870000005</v>
      </c>
      <c r="K186" s="3">
        <f>868.9+(1931.4-1079.3)+(-2.658834+(-5.910084--3.302658))+0-432.5--1.32345000000005</f>
        <v>1284.55719</v>
      </c>
      <c r="L186" s="3">
        <f>869.4+(1769.8-965.5)+(-0.443394+(-0.902598--0.492405))+0-446.8--0.227867999999955</f>
        <v>1226.2742809999997</v>
      </c>
      <c r="M186" s="3">
        <f>868.4+(2066.6-1219.6)+(0.442884+(1.053966-0.621996))+0-445-0.226949999999955</f>
        <v>1271.047904</v>
      </c>
      <c r="N186" s="3">
        <f>868.2+(1653.2-701.5)+(-1.328346+(-2.529396--1.073295))+0-443.2--0.678096000000026</f>
        <v>1374.5936490000001</v>
      </c>
      <c r="O186" s="3">
        <f>870.7+(1754.6-705.6)+(-2.664342+(-5.369076--2.159136))+0-457.7--1.40056200000005</f>
        <v>1457.52628</v>
      </c>
      <c r="P186" s="3">
        <f>880.4+(1965-883.6)+(-1.796016+(-4.0086--1.802544))+0-452.4--0.92289599999998</f>
        <v>1506.3208240000004</v>
      </c>
      <c r="Q186" s="3">
        <f>880.3+(2047.9-950.9)+(1.795812+(4.177716-1.939836))+0-448-0.91391999999998</f>
        <v>1532.419772</v>
      </c>
      <c r="R186" s="3">
        <f>881.5+(2006.4-948.9)+(0.449565+(1.023264-0.483939))+0-441.2-0.225011999999955</f>
        <v>1498.5638780000002</v>
      </c>
      <c r="S186" s="3">
        <f>879+(2245.6-1204.7)+(0.44829+(1.145256-0.614397))+0-442.6-0.225725999999955</f>
        <v>1478.0534230000001</v>
      </c>
      <c r="T186" s="3">
        <f>879.4+(2192.4-1182.7)+(-1.793976+(-4.472496--2.412708))+0-441.2--0.900047999999981</f>
        <v>1444.9462839999999</v>
      </c>
      <c r="U186" s="3">
        <f>879.2+(2306.9-1285.5)+(-1.793568+(-4.706076--2.62242))+0-436.6--0.890663999999981</f>
        <v>1461.0134400000002</v>
      </c>
      <c r="V186" s="3">
        <f>879.4+(2084.1-1058.5)+(-3.139458+(-7.440237--3.778845))+0-432.7--1.54473900000001</f>
        <v>1467.0438889999998</v>
      </c>
      <c r="W186" s="3">
        <f>889+(1651.9-606.1)+(-0.45339+(-0.842469--0.309111))+0-449.8--0.229397999999954</f>
        <v>1484.2426500000001</v>
      </c>
      <c r="X186" s="3">
        <f>1001.4+(1527.4-439)+(-1.021428+(-1.557948--0.44778))+0-454.8--0.463896000000073</f>
        <v>1633.3323</v>
      </c>
      <c r="Y186" s="3">
        <f>1102.5+(1623.9-543.8)+(-1.686825+(-2.484567--0.832014))+0-454--0.694620000000026</f>
        <v>1725.9552420000002</v>
      </c>
      <c r="Z186" s="3">
        <f>1140.7+(1704.6-712.5)+(-2.327028+(-3.477384--1.4535))+0-443.4--0.904535999999981</f>
        <v>1685.9536240000002</v>
      </c>
      <c r="AA186" s="3">
        <f>1114.9+(1702.1-746.6)+(-2.274396+(-3.472284--1.523064))+0-444.9--0.907595999999981</f>
        <v>1622.1839799999998</v>
      </c>
      <c r="AB186" s="3">
        <f>1074.3+(1861.5-927.1)+(-1.095786+(-1.89873--0.945642))+0-445.7--0.454614000000071</f>
        <v>1561.4057399999997</v>
      </c>
      <c r="AC186" s="3">
        <f>978.3+(2216.3-1283)+(-2.993598+(-6.781878--3.92598))+0-448.1--1.37118600000005</f>
        <v>1459.0216900000003</v>
      </c>
      <c r="AD186" s="2">
        <v>1772.9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902.7+(2238.6-1295.4)+(0+(0-0))+0-443.8-0</f>
        <v>1402.1</v>
      </c>
      <c r="G187" s="3">
        <f>886.9+(2746.8-1849.4)+(-1.356957+(-4.202604--2.829582))+0-443.6--0.678708000000026</f>
        <v>1338.648729</v>
      </c>
      <c r="H187" s="3">
        <f>887.2+(2693.8-1828.9)+(-0.904944+(-2.747676--1.865478))+0-446.4--0.455328000000071</f>
        <v>1304.3681860000002</v>
      </c>
      <c r="I187" s="3">
        <f>886.6+(2402.8-1539.8)+(-1.356498+(-3.676284--2.355894))+0-446.7--0.683451000000026</f>
        <v>1300.9065630000005</v>
      </c>
      <c r="J187" s="3">
        <f>878.5+(2313.8-1465.6)+(0+(0-0))+0-444.7-0</f>
        <v>1282.0000000000002</v>
      </c>
      <c r="K187" s="3">
        <f>871.9+(2082.8-1216.3)+(-0.889338+(-2.124456--1.240626))+0-442.1--0.450942000000071</f>
        <v>1294.9777740000002</v>
      </c>
      <c r="L187" s="3">
        <f>871.6+(1446.8-587.8)+(0+(0-0))+0-450.4-0</f>
        <v>1280.1999999999998</v>
      </c>
      <c r="M187" s="3">
        <f>871.1+(1294.6-290.8)+(-0.444261+(-0.660246--0.148308))+0-445.7--0.227306999999955</f>
        <v>1428.471108</v>
      </c>
      <c r="N187" s="3">
        <f>899.9+(1413.7-267.1)+(-0.917898+(-1.441974--0.272442))+0-453.7--0.462774000000072</f>
        <v>1591.175344</v>
      </c>
      <c r="O187" s="3">
        <f>987.6+(1367.6-228.3)+(1.007352+(1.394952-0.232866))+0-435.1-0.443802000000069</f>
        <v>1693.5256360000001</v>
      </c>
      <c r="P187" s="3">
        <f>997.4+(1387-228)+(-0.508674+(-0.70737--0.11628))+0-456.4--0.232763999999954</f>
        <v>1699.1329999999998</v>
      </c>
      <c r="Q187" s="3">
        <f>997.3+(1348.6-155.5)+(-0.508623+(-0.687786--0.079305))+0-416.7--0.212516999999958</f>
        <v>1772.7954129999996</v>
      </c>
      <c r="R187" s="3">
        <f>995.6+(1413.8-272.4)+(-1.015512+(-1.442076--0.277848))+0-444.6--0.453492000000071</f>
        <v>1690.6737520000001</v>
      </c>
      <c r="S187" s="3">
        <f>992.7+(1452.3-382.6)+(-1.518831+(-2.222019--0.585378))+0-412.4--0.630972000000024</f>
        <v>1647.4754999999996</v>
      </c>
      <c r="T187" s="3">
        <f>993.3+(1378.3-447.8)+(-1.519749+(-2.108799--0.685134))+0-268--0.410040000000016</f>
        <v>1653.2666259999999</v>
      </c>
      <c r="U187" s="3">
        <f>922.5+(1564.9-435.8)+(-1.411425+(-2.394297--0.666774))+0-392.1--0.599913000000023</f>
        <v>1656.9609650000007</v>
      </c>
      <c r="V187" s="3">
        <f>902.6+(1750.2-539.8)+(-2.30163+(-4.46301--1.37649))+0-449.1--1.14520499999993</f>
        <v>1659.6570549999999</v>
      </c>
      <c r="W187" s="3">
        <f>905.2+(1656.5-477.3)+(-1.384956+(-2.534445--0.730269))+0-452.2--0.691866000000026</f>
        <v>1629.7027340000002</v>
      </c>
      <c r="X187" s="3">
        <f>1029.7+(1383.9-217.5)+(0+(0-0))+0-462.3-0</f>
        <v>1733.8000000000004</v>
      </c>
      <c r="Y187" s="3">
        <f>1126.5+(1481.9-307.1)+(-2.872575+(-3.778845--0.783105))+0-461.8--1.17758999999993</f>
        <v>1834.8092750000001</v>
      </c>
      <c r="Z187" s="3">
        <f>1137.2+(1728.7-614.3)+(-2.319888+(-3.526548--1.253172))+0-454.3--0.92677199999998</f>
        <v>1793.6335080000003</v>
      </c>
      <c r="AA187" s="3">
        <f>1062.1+(2233.7-1107.9)+(-2.166684+(-4.556748--2.260116))+0-453.4--0.92493599999998</f>
        <v>1730.9616199999996</v>
      </c>
      <c r="AB187" s="3">
        <f>939.7+(2487.9-1310.6)+(-1.916988+(-5.075316--2.673624))+0-413.5--0.843539999999982</f>
        <v>1700.0248600000002</v>
      </c>
      <c r="AC187" s="3">
        <f>920.5+(2744.5-1645.9)+(-1.408365+(-4.199085--2.518227))+0-447--0.683910000000026</f>
        <v>1569.6946869999999</v>
      </c>
      <c r="AD187" s="2">
        <v>1812.0999999999997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880+(2865.1-1904.9)+(-0.4488+(-1.461201--0.971499))+0-439--0.223889999999955</f>
        <v>1400.4853879999998</v>
      </c>
      <c r="G188" s="3">
        <f>880.3+(2715.6-1870.4)+(-1.795812+(-5.539824--3.815616))+0-444.2--0.906167999999981</f>
        <v>1278.6861479999998</v>
      </c>
      <c r="H188" s="3">
        <f>880.5+(2485.9-1670.9)+(-1.347165+(-3.803427--2.556477))+0-449.9--0.688347000000026</f>
        <v>1243.6942320000001</v>
      </c>
      <c r="I188" s="3">
        <f>879.7+(2445.6-1579.3)+(-1.345941+(-3.741768--2.416329))+0-461.3--0.705789000000027</f>
        <v>1282.7344090000001</v>
      </c>
      <c r="J188" s="3">
        <f>879.3+(2394.7-1530)+(0.896886+(2.442594-1.5606))+0-457.2-0.466344000000073</f>
        <v>1288.1125359999996</v>
      </c>
      <c r="K188" s="3">
        <f>880.1+(2365.5-1503.6)+(-1.346553+(-3.619215--2.300508))+0-450.9--0.689877000000026</f>
        <v>1289.1246170000002</v>
      </c>
      <c r="L188" s="3">
        <f>879.4+(1980.9-1095.6)+(0.896988+(2.020518-1.117512))+0-394-0.401880000000063</f>
        <v>1372.0981140000001</v>
      </c>
      <c r="M188" s="3">
        <f>878.8+(2049.4-1040.3)+(0.896376+(2.090388-1.061106))+0-435.8-0.44451600000007</f>
        <v>1453.5811420000002</v>
      </c>
      <c r="N188" s="3">
        <f>879+(2044.1-898.2)+(0.44829+(1.042491-0.458082))+0-441.1-0.224960999999955</f>
        <v>1584.6077380000002</v>
      </c>
      <c r="O188" s="3">
        <f>878.2+(1745.9-492.2)+(-0.447882+(-0.890409--0.251022))+0-431.6--0.220115999999956</f>
        <v>1699.432847</v>
      </c>
      <c r="P188" s="3">
        <f>878+(1598.9-362.4)+(-1.34334+(-2.446317--0.554472))+0-430.2--0.658206000000025</f>
        <v>1681.723021</v>
      </c>
      <c r="Q188" s="3">
        <f>860+(1583.9-325.1)+(-0.4386+(-0.807789--0.165801))+0-389.8--0.19879799999996</f>
        <v>1728.1182100000003</v>
      </c>
      <c r="R188" s="3">
        <f>946.8+(1758-609.1)+(1.448604+(2.68974-0.931923))+0-428.8-0.656064000000025</f>
        <v>1669.4503569999997</v>
      </c>
      <c r="S188" s="3">
        <f>949.9+(1725.2-622.5)+(0.968898+(1.759704-0.63495))+0-440.5-0.44931000000007</f>
        <v>1613.744342</v>
      </c>
      <c r="T188" s="3">
        <f>1201.5+(1632.3-732.3)+(-1.22553+(-1.664946--0.746946))+0-444.8--0.453696000000071</f>
        <v>1655.0101660000003</v>
      </c>
      <c r="U188" s="3">
        <f>1283.3+(1775.5-835.8)+(-3.272415+(-4.527525--2.13129))+0-453.4--1.15616999999993</f>
        <v>1765.0875199999998</v>
      </c>
      <c r="V188" s="3">
        <f>1257.2+(1718.3-847.8)+(-3.20586+(-4.381665--2.16189))+0-461.8--1.17758999999993</f>
        <v>1661.6519549999998</v>
      </c>
      <c r="W188" s="3">
        <f>1178.2+(1600.7-683.2)+(-1.201764+(-1.632714--0.696864))+0-441.2--0.45002400000007</f>
        <v>1652.8124099999995</v>
      </c>
      <c r="X188" s="3">
        <f>1162.6+(1371.4-307.9)+(-0.592926+(-0.699414--0.157029))+0-446.7--0.227816999999955</f>
        <v>1778.4925059999998</v>
      </c>
      <c r="Y188" s="3">
        <f>1173.1+(1575.6-441.9)+(-2.393124+(-3.214224--0.901476))+0-442.9--0.903515999999981</f>
        <v>1860.0976439999997</v>
      </c>
      <c r="Z188" s="3">
        <f>1175.2+(1847.1-774.7)+(-1.798056+(-2.826063--1.185291))+0-456--0.697680000000026</f>
        <v>1788.8588520000001</v>
      </c>
      <c r="AA188" s="3">
        <f>1175.7+(2368.7-1364.8)+(-3.597642+(-7.248222--4.176288))+0-456.7--1.39750200000005</f>
        <v>1717.6279260000001</v>
      </c>
      <c r="AB188" s="3">
        <f>1117.7+(2186.5-1186.3)+(-1.710081+(-3.345345--1.815039))+0-447.4--0.684522000000026</f>
        <v>1667.9441350000002</v>
      </c>
      <c r="AC188" s="3">
        <f>1014.7+(2395.4-1386)+(0+(0-0))+0-450-0</f>
        <v>1574.1000000000001</v>
      </c>
      <c r="AD188" s="2">
        <v>1834.6999999999998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888.9+(2435.8-1450)+(-0.453339+(-1.242258--0.7395))+0-457.6--0.233375999999954</f>
        <v>1416.377279</v>
      </c>
      <c r="G189" s="3">
        <f>880.2+(2349.1-1381.2)+(-1.795608+(-4.792164--2.817648))+0-448.6--0.91514399999998</f>
        <v>1396.6450199999999</v>
      </c>
      <c r="H189" s="3">
        <f>880.1+(2359.2-1432.7)+(-0.448851+(-1.203192--0.730677))+0-444.9--0.226898999999955</f>
        <v>1361.0055329999998</v>
      </c>
      <c r="I189" s="3">
        <f>879.5+(2162.2-1271.1)+(-0.89709+(-2.205444--1.296522))+0-441.4--0.45022800000007</f>
        <v>1327.844216</v>
      </c>
      <c r="J189" s="3">
        <f>880.2+(1962.9-1075.6)+(1.346706+(3.003237-1.645668))+0-451.3-0.690489000000026</f>
        <v>1318.2137860000003</v>
      </c>
      <c r="K189" s="3">
        <f>880.1+(1801.1-913)+(-1.346553+(-2.755683--1.39689))+0-453.5--0.693855000000026</f>
        <v>1312.6885089999998</v>
      </c>
      <c r="L189" s="3">
        <f>880.1+(1468.8-611.8)+(-0.448851+(-0.749088--0.312018))+0-401.8--0.204917999999959</f>
        <v>1334.6189969999998</v>
      </c>
      <c r="M189" s="3">
        <f>879.3+(1348.7-397.5)+(1.793772+(2.751348-0.8109))+0-400.7-0.817427999999983</f>
        <v>1432.7167919999999</v>
      </c>
      <c r="N189" s="3">
        <f>901.5+(1508.3-398.7)+(-0.459765+(-0.769233--0.203337))+0-403.9--0.205988999999959</f>
        <v>1606.3803280000002</v>
      </c>
      <c r="O189" s="3">
        <f>1001.3+(1442.8-364)+(0.510663+(0.735828-0.18564))+0-402.9-0.205478999999959</f>
        <v>1678.055372</v>
      </c>
      <c r="P189" s="3">
        <f>1004.6+(1578.7-444.1)+(0+(0-0))+0-401.5-0</f>
        <v>1737.6999999999998</v>
      </c>
      <c r="Q189" s="3">
        <f>1012.8+(1576.2-445.3)+(1.033056+(1.607724-0.454206))+0-401.4-0.409428000000064</f>
        <v>1744.0771459999994</v>
      </c>
      <c r="R189" s="3">
        <f>1092.9+(1651.8-618.8)+(-1.672137+(-2.527254--0.946764))+0-402.6--0.615978000000023</f>
        <v>1720.6633510000004</v>
      </c>
      <c r="S189" s="3">
        <f>1092.6+(2197.9-1168.6)+(-1.671678+(-3.362787--1.787958))+0-399.8--0.611694000000023</f>
        <v>1719.4651870000002</v>
      </c>
      <c r="T189" s="3">
        <f>1091.7+(2248.2-1223.5)+(-2.783835+(-5.73291--3.119925))+0-399.9--1.01974499999994</f>
        <v>1712.1229249999994</v>
      </c>
      <c r="U189" s="3">
        <f>1089.1+(2265.5-1238.8)+(-3.332646+(-6.93243--3.790728))+0-400.2--1.22461200000005</f>
        <v>1710.3502639999999</v>
      </c>
      <c r="V189" s="3">
        <f>1087.9+(1993.6-983.4)+(-3.883803+(-7.117152--3.510738))+0-396.1--1.41407700000001</f>
        <v>1695.9238599999999</v>
      </c>
      <c r="W189" s="3">
        <f>1092.6+(1541.1-579)+(-1.114452+(-1.571922--0.59058))+0-380.4--0.388008000000061</f>
        <v>1672.592214</v>
      </c>
      <c r="X189" s="3">
        <f>1103+(1715-500)+(-1.68759+(-2.62395--0.765))+0-387--0.592110000000022</f>
        <v>1928.0455700000002</v>
      </c>
      <c r="Y189" s="3">
        <f>1101.3+(1803-749)+(-2.246652+(-3.67812--1.52796))+0-427--0.871079999999981</f>
        <v>1724.7742680000001</v>
      </c>
      <c r="Z189" s="3">
        <f>1105.2+(1973.1-866.9)+(-2.81826+(-5.031405--2.210595))+0-419.6--1.06997999999994</f>
        <v>1787.2309099999995</v>
      </c>
      <c r="AA189" s="3">
        <f>1071.1+(2148.4-1074.3)+(-3.277566+(-6.574104--3.287358))+0-407.3--1.24633800000005</f>
        <v>1732.582026</v>
      </c>
      <c r="AB189" s="3">
        <f>1018.3+(2212.9-1163.2)+(-2.077332+(-4.514316--2.372928))+0-403.6--0.823343999999982</f>
        <v>1661.0046240000001</v>
      </c>
      <c r="AC189" s="3">
        <f>973.1+(2452.2-1438.3)+(-2.481405+(-6.25311--3.667665))+0-408.1--1.04065499999994</f>
        <v>1574.8738049999999</v>
      </c>
      <c r="AD189" s="2">
        <v>1684.6000000000004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879.8+(2481.1-1477)+(-0.448698+(-1.265361--0.75327))+0-369.1--0.188240999999963</f>
        <v>1514.027452</v>
      </c>
      <c r="G190" s="3">
        <f>880.1+(2385.8-1449.7)+(-0.897702+(-2.433516--1.478694))+0-374--0.38148000000006</f>
        <v>1440.7289560000004</v>
      </c>
      <c r="H190" s="3">
        <f>879.8+(2411.4-1490.8)+(-0.448698+(-1.229814--0.760308))+0-374.6--0.191045999999962</f>
        <v>1425.072842</v>
      </c>
      <c r="I190" s="3">
        <f>879.8+(2335.7-1451.5)+(-2.24349+(-5.956035--3.701325))+0-375.3--0.957014999999946</f>
        <v>1385.1588149999998</v>
      </c>
      <c r="J190" s="3">
        <f>879.8+(2127.7-1265.4)+(0.448698+(1.085127-0.645354))+0-377.3-0.192422999999962</f>
        <v>1365.4960479999997</v>
      </c>
      <c r="K190" s="3">
        <f>879.3+(1894.8-1033.9)+(-2.242215+(-4.83174--2.636445))+0-378.6--0.965429999999945</f>
        <v>1358.1279199999997</v>
      </c>
      <c r="L190" s="3">
        <f>879.3+(1355.9-499.5)+(-0.448443+(-0.691509--0.254745))+0-421.1--0.214760999999957</f>
        <v>1313.9295540000001</v>
      </c>
      <c r="M190" s="3">
        <f>879.2+(1340.7-359.3)+(-0.448392+(-0.683757--0.183243))+0-423.4--0.215933999999957</f>
        <v>1436.4670280000003</v>
      </c>
      <c r="N190" s="3">
        <f>901.3+(1446.1-336.4)+(0+(0-0))+0-440-0</f>
        <v>1570.9999999999998</v>
      </c>
      <c r="O190" s="3">
        <f>920.9+(1526.6-358.3)+(0+(0-0))+0-424-0</f>
        <v>1665.1999999999998</v>
      </c>
      <c r="P190" s="3">
        <f>934+(1524.1-336.5)+(-0.95268+(-1.554582--0.34323))+0-385.3--0.393006000000061</f>
        <v>1734.5289739999998</v>
      </c>
      <c r="Q190" s="3">
        <f>973.7+(1871.8-704.3)+(-0.496587+(-0.954618--0.359193))+0-423.1--0.215780999999957</f>
        <v>1717.2237689999997</v>
      </c>
      <c r="R190" s="3">
        <f>973.8+(1985.2-852.9)+(-0.993276+(-2.024904--0.869958))+0-444.2--0.453084000000071</f>
        <v>1660.2048620000005</v>
      </c>
      <c r="S190" s="3">
        <f>971.9+(2009.5-926.1)+(-1.487007+(-3.074535--1.416933))+0-432.6--0.661878000000025</f>
        <v>1620.2172690000004</v>
      </c>
      <c r="T190" s="3">
        <f>972.7+(1816.1-705.5)+(-0.496077+(-0.926211--0.359805))+0-441.2--0.225011999999955</f>
        <v>1641.2625289999999</v>
      </c>
      <c r="U190" s="3">
        <f>971.7+(1630.6-496.9)+(-2.477835+(-4.15803--1.267095))+0-439.1--1.11970499999994</f>
        <v>1662.0509349999995</v>
      </c>
      <c r="V190" s="3">
        <f>1003.2+(1317.6-224.7)+(-1.023264+(-1.343952--0.229194))+0-449.1--0.458082000000072</f>
        <v>1645.32006</v>
      </c>
      <c r="W190" s="3">
        <f>1004.2+(1184.4-118.7)+(-1.536426+(-1.812132--0.181611))+0-437.5--0.669375000000025</f>
        <v>1629.9024279999999</v>
      </c>
      <c r="X190" s="3">
        <f>1015.2+(1307.3-116.1)+(-0.517752+(-0.666723--0.059211))+0-448.3--0.228632999999955</f>
        <v>1757.2033690000003</v>
      </c>
      <c r="Y190" s="3">
        <f>1015.1+(1440.6-193.3)+(-3.106206+(-4.408236--0.591498))+0-448.7--1.37302200000005</f>
        <v>1808.1500780000001</v>
      </c>
      <c r="Z190" s="3">
        <f>1017.3+(1503.1-336)+(-0.518823+(-0.766581--0.17136))+0-413.5--0.210884999999958</f>
        <v>1769.9968409999997</v>
      </c>
      <c r="AA190" s="3">
        <f>1017.3+(1426-328.8)+(-0.518823+(-0.72726--0.167688))+0-451.3--0.230162999999954</f>
        <v>1662.351768</v>
      </c>
      <c r="AB190" s="3">
        <f>1010.5+(1498.3-466)+(-2.576775+(-3.820665--1.1883))+0-450.6--1.14902999999993</f>
        <v>1588.1398899999999</v>
      </c>
      <c r="AC190" s="3">
        <f>981.9+(1418.2-447.5)+(-1.502307+(-2.169846--0.684675))+0-444.1--0.679473000000026</f>
        <v>1506.1919949999999</v>
      </c>
      <c r="AD190" s="2">
        <v>1786.3000000000002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923+(1693-751.9)+(-1.88292+(-3.45372--1.533876))+0-450.1--0.91820399999998</f>
        <v>1411.11544</v>
      </c>
      <c r="G191" s="3">
        <f>879+(1872.8-951.7)+(-2.24145+(-4.77564--2.426835))+0-445.7--1.13653499999994</f>
        <v>1350.9462799999997</v>
      </c>
      <c r="H191" s="3">
        <f>878.9+(2058.6-1166.2)+(-2.241195+(-5.24943--2.97381))+0-446.5--1.13857499999994</f>
        <v>1321.4217599999997</v>
      </c>
      <c r="I191" s="3">
        <f>879+(2041.3-1170.2)+(-0.44829+(-1.041063--0.596802))+0-443.6--0.226235999999955</f>
        <v>1305.8336850000001</v>
      </c>
      <c r="J191" s="3">
        <f>878.7+(2105.3-1220.1)+(-0.896274+(-2.147406--1.244502))+0-438.2--0.44696400000007</f>
        <v>1324.3477860000003</v>
      </c>
      <c r="K191" s="3">
        <f>878.9+(1830.6-995)+(-2.241195+(-4.66803--2.53725))+0-445.1--1.13500499999994</f>
        <v>1266.1630299999999</v>
      </c>
      <c r="L191" s="3">
        <f>877.9+(1102.5-285.2)+(0+(0-0))+0-407.8-0</f>
        <v>1287.3999999999999</v>
      </c>
      <c r="M191" s="3">
        <f>878+(1146.2-198)+(-0.44778+(-0.584562--0.10098))+0-454.7--0.231896999999954</f>
        <v>1370.8005349999999</v>
      </c>
      <c r="N191" s="3">
        <f>878.8+(1274.8-249)+(-0.896376+(-1.300296--0.25398))+0-423.2--0.431664000000067</f>
        <v>1479.8889719999997</v>
      </c>
      <c r="O191" s="3">
        <f>909.7+(1329-223.4)+(-0.463947+(-0.67779--0.113934))+0-405--0.206549999999959</f>
        <v>1609.4787469999999</v>
      </c>
      <c r="P191" s="3">
        <f>923.5+(1307.9-167.3)+(0.94197+(1.334058-0.170646))+0-421.5-0.429930000000067</f>
        <v>1644.2754520000005</v>
      </c>
      <c r="Q191" s="3">
        <f>932+(1341.4-190.8)+(0+(0-0))+0-408.6-0</f>
        <v>1674.0000000000005</v>
      </c>
      <c r="R191" s="3">
        <f>921.1+(1277.7-170.3)+(0.469761+(0.651627-0.086853))+0-410.4-0.209303999999958</f>
        <v>1618.9252310000002</v>
      </c>
      <c r="S191" s="3">
        <f>919+(1290-228.8)+(0.93738+(1.3158-0.233376))+0-411.7-0.419934000000066</f>
        <v>1570.09987</v>
      </c>
      <c r="T191" s="3">
        <f>918.3+(1250.2-167.2)+(-0.936666+(-1.275204--0.170544))+0-405.5--0.413610000000065</f>
        <v>1594.172284</v>
      </c>
      <c r="U191" s="3">
        <f>916.4+(1282.9-201.8)+(-3.271548+(-4.579953--0.720426))+0-404.5--1.44406500000001</f>
        <v>1587.3129899999999</v>
      </c>
      <c r="V191" s="3">
        <f>919.3+(1231.6-134.5)+(-0.937686+(-1.256232--0.13719))+0-409--0.417180000000065</f>
        <v>1605.760452</v>
      </c>
      <c r="W191" s="3">
        <f>921.3+(1366.7-301)+(0+(0-0))+0-414-0</f>
        <v>1573</v>
      </c>
      <c r="X191" s="3">
        <f>956.8+(1622.2-399.1)+(-0.487968+(-0.827322--0.203541))+0-418.9--0.213638999999958</f>
        <v>1760.1018899999995</v>
      </c>
      <c r="Y191" s="3">
        <f>989.2+(1537.3-321.7)+(-2.017968+(-3.136092--0.656268))+0-421.2--0.859247999999982</f>
        <v>1779.961456</v>
      </c>
      <c r="Z191" s="3">
        <f>989.2+(1284.5-142.5)+(-1.008984+(-1.31019--0.14535))+0-414.2--0.422484000000066</f>
        <v>1715.24866</v>
      </c>
      <c r="AA191" s="3">
        <f>988.4+(1257.4-184)+(-0.504084+(-0.641274--0.09384))+0-376.8--0.192167999999962</f>
        <v>1684.1406500000001</v>
      </c>
      <c r="AB191" s="3">
        <f>986.6+(1305.4-293.1)+(-3.522162+(-4.660278--1.046367))+0-420.2--1.50011400000001</f>
        <v>1573.0640410000001</v>
      </c>
      <c r="AC191" s="3">
        <f>956+(1428.5-509.9)+(0.48756+(0.728535-0.260049))+0-421.9-0.215168999999957</f>
        <v>1453.440877</v>
      </c>
      <c r="AD191" s="2">
        <v>1773.9999999999998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876.7+(1722.9-813.5)+(-1.341351+(-2.636037--1.244655))+0-371.6--0.568548000000021</f>
        <v>1412.3358150000001</v>
      </c>
      <c r="G192" s="3">
        <f>875.4+(2200.8-1354.6)+(-1.339362+(-3.367224--2.072538))+0-376.3--0.575739000000022</f>
        <v>1343.2416910000006</v>
      </c>
      <c r="H192" s="3">
        <f>875.5+(2605.8-1807.8)+(-2.232525+(-6.64479--4.60989))+0-378--0.963899999999945</f>
        <v>1292.1964750000002</v>
      </c>
      <c r="I192" s="3">
        <f>875.3+(2564.6-1779.7)+(-0.892806+(-2.615892--1.815294))+0-376.5--0.38403000000006</f>
        <v>1282.3906259999999</v>
      </c>
      <c r="J192" s="3">
        <f>874.3+(2269.8-1462.5)+(0+(0-0))+0-378.9-0</f>
        <v>1302.7000000000003</v>
      </c>
      <c r="K192" s="3">
        <f>873.5+(1692-869.2)+(-1.336455+(-2.58876--1.329876))+0-382.2--0.584766000000022</f>
        <v>1312.0894269999999</v>
      </c>
      <c r="L192" s="3">
        <f>873.6+(1368.7-576.7)+(0.445536+(0.698037-0.294117))+0-442.3-0.225572999999955</f>
        <v>1223.9238829999999</v>
      </c>
      <c r="M192" s="3">
        <f>874.1+(1395.5-466.5)+(-0.445791+(-0.711705--0.237915))+0-446.7--0.227816999999955</f>
        <v>1355.7082359999997</v>
      </c>
      <c r="N192" s="3">
        <f>883.2+(1622.8-590.4)+(-0.900864+(-1.655256--0.602208))+0-441.3--0.45012600000007</f>
        <v>1472.7962140000004</v>
      </c>
      <c r="O192" s="3">
        <f>921.4+(1274.9-266)+(-0.469914+(-0.650199--0.13566))+0-451.4--0.230213999999954</f>
        <v>1478.145761</v>
      </c>
      <c r="P192" s="3">
        <f>938.7+(1239.4-137.5)+(0.957474+(1.264188-0.14025))+0-452.1-0.461142000000072</f>
        <v>1590.1202699999999</v>
      </c>
      <c r="Q192" s="3">
        <f>969.4+(1172.3-59)+(1.483182+(1.793619-0.09027))+0-448.5-0.686205000000026</f>
        <v>1636.7003259999997</v>
      </c>
      <c r="R192" s="3">
        <f>962.1+(1177.5-118.1)+(-1.472013+(-1.801575--0.180693))+0-402.3--0.615519000000023</f>
        <v>1616.722624</v>
      </c>
      <c r="S192" s="3">
        <f>959.9+(1282.7-266.4)+(0+(0-0))+0-453-0</f>
        <v>1523.2</v>
      </c>
      <c r="T192" s="3">
        <f>960.1+(1369.7-349.5)+(-1.468953+(-2.095641--0.534735))+0-444.8--0.680544000000026</f>
        <v>1533.1506850000003</v>
      </c>
      <c r="U192" s="3">
        <f>957+(1473.7-438.7)+(-2.92842+(-4.509522--1.342422))+0-455.9--1.39505400000005</f>
        <v>1531.3995340000001</v>
      </c>
      <c r="V192" s="3">
        <f>956.5+(1402.1-406.2)+(-2.92689+(-4.290426--1.242972))+0-449.6--1.37577600000005</f>
        <v>1498.2014320000001</v>
      </c>
      <c r="W192" s="3">
        <f>957.2+(1202.8-224.4)+(-1.952688+(-2.453712--0.457776))+0-455.4--0.92901599999998</f>
        <v>1477.1803919999998</v>
      </c>
      <c r="X192" s="3">
        <f>1061.2+(1152.9-115.4)+(0+(0-0))+0-455.9-0</f>
        <v>1642.7999999999997</v>
      </c>
      <c r="Y192" s="3">
        <f>1298.5+(1112.8-262.9)+(-5.960115+(-5.107752--1.206711))+0-455.2--2.08936800000008</f>
        <v>1685.4282120000003</v>
      </c>
      <c r="Z192" s="3">
        <f>1305.3+(1430.1-627.8)+(-3.328515+(-3.646755--1.60089))+0-461.8--1.17758999999993</f>
        <v>1641.6032099999998</v>
      </c>
      <c r="AA192" s="3">
        <f>1176.6+(1849-984)+(-1.800198+(-2.82897--1.50552))+0-452.5--0.692325000000026</f>
        <v>1586.6686769999999</v>
      </c>
      <c r="AB192" s="3">
        <f>967.4+(2128.5-1135.2)+(-1.480122+(-3.256605--1.736856))+0-442.6--0.677178000000026</f>
        <v>1515.7773069999998</v>
      </c>
      <c r="AC192" s="3">
        <f>963.4+(2313.1-1414.8)+(-1.474002+(-3.539043--2.164644))+0-444.3--0.679779000000026</f>
        <v>1415.2313779999999</v>
      </c>
      <c r="AD192" s="2">
        <v>1760.3000000000002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926.2+(2528.4-1670.9)+(-1.889448+(-5.157936--3.408636))+0-462--0.94247999999998</f>
        <v>1319.0037319999999</v>
      </c>
      <c r="G193" s="3">
        <f>926.3+(2266.4-1459.6)+(0.472413+(1.155864-0.744396))+0-452.8-0.230927999999954</f>
        <v>1280.9529530000002</v>
      </c>
      <c r="H193" s="3">
        <f>894.9+(2251.9-1452.5)+(-0.456399+(-1.148469--0.740775))+0-453.5--0.231284999999954</f>
        <v>1240.1671920000001</v>
      </c>
      <c r="I193" s="3">
        <f>879.2+(2134.6-1344.5)+(-1.345176+(-3.265938--2.057085))+0-450.2--0.688806000000026</f>
        <v>1217.2347770000001</v>
      </c>
      <c r="J193" s="3">
        <f>878.9+(2058.4-1297.3)+(-0.448239+(-1.049784--0.661623))+0-443.8--0.226337999999955</f>
        <v>1195.5899380000001</v>
      </c>
      <c r="K193" s="3">
        <f>879+(1940.8-1183.5)+(-2.24145+(-4.94904--3.017925))+0-446.8--1.13933999999994</f>
        <v>1186.4667749999999</v>
      </c>
      <c r="L193" s="3">
        <f>904+(1998.1-1338.4)+(0+(0-0))+0-455.3-0</f>
        <v>1108.3999999999999</v>
      </c>
      <c r="M193" s="3">
        <f>886.1+(2205.3-1476.3)+(-2.711466+(-6.748218--4.517478))+0-442.7--1.35466200000005</f>
        <v>1168.8124560000003</v>
      </c>
      <c r="N193" s="3">
        <f>882.8+(1973.9-1153.3)+(-0.450228+(-1.006689--0.588183))+0-449--0.228989999999954</f>
        <v>1253.7602560000003</v>
      </c>
      <c r="O193" s="3">
        <f>905.2+(1655.5-745.7)+(-1.384956+(-2.532915--1.140921))+0-445.5--0.681615000000026</f>
        <v>1367.404665</v>
      </c>
      <c r="P193" s="3">
        <f>906.5+(1684.6-715.9)+(-1.386945+(-2.577438--1.095327))+0-446.3--0.682839000000026</f>
        <v>1426.7137829999999</v>
      </c>
      <c r="Q193" s="3">
        <f>921.3+(1875.9-886.8)+(-0.939726+(-1.913418--0.904536))+0-447.6--0.456552000000071</f>
        <v>1461.3079440000001</v>
      </c>
      <c r="R193" s="3">
        <f>948.6+(2114.7-1179.3)+(0.967572+(2.156994-1.202886))+0-454.3-0.463386000000072</f>
        <v>1431.1582939999998</v>
      </c>
      <c r="S193" s="3">
        <f>967.4+(2128.9-1244)+(-1.480122+(-3.257217--1.90332))+0-451.6--0.690948000000026</f>
        <v>1398.5569290000003</v>
      </c>
      <c r="T193" s="3">
        <f>967.2+(2272.9-1396.3)+(-1.479816+(-3.477537--2.136339))+0-452.8--0.692784000000026</f>
        <v>1388.8717700000002</v>
      </c>
      <c r="U193" s="3">
        <f>967.2+(2192.6-1326.8)+(-2.46636+(-5.59113--3.38334))+0-445.1--1.13500499999994</f>
        <v>1384.3608549999997</v>
      </c>
      <c r="V193" s="3">
        <f>966.4+(1775.8-933)+(-2.46432+(-4.52829--2.37915))+0-444.1--1.13245499999994</f>
        <v>1361.6189949999998</v>
      </c>
      <c r="W193" s="3">
        <f>966.8+(1257-387.9)+(-0.986136+(-1.28214--0.395658))+0-450.2--0.459204000000072</f>
        <v>1384.2865859999999</v>
      </c>
      <c r="X193" s="3">
        <f>967.1+(1290.7-279.6)+(-0.493221+(-0.658257--0.142596))+0-458.1--0.233630999999954</f>
        <v>1519.3247489999999</v>
      </c>
      <c r="Y193" s="3">
        <f>966.7+(1488.9-422.4)+(-0.986034+(-1.518678--0.430848))+0-449.5--0.458490000000072</f>
        <v>1582.0846260000001</v>
      </c>
      <c r="Z193" s="3">
        <f>965.6+(1579.5-546.5)+(-2.46228+(-4.027725--1.393575))+0-454.3--1.15846499999993</f>
        <v>1540.3620349999999</v>
      </c>
      <c r="AA193" s="3">
        <f>966.7+(1894.9-901.1)+(-0.493017+(-0.966399--0.459561))+0-464.4--0.236843999999953</f>
        <v>1495.3369889999999</v>
      </c>
      <c r="AB193" s="3">
        <f>928.3+(2257.8-1295.8)+(-2.367165+(-5.75739--3.30429))+0-456.5--1.16407499999993</f>
        <v>1430.14381</v>
      </c>
      <c r="AC193" s="3">
        <f>871.1+(2619.5-1690.4)+(-0.888522+(-2.67189--1.724208))+0-447.2--0.456144000000071</f>
        <v>1351.6199399999998</v>
      </c>
      <c r="AD193" s="2">
        <v>1589.5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880.2+(2877.3-2032.2)+(-2.24451+(-7.337115--5.18211))+0-448.7--1.14418499999993</f>
        <v>1273.34467</v>
      </c>
      <c r="G194" s="3">
        <f>880.7+(2818.1-2029.3)+(-1.347471+(-4.311693--3.104829))+0-447.5--0.684675000000026</f>
        <v>1220.1303399999999</v>
      </c>
      <c r="H194" s="3">
        <f>880.6+(2788.5-2033)+(-2.24553+(-7.110675--5.18415))+0-447--1.13984999999994</f>
        <v>1186.0677949999999</v>
      </c>
      <c r="I194" s="3">
        <f>880.6+(2657.9-1907.3)+(-1.796424+(-5.422116--3.890892))+0-446.3--0.910451999999981</f>
        <v>1182.4828040000004</v>
      </c>
      <c r="J194" s="3">
        <f>880.7+(2527.2-1779.5)+(-1.347471+(-3.866616--2.722635))+0-449.5--0.687735000000026</f>
        <v>1177.0962829999999</v>
      </c>
      <c r="K194" s="3">
        <f>880+(2221.6-1470.6)+(-0.4488+(-1.133016--0.750006))+0-442.5--0.225674999999955</f>
        <v>1187.893865</v>
      </c>
      <c r="L194" s="3">
        <f>879.9+(2012.9-1240.3)+(1.346247+(3.079737-1.897659))+0-444.4-0.679932000000026</f>
        <v>1209.9483930000001</v>
      </c>
      <c r="M194" s="3">
        <f>879.7+(1984.8-1060.9)+(1.345941+(3.036744-1.623177))+0-448.8-0.686664000000026</f>
        <v>1356.872844</v>
      </c>
      <c r="N194" s="3">
        <f>879.7+(1986.9-910.9)+(0+(0-0))+0-447.3-0</f>
        <v>1508.4</v>
      </c>
      <c r="O194" s="3">
        <f>879.5+(1829.7-662.6)+(0+(0-0))+0-456.6-0</f>
        <v>1590</v>
      </c>
      <c r="P194" s="3">
        <f>879.2+(1850-627.1)+(0+(0-0))+0-459.9-0</f>
        <v>1642.2000000000003</v>
      </c>
      <c r="Q194" s="3">
        <f>882.4+(1899.4-660.3)+(-1.350072+(-2.906082--1.010259))+0-452.8--0.692784000000026</f>
        <v>1666.1468890000001</v>
      </c>
      <c r="R194" s="3">
        <f>925.7+(1994.9-842.1)+(-2.832642+(-6.104394--2.576826))+0-451.1--1.38036600000005</f>
        <v>1622.4201560000004</v>
      </c>
      <c r="S194" s="3">
        <f>933.1+(2248.2-1138.9)+(-0.951762+(-2.293164--1.161678))+0-457.2--0.466344000000073</f>
        <v>1583.5830959999998</v>
      </c>
      <c r="T194" s="3">
        <f>973.9+(2018.7-1012)+(-0.496689+(-1.029537--0.51612))+0-378.1--0.192830999999962</f>
        <v>1601.6827249999999</v>
      </c>
      <c r="U194" s="3">
        <f>973.8+(2023.1-941.5)+(-0.993276+(-2.063562--0.96033))+0-411.2--0.419424000000066</f>
        <v>1642.5229159999997</v>
      </c>
      <c r="V194" s="3">
        <f>974+(1734.8-671.7)+(-1.49022+(-2.654244--1.027701))+0-445.7--0.681921000000026</f>
        <v>1588.965158</v>
      </c>
      <c r="W194" s="3">
        <f>976.4+(1196.6-180.2)+(1.991856+(2.441064-0.367608))+0-457.4-0.93309599999998</f>
        <v>1538.5322159999998</v>
      </c>
      <c r="X194" s="3">
        <f>986+(1317.3-155.1)+(1.00572+(1.343646-0.158202))+0-451-0.460020000000072</f>
        <v>1698.9311439999997</v>
      </c>
      <c r="Y194" s="3">
        <f>985.5+(1324.4-119.7)+(1.00521+(1.350888-0.122094))+0-407.4-0.415548000000065</f>
        <v>1784.6184559999995</v>
      </c>
      <c r="Z194" s="3">
        <f>985.1+(1243.6-109.6)+(0+(0-0))+0-450.1-0</f>
        <v>1669</v>
      </c>
      <c r="AA194" s="3">
        <f>985.9+(1188.1-101.8)+(0.502809+(0.605931-0.051918))+0-445.7-0.227306999999955</f>
        <v>1627.3295149999999</v>
      </c>
      <c r="AB194" s="3">
        <f>954.4+(1231.4-191.4)+(-2.43372+(-3.14007--0.48807))+0-434.5--1.10797499999994</f>
        <v>1555.922255</v>
      </c>
      <c r="AC194" s="3">
        <f>890.8+(1652.1-621.5)+(-1.817232+(-3.370284--1.26786))+0-453.6--0.92534399999998</f>
        <v>1464.8056879999997</v>
      </c>
      <c r="AD194" s="2">
        <v>1734.1999999999998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881.9+(2314.5-1384.9)+(-1.799076+(-4.72158--2.825196))+0-429.3--0.875771999999981</f>
        <v>1379.380312</v>
      </c>
      <c r="G195" s="3">
        <f>881.9+(2325.7-1455.5)+(-3.148383+(-8.302749--5.196135))+0-436.1--1.55687700000001</f>
        <v>1311.30188</v>
      </c>
      <c r="H195" s="3">
        <f>881.7+(2234.6-1391.6)+(0.899334+(2.279292-1.419432))+0-436-0.44472000000007</f>
        <v>1290.0144740000001</v>
      </c>
      <c r="I195" s="3">
        <f>881.7+(2287.5-1486.4)+(-1.798668+(-4.6665--3.032256))+0-428.9--0.874955999999981</f>
        <v>1251.3420439999998</v>
      </c>
      <c r="J195" s="3">
        <f>882+(2100.5-1293.6)+(0.89964+(2.14251-1.319472))+0-397.4-0.405348000000063</f>
        <v>1292.8173300000001</v>
      </c>
      <c r="K195" s="3">
        <f>881.8+(1956.5-1152.3)+(-1.349154+(-2.993445--1.763019))+0-427.7--0.654381000000025</f>
        <v>1256.3748009999999</v>
      </c>
      <c r="L195" s="3">
        <f>880+(1699-877.5)+(0+(0-0))+0-451.6-0</f>
        <v>1249.9000000000001</v>
      </c>
      <c r="M195" s="3">
        <f>879.8+(1727.1-794.2)+(-1.346094+(-2.642463--1.215126))+0-459.1--0.702423000000027</f>
        <v>1351.5289919999998</v>
      </c>
      <c r="N195" s="3">
        <f>879.8+(1602.1-543.9)+(0.448698+(0.817071-0.277389))+0-442.2-0.225521999999955</f>
        <v>1496.5628579999998</v>
      </c>
      <c r="O195" s="3">
        <f>879.9+(1671.3-545)+(-0.897498+(-1.704726--0.5559))+0-445.5--0.454410000000071</f>
        <v>1559.108086</v>
      </c>
      <c r="P195" s="3">
        <f>879.6+(1773-590.6)+(-0.448596+(-0.90423--0.301206))+0-455--0.232049999999954</f>
        <v>1606.1804299999997</v>
      </c>
      <c r="Q195" s="3">
        <f>879.6+(1713-512.7)+(1.345788+(2.62089-0.784431))+0-450.1-0.688653000000026</f>
        <v>1632.2935940000004</v>
      </c>
      <c r="R195" s="3">
        <f>879.5+(1760.1-597.7)+(-1.79418+(-3.590604--1.219308))+0-460--0.93839999999998</f>
        <v>1578.672924</v>
      </c>
      <c r="S195" s="3">
        <f>879.3+(1995.1-888.6)+(1.793772+(4.070004-1.812744))+0-429.1-0.875363999999981</f>
        <v>1559.8756680000001</v>
      </c>
      <c r="T195" s="3">
        <f>878.1+(1818.8-696.7)+(-0.447831+(-0.927588--0.355317))+0-423.4--0.215933999999957</f>
        <v>1575.9958319999998</v>
      </c>
      <c r="U195" s="3">
        <f>878.3+(1687.9-575.6)+(-2.239665+(-4.304145--1.46778))+0-418.6--1.06742999999994</f>
        <v>1567.9914000000001</v>
      </c>
      <c r="V195" s="3">
        <f>903.3+(1349.9-278.1)+(-3.224781+(-4.819143--0.992817))+0-410.5--1.46548500000001</f>
        <v>1559.0143780000001</v>
      </c>
      <c r="W195" s="3">
        <f>1001.5+(1203.4-232.1)+(-1.532295+(-1.841202--0.355113))+0-431.1--0.659583000000025</f>
        <v>1539.3411990000004</v>
      </c>
      <c r="X195" s="3">
        <f>1068.4+(1427.3-370.9)+(-2.179536+(-2.911692--0.756636))+0-433.2--0.883727999999981</f>
        <v>1688.149136</v>
      </c>
      <c r="Y195" s="3">
        <f>1155.5+(1308.5-326.1)+(-2.946525+(-3.336675--0.831555))+0-403.9--1.02994499999994</f>
        <v>1729.5782999999999</v>
      </c>
      <c r="Z195" s="3">
        <f>1158.2+(1247.3-335.8)+(-2.362728+(-2.544492--0.685032))+0-371.2--0.757247999999984</f>
        <v>1695.0350599999995</v>
      </c>
      <c r="AA195" s="3">
        <f>1136.3+(1407.3-515.5)+(-2.897565+(-3.588615--1.314525))+0-411.8--1.05008999999994</f>
        <v>1612.1784349999998</v>
      </c>
      <c r="AB195" s="3">
        <f>1055.9+(1651.9-756.2)+(0.538509+(0.842469-0.385662))+0-413.4-0.210833999999958</f>
        <v>1538.9844820000003</v>
      </c>
      <c r="AC195" s="3">
        <f>1004.2+(1783.3-905.9)+(-2.56071+(-4.547415--2.310045))+0-426.2--1.08680999999994</f>
        <v>1451.6887299999999</v>
      </c>
      <c r="AD195" s="2">
        <v>1705.3999999999999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888.3+(2326.9-1388.3)+(-0.453033+(-1.186719--0.708033))+0-440--0.224399999999955</f>
        <v>1386.1926810000002</v>
      </c>
      <c r="G196" s="3">
        <f>862+(2844-1935.6)+(-0.43962+(-1.45044--0.987156))+0-452.3--0.230672999999954</f>
        <v>1317.4277690000001</v>
      </c>
      <c r="H196" s="3">
        <f>862.4+(2590.2-1718.3)+(1.319472+(3.963006-2.628999))+0-448.6-0.686358000000026</f>
        <v>1287.667121</v>
      </c>
      <c r="I196" s="3">
        <f>863+(2514.7-1658)+(1.32039+(3.847491-2.53674))+0-444.7-0.680391000000026</f>
        <v>1276.9507499999997</v>
      </c>
      <c r="J196" s="3">
        <f>861.9+(2368.8-1518.3)+(-1.758276+(-4.832352--3.097332))+0-454.4--0.92697599999998</f>
        <v>1255.4336799999999</v>
      </c>
      <c r="K196" s="3">
        <f>850.6+(2378.6-1531)+(-1.301418+(-3.639258--2.34243))+0-457.9--0.700587000000026</f>
        <v>1238.4023409999998</v>
      </c>
      <c r="L196" s="3">
        <f>849.7+(2070.7-1227.6)+(-1.300041+(-3.168171--1.878228))+0-448.7--0.686511000000026</f>
        <v>1242.1965270000001</v>
      </c>
      <c r="M196" s="3">
        <f>851.7+(1687.1-732.4)+(2.171835+(4.302105-1.86762))+0-409.6-1.04447999999994</f>
        <v>1400.36184</v>
      </c>
      <c r="N196" s="3">
        <f>850.8+(1588.4-517.1)+(0+(0-0))+0-401.4-0</f>
        <v>1520.7000000000003</v>
      </c>
      <c r="O196" s="3">
        <f>851.4+(1665.9-509.3)+(1.302642+(2.548827-0.779229))+0-397.2-0.607716000000023</f>
        <v>1613.2645239999999</v>
      </c>
      <c r="P196" s="3">
        <f>862.8+(1912.4-728.6)+(0+(0-0))+0-398-0</f>
        <v>1648.6000000000001</v>
      </c>
      <c r="Q196" s="3">
        <f>928.2+(1716.8-585)+(0.946764+(1.751136-0.5967))+0-387.9-0.395658000000062</f>
        <v>1673.8055419999998</v>
      </c>
      <c r="R196" s="3">
        <f>934.8+(1763.1-693.3)+(-0.476748+(-0.899181--0.353583))+0-377.7--0.192626999999962</f>
        <v>1626.0702809999998</v>
      </c>
      <c r="S196" s="3">
        <f>935+(1868.4-849.2)+(0.9537+(1.905768-0.866184))+0-375.2-0.38270400000006</f>
        <v>1580.6105799999998</v>
      </c>
      <c r="T196" s="3">
        <f>934+(1621.1-615.5)+(1.42902+(2.480283-0.941715))+0-354.2-0.54192600000002</f>
        <v>1587.8256619999997</v>
      </c>
      <c r="U196" s="3">
        <f>939.3+(1633.2-604.3)+(0+(0-0))+0-356.9-0</f>
        <v>1611.3000000000002</v>
      </c>
      <c r="V196" s="3">
        <f>973.1+(1729.7-735.6)+(-0.496281+(-0.882147--0.375156))+0-372.4--0.189923999999962</f>
        <v>1593.9866520000003</v>
      </c>
      <c r="W196" s="3">
        <f>976.2+(1542.5-568.1)+(1.493586+(2.360025-0.869193))+0-382.6-0.585378000000022</f>
        <v>1570.39904</v>
      </c>
      <c r="X196" s="3">
        <f>1012.9+(1501.7-402.1)+(-1.033158+(-1.531734--0.410142))+0-389.2--0.396984000000062</f>
        <v>1721.5422339999998</v>
      </c>
      <c r="Y196" s="3">
        <f>1074.4+(1664-583)+(-2.73972+(-4.2432--1.48665))+0-394.4--1.00571999999994</f>
        <v>1756.5094499999998</v>
      </c>
      <c r="Z196" s="3">
        <f>1099.3+(1738.3-710.6)+(-2.242572+(-3.546132--1.449624))+0-417.1--0.850883999999982</f>
        <v>1706.4118039999998</v>
      </c>
      <c r="AA196" s="3">
        <f>1057.2+(1856.8-834)+(-1.617516+(-2.840904--1.27602))+0-418.3--0.639999000000024</f>
        <v>1659.1575989999999</v>
      </c>
      <c r="AB196" s="3">
        <f>972+(1924.1-901.3)+(-2.4786+(-4.906455--2.298315))+0-419.3--1.06921499999994</f>
        <v>1571.482475</v>
      </c>
      <c r="AC196" s="3">
        <f>970.8+(2053.1-1104.3)+(-2.47554+(-5.235405--2.815965))+0-418.4--1.06691999999994</f>
        <v>1497.3719399999998</v>
      </c>
      <c r="AD196" s="2">
        <v>1792.5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913+(2524.2-1599.1)+(-0.46563+(-1.287342--0.815541))+0-426.1--0.217310999999957</f>
        <v>1411.2798799999996</v>
      </c>
      <c r="G197" s="3">
        <f>808.4+(2450.2-1491)+(0.412284+(1.249602-0.76041))+0-420.9-0.214658999999957</f>
        <v>1347.3868169999998</v>
      </c>
      <c r="H197" s="3">
        <f>807.5+(2178.8-1253.5)+(0.82365+(2.222376-1.27857))+0-423.4-0.431868000000067</f>
        <v>1310.735588</v>
      </c>
      <c r="I197" s="3">
        <f>807.4+(2283.2-1394.8)+(-0.411774+(-1.164432--0.711348))+0-417.2--0.212771999999958</f>
        <v>1277.9479139999996</v>
      </c>
      <c r="J197" s="3">
        <f>807.4+(2177.6-1300.7)+(0.411774+(1.110576-0.663357))+0-403.4-0.205733999999959</f>
        <v>1281.553259</v>
      </c>
      <c r="K197" s="3">
        <f>807.4+(2036.4-1148.6)+(-1.235322+(-3.115692--1.757358))+0-416.1--0.636633000000024</f>
        <v>1277.1429770000004</v>
      </c>
      <c r="L197" s="3">
        <f>802.3+(1713.2-830.7)+(0.818346+(1.747464-0.847314))+0-409.5-0.417690000000065</f>
        <v>1276.6008059999999</v>
      </c>
      <c r="M197" s="3">
        <f>802.5+(1481-469.6)+(0.81855+(1.51062-0.478992))+0-414.4-0.422688000000066</f>
        <v>1400.92749</v>
      </c>
      <c r="N197" s="3">
        <f>802.2+(1574.6-459.3)+(-0.409122+(-0.803046--0.234243))+0-409.5--0.208844999999958</f>
        <v>1507.23092</v>
      </c>
      <c r="O197" s="3">
        <f>802.5+(1525-337.5)+(-0.409275+(-0.77775--0.172125))+0-402.8--0.205427999999959</f>
        <v>1586.3905280000001</v>
      </c>
      <c r="P197" s="3">
        <f>802.3+(1425.2-233.7)+(0+(0-0))+0-378.3-0</f>
        <v>1615.5</v>
      </c>
      <c r="Q197" s="3">
        <f>802.4+(1416-191.1)+(-0.818448+(-1.44432--0.194922))+0-385.4--0.393108000000061</f>
        <v>1640.2252620000002</v>
      </c>
      <c r="R197" s="3">
        <f>802.3+(1641.2-431.4)+(0.409173+(0.837012-0.220014))+0-405.6-0.206855999999959</f>
        <v>1607.319315</v>
      </c>
      <c r="S197" s="3">
        <f>833.4+(2137-980.4)+(0+(0-0))+0-406.9-0</f>
        <v>1583.1</v>
      </c>
      <c r="T197" s="3">
        <f>833.2+(2168.6-972.4)+(0.849864+(2.211972-0.991848))+0-407.6-0.415752000000065</f>
        <v>1623.4542359999998</v>
      </c>
      <c r="U197" s="3">
        <f>833+(2210.7-1015)+(-2.12415+(-5.637285--2.58825))+0-400.8--1.02203999999994</f>
        <v>1623.7488549999996</v>
      </c>
      <c r="V197" s="3">
        <f>846.3+(2087.9-957.6)+(-1.294839+(-3.194487--1.465128))+0-403--0.616590000000023</f>
        <v>1571.1923920000002</v>
      </c>
      <c r="W197" s="3">
        <f>888.9+(1595.3-463.1)+(0.906678+(1.627206-0.472362))+0-418.4-0.426768000000067</f>
        <v>1604.3347539999997</v>
      </c>
      <c r="X197" s="3">
        <f>954.8+(1766.3-545.9)+(0+(0-0))+0-416.3-0</f>
        <v>1758.8999999999999</v>
      </c>
      <c r="Y197" s="3">
        <f>953.5+(1983-743.9)+(-1.94514+(-4.04532--1.517556))+0-415.5--0.847619999999982</f>
        <v>1773.4747159999997</v>
      </c>
      <c r="Z197" s="3">
        <f>953+(2152.6-1009.1)+(-0.97206+(-2.195652--1.029282))+0-389.2--0.396984000000062</f>
        <v>1705.558554</v>
      </c>
      <c r="AA197" s="3">
        <f>952.2+(2230.7-1135.8)+(-0.485622+(-1.137657--0.579258))+0-396.8--0.20236799999996</f>
        <v>1649.458347</v>
      </c>
      <c r="AB197" s="3">
        <f>948.7+(2389.8-1383.4)+(-2.419185+(-6.09399--3.52767))+0-392.4--1.00061999999994</f>
        <v>1558.7151150000002</v>
      </c>
      <c r="AC197" s="3">
        <f>842.1+(2498-1460.6)+(-2.147355+(-6.3699--3.72453))+0-409.7--1.04473499999994</f>
        <v>1466.0520099999999</v>
      </c>
      <c r="AD197" s="2">
        <v>1789.3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805+(2820.9-1845)+(-1.23165+(-4.315977--2.82285))+0-411.9--0.630207000000024</f>
        <v>1366.90543</v>
      </c>
      <c r="G198" s="3">
        <f>805.1+(2551.9-1617.2)+(-2.053005+(-6.507345--4.12386))+0-413.5--1.05442499999994</f>
        <v>1322.9179350000002</v>
      </c>
      <c r="H198" s="3">
        <f>805.1+(2183.5-1292.8)+(-1.231803+(-3.340755--1.977984))+0-409.6--0.626688000000024</f>
        <v>1284.2321140000001</v>
      </c>
      <c r="I198" s="3">
        <f>805+(2040.5-1165.2)+(0+(0-0))+0-411.5-0</f>
        <v>1268.8</v>
      </c>
      <c r="J198" s="3">
        <f>805+(1775.2-926.8)+(-0.41055+(-0.905352--0.472668))+0-410.6--0.209405999999958</f>
        <v>1242.1661720000002</v>
      </c>
      <c r="K198" s="3">
        <f>805.1+(1622.3-753.6)+(-1.231803+(-2.482119--1.153008))+0-415.4--0.635562000000024</f>
        <v>1256.4746479999999</v>
      </c>
      <c r="L198" s="3">
        <f>791.1+(1470.1-628.8)+(0.403461+(0.749751-0.320688))+0-408.5-0.208334999999959</f>
        <v>1224.524189</v>
      </c>
      <c r="M198" s="3">
        <f>810.2+(1278.7-337.1)+(0.413202+(0.652137-0.171921))+0-411.3-0.209762999999958</f>
        <v>1341.1836550000003</v>
      </c>
      <c r="N198" s="3">
        <f>838.1+(1347.2-280.6)+(0.427431+(0.687072-0.143106))+0-416.9-0.212618999999958</f>
        <v>1488.5587780000001</v>
      </c>
      <c r="O198" s="3">
        <f>838.2+(1353.3-274.7)+(0.427482+(0.690183-0.140097))+0-404.6-0.206345999999959</f>
        <v>1512.9712220000001</v>
      </c>
      <c r="P198" s="3">
        <f>854.6+(1388.5-193.4)+(0+(0-0))+0-415-0</f>
        <v>1634.6999999999998</v>
      </c>
      <c r="Q198" s="3">
        <f>879.7+(1444.8-274.1)+(0+(0-0))+0-414.7-0</f>
        <v>1635.6999999999996</v>
      </c>
      <c r="R198" s="3">
        <f>883.8+(1629.2-491.7)+(0+(0-0))+0-423.8-0</f>
        <v>1597.5</v>
      </c>
      <c r="S198" s="3">
        <f>980.8+(1892-895.3)+(-1.000416+(-1.92984--0.913206))+0-420.4--0.428808000000067</f>
        <v>1555.5117580000001</v>
      </c>
      <c r="T198" s="3">
        <f>1006.5+(1994.5-983.3)+(-0.513315+(-1.017195--0.501483))+0-423.9--0.216188999999957</f>
        <v>1592.9871620000001</v>
      </c>
      <c r="U198" s="3">
        <f>960.2+(1933.3-873.9)+(-3.427914+(-6.901881--3.119823))+0-422.1--1.50689700000001</f>
        <v>1591.7969249999999</v>
      </c>
      <c r="V198" s="3">
        <f>837.5+(1639.3-487.5)+(0.427125+(0.836043-0.248625))+0-421.6-0.215015999999957</f>
        <v>1568.4995270000002</v>
      </c>
      <c r="W198" s="3">
        <f>844.4+(1492.8-350.8)+(-0.861288+(-1.522656--0.357816))+0-424.5--0.432990000000068</f>
        <v>1560.3068620000001</v>
      </c>
      <c r="X198" s="3">
        <f>968+(1508.2-334.1)+(-1.97472+(-3.076728--0.681564))+0-420.9--0.858635999999982</f>
        <v>1717.6887519999996</v>
      </c>
      <c r="Y198" s="3">
        <f>971.5+(1853.1-675.7)+(-1.98186+(-3.780324--1.378428))+0-423.7--0.864347999999981</f>
        <v>1721.6805919999995</v>
      </c>
      <c r="Z198" s="3">
        <f>972.5+(1590.5-484.5)+(-0.99195+(-1.62231--0.49419))+0-424.5--0.432990000000068</f>
        <v>1652.3129200000001</v>
      </c>
      <c r="AA198" s="3">
        <f>971.1+(1652.6-592.8)+(-2.476305+(-4.21413--1.51164))+0-421--1.07354999999994</f>
        <v>1605.7947549999999</v>
      </c>
      <c r="AB198" s="3">
        <f>970.1+(1756-743.5)+(-1.979004+(-3.58224--1.51674))+0-419.2--0.855167999999982</f>
        <v>1560.210664</v>
      </c>
      <c r="AC198" s="3">
        <f>966.1+(2252.3-1315.7)+(-0.492711+(-1.148673--0.671007))+0-422.8--0.215627999999957</f>
        <v>1479.1452510000001</v>
      </c>
      <c r="AD198" s="2">
        <v>1756.2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901.4+(2834.2-1928.7)+(-0.459714+(-1.445442--0.983637))+0-418.5--0.213434999999958</f>
        <v>1387.6919159999995</v>
      </c>
      <c r="G199" s="3">
        <f>801+(2821.8-1915.4)+(-2.04255+(-7.19559--4.88427))+0-396.7--1.01158499999994</f>
        <v>1307.3577150000001</v>
      </c>
      <c r="H199" s="3">
        <f>802.5+(2419-1540)+(0+(0-0))+0-398.6-0</f>
        <v>1282.9000000000001</v>
      </c>
      <c r="I199" s="3">
        <f>803.2+(2594.7-1735.2)+(-0.409632+(-1.323297--0.884952))+0-402.1--0.205070999999959</f>
        <v>1259.9570939999999</v>
      </c>
      <c r="J199" s="3">
        <f>803.1+(2353.7-1513.8)+(0.819162+(2.400774-1.544076))+0-402.5-0.410550000000064</f>
        <v>1241.76531</v>
      </c>
      <c r="K199" s="3">
        <f>803.1+(2224-1381.5)+(-0.819162+(-2.26848--1.40913))+0-401.6--0.409632000000064</f>
        <v>1242.7311200000001</v>
      </c>
      <c r="L199" s="3">
        <f>802.9+(1924.5-1095.6)+(0.409479+(0.981495-0.558756))+0-398.7-0.20333699999996</f>
        <v>1233.7288810000002</v>
      </c>
      <c r="M199" s="3">
        <f>803.2+(1742.8-834.2)+(0+(0-0))+0-396.1-0</f>
        <v>1315.6999999999998</v>
      </c>
      <c r="N199" s="3">
        <f>803.1+(1417.2-358.4)+(0.409581+(0.722772-0.182784))+0-400.8-0.204407999999959</f>
        <v>1461.8451610000002</v>
      </c>
      <c r="O199" s="3">
        <f>802.9+(1434.6-294.4)+(0.409479+(0.731646-0.150144))+0-403.2-0.205631999999959</f>
        <v>1540.6853489999999</v>
      </c>
      <c r="P199" s="3">
        <f>802.8+(1470.8-290.7)+(-1.228284+(-2.250324--0.444771))+0-436.8--0.668304000000025</f>
        <v>1543.734467</v>
      </c>
      <c r="Q199" s="3">
        <f>813.6+(1513.1-327)+(0+(0-0))+0-435.5-0</f>
        <v>1564.1999999999998</v>
      </c>
      <c r="R199" s="3">
        <f>939.6+(1538.7-492.1)+(-1.437588+(-2.354211--0.752913))+0-442.5--0.677025000000026</f>
        <v>1541.3381389999997</v>
      </c>
      <c r="S199" s="3">
        <f>970.9+(1854.4-896.7)+(-0.990318+(-1.891488--0.914634))+0-431.9--0.440538000000069</f>
        <v>1495.1733660000002</v>
      </c>
      <c r="T199" s="3">
        <f>970.4+(2023-1074.5)+(0+(0-0))+0-387.6-0</f>
        <v>1531.3000000000002</v>
      </c>
      <c r="U199" s="3">
        <f>968.1+(2136.4-1180.9)+(-0.987462+(-2.179128--1.204518))+0-433--0.441660000000069</f>
        <v>1489.0795879999998</v>
      </c>
      <c r="V199" s="3">
        <f>969.7+(1738.3-802.8)+(-1.483641+(-2.659599--1.228284))+0-430--0.657900000000025</f>
        <v>1472.9429439999999</v>
      </c>
      <c r="W199" s="3">
        <f>973.7+(1488.2-588.9)+(0.993174+(1.517964-0.600678))+0-419-0.427380000000067</f>
        <v>1455.48308</v>
      </c>
      <c r="X199" s="3">
        <f>988.9+(1632.7-575.6)+(-2.521695+(-4.163385--1.46778))+0-430.3--1.09726499999994</f>
        <v>1611.5799649999999</v>
      </c>
      <c r="Y199" s="3">
        <f>991.8+(1621.5-564.3)+(-1.517454+(-2.480895--0.863379))+0-420.3--0.643059000000024</f>
        <v>1626.208089</v>
      </c>
      <c r="Z199" s="3">
        <f>989.4+(1511.8-498.4)+(-2.52297+(-3.85509--1.27092))+0-431.9--1.10134499999994</f>
        <v>1566.8942050000001</v>
      </c>
      <c r="AA199" s="3">
        <f>983.7+(1536.6-547.6)+(-1.505061+(-2.350998--0.837828))+0-438.1--0.670293000000025</f>
        <v>1532.252062</v>
      </c>
      <c r="AB199" s="3">
        <f>934.8+(1631.9-638.1)+(-0.953496+(-1.664538--0.650862))+0-433.9--0.442578000000069</f>
        <v>1493.1754060000003</v>
      </c>
      <c r="AC199" s="3">
        <f>875.1+(2033.8-1070.3)+(-0.446301+(-1.037238--0.545853))+0-408.5--0.208334999999959</f>
        <v>1429.370649</v>
      </c>
      <c r="AD199" s="2">
        <v>1670.3000000000002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805.8+(2388.6-1457.6)+(-1.232874+(-3.654558--2.230128))+0-418.9--0.640917000000024</f>
        <v>1315.8836129999997</v>
      </c>
      <c r="G200" s="3">
        <f>806+(2563.2-1705.6)+(-1.23318+(-3.921696--2.609568))+0-418--0.639540000000024</f>
        <v>1243.6942320000001</v>
      </c>
      <c r="H200" s="3">
        <f>804.7+(2470.7-1636.2)+(-0.820794+(-2.520114--1.668924))+0-422--0.430440000000067</f>
        <v>1215.9584559999998</v>
      </c>
      <c r="I200" s="3">
        <f>804.9+(2443.7-1626.2)+(-1.231497+(-3.738861--2.488086))+0-424.6--0.649638000000025</f>
        <v>1195.9673659999996</v>
      </c>
      <c r="J200" s="3">
        <f>804.9+(2336-1531.4)+(1.231497+(3.57408-2.343042))+0-433-0.662490000000025</f>
        <v>1178.300045</v>
      </c>
      <c r="K200" s="3">
        <f>804.7+(2248.1-1442.4)+(-2.051985+(-5.732655--3.67812))+0-438.8--1.11893999999994</f>
        <v>1168.6124199999997</v>
      </c>
      <c r="L200" s="3">
        <f>797.8+(2126.7-1384.4)+(0+(0-0))+0-392-0</f>
        <v>1148.0999999999997</v>
      </c>
      <c r="M200" s="3">
        <f>804+(2133.6-1350.8)+(0+(0-0))+0-448.3-0</f>
        <v>1138.5</v>
      </c>
      <c r="N200" s="3">
        <f>825+(2105.4-1285.5)+(-1.683+(-4.295016--2.62242))+0-404.9--0.825995999999982</f>
        <v>1237.4704000000002</v>
      </c>
      <c r="O200" s="3">
        <f>885.4+(1885.7-1041.7)+(-0.903108+(-1.923414--1.062534))+0-450.3--0.459306000000072</f>
        <v>1277.7953180000002</v>
      </c>
      <c r="P200" s="3">
        <f>1048.4+(1734.6-969.9)+(-1.604052+(-2.653938--1.483947))+0-449.3--0.687429000000026</f>
        <v>1361.7133860000001</v>
      </c>
      <c r="Q200" s="3">
        <f>1085.8+(1843.3-1125.4)+(-2.215032+(-3.760332--2.295816))+0-428.1--0.873323999999981</f>
        <v>1372.7937759999998</v>
      </c>
      <c r="R200" s="3">
        <f>1094.4+(1945.3-1234)+(0+(0-0))+0-428.6-0</f>
        <v>1377.1</v>
      </c>
      <c r="S200" s="3">
        <f>1187.4+(2269.1-1675.4)+(-3.02787+(-5.786205--4.27227))+0-432.3--1.10236499999994</f>
        <v>1345.3605599999999</v>
      </c>
      <c r="T200" s="3">
        <f>1203.1+(2258.8-1682.9)+(-1.840743+(-3.455964--2.574837))+0-433--0.662490000000025</f>
        <v>1343.9406199999999</v>
      </c>
      <c r="U200" s="3">
        <f>1204.4+(2050.1-1479.2)+(-1.842732+(-3.136653--2.263176))+0-439.2--0.671976000000025</f>
        <v>1334.0557670000001</v>
      </c>
      <c r="V200" s="3">
        <f>1175.4+(1711.3-1106.4)+(-1.198908+(-1.745526--1.128528))+0-438.4--0.44716800000007</f>
        <v>1340.531262</v>
      </c>
      <c r="W200" s="3">
        <f>1161.5+(1473.3-838.6)+(0.592365+(0.751383-0.427686))+0-453.1-0.231080999999954</f>
        <v>1343.7849809999998</v>
      </c>
      <c r="X200" s="3">
        <f>1207.1+(1497.4-737.4)+(0+(0-0))+0-456.6-0</f>
        <v>1510.5</v>
      </c>
      <c r="Y200" s="3">
        <f>1274+(1508.8-771.6)+(-1.94922+(-2.308464--1.180548))+0-452.6--0.692478000000026</f>
        <v>1556.2153419999995</v>
      </c>
      <c r="Z200" s="3">
        <f>1261.4+(1475.1-790.9)+(-0.643314+(-0.752301--0.403359))+0-390.7--0.19925699999996</f>
        <v>1554.1070009999999</v>
      </c>
      <c r="AA200" s="3">
        <f>1262.1+(1502.2-841.9)+(-1.931013+(-2.298366--1.288107))+0-421.3--0.644589000000024</f>
        <v>1498.8033170000001</v>
      </c>
      <c r="AB200" s="3">
        <f>1204.9+(1749.1-1059.4)+(-4.301493+(-6.244287--3.782058))+0-395--1.41015000000001</f>
        <v>1494.2464279999999</v>
      </c>
      <c r="AC200" s="3">
        <f>980.8+(2208.6-1403.8)+(-0.500208+(-1.126386--0.715938))+0-418.7--0.213536999999958</f>
        <v>1366.2028809999997</v>
      </c>
      <c r="AD200" s="2">
        <v>1560.3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859+(2662.6-1844.4)+(-1.75236+(-5.431704--3.762576))+0-421.5--0.859859999999982</f>
        <v>1253.1383719999999</v>
      </c>
      <c r="G201" s="3">
        <f>857.2+(2922.5-2116.6)+(-0.437172+(-1.490475--1.079466))+0-428.6--0.218585999999957</f>
        <v>1233.8704050000001</v>
      </c>
      <c r="H201" s="3">
        <f>856.8+(2723.6-1954.2)+(-2.18484+(-6.94518--4.98321))+0-431.4--1.10006999999994</f>
        <v>1191.75326</v>
      </c>
      <c r="I201" s="3">
        <f>854.5+(2387.4-1611.4)+(-2.178975+(-6.08787--4.10907))+0-440.7--1.12378499999994</f>
        <v>1186.7660100000001</v>
      </c>
      <c r="J201" s="3">
        <f>858+(2171.3-1398.1)+(0.87516+(2.214726-1.426062))+0-453.4-0.462468000000072</f>
        <v>1179.0013560000002</v>
      </c>
      <c r="K201" s="3">
        <f>857+(2051.8-1267.4)+(0.43707+(1.046418-0.646374))+0-448.1-0.228530999999955</f>
        <v>1193.9085830000001</v>
      </c>
      <c r="L201" s="3">
        <f>830.5+(1781.5-983.1)+(0.84711+(1.81713-1.002762))+0-446.4-0.455328000000071</f>
        <v>1183.70615</v>
      </c>
      <c r="M201" s="3">
        <f>830.5+(1573.9-654.2)+(0.423555+(0.802689-0.333642))+0-450.1-0.229550999999954</f>
        <v>1300.7630509999999</v>
      </c>
      <c r="N201" s="3">
        <f>829.9+(1704.8-659.4)+(0+(0-0))+0-445.7-0</f>
        <v>1429.6000000000001</v>
      </c>
      <c r="O201" s="3">
        <f>854.4+(1794.4-693.5)+(0+(0-0))+0-449.5-0</f>
        <v>1505.8000000000002</v>
      </c>
      <c r="P201" s="3">
        <f>871.4+(1576.4-442.7)+(-0.444414+(-0.803964--0.225777))+0-455.5--0.232304999999954</f>
        <v>1548.809704</v>
      </c>
      <c r="Q201" s="3">
        <f>993.6+(1525.8-523.6)+(1.520208+(2.334474-0.801108))+0-435.3-0.666009000000025</f>
        <v>1562.887565</v>
      </c>
      <c r="R201" s="3">
        <f>1012.7+(1628.1-711.2)+(0+(0-0))+0-411.6-0</f>
        <v>1518</v>
      </c>
      <c r="S201" s="3">
        <f>1012.3+(1840.2-918.5)+(0.516273+(0.938502-0.468435))+0-414.3-0.211292999999958</f>
        <v>1520.4750469999999</v>
      </c>
      <c r="T201" s="3">
        <f>1013+(1974.1-1079.1)+(0+(0-0))+0-342.3-0</f>
        <v>1565.7</v>
      </c>
      <c r="U201" s="3">
        <f>1011.6+(2040.4-1063)+(-3.611412+(-7.284228--3.79491))+0-425.6--1.51939200000001</f>
        <v>1557.8186619999999</v>
      </c>
      <c r="V201" s="3">
        <f>1012.6+(2057.6-1083.7)+(-2.065704+(-4.197504--2.210748))+0-442.3--0.902291999999981</f>
        <v>1541.0498319999999</v>
      </c>
      <c r="W201" s="3">
        <f>1015.5+(1692.4-709.8)+(0.517905+(0.863124-0.361998))+0-452.3-0.230672999999954</f>
        <v>1546.5883580000002</v>
      </c>
      <c r="X201" s="3">
        <f>1086+(1601.6-522.8)+(0+(0-0))+0-458.3-0</f>
        <v>1706.5000000000002</v>
      </c>
      <c r="Y201" s="3">
        <f>1217.7+(1837.2-918.3)+(0+(0-0))+0-452.8-0</f>
        <v>1683.8000000000004</v>
      </c>
      <c r="Z201" s="3">
        <f>1179.4+(2017.6-1092.8)+(-2.405976+(-4.115904--2.229312))+0-454.9--0.92799599999998</f>
        <v>1645.9354279999998</v>
      </c>
      <c r="AA201" s="3">
        <f>953.8+(2280.8-1204.2)+(-0.972876+(-2.326416--1.228284))+0-437.6--0.44635200000007</f>
        <v>1591.1753440000005</v>
      </c>
      <c r="AB201" s="3">
        <f>893+(2242.5-1189.9)+(-1.36629+(-3.431025--1.820547))+0-448.1--0.685593000000026</f>
        <v>1495.2088249999999</v>
      </c>
      <c r="AC201" s="3">
        <f>893.2+(2588.2-1612)+(-1.822128+(-5.279928--3.28848))+0-451.4--0.92085599999998</f>
        <v>1415.1072799999999</v>
      </c>
      <c r="AD201" s="2">
        <v>1785.8999999999999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879.6+(2726.3-1830)+(-1.794384+(-5.561652--3.7332))+0-442--0.901679999999981</f>
        <v>1331.178844</v>
      </c>
      <c r="G202" s="3">
        <f>878.6+(2753-1891.5)+(-2.24043+(-7.02015--4.823325))+0-444.1--1.13245499999994</f>
        <v>1292.6951999999997</v>
      </c>
      <c r="H202" s="3">
        <f>880+(2743.1-1928.7)+(-1.3464+(-4.196943--2.950911))+0-438.8--0.671364000000025</f>
        <v>1253.678932</v>
      </c>
      <c r="I202" s="3">
        <f>880.4+(2732.5-1956.7)+(-0.449004+(-1.393575--0.997917))+0-431.7--0.220166999999956</f>
        <v>1223.8755049999997</v>
      </c>
      <c r="J202" s="3">
        <f>881.7+(2359.6-1570.4)+(1.349001+(3.610188-2.402712))+0-441.3-0.675189000000026</f>
        <v>1231.4812879999999</v>
      </c>
      <c r="K202" s="3">
        <f>880.2+(2142.7-1340.7)+(-1.346706+(-3.278331--2.051271))+0-447.1--0.684063000000026</f>
        <v>1233.2102969999999</v>
      </c>
      <c r="L202" s="3">
        <f>881+(1920.7-1143.7)+(0+(0-0))+0-443.2-0</f>
        <v>1214.8</v>
      </c>
      <c r="M202" s="3">
        <f>877.2+(1962.5-1041)+(-0.894744+(-2.00175--1.06182))+0-443.4--0.452268000000071</f>
        <v>1353.917594</v>
      </c>
      <c r="N202" s="3">
        <f>880.8+(1758.3-711.9)+(1.347624+(2.690199-1.089207))+0-456-0.697680000000026</f>
        <v>1473.450936</v>
      </c>
      <c r="O202" s="3">
        <f>886.4+(1744.8-645.8)+(0.452064+(0.889848-0.329358))+0-401.3-0.204662999999959</f>
        <v>1584.9078910000001</v>
      </c>
      <c r="P202" s="3">
        <f>943+(1751.5-698.4)+(0+(0-0))+0-372.9-0</f>
        <v>1623.1999999999998</v>
      </c>
      <c r="Q202" s="3">
        <f>1000.5+(1636.6-632.7)+(-1.02051+(-1.669332--0.645354))+0-415.6--0.423912000000066</f>
        <v>1587.1794239999997</v>
      </c>
      <c r="R202" s="3">
        <f>1000.6+(1942.4-974.3)+(0+(0-0))+0-418.1-0</f>
        <v>1550.6000000000004</v>
      </c>
      <c r="S202" s="3">
        <f>1000.8+(2140.9-1202.6)+(0.510408+(1.091859-0.613326))+0-421.4-0.214913999999957</f>
        <v>1518.4740270000004</v>
      </c>
      <c r="T202" s="3">
        <f>1032.1+(1946.4-1027.7)+(-1.052742+(-1.985328--1.048254))+0-425.6--0.434112000000068</f>
        <v>1523.6442960000002</v>
      </c>
      <c r="U202" s="3">
        <f>1049+(1777.9-906.9)+(-2.67495+(-4.533645--2.312595))+0-419.6--1.06997999999994</f>
        <v>1496.5739799999999</v>
      </c>
      <c r="V202" s="3">
        <f>1049.7+(1637.9-747.8)+(-1.070694+(-1.670658--0.762756))+0-378.3--0.38586600000006</f>
        <v>1559.9072700000004</v>
      </c>
      <c r="W202" s="3">
        <f>1051.3+(1739.7-847.1)+(0.536163+(0.887247-0.432021))+0-383.4-0.195533999999961</f>
        <v>1561.2958550000003</v>
      </c>
      <c r="X202" s="3">
        <f>1061.1+(1661.3-621.6)+(-1.082322+(-1.694526--0.634032))+0-391.8--0.399636000000063</f>
        <v>1707.2568199999998</v>
      </c>
      <c r="Y202" s="3">
        <f>1061.5+(1869.4-849.4)+(0+(0-0))+0-394.8-0</f>
        <v>1686.7</v>
      </c>
      <c r="Z202" s="3">
        <f>1060.6+(2023.3-1037.1)+(-0.540906+(-1.031883--0.528921))+0-398.8--0.20338799999996</f>
        <v>1647.1595199999999</v>
      </c>
      <c r="AA202" s="3">
        <f>1060.2+(2341.8-1401.9)+(-0.540702+(-1.194318--0.714969))+0-399.7--0.203846999999959</f>
        <v>1599.5837960000001</v>
      </c>
      <c r="AB202" s="3">
        <f>1012.5+(2693.7-1785.2)+(-2.0655+(-5.495148--3.641808))+0-393.3--0.802331999999983</f>
        <v>1524.5834919999998</v>
      </c>
      <c r="AC202" s="3">
        <f>1003.4+(2568.6-1736.6)+(0+(0-0))+0-400.1-0</f>
        <v>1435.3000000000002</v>
      </c>
      <c r="AD202" s="2">
        <v>1740.9000000000003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978.3+(2591.3-1845)+(0+(0-0))+0-383-0</f>
        <v>1341.6000000000001</v>
      </c>
      <c r="G203" s="3">
        <f>903.6+(2767.1-1996.2)+(0.460836+(1.411221-1.018062))+0-390.9-0.19935899999996</f>
        <v>1284.2546359999999</v>
      </c>
      <c r="H203" s="3">
        <f>894.9+(2590.1-1838.8)+(0.456399+(1.320951-0.937788))+0-383.2-0.195431999999961</f>
        <v>1263.6441299999997</v>
      </c>
      <c r="I203" s="3">
        <f>894.4+(2272.9-1525.4)+(0.912288+(2.318358-1.555908))+0-392-0.399840000000062</f>
        <v>1251.174898</v>
      </c>
      <c r="J203" s="3">
        <f>891.6+(2244.7-1507.7)+(-0.909432+(-2.289594--1.537854))+0-393.9--0.401778000000063</f>
        <v>1233.4406059999999</v>
      </c>
      <c r="K203" s="3">
        <f>813.8+(2181.1-1358.8)+(-0.830076+(-2.224722--1.385976))+0-391.1--0.398922000000062</f>
        <v>1243.7301</v>
      </c>
      <c r="L203" s="3">
        <f>810.3+(2024-1203.5)+(2.066265+(5.1612-3.068925))+0-390.6-0.996029999999943</f>
        <v>1243.3625099999997</v>
      </c>
      <c r="M203" s="3">
        <f>814.2+(1752.4-797)+(0.415242+(0.893724-0.40647))+0-398.9-0.20343899999996</f>
        <v>1371.3990570000001</v>
      </c>
      <c r="N203" s="3">
        <f>856.2+(1903.2-837.1)+(0.873324+(1.941264-0.853842))+0-417.1-0.425442000000067</f>
        <v>1506.735304</v>
      </c>
      <c r="O203" s="3">
        <f>897.5+(1727.1-630.8)+(1.373175+(2.642463-0.965124))+0-414.9-0.634797000000024</f>
        <v>1581.3157170000002</v>
      </c>
      <c r="P203" s="3">
        <f>939.2+(1392.1-401.6)+(0.478992+(0.709971-0.204816))+0-389-0.198389999999961</f>
        <v>1541.4857569999997</v>
      </c>
      <c r="Q203" s="3">
        <f>965.7+(1355.1-349.3)+(0+(0-0))+0-386.3-0</f>
        <v>1585.2</v>
      </c>
      <c r="R203" s="3">
        <f>1000.5+(1491.8-502.2)+(-0.510255+(-0.760818--0.256122))+0-400--0.203999999999959</f>
        <v>1589.2890489999997</v>
      </c>
      <c r="S203" s="3">
        <f>1002.8+(1722.8-765.7)+(1.534284+(2.635884-1.171521))+0-400.2-0.612306000000023</f>
        <v>1562.0863409999997</v>
      </c>
      <c r="T203" s="3">
        <f>1001.5+(1695.8-724.1)+(0.510765+(0.864858-0.369291))+0-403.3-0.205682999999959</f>
        <v>1570.7006489999999</v>
      </c>
      <c r="U203" s="3">
        <f>996.3+(1718.9-725.5)+(-3.048678+(-5.259834--2.22003))+0-398.2--1.21849200000005</f>
        <v>1586.6300099999999</v>
      </c>
      <c r="V203" s="3">
        <f>999.2+(1693.7-716.6)+(-2.038368+(-3.455148--1.461864))+0-399.2--0.814367999999983</f>
        <v>1573.8827160000003</v>
      </c>
      <c r="W203" s="3">
        <f>1000.6+(1483.6-484.1)+(0+(0-0))+0-404-0</f>
        <v>1596.1</v>
      </c>
      <c r="X203" s="3">
        <f>1000.8+(1633.6-579.5)+(-0.510408+(-0.833136--0.295545))+0-400.9--0.204458999999959</f>
        <v>1653.1564599999997</v>
      </c>
      <c r="Y203" s="3">
        <f>1000.4+(1873.4-778.9)+(-0.510204+(-0.955434--0.397239))+0-403.7--0.205886999999959</f>
        <v>1690.3374879999997</v>
      </c>
      <c r="Z203" s="3">
        <f>998.6+(2032.2-946)+(-1.018572+(-2.072844--0.96492))+0-398.7--0.406674000000064</f>
        <v>1684.3801780000003</v>
      </c>
      <c r="AA203" s="3">
        <f>987+(2256.9-1221.7)+(-2.01348+(-4.604076--2.492268))+0-393.3--0.802331999999983</f>
        <v>1625.5770440000001</v>
      </c>
      <c r="AB203" s="3">
        <f>878+(2371.6-1303.6)+(0.89556+(2.419032-1.329672))+0-390.6-0.398412000000062</f>
        <v>1556.986508</v>
      </c>
      <c r="AC203" s="3">
        <f>803+(2670.2-1609.1)+(-0.40953+(-1.361802--0.820641))+0-396.2--0.20206199999996</f>
        <v>1467.1513709999999</v>
      </c>
      <c r="AD203" s="2">
        <v>1724.1000000000001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798.9+(2264.9-1304.1)+(-1.222317+(-3.465297--1.995273))+0-394.8--0.604044000000023</f>
        <v>1362.8117030000003</v>
      </c>
      <c r="G204" s="3">
        <f>800.3+(2229.2-1343.3)+(-2.040765+(-5.68446--3.425415))+0-384.4--0.980219999999944</f>
        <v>1298.4804099999997</v>
      </c>
      <c r="H204" s="3">
        <f>799.6+(2172.1-1302.4)+(-2.03898+(-5.538855--3.32112))+0-392--0.999599999999943</f>
        <v>1274.0428849999996</v>
      </c>
      <c r="I204" s="3">
        <f>800.6+(2330.8-1472.8)+(-1.224918+(-3.566124--2.253384))+0-398--0.608940000000023</f>
        <v>1258.6712820000005</v>
      </c>
      <c r="J204" s="3">
        <f>799.7+(2168.3-1312.4)+(-0.815694+(-2.211666--1.338648))+0-393.9--0.401778000000063</f>
        <v>1260.4130660000003</v>
      </c>
      <c r="K204" s="3">
        <f>799.6+(2111.4-1255)+(-1.223388+(-3.230442--1.92015))+0-396.6--0.606798000000023</f>
        <v>1257.4731180000001</v>
      </c>
      <c r="L204" s="3">
        <f>791.7+(1761.8-913.5)+(-0.807534+(-1.797036--0.93177))+0-391.1--0.398922000000062</f>
        <v>1247.6261219999999</v>
      </c>
      <c r="M204" s="3">
        <f>791.6+(1483.9-513.3)+(-0.403716+(-0.756789--0.261783))+0-393.2--0.20053199999996</f>
        <v>1368.3018100000004</v>
      </c>
      <c r="N204" s="3">
        <f>809.1+(1407-361.6)+(-0.412641+(-0.71757--0.184416))+0-382.6--0.195125999999961</f>
        <v>1471.1493310000001</v>
      </c>
      <c r="O204" s="3">
        <f>899.8+(1458.8-398.7)+(0+(0-0))+0-375-0</f>
        <v>1584.8999999999999</v>
      </c>
      <c r="P204" s="3">
        <f>935.5+(1421.1-371.2)+(0.95421+(1.449522-0.378624))+0-370.6-0.378012000000059</f>
        <v>1616.4470959999999</v>
      </c>
      <c r="Q204" s="3">
        <f>930.8+(1473.8-382)+(-0.474708+(-0.751638--0.19482))+0-370.2--0.188801999999962</f>
        <v>1651.5572759999998</v>
      </c>
      <c r="R204" s="3">
        <f>948.7+(1604.1-571.5)+(0.483837+(0.818091-0.291465))+0-380.6-0.194105999999961</f>
        <v>1601.516357</v>
      </c>
      <c r="S204" s="3">
        <f>1000+(1822.7-869)+(-1.53+(-2.788731--1.32957))+0-376.6--0.576198000000022</f>
        <v>1574.6870369999999</v>
      </c>
      <c r="T204" s="3">
        <f>999.2+(1868-900.9)+(-0.509592+(-0.95268--0.459459))+0-414.6--0.211445999999958</f>
        <v>1550.9086330000002</v>
      </c>
      <c r="U204" s="3">
        <f>992.1+(1908.5-963.3)+(-2.529855+(-4.866675--2.456415))+0-382.6--0.975629999999945</f>
        <v>1550.7355149999999</v>
      </c>
      <c r="V204" s="3">
        <f>992+(1941.2-974.3)+(-1.51776+(-2.970036--1.490679))+0-404.4--0.618732000000023</f>
        <v>1552.1216150000002</v>
      </c>
      <c r="W204" s="3">
        <f>997.8+(1752.6-784.1)+(-0.508878+(-0.893826--0.399891))+0-412.6--0.210425999999958</f>
        <v>1552.9076129999996</v>
      </c>
      <c r="X204" s="3">
        <f>1011.5+(1643.4-516.5)+(-2.579325+(-4.19067--1.317075))+0-416.1--1.06105499999994</f>
        <v>1717.9081349999999</v>
      </c>
      <c r="Y204" s="3">
        <f>1012.1+(1666.5-566.5)+(-2.064684+(-3.39966--1.15566))+0-416.6--0.849863999999982</f>
        <v>1692.0411799999999</v>
      </c>
      <c r="Z204" s="3">
        <f>1012.7+(1686.1-637.3)+(-1.032954+(-1.719822--0.650046))+0-405.5--0.413610000000065</f>
        <v>1654.31088</v>
      </c>
      <c r="AA204" s="3">
        <f>1013.8+(2116.1-1107.2)+(-1.551114+(-3.237633--1.694016))+0-413.5--0.632655000000024</f>
        <v>1606.737924</v>
      </c>
      <c r="AB204" s="3">
        <f>931.2+(2374.5-1332.6)+(-1.899648+(-4.84398--2.718504))+0-386.8--0.789071999999983</f>
        <v>1583.0639480000002</v>
      </c>
      <c r="AC204" s="3">
        <f>811.1+(2555.7-1529)+(-2.068305+(-6.517035--3.89895))+0-376.6--0.960329999999945</f>
        <v>1457.4739399999994</v>
      </c>
      <c r="AD204" s="2">
        <v>1757.6999999999998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802.9+(2494.5-1572.2)+(-1.637916+(-5.08878--3.207288))+0-377.5--0.770099999999984</f>
        <v>1344.9506919999997</v>
      </c>
      <c r="G205" s="3">
        <f>803+(2805.8-1941.5)+(-1.22859+(-4.292874--2.970495))+0-381.5--0.583695000000022</f>
        <v>1283.8327260000003</v>
      </c>
      <c r="H205" s="3">
        <f>803+(2524.2-1670.1)+(-0.81906+(-2.574684--1.703502))+0-392.9--0.400758000000063</f>
        <v>1262.9105160000001</v>
      </c>
      <c r="I205" s="3">
        <f>801.8+(2519.8-1691.6)+(0.408918+(1.285098-0.862716))+0-391.7-0.19976699999996</f>
        <v>1238.9315330000002</v>
      </c>
      <c r="J205" s="3">
        <f>801.8+(2432.3-1608.3)+(0+(0-0))+0-387.2-0</f>
        <v>1238.6000000000001</v>
      </c>
      <c r="K205" s="3">
        <f>802+(2291-1472.7)+(-0.40902+(-1.16841--0.751077))+0-381.2--0.194411999999961</f>
        <v>1238.468059</v>
      </c>
      <c r="L205" s="3">
        <f>801.9+(1940.7-1131.6)+(-0.408969+(-0.989757--0.577116))+0-376.1--0.191810999999962</f>
        <v>1234.270201</v>
      </c>
      <c r="M205" s="3">
        <f>802.2+(1641-713.2)+(0.409122+(0.83691-0.363732))+0-378.5-0.193034999999962</f>
        <v>1352.189265</v>
      </c>
      <c r="N205" s="3">
        <f>813.6+(1689.6-643.2)+(-0.414936+(-0.861696--0.328032))+0-364--0.185639999999963</f>
        <v>1495.23704</v>
      </c>
      <c r="O205" s="3">
        <f>919.3+(1629.6-606)+(0+(0-0))+0-366.5-0</f>
        <v>1576.3999999999999</v>
      </c>
      <c r="P205" s="3">
        <f>1000.5+(1532.9-478.2)+(0.510255+(0.781779-0.243882))+0-402-0.205019999999959</f>
        <v>1654.0431319999998</v>
      </c>
      <c r="Q205" s="3">
        <f>1012.5+(1451.3-439.1)+(1.03275+(1.480326-0.447882))+0-380.3-0.387906000000061</f>
        <v>1646.0772879999997</v>
      </c>
      <c r="R205" s="3">
        <f>1011.5+(1607.9-660.7)+(-0.515865+(-0.820029--0.336957))+0-369.4--0.188393999999963</f>
        <v>1588.4894569999999</v>
      </c>
      <c r="S205" s="3">
        <f>1009.2+(1847.5-961.4)+(-3.088152+(-5.65335--2.941884))+0-350.2--1.07161200000004</f>
        <v>1540.3719940000001</v>
      </c>
      <c r="T205" s="3">
        <f>1011.3+(2017.8-1141.1)+(-1.547289+(-3.087234--1.745883))+0-352.4--0.53917200000002</f>
        <v>1533.2505320000002</v>
      </c>
      <c r="U205" s="3">
        <f>1011.5+(2149.1-1290.9)+(-1.547595+(-3.288123--1.975077))+0-355.5--0.543915000000021</f>
        <v>1511.8832739999998</v>
      </c>
      <c r="V205" s="3">
        <f>1011.1+(1953.1-1062.3)+(-1.546983+(-2.988243--1.625319))+0-375.3--0.574209000000022</f>
        <v>1524.2643020000003</v>
      </c>
      <c r="W205" s="3">
        <f>1013.1+(1893.6-982.8)+(0+(0-0))+0-389-0</f>
        <v>1534.9</v>
      </c>
      <c r="X205" s="3">
        <f>1069.9+(1581.2-559.2)+(-2.182596+(-3.225648--1.140768))+0-385.1--0.785603999999983</f>
        <v>1703.3181280000001</v>
      </c>
      <c r="Y205" s="3">
        <f>1083.7+(1740.6-732.9)+(-2.763435+(-4.43853--1.868895))+0-387.6--0.988379999999944</f>
        <v>1699.4553100000001</v>
      </c>
      <c r="Z205" s="3">
        <f>1094.2+(1893.2-954.4)+(-2.79021+(-4.82766--2.43372))+0-387.5--0.988124999999944</f>
        <v>1641.3039749999998</v>
      </c>
      <c r="AA205" s="3">
        <f>1100.7+(1785.4-900.1)+(-1.122714+(-1.821108--0.918102))+0-388.5--0.396270000000062</f>
        <v>1595.8705499999999</v>
      </c>
      <c r="AB205" s="3">
        <f>1099.1+(1766.1-929.9)+(-1.121082+(-1.801422--0.948498))+0-391.7--0.399534000000062</f>
        <v>1542.0255279999999</v>
      </c>
      <c r="AC205" s="3">
        <f>1098.8+(1685.9-937.6)+(-1.681164+(-2.579427--1.434528))+0-385.6--0.589968000000022</f>
        <v>1459.263905</v>
      </c>
      <c r="AD205" s="2">
        <v>1712.9999999999995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1005.4+(2169.2-1420.1)+(0+(0-0))+0-385.7-0</f>
        <v>1368.8</v>
      </c>
      <c r="G206" s="3">
        <f>887.3+(2546.3-1746.8)+(-1.357569+(-3.895839--2.672604))+0-392--0.599760000000023</f>
        <v>1292.8189560000003</v>
      </c>
      <c r="H206" s="3">
        <f>884.4+(2700-1937.9)+(-1.353132+(-4.131--2.964987))+0-392.2--0.600066000000023</f>
        <v>1252.3809209999999</v>
      </c>
      <c r="I206" s="3">
        <f>884.3+(2677.3-1928.4)+(0+(0-0))+0-391.6-0</f>
        <v>1241.5999999999999</v>
      </c>
      <c r="J206" s="3">
        <f>884.5+(2541-1804)+(0.90219+(2.59182-1.84008))+0-390.5-0.398310000000062</f>
        <v>1232.2556199999999</v>
      </c>
      <c r="K206" s="3">
        <f>884.4+(2458.8-1715.2)+(0.902088+(2.507976-1.749504))+0-394.3-0.402186000000063</f>
        <v>1234.958374</v>
      </c>
      <c r="L206" s="3">
        <f>876.4+(2281.1-1550.5)+(0.893928+(2.326722-1.58151))+0-391.1-0.398922000000062</f>
        <v>1217.1402179999998</v>
      </c>
      <c r="M206" s="3">
        <f>876.4+(1707-893.9)+(0+(0-0))+0-388-0</f>
        <v>1301.5</v>
      </c>
      <c r="N206" s="3">
        <f>874.5+(1505.4-557.7)+(0+(0-0))+0-392.3-0</f>
        <v>1429.9</v>
      </c>
      <c r="O206" s="3">
        <f>959.8+(1422.9-470.1)+(0+(0-0))+0-383.8-0</f>
        <v>1528.8</v>
      </c>
      <c r="P206" s="3">
        <f>1023.6+(1398.4-487.1)+(0+(0-0))+0-391.5-0</f>
        <v>1543.4</v>
      </c>
      <c r="Q206" s="3">
        <f>1138.8+(1478.3-638.5)+(0+(0-0))+0-402.7-0</f>
        <v>1575.8999999999999</v>
      </c>
      <c r="R206" s="3">
        <f>1194.7+(1713.1-960)+(0+(0-0))+0-408.8-0</f>
        <v>1539</v>
      </c>
      <c r="S206" s="3">
        <f>1214.3+(1887.9-1200.9)+(0+(0-0))+0-407.7-0</f>
        <v>1493.6</v>
      </c>
      <c r="T206" s="3">
        <f>1237.5+(1979.8-1306.6)+(1.26225+(2.019396-1.332732))+0-406.4-0.414528000000065</f>
        <v>1505.8343860000002</v>
      </c>
      <c r="U206" s="3">
        <f>1234.5+(1888-1259.2)+(-2.51838+(-3.85152--2.568768))+0-413.5--0.843539999999982</f>
        <v>1446.842408</v>
      </c>
      <c r="V206" s="3">
        <f>1236+(1230.6-657.4)+(0+(0-0))+0-387.7-0</f>
        <v>1421.4999999999998</v>
      </c>
      <c r="W206" s="3">
        <f>1236.4+(1138.8-544.1)+(0.630564+(0.580788-0.277491))+0-386.3-0.197012999999961</f>
        <v>1445.536848</v>
      </c>
      <c r="X206" s="3">
        <f>1232.6+(1397.4-655.2)+(-3.14313+(-3.56337--1.67076))+0-376.6--0.960329999999945</f>
        <v>1594.1245899999999</v>
      </c>
      <c r="Y206" s="3">
        <f>1259.2+(1740.5-1014.9)+(-3.21096+(-4.438275--2.587995))+0-382--0.974099999999945</f>
        <v>1598.7128600000001</v>
      </c>
      <c r="Z206" s="3">
        <f>1261+(1827.7-1116.3)+(-0.64311+(-0.932127--0.569313))+0-394.7--0.20129699999996</f>
        <v>1576.8953730000001</v>
      </c>
      <c r="AA206" s="3">
        <f>1261.2+(1994.2-1309.2)+(-0.643212+(-1.017042--0.667692))+0-398.2--0.20308199999996</f>
        <v>1547.2105200000001</v>
      </c>
      <c r="AB206" s="3">
        <f>1261.9+(1857.5-1225.3)+(0+(0-0))+0-398.4-0</f>
        <v>1495.7000000000003</v>
      </c>
      <c r="AC206" s="3">
        <f>1096+(2004.9-1246.8)+(-1.67688+(-3.067497--1.907604))+0-400.3--0.612459000000023</f>
        <v>1451.5756860000001</v>
      </c>
      <c r="AD206" s="2">
        <v>1663.1999999999996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999.8+(2331.3-1600)+(-2.039592+(-4.755852--3.264))+0-400.9--0.817835999999982</f>
        <v>1327.486392</v>
      </c>
      <c r="G207" s="3">
        <f>999.9+(2354.5-1692.1)+(-2.039796+(-4.80318--3.451884))+0-399.6--0.815183999999983</f>
        <v>1260.124092</v>
      </c>
      <c r="H207" s="3">
        <f>1000+(2310.3-1665.3)+(-1.53+(-3.534759--2.547909))+0-399.6--0.611388000000023</f>
        <v>1243.4945380000001</v>
      </c>
      <c r="I207" s="3">
        <f>1000.1+(2192.6-1577.5)+(-0.510051+(-1.118226--0.804525))+0-401.4--0.204713999999959</f>
        <v>1213.1809619999999</v>
      </c>
      <c r="J207" s="3">
        <f>1000.2+(2119.2-1489.6)+(1.020204+(2.161584-1.519392))+0-402.3-0.410346000000064</f>
        <v>1228.7520499999998</v>
      </c>
      <c r="K207" s="3">
        <f>1000.1+(2016.8-1395.2)+(-2.040204+(-4.114272--2.846208))+0-401.3--0.818651999999983</f>
        <v>1217.9103839999998</v>
      </c>
      <c r="L207" s="3">
        <f>987.2+(2127-1530.1)+(0.503472+(1.08477-0.780351))+0-386.6-0.197165999999961</f>
        <v>1198.110725</v>
      </c>
      <c r="M207" s="3">
        <f>987.3+(1883.9-1282)+(0+(0-0))+0-381.9-0</f>
        <v>1207.3000000000002</v>
      </c>
      <c r="N207" s="3">
        <f>1003.3+(1559-889.9)+(-0.511683+(-0.79509--0.453849))+0-378.5--0.193034999999962</f>
        <v>1293.2401110000001</v>
      </c>
      <c r="O207" s="3">
        <f>1005.3+(1338.9-643.3)+(0.512703+(0.682839-0.328083))+0-384.6-0.196145999999961</f>
        <v>1316.9713130000002</v>
      </c>
      <c r="P207" s="3">
        <f>999+(1276.8-525.2)+(0+(0-0))+0-386.6-0</f>
        <v>1364</v>
      </c>
      <c r="Q207" s="3">
        <f>1015.1+(1393.1-639.7)+(0.517701+(0.710481-0.326247))+0-376.8-0.192167999999962</f>
        <v>1392.4097670000001</v>
      </c>
      <c r="R207" s="3">
        <f>1058.3+(1775.7-1079.3)+(0+(0-0))+0-381.8-0</f>
        <v>1372.9</v>
      </c>
      <c r="S207" s="3">
        <f>1192.3+(1959.3-1425.3)+(-2.432292+(-3.996972--2.907612))+0-380.2--0.775607999999983</f>
        <v>1343.3539559999999</v>
      </c>
      <c r="T207" s="3">
        <f>1213.3+(1997.6-1492.5)+(-2.475132+(-4.075104--3.0447))+0-371.1--0.757043999999984</f>
        <v>1344.551508</v>
      </c>
      <c r="U207" s="3">
        <f>1197.6+(1875.9-1373.1)+(-2.443104+(-3.826836--2.801124))+0-357--0.728279999999984</f>
        <v>1340.6594640000001</v>
      </c>
      <c r="V207" s="3">
        <f>1174.8+(1571.1-1053.6)+(-1.797444+(-2.403783--1.612008))+0-365.7--0.559521000000021</f>
        <v>1324.5703020000001</v>
      </c>
      <c r="W207" s="3">
        <f>1207.5+(1149.8-592.7)+(0.615825+(0.586398-0.302277))+0-370.2-0.188801999999962</f>
        <v>1395.111144</v>
      </c>
      <c r="X207" s="3">
        <f>1279.9+(1148.8-467.1)+(-1.958247+(-1.757664--0.714663))+0-369.5--0.565335000000021</f>
        <v>1589.6640869999999</v>
      </c>
      <c r="Y207" s="3">
        <f>1276.8+(1196.1-507.3)+(-3.25584+(-3.050055--1.293615))+0-372.1--0.948854999999946</f>
        <v>1589.4365749999999</v>
      </c>
      <c r="Z207" s="3">
        <f>1280.9+(1272.6-617.2)+(-1.959777+(-1.947078--0.944316))+0-374--0.572220000000022</f>
        <v>1559.9096809999999</v>
      </c>
      <c r="AA207" s="3">
        <f>1279.9+(1378.4-758)+(-2.610996+(-2.811936--1.54632))+0-376.1--0.767243999999984</f>
        <v>1521.0906320000001</v>
      </c>
      <c r="AB207" s="3">
        <f>1280.9+(1607.9-1035)+(-2.613036+(-3.280116--2.1114))+0-379.9--0.774995999999983</f>
        <v>1470.8932440000001</v>
      </c>
      <c r="AC207" s="3">
        <f>1190.5+(1999.7-1426.7)+(-3.035775+(-5.099235--3.638085))+0-380.3--0.969764999999945</f>
        <v>1379.6728400000002</v>
      </c>
      <c r="AD207" s="2">
        <v>1564.4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1087.6+(2251.5-1653.1)+(-1.664028+(-3.444795--2.529243))+0-382.7--0.585531000000022</f>
        <v>1301.3059509999998</v>
      </c>
      <c r="G208" s="3">
        <f>1078.7+(2741-2187.5)+(-1.650411+(-4.19373--3.346875))+0-381.8--0.584154000000022</f>
        <v>1248.4868880000001</v>
      </c>
      <c r="H208" s="3">
        <f>1078.8+(2885.8-2365.2)+(-2.75094+(-7.35879--6.03126))+0-383.2--0.977159999999944</f>
        <v>1213.0986900000003</v>
      </c>
      <c r="I208" s="3">
        <f>1077.8+(2782.5-2271.7)+(-0.549678+(-1.419075--1.158567))+0-386--0.196859999999961</f>
        <v>1201.9866740000002</v>
      </c>
      <c r="J208" s="3">
        <f>1078.9+(2584.2-2046.8)+(-0.550239+(-1.317942--1.043868))+0-403.2--0.205631999999959</f>
        <v>1212.4813189999998</v>
      </c>
      <c r="K208" s="3">
        <f>1077+(2331.3-1785.9)+(-1.09854+(-2.377926--1.821618))+0-414.7--0.422994000000066</f>
        <v>1206.4681460000002</v>
      </c>
      <c r="L208" s="3">
        <f>1076.7+(2084.3-1503.2)+(-0.549117+(-1.062993--0.766632))+0-426.4--0.217463999999957</f>
        <v>1230.7719860000004</v>
      </c>
      <c r="M208" s="3">
        <f>1076.5+(2076.4-1414.7)+(1.09803+(2.117928-1.442994))+0-432.6-0.441252000000069</f>
        <v>1306.9317120000001</v>
      </c>
      <c r="N208" s="3">
        <f>1076.7+(1819.6-1038)+(-1.647351+(-2.783988--1.58814))+0-425.2--0.650556000000025</f>
        <v>1430.907357</v>
      </c>
      <c r="O208" s="3">
        <f>1082.5+(1824.4-946.8)+(0+(0-0))+0-391.5-0</f>
        <v>1568.6000000000001</v>
      </c>
      <c r="P208" s="3">
        <f>1204.3+(1737.4-935.7)+(0+(0-0))+0-397.2-0</f>
        <v>1608.8</v>
      </c>
      <c r="Q208" s="3">
        <f>1225.1+(1460.5-670.1)+(0+(0-0))+0-399.4-0</f>
        <v>1616.1</v>
      </c>
      <c r="R208" s="3">
        <f>1225.2+(1610.6-874.3)+(0+(0-0))+0-399.7-0</f>
        <v>1561.8</v>
      </c>
      <c r="S208" s="3">
        <f>1225.6+(1954.9-1235)+(0+(0-0))+0-404-0</f>
        <v>1541.5</v>
      </c>
      <c r="T208" s="3">
        <f>1224+(1956.4-1214.9)+(0+(0-0))+0-411-0</f>
        <v>1554.5</v>
      </c>
      <c r="U208" s="3">
        <f>1223.2+(1740.9-990.2)+(0+(0-0))+0-409.4-0</f>
        <v>1564.5</v>
      </c>
      <c r="V208" s="3">
        <f>1222.3+(1570.3-820.3)+(0+(0-0))+0-410.4-0</f>
        <v>1561.9</v>
      </c>
      <c r="W208" s="3">
        <f>1225.4+(1105.1-370.7)+(0+(0-0))+0-404.4-0</f>
        <v>1555.4</v>
      </c>
      <c r="X208" s="3">
        <f>1240.1+(1221.7-331.5)+(0+(0-0))+0-406.8-0</f>
        <v>1723.5000000000002</v>
      </c>
      <c r="Y208" s="3">
        <f>1284.2+(1178.2-360.4)+(0+(0-0))+0-406.5-0</f>
        <v>1695.5</v>
      </c>
      <c r="Z208" s="3">
        <f>1281.9+(1276.1-491.1)+(0+(0-0))+0-404.6-0</f>
        <v>1662.3000000000002</v>
      </c>
      <c r="AA208" s="3">
        <f>1283.3+(1255.7-514.8)+(0+(0-0))+0-404.5-0</f>
        <v>1619.7</v>
      </c>
      <c r="AB208" s="3">
        <f>1247.9+(1496.8-829)+(0+(0-0))+0-403.7-0</f>
        <v>1512</v>
      </c>
      <c r="AC208" s="3">
        <f>1145+(1564.2-804.8)+(0+(0-0))+0-407.1-0</f>
        <v>1497.3000000000002</v>
      </c>
      <c r="AD208" s="2">
        <v>1750.7999999999997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1085.5+(2242.9-1521.6)+(-1.660815+(-3.431637--2.328048))+0-402.3--0.615519000000023</f>
        <v>1402.3511150000002</v>
      </c>
      <c r="G209" s="3">
        <f>1085.5+(2424.1-1784.8)+(0.553605+(1.236291-0.910248))+0-397.7-0.20282699999996</f>
        <v>1327.7768209999999</v>
      </c>
      <c r="H209" s="3">
        <f>1084.5+(2457.2-1840)+(-1.10619+(-2.506344--1.8768))+0-396.8--0.404736000000063</f>
        <v>1303.5690019999997</v>
      </c>
      <c r="I209" s="3">
        <f>1085.7+(2357.4-1776.5)+(-0.553707+(-1.202274--0.906015))+0-401.7--0.204866999999959</f>
        <v>1264.254901</v>
      </c>
      <c r="J209" s="3">
        <f>1084.7+(2321.5-1741.7)+(-1.659591+(-3.551895--2.664801))+0-406.4--0.621792000000023</f>
        <v>1256.175107</v>
      </c>
      <c r="K209" s="3">
        <f>1084.9+(2170.9-1591.3)+(-0.553299+(-1.107159--0.811563))+0-408.6--0.208385999999959</f>
        <v>1255.259491</v>
      </c>
      <c r="L209" s="3">
        <f>1084.6+(1804-1208.1)+(0+(0-0))+0-404.8-0</f>
        <v>1275.7</v>
      </c>
      <c r="M209" s="3">
        <f>1084.8+(1642.8-933.5)+(1.106496+(1.675656-0.95217))+0-409-0.417180000000065</f>
        <v>1386.5128019999997</v>
      </c>
      <c r="N209" s="3">
        <f>1086.1+(1653.9-830)+(1.107822+(1.686978-0.8466))+0-407.8-0.415956000000065</f>
        <v>1503.732244</v>
      </c>
      <c r="O209" s="3">
        <f>1084.8+(1378.3-482)+(-0.553248+(-0.702933--0.24582))+0-399.4--0.203693999999959</f>
        <v>1580.8933329999998</v>
      </c>
      <c r="P209" s="3">
        <f>1084.6+(1247.3-347.2)+(0+(0-0))+0-385.7-0</f>
        <v>1598.9999999999998</v>
      </c>
      <c r="Q209" s="3">
        <f>1092.4+(1193.9-309.4)+(-1.671372+(-1.826667--0.473382))+0-382.7--0.585531000000022</f>
        <v>1591.7608740000001</v>
      </c>
      <c r="R209" s="3">
        <f>1163.6+(1473-683.2)+(0+(0-0))+0-393.4-0</f>
        <v>1560</v>
      </c>
      <c r="S209" s="3">
        <f>936.2+(1716.1-737.5)+(0+(0-0))+0-393.2-0</f>
        <v>1521.6</v>
      </c>
      <c r="T209" s="3">
        <f>936.9+(1740.5-748.8)+(0+(0-0))+0-400.8-0</f>
        <v>1527.8</v>
      </c>
      <c r="U209" s="3">
        <f>932.4+(1785.8-783.4)+(0+(0-0))+0-403.4-0</f>
        <v>1531.4</v>
      </c>
      <c r="V209" s="3">
        <f>935.5+(1581.8-589.8)+(0+(0-0))+0-400.5-0</f>
        <v>1527</v>
      </c>
      <c r="W209" s="3">
        <f>997.3+(1221.2-265.3)+(0+(0-0))+0-417.9-0</f>
        <v>1535.3000000000002</v>
      </c>
      <c r="X209" s="3">
        <f>1112.7+(1298.3-264.1)+(0+(0-0))+0-412.2-0</f>
        <v>1734.6999999999996</v>
      </c>
      <c r="Y209" s="3">
        <f>1136.6+(1319.4-324.3)+(0+(0-0))+0-406.5-0</f>
        <v>1725.1999999999998</v>
      </c>
      <c r="Z209" s="3">
        <f>1215.5+(1285.2-439.2)+(0+(0-0))+0-400.1-0</f>
        <v>1661.4</v>
      </c>
      <c r="AA209" s="3">
        <f>1281.4+(1243.8-506.9)+(0+(0-0))+0-396.7-0</f>
        <v>1621.6000000000001</v>
      </c>
      <c r="AB209" s="3">
        <f>1280.5+(1376.2-688.4)+(0+(0-0))+0-398.4-0</f>
        <v>1569.9</v>
      </c>
      <c r="AC209" s="3">
        <f>1197.3+(1404-707.5)+(0+(0-0))+0-402.7-0</f>
        <v>1491.1</v>
      </c>
      <c r="AD209" s="2">
        <v>1697.3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1090.2+(1768.2-1081.2)+(-2.78001+(-4.50891--2.75706))+0-396.9--1.01209499999994</f>
        <v>1376.7802350000002</v>
      </c>
      <c r="G210" s="3">
        <f>1067.8+(1990.3-1336.4)+(-2.72289+(-5.075265--3.40782))+0-404--1.03019999999994</f>
        <v>1314.3398649999997</v>
      </c>
      <c r="H210" s="3">
        <f>1067.4+(1929.6-1300.8)+(-0.544374+(-0.984096--0.663408))+0-406.8--0.207467999999959</f>
        <v>1288.7424060000001</v>
      </c>
      <c r="I210" s="3">
        <f>1067.3+(1991.1-1392.3)+(-1.632969+(-3.046383--2.130219))+0-403.6--0.617508000000023</f>
        <v>1260.5683750000001</v>
      </c>
      <c r="J210" s="3">
        <f>1067.7+(1879.1-1281.8)+(-1.633581+(-2.875023--1.961154))+0-399.8--0.611694000000023</f>
        <v>1263.264244</v>
      </c>
      <c r="K210" s="3">
        <f>1067.3+(1675.3-1073.2)+(-1.088646+(-1.708806--1.094664))+0-400.8--0.408816000000064</f>
        <v>1267.306028</v>
      </c>
      <c r="L210" s="3">
        <f>1067.1+(1488.7-889.7)+(0+(0-0))+0-398-0</f>
        <v>1268.0999999999999</v>
      </c>
      <c r="M210" s="3">
        <f>1067.5+(1346.6-631.4)+(0+(0-0))+0-400.9-0</f>
        <v>1381.7999999999997</v>
      </c>
      <c r="N210" s="3">
        <f>1066.9+(1425.3-589.7)+(0+(0-0))+0-402.8-0</f>
        <v>1499.7</v>
      </c>
      <c r="O210" s="3">
        <f>1048.8+(1236.6-319.1)+(0+(0-0))+0-404.4-0</f>
        <v>1561.8999999999996</v>
      </c>
      <c r="P210" s="3">
        <f>1012.1+(1269-280)+(0+(0-0))+0-403.4-0</f>
        <v>1597.6999999999998</v>
      </c>
      <c r="Q210" s="3">
        <f>1038.4+(1279.7-308.4)+(0+(0-0))+0-402.5-0</f>
        <v>1607.2000000000003</v>
      </c>
      <c r="R210" s="3">
        <f>1079.4+(1238.4-364.3)+(0+(0-0))+0-403.5-0</f>
        <v>1550.0000000000002</v>
      </c>
      <c r="S210" s="3">
        <f>1093.5+(1343.9-523.3)+(-1.11537+(-1.370778--0.533766))+0-400.8--0.408816000000064</f>
        <v>1511.7564340000004</v>
      </c>
      <c r="T210" s="3">
        <f>1102.3+(1515.5-677.9)+(-0.562173+(-0.772905--0.345729))+0-405.7--0.206906999999959</f>
        <v>1533.4175580000001</v>
      </c>
      <c r="U210" s="3">
        <f>1144.1+(1560.1-760.5)+(-2.333964+(-3.182604--1.55142))+0-400.2--0.816407999999982</f>
        <v>1540.3512599999997</v>
      </c>
      <c r="V210" s="3">
        <f>1140.9+(1217.5-423.5)+(-1.163718+(-1.24185--0.43197))+0-403.5--0.411570000000064</f>
        <v>1529.837972</v>
      </c>
      <c r="W210" s="3">
        <f>1234.7+(1037.2-342.5)+(-1.259394+(-1.057944--0.34935))+0-384.7--0.392394000000061</f>
        <v>1543.1244059999999</v>
      </c>
      <c r="X210" s="3">
        <f>1299.4+(1298.8-475.6)+(-1.988082+(-1.987164--0.727668))+0-386.3--0.591039000000022</f>
        <v>1733.6434609999999</v>
      </c>
      <c r="Y210" s="3">
        <f>1301.6+(1372.3-560.5)+(-1.991448+(-2.099619--0.857565))+0-388.9--0.595017000000022</f>
        <v>1721.8615149999996</v>
      </c>
      <c r="Z210" s="3">
        <f>1254.8+(1274.1-475.2)+(-1.919844+(-1.949373--0.727056))+0-387.8--0.593334000000022</f>
        <v>1663.3511729999996</v>
      </c>
      <c r="AA210" s="3">
        <f>1234.5+(1265.6-451.8)+(-2.51838+(-2.581824--0.921672))+0-411.7--0.839867999999982</f>
        <v>1633.2613360000003</v>
      </c>
      <c r="AB210" s="3">
        <f>1238.1+(1275.4-538.7)+(-0.631431+(-0.650454--0.274737))+0-417.8--0.213077999999958</f>
        <v>1556.2059300000001</v>
      </c>
      <c r="AC210" s="3">
        <f>1214.7+(1440.2-753.8)+(-1.858491+(-2.203506--1.153314))+0-416.3--0.636939000000024</f>
        <v>1482.5282560000001</v>
      </c>
      <c r="AD210" s="2">
        <v>1758.7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1092.8+(1930.6-1225.2)+(-0.557328+(-0.984606--0.624852))+0-421.4--0.214913999999957</f>
        <v>1376.0978319999997</v>
      </c>
      <c r="G211" s="3">
        <f>1092.6+(2055.4-1415.4)+(0+(0-0))+0-418.9-0</f>
        <v>1313.6999999999998</v>
      </c>
      <c r="H211" s="3">
        <f>1092.2+(2264.2-1652.5)+(0.557022+(1.154742-0.842775))+0-420-0.214199999999957</f>
        <v>1284.554789</v>
      </c>
      <c r="I211" s="3">
        <f>1093+(2355.9-1776.5)+(1.11486+(2.403018-1.81203))+0-415.2-0.423504000000066</f>
        <v>1258.482344</v>
      </c>
      <c r="J211" s="3">
        <f>1005.8+(2200.9-1544.9)+(1.025916+(2.244918-1.575798))+0-422.4-0.430848000000067</f>
        <v>1240.6641880000002</v>
      </c>
      <c r="K211" s="3">
        <f>925.8+(2045.3-1343.6)+(0+(0-0))+0-401.3-0</f>
        <v>1226.2</v>
      </c>
      <c r="L211" s="3">
        <f>925.1+(1572.7-818.2)+(1.887204+(3.208308-1.669128))+0-412.5-0.841499999999982</f>
        <v>1269.684884</v>
      </c>
      <c r="M211" s="3">
        <f>924.8+(1360-508.7)+(-0.943296+(-1.3872--0.518874))+0-423.8--0.432276000000068</f>
        <v>1350.920654</v>
      </c>
      <c r="N211" s="3">
        <f>926.2+(1380.5-402.7)+(-1.889448+(-2.81622--0.821508))+0-427.5--0.872099999999981</f>
        <v>1473.48794</v>
      </c>
      <c r="O211" s="3">
        <f>929.1+(1410.7-374.7)+(-1.421523+(-2.158371--0.573291))+0-418.2--0.639846000000024</f>
        <v>1544.5332429999999</v>
      </c>
      <c r="P211" s="3">
        <f>1153.9+(1266.3-405.8)+(-2.942445+(-3.229065--1.03479))+0-423.8--1.08068999999994</f>
        <v>1586.5439700000002</v>
      </c>
      <c r="Q211" s="3">
        <f>1221.4+(1187.3-379.1)+(-1.868742+(-1.816569--0.580023))+0-420.6--0.643518000000024</f>
        <v>1606.5382299999999</v>
      </c>
      <c r="R211" s="3">
        <f>1221.4+(1227.3-475)+(-2.491656+(-2.503692--0.969))+0-421.6--0.860063999999982</f>
        <v>1548.933716</v>
      </c>
      <c r="S211" s="3">
        <f>1224.4+(1530.1-805.1)+(0.624444+(0.780351-0.410601))+0-418.3-0.213332999999958</f>
        <v>1531.8808610000003</v>
      </c>
      <c r="T211" s="3">
        <f>1221.8+(1522.3-781)+(-1.246236+(-1.552746--0.79662))+0-411--0.419220000000066</f>
        <v>1550.516858</v>
      </c>
      <c r="U211" s="3">
        <f>1223.5+(1513.2-769.8)+(-3.119925+(-3.85866--1.96299))+0-415.8--1.06028999999994</f>
        <v>1547.144695</v>
      </c>
      <c r="V211" s="3">
        <f>1222.3+(1183.1-435.3)+(-1.870119+(-1.810143--0.666009))+0-410--0.627300000000024</f>
        <v>1557.713047</v>
      </c>
      <c r="W211" s="3">
        <f>1246.6+(1009.7-318)+(0.635766+(0.514947-0.16218))+0-387.8-0.197777999999961</f>
        <v>1551.290755</v>
      </c>
      <c r="X211" s="3">
        <f>1306.2+(1112.8-296.3)+(-1.998486+(-1.702584--0.453339))+0-394.2--0.603126000000023</f>
        <v>1725.8553949999998</v>
      </c>
      <c r="Y211" s="3">
        <f>1300.2+(1099.8-305.2)+(-2.652408+(-2.243592--0.622608))+0-388.4--0.792335999999983</f>
        <v>1702.918944</v>
      </c>
      <c r="Z211" s="3">
        <f>1295+(1126.4-397.3)+(-2.6418+(-2.297856--0.810492))+0-369.7--0.754187999999984</f>
        <v>1651.025024</v>
      </c>
      <c r="AA211" s="3">
        <f>1202.3+(1306-477.9)+(-3.065865+(-3.3303--1.218645))+0-409.1--1.04320499999994</f>
        <v>1617.1656849999999</v>
      </c>
      <c r="AB211" s="3">
        <f>1121+(1528.6-680.2)+(-2.85855+(-3.89793--1.73451))+0-409.4--1.04396999999994</f>
        <v>1556.0219999999997</v>
      </c>
      <c r="AC211" s="3">
        <f>1122.4+(1756.4-1020)+(-1.717272+(-2.687292--1.5606))+0-406.3--0.621639000000023</f>
        <v>1450.2776750000003</v>
      </c>
      <c r="AD211" s="2">
        <v>1758.4000000000003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1058.7+(2435.6-1747.1)+(-1.619811+(-3.726468--2.673063))+0-405.9--0.621027000000023</f>
        <v>1339.247811</v>
      </c>
      <c r="G212" s="3">
        <f>1055.7+(2769.1-2137)+(-1.615221+(-4.236723--3.26961))+0-417.8--0.639234000000024</f>
        <v>1268.0569</v>
      </c>
      <c r="H212" s="3">
        <f>1055.1+(2674.3-2088.2)+(-1.076202+(-2.727786--2.129964))+0-400.2--0.408204000000064</f>
        <v>1239.7341800000004</v>
      </c>
      <c r="I212" s="3">
        <f>1055.9+(2687.8-2137.9)+(-0.538509+(-1.370778--1.090329))+0-387.2--0.197471999999961</f>
        <v>1217.9785140000001</v>
      </c>
      <c r="J212" s="3">
        <f>1054.4+(2302.8-1746.2)+(0.537744+(1.174428-0.890562))+0-385.8-0.196757999999961</f>
        <v>1225.8248520000002</v>
      </c>
      <c r="K212" s="3">
        <f>1054.2+(1967.4-1432.9)+(0.537642+(1.003374-0.730779))+0-383.7-0.195686999999961</f>
        <v>1205.61455</v>
      </c>
      <c r="L212" s="3">
        <f>1054.7+(1259.4-688.8)+(-0.537897+(-0.642294--0.351288))+0-385.4--0.196553999999961</f>
        <v>1239.2676509999999</v>
      </c>
      <c r="M212" s="3">
        <f>1054.1+(1135-461.4)+(0+(0-0))+0-385.7-0</f>
        <v>1341.9999999999998</v>
      </c>
      <c r="N212" s="3">
        <f>1054.9+(1266.4-459.2)+(-1.613997+(-1.937592--0.702576))+0-388.9--0.595017000000022</f>
        <v>1470.9460040000004</v>
      </c>
      <c r="O212" s="3">
        <f>1055.5+(1261.3-399.1)+(-0.538305+(-0.643263--0.203541))+0-386--0.196859999999961</f>
        <v>1530.9188329999997</v>
      </c>
      <c r="P212" s="3">
        <f>1056+(1154.1-250.4)+(-1.07712+(-1.177182--0.255408))+0-394.7--0.402594000000063</f>
        <v>1563.4036999999998</v>
      </c>
      <c r="Q212" s="3">
        <f>1048.9+(1129.3-209.2)+(-1.069878+(-1.151886--0.213384))+0-383.7--0.391374000000061</f>
        <v>1583.682994</v>
      </c>
      <c r="R212" s="3">
        <f>1088.6+(1300.2-461.7)+(-0.555186+(-0.663102--0.235467))+0-381--0.194309999999961</f>
        <v>1545.3114889999997</v>
      </c>
      <c r="S212" s="3">
        <f>1195.6+(1548-859.9)+(-1.829268+(-2.36844--1.315647))+0-377.3--0.577269000000022</f>
        <v>1504.095208</v>
      </c>
      <c r="T212" s="3">
        <f>1231.3+(1871.8-1210.1)+(-1.883889+(-2.863854--1.851453))+0-380.1--0.581553000000022</f>
        <v>1510.5852629999999</v>
      </c>
      <c r="U212" s="3">
        <f>1228.6+(1694.7-1058.7)+(-1.879758+(-2.592891--1.619811))+0-388.9--0.595017000000022</f>
        <v>1473.4421790000001</v>
      </c>
      <c r="V212" s="3">
        <f>1185.4+(991.1-327.9)+(1.209108+(1.010922-0.334458))+0-395.5-0.403410000000063</f>
        <v>1454.5821619999999</v>
      </c>
      <c r="W212" s="3">
        <f>1244.4+(870.8-222.7)+(0.634644+(0.444108-0.113577))+0-376.8-0.192167999999962</f>
        <v>1516.4730070000001</v>
      </c>
      <c r="X212" s="3">
        <f>1371.6+(936.5-240.5)+(-2.098548+(-1.432845--0.367965))+0-373.4--0.571302000000022</f>
        <v>1691.607874</v>
      </c>
      <c r="Y212" s="3">
        <f>1373.1+(1080.8-412.3)+(-1.400562+(-1.102416--0.420546))+0-371.7--0.379134000000059</f>
        <v>1668.196702</v>
      </c>
      <c r="Z212" s="3">
        <f>1305.4+(1191-470.5)+(-1.331508+(-1.21482--0.47991))+0-389.1--0.396882000000062</f>
        <v>1635.1304639999998</v>
      </c>
      <c r="AA212" s="3">
        <f>1187.8+(1212.3-413.2)+(-1.211556+(-1.236546--0.421464))+0-395--0.402900000000063</f>
        <v>1590.2762619999999</v>
      </c>
      <c r="AB212" s="3">
        <f>1163.2+(1263.6-484.5)+(-2.96616+(-3.22218--1.235475))+0-401.3--1.02331499999994</f>
        <v>1537.0704499999999</v>
      </c>
      <c r="AC212" s="3">
        <f>1158.6+(1506.7-808.3)+(-3.545316+(-4.610502--2.473398))+0-401.6--1.22889600000005</f>
        <v>1450.9464760000001</v>
      </c>
      <c r="AD212" s="2">
        <v>1730.7999999999997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1153.2+(1923.8-1305.4)+(1.176264+(1.962276-1.331508))+0-407.8-0.415956000000065</f>
        <v>1365.1910759999998</v>
      </c>
      <c r="G213" s="3">
        <f>1130.7+(2088.4-1511.4)+(0.576657+(1.065084-0.770814))+0-401.3-0.204662999999959</f>
        <v>1307.066264</v>
      </c>
      <c r="H213" s="3">
        <f>1067.6+(2019.9-1414.3)+(1.088952+(2.060298-1.442586))+0-411-0.419220000000066</f>
        <v>1263.4874440000001</v>
      </c>
      <c r="I213" s="3">
        <f>1070.6+(1806.7-1222.9)+(-0.546006+(-0.921417--0.623679))+0-409--0.208589999999959</f>
        <v>1244.7648459999998</v>
      </c>
      <c r="J213" s="3">
        <f>1071.6+(1768.5-1198.5)+(0+(0-0))+0-407.3-0</f>
        <v>1234.3</v>
      </c>
      <c r="K213" s="3">
        <f>1059.2+(1589.4-1000.2)+(-2.160768+(-3.242376--2.040408))+0-418.5--0.853739999999982</f>
        <v>1227.3910040000001</v>
      </c>
      <c r="L213" s="3">
        <f>1046.6+(1758.8-1167.5)+(1.067532+(1.793976-1.19085))+0-411.8-0.420036000000066</f>
        <v>1227.3506219999999</v>
      </c>
      <c r="M213" s="3">
        <f>1047+(1494.2-849.2)+(0+(0-0))+0-395.4-0</f>
        <v>1296.5999999999999</v>
      </c>
      <c r="N213" s="3">
        <f>1047+(1579.2-796.7)+(0+(0-0))+0-403.4-0</f>
        <v>1426.1</v>
      </c>
      <c r="O213" s="3">
        <f>1115.5+(1223.7-453.7)+(0+(0-0))+0-413.6-0</f>
        <v>1471.9</v>
      </c>
      <c r="P213" s="3">
        <f>1092.6+(1050.7-185.6)+(-1.671678+(-1.607571--0.283968))+0-411.5--0.629595000000024</f>
        <v>1543.8343139999999</v>
      </c>
      <c r="Q213" s="3">
        <f>1080.4+(1174-291.3)+(0+(0-0))+0-413.5-0</f>
        <v>1549.6000000000001</v>
      </c>
      <c r="R213" s="3">
        <f>1011.6+(1302.4-407.3)+(-1.547748+(-1.992672--0.623169))+0-402.8--0.616284000000023</f>
        <v>1501.5990330000002</v>
      </c>
      <c r="S213" s="3">
        <f>1011.8+(1657.6-814.6)+(0+(0-0))+0-401.9-0</f>
        <v>1452.8999999999996</v>
      </c>
      <c r="T213" s="3">
        <f>1011.9+(1902-1057.9)+(0+(0-0))+0-408-0</f>
        <v>1448</v>
      </c>
      <c r="U213" s="3">
        <f>1009.5+(2014.2-1201)+(-2.05938+(-4.108968--2.45004))+0-376.1--0.767243999999984</f>
        <v>1443.6489359999998</v>
      </c>
      <c r="V213" s="3">
        <f>1010.6+(1970.5-1167.5)+(-1.546218+(-3.014865--1.786275))+0-371.8--0.568854000000022</f>
        <v>1439.5940460000002</v>
      </c>
      <c r="W213" s="3">
        <f>1012.6+(1604.7-746.2)+(-0.516426+(-0.818397--0.380562))+0-385--0.196349999999961</f>
        <v>1485.3420889999998</v>
      </c>
      <c r="X213" s="3">
        <f>1068.3+(1428.5-472.2)+(-1.634499+(-2.185605--0.722466))+0-382.9--0.585837000000022</f>
        <v>1639.1881990000002</v>
      </c>
      <c r="Y213" s="3">
        <f>1076.8+(1183.9-284.9)+(-0.549168+(-0.603789--0.145299))+0-383.6--0.195635999999961</f>
        <v>1591.3879780000002</v>
      </c>
      <c r="Z213" s="3">
        <f>1079.8+(1062.4-195.8)+(1.101396+(1.083648-0.199716))+0-390.7-0.398514000000062</f>
        <v>1557.286814</v>
      </c>
      <c r="AA213" s="3">
        <f>1066.2+(1166.6-288.6)+(0.543762+(0.594966-0.147186))+0-413.6-0.210935999999958</f>
        <v>1531.3806059999997</v>
      </c>
      <c r="AB213" s="3">
        <f>1015.9+(1197.4-296.5)+(-1.036218+(-1.221348--0.30243))+0-416.3--0.424626000000066</f>
        <v>1498.9694900000002</v>
      </c>
      <c r="AC213" s="3">
        <f>896.7+(1371.2-455.2)+(-1.371951+(-2.097936--0.696456))+0-412.7--0.631431000000024</f>
        <v>1397.8579999999999</v>
      </c>
      <c r="AD213" s="2">
        <v>1644.1000000000001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822.3+(1380.5-470.2)+(-0.419373+(-0.704055--0.239802))+0-419.3--0.213842999999957</f>
        <v>1312.6302169999999</v>
      </c>
      <c r="G214" s="3">
        <f>825.5+(1531-685.8)+(-0.84201+(-1.56162--0.699516))+0-410.4--0.418608000000065</f>
        <v>1259.0144940000002</v>
      </c>
      <c r="H214" s="3">
        <f>841.9+(1412.4-634.9)+(-1.288107+(-2.160972--0.971397))+0-414.8--0.634644000000024</f>
        <v>1202.7569620000002</v>
      </c>
      <c r="I214" s="3">
        <f>824.2+(1395.9-606.5)+(-1.681368+(-2.847636--1.23726))+0-419.5--0.855779999999982</f>
        <v>1191.6640360000001</v>
      </c>
      <c r="J214" s="3">
        <f>823.8+(1468.5-694.5)+(0+(0-0))+0-418.6-0</f>
        <v>1179.1999999999998</v>
      </c>
      <c r="K214" s="3">
        <f>823.7+(1351.4-575.6)+(-1.260261+(-2.067642--0.880668))+0-422.7--0.646731000000024</f>
        <v>1174.9994959999999</v>
      </c>
      <c r="L214" s="3">
        <f>823.2+(1421.7-697.6)+(-1.259496+(-2.175201--1.067328))+0-409.6--0.626688000000024</f>
        <v>1135.9593190000003</v>
      </c>
      <c r="M214" s="3">
        <f>823.3+(1280.7-540.2)+(0.419883+(0.653157-0.275502))+0-417.6-0.212975999999958</f>
        <v>1146.7845620000001</v>
      </c>
      <c r="N214" s="3">
        <f>822.9+(1371.5-546.8)+(0.419679+(0.699465-0.278868))+0-422.5-0.215474999999957</f>
        <v>1225.7248009999998</v>
      </c>
      <c r="O214" s="3">
        <f>823+(1496.3-594.9)+(-1.67892+(-3.052452--1.213596))+0-421.4--0.859655999999982</f>
        <v>1300.3418800000004</v>
      </c>
      <c r="P214" s="3">
        <f>856.2+(1367-456.1)+(0.436662+(0.69717-0.232611))+0-419.2-0.213791999999957</f>
        <v>1348.5874289999999</v>
      </c>
      <c r="Q214" s="3">
        <f>951.7+(1383.9-551.9)+(-1.456101+(-2.117367--0.844407))+0-413.6--0.632808000000024</f>
        <v>1368.0037470000004</v>
      </c>
      <c r="R214" s="3">
        <f>957.1+(1544-737.3)+(0.488121+(0.78744-0.376023))+0-418.1-0.213230999999958</f>
        <v>1346.386307</v>
      </c>
      <c r="S214" s="3">
        <f>955.4+(1637.3-849.7)+(-0.974508+(-1.670046--0.866694))+0-421.9--0.430338000000067</f>
        <v>1319.7524780000003</v>
      </c>
      <c r="T214" s="3">
        <f>953+(1733.7-938)+(-1.94412+(-3.536748--1.91352))+0-417.1--0.850883999999982</f>
        <v>1328.8835359999998</v>
      </c>
      <c r="U214" s="3">
        <f>953.7+(1896.2-1120.5)+(-1.945548+(-3.868248--2.28582))+0-410.1--0.836603999999982</f>
        <v>1316.608628</v>
      </c>
      <c r="V214" s="3">
        <f>957.2+(1496.4-725.3)+(0.976344+(1.526328-0.739806))+0-398.4-0.406368000000064</f>
        <v>1331.256498</v>
      </c>
      <c r="W214" s="3">
        <f>958.2+(1018.6-174)+(-0.488682+(-0.519486--0.08874))+0-394.8--0.20134799999996</f>
        <v>1407.2819200000004</v>
      </c>
      <c r="X214" s="3">
        <f>963.9+(1382.9-375.5)+(0.983178+(1.410558-0.38301))+0-396.1-0.404022000000063</f>
        <v>1576.8067040000001</v>
      </c>
      <c r="Y214" s="3">
        <f>961.3+(1404.7-422.8)+(-1.470789+(-2.149191--0.646884))+0-394--0.602820000000023</f>
        <v>1546.8297240000002</v>
      </c>
      <c r="Z214" s="3">
        <f>960+(1239.5-308.7)+(-1.9584+(-2.52858--0.629748))+0-378.9--0.772955999999983</f>
        <v>1508.8157239999998</v>
      </c>
      <c r="AA214" s="3">
        <f>959.1+(1137.9-237.8)+(-0.978282+(-1.160658--0.242556))+0-381.5--0.389130000000061</f>
        <v>1476.1927460000004</v>
      </c>
      <c r="AB214" s="3">
        <f>957.9+(1017.7-197.6)+(-0.977058+(-1.038054--0.201552))+0-353.5--0.360570000000056</f>
        <v>1423.04701</v>
      </c>
      <c r="AC214" s="3">
        <f>957.3+(1053.1-280.9)+(-0.976446+(-1.074162--0.286518))+0-379.8--0.387396000000061</f>
        <v>1348.3233060000002</v>
      </c>
      <c r="AD214" s="2">
        <v>1566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930.5+(1343.5-619.3)+(-1.89822+(-2.74074--1.263372))+0-385.5--0.786419999999983</f>
        <v>1266.6108319999998</v>
      </c>
      <c r="G215" s="3">
        <f>818.6+(1766.2-998.8)+(-0.417486+(-0.900762--0.509388))+0-390.6--0.19920599999996</f>
        <v>1194.790346</v>
      </c>
      <c r="H215" s="3">
        <f>818.9+(1639.5-922.8)+(-1.252917+(-2.508435--1.411884))+0-369.6--0.565488000000021</f>
        <v>1164.2160200000001</v>
      </c>
      <c r="I215" s="3">
        <f>819.6+(1552-840.9)+(-1.253988+(-2.37456--1.286577))+0-372.2--0.569466000000021</f>
        <v>1156.7274949999999</v>
      </c>
      <c r="J215" s="3">
        <f>818.5+(1462.7-735)+(-0.83487+(-1.491954--0.7497))+0-381.2--0.388824000000061</f>
        <v>1163.8117000000002</v>
      </c>
      <c r="K215" s="3">
        <f>818.1+(1370.1-624)+(0+(0-0))+0-398.6-0</f>
        <v>1165.5999999999999</v>
      </c>
      <c r="L215" s="3">
        <f>818.3+(1120.2-345.7)+(-0.417333+(-0.571302--0.176307))+0-395.3--0.20160299999996</f>
        <v>1196.889275</v>
      </c>
      <c r="M215" s="3">
        <f>817.9+(1091.6-208.1)+(-0.417129+(-0.556716--0.106131))+0-394.4--0.20114399999996</f>
        <v>1306.3334299999999</v>
      </c>
      <c r="N215" s="3">
        <f>819.5+(1381.3-388.5)+(0+(0-0))+0-396.2-0</f>
        <v>1416.1</v>
      </c>
      <c r="O215" s="3">
        <f>819.5+(1310.9-178.7)+(-1.67178+(-2.674236--0.364548))+0-398.2--0.812327999999983</f>
        <v>1550.33086</v>
      </c>
      <c r="P215" s="3">
        <f>815.1+(1273-151.4)+(-0.415701+(-0.64923--0.077214))+0-402.8--0.205427999999959</f>
        <v>1533.1177109999999</v>
      </c>
      <c r="Q215" s="3">
        <f>903.2+(1200.5-156.1)+(-0.921264+(-1.22451--0.159222))+0-399.1--0.407082000000064</f>
        <v>1546.9205300000003</v>
      </c>
      <c r="R215" s="3">
        <f>957+(1092.7-152.1)+(-1.46421+(-1.671831--0.232713))+0-383.9--0.587367000000022</f>
        <v>1511.384039</v>
      </c>
      <c r="S215" s="3">
        <f>956.7+(1091.1-200.1)+(-1.463751+(-1.669383--0.306153))+0-383--0.585990000000022</f>
        <v>1462.4590089999999</v>
      </c>
      <c r="T215" s="3">
        <f>959.4+(1064.1-147.5)+(0.489294+(0.542691-0.075225))+0-394.2-0.20104199999996</f>
        <v>1482.5557180000001</v>
      </c>
      <c r="U215" s="3">
        <f>955.1+(1062.9-135.6)+(-2.922606+(-3.252474--0.414936))+0-393.5--1.20411000000005</f>
        <v>1484.3439660000001</v>
      </c>
      <c r="V215" s="3">
        <f>956.9+(1062.1-144.5)+(-0.976038+(-1.083342--0.14739))+0-390--0.397800000000062</f>
        <v>1482.9858099999999</v>
      </c>
      <c r="W215" s="3">
        <f>1015.8+(1142.2-236.4)+(0+(0-0))+0-378.8-0</f>
        <v>1542.8</v>
      </c>
      <c r="X215" s="3">
        <f>1025.1+(1392.2-344.2)+(-2.091204+(-2.840088--0.702168))+0-382.7--0.780707999999983</f>
        <v>1686.9515839999999</v>
      </c>
      <c r="Y215" s="3">
        <f>1019.6+(1361.5-341.6)+(-4.159968+(-5.55492--1.393728))+0-382.2--1.55937599999997</f>
        <v>1650.5382159999999</v>
      </c>
      <c r="Z215" s="3">
        <f>1022.2+(1315-336.7)+(-2.60661+(-3.35325--0.858585))+0-379.2--0.966959999999945</f>
        <v>1617.1656849999999</v>
      </c>
      <c r="AA215" s="3">
        <f>1021+(1222.7-280)+(-2.60355+(-3.117885--0.714))+0-379.6--0.967979999999945</f>
        <v>1580.0605449999998</v>
      </c>
      <c r="AB215" s="3">
        <f>951.7+(1201-255)+(-1.456101+(-1.83753--0.39015))+0-376.4--0.575892000000022</f>
        <v>1518.972411</v>
      </c>
      <c r="AC215" s="3">
        <f>895.3+(1122.1-164.2)+(-0.456603+(-0.572271--0.083742))+0-406.3--0.207212999999959</f>
        <v>1446.1620809999997</v>
      </c>
      <c r="AD215" s="2">
        <v>1655.3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829.3+(1137.9-226.9)+(0.422943+(0.580329-0.115719))+0-405.3-0.206702999999959</f>
        <v>1335.6808500000002</v>
      </c>
      <c r="G216" s="3">
        <f>826.3+(1356-476.2)+(-1.685652+(-2.76624--0.971448))+0-413.9--0.844355999999982</f>
        <v>1289.5639120000001</v>
      </c>
      <c r="H216" s="3">
        <f>598.6+(1550.7-473.4)+(-1.221144+(-3.163428--0.965736))+0-418.4--0.853535999999982</f>
        <v>1254.9347000000002</v>
      </c>
      <c r="I216" s="3">
        <f>514.9+(1652.6-532.3)+(1.050396+(3.371304-1.085892))+0-392.3-0.800291999999983</f>
        <v>1245.435516</v>
      </c>
      <c r="J216" s="3">
        <f>515+(1539.5-420.9)+(1.31325+(3.925725-1.073295))+0-390.8-0.996539999999943</f>
        <v>1245.9691400000002</v>
      </c>
      <c r="K216" s="3">
        <f>515.1+(1410.6-307.8)+(0.788103+(2.158218-0.470934))+0-386.1-0.590733000000022</f>
        <v>1233.6846540000001</v>
      </c>
      <c r="L216" s="3">
        <f>515.2+(1366.3-191.8)+(1.051008+(2.787252-0.391272))+0-386.4-0.788255999999983</f>
        <v>1305.9587319999998</v>
      </c>
      <c r="M216" s="3">
        <f>514.8+(1337.2-125.9)+(0+(0-0))+0-389.4-0</f>
        <v>1336.6999999999998</v>
      </c>
      <c r="N216" s="3">
        <f>515.2+(1421.5-109.5)+(0.525504+(1.44993-0.11169))+0-388.5-0.396270000000062</f>
        <v>1440.1674740000001</v>
      </c>
      <c r="O216" s="3">
        <f>612.4+(1388.8-134)+(-0.936972+(-2.124864--0.20502))+0-389.5--0.595935000000023</f>
        <v>1475.4391189999999</v>
      </c>
      <c r="P216" s="3">
        <f>716.9+(1376.4-159.2)+(0+(0-0))+0-393.5-0</f>
        <v>1540.6</v>
      </c>
      <c r="Q216" s="3">
        <f>718.4+(1402.4-222.5)+(-0.732768+(-1.430448--0.22695))+0-395.1--0.403002000000063</f>
        <v>1501.6667360000001</v>
      </c>
      <c r="R216" s="3">
        <f>714.8+(1432.7-283.6)+(-1.458192+(-2.922708--0.578544))+0-398.5--0.812939999999983</f>
        <v>1462.410584</v>
      </c>
      <c r="S216" s="3">
        <f>718.4+(1529.6-383.3)+(-0.732768+(-1.560192--0.390966))+0-404.6--0.412692000000065</f>
        <v>1458.6106979999997</v>
      </c>
      <c r="T216" s="3">
        <f>766.3+(1471.8-331.4)+(-1.954065+(-3.75309--0.84507))+0-409.6--1.04447999999994</f>
        <v>1493.2823950000002</v>
      </c>
      <c r="U216" s="3">
        <f>833.5+(1336-237.2)+(-0.425085+(-0.68136--0.120972))+0-409.8--0.208997999999958</f>
        <v>1521.7235250000001</v>
      </c>
      <c r="V216" s="3">
        <f>881+(1217-184.4)+(0+(0-0))+0-411.3-0</f>
        <v>1502.3</v>
      </c>
      <c r="W216" s="3">
        <f>966.8+(1162.4-81.8)+(0+(0-0))+0-410-0</f>
        <v>1637.4</v>
      </c>
      <c r="X216" s="3">
        <f>1024.2+(1174.9-74.1)+(-1.044684+(-1.198398--0.075582))+0-412.3--0.420546000000066</f>
        <v>1710.9530460000001</v>
      </c>
      <c r="Y216" s="3">
        <f>1026+(1151.2-79)+(-1.04652+(-1.174224--0.08058))+0-419.3--0.427686000000067</f>
        <v>1677.1875219999999</v>
      </c>
      <c r="Z216" s="3">
        <f>971.8+(1146.4-67.5)+(0.991236+(1.169328-0.06885))+0-410.3-0.418506000000065</f>
        <v>1642.073208</v>
      </c>
      <c r="AA216" s="3">
        <f>885.7+(1208.5-115.8)+(0.903414+(1.23267-0.118116))+0-408.1-0.416262000000065</f>
        <v>1571.9017060000003</v>
      </c>
      <c r="AB216" s="3">
        <f>876.9+(1174.5-155.6)+(-1.341657+(-1.796985--0.238068))+0-411.8--0.630054000000024</f>
        <v>1481.72948</v>
      </c>
      <c r="AC216" s="3">
        <f>867+(1169.9-226.3)+(-1.76868+(-2.386596--0.461652))+0-402.5--0.821099999999982</f>
        <v>1405.227476</v>
      </c>
      <c r="AD216" s="2">
        <v>1662.6999999999998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867.8+(1531.8-718.3)+(-0.442578+(-0.781218--0.366333))+0-390.6--0.19920599999996</f>
        <v>1290.041743</v>
      </c>
      <c r="G217" s="3">
        <f>867.5+(1805.1-1024.8)+(-1.327275+(-2.761803--1.567944))+0-387--0.592110000000022</f>
        <v>1258.8709759999999</v>
      </c>
      <c r="H217" s="3">
        <f>868.7+(1655.4-933)+(-1.772148+(-3.377016--1.90332))+0-391.4--0.798455999999983</f>
        <v>1197.2526120000002</v>
      </c>
      <c r="I217" s="3">
        <f>868.1+(1704.3-975.1)+(-0.885462+(-1.738386--0.994602))+0-391.7--0.399534000000062</f>
        <v>1204.3702880000001</v>
      </c>
      <c r="J217" s="3">
        <f>868.7+(1589.6-865.5)+(1.329111+(2.432088-1.324215))+0-390.8-0.597924000000023</f>
        <v>1203.83906</v>
      </c>
      <c r="K217" s="3">
        <f>868.1+(1367.5-619.9)+(-1.770924+(-2.7897--1.264596))+0-391.8--0.799271999999983</f>
        <v>1221.4032440000001</v>
      </c>
      <c r="L217" s="3">
        <f>868.3+(1148-373.4)+(0+(0-0))+0-391.1-0</f>
        <v>1251.8000000000002</v>
      </c>
      <c r="M217" s="3">
        <f>862.7+(1024.6-176.4)+(0+(0-0))+0-392.7-0</f>
        <v>1318.2</v>
      </c>
      <c r="N217" s="3">
        <f>849.8+(1140.2-77.5)+(0.866796+(1.163004-0.07905))+0-394.5-0.402390000000063</f>
        <v>1519.54836</v>
      </c>
      <c r="O217" s="3">
        <f>942.3+(1049-92.9)+(0.480573+(0.53499-0.047379))+0-391-0.19940999999996</f>
        <v>1508.1687740000002</v>
      </c>
      <c r="P217" s="3">
        <f>952.1+(994.6-29)+(-0.971142+(-1.014492--0.02958))+0-366.3--0.373626000000058</f>
        <v>1549.8175720000002</v>
      </c>
      <c r="Q217" s="3">
        <f>953.9+(976.5-94.8)+(-1.459467+(-1.494045--0.145044))+0-374.2--0.572526000000022</f>
        <v>1459.1640579999998</v>
      </c>
      <c r="R217" s="3">
        <f>995.1+(1113-251.1)+(-3.045006+(-3.40578--0.768366))+0-370--1.13220000000004</f>
        <v>1482.4497799999999</v>
      </c>
      <c r="S217" s="3">
        <f>997.2+(1159.4-326.1)+(0+(0-0))+0-346.1-0</f>
        <v>1484.4</v>
      </c>
      <c r="T217" s="3">
        <f>998.5+(1232.9-366.8)+(-0.509235+(-0.628779--0.187068))+0-338.5--0.172634999999966</f>
        <v>1525.3216890000001</v>
      </c>
      <c r="U217" s="3">
        <f>997.4+(1316.4-471.1)+(0+(0-0))+0-338.9-0</f>
        <v>1503.8000000000002</v>
      </c>
      <c r="V217" s="3">
        <f>997.5+(1214.7-307.4)+(-2.0349+(-2.477988--0.627096))+0-345.6--0.705023999999985</f>
        <v>1556.0192320000003</v>
      </c>
      <c r="W217" s="3">
        <f>1033.2+(1130.8-193.7)+(-1.053864+(-1.153416--0.197574))+0-352.3--0.359346000000056</f>
        <v>1616.3496399999999</v>
      </c>
      <c r="X217" s="3">
        <f>1059.7+(1247.1-264.5)+(-0.540447+(-0.636021--0.134895))+0-359.6--0.183395999999964</f>
        <v>1681.8418229999997</v>
      </c>
      <c r="Y217" s="3">
        <f>1060.4+(1227.1-274)+(-1.081608+(-1.251642--0.27948))+0-366.9--0.374238000000058</f>
        <v>1644.920468</v>
      </c>
      <c r="Z217" s="3">
        <f>1015.4+(1264.5-326.3)+(-2.58927+(-3.224475--0.832065))+0-367.3--0.936614999999947</f>
        <v>1582.2549349999997</v>
      </c>
      <c r="AA217" s="3">
        <f>953.6+(1367.8-426.1)+(-1.945344+(-2.790312--0.869244))+0-377.7--0.770507999999984</f>
        <v>1514.5040959999999</v>
      </c>
      <c r="AB217" s="3">
        <f>912.4+(1645.9-667.3)+(-1.395972+(-2.518227--1.020969))+0-404.3--0.618579000000023</f>
        <v>1484.4253490000001</v>
      </c>
      <c r="AC217" s="3">
        <f>913.1+(2042.3-1152.8)+(-0.931362+(-2.083146--1.175856))+0-405.3--0.413406000000065</f>
        <v>1395.8747540000002</v>
      </c>
      <c r="AD217" s="2">
        <v>1634.9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837.2+(1955.9-1056.1)+(-0.426972+(-0.997509--0.538611))+0-417.7--0.213026999999958</f>
        <v>1318.6271570000001</v>
      </c>
      <c r="G218" s="3">
        <f>825.5+(2020.1-1209.8)+(0.421005+(1.030251-0.616998))+0-410.2-0.209201999999958</f>
        <v>1226.225056</v>
      </c>
      <c r="H218" s="3">
        <f>825.7+(2143.8-1327.3)+(0+(0-0))+0-409.8-0</f>
        <v>1232.4000000000003</v>
      </c>
      <c r="I218" s="3">
        <f>825.1+(2126.4-1310.8)+(1.683204+(4.337856-2.674032))+0-415.6-0.847823999999982</f>
        <v>1227.5992040000001</v>
      </c>
      <c r="J218" s="3">
        <f>824.7+(2026.2-1273.1)+(0.420597+(1.033362-0.649281))+0-424.1-0.216290999999957</f>
        <v>1154.2883870000003</v>
      </c>
      <c r="K218" s="3">
        <f>825.6+(1915.8-1138.8)+(0.842112+(1.954116-1.161576))+0-417.3-0.425646000000067</f>
        <v>1186.5090059999998</v>
      </c>
      <c r="L218" s="3">
        <f>824+(1560.4-643.8)+(-0.84048+(-1.591608--0.656676))+0-413.8--0.422076000000066</f>
        <v>1325.4466640000003</v>
      </c>
      <c r="M218" s="3">
        <f>825.9+(1140.8-286.7)+(2.106045+(2.90904-0.731085))+0-404.9-1.03249499999994</f>
        <v>1278.3515050000001</v>
      </c>
      <c r="N218" s="3">
        <f>825.8+(1172.1-224)+(-0.842316+(-1.195542--0.22848))+0-428.9--0.437478000000068</f>
        <v>1343.6281000000001</v>
      </c>
      <c r="O218" s="3">
        <f>952.3+(1218.8-314.8)+(-0.485673+(-0.621588--0.160548))+0-406--0.207059999999959</f>
        <v>1449.5603469999999</v>
      </c>
      <c r="P218" s="3">
        <f>1063.3+(1071.8-248.1)+(0+(0-0))+0-370.5-0</f>
        <v>1516.5</v>
      </c>
      <c r="Q218" s="3">
        <f>1060.9+(1097.4-270)+(0.541059+(0.559674-0.1377))+0-404.5-0.206294999999959</f>
        <v>1484.5567380000002</v>
      </c>
      <c r="R218" s="3">
        <f>1061+(996.2-207.6)+(-1.08222+(-1.016124--0.211752))+0-379.1--0.38668200000006</f>
        <v>1469.0000899999998</v>
      </c>
      <c r="S218" s="3">
        <f>1060.7+(1067.2-228.5)+(-1.081914+(-1.088544--0.23307))+0-384.3--0.391986000000061</f>
        <v>1513.5545980000002</v>
      </c>
      <c r="T218" s="3">
        <f>1061.3+(1102.8-258.3)+(1.082526+(1.124856-0.263466))+0-395.2-0.403104000000063</f>
        <v>1512.1408119999999</v>
      </c>
      <c r="U218" s="3">
        <f>1059.7+(1106.3-318)+(-1.621341+(-1.692639--0.48654))+0-396.4--0.606492000000023</f>
        <v>1449.379052</v>
      </c>
      <c r="V218" s="3">
        <f>1058.5+(987.5-217)+(-1.07967+(-1.00725--0.22134))+0-401--0.409020000000064</f>
        <v>1426.5434400000001</v>
      </c>
      <c r="W218" s="3">
        <f>1062.4+(1035.1-166.9)+(0+(0-0))+0-402.4-0</f>
        <v>1528.1999999999998</v>
      </c>
      <c r="X218" s="3">
        <f>1059.3+(1204.4-231.8)+(-2.160972+(-2.456976--0.472872))+0-392.9--0.801515999999983</f>
        <v>1635.6564400000002</v>
      </c>
      <c r="Y218" s="3">
        <f>1055.5+(1266.8-311.6)+(-2.691525+(-3.23034--0.79458))+0-401.5--1.02382499999994</f>
        <v>1605.0965399999998</v>
      </c>
      <c r="Z218" s="3">
        <f>1045.6+(1322.9-379.1)+(-0.533256+(-0.674679--0.193341))+0-404.1--0.206090999999959</f>
        <v>1584.491497</v>
      </c>
      <c r="AA218" s="3">
        <f>1015.5+(1341.9-425.2)+(-2.07162+(-2.737476--0.867408))+0-400.5--0.817019999999983</f>
        <v>1528.5753319999999</v>
      </c>
      <c r="AB218" s="3">
        <f>1018.6+(1385.4-421.7)+(-0.519486+(-0.706554--0.215067))+0-410.4--0.209303999999958</f>
        <v>1571.0983310000001</v>
      </c>
      <c r="AC218" s="3">
        <f>956.8+(1602.9-754.4)+(-2.927808+(-4.904874--2.308464))+0-408.9--1.25123400000005</f>
        <v>1392.1270160000001</v>
      </c>
      <c r="AD218" s="2">
        <v>1642.1000000000004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853.2+(1829.1-1022.6)+(-0.870264+(-1.865682--1.043052))+0-382.6--0.390252000000061</f>
        <v>1275.7973579999998</v>
      </c>
      <c r="G219" s="3">
        <f>854+(2045.9-1284)+(-0.43554+(-1.043409--0.65484))+0-401.6--0.204815999999959</f>
        <v>1213.680707</v>
      </c>
      <c r="H219" s="3">
        <f>841.5+(2019.1-1253.5)+(0+(0-0))+0-406.8-0</f>
        <v>1200.3</v>
      </c>
      <c r="I219" s="3">
        <f>814.9+(2011.6-1236.8)+(1.246797+(3.077748-1.892304))+0-405.4-0.620262000000023</f>
        <v>1186.1119789999998</v>
      </c>
      <c r="J219" s="3">
        <f>815.4+(1973.3-1192.3)+(-0.831708+(-2.012766--1.216146))+0-412.7--0.420954000000066</f>
        <v>1182.4926260000002</v>
      </c>
      <c r="K219" s="3">
        <f>814.5+(1867.4-1065.4)+(-0.415395+(-0.952374--0.543354))+0-408.8--0.208487999999959</f>
        <v>1207.084073</v>
      </c>
      <c r="L219" s="3">
        <f>816.1+(1564.6-784.9)+(-1.248633+(-2.393838--1.200897))+0-404--0.618120000000023</f>
        <v>1189.9765460000001</v>
      </c>
      <c r="M219" s="3">
        <f>814.7+(1367.6-464.9)+(0.830994+(1.394952-0.474198))+0-406.5-0.414630000000065</f>
        <v>1312.237118</v>
      </c>
      <c r="N219" s="3">
        <f>816.8+(1215.1-232.6)+(0+(0-0))+0-436.5-0</f>
        <v>1362.7999999999997</v>
      </c>
      <c r="O219" s="3">
        <f>815.3+(1166.3-116.2)+(-0.831606+(-1.189626--0.118524))+0-442.6--0.451452000000071</f>
        <v>1421.3487439999997</v>
      </c>
      <c r="P219" s="3">
        <f>940.7+(1085.8-97.3)+(0+(0-0))+0-415.4-0</f>
        <v>1513.8000000000002</v>
      </c>
      <c r="Q219" s="3">
        <f>953.7+(1131.9-151.3)+(-1.459161+(-1.731807--0.231489))+0-420.7--0.643671000000024</f>
        <v>1511.2841920000001</v>
      </c>
      <c r="R219" s="3">
        <f>982.6+(1100.5-199.3)+(-2.004504+(-2.24502--0.406572))+0-420.1--0.857003999999982</f>
        <v>1460.7140520000003</v>
      </c>
      <c r="S219" s="3">
        <f>1022.6+(1158.3-355.8)+(1.043052+(1.181466-0.362916))+0-397.3-0.405246000000063</f>
        <v>1429.2563559999999</v>
      </c>
      <c r="T219" s="3">
        <f>1022.6+(1159.7-328.1)+(-0.521526+(-0.591447--0.167331))+0-393.9--0.20088899999996</f>
        <v>1459.555247</v>
      </c>
      <c r="U219" s="3">
        <f>1020.4+(1127.9-294.1)+(-1.040808+(-1.150458--0.299982))+0-388.4--0.396168000000062</f>
        <v>1464.3048839999999</v>
      </c>
      <c r="V219" s="3">
        <f>1020.3+(1062.6-232.6)+(0+(0-0))+0-391.7-0</f>
        <v>1458.5999999999997</v>
      </c>
      <c r="W219" s="3">
        <f>1048.5+(1071.4-179.4)+(-1.06947+(-1.092828--0.182988))+0-389--0.396780000000062</f>
        <v>1549.9174700000001</v>
      </c>
      <c r="X219" s="3">
        <f>1143.2+(1126.2-189.4)+(-2.332128+(-2.297448--0.386376))+0-378.4--0.771935999999983</f>
        <v>1698.1287360000001</v>
      </c>
      <c r="Y219" s="3">
        <f>1150+(1059.6-201.8)+(0+(0-0))+0-372.8-0</f>
        <v>1635</v>
      </c>
      <c r="Z219" s="3">
        <f>1149.4+(1071.6-270.7)+(-1.172388+(-1.093032--0.276114))+0-378.9--0.38647800000006</f>
        <v>1569.7971720000003</v>
      </c>
      <c r="AA219" s="3">
        <f>1147.1+(1231.8-424)+(-1.755063+(-1.884654--0.64872))+0-387.8--0.593334000000022</f>
        <v>1564.7023369999997</v>
      </c>
      <c r="AB219" s="3">
        <f>1126+(1319.6-506.8)+(-2.8713+(-3.36498--1.29234))+0-407.3--1.03861499999994</f>
        <v>1527.5946749999998</v>
      </c>
      <c r="AC219" s="3">
        <f>920.7+(1658.3-708.7)+(-0.939114+(-1.691466--0.722874))+0-412.8--0.421056000000066</f>
        <v>1456.0133500000002</v>
      </c>
      <c r="AD219" s="2">
        <v>1689.2000000000003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822.8+(2097.2-1215.3)+(-1.678512+(-4.278288--2.479212))+0-391.4--0.798455999999983</f>
        <v>1310.620868</v>
      </c>
      <c r="G220" s="3">
        <f>822+(2199.4-1399)+(-0.83844+(-2.243388--1.42698))+0-393.9--0.401778000000063</f>
        <v>1227.2469300000005</v>
      </c>
      <c r="H220" s="3">
        <f>821.7+(2424.6-1638)+(0.838134+(2.473092-1.67076))+0-405.1-0.413202000000065</f>
        <v>1204.4272640000002</v>
      </c>
      <c r="I220" s="3">
        <f>821.8+(2333.1-1603.4)+(-2.09559+(-5.949405--4.08867))+0-418.4--1.06691999999994</f>
        <v>1130.2105949999998</v>
      </c>
      <c r="J220" s="3">
        <f>821.4+(2091.5-1364.8)+(-2.09457+(-5.333325--3.48024))+0-417.1--1.06360499999994</f>
        <v>1128.1159500000001</v>
      </c>
      <c r="K220" s="3">
        <f>821.7+(1807.2-1056.8)+(-1.257201+(-2.765016--1.616904))+0-417.9--0.639387000000024</f>
        <v>1152.434074</v>
      </c>
      <c r="L220" s="3">
        <f>820.6+(1420.4-685.9)+(-1.255518+(-2.173212--1.049427))+0-416.2--0.636786000000024</f>
        <v>1137.1574830000002</v>
      </c>
      <c r="M220" s="3">
        <f>820.9+(1301.1-455.2)+(1.255977+(1.990683-0.696456))+0-420.7-0.643671000000024</f>
        <v>1248.0065329999995</v>
      </c>
      <c r="N220" s="3">
        <f>821.1+(1604.6-637.6)+(-0.418761+(-0.818346--0.325176))+0-413.8--0.211037999999958</f>
        <v>1373.5991069999998</v>
      </c>
      <c r="O220" s="3">
        <f>822.6+(1275.2-231.5)+(-0.839052+(-1.300704--0.23613))+0-420.2--0.428604000000067</f>
        <v>1444.6249780000003</v>
      </c>
      <c r="P220" s="3">
        <f>830.7+(1140.8-94.8)+(-0.423657+(-0.581808--0.048348))+0-408.4--0.208283999999959</f>
        <v>1467.5511670000003</v>
      </c>
      <c r="Q220" s="3">
        <f>883.4+(1102-116)+(-1.351602+(-1.68606--0.17748))+0-405.4--0.620262000000023</f>
        <v>1461.76008</v>
      </c>
      <c r="R220" s="3">
        <f>911.4+(1132.1-257.7)+(-1.859256+(-2.309484--0.525708))+0-394.3--0.804371999999983</f>
        <v>1388.6613399999999</v>
      </c>
      <c r="S220" s="3">
        <f>946.7+(1215-385)+(-0.482817+(-0.61965--0.19635))+0-397.8--0.20287799999996</f>
        <v>1378.1967610000002</v>
      </c>
      <c r="T220" s="3">
        <f>956.4+(1206.6-386.9)+(-1.463292+(-1.846098--0.591957))+0-396.2--0.606186000000023</f>
        <v>1377.7887529999998</v>
      </c>
      <c r="U220" s="3">
        <f>956.3+(1166.6-318.1)+(-0.975426+(-1.189932--0.324462))+0-419.6--0.427992000000067</f>
        <v>1383.7870959999998</v>
      </c>
      <c r="V220" s="3">
        <f>958.1+(1097-255.4)+(0+(0-0))+0-398.1-0</f>
        <v>1401.6</v>
      </c>
      <c r="W220" s="3">
        <f>1016.4+(982.6-106.4)+(-1.036728+(-1.002252--0.108528))+0-405.9--0.414018000000065</f>
        <v>1485.1835659999999</v>
      </c>
      <c r="X220" s="3">
        <f>1022.1+(1115.7-163.6)+(-0.521271+(-0.569007--0.083436))+0-418--0.213179999999958</f>
        <v>1555.406338</v>
      </c>
      <c r="Y220" s="3">
        <f>1019.9+(1202.5-246)+(-2.080596+(-2.4531--0.50184))+0-415.8--0.848231999999982</f>
        <v>1557.4163760000001</v>
      </c>
      <c r="Z220" s="3">
        <f>1021.6+(1315.6-438.2)+(-1.042032+(-1.341912--0.446964))+0-401.9--0.409938000000064</f>
        <v>1495.572958</v>
      </c>
      <c r="AA220" s="3">
        <f>996.1+(1473.6-607.9)+(-1.524033+(-2.254608--0.930087))+0-411.2--0.629136000000024</f>
        <v>1448.380582</v>
      </c>
      <c r="AB220" s="3">
        <f>909.4+(1615.6-750.5)+(-1.391382+(-2.471868--1.148265))+0-408.2--0.624546000000024</f>
        <v>1364.2095609999999</v>
      </c>
      <c r="AC220" s="3">
        <f>841.5+(1712.2-858.8)+(-1.71666+(-3.492888--1.751952))+0-406.6--0.829463999999982</f>
        <v>1285.6718679999999</v>
      </c>
      <c r="AD220" s="2">
        <v>1560.8999999999999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821.5+(2099.3-1307.4)+(-1.256895+(-3.211929--2.000322))+0-379.9--0.581247000000022</f>
        <v>1231.6127450000004</v>
      </c>
      <c r="G221" s="3">
        <f>821.4+(2347.9-1643.5)+(-2.09457+(-5.987145--4.190925))+9.1-371.6--0.947579999999946</f>
        <v>1160.3567900000003</v>
      </c>
      <c r="H221" s="3">
        <f>821.3+(2412.8-1764.8)+(0+(0-0))+2.2-377.5-0</f>
        <v>1094.0000000000002</v>
      </c>
      <c r="I221" s="3">
        <f>821.3+(2256.5-1615.9)+(-2.094315+(-5.754075--4.120545))+0-382.2--0.974609999999944</f>
        <v>1076.9467649999999</v>
      </c>
      <c r="J221" s="3">
        <f>821.3+(2270.3-1605.8)+(0.418863+(1.157853-0.818958))+0-410.8-0.209507999999958</f>
        <v>1075.5482500000003</v>
      </c>
      <c r="K221" s="3">
        <f>820.4+(1968.4-1281)+(0+(0-0))+0-417.2-0</f>
        <v>1090.6000000000001</v>
      </c>
      <c r="L221" s="3">
        <f>819.5+(1801.3-1145)+(-0.83589+(-1.837326--1.1679))+0-418.2--0.426564000000067</f>
        <v>1056.521248</v>
      </c>
      <c r="M221" s="3">
        <f>819.5+(1698.6-1026.5)+(-0.83589+(-1.732572--1.04703))+0-418.9--0.427278000000067</f>
        <v>1071.6058459999999</v>
      </c>
      <c r="N221" s="3">
        <f>820.4+(1537.3-818.6)+(0.836808+(1.568046-0.834972))+0-416.1-0.424422000000066</f>
        <v>1124.1454599999997</v>
      </c>
      <c r="O221" s="3">
        <f>781.6+(1568.2-729.6)+(0.398616+(0.799782-0.372096))+0-416-0.212159999999958</f>
        <v>1204.8141419999999</v>
      </c>
      <c r="P221" s="3">
        <f>810.3+(1874.1-1038)+(-1.653012+(-3.823164--2.11752))+0-421.7--0.860267999999982</f>
        <v>1222.2016119999996</v>
      </c>
      <c r="Q221" s="3">
        <f>819.8+(1979.1-1165.7)+(-0.418098+(-1.009341--0.594507))+0-417.1--0.212720999999958</f>
        <v>1215.4797889999995</v>
      </c>
      <c r="R221" s="3">
        <f>820.4+(1721.3-929.2)+(-1.255212+(-2.633589--1.421676))+0-408.9--0.625617000000024</f>
        <v>1201.7584920000002</v>
      </c>
      <c r="S221" s="3">
        <f>820.7+(1720-973.1)+(-1.674228+(-3.5088--1.985124))+0-396.5--0.808859999999983</f>
        <v>1168.7109559999999</v>
      </c>
      <c r="T221" s="3">
        <f>820.2+(1672.2-951.9)+(-1.673208+(-3.411288--1.941876))+0-406.9--0.830075999999982</f>
        <v>1131.2874559999998</v>
      </c>
      <c r="U221" s="3">
        <f>820.2+(1567.8-835.3)+(-0.836604+(-1.599156--0.852006))+0-423.7--0.432174000000068</f>
        <v>1127.84842</v>
      </c>
      <c r="V221" s="3">
        <f>835.3+(1035.2-248.1)+(-0.426003+(-0.527952--0.126531))+0-421.6--0.215015999999957</f>
        <v>1200.187592</v>
      </c>
      <c r="W221" s="3">
        <f>1011.1+(955.9-168.6)+(-1.546983+(-1.462527--0.257958))+0-423.7--0.648261000000025</f>
        <v>1372.5967090000001</v>
      </c>
      <c r="X221" s="3">
        <f>1084.2+(1068.2-260.6)+(-0.552942+(-0.544782--0.132906))+0-415.7--0.212006999999958</f>
        <v>1475.3471890000001</v>
      </c>
      <c r="Y221" s="3">
        <f>1082.1+(1027.6-223.4)+(-2.207484+(-2.096304--0.455736))+0-414.7--0.845987999999982</f>
        <v>1468.5979359999997</v>
      </c>
      <c r="Z221" s="3">
        <f>1083.9+(1137.8-344.5)+(0+(0-0))+0-420.3-0</f>
        <v>1456.9</v>
      </c>
      <c r="AA221" s="3">
        <f>1050.5+(1310.9-519.2)+(0+(0-0))+0-414.6-0</f>
        <v>1427.6</v>
      </c>
      <c r="AB221" s="3">
        <f>959.6+(1533.2-706.6)+(-0.489396+(-0.781932--0.360366))+0-417--0.212669999999958</f>
        <v>1368.501708</v>
      </c>
      <c r="AC221" s="3">
        <f>907.7+(1720-937.9)+(-1.388781+(-2.6316--1.434987))+0-410--0.627300000000024</f>
        <v>1277.8419060000003</v>
      </c>
      <c r="AD221" s="2">
        <v>1469.5000000000002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850.5+(2002.6-1231.6)+(-0.86751+(-2.042652--1.256232))+0-406.2--0.414324000000065</f>
        <v>1214.0603940000001</v>
      </c>
      <c r="G222" s="3">
        <f>819.1+(1962.7-1237.6)+(-0.835482+(-2.001954--1.262352))+0-409.5--0.417690000000065</f>
        <v>1133.5426060000002</v>
      </c>
      <c r="H222" s="3">
        <f>819.7+(1897.2-1177.4)+(0.418047+(0.967572-0.600474))+0-411-0.209609999999958</f>
        <v>1129.0755350000002</v>
      </c>
      <c r="I222" s="3">
        <f>819.2+(1895.3-1227.2)+(-1.253376+(-2.899809--1.877616))+0-410--0.627300000000024</f>
        <v>1075.6517310000002</v>
      </c>
      <c r="J222" s="3">
        <f>819.3+(1852.9-1191.8)+(-0.417843+(-0.944979--0.607818))+0-402.9--0.205478999999959</f>
        <v>1076.9504749999999</v>
      </c>
      <c r="K222" s="3">
        <f>818.9+(1586-909.3)+(-1.670556+(-3.23544--1.854972))+0-400.1--0.816203999999983</f>
        <v>1093.2651799999996</v>
      </c>
      <c r="L222" s="3">
        <f>818.7+(1226.5-498.1)+(-0.417537+(-0.625515--0.254031))+0-404.1--0.206090999999959</f>
        <v>1142.41707</v>
      </c>
      <c r="M222" s="3">
        <f>819.4+(1175.2-341.1)+(0+(0-0))+0-406-0</f>
        <v>1247.5</v>
      </c>
      <c r="N222" s="3">
        <f>821.2+(1295.4-331.2)+(0+(0-0))+0-412-0</f>
        <v>1373.4</v>
      </c>
      <c r="O222" s="3">
        <f>943.7+(1179-304.3)+(-1.925148+(-2.40516--0.620772))+0-404.9--0.825995999999982</f>
        <v>1410.6164600000002</v>
      </c>
      <c r="P222" s="3">
        <f>1020+(1131.9-315.3)+(2.0808+(2.309076-0.643212))+0-405.7-0.827627999999982</f>
        <v>1433.8190360000001</v>
      </c>
      <c r="Q222" s="3">
        <f>1081.9+(1176.9-355.6)+(0.551769+(0.600219-0.181356))+0-406.2-0.207161999999959</f>
        <v>1497.7634700000003</v>
      </c>
      <c r="R222" s="3">
        <f>1078.4+(1258.5-468.2)+(-2.74992+(-3.209175--1.19391))+0-407--1.03784999999994</f>
        <v>1457.972665</v>
      </c>
      <c r="S222" s="3">
        <f>1082+(1322.5-588.5)+(1.10364+(1.34895-0.60027))+0-398.3-0.406266000000064</f>
        <v>1419.146054</v>
      </c>
      <c r="T222" s="3">
        <f>1081.8+(1356.2-627.5)+(0+(0-0))+0-392.3-0</f>
        <v>1418.2</v>
      </c>
      <c r="U222" s="3">
        <f>1079.2+(1370.8-657.3)+(-1.100784+(-1.398216--0.670446))+0-402.1--0.410142000000064</f>
        <v>1389.1815880000001</v>
      </c>
      <c r="V222" s="3">
        <f>1079.4+(1010-333.9)+(1.100988+(1.0302-0.340578))+0-398.3-0.406266000000064</f>
        <v>1358.5843440000001</v>
      </c>
      <c r="W222" s="3">
        <f>1076.2+(1008.6-281.7)+(-1.646586+(-1.543158--0.431001))+0-399.7--0.611541000000023</f>
        <v>1401.252798</v>
      </c>
      <c r="X222" s="3">
        <f>1074.3+(1103.9-371.5)+(-2.739465+(-2.814945--0.947325))+0-404.5--1.03147499999994</f>
        <v>1398.6243899999999</v>
      </c>
      <c r="Y222" s="3">
        <f>1074.4+(1101.4-358.3)+(-2.73972+(-2.80857--0.913665))+0-388.4--0.990419999999944</f>
        <v>1425.4557950000001</v>
      </c>
      <c r="Z222" s="3">
        <f>1076.3+(1084.2-322.5)+(-1.646739+(-1.658826--0.493425))+0-409.9--0.627147000000024</f>
        <v>1425.9150069999998</v>
      </c>
      <c r="AA222" s="3">
        <f>1076.4+(1062.4-297.7)+(-1.646892+(-1.625472--0.455481))+0-404.6--0.619038000000023</f>
        <v>1434.3021550000001</v>
      </c>
      <c r="AB222" s="3">
        <f>1018.5+(1100.2-302.1)+(-1.03887+(-1.122204--0.308142))+0-410.4--0.418608000000065</f>
        <v>1404.7656760000002</v>
      </c>
      <c r="AC222" s="3">
        <f>875+(1164.6-279.9)+(-0.8925+(-1.187892--0.285498))+0-409.6--0.417792000000065</f>
        <v>1348.7228979999998</v>
      </c>
      <c r="AD222" s="2">
        <v>1407.9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872.5+(1487.6-700.5)+(0+(0-0))+0-407.2-0</f>
        <v>1252.3999999999999</v>
      </c>
      <c r="G223" s="3">
        <f>844.9+(1795.6-1049.4)+(-1.292697+(-2.747268--1.605582))+0-409--0.625770000000024</f>
        <v>1180.291387</v>
      </c>
      <c r="H223" s="3">
        <f>824.7+(1686-932.3)+(-2.102985+(-4.2993--2.377365))+0-416.4--1.06181999999994</f>
        <v>1159.0369000000001</v>
      </c>
      <c r="I223" s="3">
        <f>824.9+(1649.1-924)+(0.420699+(0.841041-0.47124))+0-404.1-0.206090999999959</f>
        <v>1146.4844090000001</v>
      </c>
      <c r="J223" s="3">
        <f>825+(1481.9-769.4)+(0+(0-0))+0-393.9-0</f>
        <v>1143.5999999999999</v>
      </c>
      <c r="K223" s="3">
        <f>825.1+(1173.6-457.1)+(0+(0-0))+0-396-0</f>
        <v>1145.5999999999999</v>
      </c>
      <c r="L223" s="3">
        <f>825.1+(944.2-215.7)+(0+(0-0))+0-399.2-0</f>
        <v>1154.3999999999999</v>
      </c>
      <c r="M223" s="3">
        <f>821.3+(1092-285.3)+(-0.837726+(-1.11384--0.291006))+0-402.1--0.410142000000064</f>
        <v>1224.6495819999998</v>
      </c>
      <c r="N223" s="3">
        <f>821.5+(1165.2-287.9)+(0.418965+(0.594252-0.146829))+0-401-0.204509999999959</f>
        <v>1298.4618780000001</v>
      </c>
      <c r="O223" s="3">
        <f>822.6+(1316-354.2)+(-1.678104+(-2.68464--0.722568))+0-409.4--0.835175999999982</f>
        <v>1372.1950000000002</v>
      </c>
      <c r="P223" s="3">
        <f>822.4+(1254.5-272.2)+(0+(0-0))+0-410.4-0</f>
        <v>1394.2999999999997</v>
      </c>
      <c r="Q223" s="3">
        <f>823.5+(1265.3-269.7)+(-2.099925+(-3.226515--0.687735))+0-409.1--1.04320499999994</f>
        <v>1406.4044999999996</v>
      </c>
      <c r="R223" s="3">
        <f>822.7+(1190.5-252.5)+(-1.258731+(-1.821465--0.386325))+0-407.3--0.623169000000024</f>
        <v>1351.3292980000001</v>
      </c>
      <c r="S223" s="3">
        <f>822.6+(1159.8-256.5)+(0.419526+(0.591498-0.130815))+0-401.5-0.204764999999959</f>
        <v>1325.0754440000001</v>
      </c>
      <c r="T223" s="3">
        <f>824.1+(1198.4-269.3)+(-0.840582+(-1.222368--0.274686))+0-398.8--0.406776000000064</f>
        <v>1353.0185120000003</v>
      </c>
      <c r="U223" s="3">
        <f>822.3+(1184.4-249.8)+(-0.419373+(-0.604044--0.127398))+0-401--0.204509999999959</f>
        <v>1355.2084910000001</v>
      </c>
      <c r="V223" s="3">
        <f>865.6+(1172-275)+(0.882912+(1.19544-0.2805))+0-398.4-0.406368000000064</f>
        <v>1365.5914839999998</v>
      </c>
      <c r="W223" s="3">
        <f>999.9+(1150.1-272.6)+(0+(0-0))+0-412.9-0</f>
        <v>1464.5</v>
      </c>
      <c r="X223" s="3">
        <f>1143.1+(1182.3-292.4)+(-1.165962+(-1.205946--0.298248))+0-414.7--0.422994000000066</f>
        <v>1616.649334</v>
      </c>
      <c r="Y223" s="3">
        <f>1120.4+(1119.1-245)+(-1.714212+(-1.712223--0.37485))+0-410.4--0.627912000000024</f>
        <v>1581.6763270000001</v>
      </c>
      <c r="Z223" s="3">
        <f>1079.2+(1157.9-270.6)+(-1.651176+(-1.771587--0.414018))+0-418.5--0.640305000000024</f>
        <v>1545.63156</v>
      </c>
      <c r="AA223" s="3">
        <f>1080.5+(1149.1-297.3)+(-1.10211+(-1.172082--0.303246))+0-416.5--0.424830000000066</f>
        <v>1514.2538840000002</v>
      </c>
      <c r="AB223" s="3">
        <f>1030.9+(1073.2-237.8)+(-1.577277+(-1.641996--0.363834))+0-412.4--0.630972000000024</f>
        <v>1451.6755330000001</v>
      </c>
      <c r="AC223" s="3">
        <f>826.8+(1344-428.6)+(-2.10834+(-3.4272--1.09293))+0-421.8--1.07558999999994</f>
        <v>1317.0329799999997</v>
      </c>
      <c r="AD223" s="2">
        <v>1593.6999999999998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823.2+(1574.4-765.3)+(-0.419832+(-0.802944--0.390303))+0-414.2--0.211241999999958</f>
        <v>1217.4787690000001</v>
      </c>
      <c r="G224" s="3">
        <f>822.7+(1630.8-890.2)+(0+(0-0))+0-413.1-0</f>
        <v>1150.1999999999998</v>
      </c>
      <c r="H224" s="3">
        <f>822.8+(1775.9-1077)+(1.258884+(2.717127-1.64781))+0-410.6-0.628218000000024</f>
        <v>1112.7999830000001</v>
      </c>
      <c r="I224" s="3">
        <f>822.7+(1850.3-1160.1)+(0.839154+(1.887306-1.183302))+0-411.8-0.420036000000066</f>
        <v>1102.2231220000001</v>
      </c>
      <c r="J224" s="3">
        <f>822.2+(1698-1003.2)+(0.838644+(1.73196-1.023264))+0-412.9-0.421158000000066</f>
        <v>1105.2261819999999</v>
      </c>
      <c r="K224" s="3">
        <f>822.4+(1541.6-841.5)+(-0.419424+(-0.786216--0.429165))+0-407.3--0.207722999999959</f>
        <v>1114.6312480000001</v>
      </c>
      <c r="L224" s="3">
        <f>821.6+(1389.7-668.6)+(-0.419016+(-0.708747--0.340986))+0-414.4--0.211343999999958</f>
        <v>1127.724567</v>
      </c>
      <c r="M224" s="3">
        <f>821.9+(1276.9-495.9)+(-1.676676+(-2.604876--1.011636))+0-385.3--0.786011999999983</f>
        <v>1215.1160960000002</v>
      </c>
      <c r="N224" s="3">
        <f>821.7+(1153.2-268.9)+(1.257201+(1.764396-0.411417))+0-379-0.579870000000022</f>
        <v>1329.0303099999999</v>
      </c>
      <c r="O224" s="3">
        <f>822.7+(1054.4-104.8)+(-1.678308+(-2.150976--0.213792))+0-398.7--0.813347999999983</f>
        <v>1370.7978560000001</v>
      </c>
      <c r="P224" s="3">
        <f>828.8+(1180.9-196.6)+(0+(0-0))+0-409.1-0</f>
        <v>1404</v>
      </c>
      <c r="Q224" s="3">
        <f>909.3+(1071.8-168.6)+(-0.463743+(-0.546618--0.085986))+0-404.5--0.206294999999959</f>
        <v>1407.2819199999999</v>
      </c>
      <c r="R224" s="3">
        <f>910+(966.7-77.9)+(-1.8564+(-1.972068--0.158916))+0-418.4--0.853535999999982</f>
        <v>1377.5839840000003</v>
      </c>
      <c r="S224" s="3">
        <f>910.1+(944.1-96.6)+(-0.928302+(-0.962982--0.098532))+0-416.5--0.424830000000066</f>
        <v>1339.732078</v>
      </c>
      <c r="T224" s="3">
        <f>910.7+(876.7-78.1)+(-0.464457+(-0.447117--0.039831))+0-351.2--0.179111999999964</f>
        <v>1357.4073690000002</v>
      </c>
      <c r="U224" s="3">
        <f>911.4+(947.4-82.5)+(-1.394442+(-1.449522--0.126225))+0-414.5--0.634185000000024</f>
        <v>1359.7164460000001</v>
      </c>
      <c r="V224" s="3">
        <f>908.2+(968.3-95.2)+(-3.242274+(-3.456831--0.339864))+0-411.5--1.46905500000001</f>
        <v>1364.9098139999999</v>
      </c>
      <c r="W224" s="3">
        <f>1013.4+(958.3-100.5)+(-1.033668+(-0.977466--0.10251))+0-404.7--0.412794000000065</f>
        <v>1465.0041699999999</v>
      </c>
      <c r="X224" s="3">
        <f>1084+(1103.1-170)+(-2.7642+(-2.812905--0.4335))+0-417.2--1.06385999999994</f>
        <v>1595.8202549999999</v>
      </c>
      <c r="Y224" s="3">
        <f>1083.4+(1256.9-331.4)+(-0.552534+(-0.641019--0.169014))+0-429.8--0.219197999999956</f>
        <v>1578.2946590000001</v>
      </c>
      <c r="Z224" s="3">
        <f>1081.4+(1207.1-332.4)+(-3.860598+(-4.309347--1.186668))+0-421.9--1.50618300000001</f>
        <v>1528.722906</v>
      </c>
      <c r="AA224" s="3">
        <f>1083.9+(1159.3-297.8)+(-2.211156+(-2.364972--0.607512))+0-415.8--0.848231999999982</f>
        <v>1526.4796160000001</v>
      </c>
      <c r="AB224" s="3">
        <f>1068.3+(1002.1-182.4)+(-2.724165+(-2.555355--0.46512))+0-414.4--1.05671999999994</f>
        <v>1469.8423200000002</v>
      </c>
      <c r="AC224" s="3">
        <f>912.9+(975.5-85.9)+(-2.327895+(-2.487525--0.219045))+0-416.8--1.06283999999994</f>
        <v>1382.166465</v>
      </c>
      <c r="AD224" s="2">
        <v>1634.1000000000004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842.9+(1052.5-205.4)+(-1.719516+(-2.1471--0.419016))+0-412.8--0.842111999999982</f>
        <v>1274.5945120000001</v>
      </c>
      <c r="G225" s="3">
        <f>821.6+(1188.2-405.3)+(-1.676064+(-2.423928--0.826812))+0-421.5--0.859859999999982</f>
        <v>1180.5866800000001</v>
      </c>
      <c r="H225" s="3">
        <f>822.1+(1245.2-490.2)+(-0.838542+(-1.270104--0.500004))+0-418.2--0.426564000000067</f>
        <v>1157.717922</v>
      </c>
      <c r="I225" s="3">
        <f>821.2+(1220.9-476.7)+(-0.837624+(-1.245318--0.486234))+0-408.2--0.416364000000065</f>
        <v>1156.0196560000002</v>
      </c>
      <c r="J225" s="3">
        <f>797.4+(1068.8-284.8)+(0.813348+(1.090176-0.290496))+0-416.5-0.424830000000066</f>
        <v>1166.0881979999999</v>
      </c>
      <c r="K225" s="3">
        <f>764.5+(993.9-171.6)+(0.77979+(1.013778-0.175032))+0-416.7-0.425034000000066</f>
        <v>1171.2935019999998</v>
      </c>
      <c r="L225" s="3">
        <f>764.7+(973.4-129.1)+(0+(0-0))+0-446.8-0</f>
        <v>1162.2</v>
      </c>
      <c r="M225" s="3">
        <f>764.3+(1060.9-156.2)+(0.779586+(1.082118-0.159324))+0-410.2-0.418404000000065</f>
        <v>1260.0839759999999</v>
      </c>
      <c r="N225" s="3">
        <f>800.4+(975.7-27.3)+(-1.224612+(-1.492821--0.041769))+0-401.8--0.614754000000023</f>
        <v>1344.9390900000001</v>
      </c>
      <c r="O225" s="3">
        <f>820.1+(1003.3-33.1)+(1.254753+(1.535049-0.050643))+0-396.8-0.607104000000023</f>
        <v>1395.632055</v>
      </c>
      <c r="P225" s="3">
        <f>822.5+(1086.2-60.1)+(-0.419475+(-0.553962--0.030651))+0-393.8--0.20083799999996</f>
        <v>1454.0580520000001</v>
      </c>
      <c r="Q225" s="3">
        <f>895+(975.5-68.3)+(0+(0-0))+0-385-0</f>
        <v>1417.2</v>
      </c>
      <c r="R225" s="3">
        <f>1050.4+(859.3-146.4)+(-1.607112+(-1.314729--0.223992))+0-381.3--0.583389000000022</f>
        <v>1379.8855400000004</v>
      </c>
      <c r="S225" s="3">
        <f>1054.2+(837.3-172.6)+(0+(0-0))+0-384.2-0</f>
        <v>1334.7</v>
      </c>
      <c r="T225" s="3">
        <f>1047.8+(910-201.8)+(-1.068756+(-0.9282--0.205836))+0-377.9--0.38545800000006</f>
        <v>1376.694338</v>
      </c>
      <c r="U225" s="3">
        <f>1019.3+(910.1-181.7)+(-1.559529+(-1.392453--0.278001))+0-382.9--0.585837000000022</f>
        <v>1362.7118560000004</v>
      </c>
      <c r="V225" s="3">
        <f>1019.6+(892-160.8)+(-1.039992+(-0.90984--0.164016))+0-381.9--0.389538000000061</f>
        <v>1367.5037220000002</v>
      </c>
      <c r="W225" s="3">
        <f>1057.7+(995.9-190.1)+(1.078854+(1.015818-0.193902))+0-375.2-0.38270400000006</f>
        <v>1489.8180659999998</v>
      </c>
      <c r="X225" s="3">
        <f>1079.7+(1288.7-371.6)+(-1.101294+(-1.314474--0.379032))+0-383.2--0.390864000000061</f>
        <v>1611.9541280000001</v>
      </c>
      <c r="Y225" s="3">
        <f>1077.6+(1233.3-349.7)+(-2.74788+(-3.144915--0.891735))+0-376.8--0.960839999999945</f>
        <v>1580.3597799999998</v>
      </c>
      <c r="Z225" s="3">
        <f>1081+(1307.8-461.8)+(1.10262+(1.333956-0.471036))+0-362.6-0.369852000000058</f>
        <v>1565.9956879999997</v>
      </c>
      <c r="AA225" s="3">
        <f>1055.1+(1193.1-325.8)+(-2.690505+(-3.042405--0.83079))+0-374--0.953699999999946</f>
        <v>1544.4515799999999</v>
      </c>
      <c r="AB225" s="3">
        <f>956.5+(1169.7-257.8)+(-0.487815+(-0.596547--0.131478))+0-384.8--0.196247999999961</f>
        <v>1482.8433640000001</v>
      </c>
      <c r="AC225" s="3">
        <f>899.3+(1067.4-169)+(-0.458643+(-0.544374--0.08619))+0-396.6--0.20226599999996</f>
        <v>1400.3854389999999</v>
      </c>
      <c r="AD225" s="2">
        <v>1612.8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821.2+(1088.9-195.9)+(-2.09406+(-2.776695--0.499545))+0-415.3--1.05901499999994</f>
        <v>1295.5878050000003</v>
      </c>
      <c r="G226" s="3">
        <f>821.3+(1272.8-457.1)+(-0.418863+(-0.649128--0.233121))+0-417.6--0.212975999999958</f>
        <v>1218.778106</v>
      </c>
      <c r="H226" s="3">
        <f>821.3+(1336.7-517.1)+(-1.675452+(-2.726868--1.054884))+0-406.7--0.829667999999982</f>
        <v>1231.6822320000001</v>
      </c>
      <c r="I226" s="3">
        <f>815.9+(1347.6-562.7)+(-0.832218+(-1.374552--0.573954))+0-410.3--0.418506000000065</f>
        <v>1189.2856899999997</v>
      </c>
      <c r="J226" s="3">
        <f>815.3+(1226.7-436.9)+(2.079015+(3.128085-1.114095))+0-408-1.04039999999994</f>
        <v>1200.152605</v>
      </c>
      <c r="K226" s="3">
        <f>815.5+(1127.1-327.4)+(0.83181+(1.149642-0.333948))+0-410-0.418200000000065</f>
        <v>1206.4293039999998</v>
      </c>
      <c r="L226" s="3">
        <f>815.2+(987.8-219.2)+(-0.415752+(-0.503778--0.111792))+0-402.8--0.205427999999959</f>
        <v>1180.39769</v>
      </c>
      <c r="M226" s="3">
        <f>815.2+(913.1-62.4)+(-1.247256+(-1.397043--0.095472))+0-386.2--0.590886000000022</f>
        <v>1277.7420589999999</v>
      </c>
      <c r="N226" s="3">
        <f>815.9+(980.9-59.9)+(-2.080545+(-2.501295--0.152745))+0-377.4--0.962369999999945</f>
        <v>1356.033275</v>
      </c>
      <c r="O226" s="3">
        <f>817.1+(1024-58.8)+(1.250163+(1.56672-0.089964))+0-361.3-0.552789000000021</f>
        <v>1423.1741300000001</v>
      </c>
      <c r="P226" s="3">
        <f>817.3+(1037.3-52.3)+(0.833646+(1.058046-0.053346))+0-366.9-0.374238000000058</f>
        <v>1436.864108</v>
      </c>
      <c r="Q226" s="3">
        <f>815.7+(1060.1-45.2)+(0+(0-0))+0-390.8-0</f>
        <v>1439.8</v>
      </c>
      <c r="R226" s="3">
        <f>817+(1042.7-77.4)+(-1.25001+(-1.595331--0.118422))+0-381.4--0.583542000000022</f>
        <v>1398.7566230000004</v>
      </c>
      <c r="S226" s="3">
        <f>817.3+(1041.7-82.4)+(-1.667292+(-2.125068--0.168096))+0-397.9--0.811715999999983</f>
        <v>1375.8874519999997</v>
      </c>
      <c r="T226" s="3">
        <f>816.3+(1031.3-99.8)+(-0.416313+(-0.525963--0.050898))+0-425.1--0.216800999999957</f>
        <v>1322.025423</v>
      </c>
      <c r="U226" s="3">
        <f>817+(1039.4-83.4)+(-2.08335+(-2.65047--0.21267))+0-425.2--1.08425999999994</f>
        <v>1344.3631099999998</v>
      </c>
      <c r="V226" s="3">
        <f>816.3+(1090.3-147.3)+(-1.665252+(-2.224212--0.300492))+0-431--0.879239999999981</f>
        <v>1325.5902679999999</v>
      </c>
      <c r="W226" s="3">
        <f>926.8+(1013.7-61)+(-0.472668+(-0.516987--0.03111))+0-435--0.221849999999956</f>
        <v>1443.7633049999999</v>
      </c>
      <c r="X226" s="3">
        <f>1062.9+(1142-68.7)+(-1.084158+(-1.16484--0.070074))+0-444.3--0.453186000000071</f>
        <v>1690.174262</v>
      </c>
      <c r="Y226" s="3">
        <f>1081.8+(1110.3-55.4)+(-3.310308+(-3.397518--0.169524))+0-444--1.35864000000005</f>
        <v>1687.520338</v>
      </c>
      <c r="Z226" s="3">
        <f>1080.4+(1013.4-56.8)+(-3.306024+(-3.101004--0.173808))+0-399--1.22094000000005</f>
        <v>1632.9877200000001</v>
      </c>
      <c r="AA226" s="3">
        <f>1076.4+(994.6-80.3)+(-0.548964+(-0.507246--0.040953))+0-425.1--0.216800999999957</f>
        <v>1564.8015440000004</v>
      </c>
      <c r="AB226" s="3">
        <f>900+(1061-105.3)+(-1.836+(-2.16444--0.214812))+0-399.3--0.814571999999983</f>
        <v>1453.428944</v>
      </c>
      <c r="AC226" s="3">
        <f>853.9+(1045.3-62.8)+(-1.741956+(-2.132412--0.128112))+0-411.1--0.838643999999982</f>
        <v>1422.3923880000002</v>
      </c>
      <c r="AD226" s="2">
        <v>1664.5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823.4+(1170.8-264.1)+(-0.419934+(-0.597108--0.134691))+0-412.8--0.210527999999958</f>
        <v>1316.6281770000001</v>
      </c>
      <c r="G227" s="3">
        <f>822.5+(1387.5-604.7)+(0+(0-0))+0-415.3-0</f>
        <v>1190</v>
      </c>
      <c r="H227" s="3">
        <f>822.1+(1423.2-681.7)+(0.838542+(1.451664-0.695334))+0-420.8-0.429216000000067</f>
        <v>1143.9656559999999</v>
      </c>
      <c r="I227" s="3">
        <f>821.9+(1395.9-643.5)+(1.676676+(2.847636-1.31274))+0-418.6-0.853943999999982</f>
        <v>1158.057628</v>
      </c>
      <c r="J227" s="3">
        <f>817+(1332.9-571.8)+(0+(0-0))+0-426.8-0</f>
        <v>1151.3000000000002</v>
      </c>
      <c r="K227" s="3">
        <f>817.1+(1286.9-520.9)+(1.250163+(1.968957-0.796977))+0-425.9-0.651627000000025</f>
        <v>1158.9705160000001</v>
      </c>
      <c r="L227" s="3">
        <f>816.9+(1228.2-469.6)+(-2.083095+(-3.13191--1.19748))+0-384.2--0.979709999999944</f>
        <v>1188.2621849999998</v>
      </c>
      <c r="M227" s="3">
        <f>816.9+(1501-679.2)+(0.833238+(1.53102-0.692784))+0-428.6-0.437172000000068</f>
        <v>1211.3343019999995</v>
      </c>
      <c r="N227" s="3">
        <f>817.7+(1418.5-505.1)+(0+(0-0))+0-417.6-0</f>
        <v>1313.5</v>
      </c>
      <c r="O227" s="3">
        <f>817.9+(1183.7-193.2)+(0+(0-0))+0-431.5-0</f>
        <v>1376.9</v>
      </c>
      <c r="P227" s="3">
        <f>830.4+(1106.2-93.7)+(0.423504+(0.564162-0.047787))+0-421.7-0.215066999999957</f>
        <v>1421.9248120000002</v>
      </c>
      <c r="Q227" s="3">
        <f>875.5+(1030-82.1)+(-1.339515+(-1.5759--0.125613))+0-419.7--0.642141000000024</f>
        <v>1401.5523390000001</v>
      </c>
      <c r="R227" s="3">
        <f>903.4+(992.8-120.8)+(-2.30367+(-2.53164--0.30804))+0-427.8--1.09088999999994</f>
        <v>1344.16362</v>
      </c>
      <c r="S227" s="3">
        <f>906.5+(933.7-101)+(-1.386945+(-1.428561--0.15453))+0-430.1--0.658053000000025</f>
        <v>1307.0970770000004</v>
      </c>
      <c r="T227" s="3">
        <f>950.4+(943.2-156.9)+(1.938816+(1.924128-0.320076))+0-425.8-0.868631999999981</f>
        <v>1313.5742360000002</v>
      </c>
      <c r="U227" s="3">
        <f>973.1+(882.3-143.7)+(-1.488843+(-1.349919--0.219861))+0-414.4--0.634032000000024</f>
        <v>1295.3151309999998</v>
      </c>
      <c r="V227" s="3">
        <f>975.5+(827-65.4)+(1.492515+(1.26531-0.100062))+0-429.6-0.657288000000025</f>
        <v>1309.5004749999996</v>
      </c>
      <c r="W227" s="3">
        <f>1115.2+(839.9-104)+(-0.568752+(-0.428349--0.05304))+0-435.1--0.221900999999956</f>
        <v>1415.2778399999997</v>
      </c>
      <c r="X227" s="3">
        <f>1215.7+(907.9-137.2)+(-2.480028+(-1.852116--0.279888))+0-402.8--0.821711999999982</f>
        <v>1580.3694560000001</v>
      </c>
      <c r="Y227" s="3">
        <f>1218.2+(876.2-151.5)+(0.621282+(0.446862-0.077265))+0-437.5-0.223124999999956</f>
        <v>1506.1677540000001</v>
      </c>
      <c r="Z227" s="3">
        <f>1216.9+(828.6-130.7)+(-1.861857+(-1.267758--0.199971))+0-441.8--0.675954000000026</f>
        <v>1470.7463100000002</v>
      </c>
      <c r="AA227" s="3">
        <f>1189.8+(820-123.3)+(-2.427192+(-1.6728--0.251532))+0-407.4--0.831095999999982</f>
        <v>1476.0826360000001</v>
      </c>
      <c r="AB227" s="3">
        <f>1061.3+(934.9-155.9)+(-1.082526+(-0.953598--0.159018))+0-432.1--0.440742000000069</f>
        <v>1406.7636359999999</v>
      </c>
      <c r="AC227" s="3">
        <f>988.1+(865.6-80.3)+(-1.511793+(-1.324368--0.122859))+0-432--0.660960000000025</f>
        <v>1339.3476579999999</v>
      </c>
      <c r="AD227" s="2">
        <v>1561.8000000000002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971.9+(1364.5-666.8)+(-2.478345+(-3.479475--1.70034))+0-431.5--1.10032499999994</f>
        <v>1234.9428449999998</v>
      </c>
      <c r="G228" s="3">
        <f>948.8+(1223.6-550)+(0+(0-0))+0-443.3-0</f>
        <v>1179.0999999999999</v>
      </c>
      <c r="H228" s="3">
        <f>935.2+(1241.6-577)+(-2.38476+(-3.16608--1.47135))+0-449.5--1.14622499999993</f>
        <v>1147.3667349999998</v>
      </c>
      <c r="I228" s="3">
        <f>935+(1167.3-533.3)+(-1.43055+(-1.785969--0.815949))+0-447--0.683910000000026</f>
        <v>1120.28334</v>
      </c>
      <c r="J228" s="3">
        <f>935.3+(1178.3-577)+(0+(0-0))+0-419.8-0</f>
        <v>1116.8</v>
      </c>
      <c r="K228" s="3">
        <f>934.7+(1199.4-592.1)+(0.953394+(1.223388-0.603942))+0-424.7-0.433194000000068</f>
        <v>1118.439646</v>
      </c>
      <c r="L228" s="3">
        <f>935.7+(1095.7-523.5)+(-3.340449+(-3.911649--1.868895))+0-421.9--1.50618300000001</f>
        <v>1082.1229800000001</v>
      </c>
      <c r="M228" s="3">
        <f>935.3+(1074.8-529.2)+(-1.431009+(-1.644444--0.809676))+0-418.9--0.640917000000024</f>
        <v>1060.3751399999999</v>
      </c>
      <c r="N228" s="3">
        <f>935.9+(1250-618.4)+(0+(0-0))+0-433.9-0</f>
        <v>1133.5999999999999</v>
      </c>
      <c r="O228" s="3">
        <f>969.5+(1128.2-487.3)+(0.98889+(1.150764-0.497046))+0-436.8-0.44553600000007</f>
        <v>1174.7970720000001</v>
      </c>
      <c r="P228" s="3">
        <f>1098.3+(1137.9-573.9)+(-1.680399+(-1.740987--0.878067))+0-422.9--0.647037000000024</f>
        <v>1237.5037180000002</v>
      </c>
      <c r="Q228" s="3">
        <f>1134.3+(1083.4-538.8)+(0.578493+(0.552534-0.274788))+0-425.9-0.217208999999957</f>
        <v>1253.6390300000003</v>
      </c>
      <c r="R228" s="3">
        <f>1138+(983.9-501.3)+(-1.74114+(-1.505367--0.766989))+0-420.7--0.643671000000024</f>
        <v>1198.0641529999998</v>
      </c>
      <c r="S228" s="3">
        <f>1203.1+(948.9-559.7)+(-0.613581+(-0.483939--0.285447))+0-440.8--0.224807999999955</f>
        <v>1150.9127349999997</v>
      </c>
      <c r="T228" s="3">
        <f>1208.9+(825-437.3)+(-2.466156+(-1.683--0.892092))+0-428.9--0.874955999999981</f>
        <v>1165.3178920000003</v>
      </c>
      <c r="U228" s="3">
        <f>1217.2+(805-418.3)+(-1.241544+(-0.8211--0.426666))+0-437.7--0.44645400000007</f>
        <v>1165.0104760000002</v>
      </c>
      <c r="V228" s="3">
        <f>1221.5+(685.4-268.5)+(0+(0-0))+0-437.9-0</f>
        <v>1200.5</v>
      </c>
      <c r="W228" s="3">
        <f>1290.5+(694.3-187.3)+(-0.658155+(-0.354093--0.095523))+0-433.6--0.221135999999956</f>
        <v>1363.2044109999999</v>
      </c>
      <c r="X228" s="3">
        <f>1383.5+(747.2-212.1)+(-3.527925+(-1.90536--0.540855))+0-443.9--1.13194499999994</f>
        <v>1470.9395149999998</v>
      </c>
      <c r="Y228" s="3">
        <f>1383.6+(737.3-218.1)+(-2.822544+(-1.504092--0.444924))+0-444.7--0.907187999999981</f>
        <v>1455.1254759999995</v>
      </c>
      <c r="Z228" s="3">
        <f>1385.8+(782.9-301.4)+(-1.413516+(-0.798558--0.307428))+0-433.8--0.442476000000069</f>
        <v>1432.0378300000002</v>
      </c>
      <c r="AA228" s="3">
        <f>1308.6+(768.7-248.4)+(-1.334772+(-0.784074--0.253368))+0-418.9--0.427278000000067</f>
        <v>1408.5618000000004</v>
      </c>
      <c r="AB228" s="3">
        <f>1253.3+(797.4-251)+(-3.195915+(-2.03337--0.64005))+0-427.7--1.09063499999994</f>
        <v>1368.5013999999999</v>
      </c>
      <c r="AC228" s="3">
        <f>1203+(904.9-398.7)+(-3.68118+(-2.768994--1.220022))+0-409.1--1.25184600000005</f>
        <v>1296.1216939999999</v>
      </c>
      <c r="AD228" s="2">
        <v>1478.3000000000002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1122.7+(795.2-279.3)+(1.717731+(1.216656-0.427329))+0-376.6-0.576198000000022</f>
        <v>1263.9308600000002</v>
      </c>
      <c r="G229" s="3">
        <f>1123.4+(917.6-452.9)+(-2.291736+(-1.871904--0.923916))+0-403.2--0.822527999999982</f>
        <v>1182.482804</v>
      </c>
      <c r="H229" s="3">
        <f>1122.8+(1031.1-597.6)+(0.572628+(0.525861-0.304776))+0-426.7-0.217616999999957</f>
        <v>1130.1760959999997</v>
      </c>
      <c r="I229" s="3">
        <f>1122.2+(1072.7-651.7)+(2.86161+(2.735385-1.661835))+0-422.7-1.07788499999994</f>
        <v>1123.3572750000001</v>
      </c>
      <c r="J229" s="3">
        <f>1122.5+(1039-620.3)+(-0.572475+(-0.52989--0.316353))+0-385.1--0.196400999999961</f>
        <v>1155.5103889999998</v>
      </c>
      <c r="K229" s="3">
        <f>1122.1+(896.3-478.6)+(-0.572271+(-0.457113--0.244086))+0-428--0.218279999999957</f>
        <v>1111.2329819999998</v>
      </c>
      <c r="L229" s="3">
        <f>1121.9+(747.2-350.1)+(-2.288676+(-1.524288--0.714204))+0-430.6--0.878423999999981</f>
        <v>1086.1796639999998</v>
      </c>
      <c r="M229" s="3">
        <f>1120.8+(736.1-345.4)+(0.571608+(0.375411-0.176154))+0-428.7-0.218636999999957</f>
        <v>1083.352228</v>
      </c>
      <c r="N229" s="3">
        <f>1121.9+(858.3-380.3)+(0+(0-0))+0-431.8-0</f>
        <v>1168.1000000000001</v>
      </c>
      <c r="O229" s="3">
        <f>1115.4+(860.8-306.7)+(-0.568854+(-0.439008--0.156417))+0-427.5--0.218024999999957</f>
        <v>1241.3665799999999</v>
      </c>
      <c r="P229" s="3">
        <f>1112.9+(853.5-249.9)+(-2.270316+(-1.74114--0.509796))+0-431.8--0.880871999999981</f>
        <v>1282.0792120000001</v>
      </c>
      <c r="Q229" s="3">
        <f>1112.6+(835.4-257.3)+(1.134852+(0.852108-0.262446))+0-435.7-0.444414000000069</f>
        <v>1256.2800999999997</v>
      </c>
      <c r="R229" s="3">
        <f>1113.4+(829.7-262.5)+(-1.135668+(-0.846294--0.26775))+0-441.6--0.45043200000007</f>
        <v>1237.7362200000002</v>
      </c>
      <c r="S229" s="3">
        <f>1113+(730.3-220.8)+(-1.70289+(-1.117359--0.337824))+0-421--0.644130000000024</f>
        <v>1199.6617050000002</v>
      </c>
      <c r="T229" s="3">
        <f>1113+(759.6-229.9)+(0.56763+(0.387396-0.117249))+0-417.3-0.212822999999958</f>
        <v>1226.024954</v>
      </c>
      <c r="U229" s="3">
        <f>1113+(726.4-206.3)+(0.56763+(0.370464-0.105213))+0-436.5-0.222614999999956</f>
        <v>1197.210266</v>
      </c>
      <c r="V229" s="3">
        <f>1137.1+(679.2-132.5)+(-1.159842+(-0.692784--0.13515))+0-441.6--0.45043200000007</f>
        <v>1240.9329560000001</v>
      </c>
      <c r="W229" s="3">
        <f>1348.7+(704.8-221)+(-0.687837+(-0.359448--0.11271))+0-444--0.226439999999955</f>
        <v>1387.7918649999999</v>
      </c>
      <c r="X229" s="3">
        <f>1383.2+(810.2-266.3)+(-2.116296+(-1.239606--0.407439))+0-428--0.654840000000025</f>
        <v>1496.8063770000001</v>
      </c>
      <c r="Y229" s="3">
        <f>1383.1+(774-249.4)+(-1.410762+(-0.78948--0.254388))+0-434.2--0.442884000000069</f>
        <v>1471.9970299999998</v>
      </c>
      <c r="Z229" s="3">
        <f>1380.1+(765.6-239.8)+(-2.111553+(-1.171368--0.366894))+0-426.9--0.653157000000025</f>
        <v>1476.7371299999998</v>
      </c>
      <c r="AA229" s="3">
        <f>1384.1+(664.6-194.3)+(-0.705891+(-0.338946--0.099093))+0-435.4--0.222053999999956</f>
        <v>1418.2763099999997</v>
      </c>
      <c r="AB229" s="3">
        <f>1340.2+(639.6-158.5)+(-2.050506+(-0.978588--0.242505))+0-436.3--0.667539000000025</f>
        <v>1382.8809500000002</v>
      </c>
      <c r="AC229" s="3">
        <f>1167+(741.8-132.4)+(-1.19034+(-0.756636--0.135048))+0-431--0.439620000000069</f>
        <v>1344.0276920000001</v>
      </c>
      <c r="AD229" s="2">
        <v>1485.3999999999999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1123.3+(989.3-396.7)+(0+(0-0))+0-430.1-0</f>
        <v>1285.7999999999997</v>
      </c>
      <c r="G230" s="3">
        <f>1123.1+(1094.7-670.8)+(-1.145562+(-1.116594--0.684216))+0-428.4--0.436968000000068</f>
        <v>1117.4590280000002</v>
      </c>
      <c r="H230" s="3">
        <f>1122.9+(997.9-552.5)+(-1.145358+(-1.017858--0.56355))+0-429.7--0.438294000000069</f>
        <v>1137.4386280000001</v>
      </c>
      <c r="I230" s="3">
        <f>1104.9+(807.9-341.6)+(-1.690497+(-1.236087--0.522648))+0-427.9--0.654687000000025</f>
        <v>1141.550751</v>
      </c>
      <c r="J230" s="3">
        <f>1064.4+(754.4-310.8)+(1.085688+(0.769488-0.317016))+0-430.3-0.438906000000069</f>
        <v>1078.799254</v>
      </c>
      <c r="K230" s="3">
        <f>1063.9+(767.5-240.4)+(0.542589+(0.391425-0.122604))+0-437.4-0.223073999999956</f>
        <v>1154.1883360000002</v>
      </c>
      <c r="L230" s="3">
        <f>1064.7+(870.7-375.7)+(-1.628991+(-1.332171--0.574821))+0-441--0.674730000000025</f>
        <v>1116.9883890000001</v>
      </c>
      <c r="M230" s="3">
        <f>1063.7+(710.8-150.5)+(1.084974+(0.725016-0.15351))+0-431.9-0.440538000000069</f>
        <v>1193.3159419999999</v>
      </c>
      <c r="N230" s="3">
        <f>1065.6+(876.2-177)+(-0.543456+(-0.446862--0.09027))+0-430--0.219299999999956</f>
        <v>1334.119252</v>
      </c>
      <c r="O230" s="3">
        <f>1080+(989.3-226.5)+(3.3048+(3.027258-0.69309))+0-392.6-1.20135600000005</f>
        <v>1454.637612</v>
      </c>
      <c r="P230" s="3">
        <f>1207.9+(979.3-295.8)+(-0.616029+(-0.499443--0.150858))+0-439--0.223889999999955</f>
        <v>1451.6592760000001</v>
      </c>
      <c r="Q230" s="3">
        <f>1178.3+(869-178.2)+(1.201866+(0.88638-0.181764))+0-438.6-0.44737200000007</f>
        <v>1431.9591099999998</v>
      </c>
      <c r="R230" s="3">
        <f>1190.8+(935.1-288.9)+(-1.214616+(-0.953802--0.294678))+0-427.6--0.436152000000068</f>
        <v>1407.9624120000001</v>
      </c>
      <c r="S230" s="3">
        <f>1211.2+(888.9-263)+(-1.235424+(-0.906678--0.26826))+0-422.6--0.431052000000067</f>
        <v>1413.0572100000002</v>
      </c>
      <c r="T230" s="3">
        <f>1212.9+(814.8-190)+(0.618579+(0.415548-0.0969))+0-383.7-0.195686999999961</f>
        <v>1454.74154</v>
      </c>
      <c r="U230" s="3">
        <f>1209.6+(791.4-161.5)+(-2.467584+(-1.614456--0.32946))+0-433.5--0.884339999999981</f>
        <v>1403.13176</v>
      </c>
      <c r="V230" s="3">
        <f>1212.8+(799.2-141.2)+(0.618528+(0.407592-0.072012))+0-433.2-0.220931999999956</f>
        <v>1438.3331759999999</v>
      </c>
      <c r="W230" s="3">
        <f>1369.6+(1151.3-539.2)+(0+(0-0))+0-401.4-0</f>
        <v>1580.2999999999997</v>
      </c>
      <c r="X230" s="3">
        <f>1440.6+(1216.1-545.7)+(-3.67353+(-3.101055--1.391535))+0-440.4--1.12301999999994</f>
        <v>1666.33997</v>
      </c>
      <c r="Y230" s="3">
        <f>1422.7+(1169.6-523.1)+(-0.725577+(-0.596496--0.266781))+0-441.1--0.224960999999955</f>
        <v>1627.2696689999998</v>
      </c>
      <c r="Z230" s="3">
        <f>1316.5+(1193.6-504.4)+(-2.68566+(-2.434944--1.028976))+0-438.4--0.894335999999981</f>
        <v>1564.1027080000001</v>
      </c>
      <c r="AA230" s="3">
        <f>1313.5+(972.8-317.8)+(-4.01931+(-2.976768--0.972468))+0-388.8--1.18972800000004</f>
        <v>1574.8661180000001</v>
      </c>
      <c r="AB230" s="3">
        <f>1259.3+(946.7-302.9)+(-3.211215+(-2.414085--0.772395))+0-436.1--1.11205499999994</f>
        <v>1463.2591499999996</v>
      </c>
      <c r="AC230" s="3">
        <f>1205.7+(770.7-149.7)+(-2.459628+(-1.572228--0.305388))+0-434.8--0.886991999999981</f>
        <v>1389.060524</v>
      </c>
      <c r="AD230" s="2">
        <v>1680.7999999999997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1154.4+(884.7-327.2)+(0+(0-0))+0-435.4-0</f>
        <v>1276.5</v>
      </c>
      <c r="G231" s="3">
        <f>1120.5+(1035.8-465.2)+(-2.28582+(-2.113032--0.949008))+0-444.4--0.906575999999981</f>
        <v>1244.1567320000001</v>
      </c>
      <c r="H231" s="3">
        <f>1120.5+(940.8-417.8)+(-0.571455+(-0.479808--0.213078))+0-449.5--0.229244999999954</f>
        <v>1193.3910599999999</v>
      </c>
      <c r="I231" s="3">
        <f>1120.3+(726.9-213.7)+(0+(0-0))+0-445.1-0</f>
        <v>1188.4000000000001</v>
      </c>
      <c r="J231" s="3">
        <f>1117.3+(659.8-155.5)+(0.569823+(0.336498-0.079305))+0-440.2-0.224501999999955</f>
        <v>1182.0025139999998</v>
      </c>
      <c r="K231" s="3">
        <f>1086.5+(670.7-159.8)+(-0.554115+(-0.342057--0.081498))+0-451.5--0.230264999999954</f>
        <v>1145.315591</v>
      </c>
      <c r="L231" s="3">
        <f>1080.6+(877.5-347.3)+(-0.551106+(-0.447525--0.177123))+0-400.2--0.204101999999959</f>
        <v>1209.9825939999998</v>
      </c>
      <c r="M231" s="3">
        <f>1082.1+(1069.3-444.9)+(0+(0-0))+0-456.4-0</f>
        <v>1250.0999999999999</v>
      </c>
      <c r="N231" s="3">
        <f>1078.1+(1183.7-445.3)+(-0.549831+(-0.603687--0.227103))+0-452.6--0.230825999999954</f>
        <v>1363.2044110000002</v>
      </c>
      <c r="O231" s="3">
        <f>1021.2+(1249.3-393.9)+(0.520812+(0.637143-0.200889))+0-456.2-0.232661999999954</f>
        <v>1421.1244039999999</v>
      </c>
      <c r="P231" s="3">
        <f>1025.6+(1231.9-385.1)+(0+(0-0))+0-426.3-0</f>
        <v>1446.1000000000001</v>
      </c>
      <c r="Q231" s="3">
        <f>999.7+(1295.7-350.2)+(-0.509847+(-0.660807--0.178602))+0-453.7--0.231386999999954</f>
        <v>1490.739335</v>
      </c>
      <c r="R231" s="3">
        <f>967.4+(1243.7-351.8)+(-1.973496+(-2.537148--0.717672))+0-448--0.91391999999998</f>
        <v>1408.4209480000002</v>
      </c>
      <c r="S231" s="3">
        <f>968.2+(1255.2-383.7)+(-1.481346+(-1.920456--0.587061))+0-443.1--0.677943000000026</f>
        <v>1394.4632020000001</v>
      </c>
      <c r="T231" s="3">
        <f>969.2+(1200.1-324.1)+(-0.988584+(-1.224102--0.330582))+0-406--0.414120000000065</f>
        <v>1437.7320159999999</v>
      </c>
      <c r="U231" s="3">
        <f>969+(1091.3-247.2)+(-1.48257+(-1.669689--0.378216))+0-432.5--0.661725000000025</f>
        <v>1378.4876819999999</v>
      </c>
      <c r="V231" s="3">
        <f>973.4+(1235.4-355.6)+(0.992868+(1.260108-0.362712))+0-437.8-0.44655600000007</f>
        <v>1416.8437079999999</v>
      </c>
      <c r="W231" s="3">
        <f>975.5+(1477.6-498.8)+(-0.99501+(-1.507152--0.508776))+0-431.9--0.440538000000069</f>
        <v>1520.8471520000001</v>
      </c>
      <c r="X231" s="3">
        <f>1081.1+(1481.9-529.9)+(-2.756805+(-3.778845--1.351245))+0-394--1.00469999999994</f>
        <v>1634.9202949999999</v>
      </c>
      <c r="Y231" s="3">
        <f>1092.8+(1455.1-554.3)+(-1.114656+(-1.484202--0.565386))+0-436--0.44472000000007</f>
        <v>1556.0112479999998</v>
      </c>
      <c r="Z231" s="3">
        <f>1060.7+(1666.3-761.4)+(0.540957+(0.849813-0.388314))+0-432.9-0.220778999999956</f>
        <v>1533.481677</v>
      </c>
      <c r="AA231" s="3">
        <f>986.3+(1461-505.8)+(-1.006026+(-1.49022--0.515916))+0-440.3--0.44910600000007</f>
        <v>1499.668776</v>
      </c>
      <c r="AB231" s="3">
        <f>970.9+(1262.6-329.1)+(-0.495159+(-0.643926--0.167841))+0-445.7--0.227306999999955</f>
        <v>1457.9560629999996</v>
      </c>
      <c r="AC231" s="3">
        <f>927.5+(1200.5-295.4)+(-1.419075+(-1.836765--0.451962))+0-447.1--0.684063000000026</f>
        <v>1383.3801849999998</v>
      </c>
      <c r="AD231" s="2">
        <v>1625.6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829.3+(1133.9-235.1)+(-1.691772+(-2.313156--0.479604))+0-452.3--0.92269199999998</f>
        <v>1273.1973679999999</v>
      </c>
      <c r="G232" s="3">
        <f>825.8+(1282.6-452.8)+(-1.684632+(-2.616504--0.923712))+0-439.9--0.897395999999981</f>
        <v>1213.2199720000001</v>
      </c>
      <c r="H232" s="3">
        <f>825.4+(1463.2-673.1)+(0+(0-0))+0-436.7-0</f>
        <v>1178.8</v>
      </c>
      <c r="I232" s="3">
        <f>825.3+(1563.2-786.5)+(-0.420903+(-0.797232--0.401115))+0-454.5--0.231794999999954</f>
        <v>1146.914775</v>
      </c>
      <c r="J232" s="3">
        <f>825+(1403.3-647.4)+(0+(0-0))+0-448.3-0</f>
        <v>1132.6000000000001</v>
      </c>
      <c r="K232" s="3">
        <f>826+(1245.4-450)+(0.42126+(0.635154-0.2295))+0-447.9-0.228428999999955</f>
        <v>1174.0984850000002</v>
      </c>
      <c r="L232" s="3">
        <f>825.5+(1148.9-369.3)+(-1.68402+(-2.343756--0.753372))+0-450.3--0.91861199999998</f>
        <v>1152.4442080000001</v>
      </c>
      <c r="M232" s="3">
        <f>835.7+(1345.9-484.5)+(-1.278621+(-2.059227--0.741285))+0-406--0.621180000000023</f>
        <v>1289.1246170000002</v>
      </c>
      <c r="N232" s="3">
        <f>834+(1391.9-420)+(-1.27602+(-2.129607--0.6426))+0-449--0.686970000000026</f>
        <v>1354.8239430000001</v>
      </c>
      <c r="O232" s="3">
        <f>833.3+(1360.3-352.3)+(-0.424983+(-0.693753--0.179673))+0-440.9--0.224858999999955</f>
        <v>1399.6857959999998</v>
      </c>
      <c r="P232" s="3">
        <f>835.2+(1362-328.3)+(0+(0-0))+0-447.5-0</f>
        <v>1421.4</v>
      </c>
      <c r="Q232" s="3">
        <f>895.2+(1275.2-288.9)+(-0.913104+(-1.300704--0.294678))+0-453.8--0.462876000000072</f>
        <v>1426.2437460000001</v>
      </c>
      <c r="R232" s="3">
        <f>924.7+(1189.1-276.2)+(-0.471597+(-0.606441--0.140862))+0-400.7--0.204356999999959</f>
        <v>1436.1671809999998</v>
      </c>
      <c r="S232" s="3">
        <f>925.2+(1277.4-405.1)+(1.887408+(2.605896-0.826404))+0-440.1-0.897803999999981</f>
        <v>1360.1690959999999</v>
      </c>
      <c r="T232" s="3">
        <f>922.2+(1284.6-387.3)+(0.940644+(1.310292-0.395046))+0-434.3-0.442986000000069</f>
        <v>1386.6129040000001</v>
      </c>
      <c r="U232" s="3">
        <f>914.9+(1303.6-380.5)+(-2.332995+(-3.32418--0.970275))+0-446.3--1.13806499999994</f>
        <v>1388.151165</v>
      </c>
      <c r="V232" s="3">
        <f>931.1+(1279.5-397.1)+(1.424583+(1.957635-0.607563))+0-400.6-0.612918000000023</f>
        <v>1415.0617369999998</v>
      </c>
      <c r="W232" s="3">
        <f>1093.8+(1219.4-401.9)+(-1.115676+(-1.243788--0.409938))+0-445.6--0.454512000000071</f>
        <v>1464.204986</v>
      </c>
      <c r="X232" s="3">
        <f>1098.1+(1437-492.2)+(-2.240124+(-2.93148--1.004088))+0-433.9--0.885155999999981</f>
        <v>1605.7176400000001</v>
      </c>
      <c r="Y232" s="3">
        <f>1097.2+(1405.1-494.1)+(-3.357432+(-4.299606--1.511946))+0-433.1--1.32528600000005</f>
        <v>1570.2801939999997</v>
      </c>
      <c r="Z232" s="3">
        <f>1095.8+(1356.4-473.7)+(-3.353148+(-4.150584--1.449522))+0-438.3--1.34119800000005</f>
        <v>1535.4869880000001</v>
      </c>
      <c r="AA232" s="3">
        <f>1054.7+(1334.6-442)+(-1.613691+(-2.041938--0.67626))+0-445--0.680850000000026</f>
        <v>1500.001481</v>
      </c>
      <c r="AB232" s="3">
        <f>1033.9+(1332.3-463.6)+(0+(0-0))+0-457.7-0</f>
        <v>1444.8999999999999</v>
      </c>
      <c r="AC232" s="3">
        <f>961.9+(1234.1-354.5)+(-1.962276+(-2.517564--0.72318))+0-453.6--0.92534399999998</f>
        <v>1385.0686840000001</v>
      </c>
      <c r="AD232" s="2">
        <v>1633.1999999999998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833.7+(1234.7-335)+(-2.976309+(-4.407879--1.19595))+0-428.9--1.53117300000001</f>
        <v>1299.8429350000004</v>
      </c>
      <c r="G233" s="3">
        <f>834.2+(1250.5-444.6)+(-2.552652+(-3.82653--1.360476))+0-440.6--1.34823600000005</f>
        <v>1195.8295299999997</v>
      </c>
      <c r="H233" s="3">
        <f>833.8+(1366.6-611.8)+(-0.850476+(-1.393932--0.624036))+0-448.5--0.457470000000071</f>
        <v>1138.9370979999999</v>
      </c>
      <c r="I233" s="3">
        <f>820.7+(1245.2-487.1)+(0+(0-0))+0-427.3-0</f>
        <v>1151.5000000000002</v>
      </c>
      <c r="J233" s="3">
        <f>732.7+(1236-383.2)+(0.747354+(1.26072-0.390864))+0-438-0.44676000000007</f>
        <v>1148.6704499999998</v>
      </c>
      <c r="K233" s="3">
        <f>734.3+(1248.4-392.4)+(-0.374493+(-0.636684--0.200124))+0-435.1--0.221900999999956</f>
        <v>1154.6108480000003</v>
      </c>
      <c r="L233" s="3">
        <f>734.9+(1220.3-350)+(-0.749598+(-1.244706--0.357))+0-438--0.44676000000007</f>
        <v>1166.0094559999998</v>
      </c>
      <c r="M233" s="3">
        <f>752.3+(1208-256.2)+(-0.767346+(-1.23216--0.261324))+0-444.6--0.453492000000071</f>
        <v>1258.21531</v>
      </c>
      <c r="N233" s="3">
        <f>832.7+(1164.2-205.8)+(-0.849354+(-1.187484--0.209916))+0-457.4--0.466548000000073</f>
        <v>1332.3396260000002</v>
      </c>
      <c r="O233" s="3">
        <f>835.4+(1140.5-113.5)+(1.278162+(1.744965-0.173655))+0-439.3-0.672129000000025</f>
        <v>1425.2773430000002</v>
      </c>
      <c r="P233" s="3">
        <f>922.2+(1028.5-98.4)+(-1.881288+(-2.09814--0.200736))+0-443.9--0.905555999999981</f>
        <v>1405.5268640000002</v>
      </c>
      <c r="Q233" s="3">
        <f>931.8+(1027.1-100.7)+(-1.900872+(-2.095284--0.205428))+0-434--0.885359999999981</f>
        <v>1421.2946319999999</v>
      </c>
      <c r="R233" s="3">
        <f>931+(1028.3-154.9)+(-0.94962+(-1.048866--0.157998))+0-439.3--0.44808600000007</f>
        <v>1363.7075980000002</v>
      </c>
      <c r="S233" s="3">
        <f>930.8+(1080.2-252.9)+(-1.898832+(-2.203608--0.515916))+0-441.7--0.901067999999981</f>
        <v>1313.7145439999997</v>
      </c>
      <c r="T233" s="3">
        <f>932.8+(1050.8-195.8)+(-0.951456+(-1.071816--0.199716))+0-436.6--0.44533200000007</f>
        <v>1349.821776</v>
      </c>
      <c r="U233" s="3">
        <f>930.6+(1011.2-140.3)+(-0.949212+(-1.031424--0.143106))+0-415.1--0.423402000000066</f>
        <v>1384.985872</v>
      </c>
      <c r="V233" s="3">
        <f>933.8+(1031.2-146.6)+(0.476238+(0.525912-0.074766))+0-456.1-0.232610999999954</f>
        <v>1362.9947730000004</v>
      </c>
      <c r="W233" s="3">
        <f>956.9+(1370.9-386.5)+(0.976038+(1.398318-0.39423))+0-457.9-0.467058000000073</f>
        <v>1484.9130679999998</v>
      </c>
      <c r="X233" s="3">
        <f>970.7+(1512.3-468.9)+(-1.485171+(-2.313819--0.717417))+0-435.3--0.666009000000025</f>
        <v>1576.3844360000003</v>
      </c>
      <c r="Y233" s="3">
        <f>966+(1486.5-444.9)+(-2.4633+(-3.790575--1.134495))+0-454.4--1.15871999999993</f>
        <v>1549.2393399999996</v>
      </c>
      <c r="Z233" s="3">
        <f>972.1+(1260.8-253.4)+(0.495771+(0.643008-0.129234))+0-455.1-0.232100999999954</f>
        <v>1525.1774439999999</v>
      </c>
      <c r="AA233" s="3">
        <f>972.8+(1209.7-232)+(-0.496128+(-0.616947--0.11832))+0-416.5--0.212414999999958</f>
        <v>1533.21766</v>
      </c>
      <c r="AB233" s="3">
        <f>971.8+(1241-306.8)+(-1.982472+(-2.53164--0.625872))+0-446.7--0.91126799999998</f>
        <v>1456.323028</v>
      </c>
      <c r="AC233" s="3">
        <f>894.6+(1208.8-278.9)+(-1.368738+(-1.849464--0.426717))+0-452--0.691560000000026</f>
        <v>1370.400075</v>
      </c>
      <c r="AD233" s="2">
        <v>1612.1000000000004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836.4+(1522.4-625.4)+(-0.426564+(-0.776424--0.318954))+0-467.2--0.238271999999953</f>
        <v>1265.5542380000002</v>
      </c>
      <c r="G234" s="3">
        <f>835.9+(1462.2-645.9)+(-0.426309+(-0.745722--0.329409))+0-454.8--0.231947999999954</f>
        <v>1196.7893260000001</v>
      </c>
      <c r="H234" s="3">
        <f>835.9+(1383.3-587)+(-0.852618+(-1.410966--0.59874))+0-467.9--0.477258000000075</f>
        <v>1163.1124139999999</v>
      </c>
      <c r="I234" s="3">
        <f>836.1+(1393.3-612.4)+(-0.426411+(-0.710583--0.312324))+0-448.8--0.228887999999954</f>
        <v>1167.6042179999999</v>
      </c>
      <c r="J234" s="3">
        <f>836.4+(1290.5-520.9)+(-2.13282+(-3.290775--1.328295))+0-453.5--1.15642499999993</f>
        <v>1149.5611249999999</v>
      </c>
      <c r="K234" s="3">
        <f>835.4+(1265.8-488.9)+(0.852108+(1.291116-0.498678))+0-403.8-0.411876000000064</f>
        <v>1209.7326699999999</v>
      </c>
      <c r="L234" s="3">
        <f>835.7+(1067-292.3)+(-2.557242+(-3.26502--0.894438))+0-449.6--1.37577600000005</f>
        <v>1157.2479519999999</v>
      </c>
      <c r="M234" s="3">
        <f>835.2+(1151.8-328.7)+(0+(0-0))+0-454.7-0</f>
        <v>1203.5999999999999</v>
      </c>
      <c r="N234" s="3">
        <f>841.6+(1055.8-144.1)+(-0.858432+(-1.076916--0.146982))+0-456.6--0.465732000000073</f>
        <v>1295.3773660000002</v>
      </c>
      <c r="O234" s="3">
        <f>895.4+(1010.4-74.5)+(0.456654+(0.515304-0.037995))+0-455.6-0.232355999999954</f>
        <v>1376.4016069999998</v>
      </c>
      <c r="P234" s="3">
        <f>922.3+(973.3-50.8)+(-0.940746+(-0.992766--0.051816))+0-441.4--0.45022800000007</f>
        <v>1401.9685320000003</v>
      </c>
      <c r="Q234" s="3">
        <f>916.2+(953.1-12)+(-0.934524+(-0.972162--0.01224))+0-441.4--0.45022800000007</f>
        <v>1414.4557820000005</v>
      </c>
      <c r="R234" s="3">
        <f>919.8+(920.1-77.3)+(-2.34549+(-2.346255--0.197115))+0-426.3--1.08706499999994</f>
        <v>1332.892435</v>
      </c>
      <c r="S234" s="3">
        <f>920.1+(799.4-56.3)+(-0.938502+(-0.815388--0.057426))+0-391.6--0.399432000000062</f>
        <v>1270.302968</v>
      </c>
      <c r="T234" s="3">
        <f>920.8+(849.5-65.1)+(0+(0-0))+0-417.9-0</f>
        <v>1287.2999999999997</v>
      </c>
      <c r="U234" s="3">
        <f>919+(902.8-100.9)+(-0.93738+(-0.920856--0.102918))+0-429.1--0.437682000000068</f>
        <v>1290.4823640000002</v>
      </c>
      <c r="V234" s="3">
        <f>921.6+(850.7-58.3)+(0+(0-0))+0-433.5-0</f>
        <v>1280.5</v>
      </c>
      <c r="W234" s="3">
        <f>1003.1+(930.3-81.9)+(0.511581+(0.474453-0.041769))+0-437.7-0.223226999999956</f>
        <v>1414.5210380000001</v>
      </c>
      <c r="X234" s="3">
        <f>1086.9+(982.2-104.2)+(-3.325914+(-3.005532--0.318852))+0-449.4--1.37516400000005</f>
        <v>1510.8625700000002</v>
      </c>
      <c r="Y234" s="3">
        <f>1088.5+(951.7-109.7)+(-3.33081+(-2.912202--0.335682))+0-449--1.37394000000005</f>
        <v>1476.9666099999999</v>
      </c>
      <c r="Z234" s="3">
        <f>1089.9+(892.5-82.5)+(-1.667547+(-1.365525--0.126225))+0-450.8--0.689724000000026</f>
        <v>1446.8828770000002</v>
      </c>
      <c r="AA234" s="3">
        <f>1090.4+(878.2-83.1)+(-1.668312+(-1.343646--0.127143))+0-457.7--0.700281000000026</f>
        <v>1425.6154660000002</v>
      </c>
      <c r="AB234" s="3">
        <f>1087+(895.2-146.6)+(-2.21748+(-1.826208--0.299064))+0-449.9--0.91779599999998</f>
        <v>1382.8731719999998</v>
      </c>
      <c r="AC234" s="3">
        <f>911.8+(1039-155.7)+(-0.465018+(-0.52989--0.079407))+0-451.3--0.230162999999954</f>
        <v>1343.114662</v>
      </c>
      <c r="AD234" s="2">
        <v>1524.3999999999999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871.5+(965.8-124.6)+(-2.222325+(-2.46279--0.31773))+0-466.5--1.18957499999993</f>
        <v>1243.0221899999997</v>
      </c>
      <c r="G235" s="3">
        <f>871.5+(1101.7-343.2)+(-0.88893+(-1.123734--0.350064))+0-456.8--0.465936000000073</f>
        <v>1172.003336</v>
      </c>
      <c r="H235" s="3">
        <f>871.5+(1177.2-448.8)+(-1.333395+(-1.801116--0.686664))+0-460.2--0.704106000000027</f>
        <v>1137.9562590000003</v>
      </c>
      <c r="I235" s="3">
        <f>878+(1406.1-704)+(-0.44778+(-0.717111--0.35904))+0-448.6--0.228785999999954</f>
        <v>1130.9229349999998</v>
      </c>
      <c r="J235" s="3">
        <f>880.6+(1215.9-524.3)+(-0.449106+(-0.620109--0.267393))+0-452.9--0.230978999999954</f>
        <v>1118.7291570000002</v>
      </c>
      <c r="K235" s="3">
        <f>872.3+(1238.3-529.6)+(0.444873+(0.631533-0.270096))+0-452.3-0.230672999999954</f>
        <v>1129.275637</v>
      </c>
      <c r="L235" s="3">
        <f>876.3+(1260.7-590.9)+(-0.893826+(-1.285914--0.602718))+0-446.3--0.455226000000071</f>
        <v>1098.6782040000001</v>
      </c>
      <c r="M235" s="3">
        <f>874.9+(1245.9-594.5)+(0+(0-0))+0-445.3-0</f>
        <v>1081.0000000000002</v>
      </c>
      <c r="N235" s="3">
        <f>871.5+(1178.4-486.3)+(-0.444465+(-0.600984--0.248013))+0-438.2--0.223481999999956</f>
        <v>1124.8260459999999</v>
      </c>
      <c r="O235" s="3">
        <f>829.9+(1108.9-321.2)+(1.269747+(1.696617-0.491436))+0-422.5-0.646425000000024</f>
        <v>1196.9285029999999</v>
      </c>
      <c r="P235" s="3">
        <f>852.9+(1033.2-238.9)+(1.304937+(1.580796-0.365517))+0-438.6-0.671058000000025</f>
        <v>1210.4491579999997</v>
      </c>
      <c r="Q235" s="3">
        <f>872.7+(905.4-129)+(-1.335231+(-1.385262--0.19737))+0-421.6--0.645048000000024</f>
        <v>1225.6219250000001</v>
      </c>
      <c r="R235" s="3">
        <f>871.2+(911.3-134.7)+(-2.22156+(-2.323815--0.343485))+0-382.2--0.974609999999944</f>
        <v>1262.3727199999998</v>
      </c>
      <c r="S235" s="3">
        <f>872.1+(972.3-207.9)+(-2.223855+(-2.479365--0.530145))+0-428.9--1.09369499999994</f>
        <v>1204.5206200000002</v>
      </c>
      <c r="T235" s="3">
        <f>871.7+(1054.8-285.9)+(-2.222835+(-2.68974--0.729045))+0-441.6--1.12607999999994</f>
        <v>1195.9425499999998</v>
      </c>
      <c r="U235" s="3">
        <f>872.6+(1050.1-281.4)+(-1.780104+(-2.142204--0.574056))+0-451.7--0.92146799999998</f>
        <v>1187.1732159999999</v>
      </c>
      <c r="V235" s="3">
        <f>982.4+(898.7-234.5)+(-1.503072+(-1.375011--0.358785))+0-448.9--0.686817000000026</f>
        <v>1195.8675190000001</v>
      </c>
      <c r="W235" s="3">
        <f>1257.1+(759.4-198.9)+(-1.282242+(-0.774588--0.202878))+0-440.7--0.44951400000007</f>
        <v>1375.4955620000001</v>
      </c>
      <c r="X235" s="3">
        <f>1302.1+(839.3-210.9)+(-2.656284+(-1.712172--0.430236))+0-443.1--0.903923999999981</f>
        <v>1484.3657040000001</v>
      </c>
      <c r="Y235" s="3">
        <f>1304.7+(898.5-295.4)+(0+(0-0))+0-441-0</f>
        <v>1466.8000000000002</v>
      </c>
      <c r="Z235" s="3">
        <f>1215.2+(980.9-305)+(-1.239504+(-1.000518--0.3111))+0-449.3--0.458286000000072</f>
        <v>1440.3293639999999</v>
      </c>
      <c r="AA235" s="3">
        <f>1043.2+(1115.1-286.7)+(-1.064064+(-1.137402--0.292434))+0-438.8--0.44757600000007</f>
        <v>1431.338544</v>
      </c>
      <c r="AB235" s="3">
        <f>922.4+(1147.1-257.2)+(-1.881696+(-2.340084--0.524688))+0-453.8--0.92575199999998</f>
        <v>1355.7286599999995</v>
      </c>
      <c r="AC235" s="3">
        <f>918.1+(1009.4-196.9)+(-2.341155+(-2.57397--0.502095))+0-452--1.15259999999993</f>
        <v>1275.3395699999999</v>
      </c>
      <c r="AD235" s="2">
        <v>1488.5000000000002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838.9+(855.7-90)+(-0.855678+(-0.872814--0.0918))+0-398.4--0.406368000000064</f>
        <v>1204.9696759999999</v>
      </c>
      <c r="G236" s="3">
        <f>833.8+(963-220.9)+(-1.700952+(-1.96452--0.450636))+0-414.2--0.844967999999982</f>
        <v>1159.3301319999998</v>
      </c>
      <c r="H236" s="3">
        <f>834+(1016.6-310.8)+(-0.42534+(-0.518466--0.158508))+0-413.9--0.211088999999958</f>
        <v>1125.3257909999998</v>
      </c>
      <c r="I236" s="3">
        <f>833.4+(947.8-254.7)+(-1.700136+(-1.933512--0.519588))+0-407.2--0.830687999999982</f>
        <v>1117.0166279999999</v>
      </c>
      <c r="J236" s="3">
        <f>833.3+(947.7-257.7)+(-2.124915+(-2.416635--0.657135))+0-398.2--1.01540999999994</f>
        <v>1122.2309949999999</v>
      </c>
      <c r="K236" s="3">
        <f>834.5+(803.6-120.5)+(1.70238+(1.639344-0.24582))+0-395.6-0.807023999999983</f>
        <v>1124.2888799999998</v>
      </c>
      <c r="L236" s="3">
        <f>834.4+(762.4-69.2)+(-1.276632+(-1.166472--0.105876))+0-391--0.598230000000023</f>
        <v>1134.8610019999999</v>
      </c>
      <c r="M236" s="3">
        <f>834.2+(832.2-59.8)+(-0.850884+(-0.848844--0.060996))+0-394.5--0.402390000000063</f>
        <v>1210.8636580000002</v>
      </c>
      <c r="N236" s="3">
        <f>872.2+(932.1-87.5)+(-1.334466+(-1.426113--0.133875))+0-393.3--0.601749000000023</f>
        <v>1321.4750450000001</v>
      </c>
      <c r="O236" s="3">
        <f>888.1+(1027.5-131.5)+(0+(0-0))+0-393.7-0</f>
        <v>1390.3999999999999</v>
      </c>
      <c r="P236" s="3">
        <f>924.4+(1006.2-105.5)+(0+(0-0))+0-392-0</f>
        <v>1433.1</v>
      </c>
      <c r="Q236" s="3">
        <f>922.4+(1052.6-126.8)+(-1.881696+(-2.147304--0.258672))+0-399.1--0.814163999999983</f>
        <v>1446.1438359999997</v>
      </c>
      <c r="R236" s="3">
        <f>920.4+(1050.6-156)+(-2.816424+(-3.214836--0.47736))+0-404.1--1.23654600000005</f>
        <v>1406.5826459999998</v>
      </c>
      <c r="S236" s="3">
        <f>920.9+(1196.1-339.6)+(-1.878636+(-2.440044--0.692784))+0-403.8--0.823751999999982</f>
        <v>1370.7978559999999</v>
      </c>
      <c r="T236" s="3">
        <f>922.6+(1104.5-233.8)+(-1.411578+(-1.689885--0.357714))+0-399.6--0.611388000000023</f>
        <v>1391.5676390000001</v>
      </c>
      <c r="U236" s="3">
        <f>922.2+(1062.9-186.9)+(-1.881288+(-2.168316--0.381276))+0-404--0.824159999999982</f>
        <v>1391.3558320000002</v>
      </c>
      <c r="V236" s="3">
        <f>967.2+(954.7-110.5)+(-0.986544+(-0.973794--0.11271))+0-400--0.408000000000064</f>
        <v>1409.9603720000002</v>
      </c>
      <c r="W236" s="3">
        <f>1172+(970.8-174.3)+(-1.79316+(-1.485324--0.266679))+0-405.3--0.620109000000023</f>
        <v>1560.8083039999999</v>
      </c>
      <c r="X236" s="3">
        <f>1197.6+(1005.8-169.3)+(-3.05388+(-2.56479--0.431715))+0-405.4--1.03376999999994</f>
        <v>1624.5468150000002</v>
      </c>
      <c r="Y236" s="3">
        <f>1198.6+(970.2-184.1)+(-1.833858+(-1.484406--0.281673))+0-403--0.616590000000023</f>
        <v>1579.2799989999999</v>
      </c>
      <c r="Z236" s="3">
        <f>1177.5+(988.6-207.6)+(-1.20105+(-1.008372--0.211752))+0-401.6--0.409632000000064</f>
        <v>1555.311962</v>
      </c>
      <c r="AA236" s="3">
        <f>1177.2+(924.5-182.1)+(-3.00186+(-2.357475--0.464355))+0-401.4--1.02356999999994</f>
        <v>1514.3285899999996</v>
      </c>
      <c r="AB236" s="3">
        <f>1159.1+(960.2-251)+(0+(0-0))+0-397.7-0</f>
        <v>1470.6</v>
      </c>
      <c r="AC236" s="3">
        <f>1011.1+(921.1-146.6)+(-2.578305+(-2.348805--0.37383))+0-397--1.01234999999994</f>
        <v>1385.0590699999998</v>
      </c>
      <c r="AD236" s="2">
        <v>1641.4999999999998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908.1+(1444.7-689.1)+(-1.389393+(-2.210391--1.054323))+0-394.5--0.603585000000023</f>
        <v>1267.2581240000002</v>
      </c>
      <c r="G237" s="3">
        <f>901.7+(1666.9-963)+(-0.919734+(-1.700238--0.98226))+0-396.8--0.404736000000063</f>
        <v>1207.5670240000002</v>
      </c>
      <c r="H237" s="3">
        <f>899.7+(1439.7-742.8)+(-0.458847+(-0.734247--0.378828))+0-399.9--0.203948999999959</f>
        <v>1196.0896829999999</v>
      </c>
      <c r="I237" s="3">
        <f>900.5+(1406.6-719.8)+(0.459255+(0.717366-0.367098))+0-401.2-0.204611999999959</f>
        <v>1186.7049109999998</v>
      </c>
      <c r="J237" s="3">
        <f>899.7+(1280.2-595.2)+(-0.458847+(-0.652902--0.303552))+0-400.3--0.204152999999959</f>
        <v>1183.7959559999999</v>
      </c>
      <c r="K237" s="3">
        <f>900.4+(1188.2-502.2)+(1.377612+(1.817946-0.768366))+0-399-0.610470000000023</f>
        <v>1189.2167220000001</v>
      </c>
      <c r="L237" s="3">
        <f>906.9+(1062.4-350.8)+(-1.850076+(-2.167296--0.715632))+0-398.5--0.812939999999983</f>
        <v>1217.5111999999999</v>
      </c>
      <c r="M237" s="3">
        <f>909.5+(939.5-162.2)+(0+(0-0))+0-399-0</f>
        <v>1287.8</v>
      </c>
      <c r="N237" s="3">
        <f>910.6+(950.1-63.7)+(0.464406+(0.484551-0.032487))+0-398.8-0.20338799999996</f>
        <v>1398.913082</v>
      </c>
      <c r="O237" s="3">
        <f>912.5+(1005-51.2)+(1.8615+(2.0502-0.104448))+0-402.8-0.821711999999982</f>
        <v>1466.4855400000001</v>
      </c>
      <c r="P237" s="3">
        <f>960.7+(1000.3-72.5)+(-0.489957+(-0.510153--0.036975))+0-404.3--0.206192999999959</f>
        <v>1483.4430580000001</v>
      </c>
      <c r="Q237" s="3">
        <f>1001.6+(989.6-93.3)+(-1.021632+(-1.009392--0.095166))+0-400.5--0.408510000000064</f>
        <v>1495.872652</v>
      </c>
      <c r="R237" s="3">
        <f>912+(1045.2-146)+(-0.46512+(-0.533052--0.07446))+0-398.7--0.20333699999996</f>
        <v>1411.7796249999999</v>
      </c>
      <c r="S237" s="3">
        <f>904.6+(985-121.8)+(-0.922692+(-1.0047--0.124236))+0-396.6--0.404532000000063</f>
        <v>1369.8013760000003</v>
      </c>
      <c r="T237" s="3">
        <f>904.9+(962.9-104.9)+(0.922998+(0.982158-0.106998))+0-392.1-0.399942000000063</f>
        <v>1372.1982160000002</v>
      </c>
      <c r="U237" s="3">
        <f>904.2+(961.1-89.8)+(-1.383426+(-1.470483--0.137394))+0-390.1--0.596853000000023</f>
        <v>1383.280338</v>
      </c>
      <c r="V237" s="3">
        <f>904.3+(954.4-78.4)+(-0.461193+(-0.486744--0.039984))+0-399.3--0.203642999999959</f>
        <v>1380.2956900000001</v>
      </c>
      <c r="W237" s="3">
        <f>1029.1+(1140.8-233.8)+(-0.524841+(-0.581808--0.119238))+0-392.3--0.20007299999996</f>
        <v>1543.0126619999999</v>
      </c>
      <c r="X237" s="3">
        <f>1219.5+(1068.8-268.4)+(-1.865835+(-1.635264--0.410652))+0-397.6--0.608328000000023</f>
        <v>1619.8178810000002</v>
      </c>
      <c r="Y237" s="3">
        <f>1225.7+(965.8-222.3)+(-3.125535+(-2.46279--0.566865))+0-397.7--1.01413499999994</f>
        <v>1567.492675</v>
      </c>
      <c r="Z237" s="3">
        <f>1131.1+(967.7-175.3)+(-2.307444+(-1.974108--0.357612))+0-395.8--0.807431999999983</f>
        <v>1524.5834920000002</v>
      </c>
      <c r="AA237" s="3">
        <f>1100.3+(984.8-166.9)+(-1.122306+(-1.004496--0.170238))+0-398.4--0.406368000000064</f>
        <v>1518.2498039999998</v>
      </c>
      <c r="AB237" s="3">
        <f>1090.6+(927-139.1)+(-2.78103+(-2.36385--0.354705))+0-395.4--1.00826999999994</f>
        <v>1479.3180949999999</v>
      </c>
      <c r="AC237" s="3">
        <f>981.1+(1049.3-250.1)+(-2.501805+(-2.675715--0.637755))+0-395.7--1.00903499999994</f>
        <v>1381.06927</v>
      </c>
      <c r="AD237" s="2">
        <v>1618.4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888.9+(1220.3-454.5)+(-1.813356+(-2.489412--0.92718))+0-386.9--0.789275999999983</f>
        <v>1265.2136879999998</v>
      </c>
      <c r="G238" s="3">
        <f>878.9+(1479.1-751.9)+(-0.448239+(-0.754341--0.383469))+0-387.4--0.197573999999961</f>
        <v>1218.0784630000001</v>
      </c>
      <c r="H238" s="3">
        <f>847.4+(1447.6-732.9)+(-0.864348+(-1.476552--0.747558))+0-387.5--0.395250000000062</f>
        <v>1173.401908</v>
      </c>
      <c r="I238" s="3">
        <f>895.2+(1395.9-737.5)+(-0.913104+(-1.423818--0.75225))+0-394.8--0.402696000000063</f>
        <v>1157.6180240000003</v>
      </c>
      <c r="J238" s="3">
        <f>908.5+(1316.2-675)+(-1.390005+(-2.013786--1.03275))+0-396.5--0.606645000000023</f>
        <v>1151.435604</v>
      </c>
      <c r="K238" s="3">
        <f>908.5+(1153.9-495.4)+(0+(0-0))+0-395.9-0</f>
        <v>1171.0999999999999</v>
      </c>
      <c r="L238" s="3">
        <f>909+(1027.3-345.8)+(-0.46359+(-0.523923--0.176358))+0-397.9--0.20292899999996</f>
        <v>1191.9917740000001</v>
      </c>
      <c r="M238" s="3">
        <f>908.2+(1073.6-336.8)+(-0.463182+(-0.547536--0.171768))+0-398.2--0.20308199999996</f>
        <v>1246.1641319999999</v>
      </c>
      <c r="N238" s="3">
        <f>927+(1019.7-234)+(-0.94554+(-1.040094--0.23868))+0-385.1--0.392802000000061</f>
        <v>1326.2458480000003</v>
      </c>
      <c r="O238" s="3">
        <f>1013.2+(919.4-140)+(-0.516732+(-0.468894--0.0714))+0-377.3--0.192422999999962</f>
        <v>1414.5781969999998</v>
      </c>
      <c r="P238" s="3">
        <f>1077+(906.8-164.1)+(1.09854+(0.924936-0.167382))+0-378.5-0.38607000000006</f>
        <v>1442.6700239999998</v>
      </c>
      <c r="Q238" s="3">
        <f>1009.1+(1063.8-225.8)+(-0.514641+(-0.542538--0.115158))+0-379.7--0.193646999999961</f>
        <v>1466.6516259999999</v>
      </c>
      <c r="R238" s="3">
        <f>946.4+(1060.9-206.9)+(-1.930656+(-2.164236--0.422076))+0-380.9--0.777035999999983</f>
        <v>1416.6042200000002</v>
      </c>
      <c r="S238" s="3">
        <f>911.6+(1018.8-129.1)+(-1.394748+(-1.558764--0.197523))+0-382.3--0.584919000000022</f>
        <v>1416.8289300000001</v>
      </c>
      <c r="T238" s="3">
        <f>912.6+(987.8-83)+(0.465426+(0.503778-0.04233))+0-388.2-0.197981999999961</f>
        <v>1429.9288920000001</v>
      </c>
      <c r="U238" s="3">
        <f>912.8+(1007.2-62.5)+(-0.465528+(-0.513672--0.031875))+0-441.1--0.224960999999955</f>
        <v>1415.6776359999999</v>
      </c>
      <c r="V238" s="3">
        <f>912.1+(1060-99.9)+(1.395513+(1.6218-0.152847))+0-387.5-0.592875000000022</f>
        <v>1486.971591</v>
      </c>
      <c r="W238" s="3">
        <f>957.7+(1205.4-166)+(-0.976854+(-1.229508--0.16932))+0-434.9--0.443598000000069</f>
        <v>1560.6065560000004</v>
      </c>
      <c r="X238" s="3">
        <f>1091.4+(1182.9-220.5)+(-2.226456+(-2.413116--0.44982))+0-429.8--0.876791999999981</f>
        <v>1620.68704</v>
      </c>
      <c r="Y238" s="3">
        <f>1077.2+(1188.4-261.8)+(-2.74686+(-3.03042--0.66759))+0-387.7--0.988634999999944</f>
        <v>1611.9789450000001</v>
      </c>
      <c r="Z238" s="3">
        <f>1043.1+(1088-197)+(-1.595943+(-1.66464--0.30141))+0-389.1--0.595323000000022</f>
        <v>1542.6361499999998</v>
      </c>
      <c r="AA238" s="3">
        <f>1045.4+(1016-155.1)+(-1.599462+(-1.55448--0.237303))+0-423.8--0.648414000000024</f>
        <v>1480.2317750000002</v>
      </c>
      <c r="AB238" s="3">
        <f>1043.2+(1011.1-196.8)+(-0.532032+(-0.515661--0.100368))+0-433.9--0.221288999999956</f>
        <v>1422.8739639999997</v>
      </c>
      <c r="AC238" s="3">
        <f>1016.6+(993.8-211.5)+(-1.555398+(-1.520514--0.323595))+0-430--0.657900000000025</f>
        <v>1366.8055830000001</v>
      </c>
      <c r="AD238" s="2">
        <v>1708.9999999999998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872.1+(1100.1-310)+(-0.444771+(-0.561051--0.1581))+0-419.3--0.213842999999957</f>
        <v>1242.2661209999999</v>
      </c>
      <c r="G239" s="3">
        <f>767.5+(1372.8-531.9)+(-0.78285+(-1.400256--0.542538))+0-431.1--0.439722000000069</f>
        <v>1176.099154</v>
      </c>
      <c r="H239" s="3">
        <f>769.3+(1376.6-530.5)+(0+(0-0))+0-433.8-0</f>
        <v>1181.5999999999999</v>
      </c>
      <c r="I239" s="3">
        <f>768.6+(1214.4-402.7)+(-0.783972+(-1.238688--0.410754))+0-433.8--0.442476000000069</f>
        <v>1145.3305700000003</v>
      </c>
      <c r="J239" s="3">
        <f>769.4+(1252.1-442.2)+(0+(0-0))+0-442.8-0</f>
        <v>1136.4999999999998</v>
      </c>
      <c r="K239" s="3">
        <f>769+(1056.8-249.5)+(-0.78438+(-1.077936--0.25449))+0-450.7--0.459714000000072</f>
        <v>1124.4518880000001</v>
      </c>
      <c r="L239" s="3">
        <f>768.9+(1012.8-220.9)+(-1.176417+(-1.549584--0.337977))+0-413.4--0.632502000000024</f>
        <v>1145.6444779999997</v>
      </c>
      <c r="M239" s="3">
        <f>812+(974.3-111.2)+(-0.82824+(-0.993786--0.113424))+0-441.5--0.45033000000007</f>
        <v>1232.3417280000001</v>
      </c>
      <c r="N239" s="3">
        <f>909.6+(1070.9-213)+(-1.855584+(-2.184636--0.43452))+0-381--0.777239999999983</f>
        <v>1383.6715399999998</v>
      </c>
      <c r="O239" s="3">
        <f>953.7+(941.7-87.7)+(0+(0-0))+0-415.4-0</f>
        <v>1392.3000000000002</v>
      </c>
      <c r="P239" s="3">
        <f>958.8+(945.3-96.8)+(-0.977976+(-0.964206--0.098736))+0-390.5--0.398310000000062</f>
        <v>1415.3548639999999</v>
      </c>
      <c r="Q239" s="3">
        <f>1000.2+(1067.5-185.8)+(-0.510102+(-0.544425--0.094758))+0-451.9--0.230468999999954</f>
        <v>1429.2706999999998</v>
      </c>
      <c r="R239" s="3">
        <f>1076.5+(936.8-171.4)+(-2.745075+(-2.38884--0.43707))+0-442.4--1.12811999999994</f>
        <v>1395.9312749999999</v>
      </c>
      <c r="S239" s="3">
        <f>1071.3+(1109.8-368.1)+(-0.546363+(-0.565998--0.187731))+0-396.3--0.20211299999996</f>
        <v>1415.9774830000001</v>
      </c>
      <c r="T239" s="3">
        <f>1013.7+(1426.2-556.7)+(-1.033974+(-1.454724--0.567834))+0-446.9--0.455838000000071</f>
        <v>1434.8349740000001</v>
      </c>
      <c r="U239" s="3">
        <f>960.4+(1300-398.6)+(-0.979608+(-1.326--0.406572))+0-451--0.460020000000072</f>
        <v>1409.3609839999999</v>
      </c>
      <c r="V239" s="3">
        <f>1048.8+(1476.5-587.2)+(-1.604664+(-2.259045--0.898416))+0-443.8--0.679014000000026</f>
        <v>1492.013721</v>
      </c>
      <c r="W239" s="3">
        <f>1086.1+(1626.3-721.7)+(-1.107822+(-1.658826--0.736134))+0-423--0.431460000000067</f>
        <v>1566.1009459999998</v>
      </c>
      <c r="X239" s="3">
        <f>1079.2+(1542.5-632.5)+(-2.201568+(-3.1467--1.2903))+0-406.1--0.828443999999982</f>
        <v>1579.8704759999998</v>
      </c>
      <c r="Y239" s="3">
        <f>1073.5+(1535.3-654.7)+(-2.18994+(-3.132012--1.335588))+0-415.1--0.846803999999982</f>
        <v>1535.8604399999997</v>
      </c>
      <c r="Z239" s="3">
        <f>1022.7+(1454.8-587.1)+(-2.607885+(-3.70974--1.497105))+17.8-417.5--1.06462499999994</f>
        <v>1486.944105</v>
      </c>
      <c r="AA239" s="3">
        <f>973+(1589.9-670.7)+(-1.48869+(-2.432547--1.026171))+0-436.8--0.668304000000025</f>
        <v>1453.1732380000001</v>
      </c>
      <c r="AB239" s="3">
        <f>962.5+(1627.2-747.6)+(-2.454375+(-4.14936--1.90638))+0-431.4--1.10006999999994</f>
        <v>1407.102715</v>
      </c>
      <c r="AC239" s="3">
        <f>884.6+(1324.1-442.6)+(-1.804584+(-2.701164--0.902904))+0-444.3--0.906371999999981</f>
        <v>1319.1035279999999</v>
      </c>
      <c r="AD239" s="2">
        <v>1598.3000000000002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886.4+(893.2-134.5)+(-1.356192+(-1.366596--0.205785))+0-433.9--0.663867000000025</f>
        <v>1209.3468639999999</v>
      </c>
      <c r="G240" s="3">
        <f>886.1+(894-203.7)+(-1.355733+(-1.36782--0.311661))+0-442.6--0.677178000000026</f>
        <v>1132.065286</v>
      </c>
      <c r="H240" s="3">
        <f>886+(815.1-150.5)+(-0.45186+(-0.415701--0.076755))+0-434.5--0.221594999999956</f>
        <v>1115.5307889999999</v>
      </c>
      <c r="I240" s="3">
        <f>886.5+(779.4-123.2)+(-0.452115+(-0.397494--0.062832))+0-430.9--0.219758999999956</f>
        <v>1111.232982</v>
      </c>
      <c r="J240" s="3">
        <f>886.5+(770-130.9)+(-0.90423+(-0.7854--0.133518))+0-420.3--0.428706000000067</f>
        <v>1104.1725940000001</v>
      </c>
      <c r="K240" s="3">
        <f>888.1+(830.8-179.2)+(1.358793+(1.271124-0.274176))+0-430-0.657900000000025</f>
        <v>1111.397841</v>
      </c>
      <c r="L240" s="3">
        <f>886.8+(781.6-103.7)+(-0.452268+(-0.398616--0.052887))+0-437.4--0.223073999999956</f>
        <v>1126.7250770000001</v>
      </c>
      <c r="M240" s="3">
        <f>887.9+(838.7-116.5)+(0.905658+(0.855474-0.11883))+0-407.5-0.415650000000065</f>
        <v>1203.8266519999997</v>
      </c>
      <c r="N240" s="3">
        <f>888.2+(939.5-132.9)+(0.905964+(0.95829-0.135558))+0-408.9-0.417078000000065</f>
        <v>1287.211618</v>
      </c>
      <c r="O240" s="3">
        <f>889.6+(1193.5-328.2)+(-0.907392+(-1.21737--0.334764))+0-388.4--0.396168000000062</f>
        <v>1365.1061700000002</v>
      </c>
      <c r="P240" s="3">
        <f>931.3+(1423-565.5)+(-0.949926+(-1.45146--0.57681))+0-396.5--0.404430000000063</f>
        <v>1390.879854</v>
      </c>
      <c r="Q240" s="3">
        <f>981.3+(1368-529.9)+(1.000926+(1.39536-0.540498))+0-395.1-0.403002000000063</f>
        <v>1425.752786</v>
      </c>
      <c r="R240" s="3">
        <f>1047.1+(1393.2-677.5)+(-2.136084+(-2.842128--1.3821))+0-402.4--0.820895999999982</f>
        <v>1357.6247839999999</v>
      </c>
      <c r="S240" s="3">
        <f>971.8+(1373.3-587.5)+(0+(0-0))+0-430-0</f>
        <v>1327.6</v>
      </c>
      <c r="T240" s="3">
        <f>892.4+(1389.3-557.9)+(-0.455124+(-0.708543--0.284529))+0-431--0.219809999999956</f>
        <v>1292.140672</v>
      </c>
      <c r="U240" s="3">
        <f>889.3+(1456-571.3)+(0+(0-0))+0-403.3-0</f>
        <v>1370.7</v>
      </c>
      <c r="V240" s="3">
        <f>894.6+(1337.6-447.1)+(0.456246+(0.682176-0.228021))+0-402.6-0.205325999999959</f>
        <v>1383.2050750000001</v>
      </c>
      <c r="W240" s="3">
        <f>1035.9+(1447.6-549.8)+(0.528309+(0.738276-0.280398))+0-408-0.208079999999959</f>
        <v>1526.4781070000001</v>
      </c>
      <c r="X240" s="3">
        <f>1036.6+(1390.6-470.4)+(-3.171996+(-4.255236--1.439424))+0-390.9--1.19615400000005</f>
        <v>1561.1083459999998</v>
      </c>
      <c r="Y240" s="3">
        <f>1037.4+(1496.2-609.3)+(-0.529074+(-0.763062--0.310743))+0-393.7--0.20078699999996</f>
        <v>1529.8193940000001</v>
      </c>
      <c r="Z240" s="3">
        <f>1036.1+(1324.4-475)+(-2.113644+(-2.701776--0.969))+0-396.2--0.808247999999983</f>
        <v>1486.2618279999999</v>
      </c>
      <c r="AA240" s="3">
        <f>1035.7+(1194.1-333.8)+(-1.584621+(-1.826973--0.510714))+0-403.6--0.617508000000023</f>
        <v>1490.116628</v>
      </c>
      <c r="AB240" s="3">
        <f>904.8+(1318.2-384.2)+(-1.845792+(-2.689128--0.783768))+0-402.7--0.821507999999982</f>
        <v>1433.1703559999999</v>
      </c>
      <c r="AC240" s="3">
        <f>888.1+(1350.4-471.4)+(-1.358793+(-2.066112--0.721242))+0-397.9--0.608787000000023</f>
        <v>1367.1051240000002</v>
      </c>
      <c r="AD240" s="2">
        <v>1514.7999999999997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887.7+(999.5-228.7)+(-2.263635+(-2.548725--0.583185))+0-387.4--0.987869999999944</f>
        <v>1267.8586949999999</v>
      </c>
      <c r="G241" s="3">
        <f>888+(718.8-13)+(-2.2644+(-1.83294--0.03315))+0-400.4--1.02101999999994</f>
        <v>1190.3568299999999</v>
      </c>
      <c r="H241" s="3">
        <f>887.5+(668.4-31.6)+(-1.357875+(-1.022652--0.048348))+0-385.8--0.590274000000022</f>
        <v>1136.7580949999999</v>
      </c>
      <c r="I241" s="3">
        <f>888.2+(697.4-57.2)+(0.452982+(0.355674-0.029172))+0-388.9-0.198338999999961</f>
        <v>1140.0811450000001</v>
      </c>
      <c r="J241" s="3">
        <f>887.7+(671.7-52.2)+(0+(0-0))+0-392.3-0</f>
        <v>1114.9000000000001</v>
      </c>
      <c r="K241" s="3">
        <f>887.2+(678.1-32)+(0+(0-0))+0-400.8-0</f>
        <v>1132.5000000000002</v>
      </c>
      <c r="L241" s="3">
        <f>888.3+(699.7-68.4)+(-1.812132+(-1.427388--0.139536))+0-397.5--0.810899999999983</f>
        <v>1119.8109159999999</v>
      </c>
      <c r="M241" s="3">
        <f>887.8+(744-52.6)+(-0.905556+(-0.75888--0.053652))+0-406.2--0.414324000000065</f>
        <v>1171.8035399999999</v>
      </c>
      <c r="N241" s="3">
        <f>888.1+(923.7-124.7)+(0.905862+(0.942174-0.127194))+0-406.5-0.414630000000065</f>
        <v>1281.9062119999999</v>
      </c>
      <c r="O241" s="3">
        <f>889.2+(1205.6-327.9)+(0+(0-0))+0-407.1-0</f>
        <v>1359.8000000000002</v>
      </c>
      <c r="P241" s="3">
        <f>888.3+(1320-422.6)+(-1.359099+(-2.0196--0.646578))+0-404--0.618120000000023</f>
        <v>1379.5859989999999</v>
      </c>
      <c r="Q241" s="3">
        <f>887.6+(1536.9-644)+(-1.810704+(-3.135276--1.31376))+0-396.3--0.808451999999983</f>
        <v>1381.3762320000001</v>
      </c>
      <c r="R241" s="3">
        <f>889.1+(1414.1-561.8)+(-1.360323+(-2.163573--0.859554))+0-403.2--0.616896000000023</f>
        <v>1336.152554</v>
      </c>
      <c r="S241" s="3">
        <f>889+(1271.8-454.8)+(-1.81356+(-2.594472--0.927792))+0-404.5--0.825179999999982</f>
        <v>1298.84494</v>
      </c>
      <c r="T241" s="3">
        <f>888.7+(1329.8-504.2)+(0.906474+(1.356396-0.514284))+0-405.9-0.414018000000065</f>
        <v>1309.7345679999996</v>
      </c>
      <c r="U241" s="3">
        <f>888.6+(1566.5-761)+(-1.359558+(-2.396745--1.16433))+0-407.4--0.623322000000023</f>
        <v>1284.7313489999997</v>
      </c>
      <c r="V241" s="3">
        <f>926.3+(1601.3-805.2)+(0+(0-0))+0-454.1-0</f>
        <v>1268.2999999999997</v>
      </c>
      <c r="W241" s="3">
        <f>1068+(1610.3-842.4)+(-1.63404+(-2.463759--1.288872))+0-428--0.654840000000025</f>
        <v>1405.745913</v>
      </c>
      <c r="X241" s="3">
        <f>1157.6+(1734-966.2)+(-1.180752+(-1.76868--0.985524))+0-431.9--0.440538000000069</f>
        <v>1491.9766299999999</v>
      </c>
      <c r="Y241" s="3">
        <f>1158.2+(1825.5-1082.4)+(0+(0-0))+0-460.1-0</f>
        <v>1441.1999999999998</v>
      </c>
      <c r="Z241" s="3">
        <f>1129.6+(2039.3-1304.7)+(0+(0-0))+0-457.5-0</f>
        <v>1406.6999999999998</v>
      </c>
      <c r="AA241" s="3">
        <f>1025.1+(2042.8-1218.4)+(-1.568403+(-3.125484--1.864152))+0-445--0.680850000000026</f>
        <v>1402.3511149999997</v>
      </c>
      <c r="AB241" s="3">
        <f>916.3+(2114.1-1231.5)+(0+(0-0))+0-438-0</f>
        <v>1360.8999999999999</v>
      </c>
      <c r="AC241" s="3">
        <f>887.4+(1960.6-1096.2)+(-1.810296+(-3.999624--2.236248))+0-448.5--0.91493999999998</f>
        <v>1300.6412679999996</v>
      </c>
      <c r="AD241" s="2">
        <v>1508.6000000000001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820.5+(1377.2-536.5)+(-0.418455+(-0.702372--0.273615))+0-457--0.233069999999954</f>
        <v>1203.5858580000001</v>
      </c>
      <c r="G242" s="3">
        <f>816.8+(1097-316.8)+(-0.833136+(-1.11894--0.323136))+0-459.9--0.469098000000073</f>
        <v>1135.9401579999999</v>
      </c>
      <c r="H242" s="3">
        <f>815.8+(985.9-247.1)+(-2.08029+(-2.514045--0.630105))+0-455.4--1.16126999999993</f>
        <v>1096.3970399999996</v>
      </c>
      <c r="I242" s="3">
        <f>816.5+(868.8-173.7)+(-0.83283+(-0.886176--0.177174))+0-451.9--0.460938000000072</f>
        <v>1058.6191060000001</v>
      </c>
      <c r="J242" s="3">
        <f>760.5+(841-69.7)+(0+(0-0))+0-454.4-0</f>
        <v>1077.4000000000001</v>
      </c>
      <c r="K242" s="3">
        <f>696+(848.8-32.5)+(0+(0-0))+0-448.9-0</f>
        <v>1063.4000000000001</v>
      </c>
      <c r="L242" s="3">
        <f>697+(831.3-28.5)+(-1.77735+(-2.119815--0.072675))+0-403.2--1.02815999999994</f>
        <v>1093.8036699999998</v>
      </c>
      <c r="M242" s="3">
        <f>699.8+(807.3-39.2)+(-0.713796+(-0.823446--0.039984))+0-454--0.463080000000072</f>
        <v>1012.8658219999999</v>
      </c>
      <c r="N242" s="3">
        <f>786.2+(943.7-185.9)+(1.202886+(1.443861-0.284427))+0-451.3-0.690489000000026</f>
        <v>1094.3718309999999</v>
      </c>
      <c r="O242" s="3">
        <f>816.8+(923.1-172.5)+(-0.833136+(-0.941562--0.17595))+0-446.7--0.455634000000071</f>
        <v>1119.5568860000003</v>
      </c>
      <c r="P242" s="3">
        <f>846.4+(1318.8-545)+(0.863328+(1.345176-0.5559))+0-434.2-0.442884000000069</f>
        <v>1187.2097199999998</v>
      </c>
      <c r="Q242" s="3">
        <f>897.6+(1120.1-366)+(-2.28888+(-2.856255--0.9333))+0-452.1--1.15285499999993</f>
        <v>1196.5410199999997</v>
      </c>
      <c r="R242" s="3">
        <f>897.6+(1140.4-460.2)+(-3.204432+(-4.071228--1.642914))+0-439.7--1.56972900000001</f>
        <v>1134.0369830000002</v>
      </c>
      <c r="S242" s="3">
        <f>900.9+(955.9-275)+(-1.378377+(-1.462527--0.42075))+0-426.6--0.652698000000025</f>
        <v>1153.432544</v>
      </c>
      <c r="T242" s="3">
        <f>902.6+(812.7-154.1)+(-1.380978+(-1.243431--0.235773))+0-428.9--0.656217000000025</f>
        <v>1130.567581</v>
      </c>
      <c r="U242" s="3">
        <f>903+(843.9-194.1)+(0+(0-0))+0-391.6-0</f>
        <v>1161.1999999999998</v>
      </c>
      <c r="V242" s="3">
        <f>902.8+(1223.3-510.2)+(-0.920856+(-1.247766--0.520404))+0-437.6--0.44635200000007</f>
        <v>1177.0981340000001</v>
      </c>
      <c r="W242" s="3">
        <f>996.4+(1430.5-642.3)+(0+(0-0))+0-433.3-0</f>
        <v>1351.3</v>
      </c>
      <c r="X242" s="3">
        <f>1080+(1517.6-727.3)+(-2.2032+(-3.095904--1.483692))+0-435--0.887399999999981</f>
        <v>1432.3719880000001</v>
      </c>
      <c r="Y242" s="3">
        <f>1100.5+(1509.7-776.4)+(0+(0-0))+0-447.3-0</f>
        <v>1386.5000000000002</v>
      </c>
      <c r="Z242" s="3">
        <f>1100.9+(1624.2-892.5)+(-1.684377+(-2.485026--1.365525))+0-429.6--0.657288000000025</f>
        <v>1400.8534100000004</v>
      </c>
      <c r="AA242" s="3">
        <f>1086.2+(1590.8-827.9)+(0+(0-0))+0-441.1-0</f>
        <v>1408</v>
      </c>
      <c r="AB242" s="3">
        <f>965.3+(1800.2-963.4)+(-1.476909+(-2.754306--1.474002))+0-448.7--0.686511000000026</f>
        <v>1351.3292979999999</v>
      </c>
      <c r="AC242" s="3">
        <f>908.3+(1847-988.8)+(-1.852932+(-3.76788--2.017152))+0-452.7--0.92350799999998</f>
        <v>1311.119848</v>
      </c>
      <c r="AD242" s="2">
        <v>1455.1999999999998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897.5+(1343.5-602.2)+(-0.457725+(-0.685185--0.307122))+0-445.8--0.227357999999955</f>
        <v>1192.3915699999998</v>
      </c>
      <c r="G243" s="3">
        <f>856.1+(889.4-187)+(-0.873222+(-0.907188--0.19074))+0-452.6--0.461652000000072</f>
        <v>1104.771982</v>
      </c>
      <c r="H243" s="3">
        <f>854.1+(742.3-77.1)+(-2.613546+(-2.271438--0.235926))+0-446.7--1.36690200000005</f>
        <v>1069.3178439999999</v>
      </c>
      <c r="I243" s="3">
        <f>856.6+(833.3-185.8)+(0.873732+(0.849966-0.189516))+0-446.3-0.455226000000071</f>
        <v>1058.878956</v>
      </c>
      <c r="J243" s="3">
        <f>855.4+(841.8-193.8)+(-0.872508+(-0.858636--0.197676))+0-458.4--0.467568000000073</f>
        <v>1043.9340999999999</v>
      </c>
      <c r="K243" s="3">
        <f>854+(859.5-205.8)+(-0.87108+(-0.87669--0.209916))+0-439.4--0.44818800000007</f>
        <v>1067.2103340000001</v>
      </c>
      <c r="L243" s="3">
        <f>852.1+(946.8-225.1)+(-2.172855+(-2.41434--0.574005))+0-438.9--1.11919499999994</f>
        <v>1132.006005</v>
      </c>
      <c r="M243" s="3">
        <f>854.6+(866.5-97.7)+(-0.871692+(-0.88383--0.099654))+0-454--0.463080000000072</f>
        <v>1168.207212</v>
      </c>
      <c r="N243" s="3">
        <f>854.4+(1015.5-147.2)+(-1.307232+(-1.553715--0.225216))+0-450.8--0.689724000000026</f>
        <v>1269.9539929999999</v>
      </c>
      <c r="O243" s="3">
        <f>853.5+(1199.5-263.7)+(-1.74114+(-2.44698--0.537948))+0-430.1--0.877403999999981</f>
        <v>1356.4272319999998</v>
      </c>
      <c r="P243" s="3">
        <f>856+(1506.7-558.4)+(-0.43656+(-0.768417--0.284784))+0-414.9--0.211598999999958</f>
        <v>1388.6914060000001</v>
      </c>
      <c r="Q243" s="3">
        <f>938.9+(1445.4-569.8)+(-0.478839+(-0.737154--0.290598))+0-410.8--0.209507999999958</f>
        <v>1402.984113</v>
      </c>
      <c r="R243" s="3">
        <f>943.1+(1492.5-659.8)+(-2.404905+(-3.805875--1.68249))+0-403.9--1.02994499999994</f>
        <v>1368.4016550000003</v>
      </c>
      <c r="S243" s="3">
        <f>951.2+(1441-633.2)+(0+(0-0))+0-419.5-0</f>
        <v>1339.5</v>
      </c>
      <c r="T243" s="3">
        <f>952+(1394.6-571.8)+(0+(0-0))+0-417.2-0</f>
        <v>1357.6</v>
      </c>
      <c r="U243" s="3">
        <f>949.9+(1440.2-626.5)+(-0.484449+(-0.734502--0.319515))+0-417.2--0.212771999999958</f>
        <v>1345.7133359999998</v>
      </c>
      <c r="V243" s="3">
        <f>959.9+(1677.1-848.9)+(0+(0-0))+0-420.4-0</f>
        <v>1367.6999999999998</v>
      </c>
      <c r="W243" s="3">
        <f>1013.9+(1974.7-1063.2)+(1.034178+(2.014194-1.084464))+0-418-0.426360000000067</f>
        <v>1508.9375479999999</v>
      </c>
      <c r="X243" s="3">
        <f>1013.5+(2280.1-1296)+(-2.584425+(-5.814255--3.3048))+0-419.7--1.07023499999994</f>
        <v>1573.8763549999999</v>
      </c>
      <c r="Y243" s="3">
        <f>1021+(2031.5-1112)+(-1.04142+(-2.07213--1.13424))+0-411.4--0.419628000000066</f>
        <v>1527.5403180000003</v>
      </c>
      <c r="Z243" s="3">
        <f>1018+(1902.2-1010.1)+(-1.55754+(-2.910366--1.545453))+0-418.2--0.639846000000024</f>
        <v>1489.617393</v>
      </c>
      <c r="AA243" s="3">
        <f>1016.3+(1848.1-967.7)+(-2.591565+(-4.712655--2.467635))+0-429.7--1.09573499999994</f>
        <v>1463.2591499999996</v>
      </c>
      <c r="AB243" s="3">
        <f>953.5+(1868.4-970.8)+(0.486285+(0.952884-0.495108))+0-419.4-0.213893999999957</f>
        <v>1432.430167</v>
      </c>
      <c r="AC243" s="3">
        <f>822+(1724-741.5)+(-2.0961+(-4.3962--1.890825))+0-433--1.10414999999994</f>
        <v>1368.002675</v>
      </c>
      <c r="AD243" s="2">
        <v>1617.8000000000002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820.1+(1058.8-205.3)+(-1.254753+(-1.619964--0.314109))+0-433.7--0.663561000000025</f>
        <v>1238.0029529999999</v>
      </c>
      <c r="G244" s="3">
        <f>812+(847.7-66.6)+(-2.0706+(-2.161635--0.16983))+0-430.9--1.09879499999994</f>
        <v>1159.23639</v>
      </c>
      <c r="H244" s="3">
        <f>812.8+(845-64.8)+(0.829056+(0.8619-0.066096))+0-434.6-0.443292000000069</f>
        <v>1159.5815679999998</v>
      </c>
      <c r="I244" s="3">
        <f>813.4+(789.1-31.7)+(0+(0-0))+0-430-0</f>
        <v>1140.8</v>
      </c>
      <c r="J244" s="3">
        <f>812.5+(808.3-82.7)+(0.414375+(0.412233-0.042177))+0-435.3-0.222002999999956</f>
        <v>1103.3624280000001</v>
      </c>
      <c r="K244" s="3">
        <f>813.3+(805-66.6)+(-1.244349+(-1.23165--0.101898))+0-384.3--0.587979000000022</f>
        <v>1165.6138779999999</v>
      </c>
      <c r="L244" s="3">
        <f>812.7+(813.9-41.1)+(-0.414477+(-0.415089--0.020961))+0-429.7--0.219146999999956</f>
        <v>1155.210542</v>
      </c>
      <c r="M244" s="3">
        <f>813+(867.9-51.7)+(-1.24389+(-1.327887--0.079101))+0-420.8--0.643824000000024</f>
        <v>1206.5511479999998</v>
      </c>
      <c r="N244" s="3">
        <f>812.9+(1005.5-72.3)+(-0.829158+(-1.02561--0.073746))+0-432.1--0.440742000000069</f>
        <v>1312.6597199999999</v>
      </c>
      <c r="O244" s="3">
        <f>816.8+(1172.8-204.8)+(-0.833136+(-1.196256--0.208896))+0-425.4--0.433908000000068</f>
        <v>1358.0134119999998</v>
      </c>
      <c r="P244" s="3">
        <f>940.5+(1400.8-520.4)+(-2.398275+(-3.57204--1.32702))+0-377.6--0.962879999999945</f>
        <v>1439.6195849999999</v>
      </c>
      <c r="Q244" s="3">
        <f>950+(1811.7-932.5)+(-2.4225+(-4.619835--2.377875))+0-418.9--1.06819499999994</f>
        <v>1406.7037350000001</v>
      </c>
      <c r="R244" s="3">
        <f>946.9+(1835.4-999.8)+(-1.448757+(-2.808162--1.529694))+0-421.1--0.644283000000024</f>
        <v>1359.3170580000001</v>
      </c>
      <c r="S244" s="3">
        <f>946.7+(1741.2-947.6)+(-0.965634+(-1.776024--0.966552))+0-377.5--0.38505000000006</f>
        <v>1361.4099440000002</v>
      </c>
      <c r="T244" s="3">
        <f>957.7+(2033.7-1142.6)+(0.488427+(1.037187-0.582726))+0-455.9-0.232508999999954</f>
        <v>1393.6103790000002</v>
      </c>
      <c r="U244" s="3">
        <f>951.4+(1883.8-1067.7)+(0.970428+(1.921476-1.089054))+0-416.8-0.425136000000066</f>
        <v>1352.077714</v>
      </c>
      <c r="V244" s="3">
        <f>1008+(2055.3-1272.3)+(0+(0-0))+0-373.6-0</f>
        <v>1417.4</v>
      </c>
      <c r="W244" s="3">
        <f>1194.9+(2404.2-1632.7)+(-0.609399+(-1.226142--0.832677))+0-422.1--0.215270999999957</f>
        <v>1543.5124069999997</v>
      </c>
      <c r="X244" s="3">
        <f>1211.1+(2346.3-1551.3)+(-0.617661+(-1.196613--0.791163))+0-371.8--0.189617999999962</f>
        <v>1633.4665070000001</v>
      </c>
      <c r="Y244" s="3">
        <f>1211.2+(2035.6-1308.3)+(-0.617712+(-1.038156--0.667233))+0-377.2--0.192371999999962</f>
        <v>1560.503737</v>
      </c>
      <c r="Z244" s="3">
        <f>1197.2+(1885.8-1190.5)+(-1.221144+(-1.923516--1.21431))+0-380--0.387600000000061</f>
        <v>1510.9572499999999</v>
      </c>
      <c r="AA244" s="3">
        <f>1084.3+(2080.9-1267)+(-0.552993+(-1.061259--0.64617))+0-417.4--0.212873999999958</f>
        <v>1480.0447919999999</v>
      </c>
      <c r="AB244" s="3">
        <f>1078.3+(2051.6-1261.8)+(-2.749665+(-5.23158--3.21759))+0-433.4--1.10516999999994</f>
        <v>1431.0415150000001</v>
      </c>
      <c r="AC244" s="3">
        <f>957.3+(1904.5-1065.1)+(-1.464669+(-2.913885--1.629603))+0-427.5--0.654075000000025</f>
        <v>1367.1051239999999</v>
      </c>
      <c r="AD244" s="2">
        <v>1588.8000000000002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855.1+(1546.3-730.3)+(-0.872202+(-1.577226--0.744906))+0-440.3--0.44910600000007</f>
        <v>1229.544584</v>
      </c>
      <c r="G245" s="3">
        <f>849.5+(1030.7-273.2)+(-2.166225+(-2.628285--0.69666))+0-421.9--1.07584499999994</f>
        <v>1182.0779949999996</v>
      </c>
      <c r="H245" s="3">
        <f>816+(895.2-145.6)+(0.41616+(0.456552-0.074256))+0-426-0.217259999999957</f>
        <v>1140.181196</v>
      </c>
      <c r="I245" s="3">
        <f>816.9+(838.8-87.3)+(-2.083095+(-2.13894--0.222615))+0-438.8--1.11893999999994</f>
        <v>1126.7195199999999</v>
      </c>
      <c r="J245" s="3">
        <f>817+(921.1-163)+(-0.41667+(-0.469761--0.08313))+0-444.6--0.226745999999955</f>
        <v>1129.9234450000001</v>
      </c>
      <c r="K245" s="3">
        <f>816.9+(937.1-200.8)+(-0.416619+(-0.477921--0.102408))+0-387.6--0.197675999999961</f>
        <v>1165.0055439999999</v>
      </c>
      <c r="L245" s="3">
        <f>816.6+(1041-276.3)+(0.832932+(1.06182-0.281826))+0-388.8-0.396576000000062</f>
        <v>1193.7163500000001</v>
      </c>
      <c r="M245" s="3">
        <f>816.5+(1103.9-277.4)+(0.416415+(0.562989-0.141474))+0-387.1-0.197420999999961</f>
        <v>1256.5405089999999</v>
      </c>
      <c r="N245" s="3">
        <f>815.7+(1380.8-467.6)+(0+(0-0))+0-382.8-0</f>
        <v>1346.1000000000001</v>
      </c>
      <c r="O245" s="3">
        <f>817.7+(1522.3-503.3)+(-1.668108+(-3.105492--1.026732))+0-386.1--0.787643999999983</f>
        <v>1447.6407760000002</v>
      </c>
      <c r="P245" s="3">
        <f>905+(1602-665.7)+(-1.8462+(-3.26808--1.358028))+0-373.5--0.761939999999984</f>
        <v>1464.8056880000001</v>
      </c>
      <c r="Q245" s="3">
        <f>950.8+(1626.1-711.9)+(-0.484908+(-0.829311--0.363069))+0-382.6--0.195125999999961</f>
        <v>1481.6439759999998</v>
      </c>
      <c r="R245" s="3">
        <f>945.3+(1651.1-759)+(-1.928412+(-3.368244--1.54836))+0-377--0.769079999999984</f>
        <v>1457.4207839999999</v>
      </c>
      <c r="S245" s="3">
        <f>949.9+(1483-667)+(-0.484449+(-0.75633--0.34017))+0-372--0.189719999999962</f>
        <v>1393.1891109999999</v>
      </c>
      <c r="T245" s="3">
        <f>948.9+(1521.9-600)+(-1.451817+(-2.328507--0.918))+0-377--0.576810000000022</f>
        <v>1491.5144860000003</v>
      </c>
      <c r="U245" s="3">
        <f>950.4+(1468.9-608.7)+(-0.484704+(-0.749139--0.310437))+0-382.8--0.195227999999961</f>
        <v>1427.0718220000001</v>
      </c>
      <c r="V245" s="3">
        <f>1006.6+(1670.6-813.9)+(1.540098+(2.556018-1.245267))+0-388.5-0.594405000000023</f>
        <v>1477.0564439999998</v>
      </c>
      <c r="W245" s="3">
        <f>1178.1+(2174.9-1413.6)+(-3.004155+(-5.545995--3.60468))+0-367.5--0.937124999999947</f>
        <v>1567.8916550000001</v>
      </c>
      <c r="X245" s="3">
        <f>1190.5+(2117.4-1334.6)+(-2.42862+(-4.319496--2.722584))+0-376.3--0.767651999999984</f>
        <v>1593.7421200000001</v>
      </c>
      <c r="Y245" s="3">
        <f>1167.7+(2071.6-1324.6)+(-2.977635+(-5.28258--3.37773))+0-366.3--0.934064999999947</f>
        <v>1544.4515799999999</v>
      </c>
      <c r="Z245" s="3">
        <f>1046.4+(2080.5-1262.3)+(-2.134656+(-4.24422--2.575092))+0-366.3--0.747251999999984</f>
        <v>1495.2434680000001</v>
      </c>
      <c r="AA245" s="3">
        <f>950.8+(1788.1-889.8)+(-0.484908+(-0.911931--0.453798))+0-375.1--0.191300999999962</f>
        <v>1473.2482600000001</v>
      </c>
      <c r="AB245" s="3">
        <f>838.5+(1897.5-938.6)+(-1.282905+(-2.903175--1.436058))+0-409.6--0.626688000000024</f>
        <v>1385.6766660000001</v>
      </c>
      <c r="AC245" s="3">
        <f>815.5+(1615.6-668.9)+(-1.66362+(-3.295824--1.364556))+0-421.3--0.859451999999982</f>
        <v>1338.1645639999997</v>
      </c>
      <c r="AD245" s="2">
        <v>1617.6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814.6+(1111.6-297.3)+(0.830892+(1.133832-0.303246))+0-412.3-0.420546000000066</f>
        <v>1217.8409320000001</v>
      </c>
      <c r="G246" s="3">
        <f>814.6+(998-193.2)+(-0.830892+(-1.01796--0.197064))+0-409.1--0.417282000000065</f>
        <v>1209.0654940000002</v>
      </c>
      <c r="H246" s="3">
        <f>814.2+(856.2-71.2)+(-0.830484+(-0.873324--0.072624))+0-425.9--0.434418000000068</f>
        <v>1172.1032339999999</v>
      </c>
      <c r="I246" s="3">
        <f>814.6+(817.9-48)+(0.830892+(0.834258-0.04896))+0-424.3-0.432786000000068</f>
        <v>1161.3834039999999</v>
      </c>
      <c r="J246" s="3">
        <f>814.7+(846.8-73.2)+(-0.415497+(-0.431868--0.037332))+0-426.1--0.217310999999957</f>
        <v>1161.607278</v>
      </c>
      <c r="K246" s="3">
        <f>815.2+(816.9-43.3)+(2.07876+(2.083095-0.110415))+0-427-1.08884999999994</f>
        <v>1164.7625900000003</v>
      </c>
      <c r="L246" s="3">
        <f>814.1+(879.9-81.3)+(0+(0-0))+0-440.5-0</f>
        <v>1172.2</v>
      </c>
      <c r="M246" s="3">
        <f>814+(926-66.6)+(0.83028+(0.94452-0.067932))+0-385-0.392700000000061</f>
        <v>1289.714168</v>
      </c>
      <c r="N246" s="3">
        <f>815+(1088.3-134.5)+(1.24695+(1.665099-0.205785))+0-433.7-0.663561000000025</f>
        <v>1337.1427029999998</v>
      </c>
      <c r="O246" s="3">
        <f>828.4+(1172.4-144.5)+(-0.422484+(-0.597924--0.073695))+0-433.7--0.221186999999956</f>
        <v>1421.874474</v>
      </c>
      <c r="P246" s="3">
        <f>828.4+(1239.1-270)+(0+(0-0))+0-434.4-0</f>
        <v>1363.1</v>
      </c>
      <c r="Q246" s="3">
        <f>856.5+(1415-457.1)+(-0.436815+(-0.72165--0.233121))+0-428.4--0.218483999999957</f>
        <v>1385.2931400000002</v>
      </c>
      <c r="R246" s="3">
        <f>855.6+(1560.8-623.1)+(-3.054492+(-5.572056--2.224467))+0-433.8--1.54866600000001</f>
        <v>1354.646585</v>
      </c>
      <c r="S246" s="3">
        <f>854.9+(1277.9-288)+(0.435999+(0.651729-0.14688))+0-447.8-0.228377999999955</f>
        <v>1397.7124700000002</v>
      </c>
      <c r="T246" s="3">
        <f>856.1+(1226.6-249.1)+(-1.309833+(-1.876698--0.381123))+0-447.1--0.684063000000026</f>
        <v>1384.3786549999998</v>
      </c>
      <c r="U246" s="3">
        <f>855.8+(1119.8-140.2)+(0.436458+(0.571098-0.071502))+0-423.7-0.216086999999957</f>
        <v>1412.4199669999998</v>
      </c>
      <c r="V246" s="3">
        <f>900.5+(1443.2-438.3)+(-1.377765+(-2.208096--0.670599))+0-428.1--0.654993000000025</f>
        <v>1475.0397310000003</v>
      </c>
      <c r="W246" s="3">
        <f>1104.3+(1466.9-559.4)+(-2.252772+(-2.992476--1.141176))+0-423.1--0.863123999999982</f>
        <v>1585.4590520000002</v>
      </c>
      <c r="X246" s="3">
        <f>1189.2+(1458.4-596.4)+(-2.425968+(-2.975136--1.216656))+0-426.9--0.870875999999981</f>
        <v>1620.9864280000002</v>
      </c>
      <c r="Y246" s="3">
        <f>1191.3+(1168.4-363.8)+(-3.037815+(-2.97942--0.92769))+0-425.6--1.08527999999994</f>
        <v>1566.2957349999999</v>
      </c>
      <c r="Z246" s="3">
        <f>1183.1+(1041.8-299.8)+(-1.810143+(-1.593954--0.458694))+0-427.2--0.653616000000025</f>
        <v>1495.608213</v>
      </c>
      <c r="AA246" s="3">
        <f>1184.8+(987.5-293.3)+(-1.208496+(-1.00725--0.299166))+0-394.9--0.402798000000063</f>
        <v>1482.5862179999999</v>
      </c>
      <c r="AB246" s="3">
        <f>1091+(919.4-125.7)+(-1.66923+(-1.406682--0.192321))+0-409.7--0.626841000000024</f>
        <v>1472.7432499999998</v>
      </c>
      <c r="AC246" s="3">
        <f>950.5+(975.9-118.6)+(0+(0-0))+0-404.6-0</f>
        <v>1403.1999999999998</v>
      </c>
      <c r="AD246" s="2">
        <v>1645.9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950.2+(871.8-136)+(-2.42301+(-2.22309--0.3468))+0-402.6--1.02662999999994</f>
        <v>1280.1273299999998</v>
      </c>
      <c r="G247" s="3">
        <f>912.2+(944.5-220.9)+(0.465222+(0.481695-0.112659))+0-406.5-0.207314999999959</f>
        <v>1229.9269430000004</v>
      </c>
      <c r="H247" s="3">
        <f>818.4+(1172.2-390.3)+(-0.834768+(-1.195644--0.398106))+0-404.6--0.412692000000065</f>
        <v>1194.4803860000004</v>
      </c>
      <c r="I247" s="3">
        <f>814.2+(1260.6-491.2)+(0.415242+(0.642906-0.250512))+0-406-0.207059999999959</f>
        <v>1178.200576</v>
      </c>
      <c r="J247" s="3">
        <f>814.4+(1485.8-748.6)+(2.07672+(3.78879-1.90893))+0-386.4-0.985319999999944</f>
        <v>1168.1712599999998</v>
      </c>
      <c r="K247" s="3">
        <f>814.7+(1417.5-660.5)+(0.830994+(1.44585-0.67371))+0-387.7-0.395454000000062</f>
        <v>1185.20768</v>
      </c>
      <c r="L247" s="3">
        <f>815+(1344.8-567.8)+(1.24695+(2.057544-0.868734))+0-391.3-0.598689000000023</f>
        <v>1202.5370710000002</v>
      </c>
      <c r="M247" s="3">
        <f>814.7+(1650.2-802.3)+(1.661988+(3.366408-1.636692))+0-389.4-0.794375999999983</f>
        <v>1275.7973279999999</v>
      </c>
      <c r="N247" s="3">
        <f>815.5+(1484.3-555)+(-0.415905+(-0.756993--0.28305))+0-385.8--0.196757999999961</f>
        <v>1358.30691</v>
      </c>
      <c r="O247" s="3">
        <f>835.8+(1322.2-347.9)+(-0.852516+(-1.348644--0.354858))+0-385.4--0.393108000000061</f>
        <v>1423.2468059999999</v>
      </c>
      <c r="P247" s="3">
        <f>946.3+(1058.2-190.5)+(-1.447839+(-1.619046--0.291465))+0-387.3--0.592569000000022</f>
        <v>1424.517149</v>
      </c>
      <c r="Q247" s="3">
        <f>1010.3+(945.7-89.9)+(-2.576265+(-2.411535--0.229245))+0-388--0.989399999999944</f>
        <v>1474.330845</v>
      </c>
      <c r="R247" s="3">
        <f>1005.8+(879.3-84.1)+(-0.512958+(-0.448443--0.042891))+0-390.9--0.19935899999996</f>
        <v>1409.3808489999999</v>
      </c>
      <c r="S247" s="3">
        <f>1011+(850.6-112.7)+(-2.57805+(-2.16903--0.287385))+0-393.7--1.00393499999994</f>
        <v>1351.74424</v>
      </c>
      <c r="T247" s="3">
        <f>1015+(838.2-83.1)+(0+(0-0))+0-373.1-0</f>
        <v>1397</v>
      </c>
      <c r="U247" s="3">
        <f>1011.4+(864.5-91.5)+(-2.57907+(-2.204475--0.233325))+0-389.6--0.993479999999944</f>
        <v>1391.24326</v>
      </c>
      <c r="V247" s="3">
        <f>1022.5+(1030.4-244)+(-0.521475+(-0.525504--0.12444))+0-389.2--0.198491999999961</f>
        <v>1418.9759530000001</v>
      </c>
      <c r="W247" s="3">
        <f>1159.6+(1126.4-329.9)+(0.591396+(0.574464-0.168249))+0-401.4-0.204713999999959</f>
        <v>1555.4928970000001</v>
      </c>
      <c r="X247" s="3">
        <f>1184.1+(1030.5-214.1)+(-0.603891+(-0.525555--0.109191))+0-403.7--0.205886999999959</f>
        <v>1595.9856319999999</v>
      </c>
      <c r="Y247" s="3">
        <f>1212.1+(903.8-169.1)+(-2.472684+(-1.843752--0.344964))+0-408.7--0.833747999999982</f>
        <v>1534.9622759999997</v>
      </c>
      <c r="Z247" s="3">
        <f>1254.6+(874.4-238.4)+(-1.279692+(-0.891888--0.243168))+0-403.7--0.411774000000064</f>
        <v>1485.383362</v>
      </c>
      <c r="AA247" s="3">
        <f>1252.5+(815.6-178)+(-1.27755+(-0.831912--0.18156))+0-411.5--0.419730000000066</f>
        <v>1477.0918280000001</v>
      </c>
      <c r="AB247" s="3">
        <f>1210.4+(830.6-173.8)+(-0.617304+(-0.423606--0.088638))+0-414.9--0.211598999999958</f>
        <v>1451.5593270000002</v>
      </c>
      <c r="AC247" s="3">
        <f>1147.8+(804.9-125.5)+(-2.341512+(-1.641996--0.25602))+0-417.2--0.851087999999982</f>
        <v>1407.1235999999997</v>
      </c>
      <c r="AD247" s="2">
        <v>1614.2000000000003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985.8+(782-51.4)+(0+(0-0))+0-418.7-0</f>
        <v>1297.7</v>
      </c>
      <c r="G248" s="3">
        <f>950.7+(704.4-19.6)+(-1.454571+(-1.077732--0.029988))+0-421.2--0.644436000000024</f>
        <v>1212.442121</v>
      </c>
      <c r="H248" s="3">
        <f>962.1+(741.5-113.4)+(0.490671+(0.378165-0.057834))+0-423.1-0.215780999999957</f>
        <v>1167.6952209999999</v>
      </c>
      <c r="I248" s="3">
        <f>995.4+(742.3-130.9)+(-0.507654+(-0.378573--0.066759))+0-424.9--0.216698999999957</f>
        <v>1181.297231</v>
      </c>
      <c r="J248" s="3">
        <f>1001.5+(905.9-316.5)+(2.04306+(1.848036-0.64566))+0-421.2-0.859247999999982</f>
        <v>1172.086188</v>
      </c>
      <c r="K248" s="3">
        <f>1007.5+(866.7-302.7)+(0.513825+(0.442017-0.154377))+0-414.8-0.211547999999958</f>
        <v>1157.2899170000001</v>
      </c>
      <c r="L248" s="3">
        <f>1007.7+(1021.3-463.7)+(-2.569635+(-2.604315--1.182435))+0-415.5--1.05952499999994</f>
        <v>1146.8680099999999</v>
      </c>
      <c r="M248" s="3">
        <f>1007.4+(974.3-383)+(0.513774+(0.496893-0.19533))+0-422-0.215219999999957</f>
        <v>1177.3001169999998</v>
      </c>
      <c r="N248" s="3">
        <f>1058.7+(935.8-274.1)+(1.079874+(0.954516-0.279582))+0-424.4-0.432888000000068</f>
        <v>1297.3219200000001</v>
      </c>
      <c r="O248" s="3">
        <f>1105+(890.5-223.9)+(-1.1271+(-0.90831--0.228378))+0-424.3--0.432786000000068</f>
        <v>1345.9257540000001</v>
      </c>
      <c r="P248" s="3">
        <f>1152.8+(818.1-180.6)+(-1.175856+(-0.834462--0.184212))+0-419.7--0.428094000000067</f>
        <v>1369.201988</v>
      </c>
      <c r="Q248" s="3">
        <f>1313.6+(739.8-262.3)+(-0.669936+(-0.377298--0.133773))+0-419.2--0.213791999999957</f>
        <v>1371.2003309999998</v>
      </c>
      <c r="R248" s="3">
        <f>1323.2+(715.6-299.8)+(-4.723824+(-2.554692--1.070286))+0-421.4--1.50439800000001</f>
        <v>1312.8961680000002</v>
      </c>
      <c r="S248" s="3">
        <f>1328.5+(622.3-256.2)+(-2.032605+(-0.952119--0.391986))+0-422.3--0.646119000000024</f>
        <v>1270.3533809999999</v>
      </c>
      <c r="T248" s="3">
        <f>1268.8+(623.3-220.2)+(-2.588352+(-1.271532--0.449208))+0-404.5--0.825179999999982</f>
        <v>1264.8145039999999</v>
      </c>
      <c r="U248" s="3">
        <f>1190+(655.1-171.7)+(0+(0-0))+0-406.3-0</f>
        <v>1267.1000000000001</v>
      </c>
      <c r="V248" s="3">
        <f>1175.2+(681-146.5)+(0+(0-0))+0-409.9-0</f>
        <v>1299.8000000000002</v>
      </c>
      <c r="W248" s="3">
        <f>1282.5+(847.1-307.4)+(0.654075+(0.432021-0.156774))+0-411-0.209609999999958</f>
        <v>1411.9197120000001</v>
      </c>
      <c r="X248" s="3">
        <f>1335+(907.9-326.5)+(-2.04255+(-1.389087--0.499545))+0-414.2--0.633726000000024</f>
        <v>1499.9016340000001</v>
      </c>
      <c r="Y248" s="3">
        <f>1331.5+(816-261.8)+(-4.07439+(-2.49696--0.801108))+0-410.7--1.25674200000005</f>
        <v>1470.4865</v>
      </c>
      <c r="Z248" s="3">
        <f>1332.9+(768.3-295.8)+(-2.039337+(-1.175499--0.452574))+0-409.7--0.626841000000024</f>
        <v>1393.5645790000001</v>
      </c>
      <c r="AA248" s="3">
        <f>1332.9+(896.3-415.5)+(-1.359558+(-0.914226--0.42381))+0-413.3--0.421566000000066</f>
        <v>1398.9715920000001</v>
      </c>
      <c r="AB248" s="3">
        <f>1333.6+(849.6-409.3)+(-0.680136+(-0.433296--0.208743))+0-391.8--0.19981799999996</f>
        <v>1381.395129</v>
      </c>
      <c r="AC248" s="3">
        <f>1218.6+(948.9-389.3)+(-1.864458+(-1.451817--0.595629))+0-396.3--0.606339000000023</f>
        <v>1379.7856929999998</v>
      </c>
      <c r="AD248" s="2">
        <v>1526.2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1071.8+(791-189.9)+(-2.73309+(-2.01705--0.484245))+0-409--1.04294999999994</f>
        <v>1260.6770550000001</v>
      </c>
      <c r="G249" s="3">
        <f>988+(658.9-56.1)+(-1.00776+(-0.672078--0.057222))+0-412.5--0.420750000000066</f>
        <v>1177.0981339999998</v>
      </c>
      <c r="H249" s="3">
        <f>985.7+(605.2-18)+(0.502707+(0.308652-0.00918))+0-428.6-0.218585999999957</f>
        <v>1144.883593</v>
      </c>
      <c r="I249" s="3">
        <f>986.3+(584.4-18)+(-1.509039+(-0.894132--0.02754))+0-423--0.647190000000024</f>
        <v>1127.9715589999998</v>
      </c>
      <c r="J249" s="3">
        <f>985.4+(627.4-74.5)+(-0.502554+(-0.319974--0.037995))+0-415.2--0.211751999999958</f>
        <v>1122.5272189999998</v>
      </c>
      <c r="K249" s="3">
        <f>985.4+(641.9-94.8)+(-0.502554+(-0.327369--0.048348))+0-413.2--0.210731999999958</f>
        <v>1118.729157</v>
      </c>
      <c r="L249" s="3">
        <f>985.4+(625.8-126.3)+(-2.010216+(-1.276632--0.257652))+0-414.6--0.845783999999982</f>
        <v>1068.1165879999999</v>
      </c>
      <c r="M249" s="3">
        <f>984.7+(623.8-156.4)+(-0.502197+(-0.318138--0.079764))+0-414.6--0.211445999999958</f>
        <v>1036.9708749999998</v>
      </c>
      <c r="N249" s="3">
        <f>985.4+(745.2-236.1)+(1.507662+(1.140156-0.361233))+0-417.2-0.638316000000024</f>
        <v>1078.948269</v>
      </c>
      <c r="O249" s="3">
        <f>1007+(846.7-309.2)+(-0.51357+(-0.431817--0.157692))+0-416.8--0.212567999999958</f>
        <v>1127.124873</v>
      </c>
      <c r="P249" s="3">
        <f>1086.2+(862.8-346.5)+(0.553962+(0.440028-0.176715))+0-416.3-0.212312999999958</f>
        <v>1186.8049620000002</v>
      </c>
      <c r="Q249" s="3">
        <f>1131.2+(853.5-360.6)+(-3.461472+(-2.61171--1.103436))+0-416.6--1.27479600000005</f>
        <v>1203.8050499999999</v>
      </c>
      <c r="R249" s="3">
        <f>1134.1+(899.8-423.1)+(-0.578391+(-0.458898--0.215781))+0-414.7--0.211496999999958</f>
        <v>1195.4899889999997</v>
      </c>
      <c r="S249" s="3">
        <f>1133.6+(905.4-466.7)+(-2.89068+(-2.30877--1.190085))+0-408--1.04039999999994</f>
        <v>1161.3310349999999</v>
      </c>
      <c r="T249" s="3">
        <f>1146.3+(821.5-418.3)+(0.584613+(0.418965-0.213333))+0-395.4-0.20165399999996</f>
        <v>1154.6885910000001</v>
      </c>
      <c r="U249" s="3">
        <f>1181.2+(749-338.6)+(-1.204824+(-0.76398--0.345372))+0-406--0.414120000000065</f>
        <v>1184.390688</v>
      </c>
      <c r="V249" s="3">
        <f>1409.4+(610.2-400.7)+(0.718794+(0.311202-0.204357))+0-408.1-0.208130999999959</f>
        <v>1211.417508</v>
      </c>
      <c r="W249" s="3">
        <f>1578.7+(917.4-711.5)+(-1.610274+(-0.935748--0.72573))+0-405.2--0.413304000000065</f>
        <v>1377.9930119999999</v>
      </c>
      <c r="X249" s="3">
        <f>1586.2+(791-578.1)+(-1.617924+(-0.80682--0.589662))+0-405--0.413100000000065</f>
        <v>1392.6780179999998</v>
      </c>
      <c r="Y249" s="3">
        <f>1573.3+(810.1-626.9)+(-2.407149+(-1.239453--0.959157))+0-406.7--0.622251000000024</f>
        <v>1347.7348059999999</v>
      </c>
      <c r="Z249" s="3">
        <f>1488+(825.6-582.7)+(-0.75888+(-0.421056--0.297177))+0-408--0.208079999999959</f>
        <v>1322.2253209999999</v>
      </c>
      <c r="AA249" s="3">
        <f>1482.7+(668.7-431.1)+(0+(0-0))+0-407.8-0</f>
        <v>1312.5000000000002</v>
      </c>
      <c r="AB249" s="3">
        <f>1483.2+(585.6-331.5)+(-1.512864+(-0.597312--0.33813))+0-408.9--0.417078000000065</f>
        <v>1327.0450320000002</v>
      </c>
      <c r="AC249" s="3">
        <f>1425.8+(495.4-216.2)+(-2.181474+(-0.757962--0.330786))+0-411.9--0.630207000000024</f>
        <v>1291.1215570000002</v>
      </c>
      <c r="AD249" s="2">
        <v>1416.5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1145.6+(606-121.2)+(-2.337024+(-1.23624--0.247248))+0-398.2--0.812327999999983</f>
        <v>1229.6863119999998</v>
      </c>
      <c r="G250" s="3">
        <f>1078.4+(560.1-77.6)+(-3.299904+(-1.713906--0.237456))+0-398.9--1.22063400000005</f>
        <v>1158.4442799999999</v>
      </c>
      <c r="H250" s="3">
        <f>1017+(599-95.6)+(-0.51867+(-0.30549--0.048756))+0-401.4--0.204713999999959</f>
        <v>1118.42931</v>
      </c>
      <c r="I250" s="3">
        <f>1017.5+(600.3-118.4)+(-1.03785+(-0.612306--0.120768))+0-399.3--0.407286000000064</f>
        <v>1098.9778980000003</v>
      </c>
      <c r="J250" s="3">
        <f>1017.4+(550.4-87.1)+(-1.037748+(-0.561408--0.088842))+0-401.1--0.409122000000064</f>
        <v>1078.4988079999998</v>
      </c>
      <c r="K250" s="3">
        <f>1017.4+(643.7-196.4)+(0.518874+(0.328287-0.100164))+0-399-0.20348999999996</f>
        <v>1066.2435070000001</v>
      </c>
      <c r="L250" s="3">
        <f>1017.1+(538.6-121.1)+(-1.556163+(-0.824058--0.185283))+0-396.7--0.606951000000023</f>
        <v>1036.3120129999998</v>
      </c>
      <c r="M250" s="3">
        <f>1015.9+(694.6-321.5)+(-0.518109+(-0.354246--0.163965))+0-400--0.203999999999959</f>
        <v>988.49560999999994</v>
      </c>
      <c r="N250" s="3">
        <f>1016.3+(656.9-271.8)+(-1.036626+(-0.670038--0.277236))+0-399.2--0.407184000000064</f>
        <v>1001.1777559999999</v>
      </c>
      <c r="O250" s="3">
        <f>1044.2+(691.5-298.8)+(-1.065084+(-0.70533--0.304776))+0-400.9--0.408918000000064</f>
        <v>1034.9432800000004</v>
      </c>
      <c r="P250" s="3">
        <f>1097.1+(663.6-287.5)+(-1.678563+(-1.015308--0.439875))+0-402.3--0.615519000000023</f>
        <v>1069.2615229999999</v>
      </c>
      <c r="Q250" s="3">
        <f>1095.7+(732.4-369.4)+(-0.558807+(-0.373524--0.188394))+0-400--0.203999999999959</f>
        <v>1058.160063</v>
      </c>
      <c r="R250" s="3">
        <f>1096.1+(766.2-422.8)+(0+(0-0))+0-399.6-0</f>
        <v>1039.9000000000001</v>
      </c>
      <c r="S250" s="3">
        <f>1095.5+(789.5-468.6)+(0.558705+(0.402645-0.238986))+0-395.2-0.20155199999996</f>
        <v>1021.720812</v>
      </c>
      <c r="T250" s="3">
        <f>1096.3+(762.9-451.3)+(0.559113+(0.389079-0.230163))+0-398.5-0.20323499999996</f>
        <v>1009.9147939999998</v>
      </c>
      <c r="U250" s="3">
        <f>1096.3+(798.5-498.4)+(0.559113+(0.407235-0.254184))+0-398.5-0.20323499999996</f>
        <v>998.40892900000017</v>
      </c>
      <c r="V250" s="3">
        <f>1146+(751.5-443.4)+(0.58446+(0.383265-0.226134))+0-399.1-0.20354099999996</f>
        <v>1055.5380500000001</v>
      </c>
      <c r="W250" s="3">
        <f>1416.6+(645.3-436.3)+(0+(0-0))+0-388-0</f>
        <v>1237.5999999999999</v>
      </c>
      <c r="X250" s="3">
        <f>1538.9+(414.5-276.4)+(0+(0-0))+0-370.9-0</f>
        <v>1306.0999999999999</v>
      </c>
      <c r="Y250" s="3">
        <f>1538.7+(414.2-290.2)+(-3.138948+(-0.844968--0.592008))+0-375.5--0.766019999999984</f>
        <v>1284.574112</v>
      </c>
      <c r="Z250" s="3">
        <f>1347.3+(528.1-241)+(-1.374246+(-0.538662--0.24582))+0-390.3--0.398106000000062</f>
        <v>1242.8310180000003</v>
      </c>
      <c r="AA250" s="3">
        <f>1206.8+(834.4-408.3)+(-1.846404+(-1.276632--0.624699))+0-396.6--0.606798000000023</f>
        <v>1234.4084609999998</v>
      </c>
      <c r="AB250" s="3">
        <f>1176.5+(1077.6-613.8)+(0.600015+(0.549576-0.313038))+0-399.4-0.203693999999959</f>
        <v>1241.5328590000001</v>
      </c>
      <c r="AC250" s="3">
        <f>1096.2+(1188.5-682.3)+(0+(0-0))+0-401.5-0</f>
        <v>1200.9000000000001</v>
      </c>
      <c r="AD250" s="2">
        <v>1261.3000000000002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1052.5+(885.6-407.5)+(-3.757425+(-3.161592--1.454775))+0-405.5--1.44763500000001</f>
        <v>1121.0833929999999</v>
      </c>
      <c r="G251" s="3">
        <f>925.8+(815.4-286)+(-0.944316+(-0.831708--0.29172))+0-405.9--0.414018000000065</f>
        <v>1048.2297139999998</v>
      </c>
      <c r="H251" s="3">
        <f>925.5+(658.8-177.5)+(-1.416015+(-1.007964--0.271575))+0-404.1--0.618273000000023</f>
        <v>1001.165869</v>
      </c>
      <c r="I251" s="3">
        <f>924.4+(597.4-136.6)+(0.942888+(0.609348-0.139332))+0-394.6-0.402492000000063</f>
        <v>991.61041199999977</v>
      </c>
      <c r="J251" s="3">
        <f>924.5+(599.9-128.8)+(-0.471495+(-0.305949--0.065688))+0-401.3--0.204662999999959</f>
        <v>993.79290700000001</v>
      </c>
      <c r="K251" s="3">
        <f>924.6+(612.4-149.3)+(0.943092+(0.624648-0.152286))+0-400.3-0.408306000000064</f>
        <v>988.40714800000001</v>
      </c>
      <c r="L251" s="3">
        <f>925.8+(632-181.3)+(-3.305106+(-2.25624--0.647241))+0-401.2--1.43228400000001</f>
        <v>971.81817899999987</v>
      </c>
      <c r="M251" s="3">
        <f>925.5+(644.2-242.3)+(-0.472005+(-0.328542--0.123573))+0-399.9--0.203948999999959</f>
        <v>927.02697500000011</v>
      </c>
      <c r="N251" s="3">
        <f>926.4+(720.1-299.5)+(1.889856+(1.469004-0.61098))+0-401.2-0.818447999999982</f>
        <v>947.72943199999986</v>
      </c>
      <c r="O251" s="3">
        <f>926.4+(787.9-348.3)+(-0.944928+(-0.803658--0.355266))+0-394.8--0.402696000000063</f>
        <v>970.20937600000025</v>
      </c>
      <c r="P251" s="3">
        <f>926.2+(781.9-354.7)+(-3.306534+(-2.791383--1.266279))+0-399.2--1.42514400000001</f>
        <v>950.79350599999998</v>
      </c>
      <c r="Q251" s="3">
        <f>925.4+(732.3-349)+(1.415862+(1.120419-0.53397))+0-370.1-0.566253000000021</f>
        <v>940.03605799999968</v>
      </c>
      <c r="R251" s="3">
        <f>926.4+(789.9-402.1)+(1.417392+(1.208547-0.615213))+0-381.5-0.583695000000022</f>
        <v>934.12703099999976</v>
      </c>
      <c r="S251" s="3">
        <f>925.3+(809.5-403.1)+(0.943806+(0.82569-0.411162))+0-377-0.38454000000006</f>
        <v>955.67379399999982</v>
      </c>
      <c r="T251" s="3">
        <f>926.6+(771-340)+(-1.890264+(-1.57284--0.6936))+0-387--0.789479999999983</f>
        <v>968.61997599999984</v>
      </c>
      <c r="U251" s="3">
        <f>927.1+(745.7-286.7)+(1.418463+(1.140921-0.438651))+0-391.6-0.599148000000023</f>
        <v>996.02158500000007</v>
      </c>
      <c r="V251" s="3">
        <f>1131.9+(451.9-160.4)+(0+(0-0))+0-391.3-0</f>
        <v>1032.1000000000001</v>
      </c>
      <c r="W251" s="3">
        <f>1399.9+(694.8-480.8)+(0.713949+(0.354348-0.245208))+0-396.4-0.20216399999996</f>
        <v>1218.1209249999999</v>
      </c>
      <c r="X251" s="3">
        <f>1541.5+(733.9-579.6)+(-3.14466+(-1.497156--1.182384))+0-394.8--0.805391999999983</f>
        <v>1298.3459599999999</v>
      </c>
      <c r="Y251" s="3">
        <f>1529.5+(736.7-574.8)+(-3.12018+(-1.502868--1.172592))+0-396--0.807839999999983</f>
        <v>1292.757384</v>
      </c>
      <c r="Z251" s="3">
        <f>1432.5+(814.4-564.9)+(1.46115+(0.830688-0.576198))+0-400.8-0.408816000000064</f>
        <v>1282.5068239999998</v>
      </c>
      <c r="AA251" s="3">
        <f>1406+(767.4-472.2)+(-0.71706+(-0.391374--0.240822))+0-402.4--0.205223999999959</f>
        <v>1298.1376120000002</v>
      </c>
      <c r="AB251" s="3">
        <f>1344.3+(737.1-405)+(-3.427965+(-1.879605--1.03275))+0-401.5--1.02382499999994</f>
        <v>1271.649005</v>
      </c>
      <c r="AC251" s="3">
        <f>1240.5+(606.5-237.2)+(-2.53062+(-1.23726--0.483888))+0-400.8--0.817631999999982</f>
        <v>1206.5336400000001</v>
      </c>
      <c r="AD251" s="2">
        <v>1288.9000000000001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1112.1+(548.9-141.7)+(-1.701513+(-0.839817--0.216801))+0-400.8--0.613224000000023</f>
        <v>1116.788695</v>
      </c>
      <c r="G252" s="3">
        <f>1089.2+(538.2-178)+(-0.555492+(-0.274482--0.09078))+0-403.7--0.205886999999959</f>
        <v>1045.1666929999999</v>
      </c>
      <c r="H252" s="3">
        <f>1016.2+(529.9-81.6)+(-1.036524+(-0.540498--0.083232))+0-409.5--0.417690000000065</f>
        <v>1053.9239</v>
      </c>
      <c r="I252" s="3">
        <f>1014.5+(475-41.2)+(0.517395+(0.24225-0.021012))+0-415.1-0.211700999999958</f>
        <v>1033.7269319999998</v>
      </c>
      <c r="J252" s="3">
        <f>1015+(491-36.5)+(0.51765+(0.25041-0.018615))+0-422.8-0.215627999999957</f>
        <v>1047.233817</v>
      </c>
      <c r="K252" s="3">
        <f>1014.5+(501.5-46.2)+(2.06958+(1.02306-0.094248))+0-422.2-0.861287999999982</f>
        <v>1049.7371039999998</v>
      </c>
      <c r="L252" s="3">
        <f>1016.7+(606.7-123.1)+(-2.074068+(-1.237668--0.251124))+0-420.5--0.857819999999982</f>
        <v>1077.5972080000001</v>
      </c>
      <c r="M252" s="3">
        <f>1015.4+(714.2-171.4)+(2.071416+(1.456968-0.349656))+0-414.7-0.845987999999982</f>
        <v>1145.8327400000001</v>
      </c>
      <c r="N252" s="3">
        <f>1004+(870-209.4)+(1.53612+(1.3311-0.320382))+0-429.1-0.656523000000025</f>
        <v>1237.3903149999996</v>
      </c>
      <c r="O252" s="3">
        <f>1100.1+(1155.1-491.5)+(0.561051+(0.589101-0.250665))+0-422.6-0.215525999999957</f>
        <v>1341.7839609999996</v>
      </c>
      <c r="P252" s="3">
        <f>1154.3+(1068.7-396.2)+(0+(0-0))+0-426.8-0</f>
        <v>1400</v>
      </c>
      <c r="Q252" s="3">
        <f>1153.3+(1097.9-398.2)+(-0.588183+(-0.559929--0.203082))+0-426--0.217259999999957</f>
        <v>1426.2722299999998</v>
      </c>
      <c r="R252" s="3">
        <f>1143.5+(1095.8-425.4)+(-4.082295+(-3.912006--1.518678))+0-427.8--1.52724600000001</f>
        <v>1381.1516230000002</v>
      </c>
      <c r="S252" s="3">
        <f>1151.8+(1062.2-438.4)+(0+(0-0))+0-427.2-0</f>
        <v>1348.3999999999999</v>
      </c>
      <c r="T252" s="3">
        <f>1151+(987.2-360.4)+(0+(0-0))+0-420.6-0</f>
        <v>1357.2000000000003</v>
      </c>
      <c r="U252" s="3">
        <f>1170.1+(877.8-259.7)+(1.193502+(0.895356-0.264894))+0-416.7-0.425034000000066</f>
        <v>1372.8989299999996</v>
      </c>
      <c r="V252" s="3">
        <f>1260+(860.9-220.1)+(-1.9278+(-1.317177--0.336753))+0-406.5--0.621945000000024</f>
        <v>1492.013721</v>
      </c>
      <c r="W252" s="3">
        <f>1458.9+(911.7-383.1)+(-2.232117+(-1.394901--0.586143))+0-421.7--0.645201000000024</f>
        <v>1563.4043260000001</v>
      </c>
      <c r="X252" s="3">
        <f>1494.9+(880.8-328.6)+(0+(0-0))+0-425.4-0</f>
        <v>1621.6999999999998</v>
      </c>
      <c r="Y252" s="3">
        <f>1496.4+(766.5-273.2)+(3.052656+(1.56366-0.557328))+0-416.3-0.849251999999982</f>
        <v>1576.6097360000001</v>
      </c>
      <c r="Z252" s="3">
        <f>1495.3+(736.7-278.6)+(2.287809+(1.127151-0.426258))+0-411.3-0.629289000000024</f>
        <v>1544.4594130000003</v>
      </c>
      <c r="AA252" s="3">
        <f>1370.9+(798-276)+(2.097477+(1.22094-0.42228))+0-404.5-0.618885000000023</f>
        <v>1490.677252</v>
      </c>
      <c r="AB252" s="3">
        <f>1250.6+(814.4-174.8)+(-1.275612+(-0.830688--0.178296))+0-422.3--0.430746000000067</f>
        <v>1466.4027419999998</v>
      </c>
      <c r="AC252" s="3">
        <f>1187+(744.4-129.4)+(-1.81611+(-1.138932--0.197982))+0-420.6--0.643518000000024</f>
        <v>1379.2864580000003</v>
      </c>
      <c r="AD252" s="2">
        <v>1622.8000000000002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1095.8+(671.1-63.3)+(-1.117716+(-0.684522--0.064566))+0-422.4--0.430848000000067</f>
        <v>1279.893176</v>
      </c>
      <c r="G253" s="3">
        <f>1094.9+(628.1-66.4)+(-3.908793+(-2.242317--0.237048))+0-423.6--1.51225200000001</f>
        <v>1228.5981900000002</v>
      </c>
      <c r="H253" s="3">
        <f>1095+(678.6-136.8)+(0.55845+(0.346086-0.069768))+0-424.9-0.216698999999957</f>
        <v>1212.5180689999997</v>
      </c>
      <c r="I253" s="3">
        <f>1095.2+(680.9-144.7)+(1.117104+(0.694518-0.147594))+0-424.3-0.432786000000068</f>
        <v>1208.331242</v>
      </c>
      <c r="J253" s="3">
        <f>1094.9+(670.5-176.1)+(-0.558399+(-0.341955--0.089811))+0-408.3--0.208232999999959</f>
        <v>1180.3976900000002</v>
      </c>
      <c r="K253" s="3">
        <f>1094.7+(697.5-184.6)+(0+(0-0))+0-419.4-0</f>
        <v>1188.1999999999998</v>
      </c>
      <c r="L253" s="3">
        <f>1094.5+(714.4-168.8)+(-1.674585+(-1.093032--0.258264))+0-417.8--0.639234000000024</f>
        <v>1220.429881</v>
      </c>
      <c r="M253" s="3">
        <f>1094.4+(708.6-111.2)+(-1.116288+(-0.722772--0.113424))+0-423.6--0.432072000000068</f>
        <v>1266.9064360000002</v>
      </c>
      <c r="N253" s="3">
        <f>1095.4+(948-274.2)+(0+(0-0))+0-421.2-0</f>
        <v>1348</v>
      </c>
      <c r="O253" s="3">
        <f>1095.8+(1126.5-396)+(-0.558858+(-0.574515--0.20196))+0-420.8--0.214607999999957</f>
        <v>1404.783195</v>
      </c>
      <c r="P253" s="3">
        <f>1156.7+(1175.6-485.7)+(-1.179834+(-1.199112--0.495414))+0-415--0.423300000000066</f>
        <v>1430.139768</v>
      </c>
      <c r="Q253" s="3">
        <f>1227.9+(1272.6-665.1)+(-1.878687+(-1.947078--1.017603))+0-402.1--0.615213000000023</f>
        <v>1431.107051</v>
      </c>
      <c r="R253" s="3">
        <f>1228+(1057.4-488.7)+(-0.62628+(-0.539274--0.249237))+0-411--0.209609999999958</f>
        <v>1384.993293</v>
      </c>
      <c r="S253" s="3">
        <f>1228.3+(842-393.6)+(-1.252866+(-0.85884--0.401472))+0-346.3--0.353226000000055</f>
        <v>1329.0429919999999</v>
      </c>
      <c r="T253" s="3">
        <f>1231.2+(888.9-440.2)+(1.255824+(0.906678-0.449004))+0-340.5-0.347310000000054</f>
        <v>1340.7661880000001</v>
      </c>
      <c r="U253" s="3">
        <f>1228.1+(1001.3-467.9)+(-1.878993+(-1.531989--0.715887))+0-427.9--0.654687000000025</f>
        <v>1331.5595919999998</v>
      </c>
      <c r="V253" s="3">
        <f>1313.6+(1128-655)+(-1.339872+(-1.15056--0.6681))+0-427.9--0.436458000000068</f>
        <v>1357.3141260000002</v>
      </c>
      <c r="W253" s="3">
        <f>1468.3+(1411.6-928.1)+(-2.246499+(-2.159748--1.419993))+0-424.6--0.649638000000025</f>
        <v>1524.863384</v>
      </c>
      <c r="X253" s="3">
        <f>1487.6+(1334.8-795.9)+(-3.79338+(-3.40374--2.029545))+0-430.5--1.09777499999994</f>
        <v>1591.9302</v>
      </c>
      <c r="Y253" s="3">
        <f>1493.8+(1217.8-732.9)+(0.761838+(0.621078-0.373779))+0-426.3-0.217412999999957</f>
        <v>1553.191724</v>
      </c>
      <c r="Z253" s="3">
        <f>1493.1+(1059.3-594.5)+(-2.284443+(-1.620729--0.909585))+0-426.4--0.652392000000025</f>
        <v>1529.1568050000001</v>
      </c>
      <c r="AA253" s="3">
        <f>1479.8+(1112-676.2)+(-3.77349+(-2.8356--1.72431))+0-419--1.06844999999994</f>
        <v>1492.7836699999998</v>
      </c>
      <c r="AB253" s="3">
        <f>1368.2+(1189.7-684.2)+(-0.697782+(-0.606747--0.348942))+0-412--0.210119999999958</f>
        <v>1460.9545330000001</v>
      </c>
      <c r="AC253" s="3">
        <f>1317+(1004.5-516.4)+(-2.01501+(-1.536885--0.790092))+0-425--0.650250000000025</f>
        <v>1377.9884469999997</v>
      </c>
      <c r="AD253" s="2">
        <v>1653.5000000000002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1143.6+(813.1-258.5)+(-2.332944+(-1.658724--0.52734))+0-423--0.862919999999981</f>
        <v>1272.5985919999998</v>
      </c>
      <c r="G254" s="3">
        <f>1141.5+(713-202.4)+(0+(0-0))+0-423.6-0</f>
        <v>1228.5</v>
      </c>
      <c r="H254" s="3">
        <f>1136.7+(669.3-211.2)+(-2.318868+(-1.365372--0.430848))+0-415.6--0.847823999999982</f>
        <v>1176.7944319999997</v>
      </c>
      <c r="I254" s="3">
        <f>1136.5+(647-205.4)+(-0.579615+(-0.32997--0.104754))+0-415--0.211649999999958</f>
        <v>1162.506819</v>
      </c>
      <c r="J254" s="3">
        <f>1137.6+(710.6-291.6)+(1.740528+(1.087218-0.446148))+0-413-0.631890000000024</f>
        <v>1145.3497079999997</v>
      </c>
      <c r="K254" s="3">
        <f>1137.6+(648.2-219.7)+(2.320704+(1.322328-0.448188))+0-407-0.830279999999982</f>
        <v>1161.4645640000001</v>
      </c>
      <c r="L254" s="3">
        <f>1138.4+(645.2-190.1)+(0.580584+(0.329052-0.096951))+0-406.7-0.207416999999959</f>
        <v>1187.4052680000002</v>
      </c>
      <c r="M254" s="3">
        <f>1136.9+(660.9-156.4)+(-1.159638+(-0.674118--0.159528))+0-408.6--0.416772000000065</f>
        <v>1231.5425439999999</v>
      </c>
      <c r="N254" s="3">
        <f>1105.4+(835.6-213.9)+(0+(0-0))+0-398.3-0</f>
        <v>1328.8000000000002</v>
      </c>
      <c r="O254" s="3">
        <f>1107.5+(1012.8-352.2)+(-2.824125+(-2.58264--0.89811))+0-399.8--1.01948999999994</f>
        <v>1364.8108349999998</v>
      </c>
      <c r="P254" s="3">
        <f>1133.9+(1236.2-578.8)+(-2.891445+(-3.15231--1.47594))+0-397.1--1.01260499999994</f>
        <v>1390.6447899999998</v>
      </c>
      <c r="Q254" s="3">
        <f>1239.1+(1363.6-799.7)+(-1.895823+(-2.086308--1.223541))+0-402.4--0.615672000000023</f>
        <v>1398.4570820000001</v>
      </c>
      <c r="R254" s="3">
        <f>1264.2+(1352.6-851.1)+(-1.289484+(-1.379652--0.868122))+0-404.6--0.412692000000065</f>
        <v>1359.7116779999999</v>
      </c>
      <c r="S254" s="3">
        <f>1240.1+(1334.3-837.4)+(-0.632451+(-0.680493--0.427074))+0-405.7--0.206906999999959</f>
        <v>1330.6210369999999</v>
      </c>
      <c r="T254" s="3">
        <f>1282.9+(1292.8-883)+(-1.308558+(-1.318656--0.90066))+0-381--0.388620000000061</f>
        <v>1310.3620660000001</v>
      </c>
      <c r="U254" s="3">
        <f>1313.9+(1277.3-987)+(-1.340178+(-1.302846--1.00674))+0-423--0.431460000000067</f>
        <v>1179.9951760000001</v>
      </c>
      <c r="V254" s="3">
        <f>1390.6+(1323.7-1040.1)+(0+(0-0))+0-408.1-0</f>
        <v>1266.0999999999999</v>
      </c>
      <c r="W254" s="3">
        <f>1518.2+(1881.2-1417.1)+(2.322846+(2.878236-2.168163))+0-413.9-0.633267000000024</f>
        <v>1570.7996520000004</v>
      </c>
      <c r="X254" s="3">
        <f>1542.2+(1707.1-1186)+(-0.786522+(-0.870621--0.60486))+0-423.5--0.215984999999957</f>
        <v>1638.9637020000002</v>
      </c>
      <c r="Y254" s="3">
        <f>1483.4+(1378.9-853.8)+(0+(0-0))+0-425.9-0</f>
        <v>1582.6000000000004</v>
      </c>
      <c r="Z254" s="3">
        <f>1481.3+(1175.2-703)+(-0.755463+(-0.599352--0.35853))+0-422--0.215219999999957</f>
        <v>1530.7189350000001</v>
      </c>
      <c r="AA254" s="3">
        <f>1481.3+(1039.7-582.2)+(-1.510926+(-1.060494--0.593844))+0-415--0.423300000000066</f>
        <v>1522.2457240000001</v>
      </c>
      <c r="AB254" s="3">
        <f>1479.8+(1033.7-602.5)+(-2.264094+(-1.581561--0.921825))+0-422--0.645660000000024</f>
        <v>1486.7218300000002</v>
      </c>
      <c r="AC254" s="3">
        <f>1441.8+(876.7-471.5)+(-3.67659+(-2.235585--1.202325))+0-447.5--1.14112499999994</f>
        <v>1395.9312749999999</v>
      </c>
      <c r="AD254" s="2">
        <v>1651.1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1218+(662.9-161.6)+(-2.48472+(-1.352316--0.329664))+0-451.3--0.92065199999998</f>
        <v>1265.41328</v>
      </c>
      <c r="G255" s="3">
        <f>1135.1+(603.2-84.9)+(-0.578901+(-0.307632--0.043299))+0-425.2--0.216851999999957</f>
        <v>1227.5736180000001</v>
      </c>
      <c r="H255" s="3">
        <f>1134.6+(606.4-123.5)+(-2.314584+(-1.237056--0.25194))+0-425.4--0.867815999999981</f>
        <v>1189.6681159999998</v>
      </c>
      <c r="I255" s="3">
        <f>1132.9+(597.2-128.6)+(0.577779+(0.304572-0.065586))+0-424.1-0.216290999999957</f>
        <v>1178.0004740000002</v>
      </c>
      <c r="J255" s="3">
        <f>1087.2+(646.2-153.4)+(-1.663416+(-0.988686--0.234702))+0-424--0.648720000000025</f>
        <v>1154.2313199999999</v>
      </c>
      <c r="K255" s="3">
        <f>1049.5+(626.1-93)+(1.605735+(0.957933-0.14229))+0-426.8-0.653004000000025</f>
        <v>1157.5683739999999</v>
      </c>
      <c r="L255" s="3">
        <f>1018.5+(651.6-81.8)+(-0.519435+(-0.332316--0.041718))+0-417.7--0.213026999999958</f>
        <v>1170.0029940000002</v>
      </c>
      <c r="M255" s="3">
        <f>995.7+(731.8-103.5)+(2.539035+(1.86609-0.263925))+0-423.3-1.07941499999994</f>
        <v>1203.7617850000001</v>
      </c>
      <c r="N255" s="3">
        <f>1072.5+(893.9-241.5)+(2.734875+(2.279445-0.615825))+0-425.6-1.08527999999994</f>
        <v>1302.6132150000001</v>
      </c>
      <c r="O255" s="3">
        <f>1112.2+(895.8-222.8)+(0.567222+(0.456858-0.113628))+0-424.4-0.216443999999957</f>
        <v>1361.4940080000003</v>
      </c>
      <c r="P255" s="3">
        <f>1090.2+(1006-293.2)+(0.556002+(0.51306-0.149532))+0-421.7-0.215066999999957</f>
        <v>1382.004463</v>
      </c>
      <c r="Q255" s="3">
        <f>1135+(1097.6-434)+(-1.1577+(-1.119552--0.44268))+0-412.4--0.420648000000066</f>
        <v>1384.7860760000001</v>
      </c>
      <c r="R255" s="3">
        <f>1131.9+(1012.5-465)+(-3.463614+(-3.09825--1.4229))+0-393--1.20258000000005</f>
        <v>1282.4636160000002</v>
      </c>
      <c r="S255" s="3">
        <f>1132.4+(915.8-368)+(-2.88762+(-2.33529--0.9384))+0-431--1.09904999999994</f>
        <v>1246.0145400000001</v>
      </c>
      <c r="T255" s="3">
        <f>1135.1+(941.8-308)+(0.578901+(0.480318-0.15708))+0-449-0.228989999999954</f>
        <v>1320.5731489999998</v>
      </c>
      <c r="U255" s="3">
        <f>1135.9+(877.9-276)+(0.579309+(0.447729-0.14076))+0-443-0.225929999999955</f>
        <v>1295.4603480000001</v>
      </c>
      <c r="V255" s="3">
        <f>1138.5+(919.8-306)+(-1.741905+(-1.407294--0.46818))+0-426.6--0.652698000000025</f>
        <v>1323.6716789999998</v>
      </c>
      <c r="W255" s="3">
        <f>1261.8+(1296.1-653)+(0.643518+(0.661011-0.33303))+0-429.7-0.219146999999956</f>
        <v>1475.9523519999998</v>
      </c>
      <c r="X255" s="3">
        <f>1301.2+(1196.3-531.5)+(-3.31806+(-3.050565--1.355325))+0-427.4--1.08986999999994</f>
        <v>1534.6765699999999</v>
      </c>
      <c r="Y255" s="3">
        <f>1301.2+(1133.2-497)+(-0.663612+(-0.577932--0.25347))+0-420.7--0.214556999999957</f>
        <v>1515.926483</v>
      </c>
      <c r="Z255" s="3">
        <f>1281.2+(1073.1-432.5)+(0+(0-0))+0-423.8-0</f>
        <v>1498</v>
      </c>
      <c r="AA255" s="3">
        <f>1132.2+(1114.2-358.1)+(-0.577422+(-0.568242--0.182631))+0-418.8--0.213587999999958</f>
        <v>1468.7505550000001</v>
      </c>
      <c r="AB255" s="3">
        <f>969.2+(1107.1-249.7)+(-2.47146+(-2.823105--0.636735))+0-421.1--1.07380499999994</f>
        <v>1401.9159749999999</v>
      </c>
      <c r="AC255" s="3">
        <f>917.5+(907.6-74.4)+(-0.93585+(-0.925752--0.075888))+0-424.3--0.432786000000068</f>
        <v>1325.0470720000001</v>
      </c>
      <c r="AD255" s="2">
        <v>1537.5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877.6+(1042.3-270.6)+(1.342728+(1.594719-0.414018))+0-424.6-0.649638000000025</f>
        <v>1226.573791</v>
      </c>
      <c r="G256" s="3">
        <f>854.6+(947.3-218.2)+(0+(0-0))+0-407.9-0</f>
        <v>1175.7999999999997</v>
      </c>
      <c r="H256" s="3">
        <f>855.2+(936.3-238.9)+(0.436152+(0.477513-0.121839))+0-410.6-0.209405999999958</f>
        <v>1142.5824199999997</v>
      </c>
      <c r="I256" s="3">
        <f>853.8+(811.2-116.5)+(-0.435438+(-0.413712--0.059415))+0-422--0.215219999999957</f>
        <v>1125.925485</v>
      </c>
      <c r="J256" s="3">
        <f>854.7+(803.8-115)+(0+(0-0))+0-426.1-0</f>
        <v>1117.4000000000001</v>
      </c>
      <c r="K256" s="3">
        <f>855+(858.4-176.1)+(0.8721+(0.875568-0.179622))+0-425.9-0.434418000000068</f>
        <v>1112.5336279999999</v>
      </c>
      <c r="L256" s="3">
        <f>854.4+(1055.1-437.9)+(-3.921696+(-4.842909--2.009961))+0-400--1.83600000000007</f>
        <v>1066.6813559999998</v>
      </c>
      <c r="M256" s="3">
        <f>854.5+(1068.7-475.1)+(0.87159+(1.090074-0.484602))+0-406.5-0.414630000000065</f>
        <v>1042.6624319999999</v>
      </c>
      <c r="N256" s="3">
        <f>856+(786.3-184.3)+(-0.87312+(-0.802026--0.187986))+0-401.1--0.409122000000064</f>
        <v>1055.821962</v>
      </c>
      <c r="O256" s="3">
        <f>828+(804.9-117.2)+(0.84456+(0.820998-0.119544))+0-402.7-0.410754000000064</f>
        <v>1114.1352599999998</v>
      </c>
      <c r="P256" s="3">
        <f>868.1+(806.3-96.2)+(0.442731+(0.411213-0.049062))+0-404.2-0.206141999999959</f>
        <v>1174.5987399999997</v>
      </c>
      <c r="Q256" s="3">
        <f>950.8+(802-144.5)+(-0.969816+(-0.81804--0.14739))+0-417.4--0.425748000000067</f>
        <v>1189.6852819999999</v>
      </c>
      <c r="R256" s="3">
        <f>950+(804-156.7)+(-1.938+(-1.64016--0.319668))+0-417.8--0.852311999999982</f>
        <v>1177.0938200000001</v>
      </c>
      <c r="S256" s="3">
        <f>951.3+(818.4-196.3)+(-0.970326+(-0.834768--0.200226))+0-420.6--0.429012000000067</f>
        <v>1151.6241439999999</v>
      </c>
      <c r="T256" s="3">
        <f>949.9+(806.1-189.8)+(-1.937796+(-1.644444--0.387192))+0-424.3--0.865571999999981</f>
        <v>1139.5705239999998</v>
      </c>
      <c r="U256" s="3">
        <f>953.1+(794.4-165.4)+(-0.972162+(-0.810288--0.168708))+0-417.9--0.426258000000067</f>
        <v>1163.0125159999998</v>
      </c>
      <c r="V256" s="3">
        <f>1139.4+(708.2-262.7)+(0+(0-0))+0-411.2-0</f>
        <v>1173.7</v>
      </c>
      <c r="W256" s="3">
        <f>1266.9+(1068.8-525.3)+(0+(0-0))+0-411.2-0</f>
        <v>1399.2</v>
      </c>
      <c r="X256" s="3">
        <f>1272.5+(1223.7-627.9)+(-2.5959+(-2.496348--1.280916))+0-397.9--0.811715999999983</f>
        <v>1467.4003840000003</v>
      </c>
      <c r="Y256" s="3">
        <f>1272.6+(1302.8-722.8)+(1.947078+(1.993284-1.105884))+0-405.4-0.620262000000023</f>
        <v>1449.4142160000001</v>
      </c>
      <c r="Z256" s="3">
        <f>1275+(1245.4-685.3)+(-1.95075+(-1.905462--1.048509))+0-405.2--0.619956000000023</f>
        <v>1427.7122530000001</v>
      </c>
      <c r="AA256" s="3">
        <f>1268.8+(1294.9-733.1)+(-1.294176+(-1.320798--0.747762))+0-414.9--0.423198000000066</f>
        <v>1414.2559859999997</v>
      </c>
      <c r="AB256" s="3">
        <f>1117.8+(1382.9-724.5)+(-1.710234+(-2.115837--1.108485))+0-417.2--0.638316000000024</f>
        <v>1356.92073</v>
      </c>
      <c r="AC256" s="3">
        <f>1085.6+(1054.4-444.3)+(-2.214624+(-2.150976--0.906372))+0-421.2--0.859247999999982</f>
        <v>1271.90002</v>
      </c>
      <c r="AD256" s="2">
        <v>1500.4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1043.2+(810.5-246.6)+(-2.66016+(-2.066775--0.62883))+0-416.8--1.06283999999994</f>
        <v>1187.264735</v>
      </c>
      <c r="G257" s="3">
        <f>982.9+(795.8-217.4)+(-2.005116+(-1.623432--0.443496))+0-424.4--0.865775999999981</f>
        <v>1134.5807239999997</v>
      </c>
      <c r="H257" s="3">
        <f>984+(713.1-155.5)+(-1.00368+(-0.727362--0.15861))+0-425.6--0.434112000000068</f>
        <v>1114.8616800000002</v>
      </c>
      <c r="I257" s="3">
        <f>983.8+(695.1-160.8)+(-1.505214+(-1.063503--0.246024))+0-421.8--0.645354000000024</f>
        <v>1094.6226609999999</v>
      </c>
      <c r="J257" s="3">
        <f>987.6+(692.9-156.9)+(0+(0-0))+0-420.8-0</f>
        <v>1102.8</v>
      </c>
      <c r="K257" s="3">
        <f>999.1+(692.5-175.2)+(1.528623+(1.059525-0.268056))+0-416.1-0.636633000000024</f>
        <v>1101.983459</v>
      </c>
      <c r="L257" s="3">
        <f>1009+(793-218.1)+(-1.02918+(-0.80886--0.222462))+0-424.8--0.433296000000068</f>
        <v>1157.9177180000004</v>
      </c>
      <c r="M257" s="3">
        <f>1056.3+(834.3-258.8)+(2.693565+(2.127465-0.65994))+0-420.1-1.07125499999994</f>
        <v>1214.789835</v>
      </c>
      <c r="N257" s="3">
        <f>1135.8+(920.1-338.7)+(1.158516+(0.938502-0.345474))+0-423.2-0.431664000000067</f>
        <v>1295.31988</v>
      </c>
      <c r="O257" s="3">
        <f>1191.1+(1092.3-479.5)+(1.214922+(1.114146-0.48909))+0-422.3-0.430746000000067</f>
        <v>1383.0092319999999</v>
      </c>
      <c r="P257" s="3">
        <f>1219.2+(1173.7-550.7)+(-0.621792+(-0.598587--0.280857))+0-423.4--0.215933999999957</f>
        <v>1418.0764120000001</v>
      </c>
      <c r="Q257" s="3">
        <f>1252+(1136.9-559.1)+(-1.27704+(-1.159638--0.570282))+0-414.2--0.422484000000066</f>
        <v>1414.1560880000004</v>
      </c>
      <c r="R257" s="3">
        <f>1248+(1213-725.6)+(-3.1824+(-3.09315--1.85028))+0-410.9--1.04779499999994</f>
        <v>1321.1225250000002</v>
      </c>
      <c r="S257" s="3">
        <f>1250.8+(1172.7-720.3)+(0.637908+(0.598077-0.367353))+0-409.5-0.208844999999958</f>
        <v>1294.3597870000001</v>
      </c>
      <c r="T257" s="3">
        <f>1252.9+(1127-673.6)+(0+(0-0))+0-408.9-0</f>
        <v>1297.4000000000001</v>
      </c>
      <c r="U257" s="3">
        <f>1249.1+(1325.4-871.7)+(-1.911123+(-2.027862--1.333701))+0-410.3--0.627759000000024</f>
        <v>1290.522475</v>
      </c>
      <c r="V257" s="3">
        <f>1278.6+(1558-1113.8)+(0.652086+(0.79458-0.568038))+0-414.4-0.211343999999958</f>
        <v>1309.067284</v>
      </c>
      <c r="W257" s="3">
        <f>1480.7+(2128.7-1625.9)+(-1.510314+(-2.171274--1.658418))+0-415.9--0.424218000000066</f>
        <v>1566.0010480000001</v>
      </c>
      <c r="X257" s="3">
        <f>1552.6+(2118.7-1617.6)+(0.791826+(1.080537-0.824976))+0-418.9-0.213638999999958</f>
        <v>1635.6337479999997</v>
      </c>
      <c r="Y257" s="3">
        <f>1554.2+(1855.8-1386)+(-2.377926+(-2.839374--2.12058))+0-421.2--0.644436000000024</f>
        <v>1600.347716</v>
      </c>
      <c r="Z257" s="3">
        <f>1555.5+(1431.2-1000.1)+(-4.75983+(-4.379472--3.060306))+0-421.6--1.29009600000005</f>
        <v>1560.2110999999998</v>
      </c>
      <c r="AA257" s="3">
        <f>1558.2+(1100.2-711.4)+(-5.562774+(-3.927714--2.539698))+0-426--1.52082000000001</f>
        <v>1515.5700299999999</v>
      </c>
      <c r="AB257" s="3">
        <f>1566.9+(1312.9-986.6)+(-3.995595+(-3.347895--2.51583))+0-421.8--1.07558999999994</f>
        <v>1467.6479300000003</v>
      </c>
      <c r="AC257" s="3">
        <f>1539.5+(1152.9-883.5)+(-3.925725+(-2.939895--2.252925))+0-424.7--1.08298499999994</f>
        <v>1380.67029</v>
      </c>
      <c r="AD257" s="2">
        <v>1616.6000000000004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1243.9+(1354.2-872.2)+(-0.634389+(-0.690642--0.444822))+0-424.3--0.216392999999957</f>
        <v>1300.9361840000001</v>
      </c>
      <c r="G258" s="3">
        <f>1135.3+(1161.4-652.9)+(-2.316012+(-2.369256--1.331916))+0-427.5--0.872099999999981</f>
        <v>1213.8187480000001</v>
      </c>
      <c r="H258" s="3">
        <f>1135.3+(1184.6-706.4)+(0+(0-0))+0-418.2-0</f>
        <v>1195.3</v>
      </c>
      <c r="I258" s="3">
        <f>1135.3+(990.6-539.7)+(1.737009+(1.515618-0.825741))+0-409.6-0.626688000000024</f>
        <v>1178.4001979999996</v>
      </c>
      <c r="J258" s="3">
        <f>1136.1+(916.9-497.1)+(2.317644+(1.870476-1.014084))+0-389.6-0.794783999999983</f>
        <v>1168.6792519999997</v>
      </c>
      <c r="K258" s="3">
        <f>1135.8+(681.9-252.9)+(-1.158516+(-0.695538--0.257958))+0-387.5--0.395250000000062</f>
        <v>1176.099154</v>
      </c>
      <c r="L258" s="3">
        <f>1135.6+(555.3-132.6)+(0+(0-0))+0-362.2-0</f>
        <v>1196.0999999999997</v>
      </c>
      <c r="M258" s="3">
        <f>1156+(899-420.7)+(1.76868+(1.37547-0.643671))+0-374.3-0.572679000000022</f>
        <v>1261.9277999999999</v>
      </c>
      <c r="N258" s="3">
        <f>1232.4+(1466-960.3)+(0+(0-0))+0-388.9-0</f>
        <v>1349.2000000000003</v>
      </c>
      <c r="O258" s="3">
        <f>1232.8+(1854.6-1250.4)+(0+(0-0))+0-400.3-0</f>
        <v>1436.6999999999998</v>
      </c>
      <c r="P258" s="3">
        <f>1232.8+(2023.5-1409.8)+(0+(0-0))+0-394.8-0</f>
        <v>1451.7</v>
      </c>
      <c r="Q258" s="3">
        <f>1240.3+(2057.7-1426)+(-1.897659+(-3.148281--2.18178))+0-397.7--0.608481000000023</f>
        <v>1472.0443209999996</v>
      </c>
      <c r="R258" s="3">
        <f>1234.2+(1680.4-1116.4)+(-3.14721+(-4.28502--2.84682))+0-403.8--1.02968999999994</f>
        <v>1390.84428</v>
      </c>
      <c r="S258" s="3">
        <f>1230.9+(1490.1-962.7)+(-1.255518+(-1.519902--0.981954))+0-408.8--0.416976000000065</f>
        <v>1348.1235099999999</v>
      </c>
      <c r="T258" s="3">
        <f>1231.3+(1291.4-767.6)+(-0.627963+(-0.658614--0.391476))+0-404.5--0.206294999999959</f>
        <v>1349.9111939999998</v>
      </c>
      <c r="U258" s="3">
        <f>1232.4+(1316.1-784.9)+(1.885572+(2.013633-1.200897))+0-408.2-0.624546000000024</f>
        <v>1357.4737619999999</v>
      </c>
      <c r="V258" s="3">
        <f>1344.1+(1333-901.5)+(0.685491+(0.67983-0.459765))+0-406.6-0.207365999999959</f>
        <v>1369.6981899999998</v>
      </c>
      <c r="W258" s="3">
        <f>1534+(2312.2-1851.5)+(1.56468+(2.358444-1.88853))+0-411.4-0.419628000000066</f>
        <v>1584.9149659999998</v>
      </c>
      <c r="X258" s="3">
        <f>1582.9+(2050.4-1571.5)+(0+(0-0))+0-407.3-0</f>
        <v>1654.5000000000002</v>
      </c>
      <c r="Y258" s="3">
        <f>1576.7+(1577.9-1154.7)+(1.608234+(1.609458-1.177794))+0-407.2-0.415344000000065</f>
        <v>1594.324554</v>
      </c>
      <c r="Z258" s="3">
        <f>1489.6+(1300.8-825.3)+(0+(0-0))+0-413.8-0</f>
        <v>1551.3</v>
      </c>
      <c r="AA258" s="3">
        <f>1485.8+(896.2-463.7)+(-1.515516+(-0.914124--0.472974))+0-412.9--0.421158000000066</f>
        <v>1503.8644920000002</v>
      </c>
      <c r="AB258" s="3">
        <f>1444.6+(974.7-554.4)+(-3.68373+(-2.485485--1.41372))+0-412.4--1.05161999999994</f>
        <v>1448.7961250000001</v>
      </c>
      <c r="AC258" s="3">
        <f>1307+(979.4-487.4)+(-3.33285+(-2.49747--1.24287))+0-416.8--1.06283999999994</f>
        <v>1378.6753900000001</v>
      </c>
      <c r="AD258" s="2">
        <v>1646.2000000000003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1201.9+(797.9-307.4)+(-1.838907+(-1.220787--0.470322))+0-415.8--0.636174000000024</f>
        <v>1274.6468020000002</v>
      </c>
      <c r="G259" s="3">
        <f>1143.2+(598.5-95.6)+(-1.166064+(-0.61047--0.097512))+0-416.1--0.424422000000066</f>
        <v>1228.7453999999998</v>
      </c>
      <c r="H259" s="3">
        <f>1143.9+(503-67.1)+(-1.166778+(-0.51306--0.068442))+0-411.5--0.419730000000066</f>
        <v>1167.1083340000002</v>
      </c>
      <c r="I259" s="3">
        <f>1143.6+(547.1-119.6)+(-1.749708+(-0.837063--0.182988))+0-415.2--0.635256000000024</f>
        <v>1154.1314729999999</v>
      </c>
      <c r="J259" s="3">
        <f>1144.2+(560.8-131)+(0.583542+(0.286008-0.06681))+0-418.2-0.213281999999958</f>
        <v>1156.3894580000001</v>
      </c>
      <c r="K259" s="3">
        <f>1142.8+(582.5-148.3)+(0+(0-0))+0-418.5-0</f>
        <v>1158.5</v>
      </c>
      <c r="L259" s="3">
        <f>1140.9+(623.9-179)+(-2.909295+(-1.590945--0.45645))+0-401.9--1.02484499999994</f>
        <v>1180.8810550000003</v>
      </c>
      <c r="M259" s="3">
        <f>1143.6+(620.8-158.2)+(2.91618+(1.58304-0.40341))+0-392.5-1.00087499999994</f>
        <v>1216.7949349999999</v>
      </c>
      <c r="N259" s="3">
        <f>1144.3+(854-274)+(1.167186+(0.87108-0.27948))+0-392.6-0.400452000000063</f>
        <v>1333.0583340000001</v>
      </c>
      <c r="O259" s="3">
        <f>1143.9+(867.5-263.3)+(1.750167+(1.327275-0.402849))+0-369.9-0.565947000000021</f>
        <v>1380.308646</v>
      </c>
      <c r="P259" s="3">
        <f>1178.3+(773.7-197.4)+(-3.004665+(-1.972935--0.50337))+0-352.3--0.898364999999949</f>
        <v>1398.7241349999999</v>
      </c>
      <c r="Q259" s="3">
        <f>1231.2+(692.8-161.5)+(-2.511648+(-1.413312--0.32946))+0-349.9--0.713795999999985</f>
        <v>1409.718296</v>
      </c>
      <c r="R259" s="3">
        <f>1161.5+(762.2-230.8)+(-4.73892+(-3.109776--0.941664))+0-350.6--1.43044799999997</f>
        <v>1336.8234160000002</v>
      </c>
      <c r="S259" s="3">
        <f>1147.6+(718.1-207.4)+(-1.755828+(-1.098693--0.317322))+0-349.9--0.53534700000002</f>
        <v>1306.3981479999998</v>
      </c>
      <c r="T259" s="3">
        <f>1150.8+(747.1-219)+(-0.586908+(-0.381021--0.11169))+0-350.2--0.178601999999964</f>
        <v>1328.022363</v>
      </c>
      <c r="U259" s="3">
        <f>1157.8+(759.6-227.8)+(-0.590478+(-0.387396--0.116178))+0-356.7--0.181916999999964</f>
        <v>1332.2202209999998</v>
      </c>
      <c r="V259" s="3">
        <f>1397.8+(774.3-403)+(0.712878+(0.394893-0.20553))+0-364.4-0.185843999999963</f>
        <v>1405.4163970000002</v>
      </c>
      <c r="W259" s="3">
        <f>1494.4+(1013-566.6)+(0+(0-0))+0-370.3-0</f>
        <v>1570.5000000000002</v>
      </c>
      <c r="X259" s="3">
        <f>1488.5+(1052.4-538.5)+(-3.795675+(-2.68362--1.373175))+0-370.5--0.944774999999946</f>
        <v>1627.7386550000001</v>
      </c>
      <c r="Y259" s="3">
        <f>1491.6+(759.4-292.9)+(-3.042864+(-1.549176--0.597516))+0-372.7--0.760307999999984</f>
        <v>1582.1657839999998</v>
      </c>
      <c r="Z259" s="3">
        <f>1421.3+(779.4-273.3)+(-1.449726+(-0.794988--0.278766))+0-380.6--0.388212000000061</f>
        <v>1545.2222639999998</v>
      </c>
      <c r="AA259" s="3">
        <f>1358.7+(761.7-224)+(-4.157622+(-2.330802--0.68544))+0-388.6--1.18911600000004</f>
        <v>1503.1861320000003</v>
      </c>
      <c r="AB259" s="3">
        <f>1248.4+(812.8-223.7)+(-3.18342+(-2.07264--0.570435))+0-381.4--0.972569999999945</f>
        <v>1452.3869449999997</v>
      </c>
      <c r="AC259" s="3">
        <f>1230.7+(910-337.8)+(-1.882971+(-1.3923--0.516834))+0-420.9--0.643977000000024</f>
        <v>1379.88554</v>
      </c>
      <c r="AD259" s="2">
        <v>1632.6999999999998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1142.2+(720-143.6)+(0+(0-0))+0-419.4-0</f>
        <v>1299.1999999999998</v>
      </c>
      <c r="G260" s="3">
        <f>1138.4+(542-66.1)+(-1.161168+(-0.55284--0.067422))+0-388.4--0.396168000000062</f>
        <v>1224.6495820000002</v>
      </c>
      <c r="H260" s="3">
        <f>1139.8+(510.4-77)+(0.581298+(0.260304-0.03927))+0-389.5-0.19864499999996</f>
        <v>1184.3036869999999</v>
      </c>
      <c r="I260" s="3">
        <f>1141+(498.6-79.2)+(1.74573+(0.762858-0.121176))+0-397.3-0.607869000000023</f>
        <v>1164.8795430000002</v>
      </c>
      <c r="J260" s="3">
        <f>1140.1+(489.8-82.6)+(0+(0-0))+0-396.1-0</f>
        <v>1151.1999999999998</v>
      </c>
      <c r="K260" s="3">
        <f>1140.9+(515.3-104.1)+(1.163718+(0.525606-0.106182))+0-396.5-0.404430000000063</f>
        <v>1156.7787119999998</v>
      </c>
      <c r="L260" s="3">
        <f>1140.8+(563.2-118.7)+(-1.163616+(-0.574464--0.121074))+0-395.9--0.403818000000063</f>
        <v>1188.1868120000001</v>
      </c>
      <c r="M260" s="3">
        <f>1140.7+(658.9-166.8)+(1.163514+(0.672078-0.170136))+0-402.7-0.410754000000064</f>
        <v>1231.3547019999999</v>
      </c>
      <c r="N260" s="3">
        <f>1141.2+(1064.2-481.4)+(1.164024+(1.085484-0.491028))+0-398.9-0.406878000000064</f>
        <v>1326.4516019999999</v>
      </c>
      <c r="O260" s="3">
        <f>1137.8+(1157.9-508.5)+(-3.481668+(-3.543174--1.55601))+0-400--1.22400000000005</f>
        <v>1382.9551680000002</v>
      </c>
      <c r="P260" s="3">
        <f>1140.7+(1644.7-951.7)+(0+(0-0))+0-402-0</f>
        <v>1431.7</v>
      </c>
      <c r="Q260" s="3">
        <f>1141.1+(1773.3-1068.3)+(0.581961+(0.904383-0.544833))+0-399.9-0.203948999999959</f>
        <v>1446.9375619999998</v>
      </c>
      <c r="R260" s="3">
        <f>1140.4+(1693.1-1032)+(-1.163208+(-1.726962--1.05264))+0-400.9--0.408918000000064</f>
        <v>1399.1713880000002</v>
      </c>
      <c r="S260" s="3">
        <f>1140.8+(1367.8-749.5)+(-1.745424+(-2.092734--1.146735))+0-402.1--0.615213000000023</f>
        <v>1354.9237899999998</v>
      </c>
      <c r="T260" s="3">
        <f>1141+(1207.5-579.6)+(1.16382+(1.23165-0.591192))+0-400.6-0.408612000000064</f>
        <v>1369.6956660000001</v>
      </c>
      <c r="U260" s="3">
        <f>1140.8+(1157-509)+(-1.163616+(-1.18014--0.51918))+0-400.9--0.408918000000064</f>
        <v>1386.4843420000002</v>
      </c>
      <c r="V260" s="3">
        <f>1184.9+(1408.9-757.6)+(-0.604299+(-0.718539--0.386376))+0-400--0.203999999999959</f>
        <v>1435.4675380000003</v>
      </c>
      <c r="W260" s="3">
        <f>1442+(1880.2-1320.6)+(0.73542+(0.958902-0.673506))+0-401-0.204509999999959</f>
        <v>1601.4163060000001</v>
      </c>
      <c r="X260" s="3">
        <f>1578.3+(1577.7-1098.7)+(-4.024665+(-4.023135--2.801685))+0-401.5--1.02382499999994</f>
        <v>1651.5777100000003</v>
      </c>
      <c r="Y260" s="3">
        <f>1579.9+(1327.9-904.9)+(-3.222996+(-2.708916--1.845996))+0-398.4--0.812735999999983</f>
        <v>1601.2268200000001</v>
      </c>
      <c r="Z260" s="3">
        <f>1568.1+(1111.9-716.7)+(-3.198924+(-2.268276--1.462068))+0-401.1--0.818243999999983</f>
        <v>1559.0131120000001</v>
      </c>
      <c r="AA260" s="3">
        <f>1386+(952.7-430.4)+(-2.12058+(-1.457631--0.658512))+0-378.9--0.579717000000022</f>
        <v>1527.0600180000001</v>
      </c>
      <c r="AB260" s="3">
        <f>1317+(995.3-457.6)+(-3.35835+(-2.538015--1.16688))+0-391.7--0.998834999999943</f>
        <v>1459.2693499999996</v>
      </c>
      <c r="AC260" s="3">
        <f>1313.5+(1056.8-625.6)+(-2.67954+(-2.155872--1.276224))+0-383.8--0.782951999999983</f>
        <v>1358.1237639999999</v>
      </c>
      <c r="AD260" s="2">
        <v>1673.6999999999996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1310.3+(953.4-596.1)+(-4.009518+(-2.917404--1.824066))+0-398--1.21788000000005</f>
        <v>1265.7150240000001</v>
      </c>
      <c r="G261" s="3">
        <f>1157.6+(1095-635.6)+(0.590376+(0.55845-0.324156))+0-398.6-0.20328599999996</f>
        <v>1219.0213840000001</v>
      </c>
      <c r="H261" s="3">
        <f>1102+(1023.5-543.7)+(0+(0-0))+0-398-0</f>
        <v>1183.8</v>
      </c>
      <c r="I261" s="3">
        <f>1100.6+(890.6-431.4)+(0+(0-0))+0-396.9-0</f>
        <v>1162.9000000000001</v>
      </c>
      <c r="J261" s="3">
        <f>1101.4+(906.8-457.5)+(2.246856+(1.849872-0.9333))+0-397.8-0.811511999999983</f>
        <v>1155.2519160000002</v>
      </c>
      <c r="K261" s="3">
        <f>1101.5+(1015.8-547.9)+(2.24706+(2.072232-1.117716))+0-396.9-0.809675999999983</f>
        <v>1174.8918999999999</v>
      </c>
      <c r="L261" s="3">
        <f>1101.3+(1193.8-719.3)+(1.123326+(1.217676-0.733686))+0-395.9-0.403818000000063</f>
        <v>1181.1034980000002</v>
      </c>
      <c r="M261" s="3">
        <f>1111.6+(1355.4-843.1)+(-1.133832+(-1.382508--0.859962))+0-396.2--0.404124000000063</f>
        <v>1226.4477460000003</v>
      </c>
      <c r="N261" s="3">
        <f>1171.2+(1599.8-1087.2)+(1.791936+(2.447694-1.663416))+0-375.9-0.575127000000022</f>
        <v>1309.9010869999997</v>
      </c>
      <c r="O261" s="3">
        <f>1260.9+(2070.2-1548.8)+(0.643059+(1.055802-0.789888))+0-369-0.188189999999963</f>
        <v>1414.0207830000002</v>
      </c>
      <c r="P261" s="3">
        <f>1292+(2045.5-1627.9)+(-0.65892+(-1.043205--0.830229))+0-379.5--0.193544999999961</f>
        <v>1329.4216489999997</v>
      </c>
      <c r="Q261" s="3">
        <f>1355+(1813.2-1452)+(-2.7642+(-3.698928--2.96208))+0-369.5--0.753779999999984</f>
        <v>1343.952732</v>
      </c>
      <c r="R261" s="3">
        <f>1397.8+(1453.8-1042.2)+(-3.56439+(-3.70719--2.65761))+0-365.9--0.933044999999947</f>
        <v>1439.8190749999997</v>
      </c>
      <c r="S261" s="3">
        <f>1387.4+(1304.3-921.9)+(-5.660592+(-5.321544--3.761352))+0-368.6--1.50388799999997</f>
        <v>1395.4831040000001</v>
      </c>
      <c r="T261" s="3">
        <f>1337.8+(1280.1-847.8)+(0.682278+(0.652851-0.432378))+0-370.6-0.189005999999962</f>
        <v>1400.213745</v>
      </c>
      <c r="U261" s="3">
        <f>1321.5+(1172.4-704)+(-2.021895+(-1.793772--1.07712))+0-379--0.579870000000022</f>
        <v>1408.7413230000002</v>
      </c>
      <c r="V261" s="3">
        <f>1336.7+(1169.3-659.8)+(-2.726868+(-2.385372--1.345992))+0-379.6--0.774383999999984</f>
        <v>1463.6081360000001</v>
      </c>
      <c r="W261" s="3">
        <f>1371.4+(1613-990.4)+(-1.398828+(-1.64526--1.010208))+0-387.2--0.394944000000062</f>
        <v>1605.1610640000001</v>
      </c>
      <c r="X261" s="3">
        <f>1373.9+(1603.6-959.6)+(-4.204134+(-4.907016--2.936376))+0-388.6--1.18911600000004</f>
        <v>1624.3143420000001</v>
      </c>
      <c r="Y261" s="3">
        <f>1375.4+(1460-862)+(-2.805816+(-2.9784--1.75848))+0-391.5--0.798659999999983</f>
        <v>1578.672924</v>
      </c>
      <c r="Z261" s="3">
        <f>1352.3+(1544.5-971.2)+(-3.448365+(-3.938475--2.47656))+0-392.2--1.00010999999994</f>
        <v>1529.4898299999998</v>
      </c>
      <c r="AA261" s="3">
        <f>1308.3+(1496.8-871.9)+(-2.001699+(-2.290104--1.334007))+0-415.8--0.636174000000024</f>
        <v>1515.0783779999999</v>
      </c>
      <c r="AB261" s="3">
        <f>1194.4+(1709.7-1039.7)+(-2.436576+(-3.487788--2.120988))+0-415.3--0.847211999999982</f>
        <v>1446.143836</v>
      </c>
      <c r="AC261" s="3">
        <f>1175+(1877.8-1254.9)+(-0.59925+(-0.957678--0.639999))+0-418.1--0.213230999999958</f>
        <v>1379.0963019999997</v>
      </c>
      <c r="AD261" s="2">
        <v>1622.9999999999998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1121.3+(1454.4-866.9)+(-2.287452+(-2.966976--1.768476))+0-414.2--0.844967999999982</f>
        <v>1291.959016</v>
      </c>
      <c r="G262" s="3">
        <f>1122.2+(1344.7-821.5)+(-1.144644+(-1.371594--0.83793))+0-418.1--0.426462000000067</f>
        <v>1226.0481540000003</v>
      </c>
      <c r="H262" s="3">
        <f>1120.5+(1027.6-533.7)+(-0.571455+(-0.524076--0.272187))+0-411.9--0.210068999999958</f>
        <v>1201.8867250000001</v>
      </c>
      <c r="I262" s="3">
        <f>1121.2+(831.5-372.2)+(0.571812+(0.424065-0.189822))+0-420.3-0.214352999999957</f>
        <v>1160.7917020000002</v>
      </c>
      <c r="J262" s="3">
        <f>1121.8+(814.4-361.7)+(-2.288472+(-1.661376--0.737868))+0-414.2--0.844967999999982</f>
        <v>1157.9329879999998</v>
      </c>
      <c r="K262" s="3">
        <f>1121.3+(801.1-320.1)+(1.143726+(0.817122-0.326502))+0-422.8-0.431256000000067</f>
        <v>1180.70309</v>
      </c>
      <c r="L262" s="3">
        <f>1121.5+(851.4-356.2)+(-0.571965+(-0.434214--0.181662))+0-421.4--0.214913999999957</f>
        <v>1194.6903970000001</v>
      </c>
      <c r="M262" s="3">
        <f>1098.8+(845.9-292.3)+(-0.560388+(-0.431409--0.149073))+0-425--0.216749999999957</f>
        <v>1226.7740259999998</v>
      </c>
      <c r="N262" s="3">
        <f>1150.3+(981.1-365.5)+(1.759959+(1.501083-0.559215))+0-423.4-0.647802000000024</f>
        <v>1344.5540250000004</v>
      </c>
      <c r="O262" s="3">
        <f>1196.3+(1514.1-844.3)+(0.610113+(0.772191-0.430593))+0-423.4-0.215933999999957</f>
        <v>1443.4357769999999</v>
      </c>
      <c r="P262" s="3">
        <f>1226.3+(1718.7-1029.6)+(2.501652+(3.506148-2.100384))+0-429.3-0.875771999999981</f>
        <v>1489.1316440000003</v>
      </c>
      <c r="Q262" s="3">
        <f>1223.8+(1881.6-1186)+(-1.872414+(-2.878848--1.81458))+0-421.9--0.645507000000024</f>
        <v>1495.2088249999999</v>
      </c>
      <c r="R262" s="3">
        <f>1218.2+(1720.7-1104.2)+(-3.727692+(-5.265342--3.378852))+0-414.8--1.26928800000005</f>
        <v>1415.555106</v>
      </c>
      <c r="S262" s="3">
        <f>1217.5+(1692.6-1163.2)+(-1.24185+(-1.726452--1.186464))+0-404.6--0.412692000000065</f>
        <v>1340.930854</v>
      </c>
      <c r="T262" s="3">
        <f>1216.2+(1614.3-1122.9)+(-0.620262+(-0.823293--0.572679))+0-410.3--0.209252999999958</f>
        <v>1296.638377</v>
      </c>
      <c r="U262" s="3">
        <f>1216.9+(1702.7-1186.2)+(1.241238+(1.736754-1.209924))+0-417.2-0.425544000000067</f>
        <v>1317.542524</v>
      </c>
      <c r="V262" s="3">
        <f>1260.2+(1808.1-1294.9)+(-2.570808+(-3.688524--2.641596))+0-424.5--0.865979999999981</f>
        <v>1346.148244</v>
      </c>
      <c r="W262" s="3">
        <f>1375.4+(2178.3-1604.2)+(0.701454+(1.110933-0.818142))+0-424-0.216239999999957</f>
        <v>1526.2780050000003</v>
      </c>
      <c r="X262" s="3">
        <f>1371.1+(2145.9-1499)+(-4.195566+(-6.566454--4.58694))+0-428.5--1.31121000000005</f>
        <v>1584.6361300000001</v>
      </c>
      <c r="Y262" s="3">
        <f>1371.7+(1835.1-1233.2)+(-2.798268+(-3.743604--2.515728))+0-421.6--0.860063999999982</f>
        <v>1548.83392</v>
      </c>
      <c r="Z262" s="3">
        <f>1372+(1720.1-1162.5)+(-2.79888+(-3.509004--2.3715))+0-424.2--0.865367999999981</f>
        <v>1502.3289839999998</v>
      </c>
      <c r="AA262" s="3">
        <f>1374.8+(1897.6-1372.3)+(-1.402296+(-1.935552--1.399746))+0-419.3--0.427686000000067</f>
        <v>1479.2895839999999</v>
      </c>
      <c r="AB262" s="3">
        <f>1375.1+(1612.1-1132.2)+(-0.701301+(-0.822171--0.577422))+0-418.5--0.213434999999958</f>
        <v>1435.7673849999996</v>
      </c>
      <c r="AC262" s="3">
        <f>1309.3+(1221.2-786.7)+(-3.338715+(-3.11406--2.006085))+0-397.7--1.01413499999994</f>
        <v>1342.6674449999998</v>
      </c>
      <c r="AD262" s="2">
        <v>1556.4999999999998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1178.1+(1294.4-790.4)+(0+(0-0))+0-409.2-0</f>
        <v>1272.8999999999999</v>
      </c>
      <c r="G263" s="3">
        <f>1178.8+(1096-661.1)+(-1.803564+(-1.67688--1.011483))+0-413.5--0.632655000000024</f>
        <v>1198.3636939999999</v>
      </c>
      <c r="H263" s="3">
        <f>1177.4+(1161.5-755.9)+(0+(0-0))+0-423.8-0</f>
        <v>1159.2</v>
      </c>
      <c r="I263" s="3">
        <f>1177.9+(1237.4-848.6)+(1.201458+(1.262148-0.865572))+0-428.2-0.436764000000068</f>
        <v>1139.6612700000003</v>
      </c>
      <c r="J263" s="3">
        <f>1177.6+(1233.8-849.9)+(-1.801728+(-1.887714--1.300347))+0-428--0.654840000000025</f>
        <v>1131.7657449999999</v>
      </c>
      <c r="K263" s="3">
        <f>1177.9+(1093.1-711.8)+(1.802187+(1.672443-1.089054))+0-424.5-0.649485000000025</f>
        <v>1136.436091</v>
      </c>
      <c r="L263" s="3">
        <f>1178+(1049.7-668.7)+(-1.20156+(-1.070694--0.682074))+0-425.4--0.433908000000068</f>
        <v>1132.4437280000002</v>
      </c>
      <c r="M263" s="3">
        <f>1177.3+(759-415.9)+(-3.602538+(-2.32254--1.272654))+0-426--1.30356000000005</f>
        <v>1091.051136</v>
      </c>
      <c r="N263" s="3">
        <f>1172+(550.7-183.2)+(-1.79316+(-0.842571--0.280296))+0-423.7--0.648261000000025</f>
        <v>1114.0928260000001</v>
      </c>
      <c r="O263" s="3">
        <f>1153.5+(631.6-217.5)+(0+(0-0))+0-423.1-0</f>
        <v>1144.5</v>
      </c>
      <c r="P263" s="3">
        <f>1148+(749-282.8)+(0+(0-0))+0-421.7-0</f>
        <v>1192.5</v>
      </c>
      <c r="Q263" s="3">
        <f>1167.3+(917.2-453.9)+(-1.190646+(-0.935544--0.462978))+0-424.7--0.433194000000068</f>
        <v>1204.6699819999999</v>
      </c>
      <c r="R263" s="3">
        <f>1179.3+(1105.9-695.7)+(-2.405772+(-2.256036--1.419228))+0-426.9--0.870875999999981</f>
        <v>1160.2282959999998</v>
      </c>
      <c r="S263" s="3">
        <f>1179.5+(872.6-479.5)+(-0.601545+(-0.445026--0.244545))+0-422.2--0.215321999999957</f>
        <v>1149.8132959999998</v>
      </c>
      <c r="T263" s="3">
        <f>1178.7+(763.5-394.1)+(-4.207959+(-2.725695--1.406937))+0-416.6--1.48726200000001</f>
        <v>1127.4605449999999</v>
      </c>
      <c r="U263" s="3">
        <f>1178.6+(631-264.4)+(0.601086+(0.32181-0.134844))+0-419-0.213689999999957</f>
        <v>1126.7743619999999</v>
      </c>
      <c r="V263" s="3">
        <f>1258.5+(774.3-417.6)+(-0.641835+(-0.394893--0.212976))+0-423.3--0.215882999999957</f>
        <v>1191.2921309999997</v>
      </c>
      <c r="W263" s="3">
        <f>1438.3+(1212.4-841.2)+(0+(0-0))+0-423.9-0</f>
        <v>1385.6</v>
      </c>
      <c r="X263" s="3">
        <f>1492.1+(1256.9-840.8)+(-2.282913+(-1.923057--1.286424))+0-422.6--0.646578000000024</f>
        <v>1483.3270319999999</v>
      </c>
      <c r="Y263" s="3">
        <f>1490.8+(1228.4-824)+(-2.280924+(-1.879452--1.26072))+0-416.8--0.637704000000024</f>
        <v>1476.138048</v>
      </c>
      <c r="Z263" s="3">
        <f>1471.5+(1118.8-720.7)+(-3.752325+(-2.85294--1.837785))+0-419.4--1.06946999999994</f>
        <v>1446.5019899999998</v>
      </c>
      <c r="AA263" s="3">
        <f>1293.8+(1144.9-597.9)+(0+(0-0))+0-416.9-0</f>
        <v>1423.9</v>
      </c>
      <c r="AB263" s="3">
        <f>1222.6+(1158.2-578.6)+(-2.494104+(-2.362728--1.180344))+0-422.5--0.861899999999982</f>
        <v>1376.8854119999996</v>
      </c>
      <c r="AC263" s="3">
        <f>1186.8+(827.3-282.5)+(-4.236876+(-2.953461--1.008525))+0-420.4--1.50082800000001</f>
        <v>1306.519016</v>
      </c>
      <c r="AD263" s="2">
        <v>1466.1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1178.6+(658.3-178)+(3.00543+(1.678665-0.4539))+0-425.2-1.08425999999994</f>
        <v>1236.8459350000001</v>
      </c>
      <c r="G264" s="3">
        <f>1173.7+(605.9-198.2)+(1.197174+(0.618018-0.202164))+0-425.4-0.433908000000068</f>
        <v>1157.1791200000002</v>
      </c>
      <c r="H264" s="3">
        <f>1173.3+(542.1-156.5)+(-1.795149+(-0.829413--0.239445))+0-424.6--0.649638000000025</f>
        <v>1132.564521</v>
      </c>
      <c r="I264" s="3">
        <f>1173.5+(594.8-217.5)+(0+(0-0))+0-427.5-0</f>
        <v>1123.3</v>
      </c>
      <c r="J264" s="3">
        <f>1173.2+(635.5-271.7)+(0.598332+(0.324105-0.138567))+0-427.5-0.218024999999957</f>
        <v>1110.0658450000001</v>
      </c>
      <c r="K264" s="3">
        <f>1173.5+(681.3-309.7)+(2.39394+(1.389852-0.631788))+0-424-0.864959999999982</f>
        <v>1123.3870440000001</v>
      </c>
      <c r="L264" s="3">
        <f>1173+(709.6-264.1)+(1.79469+(1.085688-0.404073))+0-428.3-0.655299000000025</f>
        <v>1192.0210059999999</v>
      </c>
      <c r="M264" s="3">
        <f>1174.2+(693.1-187.7)+(-1.796526+(-1.060443--0.287181))+0-425.1--0.650403000000025</f>
        <v>1252.5806150000003</v>
      </c>
      <c r="N264" s="3">
        <f>1173.7+(860.2-251.9)+(0.598587+(0.438702-0.128469))+0-412.4-0.210323999999958</f>
        <v>1370.2984960000001</v>
      </c>
      <c r="O264" s="3">
        <f>1173.3+(1201.9-527.9)+(-2.393532+(-2.451876--1.076916))+0-409.9--0.836195999999982</f>
        <v>1434.4677040000004</v>
      </c>
      <c r="P264" s="3">
        <f>1219.9+(1438.2-805.7)+(1.244298+(1.466964-0.821814))+0-408.1-0.416262000000065</f>
        <v>1445.7731860000001</v>
      </c>
      <c r="Q264" s="3">
        <f>1307.7+(1399.5-821.4)+(-1.333854+(-1.42749--0.837828))+0-403.5--0.411570000000064</f>
        <v>1480.7880540000001</v>
      </c>
      <c r="R264" s="3">
        <f>1300.4+(1459.9-904.3)+(-1.989612+(-2.233647--1.383579))+0-403.8--0.617814000000023</f>
        <v>1449.9781340000002</v>
      </c>
      <c r="S264" s="3">
        <f>1223.9+(1369.2-762.5)+(-0.624189+(-0.698292--0.388875))+0-400--0.203999999999959</f>
        <v>1429.870394</v>
      </c>
      <c r="T264" s="3">
        <f>1224.9+(1368.9-732.6)+(0.624699+(0.698139-0.373626))+0-398-0.20297999999996</f>
        <v>1463.9462320000002</v>
      </c>
      <c r="U264" s="3">
        <f>1224.9+(1325.4-670.8)+(-0.624699+(-0.675954--0.342108))+0-390.8--0.19930799999996</f>
        <v>1487.9407630000003</v>
      </c>
      <c r="V264" s="3">
        <f>1315.6+(1372.3-748.9)+(0.670956+(0.699873-0.381939))+0-390.5-0.19915499999996</f>
        <v>1549.2897350000001</v>
      </c>
      <c r="W264" s="3">
        <f>1535.7+(1775.2-1219.7)+(-1.566414+(-1.810704--1.244094))+0-395.4--0.403308000000063</f>
        <v>1694.0702839999997</v>
      </c>
      <c r="X264" s="3">
        <f>1555.5+(1820.2-1246.1)+(-1.58661+(-1.856604--1.271022))+0-396.6--0.404532000000063</f>
        <v>1731.2323400000005</v>
      </c>
      <c r="Y264" s="3">
        <f>1554.6+(1947.1-1470.9)+(-3.171384+(-3.972084--3.000636))+0-397.8--0.811511999999983</f>
        <v>1629.6686799999998</v>
      </c>
      <c r="Z264" s="3">
        <f>1480+(1843.3-1333.9)+(0+(0-0))+0-399.3-0</f>
        <v>1590.1</v>
      </c>
      <c r="AA264" s="3">
        <f>1440.9+(1558.5-1061.1)+(-5.144013+(-5.563845--3.788127))+0-403--1.43871000000001</f>
        <v>1529.8189790000001</v>
      </c>
      <c r="AB264" s="3">
        <f>1338.4+(1732.3-1151.6)+(-1.365168+(-1.766946--1.174632))+0-404.5--0.412590000000065</f>
        <v>1513.0551080000002</v>
      </c>
      <c r="AC264" s="3">
        <f>1183.7+(1246.5-685.7)+(-2.414748+(-2.54286--1.398828))+0-409.1--0.834563999999982</f>
        <v>1332.6757839999998</v>
      </c>
      <c r="AD264" s="2">
        <v>1638.6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1174.9+(1162.8-594.5)+(-2.396796+(-2.372112--1.21278))+0-406.3--0.828851999999982</f>
        <v>1334.172724</v>
      </c>
      <c r="G265" s="3">
        <f>1174.6+(870.5-457.5)+(0+(0-0))+0-411.9-0</f>
        <v>1175.6999999999998</v>
      </c>
      <c r="H265" s="3">
        <f>1174.6+(757.4-358.4)+(-2.396184+(-1.545096--0.731136))+0-415.8--0.848231999999982</f>
        <v>1155.4380880000001</v>
      </c>
      <c r="I265" s="3">
        <f>1173.8+(701.8-251.9)+(2.394552+(1.431672-0.513876))+0-413.3-0.843131999999982</f>
        <v>1212.8692159999998</v>
      </c>
      <c r="J265" s="3">
        <f>1173.7+(804.5-367)+(0.598587+(0.410295-0.18717))+0-414.1-0.211190999999958</f>
        <v>1197.710521</v>
      </c>
      <c r="K265" s="3">
        <f>1174.9+(720.6-302.4)+(0+(0-0))+0-414.6-0</f>
        <v>1178.5</v>
      </c>
      <c r="L265" s="3">
        <f>1175.1+(804.2-336.4)+(0+(0-0))+0-420.5-0</f>
        <v>1222.4000000000001</v>
      </c>
      <c r="M265" s="3">
        <f>1175.2+(738-280.4)+(1.198704+(0.75276-0.286008))+0-395.6-0.403512000000063</f>
        <v>1238.4619439999999</v>
      </c>
      <c r="N265" s="3">
        <f>1175.9+(1006.2-398.9)+(-1.199418+(-1.026324--0.406878))+0-405.7--0.413814000000065</f>
        <v>1376.0949500000002</v>
      </c>
      <c r="O265" s="3">
        <f>1177.5+(1087.5-395.7)+(1.801575+(1.663875-0.605421))+0-423.8-0.648414000000024</f>
        <v>1447.7116149999999</v>
      </c>
      <c r="P265" s="3">
        <f>1175.9+(1498.3-790.5)+(-0.599709+(-0.764133--0.403155))+0-425.4--0.216953999999957</f>
        <v>1457.5562669999999</v>
      </c>
      <c r="Q265" s="3">
        <f>1176.1+(1556.5-859.6)+(-3.598866+(-4.76289--2.630376))+0-429.7--1.31488200000005</f>
        <v>1438.8835020000001</v>
      </c>
      <c r="R265" s="3">
        <f>1175.6+(1356.3-698.4)+(1.199112+(1.383426-0.712368))+0-429-0.437580000000068</f>
        <v>1405.9325899999999</v>
      </c>
      <c r="S265" s="3">
        <f>1176.5+(1258.4-629.6)+(0+(0-0))+0-430.1-0</f>
        <v>1375.2000000000003</v>
      </c>
      <c r="T265" s="3">
        <f>1177.3+(1202.1-580.8)+(0+(0-0))+0-416.4-0</f>
        <v>1382.1999999999998</v>
      </c>
      <c r="U265" s="3">
        <f>1175.8+(1393.7-784.1)+(-1.199316+(-1.421574--0.799782))+0-406.5--0.414630000000065</f>
        <v>1377.493522</v>
      </c>
      <c r="V265" s="3">
        <f>1303.2+(1337.5-828.8)+(0+(0-0))+0-405.1-0</f>
        <v>1406.8000000000002</v>
      </c>
      <c r="W265" s="3">
        <f>1515.3+(1857.8-1334.7)+(-0.772803+(-0.947478--0.680697))+0-427.7--0.218126999999957</f>
        <v>1609.8785429999996</v>
      </c>
      <c r="X265" s="3">
        <f>1615.7+(1875.6-1389.7)+(-4.120035+(-4.78278--3.543735))+0-427--1.08884999999994</f>
        <v>1670.3297699999996</v>
      </c>
      <c r="Y265" s="3">
        <f>1616.2+(1653.8-1211.3)+(-3.297048+(-3.373752--2.471052))+0-428.3--0.873731999999981</f>
        <v>1627.0739839999999</v>
      </c>
      <c r="Z265" s="3">
        <f>1607.5+(1490.2-1097.9)+(-1.63965+(-1.520004--1.119858))+0-417.7--0.426054000000067</f>
        <v>1580.4862579999999</v>
      </c>
      <c r="AA265" s="3">
        <f>1378.5+(1402.5-854.2)+(-1.40607+(-1.43055--0.871284))+0-397.4--0.405348000000063</f>
        <v>1527.8400119999999</v>
      </c>
      <c r="AB265" s="3">
        <f>1191+(1211.2-510.3)+(-1.82223+(-1.853136--0.780759))+0-397.8--0.608634000000023</f>
        <v>1491.8140270000001</v>
      </c>
      <c r="AC265" s="3">
        <f>1173.7+(1028.1-401.2)+(-2.992935+(-2.621655--1.02306))+0-414.1--1.05595499999994</f>
        <v>1382.9644249999999</v>
      </c>
      <c r="AD265" s="2">
        <v>1708.9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1174.7+(862.9-305)+(1.198194+(0.880158-0.3111))+0-422.2-0.430644000000067</f>
        <v>1311.7366079999999</v>
      </c>
      <c r="G266" s="3">
        <f>1174.3+(758-252.8)+(-1.197786+(-0.77316--0.257856))+0-430.4--0.439008000000069</f>
        <v>1247.8259180000002</v>
      </c>
      <c r="H266" s="3">
        <f>1173.7+(693.9-233.1)+(-1.197174+(-0.707778--0.237762))+0-427.1--0.435642000000068</f>
        <v>1206.1684520000001</v>
      </c>
      <c r="I266" s="3">
        <f>1174+(648.9-202.7)+(1.79622+(0.992817-0.310131))+0-428.5-0.655605000000025</f>
        <v>1193.5233010000002</v>
      </c>
      <c r="J266" s="3">
        <f>1174.9+(662.6-220.7)+(0.599199+(0.337926-0.112557))+0-428.6-0.218585999999957</f>
        <v>1188.8059820000003</v>
      </c>
      <c r="K266" s="3">
        <f>1174.9+(638.7-206.9)+(-1.198398+(-0.651474--0.211038))+0-421--0.429420000000067</f>
        <v>1184.4905860000003</v>
      </c>
      <c r="L266" s="3">
        <f>1174.8+(724.8-246.7)+(-0.599148+(-0.369648--0.125817))+0-427.8--0.218177999999957</f>
        <v>1224.4751989999997</v>
      </c>
      <c r="M266" s="3">
        <f>1175+(786.4-265)+(-0.59925+(-0.401064--0.13515))+0-425.8--0.217157999999957</f>
        <v>1269.951994</v>
      </c>
      <c r="N266" s="3">
        <f>1175.8+(1024.2-426.4)+(0.599658+(0.522342-0.217464))+0-418.1-0.213230999999958</f>
        <v>1356.1913050000001</v>
      </c>
      <c r="O266" s="3">
        <f>1176+(1206.3-545.5)+(2.39904+(2.460852-1.11282))+0-418-0.852719999999982</f>
        <v>1421.6943519999998</v>
      </c>
      <c r="P266" s="3">
        <f>1176+(1400.8-677.7)+(-0.59976+(-0.714408--0.345627))+0-428.1--0.218330999999957</f>
        <v>1470.2497899999998</v>
      </c>
      <c r="Q266" s="3">
        <f>1175.2+(1579.6-867)+(-1.198704+(-1.611192--0.88434))+0-428.6--0.437172000000068</f>
        <v>1457.7116160000003</v>
      </c>
      <c r="R266" s="3">
        <f>1175.1+(1309.4-656.6)+(-1.198602+(-1.335588--0.669732))+0-415.9--0.424218000000066</f>
        <v>1410.5597600000001</v>
      </c>
      <c r="S266" s="3">
        <f>1174.9+(1092.5-494.1)+(0.599199+(0.557175-0.251991))+0-411-0.209609999999958</f>
        <v>1362.9947730000004</v>
      </c>
      <c r="T266" s="3">
        <f>1175.3+(1196.4-600)+(1.798209+(1.830492-0.918))+0-407.9-0.624087000000023</f>
        <v>1365.8866140000002</v>
      </c>
      <c r="U266" s="3">
        <f>1236.6+(1178.5-646.5)+(0.630666+(0.601035-0.329715))+0-394.9-0.20139899999996</f>
        <v>1374.4005870000001</v>
      </c>
      <c r="V266" s="3">
        <f>1294.4+(1334.7-868.1)+(-0.660144+(-0.680697--0.442731))+0-417--0.212669999999958</f>
        <v>1343.3145599999998</v>
      </c>
      <c r="W266" s="3">
        <f>1490.8+(1887.4-1375.1)+(-1.520616+(-1.925148--1.402602))+0-418.5--0.426870000000067</f>
        <v>1582.9837080000002</v>
      </c>
      <c r="X266" s="3">
        <f>1550.4+(1833.8-1319.7)+(0.790704+(0.935238-0.673047))+0-425.8-0.217157999999957</f>
        <v>1639.5357369999999</v>
      </c>
      <c r="Y266" s="3">
        <f>1556.8+(1686.6-1202.3)+(-0.793968+(-0.860166--0.613173))+0-429.7--0.219146999999956</f>
        <v>1610.578186</v>
      </c>
      <c r="Z266" s="3">
        <f>1554.2+(1483.2-1034.9)+(-5.548494+(-5.295024--3.694593))+0-431.9--1.54188300000001</f>
        <v>1564.992958</v>
      </c>
      <c r="AA266" s="3">
        <f>1473.4+(1405.8-933.7)+(-3.75717+(-3.58479--2.380935))+0-421.6--1.07507999999994</f>
        <v>1520.0140549999999</v>
      </c>
      <c r="AB266" s="3">
        <f>1342.5+(1405.1-862.2)+(0+(0-0))+0-423.3-0</f>
        <v>1462.1</v>
      </c>
      <c r="AC266" s="3">
        <f>1294+(980.1-502.8)+(-1.97982+(-1.499553--0.769284))+0-428.1--0.654993000000025</f>
        <v>1341.1449040000002</v>
      </c>
      <c r="AD266" s="2">
        <v>1627.4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1176.4+(887.3-392.5)+(-2.399856+(-1.810092--0.8007))+0-440.5--0.898619999999981</f>
        <v>1228.189372</v>
      </c>
      <c r="G267" s="3">
        <f>1175.1+(794.6-321.6)+(-1.198602+(-0.810492--0.328032))+0-441.3--0.45012600000007</f>
        <v>1205.569064</v>
      </c>
      <c r="H267" s="3">
        <f>1176+(671.8-247.2)+(-2.39904+(-1.370472--0.504288))+0-442--0.901679999999981</f>
        <v>1156.2364559999999</v>
      </c>
      <c r="I267" s="3">
        <f>1175.1+(703.8-286.4)+(0.599301+(0.358938-0.146064))+0-440.5-0.224654999999955</f>
        <v>1152.58752</v>
      </c>
      <c r="J267" s="3">
        <f>1174.8+(672.2-284.1)+(0+(0-0))+0-439.3-0</f>
        <v>1123.6000000000001</v>
      </c>
      <c r="K267" s="3">
        <f>1175.1+(697.2-313.1)+(1.797903+(1.066716-0.479043))+0-435.9-0.666927000000025</f>
        <v>1125.0186489999999</v>
      </c>
      <c r="L267" s="3">
        <f>1176+(780.4-360.7)+(0+(0-0))+0-429.3-0</f>
        <v>1166.4000000000001</v>
      </c>
      <c r="M267" s="3">
        <f>1175.1+(785.7-311.7)+(1.198602+(0.801414-0.317934))+0-419.3-0.427686000000067</f>
        <v>1231.054396</v>
      </c>
      <c r="N267" s="3">
        <f>1175.2+(971-374.3)+(1.198704+(0.99042-0.381786))+0-410-0.418200000000065</f>
        <v>1363.2891380000001</v>
      </c>
      <c r="O267" s="3">
        <f>1176+(1542.3-892.3)+(0+(0-0))+0-395.7-0</f>
        <v>1430.3</v>
      </c>
      <c r="P267" s="3">
        <f>1177+(1941.8-1238.8)+(0+(0-0))+0-401.1-0</f>
        <v>1478.9</v>
      </c>
      <c r="Q267" s="3">
        <f>1176.5+(1903.3-1194.9)+(-1.800045+(-2.912049--1.828197))+0-401.8--0.614754000000023</f>
        <v>1480.8308569999999</v>
      </c>
      <c r="R267" s="3">
        <f>1175.7+(1518.6-828.2)+(-0.599607+(-0.774486--0.422382))+0-415.6--0.211955999999958</f>
        <v>1449.7602449999997</v>
      </c>
      <c r="S267" s="3">
        <f>1175.9+(1115.7-501.4)+(-2.398836+(-2.276028--1.022856))+0-419.7--0.856187999999982</f>
        <v>1367.7041800000002</v>
      </c>
      <c r="T267" s="3">
        <f>1176.2+(1246.6-598.8)+(-0.599862+(-0.635766--0.305388))+0-429.9--0.219248999999956</f>
        <v>1393.3890090000002</v>
      </c>
      <c r="U267" s="3">
        <f>1176.4+(1547-889.9)+(1.199928+(1.57794-0.907698))+0-425.9-0.434418000000068</f>
        <v>1409.035752</v>
      </c>
      <c r="V267" s="3">
        <f>1289.3+(1989.2-1399)+(-1.315086+(-2.028984--1.42698))+0-423.1--0.431562000000068</f>
        <v>1454.9144720000002</v>
      </c>
      <c r="W267" s="3">
        <f>1567.3+(2118.7-1683.3)+(2.397969+(3.241611-2.575449))+0-386.1-0.590733000000022</f>
        <v>1619.073398</v>
      </c>
      <c r="X267" s="3">
        <f>1598.5+(1969.8-1507.6)+(-3.26094+(-4.018392--3.075504))+0-388.2--0.791927999999983</f>
        <v>1669.0880999999995</v>
      </c>
      <c r="Y267" s="3">
        <f>1585.6+(1694.3-1278.3)+(-2.425968+(-2.592279--1.955799))+0-387.4--0.592722000000022</f>
        <v>1611.7302740000002</v>
      </c>
      <c r="Z267" s="3">
        <f>1405+(2111.6-1535.2)+(1.4331+(2.153832-1.565904))+0-403.6-0.411672000000064</f>
        <v>1579.4093559999999</v>
      </c>
      <c r="AA267" s="3">
        <f>1371.1+(1699.8-1161.1)+(-3.496305+(-4.33449--2.960805))+0-394.9--1.00699499999994</f>
        <v>1511.0370049999999</v>
      </c>
      <c r="AB267" s="3">
        <f>1354+(1746.8-1216)+(-0.69054+(-0.890868--0.62016))+0-401.1--0.204560999999959</f>
        <v>1482.9433129999998</v>
      </c>
      <c r="AC267" s="3">
        <f>1217.2+(1705.2-1133.6)+(-3.10386+(-4.34826--2.89068))+0-409.1--1.04320499999994</f>
        <v>1376.1817650000003</v>
      </c>
      <c r="AD267" s="2">
        <v>1649.7000000000003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1173.3+(1568.6-1034.2)+(-1.795149+(-2.399958--1.582326))+0-412.7--0.631431000000024</f>
        <v>1293.0186499999998</v>
      </c>
      <c r="G268" s="3">
        <f>1175.5+(1314.5-858.9)+(-1.798515+(-2.011185--1.314117))+0-418.7--0.640611000000024</f>
        <v>1210.545028</v>
      </c>
      <c r="H268" s="3">
        <f>1174.1+(1229.4-790.6)+(0.598791+(0.626994-0.403206))+0-422.4-0.215423999999957</f>
        <v>1191.1071550000001</v>
      </c>
      <c r="I268" s="3">
        <f>1174.5+(1200.1-772.9)+(-2.994975+(-3.060255--1.970895))+0-426.9--1.08859499999994</f>
        <v>1171.8042599999997</v>
      </c>
      <c r="J268" s="3">
        <f>1173.8+(1103-687.3)+(2.394552+(2.25012-1.402092))+0-427.5-0.872099999999981</f>
        <v>1164.37048</v>
      </c>
      <c r="K268" s="3">
        <f>1173.6+(1199.5-774.2)+(1.197072+(1.22349-0.789684))+0-429.5-0.438090000000068</f>
        <v>1170.5927879999997</v>
      </c>
      <c r="L268" s="3">
        <f>1174.4+(1265.2-823)+(1.197888+(1.290504-0.83946))+0-426-0.434520000000068</f>
        <v>1191.8144120000002</v>
      </c>
      <c r="M268" s="3">
        <f>1174.1+(1316.6-820)+(1.197582+(1.342932-0.8364))+0-419.1-0.427482000000067</f>
        <v>1252.8766319999995</v>
      </c>
      <c r="N268" s="3">
        <f>1174.6+(1674.8-1062.3)+(1.198092+(1.708296-1.083546))+0-397.9-0.405858000000063</f>
        <v>1390.6169839999998</v>
      </c>
      <c r="O268" s="3">
        <f>1174.9+(2219.5-1567)+(0.599199+(1.131945-0.79917))+0-420-0.214199999999957</f>
        <v>1408.1177740000003</v>
      </c>
      <c r="P268" s="3">
        <f>1174.9+(2160.4-1476.5)+(-2.995995+(-5.50902--3.765075))+0-414.4--1.05671999999994</f>
        <v>1440.7167800000002</v>
      </c>
      <c r="Q268" s="3">
        <f>1173+(2087.6-1392.5)+(-1.79469+(-3.194028--2.130525))+0-419.3--0.641529000000024</f>
        <v>1446.5833359999999</v>
      </c>
      <c r="R268" s="3">
        <f>1173.9+(1891.1-1251.4)+(-2.993445+(-4.822305--3.19107))+0-420.9--1.07329499999994</f>
        <v>1389.1486149999998</v>
      </c>
      <c r="S268" s="3">
        <f>1212.1+(1599-1073.7)+(-1.236342+(-1.63098--1.095174))+0-428.6--0.437172000000068</f>
        <v>1307.4650239999999</v>
      </c>
      <c r="T268" s="3">
        <f>1323.8+(1368.1-909.9)+(-0.675138+(-0.697731--0.464049))+0-416.5--0.212414999999958</f>
        <v>1364.8035949999999</v>
      </c>
      <c r="U268" s="3">
        <f>1346.4+(1374.8-949.8)+(-1.373328+(-1.402296--0.968796))+0-418.5--0.426870000000067</f>
        <v>1351.5200420000001</v>
      </c>
      <c r="V268" s="3">
        <f>1388.9+(1535.2-1142.3)+(-2.125017+(-2.348856--1.747719))+0-418.3--0.639999000000024</f>
        <v>1361.4138450000003</v>
      </c>
      <c r="W268" s="3">
        <f>1533.8+(1725.7-1265.6)+(3.128952+(3.520428-2.581824))+0-454.1-0.92636399999998</f>
        <v>1542.9411920000002</v>
      </c>
      <c r="X268" s="3">
        <f>1580.9+(1751.1-1273.9)+(-4.031295+(-4.465305--3.248445))+0-450.8--1.14953999999993</f>
        <v>1603.2013849999996</v>
      </c>
      <c r="Y268" s="3">
        <f>1581.9+(1780.7-1353)+(-1.613538+(-1.816314--1.38006))+0-449.7--0.458694000000072</f>
        <v>1558.3089020000002</v>
      </c>
      <c r="Z268" s="3">
        <f>1582+(1591.6-1195)+(-1.61364+(-1.623432--1.2189))+0-409.4--0.417588000000065</f>
        <v>1567.5994159999998</v>
      </c>
      <c r="AA268" s="3">
        <f>1580.3+(1470.7-1107.4)+(-3.223812+(-3.000228--2.259096))+0-448--0.91391999999998</f>
        <v>1492.5489759999998</v>
      </c>
      <c r="AB268" s="3">
        <f>1554.2+(1473.3-1129.4)+(-3.170568+(-3.005532--2.303976))+0-452--0.92207999999998</f>
        <v>1443.149956</v>
      </c>
      <c r="AC268" s="3">
        <f>1389.2+(1493.8-1066.4)+(-0.708492+(-0.761838--0.543864))+0-452.8--0.230927999999954</f>
        <v>1363.104462</v>
      </c>
      <c r="AD268" s="2">
        <v>1639.1000000000001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1230.8+(1222.5-687.3)+(-2.510832+(-2.4939--1.402092))+0-455.5--0.92921999999998</f>
        <v>1307.8265799999999</v>
      </c>
      <c r="G269" s="3">
        <f>1137.1+(1226.1-621.5)+(-1.159842+(-1.250622--0.63393))+0-460.8--0.470016000000073</f>
        <v>1279.5934819999998</v>
      </c>
      <c r="H269" s="3">
        <f>1137+(1076-576.8)+(-1.15974+(-1.09752--0.588336))+0-442.8--0.451656000000071</f>
        <v>1192.1827320000002</v>
      </c>
      <c r="I269" s="3">
        <f>1137.1+(1001-533.6)+(-1.739763+(-1.53153--0.816408))+0-452.8--0.692784000000026</f>
        <v>1149.937899</v>
      </c>
      <c r="J269" s="3">
        <f>1137.1+(924-478.9)+(-0.579921+(-0.47124--0.244239))+0-447.2--0.228071999999955</f>
        <v>1134.4211499999997</v>
      </c>
      <c r="K269" s="3">
        <f>1137.7+(886.8-441.7)+(2.901135+(2.26134-1.126335))+0-448.1-1.14265499999994</f>
        <v>1137.5934850000001</v>
      </c>
      <c r="L269" s="3">
        <f>1137.7+(1036-598.4)+(-4.641816+(-4.22688--2.441472))+0-456.6--1.86292799999996</f>
        <v>1114.1357040000003</v>
      </c>
      <c r="M269" s="3">
        <f>1136.9+(1124.3-637.2)+(0.579819+(0.573393-0.324972))+0-409.4-0.208793999999958</f>
        <v>1215.2194460000003</v>
      </c>
      <c r="N269" s="3">
        <f>1143.3+(1374.7-788.2)+(1.749249+(2.103291-1.205946))+0-441.5-0.675495000000025</f>
        <v>1290.271099</v>
      </c>
      <c r="O269" s="3">
        <f>1187.1+(1801.5-1121.6)+(1.816263+(2.756295-1.716048))+0-453-0.693090000000026</f>
        <v>1416.1634200000001</v>
      </c>
      <c r="P269" s="3">
        <f>1194.1+(2051.1-1415.5)+(0+(0-0))+0-426.9-0</f>
        <v>1402.7999999999997</v>
      </c>
      <c r="Q269" s="3">
        <f>1234.4+(2029.8-1421.8)+(0.629544+(1.035198-0.725118))+0-442.9-0.225878999999955</f>
        <v>1400.2137450000002</v>
      </c>
      <c r="R269" s="3">
        <f>1232.1+(1858.1-1339.7)+(-2.513484+(-3.790524--2.732988))+0-453.2--0.92452799999998</f>
        <v>1294.6535079999996</v>
      </c>
      <c r="S269" s="3">
        <f>1204.8+(1587.9-1081.6)+(0+(0-0))+0-438-0</f>
        <v>1273.1000000000001</v>
      </c>
      <c r="T269" s="3">
        <f>1187.2+(1405.8-876.2)+(1.816416+(2.150874-1.340586))+0-421.2-0.644436000000024</f>
        <v>1297.5822679999999</v>
      </c>
      <c r="U269" s="3">
        <f>1188.5+(1372.9-869)+(0.606135+(0.700179-0.44319))+0-443.9-0.226388999999955</f>
        <v>1249.136735</v>
      </c>
      <c r="V269" s="3">
        <f>1299.9+(1431-965.6)+(-0.662949+(-0.72981--0.492456))+0-438.7--0.223736999999955</f>
        <v>1325.9234340000003</v>
      </c>
      <c r="W269" s="3">
        <f>1474.3+(2013.5-1527.2)+(0.751893+(1.026885-0.778872))+0-450.7-0.229856999999954</f>
        <v>1510.6700489999998</v>
      </c>
      <c r="X269" s="3">
        <f>1491.9+(2058.6-1557.9)+(-1.521738+(-2.099772--1.589058))+0-456.6--0.465732000000073</f>
        <v>1534.4332800000002</v>
      </c>
      <c r="Y269" s="3">
        <f>1497.9+(1834.2-1383.2)+(-3.819645+(-4.67721--3.52716))+0-461.9--1.17784499999993</f>
        <v>1483.2081500000002</v>
      </c>
      <c r="Z269" s="3">
        <f>1357.2+(1545.9-985.9)+(-0.692172+(-0.788409--0.502809))+0-450.4--0.229703999999954</f>
        <v>1466.0519320000003</v>
      </c>
      <c r="AA269" s="3">
        <f>1283.3+(1432-812.4)+(-1.963449+(-2.19096--1.242972))+0-455.1--0.696303000000026</f>
        <v>1445.5848659999999</v>
      </c>
      <c r="AB269" s="3">
        <f>1203.6+(1561.9-902.7)+(-1.227672+(-1.593138--0.920754))+0-435.6--0.444312000000069</f>
        <v>1425.744256</v>
      </c>
      <c r="AC269" s="3">
        <f>1198+(1312.2-739.6)+(-1.83294+(-2.007666--1.131588))+0-445--0.680850000000026</f>
        <v>1323.5718319999999</v>
      </c>
      <c r="AD269" s="2">
        <v>1559.9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1190.9+(1127.8-610.4)+(-3.036795+(-2.87589--1.55652))+0-405.4--1.03376999999994</f>
        <v>1299.5776050000004</v>
      </c>
      <c r="G270" s="3">
        <f>1191.8+(928.1-514.2)+(-1.823454+(-1.419993--0.786726))+0-455.6--0.697068000000026</f>
        <v>1148.3403469999998</v>
      </c>
      <c r="H270" s="3">
        <f>1191.2+(841.5-468.4)+(-3.03756+(-2.145825--1.19442))+0-388.5--0.990674999999944</f>
        <v>1172.8017100000002</v>
      </c>
      <c r="I270" s="3">
        <f>1191.7+(795.9-450.2)+(-1.215534+(-0.811818--0.459204))+0-450.9--0.459918000000072</f>
        <v>1085.3917700000002</v>
      </c>
      <c r="J270" s="3">
        <f>1192.2+(799.1-449.3)+(0+(0-0))+0-400.7-0</f>
        <v>1141.3</v>
      </c>
      <c r="K270" s="3">
        <f>1192.3+(813.7-449.6)+(-2.432292+(-1.659948--0.917184))+0-455--0.92819999999998</f>
        <v>1099.1531440000001</v>
      </c>
      <c r="L270" s="3">
        <f>1190.8+(814.7-455.4)+(-3.03654+(-2.077485--1.16127))+0-436.9--1.11409499999994</f>
        <v>1110.3613399999999</v>
      </c>
      <c r="M270" s="3">
        <f>1189.6+(750.9-393.2)+(-1.213392+(-0.765918--0.401064))+0-427--0.435540000000068</f>
        <v>1119.1572940000001</v>
      </c>
      <c r="N270" s="3">
        <f>1193.2+(709.1-365.5)+(1.825596+(1.084923-0.559215))+0-410.8-0.628524000000024</f>
        <v>1127.7227800000003</v>
      </c>
      <c r="O270" s="3">
        <f>1192.1+(771.6-412.7)+(-1.215942+(-0.787032--0.420954))+0-399.4--0.407388000000064</f>
        <v>1150.4253680000002</v>
      </c>
      <c r="P270" s="3">
        <f>1182.9+(887.4-495.4)+(-1.809837+(-1.357722--0.757962))+0-415.3--0.635409000000024</f>
        <v>1157.825812</v>
      </c>
      <c r="Q270" s="3">
        <f>1129+(1022.1-601.3)+(-1.15158+(-1.042542--0.613326))+0-404.2--0.412284000000064</f>
        <v>1144.4314880000002</v>
      </c>
      <c r="R270" s="3">
        <f>1102.5+(1139-606.1)+(-1.686825+(-1.74267--0.927333))+0-410.7--0.628371000000024</f>
        <v>1222.8262090000001</v>
      </c>
      <c r="S270" s="3">
        <f>1102.2+(1041.9-526.9)+(-2.81061+(-2.656845--1.343595))+0-422.8--1.07813999999994</f>
        <v>1191.3542800000002</v>
      </c>
      <c r="T270" s="3">
        <f>1102.8+(936.8-451.8)+(0.562428+(0.477768-0.230418))+0-427.5-0.218024999999957</f>
        <v>1160.8917530000001</v>
      </c>
      <c r="U270" s="3">
        <f>1103.1+(955.7-462.5)+(0+(0-0))+0-419.1-0</f>
        <v>1177.1999999999998</v>
      </c>
      <c r="V270" s="3">
        <f>1246.2+(789.6-378.1)+(-0.635562+(-0.402696--0.192831))+0-429.1--0.218840999999956</f>
        <v>1227.973414</v>
      </c>
      <c r="W270" s="3">
        <f>1399.8+(1243.9-784.4)+(-0.713898+(-0.634389--0.400044))+0-432.3--0.220472999999956</f>
        <v>1426.27223</v>
      </c>
      <c r="X270" s="3">
        <f>1400.9+(1354.3-833.9)+(-2.143377+(-2.072079--1.275867))+0-408.5--0.625005000000024</f>
        <v>1510.4854160000002</v>
      </c>
      <c r="Y270" s="3">
        <f>1400.9+(1270.5-769.1)+(-2.857836+(-2.59182--1.568964))+0-419.7--0.856187999999982</f>
        <v>1479.5754960000002</v>
      </c>
      <c r="Z270" s="3">
        <f>1400+(1219.9-747.2)+(-0.714+(-0.622149--0.381072))+0-419.7--0.214046999999957</f>
        <v>1452.2589699999999</v>
      </c>
      <c r="AA270" s="3">
        <f>1400.4+(1368.4-867.9)+(-2.142612+(-2.093652--1.327887))+0-427.1--0.653463000000025</f>
        <v>1471.5450860000001</v>
      </c>
      <c r="AB270" s="3">
        <f>1380+(1362.6-908.5)+(-3.519+(-3.47463--2.316675))+0-428.6--1.09292999999994</f>
        <v>1401.9159750000001</v>
      </c>
      <c r="AC270" s="3">
        <f>1138.3+(1309.4-671.7)+(-2.322132+(-2.671176--1.370268))+0-430.6--0.878423999999981</f>
        <v>1342.6553840000001</v>
      </c>
      <c r="AD270" s="2">
        <v>1515.3000000000002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1100.3+(1191.5-629.6)+(-1.683459+(-1.822995--0.963288))+0-431.9--0.660807000000025</f>
        <v>1228.4176409999998</v>
      </c>
      <c r="G271" s="3">
        <f>1100+(1091-611.8)+(-1.122+(-1.11282--0.624036))+0-420.1--0.428502000000067</f>
        <v>1157.9177179999999</v>
      </c>
      <c r="H271" s="3">
        <f>1101.1+(991.4-513.9)+(0+(0-0))+0-435.9-0</f>
        <v>1142.6999999999998</v>
      </c>
      <c r="I271" s="3">
        <f>1100.6+(924.3-440.3)+(-0.561306+(-0.471393--0.224553))+0-430.9--0.219758999999956</f>
        <v>1153.111613</v>
      </c>
      <c r="J271" s="3">
        <f>1100.5+(872-390.9)+(0.561255+(0.44472-0.199359))+0-433.3-0.220982999999956</f>
        <v>1148.8856330000001</v>
      </c>
      <c r="K271" s="3">
        <f>1053.6+(885.6-366.2)+(0+(0-0))+0-431.9-0</f>
        <v>1141.0999999999999</v>
      </c>
      <c r="L271" s="3">
        <f>1020.9+(982.1-387.9)+(0.520659+(0.500871-0.197829))+0-431.3-0.219962999999956</f>
        <v>1184.403738</v>
      </c>
      <c r="M271" s="3">
        <f>1018+(1047.5-379.4)+(0.51918+(0.534225-0.193494))+0-430.9-0.219758999999956</f>
        <v>1255.8401519999998</v>
      </c>
      <c r="N271" s="3">
        <f>1010.4+(1070.6-322.8)+(1.545912+(1.638018-0.493884))+0-417.7-0.639081000000024</f>
        <v>1342.5509649999997</v>
      </c>
      <c r="O271" s="3">
        <f>991.7+(1314.3-476.6)+(0.505767+(0.670293-0.243066))+0-418.5-0.213434999999958</f>
        <v>1411.6195590000002</v>
      </c>
      <c r="P271" s="3">
        <f>992.1+(1500.1-606.8)+(2.023884+(3.060204-1.237872))+0-410.2-0.836807999999982</f>
        <v>1478.2094079999999</v>
      </c>
      <c r="Q271" s="3">
        <f>1095.6+(1258.7-465.6)+(-1.676268+(-1.925811--0.712368))+0-402.8--0.616284000000023</f>
        <v>1483.6265729999998</v>
      </c>
      <c r="R271" s="3">
        <f>1114.4+(1061.5-366.8)+(-2.273376+(-2.16546--0.748272))+0-405.1--0.826403999999982</f>
        <v>1401.1358399999999</v>
      </c>
      <c r="S271" s="3">
        <f>1116+(1025.3-378.6)+(0+(0-0))+0-400.7-0</f>
        <v>1361.9999999999998</v>
      </c>
      <c r="T271" s="3">
        <f>1116.8+(1027.1-319.6)+(0+(0-0))+0-403.1-0</f>
        <v>1421.1999999999998</v>
      </c>
      <c r="U271" s="3">
        <f>1121.7+(1014.7-310.3)+(-0.572067+(-0.517497--0.158253))+0-414.7--0.211496999999958</f>
        <v>1410.680186</v>
      </c>
      <c r="V271" s="3">
        <f>1159.6+(1075.1-452.9)+(-1.774188+(-1.644903--0.692937))+0-426.6--0.652698000000025</f>
        <v>1353.126544</v>
      </c>
      <c r="W271" s="3">
        <f>1249.7+(1613-828.6)+(-1.274694+(-1.64526--0.845172))+0-427.9--0.436458000000068</f>
        <v>1604.5616760000003</v>
      </c>
      <c r="X271" s="3">
        <f>1317.6+(1410.7-643.2)+(-2.687904+(-2.877828--1.312128))+0-429--0.875159999999981</f>
        <v>1652.721556</v>
      </c>
      <c r="Y271" s="3">
        <f>1326.1+(1236-469.3)+(-2.705244+(-2.52144--0.957372))+0-424--0.864959999999982</f>
        <v>1665.3956480000002</v>
      </c>
      <c r="Z271" s="3">
        <f>1240.6+(1303.5-439)+(0+(0-0))+0-414.5-0</f>
        <v>1690.6</v>
      </c>
      <c r="AA271" s="3">
        <f>1199.6+(1064.3-308.5)+(-1.223592+(-1.085586--0.31467))+0-418.6--0.426972000000067</f>
        <v>1535.2324639999999</v>
      </c>
      <c r="AB271" s="3">
        <f>1198.8+(1004.7-290.4)+(-0.611388+(-0.512397--0.148104))+0-420.6--0.214505999999957</f>
        <v>1491.7388250000001</v>
      </c>
      <c r="AC271" s="3">
        <f>1191.9+(898.6-250.4)+(-1.823607+(-1.374858--0.383112))+0-426.9--0.653157000000025</f>
        <v>1411.0378040000003</v>
      </c>
      <c r="AD271" s="2">
        <v>1681.2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1185+(834.1-283.9)+(-1.2087+(-0.850782--0.289578))+0-424.3--0.432786000000068</f>
        <v>1309.5628820000002</v>
      </c>
      <c r="G272" s="3">
        <f>1185.6+(789.9-291.4)+(-3.02328+(-2.014245--0.74307))+0-429--1.09394999999994</f>
        <v>1251.8994949999999</v>
      </c>
      <c r="H272" s="3">
        <f>1187.5+(778.4-331.9)+(1.21125+(0.793968-0.338538))+0-427-0.435540000000068</f>
        <v>1208.2311399999999</v>
      </c>
      <c r="I272" s="3">
        <f>1187.2+(710.2-261)+(0+(0-0))+0-429.7-0</f>
        <v>1206.7</v>
      </c>
      <c r="J272" s="3">
        <f>1187.8+(739.3-302.4)+(1.211556+(0.754086-0.308448))+0-430.3-0.438906000000069</f>
        <v>1195.6182879999997</v>
      </c>
      <c r="K272" s="3">
        <f>1186+(733.5-287.2)+(-2.41944+(-1.49634--0.585888))+0-430.5--0.878219999999981</f>
        <v>1199.348328</v>
      </c>
      <c r="L272" s="3">
        <f>1187+(836.7-340.8)+(0+(0-0))+0-429.5-0</f>
        <v>1253.4000000000001</v>
      </c>
      <c r="M272" s="3">
        <f>1186.3+(844.2-322.2)+(-1.210026+(-0.861084--0.328644))+0-419.5--0.427890000000067</f>
        <v>1287.4854240000002</v>
      </c>
      <c r="N272" s="3">
        <f>1188.6+(967.7-389.7)+(1.212372+(0.987054-0.397494))+0-413.5-0.421770000000066</f>
        <v>1354.4801619999998</v>
      </c>
      <c r="O272" s="3">
        <f>1187.4+(1438.9-755.1)+(0.605574+(0.733839-0.385101))+0-416.8-0.212567999999958</f>
        <v>1455.1417440000005</v>
      </c>
      <c r="P272" s="3">
        <f>1186.6+(1678.2-981)+(0+(0-0))+0-418-0</f>
        <v>1465.8</v>
      </c>
      <c r="Q272" s="3">
        <f>1186.1+(1975-1245.4)+(-1.814733+(-3.02175--1.905462))+0-415.5--0.635715000000024</f>
        <v>1497.9046939999998</v>
      </c>
      <c r="R272" s="3">
        <f>1185.7+(1905.4-1224.1)+(-3.628242+(-5.830524--3.745746))+0-416--1.27296000000005</f>
        <v>1446.5599400000003</v>
      </c>
      <c r="S272" s="3">
        <f>1184.4+(1574-934)+(-1.812132+(-2.40822--1.42902))+0-411--0.628830000000024</f>
        <v>1411.2374980000002</v>
      </c>
      <c r="T272" s="3">
        <f>1187+(1286.8-710.5)+(2.42148+(2.625072-1.44942))+0-409.6-0.835583999999982</f>
        <v>1356.4615480000002</v>
      </c>
      <c r="U272" s="3">
        <f>1184.8+(1331.7-698.1)+(-1.812744+(-2.037501--1.068093))+0-400.2--0.612306000000023</f>
        <v>1416.030154</v>
      </c>
      <c r="V272" s="3">
        <f>1225.6+(1299.6-666.8)+(0.625056+(0.662796-0.340068))+0-394.6-0.20124599999996</f>
        <v>1464.5465379999998</v>
      </c>
      <c r="W272" s="3">
        <f>1494.9+(1239.5-722.3)+(-3.049596+(-2.52858--1.473492))+0-391.3--0.798251999999983</f>
        <v>1617.4935680000003</v>
      </c>
      <c r="X272" s="3">
        <f>1583+(1050.4-579)+(-1.61466+(-1.071408--0.59058))+0-388.8--0.396576000000062</f>
        <v>1663.9010880000003</v>
      </c>
      <c r="Y272" s="3">
        <f>1586+(1038.6-597.9)+(-3.23544+(-2.118744--1.219716))+0-395.5--0.806819999999983</f>
        <v>1627.8723519999999</v>
      </c>
      <c r="Z272" s="3">
        <f>1450.7+(909.2-386.8)+(0.739857+(0.463692-0.197268))+0-402.6-0.205325999999959</f>
        <v>1571.3009549999999</v>
      </c>
      <c r="AA272" s="3">
        <f>1435.4+(822.5-311.4)+(-2.928216+(-1.6779--0.635256))+0-414.7--0.845987999999982</f>
        <v>1528.6751280000001</v>
      </c>
      <c r="AB272" s="3">
        <f>1435.2+(805.6-344.8)+(-2.195856+(-1.232568--0.527544))+0-411.4--0.629442000000024</f>
        <v>1482.3285620000001</v>
      </c>
      <c r="AC272" s="3">
        <f>1258.8+(857.7-334.7)+(0.641988+(0.437427-0.170697))+0-391.8-0.19981799999996</f>
        <v>1390.7088999999999</v>
      </c>
      <c r="AD272" s="2">
        <v>1655.3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1187.8+(778.9-311.5)+(-3.02889+(-1.986195--0.794325))+0-390.3--0.995264999999943</f>
        <v>1261.674505</v>
      </c>
      <c r="G273" s="3">
        <f>1186.9+(787.2-367)+(0+(0-0))+0-388.1-0</f>
        <v>1219</v>
      </c>
      <c r="H273" s="3">
        <f>1186.2+(826.1-413.6)+(-0.604962+(-0.421311--0.210936))+0-391.3--0.19956299999996</f>
        <v>1206.784226</v>
      </c>
      <c r="I273" s="3">
        <f>1188.1+(777.6-380.6)+(1.211862+(0.793152-0.388212))+0-392.5-0.400350000000063</f>
        <v>1193.8164519999998</v>
      </c>
      <c r="J273" s="3">
        <f>1188.9+(712.8-337)+(0.606339+(0.363528-0.17187))+0-393.6-0.20073599999996</f>
        <v>1171.697261</v>
      </c>
      <c r="K273" s="3">
        <f>1188.1+(686-284)+(2.423724+(1.39944-0.57936))+0-392.8-0.801311999999983</f>
        <v>1199.7424919999999</v>
      </c>
      <c r="L273" s="3">
        <f>1186.2+(791.3-365.2)+(-1.814886+(-1.210689--0.558756))+0-395.8--0.605574000000023</f>
        <v>1214.6387549999999</v>
      </c>
      <c r="M273" s="3">
        <f>1188.1+(932-450.2)+(0+(0-0))+0-396.7-0</f>
        <v>1273.1999999999998</v>
      </c>
      <c r="N273" s="3">
        <f>1187.2+(1175.3-586.4)+(1.816416+(1.798209-0.897192))+0-398.7-0.610011000000023</f>
        <v>1379.5074219999999</v>
      </c>
      <c r="O273" s="3">
        <f>1198.5+(1658.7-980.4)+(1.833705+(2.537811-1.500012))+0-401.2-0.613836000000023</f>
        <v>1477.8576680000001</v>
      </c>
      <c r="P273" s="3">
        <f>1289.2+(1827.1-1245.9)+(0+(0-0))+0-398.8-0</f>
        <v>1471.6</v>
      </c>
      <c r="Q273" s="3">
        <f>1358.2+(2022.3-1510.5)+(0.692682+(1.031373-0.770355))+0-398.8-0.20338799999996</f>
        <v>1471.9503120000002</v>
      </c>
      <c r="R273" s="3">
        <f>1357.9+(2030-1560.8)+(-3.462645+(-5.1765--3.98004))+0-399.7--1.01923499999994</f>
        <v>1423.7601300000001</v>
      </c>
      <c r="S273" s="3">
        <f>1356.5+(1609.6-1147.5)+(-1.38363+(-1.641792--1.17045))+0-402--0.410040000000064</f>
        <v>1415.1550679999998</v>
      </c>
      <c r="T273" s="3">
        <f>1333.1+(1524.4-990.4)+(0+(0-0))+0-394-0</f>
        <v>1473.1</v>
      </c>
      <c r="U273" s="3">
        <f>1239.4+(1553.6-960.2)+(-2.528376+(-3.169344--1.958808))+0-406.7--0.829667999999982</f>
        <v>1423.190756</v>
      </c>
      <c r="V273" s="3">
        <f>1272.4+(1559.9-973)+(1.297848+(1.591098-0.99246))+0-386.1-0.393822000000062</f>
        <v>1474.7026640000004</v>
      </c>
      <c r="W273" s="3">
        <f>1437.3+(2202.5-1664.8)+(0+(0-0))+0-375.8-0</f>
        <v>1599.2</v>
      </c>
      <c r="X273" s="3">
        <f>1489.1+(2162.8-1604.3)+(-4.556646+(-6.618168--4.909158))+0-377--1.15362000000004</f>
        <v>1665.4879640000001</v>
      </c>
      <c r="Y273" s="3">
        <f>1503.6+(1812.4-1320.9)+(-2.300508+(-2.772972--2.020977))+0-376.6--0.576198000000022</f>
        <v>1616.0236950000001</v>
      </c>
      <c r="Z273" s="3">
        <f>1460.1+(1497.3-1012.5)+(-1.489302+(-1.527246--1.03275))+0-377.8--0.38535600000006</f>
        <v>1565.5015579999999</v>
      </c>
      <c r="AA273" s="3">
        <f>1375.1+(1506.1-970.7)+(-1.402602+(-1.536222--0.990114))+0-383.7--0.391374000000061</f>
        <v>1525.2426639999999</v>
      </c>
      <c r="AB273" s="3">
        <f>1331.3+(1266.8-714.7)+(-2.715852+(-2.584272--1.457988))+0-387.8--0.791111999999983</f>
        <v>1492.5489759999998</v>
      </c>
      <c r="AC273" s="3">
        <f>1264.6+(1083.7-553.3)+(-1.289892+(-1.105374--0.564366))+0-432.2--0.440844000000069</f>
        <v>1361.409944</v>
      </c>
      <c r="AD273" s="2">
        <v>1667.1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1167.2+(1059.7-477)+(-1.785816+(-1.621341--0.72981))+0-427.5--0.654075000000025</f>
        <v>1320.376728</v>
      </c>
      <c r="G274" s="3">
        <f>1135.7+(867.8-345.3)+(-3.475242+(-2.655468--1.056618))+0-392.6--1.20135600000005</f>
        <v>1261.7272640000001</v>
      </c>
      <c r="H274" s="3">
        <f>1136.6+(802.3-318.7)+(-2.318664+(-1.636692--0.650148))+0-396.6--0.809063999999983</f>
        <v>1221.1038559999997</v>
      </c>
      <c r="I274" s="3">
        <f>1136.1+(809.7-337.6)+(0+(0-0))+0-401.5-0</f>
        <v>1206.6999999999998</v>
      </c>
      <c r="J274" s="3">
        <f>1137+(811.8-359)+(1.15974+(0.828036-0.36618))+0-404-0.412080000000064</f>
        <v>1187.0095159999998</v>
      </c>
      <c r="K274" s="3">
        <f>1136.7+(753.9-292.4)+(0+(0-0))+0-404.7-0</f>
        <v>1193.5</v>
      </c>
      <c r="L274" s="3">
        <f>1136.2+(851-331.6)+(-1.158924+(-0.86802--0.338232))+0-456--0.465120000000073</f>
        <v>1198.3764080000001</v>
      </c>
      <c r="M274" s="3">
        <f>1137.5+(903.7-359.5)+(1.16025+(0.921774-0.36669))+0-408.1-0.416262000000065</f>
        <v>1274.8990719999999</v>
      </c>
      <c r="N274" s="3">
        <f>1138.5+(1031.8-376.3)+(1.16127+(1.052436-0.383826))+0-406.8-0.414936000000065</f>
        <v>1388.6149439999999</v>
      </c>
      <c r="O274" s="3">
        <f>1183.3+(1212.9-632)+(1.810449+(1.855737-0.96696))+0-403.2-0.616896000000023</f>
        <v>1363.08233</v>
      </c>
      <c r="P274" s="3">
        <f>1186.7+(1608.3-911.1)+(0+(0-0))+0-397.1-0</f>
        <v>1486.8000000000002</v>
      </c>
      <c r="Q274" s="3">
        <f>1186.2+(2018.8-1357.9)+(0.604962+(1.029588-0.692529))+0-403.6-0.205835999999959</f>
        <v>1444.236185</v>
      </c>
      <c r="R274" s="3">
        <f>1183.7+(1914.6-1215.4)+(-3.622122+(-5.858676--3.719124))+0-437--1.33722000000005</f>
        <v>1441.4755459999999</v>
      </c>
      <c r="S274" s="3">
        <f>1185.2+(1422.9-801.7)+(0+(0-0))+0-451.6-0</f>
        <v>1354.8000000000002</v>
      </c>
      <c r="T274" s="3">
        <f>1185.5+(1385.7-779.3)+(0+(0-0))+0-422.6-0</f>
        <v>1369.3000000000002</v>
      </c>
      <c r="U274" s="3">
        <f>1186+(1238.5-592.5)+(0+(0-0))+0-452-0</f>
        <v>1380</v>
      </c>
      <c r="V274" s="3">
        <f>1221.8+(1213.5-566.7)+(0+(0-0))+0-448.9-0</f>
        <v>1419.6999999999998</v>
      </c>
      <c r="W274" s="3">
        <f>1484.3+(1564.6-1024.7)+(-0.756993+(-0.797946--0.522597))+0-447.3--0.228122999999955</f>
        <v>1576.0957809999998</v>
      </c>
      <c r="X274" s="3">
        <f>1582.6+(1487.7-991.9)+(-1.614252+(-1.517454--1.011738))+0-451--0.460020000000072</f>
        <v>1625.7400520000001</v>
      </c>
      <c r="Y274" s="3">
        <f>1587.8+(1269.6-845.6)+(0+(0-0))+0-456-0</f>
        <v>1555.7999999999997</v>
      </c>
      <c r="Z274" s="3">
        <f>1587.5+(1216.2-792.7)+(-0.809625+(-0.620262--0.404277))+0-456--0.232559999999954</f>
        <v>1554.20695</v>
      </c>
      <c r="AA274" s="3">
        <f>1587.1+(882.8-504.1)+(-1.618842+(-0.900456--0.514182))+0-457--0.466140000000073</f>
        <v>1507.2610239999997</v>
      </c>
      <c r="AB274" s="3">
        <f>1507+(901.5-481)+(0.76857+(0.459765-0.24531))+0-460.5-0.234854999999953</f>
        <v>1467.7481700000001</v>
      </c>
      <c r="AC274" s="3">
        <f>1326.3+(895.7-368.8)+(-4.734891+(-3.197649--1.316616))+0-440.5--1.57258500000001</f>
        <v>1407.6566610000002</v>
      </c>
      <c r="AD274" s="2">
        <v>1642.7000000000003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1146.1+(877.7-312.2)+(-2.922555+(-2.238135--0.79611))+0-432.3--1.10236499999994</f>
        <v>1276.037785</v>
      </c>
      <c r="G275" s="3">
        <f>1138.8+(795.6-291.5)+(-2.90394+(-2.02878--0.743325))+0-422.2--1.07660999999994</f>
        <v>1217.5872149999998</v>
      </c>
      <c r="H275" s="3">
        <f>1138.7+(743.9-253.1)+(0.580737+(0.379389-0.129081))+0-436.9-0.222818999999956</f>
        <v>1193.208226</v>
      </c>
      <c r="I275" s="3">
        <f>1138.5+(708-241.3)+(1.741905+(1.08324-0.369189))+0-430.6-0.658818000000025</f>
        <v>1176.397138</v>
      </c>
      <c r="J275" s="3">
        <f>1138+(696.8-234.3)+(0+(0-0))+0-430-0</f>
        <v>1170.5</v>
      </c>
      <c r="K275" s="3">
        <f>1138.4+(707.3-236)+(2.90292+(1.803615-0.6018))+0-434.9-1.10899499999994</f>
        <v>1177.79574</v>
      </c>
      <c r="L275" s="3">
        <f>1138.7+(737.3-246.5)+(1.161474+(0.752046-0.25143))+0-443.5-0.452370000000071</f>
        <v>1187.2097200000001</v>
      </c>
      <c r="M275" s="3">
        <f>1138.5+(825.3-286.5)+(0+(0-0))+0-433.5-0</f>
        <v>1243.8</v>
      </c>
      <c r="N275" s="3">
        <f>1144.2+(1261-559.4)+(1.167084+(1.28622-0.570588))+0-428.8-0.437376000000068</f>
        <v>1418.4453400000002</v>
      </c>
      <c r="O275" s="3">
        <f>1188.1+(1428.4-746.3)+(1.211862+(1.456968-0.761226))+0-420.7-0.429114000000067</f>
        <v>1450.97849</v>
      </c>
      <c r="P275" s="3">
        <f>1187.8+(1586.3-889)+(-3.02889+(-4.045065--2.26695))+0-422.5--1.07737499999994</f>
        <v>1458.8703699999999</v>
      </c>
      <c r="Q275" s="3">
        <f>1188.3+(1587.8-898.3)+(-0.606033+(-0.809778--0.458133))+0-440.3--0.224552999999955</f>
        <v>1436.766875</v>
      </c>
      <c r="R275" s="3">
        <f>1186.7+(1342.3-687.5)+(-3.026085+(-3.422865--1.753125))+0-439--1.11944999999994</f>
        <v>1398.9236249999999</v>
      </c>
      <c r="S275" s="3">
        <f>1186.3+(974-347.9)+(-1.210026+(-0.99348--0.354858))+0-443.1--0.451962000000071</f>
        <v>1367.9033140000001</v>
      </c>
      <c r="T275" s="3">
        <f>1186.3+(955.1-318.5)+(-2.420052+(-1.948404--0.64974))+0-443--0.903719999999981</f>
        <v>1377.085004</v>
      </c>
      <c r="U275" s="3">
        <f>1188.2+(1058.6-413)+(1.817946+(1.619658-0.63189))+0-438.6-0.671058000000025</f>
        <v>1397.3346559999998</v>
      </c>
      <c r="V275" s="3">
        <f>1214.9+(1160.9-510.6)+(0+(0-0))+0-442.8-0</f>
        <v>1422.4000000000003</v>
      </c>
      <c r="W275" s="3">
        <f>1481.1+(1555.3-1010.3)+(-0.755361+(-0.793203--0.515253))+0-448.9--0.228938999999954</f>
        <v>1576.395628</v>
      </c>
      <c r="X275" s="3">
        <f>1580.8+(1300.3-798.3)+(-0.806208+(-0.663153--0.407133))+0-464.1--0.236690999999953</f>
        <v>1617.8744630000006</v>
      </c>
      <c r="Y275" s="3">
        <f>1582.2+(1190.1-719.5)+(-4.841532+(-3.641706--2.20167))+0-454.1--1.38954600000005</f>
        <v>1593.807978</v>
      </c>
      <c r="Z275" s="3">
        <f>1458.1+(1302.3-770)+(-1.487262+(-1.328346--0.7854))+0-452.5--0.461550000000072</f>
        <v>1536.3313419999999</v>
      </c>
      <c r="AA275" s="3">
        <f>1428.2+(1095.6-573.8)+(-3.64191+(-2.79378--1.46319))+0-451.8--1.15208999999993</f>
        <v>1494.3795899999998</v>
      </c>
      <c r="AB275" s="3">
        <f>1366.3+(1138.1-594)+(0+(0-0))+0-458.4-0</f>
        <v>1452</v>
      </c>
      <c r="AC275" s="3">
        <f>1253.5+(1035.6-452.2)+(-1.917855+(-1.584468--0.691866))+0-453.2--0.693396000000026</f>
        <v>1381.5829389999999</v>
      </c>
      <c r="AD275" s="2">
        <v>1672.4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1190.2+(927.1-411.5)+(-1.821006+(-1.418463--0.629595))+0-437.8--0.669834000000025</f>
        <v>1266.0599600000003</v>
      </c>
      <c r="G276" s="3">
        <f>1124.8+(984.2-461.3)+(0+(0-0))+0-442.9-0</f>
        <v>1204.8000000000002</v>
      </c>
      <c r="H276" s="3">
        <f>1123.5+(912.9-406.8)+(-0.572985+(-0.465579--0.207468))+0-450--0.229499999999954</f>
        <v>1178.9984039999999</v>
      </c>
      <c r="I276" s="3">
        <f>1124.1+(841.1-342.2)+(0.573291+(0.428961-0.174522))+0-454-0.231539999999954</f>
        <v>1169.59619</v>
      </c>
      <c r="J276" s="3">
        <f>1123.9+(850-358.6)+(0.573189+(0.4335-0.182886))+0-463-0.236129999999953</f>
        <v>1152.8876730000002</v>
      </c>
      <c r="K276" s="3">
        <f>1124.6+(891.2-401.1)+(0.573546+(0.454512-0.204561))+0-448.1-0.228530999999955</f>
        <v>1167.1949659999998</v>
      </c>
      <c r="L276" s="3">
        <f>1124.2+(1052.5-561.7)+(-2.293368+(-2.1471--1.145868))+0-451.6--0.92126399999998</f>
        <v>1161.026664</v>
      </c>
      <c r="M276" s="3">
        <f>1133.6+(1005.4-484)+(1.734408+(1.538262-0.74052))+0-419.4-0.641682000000024</f>
        <v>1237.490468</v>
      </c>
      <c r="N276" s="3">
        <f>1102+(1072.9-454.3)+(1.68606+(1.641537-0.695079))+0-437.5-0.669375000000025</f>
        <v>1285.0631430000001</v>
      </c>
      <c r="O276" s="3">
        <f>1043.2+(1034-269.2)+(1.064064+(1.05468-0.274584))+0-434.8-0.443496000000069</f>
        <v>1374.6006640000001</v>
      </c>
      <c r="P276" s="3">
        <f>1183.6+(969.1-308.1)+(0.603636+(0.494241-0.157131))+0-434.4-0.221543999999956</f>
        <v>1410.919202</v>
      </c>
      <c r="Q276" s="3">
        <f>1235.5+(1035.3-410.2)+(0.630105+(0.528003-0.209202))+0-438.1-0.223430999999956</f>
        <v>1423.2254750000002</v>
      </c>
      <c r="R276" s="3">
        <f>1233.5+(837.2-208.1)+(-1.25817+(-0.853944--0.212262))+0-441.4--0.45022800000007</f>
        <v>1419.750376</v>
      </c>
      <c r="S276" s="3">
        <f>1223+(631.5-70.8)+(-3.11865+(-1.610325--0.18054))+0-450.1--1.14775499999993</f>
        <v>1330.1993200000002</v>
      </c>
      <c r="T276" s="3">
        <f>1191.5+(846.8-257.2)+(3.038325+(2.15934-0.65586))+0-451.4-1.15106999999993</f>
        <v>1333.0907350000002</v>
      </c>
      <c r="U276" s="3">
        <f>1189.1+(788.3-219.4)+(0+(0-0))+0-454.2-0</f>
        <v>1303.8</v>
      </c>
      <c r="V276" s="3">
        <f>1299+(626.3-130.2)+(0.66249+(0.319413-0.066402))+0-448.7-0.228836999999954</f>
        <v>1347.0866639999999</v>
      </c>
      <c r="W276" s="3">
        <f>1488.6+(872.6-394)+(-0.759186+(-0.445026--0.20094))+0-451.7--0.230366999999954</f>
        <v>1514.7270949999997</v>
      </c>
      <c r="X276" s="3">
        <f>1478.6+(814.2-308.1)+(-2.262258+(-1.245726--0.471393))+0-455.5--0.696915000000026</f>
        <v>1526.8603239999998</v>
      </c>
      <c r="Y276" s="3">
        <f>1476.8+(708-264.9)+(-4.519008+(-2.16648--0.810594))+0-453.8--1.38862800000005</f>
        <v>1461.6137340000002</v>
      </c>
      <c r="Z276" s="3">
        <f>1476.3+(613.6-218.3)+(-3.011652+(-1.251744--0.445332))+0-451.4--0.92085599999998</f>
        <v>1417.3027919999997</v>
      </c>
      <c r="AA276" s="3">
        <f>1326.3+(719.7-218)+(2.029239+(1.101141-0.33354))+0-452.8-0.692784000000026</f>
        <v>1377.3040559999999</v>
      </c>
      <c r="AB276" s="3">
        <f>1249+(749-202.8)+(-1.27398+(-0.76398--0.206856))+0-415.6--0.423912000000066</f>
        <v>1378.192808</v>
      </c>
      <c r="AC276" s="3">
        <f>1242.5+(668.5-133.6)+(-1.901025+(-1.022805--0.204408))+0-446--0.682380000000026</f>
        <v>1329.3629580000002</v>
      </c>
      <c r="AD276" s="2">
        <v>1513.5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1221.5+(665.9-190.7)+(-2.49186+(-1.358436--0.389028))+0-459.1--0.93656399999998</f>
        <v>1235.075296</v>
      </c>
      <c r="G277" s="3">
        <f>1188.3+(835.7-407.6)+(1.212066+(0.852414-0.415752))+0-458.1-0.467262000000073</f>
        <v>1159.4814659999997</v>
      </c>
      <c r="H277" s="3">
        <f>1185.4+(771.4-384)+(-1.813662+(-1.180242--0.58752))+0-455.9--0.697527000000026</f>
        <v>1115.1911430000002</v>
      </c>
      <c r="I277" s="3">
        <f>1186.9+(762.7-390.4)+(-1.210638+(-0.777954--0.398208))+0-454.1--0.463182000000072</f>
        <v>1103.9727980000002</v>
      </c>
      <c r="J277" s="3">
        <f>1186.9+(730.2-360.8)+(-0.605319+(-0.372402--0.184008))+0-444--0.226439999999955</f>
        <v>1111.7327270000001</v>
      </c>
      <c r="K277" s="3">
        <f>1186.7+(740.9-364.1)+(-3.026085+(-1.889295--0.928455))+0-434.5--1.10797499999994</f>
        <v>1126.12105</v>
      </c>
      <c r="L277" s="3">
        <f>1185.4+(886.2-500.7)+(-2.418216+(-1.807848--1.021428))+0-398.5--0.812939999999983</f>
        <v>1170.0083040000002</v>
      </c>
      <c r="M277" s="3">
        <f>1186.1+(859.1-503.7)+(-1.209822+(-0.876282--0.513774))+0-444.3--0.453186000000071</f>
        <v>1096.080856</v>
      </c>
      <c r="N277" s="3">
        <f>1186.9+(858.7-446.9)+(-0.605319+(-0.437937--0.227919))+0-439.1--0.223940999999955</f>
        <v>1159.0086040000003</v>
      </c>
      <c r="O277" s="3">
        <f>1178.7+(631.3-202.7)+(1.202274+(0.643926-0.206754))+0-443.2-0.452064000000071</f>
        <v>1165.2873819999998</v>
      </c>
      <c r="P277" s="3">
        <f>1147.8+(561.1-52.6)+(-0.585378+(-0.286161--0.026826))+0-434.7--0.221696999999956</f>
        <v>1220.9769839999999</v>
      </c>
      <c r="Q277" s="3">
        <f>1242.8+(645.4-213.9)+(-1.901484+(-0.987462--0.327267))+0-450.5--0.689265000000026</f>
        <v>1221.927586</v>
      </c>
      <c r="R277" s="3">
        <f>1296.2+(698-323.3)+(-1.983186+(-1.06794--0.494649))+0-450.2--0.688806000000026</f>
        <v>1218.8323290000001</v>
      </c>
      <c r="S277" s="3">
        <f>1296.2+(624.7-301.9)+(-2.644248+(-1.274388--0.615876))+0-452.8--0.92371199999998</f>
        <v>1163.820952</v>
      </c>
      <c r="T277" s="3">
        <f>1201+(731-323.2)+(-1.22502+(-0.74562--0.329664))+0-448.7--0.457674000000072</f>
        <v>1158.916698</v>
      </c>
      <c r="U277" s="3">
        <f>1187.1+(753.6-337.3)+(-0.605421+(-0.384336--0.172023))+0-445.5--0.227204999999955</f>
        <v>1157.3094709999998</v>
      </c>
      <c r="V277" s="3">
        <f>1223+(833.1-410.7)+(-1.24746+(-0.849762--0.418914))+0-433.7--0.442374000000069</f>
        <v>1210.464066</v>
      </c>
      <c r="W277" s="3">
        <f>1383.9+(1195.2-783)+(1.411578+(1.219104-0.79866))+0-426.3-0.434826000000068</f>
        <v>1371.1971960000001</v>
      </c>
      <c r="X277" s="3">
        <f>1429.9+(1155.8-719.7)+(0+(0-0))+0-399-0</f>
        <v>1467</v>
      </c>
      <c r="Y277" s="3">
        <f>1429.6+(1179.5-745.6)+(-2.916384+(-2.40618--1.521024))+0-423.4--0.863735999999982</f>
        <v>1437.162196</v>
      </c>
      <c r="Z277" s="3">
        <f>1429.6+(1048.4-632.7)+(-1.458192+(-1.069368--0.645354))+0-438.1--0.44686200000007</f>
        <v>1405.7646560000001</v>
      </c>
      <c r="AA277" s="3">
        <f>1429.9+(1111.4-729.2)+(0+(0-0))+0-448.3-0</f>
        <v>1363.8000000000002</v>
      </c>
      <c r="AB277" s="3">
        <f>1428.7+(1043.3-645.7)+(-2.914548+(-2.128332--1.317228))+0-439.1--0.895763999999981</f>
        <v>1384.3701119999996</v>
      </c>
      <c r="AC277" s="3">
        <f>1336.9+(846.7-433.4)+(-3.409095+(-2.159085--1.10517))+0-442.8--1.12913999999994</f>
        <v>1304.0661300000004</v>
      </c>
      <c r="AD277" s="2">
        <v>1400.3999999999999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1236.1+(693.3-288.3)+(1.260822+(0.707166-0.294066))+0-446-0.454920000000071</f>
        <v>1196.3190019999997</v>
      </c>
      <c r="G278" s="3">
        <f>1138.9+(563.4-121.6)+(-2.904195+(-1.43667--0.31008))+0-444.2--1.13270999999994</f>
        <v>1133.6019249999999</v>
      </c>
      <c r="H278" s="3">
        <f>1139.3+(497.3-83.2)+(0.581043+(0.253623-0.042432))+0-444.6-0.226745999999955</f>
        <v>1109.3654880000001</v>
      </c>
      <c r="I278" s="3">
        <f>1137.1+(478.4-80.3)+(-0.579921+(-0.243984--0.040953))+0-444.6--0.226745999999955</f>
        <v>1090.0437939999999</v>
      </c>
      <c r="J278" s="3">
        <f>1138.5+(487.6-90.3)+(-0.580635+(-0.248676--0.046053))+0-436.1--0.222410999999956</f>
        <v>1099.1391529999999</v>
      </c>
      <c r="K278" s="3">
        <f>1140.3+(554.9-148.2)+(2.326212+(1.131996-0.302328))+0-453.1-0.92432399999998</f>
        <v>1096.1315559999998</v>
      </c>
      <c r="L278" s="3">
        <f>1138+(557.2-101.5)+(-1.16076+(-0.568344--0.10353))+0-447.2--0.456144000000071</f>
        <v>1145.3305700000001</v>
      </c>
      <c r="M278" s="3">
        <f>1138.6+(616.9-111.2)+(0.580686+(0.314619-0.056712))+0-447-0.227969999999955</f>
        <v>1197.910623</v>
      </c>
      <c r="N278" s="3">
        <f>1139.5+(730.8-124.5)+(0+(0-0))+0-436.6-0</f>
        <v>1309.1999999999998</v>
      </c>
      <c r="O278" s="3">
        <f>1138.9+(863-212.9)+(0+(0-0))+0-436.1-0</f>
        <v>1352.9</v>
      </c>
      <c r="P278" s="3">
        <f>1138.4+(961.5-269.3)+(-2.322336+(-1.96146--0.549372))+0-438.6--0.894743999999981</f>
        <v>1389.1603200000002</v>
      </c>
      <c r="Q278" s="3">
        <f>1138.5+(1020.6-300.4)+(-2.32254+(-2.082024--0.612816))+0-437.2--0.891887999999981</f>
        <v>1418.6001399999998</v>
      </c>
      <c r="R278" s="3">
        <f>1138.3+(920.3-236.6)+(-1.741599+(-1.408059--0.361998))+0-437.8--0.669834000000025</f>
        <v>1382.0821740000001</v>
      </c>
      <c r="S278" s="3">
        <f>1139.1+(781.9-160.1)+(-1.161882+(-0.797538--0.163302))+0-429.7--0.438294000000069</f>
        <v>1329.8421759999999</v>
      </c>
      <c r="T278" s="3">
        <f>1138.8+(930.4-276.8)+(-1.161576+(-0.949008--0.282336))+0-431.9--0.440538000000069</f>
        <v>1359.1122899999998</v>
      </c>
      <c r="U278" s="3">
        <f>1139.4+(974.8-328.7)+(0+(0-0))+0-410-0</f>
        <v>1375.5</v>
      </c>
      <c r="V278" s="3">
        <f>1169.2+(1163.7-512)+(-2.385168+(-2.373948--1.04448))+0-409.5--0.835379999999982</f>
        <v>1408.5207440000001</v>
      </c>
      <c r="W278" s="3">
        <f>1452.1+(1416.2-908.6)+(1.481142+(1.444524-0.926772))+0-392.7-0.400554000000063</f>
        <v>1568.5983399999998</v>
      </c>
      <c r="X278" s="3">
        <f>1582.6+(1195.8-742.6)+(-4.842756+(-3.659148--2.272356))+0-392.1--1.19982600000005</f>
        <v>1638.6702779999996</v>
      </c>
      <c r="Y278" s="3">
        <f>1583.5+(986.3-587.3)+(0.807585+(0.503013-0.299523))+0-391.3-0.19956299999996</f>
        <v>1592.011512</v>
      </c>
      <c r="Z278" s="3">
        <f>1582.8+(790.8-437)+(-3.228912+(-1.613232--0.89148))+0-398--0.811919999999983</f>
        <v>1535.4612559999998</v>
      </c>
      <c r="AA278" s="3">
        <f>1424.6+(676-160.9)+(-2.179638+(-1.03428--0.246177))+0-419.2--0.641376000000024</f>
        <v>1518.1736349999999</v>
      </c>
      <c r="AB278" s="3">
        <f>1369.8+(868.4-324.8)+(-0.698598+(-0.442884--0.165648))+0-427.3--0.217922999999957</f>
        <v>1485.3420889999998</v>
      </c>
      <c r="AC278" s="3">
        <f>1369+(708.9-225.4)+(-4.18914+(-2.169234--0.689724))+0-429.7--1.31488200000005</f>
        <v>1418.446232</v>
      </c>
      <c r="AD278" s="2">
        <v>1663.1999999999998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1279.8+(613-152.1)+(-1.305396+(-0.62526--0.155142))+0-427.7--0.436254000000068</f>
        <v>1311.6607399999998</v>
      </c>
      <c r="G279" s="3">
        <f>1139.6+(641.8-114.3)+(0.581196+(0.327318-0.058293))+0-427-0.217769999999957</f>
        <v>1240.7324509999999</v>
      </c>
      <c r="H279" s="3">
        <f>1140.4+(614.6-115.5)+(-0.581604+(-0.313446--0.058905))+0-427.9--0.218228999999957</f>
        <v>1210.9820840000002</v>
      </c>
      <c r="I279" s="3">
        <f>1139.8+(605.1-119.8)+(0.581298+(0.308601-0.061098))+0-431.7-0.220166999999956</f>
        <v>1194.008634</v>
      </c>
      <c r="J279" s="3">
        <f>1139.4+(582.2-109.7)+(-0.581094+(-0.296922--0.055947))+0-426.1--0.217310999999957</f>
        <v>1185.1952419999998</v>
      </c>
      <c r="K279" s="3">
        <f>1140.3+(643.7-174.5)+(0+(0-0))+0-424.4-0</f>
        <v>1185.0999999999999</v>
      </c>
      <c r="L279" s="3">
        <f>1139.8+(699.6-193.2)+(-2.325192+(-1.427184--0.394128))+0-450.4--0.91881599999998</f>
        <v>1193.3605680000001</v>
      </c>
      <c r="M279" s="3">
        <f>1139.9+(1096.9-577)+(-2.325396+(-2.237676--1.17708))+0-406.9--0.830075999999982</f>
        <v>1250.3440840000001</v>
      </c>
      <c r="N279" s="3">
        <f>1140.2+(883.4-307.6)+(1.744506+(1.351602-0.470628))+0-398.3-0.609399000000023</f>
        <v>1319.716081</v>
      </c>
      <c r="O279" s="3">
        <f>1140.3+(752.6-146.9)+(-1.744659+(-1.151478--0.224757))+0-381.1--0.583083000000022</f>
        <v>1362.8117029999999</v>
      </c>
      <c r="P279" s="3">
        <f>1151.2+(755-130)+(0+(0-0))+0-392.1-0</f>
        <v>1384.1</v>
      </c>
      <c r="Q279" s="3">
        <f>1242+(793.7-253.4)+(-3.1671+(-2.023935--0.64617))+0-388--0.989399999999944</f>
        <v>1390.744535</v>
      </c>
      <c r="R279" s="3">
        <f>1312.1+(690.9-282.2)+(-3.345855+(-1.761795--0.71961))+0-382--0.974099999999945</f>
        <v>1335.3860599999998</v>
      </c>
      <c r="S279" s="3">
        <f>1311.3+(630.3-249.1)+(-2.006289+(-0.964359--0.381123))+0-387.6--0.593028000000022</f>
        <v>1302.9035029999998</v>
      </c>
      <c r="T279" s="3">
        <f>1280.2+(653.6-200.7)+(-0.652902+(-0.333336--0.102357))+0-393--0.20042999999996</f>
        <v>1339.416549</v>
      </c>
      <c r="U279" s="3">
        <f>1156+(702.9-128.4)+(-0.58956+(-0.358479--0.065484))+0-393--0.20042999999996</f>
        <v>1336.817875</v>
      </c>
      <c r="V279" s="3">
        <f>1185.2+(685.2-118.9)+(-0.604452+(-0.349452--0.060639))+0-391.4--0.19961399999996</f>
        <v>1359.4063490000001</v>
      </c>
      <c r="W279" s="3">
        <f>1437.4+(716.1-218)+(-1.466148+(-0.730422--0.22236))+0-391--0.398820000000062</f>
        <v>1542.92461</v>
      </c>
      <c r="X279" s="3">
        <f>1531.1+(783.8-297.7)+(-3.123444+(-1.598952--0.607308))+0-398.5--0.812939999999983</f>
        <v>1615.3978519999998</v>
      </c>
      <c r="Y279" s="3">
        <f>1526.6+(672.6-247.2)+(-2.335698+(-1.029078--0.378216))+0-387.2--0.592416000000022</f>
        <v>1562.4058559999999</v>
      </c>
      <c r="Z279" s="3">
        <f>1296+(766.2-131.3)+(-1.98288+(-1.172286--0.200889))+0-400.8--0.613224000000023</f>
        <v>1527.758947</v>
      </c>
      <c r="AA279" s="3">
        <f>1196.3+(824.5-153.4)+(-1.220226+(-0.84099--0.156468))+0-399.3--0.407286000000064</f>
        <v>1466.6025380000003</v>
      </c>
      <c r="AB279" s="3">
        <f>1194.3+(997.9-335.7)+(-3.045465+(-2.544645--0.856035))+0-399--1.01744999999994</f>
        <v>1453.783375</v>
      </c>
      <c r="AC279" s="3">
        <f>1191.2+(838.5-235.3)+(-3.645072+(-2.56581--0.720018))+0-395.8--1.21114800000005</f>
        <v>1394.3202840000001</v>
      </c>
      <c r="AD279" s="2">
        <v>1688.7000000000003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1188.2+(619.6-140.8)+(-2.423928+(-1.263984--0.287232))+0-393.4--0.802535999999983</f>
        <v>1271.0018560000001</v>
      </c>
      <c r="G280" s="3">
        <f>1184.4+(812.4-391.9)+(-0.604044+(-0.414324--0.199869))+0-390.1--0.19895099999996</f>
        <v>1214.1804520000001</v>
      </c>
      <c r="H280" s="3">
        <f>1182.9+(719.6-327.8)+(-3.016395+(-1.83498--0.83589))+0-390.3--0.995264999999943</f>
        <v>1181.3797800000002</v>
      </c>
      <c r="I280" s="3">
        <f>1187.5+(857.5-488.3)+(0.605625+(0.437325-0.249033))+0-392.2-0.20002199999996</f>
        <v>1165.093895</v>
      </c>
      <c r="J280" s="3">
        <f>1184.1+(887.9-518.4)+(-0.603891+(-0.452829--0.264384))+0-400.8--0.204407999999959</f>
        <v>1152.212072</v>
      </c>
      <c r="K280" s="3">
        <f>1186.5+(997.1-612)+(0.605115+(0.508521-0.31212))+0-404-0.206039999999959</f>
        <v>1168.1954759999999</v>
      </c>
      <c r="L280" s="3">
        <f>1184.8+(1118.6-714.6)+(-1.208496+(-1.140972--0.728892))+0-402.4--0.410448000000064</f>
        <v>1185.1898719999999</v>
      </c>
      <c r="M280" s="3">
        <f>1186+(801.8-348.3)+(1.20972+(0.817836-0.355266))+0-401.1-0.409122000000064</f>
        <v>1239.663168</v>
      </c>
      <c r="N280" s="3">
        <f>1184.9+(922.8-387.3)+(-2.417196+(-1.882512--0.790092))+0-395.9--0.807635999999983</f>
        <v>1321.7980200000002</v>
      </c>
      <c r="O280" s="3">
        <f>1188.2+(921.6-308.6)+(0.605982+(0.470016-0.157386))+0-393.4-0.20063399999996</f>
        <v>1408.5179780000001</v>
      </c>
      <c r="P280" s="3">
        <f>1185.2+(956.5-318.7)+(-2.417808+(-1.95126--0.650148))+0-392.6--0.800903999999983</f>
        <v>1427.4819839999998</v>
      </c>
      <c r="Q280" s="3">
        <f>1186.4+(920.7-284.5)+(-2.420256+(-1.878228--0.58038))+0-391--0.797639999999983</f>
        <v>1428.6795360000001</v>
      </c>
      <c r="R280" s="3">
        <f>1186.1+(932.4-339.5)+(-1.814733+(-1.426572--0.519435))+0-409.9--0.627147000000024</f>
        <v>1367.005277</v>
      </c>
      <c r="S280" s="3">
        <f>1189.1+(1004.5-486)+(0.606441+(0.512295-0.24786))+0-411.3-0.209762999999958</f>
        <v>1296.9611129999998</v>
      </c>
      <c r="T280" s="3">
        <f>1185.7+(965.7-415.4)+(-0.604707+(-0.492507--0.211854))+0-411.6--0.209915999999958</f>
        <v>1323.7245559999999</v>
      </c>
      <c r="U280" s="3">
        <f>1187.7+(960.6-386.6)+(-0.605727+(-0.489906--0.197166))+0-415.3--0.211802999999958</f>
        <v>1345.713336</v>
      </c>
      <c r="V280" s="3">
        <f>1206.9+(865.8-292.6)+(-1.846557+(-1.324674--0.447678))+0-412.8--0.631584000000024</f>
        <v>1365.2080309999999</v>
      </c>
      <c r="W280" s="3">
        <f>1458.3+(912.4-400.8)+(-1.487466+(-0.930648--0.408816))+0-414.1--0.422382000000066</f>
        <v>1554.2130839999998</v>
      </c>
      <c r="X280" s="3">
        <f>1579.5+(906-461.4)+(-3.22218+(-1.84824--0.941256))+0-402.9--0.821915999999982</f>
        <v>1617.8927519999997</v>
      </c>
      <c r="Y280" s="3">
        <f>1583.6+(806.2-396.1)+(0+(0-0))+0-410.7-0</f>
        <v>1582.9999999999998</v>
      </c>
      <c r="Z280" s="3">
        <f>1583.2+(668.3-267.7)+(1.614864+(0.681666-0.273054))+0-427.8-0.436356000000068</f>
        <v>1557.5871199999999</v>
      </c>
      <c r="AA280" s="3">
        <f>1600.3+(578-247.7)+(-2.448459+(-0.88434--0.378981))+0-429.8--0.657594000000025</f>
        <v>1498.503776</v>
      </c>
      <c r="AB280" s="3">
        <f>1551.5+(594.6-256.4)+(-0.791265+(-0.303246--0.130764))+0-427.5--0.218024999999957</f>
        <v>1461.4542779999999</v>
      </c>
      <c r="AC280" s="3">
        <f>1276.3+(763.6-233.5)+(-3.254565+(-1.94718--0.595425))+0-425.6--1.08527999999994</f>
        <v>1377.2789599999999</v>
      </c>
      <c r="AD280" s="2">
        <v>1642.8000000000002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1189.2+(780.3-267.8)+(-2.425968+(-1.591812--0.546312))+0-425.6--0.868223999999981</f>
        <v>1273.4967560000002</v>
      </c>
      <c r="G281" s="3">
        <f>1188+(739.5-275.6)+(-1.81764+(-1.131435--0.421668))+0-429.3--0.656829000000025</f>
        <v>1220.7294220000001</v>
      </c>
      <c r="H281" s="3">
        <f>1189.3+(776.9-348)+(-1.213086+(-0.792438--0.35496))+0-426.1--0.434622000000068</f>
        <v>1190.8840579999999</v>
      </c>
      <c r="I281" s="3">
        <f>1188.7+(751.5-351.2)+(0+(0-0))+0-427.1-0</f>
        <v>1161.9000000000001</v>
      </c>
      <c r="J281" s="3">
        <f>1187.2+(761-346.2)+(0+(0-0))+0-426.8-0</f>
        <v>1175.2</v>
      </c>
      <c r="K281" s="3">
        <f>1188.7+(801.6-399.2)+(0+(0-0))+0-430.7-0</f>
        <v>1160.4000000000001</v>
      </c>
      <c r="L281" s="3">
        <f>1187.9+(858.4-399.7)+(-1.211658+(-0.875568--0.407694))+0-426.6--0.435132000000068</f>
        <v>1218.7556</v>
      </c>
      <c r="M281" s="3">
        <f>1188.1+(900.1-376)+(-0.605931+(-0.459051--0.19176))+0-427--0.217769999999957</f>
        <v>1284.5445479999998</v>
      </c>
      <c r="N281" s="3">
        <f>1232.6+(768.2-194.2)+(1.257252+(0.783564-0.198084))+0-427.5-0.436050000000068</f>
        <v>1380.506682</v>
      </c>
      <c r="O281" s="3">
        <f>1351+(674.7-116.2)+(1.37802+(0.688194-0.118524))+0-427.2-0.435744000000068</f>
        <v>1483.8119459999998</v>
      </c>
      <c r="P281" s="3">
        <f>1323.3+(738.3-133.5)+(2.024649+(1.129599-0.204255))+0-417.7-0.639081000000024</f>
        <v>1512.7109119999998</v>
      </c>
      <c r="Q281" s="3">
        <f>1353.5+(903.7-239.6)+(0.690285+(0.460887-0.122196))+0-411.1-0.209660999999958</f>
        <v>1607.3193150000002</v>
      </c>
      <c r="R281" s="3">
        <f>1300.7+(950-274.7)+(-1.990071+(-1.4535--0.420291))+0-409.1--0.625923000000024</f>
        <v>1564.5026430000003</v>
      </c>
      <c r="S281" s="3">
        <f>1295.9+(650.2-69)+(-1.321818+(-0.663204--0.07038))+0-415.9--0.424218000000066</f>
        <v>1459.7095760000002</v>
      </c>
      <c r="T281" s="3">
        <f>1292.9+(640.8-57.1)+(-3.296895+(-1.63404--0.145605))+0-412.9--1.05289499999994</f>
        <v>1459.9675650000001</v>
      </c>
      <c r="U281" s="3">
        <f>1298.1+(622.2-44.9)+(0.662031+(0.317322-0.022899))+0-403.8-0.205937999999959</f>
        <v>1472.350516</v>
      </c>
      <c r="V281" s="3">
        <f>1334.2+(645.4-84.2)+(-2.041326+(-0.987462--0.128826))+0-394--0.602820000000023</f>
        <v>1499.1028580000002</v>
      </c>
      <c r="W281" s="3">
        <f>1562.1+(1054.1-595.2)+(-0.796671+(-0.537591--0.303552))+0-377.5--0.192524999999962</f>
        <v>1642.6618149999997</v>
      </c>
      <c r="X281" s="3">
        <f>1567.4+(910.8-433.7)+(-3.197496+(-1.858032--0.884748))+0-379.5--0.774179999999983</f>
        <v>1661.6034</v>
      </c>
      <c r="Y281" s="3">
        <f>1339.3+(802-136.8)+(-1.366086+(-0.81804--0.139536))+0-386.5--0.394230000000062</f>
        <v>1616.3496400000001</v>
      </c>
      <c r="Z281" s="3">
        <f>1225.3+(1027.5-286.4)+(0+(0-0))+0-399.1-0</f>
        <v>1567.3000000000002</v>
      </c>
      <c r="AA281" s="3">
        <f>1200.1+(894.1-136.5)+(-1.836153+(-1.367973--0.208845))+0-404.2--0.618426000000023</f>
        <v>1551.1231449999998</v>
      </c>
      <c r="AB281" s="3">
        <f>1155.9+(922.2-182.4)+(-2.358036+(-1.881288--0.372096))+0-409--0.834359999999982</f>
        <v>1483.6671320000003</v>
      </c>
      <c r="AC281" s="3">
        <f>1147.4+(765.6-77.9)+(-2.92587+(-1.95228--0.198645))+0-414.8--1.05773999999994</f>
        <v>1416.6782350000001</v>
      </c>
      <c r="AD281" s="2">
        <v>1690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1139.6+(690-81.4)+(-1.743588+(-1.0557--0.124542))+0-418.7--0.640611000000024</f>
        <v>1327.4658649999999</v>
      </c>
      <c r="G282" s="3">
        <f>1138.8+(567-29)+(-1.742364+(-0.86751--0.04437))+0-428.1--0.654993000000025</f>
        <v>1246.7894890000002</v>
      </c>
      <c r="H282" s="3">
        <f>1136.7+(642.3-143.2)+(-2.318868+(-1.310292--0.292128))+0-420.7--0.858227999999982</f>
        <v>1212.6211960000001</v>
      </c>
      <c r="I282" s="3">
        <f>1134.6+(695.4-196.8)+(0+(0-0))+0-429.4-0</f>
        <v>1203.7999999999997</v>
      </c>
      <c r="J282" s="3">
        <f>1134.7+(537.9-25.9)+(1.157394+(0.548658-0.026418))+0-428.7-0.437274000000068</f>
        <v>1219.24236</v>
      </c>
      <c r="K282" s="3">
        <f>1134.4+(637.3-139.8)+(0+(0-0))+0-421.5-0</f>
        <v>1210.4000000000001</v>
      </c>
      <c r="L282" s="3">
        <f>1134.3+(674.8-141.4)+(0+(0-0))+0-424.2-0</f>
        <v>1243.4999999999998</v>
      </c>
      <c r="M282" s="3">
        <f>1134.5+(727.6-121.9)+(0+(0-0))+0-424.7-0</f>
        <v>1315.5</v>
      </c>
      <c r="N282" s="3">
        <f>1164.7+(741.8-99.7)+(-0.593997+(-0.378318--0.050847))+0-427.5--0.218024999999957</f>
        <v>1378.5965569999998</v>
      </c>
      <c r="O282" s="3">
        <f>1187.3+(933.3-229.1)+(1.211046+(0.951966-0.233682))+0-428.2-0.436764000000068</f>
        <v>1464.7925659999999</v>
      </c>
      <c r="P282" s="3">
        <f>1188.9+(1350.4-579)+(0.606339+(0.688704-0.29529))+0-432-0.220319999999956</f>
        <v>1529.0794330000003</v>
      </c>
      <c r="Q282" s="3">
        <f>1187.3+(1568.9-767.5)+(-2.422092+(-3.200556--1.5657))+0-429.8--0.876791999999981</f>
        <v>1555.7198440000002</v>
      </c>
      <c r="R282" s="3">
        <f>1188.7+(1187.4-449.3)+(0.606237+(0.605574-0.229143))+0-427.7-0.218126999999957</f>
        <v>1499.8645410000004</v>
      </c>
      <c r="S282" s="3">
        <f>1186.2+(937.7-268.8)+(0.604962+(0.478227-0.137088))+0-428.6-0.218585999999957</f>
        <v>1427.227515</v>
      </c>
      <c r="T282" s="3">
        <f>1186.8+(914.1-253.2)+(0.605268+(0.466191-0.129132))+0-419.5-0.213944999999957</f>
        <v>1428.9283820000001</v>
      </c>
      <c r="U282" s="3">
        <f>1185.9+(844.2-175)+(-2.419236+(-1.722168--0.357))+0-418.2--0.853127999999982</f>
        <v>1433.9687240000001</v>
      </c>
      <c r="V282" s="3">
        <f>1226.9+(865.9-181.1)+(-2.502876+(-1.766436--0.369444))+0-433.1--0.883523999999981</f>
        <v>1475.583656</v>
      </c>
      <c r="W282" s="3">
        <f>1449.9+(813.4-285.4)+(-2.218347+(-1.244502--0.436662))+0-404.1--0.618273000000023</f>
        <v>1571.3920860000003</v>
      </c>
      <c r="X282" s="3">
        <f>1581.2+(964.1-505.5)+(0+(0-0))+0-404.9-0</f>
        <v>1634.9</v>
      </c>
      <c r="Y282" s="3">
        <f>1581+(863-474.1)+(-0.80631+(-0.44013--0.241791))+0-399.6--0.203795999999959</f>
        <v>1569.4991470000002</v>
      </c>
      <c r="Z282" s="3">
        <f>1491.3+(888.6-462.3)+(-2.281689+(-1.359558--0.707319))+0-393.9--0.602667000000023</f>
        <v>1521.368739</v>
      </c>
      <c r="AA282" s="3">
        <f>1375.5+(1019.2-507.9)+(-4.20903+(-3.118752--1.554174))+0-393.5--1.20411000000005</f>
        <v>1488.7305020000003</v>
      </c>
      <c r="AB282" s="3">
        <f>1291.5+(1118.2-549.6)+(-0.658665+(-0.570282--0.280296))+0-393.6--0.20073599999996</f>
        <v>1465.7520849999999</v>
      </c>
      <c r="AC282" s="3">
        <f>1313.1+(1041.7-525.4)+(-2.678724+(-2.125068--1.071816))+0-419.9--0.856595999999982</f>
        <v>1406.62462</v>
      </c>
      <c r="AD282" s="2">
        <v>1652.3000000000002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1308.1+(831.4-410.9)+(-2.001393+(-1.272042--0.628677))+0-423.3--0.647649000000024</f>
        <v>1303.302891</v>
      </c>
      <c r="G283" s="3">
        <f>1288.2+(728-362.6)+(-1.970946+(-1.11384--0.554778))+0-423--0.647190000000024</f>
        <v>1228.7171820000001</v>
      </c>
      <c r="H283" s="3">
        <f>1305.4+(810.7-478.4)+(-2.663016+(-1.653828--0.975936))+0-427.5--0.872099999999981</f>
        <v>1207.7311920000004</v>
      </c>
      <c r="I283" s="3">
        <f>1305+(793.4-479.8)+(-0.66555+(-0.404634--0.244698))+0-429.4--0.218993999999956</f>
        <v>1188.5935080000002</v>
      </c>
      <c r="J283" s="3">
        <f>1304.9+(749.3-440.9)+(-1.330998+(-0.764286--0.449718))+0-428.1--0.436662000000068</f>
        <v>1183.9910960000002</v>
      </c>
      <c r="K283" s="3">
        <f>1305.5+(819.6-510.4)+(1.33161+(0.835992-0.520608))+0-429.1-0.437682000000068</f>
        <v>1186.8093120000001</v>
      </c>
      <c r="L283" s="3">
        <f>1303.3+(1015.6-693.1)+(-1.994049+(-1.553868--1.060443))+0-428.3--0.655299000000025</f>
        <v>1195.667825</v>
      </c>
      <c r="M283" s="3">
        <f>1303.6+(946.5-608.2)+(0+(0-0))+0-427.9-0</f>
        <v>1214</v>
      </c>
      <c r="N283" s="3">
        <f>1306.3+(784.3-386.9)+(1.332426+(0.799986-0.394638))+0-427.3-0.435846000000068</f>
        <v>1277.7019279999997</v>
      </c>
      <c r="O283" s="3">
        <f>1327.7+(865.6-405.7)+(-2.031381+(-1.324368--0.620721))+0-422.6--0.646578000000024</f>
        <v>1362.91155</v>
      </c>
      <c r="P283" s="3">
        <f>1335.7+(1115-614.5)+(-1.362414+(-1.1373--0.62679))+0-423.7--0.432174000000068</f>
        <v>1411.05925</v>
      </c>
      <c r="Q283" s="3">
        <f>1327+(1238.5-733)+(1.35354+(1.26327-0.74766))+0-421.2-0.429624000000067</f>
        <v>1412.7395259999998</v>
      </c>
      <c r="R283" s="3">
        <f>1226.4+(1038.3-597)+(-4.378248+(-3.706731--2.13129))+0-422.1--1.50689700000001</f>
        <v>1241.1532079999999</v>
      </c>
      <c r="S283" s="3">
        <f>1296.2+(795.8-409.4)+(0+(0-0))+0-420.9-0</f>
        <v>1261.6999999999998</v>
      </c>
      <c r="T283" s="3">
        <f>1388.3+(720.5-393.2)+(-2.124099+(-1.102365--0.601596))+0-414.5--0.634185000000024</f>
        <v>1299.1093169999999</v>
      </c>
      <c r="U283" s="3">
        <f>1394+(729.8-399.4)+(-1.42188+(-0.744396--0.407388))+0-414.2--0.422484000000066</f>
        <v>1308.8635960000001</v>
      </c>
      <c r="V283" s="3">
        <f>1397+(775-441.7)+(-0.71247+(-0.39525--0.225267))+0-408--0.208079999999959</f>
        <v>1321.6256269999999</v>
      </c>
      <c r="W283" s="3">
        <f>1474.5+(1091.2-666.1)+(2.255985+(1.669536-1.019133))+0-403.8-0.617814000000023</f>
        <v>1498.0885740000001</v>
      </c>
      <c r="X283" s="3">
        <f>1754.8+(906.2-684.1)+(-2.684844+(-1.386486--1.046673))+0-393.5--0.602055000000023</f>
        <v>1580.9773980000002</v>
      </c>
      <c r="Y283" s="3">
        <f>1830.1+(739.9-630.3)+(0+(0-0))+0-393.7-0</f>
        <v>1545.9999999999998</v>
      </c>
      <c r="Z283" s="3">
        <f>1837.2+(637-583.5)+(-3.747888+(-1.29948--1.19034))+0-392--0.799679999999983</f>
        <v>1495.6426520000002</v>
      </c>
      <c r="AA283" s="3">
        <f>1835.7+(567.3-516.4)+(-1.872414+(-0.578646--0.526728))+0-413.9--0.422178000000066</f>
        <v>1471.1978459999998</v>
      </c>
      <c r="AB283" s="3">
        <f>1834.8+(536.9-521)+(-2.807244+(-0.821457--0.79713))+0-416.3--0.636939000000024</f>
        <v>1432.2053679999999</v>
      </c>
      <c r="AC283" s="3">
        <f>1742.7+(525.6-470.3)+(0.888777+(0.268056-0.239853))+0-421.4-0.214913999999957</f>
        <v>1377.302066</v>
      </c>
      <c r="AD283" s="2">
        <v>1590.3000000000002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1605.2+(511.9-393.5)+(-2.455956+(-0.783207--0.602055))+0-426.4--0.652392000000025</f>
        <v>1295.2152839999999</v>
      </c>
      <c r="G284" s="3">
        <f>1391.8+(651.3-385.5)+(-1.419636+(-0.664326--0.39321))+0-431.4--0.440028000000069</f>
        <v>1224.9492759999998</v>
      </c>
      <c r="H284" s="3">
        <f>1388.7+(726.7-494)+(-0.708237+(-0.370617--0.25194))+0-436.7--0.222716999999956</f>
        <v>1184.0958029999999</v>
      </c>
      <c r="I284" s="3">
        <f>1389.1+(819.5-618.2)+(-4.959087+(-2.925615--2.206974))+0-433.7--1.54830900000001</f>
        <v>1152.5705809999999</v>
      </c>
      <c r="J284" s="3">
        <f>1388.5+(858-653)+(0.708135+(0.43758-0.33303))+0-430.6-0.219605999999956</f>
        <v>1163.4930790000001</v>
      </c>
      <c r="K284" s="3">
        <f>1389.3+(770.9-593.4)+(-2.125629+(-1.179477--0.907902))+0-396.8--0.607104000000023</f>
        <v>1168.2098999999998</v>
      </c>
      <c r="L284" s="3">
        <f>1390.4+(934.6-756.8)+(-3.54552+(-2.38323--1.92984))+0-425.7--1.08553499999994</f>
        <v>1139.5866250000001</v>
      </c>
      <c r="M284" s="3">
        <f>1389.3+(870-711)+(0+(0-0))+0-428.8-0</f>
        <v>1119.5</v>
      </c>
      <c r="N284" s="3">
        <f>1383.5+(1096.5-910.5)+(0.705585+(0.559215-0.464355))+0-433.1-0.220880999999956</f>
        <v>1136.979564</v>
      </c>
      <c r="O284" s="3">
        <f>1366.2+(892.7-644.8)+(0.696762+(0.455277-0.328848))+0-426.1-0.217310999999957</f>
        <v>1188.6058800000001</v>
      </c>
      <c r="P284" s="3">
        <f>1379.1+(929.8-659.3)+(-1.406682+(-0.948396--0.672486))+0-420.4--0.428808000000067</f>
        <v>1227.9462159999998</v>
      </c>
      <c r="Q284" s="3">
        <f>1459.9+(685.5-470.5)+(0+(0-0))+0-428.3-0</f>
        <v>1246.6000000000001</v>
      </c>
      <c r="R284" s="3">
        <f>1486.3+(645.6-451)+(-3.032052+(-1.317024--0.92004))+0-433.8--0.884951999999981</f>
        <v>1244.555916</v>
      </c>
      <c r="S284" s="3">
        <f>1486.4+(575.7-436.1)+(-1.516128+(-0.587214--0.444822))+0-425.6--0.434112000000068</f>
        <v>1199.1755920000003</v>
      </c>
      <c r="T284" s="3">
        <f>1485.7+(589.1-465.9)+(-3.030828+(-1.201764--0.950436))+0-419.1--0.854963999999982</f>
        <v>1187.3728079999998</v>
      </c>
      <c r="U284" s="3">
        <f>1486.9+(690.2-561.4)+(0.758319+(0.352002-0.286314))+0-419.4-0.213893999999957</f>
        <v>1196.9101130000004</v>
      </c>
      <c r="V284" s="3">
        <f>1532.1+(746.3-649.3)+(-2.344113+(-1.141839--0.993429))+0-413.5--0.632655000000024</f>
        <v>1213.7401320000001</v>
      </c>
      <c r="W284" s="3">
        <f>1670.9+(773-641.7)+(1.704318+(0.78846-0.654534))+0-417.4-0.425748000000067</f>
        <v>1386.2124960000001</v>
      </c>
      <c r="X284" s="3">
        <f>1775.5+(851.1-743.2)+(-1.81101+(-0.868122--0.758064))+0-381.4--0.389028000000061</f>
        <v>1500.4679599999999</v>
      </c>
      <c r="Y284" s="3">
        <f>1798+(886.7-818.2)+(2.75094+(1.356651-1.251846))+0-391-0.598230000000023</f>
        <v>1477.757515</v>
      </c>
      <c r="Z284" s="3">
        <f>1796.5+(908.9-818.3)+(2.748645+(1.390617-1.251999))+0-413.4-0.632502000000024</f>
        <v>1475.954761</v>
      </c>
      <c r="AA284" s="3">
        <f>1798.1+(839.2-743.5)+(1.834062+(0.855984-0.75837))+0-424.4-0.432888000000068</f>
        <v>1470.8987879999997</v>
      </c>
      <c r="AB284" s="3">
        <f>1795.5+(766.7-698.5)+(-3.66282+(-1.564068--1.42494))+0-422.7--0.862307999999982</f>
        <v>1438.0603599999999</v>
      </c>
      <c r="AC284" s="3">
        <f>1767.9+(783.3-760.5)+(-5.409774+(-2.396898--2.32713))+0-417.4--1.27724400000005</f>
        <v>1369.0977020000003</v>
      </c>
      <c r="AD284" s="2">
        <v>1473.5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1530.9+(913.3-753.3)+(0+(0-0))+0-415-0</f>
        <v>1275.9000000000001</v>
      </c>
      <c r="G285" s="3">
        <f>1485.6+(964.9-820.3)+(0+(0-0))+0-421.1-0</f>
        <v>1209.0999999999999</v>
      </c>
      <c r="H285" s="3">
        <f>1486.8+(953.4-826)+(-0.758268+(-0.486234--0.42126))+0-428.6--0.218585999999957</f>
        <v>1184.9953439999999</v>
      </c>
      <c r="I285" s="3">
        <f>1486.1+(946.5-844.2)+(2.273733+(1.448145-1.291626))+0-419.5-0.641835000000024</f>
        <v>1170.6884169999998</v>
      </c>
      <c r="J285" s="3">
        <f>1487.4+(949.9-825.8)+(3.034296+(1.937796-1.684632))+0-432.7-0.882707999999981</f>
        <v>1181.2047519999999</v>
      </c>
      <c r="K285" s="3">
        <f>1487.3+(947.4-809.1)+(3.792615+(2.41587-2.063205))+0-428.9-1.09369499999994</f>
        <v>1199.751585</v>
      </c>
      <c r="L285" s="3">
        <f>1489+(991.8-822.8)+(-0.75939+(-0.505818--0.419628))+0-425.8--0.217157999999957</f>
        <v>1231.571578</v>
      </c>
      <c r="M285" s="3">
        <f>1488.4+(1094.2-857.6)+(1.518168+(1.116084-0.874752))+0-427-0.435540000000068</f>
        <v>1299.3239599999997</v>
      </c>
      <c r="N285" s="3">
        <f>1489.2+(1057.5-738.5)+(3.037968+(2.1573-1.50654))+0-430.7-0.878627999999981</f>
        <v>1380.3101000000001</v>
      </c>
      <c r="O285" s="3">
        <f>1489+(1045.4-626.9)+(0.75939+(0.533154-0.319719))+0-441.8-0.225317999999955</f>
        <v>1466.4475070000001</v>
      </c>
      <c r="P285" s="3">
        <f>1488.3+(1156.3-674)+(1.518066+(1.179426-0.68748))+0-432-0.440640000000069</f>
        <v>1540.1693719999998</v>
      </c>
      <c r="Q285" s="3">
        <f>1424.5+(1043.1-513.3)+(-2.90598+(-2.127924--1.047132))+0-429.2--0.875567999999981</f>
        <v>1521.9887959999999</v>
      </c>
      <c r="R285" s="3">
        <f>1357.7+(1001.7-480.5)+(-2.077281+(-1.532601--0.735165))+0-430.9--0.659277000000025</f>
        <v>1445.7845600000003</v>
      </c>
      <c r="S285" s="3">
        <f>1356.4+(915-485.7)+(1.383528+(0.9333-0.495414))+0-438.5-0.44727000000007</f>
        <v>1348.5741439999999</v>
      </c>
      <c r="T285" s="3">
        <f>1372.7+(818.4-432.5)+(0+(0-0))+0-436.9-0</f>
        <v>1321.6999999999998</v>
      </c>
      <c r="U285" s="3">
        <f>1451.8+(869.7-575.9)+(0+(0-0))+0-337.9-0</f>
        <v>1407.6999999999998</v>
      </c>
      <c r="V285" s="3">
        <f>1547.7+(833.4-509)+(0.789327+(0.425034-0.25959))+0-421.5-0.214964999999957</f>
        <v>1451.339806</v>
      </c>
      <c r="W285" s="3">
        <f>1819.8+(959-756.9)+(1.856196+(0.97818-0.772038))+0-422.1-0.430542000000067</f>
        <v>1601.4317959999998</v>
      </c>
      <c r="X285" s="3">
        <f>1872.4+(1077.6-849.3)+(-0.954924+(-0.549576--0.433143))+0-418.4--0.213383999999958</f>
        <v>1681.4420269999998</v>
      </c>
      <c r="Y285" s="3">
        <f>1874.2+(933.7-723.9)+(-5.735052+(-2.857122--2.215134))+0-430.3--1.31671800000005</f>
        <v>1648.6396780000002</v>
      </c>
      <c r="Z285" s="3">
        <f>1875.3+(720.3-575.8)+(-1.912806+(-0.734706--0.587316))+0-427.3--0.435846000000068</f>
        <v>1590.8756500000002</v>
      </c>
      <c r="AA285" s="3">
        <f>1874.2+(697.4-562.5)+(-1.911684+(-0.711348--0.57375))+0-430.5--0.439110000000069</f>
        <v>1576.989828</v>
      </c>
      <c r="AB285" s="3">
        <f>1874.7+(720.4-631.9)+(-1.912194+(-0.734808--0.644538))+0-424.2--0.432684000000068</f>
        <v>1537.4302200000002</v>
      </c>
      <c r="AC285" s="3">
        <f>1862.1+(641.6-617.4)+(-5.698026+(-1.963296--1.889244))+0-420.7--1.28734200000005</f>
        <v>1461.115264</v>
      </c>
      <c r="AD285" s="2">
        <v>1832.8000000000004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1864.1+(748.1-830.1)+(2.852073+(1.144593-1.270053))+0-418.2-0.639846000000024</f>
        <v>1365.9867669999999</v>
      </c>
      <c r="G286" s="3">
        <f>1841.1+(869-991.3)+(4.694805+(2.21595-2.527815))+0-420.5-1.07227499999994</f>
        <v>1301.6106649999999</v>
      </c>
      <c r="H286" s="3">
        <f>1681.7+(708.7-705.1)+(3.430668+(1.445748-1.438404))+0-421.6-0.860063999999982</f>
        <v>1266.2779480000004</v>
      </c>
      <c r="I286" s="3">
        <f>1496.4+(1016.3-853)+(3.81582+(2.591565-2.17515))+0-419.2-1.06895999999994</f>
        <v>1243.6632750000001</v>
      </c>
      <c r="J286" s="3">
        <f>1486.8+(1002.8-841.8)+(0+(0-0))+0-424.8-0</f>
        <v>1223</v>
      </c>
      <c r="K286" s="3">
        <f>1488.3+(932-754.7)+(1.518066+(0.95064-0.769794))+0-426.7-0.435234000000068</f>
        <v>1240.1636779999999</v>
      </c>
      <c r="L286" s="3">
        <f>1487.6+(1155.4-934.2)+(-0.758676+(-0.589254--0.476442))+0-427.7--0.218126999999957</f>
        <v>1280.4466389999998</v>
      </c>
      <c r="M286" s="3">
        <f>1487.3+(1161.8-899.2)+(0.758523+(0.592518-0.458592))+0-426.6-0.217565999999957</f>
        <v>1323.9748829999996</v>
      </c>
      <c r="N286" s="3">
        <f>1488.1+(1086.1-760)+(-2.276793+(-1.661733--1.1628))+0-413.5--0.632655000000024</f>
        <v>1398.5569289999999</v>
      </c>
      <c r="O286" s="3">
        <f>1486.8+(898.6-504.9)+(-3.79134+(-2.29143--1.287495))+0-402.3--1.02586499999994</f>
        <v>1474.4305899999999</v>
      </c>
      <c r="P286" s="3">
        <f>1486.9+(816.1-397.6)+(-3.033276+(-1.664844--0.811104))+0-408.4--0.833135999999982</f>
        <v>1493.9461200000003</v>
      </c>
      <c r="Q286" s="3">
        <f>1490.5+(755.5-322.6)+(-3.800775+(-1.926525--0.82263))+0-416.8--1.06283999999994</f>
        <v>1502.7581700000003</v>
      </c>
      <c r="R286" s="3">
        <f>1501.4+(672.7-325.8)+(-2.297142+(-1.029231--0.498474))+0-407.9--0.624087000000023</f>
        <v>1438.1961880000001</v>
      </c>
      <c r="S286" s="3">
        <f>1487.1+(755.5-401.2)+(0+(0-0))+0-427.5-0</f>
        <v>1413.8999999999999</v>
      </c>
      <c r="T286" s="3">
        <f>1488.7+(736.1-361.3)+(0.759237+(0.375411-0.184263))+0-430.6-0.219605999999956</f>
        <v>1433.6307790000003</v>
      </c>
      <c r="U286" s="3">
        <f>1489+(660.6-297.7)+(1.51878+(0.673812-0.303654))+0-425.4-0.433908000000068</f>
        <v>1427.9550300000001</v>
      </c>
      <c r="V286" s="3">
        <f>1504.6+(683.9-288.7)+(1.534692+(0.697578-0.294474))+0-429.4-0.437988000000068</f>
        <v>1471.8998079999997</v>
      </c>
      <c r="W286" s="3">
        <f>1781.4+(758.8-456.8)+(1.817028+(0.773976-0.465936))+0-432.3-0.440946000000069</f>
        <v>1652.7841219999998</v>
      </c>
      <c r="X286" s="3">
        <f>1797.1+(896.2-576.4)+(-2.749563+(-1.371186--0.881892))+0-427.5--0.654075000000025</f>
        <v>1686.8152180000002</v>
      </c>
      <c r="Y286" s="3">
        <f>1795.8+(704.1-423.4)+(-0.915858+(-0.359091--0.215934))+0-428.3--0.218432999999957</f>
        <v>1647.3594180000002</v>
      </c>
      <c r="Z286" s="3">
        <f>1797.2+(626.8-406.4)+(-1.833144+(-0.639336--0.414528))+0-431.6--0.440232000000069</f>
        <v>1584.38228</v>
      </c>
      <c r="AA286" s="3">
        <f>1795.1+(605.2-394)+(-0.915501+(-0.308652--0.20094))+0-432.6--0.220625999999956</f>
        <v>1572.8974129999999</v>
      </c>
      <c r="AB286" s="3">
        <f>1642.1+(693.4-378.8)+(-0.837471+(-0.353634--0.193188))+0-424.7--0.216596999999957</f>
        <v>1531.2186799999997</v>
      </c>
      <c r="AC286" s="3">
        <f>1607.1+(871.2-590)+(-1.639242+(-0.888624--0.6018))+0-430.8--0.439416000000069</f>
        <v>1456.0133500000002</v>
      </c>
      <c r="AD286" s="2">
        <v>1777.5999999999997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1570.7+(1136.9-932.5)+(0+(0-0))+0-434.9-0</f>
        <v>1340.2000000000003</v>
      </c>
      <c r="G287" s="3">
        <f>1501.5+(1158.7-936)+(2.297295+(1.772811-1.43208))+0-435.4-0.666162000000025</f>
        <v>1290.7718640000003</v>
      </c>
      <c r="H287" s="3">
        <f>1488.6+(1281.7-1082.9)+(3.036744+(2.614668-2.209116))+0-432.9-0.883115999999981</f>
        <v>1257.0591799999997</v>
      </c>
      <c r="I287" s="3">
        <f>1486.8+(1259.2-1081.9)+(0+(0-0))+0-430.2-0</f>
        <v>1233.8999999999999</v>
      </c>
      <c r="J287" s="3">
        <f>1483.7+(1192.9-1029)+(-1.513374+(-1.216758--1.04958))+0-429.5--0.438090000000068</f>
        <v>1216.8575380000002</v>
      </c>
      <c r="K287" s="3">
        <f>1414.3+(1152.6-888.8)+(1.442586+(1.175652-0.906576))+0-430.4-0.439008000000069</f>
        <v>1248.9726539999999</v>
      </c>
      <c r="L287" s="3">
        <f>1203.4+(1417.7-951.5)+(-3.06867+(-3.615135--2.426325))+0-428.3--1.09216499999994</f>
        <v>1238.1346850000002</v>
      </c>
      <c r="M287" s="3">
        <f>1203.7+(1314-792.8)+(-1.227774+(-1.34028--0.808656))+0-429.2--0.437784000000068</f>
        <v>1294.3783860000001</v>
      </c>
      <c r="N287" s="3">
        <f>1208.2+(917.7-323)+(-1.232364+(-0.936054--0.32946))+0-430.7--0.439314000000069</f>
        <v>1370.800356</v>
      </c>
      <c r="O287" s="3">
        <f>1208.9+(901.8-251.1)+(2.466156+(1.839672-0.512244))+0-424-0.864959999999982</f>
        <v>1438.528624</v>
      </c>
      <c r="P287" s="3">
        <f>1208.8+(873.8-230.1)+(0.616488+(0.445638-0.117351))+0-380.6-0.194105999999961</f>
        <v>1472.6506690000001</v>
      </c>
      <c r="Q287" s="3">
        <f>1207.6+(885.7-216.6)+(-3.07938+(-2.258535--0.55233))+0-385--0.981749999999944</f>
        <v>1487.8961649999997</v>
      </c>
      <c r="R287" s="3">
        <f>1205.1+(811.3-185.9)+(-2.458404+(-1.655052--0.379236))+0-388.4--0.792335999999983</f>
        <v>1439.1581160000001</v>
      </c>
      <c r="S287" s="3">
        <f>1207.3+(865.5-286.5)+(0.615723+(0.441405-0.146115))+0-388.7-0.198236999999961</f>
        <v>1398.3127759999998</v>
      </c>
      <c r="T287" s="3">
        <f>1208+(898.2-303.8)+(0+(0-0))+0-392.2-0</f>
        <v>1410.2</v>
      </c>
      <c r="U287" s="3">
        <f>1207.5+(852.9-269.3)+(-2.4633+(-1.739916--0.549372))+0-383--0.781319999999983</f>
        <v>1405.227476</v>
      </c>
      <c r="V287" s="3">
        <f>1354.3+(674.2-198.1)+(1.381386+(0.687684-0.202062))+0-393-0.400860000000063</f>
        <v>1438.8661480000001</v>
      </c>
      <c r="W287" s="3">
        <f>1649.6+(609.9-270.4)+(2.523888+(0.933147-0.413712))+0-401.2-0.613836000000023</f>
        <v>1590.329487</v>
      </c>
      <c r="X287" s="3">
        <f>1782.3+(552.1-260.6)+(-3.635892+(-1.126284--0.531624))+0-406--0.828239999999982</f>
        <v>1664.3976880000002</v>
      </c>
      <c r="Y287" s="3">
        <f>1875+(474.4-299.3)+(1.9125+(0.483888-0.305286))+0-408.2-0.416364000000065</f>
        <v>1643.5747379999996</v>
      </c>
      <c r="Z287" s="3">
        <f>1877.9+(479.6-383.4)+(0+(0-0))+0-397.8-0</f>
        <v>1576.3000000000002</v>
      </c>
      <c r="AA287" s="3">
        <f>1865+(400.3-312.5)+(-1.9023+(-0.408306--0.31875))+0-410.4--0.418608000000065</f>
        <v>1540.8267520000002</v>
      </c>
      <c r="AB287" s="3">
        <f>1740+(548-339.9)+(-1.7748+(-0.55896--0.346698))+0-414--0.422280000000066</f>
        <v>1532.535218</v>
      </c>
      <c r="AC287" s="3">
        <f>1671.6+(668.6-482.5)+(-2.557548+(-1.022958--0.738225))+0-417.4--0.638622000000024</f>
        <v>1438.0963409999999</v>
      </c>
      <c r="AD287" s="2">
        <v>1675.0000000000002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1492.2+(755.7-484)+(-0.761022+(-0.385407--0.24684))+0-426.2--0.217361999999957</f>
        <v>1337.0177729999998</v>
      </c>
      <c r="G288" s="3">
        <f>1488.3+(822.3-617)+(-3.036132+(-1.677492--1.25868))+0-428.9--0.874955999999981</f>
        <v>1262.1200119999996</v>
      </c>
      <c r="H288" s="3">
        <f>1489.7+(789-594.7)+(0+(0-0))+0-434.1-0</f>
        <v>1249.9000000000001</v>
      </c>
      <c r="I288" s="3">
        <f>1488.8+(821.3-655.8)+(-0.759288+(-0.418863--0.334458))+0-429.9--0.219248999999956</f>
        <v>1223.7755559999998</v>
      </c>
      <c r="J288" s="3">
        <f>1489.5+(777.1-609.7)+(-0.759645+(-0.396321--0.310947))+0-425.2--0.216851999999957</f>
        <v>1231.071833</v>
      </c>
      <c r="K288" s="3">
        <f>1489.2+(942.1-786.9)+(-2.278476+(-1.441413--1.203957))+0-410.8--0.628524000000024</f>
        <v>1231.7125920000001</v>
      </c>
      <c r="L288" s="3">
        <f>1489.2+(944.1-782.9)+(-2.278476+(-1.444473--1.197837))+0-410.8--0.628524000000024</f>
        <v>1237.7034120000001</v>
      </c>
      <c r="M288" s="3">
        <f>1489.3+(1234.4-1030.7)+(-0.759543+(-0.629544--0.525657))+0-410.9--0.209558999999958</f>
        <v>1281.4461289999999</v>
      </c>
      <c r="N288" s="3">
        <f>1488.9+(1310.1-1079.2)+(0+(0-0))+0-408.7-0</f>
        <v>1311.1</v>
      </c>
      <c r="O288" s="3">
        <f>1488.9+(920.3-525.7)+(-1.518678+(-0.938706--0.536214))+0-425.2--0.433704000000068</f>
        <v>1456.8125339999999</v>
      </c>
      <c r="P288" s="3">
        <f>1499+(809.9-402.6)+(-1.52898+(-0.826098--0.410652))+0-434.9--0.443598000000069</f>
        <v>1469.8991720000001</v>
      </c>
      <c r="Q288" s="3">
        <f>1489.8+(805.1-322.7)+(3.79899+(2.053005-0.822885))+0-432-1.10159999999994</f>
        <v>1544.12751</v>
      </c>
      <c r="R288" s="3">
        <f>1526+(607.4-237)+(-5.44782+(-2.168418--0.84609))+0-424.4--1.51510800000001</f>
        <v>1466.74496</v>
      </c>
      <c r="S288" s="3">
        <f>1511.5+(776.4-444.3)+(-3.08346+(-1.583856--0.906372))+0-415.9--0.848435999999982</f>
        <v>1424.7874919999997</v>
      </c>
      <c r="T288" s="3">
        <f>1507.7+(877.1-544.8)+(0.768927+(0.447321-0.277848))+0-418.1-0.213230999999958</f>
        <v>1422.6251690000001</v>
      </c>
      <c r="U288" s="3">
        <f>1509.8+(626.1-288.5)+(-0.769998+(-0.319311--0.147135))+0-421.8--0.215117999999957</f>
        <v>1424.872944</v>
      </c>
      <c r="V288" s="3">
        <f>1667.5+(546.7-353.3)+(0+(0-0))+0-400.3-0</f>
        <v>1460.6000000000001</v>
      </c>
      <c r="W288" s="3">
        <f>1866.6+(796.6-620.4)+(2.855898+(1.218798-0.949212))+0-424.5-0.649485000000025</f>
        <v>1620.775999</v>
      </c>
      <c r="X288" s="3">
        <f>1895.3+(847.3-605.5)+(-3.866412+(-1.728492--1.23522))+0-430.5--0.878219999999981</f>
        <v>1703.1185359999999</v>
      </c>
      <c r="Y288" s="3">
        <f>1895.5+(607-424.3)+(-1.93341+(-0.61914--0.432786))+0-421.2--0.429624000000067</f>
        <v>1655.3098599999998</v>
      </c>
      <c r="Z288" s="3">
        <f>1795.7+(608.2-397.3)+(-1.831614+(-0.620364--0.405246))+0-430.7--0.439314000000069</f>
        <v>1574.292582</v>
      </c>
      <c r="AA288" s="3">
        <f>1685.1+(666.5-339.5)+(0+(0-0))+0-430.3-0</f>
        <v>1581.8</v>
      </c>
      <c r="AB288" s="3">
        <f>1684.6+(569.2-291.9)+(-2.577438+(-0.870876--0.446607))+0-429.9--0.657747000000025</f>
        <v>1529.6560400000001</v>
      </c>
      <c r="AC288" s="3">
        <f>1670.8+(465.1-260.9)+(-0.852108+(-0.237201--0.133059))+0-432.5--0.220574999999956</f>
        <v>1441.7643250000001</v>
      </c>
      <c r="AD288" s="2">
        <v>1724.1000000000001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1517.2+(734.7-472.2)+(-2.321316+(-1.124091--0.722466))+0-431.4--0.660042000000025</f>
        <v>1346.2371010000002</v>
      </c>
      <c r="G289" s="3">
        <f>1514.7+(882.9-697.7)+(0+(0-0))+0-425.2-0</f>
        <v>1274.7</v>
      </c>
      <c r="H289" s="3">
        <f>1514.9+(835.6-675.3)+(0.772599+(0.426156-0.344403))+0-430.6-0.219605999999956</f>
        <v>1245.2347460000003</v>
      </c>
      <c r="I289" s="3">
        <f>1515+(967.1-800)+(1.5453+(0.986442-0.816))+0-429.9-0.438498000000069</f>
        <v>1253.4772440000002</v>
      </c>
      <c r="J289" s="3">
        <f>1514.6+(971.6-818)+(3.089784+(1.982064-1.66872))+0-432.3-0.881891999999981</f>
        <v>1238.4212359999999</v>
      </c>
      <c r="K289" s="3">
        <f>1515.4+(1130.5-968.8)+(1.545708+(1.15311-0.988176))+0-425.8-0.434316000000068</f>
        <v>1252.5763260000001</v>
      </c>
      <c r="L289" s="3">
        <f>1515+(1367.8-1174.5)+(0+(0-0))+0-413.7-0</f>
        <v>1294.5999999999999</v>
      </c>
      <c r="M289" s="3">
        <f>1514.4+(1240.1-997.2)+(-1.544688+(-1.264902--1.017144))+0-430.1--0.438702000000069</f>
        <v>1325.846256</v>
      </c>
      <c r="N289" s="3">
        <f>1516.1+(800.4-472.7)+(1.546422+(0.816408-0.482154))+0-420.5-0.428910000000067</f>
        <v>1424.7517659999999</v>
      </c>
      <c r="O289" s="3">
        <f>1517+(561.1-152.8)+(-0.77367+(-0.286161--0.077928))+0-431--0.219809999999956</f>
        <v>1493.5379069999999</v>
      </c>
      <c r="P289" s="3">
        <f>1518.5+(602.4-162)+(-1.54887+(-0.614448--0.16524))+0-438.8--0.44757600000007</f>
        <v>1518.5494980000001</v>
      </c>
      <c r="Q289" s="3">
        <f>1519+(604.5-174.8)+(-0.77469+(-0.308295--0.089148))+0-408.9--0.208538999999959</f>
        <v>1539.0147020000002</v>
      </c>
      <c r="R289" s="3">
        <f>1520.1+(562.2-219)+(0+(0-0))+0-394.6-0</f>
        <v>1468.6999999999998</v>
      </c>
      <c r="S289" s="3">
        <f>1519.1+(685.8-360.4)+(-1.549482+(-0.699516--0.367608))+0-409.4--0.417588000000065</f>
        <v>1433.6361979999999</v>
      </c>
      <c r="T289" s="3">
        <f>1520+(737.5-412.6)+(-0.7752+(-0.376125--0.210426))+0-406.2--0.207161999999959</f>
        <v>1437.966263</v>
      </c>
      <c r="U289" s="3">
        <f>1519+(760.7-419.7)+(0.77469+(0.387957-0.214047))+0-424-0.216239999999957</f>
        <v>1436.73236</v>
      </c>
      <c r="V289" s="3">
        <f>1611.9+(601.6-331.5)+(-4.932414+(-1.840896--1.01439))+0-428.6--1.31151600000005</f>
        <v>1448.9525959999999</v>
      </c>
      <c r="W289" s="3">
        <f>1678.4+(793.4-455.4)+(1.711968+(0.809268-0.464508))+0-435-0.443700000000069</f>
        <v>1583.0130280000001</v>
      </c>
      <c r="X289" s="3">
        <f>1676.2+(912.8-501.3)+(-2.564586+(-1.396584--0.766989))+0-434.3--0.664479000000025</f>
        <v>1650.870298</v>
      </c>
      <c r="Y289" s="3">
        <f>1676.5+(738.3-366.6)+(-3.42006+(-1.506132--0.747864))+0-433.9--0.885155999999981</f>
        <v>1611.0068279999998</v>
      </c>
      <c r="Z289" s="3">
        <f>1676.7+(617.5-273.1)+(-2.565351+(-0.944775--0.417843))+0-432.9--0.662337000000025</f>
        <v>1585.7700539999998</v>
      </c>
      <c r="AA289" s="3">
        <f>1676+(519.9-198.5)+(-2.56428+(-0.795447--0.303705))+0-435.9--0.666927000000025</f>
        <v>1559.1109050000002</v>
      </c>
      <c r="AB289" s="3">
        <f>1677.1+(598.8-315)+(0+(0-0))+0-434.7-0</f>
        <v>1526.1999999999998</v>
      </c>
      <c r="AC289" s="3">
        <f>1674.2+(665.7-481.9)+(-3.415368+(-1.358028--0.983076))+0-421.1--0.859043999999982</f>
        <v>1433.9687240000001</v>
      </c>
      <c r="AD289" s="2">
        <v>1653.8000000000002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1665.6+(596.8-482.4)+(0+(0-0))+0-426.1-0</f>
        <v>1353.9</v>
      </c>
      <c r="G290" s="3">
        <f>1667.1+(804.3-744.6)+(2.550663+(1.230579-1.139238))+0-436.3-0.667539000000025</f>
        <v>1292.4744649999998</v>
      </c>
      <c r="H290" s="3">
        <f>1564.8+(873.7-766.2)+(0.798048+(0.445587-0.390762))+0-429-0.218789999999956</f>
        <v>1243.9340830000001</v>
      </c>
      <c r="I290" s="3">
        <f>1527+(911.6-791.7)+(2.33631+(1.394748-1.211301))+0-423.6-0.648108000000025</f>
        <v>1225.1716490000001</v>
      </c>
      <c r="J290" s="3">
        <f>1526.8+(921-813.3)+(1.557336+(0.93942-0.829566))+0-426.3-0.434826000000068</f>
        <v>1209.4323639999998</v>
      </c>
      <c r="K290" s="3">
        <f>1526.7+(848.2-773.6)+(1.557234+(0.865164-0.789072))+0-408.2-0.416364000000065</f>
        <v>1194.3169619999999</v>
      </c>
      <c r="L290" s="3">
        <f>1523.1+(713.4-637.7)+(-6.214248+(-2.910672--2.601816))+0-404.8--1.65158399999996</f>
        <v>1189.1284799999996</v>
      </c>
      <c r="M290" s="3">
        <f>1526.6+(1005.1-992.1)+(4.671396+(3.075606-3.035826))+0-407-1.24542000000005</f>
        <v>1136.065756</v>
      </c>
      <c r="N290" s="3">
        <f>1526.8+(1079.2-1057.4)+(3.114672+(2.201568-2.157096))+0-405.9-0.828035999999982</f>
        <v>1145.0311080000001</v>
      </c>
      <c r="O290" s="3">
        <f>1527.5+(677.5-601.5)+(2.337075+(1.036575-0.920295))+0-407-0.622710000000024</f>
        <v>1198.330645</v>
      </c>
      <c r="P290" s="3">
        <f>1526.3+(384.2-274.7)+(-3.113652+(-0.783768--0.560388))+0-405.2--0.826607999999982</f>
        <v>1228.0895760000001</v>
      </c>
      <c r="Q290" s="3">
        <f>1527.2+(363.6-249.3)+(-2.336616+(-0.556308--0.381429))+0-403.6--0.617508000000023</f>
        <v>1236.0060129999999</v>
      </c>
      <c r="R290" s="3">
        <f>1526.6+(378.3-301.7)+(-1.557132+(-0.385866--0.307734))+0-406.1--0.414222000000065</f>
        <v>1195.878958</v>
      </c>
      <c r="S290" s="3">
        <f>1525.6+(509.6-456.3)+(-0.778056+(-0.259896--0.232713))+0-408.2--0.208181999999959</f>
        <v>1170.1029429999996</v>
      </c>
      <c r="T290" s="3">
        <f>1526.9+(527.4-485.7)+(-0.778719+(-0.268974--0.247707))+0-405.8--0.206957999999959</f>
        <v>1162.2069720000002</v>
      </c>
      <c r="U290" s="3">
        <f>1526.4+(402.1-361)+(-3.113856+(-0.820284--0.73644))+0-404.9--0.825995999999982</f>
        <v>1160.2282960000002</v>
      </c>
      <c r="V290" s="3">
        <f>1708.1+(422.3-516.7)+(0.871131+(0.215373-0.263517))+0-408.2-0.208181999999959</f>
        <v>1206.1148049999999</v>
      </c>
      <c r="W290" s="3">
        <f>1860.7+(533.6-633.9)+(-0.948957+(-0.272136--0.323289))+0-395.1--0.20150099999996</f>
        <v>1364.603697</v>
      </c>
      <c r="X290" s="3">
        <f>1864+(820.2-761.8)+(-0.95064+(-0.418302--0.388518))+0-400.6--0.204305999999959</f>
        <v>1521.0238819999997</v>
      </c>
      <c r="Y290" s="3">
        <f>1775.4+(820.1-704.6)+(-0.905454+(-0.418251--0.359346))+0-404.5--0.206294999999959</f>
        <v>1485.641936</v>
      </c>
      <c r="Z290" s="3">
        <f>1739.1+(763.5-628.9)+(-0.886941+(-0.389385--0.320739))+0-408.1--0.208130999999959</f>
        <v>1464.8525439999999</v>
      </c>
      <c r="AA290" s="3">
        <f>1591.8+(709.7-449.1)+(2.435454+(1.085841-0.687123))+0-407.4-0.623322000000023</f>
        <v>1447.2108500000004</v>
      </c>
      <c r="AB290" s="3">
        <f>1515.5+(941.6-647.9)+(0+(0-0))+0-404.8-0</f>
        <v>1404.4</v>
      </c>
      <c r="AC290" s="3">
        <f>1514.3+(1011.2-764.2)+(-1.544586+(-1.031424--0.779484))+0-407.8--0.415956000000065</f>
        <v>1352.11943</v>
      </c>
      <c r="AD290" s="2">
        <v>1490.7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1515.6+(375-218.7)+(-2.318868+(-0.57375--0.334611))+0-405.8--0.620874000000023</f>
        <v>1264.1628669999998</v>
      </c>
      <c r="G291" s="3">
        <f>1514.5+(423.4-328)+(0+(0-0))+0-405.2-0</f>
        <v>1204.7</v>
      </c>
      <c r="H291" s="3">
        <f>1514.4+(605.3-550.1)+(0.772344+(0.308703-0.280551))+0-406.5-0.207314999999959</f>
        <v>1163.6931810000001</v>
      </c>
      <c r="I291" s="3">
        <f>1514.9+(459.6-401)+(0.772599+(0.234396-0.20451))+0-404.9-0.206498999999959</f>
        <v>1169.1959860000002</v>
      </c>
      <c r="J291" s="3">
        <f>1514.3+(590.4-545.2)+(-0.772293+(-0.301104--0.278052))+0-407.6--0.207875999999959</f>
        <v>1151.312531</v>
      </c>
      <c r="K291" s="3">
        <f>1515.4+(607.8-572.8)+(2.318562+(0.929934-0.876384))+0-405.5-0.620415000000023</f>
        <v>1146.651697</v>
      </c>
      <c r="L291" s="3">
        <f>1514.2+(552.2-502.3)+(2.316726+(0.844866-0.768519))+0-403.7-0.617661000000023</f>
        <v>1162.1754120000001</v>
      </c>
      <c r="M291" s="3">
        <f>1514.5+(826.8-819.7)+(-0.772395+(-0.421668--0.418047))+0-404.8--0.206447999999959</f>
        <v>1116.2304319999998</v>
      </c>
      <c r="N291" s="3">
        <f>1501.8+(760.8-704.4)+(0.765918+(0.388008-0.359244))+0-406.9-0.207518999999959</f>
        <v>1151.8871629999999</v>
      </c>
      <c r="O291" s="3">
        <f>1473+(608.6-461.7)+(0.75123+(0.310386-0.235467))+0-408-0.208079999999959</f>
        <v>1212.5180690000002</v>
      </c>
      <c r="P291" s="3">
        <f>1472.1+(485.8-319.1)+(-0.750771+(-0.247758--0.162741))+0-407.6--0.207875999999959</f>
        <v>1230.5720879999999</v>
      </c>
      <c r="Q291" s="3">
        <f>1510.4+(458.7-293.2)+(-2.310912+(-0.701811--0.448596))+0-409.5--0.626535000000024</f>
        <v>1264.4624080000001</v>
      </c>
      <c r="R291" s="3">
        <f>1513.4+(449.5-301)+(-1.543668+(-0.45849--0.30702))+0-408.7--0.416874000000065</f>
        <v>1251.921736</v>
      </c>
      <c r="S291" s="3">
        <f>1513.7+(558.8-444.8)+(-1.543974+(-0.569976--0.453696))+0-405.5--0.413610000000065</f>
        <v>1220.9533560000002</v>
      </c>
      <c r="T291" s="3">
        <f>1513.3+(550.3-454.9)+(-3.087132+(-1.122612--0.927996))+0-404.9--0.825995999999982</f>
        <v>1201.3442479999999</v>
      </c>
      <c r="U291" s="3">
        <f>1514.2+(609.8-527.3)+(3.86121+(1.55499-1.344615))+0-404.5-1.03147499999994</f>
        <v>1195.24011</v>
      </c>
      <c r="V291" s="3">
        <f>1526.4+(516.5-426.1)+(0+(0-0))+0-405.4-0</f>
        <v>1211.4000000000001</v>
      </c>
      <c r="W291" s="3">
        <f>1687.6+(457.1-381.1)+(1.721352+(0.466242-0.388722))+0-404.4-0.412488000000064</f>
        <v>1360.586384</v>
      </c>
      <c r="X291" s="3">
        <f>1803.8+(725.1-625.8)+(-2.759814+(-1.109403--0.957474))+0-406.2--0.621486000000023</f>
        <v>1494.609743</v>
      </c>
      <c r="Y291" s="3">
        <f>1702.3+(756.9-564.5)+(0.868173+(0.386019-0.287895))+0-408.9-0.208538999999959</f>
        <v>1486.5577579999997</v>
      </c>
      <c r="Z291" s="3">
        <f>1626+(901-645.6)+(0.82926+(0.45951-0.329256))+0-406.1-0.207110999999959</f>
        <v>1476.0524029999999</v>
      </c>
      <c r="AA291" s="3">
        <f>1543.5+(848.6-526.9)+(1.57437+(0.865572-0.537438))+0-404.2-0.412284000000064</f>
        <v>1462.4902199999999</v>
      </c>
      <c r="AB291" s="3">
        <f>1530.3+(973.6-664.6)+(-1.560906+(-0.993072--0.677892))+0-404.3--0.412386000000064</f>
        <v>1433.5363</v>
      </c>
      <c r="AC291" s="3">
        <f>1523.3+(523.1-270.8)+(-3.884415+(-1.333905--0.69054))+0-405.3--1.03351499999994</f>
        <v>1366.8057349999999</v>
      </c>
      <c r="AD291" s="2">
        <v>1504.1000000000001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1515.2+(524.1-388.8)+(-2.318256+(-0.801873--0.594864))+0-405--0.619650000000023</f>
        <v>1243.5943850000001</v>
      </c>
      <c r="G292" s="3">
        <f>1515.4+(451-355)+(0+(0-0))+0-404.5-0</f>
        <v>1206.9000000000001</v>
      </c>
      <c r="H292" s="3">
        <f>1516.4+(510.5-444.6)+(0.773364+(0.260355-0.226746))+0-409.1-0.208640999999958</f>
        <v>1173.7983320000001</v>
      </c>
      <c r="I292" s="3">
        <f>1515.9+(307.3-247.5)+(2.319327+(0.470169-0.378675))+0-408.3-0.624699000000024</f>
        <v>1169.1861220000001</v>
      </c>
      <c r="J292" s="3">
        <f>1516.6+(361.7-292.3)+(3.86733+(0.922335-0.745365))+0-408.6-1.04192999999994</f>
        <v>1180.4023700000002</v>
      </c>
      <c r="K292" s="3">
        <f>1516.4+(349.5-271.1)+(1.546728+(0.35649-0.276522))+0-408.5-0.416670000000065</f>
        <v>1187.5100260000002</v>
      </c>
      <c r="L292" s="3">
        <f>1516.5+(526.6-409.3)+(-4.64049+(-1.611396--1.252458))+0-406.1--1.24266600000005</f>
        <v>1223.9432379999998</v>
      </c>
      <c r="M292" s="3">
        <f>1516.1+(438.8-273)+(2.319633+(0.671364-0.41769))+0-405.4-0.620262000000023</f>
        <v>1278.4530449999997</v>
      </c>
      <c r="N292" s="3">
        <f>1521.3+(545.5-263.3)+(0+(0-0))+0-406.3-0</f>
        <v>1397.2</v>
      </c>
      <c r="O292" s="3">
        <f>1567.7+(923.2-638.3)+(-3.198108+(-1.883328--1.302132))+0-393.9--0.803555999999983</f>
        <v>1455.7242520000002</v>
      </c>
      <c r="P292" s="3">
        <f>1640.4+(1199.6-937.4)+(1.673208+(1.223592-0.956148))+0-382.1-0.389742000000061</f>
        <v>1522.0509099999997</v>
      </c>
      <c r="Q292" s="3">
        <f>1671.6+(1482.2-1246.1)+(0+(0-0))+0-380.6-0</f>
        <v>1527.1</v>
      </c>
      <c r="R292" s="3">
        <f>1546.4+(1800.2-1456.8)+(-2.365992+(-2.754306--2.228904))+0-383.1--0.586143000000022</f>
        <v>1504.394749</v>
      </c>
      <c r="S292" s="3">
        <f>1520.6+(1330-1025)+(-1.551012+(-1.3566--1.0455))+0-385.3--0.393006000000061</f>
        <v>1438.8308939999999</v>
      </c>
      <c r="T292" s="3">
        <f>1521.8+(1138.1-814.6)+(0.776118+(0.580431-0.415446))+0-398.4-0.20318399999996</f>
        <v>1447.6379189999998</v>
      </c>
      <c r="U292" s="3">
        <f>1522.5+(1039.1-686.3)+(2.329425+(1.589823-1.050039))+0-419.6-0.641988000000024</f>
        <v>1457.9272209999997</v>
      </c>
      <c r="V292" s="3">
        <f>1633.4+(910.3-646.9)+(0.833034+(0.464253-0.329919))+0-420.8-0.214607999999957</f>
        <v>1476.7527600000003</v>
      </c>
      <c r="W292" s="3">
        <f>1764.8+(1501.2-1247.6)+(0+(0-0))+0-427.2-0</f>
        <v>1591.2</v>
      </c>
      <c r="X292" s="3">
        <f>1870.6+(1559.7-1305.7)+(-0.954006+(-0.795447--0.665907))+0-420--0.214199999999957</f>
        <v>1703.730654</v>
      </c>
      <c r="Y292" s="3">
        <f>1875.2+(1325.3-1146.3)+(-3.825408+(-2.703612--2.338452))+0-416--0.848639999999982</f>
        <v>1634.8580719999998</v>
      </c>
      <c r="Z292" s="3">
        <f>1875.2+(1091.5-949.8)+(-0.956352+(-0.556665--0.484398))+0-415.6--0.211955999999958</f>
        <v>1600.4833369999999</v>
      </c>
      <c r="AA292" s="3">
        <f>1872.5+(973.1-851.5)+(0+(0-0))+0-425.6-0</f>
        <v>1568.5</v>
      </c>
      <c r="AB292" s="3">
        <f>1739.9+(959.4-744.6)+(-2.662047+(-1.467882--1.139238))+0-427.6--0.654228000000025</f>
        <v>1524.763537</v>
      </c>
      <c r="AC292" s="3">
        <f>1618.9+(514.1-254.7)+(-0.825639+(-0.262191--0.129897))+0-430.6--0.219605999999956</f>
        <v>1446.961673</v>
      </c>
      <c r="AD292" s="2">
        <v>1684.6999999999998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1518.1+(432.3-226.1)+(-1.548462+(-0.440946--0.230622))+0-431.2--0.439824000000069</f>
        <v>1291.7810379999999</v>
      </c>
      <c r="G293" s="3">
        <f>1427.2+(561.7-335.5)+(0.727872+(0.286467-0.171105))+0-427.3-0.217922999999957</f>
        <v>1226.7253110000001</v>
      </c>
      <c r="H293" s="3">
        <f>1349.9+(572.1-295.8)+(-1.376898+(-0.583542--0.301716))+0-430.1--0.438702000000069</f>
        <v>1194.8799780000002</v>
      </c>
      <c r="I293" s="3">
        <f>1350.3+(584.8-303.8)+(0.688653+(0.298248-0.154938))+0-424.8-0.216647999999957</f>
        <v>1207.1153150000002</v>
      </c>
      <c r="J293" s="3">
        <f>1349.9+(687.3-420.7)+(2.753796+(1.402092-0.858228))+0-426.3-0.869651999999981</f>
        <v>1192.6280079999999</v>
      </c>
      <c r="K293" s="3">
        <f>1350.3+(698.9-427.8)+(1.377306+(0.712878-0.436356))+0-427.6-0.436152000000068</f>
        <v>1195.0176759999997</v>
      </c>
      <c r="L293" s="3">
        <f>1362.3+(747.8-453.4)+(1.389546+(0.762756-0.462468))+0-421.6-0.430032000000067</f>
        <v>1236.3598019999997</v>
      </c>
      <c r="M293" s="3">
        <f>1508.2+(497.3-247.4)+(-1.538364+(-0.507246--0.252348))+0-420.6--0.429012000000067</f>
        <v>1336.1357500000004</v>
      </c>
      <c r="N293" s="3">
        <f>1483.6+(524-276)+(1.513272+(0.53448-0.28152))+0-413.5-0.421770000000066</f>
        <v>1319.4444619999997</v>
      </c>
      <c r="O293" s="3">
        <f>1398.1+(965.1-430.2)+(1.426062+(0.984402-0.438804))+0-415.9-0.424218000000066</f>
        <v>1518.647442</v>
      </c>
      <c r="P293" s="3">
        <f>1404+(1266.3-727.6)+(0.71604+(0.645813-0.371076))+0-411-0.209609999999958</f>
        <v>1532.4811669999999</v>
      </c>
      <c r="Q293" s="3">
        <f>1492.3+(1362.7-898.9)+(-0.761073+(-0.694977--0.458439))+0-412.2--0.210221999999958</f>
        <v>1543.1126109999998</v>
      </c>
      <c r="R293" s="3">
        <f>1514.6+(1290.3-900.3)+(-3.089784+(-2.632212--1.836612))+0-411.4--0.839255999999982</f>
        <v>1490.1538720000001</v>
      </c>
      <c r="S293" s="3">
        <f>1514.6+(1016.3-688.6)+(-2.317338+(-1.554939--1.053558))+0-413.6--0.632808000000024</f>
        <v>1426.5140889999996</v>
      </c>
      <c r="T293" s="3">
        <f>1513.4+(1034.6-700.7)+(-4.631004+(-3.165876--2.144142))+0-411.7--1.25980200000005</f>
        <v>1431.2070639999999</v>
      </c>
      <c r="U293" s="3">
        <f>1515.7+(1067.7-720.6)+(2.319021+(1.633581-1.102518))+0-412-0.630360000000024</f>
        <v>1453.019724</v>
      </c>
      <c r="V293" s="3">
        <f>1543.3+(1085.9-745.7)+(0+(0-0))+0-414.1-0</f>
        <v>1469.4</v>
      </c>
      <c r="W293" s="3">
        <f>1722.2+(1619.5-1360)+(0.878322+(0.825945-0.6936))+0-391.3-0.19956299999996</f>
        <v>1591.2111040000002</v>
      </c>
      <c r="X293" s="3">
        <f>1893.7+(1520.5-1309)+(-4.828935+(-3.877275--3.33795))+0-416.1--1.06105499999994</f>
        <v>1684.7927949999996</v>
      </c>
      <c r="Y293" s="3">
        <f>1718.5+(1398.9-1047)+(-1.75287+(-1.426878--1.06794))+0-422.3--0.430746000000067</f>
        <v>1646.418938</v>
      </c>
      <c r="Z293" s="3">
        <f>1596.1+(1232.3-843.3)+(-0.814011+(-0.628473--0.430083))+0-399.2--0.20359199999996</f>
        <v>1585.091191</v>
      </c>
      <c r="AA293" s="3">
        <f>1529.4+(1285.1-862.5)+(-3.119976+(-2.621604--1.7595))+0-397.3--0.810491999999983</f>
        <v>1551.5284120000001</v>
      </c>
      <c r="AB293" s="3">
        <f>1530.6+(998.7-608.3)+(-0.780606+(-0.509337--0.310233))+0-405.5--0.206804999999959</f>
        <v>1514.727095</v>
      </c>
      <c r="AC293" s="3">
        <f>1527.3+(652.1-334.6)+(-3.894615+(-1.662855--0.85323))+0-414.6--1.05722999999994</f>
        <v>1426.5529899999997</v>
      </c>
      <c r="AD293" s="2">
        <v>1664.6000000000004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1517.6+(474.9-233.9)+(-3.86988+(-1.210995--0.596445))+0-417.2--1.06385999999994</f>
        <v>1337.9794299999999</v>
      </c>
      <c r="G294" s="3">
        <f>1515.3+(421.4-243.3)+(-3.864015+(-1.07457--0.620415))+0-417--1.06334999999994</f>
        <v>1273.1451799999998</v>
      </c>
      <c r="H294" s="3">
        <f>1515.4+(371.4-239.5)+(1.545708+(0.378828-0.24429))+0-399.2-0.407184000000064</f>
        <v>1249.3730619999999</v>
      </c>
      <c r="I294" s="3">
        <f>1515.4+(356.1-237.3)+(0.772854+(0.181611-0.121023))+0-405.1-0.206600999999959</f>
        <v>1229.7268410000001</v>
      </c>
      <c r="J294" s="3">
        <f>1516+(385.4-259.7)+(-1.54632+(-0.393108--0.264894))+0-409.4--0.417588000000065</f>
        <v>1231.043054</v>
      </c>
      <c r="K294" s="3">
        <f>1515.8+(377.4-246.1)+(1.546116+(0.384948-0.251022))+0-416.9-0.425238000000066</f>
        <v>1231.4548039999997</v>
      </c>
      <c r="L294" s="3">
        <f>1516.3+(474-314)+(3.093252+(0.96696-0.64056))+0-419-0.854759999999982</f>
        <v>1259.8648920000001</v>
      </c>
      <c r="M294" s="3">
        <f>1516.3+(452.9-253.5)+(-1.546626+(-0.461958--0.25857))+0-420--0.428400000000067</f>
        <v>1294.3783859999999</v>
      </c>
      <c r="N294" s="3">
        <f>1516.8+(586-293.3)+(-0.773568+(-0.29886--0.149583))+0-414.7--0.211496999999958</f>
        <v>1394.0886519999999</v>
      </c>
      <c r="O294" s="3">
        <f>1516.1+(801.2-454.6)+(-1.546422+(-0.817224--0.463692))+0-385.1--0.392802000000061</f>
        <v>1476.092848</v>
      </c>
      <c r="P294" s="3">
        <f>1518.1+(1144.4-771.9)+(-1.548462+(-1.167288--0.787338))+0-387.8--0.395556000000062</f>
        <v>1501.2671440000001</v>
      </c>
      <c r="Q294" s="3">
        <f>1517.3+(1152.5-754.6)+(-1.547646+(-1.17555--0.769692))+0-385.8--0.393516000000062</f>
        <v>1527.8400119999999</v>
      </c>
      <c r="R294" s="3">
        <f>1515.9+(988.6-642.9)+(-3.092436+(-2.016744--1.311516))+0-393.4--0.802535999999983</f>
        <v>1465.204872</v>
      </c>
      <c r="S294" s="3">
        <f>1501.2+(1042.7-735.4)+(0.765612+(0.531777-0.375054))+0-388.1-0.197930999999961</f>
        <v>1421.1244039999999</v>
      </c>
      <c r="T294" s="3">
        <f>1465.5+(993.4-622.1)+(-0.747405+(-0.506634--0.317271))+0-388.7--0.198236999999961</f>
        <v>1447.3614689999999</v>
      </c>
      <c r="U294" s="3">
        <f>1481.5+(892-565.6)+(-1.51113+(-0.90984--0.576912))+0-380.8--0.388416000000061</f>
        <v>1425.6443580000002</v>
      </c>
      <c r="V294" s="3">
        <f>1601.1+(1049.2-788.3)+(-1.633122+(-1.070184--0.804066))+0-387.7--0.395454000000062</f>
        <v>1472.796214</v>
      </c>
      <c r="W294" s="3">
        <f>1810+(1428.6-1224.3)+(0.9231+(0.728586-0.624393))+0-404.1-0.206090999999959</f>
        <v>1611.0212019999999</v>
      </c>
      <c r="X294" s="3">
        <f>1855.6+(1539.1-1275.2)+(-2.839068+(-2.354823--1.951056))+0-410.4--0.627912000000024</f>
        <v>1706.4850769999998</v>
      </c>
      <c r="Y294" s="3">
        <f>1859.9+(1257.8-1038.9)+(0.948549+(0.641478-0.529839))+0-414.1-0.211190999999958</f>
        <v>1665.5489970000003</v>
      </c>
      <c r="Z294" s="3">
        <f>1858.6+(1234-1073.5)+(-0.947886+(-0.62934--0.547485))+0-418.1--0.213230999999958</f>
        <v>1600.1834899999997</v>
      </c>
      <c r="AA294" s="3">
        <f>1856.4+(1168.4-995)+(-1.893528+(-1.191768--1.0149))+0-416--0.424320000000066</f>
        <v>1612.1539240000002</v>
      </c>
      <c r="AB294" s="3">
        <f>1840.1+(822.4-672.4)+(-3.753804+(-1.677696--1.371696))+0-423.2--0.863327999999982</f>
        <v>1563.7035239999998</v>
      </c>
      <c r="AC294" s="3">
        <f>1632.4+(500.6-228.9)+(-4.16262+(-1.27653--0.583695))+0-422.6--1.07762999999994</f>
        <v>1477.7221750000001</v>
      </c>
      <c r="AD294" s="2">
        <v>1707.5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1517+(459.9-191.8)+(-0.77367+(-0.234549--0.097818))+0-417.7--0.213026999999958</f>
        <v>1366.7026259999998</v>
      </c>
      <c r="G295" s="3">
        <f>1519.8+(424.3-218)+(-3.100392+(-0.865572--0.44472))+0-419.7--0.856187999999982</f>
        <v>1303.7349439999998</v>
      </c>
      <c r="H295" s="3">
        <f>1517.1+(457.1-270.1)+(0.773721+(0.233121-0.137751))+0-427.1-0.217820999999957</f>
        <v>1277.6512700000001</v>
      </c>
      <c r="I295" s="3">
        <f>1518.5+(414.5-253.9)+(-2.323305+(-0.634185--0.388467))+0-416.4--0.637092000000024</f>
        <v>1260.7680689999997</v>
      </c>
      <c r="J295" s="3">
        <f>1517.8+(444.4-268.8)+(0.774078+(0.226644-0.137088))+0-426.7-0.217616999999957</f>
        <v>1267.3460169999998</v>
      </c>
      <c r="K295" s="3">
        <f>1518.1+(439.6-266.2)+(0.774231+(0.224196-0.135762))+0-419.7-0.214046999999957</f>
        <v>1272.4486180000001</v>
      </c>
      <c r="L295" s="3">
        <f>1518.6+(450.5-255.6)+(-3.87243+(-1.148775--0.65178))+0-421.6--1.07507999999994</f>
        <v>1288.6056549999996</v>
      </c>
      <c r="M295" s="3">
        <f>1518+(502.6-243.2)+(-2.32254+(-0.768978--0.372096))+0-423.5--0.647955000000024</f>
        <v>1351.8285330000001</v>
      </c>
      <c r="N295" s="3">
        <f>1517.6+(539.4-207)+(1.547952+(0.550188-0.21114))+0-419.8-0.428196000000067</f>
        <v>1431.6588039999999</v>
      </c>
      <c r="O295" s="3">
        <f>1514.9+(885.8-500.8)+(-0.772599+(-0.451758--0.255408))+0-420.3--0.214352999999957</f>
        <v>1478.8454039999999</v>
      </c>
      <c r="P295" s="3">
        <f>1516.6+(1268.9-823.7)+(2.320398+(1.941417-1.260261))+0-409.1-0.625923000000024</f>
        <v>1555.0756309999997</v>
      </c>
      <c r="Q295" s="3">
        <f>1515+(1483.9-1039.4)+(0+(0-0))+0-412-0</f>
        <v>1547.5</v>
      </c>
      <c r="R295" s="3">
        <f>1515.3+(1402.4-1002.3)+(-0.772803+(-0.715224--0.511173))+0-413.2--0.210731999999958</f>
        <v>1501.433878</v>
      </c>
      <c r="S295" s="3">
        <f>1514.1+(1182.6-831)+(-0.772191+(-0.603126--0.42381))+0-415.8--0.212057999999958</f>
        <v>1449.1605509999999</v>
      </c>
      <c r="T295" s="3">
        <f>1517.1+(1305.4-951.8)+(-0.773721+(-0.665754--0.485418))+0-416.8--0.212567999999958</f>
        <v>1453.1585110000001</v>
      </c>
      <c r="U295" s="3">
        <f>1515+(1240.4-877.6)+(0+(0-0))+0-421.7-0</f>
        <v>1456.1000000000001</v>
      </c>
      <c r="V295" s="3">
        <f>1633.6+(1281.3-999.2)+(-0.833136+(-0.653463--0.509592))+0-427.4--0.217973999999957</f>
        <v>1487.5409669999997</v>
      </c>
      <c r="W295" s="3">
        <f>1796.7+(1928-1678.4)+(0.916317+(0.98328-0.855984))+0-425.9-0.217208999999957</f>
        <v>1621.226404</v>
      </c>
      <c r="X295" s="3">
        <f>1795.7+(2045.5-1695.8)+(-3.663228+(-4.17282--3.459432))+0-428.7--0.874547999999981</f>
        <v>1713.197932</v>
      </c>
      <c r="Y295" s="3">
        <f>1796.8+(1768.9-1472.2)+(-0.916368+(-0.902139--0.750822))+0-424.7--0.216596999999957</f>
        <v>1667.9489119999998</v>
      </c>
      <c r="Z295" s="3">
        <f>1800.8+(1518.9-1253.5)+(-1.836816+(-1.549278--1.27857))+0-425.6--0.434112000000068</f>
        <v>1638.926588</v>
      </c>
      <c r="AA295" s="3">
        <f>1707.7+(1375.5-1064.6)+(0+(0-0))+0-429.1-0</f>
        <v>1589.5</v>
      </c>
      <c r="AB295" s="3">
        <f>1578.6+(1344-948)+(-2.415258+(-2.05632--1.45044))+0-425.1--0.650403000000025</f>
        <v>1547.129265</v>
      </c>
      <c r="AC295" s="3">
        <f>1522.5+(1073.3-676.4)+(-1.55295+(-1.094766--0.689928))+0-430.6--0.439212000000069</f>
        <v>1487.281424</v>
      </c>
      <c r="AD295" s="2">
        <v>1730.9999999999998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1512+(516.4-251.9)+(-3.8556+(-1.31682--0.642345))+0-427.8--1.09088999999994</f>
        <v>1345.2608150000001</v>
      </c>
      <c r="G296" s="3">
        <f>1512.6+(447.4-246.6)+(0+(0-0))+0-428.6-0</f>
        <v>1284.7999999999997</v>
      </c>
      <c r="H296" s="3">
        <f>1513+(505.4-339.2)+(-1.54326+(-0.515508--0.345984))+0-429.2--0.437784000000068</f>
        <v>1248.7249999999999</v>
      </c>
      <c r="I296" s="3">
        <f>1512.4+(420.4-257.3)+(-1.542648+(-0.428808--0.262446))+0-431.1--0.439722000000069</f>
        <v>1243.1307120000001</v>
      </c>
      <c r="J296" s="3">
        <f>1513.1+(385.3-229.2)+(0+(0-0))+0-427.3-0</f>
        <v>1241.8999999999999</v>
      </c>
      <c r="K296" s="3">
        <f>1513.7+(394.8-241.3)+(-0.771987+(-0.201348--0.123063))+0-426.4--0.217463999999957</f>
        <v>1240.1671920000001</v>
      </c>
      <c r="L296" s="3">
        <f>1513.5+(473.9-298.3)+(0+(0-0))+0-424.5-0</f>
        <v>1264.5999999999999</v>
      </c>
      <c r="M296" s="3">
        <f>1513.9+(468.9-220.5)+(1.544178+(0.478278-0.22491))+0-426.5-0.435030000000068</f>
        <v>1337.1625160000001</v>
      </c>
      <c r="N296" s="3">
        <f>1512.7+(780.7-419.4)+(1.542954+(0.796314-0.427788))+0-433.9-0.442578000000069</f>
        <v>1441.568902</v>
      </c>
      <c r="O296" s="3">
        <f>1514.8+(1214.7-840)+(0+(0-0))+0-411-0</f>
        <v>1478.5</v>
      </c>
      <c r="P296" s="3">
        <f>1514.3+(1416.3-1002.4)+(2.316879+(2.166939-1.533672))+0-399.1-0.610623000000023</f>
        <v>1531.4395229999996</v>
      </c>
      <c r="Q296" s="3">
        <f>1513.5+(1572.7-1143.4)+(-1.54377+(-1.604154--1.166268))+0-403.9--0.411978000000064</f>
        <v>1537.3303220000003</v>
      </c>
      <c r="R296" s="3">
        <f>1512.6+(1369.7-981.2)+(-3.85713+(-3.492735--2.50206))+0-411.7--1.04983499999994</f>
        <v>1485.6020299999998</v>
      </c>
      <c r="S296" s="3">
        <f>1514.4+(1060-722)+(-0.772344+(-0.5406--0.36822))+0-416.1--0.212210999999958</f>
        <v>1435.5674870000003</v>
      </c>
      <c r="T296" s="3">
        <f>1513.9+(1084.5-736)+(-0.772089+(-0.553095--0.37536))+0-415--0.211649999999958</f>
        <v>1446.661826</v>
      </c>
      <c r="U296" s="3">
        <f>1514.8+(1030.5-662.5)+(0.772548+(0.525555-0.337875))+0-426.9-0.217718999999957</f>
        <v>1456.642509</v>
      </c>
      <c r="V296" s="3">
        <f>1537.8+(1295.1-952.4)+(0+(0-0))+0-430.9-0</f>
        <v>1449.6</v>
      </c>
      <c r="W296" s="3">
        <f>1778.2+(2030.3-1768.9)+(0.906882+(1.035453-0.902139))+0-428.9-0.218738999999956</f>
        <v>1611.5214569999998</v>
      </c>
      <c r="X296" s="3">
        <f>1801.8+(2251.1-1918.6)+(-4.59459+(-5.740305--4.89243))+0-416.2--1.06130999999994</f>
        <v>1713.7188450000001</v>
      </c>
      <c r="Y296" s="3">
        <f>1721+(1825.6-1481)+(-3.51084+(-3.724224--3.02124))+0-405.2--0.826607999999982</f>
        <v>1657.012784</v>
      </c>
      <c r="Z296" s="3">
        <f>1666.1+(1610.3-1255.8)+(-4.248555+(-4.106265--3.20229))+0-430.3--1.09726499999994</f>
        <v>1586.2447349999998</v>
      </c>
      <c r="AA296" s="3">
        <f>1533.1+(1482.1-1002.5)+(-1.563762+(-1.511742--1.02255))+0-429--0.437580000000068</f>
        <v>1582.0846259999998</v>
      </c>
      <c r="AB296" s="3">
        <f>1529.2+(1501.3-1064.4)+(-2.339676+(-2.296989--1.628532))+0-426.5--0.652545000000025</f>
        <v>1537.2444119999998</v>
      </c>
      <c r="AC296" s="3">
        <f>1527.3+(1382.6-1015.6)+(-1.557846+(-1.410252--1.035912))+0-422.7--0.431154000000067</f>
        <v>1470.0989679999998</v>
      </c>
      <c r="AD296" s="2">
        <v>1703.9999999999998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1477.9+(858.6-548.2)+(-0.753729+(-0.437886--0.279582))+0-424.7--0.216596999999957</f>
        <v>1362.9045639999999</v>
      </c>
      <c r="G297" s="3">
        <f>1466+(866.5-605.7)+(2.24298+(1.325745-0.926721))+0-428.2-0.655146000000025</f>
        <v>1300.5868579999999</v>
      </c>
      <c r="H297" s="3">
        <f>1424.7+(771.3-522.6)+(-0.726597+(-0.393363--0.266526))+0-413.5--0.210884999999958</f>
        <v>1259.2574509999999</v>
      </c>
      <c r="I297" s="3">
        <f>1417.5+(585.1-363)+(2.168775+(0.895203-0.55539))+0-406-0.621180000000023</f>
        <v>1235.4874079999997</v>
      </c>
      <c r="J297" s="3">
        <f>1494+(544.9-378.7)+(0+(0-0))+0-425.5-0</f>
        <v>1234.7</v>
      </c>
      <c r="K297" s="3">
        <f>1517.3+(456-312)+(3.095292+(0.93024-0.63648))+0-424-0.864959999999982</f>
        <v>1239.8240920000001</v>
      </c>
      <c r="L297" s="3">
        <f>1514.2+(443.3-298.7)+(-3.088968+(-0.904332--0.609348))+0-428.2--0.873527999999981</f>
        <v>1228.0895760000003</v>
      </c>
      <c r="M297" s="3">
        <f>1514.8+(516.6-321.6)+(-0.772548+(-0.263466--0.164016))+0-427.3--0.217922999999957</f>
        <v>1281.8459249999999</v>
      </c>
      <c r="N297" s="3">
        <f>1514.4+(896.5-662.4)+(-0.772344+(-0.457215--0.337824))+0-428.3--0.218432999999957</f>
        <v>1319.5266980000001</v>
      </c>
      <c r="O297" s="3">
        <f>1538.4+(1392.2-1094.8)+(1.569168+(1.420044-1.116696))+0-425.8-0.434316000000068</f>
        <v>1411.4382000000001</v>
      </c>
      <c r="P297" s="3">
        <f>1562.6+(1587-1260.9)+(-0.796926+(-0.80937--0.643059))+0-430.5--0.219554999999956</f>
        <v>1457.4563179999998</v>
      </c>
      <c r="Q297" s="3">
        <f>1552.8+(1917-1575.5)+(0+(0-0))+0-427.5-0</f>
        <v>1466.8</v>
      </c>
      <c r="R297" s="3">
        <f>1514.5+(1858.8-1529.4)+(-2.317185+(-2.843964--2.339982))+0-424.9--0.650097000000025</f>
        <v>1416.8289299999999</v>
      </c>
      <c r="S297" s="3">
        <f>1511.6+(1369.7-1104.3)+(0+(0-0))+0-404.9-0</f>
        <v>1372.1</v>
      </c>
      <c r="T297" s="3">
        <f>1512.6+(1235.4-1025.6)+(-3.85713+(-3.15027--2.61528))+0-375.2--0.956759999999946</f>
        <v>1343.7646400000001</v>
      </c>
      <c r="U297" s="3">
        <f>1512+(1203.8-964.2)+(-2.31336+(-1.841814--1.475226))+0-407.2--0.623016000000024</f>
        <v>1342.3430679999999</v>
      </c>
      <c r="V297" s="3">
        <f>1511.4+(1255.1-997.4)+(-2.312442+(-1.920303--1.526022))+0-417.3--0.638469000000024</f>
        <v>1349.7317459999999</v>
      </c>
      <c r="W297" s="3">
        <f>1575.2+(1958.3-1602.4)+(0.803352+(0.998733-0.817224))+0-425.3-0.216902999999957</f>
        <v>1506.5679579999999</v>
      </c>
      <c r="X297" s="3">
        <f>1797+(1785.3-1545.1)+(-1.83294+(-1.821006--1.576002))+0-424.4--0.432888000000068</f>
        <v>1611.1549440000001</v>
      </c>
      <c r="Y297" s="3">
        <f>1818.1+(1336.3-1170.2)+(-1.854462+(-1.363026--1.193604))+0-413.2--0.421464000000066</f>
        <v>1569.3975799999998</v>
      </c>
      <c r="Z297" s="3">
        <f>1818.1+(1080.1-978.1)+(-4.636155+(-2.754255--2.494155))+0-407.3--1.03861499999994</f>
        <v>1508.9423599999998</v>
      </c>
      <c r="AA297" s="3">
        <f>1750.7+(1082.5-920.4)+(0+(0-0))+0-413.3-0</f>
        <v>1499.5000000000002</v>
      </c>
      <c r="AB297" s="3">
        <f>1621.5+(1288.5-1036.2)+(-4.134825+(-3.285675--2.64231))+0-394.1--1.00495499999994</f>
        <v>1475.9267649999997</v>
      </c>
      <c r="AC297" s="3">
        <f>1493.5+(1422.8-1107.1)+(-1.52337+(-1.451256--1.129242))+0-404--0.412080000000064</f>
        <v>1403.7666960000001</v>
      </c>
      <c r="AD297" s="2">
        <v>1614.6000000000001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1486.3+(867.5-635.1)+(-1.516026+(-0.88485--0.647802))+0-411--0.419220000000066</f>
        <v>1306.3661459999998</v>
      </c>
      <c r="G298" s="3">
        <f>1482.9+(767.5-612.1)+(0+(0-0))+0-409.9-0</f>
        <v>1228.4000000000001</v>
      </c>
      <c r="H298" s="3">
        <f>1484.1+(791.8-677.8)+(-0.756891+(-0.403818--0.345678))+0-416--0.212159999999958</f>
        <v>1181.4971289999999</v>
      </c>
      <c r="I298" s="3">
        <f>1486.3+(713.2-611.4)+(2.274039+(1.091196-0.935442))+0-419.4-0.641682000000024</f>
        <v>1170.4881110000001</v>
      </c>
      <c r="J298" s="3">
        <f>1462.9+(807.1-661.7)+(-3.730395+(-2.058105--1.687335))+0-418.1--1.06615499999994</f>
        <v>1187.1649900000002</v>
      </c>
      <c r="K298" s="3">
        <f>1455.1+(565.9-442.8)+(0.742101+(0.288609-0.225828))+0-424.7-0.216596999999957</f>
        <v>1154.0882849999998</v>
      </c>
      <c r="L298" s="3">
        <f>1453.9+(552.5-424.1)+(-3.707445+(-1.408875--1.081455))+0-423--1.07864999999994</f>
        <v>1156.343785</v>
      </c>
      <c r="M298" s="3">
        <f>1450.9+(413.3-329.6)+(-5.919672+(-1.686264--1.344768))+0-427--1.74215999999996</f>
        <v>1103.0809920000002</v>
      </c>
      <c r="N298" s="3">
        <f>1422.2+(410.4-304.6)+(-0.725322+(-0.209304--0.155346))+0-424.4--0.216443999999957</f>
        <v>1103.0371640000001</v>
      </c>
      <c r="O298" s="3">
        <f>1424.6+(460.4-328.5)+(-1.453092+(-0.469608--0.33507))+0-427.6--0.436152000000068</f>
        <v>1127.7485220000001</v>
      </c>
      <c r="P298" s="3">
        <f>1454.6+(553.9-418.8)+(2.225538+(0.847467-0.640764))+0-432.7-0.662031000000025</f>
        <v>1158.7702099999997</v>
      </c>
      <c r="Q298" s="3">
        <f>1478.7+(813.1-681.4)+(-3.770685+(-2.073405--1.73757))+0-424.4--1.08221999999994</f>
        <v>1182.9757000000002</v>
      </c>
      <c r="R298" s="3">
        <f>1482.8+(756-624)+(-3.78114+(-1.9278--1.5912))+0-428.5--1.09267499999994</f>
        <v>1183.2749349999999</v>
      </c>
      <c r="S298" s="3">
        <f>1485.6+(873.5-756.6)+(0+(0-0))+0-427.6-0</f>
        <v>1174.9000000000001</v>
      </c>
      <c r="T298" s="3">
        <f>1484.9+(795.1-678.3)+(-1.514598+(-0.811002--0.691866))+0-427.5--0.436050000000068</f>
        <v>1173.0023160000003</v>
      </c>
      <c r="U298" s="3">
        <f>1485.4+(552.6-432.4)+(0+(0-0))+0-419.1-0</f>
        <v>1186.5</v>
      </c>
      <c r="V298" s="3">
        <f>1486.9+(639.8-544.7)+(0.758319+(0.326298-0.277797))+0-423.3-0.215882999999957</f>
        <v>1159.2909370000002</v>
      </c>
      <c r="W298" s="3">
        <f>1537.2+(1157.7-941.1)+(-0.783972+(-0.590427--0.479961))+0-418.1--0.213230999999958</f>
        <v>1335.018793</v>
      </c>
      <c r="X298" s="3">
        <f>1605.5+(1356.1-1078.2)+(-0.818805+(-0.691611--0.549882))+0-415.7--0.212006999999958</f>
        <v>1466.9514729999996</v>
      </c>
      <c r="Y298" s="3">
        <f>1604.5+(1377.5-1095.7)+(0+(0-0))+0-421.4-0</f>
        <v>1464.9</v>
      </c>
      <c r="Z298" s="3">
        <f>1510.4+(1473.8-1124.6)+(0.770304+(0.751638-0.573546))+0-422.2-0.215321999999957</f>
        <v>1438.1330740000001</v>
      </c>
      <c r="AA298" s="3">
        <f>1491.1+(1377.7-1010.7)+(3.041844+(2.810508-2.061828))+0-419.2-0.855167999999982</f>
        <v>1441.8353559999998</v>
      </c>
      <c r="AB298" s="3">
        <f>1491.2+(1424.8-1068)+(0+(0-0))+0-423.3-0</f>
        <v>1424.7</v>
      </c>
      <c r="AC298" s="3">
        <f>1489.9+(945.7-637.9)+(-5.318943+(-3.376149--2.277303))+0-424.9--1.51689300000001</f>
        <v>1367.8991040000001</v>
      </c>
      <c r="AD298" s="2">
        <v>1446.5999999999997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1486.1+(699.7-480.9)+(-3.031644+(-1.427388--0.981036))+0-427.3--0.871691999999981</f>
        <v>1274.993696</v>
      </c>
      <c r="G299" s="3">
        <f>1486.2+(589.5-406.6)+(-3.031848+(-1.20258--0.829464))+0-430.2--0.877607999999981</f>
        <v>1236.3726439999998</v>
      </c>
      <c r="H299" s="3">
        <f>1414.6+(467.7-290.5)+(-2.164338+(-0.715581--0.444465))+0-410.2--0.627606000000024</f>
        <v>1179.792152</v>
      </c>
      <c r="I299" s="3">
        <f>1301.9+(534.2-260)+(-1.991907+(-0.817326--0.3978))+0-416.1--0.636633000000024</f>
        <v>1158.2252000000003</v>
      </c>
      <c r="J299" s="3">
        <f>1293.3+(516-241.5)+(1.319166+(0.52632-0.24633))+0-424.3-0.432786000000068</f>
        <v>1144.6663699999999</v>
      </c>
      <c r="K299" s="3">
        <f>1312.4+(461.1-242.4)+(2.677296+(0.940644-0.494496))+0-397.7-0.811307999999983</f>
        <v>1135.7121360000001</v>
      </c>
      <c r="L299" s="3">
        <f>1472.7+(449.5-352.4)+(-3.004308+(-0.91698--0.718896))+0-399.7--0.815387999999983</f>
        <v>1167.7129960000002</v>
      </c>
      <c r="M299" s="3">
        <f>1484.1+(397.5-315.2)+(0.756891+(0.202725-0.160752))+0-419.6-0.213995999999957</f>
        <v>1147.3848680000001</v>
      </c>
      <c r="N299" s="3">
        <f>1485.7+(424.4-336.4)+(-2.273121+(-0.649332--0.514692))+0-412.6--0.631278000000024</f>
        <v>1159.323517</v>
      </c>
      <c r="O299" s="3">
        <f>1486.2+(452.1-283.2)+(-0.757962+(-0.230571--0.144432))+0-426.2--0.217361999999957</f>
        <v>1228.273261</v>
      </c>
      <c r="P299" s="3">
        <f>1485.1+(716.4-521.6)+(-3.029604+(-1.461456--1.064064))+0-403.9--0.823955999999982</f>
        <v>1273.3969599999998</v>
      </c>
      <c r="Q299" s="3">
        <f>1485.6+(986.2-747.6)+(-0.757656+(-0.502962--0.381276))+0-420.9--0.214658999999957</f>
        <v>1302.635317</v>
      </c>
      <c r="R299" s="3">
        <f>1486.1+(768.8-554.4)+(-5.305377+(-2.744616--1.979208))+0-418.5--1.49404500000001</f>
        <v>1277.42326</v>
      </c>
      <c r="S299" s="3">
        <f>1485.9+(610.6-423.7)+(0+(0-0))+0-423.6-0</f>
        <v>1249.2000000000003</v>
      </c>
      <c r="T299" s="3">
        <f>1484.9+(560.5-347.8)+(-1.514598+(-0.57171--0.354756))+0-427.2--0.435744000000068</f>
        <v>1269.1041920000002</v>
      </c>
      <c r="U299" s="3">
        <f>1486.2+(492.7-257.9)+(0+(0-0))+0-431.2-0</f>
        <v>1289.8</v>
      </c>
      <c r="V299" s="3">
        <f>1573+(523.8-396.8)+(-0.80223+(-0.267138--0.202368))+0-423.5--0.215984999999957</f>
        <v>1275.8489850000001</v>
      </c>
      <c r="W299" s="3">
        <f>1760+(850.4-783.7)+(0.8976+(0.433704-0.399687))+0-422.8-0.215627999999957</f>
        <v>1404.6159889999999</v>
      </c>
      <c r="X299" s="3">
        <f>1874.4+(1218.3-1121)+(-2.867832+(-1.863999--1.71513))+0-424.1--0.648873000000025</f>
        <v>1545.232172</v>
      </c>
      <c r="Y299" s="3">
        <f>1867.5+(1348.4-1245.1)+(-2.857275+(-2.063052--1.905003))+0-422.5--0.646425000000024</f>
        <v>1545.9311010000004</v>
      </c>
      <c r="Z299" s="3">
        <f>1588+(1531.8-1190.3)+(-0.80988+(-0.781218--0.607053))+0-424.8--0.216647999999957</f>
        <v>1503.932603</v>
      </c>
      <c r="AA299" s="3">
        <f>1486.3+(1608.8-1166.8)+(-0.758013+(-0.820488--0.595068))+0-427.2--0.217871999999957</f>
        <v>1500.3344389999997</v>
      </c>
      <c r="AB299" s="3">
        <f>1485.8+(1236.6-807.3)+(-3.031032+(-2.522664--1.646892))+0-425.2--0.867407999999981</f>
        <v>1486.860604</v>
      </c>
      <c r="AC299" s="3">
        <f>1486.6+(605.3-245.1)+(-2.274498+(-0.926109--0.375003))+0-426--0.651780000000025</f>
        <v>1418.6261759999995</v>
      </c>
      <c r="AD299" s="2">
        <v>1533.2999999999997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1488.1+(580.7-326.8)+(0.758931+(0.296157-0.166668))+0-422.3-0.215372999999957</f>
        <v>1320.373047</v>
      </c>
      <c r="G300" s="3">
        <f>1489+(629.5-449)+(1.51878+(0.64209-0.45798))+0-427.2-0.435744000000068</f>
        <v>1243.5671459999999</v>
      </c>
      <c r="H300" s="3">
        <f>1488.5+(608.4-477.7)+(0.759135+(0.310284-0.243627))+0-440-0.224399999999955</f>
        <v>1179.8013920000001</v>
      </c>
      <c r="I300" s="3">
        <f>1489.5+(627.3-503.8)+(2.278935+(0.959769-0.770814))+0-443.1-0.677943000000026</f>
        <v>1171.6899470000001</v>
      </c>
      <c r="J300" s="3">
        <f>1488.8+(668.1-530.1)+(3.037152+(1.362924-1.081404))+0-445.6-0.909023999999981</f>
        <v>1183.6096480000001</v>
      </c>
      <c r="K300" s="3">
        <f>1488.7+(906.1-766.9)+(0+(0-0))+0-448.9-0</f>
        <v>1179</v>
      </c>
      <c r="L300" s="3">
        <f>1488.4+(1095.8-922.3)+(1.518168+(1.117716-0.940746))+0-450.7-0.459714000000072</f>
        <v>1212.435424</v>
      </c>
      <c r="M300" s="3">
        <f>1488.3+(867.2-629.4)+(2.277099+(1.326816-0.962982))+0-449.1-0.687123000000026</f>
        <v>1278.9538099999997</v>
      </c>
      <c r="N300" s="3">
        <f>1487.6+(598.8-300.2)+(2.276028+(0.916164-0.459306))+0-433.2-0.662796000000025</f>
        <v>1355.0700899999997</v>
      </c>
      <c r="O300" s="3">
        <f>1487.7+(926.4-566.7)+(3.793635+(2.36232-1.445085))+0-436.9-1.11409499999994</f>
        <v>1414.096775</v>
      </c>
      <c r="P300" s="3">
        <f>1488.2+(1442.1-1010.8)+(1.517964+(1.470942-1.031016))+0-439-0.44778000000007</f>
        <v>1482.0101099999999</v>
      </c>
      <c r="Q300" s="3">
        <f>1489.2+(1913.5-1447)+(3.037968+(3.90354-2.95188))+0-439.3-0.896171999999981</f>
        <v>1519.4934560000002</v>
      </c>
      <c r="R300" s="3">
        <f>1488.1+(1524.2-1094.8)+(-1.517862+(-1.554684--1.116696))+0-441.2--0.45002400000007</f>
        <v>1474.7941739999999</v>
      </c>
      <c r="S300" s="3">
        <f>1487.3+(953.4-598.2)+(0.758523+(0.486234-0.305082))+0-416.9-0.212618999999958</f>
        <v>1426.3270560000001</v>
      </c>
      <c r="T300" s="3">
        <f>1488.3+(889.7-515)+(0+(0-0))+0-457.1-0</f>
        <v>1405.9</v>
      </c>
      <c r="U300" s="3">
        <f>1487.1+(900.3-524.9)+(-1.516842+(-0.918306--0.535398))+0-457.8--0.466956000000073</f>
        <v>1403.267206</v>
      </c>
      <c r="V300" s="3">
        <f>1502.9+(1052.8-661.2)+(0+(0-0))+0-457.6-0</f>
        <v>1436.9</v>
      </c>
      <c r="W300" s="3">
        <f>1741.2+(1233.6-970.8)+(0+(0-0))+0-454.6-0</f>
        <v>1549.4</v>
      </c>
      <c r="X300" s="3">
        <f>1881.7+(1499-1242.3)+(-2.879001+(-2.29347--1.900719))+0-454.4--0.695232000000026</f>
        <v>1681.4234799999999</v>
      </c>
      <c r="Y300" s="3">
        <f>1710.7+(1549.3-1166.4)+(-1.744914+(-1.580286--1.189728))+0-455.6--0.464712000000073</f>
        <v>1636.32924</v>
      </c>
      <c r="Z300" s="3">
        <f>1504.4+(1556.6-1032.6)+(-1.534488+(-1.587732--1.053252))+0-442.3--0.451146000000071</f>
        <v>1584.4821780000002</v>
      </c>
      <c r="AA300" s="3">
        <f>1487+(989.5-475.3)+(-0.75837+(-0.504645--0.242403))+0-441.2--0.225011999999955</f>
        <v>1559.2043999999999</v>
      </c>
      <c r="AB300" s="3">
        <f>1486.4+(635.6-161.1)+(-2.274192+(-0.972468--0.246483))+0-448.5--0.686205000000026</f>
        <v>1510.0860280000002</v>
      </c>
      <c r="AC300" s="3">
        <f>1482.9+(607.3-232.1)+(-3.025116+(-1.238892--0.473484))+0-444.4--0.906575999999981</f>
        <v>1410.8160519999999</v>
      </c>
      <c r="AD300" s="2">
        <v>1691.7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1486.1+(639.6-355.8)+(-3.789555+(-1.63098--0.90729))+0-438.2--1.11740999999994</f>
        <v>1328.3041649999996</v>
      </c>
      <c r="G301" s="3">
        <f>1481.3+(668.4-461.3)+(-3.777315+(-1.70442--1.176315))+0-402.1--1.02535499999994</f>
        <v>1283.019935</v>
      </c>
      <c r="H301" s="3">
        <f>1441.8+(747.7-536.2)+(-2.941272+(-1.525308--1.093848))+0-408.3--0.832931999999982</f>
        <v>1242.4602</v>
      </c>
      <c r="I301" s="3">
        <f>1349.1+(825.1-546)+(-0.688041+(-0.420801--0.27846))+0-406.1--0.207110999999959</f>
        <v>1221.4767289999998</v>
      </c>
      <c r="J301" s="3">
        <f>1348.4+(845.6-567.4)+(-2.750736+(-1.725024--1.157496))+0-401.4--0.818855999999982</f>
        <v>1222.7005920000001</v>
      </c>
      <c r="K301" s="3">
        <f>1410.7+(958.5-752.9)+(3.597285+(2.444175-1.919895))+0-399.5-1.01872499999994</f>
        <v>1219.9028400000002</v>
      </c>
      <c r="L301" s="3">
        <f>1484.2+(802.9-618.7)+(0+(0-0))+0-400.7-0</f>
        <v>1267.7</v>
      </c>
      <c r="M301" s="3">
        <f>1482.6+(722.6-521.4)+(-0.756126+(-0.368526--0.265914))+0-400.9--0.204458999999959</f>
        <v>1282.2457210000002</v>
      </c>
      <c r="N301" s="3">
        <f>1484.7+(730.7-423)+(-1.514394+(-0.745314--0.43146))+0-405.4--0.413508000000065</f>
        <v>1385.5852600000003</v>
      </c>
      <c r="O301" s="3">
        <f>1483.4+(1046-707.6)+(0.756534+(0.53346-0.360876))+0-368.8-0.188087999999963</f>
        <v>1453.7410300000004</v>
      </c>
      <c r="P301" s="3">
        <f>1485.3+(1432.3-1038.5)+(-0.757503+(-0.730473--0.529635))+0-381--0.194309999999961</f>
        <v>1497.3359689999997</v>
      </c>
      <c r="Q301" s="3">
        <f>1484.8+(1625.2-1200)+(-2.271744+(-2.486556--1.836))+0-383.7--0.587061000000022</f>
        <v>1523.964761</v>
      </c>
      <c r="R301" s="3">
        <f>1482.6+(1313.9-932.7)+(-3.78063+(-3.350445--2.378385))+0-382.2--0.974609999999944</f>
        <v>1477.8219199999999</v>
      </c>
      <c r="S301" s="3">
        <f>1483.9+(1047.6-741.6)+(-0.756789+(-0.534276--0.378216))+0-382--0.194819999999961</f>
        <v>1407.181971</v>
      </c>
      <c r="T301" s="3">
        <f>1483.7+(1058.6-753.8)+(0.756687+(0.539886-0.384438))+0-390.3-0.19905299999996</f>
        <v>1398.913082</v>
      </c>
      <c r="U301" s="3">
        <f>1481+(1052.2-737.7)+(0.75531+(0.536622-0.376227))+0-389.1-0.198440999999961</f>
        <v>1407.117264</v>
      </c>
      <c r="V301" s="3">
        <f>1525.6+(1000.7-722.6)+(0.778056+(0.510357-0.368526))+0-387-0.197369999999961</f>
        <v>1417.422517</v>
      </c>
      <c r="W301" s="3">
        <f>1683.3+(1494.3-1239.6)+(0.858483+(0.762093-0.632196))+0-388.5-0.198134999999961</f>
        <v>1550.2902450000001</v>
      </c>
      <c r="X301" s="3">
        <f>1772.4+(1956.1-1622.4)+(-1.807848+(-1.995222--1.654848))+0-410.6--0.418812000000066</f>
        <v>1693.7705900000003</v>
      </c>
      <c r="Y301" s="3">
        <f>1771.1+(1729.1-1424.7)+(-1.806522+(-1.763682--1.453194))+0-412.7--0.420954000000066</f>
        <v>1661.1039440000002</v>
      </c>
      <c r="Z301" s="3">
        <f>1772+(1690.3-1416.7)+(0.90372+(0.862053-0.722517))+0-418.2-0.213281999999958</f>
        <v>1628.2299739999999</v>
      </c>
      <c r="AA301" s="3">
        <f>1772+(1269.8-1032.3)+(0.90372+(0.647598-0.526473))+0-418.3-0.213332999999958</f>
        <v>1592.011512</v>
      </c>
      <c r="AB301" s="3">
        <f>1672.3+(956-653.8)+(-0.852873+(-0.48756--0.333438))+0-425.8--0.217157999999957</f>
        <v>1547.910163</v>
      </c>
      <c r="AC301" s="3">
        <f>1503.4+(664.1-271.1)+(-0.766734+(-0.338691--0.138261))+0-421.9--0.215168999999957</f>
        <v>1473.7480050000004</v>
      </c>
      <c r="AD301" s="2">
        <v>1715.9999999999998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1416.9+(775.1-413)+(-1.445238+(-0.790602--0.42126))+0-410.1--0.418302000000065</f>
        <v>1367.5037219999999</v>
      </c>
      <c r="G302" s="3">
        <f>1350.9+(926.8-548.8)+(-0.688959+(-0.472668--0.279888))+0-422.2--0.215321999999957</f>
        <v>1306.0335830000001</v>
      </c>
      <c r="H302" s="3">
        <f>1350.4+(801-436.4)+(1.377408+(0.81702-0.445128))+0-425.3-0.433806000000068</f>
        <v>1291.015494</v>
      </c>
      <c r="I302" s="3">
        <f>1350.5+(848.8-513.8)+(-2.066265+(-1.298664--0.786114))+0-421.4--0.644742000000024</f>
        <v>1262.165927</v>
      </c>
      <c r="J302" s="3">
        <f>1350.4+(764.5-429.2)+(0+(0-0))+0-413.7-0</f>
        <v>1272</v>
      </c>
      <c r="K302" s="3">
        <f>1350.3+(1103.5-762.3)+(0.688653+(0.562785-0.388773))+0-420.4-0.214403999999957</f>
        <v>1271.748261</v>
      </c>
      <c r="L302" s="3">
        <f>1358.6+(919-570.4)+(-0.692886+(-0.46869--0.290904))+0-427.6--0.218075999999957</f>
        <v>1278.9474039999998</v>
      </c>
      <c r="M302" s="3">
        <f>1479+(597.2-300.2)+(0.75429+(0.304572-0.153102))+0-429.8-0.219197999999956</f>
        <v>1346.8865620000001</v>
      </c>
      <c r="N302" s="3">
        <f>1485.1+(788-426.2)+(0+(0-0))+0-376.8-0</f>
        <v>1470.1</v>
      </c>
      <c r="O302" s="3">
        <f>1486.2+(1369-948.7)+(0.757962+(0.69819-0.483837))+0-379.1-0.193340999999962</f>
        <v>1528.1789740000002</v>
      </c>
      <c r="P302" s="3">
        <f>1482.2+(1808.4-1318.3)+(0+(0-0))+0-433.6-0</f>
        <v>1538.7000000000003</v>
      </c>
      <c r="Q302" s="3">
        <f>1491.5+(1967.2-1472.1)+(-2.281995+(-3.009816--2.252313))+0-432--0.660960000000025</f>
        <v>1552.221462</v>
      </c>
      <c r="R302" s="3">
        <f>1486.3+(1686.6-1252.9)+(0.758013+(0.860166-0.638979))+0-420.6-0.214505999999957</f>
        <v>1500.1646939999998</v>
      </c>
      <c r="S302" s="3">
        <f>1490.5+(1376-985.3)+(1.52031+(1.40352-1.005006))+0-432.4-0.441048000000069</f>
        <v>1450.2777759999999</v>
      </c>
      <c r="T302" s="3">
        <f>1524.8+(1162.4-786.3)+(0+(0-0))+0-434.4-0</f>
        <v>1466.5</v>
      </c>
      <c r="U302" s="3">
        <f>1539.1+(950.7-585.3)+(-3.139764+(-1.939428--1.194012))+0-433.1--0.883523999999981</f>
        <v>1468.398344</v>
      </c>
      <c r="V302" s="3">
        <f>1570.7+(1048.1-706.9)+(-2.403171+(-1.603593--1.081557))+0-430.2--0.658206000000025</f>
        <v>1479.4329990000001</v>
      </c>
      <c r="W302" s="3">
        <f>1755.9+(1825.3-1575.1)+(4.477545+(4.654515-4.016505))+0-429.5-1.09522499999994</f>
        <v>1580.6203300000002</v>
      </c>
      <c r="X302" s="3">
        <f>1774+(2301.9-1906)+(-2.71422+(-3.521907--2.91618))+0-434.9--0.665397000000025</f>
        <v>1732.34545</v>
      </c>
      <c r="Y302" s="3">
        <f>1773.3+(1893.8-1544.2)+(-2.713149+(-2.897514--2.362626))+0-429.1--0.656523000000025</f>
        <v>1691.208486</v>
      </c>
      <c r="Z302" s="3">
        <f>1773.5+(1445.7-1149.4)+(-1.80897+(-1.474614--1.172388))+0-426.1--0.434622000000068</f>
        <v>1642.0234260000004</v>
      </c>
      <c r="AA302" s="3">
        <f>1776.9+(832.1-559.5)+(0.906219+(0.424371-0.285345))+0-425.2-0.216851999999957</f>
        <v>1625.1283929999997</v>
      </c>
      <c r="AB302" s="3">
        <f>1618.7+(644.6-270.5)+(0+(0-0))+0-418.8-0</f>
        <v>1574.0000000000002</v>
      </c>
      <c r="AC302" s="3">
        <f>1464.1+(658.7-201.8)+(0.746691+(0.335937-0.102918))+0-414.5-0.211394999999958</f>
        <v>1507.268315</v>
      </c>
      <c r="AD302" s="2">
        <v>1726.3000000000002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1413+(800.2-429.7)+(-0.72063+(-0.408102--0.219147))+0-414.1--0.211190999999958</f>
        <v>1368.7016059999996</v>
      </c>
      <c r="G303" s="3">
        <f>1409.7+(846.2-509.2)+(-2.156841+(-1.294686--0.779076))+0-427.2--0.653616000000025</f>
        <v>1317.4811650000001</v>
      </c>
      <c r="H303" s="3">
        <f>1410.3+(900.2-591.7)+(-2.157759+(-1.377306--0.905301))+0-433.2--0.662796000000025</f>
        <v>1283.633032</v>
      </c>
      <c r="I303" s="3">
        <f>1409.4+(860.8-616.7)+(0.718794+(0.439008-0.314517))+0-425.9-0.217208999999957</f>
        <v>1228.2260759999999</v>
      </c>
      <c r="J303" s="3">
        <f>1409+(870.7-637.3)+(0+(0-0))+0-431-0</f>
        <v>1211.4000000000001</v>
      </c>
      <c r="K303" s="3">
        <f>1408.9+(764.3-475.5)+(0+(0-0))+0-435.8-0</f>
        <v>1261.9000000000001</v>
      </c>
      <c r="L303" s="3">
        <f>1409.3+(936.5-622.3)+(-1.437486+(-0.95523--0.634746))+0-433--0.441660000000069</f>
        <v>1289.1836900000001</v>
      </c>
      <c r="M303" s="3">
        <f>1409.8+(783.5-427.6)+(0.718998+(0.399585-0.218076))+0-432.3-0.220472999999956</f>
        <v>1334.0800340000001</v>
      </c>
      <c r="N303" s="3">
        <f>1410.7+(699-293)+(1.438914+(0.71298-0.29886))+0-422.6-0.431052000000067</f>
        <v>1395.521982</v>
      </c>
      <c r="O303" s="3">
        <f>1411.8+(1112.5-631.7)+(2.160054+(1.702125-0.966501))+0-413.8-0.633114000000024</f>
        <v>1481.0625640000001</v>
      </c>
      <c r="P303" s="3">
        <f>1410.2+(1612-1073.9)+(-1.438404+(-1.64424--1.095378))+0-422--0.430440000000067</f>
        <v>1524.743174</v>
      </c>
      <c r="Q303" s="3">
        <f>1421.3+(1711-1203.2)+(1.449726+(1.74522-1.227264))+0-405.1-0.413202000000065</f>
        <v>1525.55448</v>
      </c>
      <c r="R303" s="3">
        <f>1420.4+(1648.4-1165.9)+(-2.173212+(-2.522052--1.783827))+0-406.7--0.622251000000024</f>
        <v>1493.9108140000001</v>
      </c>
      <c r="S303" s="3">
        <f>1406.2+(1232-776.6)+(0.717162+(0.62832-0.396066))+0-406.6-0.207365999999959</f>
        <v>1455.7420500000001</v>
      </c>
      <c r="T303" s="3">
        <f>1430.9+(1067.4-640.9)+(-2.189277+(-1.633122--0.980577))+0-415.9--0.636327000000024</f>
        <v>1439.2945050000001</v>
      </c>
      <c r="U303" s="3">
        <f>1515+(971.4-614.8)+(-1.5453+(-0.990828--0.627096))+0-411.2--0.419424000000066</f>
        <v>1458.910392</v>
      </c>
      <c r="V303" s="3">
        <f>1688.9+(781.3-621)+(-0.861339+(-0.398463--0.31671))+0-377.2--0.192371999999962</f>
        <v>1471.24928</v>
      </c>
      <c r="W303" s="3">
        <f>1833+(1382.8-1223)+(0+(0-0))+0-430.1-0</f>
        <v>1562.6999999999998</v>
      </c>
      <c r="X303" s="3">
        <f>1845.4+(1757.4-1434.6)+(-2.823462+(-2.688822--2.194938))+0-435.8--0.666774000000025</f>
        <v>1729.7494280000005</v>
      </c>
      <c r="Y303" s="3">
        <f>1845.4+(1449.1-1183.1)+(-2.823462+(-2.217123--1.810143))+0-435.1--0.665703000000025</f>
        <v>1673.7352610000003</v>
      </c>
      <c r="Z303" s="3">
        <f>1845.3+(1198.1-971.7)+(-1.882206+(-1.222062--0.991134))+0-432.3--0.440946000000069</f>
        <v>1637.7278119999999</v>
      </c>
      <c r="AA303" s="3">
        <f>1778.1+(1081.9-833.5)+(-1.813662+(-1.103538--0.85017))+0-430.9--0.439518000000069</f>
        <v>1593.9724880000003</v>
      </c>
      <c r="AB303" s="3">
        <f>1581.6+(1036.9-634.4)+(-2.419848+(-1.586457--0.970632))+0-432.8--0.662184000000025</f>
        <v>1548.9265109999999</v>
      </c>
      <c r="AC303" s="3">
        <f>1505.8+(741.3-328.2)+(-2.303874+(-1.134189--0.502146))+0-429.3--0.656829000000025</f>
        <v>1487.3209119999999</v>
      </c>
      <c r="AD303" s="2">
        <v>1725.8999999999999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1420.9+(532.9-169.8)+(-2.898636+(-1.087116--0.346392))+0-409.1--0.834563999999982</f>
        <v>1372.095204</v>
      </c>
      <c r="G304" s="3">
        <f>1410.4+(616.7-286.7)+(0+(0-0))+0-426.7-0</f>
        <v>1313.7</v>
      </c>
      <c r="H304" s="3">
        <f>1410+(719.8-425.1)+(-3.5955+(-1.83549--1.084005))+0-423--1.07864999999994</f>
        <v>1278.4316649999998</v>
      </c>
      <c r="I304" s="3">
        <f>1409.1+(780-505.2)+(-2.155923+(-1.1934--0.772956))+0-427.9--0.654687000000025</f>
        <v>1254.0783199999998</v>
      </c>
      <c r="J304" s="3">
        <f>1409.7+(955.8-675.8)+(0.718947+(0.487458-0.344658))+0-435.2-0.221951999999956</f>
        <v>1255.139795</v>
      </c>
      <c r="K304" s="3">
        <f>1409.5+(951.9-690.5)+(2.87538+(1.941876-1.40862))+0-427.2-0.871487999999981</f>
        <v>1246.2371479999999</v>
      </c>
      <c r="L304" s="3">
        <f>1410.7+(731.1-458)+(-1.438914+(-0.745722--0.46716))+0-428.8--0.437376000000068</f>
        <v>1253.7199000000003</v>
      </c>
      <c r="M304" s="3">
        <f>1409.2+(656.5-350.3)+(-0.718692+(-0.334815--0.178653))+0-431.6--0.220115999999956</f>
        <v>1283.145262</v>
      </c>
      <c r="N304" s="3">
        <f>1409.5+(568.5-186.7)+(0+(0-0))+0-426.6-0</f>
        <v>1364.6999999999998</v>
      </c>
      <c r="O304" s="3">
        <f>1412.7+(1064.5-597.1)+(0.720477+(0.542895-0.304521))+0-434.7-0.221696999999956</f>
        <v>1446.137154</v>
      </c>
      <c r="P304" s="3">
        <f>1436.5+(1593.6-1109.6)+(2.197845+(2.438208-1.697688))+0-432.6-0.661878000000025</f>
        <v>1490.176487</v>
      </c>
      <c r="Q304" s="3">
        <f>1412.6+(1805.8-1279.6)+(-1.440852+(-1.841916--1.305192))+0-430--0.438600000000069</f>
        <v>1507.2610240000001</v>
      </c>
      <c r="R304" s="3">
        <f>1486.5+(1428.8-1039.6)+(-1.51623+(-1.457376--1.060392))+0-435.3--0.444006000000069</f>
        <v>1438.9307920000003</v>
      </c>
      <c r="S304" s="3">
        <f>1503+(1000.3-671)+(-0.76653+(-0.510153--0.34221))+0-431.7--0.220166999999956</f>
        <v>1399.8856939999998</v>
      </c>
      <c r="T304" s="3">
        <f>1504.9+(731.2-438.5)+(0+(0-0))+0-410.1-0</f>
        <v>1387.5</v>
      </c>
      <c r="U304" s="3">
        <f>1502.8+(700.6-404.7)+(-1.532856+(-0.714612--0.412794))+0-402.2--0.410244000000064</f>
        <v>1395.0755700000002</v>
      </c>
      <c r="V304" s="3">
        <f>1635.2+(798.4-598.9)+(0+(0-0))+0-410-0</f>
        <v>1424.7</v>
      </c>
      <c r="W304" s="3">
        <f>1830.6+(1416.2-1296.6)+(-0.933606+(-0.722262--0.661266))+0-428--0.218279999999957</f>
        <v>1521.4236780000001</v>
      </c>
      <c r="X304" s="3">
        <f>1837.8+(1849.4-1616.9)+(-2.811834+(-2.829582--2.473857))+0-421.4--0.644742000000024</f>
        <v>1646.3771830000001</v>
      </c>
      <c r="Y304" s="3">
        <f>1837.8+(1609.9-1416.8)+(-1.874556+(-1.642098--1.445136))+0-431.6--0.440232000000069</f>
        <v>1597.6687140000001</v>
      </c>
      <c r="Z304" s="3">
        <f>1839+(1564.8-1416.8)+(0.93789+(0.798048-0.722568))+0-431.2-0.219911999999956</f>
        <v>1556.5934579999998</v>
      </c>
      <c r="AA304" s="3">
        <f>1838.7+(1193.4-1060.4)+(-0.937737+(-0.608634--0.540804))+0-429.4--0.218993999999956</f>
        <v>1541.5134270000001</v>
      </c>
      <c r="AB304" s="3">
        <f>1775+(832.7-661.7)+(-4.52625+(-2.123385--1.687335))+0-433.9--1.10644499999994</f>
        <v>1508.2441450000001</v>
      </c>
      <c r="AC304" s="3">
        <f>1671.2+(432.4-240.4)+(-4.26156+(-1.10262--0.61302))+0-426.8--1.08833999999994</f>
        <v>1432.7371800000001</v>
      </c>
      <c r="AD304" s="2">
        <v>1658.8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1435.6+(495.7-150.4)+(-2.928624+(-1.011228--0.306816))+0-427.9--0.872915999999981</f>
        <v>1350.2398799999999</v>
      </c>
      <c r="G305" s="3">
        <f>1408+(465.8-187.4)+(-3.5904+(-1.18779--0.47787))+0-404.6--1.03172999999994</f>
        <v>1278.5314099999998</v>
      </c>
      <c r="H305" s="3">
        <f>1408.1+(625.2-356.9)+(-2.872524+(-1.275408--0.728076))+0-426.5--0.870059999999981</f>
        <v>1247.3502040000001</v>
      </c>
      <c r="I305" s="3">
        <f>1408.9+(707.1-467.9)+(0.718539+(0.360621-0.238629))+0-430.4-0.219503999999956</f>
        <v>1218.3210270000002</v>
      </c>
      <c r="J305" s="3">
        <f>1422.4+(696.4-484.5)+(-0.725424+(-0.355164--0.247095))+0-427.9--0.218228999999957</f>
        <v>1205.7847360000001</v>
      </c>
      <c r="K305" s="3">
        <f>1471.8+(720.1-565.2)+(1.501236+(0.734502-0.576504))+0-422.7-0.431154000000067</f>
        <v>1205.2280799999996</v>
      </c>
      <c r="L305" s="3">
        <f>1480.5+(594-443.5)+(-1.51011+(-0.60588--0.45237))+0-426.5--0.435030000000068</f>
        <v>1203.2714100000001</v>
      </c>
      <c r="M305" s="3">
        <f>1483.4+(601.7-490.1)+(-2.269602+(-0.920601--0.749853))+0-430.4--0.658512000000025</f>
        <v>1162.818162</v>
      </c>
      <c r="N305" s="3">
        <f>1485.4+(821.7-704.5)+(-0.757554+(-0.419067--0.359295))+0-431.5--0.220064999999956</f>
        <v>1170.502739</v>
      </c>
      <c r="O305" s="3">
        <f>1469.2+(457.4-302)+(1.498584+(0.466548-0.30804))+0-400.9-0.408918000000064</f>
        <v>1224.9481739999997</v>
      </c>
      <c r="P305" s="3">
        <f>1350.2+(776.5-425.7)+(0+(0-0))+0-423.9-0</f>
        <v>1277.0999999999999</v>
      </c>
      <c r="Q305" s="3">
        <f>1366+(772-407.4)+(-2.08998+(-1.18116--0.623322))+0-430.6--0.658818000000025</f>
        <v>1298.0110000000002</v>
      </c>
      <c r="R305" s="3">
        <f>1462.4+(502.7-271.3)+(0+(0-0))+0-426.6-0</f>
        <v>1267.2000000000003</v>
      </c>
      <c r="S305" s="3">
        <f>1531.5+(351.3-207.1)+(-0.781065+(-0.179163--0.105621))+0-429.5--0.219044999999956</f>
        <v>1245.5644380000001</v>
      </c>
      <c r="T305" s="3">
        <f>1534.1+(400.5-268.2)+(1.564782+(0.40851-0.273564))+0-426.6-0.435132000000068</f>
        <v>1241.0645959999997</v>
      </c>
      <c r="U305" s="3">
        <f>1532.5+(395.7-272.4)+(-1.56315+(-0.403614--0.277848))+0-427--0.435540000000068</f>
        <v>1227.5466240000001</v>
      </c>
      <c r="V305" s="3">
        <f>1639.3+(353.7-297.3)+(-0.836043+(-0.180387--0.151623))+0-425.8--0.217157999999957</f>
        <v>1269.2523509999999</v>
      </c>
      <c r="W305" s="3">
        <f>1887.3+(1053.3-1133.8)+(0.962523+(0.537183-0.578238))+0-427.5-0.218024999999957</f>
        <v>1380.0034430000001</v>
      </c>
      <c r="X305" s="3">
        <f>2047.4+(1845.5-1903.3)+(-2.088348+(-1.88241--1.941366))+0-423.2--0.431664000000067</f>
        <v>1564.8022720000001</v>
      </c>
      <c r="Y305" s="3">
        <f>1989.6+(2019.5-2042.5)+(0+(0-0))+0-409-0</f>
        <v>1557.6</v>
      </c>
      <c r="Z305" s="3">
        <f>1952.2+(1839.5-1859.8)+(-1.991244+(-1.87629--1.896996))+0-391.7--0.399534000000062</f>
        <v>1538.6289960000001</v>
      </c>
      <c r="AA305" s="3">
        <f>1777.4+(1987.1-1821.3)+(0.906474+(1.013421-0.928863))+0-401.1-0.204560999999959</f>
        <v>1542.8864709999998</v>
      </c>
      <c r="AB305" s="3">
        <f>1766.7+(1444.4-1324.8)+(1.802034+(1.473288-1.351296))+0-400.2-0.408204000000064</f>
        <v>1487.615822</v>
      </c>
      <c r="AC305" s="3">
        <f>1767.5+(750.1-697.4)+(-1.80285+(-0.765102--0.711348))+0-403.6--0.411672000000064</f>
        <v>1415.1550679999998</v>
      </c>
      <c r="AD305" s="2">
        <v>1585.3000000000002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1618.5+(433.3-324.9)+(0+(0-0))+0-406.8-0</f>
        <v>1320.1000000000001</v>
      </c>
      <c r="G306" s="3">
        <f>1486.6+(487.5-309.6)+(0.758166+(0.248625-0.157896))+0-416.9-0.212618999999958</f>
        <v>1248.2362760000001</v>
      </c>
      <c r="H306" s="3">
        <f>1487.1+(593.2-430.4)+(-2.275263+(-0.907596--0.658512))+0-423--0.647190000000024</f>
        <v>1225.0228430000002</v>
      </c>
      <c r="I306" s="3">
        <f>1485.9+(572.7-428.8)+(1.515618+(0.584154-0.437376))+0-415.8-0.424116000000066</f>
        <v>1215.23828</v>
      </c>
      <c r="J306" s="3">
        <f>1487+(584.3-440.4)+(1.51674+(0.595986-0.449208))+0-427.4-0.435948000000068</f>
        <v>1204.7275700000002</v>
      </c>
      <c r="K306" s="3">
        <f>1487.5+(617.9-458.6)+(1.51725+(0.630258-0.467772))+0-425.2-0.433704000000068</f>
        <v>1222.8460319999999</v>
      </c>
      <c r="L306" s="3">
        <f>1486.4+(989.1-790.7)+(0+(0-0))+0-425.2-0</f>
        <v>1259.6000000000001</v>
      </c>
      <c r="M306" s="3">
        <f>1486.4+(831.5-568.9)+(-0.758064+(-0.424065--0.290139))+0-423--0.215729999999957</f>
        <v>1325.3237399999998</v>
      </c>
      <c r="N306" s="3">
        <f>1486.3+(717.7-427)+(0.758013+(0.366027-0.21777))+0-403.2-0.205631999999959</f>
        <v>1374.500638</v>
      </c>
      <c r="O306" s="3">
        <f>1488.2+(549-177.5)+(0+(0-0))+0-408.7-0</f>
        <v>1451</v>
      </c>
      <c r="P306" s="3">
        <f>1487.5+(671.8-215.8)+(0+(0-0))+0-413.7-0</f>
        <v>1529.8</v>
      </c>
      <c r="Q306" s="3">
        <f>1487.1+(742.6-321.4)+(-0.758421+(-0.378726--0.163914))+0-416.4--0.212363999999958</f>
        <v>1491.1391309999999</v>
      </c>
      <c r="R306" s="3">
        <f>1486.5+(576.8-185.8)+(-2.274345+(-0.882504--0.284274))+0-417.4--0.638622000000024</f>
        <v>1457.866047</v>
      </c>
      <c r="S306" s="3">
        <f>1487+(554.9-196.9)+(-0.75837+(-0.282999--0.100419))+0-417.2--0.212771999999958</f>
        <v>1427.0718219999999</v>
      </c>
      <c r="T306" s="3">
        <f>1487+(577.9-209.8)+(-1.51674+(-0.589458--0.213996))+0-417.8--0.426156000000067</f>
        <v>1435.8339539999999</v>
      </c>
      <c r="U306" s="3">
        <f>1497.3+(521.7-177.1)+(1.527246+(0.532134-0.180642))+0-422.1-0.430542000000067</f>
        <v>1421.248196</v>
      </c>
      <c r="V306" s="3">
        <f>1611.7+(497.4-252.6)+(-0.821967+(-0.253674--0.128826))+0-427.6--0.218075999999957</f>
        <v>1428.1712609999997</v>
      </c>
      <c r="W306" s="3">
        <f>1848.5+(939.2-819.2)+(0+(0-0))+0-427.2-0</f>
        <v>1541.3</v>
      </c>
      <c r="X306" s="3">
        <f>1885.5+(1462.9-1211.1)+(-0.961605+(-0.746079--0.617661))+0-428.7--0.218636999999957</f>
        <v>1707.7286139999999</v>
      </c>
      <c r="Y306" s="3">
        <f>1882+(1196.1-955)+(-2.87946+(-1.830033--1.46115))+0-427.9--0.654687000000025</f>
        <v>1692.6063439999996</v>
      </c>
      <c r="Z306" s="3">
        <f>1884.3+(816.6-634.5)+(0+(0-0))+0-425.6-0</f>
        <v>1640.8000000000002</v>
      </c>
      <c r="AA306" s="3">
        <f>1884.3+(646.2-505)+(0+(0-0))+0-427.5-0</f>
        <v>1598</v>
      </c>
      <c r="AB306" s="3">
        <f>1757.9+(748.5-514.5)+(-3.586116+(-1.52694--1.04958))+0-427.3--0.871691999999981</f>
        <v>1561.408216</v>
      </c>
      <c r="AC306" s="3">
        <f>1533.4+(628.4-247.4)+(-3.91017+(-1.60242--0.63087))+0-423.3--1.07941499999994</f>
        <v>1487.297695</v>
      </c>
      <c r="AD306" s="2">
        <v>1686.1000000000004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1486.9+(481-200.1)+(0+(0-0))+0-406.6-0</f>
        <v>1361.2000000000003</v>
      </c>
      <c r="G307" s="3">
        <f>1486.2+(476.3-228.8)+(0.757962+(0.242913-0.116688))+0-427.6-0.218075999999957</f>
        <v>1306.7661110000001</v>
      </c>
      <c r="H307" s="3">
        <f>1477.6+(540.1-293.8)+(0+(0-0))+0-433.8-0</f>
        <v>1290.0999999999999</v>
      </c>
      <c r="I307" s="3">
        <f>1451.9+(545.9-328.7)+(-2.221407+(-0.835227--0.502911))+0-416.9--0.637857000000024</f>
        <v>1250.2841340000002</v>
      </c>
      <c r="J307" s="3">
        <f>1451.9+(519-286.4)+(-2.961876+(-1.05876--0.584256))+0-427.4--0.871895999999981</f>
        <v>1254.5355159999997</v>
      </c>
      <c r="K307" s="3">
        <f>1452.1+(651.7-390)+(2.962284+(1.329468-0.7956))+0-424.5-0.865979999999981</f>
        <v>1291.9301719999999</v>
      </c>
      <c r="L307" s="3">
        <f>1452.3+(744.8-491.6)+(-0.740673+(-0.379848--0.250716))+0-424.5--0.216494999999957</f>
        <v>1280.3466899999999</v>
      </c>
      <c r="M307" s="3">
        <f>1462.9+(739.7-426.1)+(-1.492158+(-0.754494--0.434622))+0-429.4--0.437988000000068</f>
        <v>1345.725958</v>
      </c>
      <c r="N307" s="3">
        <f>1487+(594.5-244.1)+(-0.75837+(-0.303195--0.124491))+0-418.4--0.213383999999958</f>
        <v>1418.27631</v>
      </c>
      <c r="O307" s="3">
        <f>1487.9+(667.9-272.1)+(2.276487+(1.021887-0.416313))+0-410-0.627300000000024</f>
        <v>1475.954761</v>
      </c>
      <c r="P307" s="3">
        <f>1487.6+(1104.3-676.3)+(1.517352+(1.126386-0.689826))+0-402.3-0.410346000000064</f>
        <v>1514.8435659999998</v>
      </c>
      <c r="Q307" s="3">
        <f>1487+(1283.1-839.3)+(-1.51674+(-1.308762--0.856086))+0-412.4--0.420648000000066</f>
        <v>1516.8512320000002</v>
      </c>
      <c r="R307" s="3">
        <f>1486.4+(1051.9-626.4)+(-3.032256+(-2.145876--1.277856))+0-423.6--0.864143999999982</f>
        <v>1485.2638679999998</v>
      </c>
      <c r="S307" s="3">
        <f>1484.6+(768.8-400.4)+(1.514292+(0.784176-0.408408))+0-420.3-0.428706000000067</f>
        <v>1434.1613539999998</v>
      </c>
      <c r="T307" s="3">
        <f>1482.9+(630.9-237.2)+(0.756279+(0.321759-0.120972))+0-424.7-0.216596999999957</f>
        <v>1452.6404690000002</v>
      </c>
      <c r="U307" s="3">
        <f>1481.9+(525.7-150.4)+(-3.778845+(-1.340535--0.38352))+0-421.3--1.07431499999994</f>
        <v>1432.2384550000002</v>
      </c>
      <c r="V307" s="3">
        <f>1482+(673.8-326.2)+(0.75582+(0.343638-0.166362))+0-391.3-0.19956299999996</f>
        <v>1439.033533</v>
      </c>
      <c r="W307" s="3">
        <f>1633.2+(1568.5-1300.5)+(2.498796+(2.399805-1.989765))+0-374.1-0.572373000000022</f>
        <v>1529.436463</v>
      </c>
      <c r="X307" s="3">
        <f>1882.7+(1626.4-1439.6)+(-0.960177+(-0.829464--0.734196))+0-367.3--0.187322999999963</f>
        <v>1701.331878</v>
      </c>
      <c r="Y307" s="3">
        <f>1910.3+(1314-1210.2)+(-2.922759+(-2.01042--1.851606))+0-361.3--0.552789000000021</f>
        <v>1650.2712160000001</v>
      </c>
      <c r="Z307" s="3">
        <f>1909.7+(1022.9-940.6)+(-2.921841+(-1.565037--1.439118))+0-360.7--0.551871000000021</f>
        <v>1628.8041110000001</v>
      </c>
      <c r="AA307" s="3">
        <f>1910.8+(572-492.6)+(-3.898032+(-1.16688--1.004904))+0-391.3--0.798251999999983</f>
        <v>1595.638244</v>
      </c>
      <c r="AB307" s="3">
        <f>1846.6+(420.4-339.3)+(-2.825298+(-0.643212--0.519129))+0-390--0.596700000000023</f>
        <v>1535.347319</v>
      </c>
      <c r="AC307" s="3">
        <f>1593+(473.8-227.8)+(-0.81243+(-0.241638--0.116178))+0-390.9--0.19935899999996</f>
        <v>1447.3614690000002</v>
      </c>
      <c r="AD307" s="2">
        <v>1700.8999999999999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1484.3+(471.5-215.4)+(0+(0-0))+0-392.4-0</f>
        <v>1348</v>
      </c>
      <c r="G308" s="3">
        <f>1482.5+(489.6-278.5)+(-3.0243+(-0.998784--0.56814))+0-398--0.811919999999983</f>
        <v>1292.9569759999997</v>
      </c>
      <c r="H308" s="3">
        <f>1484.8+(686.6-492.8)+(1.514496+(0.700332-0.502656))+0-401-0.409020000000064</f>
        <v>1278.9031519999999</v>
      </c>
      <c r="I308" s="3">
        <f>1484.6+(782.6-614.7)+(0.757146+(0.399126-0.313497))+0-397.5-0.20272499999996</f>
        <v>1255.6400500000002</v>
      </c>
      <c r="J308" s="3">
        <f>1485.4+(753.9-579.9)+(-0.757554+(-0.384489--0.295749))+0-410.8--0.209507999999958</f>
        <v>1247.9632140000001</v>
      </c>
      <c r="K308" s="3">
        <f>1485.9+(832-648.3)+(0.757809+(0.42432-0.330633))+0-415.1-0.211700999999958</f>
        <v>1255.1397950000003</v>
      </c>
      <c r="L308" s="3">
        <f>1484.8+(853.8-614.4)+(0+(0-0))+0-419.9-0</f>
        <v>1304.2999999999997</v>
      </c>
      <c r="M308" s="3">
        <f>1485.6+(690.9-442.1)+(3.030624+(1.409436-0.901884))+0-408.4-0.833135999999982</f>
        <v>1328.7050400000001</v>
      </c>
      <c r="N308" s="3">
        <f>1486.9+(563.7-236.4)+(1.516638+(0.574974-0.241128))+0-409.2-0.417384000000065</f>
        <v>1406.4331000000002</v>
      </c>
      <c r="O308" s="3">
        <f>1485.6+(890.3-484.1)+(-1.515312+(-0.908106--0.493782))+0-412.9--0.421158000000066</f>
        <v>1477.3915219999999</v>
      </c>
      <c r="P308" s="3">
        <f>1486.8+(1361.6-913.2)+(0.758268+(0.694416-0.465732))+0-419.2-0.213791999999957</f>
        <v>1516.7731599999997</v>
      </c>
      <c r="Q308" s="3">
        <f>1484.9+(1432.2-979.5)+(-0.757299+(-0.730422--0.499545))+0-417.3--0.212822999999958</f>
        <v>1519.5246470000002</v>
      </c>
      <c r="R308" s="3">
        <f>1484.7+(1254.3-867.3)+(-3.028788+(-2.558772--1.769292))+0-422--0.860879999999982</f>
        <v>1446.742612</v>
      </c>
      <c r="S308" s="3">
        <f>1487.1+(1052.2-702.6)+(-3.033684+(-2.146488--1.433304))+0-424.8--0.866591999999981</f>
        <v>1409.019724</v>
      </c>
      <c r="T308" s="3">
        <f>1485.1+(1136.9-774.7)+(-1.514802+(-1.159638--0.790194))+0-423.8--0.432276000000068</f>
        <v>1422.0480299999999</v>
      </c>
      <c r="U308" s="3">
        <f>1486.3+(1113.2-771.6)+(-1.516026+(-1.135464--0.787032))+0-412.3--0.420546000000066</f>
        <v>1414.1560880000002</v>
      </c>
      <c r="V308" s="3">
        <f>1486.7+(905.8-531.8)+(0+(0-0))+0-420.7-0</f>
        <v>1440</v>
      </c>
      <c r="W308" s="3">
        <f>1595.8+(1688.3-1337.6)+(1.627716+(1.722066-1.364352))+0-422.7-0.431154000000067</f>
        <v>1525.3542759999998</v>
      </c>
      <c r="X308" s="3">
        <f>1870.1+(1871.2-1630.4)+(0+(0-0))+0-413.9-0</f>
        <v>1696.9999999999995</v>
      </c>
      <c r="Y308" s="3">
        <f>1883.9+(1573.8-1375.2)+(-1.921578+(-1.605276--1.402704))+0-409.8--0.417996000000065</f>
        <v>1670.9938460000001</v>
      </c>
      <c r="Z308" s="3">
        <f>1880.4+(1257.5-1101.8)+(-4.79502+(-3.206625--2.80959))+0-402.5--1.02637499999994</f>
        <v>1629.4343200000001</v>
      </c>
      <c r="AA308" s="3">
        <f>1882.9+(717.6-595.1)+(-0.960279+(-0.365976--0.303501))+0-410.1--0.209150999999958</f>
        <v>1594.4863970000001</v>
      </c>
      <c r="AB308" s="3">
        <f>1880.5+(638-564.8)+(-2.877165+(-0.97614--0.864144))+0-410.3--0.627759000000024</f>
        <v>1541.0385980000001</v>
      </c>
      <c r="AC308" s="3">
        <f>1678.5+(561.2-350.5)+(-1.71207+(-0.572424--0.35751))+0-411.4--0.419628000000066</f>
        <v>1476.2926440000001</v>
      </c>
      <c r="AD308" s="2">
        <v>1659.2999999999997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1484.3+(562.6-282.3)+(-3.027972+(-1.147704--0.575892))+0-407.7--0.831707999999982</f>
        <v>1354.1319239999998</v>
      </c>
      <c r="G309" s="3">
        <f>1482.5+(491-269.2)+(-2.268225+(-0.75123--0.411876))+0-412.8--0.631584000000024</f>
        <v>1289.524005</v>
      </c>
      <c r="H309" s="3">
        <f>1484.2+(495.1-318.6)+(-0.756942+(-0.252501--0.162486))+0-409.7--0.208946999999958</f>
        <v>1250.3619899999999</v>
      </c>
      <c r="I309" s="3">
        <f>1484+(488.6-313.3)+(-0.75684+(-0.249186--0.159783))+0-413--0.210629999999958</f>
        <v>1245.664387</v>
      </c>
      <c r="J309" s="3">
        <f>1483.6+(409.3-248.2)+(-1.513272+(-0.417486--0.253164))+0-413.1--0.421362000000066</f>
        <v>1230.3437679999997</v>
      </c>
      <c r="K309" s="3">
        <f>1484.2+(522.7-346.9)+(1.513884+(0.533154-0.353838))+0-411.6-0.419832000000066</f>
        <v>1249.6733679999998</v>
      </c>
      <c r="L309" s="3">
        <f>1483.6+(756.5-546.2)+(-1.513272+(-0.77163--0.557124))+0-410.1--0.418302000000065</f>
        <v>1282.4905239999998</v>
      </c>
      <c r="M309" s="3">
        <f>1484.5+(823-568.9)+(2.271285+(1.25919-0.870417))+0-418.1-0.639693000000024</f>
        <v>1322.5203649999999</v>
      </c>
      <c r="N309" s="3">
        <f>1486.6+(647.9-299.6)+(2.274498+(0.991287-0.458388))+0-417.3-0.638469000000024</f>
        <v>1419.768928</v>
      </c>
      <c r="O309" s="3">
        <f>1509.1+(611-225.4)+(0.769641+(0.31161-0.114954))+0-422.6-0.215525999999957</f>
        <v>1472.8507709999999</v>
      </c>
      <c r="P309" s="3">
        <f>1493.1+(842.7-415.5)+(0.761481+(0.429777-0.211905))+0-419.8-0.214097999999957</f>
        <v>1501.265255</v>
      </c>
      <c r="Q309" s="3">
        <f>1482.4+(1024.8-598.8)+(-5.292168+(-3.658536--2.137716))+0-418.7--1.49475900000001</f>
        <v>1484.3817710000001</v>
      </c>
      <c r="R309" s="3">
        <f>1483.8+(904.7-536.3)+(-2.270214+(-1.384191--0.820539))+0-420.1--0.642753000000024</f>
        <v>1429.908887</v>
      </c>
      <c r="S309" s="3">
        <f>1481+(645.8-295.1)+(-4.53186+(-1.976148--0.903006))+0-427.2--1.30723200000005</f>
        <v>1400.2022299999999</v>
      </c>
      <c r="T309" s="3">
        <f>1483.4+(546.3-211.3)+(0+(0-0))+0-420.9-0</f>
        <v>1397.5</v>
      </c>
      <c r="U309" s="3">
        <f>1483.4+(582.1-255.1)+(-1.513068+(-0.593742--0.260202))+0-404.4--0.412488000000064</f>
        <v>1404.5658800000003</v>
      </c>
      <c r="V309" s="3">
        <f>1498.6+(584-260.6)+(0+(0-0))+0-415.6-0</f>
        <v>1406.4</v>
      </c>
      <c r="W309" s="3">
        <f>1694+(1059.4-816.2)+(0.86394+(0.540294-0.416262))+0-418-0.213179999999958</f>
        <v>1519.974792</v>
      </c>
      <c r="X309" s="3">
        <f>1879.9+(1149.7-909.7)+(0+(0-0))+0-427-0</f>
        <v>1692.9</v>
      </c>
      <c r="Y309" s="3">
        <f>1733.4+(1081.6-750.3)+(-3.536136+(-2.206464--1.530612))+0-419--0.854759999999982</f>
        <v>1642.3427719999997</v>
      </c>
      <c r="Z309" s="3">
        <f>1490.1+(1004.3-475)+(-1.519902+(-1.024386--0.4845))+0-416.8--0.425136000000066</f>
        <v>1600.9653479999999</v>
      </c>
      <c r="AA309" s="3">
        <f>1484.3+(771.4-264.4)+(-4.541958+(-2.360484--0.809064))+0-421.8--1.29070800000005</f>
        <v>1564.69733</v>
      </c>
      <c r="AB309" s="3">
        <f>1484+(683.6-238.4)+(-3.02736+(-1.394544--0.486336))+0-416.4--0.849455999999982</f>
        <v>1509.7138879999998</v>
      </c>
      <c r="AC309" s="3">
        <f>1483.9+(595.8-229)+(-3.783945+(-1.51929--0.58395))+0-415--1.05824999999994</f>
        <v>1432.0389650000002</v>
      </c>
      <c r="AD309" s="2">
        <v>1728.5000000000005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1422.7+(630.4-305.9)+(-3.627885+(-1.60752--0.780045))+0-418.2--1.06640999999994</f>
        <v>1325.61105</v>
      </c>
      <c r="G310" s="3">
        <f>1400+(478.1-195.6)+(-1.428+(-0.487662--0.199512))+0-419.5--0.427890000000067</f>
        <v>1261.7117400000002</v>
      </c>
      <c r="H310" s="3">
        <f>1397.7+(459.7-204.6)+(-3.564135+(-1.172235--0.52173))+0-411.1--1.04830499999994</f>
        <v>1238.5336650000002</v>
      </c>
      <c r="I310" s="3">
        <f>1400.2+(462.8-249.6)+(2.142306+(0.708084-0.381888))+0-390.9-0.598077000000023</f>
        <v>1224.3704250000001</v>
      </c>
      <c r="J310" s="3">
        <f>1400.8+(499-265.3)+(2.143224+(0.76347-0.405909))+0-409.3-0.626229000000024</f>
        <v>1227.074556</v>
      </c>
      <c r="K310" s="3">
        <f>1400.4+(567.7-331.9)+(0+(0-0))+0-411.3-0</f>
        <v>1224.9000000000003</v>
      </c>
      <c r="L310" s="3">
        <f>1398.7+(1096.5-813.6)+(0+(0-0))+0-416.3-0</f>
        <v>1265.3</v>
      </c>
      <c r="M310" s="3">
        <f>1402.1+(951.8-633.1)+(-0.715071+(-0.485418--0.322881))+0-416.4--0.212363999999958</f>
        <v>1303.7347559999998</v>
      </c>
      <c r="N310" s="3">
        <f>1479.2+(683.7-349.4)+(-0.754392+(-0.348687--0.178194))+0-419.3--0.213842999999957</f>
        <v>1393.4889580000001</v>
      </c>
      <c r="O310" s="3">
        <f>1483.2+(582-174.2)+(-0.756432+(-0.29682--0.088842))+0-420.5--0.214454999999957</f>
        <v>1469.750045</v>
      </c>
      <c r="P310" s="3">
        <f>1484.9+(621.8-182)+(1.514598+(0.634236-0.18564))+0-424.9-0.433398000000068</f>
        <v>1501.329796</v>
      </c>
      <c r="Q310" s="3">
        <f>1485.8+(778.9-335.9)+(-0.757758+(-0.397239--0.171309))+0-416.9--0.212618999999958</f>
        <v>1511.1289309999997</v>
      </c>
      <c r="R310" s="3">
        <f>1484.6+(667.9-306.4)+(-3.028584+(-1.362516--0.625056))+0-396.9--0.809675999999983</f>
        <v>1446.2436319999999</v>
      </c>
      <c r="S310" s="3">
        <f>1484.3+(557.8-262.8)+(0+(0-0))+0-389.7-0</f>
        <v>1389.6</v>
      </c>
      <c r="T310" s="3">
        <f>1487+(574.1-277.4)+(0.75837+(0.292791-0.141474))+0-390.1-0.19895099999996</f>
        <v>1394.3107360000004</v>
      </c>
      <c r="U310" s="3">
        <f>1483.9+(575.3-262.1)+(-3.783945+(-1.467015--0.668355))+0-388.2--0.989909999999944</f>
        <v>1405.3073049999998</v>
      </c>
      <c r="V310" s="3">
        <f>1505.6+(519.3-212.5)+(-1.535712+(-0.529686--0.21675))+0-398.8--0.406776000000064</f>
        <v>1412.158128</v>
      </c>
      <c r="W310" s="3">
        <f>1810.5+(580.4-477.5)+(2.770065+(0.888012-0.730575))+0-398.1-0.609093000000023</f>
        <v>1517.6184090000002</v>
      </c>
      <c r="X310" s="3">
        <f>1881.8+(940-749.2)+(-0.959718+(-0.4794--0.382092))+0-401.2--0.204611999999959</f>
        <v>1670.5475859999999</v>
      </c>
      <c r="Y310" s="3">
        <f>1881.9+(751.4-596.6)+(-0.959769+(-0.383214--0.304266))+0-401.9--0.204968999999959</f>
        <v>1633.9662520000002</v>
      </c>
      <c r="Z310" s="3">
        <f>1581+(851.4-433.6)+(-0.80631+(-0.434214--0.221136))+0-404.4--0.206243999999959</f>
        <v>1593.5868559999999</v>
      </c>
      <c r="AA310" s="3">
        <f>1487.8+(773.1-310.6)+(-2.276334+(-1.182843--0.475218))+0-404.7--0.619191000000023</f>
        <v>1543.235232</v>
      </c>
      <c r="AB310" s="3">
        <f>1487.7+(802.9-385.3)+(-3.793635+(-2.047395--0.982515))+0-402.5--1.02637499999994</f>
        <v>1498.96786</v>
      </c>
      <c r="AC310" s="3">
        <f>1485.5+(765.3-424.4)+(-3.788025+(-1.951515--1.08222))+0-402.3--1.02586499999994</f>
        <v>1420.4685449999999</v>
      </c>
      <c r="AD310" s="2">
        <v>1683.3000000000002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1484.8+(550.9-302.3)+(-0.757248+(-0.280959--0.154173))+0-399.9--0.203948999999959</f>
        <v>1332.8199149999998</v>
      </c>
      <c r="G311" s="3">
        <f>1483.3+(805.8-618.5)+(-3.025932+(-1.643832--1.26174))+0-401.1--0.818243999999983</f>
        <v>1266.9102199999998</v>
      </c>
      <c r="H311" s="3">
        <f>1418.9+(863.8-652)+(0+(0-0))+0-402.2-0</f>
        <v>1228.5</v>
      </c>
      <c r="I311" s="3">
        <f>1384.5+(851.4-626.9)+(-2.118285+(-1.302642--0.959157))+0-400--0.612000000000023</f>
        <v>1207.1502300000002</v>
      </c>
      <c r="J311" s="3">
        <f>1384.1+(821.6-600.7)+(0.705891+(0.419016-0.306357))+0-400.9-0.204458999999959</f>
        <v>1204.7140909999998</v>
      </c>
      <c r="K311" s="3">
        <f>1385.2+(894-670.8)+(1.412904+(0.91188-0.684216))+0-401.1-0.409122000000064</f>
        <v>1208.531446</v>
      </c>
      <c r="L311" s="3">
        <f>1384.8+(886.6-638.9)+(0+(0-0))+0-399.5-0</f>
        <v>1233</v>
      </c>
      <c r="M311" s="3">
        <f>1389.1+(1222.7-953.7)+(1.416882+(1.247154-0.972774))+0-402.1-0.410142000000064</f>
        <v>1257.2811199999999</v>
      </c>
      <c r="N311" s="3">
        <f>1483.9+(984.7-725)+(0.756789+(0.502197-0.36975))+0-400.6-0.204305999999959</f>
        <v>1343.6849300000001</v>
      </c>
      <c r="O311" s="3">
        <f>1534.9+(622.9-331.4)+(0+(0-0))+0-401.4-0</f>
        <v>1425</v>
      </c>
      <c r="P311" s="3">
        <f>1544.8+(704-405.7)+(0.787848+(0.35904-0.206907))+0-391.6-0.19971599999996</f>
        <v>1452.2402650000001</v>
      </c>
      <c r="Q311" s="3">
        <f>1548.3+(737.8-436.7)+(-2.368899+(-1.128834--0.668151))+0-384--0.587520000000022</f>
        <v>1463.1579379999998</v>
      </c>
      <c r="R311" s="3">
        <f>1550.9+(574.8-332.5)+(-3.163836+(-1.172592--0.6783))+0-373.1--0.761123999999984</f>
        <v>1417.2029959999998</v>
      </c>
      <c r="S311" s="3">
        <f>1532.7+(613.6-408.1)+(-0.781677+(-0.312936--0.208131))+0-385.7--0.196706999999961</f>
        <v>1351.8102250000002</v>
      </c>
      <c r="T311" s="3">
        <f>1477.7+(762.9-469.5)+(-3.014508+(-1.556316--0.95778))+0-413.3--0.843131999999982</f>
        <v>1355.030088</v>
      </c>
      <c r="U311" s="3">
        <f>1481.5+(778.5-483.7)+(-4.53339+(-2.38221--1.480122))+0-422.2--1.29193200000005</f>
        <v>1349.9564539999999</v>
      </c>
      <c r="V311" s="3">
        <f>1550.9+(713.5-484.5)+(0.790959+(0.363885-0.247095))+0-429.9-0.219248999999956</f>
        <v>1350.6885</v>
      </c>
      <c r="W311" s="3">
        <f>1616.3+(691.2-433)+(1.648626+(0.705024-0.44166))+0-430.1-0.438702000000069</f>
        <v>1445.873288</v>
      </c>
      <c r="X311" s="3">
        <f>1648.1+(1433.3-1049.2)+(0.840531+(0.730983-0.535092))+0-428.6-0.218585999999957</f>
        <v>1604.4178359999996</v>
      </c>
      <c r="Y311" s="3">
        <f>1644.8+(1283.7-918.3)+(-4.19424+(-3.273435--2.341665))+0-428.1--1.09165499999994</f>
        <v>1578.0656449999999</v>
      </c>
      <c r="Z311" s="3">
        <f>1644.6+(959.7-647.8)+(-3.354984+(-1.957788--1.321512))+0-425.2--0.867407999999981</f>
        <v>1528.176148</v>
      </c>
      <c r="AA311" s="3">
        <f>1647+(738.3-450.2)+(1.67994+(0.753066-0.459204))+0-424.6-0.433092000000068</f>
        <v>1512.04071</v>
      </c>
      <c r="AB311" s="3">
        <f>1534.4+(744.3-386)+(-2.347632+(-1.138779--0.59058))+0-421.3--0.644589000000024</f>
        <v>1469.148758</v>
      </c>
      <c r="AC311" s="3">
        <f>1485.6+(740.2-420.9)+(0+(0-0))+0-417.8-0</f>
        <v>1387.1000000000001</v>
      </c>
      <c r="AD311" s="2">
        <v>1641.3999999999994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1485+(781.5-528.6)+(-1.5147+(-0.79713--0.539172))+0-422.2--0.430644000000067</f>
        <v>1314.357986</v>
      </c>
      <c r="G312" s="3">
        <f>1478.3+(900.6-709.3)+(-3.015732+(-1.837224--1.446972))+0-425.2--0.867407999999981</f>
        <v>1241.8614239999999</v>
      </c>
      <c r="H312" s="3">
        <f>1333.7+(835.7-553.8)+(-2.720748+(-1.704828--1.129752))+0-425.5--0.868019999999981</f>
        <v>1187.672196</v>
      </c>
      <c r="I312" s="3">
        <f>1310.5+(917.8-647.1)+(-0.668355+(-0.468078--0.330021))+0-420.5--0.214454999999957</f>
        <v>1160.108043</v>
      </c>
      <c r="J312" s="3">
        <f>1310.6+(886.9-619.4)+(0+(0-0))+0-418-0</f>
        <v>1160.0999999999999</v>
      </c>
      <c r="K312" s="3">
        <f>1311.2+(937.4-676.3)+(2.006136+(1.434222-1.034739))+0-418.5-0.640305000000024</f>
        <v>1155.5653139999999</v>
      </c>
      <c r="L312" s="3">
        <f>1308.8+(855.3-601.6)+(-3.33744+(-2.181015--1.53408))+0-415.9--1.06054499999994</f>
        <v>1143.67617</v>
      </c>
      <c r="M312" s="3">
        <f>1309.7+(1102.6-878.5)+(-3.339735+(-2.81163--2.240175))+0-413.3--1.05391499999994</f>
        <v>1117.6427249999999</v>
      </c>
      <c r="N312" s="3">
        <f>1436.5+(990.1-881.9)+(0.732615+(0.504951-0.449769))+0-414-0.211139999999958</f>
        <v>1131.2766570000001</v>
      </c>
      <c r="O312" s="3">
        <f>1486.3+(674-528.7)+(-2.274039+(-1.03122--0.808911))+0-424--0.648720000000025</f>
        <v>1205.7523719999999</v>
      </c>
      <c r="P312" s="3">
        <f>1487.7+(660-470.1)+(0+(0-0))+0-415.7-0</f>
        <v>1261.8999999999999</v>
      </c>
      <c r="Q312" s="3">
        <f>1486.2+(610.9-412.8)+(-0.757962+(-0.311559--0.210528))+0-412--0.210119999999958</f>
        <v>1271.6511269999999</v>
      </c>
      <c r="R312" s="3">
        <f>1484.5+(606.3-410.3)+(-1.51419+(-0.618426--0.418506))+0-419.5--0.427890000000067</f>
        <v>1259.7137800000003</v>
      </c>
      <c r="S312" s="3">
        <f>1483.8+(701.6-540.3)+(-1.513476+(-0.715632--0.551106))+0-415.5--0.423810000000066</f>
        <v>1228.3458079999998</v>
      </c>
      <c r="T312" s="3">
        <f>1463.6+(944.5-759.9)+(-0.746436+(-0.481695--0.387549))+0-422.3--0.215372999999957</f>
        <v>1225.2747909999998</v>
      </c>
      <c r="U312" s="3">
        <f>1459.8+(954.9-750.8)+(-2.233494+(-1.460997--1.148724))+0-424.8--0.649944000000025</f>
        <v>1237.2041770000001</v>
      </c>
      <c r="V312" s="3">
        <f>1469.2+(807.8-572.4)+(-0.749292+(-0.411978--0.291924))+0-428--0.218279999999957</f>
        <v>1275.948934</v>
      </c>
      <c r="W312" s="3">
        <f>1575.5+(565.5-483.5)+(0+(0-0))+0-432.3-0</f>
        <v>1225.2</v>
      </c>
      <c r="X312" s="3">
        <f>1758.6+(735.7-540.8)+(-1.793772+(-0.750414--0.551616))+0-430.9--0.439518000000069</f>
        <v>1521.0469480000002</v>
      </c>
      <c r="Y312" s="3">
        <f>1754.7+(742-541.5)+(-5.369382+(-2.27052--1.65699))+0-427.5--1.30815000000005</f>
        <v>1523.0252380000002</v>
      </c>
      <c r="Z312" s="3">
        <f>1669.8+(747-501.8)+(-4.25799+(-1.90485--1.27959))+0-423.5--1.07992499999994</f>
        <v>1487.6966749999999</v>
      </c>
      <c r="AA312" s="3">
        <f>1613.5+(789.3-510.3)+(-3.29154+(-1.610172--1.041012))+0-413.7--0.843947999999982</f>
        <v>1475.783248</v>
      </c>
      <c r="AB312" s="3">
        <f>1494.4+(843-492.2)+(-1.524288+(-0.85986--0.502044))+0-409.4--0.417588000000065</f>
        <v>1434.335484</v>
      </c>
      <c r="AC312" s="3">
        <f>1487.9+(704.7-439)+(-3.035316+(-1.437588--0.89556))+0-404.3--0.824771999999982</f>
        <v>1346.5474280000001</v>
      </c>
      <c r="AD312" s="2">
        <v>1515.2999999999997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1486.1+(670.9-482.6)+(-0.757911+(-0.342159--0.246126))+0-406.8--0.207467999999959</f>
        <v>1266.953524</v>
      </c>
      <c r="G313" s="3">
        <f>1486.7+(635.7-511.6)+(-2.274651+(-0.972621--0.782748))+0-405.1--0.619803000000023</f>
        <v>1203.8552790000003</v>
      </c>
      <c r="H313" s="3">
        <f>1485.7+(599.4-508)+(-1.515414+(-0.611388--0.51816))+0-403.1--0.411162000000064</f>
        <v>1172.80252</v>
      </c>
      <c r="I313" s="3">
        <f>1487+(591.9-511.5)+(-3.03348+(-1.207476--1.04346))+0-389.1--0.793763999999983</f>
        <v>1175.896268</v>
      </c>
      <c r="J313" s="3">
        <f>1486+(654.8-550.1)+(-0.75786+(-0.333948--0.280551))+0-401.8--0.204917999999959</f>
        <v>1188.2936609999997</v>
      </c>
      <c r="K313" s="3">
        <f>1486.9+(761.3-658.8)+(3.033276+(1.553052-1.343952))+0-398.8-0.813551999999983</f>
        <v>1193.028824</v>
      </c>
      <c r="L313" s="3">
        <f>1486.5+(1121.3-973.7)+(0+(0-0))+0-405.8-0</f>
        <v>1228.3</v>
      </c>
      <c r="M313" s="3">
        <f>1486.1+(1325.1-1095.6)+(-0.757911+(-0.675801--0.558756))+0-407.3--0.207722999999959</f>
        <v>1307.6327669999998</v>
      </c>
      <c r="N313" s="3">
        <f>1487.2+(1202.8-893.7)+(-0.758472+(-0.613428--0.455787))+0-393.6--0.20073599999996</f>
        <v>1401.9846230000001</v>
      </c>
      <c r="O313" s="3">
        <f>1487.4+(955.7-575.8)+(0+(0-0))+0-406.2-0</f>
        <v>1461.1000000000001</v>
      </c>
      <c r="P313" s="3">
        <f>1487.8+(797.2-387.5)+(0.758778+(0.406572-0.197625))+0-417.3-0.212822999999958</f>
        <v>1480.9549019999999</v>
      </c>
      <c r="Q313" s="3">
        <f>1487.4+(744.2-317.1)+(-1.517148+(-0.759084--0.323442))+0-417.6--0.425952000000067</f>
        <v>1495.3731619999999</v>
      </c>
      <c r="R313" s="3">
        <f>1486+(664.8-265.2)+(-4.54716+(-2.034288--0.811512))+0-414.6--1.26867600000005</f>
        <v>1466.49874</v>
      </c>
      <c r="S313" s="3">
        <f>1485.8+(795.3-442.1)+(-3.78879+(-2.028015--1.127355))+0-414.7--1.05748499999994</f>
        <v>1420.6680349999999</v>
      </c>
      <c r="T313" s="3">
        <f>1487.3+(955.6-609.6)+(0+(0-0))+0-407.8-0</f>
        <v>1425.5</v>
      </c>
      <c r="U313" s="3">
        <f>1487.1+(855.9-528.5)+(-2.275263+(-1.309527--0.808605))+0-381--0.582930000000022</f>
        <v>1431.3067450000001</v>
      </c>
      <c r="V313" s="3">
        <f>1491.4+(785.4-434.2)+(2.281842+(1.201662-0.664326))+0-382.9-0.585837000000022</f>
        <v>1461.9333409999999</v>
      </c>
      <c r="W313" s="3">
        <f>1679.9+(642.5-392.1)+(3.426996+(1.3107-0.799884))+0-406.7-0.829667999999982</f>
        <v>1526.7081439999999</v>
      </c>
      <c r="X313" s="3">
        <f>1772.2+(916.9-584.7)+(-2.711466+(-1.402857--0.894591))+0-413.1--0.632043000000024</f>
        <v>1688.7123110000002</v>
      </c>
      <c r="Y313" s="3">
        <f>1773+(699.1-400.6)+(0+(0-0))+0-417.8-0</f>
        <v>1653.7</v>
      </c>
      <c r="Z313" s="3">
        <f>1771.8+(605.2-339.3)+(-1.807236+(-0.617304--0.346086))+0-423.3--0.431766000000067</f>
        <v>1612.7533120000003</v>
      </c>
      <c r="AA313" s="3">
        <f>1663.9+(694.9-350.9)+(-2.545767+(-1.063197--0.536877))+0-423.9--0.648567000000024</f>
        <v>1581.5764799999999</v>
      </c>
      <c r="AB313" s="3">
        <f>1496.9+(731.5-269.1)+(-1.526838+(-0.74613--0.274482))+0-417.2--0.425544000000067</f>
        <v>1540.5270580000004</v>
      </c>
      <c r="AC313" s="3">
        <f>1488.1+(741.7-351.9)+(-3.035724+(-1.513068--0.717876))+0-424.4--0.865775999999981</f>
        <v>1450.53486</v>
      </c>
      <c r="AD313" s="2">
        <v>1681.2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1485.2+(805.4-536.9)+(-3.029808+(-1.643016--1.095276))+0-418.9--0.854555999999982</f>
        <v>1332.077008</v>
      </c>
      <c r="G314" s="3">
        <f>1482.5+(767.7-546.4)+(-1.51215+(-0.783054--0.557328))+0-418.6--0.426972000000067</f>
        <v>1283.8890960000001</v>
      </c>
      <c r="H314" s="3">
        <f>1484.9+(801.1-621.6)+(-0.757299+(-0.408561--0.317016))+0-415.2--0.211751999999958</f>
        <v>1248.5629079999999</v>
      </c>
      <c r="I314" s="3">
        <f>1485.1+(916.3-758)+(1.514802+(0.934626-0.77316))+0-412-0.420240000000066</f>
        <v>1232.6560279999997</v>
      </c>
      <c r="J314" s="3">
        <f>1484.4+(829.6-679.7)+(-3.78522+(-2.11548--1.733235))+0-412.6--1.05212999999994</f>
        <v>1218.5846650000003</v>
      </c>
      <c r="K314" s="3">
        <f>1483.9+(893.3-735.1)+(3.783945+(2.277915-1.874505))+0-411.2-1.04855999999994</f>
        <v>1234.0387949999999</v>
      </c>
      <c r="L314" s="3">
        <f>1485.1+(889-704.8)+(0+(0-0))+0-406.4-0</f>
        <v>1262.9000000000001</v>
      </c>
      <c r="M314" s="3">
        <f>1485+(1189.4-940.2)+(-2.27205+(-1.819782--1.438506))+0-412.8--0.631584000000024</f>
        <v>1319.378258</v>
      </c>
      <c r="N314" s="3">
        <f>1485.6+(1068-780.8)+(-1.515312+(-1.08936--0.796416))+0-399.7--0.407694000000064</f>
        <v>1371.6994379999999</v>
      </c>
      <c r="O314" s="3">
        <f>1484.8+(727.4-362.8)+(-2.271744+(-1.112922--0.555084))+0-407.7--0.623781000000024</f>
        <v>1439.4941989999998</v>
      </c>
      <c r="P314" s="3">
        <f>1487+(602.3-215.9)+(-1.51674+(-0.614346--0.220218))+0-405.4--0.413508000000065</f>
        <v>1466.5026400000002</v>
      </c>
      <c r="Q314" s="3">
        <f>1485.2+(633.7-246.1)+(-3.78726+(-1.615935--0.627555))+0-409.4--1.04396999999994</f>
        <v>1459.6683300000002</v>
      </c>
      <c r="R314" s="3">
        <f>1485.4+(511.9-202.2)+(-3.030216+(-1.044276--0.412488))+0-407.6--0.831503999999982</f>
        <v>1384.6695000000002</v>
      </c>
      <c r="S314" s="3">
        <f>1485.4+(477.7-180.9)+(-3.030216+(-0.974508--0.369036))+0-410--0.836399999999982</f>
        <v>1369.4007119999999</v>
      </c>
      <c r="T314" s="3">
        <f>1485+(515.3-200.8)+(-1.5147+(-0.525606--0.204816))+0-409.6--0.417792000000065</f>
        <v>1388.4823020000001</v>
      </c>
      <c r="U314" s="3">
        <f>1486.7+(516.7-182.7)+(1.516434+(0.527034-0.186354))+0-408-0.416160000000065</f>
        <v>1414.140954</v>
      </c>
      <c r="V314" s="3">
        <f>1485.6+(539.5-171)+(0.757656+(0.275145-0.08721))+0-408.8-0.208487999999959</f>
        <v>1446.0371029999999</v>
      </c>
      <c r="W314" s="3">
        <f>1556.1+(606-234.4)+(1.587222+(0.61812-0.239088))+0-408-0.416160000000065</f>
        <v>1521.2500939999998</v>
      </c>
      <c r="X314" s="3">
        <f>1848+(811.1-595.7)+(-5.65488+(-2.481966--1.822842))+0-411--1.25766000000005</f>
        <v>1647.3436560000002</v>
      </c>
      <c r="Y314" s="3">
        <f>1879+(605.2-450.7)+(-4.79145+(-1.54326--1.149285))+0-406--1.03529999999994</f>
        <v>1623.3498750000001</v>
      </c>
      <c r="Z314" s="3">
        <f>1879.1+(528-418.2)+(-2.875023+(-0.80784--0.639846))+0-415.7--0.636021000000024</f>
        <v>1570.7930039999999</v>
      </c>
      <c r="AA314" s="3">
        <f>1620.5+(650.1-307.2)+(-0.826455+(-0.331551--0.156672))+0-413.9--0.211088999999958</f>
        <v>1548.7097549999999</v>
      </c>
      <c r="AB314" s="3">
        <f>1485.5+(702.7-263.8)+(-1.51521+(-0.716754--0.269076))+0-416.2--0.424524000000066</f>
        <v>1506.661636</v>
      </c>
      <c r="AC314" s="3">
        <f>1484.2+(674.1-310.7)+(-3.78471+(-1.718955--0.792285))+0-420.6--1.07252999999994</f>
        <v>1423.3611500000002</v>
      </c>
      <c r="AD314" s="2">
        <v>1661.0000000000005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1486.2+(492-223)+(-1.515924+(-0.50184--0.22746))+0-405.3--0.413406000000065</f>
        <v>1348.5231020000001</v>
      </c>
      <c r="G315" s="3">
        <f>1483.4+(679.4-487.9)+(-2.269602+(-1.039482--0.746487))+0-395.6--0.605268000000023</f>
        <v>1277.3426710000001</v>
      </c>
      <c r="H315" s="3">
        <f>1486.2+(632.3-511.4)+(0+(0-0))+0-369.8-0</f>
        <v>1237.3</v>
      </c>
      <c r="I315" s="3">
        <f>1485.4+(587.2-469.1)+(-1.515108+(-0.598944--0.478482))+0-379.6--0.387192000000061</f>
        <v>1222.6516220000003</v>
      </c>
      <c r="J315" s="3">
        <f>1484.6+(673.8-549.5)+(0.757146+(0.343638-0.280245))+0-390.1-0.19895099999996</f>
        <v>1219.4215880000002</v>
      </c>
      <c r="K315" s="3">
        <f>1485.1+(708.7-577.3)+(-0.757401+(-0.361437--0.294423))+0-389.5--0.19864499999996</f>
        <v>1226.3742299999999</v>
      </c>
      <c r="L315" s="3">
        <f>1486.1+(1051.7-868.7)+(-0.757911+(-0.536367--0.443037))+0-399.8--0.203897999999959</f>
        <v>1268.6526569999999</v>
      </c>
      <c r="M315" s="3">
        <f>1485.6+(1320.8-1076.1)+(0+(0-0))+0-418.8-0</f>
        <v>1311.5</v>
      </c>
      <c r="N315" s="3">
        <f>1486.6+(983.3-672.1)+(0+(0-0))+0-417.5-0</f>
        <v>1380.2999999999997</v>
      </c>
      <c r="O315" s="3">
        <f>1486.5+(705-309.4)+(-1.51623+(-0.7191--0.315588))+0-421.2--0.429624000000067</f>
        <v>1459.4098819999999</v>
      </c>
      <c r="P315" s="3">
        <f>1487+(587.9-176.8)+(0+(0-0))+0-404.7-0</f>
        <v>1493.3999999999999</v>
      </c>
      <c r="Q315" s="3">
        <f>1486.5+(716.1-313.8)+(-0.758115+(-0.365211--0.160038))+0-407.8--0.207977999999959</f>
        <v>1480.24469</v>
      </c>
      <c r="R315" s="3">
        <f>1488.4+(609.2-232.8)+(-3.79542+(-1.55346--0.59364))+0-402.3--1.02586499999994</f>
        <v>1458.7706250000001</v>
      </c>
      <c r="S315" s="3">
        <f>1487.2+(680.9-326.6)+(0+(0-0))+0-401.9-0</f>
        <v>1439.6</v>
      </c>
      <c r="T315" s="3">
        <f>1486.3+(732.7-371.6)+(-0.758013+(-0.373677--0.189516))+0-401.9--0.204968999999959</f>
        <v>1444.7627950000001</v>
      </c>
      <c r="U315" s="3">
        <f>1488.2+(645.9-275.4)+(-1.517964+(-0.658818--0.280908))+0-402.5--0.410550000000064</f>
        <v>1454.7146760000001</v>
      </c>
      <c r="V315" s="3">
        <f>1488.2+(665.1-280.8)+(0.758982+(0.339201-0.143208))+0-399.6-0.203795999999959</f>
        <v>1473.6511790000002</v>
      </c>
      <c r="W315" s="3">
        <f>1574.4+(598.3-222.1)+(0.802944+(0.305133-0.113271))+0-395.9-0.20190899999996</f>
        <v>1555.4928970000001</v>
      </c>
      <c r="X315" s="3">
        <f>1756.4+(726.9-409.9)+(-3.583056+(-1.482876--0.836196))+0-404.7--0.825587999999982</f>
        <v>1665.2958520000002</v>
      </c>
      <c r="Y315" s="3">
        <f>1758.8+(600.4-324)+(-3.587952+(-1.224816--0.66096))+0-407.7--0.831707999999982</f>
        <v>1624.1798999999996</v>
      </c>
      <c r="Z315" s="3">
        <f>1578.3+(668.2-257.3)+(-1.609866+(-0.681564--0.262446))+0-407.6--0.415752000000065</f>
        <v>1579.986768</v>
      </c>
      <c r="AA315" s="3">
        <f>1435.8+(705.5-202.7)+(-1.464516+(-0.71961--0.206754))+0-405.5--0.413610000000065</f>
        <v>1531.5362379999999</v>
      </c>
      <c r="AB315" s="3">
        <f>1435.1+(747.1-258.1)+(-2.195703+(-1.143063--0.394893))+0-404.7--0.619191000000023</f>
        <v>1517.0753179999999</v>
      </c>
      <c r="AC315" s="3">
        <f>1434.7+(695.4-265)+(-1.463394+(-0.709308--0.2703))+0-400.4--0.408408000000064</f>
        <v>1463.2060060000001</v>
      </c>
      <c r="AD315" s="2">
        <v>1692.2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1435.8+(639.4-343.3)+(-3.66129+(-1.63047--0.875415))+0-394--1.00469999999994</f>
        <v>1334.4883549999997</v>
      </c>
      <c r="G316" s="3">
        <f>1435+(591.6-363.8)+(0+(0-0))+0-398.5-0</f>
        <v>1264.3</v>
      </c>
      <c r="H316" s="3">
        <f>1434.5+(574.6-386.2)+(-3.657975+(-1.46523--0.98481))+0-400--1.01999999999994</f>
        <v>1219.7816050000001</v>
      </c>
      <c r="I316" s="3">
        <f>1435+(648.7-508.6)+(-0.73185+(-0.330837--0.259386))+0-385.2--0.196451999999961</f>
        <v>1189.2931509999999</v>
      </c>
      <c r="J316" s="3">
        <f>1435.1+(650.9-521.7)+(1.463802+(0.663918-0.532134))+0-388.5-0.396270000000062</f>
        <v>1176.9993159999997</v>
      </c>
      <c r="K316" s="3">
        <f>1435.4+(684.1-560.7)+(1.464108+(0.697782-0.571914))+0-389.4-0.397188000000062</f>
        <v>1170.5927880000002</v>
      </c>
      <c r="L316" s="3">
        <f>1434.7+(657-518.9)+(-2.195091+(-1.00521--0.793917))+0-390.8--0.597924000000023</f>
        <v>1180.1915400000003</v>
      </c>
      <c r="M316" s="3">
        <f>1436.8+(708.6-578.5)+(-1.465536+(-0.722772--0.59007))+0-391.7--0.399534000000062</f>
        <v>1174.0012960000001</v>
      </c>
      <c r="N316" s="3">
        <f>1482.4+(989.6-855.4)+(-0.756024+(-0.504696--0.436254))+0-392.2--0.20002199999996</f>
        <v>1223.7755560000001</v>
      </c>
      <c r="O316" s="3">
        <f>1485+(897-692.7)+(2.27205+(1.37241-1.059831))+0-391.4-0.598842000000023</f>
        <v>1299.8857869999999</v>
      </c>
      <c r="P316" s="3">
        <f>1484.9+(877.3-631.8)+(3.029196+(1.789692-1.288872))+0-379.5-0.774179999999983</f>
        <v>1353.6558360000001</v>
      </c>
      <c r="Q316" s="3">
        <f>1485.7+(570.2-307.9)+(-0.757707+(-0.290802--0.157029))+0-383.8--0.195737999999961</f>
        <v>1363.5042579999999</v>
      </c>
      <c r="R316" s="3">
        <f>1485.4+(532-297.6)+(-3.030216+(-1.08528--0.607104))+0-384.8--0.784991999999983</f>
        <v>1332.2766000000001</v>
      </c>
      <c r="S316" s="3">
        <f>1483.5+(573.6-358.4)+(-3.02634+(-1.170144--0.731136))+0-384.8--0.784991999999983</f>
        <v>1311.219644</v>
      </c>
      <c r="T316" s="3">
        <f>1484.7+(753.3-526.2)+(0+(0-0))+0-383.1-0</f>
        <v>1328.6999999999998</v>
      </c>
      <c r="U316" s="3">
        <f>1484+(675.3-410.7)+(-4.54104+(-2.066418--1.256742))+0-387.3--1.18513800000004</f>
        <v>1357.1344220000001</v>
      </c>
      <c r="V316" s="3">
        <f>1510.6+(624.7-369.4)+(0+(0-0))+0-390.3-0</f>
        <v>1375.6000000000001</v>
      </c>
      <c r="W316" s="3">
        <f>1708.6+(494.9-357.2)+(0+(0-0))+0-394.7-0</f>
        <v>1451.6</v>
      </c>
      <c r="X316" s="3">
        <f>1759.1+(772.3-611.2)+(-4.485705+(-1.969365--1.55856))+0-347.1--0.88510499999995</f>
        <v>1569.0885949999997</v>
      </c>
      <c r="Y316" s="3">
        <f>1758.9+(649.8-500.5)+(-4.485195+(-1.65699--1.276275))+0-366.8--0.935339999999947</f>
        <v>1537.4694300000001</v>
      </c>
      <c r="Z316" s="3">
        <f>1669.2+(554.5-336.3)+(-1.702584+(-0.56559--0.343026))+0-390.9--0.398718000000062</f>
        <v>1494.9735700000003</v>
      </c>
      <c r="AA316" s="3">
        <f>1597.6+(555.2-281.1)+(-3.259104+(-1.132608--0.573444))+0-388.9--0.793355999999983</f>
        <v>1479.7750879999996</v>
      </c>
      <c r="AB316" s="3">
        <f>1516.5+(656.9-337.9)+(-0.773415+(-0.335019--0.172329))+0-391--0.19940999999996</f>
        <v>1443.7633049999999</v>
      </c>
      <c r="AC316" s="3">
        <f>1489.4+(546.4-275.1)+(-3.038376+(-1.114656--0.561204))+0-389.9--0.795395999999983</f>
        <v>1368.0035680000001</v>
      </c>
      <c r="AD316" s="2">
        <v>1571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1486.6+(548.5-367.8)+(-0.758166+(-0.279735--0.187578))+0-380--0.193799999999961</f>
        <v>1286.6434770000001</v>
      </c>
      <c r="G317" s="3">
        <f>1428.8+(545.8-341.1)+(-0.728688+(-0.278358--0.173961))+0-390.3--0.19905299999996</f>
        <v>1242.5659680000001</v>
      </c>
      <c r="H317" s="3">
        <f>1386.2+(684.9-452.8)+(0+(0-0))+0-413.4-0</f>
        <v>1204.9000000000001</v>
      </c>
      <c r="I317" s="3">
        <f>1385.4+(741.1-511.3)+(-0.706554+(-0.377961--0.260763))+0-425.7--0.217106999999957</f>
        <v>1188.8933549999999</v>
      </c>
      <c r="J317" s="3">
        <f>1384.1+(764.4-559)+(-2.117673+(-1.169532--0.85527))+0-421--0.644130000000024</f>
        <v>1166.7121950000001</v>
      </c>
      <c r="K317" s="3">
        <f>1385.5+(797.7-575)+(0.706605+(0.406827-0.29325))+0-417.5-0.212924999999958</f>
        <v>1191.3072569999999</v>
      </c>
      <c r="L317" s="3">
        <f>1386.5+(926.7-673.7)+(-1.41423+(-0.945234--0.687174))+0-415.7--0.424014000000066</f>
        <v>1222.5517240000001</v>
      </c>
      <c r="M317" s="3">
        <f>1425.8+(1025.6-734.6)+(-2.181474+(-1.569168--1.123938))+0-419.6--0.641988000000024</f>
        <v>1295.2152839999997</v>
      </c>
      <c r="N317" s="3">
        <f>1486.2+(1211.6-897.5)+(-1.515924+(-1.235832--0.91545))+0-420.3--0.428706000000067</f>
        <v>1378.5924000000002</v>
      </c>
      <c r="O317" s="3">
        <f>1485+(1180.6-812.1)+(-0.75735+(-0.602106--0.414171))+0-417.9--0.213128999999958</f>
        <v>1434.8678440000001</v>
      </c>
      <c r="P317" s="3">
        <f>1525.8+(979.2-618.4)+(-2.334474+(-1.498176--0.946152))+0-421.7--0.645201000000024</f>
        <v>1462.6587029999998</v>
      </c>
      <c r="Q317" s="3">
        <f>1536.1+(886.8-526.4)+(0+(0-0))+0-419.8-0</f>
        <v>1476.7</v>
      </c>
      <c r="R317" s="3">
        <f>1495.6+(934.2-578.5)+(-3.051024+(-1.905768--1.18014))+0-424.2--0.865367999999981</f>
        <v>1424.1887159999999</v>
      </c>
      <c r="S317" s="3">
        <f>1485.8+(1109.8-785.6)+(-3.031032+(-2.263992--1.602624))+0-428.5--0.874139999999981</f>
        <v>1378.68174</v>
      </c>
      <c r="T317" s="3">
        <f>1486+(1032.5-693.6)+(0.75786+(0.526575-0.353736))+0-429.8-0.219197999999956</f>
        <v>1395.8115010000001</v>
      </c>
      <c r="U317" s="3">
        <f>1485.8+(1015.6-639.8)+(-3.031032+(-2.071824--1.305192))+0-427.7--0.872507999999981</f>
        <v>1430.9748439999998</v>
      </c>
      <c r="V317" s="3">
        <f>1485.2+(1060.7-694.3)+(-0.757452+(-0.540957--0.354093))+0-429.3--0.218942999999956</f>
        <v>1421.574627</v>
      </c>
      <c r="W317" s="3">
        <f>1618.9+(699.9-426.3)+(1.651278+(0.713898-0.434826))+0-421.8-0.430236000000067</f>
        <v>1472.200114</v>
      </c>
      <c r="X317" s="3">
        <f>1771.8+(671.8-397.6)+(-0.903618+(-0.342618--0.202776))+0-414.2--0.211241999999958</f>
        <v>1630.9677819999997</v>
      </c>
      <c r="Y317" s="3">
        <f>1772.3+(644.8-399.9)+(-2.711619+(-0.986544--0.611847))+0-406.4--0.621792000000023</f>
        <v>1608.3354759999997</v>
      </c>
      <c r="Z317" s="3">
        <f>1772.7+(613.5-393.3)+(0.904077+(0.312885-0.200583))+0-409.9-0.209048999999958</f>
        <v>1583.8073300000001</v>
      </c>
      <c r="AA317" s="3">
        <f>1650.1+(730.1-424.3)+(-2.524653+(-1.117053--0.649179))+0-408.2--0.624546000000024</f>
        <v>1545.3320189999997</v>
      </c>
      <c r="AB317" s="3">
        <f>1502.9+(794.9-373.7)+(-3.832395+(-2.026995--0.952935))+0-411.5--1.04932499999994</f>
        <v>1508.74287</v>
      </c>
      <c r="AC317" s="3">
        <f>1488.3+(636-258.2)+(-1.518066+(-0.64872--0.263364))+0-413.7--0.421974000000066</f>
        <v>1450.9185519999999</v>
      </c>
      <c r="AD317" s="2">
        <v>1641.5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1484.1+(707.8-424.3)+(-3.027564+(-1.443912--0.865572))+0-419--0.854759999999982</f>
        <v>1345.8488559999998</v>
      </c>
      <c r="G318" s="3">
        <f>1486.5+(1045.5-829.9)+(-1.51623+(-1.06641--0.846498))+0-418.9--0.427278000000067</f>
        <v>1281.8911360000002</v>
      </c>
      <c r="H318" s="3">
        <f>1485.4+(988.1-826.6)+(0+(0-0))+0-422.3-0</f>
        <v>1224.6000000000001</v>
      </c>
      <c r="I318" s="3">
        <f>1485.2+(964.4-813.5)+(-0.757452+(-0.491844--0.414885))+0-422.2--0.215321999999957</f>
        <v>1213.2809109999998</v>
      </c>
      <c r="J318" s="3">
        <f>1485.9+(1051.8-895.5)+(0+(0-0))+0-423.7-0</f>
        <v>1218.5</v>
      </c>
      <c r="K318" s="3">
        <f>1485.5+(1041.1-911.7)+(0.757605+(0.530961-0.464967))+0-390.4-0.19910399999996</f>
        <v>1225.1244949999998</v>
      </c>
      <c r="L318" s="3">
        <f>1485+(1088.5-899.6)+(-1.5147+(-1.11027--0.917592))+0-425.4--0.433908000000068</f>
        <v>1247.2265299999999</v>
      </c>
      <c r="M318" s="3">
        <f>1485.8+(978.8-771.9)+(2.273274+(1.497564-1.181007))+0-422.8-0.646884000000024</f>
        <v>1271.8429469999999</v>
      </c>
      <c r="N318" s="3">
        <f>1485.7+(1213.2-915.3)+(0+(0-0))+0-415.5-0</f>
        <v>1368.1000000000001</v>
      </c>
      <c r="O318" s="3">
        <f>1486+(1200.5-849.2)+(0.75786+(0.612255-0.433092))+0-409.5-0.208844999999958</f>
        <v>1428.528178</v>
      </c>
      <c r="P318" s="3">
        <f>1485.5+(852.6-455)+(0+(0-0))+0-419.2-0</f>
        <v>1463.8999999999999</v>
      </c>
      <c r="Q318" s="3">
        <f>1485.6+(711.2-300.2)+(-1.515312+(-0.725424--0.306204))+0-409.4--0.417588000000065</f>
        <v>1485.6830560000001</v>
      </c>
      <c r="R318" s="3">
        <f>1486.4+(730.5-378.7)+(-3.032256+(-1.49022--0.772548))+0-399--0.813959999999983</f>
        <v>1436.264032</v>
      </c>
      <c r="S318" s="3">
        <f>1485.1+(1154.2-838.4)+(1.514802+(1.177284-0.855168))+0-405.7-0.413814000000065</f>
        <v>1396.623104</v>
      </c>
      <c r="T318" s="3">
        <f>1487.2+(1139.3-807.9)+(-1.516944+(-1.162086--0.824058))+0-408--0.416160000000065</f>
        <v>1409.1611879999998</v>
      </c>
      <c r="U318" s="3">
        <f>1485.5+(1123.9-772.8)+(3.03042+(2.292756-1.576512))+0-415-0.846599999999982</f>
        <v>1424.5000640000001</v>
      </c>
      <c r="V318" s="3">
        <f>1491.5+(929.6-563.3)+(0+(0-0))+0-414.5-0</f>
        <v>1443.3000000000002</v>
      </c>
      <c r="W318" s="3">
        <f>1722.4+(807.7-603.8)+(-0.878424+(-0.411927--0.307938))+0-422.7--0.215576999999957</f>
        <v>1502.8331640000001</v>
      </c>
      <c r="X318" s="3">
        <f>1761.4+(608.5-338.2)+(-1.796628+(-0.62067--0.344964))+0-422.6--0.431052000000067</f>
        <v>1607.4587180000001</v>
      </c>
      <c r="Y318" s="3">
        <f>1743.5+(607.1-338.1)+(-5.33511+(-1.857726--1.034586))+0-422.1--1.29162600000005</f>
        <v>1585.5333760000001</v>
      </c>
      <c r="Z318" s="3">
        <f>1510.7+(706.8-251.5)+(1.540914+(0.720936-0.25653))+0-419.3-0.427686000000067</f>
        <v>1548.277634</v>
      </c>
      <c r="AA318" s="3">
        <f>1492.4+(726.1-275.8)+(-3.80562+(-1.851555--0.70329))+0-422.7--1.07788499999994</f>
        <v>1516.124</v>
      </c>
      <c r="AB318" s="3">
        <f>1491.7+(687.4-260.3)+(-3.043068+(-1.402296--0.531012))+0-423.1--0.863123999999982</f>
        <v>1492.648772</v>
      </c>
      <c r="AC318" s="3">
        <f>1491.5+(668.3-319.3)+(-3.04266+(-1.363332--0.651372))+0-422.4--0.861695999999981</f>
        <v>1415.2070760000001</v>
      </c>
      <c r="AD318" s="2">
        <v>1601.4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1486.9+(596.6-317.1)+(-2.274957+(-0.912798--0.485163))+0-422.6--0.646578000000024</f>
        <v>1341.7439860000002</v>
      </c>
      <c r="G319" s="3">
        <f>1487.2+(690.8-493.7)+(-3.79236+(-1.76154--1.258935))+0-427.2--1.08935999999994</f>
        <v>1253.8943949999998</v>
      </c>
      <c r="H319" s="3">
        <f>1486.3+(574.5-421.3)+(1.516026+(0.58599-0.429726))+0-427.6-0.436152000000068</f>
        <v>1213.1361380000001</v>
      </c>
      <c r="I319" s="3">
        <f>1486.7+(627.4-511.7)+(-0.758217+(-0.319974--0.260967))+0-424.2--0.216341999999957</f>
        <v>1177.5991180000001</v>
      </c>
      <c r="J319" s="3">
        <f>1364.7+(633.7-417.7)+(-0.695997+(-0.323187--0.213027))+0-421--0.214709999999957</f>
        <v>1159.108553</v>
      </c>
      <c r="K319" s="3">
        <f>1271.7+(843.2-532.7)+(1.297134+(0.860064-0.543354))+0-429-0.437580000000068</f>
        <v>1154.376264</v>
      </c>
      <c r="L319" s="3">
        <f>1271.9+(903.5-619.1)+(-1.297338+(-0.92157--0.631482))+0-423.6--0.432072000000068</f>
        <v>1131.5446460000003</v>
      </c>
      <c r="M319" s="3">
        <f>1271.1+(911.3-674.7)+(0+(0-0))+0-417.3-0</f>
        <v>1090.3999999999999</v>
      </c>
      <c r="N319" s="3">
        <f>1271+(944.4-697.2)+(0.64821+(0.481644-0.355572))+0-404.4-0.206243999999959</f>
        <v>1114.3680380000001</v>
      </c>
      <c r="O319" s="3">
        <f>1332.8+(774.1-530.9)+(0.679728+(0.394791-0.270759))+0-405.6-0.206855999999959</f>
        <v>1170.9969039999999</v>
      </c>
      <c r="P319" s="3">
        <f>1351.1+(714.2-435.9)+(-2.067183+(-1.092726--0.666927))+0-409.6--0.626688000000024</f>
        <v>1217.933706</v>
      </c>
      <c r="Q319" s="3">
        <f>1350+(699.1-382.2)+(-2.754+(-1.426164--0.779688))+0-418.5--0.853739999999982</f>
        <v>1245.8532640000001</v>
      </c>
      <c r="R319" s="3">
        <f>1350.7+(704.5-382.2)+(-0.688857+(-0.359295--0.194922))+0-424.6--0.216545999999957</f>
        <v>1247.7633159999998</v>
      </c>
      <c r="S319" s="3">
        <f>1351.5+(664.6-377.7)+(-2.75706+(-1.355784--0.770508))+0-421.8--0.860471999999982</f>
        <v>1214.1181360000003</v>
      </c>
      <c r="T319" s="3">
        <f>1351.3+(586.2-311.3)+(-2.067489+(-0.896886--0.476289))+0-424.3--0.649179000000024</f>
        <v>1200.061093</v>
      </c>
      <c r="U319" s="3">
        <f>1351.7+(608.9-333.6)+(2.068101+(0.931617-0.510408))+0-424.7-0.649791000000025</f>
        <v>1204.1395189999998</v>
      </c>
      <c r="V319" s="3">
        <f>1388.6+(555.1-292.7)+(-1.416372+(-0.566202--0.298554))+0-424.9--0.433398000000068</f>
        <v>1224.8493780000003</v>
      </c>
      <c r="W319" s="3">
        <f>1691.9+(397.9-328.3)+(-4.314345+(-1.014645--0.837165))+0-430.3--1.09726499999994</f>
        <v>1327.8054399999999</v>
      </c>
      <c r="X319" s="3">
        <f>1757.1+(620.8-419.6)+(-2.688363+(-0.949824--0.641988))+0-428.5--0.655605000000025</f>
        <v>1527.4594059999997</v>
      </c>
      <c r="Y319" s="3">
        <f>1758.1+(619.2-455.6)+(-0.896631+(-0.315792--0.232356))+0-412.1--0.210170999999958</f>
        <v>1508.8301039999999</v>
      </c>
      <c r="Z319" s="3">
        <f>1757.8+(541.1-395)+(-0.896478+(-0.275961--0.20145))+0-424.6--0.216545999999957</f>
        <v>1478.5455570000001</v>
      </c>
      <c r="AA319" s="3">
        <f>1759.1+(510.1-358)+(0.897141+(0.260151-0.18258))+0-425.2-0.216851999999957</f>
        <v>1486.7578599999997</v>
      </c>
      <c r="AB319" s="3">
        <f>1647.9+(575.8-343.1)+(-2.521287+(-0.880974--0.524943))+0-422.7--0.646731000000024</f>
        <v>1455.6694129999998</v>
      </c>
      <c r="AC319" s="3">
        <f>1436.3+(599.8-249.8)+(-2.930052+(-1.223592--0.509592))+0-426--0.869039999999981</f>
        <v>1357.5249879999999</v>
      </c>
      <c r="AD319" s="2">
        <v>1487.2999999999995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1347.7+(488.5-178.3)+(-2.749308+(-0.99654--0.363732))+0-419.6--0.855983999999982</f>
        <v>1235.773868</v>
      </c>
      <c r="G320" s="3">
        <f>1349.8+(549.5-310.3)+(-0.688398+(-0.280245--0.158253))+0-409--0.208589999999959</f>
        <v>1179.3981999999999</v>
      </c>
      <c r="H320" s="3">
        <f>1350.2+(719.2-507)+(-2.754408+(-1.467168--1.03428))+0-405.1--0.826403999999982</f>
        <v>1154.939108</v>
      </c>
      <c r="I320" s="3">
        <f>1349.6+(708.9-501.1)+(-0.688296+(-0.361539--0.255561))+0-419.2--0.213791999999957</f>
        <v>1137.6195179999997</v>
      </c>
      <c r="J320" s="3">
        <f>1349.2+(732.2-525.1)+(3.44046+(1.86711-1.339005))+0-425.3-1.08451499999994</f>
        <v>1133.8840500000001</v>
      </c>
      <c r="K320" s="3">
        <f>1349.9+(708.7-490)+(2.065347+(1.084311-0.7497))+0-424.7-0.649791000000025</f>
        <v>1145.650167</v>
      </c>
      <c r="L320" s="3">
        <f>1383.2+(680.2-421.3)+(2.116296+(1.040706-0.644589))+0-410.8-0.628524000000024</f>
        <v>1233.1838890000001</v>
      </c>
      <c r="M320" s="3">
        <f>1483.8+(577.6-339.5)+(-2.270214+(-0.883728--0.519435))+0-423.3--0.647649000000024</f>
        <v>1296.6131420000002</v>
      </c>
      <c r="N320" s="3">
        <f>1485.8+(564.2-249.6)+(1.515516+(0.575484-0.254592))+0-417.7-0.426054000000067</f>
        <v>1384.1103539999999</v>
      </c>
      <c r="O320" s="3">
        <f>1484.3+(617.9-230.5)+(0+(0-0))+0-419.3-0</f>
        <v>1452.3999999999999</v>
      </c>
      <c r="P320" s="3">
        <f>1484.6+(929.8-498.8)+(1.514292+(0.948396-0.508776))+0-401.3-0.409326000000064</f>
        <v>1515.8445859999999</v>
      </c>
      <c r="Q320" s="3">
        <f>1484.4+(1255.1-802.3)+(-1.514088+(-1.280202--0.818346))+0-393.4--0.401268000000063</f>
        <v>1542.225324</v>
      </c>
      <c r="R320" s="3">
        <f>1484.4+(1147.8-724.9)+(-3.78522+(-2.92689--1.848495))+0-401.9--1.02484499999994</f>
        <v>1501.5612300000003</v>
      </c>
      <c r="S320" s="3">
        <f>1484.6+(812.6-448.1)+(-0.757146+(-0.414426--0.228531))+0-394.9--0.20139899999996</f>
        <v>1453.4583579999999</v>
      </c>
      <c r="T320" s="3">
        <f>1483.4+(812.5-428.4)+(-3.78267+(-2.071875--1.09242))+0-403.7--1.02943499999994</f>
        <v>1460.0673099999999</v>
      </c>
      <c r="U320" s="3">
        <f>1482.4+(747.7-501)+(-1.512048+(-0.762654--0.51102))+0-255.3--0.260406000000041</f>
        <v>1472.2967240000003</v>
      </c>
      <c r="V320" s="3">
        <f>1600.3+(861.8-584.7)+(0.816153+(0.439518-0.298197))+0-390.2-0.19900199999996</f>
        <v>1487.9584719999998</v>
      </c>
      <c r="W320" s="3">
        <f>1761.5+(1096.1-920.3)+(0+(0-0))+0-411.1-0</f>
        <v>1526.1999999999998</v>
      </c>
      <c r="X320" s="3">
        <f>1762+(1702.5-1382)+(-0.89862+(-0.868275--0.70482))+0-413.5--0.210884999999958</f>
        <v>1668.1488100000001</v>
      </c>
      <c r="Y320" s="3">
        <f>1760.2+(1565-1236.4)+(-5.386212+(-4.7889--3.783384))+0-424.7--1.29958200000005</f>
        <v>1659.0078540000002</v>
      </c>
      <c r="Z320" s="3">
        <f>1760.1+(1300.8-1026.8)+(-3.590604+(-2.653632--2.094672))+0-430.4--0.878015999999981</f>
        <v>1600.4284519999999</v>
      </c>
      <c r="AA320" s="3">
        <f>1629.2+(1324.4-941)+(-0.830892+(-0.675444--0.47991))+0-425.6--0.217055999999957</f>
        <v>1586.1906300000001</v>
      </c>
      <c r="AB320" s="3">
        <f>1489.2+(1073.4-580)+(-3.037968+(-2.189736--1.1832))+0-425.9--0.868835999999981</f>
        <v>1553.5243320000002</v>
      </c>
      <c r="AC320" s="3">
        <f>1487+(658.5-245.5)+(-2.27511+(-1.007505--0.375615))+0-423.9--0.648567000000024</f>
        <v>1473.8415670000002</v>
      </c>
      <c r="AD320" s="2">
        <v>1709.1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1370.8+(605.1-201.9)+(-2.796432+(-1.234404--0.411876))+0-424.2--0.865367999999981</f>
        <v>1347.0464079999999</v>
      </c>
      <c r="G321" s="3">
        <f>1348.1+(695.1-366.4)+(-2.062593+(-1.063503--0.560592))+0-412.7--0.631431000000024</f>
        <v>1262.165927</v>
      </c>
      <c r="H321" s="3">
        <f>1349.4+(669.5-390.7)+(0+(0-0))+0-401.7-0</f>
        <v>1226.5</v>
      </c>
      <c r="I321" s="3">
        <f>1347.4+(713.3-441.1)+(-0.687174+(-0.363783--0.224961))+0-397.9--0.20292899999996</f>
        <v>1221.0769329999998</v>
      </c>
      <c r="J321" s="3">
        <f>1351+(757.7-499.1)+(0.68901+(0.386427-0.254541))+0-398.6-0.20328599999996</f>
        <v>1211.6176099999998</v>
      </c>
      <c r="K321" s="3">
        <f>1343.7+(798.4-529.2)+(1.370574+(0.814368-0.539784))+0-398-0.405960000000063</f>
        <v>1216.1391980000001</v>
      </c>
      <c r="L321" s="3">
        <f>1406.3+(887.8-652.2)+(1.434426+(0.905556-0.665244))+0-396.2-0.404124000000063</f>
        <v>1246.9706139999996</v>
      </c>
      <c r="M321" s="3">
        <f>1440.6+(1029-776.6)+(0.734706+(0.52479-0.396066))+0-392.6-0.20022599999996</f>
        <v>1301.063204</v>
      </c>
      <c r="N321" s="3">
        <f>1154.5+(947.4-346)+(-2.35518+(-1.932696--0.70584))+0-398.2--0.812327999999983</f>
        <v>1354.930292</v>
      </c>
      <c r="O321" s="3">
        <f>1165.8+(794.4-124.8)+(1.783674+(1.215432-0.190944))+0-399.9-0.611847000000023</f>
        <v>1437.6963150000001</v>
      </c>
      <c r="P321" s="3">
        <f>1179.8+(960.3-272.5)+(-1.203396+(-0.979506--0.27795))+0-397.9--0.405858000000063</f>
        <v>1468.200906</v>
      </c>
      <c r="Q321" s="3">
        <f>1179.1+(1160.5-458.5)+(-2.405364+(-2.36742--0.93534))+0-397.7--0.811307999999983</f>
        <v>1480.3738639999999</v>
      </c>
      <c r="R321" s="3">
        <f>1178+(1079.4-433)+(-3.0039+(-2.75247--1.10415))+0-400.4--1.02101999999994</f>
        <v>1420.3688</v>
      </c>
      <c r="S321" s="3">
        <f>1177.4+(1094.9-479.5)+(0.600474+(0.558399-0.244545))+0-391.6-0.19971599999996</f>
        <v>1401.9146120000003</v>
      </c>
      <c r="T321" s="3">
        <f>1179.5+(1127.7-500.8)+(-1.20309+(-1.150254--0.510816))+0-396.1--0.404022000000063</f>
        <v>1408.8614940000002</v>
      </c>
      <c r="U321" s="3">
        <f>1179+(1025.1-394.6)+(-0.60129+(-0.522801--0.201246))+0-399.5--0.203744999999959</f>
        <v>1409.2809</v>
      </c>
      <c r="V321" s="3">
        <f>1180.8+(933.3-285.7)+(0+(0-0))+0-399.3-0</f>
        <v>1429.1</v>
      </c>
      <c r="W321" s="3">
        <f>1380.4+(1086.4-603.5)+(0+(0-0))+0-400.6-0</f>
        <v>1462.7000000000003</v>
      </c>
      <c r="X321" s="3">
        <f>1545.4+(1886.2-1364.6)+(0.788154+(0.961962-0.695946))+0-399.1-0.20354099999996</f>
        <v>1668.7506290000001</v>
      </c>
      <c r="Y321" s="3">
        <f>1595+(1753.2-1284.5)+(-2.44035+(-2.682396--1.965285))+0-399.2--0.610776000000023</f>
        <v>1661.953315</v>
      </c>
      <c r="Z321" s="3">
        <f>1647+(1344.2-970.3)+(-1.67994+(-1.371084--0.989706))+0-399--0.406980000000064</f>
        <v>1620.245662</v>
      </c>
      <c r="AA321" s="3">
        <f>1529.1+(1125.6-674.9)+(-2.339523+(-1.722168--1.032597))+0-402.4--0.615672000000023</f>
        <v>1574.9865779999998</v>
      </c>
      <c r="AB321" s="3">
        <f>1383.4+(1144-568.8)+(-1.411068+(-1.16688--0.580176))+0-419.6--0.427992000000067</f>
        <v>1537.4302200000004</v>
      </c>
      <c r="AC321" s="3">
        <f>1380.6+(1001.8-484)+(-3.52053+(-2.55459--1.2342))+0-421.7--1.07533499999994</f>
        <v>1472.9344149999997</v>
      </c>
      <c r="AD321" s="2">
        <v>1696.1000000000001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1344.7+(815.2-372.4)+(-0.685797+(-0.415752--0.189924))+0-424.7--0.216596999999957</f>
        <v>1362.1049719999999</v>
      </c>
      <c r="G322" s="3">
        <f>1349.9+(693.8-338.3)+(0+(0-0))+0-422.2-0</f>
        <v>1283.2</v>
      </c>
      <c r="H322" s="3">
        <f>1359+(658.2-344)+(0+(0-0))+0-426.6-0</f>
        <v>1246.5999999999999</v>
      </c>
      <c r="I322" s="3">
        <f>1358.7+(623.9-321.4)+(0+(0-0))+0-422.7-0</f>
        <v>1238.5</v>
      </c>
      <c r="J322" s="3">
        <f>1359.3+(592.7-315)+(2.772972+(1.209108-0.6426))+0-408-0.832319999999982</f>
        <v>1231.5071600000001</v>
      </c>
      <c r="K322" s="3">
        <f>1357.8+(615.7-315)+(2.077434+(0.942021-0.48195))+0-416-0.636480000000024</f>
        <v>1244.4010249999999</v>
      </c>
      <c r="L322" s="3">
        <f>1330.5+(666.9-319.2)+(1.35711+(0.680238-0.325584))+0-450.9-0.459918000000072</f>
        <v>1228.5518459999998</v>
      </c>
      <c r="M322" s="3">
        <f>1291.5+(785.9-343.7)+(-1.31733+(-0.801618--0.350574))+0-459.5--0.468690000000073</f>
        <v>1272.9003160000002</v>
      </c>
      <c r="N322" s="3">
        <f>1287.7+(851.7-329)+(-1.970181+(-1.303101--0.50337))+0-452.4--0.692172000000026</f>
        <v>1355.9222600000003</v>
      </c>
      <c r="O322" s="3">
        <f>1291.7+(894.5-310.2)+(0.658767+(0.456195-0.158202))+0-448.4-0.228683999999955</f>
        <v>1428.328076</v>
      </c>
      <c r="P322" s="3">
        <f>1232.6+(1213-553.1)+(0+(0-0))+0-448-0</f>
        <v>1444.5</v>
      </c>
      <c r="Q322" s="3">
        <f>1234.9+(1420.7-774.9)+(0.629799+(0.724557-0.395199))+0-434.8-0.221747999999956</f>
        <v>1446.6374090000004</v>
      </c>
      <c r="R322" s="3">
        <f>1232.7+(1215.7-598)+(-3.143385+(-3.100035--1.5249))+0-431--1.09904999999994</f>
        <v>1415.7805300000002</v>
      </c>
      <c r="S322" s="3">
        <f>1233.7+(950-387.8)+(0+(0-0))+0-417.8-0</f>
        <v>1378.1000000000001</v>
      </c>
      <c r="T322" s="3">
        <f>1233.6+(957-391.9)+(-0.629136+(-0.48807--0.199869))+0-400.2--0.204101999999959</f>
        <v>1397.7867649999996</v>
      </c>
      <c r="U322" s="3">
        <f>1233+(941.5-399.5)+(-3.14415+(-2.400825--1.018725))+0-399.5--1.01872499999994</f>
        <v>1371.992475</v>
      </c>
      <c r="V322" s="3">
        <f>1233.4+(1062.2-518.2)+(-1.887102+(-1.625166--0.792846))+0-364.9--0.558297000000021</f>
        <v>1410.3388750000004</v>
      </c>
      <c r="W322" s="3">
        <f>1298.4+(1305.6-818.8)+(-0.662184+(-0.665856--0.417588))+0-362.8--0.185027999999963</f>
        <v>1421.6745759999999</v>
      </c>
      <c r="X322" s="3">
        <f>1504.1+(2001.5-1499.6)+(-2.301273+(-3.062295--2.294388))+0-367.2--0.561816000000021</f>
        <v>1636.2926359999999</v>
      </c>
      <c r="Y322" s="3">
        <f>1503.9+(1913.9-1413.1)+(-4.601934+(-5.856534--4.324086))+0-367--1.12302000000004</f>
        <v>1632.6886380000003</v>
      </c>
      <c r="Z322" s="3">
        <f>1279.9+(1915.8-1223.8)+(-1.958247+(-2.931174--1.872414))+0-417.6--0.638928000000024</f>
        <v>1551.9219210000003</v>
      </c>
      <c r="AA322" s="3">
        <f>1240.8+(1592.6-857.5)+(-2.531232+(-3.248904--1.7493))+0-373.1--0.761123999999984</f>
        <v>1599.5302879999997</v>
      </c>
      <c r="AB322" s="3">
        <f>1240+(1285.1-600.4)+(-3.162+(-3.277005--1.53102))+0-417.3--1.06411499999994</f>
        <v>1503.5561299999997</v>
      </c>
      <c r="AC322" s="3">
        <f>1236.7+(1265.7-666)+(-1.261434+(-1.291014--0.67932))+0-420.7--0.429114000000067</f>
        <v>1414.2559860000001</v>
      </c>
      <c r="AD322" s="2">
        <v>1669.9000000000003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1233.8+(870.4-378)+(-2.516952+(-1.775616--0.77112))+0-424.9--0.866795999999981</f>
        <v>1298.6453479999998</v>
      </c>
      <c r="G323" s="3">
        <f>1234.4+(736.9-308.1)+(-0.629544+(-0.375819--0.157131))+0-425.8--0.217157999999957</f>
        <v>1236.768926</v>
      </c>
      <c r="H323" s="3">
        <f>1234.1+(785.5-364.8)+(0+(0-0))+0-426.3-0</f>
        <v>1228.5</v>
      </c>
      <c r="I323" s="3">
        <f>1233.1+(778-373.1)+(0+(0-0))+0-436.7-0</f>
        <v>1201.3</v>
      </c>
      <c r="J323" s="3">
        <f>1234.5+(764.4-364.7)+(1.888785+(1.169532-0.557991))+0-431.2-0.659736000000025</f>
        <v>1204.84059</v>
      </c>
      <c r="K323" s="3">
        <f>1234.4+(741.6-326.5)+(-1.888632+(-1.134648--0.499545))+0-433.7--0.663561000000025</f>
        <v>1213.939826</v>
      </c>
      <c r="L323" s="3">
        <f>1234+(880.4-441.6)+(0+(0-0))+0-430.1-0</f>
        <v>1242.6999999999998</v>
      </c>
      <c r="M323" s="3">
        <f>1233.9+(877.1-395.9)+(0+(0-0))+0-446-0</f>
        <v>1269.1000000000001</v>
      </c>
      <c r="N323" s="3">
        <f>1235.6+(891.2-320.3)+(0+(0-0))+0-448.6-0</f>
        <v>1357.9</v>
      </c>
      <c r="O323" s="3">
        <f>1235+(1034.9-395.7)+(0+(0-0))+0-451.8-0</f>
        <v>1422.4</v>
      </c>
      <c r="P323" s="3">
        <f>1234.6+(1353.8-680.5)+(-1.888938+(-2.071314--1.041165))+0-454.7--0.695691000000026</f>
        <v>1450.976604</v>
      </c>
      <c r="Q323" s="3">
        <f>1234.7+(1494-796.1)+(-1.259394+(-1.52388--0.812022))+0-447.4--0.456348000000071</f>
        <v>1483.6850960000002</v>
      </c>
      <c r="R323" s="3">
        <f>1233.9+(1457.4-800.2)+(-1.887867+(-2.229822--1.224306))+0-448.8--0.686664000000026</f>
        <v>1440.0932810000002</v>
      </c>
      <c r="S323" s="3">
        <f>1233.8+(1087.2-478.1)+(-1.887714+(-1.663416--0.731493))+0-444.8--0.680544000000026</f>
        <v>1395.9609070000001</v>
      </c>
      <c r="T323" s="3">
        <f>1234.7+(968.7-346.2)+(-0.629697+(-0.494037--0.176562))+0-445.5--0.227204999999955</f>
        <v>1410.980033</v>
      </c>
      <c r="U323" s="3">
        <f>1236.6+(1003.3-388.5)+(-1.261332+(-1.023366--0.39627))+0-448--0.456960000000071</f>
        <v>1401.9685319999999</v>
      </c>
      <c r="V323" s="3">
        <f>1247.5+(1035.6-419.8)+(-1.908675+(-1.584468--0.642294))+0-447--0.683910000000026</f>
        <v>1414.133061</v>
      </c>
      <c r="W323" s="3">
        <f>1462.6+(1282.7-880.1)+(0+(0-0))+0-407.9-0</f>
        <v>1457.2999999999997</v>
      </c>
      <c r="X323" s="3">
        <f>1506.5+(2185-1631)+(0+(0-0))+0-408.1-0</f>
        <v>1652.4</v>
      </c>
      <c r="Y323" s="3">
        <f>1469.2+(2087.3-1503.1)+(-4.495752+(-6.387138--4.599486))+0-408.3--1.24939800000005</f>
        <v>1640.0659940000007</v>
      </c>
      <c r="Z323" s="3">
        <f>1264.6+(1932.5-1193.4)+(0+(0-0))+0-451.2-0</f>
        <v>1552.4999999999998</v>
      </c>
      <c r="AA323" s="3">
        <f>1241.3+(1781.7-1060.9)+(-0.633063+(-0.908667--0.541059))+0-391.2--0.19951199999996</f>
        <v>1570.0988409999998</v>
      </c>
      <c r="AB323" s="3">
        <f>1240.6+(1282.5-592.3)+(-1.265412+(-1.30815--0.604146))+0-431.1--0.439722000000069</f>
        <v>1498.170306</v>
      </c>
      <c r="AC323" s="3">
        <f>1239.3+(937-330.3)+(-1.896129+(-1.43361--0.505359))+0-434.7--0.665091000000025</f>
        <v>1409.140711</v>
      </c>
      <c r="AD323" s="2">
        <v>1699.4000000000003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1233.7+(815.6-300.8)+(-3.145935+(-2.07978--0.76704))+0-436.3--1.11256499999994</f>
        <v>1308.8538899999999</v>
      </c>
      <c r="G324" s="3">
        <f>1234.3+(629.8-184.2)+(-2.517972+(-1.284792--0.375768))+0-437.1--0.891683999999981</f>
        <v>1240.264688</v>
      </c>
      <c r="H324" s="3">
        <f>1234.7+(633.4-211)+(-0.629697+(-0.323034--0.10761))+0-444.1--0.226490999999955</f>
        <v>1212.3813699999996</v>
      </c>
      <c r="I324" s="3">
        <f>1236+(630.3-228.4)+(0+(0-0))+0-443.5-0</f>
        <v>1194.4000000000001</v>
      </c>
      <c r="J324" s="3">
        <f>1234.3+(621.1-209)+(0+(0-0))+0-453.3-0</f>
        <v>1193.1000000000001</v>
      </c>
      <c r="K324" s="3">
        <f>1236.2+(636.2-228.4)+(1.891386+(0.973386-0.349452))+0-450.5-0.689265000000026</f>
        <v>1195.326055</v>
      </c>
      <c r="L324" s="3">
        <f>1234.8+(844.9-398.1)+(0+(0-0))+0-445.1-0</f>
        <v>1236.5</v>
      </c>
      <c r="M324" s="3">
        <f>1235.8+(807.8-320.9)+(2.521032+(1.647912-0.654636))+0-450.7-0.91942799999998</f>
        <v>1274.5948799999999</v>
      </c>
      <c r="N324" s="3">
        <f>1226.5+(794.5-215.1)+(0+(0-0))+0-416.9-0</f>
        <v>1389</v>
      </c>
      <c r="O324" s="3">
        <f>1216.5+(1153.9-530.1)+(0+(0-0))+0-448.2-0</f>
        <v>1392.1000000000001</v>
      </c>
      <c r="P324" s="3">
        <f>1214.8+(1479.2-765.3)+(-1.239096+(-1.508784--0.780606))+0-459.2--0.468384000000073</f>
        <v>1468.0011099999999</v>
      </c>
      <c r="Q324" s="3">
        <f>1229.7+(1529-827.5)+(-1.254294+(-1.55958--0.84405))+0-451.9--0.460938000000072</f>
        <v>1477.7911140000001</v>
      </c>
      <c r="R324" s="3">
        <f>1218.3+(1402.8-756.7)+(-3.727998+(-4.292568--2.315502))+0-445.3--1.36261800000005</f>
        <v>1414.757554</v>
      </c>
      <c r="S324" s="3">
        <f>1214.8+(1291.2-716.4)+(-1.858644+(-1.975536--1.096092))+0-416.2--0.636786000000024</f>
        <v>1371.2986979999998</v>
      </c>
      <c r="T324" s="3">
        <f>1210.8+(1275.2-684.6)+(-3.08754+(-3.25176--1.74573))+0-407.9--1.04014499999994</f>
        <v>1389.9465749999999</v>
      </c>
      <c r="U324" s="3">
        <f>1114.9+(1335.5-678.7)+(-0.568599+(-0.681105--0.346137))+0-377.5--0.192524999999962</f>
        <v>1393.4889579999999</v>
      </c>
      <c r="V324" s="3">
        <f>1139.4+(1469.5-835.2)+(-0.581094+(-0.749445--0.425952))+0-368--0.187679999999963</f>
        <v>1404.9830930000001</v>
      </c>
      <c r="W324" s="3">
        <f>1272.5+(1990.1-1416.6)+(-1.946925+(-3.044853--2.167398))+0-370.9--0.567477000000021</f>
        <v>1472.8430969999999</v>
      </c>
      <c r="X324" s="3">
        <f>1494.3+(2334.1-1795.5)+(-3.048372+(-4.761564--3.66282))+0-376.2--0.767447999999984</f>
        <v>1653.3203319999998</v>
      </c>
      <c r="Y324" s="3">
        <f>1387.3+(2319.4-1683.4)+(-2.122569+(-3.548682--2.575602))+0-424.7--0.649791000000025</f>
        <v>1596.1541419999999</v>
      </c>
      <c r="Z324" s="3">
        <f>1269.4+(2536.5-1798.2)+(-1.294788+(-2.58723--1.834164))+0-422.1--0.430542000000067</f>
        <v>1583.9826880000001</v>
      </c>
      <c r="AA324" s="3">
        <f>1235.1+(2361.2-1617.2)+(-1.259802+(-2.408424--1.649544))+0-417--0.425340000000067</f>
        <v>1560.5066579999998</v>
      </c>
      <c r="AB324" s="3">
        <f>1234.4+(2019.6-1314.1)+(-1.888632+(-3.089988--2.010573))+0-416.9--0.637857000000024</f>
        <v>1520.6698100000001</v>
      </c>
      <c r="AC324" s="3">
        <f>1218.7+(1313.4-684.7)+(-2.486148+(-2.679336--1.396788))+0-422.2--0.861287999999982</f>
        <v>1422.292592</v>
      </c>
      <c r="AD324" s="2">
        <v>1668.5999999999997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1213.8+(746-219.3)+(-1.857114+(-1.14138--0.335529))+0-430.3--0.658359000000025</f>
        <v>1308.1953940000001</v>
      </c>
      <c r="G325" s="3">
        <f>1213.2+(733.5-279.5)+(-3.09366+(-1.870425--0.712725))+0-430.8--1.09853999999994</f>
        <v>1233.2471800000001</v>
      </c>
      <c r="H325" s="3">
        <f>1213.9+(881.3-453)+(-1.857267+(-1.348389--0.69309))+0-426.4--0.652392000000025</f>
        <v>1213.9398259999998</v>
      </c>
      <c r="I325" s="3">
        <f>1212.8+(940.7-549.2)+(-1.855584+(-1.439271--0.840276))+0-425.7--0.651321000000025</f>
        <v>1176.796742</v>
      </c>
      <c r="J325" s="3">
        <f>1213.3+(936.8-562.9)+(-0.618783+(-0.477768--0.287079))+0-436.5--0.222614999999956</f>
        <v>1150.1131429999998</v>
      </c>
      <c r="K325" s="3">
        <f>1214.2+(1036.7-683)+(1.238484+(1.057434-0.69666))+0-424.7-0.433194000000068</f>
        <v>1144.3660640000001</v>
      </c>
      <c r="L325" s="3">
        <f>1213.4+(1012.9-619.7)+(-1.856502+(-1.549737--0.948141))+0-424.9--0.650097000000025</f>
        <v>1179.8919989999997</v>
      </c>
      <c r="M325" s="3">
        <f>1212.7+(1110.4-698.2)+(-0.618477+(-0.566304--0.356082))+0-422.6--0.215525999999957</f>
        <v>1201.686827</v>
      </c>
      <c r="N325" s="3">
        <f>1234.1+(853.3-330.9)+(0+(0-0))+0-421.7-0</f>
        <v>1334.8</v>
      </c>
      <c r="O325" s="3">
        <f>1260.4+(1077.8-504.4)+(1.285608+(1.099356-0.514488))+0-407.6-0.415752000000065</f>
        <v>1427.6547240000002</v>
      </c>
      <c r="P325" s="3">
        <f>1264.5+(1591.8-959)+(0.644895+(0.811818-0.48909))+0-416.3-0.212312999999958</f>
        <v>1481.75531</v>
      </c>
      <c r="Q325" s="3">
        <f>1243.8+(1962.6-1282.4)+(-1.268676+(-2.001852--1.308048))+0-424--0.432480000000068</f>
        <v>1498.47</v>
      </c>
      <c r="R325" s="3">
        <f>1217.1+(1786.4-1119.3)+(-3.724326+(-5.466384--3.425058))+0-389.5--1.19187000000005</f>
        <v>1490.1262180000001</v>
      </c>
      <c r="S325" s="3">
        <f>1216+(1286.7-714.8)+(-2.48064+(-2.624868--1.458192))+0-420.6--0.858023999999982</f>
        <v>1364.510708</v>
      </c>
      <c r="T325" s="3">
        <f>1218.8+(1082.4-557.3)+(0+(0-0))+0-410.1-0</f>
        <v>1333.8000000000002</v>
      </c>
      <c r="U325" s="3">
        <f>1216.7+(1016.1-467.8)+(-1.861551+(-1.554633--0.715734))+0-431.8--0.660654000000025</f>
        <v>1331.160204</v>
      </c>
      <c r="V325" s="3">
        <f>1217.8+(920.4-389.1)+(-1.242156+(-0.938808--0.396882))+0-388.4--0.396168000000062</f>
        <v>1359.3120860000001</v>
      </c>
      <c r="W325" s="3">
        <f>1319.7+(1191.8-781.8)+(2.019141+(1.823454-1.196154))+0-382-0.584460000000022</f>
        <v>1349.7619810000001</v>
      </c>
      <c r="X325" s="3">
        <f>1462.3+(1859.3-1358.2)+(-1.491546+(-1.896486--1.385364))+0-398.8--0.406776000000064</f>
        <v>1563.0041079999999</v>
      </c>
      <c r="Y325" s="3">
        <f>1485.7+(1855.4-1363.8)+(-1.515414+(-1.892508--1.391076))+0-397.3--0.405246000000063</f>
        <v>1578.3884000000003</v>
      </c>
      <c r="Z325" s="3">
        <f>1482.7+(1663.2-1195.8)+(-2.268531+(-2.544696--1.829574))+0-406.2--0.621486000000023</f>
        <v>1541.5378330000001</v>
      </c>
      <c r="AA325" s="3">
        <f>1479.9+(1236.8-783)+(-2.264247+(-1.892304--1.19799))+0-451.1--0.690183000000026</f>
        <v>1480.3316219999999</v>
      </c>
      <c r="AB325" s="3">
        <f>1254.6+(1150.8-501.9)+(0.639846+(0.586908-0.255969))+0-454.6-0.231845999999954</f>
        <v>1449.6389390000002</v>
      </c>
      <c r="AC325" s="3">
        <f>1163.5+(1097.2-421)+(-1.18677+(-1.119144--0.42942))+0-452.4--0.461448000000072</f>
        <v>1385.8849540000001</v>
      </c>
      <c r="AD325" s="2">
        <v>1595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1143.5+(792.4-175.2)+(-0.583185+(-0.404124--0.089352))+0-452--0.230519999999954</f>
        <v>1308.032563</v>
      </c>
      <c r="G326" s="3">
        <f>1144.4+(889.7-365.6)+(-0.583644+(-0.453747--0.186456))+0-441.9--0.225368999999955</f>
        <v>1225.974434</v>
      </c>
      <c r="H326" s="3">
        <f>1143.6+(1072.9-590.5)+(-0.583236+(-0.547179--0.301155))+0-447.7--0.228326999999955</f>
        <v>1177.699067</v>
      </c>
      <c r="I326" s="3">
        <f>1146.1+(980.9-510.2)+(0.584511+(0.500259-0.260202))+0-451.5-0.230264999999954</f>
        <v>1165.894303</v>
      </c>
      <c r="J326" s="3">
        <f>1145+(840.5-391.1)+(-1.75185+(-1.285965--0.598383))+0-446.4--0.682992000000026</f>
        <v>1146.2435600000003</v>
      </c>
      <c r="K326" s="3">
        <f>1144.9+(1054.6-612.4)+(0+(0-0))+0-451.9-0</f>
        <v>1135.1999999999998</v>
      </c>
      <c r="L326" s="3">
        <f>1143.4+(1277.9-859.5)+(-3.498804+(-3.910374--2.63007))+0-437.5--1.33875000000005</f>
        <v>1120.8596420000003</v>
      </c>
      <c r="M326" s="3">
        <f>1143.7+(1291.5-897.1)+(-1.166574+(-1.31733--0.915042))+0-437.4--0.44614800000007</f>
        <v>1099.5772859999997</v>
      </c>
      <c r="N326" s="3">
        <f>1145.5+(1381.7-958.8)+(1.16841+(1.409334-0.977976))+0-433.1-0.441762000000069</f>
        <v>1136.4580060000001</v>
      </c>
      <c r="O326" s="3">
        <f>1145.8+(1003.6-528.2)+(2.92179+(2.55918-1.34691))+0-435.6-1.11077999999994</f>
        <v>1188.6232799999998</v>
      </c>
      <c r="P326" s="3">
        <f>1130.7+(738.3-197)+(1.153314+(0.753066-0.20094))+0-441-0.44982000000007</f>
        <v>1232.2556199999999</v>
      </c>
      <c r="Q326" s="3">
        <f>1183.2+(713.3-214.6)+(-2.413728+(-1.455132--0.437784))+0-424--0.864959999999982</f>
        <v>1255.3338839999999</v>
      </c>
      <c r="R326" s="3">
        <f>1214.6+(681.1-243.9)+(0+(0-0))+0-435.4-0</f>
        <v>1216.4000000000001</v>
      </c>
      <c r="S326" s="3">
        <f>1214.5+(873.6-471.3)+(-1.23879+(-0.891072--0.480726))+0-437.2--0.44594400000007</f>
        <v>1178.396808</v>
      </c>
      <c r="T326" s="3">
        <f>1215.2+(1008-631.3)+(1.859256+(1.54224-0.965889))+0-438.3-0.670599000000025</f>
        <v>1155.365008</v>
      </c>
      <c r="U326" s="3">
        <f>1214.9+(925.6-549.1)+(-1.239198+(-0.944112--0.560082))+0-437.6--0.44635200000007</f>
        <v>1152.6231240000004</v>
      </c>
      <c r="V326" s="3">
        <f>1243.9+(843.9-495.4)+(0.634389+(0.430389-0.252654))+0-424.8-0.216647999999957</f>
        <v>1168.1954760000003</v>
      </c>
      <c r="W326" s="3">
        <f>1298.8+(741.2-346.5)+(-1.324776+(-0.756024--0.35343))+0-431.6--0.440232000000069</f>
        <v>1260.6128620000002</v>
      </c>
      <c r="X326" s="3">
        <f>1210.2+(1292.8-592.7)+(1.234404+(1.318656-0.604554))+0-432.2-0.440844000000069</f>
        <v>1479.6076619999999</v>
      </c>
      <c r="Y326" s="3">
        <f>1239.9+(1359.5-676.9)+(-1.897047+(-2.080035--1.035657))+0-438.3--0.670599000000025</f>
        <v>1481.9291740000001</v>
      </c>
      <c r="Z326" s="3">
        <f>1235.9+(1171.8-508.6)+(-1.890927+(-1.792854--0.778158))+0-434.6--0.664938000000025</f>
        <v>1462.259315</v>
      </c>
      <c r="AA326" s="3">
        <f>1253.7+(1026.3-382.9)+(-3.196935+(-2.617065--0.976395))+0-433.6--1.10567999999994</f>
        <v>1459.7680749999997</v>
      </c>
      <c r="AB326" s="3">
        <f>1275.3+(995-407.8)+(-0.650403+(-0.50745--0.207978))+0-437.1--0.222920999999956</f>
        <v>1424.6730459999999</v>
      </c>
      <c r="AC326" s="3">
        <f>1143.6+(844.9-221.3)+(-2.91618+(-2.154495--0.564315))+0-425--1.08374999999994</f>
        <v>1338.7773899999997</v>
      </c>
      <c r="AD326" s="2">
        <v>1502.2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1076.6+(881-295.6)+(-1.647198+(-1.34793--0.452268))+0-423.6--0.648108000000025</f>
        <v>1236.5052480000002</v>
      </c>
      <c r="G327" s="3">
        <f>1135.1+(869.3-388.3)+(-2.894505+(-2.216715--0.990165))+0-430.5--1.09777499999994</f>
        <v>1182.5767199999998</v>
      </c>
      <c r="H327" s="3">
        <f>1187.7+(903.7-498)+(-0.605727+(-0.460887--0.25398))+0-438.4--0.223583999999956</f>
        <v>1154.41095</v>
      </c>
      <c r="I327" s="3">
        <f>1208.6+(925.8-554.3)+(-0.616386+(-0.472158--0.282693))+0-445--0.226949999999955</f>
        <v>1134.5210989999998</v>
      </c>
      <c r="J327" s="3">
        <f>1209.4+(884.1-503.1)+(-1.233588+(-0.901782--0.513162))+0-439.6--0.44839200000007</f>
        <v>1149.626184</v>
      </c>
      <c r="K327" s="3">
        <f>1210.3+(1068.2-691.6)+(2.469012+(2.179128-1.410864))+0-431.8-0.880871999999981</f>
        <v>1157.4564040000002</v>
      </c>
      <c r="L327" s="3">
        <f>1208.7+(1205.8-796.6)+(-0.616437+(-0.614958--0.406266))+0-443.5--0.226184999999955</f>
        <v>1173.801056</v>
      </c>
      <c r="M327" s="3">
        <f>1209+(1206.1-777.4)+(0.61659+(0.615111-0.396474))+0-439.4-0.224093999999955</f>
        <v>1198.9111329999998</v>
      </c>
      <c r="N327" s="3">
        <f>1211.1+(1043.3-512.5)+(-1.235322+(-1.064166--0.52275))+0-442.4--0.451248000000071</f>
        <v>1298.1745100000001</v>
      </c>
      <c r="O327" s="3">
        <f>1209.7+(865.8-263.3)+(1.233894+(0.883116-0.268566))+0-439.8-0.44859600000007</f>
        <v>1373.7998479999999</v>
      </c>
      <c r="P327" s="3">
        <f>1207.2+(1177.3-454.6)+(-3.07836+(-3.002115--1.15923))+0-447--1.13984999999994</f>
        <v>1479.1186050000001</v>
      </c>
      <c r="Q327" s="3">
        <f>1209.2+(1202.6-548.5)+(0.616692+(0.613326-0.279735))+0-447.9-0.228428999999955</f>
        <v>1416.1218539999998</v>
      </c>
      <c r="R327" s="3">
        <f>1208.9+(1320.4-728.7)+(-0.616539+(-0.673404--0.371637))+0-452.2--0.230621999999954</f>
        <v>1347.7123160000001</v>
      </c>
      <c r="S327" s="3">
        <f>1208.4+(1425.9-885.9)+(0.616284+(0.727209-0.451809))+0-418.5-0.213434999999958</f>
        <v>1330.5782490000001</v>
      </c>
      <c r="T327" s="3">
        <f>1209.9+(1314.2-765.7)+(0+(0-0))+0-413.7-0</f>
        <v>1344.7</v>
      </c>
      <c r="U327" s="3">
        <f>1209.1+(1155.7-605.3)+(0+(0-0))+0-412.2-0</f>
        <v>1347.3</v>
      </c>
      <c r="V327" s="3">
        <f>1210.8+(835.4-304.3)+(-0.617508+(-0.426054--0.155193))+0-403.3--0.205682999999959</f>
        <v>1337.9173139999998</v>
      </c>
      <c r="W327" s="3">
        <f>1265.6+(1042.9-552.2)+(1.936368+(1.595637-0.844866))+0-393.4-0.601902000000023</f>
        <v>1364.9852369999996</v>
      </c>
      <c r="X327" s="3">
        <f>1450.9+(1892.4-1380.4)+(-2.219877+(-2.895372--2.112012))+0-379.2--0.580176000000022</f>
        <v>1581.2769390000001</v>
      </c>
      <c r="Y327" s="3">
        <f>1515.3+(1658.9-1210.6)+(-3.091212+(-3.384156--2.469624))+0-379.5--0.774179999999983</f>
        <v>1580.868436</v>
      </c>
      <c r="Z327" s="3">
        <f>1504.3+(1419.3-998.8)+(-1.534386+(-1.447686--1.018776))+0-383.5--0.391170000000061</f>
        <v>1539.7278740000002</v>
      </c>
      <c r="AA327" s="3">
        <f>1385.7+(994.8-492.8)+(-1.413414+(-1.014696--0.502656))+0-379.9--0.387498000000061</f>
        <v>1506.2620440000001</v>
      </c>
      <c r="AB327" s="3">
        <f>1325.7+(859.5-335.9)+(-0.676107+(-0.438345--0.171309))+0-386.3--0.197012999999961</f>
        <v>1462.2538700000002</v>
      </c>
      <c r="AC327" s="3">
        <f>1217.9+(784.1-224.2)+(-3.105645+(-1.999455--0.57171))+0-389.4--0.992969999999943</f>
        <v>1384.8595800000001</v>
      </c>
      <c r="AD327" s="2">
        <v>1588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1223.9+(669.5-209.4)+(-2.496756+(-1.36578--0.427176))+0-396.8--0.809471999999983</f>
        <v>1284.574112</v>
      </c>
      <c r="G328" s="3">
        <f>1227.1+(606.7-221.4)+(1.251642+(0.618834-0.225828))+0-392.2-0.400044000000063</f>
        <v>1221.444604</v>
      </c>
      <c r="H328" s="3">
        <f>1230.3+(633-284.5)+(-0.627453+(-0.32283--0.145095))+0-390.6--0.19920599999996</f>
        <v>1187.594018</v>
      </c>
      <c r="I328" s="3">
        <f>1229.8+(669.4-340.9)+(0.627198+(0.341394-0.173859))+0-397.8-0.20287799999996</f>
        <v>1161.0918549999999</v>
      </c>
      <c r="J328" s="3">
        <f>1230.3+(718.5-391.9)+(-0.627453+(-0.366435--0.199869))+0-400.6--0.204305999999959</f>
        <v>1155.7102870000001</v>
      </c>
      <c r="K328" s="3">
        <f>1230.6+(691.4-367)+(1.882818+(1.057842-0.56151))+0-401.5-0.614295000000023</f>
        <v>1155.2648549999999</v>
      </c>
      <c r="L328" s="3">
        <f>1230.1+(739.6-423.2)+(0+(0-0))+0-401.5-0</f>
        <v>1145</v>
      </c>
      <c r="M328" s="3">
        <f>1229+(884.7-596.2)+(0.62679+(0.451197-0.304062))+0-398.5-0.20323499999996</f>
        <v>1119.57069</v>
      </c>
      <c r="N328" s="3">
        <f>1228.7+(1020.6-643.6)+(0.626637+(0.520506-0.328236))+0-409.1-0.208640999999958</f>
        <v>1197.2102660000003</v>
      </c>
      <c r="O328" s="3">
        <f>1225.9+(983.6-546.3)+(0+(0-0))+0-407-0</f>
        <v>1256.2000000000003</v>
      </c>
      <c r="P328" s="3">
        <f>1214.2+(763.2-283.9)+(-0.619242+(-0.389232--0.144789))+0-407.4--0.207773999999959</f>
        <v>1285.4440890000001</v>
      </c>
      <c r="Q328" s="3">
        <f>1214.5+(705.2-275)+(-0.619395+(-0.359652--0.14025))+0-403.6--0.205835999999959</f>
        <v>1240.4670389999999</v>
      </c>
      <c r="R328" s="3">
        <f>1215.6+(711.6-277.7)+(-0.619956+(-0.362916--0.141627))+0-396.8--0.20236799999996</f>
        <v>1252.061123</v>
      </c>
      <c r="S328" s="3">
        <f>1214.9+(656.9-263.4)+(0.619599+(0.335019-0.134334))+0-389.5-0.19864499999996</f>
        <v>1219.5216390000001</v>
      </c>
      <c r="T328" s="3">
        <f>1215.9+(670.5-274.9)+(0.620109+(0.341955-0.140199))+0-386-0.196859999999961</f>
        <v>1226.1250049999999</v>
      </c>
      <c r="U328" s="3">
        <f>1214.7+(660.1-249.6)+(-2.477988+(-1.346604--0.509184))+0-394.4--0.804575999999983</f>
        <v>1228.2891680000002</v>
      </c>
      <c r="V328" s="3">
        <f>1216.3+(691.4-254.3)+(1.860939+(1.057842-0.389079))+0-406-0.621180000000023</f>
        <v>1249.3085219999998</v>
      </c>
      <c r="W328" s="3">
        <f>1415.5+(680-402)+(0.721905+(0.3468-0.20502))+0-406.9-0.207518999999959</f>
        <v>1287.2561660000001</v>
      </c>
      <c r="X328" s="3">
        <f>1510.5+(1417.3-1013.9)+(0+(0-0))+0-405.5-0</f>
        <v>1508.4</v>
      </c>
      <c r="Y328" s="3">
        <f>1515.3+(1507.8-1081.9)+(-2.318409+(-2.306934--1.655307))+0-403.1--0.616743000000023</f>
        <v>1535.7467069999998</v>
      </c>
      <c r="Z328" s="3">
        <f>1514.3+(1336.7-942.1)+(-3.089172+(-2.726868--1.921884))+0-400.2--0.816407999999982</f>
        <v>1505.6222519999999</v>
      </c>
      <c r="AA328" s="3">
        <f>1455.3+(1061.1-627.5)+(-3.711015+(-2.705805--1.600125))+0-400--1.01999999999994</f>
        <v>1485.1033049999999</v>
      </c>
      <c r="AB328" s="3">
        <f>1281.9+(1124.7-563.1)+(-0.653769+(-0.573597--0.287181))+0-399.9--0.203948999999959</f>
        <v>1442.8637639999999</v>
      </c>
      <c r="AC328" s="3">
        <f>1242.2+(1249.7-721.7)+(-1.900566+(-1.912041--1.104201))+0-401.6--0.614448000000023</f>
        <v>1366.5060420000002</v>
      </c>
      <c r="AD328" s="2">
        <v>1558.3999999999996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1223.8+(747.1-308.3)+(0+(0-0))+0-400.2-0</f>
        <v>1262.3999999999999</v>
      </c>
      <c r="G329" s="3">
        <f>1213.8+(849.5-460)+(-0.619038+(-0.433245--0.2346))+0-402.2--0.205121999999959</f>
        <v>1200.4874389999998</v>
      </c>
      <c r="H329" s="3">
        <f>1213.6+(875.2-533)+(0+(0-0))+0-396.9-0</f>
        <v>1158.9000000000001</v>
      </c>
      <c r="I329" s="3">
        <f>1213.2+(876-558.7)+(-0.618732+(-0.44676--0.284937))+0-391.3--0.19956299999996</f>
        <v>1138.6190079999999</v>
      </c>
      <c r="J329" s="3">
        <f>1213.8+(991.8-691.6)+(0+(0-0))+0-379-0</f>
        <v>1135</v>
      </c>
      <c r="K329" s="3">
        <f>1213.8+(1108.4-806.4)+(1.238076+(1.130568-0.822528))+0-375.6-0.38311200000006</f>
        <v>1141.3630040000003</v>
      </c>
      <c r="L329" s="3">
        <f>1213.2+(1153.3-808.8)+(-1.237464+(-1.176366--0.824976))+0-375--0.38250000000006</f>
        <v>1181.4936460000001</v>
      </c>
      <c r="M329" s="3">
        <f>1213+(1073.8-668.9)+(-0.61863+(-0.547638--0.341139))+0-379.9--0.193748999999961</f>
        <v>1237.3686200000002</v>
      </c>
      <c r="N329" s="3">
        <f>1222.3+(781.5-300.2)+(-1.246746+(-0.79713--0.306204))+0-378.3--0.38586600000006</f>
        <v>1323.9481940000001</v>
      </c>
      <c r="O329" s="3">
        <f>1286.8+(830.8-328.4)+(-3.28134+(-2.11854--0.83742))+0-378.2--0.964409999999945</f>
        <v>1407.4019499999997</v>
      </c>
      <c r="P329" s="3">
        <f>1342+(1014.2-544.7)+(-2.05326+(-1.551726--0.833391))+0-374--0.572220000000022</f>
        <v>1435.3006250000001</v>
      </c>
      <c r="Q329" s="3">
        <f>1258.7+(1433.5-868.7)+(-3.209685+(-3.655425--2.215185))+0-370.2--0.944009999999946</f>
        <v>1449.594085</v>
      </c>
      <c r="R329" s="3">
        <f>1212.5+(1163.9-607.7)+(-1.23675+(-1.187178--0.619854))+0-370--0.377400000000059</f>
        <v>1397.2733260000002</v>
      </c>
      <c r="S329" s="3">
        <f>1212.1+(857.3-345.3)+(-3.090855+(-2.186115--0.880515))+0-366--0.933299999999947</f>
        <v>1354.6368449999998</v>
      </c>
      <c r="T329" s="3">
        <f>1213.4+(822.8-304.4)+(-0.618834+(-0.419628--0.155244))+0-362.9--0.185078999999963</f>
        <v>1368.201861</v>
      </c>
      <c r="U329" s="3">
        <f>1212.8+(827.4-289.5)+(0.618528+(0.421974-0.147645))+0-375.4-0.191453999999962</f>
        <v>1376.001403</v>
      </c>
      <c r="V329" s="3">
        <f>1224.3+(842.2-312.5)+(-1.248786+(-0.859044--0.31875))+0-381.3--0.388926000000061</f>
        <v>1371.2998460000001</v>
      </c>
      <c r="W329" s="3">
        <f>1352+(1256.5-819.9)+(-0.68952+(-0.640815--0.418149))+0-381.5--0.194564999999961</f>
        <v>1406.3823789999999</v>
      </c>
      <c r="X329" s="3">
        <f>1507.6+(2161.6-1678.9)+(0+(0-0))+0-381.1-0</f>
        <v>1609.1999999999998</v>
      </c>
      <c r="Y329" s="3">
        <f>1486.1+(2317.6-1775.5)+(-0.757911+(-1.181976--0.905505))+0-390.1--0.19895099999996</f>
        <v>1637.2645689999995</v>
      </c>
      <c r="Z329" s="3">
        <f>1278.8+(2340.7-1604.8)+(0+(0-0))+0-409.8-0</f>
        <v>1604.8999999999999</v>
      </c>
      <c r="AA329" s="3">
        <f>1239.4+(1814-1082.9)+(-1.896282+(-2.77542--1.656837))+0-411.5--0.629595000000024</f>
        <v>1556.61473</v>
      </c>
      <c r="AB329" s="3">
        <f>1232+(1275-595.5)+(-2.51328+(-2.601--1.21482))+0-408.8--0.833951999999982</f>
        <v>1499.6344919999999</v>
      </c>
      <c r="AC329" s="3">
        <f>1222.9+(952.4-352.2)+(-3.118395+(-2.42862--0.89811))+0-408.3--1.04116499999994</f>
        <v>1411.19226</v>
      </c>
      <c r="AD329" s="2">
        <v>1662.1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1153.6+(816.8-244.1)+(-0.588336+(-0.416568--0.124491))+0-408.1--0.208130999999959</f>
        <v>1317.5277179999994</v>
      </c>
      <c r="G330" s="3">
        <f>1146+(766.7-249.8)+(-1.16892+(-0.782034--0.254796))+0-411.5--0.419730000000066</f>
        <v>1250.1235720000002</v>
      </c>
      <c r="H330" s="3">
        <f>1146.3+(697.9-205.4)+(0.584613+(0.355929-0.104754))+0-410.7-0.209456999999958</f>
        <v>1228.7263310000001</v>
      </c>
      <c r="I330" s="3">
        <f>1150.3+(673.6-228.1)+(-1.173306+(-0.687072--0.232662))+0-406.2--0.414324000000065</f>
        <v>1188.386608</v>
      </c>
      <c r="J330" s="3">
        <f>1150.5+(647-191.4)+(-1.17351+(-0.65994--0.195228))+0-409.9--0.418098000000065</f>
        <v>1194.9798759999999</v>
      </c>
      <c r="K330" s="3">
        <f>1149.3+(888.5-424.6)+(-1.758429+(-1.359405--0.649638))+0-409.9--0.627147000000024</f>
        <v>1201.4589509999998</v>
      </c>
      <c r="L330" s="3">
        <f>1149.1+(1045.1-558.4)+(-1.758123+(-1.599003--0.854352))+0-406.3--0.621639000000023</f>
        <v>1227.6188649999997</v>
      </c>
      <c r="M330" s="3">
        <f>1148.2+(1056.9-519.5)+(-1.756746+(-1.617057--0.794835))+0-402.6--0.615978000000023</f>
        <v>1281.0370100000002</v>
      </c>
      <c r="N330" s="3">
        <f>1147.7+(805.6-149.7)+(0+(0-0))+0-406.4-0</f>
        <v>1397.2000000000003</v>
      </c>
      <c r="O330" s="3">
        <f>1157.8+(1122.7-409.7)+(-1.180956+(-1.145154--0.417894))+0-402.3--0.410346000000064</f>
        <v>1467.0021300000001</v>
      </c>
      <c r="P330" s="3">
        <f>1191.6+(1541.9-835.5)+(-0.607716+(-0.786369--0.426105))+0-399--0.20348999999996</f>
        <v>1498.23551</v>
      </c>
      <c r="Q330" s="3">
        <f>1191+(1818.1-1103.5)+(-1.21482+(-1.854462--1.12557))+0-396.5--0.404430000000063</f>
        <v>1507.560718</v>
      </c>
      <c r="R330" s="3">
        <f>1188.6+(1736.5-1073.1)+(-2.424744+(-3.54246--2.189124))+0-399.8--0.815591999999983</f>
        <v>1449.2375119999999</v>
      </c>
      <c r="S330" s="3">
        <f>1190.7+(1387.1-774.8)+(0+(0-0))+0-402.2-0</f>
        <v>1400.8</v>
      </c>
      <c r="T330" s="3">
        <f>1190.4+(1522.4-875.5)+(1.214208+(1.552848-0.89301))+0-406.9-0.415038000000065</f>
        <v>1431.8590079999999</v>
      </c>
      <c r="U330" s="3">
        <f>1190+(1457.9-804.7)+(-0.6069+(-0.743529--0.410397))+0-407.5--0.207824999999959</f>
        <v>1434.967793</v>
      </c>
      <c r="V330" s="3">
        <f>1194.4+(1474.9-832.1)+(-1.218288+(-1.504398--0.848742))+0-411--0.419220000000066</f>
        <v>1424.7452760000003</v>
      </c>
      <c r="W330" s="3">
        <f>1373.9+(1669.3-1198.3)+(2.102067+(2.554029-1.833399))+0-402.1-0.615213000000023</f>
        <v>1445.0074840000002</v>
      </c>
      <c r="X330" s="3">
        <f>1588.3+(2097-1612.7)+(-1.620066+(-2.13894--1.644954))+0-408.4--0.416568000000065</f>
        <v>1662.502516</v>
      </c>
      <c r="Y330" s="3">
        <f>1596+(1827.6-1347.6)+(-0.81396+(-0.932076--0.687276))+0-411.7--0.209966999999958</f>
        <v>1663.4512070000001</v>
      </c>
      <c r="Z330" s="3">
        <f>1367.4+(1788.1-1142.2)+(0+(0-0))+0-404.7-0</f>
        <v>1608.6</v>
      </c>
      <c r="AA330" s="3">
        <f>1246.5+(1637.7-921.4)+(0+(0-0))+0-404-0</f>
        <v>1558.8000000000002</v>
      </c>
      <c r="AB330" s="3">
        <f>1238.7+(1707.6-1005.1)+(-4.422159+(-6.096132--3.588207))+0-404.9--1.44549300000001</f>
        <v>1530.8154089999996</v>
      </c>
      <c r="AC330" s="3">
        <f>1238.2+(1109.4-502.1)+(-4.420374+(-3.960558--1.792497))+0-408.8--1.45941600000001</f>
        <v>1431.5709810000001</v>
      </c>
      <c r="AD330" s="2">
        <v>1696.3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1232.9+(686.4-188.6)+(0+(0-0))+0-411.6-0</f>
        <v>1319.1</v>
      </c>
      <c r="G331" s="3">
        <f>1196.5+(705.6-215.5)+(0+(0-0))+0-412.6-0</f>
        <v>1274</v>
      </c>
      <c r="H331" s="3">
        <f>1198.1+(657.8-238)+(0.611031+(0.335478-0.12138))+0-412.9-0.210578999999958</f>
        <v>1205.6145499999998</v>
      </c>
      <c r="I331" s="3">
        <f>1198+(642.1-228.1)+(0+(0-0))+0-406.6-0</f>
        <v>1205.4000000000001</v>
      </c>
      <c r="J331" s="3">
        <f>1196.9+(626-199.2)+(0+(0-0))+0-413.9-0</f>
        <v>1209.8000000000002</v>
      </c>
      <c r="K331" s="3">
        <f>1198+(620.8-206.8)+(1.22196+(0.633216-0.210936))+0-411-0.419220000000066</f>
        <v>1202.2250200000001</v>
      </c>
      <c r="L331" s="3">
        <f>1197.6+(846.9-395.9)+(0+(0-0))+0-406-0</f>
        <v>1242.5999999999999</v>
      </c>
      <c r="M331" s="3">
        <f>1195.9+(848.9-360.5)+(-1.219818+(-0.865878--0.36771))+0-404.4--0.412488000000064</f>
        <v>1278.5945020000001</v>
      </c>
      <c r="N331" s="3">
        <f>1198.1+(747.3-157.5)+(1.222062+(0.762246-0.16065))+0-405.9-0.414018000000065</f>
        <v>1383.4096399999996</v>
      </c>
      <c r="O331" s="3">
        <f>1197.3+(1178.8-507.8)+(-3.053115+(-3.00594--1.29489))+0-413.5--1.05442499999994</f>
        <v>1451.0902599999999</v>
      </c>
      <c r="P331" s="3">
        <f>1197.8+(1479.6-792.4)+(-0.610878+(-0.754596--0.404124))+0-407--0.207569999999959</f>
        <v>1477.24622</v>
      </c>
      <c r="Q331" s="3">
        <f>1192.9+(1737.9-1036.9)+(-1.825137+(-2.658987--1.586457))+0-410.6--0.628218000000024</f>
        <v>1481.0305510000001</v>
      </c>
      <c r="R331" s="3">
        <f>1192.7+(1936.8-1277.5)+(-0.608277+(-0.987768--0.651525))+0-405.1--0.206600999999959</f>
        <v>1446.1620809999999</v>
      </c>
      <c r="S331" s="3">
        <f>1191.3+(1756.7-1118.4)+(-1.215126+(-1.791834--1.140768))+0-416.6--0.424932000000066</f>
        <v>1411.5587400000002</v>
      </c>
      <c r="T331" s="3">
        <f>1191.9+(1689.6-1018.2)+(1.215738+(1.723392-1.038564))+0-412.7-0.420954000000066</f>
        <v>1452.0796119999998</v>
      </c>
      <c r="U331" s="3">
        <f>1193.1+(1485.9-838.6)+(-0.608481+(-0.757809--0.427686))+0-413--0.210629999999958</f>
        <v>1426.6720260000002</v>
      </c>
      <c r="V331" s="3">
        <f>1186.6+(1296.7-655.3)+(-3.02583+(-3.306585--1.671015))+0-413.1--1.05340499999994</f>
        <v>1411.292005</v>
      </c>
      <c r="W331" s="3">
        <f>1325.7+(1372.3-829.7)+(2.028321+(2.099619-1.269441))+0-415.2-0.635256000000024</f>
        <v>1455.3232429999998</v>
      </c>
      <c r="X331" s="3">
        <f>1565.7+(1745.8-1259.1)+(0+(0-0))+0-413.1-0</f>
        <v>1639.3000000000002</v>
      </c>
      <c r="Y331" s="3">
        <f>1587.6+(1674.4-1198.6)+(-3.238704+(-3.415776--2.445144))+0-412.9--0.842315999999982</f>
        <v>1647.1329800000001</v>
      </c>
      <c r="Z331" s="3">
        <f>1456.4+(1610-1037.6)+(-2.971056+(-3.2844--2.116704))+0-416.7--0.850067999999982</f>
        <v>1608.811316</v>
      </c>
      <c r="AA331" s="3">
        <f>1263.2+(1503.1-778.3)+(-0.644232+(-0.766581--0.396933))+0-417.7--0.213026999999958</f>
        <v>1569.499147</v>
      </c>
      <c r="AB331" s="3">
        <f>1185.5+(1289.2-535.4)+(-2.41842+(-2.629968--1.092216))+0-409.5--0.835379999999982</f>
        <v>1526.6792080000002</v>
      </c>
      <c r="AC331" s="3">
        <f>1161.5+(989.8-283.1)+(-2.36946+(-2.019192--0.577524))+0-415.6--0.847823999999982</f>
        <v>1449.6366959999996</v>
      </c>
      <c r="AD331" s="2">
        <v>1659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1160.1+(764.8-187.3)+(-2.366604+(-1.560192--0.382092))+0-389.4--0.794375999999983</f>
        <v>1345.449672</v>
      </c>
      <c r="G332" s="3">
        <f>1161.3+(774-268)+(-0.592263+(-0.39474--0.13668))+0-401.2--0.204611999999959</f>
        <v>1265.454289</v>
      </c>
      <c r="H332" s="3">
        <f>1162.9+(796-322.2)+(-1.186158+(-0.81192--0.328644))+0-407.4--0.415548000000065</f>
        <v>1228.0461140000004</v>
      </c>
      <c r="I332" s="3">
        <f>1149.3+(752.4-287.1)+(-1.172286+(-0.767448--0.292842))+0-388.3--0.396066000000062</f>
        <v>1225.049174</v>
      </c>
      <c r="J332" s="3">
        <f>1144.8+(824.5-370.2)+(0.583848+(0.420495-0.188802))+0-386.3-0.197012999999961</f>
        <v>1213.4185279999999</v>
      </c>
      <c r="K332" s="3">
        <f>1144.6+(843.2-390.3)+(-0.583746+(-0.430032--0.199053))+0-384.7--0.196196999999961</f>
        <v>1212.181472</v>
      </c>
      <c r="L332" s="3">
        <f>1143.4+(968.9-512.4)+(-2.332536+(-1.976556--1.045296))+0-384.7--0.784787999999983</f>
        <v>1212.720992</v>
      </c>
      <c r="M332" s="3">
        <f>1144.3+(991.3-515)+(1.167186+(1.011126-0.5253))+0-382-0.389640000000061</f>
        <v>1239.8633719999998</v>
      </c>
      <c r="N332" s="3">
        <f>1139.5+(811-248.4)+(-1.16229+(-0.82722--0.253368))+0-373.5--0.38097000000006</f>
        <v>1327.2448280000001</v>
      </c>
      <c r="O332" s="3">
        <f>1145.7+(1148.3-507.4)+(2.921535+(2.928165-1.29387))+0-376.5-0.960074999999945</f>
        <v>1413.695755</v>
      </c>
      <c r="P332" s="3">
        <f>1145.4+(1683.9-1014.8)+(-1.752462+(-2.576367--1.552644))+0-372.9--0.570537000000022</f>
        <v>1439.3943520000003</v>
      </c>
      <c r="Q332" s="3">
        <f>1144.2+(1744.1-1050.1)+(-1.167084+(-1.778982--1.071102))+0-374.1--0.38158200000006</f>
        <v>1462.6066179999998</v>
      </c>
      <c r="R332" s="3">
        <f>1143+(1379.8-736.8)+(-4.08051+(-4.925886--2.630376))+0-377.7--1.34838900000001</f>
        <v>1403.272369</v>
      </c>
      <c r="S332" s="3">
        <f>1143.8+(1151.4-572.3)+(-0.583338+(-0.587214--0.291873))+0-385.6--0.196655999999961</f>
        <v>1336.6179770000001</v>
      </c>
      <c r="T332" s="3">
        <f>1144.5+(1247.7-656.4)+(-0.583695+(-0.636327--0.334764))+0-392.3--0.20007299999996</f>
        <v>1342.8148150000002</v>
      </c>
      <c r="U332" s="3">
        <f>1143.8+(1045.2-461.8)+(-1.166676+(-1.066104--0.471036))+0-386.7--0.394434000000062</f>
        <v>1339.1326900000001</v>
      </c>
      <c r="V332" s="3">
        <f>1145.1+(880.3-305.2)+(1.168002+(0.897906-0.311304))+0-388.5-0.396270000000062</f>
        <v>1333.0583339999998</v>
      </c>
      <c r="W332" s="3">
        <f>1163.4+(1162.1-576.9)+(1.186668+(1.185342-0.588438))+0-397.6-0.405552000000063</f>
        <v>1352.3780199999997</v>
      </c>
      <c r="X332" s="3">
        <f>1364.4+(1676.9-1086.2)+(-2.087532+(-2.565657--1.661886))+0-401.2--0.613836000000023</f>
        <v>1551.5225330000001</v>
      </c>
      <c r="Y332" s="3">
        <f>1534.3+(1802.8-1345.8)+(0.782493+(0.919428-0.686358))+0-400.5-0.204254999999959</f>
        <v>1591.611308</v>
      </c>
      <c r="Z332" s="3">
        <f>1540.5+(1686.7-1271.7)+(-1.57131+(-1.720434--1.297134))+0-394.7--0.402594000000063</f>
        <v>1559.2079840000001</v>
      </c>
      <c r="AA332" s="3">
        <f>1377.7+(1579.7-1035.2)+(0+(0-0))+0-400.4-0</f>
        <v>1521.8000000000002</v>
      </c>
      <c r="AB332" s="3">
        <f>1260.4+(1413-789.1)+(-1.285608+(-1.44126--0.804882))+0-406.7--0.414834000000065</f>
        <v>1476.0928480000002</v>
      </c>
      <c r="AC332" s="3">
        <f>1216.3+(1286.4-708.3)+(0.620313+(0.656064-0.361233))+0-408.7-0.208436999999959</f>
        <v>1386.4067070000001</v>
      </c>
      <c r="AD332" s="2">
        <v>1575.8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1213+(871.5-357.3)+(0.61863+(0.444465-0.182223))+0-411.9-0.210068999999958</f>
        <v>1315.9708029999999</v>
      </c>
      <c r="G333" s="3">
        <f>1212.6+(642.3-198.8)+(0.618426+(0.327573-0.101388))+0-410-0.209099999999958</f>
        <v>1246.7355109999999</v>
      </c>
      <c r="H333" s="3">
        <f>1193.1+(723-294.9)+(0+(0-0))+0-413.3-0</f>
        <v>1207.8999999999999</v>
      </c>
      <c r="I333" s="3">
        <f>1192.2+(752.1-355.4)+(-0.608022+(-0.383571--0.181254))+0-406.5--0.207314999999959</f>
        <v>1181.7969759999999</v>
      </c>
      <c r="J333" s="3">
        <f>1193.3+(702.3-322.8)+(-1.217166+(-0.716346--0.329256))+0-401.3--0.409326000000064</f>
        <v>1170.3050699999999</v>
      </c>
      <c r="K333" s="3">
        <f>1193+(699.2-314.7)+(1.82529+(1.069776-0.481491))+0-409.5-0.626535000000024</f>
        <v>1169.7870399999999</v>
      </c>
      <c r="L333" s="3">
        <f>1192.2+(750.3-381.7)+(-0.608022+(-0.382653--0.194667))+0-408.3--0.208232999999959</f>
        <v>1151.912225</v>
      </c>
      <c r="M333" s="3">
        <f>1192.3+(1050.9-717.4)+(1.216146+(1.071918-0.731748))+0-408.1-0.416262000000065</f>
        <v>1118.840054</v>
      </c>
      <c r="N333" s="3">
        <f>1181.7+(1099.7-737.9)+(-0.602667+(-0.560847--0.376329))+0-408--0.208079999999959</f>
        <v>1134.920895</v>
      </c>
      <c r="O333" s="3">
        <f>1163+(870.5-423.5)+(-0.59313+(-0.443955--0.215985))+0-417.8--0.213077999999958</f>
        <v>1191.5919780000002</v>
      </c>
      <c r="P333" s="3">
        <f>1171.5+(745.3-262.7)+(-2.38986+(-1.520412--0.535908))+0-410.3--0.837011999999982</f>
        <v>1241.2626479999999</v>
      </c>
      <c r="Q333" s="3">
        <f>1189.4+(791.4-300.2)+(-1.819782+(-1.210842--0.459306))+0-414.3--0.633879000000024</f>
        <v>1264.3625610000001</v>
      </c>
      <c r="R333" s="3">
        <f>1187.9+(780.8-304.2)+(-4.240803+(-2.787456--1.085994))+0-417.5--1.49047500000001</f>
        <v>1242.5482100000002</v>
      </c>
      <c r="S333" s="3">
        <f>1190.7+(679.4-239.3)+(-1.214514+(-0.692988--0.244086))+0-405.8--0.413916000000065</f>
        <v>1223.7504999999999</v>
      </c>
      <c r="T333" s="3">
        <f>1191.3+(623-211.4)+(-0.607563+(-0.31773--0.107814))+0-393.5--0.20068499999996</f>
        <v>1208.7832060000001</v>
      </c>
      <c r="U333" s="3">
        <f>1192.7+(616.4-203.3)+(0.608277+(0.314364-0.103683))+0-399.9-0.203948999999959</f>
        <v>1206.515009</v>
      </c>
      <c r="V333" s="3">
        <f>1234.2+(612.9-224.5)+(0+(0-0))+0-405.6-0</f>
        <v>1217</v>
      </c>
      <c r="W333" s="3">
        <f>1370.4+(639.8-313.4)+(0+(0-0))+0-412.3-0</f>
        <v>1284.5000000000002</v>
      </c>
      <c r="X333" s="3">
        <f>1391.1+(1271.2-797.3)+(-0.709461+(-0.648312--0.406623))+0-412--0.210119999999958</f>
        <v>1452.2589699999999</v>
      </c>
      <c r="Y333" s="3">
        <f>1393.2+(1564.2-1041.4)+(-2.842128+(-3.190968--2.124456))+0-416.8--0.850271999999982</f>
        <v>1496.1416319999998</v>
      </c>
      <c r="Z333" s="3">
        <f>1393.1+(1465.6-973.6)+(-0.710481+(-0.747456--0.496536))+0-414.9--0.211598999999958</f>
        <v>1469.4501979999998</v>
      </c>
      <c r="AA333" s="3">
        <f>1309.9+(1662-1093.4)+(-2.672196+(-3.39048--2.230536))+0-418.8--0.854351999999982</f>
        <v>1456.7222120000001</v>
      </c>
      <c r="AB333" s="3">
        <f>1216.6+(1615.2-985.6)+(-3.10233+(-4.11876--2.51328))+0-418.6--1.06742999999994</f>
        <v>1423.9596199999994</v>
      </c>
      <c r="AC333" s="3">
        <f>1211.4+(1388.7-820.9)+(-4.324698+(-4.957659--2.930613))+0-418.9--1.49547300000001</f>
        <v>1355.4437290000001</v>
      </c>
      <c r="AD333" s="2">
        <v>1476.6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1196.6+(599.7-147.2)+(-3.05133+(-1.529235--0.37536))+0-412--1.05059999999994</f>
        <v>1233.945395</v>
      </c>
      <c r="G334" s="3">
        <f>1187.5+(640.6-221.3)+(-3.028125+(-1.63353--0.564315))+0-422.9--1.07839499999994</f>
        <v>1180.8810549999998</v>
      </c>
      <c r="H334" s="3">
        <f>1188.7+(665.5-278.7)+(-2.424948+(-1.35762--0.568548))+0-420.6--0.858023999999982</f>
        <v>1152.5440040000001</v>
      </c>
      <c r="I334" s="3">
        <f>1192.2+(797.5-427.1)+(0.608022+(0.406725-0.217821))+0-417.4-0.212873999999958</f>
        <v>1145.7840519999997</v>
      </c>
      <c r="J334" s="3">
        <f>1189.9+(712.7-331)+(-0.606849+(-0.363477--0.16881))+0-422.6--0.215525999999957</f>
        <v>1148.41401</v>
      </c>
      <c r="K334" s="3">
        <f>1189.3+(876.5-487.1)+(-1.213086+(-0.89403--0.496842))+0-418.3--0.426666000000067</f>
        <v>1159.216392</v>
      </c>
      <c r="L334" s="3">
        <f>1187.7+(1058.5-648.8)+(-2.422908+(-2.15934--1.323552))+0-415.7--0.848027999999982</f>
        <v>1179.2893319999998</v>
      </c>
      <c r="M334" s="3">
        <f>1190.7+(1038.3-538.4)+(-0.607257+(-0.529533--0.274584))+0-421.1--0.214760999999957</f>
        <v>1268.8525549999997</v>
      </c>
      <c r="N334" s="3">
        <f>1192+(828.2-251.5)+(0.60792+(0.422382-0.128265))+0-433.1-0.220880999999956</f>
        <v>1336.2811560000002</v>
      </c>
      <c r="O334" s="3">
        <f>1192.6+(969.3-313.1)+(2.432904+(1.977372-0.638724))+0-431.6-0.880463999999981</f>
        <v>1420.0910879999994</v>
      </c>
      <c r="P334" s="3">
        <f>1193.3+(1294.8-571)+(-1.217166+(-1.320696--0.58242))+0-432.5--0.441150000000069</f>
        <v>1483.0857080000001</v>
      </c>
      <c r="Q334" s="3">
        <f>1192.3+(1363.9-677.8)+(0+(0-0))+0-420.6-0</f>
        <v>1457.8000000000002</v>
      </c>
      <c r="R334" s="3">
        <f>1192.3+(1349-702.2)+(-3.040365+(-3.43995--1.79061))+0-427.6--1.09037999999994</f>
        <v>1407.9006749999996</v>
      </c>
      <c r="S334" s="3">
        <f>1192.9+(1073.7-465.8)+(0.608379+(0.547587-0.237558))+0-432.8-0.220727999999956</f>
        <v>1368.6976800000002</v>
      </c>
      <c r="T334" s="3">
        <f>1192.2+(1095.4-487.3)+(0+(0-0))+0-434.4-0</f>
        <v>1365.9</v>
      </c>
      <c r="U334" s="3">
        <f>1193.9+(1055.9-444.5)+(0+(0-0))+0-443.4-0</f>
        <v>1361.9</v>
      </c>
      <c r="V334" s="3">
        <f>1208.9+(1099.9-514.2)+(1.849617+(1.682847-0.786726))+0-437.5-0.669375000000025</f>
        <v>1359.1763630000003</v>
      </c>
      <c r="W334" s="3">
        <f>1429.5+(1655.9-1241.5)+(2.187135+(2.533527-1.899495))+0-445.3-0.681309000000026</f>
        <v>1400.7398580000001</v>
      </c>
      <c r="X334" s="3">
        <f>1581.4+(2321-1862.8)+(2.419542+(3.55113-2.850084))+0-446.6-0.683298000000026</f>
        <v>1595.4372900000003</v>
      </c>
      <c r="Y334" s="3">
        <f>1584+(2248.8-1775.7)+(-2.42352+(-3.440664--2.716821))+0-452.6--0.692478000000026</f>
        <v>1602.0451150000004</v>
      </c>
      <c r="Z334" s="3">
        <f>1512.6+(2008.4-1486.7)+(-1.542852+(-2.048568--1.516434))+0-426.6--0.435132000000068</f>
        <v>1606.0601459999998</v>
      </c>
      <c r="AA334" s="3">
        <f>1393.9+(1521-911.1)+(-1.421778+(-1.55142--0.929322))+0-429.2--0.437784000000068</f>
        <v>1572.9939080000001</v>
      </c>
      <c r="AB334" s="3">
        <f>1390.8+(899.2-356.2)+(-4.965156+(-3.210144--1.271634))+0-425.5--1.51903500000001</f>
        <v>1502.9153690000001</v>
      </c>
      <c r="AC334" s="3">
        <f>1215.1+(844.2-228.3)+(-2.478804+(-1.722168--0.465732))+0-423.7--0.864347999999981</f>
        <v>1404.429108</v>
      </c>
      <c r="AD334" s="2">
        <v>1630.2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1145.3+(861.5-287.7)+(-1.168206+(-0.87873--0.293454))+0-424.6--0.433092000000068</f>
        <v>1293.1796099999999</v>
      </c>
      <c r="G335" s="3">
        <f>1143.1+(635.5-108.9)+(-2.331924+(-1.29642--0.222156))+0-428--0.873119999999981</f>
        <v>1239.1669319999999</v>
      </c>
      <c r="H335" s="3">
        <f>1141.4+(655.2-158.1)+(0+(0-0))+0-427-0</f>
        <v>1211.5</v>
      </c>
      <c r="I335" s="3">
        <f>1140.2+(599.7-126.7)+(-1.744506+(-0.917541--0.193851))+0-430.1--0.658053000000025</f>
        <v>1181.2898570000002</v>
      </c>
      <c r="J335" s="3">
        <f>1141.7+(722.2-245.9)+(0.582267+(0.368322-0.125409))+0-422.1-0.215270999999957</f>
        <v>1196.5099089999999</v>
      </c>
      <c r="K335" s="3">
        <f>1142.3+(728-258.8)+(0+(0-0))+0-411.2-0</f>
        <v>1200.3</v>
      </c>
      <c r="L335" s="3">
        <f>1141+(979.6-489.3)+(-1.16382+(-0.999192--0.499086))+0-413.5--0.421770000000066</f>
        <v>1216.5578440000002</v>
      </c>
      <c r="M335" s="3">
        <f>1140.4+(723.9-181.9)+(0+(0-0))+0-412.3-0</f>
        <v>1270.1000000000001</v>
      </c>
      <c r="N335" s="3">
        <f>1140.8+(939.2-305.3)+(-0.581808+(-0.478992--0.155703))+0-413.9--0.211088999999958</f>
        <v>1360.1059919999998</v>
      </c>
      <c r="O335" s="3">
        <f>1141.3+(1478.6-796)+(1.746189+(2.262258-1.21788))+0-413.1-0.632043000000024</f>
        <v>1412.9585239999997</v>
      </c>
      <c r="P335" s="3">
        <f>1166.7+(1898.9-1206.9)+(1.190034+(1.936878-1.231038))+0-411.2-0.419424000000066</f>
        <v>1448.9764499999999</v>
      </c>
      <c r="Q335" s="3">
        <f>1189.1+(2024.4-1355.9)+(-0.606441+(-1.032444--0.691509))+0-396--0.20195999999996</f>
        <v>1460.8545839999997</v>
      </c>
      <c r="R335" s="3">
        <f>1189.4+(1750.1-1098.1)+(0+(0-0))+0-425.1-0</f>
        <v>1416.3000000000002</v>
      </c>
      <c r="S335" s="3">
        <f>1188.4+(1492.5-885)+(-2.424336+(-3.0447--1.8054))+0-424.4--0.865775999999981</f>
        <v>1368.7021400000001</v>
      </c>
      <c r="T335" s="3">
        <f>1190.7+(1466.3-845.9)+(-0.607257+(-0.747813--0.431409))+0-419.1--0.213740999999957</f>
        <v>1391.2900799999998</v>
      </c>
      <c r="U335" s="3">
        <f>1190+(1563.4-941.9)+(-1.2138+(-1.594668--0.960738))+0-420.5--0.428910000000067</f>
        <v>1389.5811800000001</v>
      </c>
      <c r="V335" s="3">
        <f>1197.1+(1641-1058.4)+(-0.610521+(-0.83691--0.539784))+0-367.8--0.187577999999963</f>
        <v>1411.1799309999999</v>
      </c>
      <c r="W335" s="3">
        <f>1449.2+(1760.6-1371.5)+(0.739092+(0.897906-0.699465))+0-408.2-0.208181999999959</f>
        <v>1430.8293510000001</v>
      </c>
      <c r="X335" s="3">
        <f>1584.9+(2396.4-1909)+(0.808299+(1.222164-0.97359))+0-422-0.215219999999957</f>
        <v>1651.1416530000001</v>
      </c>
      <c r="Y335" s="3">
        <f>1589.9+(2141.5-1644.7)+(-3.243396+(-4.36866--3.355188))+0-408.7--0.833747999999982</f>
        <v>1674.5768799999998</v>
      </c>
      <c r="Z335" s="3">
        <f>1533.2+(1683.8-1174.8)+(-1.563864+(-1.717476--1.198296))+0-413.6--0.421872000000066</f>
        <v>1626.9388280000001</v>
      </c>
      <c r="AA335" s="3">
        <f>1277+(1241.8-521.1)+(0+(0-0))+0-420.3-0</f>
        <v>1577.3999999999999</v>
      </c>
      <c r="AB335" s="3">
        <f>1190.9+(961.9-199.7)+(0+(0-0))+0-425.5-0</f>
        <v>1527.6000000000001</v>
      </c>
      <c r="AC335" s="3">
        <f>1161.1+(796.3-116.8)+(-2.960805+(-2.030565--0.29784))+0-423.2--1.07915999999994</f>
        <v>1413.7856299999999</v>
      </c>
      <c r="AD335" s="2">
        <v>1698.7999999999997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1139.8+(717.7-112.5)+(-1.162596+(-0.732054--0.11475))+0-422.4--0.430848000000067</f>
        <v>1321.2509479999999</v>
      </c>
      <c r="G336" s="3">
        <f>1143+(643-101.9)+(1.74879+(0.98379-0.155907))+0-425.6-0.651168000000025</f>
        <v>1260.4255049999999</v>
      </c>
      <c r="H336" s="3">
        <f>1142.7+(812.2-305.2)+(0+(0-0))+0-422.1-0</f>
        <v>1227.5999999999999</v>
      </c>
      <c r="I336" s="3">
        <f>1142.6+(752.3-261.1)+(0+(0-0))+0-412.7-0</f>
        <v>1221.0999999999997</v>
      </c>
      <c r="J336" s="3">
        <f>1142.9+(710.8-208.2)+(0+(0-0))+0-423.7-0</f>
        <v>1221.8</v>
      </c>
      <c r="K336" s="3">
        <f>1143.8+(610.9-111.2)+(2.333352+(1.246236-0.226848))+0-415-0.846599999999982</f>
        <v>1231.00614</v>
      </c>
      <c r="L336" s="3">
        <f>1142.1+(638.8-129.1)+(-2.912355+(-1.62894--0.329205))+0-419.1--1.06870499999994</f>
        <v>1229.5566149999997</v>
      </c>
      <c r="M336" s="3">
        <f>1142.7+(728.5-162.9)+(0.582777+(0.371535-0.083079))+0-421.8-0.215117999999957</f>
        <v>1287.1561150000005</v>
      </c>
      <c r="N336" s="3">
        <f>1143.4+(770.6-132.7)+(-0.583134+(-0.393006--0.067677))+0-406.5--0.207314999999959</f>
        <v>1374.0988520000001</v>
      </c>
      <c r="O336" s="3">
        <f>1202.1+(1300-651.9)+(1.839213+(1.989-0.997407))+0-405.1-0.619803000000023</f>
        <v>1447.3110029999998</v>
      </c>
      <c r="P336" s="3">
        <f>1240.1+(1777.2-1138.7)+(-0.632451+(-0.906372--0.580737))+0-394.4--0.20114399999996</f>
        <v>1483.4430579999996</v>
      </c>
      <c r="Q336" s="3">
        <f>1242.3+(1881.3-1254.7)+(1.900719+(2.878389-1.919691))+0-383.2-0.586296000000022</f>
        <v>1487.9731209999998</v>
      </c>
      <c r="R336" s="3">
        <f>1237.4+(1778.4-1189.3)+(-3.786444+(-5.441904--3.639258))+0-382.8--1.17136800000004</f>
        <v>1439.2822780000004</v>
      </c>
      <c r="S336" s="3">
        <f>1240.6+(1444.4-911.1)+(-1.898118+(-2.209932--1.393983))+0-388.5--0.594405000000023</f>
        <v>1383.2803380000003</v>
      </c>
      <c r="T336" s="3">
        <f>1242.2+(1367.5-808.7)+(0.633522+(0.697425-0.412437))+0-403.1-0.205580999999959</f>
        <v>1398.6129290000001</v>
      </c>
      <c r="U336" s="3">
        <f>1242.7+(1286.8-761.2)+(0+(0-0))+0-402.6-0</f>
        <v>1365.6999999999998</v>
      </c>
      <c r="V336" s="3">
        <f>1252.7+(1402.9-846.7)+(-1.277754+(-1.430958--0.863634))+0-408--0.416160000000065</f>
        <v>1399.471082</v>
      </c>
      <c r="W336" s="3">
        <f>1530.7+(1334.3-1009.9)+(-3.122628+(-2.721972--2.060196))+0-411.6--0.839663999999982</f>
        <v>1440.5552600000001</v>
      </c>
      <c r="X336" s="3">
        <f>1594.2+(1726.1-1290.7)+(-0.813042+(-0.880311--0.658257))+0-416--0.212159999999958</f>
        <v>1612.7770639999999</v>
      </c>
      <c r="Y336" s="3">
        <f>1594.9+(1856.4-1374.6)+(-2.440197+(-2.840292--2.103138))+0-415.2--0.635256000000024</f>
        <v>1658.9579050000004</v>
      </c>
      <c r="Z336" s="3">
        <f>1468.6+(1896.7-1334)+(-2.246958+(-2.901951--2.04102))+0-418--0.639540000000024</f>
        <v>1610.8316510000002</v>
      </c>
      <c r="AA336" s="3">
        <f>1283.2+(1896-1210.3)+(-3.27216+(-4.8348--3.086265))+0-415.7--1.06003499999994</f>
        <v>1549.2393400000001</v>
      </c>
      <c r="AB336" s="3">
        <f>1260.7+(1650.2-987.6)+(-1.928871+(-2.524806--1.511028))+0-411.4--0.629442000000024</f>
        <v>1509.5867929999999</v>
      </c>
      <c r="AC336" s="3">
        <f>1188+(1523.1-857.3)+(-3.0294+(-3.883905--2.186115))+0-421.9--1.07584499999994</f>
        <v>1428.2486549999999</v>
      </c>
      <c r="AD336" s="2">
        <v>1662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1145.4+(831.7-198.2)+(-1.168308+(-0.848334--0.202164))+0-421.3--0.429726000000067</f>
        <v>1356.2152480000002</v>
      </c>
      <c r="G337" s="3">
        <f>1145.8+(709.9-204.3)+(0.584358+(0.362049-0.104193))+0-402.8-0.205427999999959</f>
        <v>1249.2367859999999</v>
      </c>
      <c r="H337" s="3">
        <f>1143.7+(815.9-357.2)+(2.333148+(1.664436-0.728688))+0-400.4-0.816815999999982</f>
        <v>1204.45208</v>
      </c>
      <c r="I337" s="3">
        <f>1142.8+(834.2-389.6)+(0+(0-0))+0-399.3-0</f>
        <v>1188.1000000000001</v>
      </c>
      <c r="J337" s="3">
        <f>1142+(740.8-296.1)+(-0.58242+(-0.377808--0.151011))+0-399.4--0.203693999999959</f>
        <v>1186.6944769999998</v>
      </c>
      <c r="K337" s="3">
        <f>1140.8+(858.4-417.9)+(-2.90904+(-2.18892--1.065645))+0-395.5--1.00852499999994</f>
        <v>1182.77621</v>
      </c>
      <c r="L337" s="3">
        <f>1141.7+(827.3-357.5)+(-1.164534+(-0.843846--0.36465))+0-394.9--0.402798000000063</f>
        <v>1215.3590680000002</v>
      </c>
      <c r="M337" s="3">
        <f>1143.6+(741.3-216.2)+(-0.583236+(-0.378063--0.110262))+0-397.8--0.20287799999996</f>
        <v>1270.251841</v>
      </c>
      <c r="N337" s="3">
        <f>1143.2+(823.2-201)+(0+(0-0))+0-399.8-0</f>
        <v>1365.6000000000001</v>
      </c>
      <c r="O337" s="3">
        <f>1143.3+(1157.5-465.3)+(0+(0-0))+0-401.7-0</f>
        <v>1433.8</v>
      </c>
      <c r="P337" s="3">
        <f>1143.8+(1429.7-722)+(0+(0-0))+0-392.7-0</f>
        <v>1458.8</v>
      </c>
      <c r="Q337" s="3">
        <f>1142.9+(1456.7-745.6)+(-1.748637+(-2.228751--1.140768))+0-383.8--0.587214000000022</f>
        <v>1467.9505940000001</v>
      </c>
      <c r="R337" s="3">
        <f>1143.1+(1503-868.6)+(-1.165962+(-1.53306--0.885972))+0-382.6--0.390252000000061</f>
        <v>1393.477202</v>
      </c>
      <c r="S337" s="3">
        <f>1142.8+(1411.8-809.1)+(1.165656+(1.440036-0.825282))+0-369.4-0.376788000000059</f>
        <v>1377.5036220000002</v>
      </c>
      <c r="T337" s="3">
        <f>1143.8+(1645-992.1)+(0.583338+(0.83895-0.505971))+0-380.5-0.194054999999961</f>
        <v>1416.9222619999998</v>
      </c>
      <c r="U337" s="3">
        <f>1144+(1595.6-958.2)+(-0.58344+(-0.813756--0.488682))+0-380.5--0.194054999999961</f>
        <v>1400.1855409999998</v>
      </c>
      <c r="V337" s="3">
        <f>1152.9+(1462.2-900.8)+(0+(0-0))+0-388.8-0</f>
        <v>1325.5000000000002</v>
      </c>
      <c r="W337" s="3">
        <f>1405+(1204.1-830.9)+(2.14965+(1.842273-1.271277))+0-390.1-0.596853000000023</f>
        <v>1390.2237929999997</v>
      </c>
      <c r="X337" s="3">
        <f>1587.7+(1811.5-1310.4)+(-1.619454+(-1.84773--1.336608))+0-393.3--0.401166000000063</f>
        <v>1693.7705900000003</v>
      </c>
      <c r="Y337" s="3">
        <f>1595.3+(2071.4-1648.3)+(1.627206+(2.112828-1.681266))+0-389.7-0.397494000000062</f>
        <v>1630.3612740000001</v>
      </c>
      <c r="Z337" s="3">
        <f>1593.6+(2244.1-1847.7)+(0+(0-0))+0-391.3-0</f>
        <v>1598.6999999999998</v>
      </c>
      <c r="AA337" s="3">
        <f>1360.5+(1954.6-1347.8)+(-0.693855+(-0.996846--0.687378))+0-393.2--0.20053199999996</f>
        <v>1573.2972090000001</v>
      </c>
      <c r="AB337" s="3">
        <f>1259.3+(1700.3-1048.1)+(-3.211215+(-4.335765--2.672655))+0-393.1--1.00240499999994</f>
        <v>1514.5280799999998</v>
      </c>
      <c r="AC337" s="3">
        <f>1164.1+(1332.4-677.3)+(-1.781073+(-2.038572--1.036269))+0-389.2--0.595476000000022</f>
        <v>1427.8120999999999</v>
      </c>
      <c r="AD337" s="2">
        <v>1787.6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1142.7+(844.5-285.6)+(-1.165554+(-0.86139--0.291312))+0-388.4--0.396168000000062</f>
        <v>1311.8605359999999</v>
      </c>
      <c r="G338" s="3">
        <f>1143.5+(684.1-198.1)+(-2.33274+(-1.395564--0.404124))+0-394.6--0.804983999999983</f>
        <v>1232.3808039999999</v>
      </c>
      <c r="H338" s="3">
        <f>1143.4+(715.3-237.7)+(0+(0-0))+0-399.9-0</f>
        <v>1221.0999999999999</v>
      </c>
      <c r="I338" s="3">
        <f>1143.6+(788-330.2)+(0+(0-0))+0-399.4-0</f>
        <v>1202</v>
      </c>
      <c r="J338" s="3">
        <f>1143.2+(661.8-221)+(0.583032+(0.337518-0.11271))+0-400.5-0.204254999999959</f>
        <v>1184.1035850000001</v>
      </c>
      <c r="K338" s="3">
        <f>1143.8+(636.7-192.3)+(1.166676+(0.649434-0.196146))+0-397.4-0.405348000000063</f>
        <v>1192.0146160000002</v>
      </c>
      <c r="L338" s="3">
        <f>1143.8+(648.3-180.4)+(0.583338+(0.330633-0.092004))+0-392.6-0.20022599999996</f>
        <v>1219.7217409999998</v>
      </c>
      <c r="M338" s="3">
        <f>1142.7+(653.2-144.8)+(0+(0-0))+0-396.5-0</f>
        <v>1254.6000000000001</v>
      </c>
      <c r="N338" s="3">
        <f>1144.4+(1163-527.5)+(-0.583644+(-0.59313--0.269025))+0-397--0.20246999999996</f>
        <v>1382.1947210000001</v>
      </c>
      <c r="O338" s="3">
        <f>1144.4+(1691.8-938.4)+(1.167288+(1.725636-0.957168))+0-398-0.405960000000063</f>
        <v>1501.3297960000002</v>
      </c>
      <c r="P338" s="3">
        <f>1144.1+(1973.8-1261.2)+(0+(0-0))+0-399.9-0</f>
        <v>1456.7999999999997</v>
      </c>
      <c r="Q338" s="3">
        <f>1144.4+(2159.5-1418.5)+(-1.750932+(-3.304035--2.170305))+0-399.6--0.611388000000023</f>
        <v>1483.5267260000003</v>
      </c>
      <c r="R338" s="3">
        <f>1142.6+(2052.4-1364.4)+(-2.330904+(-4.186896--2.783376))+0-400.2--0.816407999999982</f>
        <v>1427.4819839999998</v>
      </c>
      <c r="S338" s="3">
        <f>1143.3+(1759.5-1136.4)+(1.166166+(1.79469-1.159128))+0-389.5-0.397290000000062</f>
        <v>1378.3044379999997</v>
      </c>
      <c r="T338" s="3">
        <f>1144.5+(1683.9-1031.9)+(-0.583695+(-0.858789--0.526269))+0-391.8--0.19981799999996</f>
        <v>1403.9836030000001</v>
      </c>
      <c r="U338" s="3">
        <f>1145.5+(1698-1054.9)+(1.16841+(1.73196-1.075998))+0-389.7-0.397494000000062</f>
        <v>1400.3268779999999</v>
      </c>
      <c r="V338" s="3">
        <f>1143.6+(1741.9-1131.2)+(-0.583236+(-0.888369--0.576912))+0-346.8--0.176867999999965</f>
        <v>1406.7821750000001</v>
      </c>
      <c r="W338" s="3">
        <f>1350+(1558.6-1085.6)+(-2.0655+(-2.384658--1.660968))+0-347.5--0.53167500000002</f>
        <v>1473.242485</v>
      </c>
      <c r="X338" s="3">
        <f>1576.6+(1778.1-1379.7)+(0.804066+(0.906831-0.703647))+0-348.5-0.177734999999965</f>
        <v>1627.3295149999999</v>
      </c>
      <c r="Y338" s="3">
        <f>1578+(1968.1-1531.9)+(-4.0239+(-5.018655--3.906345))+0-347--0.88484999999995</f>
        <v>1662.9486399999998</v>
      </c>
      <c r="Z338" s="3">
        <f>1550+(1890.2-1448.8)+(-0.7905+(-0.964002--0.738888))+0-371--0.189209999999962</f>
        <v>1619.5735960000002</v>
      </c>
      <c r="AA338" s="3">
        <f>1317.7+(1981.1-1342.1)+(-2.016081+(-3.031083--2.053413))+0-388.2--0.593946000000022</f>
        <v>1566.100195</v>
      </c>
      <c r="AB338" s="3">
        <f>1203.9+(1898.2-1230.5)+(-1.841967+(-2.904246--1.882665))+0-368.5--0.563805000000021</f>
        <v>1500.8002570000001</v>
      </c>
      <c r="AC338" s="3">
        <f>1169.3+(1698.1-1048.4)+(-2.981715+(-4.330155--2.67342))+0-369.1--0.941204999999947</f>
        <v>1446.2027549999996</v>
      </c>
      <c r="AD338" s="2">
        <v>1671.1999999999998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1162.5+(946.2-393.8)+(-1.778625+(-1.447686--0.602514))+0-367.7--0.562581000000021</f>
        <v>1345.138784</v>
      </c>
      <c r="G339" s="3">
        <f>1162+(704-227.7)+(0+(0-0))+0-370-0</f>
        <v>1268.3</v>
      </c>
      <c r="H339" s="3">
        <f>1162.8+(639.2-217.3)+(1.779084+(0.977976-0.332469))+0-367.9-0.562887000000021</f>
        <v>1218.6617040000001</v>
      </c>
      <c r="I339" s="3">
        <f>1160.7+(539.8-148.6)+(-1.183914+(-0.550596--0.151572))+0-355.8--0.362916000000057</f>
        <v>1194.8799780000002</v>
      </c>
      <c r="J339" s="3">
        <f>1161.6+(598.9-202.8)+(1.777248+(0.916317-0.310284))+0-360.5-0.551565000000021</f>
        <v>1199.0317159999997</v>
      </c>
      <c r="K339" s="3">
        <f>1160.8+(686-265.7)+(0+(0-0))+0-370.8-0</f>
        <v>1210.3</v>
      </c>
      <c r="L339" s="3">
        <f>1160.8+(887.8-461.6)+(-2.368032+(-1.811112--0.941664))+0-365.8--0.746231999999984</f>
        <v>1218.708752</v>
      </c>
      <c r="M339" s="3">
        <f>1161+(766.6-325.4)+(0.59211+(0.390966-0.165954))+0-362.6-0.184925999999963</f>
        <v>1240.2321959999999</v>
      </c>
      <c r="N339" s="3">
        <f>1178.6+(837.9-306.7)+(1.202172+(0.854658-0.312834))+0-359.9-0.367098000000057</f>
        <v>1351.2768979999996</v>
      </c>
      <c r="O339" s="3">
        <f>1232.6+(1298-709.5)+(1.885878+(1.98594-1.085535))+0-368.6-0.563958000000021</f>
        <v>1454.722325</v>
      </c>
      <c r="P339" s="3">
        <f>1314.4+(1673.9-1120.7)+(0+(0-0))+0-378-0</f>
        <v>1489.6000000000001</v>
      </c>
      <c r="Q339" s="3">
        <f>1321.6+(1903.4-1354.8)+(0+(0-0))+0-379.6-0</f>
        <v>1490.6</v>
      </c>
      <c r="R339" s="3">
        <f>1331.4+(2025.8-1517.2)+(-1.358028+(-2.066316--1.547544))+0-378.3--0.38586600000006</f>
        <v>1460.2090660000001</v>
      </c>
      <c r="S339" s="3">
        <f>1330.4+(1320.4-882.2)+(0.678504+(0.673404-0.449922))+0-380.2-0.193901999999961</f>
        <v>1389.1080840000002</v>
      </c>
      <c r="T339" s="3">
        <f>1252.6+(1217.7-707.3)+(-1.277652+(-1.242054--0.721446))+0-377.1--0.38464200000006</f>
        <v>1384.486382</v>
      </c>
      <c r="U339" s="3">
        <f>1209.4+(1091.6-543.3)+(-1.233588+(-1.113432--0.554166))+0-383--0.390660000000061</f>
        <v>1373.297806</v>
      </c>
      <c r="V339" s="3">
        <f>1209.5+(1044.6-478.2)+(1.850535+(1.598238-0.731646))+0-389.8-0.596394000000023</f>
        <v>1388.2207329999999</v>
      </c>
      <c r="W339" s="3">
        <f>1371.3+(1098.6-668)+(-2.098089+(-1.680858--1.02204))+0-383--0.585990000000022</f>
        <v>1416.7290829999999</v>
      </c>
      <c r="X339" s="3">
        <f>1573.1+(1528.3-1139.2)+(0+(0-0))+0-382-0</f>
        <v>1580.1999999999998</v>
      </c>
      <c r="Y339" s="3">
        <f>1585.3+(1763.1-1352.6)+(-4.851018+(-5.395086--4.138956))+0-380.7--1.16494200000004</f>
        <v>1610.157794</v>
      </c>
      <c r="Z339" s="3">
        <f>1455.1+(2179.9-1655)+(1.484202+(2.223498-1.6881))+0-387.7-0.395454000000062</f>
        <v>1593.9241460000001</v>
      </c>
      <c r="AA339" s="3">
        <f>1387.9+(1793.1-1276.5)+(-0.707829+(-0.914481--0.651015))+0-365.3--0.186302999999963</f>
        <v>1538.4150079999999</v>
      </c>
      <c r="AB339" s="3">
        <f>1388.2+(1390.6-925.2)+(0+(0-0))+0-370-0</f>
        <v>1483.6</v>
      </c>
      <c r="AC339" s="3">
        <f>1277.2+(1299.3-794.5)+(-1.954116+(-1.987929--1.215585))+0-374.8--0.573444000000022</f>
        <v>1405.0469840000001</v>
      </c>
      <c r="AD339" s="2">
        <v>1645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1165.6+(1028-474.3)+(-1.783368+(-1.57284--0.725679))+0-381.5--0.583695000000022</f>
        <v>1335.753166</v>
      </c>
      <c r="G340" s="3">
        <f>1165.3+(680-220.8)+(-2.971515+(-1.734--0.56304))+0-382.7--0.975884999999944</f>
        <v>1238.6334099999997</v>
      </c>
      <c r="H340" s="3">
        <f>1164.7+(795.6-358.9)+(-0.593997+(-0.405756--0.183039))+0-381--0.194309999999961</f>
        <v>1219.7775959999999</v>
      </c>
      <c r="I340" s="3">
        <f>1162.2+(616.5-206.8)+(0.592722+(0.314415-0.105468))+0-385.1-0.196400999999961</f>
        <v>1187.4052680000002</v>
      </c>
      <c r="J340" s="3">
        <f>1162.9+(603.3-207.9)+(0.593079+(0.307683-0.106029))+0-389.2-0.198491999999961</f>
        <v>1169.6962410000001</v>
      </c>
      <c r="K340" s="3">
        <f>1162.3+(639.9-254.5)+(2.371092+(1.305396-0.51918))+0-385.2-0.785807999999983</f>
        <v>1164.8714999999997</v>
      </c>
      <c r="L340" s="3">
        <f>1162.6+(702.2-323.6)+(-1.185852+(-0.716244--0.330072))+0-385.9--0.393618000000062</f>
        <v>1154.1215939999997</v>
      </c>
      <c r="M340" s="3">
        <f>1162+(897.9-557.7)+(-0.59262+(-0.457929--0.284427))+0-366.3--0.186812999999963</f>
        <v>1135.3206909999999</v>
      </c>
      <c r="N340" s="3">
        <f>1162.8+(716-333.7)+(-1.186056+(-0.73032--0.340374))+0-372.4--0.379848000000059</f>
        <v>1171.5038460000001</v>
      </c>
      <c r="O340" s="3">
        <f>1174.4+(726.4-283)+(1.197888+(0.740928-0.28866))+0-383-0.390660000000061</f>
        <v>1236.0594960000001</v>
      </c>
      <c r="P340" s="3">
        <f>1227.7+(677.1-213.6)+(0+(0-0))+0-392.1-0</f>
        <v>1299.0999999999999</v>
      </c>
      <c r="Q340" s="3">
        <f>1229.1+(730.6-242.2)+(0+(0-0))+0-390.7-0</f>
        <v>1326.8</v>
      </c>
      <c r="R340" s="3">
        <f>1226.7+(669.7-222.4)+(-1.876851+(-1.024641--0.340272))+0-391.4--0.598842000000023</f>
        <v>1280.637622</v>
      </c>
      <c r="S340" s="3">
        <f>1226.5+(552.5-152.9)+(-0.625515+(-0.281775--0.077979))+0-389.8--0.19879799999996</f>
        <v>1235.6694869999999</v>
      </c>
      <c r="T340" s="3">
        <f>1215.1+(603.9-194.6)+(-1.239402+(-0.615978--0.198492))+0-392--0.399840000000062</f>
        <v>1231.1429519999999</v>
      </c>
      <c r="U340" s="3">
        <f>1214.7+(533.2-148.7)+(-1.238994+(-0.543864--0.151674))+0-375.9--0.38341800000006</f>
        <v>1222.052234</v>
      </c>
      <c r="V340" s="3">
        <f>1215.9+(569.1-195.6)+(0+(0-0))+0-361.6-0</f>
        <v>1227.8000000000002</v>
      </c>
      <c r="W340" s="3">
        <f>1337.7+(654.5-380.1)+(-0.682227+(-0.333795--0.193851))+0-348.9--0.177938999999965</f>
        <v>1262.5557679999999</v>
      </c>
      <c r="X340" s="3">
        <f>1482.4+(1328.8-1001.2)+(-0.756024+(-0.677688--0.510612))+0-364.2--0.185741999999963</f>
        <v>1445.0626419999999</v>
      </c>
      <c r="Y340" s="3">
        <f>1513.1+(1577-1205.1)+(0+(0-0))+0-360.8-0</f>
        <v>1524.2</v>
      </c>
      <c r="Z340" s="3">
        <f>1513.5+(1620.5-1237.5)+(-1.54377+(-1.65291--1.26225))+0-364.1--0.371382000000058</f>
        <v>1530.8369519999999</v>
      </c>
      <c r="AA340" s="3">
        <f>1514.2+(1487.4-1167)+(-0.772242+(-0.758574--0.59517))+0-354.1--0.180590999999964</f>
        <v>1479.7449450000001</v>
      </c>
      <c r="AB340" s="3">
        <f>1472.1+(1399.4-1086.4)+(-3.753855+(-3.56847--2.77032))+0-351.1--0.895304999999949</f>
        <v>1430.3433</v>
      </c>
      <c r="AC340" s="3">
        <f>1206.3+(1234.7-722.9)+(-3.076065+(-3.148485--1.843395))+0-363.3--0.926414999999947</f>
        <v>1351.3452599999998</v>
      </c>
      <c r="AD340" s="2">
        <v>1529.8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1164.7+(659.6-207.4)+(-1.187994+(-0.672792--0.211548))+0-365.7--0.373014000000058</f>
        <v>1249.9237760000001</v>
      </c>
      <c r="G341" s="3">
        <f>1167.1+(557.3-165.5)+(1.190442+(0.568446-0.16881))+0-367.1-0.374442000000059</f>
        <v>1193.0156359999999</v>
      </c>
      <c r="H341" s="3">
        <f>1167.4+(528.3-168.3)+(1.190748+(0.538866-0.171666))+0-363.1-0.370362000000058</f>
        <v>1165.4875859999997</v>
      </c>
      <c r="I341" s="3">
        <f>1166.2+(505.4-145.4)+(0.594762+(0.257754-0.074154))+0-373.3-0.190382999999962</f>
        <v>1153.4879790000002</v>
      </c>
      <c r="J341" s="3">
        <f>1166.4+(494-145.8)+(-0.594864+(-0.25194--0.074358))+0-363.3--0.185282999999963</f>
        <v>1150.7128370000003</v>
      </c>
      <c r="K341" s="3">
        <f>1166.4+(517.6-146)+(1.189728+(0.527952-0.14892))+0-366.5-0.373830000000058</f>
        <v>1172.6949300000001</v>
      </c>
      <c r="L341" s="3">
        <f>1165.5+(630-210.7)+(0.594405+(0.3213-0.107457))+0-367.7-0.187526999999963</f>
        <v>1217.7207209999999</v>
      </c>
      <c r="M341" s="3">
        <f>1190.2+(683.9-223.8)+(0.607002+(0.348789-0.114138))+0-370.1-0.188750999999962</f>
        <v>1280.8529019999999</v>
      </c>
      <c r="N341" s="3">
        <f>1216.8+(1173.5-633.2)+(1.241136+(1.19697-0.645864))+0-393.8-0.401676000000063</f>
        <v>1364.690566</v>
      </c>
      <c r="O341" s="3">
        <f>1216.8+(1533-887.5)+(2.482272+(3.12732-1.8105))+0-392.2-0.800087999999983</f>
        <v>1473.0990039999999</v>
      </c>
      <c r="P341" s="3">
        <f>1216.3+(1917.2-1205.7)+(0+(0-0))+0-351.4-0</f>
        <v>1576.4</v>
      </c>
      <c r="Q341" s="3">
        <f>1216.7+(2140.3-1420.5)+(0+(0-0))+0-387.7-0</f>
        <v>1548.8000000000002</v>
      </c>
      <c r="R341" s="3">
        <f>1219.5+(2023.1-1304.2)+(-1.24389+(-2.063562--1.330284))+0-394.7--0.402594000000063</f>
        <v>1542.1254260000001</v>
      </c>
      <c r="S341" s="3">
        <f>1218.4+(1686.1-1010.8)+(-2.485536+(-3.439644--2.062032))+0-390.4--0.796415999999983</f>
        <v>1500.2332680000002</v>
      </c>
      <c r="T341" s="3">
        <f>1219.4+(1511.6-871.1)+(0+(0-0))+0-388.1-0</f>
        <v>1471.8000000000002</v>
      </c>
      <c r="U341" s="3">
        <f>1219.7+(1445-802.5)+(0.622047+(0.73695-0.409275))+0-380.5-0.194054999999961</f>
        <v>1482.4556670000002</v>
      </c>
      <c r="V341" s="3">
        <f>1304.8+(1328.6-740.7)+(0+(0-0))+0-370.9-0</f>
        <v>1521.7999999999997</v>
      </c>
      <c r="W341" s="3">
        <f>1571.8+(1293.3-913.1)+(-1.603236+(-1.319166--0.931362))+0-405--0.413100000000065</f>
        <v>1545.4220599999999</v>
      </c>
      <c r="X341" s="3">
        <f>1600+(2037.6-1575.1)+(-2.448+(-3.117528--2.409903))+0-422.4--0.646272000000024</f>
        <v>1637.590647</v>
      </c>
      <c r="Y341" s="3">
        <f>1572+(1997.3-1502.2)+(-1.60344+(-2.037246--1.532244))+0-407.6--0.415752000000065</f>
        <v>1657.8073099999999</v>
      </c>
      <c r="Z341" s="3">
        <f>1270+(2219.8-1466.1)+(0.6477+(1.132098-0.747711))+0-370.1-0.188750999999962</f>
        <v>1654.4433360000005</v>
      </c>
      <c r="AA341" s="3">
        <f>1167+(2036.5-1258.4)+(-1.19034+(-2.07723--1.283568))+0-389.7--0.397494000000062</f>
        <v>1553.813492</v>
      </c>
      <c r="AB341" s="3">
        <f>1165+(1805.9-1081.6)+(-1.1883+(-1.842018--1.103232))+0-400.2--0.408204000000064</f>
        <v>1487.5811180000003</v>
      </c>
      <c r="AC341" s="3">
        <f>1164+(1442.1-782.4)+(-0.59364+(-0.735471--0.399024))+0-398.5--0.20323499999996</f>
        <v>1424.4731479999998</v>
      </c>
      <c r="AD341" s="2">
        <v>1697.3000000000002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1164.1+(777.7-231.1)+(-2.968455+(-1.983135--0.589305))+0-406.5--1.03657499999994</f>
        <v>1300.8742899999997</v>
      </c>
      <c r="G342" s="3">
        <f>1163.5+(693.9-247.1)+(-0.593385+(-0.353889--0.126021))+0-394.3--0.20109299999996</f>
        <v>1215.3798399999998</v>
      </c>
      <c r="H342" s="3">
        <f>1163.2+(615.1-174.6)+(-1.186464+(-0.627402--0.178092))+0-393--0.400860000000063</f>
        <v>1209.4650859999999</v>
      </c>
      <c r="I342" s="3">
        <f>1163.6+(581.1-170.6)+(-1.780308+(-0.889083--0.261018))+0-400.3--0.612459000000023</f>
        <v>1172.0040859999999</v>
      </c>
      <c r="J342" s="3">
        <f>1163.3+(595.7-167.4)+(0.593283+(0.303807-0.085374))+0-412.9-0.210578999999958</f>
        <v>1179.3011369999999</v>
      </c>
      <c r="K342" s="3">
        <f>1163.4+(623.6-190.2)+(-0.593334+(-0.318036--0.097002))+0-357.9--0.182528999999964</f>
        <v>1238.2681610000002</v>
      </c>
      <c r="L342" s="3">
        <f>1164+(696.3-224.5)+(-0.59364+(-0.355113--0.114495))+0-409--0.208589999999959</f>
        <v>1226.1743319999998</v>
      </c>
      <c r="M342" s="3">
        <f>1164.3+(788-260.7)+(0.593793+(0.40188-0.132957))+0-406.8-0.207467999999959</f>
        <v>1285.455248</v>
      </c>
      <c r="N342" s="3">
        <f>1167.2+(1211.7-596.3)+(0.595272+(0.617967-0.304113))+0-400.1-0.204050999999959</f>
        <v>1383.2050750000001</v>
      </c>
      <c r="O342" s="3">
        <f>1197+(1724.4-1048.8)+(0+(0-0))+0-402.7-0</f>
        <v>1469.9</v>
      </c>
      <c r="P342" s="3">
        <f>1264+(1980.5-1332)+(0+(0-0))+0-394.3-0</f>
        <v>1518.2</v>
      </c>
      <c r="Q342" s="3">
        <f>1264+(2182.1-1520.9)+(-0.64464+(-1.112871--0.775659))+0-370.3--0.188852999999962</f>
        <v>1554.1070009999999</v>
      </c>
      <c r="R342" s="3">
        <f>1264+(1970.9-1349.9)+(-2.57856+(-4.020636--2.753796))+0-378.3--0.771731999999984</f>
        <v>1503.626332</v>
      </c>
      <c r="S342" s="3">
        <f>1264+(1632.3-1049)+(1.28928+(1.664946-1.06998))+0-394.8-0.402696000000063</f>
        <v>1453.98155</v>
      </c>
      <c r="T342" s="3">
        <f>1264+(1768.3-1175.4)+(0.64464+(0.901833-0.599454))+0-404.9-0.206498999999959</f>
        <v>1452.7405199999998</v>
      </c>
      <c r="U342" s="3">
        <f>1264+(1654-1056.5)+(1.28928+(1.68708-1.07763))+0-410.8-0.419016000000066</f>
        <v>1452.1797139999999</v>
      </c>
      <c r="V342" s="3">
        <f>1264+(1739.4-1134.9)+(1.28928+(1.774188-1.157598))+0-409.7-0.417894000000065</f>
        <v>1460.2879759999998</v>
      </c>
      <c r="W342" s="3">
        <f>1414+(1490.4-1007.1)+(-2.88456+(-3.040416--2.054484))+0-412.6--0.841703999999982</f>
        <v>1481.6712120000002</v>
      </c>
      <c r="X342" s="3">
        <f>1581+(1764-1319.7)+(-0.80631+(-0.89964--0.673047))+0-417.3--0.212822999999958</f>
        <v>1607.17992</v>
      </c>
      <c r="Y342" s="3">
        <f>1577+(1814.9-1315.3)+(-3.21708+(-3.702396--2.683212))+0-419.4--0.855575999999982</f>
        <v>1653.8193120000001</v>
      </c>
      <c r="Z342" s="3">
        <f>1496+(1964.8-1430.3)+(-3.8148+(-5.01024--3.647265))+0-416.9--1.06309499999994</f>
        <v>1609.4853199999998</v>
      </c>
      <c r="AA342" s="3">
        <f>1395+(1802.4-1188.8)+(0+(0-0))+0-403.1-0</f>
        <v>1605.5</v>
      </c>
      <c r="AB342" s="3">
        <f>1257+(1400.4-739.1)+(-0.64107+(-0.714204--0.376941))+0-411.1--0.209660999999958</f>
        <v>1506.4313280000001</v>
      </c>
      <c r="AC342" s="3">
        <f>1167+(1357.9-664.1)+(-1.78551+(-2.077587--1.016073))+0-408.9--0.625617000000024</f>
        <v>1449.6785930000003</v>
      </c>
      <c r="AD342" s="2">
        <v>1695.4999999999998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1159+(885-312)+(-1.18218+(-0.9027--0.31824))+0-407.4--0.415548000000065</f>
        <v>1323.2489080000003</v>
      </c>
      <c r="G343" s="3">
        <f>1159+(795.5-301.2)+(0.59109+(0.405705-0.153612))+0-416.8-0.212567999999958</f>
        <v>1237.130615</v>
      </c>
      <c r="H343" s="3">
        <f>1159+(748.1-252.7)+(-1.18218+(-0.763062--0.257754))+0-417.3--0.425646000000067</f>
        <v>1235.8381580000002</v>
      </c>
      <c r="I343" s="3">
        <f>1159+(721.8-269.6)+(0.59109+(0.368118-0.137496))+0-400.8-0.204407999999959</f>
        <v>1211.0173039999997</v>
      </c>
      <c r="J343" s="3">
        <f>1159+(900.3-460.2)+(0+(0-0))+0-403.1-0</f>
        <v>1196</v>
      </c>
      <c r="K343" s="3">
        <f>1159+(926.8-459)+(-1.77327+(-1.418004--0.70227))+0-407.7--0.623781000000024</f>
        <v>1217.2347769999999</v>
      </c>
      <c r="L343" s="3">
        <f>1138+(859.7-378.7)+(0+(0-0))+0-410.2-0</f>
        <v>1208.8</v>
      </c>
      <c r="M343" s="3">
        <f>1157+(952.8-418.8)+(0.59007+(0.485928-0.213588))+0-404.2-0.206141999999959</f>
        <v>1287.4562679999999</v>
      </c>
      <c r="N343" s="3">
        <f>1150.7+(1319.3-711.9)+(-0.586857+(-0.672843--0.363069))+0-402.2--0.205121999999959</f>
        <v>1355.2084909999996</v>
      </c>
      <c r="O343" s="3">
        <f>1144.3+(1564.6-900.9)+(-1.750779+(-2.393838--1.378377))+0-391.5--0.598995000000023</f>
        <v>1414.3327550000001</v>
      </c>
      <c r="P343" s="3">
        <f>1150.2+(1844-1128.6)+(-1.759806+(-2.82132--1.726758))+0-409.8--0.626994000000024</f>
        <v>1453.5726260000001</v>
      </c>
      <c r="Q343" s="3">
        <f>1150.2+(2104.7-1371.1)+(-2.346408+(-4.293588--2.797044))+0-408--0.832319999999982</f>
        <v>1472.789368</v>
      </c>
      <c r="R343" s="3">
        <f>1157.6+(2011.9-1326.9)+(0+(0-0))+0-386.7-0</f>
        <v>1455.8999999999999</v>
      </c>
      <c r="S343" s="3">
        <f>1159.3+(1866.8-1243.7)+(-1.773729+(-2.856204--1.902861))+0-380.1--0.581553000000022</f>
        <v>1400.154481</v>
      </c>
      <c r="T343" s="3">
        <f>1160.9+(1953.8-1282.4)+(1.184118+(1.992876-1.308048))+0-409.8-0.417996000000065</f>
        <v>1423.9509499999999</v>
      </c>
      <c r="U343" s="3">
        <f>1159.2+(2033.1-1330.6)+(-0.591192+(-1.036881--0.678606))+0-409.8--0.208997999999958</f>
        <v>1451.1595310000002</v>
      </c>
      <c r="V343" s="3">
        <f>1162.5+(2069.6-1388.9)+(0+(0-0))+0-409.4-0</f>
        <v>1433.7999999999997</v>
      </c>
      <c r="W343" s="3">
        <f>1351.8+(1706.1-1194)+(-1.378836+(-1.740222--1.21788))+0-419.5--0.427890000000067</f>
        <v>1442.926712</v>
      </c>
      <c r="X343" s="3">
        <f>1572.3+(1962.5-1482.3)+(-0.801873+(-1.000875--0.755973))+0-427.7--0.218126999999957</f>
        <v>1623.971352</v>
      </c>
      <c r="Y343" s="3">
        <f>1590+(2200.9-1697.2)+(-4.0545+(-5.612295--4.32786))+0-416.8--1.06283999999994</f>
        <v>1672.6239049999997</v>
      </c>
      <c r="Z343" s="3">
        <f>1586.3+(2037.4-1561.3)+(0+(0-0))+0-421.4-0</f>
        <v>1641</v>
      </c>
      <c r="AA343" s="3">
        <f>1551.3+(2132.8-1655.1)+(-1.582326+(-2.175456--1.688202))+0-424.2--0.432684000000068</f>
        <v>1603.1631040000002</v>
      </c>
      <c r="AB343" s="3">
        <f>1472.7+(1906.2-1386.3)+(-1.502154+(-1.944324--1.414026))+0-417.1--0.425442000000067</f>
        <v>1573.8929900000001</v>
      </c>
      <c r="AC343" s="3">
        <f>1200.3+(1627.5-936.6)+(-3.060765+(-4.150125--2.38833))+0-423.7--1.08043499999994</f>
        <v>1463.7578749999996</v>
      </c>
      <c r="AD343" s="2">
        <v>1768.5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1162.4+(1155.6-560.9)+(-1.778472+(-1.768068--0.858177))+0-422.5--0.646425000000024</f>
        <v>1332.5580620000001</v>
      </c>
      <c r="G344" s="3">
        <f>1164.4+(1075.9-539.3)+(-1.781532+(-1.646127--0.825129))+0-424.8--0.649944000000025</f>
        <v>1274.2474140000004</v>
      </c>
      <c r="H344" s="3">
        <f>1154.5+(983.7-477.3)+(-0.588795+(-0.501687--0.243423))+0-427.5--0.218024999999957</f>
        <v>1232.770966</v>
      </c>
      <c r="I344" s="3">
        <f>1154.3+(862-377.2)+(-1.177386+(-0.87924--0.384744))+0-416.8--0.425136000000066</f>
        <v>1221.0532539999999</v>
      </c>
      <c r="J344" s="3">
        <f>1155+(855.2-372.6)+(0.58905+(0.436152-0.190026))+0-414.3-0.211292999999958</f>
        <v>1223.9238829999999</v>
      </c>
      <c r="K344" s="3">
        <f>1155.3+(852.3-385.8)+(2.356812+(1.738692-0.787032))+0-424.5-0.865979999999981</f>
        <v>1199.7424919999999</v>
      </c>
      <c r="L344" s="3">
        <f>1155.2+(1023.7-516.1)+(-0.589152+(-0.522087--0.263211))+0-421--0.214709999999957</f>
        <v>1241.166682</v>
      </c>
      <c r="M344" s="3">
        <f>1160.3+(1022.1-459.7)+(-0.591753+(-0.521271--0.234447))+0-415.6--0.211955999999958</f>
        <v>1306.4333789999998</v>
      </c>
      <c r="N344" s="3">
        <f>1160.7+(1140.6-489.7)+(-0.591957+(-0.581706--0.249747))+0-419.5--0.213944999999957</f>
        <v>1391.3900289999999</v>
      </c>
      <c r="O344" s="3">
        <f>1159.4+(1551.4-845)+(-2.365176+(-3.164856--1.7238))+0-423.6--0.864143999999982</f>
        <v>1439.2579120000003</v>
      </c>
      <c r="P344" s="3">
        <f>1160.8+(1890.3-1137.6)+(-0.592008+(-0.964053--0.580176))+0-429.4--0.218993999999956</f>
        <v>1483.3431090000001</v>
      </c>
      <c r="Q344" s="3">
        <f>1159.2+(2069-1298.9)+(-1.182384+(-2.11038--1.324878))+0-432.7--0.441354000000069</f>
        <v>1495.073468</v>
      </c>
      <c r="R344" s="3">
        <f>1161.7+(2380.8-1655.1)+(-2.369868+(-4.856832--3.376404))+0-396.8--0.809471999999983</f>
        <v>1487.5591760000002</v>
      </c>
      <c r="S344" s="3">
        <f>1161.2+(2131-1445.1)+(-1.776636+(-3.26043--2.211003))+0-399.1--0.610623000000023</f>
        <v>1445.7845600000001</v>
      </c>
      <c r="T344" s="3">
        <f>1162.1+(2326.4-1654.3)+(0.592671+(1.186464-0.843693))+0-358.8-0.182987999999964</f>
        <v>1476.152454</v>
      </c>
      <c r="U344" s="3">
        <f>1162.6+(2231.8-1535.1)+(1.185852+(2.276436-1.565802))+0-398.9-0.406878000000064</f>
        <v>1461.8896080000002</v>
      </c>
      <c r="V344" s="3">
        <f>1162.6+(1907.8-1241.5)+(0.592926+(0.972978-0.633165))+0-398.8-0.20338799999996</f>
        <v>1430.8293510000001</v>
      </c>
      <c r="W344" s="3">
        <f>1405.6+(1685.9-1098.1)+(0.716856+(0.859809-0.560031))+0-391.3-0.19956299999996</f>
        <v>1602.9170710000003</v>
      </c>
      <c r="X344" s="3">
        <f>1620.1+(1853.7-1405.8)+(0+(0-0))+0-396.5-0</f>
        <v>1671.5</v>
      </c>
      <c r="Y344" s="3">
        <f>1655.9+(2056.2-1580.1)+(0+(0-0))+0-396.5-0</f>
        <v>1735.5</v>
      </c>
      <c r="Z344" s="3">
        <f>1666.2+(1775.8-1339.2)+(-0.849762+(-0.905658--0.682992))+0-397.3--0.20262299999996</f>
        <v>1704.6301950000002</v>
      </c>
      <c r="AA344" s="3">
        <f>1677.2+(1378.9-1008.7)+(0+(0-0))+0-390.8-0</f>
        <v>1656.6000000000001</v>
      </c>
      <c r="AB344" s="3">
        <f>1679.9+(1213.1-905.7)+(-3.426996+(-2.474724--1.847628))+0-394.7--0.805187999999983</f>
        <v>1589.3510959999999</v>
      </c>
      <c r="AC344" s="3">
        <f>1427+(1504.6-1023.4)+(-0.72777+(-0.767346--0.521934))+0-400.1--0.204050999999959</f>
        <v>1507.3308689999997</v>
      </c>
      <c r="AD344" s="2">
        <v>1741.1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1304.8+(1030.6-551.4)+(-3.32724+(-2.62803--1.40607))+0-383.3--0.977414999999944</f>
        <v>1397.128215</v>
      </c>
      <c r="G345" s="3">
        <f>1313.1+(680.2-291.3)+(-2.009043+(-1.040706--0.445689))+0-393.2--0.601596000000023</f>
        <v>1306.797536</v>
      </c>
      <c r="H345" s="3">
        <f>1310.7+(748.1-376.6)+(0+(0-0))+0-400.1-0</f>
        <v>1282.0999999999999</v>
      </c>
      <c r="I345" s="3">
        <f>1312.2+(712.2-379.5)+(0.669222+(0.363222-0.193545))+0-383.7-0.195686999999961</f>
        <v>1261.8432120000002</v>
      </c>
      <c r="J345" s="3">
        <f>1310+(782.6-436.9)+(-2.6724+(-1.596504--0.891276))+0-395.9--0.807635999999983</f>
        <v>1257.230008</v>
      </c>
      <c r="K345" s="3">
        <f>1312.3+(761.5-414.9)+(0.669273+(0.388365-0.211599))+0-403.1-0.205580999999959</f>
        <v>1256.4404580000003</v>
      </c>
      <c r="L345" s="3">
        <f>1311.6+(950.9-584.6)+(0.668916+(0.484959-0.298146))+0-401.4-0.204713999999959</f>
        <v>1277.1510149999999</v>
      </c>
      <c r="M345" s="3">
        <f>1312.4+(1231.9-785.5)+(-0.669324+(-0.628269--0.400605))+0-404.6--0.206345999999959</f>
        <v>1353.5093580000002</v>
      </c>
      <c r="N345" s="3">
        <f>1313.8+(1374.2-827.8)+(0+(0-0))+0-400.8-0</f>
        <v>1459.4</v>
      </c>
      <c r="O345" s="3">
        <f>1339.2+(1845.6-1242.4)+(-0.682992+(-0.941256--0.633624))+0-404--0.206039999999959</f>
        <v>1537.6154159999999</v>
      </c>
      <c r="P345" s="3">
        <f>1409.4+(1964.4-1400.2)+(-2.156382+(-3.005532--2.142306))+0-402.6--0.615978000000023</f>
        <v>1568.59637</v>
      </c>
      <c r="Q345" s="3">
        <f>1410+(2050.9-1510.3)+(-0.7191+(-1.045959--0.770253))+0-388.6--0.198185999999961</f>
        <v>1561.2033800000002</v>
      </c>
      <c r="R345" s="3">
        <f>1433.3+(1979.7-1459.7)+(-0.730983+(-1.009647--0.744447))+0-396.3--0.20211299999996</f>
        <v>1556.2059300000001</v>
      </c>
      <c r="S345" s="3">
        <f>1438.7+(1965-1500.8)+(2.201211+(3.00645-2.296224))+0-403.7-0.617661000000023</f>
        <v>1501.493776</v>
      </c>
      <c r="T345" s="3">
        <f>1446.3+(1967.4-1508.3)+(1.475226+(2.006748-1.538466))+0-402-0.410040000000064</f>
        <v>1504.9334680000002</v>
      </c>
      <c r="U345" s="3">
        <f>1487.1+(1915.1-1484)+(-1.516842+(-1.953402--1.51368))+0-401.5--0.409530000000064</f>
        <v>1515.1529659999999</v>
      </c>
      <c r="V345" s="3">
        <f>1502.2+(1744.6-1338.6)+(0.766122+(0.889746-0.682686))+0-395.8-0.20185799999996</f>
        <v>1513.1713240000001</v>
      </c>
      <c r="W345" s="3">
        <f>1671.6+(1540.7-1328.2)+(0.852516+(0.785757-0.677382))+0-384.2-0.195941999999961</f>
        <v>1500.6649489999998</v>
      </c>
      <c r="X345" s="3">
        <f>1822.2+(1768.9-1559.5)+(-0.929322+(-0.902139--0.795345))+0-376--0.191759999999962</f>
        <v>1654.7556440000001</v>
      </c>
      <c r="Y345" s="3">
        <f>1824.8+(2076.5-1783.7)+(-4.65324+(-5.295075--4.548435))+0-383.9--0.978944999999944</f>
        <v>1729.2790649999997</v>
      </c>
      <c r="Z345" s="3">
        <f>1714.4+(2034.5-1710.4)+(-3.497376+(-4.15038--3.489216))+0-374.5--0.763979999999984</f>
        <v>1660.60544</v>
      </c>
      <c r="AA345" s="3">
        <f>1551.1+(1883.6-1465)+(-3.955305+(-4.80318--3.73575))+0-358.4--0.913919999999948</f>
        <v>1607.1911849999997</v>
      </c>
      <c r="AB345" s="3">
        <f>1509.2+(1636.3-1238.6)+(-0.769692+(-0.834513--0.631686))+0-357.2--0.182171999999964</f>
        <v>1548.9096530000002</v>
      </c>
      <c r="AC345" s="3">
        <f>1494+(1539.2-1202.6)+(-2.28582+(-2.354976--1.839978))+0-366.5--0.560745000000021</f>
        <v>1461.8599270000002</v>
      </c>
      <c r="AD345" s="2">
        <v>1721.3999999999999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1417.3+(1441.6-1126.7)+(-0.722823+(-0.735216--0.574617))+0-363.5--0.185384999999963</f>
        <v>1368.0019629999997</v>
      </c>
      <c r="G346" s="3">
        <f>1414.2+(837.1-599.7)+(-0.721242+(-0.426921--0.305847))+0-360.4--0.183803999999963</f>
        <v>1290.5414880000001</v>
      </c>
      <c r="H346" s="3">
        <f>1413.7+(553.8-335.8)+(0.720987+(0.282438-0.171258))+0-372.5-0.189974999999962</f>
        <v>1259.8421920000001</v>
      </c>
      <c r="I346" s="3">
        <f>1412.1+(493.1-316.6)+(-1.440342+(-0.502962--0.322932))+0-381.6--0.389232000000061</f>
        <v>1205.7688599999997</v>
      </c>
      <c r="J346" s="3">
        <f>1381.9+(563.8-352.4)+(1.409538+(0.575076-0.359448))+0-386.1-0.393822000000062</f>
        <v>1208.4313440000001</v>
      </c>
      <c r="K346" s="3">
        <f>1378.8+(664-464.2)+(0.703188+(0.33864-0.236742))+0-386.4-0.197063999999961</f>
        <v>1192.8080220000002</v>
      </c>
      <c r="L346" s="3">
        <f>1366.9+(498.2-285.8)+(-4.182714+(-1.524492--0.874548))+0-376.4--1.15178400000004</f>
        <v>1199.2191260000004</v>
      </c>
      <c r="M346" s="3">
        <f>1347.8+(725.4-450.7)+(0.687378+(0.369954-0.229857))+0-377.7-0.192626999999962</f>
        <v>1245.4348480000001</v>
      </c>
      <c r="N346" s="3">
        <f>1313.6+(1395.9-960.2)+(0+(0-0))+0-384.4-0</f>
        <v>1364.9</v>
      </c>
      <c r="O346" s="3">
        <f>1326.4+(1981.2-1462.8)+(-1.352928+(-2.020824--1.492056))+0-378.8--0.38637600000006</f>
        <v>1464.5046800000005</v>
      </c>
      <c r="P346" s="3">
        <f>1299.2+(2027.8-1457.6)+(0.662592+(1.034178-0.743376))+0-379.2-0.193391999999962</f>
        <v>1490.960002</v>
      </c>
      <c r="Q346" s="3">
        <f>1277.1+(2147.7-1554.1)+(-2.605284+(-4.381308--3.170364))+0-376.1--0.767243999999984</f>
        <v>1491.5510159999997</v>
      </c>
      <c r="R346" s="3">
        <f>1270.5+(1747.7-1208.3)+(-1.29591+(-1.782654--1.232466))+0-381.2--0.388824000000061</f>
        <v>1427.2427260000002</v>
      </c>
      <c r="S346" s="3">
        <f>1273.3+(1470-1014.6)+(-3.246915+(-3.7485--2.58723))+0-376.9--0.961094999999945</f>
        <v>1348.3529099999998</v>
      </c>
      <c r="T346" s="3">
        <f>1279.9+(1558.3-1099.2)+(-1.305498+(-1.589466--1.121184))+0-382--0.389640000000061</f>
        <v>1355.6158600000001</v>
      </c>
      <c r="U346" s="3">
        <f>1272.8+(1389.1-893.6)+(-3.894768+(-4.250646--2.734416))+0-385.7--1.18024200000004</f>
        <v>1378.3692439999998</v>
      </c>
      <c r="V346" s="3">
        <f>1270.3+(1155.2-645.8)+(0+(0-0))+0-383-0</f>
        <v>1396.7</v>
      </c>
      <c r="W346" s="3">
        <f>1269.8+(1170.5-668.6)+(-1.295196+(-1.19391--0.681972))+0-387.7--0.395454000000062</f>
        <v>1382.5883199999998</v>
      </c>
      <c r="X346" s="3">
        <f>1554.3+(1757.8-1309.1)+(1.585386+(1.792956-1.335282))+0-377.3-0.38484600000006</f>
        <v>1627.3582139999999</v>
      </c>
      <c r="Y346" s="3">
        <f>1552.6+(1850.6-1407.2)+(-2.375478+(-2.831418--2.153016))+0-382.7--0.585531000000022</f>
        <v>1610.8316509999997</v>
      </c>
      <c r="Z346" s="3">
        <f>1554.2+(1877.1-1450.3)+(-3.170568+(-3.829284--2.958612))+0-391.8--0.799271999999983</f>
        <v>1585.958032</v>
      </c>
      <c r="AA346" s="3">
        <f>1552.1+(1613.1-1214.2)+(-0.791571+(-0.822681--0.619242))+0-394.4--0.20114399999996</f>
        <v>1555.8061339999997</v>
      </c>
      <c r="AB346" s="3">
        <f>1551.9+(1580.8-1253.8)+(-1.582938+(-1.612416--1.278876))+0-390.7--0.398514000000062</f>
        <v>1486.6820359999999</v>
      </c>
      <c r="AC346" s="3">
        <f>1556.2+(1242-980.2)+(-0.793662+(-0.63342--0.499902))+0-377.8--0.192677999999962</f>
        <v>1439.465498</v>
      </c>
      <c r="AD346" s="2">
        <v>1637.9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1503.9+(1162.6-939)+(-1.533978+(-1.185852--0.95778))+0-391.7--0.399534000000062</f>
        <v>1334.437484</v>
      </c>
      <c r="G347" s="3">
        <f>1469.4+(762.6-546.7)+(-0.749394+(-0.388926--0.278817))+0-404.6--0.206345999999959</f>
        <v>1280.0468430000001</v>
      </c>
      <c r="H347" s="3">
        <f>1241.8+(666.8-290.6)+(-1.266636+(-0.680136--0.296412))+0-399.2--0.407184000000064</f>
        <v>1217.556824</v>
      </c>
      <c r="I347" s="3">
        <f>1155.3+(640.8-216.3)+(0.589203+(0.326808-0.110313))+0-396-0.20195999999996</f>
        <v>1184.403738</v>
      </c>
      <c r="J347" s="3">
        <f>1156.8+(626-208.3)+(-2.359872+(-1.27704--0.424932))+0-398.2--0.812327999999983</f>
        <v>1173.9003479999999</v>
      </c>
      <c r="K347" s="3">
        <f>1155.7+(632.2-222.7)+(0.589407+(0.322422-0.113577))+0-399.2-0.20359199999996</f>
        <v>1166.59466</v>
      </c>
      <c r="L347" s="3">
        <f>1155.5+(610.2-223.9)+(-3.53583+(-1.867212--0.685134))+0-400.1--1.22430600000005</f>
        <v>1138.2063980000003</v>
      </c>
      <c r="M347" s="3">
        <f>1159.8+(718.1-376)+(-1.774494+(-1.098693--0.57528))+0-395.5--0.605115000000023</f>
        <v>1104.7072080000003</v>
      </c>
      <c r="N347" s="3">
        <f>1129.4+(898.4-482.8)+(-0.575994+(-0.458184--0.246228))+0-384.5--0.196094999999961</f>
        <v>1159.9081450000001</v>
      </c>
      <c r="O347" s="3">
        <f>1126.8+(1211.8-697.9)+(-0.574668+(-0.618018--0.355929))+0-377.4--0.192473999999962</f>
        <v>1262.6557169999996</v>
      </c>
      <c r="P347" s="3">
        <f>1154.8+(1489.4-945.9)+(-0.588948+(-0.759594--0.482409))+0-385.9--0.196808999999961</f>
        <v>1311.7306760000001</v>
      </c>
      <c r="Q347" s="3">
        <f>1154.8+(1701.4-1158.9)+(0+(0-0))+0-389.6-0</f>
        <v>1307.6999999999998</v>
      </c>
      <c r="R347" s="3">
        <f>1147.8+(1769.5-1259.5)+(-1.756134+(-2.707335--1.927035))+0-394.7--0.603891000000023</f>
        <v>1261.1674569999998</v>
      </c>
      <c r="S347" s="3">
        <f>1149.2+(1456.2-982.7)+(1.172184+(1.485324-1.002354))+0-397.1-0.405042000000063</f>
        <v>1226.8501119999999</v>
      </c>
      <c r="T347" s="3">
        <f>1146.5+(1249.8-788)+(0+(0-0))+0-399.7-0</f>
        <v>1208.5999999999999</v>
      </c>
      <c r="U347" s="3">
        <f>1149.3+(1112.1-637.7)+(-1.758429+(-1.701513--0.975681))+0-400.8--0.613224000000023</f>
        <v>1221.0289629999997</v>
      </c>
      <c r="V347" s="3">
        <f>1151.9+(1138-640.6)+(1.174938+(1.16076-0.653412))+0-399.4-0.407388000000064</f>
        <v>1251.1748980000002</v>
      </c>
      <c r="W347" s="3">
        <f>1302.6+(1063.4-718)+(0.664326+(0.542334-0.36618))+0-360.8-0.184007999999963</f>
        <v>1287.8564720000002</v>
      </c>
      <c r="X347" s="3">
        <f>1557.9+(1889-1601.3)+(0+(0-0))+0-373.9-0</f>
        <v>1471.7000000000003</v>
      </c>
      <c r="Y347" s="3">
        <f>1581.3+(2093.9-1716.7)+(-0.806463+(-1.067889--0.875517))+0-396.4--0.20216399999996</f>
        <v>1561.3033290000001</v>
      </c>
      <c r="Z347" s="3">
        <f>1581.3+(1921.9-1543.2)+(-0.806463+(-0.980169--0.787032))+0-404.8--0.206447999999959</f>
        <v>1554.4068479999999</v>
      </c>
      <c r="AA347" s="3">
        <f>1579.7+(1609.4-1254.5)+(-0.805647+(-0.820794--0.639795))+0-400.1--0.204050999999959</f>
        <v>1533.7174050000001</v>
      </c>
      <c r="AB347" s="3">
        <f>1501+(1271.1-906.7)+(-1.53102+(-1.296522--0.924834))+0-398.1--0.406062000000063</f>
        <v>1465.8033539999997</v>
      </c>
      <c r="AC347" s="3">
        <f>1406.5+(962.4-618.7)+(0.717315+(0.490824-0.315537))+0-386.4-0.197063999999961</f>
        <v>1364.4955379999997</v>
      </c>
      <c r="AD347" s="2">
        <v>1564.1999999999998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1174.2+(745.2-260.5)+(-2.99421+(-1.90026--0.664275))+0-388.4--0.990419999999944</f>
        <v>1267.2602249999998</v>
      </c>
      <c r="G348" s="3">
        <f>1157.4+(639.2-198)+(1.180548+(0.651984-0.20196))+0-390-0.397800000000062</f>
        <v>1209.8327720000002</v>
      </c>
      <c r="H348" s="3">
        <f>1156.2+(601.9-191.3)+(-2.358648+(-1.227876--0.390252))+0-393.2--0.802127999999983</f>
        <v>1171.205856</v>
      </c>
      <c r="I348" s="3">
        <f>1157.2+(611.6-203)+(-1.180344+(-0.623832--0.20706))+0-392.5--0.400350000000063</f>
        <v>1172.1032340000004</v>
      </c>
      <c r="J348" s="3">
        <f>1158.3+(586.1-208.8)+(0.590733+(0.298911-0.106488))+0-392.8-0.20032799999996</f>
        <v>1143.382828</v>
      </c>
      <c r="K348" s="3">
        <f>1158+(603.5-200)+(0+(0-0))+0-388.1-0</f>
        <v>1173.4000000000001</v>
      </c>
      <c r="L348" s="3">
        <f>1157.9+(693.1-271.7)+(-0.590529+(-0.353481--0.138567))+0-392.6--0.20022599999996</f>
        <v>1186.094783</v>
      </c>
      <c r="M348" s="3">
        <f>1156.8+(812.5-297.8)+(1.179936+(0.82875-0.303756))+0-385.6-0.393312000000062</f>
        <v>1287.2116179999998</v>
      </c>
      <c r="N348" s="3">
        <f>1158.1+(1380.7-766.5)+(0+(0-0))+0-378.1-0</f>
        <v>1394.1999999999998</v>
      </c>
      <c r="O348" s="3">
        <f>1168.2+(2006.5-1287.8)+(1.787346+(3.069945-1.970334))+0-374.2-0.572526000000022</f>
        <v>1515.0144310000001</v>
      </c>
      <c r="P348" s="3">
        <f>1206.4+(2426.6-1700.9)+(0.615264+(1.237566-0.867459))+0-380.6-0.194105999999961</f>
        <v>1552.2912649999998</v>
      </c>
      <c r="Q348" s="3">
        <f>1206.6+(2204.9-1459.7)+(0+(0-0))+0-390.8-0</f>
        <v>1561</v>
      </c>
      <c r="R348" s="3">
        <f>1206.5+(1851.5-1165.8)+(-0.615315+(-0.944265--0.594558))+0-399.6--0.203795999999959</f>
        <v>1491.8387740000001</v>
      </c>
      <c r="S348" s="3">
        <f>1205.2+(1341.3-729)+(-1.229304+(-1.368126--0.74358))+0-399.8--0.407796000000064</f>
        <v>1416.253946</v>
      </c>
      <c r="T348" s="3">
        <f>1205.5+(1369.1-779.6)+(-1.22961+(-1.396482--0.795192))+0-406.8--0.414936000000065</f>
        <v>1386.7840360000002</v>
      </c>
      <c r="U348" s="3">
        <f>1203.1+(1434.3-790.7)+(-0.613581+(-0.731493--0.403257))+0-409.4--0.208793999999958</f>
        <v>1436.5669769999997</v>
      </c>
      <c r="V348" s="3">
        <f>1283.5+(1360.8-711.6)+(-0.654585+(-0.694008--0.362916))+0-405.8--0.206957999999959</f>
        <v>1526.121281</v>
      </c>
      <c r="W348" s="3">
        <f>1383.5+(1519.6-880.3)+(-0.705585+(-0.774996--0.448953))+0-406.8--0.207467999999959</f>
        <v>1615.1758400000001</v>
      </c>
      <c r="X348" s="3">
        <f>1633.5+(1869.4-1375.1)+(1.66617+(1.906788-1.402602))+0-409.5-0.417690000000065</f>
        <v>1720.0526660000003</v>
      </c>
      <c r="Y348" s="3">
        <f>1633.5+(2204.1-1701.1)+(-4.165425+(-5.620455--4.337805))+0-406.9--1.03759499999994</f>
        <v>1725.1895200000001</v>
      </c>
      <c r="Z348" s="3">
        <f>1633.5+(2256.8-1746)+(-1.66617+(-2.301936--1.78092))+0-399.6--0.407592000000064</f>
        <v>1742.9204060000002</v>
      </c>
      <c r="AA348" s="3">
        <f>1433.5+(2057.3-1444.7)+(-3.655425+(-5.246115--3.683985))+0-408.2--1.04090999999994</f>
        <v>1633.7233550000001</v>
      </c>
      <c r="AB348" s="3">
        <f>1383.5+(1823.8-1243.4)+(-3.527925+(-4.65069--3.17067))+0-410.1--1.04575499999994</f>
        <v>1549.8378099999998</v>
      </c>
      <c r="AC348" s="3">
        <f>1233.5+(2065.4-1367.8)+(-0.629085+(-1.053354--0.697578))+0-411.7--0.209966999999958</f>
        <v>1518.6251060000002</v>
      </c>
      <c r="AD348" s="2">
        <v>1698.6999999999998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1181+(1212.4-588)+(-2.40924+(-2.473296--1.19952))+0-399.5--0.814979999999983</f>
        <v>1403.031964</v>
      </c>
      <c r="G349" s="3">
        <f>1181+(695-171.3)+(-1.20462+(-0.7089--0.174726))+0-399.8--0.407796000000064</f>
        <v>1303.569002</v>
      </c>
      <c r="H349" s="3">
        <f>1181+(729.9-266.9)+(-1.80693+(-1.116747--0.408357))+0-386.7--0.591651000000022</f>
        <v>1255.3763309999999</v>
      </c>
      <c r="I349" s="3">
        <f>1181+(795.4-348.6)+(-2.40924+(-1.622616--0.711144))+0-382.8--0.780911999999983</f>
        <v>1242.4602</v>
      </c>
      <c r="J349" s="3">
        <f>1181+(892.3-466.1)+(0.60231+(0.455073-0.237711))+0-382.9-0.195278999999961</f>
        <v>1224.9243929999998</v>
      </c>
      <c r="K349" s="3">
        <f>1181+(908.1-489.5)+(1.80693+(1.389393-0.748935))+0-376.4-0.575892000000022</f>
        <v>1225.0714959999998</v>
      </c>
      <c r="L349" s="3">
        <f>1181+(1002-576.6)+(1.80693+(1.53306-0.882198))+0-375.4-0.574362000000022</f>
        <v>1232.8834300000001</v>
      </c>
      <c r="M349" s="3">
        <f>1181+(935.6-449.4)+(1.20462+(0.954312-0.458388))+0-377.4-0.38494800000006</f>
        <v>1291.1155959999999</v>
      </c>
      <c r="N349" s="3">
        <f>1158+(857-234)+(0+(0-0))+0-382-0</f>
        <v>1399</v>
      </c>
      <c r="O349" s="3">
        <f>1198.8+(1195-551.5)+(-1.834164+(-1.82835--0.843795))+0-392.9--0.601137000000023</f>
        <v>1447.1824179999999</v>
      </c>
      <c r="P349" s="3">
        <f>1208+(1389.6-776.9)+(0+(0-0))+0-381.7-0</f>
        <v>1438.9999999999998</v>
      </c>
      <c r="Q349" s="3">
        <f>1208+(1671.8-1025)+(-3.0804+(-4.26309--2.61375))+0-383.1--0.976904999999945</f>
        <v>1467.947165</v>
      </c>
      <c r="R349" s="3">
        <f>1208+(1393.7-859.8)+(-1.23216+(-1.421574--0.876996))+0-384.4--0.392088000000061</f>
        <v>1356.11535</v>
      </c>
      <c r="S349" s="3">
        <f>1208+(1135.3-595.2)+(1.23216+(1.158006-0.607104))+0-388.1-0.395862000000062</f>
        <v>1361.3871999999999</v>
      </c>
      <c r="T349" s="3">
        <f>1208+(1106.2-590.2)+(-2.46432+(-2.256648--1.204008))+0-372.9--0.760715999999984</f>
        <v>1348.343756</v>
      </c>
      <c r="U349" s="3">
        <f>1208+(1078.6-564.8)+(0+(0-0))+0-379.6-0</f>
        <v>1342.1999999999998</v>
      </c>
      <c r="V349" s="3">
        <f>1208+(1189.8-632.9)+(-0.61608+(-0.606798--0.322779))+0-377.8--0.192677999999962</f>
        <v>1386.3925790000001</v>
      </c>
      <c r="W349" s="3">
        <f>1385+(1300.1-802.5)+(0+(0-0))+0-373-0</f>
        <v>1509.6</v>
      </c>
      <c r="X349" s="3">
        <f>1585+(2010.9-1566.9)+(0+(0-0))+0-369.3-0</f>
        <v>1659.7</v>
      </c>
      <c r="Y349" s="3">
        <f>1585+(2377-1903.7)+(-0.80835+(-1.21227--0.970887))+0-387.4--0.197573999999961</f>
        <v>1670.0478410000003</v>
      </c>
      <c r="Z349" s="3">
        <f>1485+(2236.3-1813)+(-3.78675+(-5.702565--4.62315))+0-390.4--0.995519999999943</f>
        <v>1514.0293550000001</v>
      </c>
      <c r="AA349" s="3">
        <f>1235+(2064.1-1423.9)+(0+(0-0))+0-398.3-0</f>
        <v>1476.8999999999999</v>
      </c>
      <c r="AB349" s="3">
        <f>1185+(1822.7-1028.2)+(-3.02175+(-4.647885--2.62191))+0-411--1.04804999999994</f>
        <v>1564.500325</v>
      </c>
      <c r="AC349" s="3">
        <f>1185+(1892.8-1202.1)+(-3.02175+(-4.82664--3.065355))+0-411.4--1.04906999999994</f>
        <v>1460.5660350000003</v>
      </c>
      <c r="AD349" s="2">
        <v>1651.7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1159+(1016.1-480.7)+(-1.18218+(-1.036422--0.490314))+0-404.1--0.412182000000064</f>
        <v>1288.983894</v>
      </c>
      <c r="G350" s="3">
        <f>1157+(721.2-221.7)+(0.59007+(0.367812-0.113067))+0-411.2-0.209711999999958</f>
        <v>1245.935103</v>
      </c>
      <c r="H350" s="3">
        <f>1156+(811.6-324.1)+(0+(0-0))+0-405.4-0</f>
        <v>1238.0999999999999</v>
      </c>
      <c r="I350" s="3">
        <f>1157+(758-309.9)+(-1.77021+(-1.15974--0.474147))+0-394.2--0.603126000000023</f>
        <v>1209.0473229999998</v>
      </c>
      <c r="J350" s="3">
        <f>1157+(740.8-302.6)+(1.18014+(0.755616-0.308652))+0-382.2-0.389844000000061</f>
        <v>1214.2372599999997</v>
      </c>
      <c r="K350" s="3">
        <f>1156+(689.3-228)+(-1.17912+(-0.703086--0.23256))+0-386.3--0.394026000000062</f>
        <v>1229.7443800000001</v>
      </c>
      <c r="L350" s="3">
        <f>1158+(655.3-186.7)+(-1.18116+(-0.668406--0.190434))+0-394.6--0.402492000000063</f>
        <v>1230.7433599999999</v>
      </c>
      <c r="M350" s="3">
        <f>1159+(740-203.4)+(1.18218+(0.7548-0.207468))+0-406.5-0.414630000000065</f>
        <v>1290.414882</v>
      </c>
      <c r="N350" s="3">
        <f>1167.2+(1117-411.4)+(0+(0-0))+0-388.8-0</f>
        <v>1484.0000000000002</v>
      </c>
      <c r="O350" s="3">
        <f>1209.5+(1308.2-623.2)+(0+(0-0))+0-395.5-0</f>
        <v>1499</v>
      </c>
      <c r="P350" s="3">
        <f>1206.6+(1393.1-676.9)+(0.615366+(0.710481-0.345219))+0-400.7-0.204356999999959</f>
        <v>1522.8762709999996</v>
      </c>
      <c r="Q350" s="3">
        <f>1207.9+(1393.3-697.3)+(1.848087+(2.131749-1.066869))+0-401-0.613530000000023</f>
        <v>1505.199437</v>
      </c>
      <c r="R350" s="3">
        <f>1205.2+(1254.8-610)+(-2.458608+(-2.559792--1.2444))+0-380.3--0.775811999999983</f>
        <v>1466.7018120000002</v>
      </c>
      <c r="S350" s="3">
        <f>1204.8+(1064-428.9)+(-1.228896+(-1.08528--0.437478))+0-398.3--0.406266000000064</f>
        <v>1440.1295680000001</v>
      </c>
      <c r="T350" s="3">
        <f>1206.5+(1188.1-555.8)+(0+(0-0))+0-398.3-0</f>
        <v>1440.5</v>
      </c>
      <c r="U350" s="3">
        <f>1207.2+(1223.6-560.2)+(0.615672+(0.624036-0.285702))+0-410-0.209099999999958</f>
        <v>1461.3449059999998</v>
      </c>
      <c r="V350" s="3">
        <f>1233.1+(1343.1-683.8)+(-0.628881+(-0.684981--0.348738))+0-404.8--0.206447999999959</f>
        <v>1486.8413239999998</v>
      </c>
      <c r="W350" s="3">
        <f>1498.4+(1308.5-920)+(-0.764184+(-0.667335--0.4692))+0-374.5--0.190994999999962</f>
        <v>1511.628676</v>
      </c>
      <c r="X350" s="3">
        <f>1574.9+(1864-1401.8)+(-1.606398+(-1.90128--1.429836))+0-385--0.392700000000061</f>
        <v>1650.4148580000003</v>
      </c>
      <c r="Y350" s="3">
        <f>1574.5+(2181.2-1642.8)+(-2.408985+(-3.337236--2.513484))+0-399.7--0.611541000000023</f>
        <v>1710.5788039999998</v>
      </c>
      <c r="Z350" s="3">
        <f>1483.9+(2182.6-1595.8)+(0+(0-0))+0-412.6-0</f>
        <v>1658.1</v>
      </c>
      <c r="AA350" s="3">
        <f>1241.2+(1959.8-1190.8)+(0+(0-0))+0-408.7-0</f>
        <v>1601.5</v>
      </c>
      <c r="AB350" s="3">
        <f>1203.2+(1810.5-1054.1)+(-3.06816+(-4.616775--2.687955))+0-409.1--1.04320499999994</f>
        <v>1546.546225</v>
      </c>
      <c r="AC350" s="3">
        <f>1202.8+(1388.5-731.2)+(-4.907424+(-5.66508--2.983296))+0-410--1.67279999999996</f>
        <v>1444.1835919999999</v>
      </c>
      <c r="AD350" s="2">
        <v>1741.4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1209.9+(1044.4-466.5)+(-2.468196+(-2.130576--0.95166))+0-412--0.840479999999982</f>
        <v>1372.9933680000001</v>
      </c>
      <c r="G351" s="3">
        <f>1181.8+(647.3-144.4)+(-1.808154+(-0.990369--0.220932))+0-414.6--0.634338000000024</f>
        <v>1268.1567469999998</v>
      </c>
      <c r="H351" s="3">
        <f>1161.6+(668.2-171.4)+(-2.369664+(-1.363128--0.349656))+0-415.8--0.848231999999982</f>
        <v>1240.0650960000003</v>
      </c>
      <c r="I351" s="3">
        <f>1161.8+(686.4-210.1)+(-1.185036+(-0.700128--0.214302))+0-409.6--0.417792000000065</f>
        <v>1227.24693</v>
      </c>
      <c r="J351" s="3">
        <f>1163.4+(715.6-240.4)+(2.373336+(1.459824-0.490416))+0-412-0.840479999999982</f>
        <v>1229.1022640000001</v>
      </c>
      <c r="K351" s="3">
        <f>1162.8+(672.9-210.5)+(0+(0-0))+0-412.9-0</f>
        <v>1212.2999999999997</v>
      </c>
      <c r="L351" s="3">
        <f>1163.3+(786.7-315)+(1.779849+(1.203651-0.48195))+0-396.7-0.606951000000023</f>
        <v>1240.1945989999999</v>
      </c>
      <c r="M351" s="3">
        <f>1163.2+(1046-504.9)+(0.593232+(0.53346-0.257499))+0-408.3-0.208232999999959</f>
        <v>1296.6609600000002</v>
      </c>
      <c r="N351" s="3">
        <f>1166.8+(1610.8-957.7)+(0.595068+(0.821508-0.488427))+0-402.5-0.205274999999959</f>
        <v>1418.1228739999999</v>
      </c>
      <c r="O351" s="3">
        <f>1209.2+(2322.5-1624.7)+(1.233384+(2.36895-1.657194))+0-403.1-0.411162000000064</f>
        <v>1505.4339779999998</v>
      </c>
      <c r="P351" s="3">
        <f>1244+(2515-1809.5)+(0+(0-0))+0-390.9-0</f>
        <v>1558.6</v>
      </c>
      <c r="Q351" s="3">
        <f>1300.4+(2475.2-1825.1)+(-1.989612+(-3.787056--2.792403))+0-389.3--0.595629000000023</f>
        <v>1558.8113639999999</v>
      </c>
      <c r="R351" s="3">
        <f>1313.4+(2222.6-1646.2)+(-4.019004+(-6.801156--5.037372))+0-378.9--1.15943400000004</f>
        <v>1506.2766460000003</v>
      </c>
      <c r="S351" s="3">
        <f>1318+(1676.9-1202.6)+(1.34436+(1.710438-1.226652))+0-345.5-0.352410000000055</f>
        <v>1448.2757360000003</v>
      </c>
      <c r="T351" s="3">
        <f>1318+(1942-1416.5)+(0+(0-0))+0-379.4-0</f>
        <v>1464.1</v>
      </c>
      <c r="U351" s="3">
        <f>1317+(1926.5-1363.7)+(-0.67167+(-0.982515--0.695487))+0-413.8--0.211037999999958</f>
        <v>1465.25234</v>
      </c>
      <c r="V351" s="3">
        <f>1314+(2037.3-1490.4)+(-0.67014+(-1.039023--0.760104))+0-363--0.185129999999963</f>
        <v>1497.1360709999999</v>
      </c>
      <c r="W351" s="3">
        <f>1388+(2235.2-1703)+(-0.70788+(-1.139952--0.86853))+0-386.9--0.197318999999961</f>
        <v>1532.5180169999999</v>
      </c>
      <c r="X351" s="3">
        <f>1572+(2489-2008.4)+(-0.80172+(-1.26939--1.024284))+0-399.2--0.20359199999996</f>
        <v>1652.5567660000002</v>
      </c>
      <c r="Y351" s="3">
        <f>1577+(2472.8-1971.6)+(-0.80427+(-1.261128--1.005516))+0-397.5--0.20272499999996</f>
        <v>1679.8428430000001</v>
      </c>
      <c r="Z351" s="3">
        <f>1579+(2394.7-1899.9)+(-2.41587+(-3.663891--2.906847))+0-410.4--0.627912000000024</f>
        <v>1660.8549979999993</v>
      </c>
      <c r="AA351" s="3">
        <f>1576+(2029.3-1575.6)+(-3.21504+(-4.139772--3.214224))+0-411--0.838439999999982</f>
        <v>1615.3978520000001</v>
      </c>
      <c r="AB351" s="3">
        <f>1369+(1676.5-1075.7)+(-3.49095+(-4.275075--2.743035))+0-418.4--1.06691999999994</f>
        <v>1547.4439300000001</v>
      </c>
      <c r="AC351" s="3">
        <f>1164+(1609.8-904.1)+(-1.78092+(-2.462994--1.383273))+0-418.7--0.640611000000024</f>
        <v>1448.7799699999998</v>
      </c>
      <c r="AD351" s="2">
        <v>1700.1999999999998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1145+(1076-448.2)+(-1.1679+(-1.09752--0.457164))+0-421.5--0.429930000000067</f>
        <v>1349.9216739999999</v>
      </c>
      <c r="G352" s="3">
        <f>1027+(957-293.4)+(-2.09508+(-1.95228--0.598536))+0-416.2--0.849047999999982</f>
        <v>1271.8002239999998</v>
      </c>
      <c r="H352" s="3">
        <f>1027+(977.5-360.3)+(1.57131+(1.495575-0.551259))+0-420.4-0.643212000000024</f>
        <v>1225.6724140000001</v>
      </c>
      <c r="I352" s="3">
        <f>1027+(976.4-372.1)+(0.52377+(0.497964-0.189771))+0-415.1-0.211700999999958</f>
        <v>1216.820262</v>
      </c>
      <c r="J352" s="3">
        <f>1027+(943.8-344.9)+(2.09508+(1.925352-0.703596))+0-414.9-0.846395999999982</f>
        <v>1213.4704400000001</v>
      </c>
      <c r="K352" s="3">
        <f>1027+(1016.1-402.1)+(-2.61885+(-2.591055--1.025355))+0-414.1--1.05595499999994</f>
        <v>1223.7714050000002</v>
      </c>
      <c r="L352" s="3">
        <f>1028+(1045.3-356.7)+(0+(0-0))+0-416.9-0</f>
        <v>1299.6999999999998</v>
      </c>
      <c r="M352" s="3">
        <f>1098+(1358.6-611.5)+(0+(0-0))+0-414.9-0</f>
        <v>1430.1999999999998</v>
      </c>
      <c r="N352" s="3">
        <f>1181+(1830.6-1011.2)+(1.80693+(2.800818-1.547136))+0-422.1-0.645813000000024</f>
        <v>1580.7147989999999</v>
      </c>
      <c r="O352" s="3">
        <f>1257+(2800.6-1962.5)+(1.92321+(4.284918-3.002625))+0-396.9-0.607257000000023</f>
        <v>1700.7982459999998</v>
      </c>
      <c r="P352" s="3">
        <f>1377+(2872.2-2112.5)+(0.70227+(1.464822-1.077375))+0-381.8-0.194717999999961</f>
        <v>1755.7949989999997</v>
      </c>
      <c r="Q352" s="3">
        <f>1383+(2777.9-2044.3)+(-2.11599+(-4.250187--3.127779))+0-378.2--0.578646000000022</f>
        <v>1735.7402480000003</v>
      </c>
      <c r="R352" s="3">
        <f>1383+(2584.6-1937.6)+(-2.11599+(-3.954438--2.964528))+0-369.5--0.565335000000021</f>
        <v>1657.959435</v>
      </c>
      <c r="S352" s="3">
        <f>1383+(2153.7-1567.6)+(-2.11599+(-3.295161--2.398428))+0-380.5--0.582165000000022</f>
        <v>1586.1694419999999</v>
      </c>
      <c r="T352" s="3">
        <f>1383+(2119.6-1517.5)+(-0.70533+(-1.080996--0.773925))+0-377.8--0.192677999999962</f>
        <v>1606.4802769999999</v>
      </c>
      <c r="U352" s="3">
        <f>1383+(1959.9-1363.3)+(-1.41066+(-1.999098--1.390566))+0-388--0.395760000000062</f>
        <v>1589.9765680000003</v>
      </c>
      <c r="V352" s="3">
        <f>1383+(1943.1-1325.9)+(0+(0-0))+0-395.3-0</f>
        <v>1604.8999999999999</v>
      </c>
      <c r="W352" s="3">
        <f>1383+(1837.1-1198.7)+(0+(0-0))+0-408.9-0</f>
        <v>1612.5</v>
      </c>
      <c r="X352" s="3">
        <f>1498+(2180.2-1483.3)+(-1.52796+(-2.223804--1.512966))+0-411.3--0.419526000000066</f>
        <v>1781.780728</v>
      </c>
      <c r="Y352" s="3">
        <f>1578+(2427.5-1727.2)+(-5.63346+(-8.666175--6.166104))+0-408.2--1.45727400000001</f>
        <v>1863.4237430000003</v>
      </c>
      <c r="Z352" s="3">
        <f>1581+(1978.9-1320.8)+(0+(0-0))+0-414.7-0</f>
        <v>1824.4000000000003</v>
      </c>
      <c r="AA352" s="3">
        <f>1560+(1794.3-1159.8)+(-4.7736+(-5.490558--3.548988))+0-416.6--1.27479600000005</f>
        <v>1772.4596260000003</v>
      </c>
      <c r="AB352" s="3">
        <f>1316+(2051.6-1208)+(-5.36928+(-8.370528--4.92864))+0-423.4--1.72747199999996</f>
        <v>1729.1163039999997</v>
      </c>
      <c r="AC352" s="3">
        <f>1160+(1923.7-1037.8)+(-2.3664+(-3.924348--2.117112))+0-411.5--0.839459999999982</f>
        <v>1631.065824</v>
      </c>
      <c r="AD352" s="2">
        <v>1698.3000000000004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1153+(1256.9-509.8)+(-0.58803+(-0.641019--0.259998))+0-410.7--0.209456999999958</f>
        <v>1488.640406</v>
      </c>
      <c r="G353" s="3">
        <f>1153+(804.6-182.1)+(-1.17606+(-0.820692--0.185742))+0-416.3--0.424626000000066</f>
        <v>1357.8136160000001</v>
      </c>
      <c r="H353" s="3">
        <f>1153+(790.7-194.8)+(0.58803+(0.403257-0.099348))+0-423.4-0.215933999999957</f>
        <v>1326.176005</v>
      </c>
      <c r="I353" s="3">
        <f>1153+(786.2-218.1)+(0.58803+(0.400962-0.111231))+0-415.3-0.211802999999958</f>
        <v>1306.465958</v>
      </c>
      <c r="J353" s="3">
        <f>1153+(754-193.9)+(1.76409+(1.15362-0.296667))+0-418.6-0.640458000000024</f>
        <v>1296.480585</v>
      </c>
      <c r="K353" s="3">
        <f>1153+(762.2-191)+(-1.76409+(-1.166166--0.29223))+0-419.1--0.641223000000024</f>
        <v>1303.1031969999999</v>
      </c>
      <c r="L353" s="3">
        <f>1155+(912.6-330.5)+(-0.58905+(-0.465426--0.168555))+0-417.9--0.213128999999958</f>
        <v>1318.5272079999997</v>
      </c>
      <c r="M353" s="3">
        <f>1156+(975.8-346.9)+(1.17912+(0.995316-0.353838))+0-419.9-0.428298000000067</f>
        <v>1366.3923000000002</v>
      </c>
      <c r="N353" s="3">
        <f>1159+(1040.2-312.2)+(0.59109+(0.530502-0.159222))+0-414.7-0.211496999999958</f>
        <v>1473.0508729999999</v>
      </c>
      <c r="O353" s="3">
        <f>1206+(1771.1-994.8)+(0+(0-0))+0-398.7-0</f>
        <v>1583.6</v>
      </c>
      <c r="P353" s="3">
        <f>1249+(2335.8-1518.3)+(0+(0-0))+0-402.4-0</f>
        <v>1664.1</v>
      </c>
      <c r="Q353" s="3">
        <f>1254+(2283.4-1481.9)+(-0.63954+(-1.164534--0.755769))+0-409.9--0.209048999999958</f>
        <v>1644.7607440000002</v>
      </c>
      <c r="R353" s="3">
        <f>1254+(2051.9-1299.3)+(-2.55816+(-4.185876--2.650572))+0-423.5--0.863939999999982</f>
        <v>1579.8704760000001</v>
      </c>
      <c r="S353" s="3">
        <f>1255+(1432.3-775.5)+(-0.64005+(-0.730473--0.395505))+0-417.9--0.213128999999958</f>
        <v>1493.138111</v>
      </c>
      <c r="T353" s="3">
        <f>1254+(1204.9-562.5)+(0.63954+(0.614499-0.286875))+0-415.2-0.211751999999958</f>
        <v>1481.955412</v>
      </c>
      <c r="U353" s="3">
        <f>1255+(1270.2-594.2)+(1.2801+(1.295604-0.606084))+0-417.2-0.425544000000067</f>
        <v>1515.3440759999999</v>
      </c>
      <c r="V353" s="3">
        <f>1255+(1394.8-690.4)+(-1.92015+(-2.134044--1.056312))+0-425.9--0.651627000000025</f>
        <v>1531.1537450000003</v>
      </c>
      <c r="W353" s="3">
        <f>1354+(1269.4-645.3)+(2.76216+(2.589576-1.316412))+0-426.8-0.870671999999981</f>
        <v>1554.4646520000001</v>
      </c>
      <c r="X353" s="3">
        <f>1570+(1698.3-1158.3)+(-1.6014+(-1.732266--1.181466))+0-418.1--0.426462000000067</f>
        <v>1690.1742620000002</v>
      </c>
      <c r="Y353" s="3">
        <f>1579+(2248.5-1625.1)+(-3.22116+(-4.58694--3.315204))+0-423.9--0.864755999999981</f>
        <v>1774.8718599999997</v>
      </c>
      <c r="Z353" s="3">
        <f>1578+(2427.4-1825.5)+(-3.21912+(-4.951896--3.72402))+0-427.5--0.872099999999981</f>
        <v>1748.825104</v>
      </c>
      <c r="AA353" s="3">
        <f>1570+(2202.6-1637.1)+(2.4021+(3.369978-2.504763))+0-423.5-0.647955000000024</f>
        <v>1714.6193600000001</v>
      </c>
      <c r="AB353" s="3">
        <f>1448+(2293.7-1667.4)+(-3.6924+(-5.848935--4.25187))+0-420.5--1.07227499999994</f>
        <v>1649.5828099999999</v>
      </c>
      <c r="AC353" s="3">
        <f>1441+(1713.4-1173.4)+(0+(0-0))+0-419.3-0</f>
        <v>1561.7</v>
      </c>
      <c r="AD353" s="2">
        <v>1621.9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1443+(1035.1-620.6)+(-1.47186+(-1.055802--0.633012))+0-421.3--0.429726000000067</f>
        <v>1434.7350760000002</v>
      </c>
      <c r="G354" s="3">
        <f>1243+(859.9-317.1)+(0+(0-0))+0-422.2-0</f>
        <v>1363.6</v>
      </c>
      <c r="H354" s="3">
        <f>1154+(683.9-144.7)+(0+(0-0))+0-421.8-0</f>
        <v>1271.4000000000001</v>
      </c>
      <c r="I354" s="3">
        <f>1155+(639.6-153.1)+(-2.94525+(-1.63098--0.390405))+0-413.1--1.05340499999994</f>
        <v>1225.26758</v>
      </c>
      <c r="J354" s="3">
        <f>1156+(603.6-108.4)+(-0.58956+(-0.307836--0.055284))+0-422.8--0.215627999999957</f>
        <v>1227.773516</v>
      </c>
      <c r="K354" s="3">
        <f>1157+(610.8-114.2)+(0+(0-0))+0-418.8-0</f>
        <v>1234.8</v>
      </c>
      <c r="L354" s="3">
        <f>1157+(613.1-157.7)+(-1.18014+(-0.625362--0.160854))+0-424.7--0.433194000000068</f>
        <v>1186.488546</v>
      </c>
      <c r="M354" s="3">
        <f>1157+(740.9-286.7)+(0.59007+(0.377859-0.146217))+0-422.7-0.215576999999957</f>
        <v>1189.106135</v>
      </c>
      <c r="N354" s="3">
        <f>1157+(833.2-291.3)+(-1.77021+(-1.274796--0.445689))+0-427.3--0.653769000000025</f>
        <v>1269.6544520000002</v>
      </c>
      <c r="O354" s="3">
        <f>1157+(1086.4-405.4)+(1.77021+(1.662192-0.620262))+0-420.2-0.642906000000024</f>
        <v>1419.9692339999999</v>
      </c>
      <c r="P354" s="3">
        <f>1157+(1057.5-400.1)+(0+(0-0))+0-410.9-0</f>
        <v>1403.5</v>
      </c>
      <c r="Q354" s="3">
        <f>1253+(1258.3-677.3)+(1.27806+(1.283466-0.690846))+0-407.5-0.415650000000065</f>
        <v>1427.9550299999999</v>
      </c>
      <c r="R354" s="3">
        <f>1256+(1153.1-629.5)+(-0.64056+(-0.588081--0.321045))+0-376.9--0.192218999999962</f>
        <v>1401.9846229999998</v>
      </c>
      <c r="S354" s="3">
        <f>1256+(1057.4-548.4)+(-2.56224+(-2.157096--1.118736))+0-372.4--0.759695999999984</f>
        <v>1389.7590960000002</v>
      </c>
      <c r="T354" s="3">
        <f>1255+(1066.8-579.2)+(-1.2801+(-1.088136--0.590784))+0-370.5--0.377910000000059</f>
        <v>1370.700458</v>
      </c>
      <c r="U354" s="3">
        <f>1254+(1077-588.1)+(-0.63954+(-0.54927--0.299931))+0-376.6--0.192065999999962</f>
        <v>1365.6031870000002</v>
      </c>
      <c r="V354" s="3">
        <f>1255+(1144.3-635.3)+(-1.2801+(-1.167186--0.648006))+0-381.5--0.389130000000061</f>
        <v>1381.0898500000001</v>
      </c>
      <c r="W354" s="3">
        <f>1452+(1088.9-721.3)+(-2.22156+(-1.666017--1.103589))+0-387.7--0.593181000000022</f>
        <v>1429.7091930000001</v>
      </c>
      <c r="X354" s="3">
        <f>1565+(1901.5-1429.7)+(2.39445+(2.909295-2.187441))+0-399-0.610470000000023</f>
        <v>1640.3058339999998</v>
      </c>
      <c r="Y354" s="3">
        <f>1580+(2515.6-1927.3)+(-1.6116+(-2.565912--1.965846))+0-402.5--0.410550000000064</f>
        <v>1763.9988840000001</v>
      </c>
      <c r="Z354" s="3">
        <f>1579+(2346.5-1810.9)+(-3.22116+(-4.78686--3.694236))+0-400.5--0.817019999999983</f>
        <v>1710.6032359999999</v>
      </c>
      <c r="AA354" s="3">
        <f>1576+(2245.9-1727.9)+(-3.21504+(-4.581636--3.524916))+0-395.4--0.806615999999983</f>
        <v>1695.1348559999999</v>
      </c>
      <c r="AB354" s="3">
        <f>1456+(1946.8-1375.7)+(-4.45536+(-5.957208--4.209642))+0-396.7--1.21390200000005</f>
        <v>1625.4109759999999</v>
      </c>
      <c r="AC354" s="3">
        <f>1205+(1656.1-931.2)+(-2.4582+(-3.378444--1.899648))+0-413.8--0.844151999999982</f>
        <v>1513.0071559999999</v>
      </c>
      <c r="AD354" s="2">
        <v>1514.8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1155+(942.2-411.3)+(-1.76715+(-1.441566--0.629289))+0-417.8--0.639234000000024</f>
        <v>1266.1598070000002</v>
      </c>
      <c r="G355" s="3">
        <f>1155+(1057.3-584.8)+(0+(0-0))+0-423.4-0</f>
        <v>1204.0999999999999</v>
      </c>
      <c r="H355" s="3">
        <f>1157+(1100.1-665.3)+(-1.77021+(-1.683153--1.017909))+0-422.1--0.645813000000024</f>
        <v>1167.910359</v>
      </c>
      <c r="I355" s="3">
        <f>1156+(1074.1-646.8)+(0.58956+(0.547791-0.329868))+0-421.6-0.215015999999957</f>
        <v>1162.292467</v>
      </c>
      <c r="J355" s="3">
        <f>1156+(1065.2-640.9)+(2.9478+(2.71626-1.634295))+0-421.6-1.07507999999994</f>
        <v>1161.6546850000002</v>
      </c>
      <c r="K355" s="3">
        <f>1157+(1038.3-600.7)+(1.77021+(1.588599-0.919071))+0-421.9-0.645507000000024</f>
        <v>1174.4942309999999</v>
      </c>
      <c r="L355" s="3">
        <f>1157+(1119.5-684.4)+(-0.59007+(-0.570945--0.349044))+0-413--0.210629999999958</f>
        <v>1178.4986589999999</v>
      </c>
      <c r="M355" s="3">
        <f>1157+(992.8-481)+(1.18014+(1.012656-0.49062))+0-415.2-0.423504000000066</f>
        <v>1254.8786719999998</v>
      </c>
      <c r="N355" s="3">
        <f>1157+(1109.1-468.1)+(0.59007+(0.565641-0.238731))+0-420.2-0.214301999999957</f>
        <v>1378.5026780000001</v>
      </c>
      <c r="O355" s="3">
        <f>1157+(1965.5-1225.6)+(1.77021+(3.007215-1.875168))+0-402.4-0.615672000000023</f>
        <v>1496.7865850000001</v>
      </c>
      <c r="P355" s="3">
        <f>1157+(2385.4-1578.9)+(1.77021+(3.649662-2.415717))+0-407.9-0.624087000000023</f>
        <v>1557.9800680000001</v>
      </c>
      <c r="Q355" s="3">
        <f>1241+(2203.2-1432.1)+(-3.16455+(-5.61816--3.651855))+0-411.5--1.04932499999994</f>
        <v>1596.5184699999998</v>
      </c>
      <c r="R355" s="3">
        <f>1256+(1503.2-843.2)+(0+(0-0))+0-408-0</f>
        <v>1508</v>
      </c>
      <c r="S355" s="3">
        <f>1256+(1512.5-921.3)+(0+(0-0))+0-389-0</f>
        <v>1458.2</v>
      </c>
      <c r="T355" s="3">
        <f>1258+(1785.7-1147.1)+(0+(0-0))+0-409.9-0</f>
        <v>1486.7000000000003</v>
      </c>
      <c r="U355" s="3">
        <f>1256+(1587.8-930.9)+(1.28112+(1.619556-0.949518))+0-416.2-0.424524000000066</f>
        <v>1498.2266340000001</v>
      </c>
      <c r="V355" s="3">
        <f>1348+(1444.1-850.1)+(2.06244+(2.209473-1.300653))+0-415.6-0.635868000000024</f>
        <v>1528.7353919999998</v>
      </c>
      <c r="W355" s="3">
        <f>1476+(1643.7-1058.9)+(1.50552+(1.676574-1.080078))+0-414.2-0.422484000000066</f>
        <v>1648.2795319999998</v>
      </c>
      <c r="X355" s="3">
        <f>1571+(1932.3-1418.8)+(1.60242+(1.970946-1.447176))+0-415-0.423300000000066</f>
        <v>1671.2028899999998</v>
      </c>
      <c r="Y355" s="3">
        <f>1576+(2076.9-1506.7)+(0+(0-0))+0-426-0</f>
        <v>1720.1999999999998</v>
      </c>
      <c r="Z355" s="3">
        <f>1576+(1728.6-1197.6)+(0+(0-0))+0-415.5-0</f>
        <v>1691.5</v>
      </c>
      <c r="AA355" s="3">
        <f>1555.2+(1550.1-1082.6)+(0.793152+(0.790551-0.552126))+0-397.5-0.20272499999996</f>
        <v>1626.0288520000001</v>
      </c>
      <c r="AB355" s="3">
        <f>1550+(1174.5-758.7)+(-2.3715+(-1.796985--1.160811))+0-392.3--0.600219000000023</f>
        <v>1571.092545</v>
      </c>
      <c r="AC355" s="3">
        <f>1509.4+(886.1-529)+(2.309382+(1.355733-0.80937))+0-409.8-0.626994000000024</f>
        <v>1458.9287510000001</v>
      </c>
      <c r="AD355" s="2">
        <v>1728.3000000000004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1250+(661.9-271.4)+(-2.55+(-1.350276--0.553656))+0-404.3--0.824771999999982</f>
        <v>1233.678152</v>
      </c>
      <c r="G356" s="3">
        <f>1200+(1048.5-610)+(-2.448+(-2.13894--1.2444))+0-408.2--0.832727999999982</f>
        <v>1227.7901879999999</v>
      </c>
      <c r="H356" s="3">
        <f>1125+(763.1-257.2)+(-1.72125+(-1.167543--0.393516))+0-408--0.624240000000024</f>
        <v>1221.0289630000002</v>
      </c>
      <c r="I356" s="3">
        <f>1127.3+(815.5-313.3)+(-1.149846+(-0.83181--0.319566))+0-403.5--0.411570000000064</f>
        <v>1224.7494799999999</v>
      </c>
      <c r="J356" s="3">
        <f>1127.7+(957.8-449.7)+(-0.575127+(-0.488478--0.229347))+0-412.4--0.210323999999958</f>
        <v>1222.7760659999997</v>
      </c>
      <c r="K356" s="3">
        <f>1128.2+(1113.5-604.6)+(-1.150764+(-1.13577--0.616692))+0-408.7--0.416874000000065</f>
        <v>1227.1470319999999</v>
      </c>
      <c r="L356" s="3">
        <f>1129.1+(1120.8-622.6)+(-1.151682+(-1.143216--0.635052))+0-402.8--0.410856000000064</f>
        <v>1223.2510099999997</v>
      </c>
      <c r="M356" s="3">
        <f>1136.4+(969.9-429.8)+(0+(0-0))+0-398.2-0</f>
        <v>1278.3</v>
      </c>
      <c r="N356" s="3">
        <f>1128.1+(1132.1-521.9)+(2.876655+(2.886855-1.330845))+0-382.4-0.975119999999944</f>
        <v>1359.3575450000001</v>
      </c>
      <c r="O356" s="3">
        <f>1209+(1798.7-1096.4)+(0+(0-0))+0-388.8-0</f>
        <v>1522.5</v>
      </c>
      <c r="P356" s="3">
        <f>1383+(1711.1-1151.6)+(0+(0-0))+0-391-0</f>
        <v>1551.5</v>
      </c>
      <c r="Q356" s="3">
        <f>1390.8+(1725.9-1173.8)+(-0.709308+(-0.880209--0.598638))+0-397.5--0.20272499999996</f>
        <v>1544.611846</v>
      </c>
      <c r="R356" s="3">
        <f>1390.8+(1571.6-1011.5)+(-4.255848+(-4.809096--3.09519))+0-405.9--1.24205400000005</f>
        <v>1540.2722999999999</v>
      </c>
      <c r="S356" s="3">
        <f>1354.7+(1062.3-543.6)+(-0.690897+(-0.541773--0.277236))+0-411.5--0.209864999999958</f>
        <v>1461.1544310000002</v>
      </c>
      <c r="T356" s="3">
        <f>1357.9+(1016-487.1)+(-4.155174+(-3.10896--1.490526))+0-410.9--1.25735400000005</f>
        <v>1471.3837460000002</v>
      </c>
      <c r="U356" s="3">
        <f>1383.5+(980.2-472)+(0.705585+(0.499902-0.24072))+0-410.8-0.209507999999958</f>
        <v>1481.6552590000001</v>
      </c>
      <c r="V356" s="3">
        <f>1382.6+(1048.4-549.5)+(1.410252+(1.069368-0.56049))+0-398.7-0.406674000000064</f>
        <v>1484.3124559999999</v>
      </c>
      <c r="W356" s="3">
        <f>1592.3+(1137.5-639.6)+(1.624146+(1.16025-0.652392))+0-404.8-0.412896000000065</f>
        <v>1687.1191079999999</v>
      </c>
      <c r="X356" s="3">
        <f>1592+(2124.2-1468.6)+(0+(0-0))+0-412.2-0</f>
        <v>1835.3999999999999</v>
      </c>
      <c r="Y356" s="3">
        <f>1583.5+(2429.1-1695.4)+(0+(0-0))+0-407.6-0</f>
        <v>1909.6</v>
      </c>
      <c r="Z356" s="3">
        <f>1483.4+(2249.8-1544.1)+(-3.026136+(-4.589592--3.149964))+0-399--0.813959999999983</f>
        <v>1786.4481960000003</v>
      </c>
      <c r="AA356" s="3">
        <f>1283.2+(2053.7-1390.6)+(-1.963296+(-3.142161--2.127618))+0-409.5--0.626535000000024</f>
        <v>1534.4486960000002</v>
      </c>
      <c r="AB356" s="3">
        <f>1232.4+(2132.7-1512.4)+(-1.257048+(-2.175354--1.542648))+0-416.4--0.424728000000066</f>
        <v>1434.8349739999999</v>
      </c>
      <c r="AC356" s="3">
        <f>1231.4+(1455.8-879.6)+(-3.14007+(-3.71229--2.24298))+0-418--1.06589999999994</f>
        <v>1386.0565199999996</v>
      </c>
      <c r="AD356" s="2">
        <v>1721.6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1159.4+(1037-393.1)+(-1.182588+(-1.05774--0.400962))+0-417.6--0.425952000000067</f>
        <v>1384.2865860000002</v>
      </c>
      <c r="G357" s="3">
        <f>1121.9+(888.8-294.7)+(-1.144338+(-0.906576--0.300594))+0-415.6--0.423912000000066</f>
        <v>1299.073592</v>
      </c>
      <c r="H357" s="3">
        <f>1123.2+(791.2-234.7)+(0+(0-0))+0-411.7-0</f>
        <v>1268</v>
      </c>
      <c r="I357" s="3">
        <f>1127.8+(799.8-281.2)+(1.725534+(1.223694-0.430236))+0-402.9-0.616437000000023</f>
        <v>1245.4025549999997</v>
      </c>
      <c r="J357" s="3">
        <f>1129.9+(838-320.4)+(-0.576249+(-0.42738--0.163404))+0-411.2--0.209711999999958</f>
        <v>1235.6694869999999</v>
      </c>
      <c r="K357" s="3">
        <f>1133.1+(846.8-331.4)+(0.577881+(0.431868-0.169014))+0-408.5-0.208334999999959</f>
        <v>1240.6324</v>
      </c>
      <c r="L357" s="3">
        <f>1127.5+(936.7-460.9)+(0+(0-0))+0-392.8-0</f>
        <v>1210.5000000000002</v>
      </c>
      <c r="M357" s="3">
        <f>1140.3+(911.6-370.6)+(1.163106+(0.929832-0.378012))+0-396.2-0.404124000000063</f>
        <v>1286.4108019999999</v>
      </c>
      <c r="N357" s="3">
        <f>1186+(1269.5-650.1)+(0.60486+(0.647445-0.331551))+0-387.9-0.197828999999961</f>
        <v>1418.2229250000003</v>
      </c>
      <c r="O357" s="3">
        <f>1220+(1950.6-1307.7)+(1.2444+(1.989612-1.333854))+0-388.6-0.396372000000062</f>
        <v>1475.8037859999995</v>
      </c>
      <c r="P357" s="3">
        <f>1239+(2330.8-1676.3)+(-0.63189+(-1.188708--0.854913))+0-359.4--0.183293999999964</f>
        <v>1533.3176090000002</v>
      </c>
      <c r="Q357" s="3">
        <f>1257.4+(2374-1715.4)+(-3.20637+(-6.0537--4.37427))+0-368.4--0.939419999999947</f>
        <v>1543.6536199999998</v>
      </c>
      <c r="R357" s="3">
        <f>1253.2+(2117.1-1514.9)+(-2.556528+(-4.318884--3.090396))+0-377.8--0.770711999999984</f>
        <v>1474.5856959999999</v>
      </c>
      <c r="S357" s="3">
        <f>1255.1+(1746.3-1175.9)+(0+(0-0))+0-387.5-0</f>
        <v>1437.9999999999998</v>
      </c>
      <c r="T357" s="3">
        <f>1255.4+(1641.2-1061.6)+(-0.640254+(-0.837012--0.541416))+0-391.8--0.19981799999996</f>
        <v>1442.4639680000002</v>
      </c>
      <c r="U357" s="3">
        <f>1256.4+(1552.5-978.1)+(0+(0-0))+0-395.1-0</f>
        <v>1435.7000000000003</v>
      </c>
      <c r="V357" s="3">
        <f>1249.1+(1551.1-957.5)+(-2.548164+(-3.164244--1.9533))+0-393.3--0.802331999999983</f>
        <v>1446.4432239999999</v>
      </c>
      <c r="W357" s="3">
        <f>1354.9+(1496.8-977.2)+(0+(0-0))+0-396-0</f>
        <v>1478.5</v>
      </c>
      <c r="X357" s="3">
        <f>1565.7+(1848.3-1445.7)+(-0.798507+(-0.942633--0.737307))+0-377.2--0.192371999999962</f>
        <v>1590.2885389999999</v>
      </c>
      <c r="Y357" s="3">
        <f>1574.1+(2400.1-1892.1)+(-1.605582+(-2.448102--1.929942))+0-394.3--0.402186000000063</f>
        <v>1686.0784439999998</v>
      </c>
      <c r="Z357" s="3">
        <f>1574+(2225.6-1739.8)+(-1.60548+(-2.270112--1.774596))+0-395--0.402900000000063</f>
        <v>1663.1019040000001</v>
      </c>
      <c r="AA357" s="3">
        <f>1573+(1876.9-1416.5)+(-4.01115+(-4.786095--3.612075))+0-395.5--1.00852499999994</f>
        <v>1633.7233550000001</v>
      </c>
      <c r="AB357" s="3">
        <f>1460.7+(1814.6-1307.4)+(-2.234871+(-2.776338--2.000322))+0-394--0.602820000000023</f>
        <v>1571.491933</v>
      </c>
      <c r="AC357" s="3">
        <f>1188.8+(1789.9-1113.3)+(-1.818864+(-2.738547--1.703349))+0-398.3--0.609399000000023</f>
        <v>1464.855337</v>
      </c>
      <c r="AD357" s="2">
        <v>1698.1000000000004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1156+(1125.9-530.6)+(0.58956+(0.574209-0.270606))+0-386.4-0.197063999999961</f>
        <v>1365.5960990000003</v>
      </c>
      <c r="G358" s="3">
        <f>1156.4+(800.6-302.3)+(-1.769292+(-1.224918--0.462519))+0-396.3--0.606339000000023</f>
        <v>1256.4746480000001</v>
      </c>
      <c r="H358" s="3">
        <f>1156.7+(652.7-189.1)+(0+(0-0))+0-388.9-0</f>
        <v>1231.4000000000001</v>
      </c>
      <c r="I358" s="3">
        <f>1155.9+(618-183.4)+(-2.947545+(-1.5759--0.46767))+0-381.9--0.973844999999945</f>
        <v>1205.5180700000001</v>
      </c>
      <c r="J358" s="3">
        <f>1155.9+(607.2-185.9)+(0+(0-0))+0-380.5-0</f>
        <v>1196.7000000000003</v>
      </c>
      <c r="K358" s="3">
        <f>1156.3+(624.5-185.5)+(1.179426+(0.63699-0.18921))+0-390.5-0.398310000000062</f>
        <v>1206.0288959999998</v>
      </c>
      <c r="L358" s="3">
        <f>1156+(758-312)+(-1.17912+(-0.77316--0.31824))+0-392.4--0.400248000000063</f>
        <v>1208.3662080000001</v>
      </c>
      <c r="M358" s="3">
        <f>1155.7+(983.5-451.4)+(1.178814+(1.00317-0.460428))+0-403.2-0.411264000000064</f>
        <v>1285.910292</v>
      </c>
      <c r="N358" s="3">
        <f>1155.7+(1356.1-692.2)+(-0.589407+(-0.691611--0.353022))+0-407.2--0.207671999999959</f>
        <v>1411.679676</v>
      </c>
      <c r="O358" s="3">
        <f>1157.2+(1911.6-1161.2)+(0.590172+(0.974916-0.592212))+0-405.7-0.206906999999959</f>
        <v>1502.6659689999999</v>
      </c>
      <c r="P358" s="3">
        <f>1154.3+(2056.1-1273.7)+(-1.766079+(-3.145833--1.948761))+0-396.4--0.606492000000023</f>
        <v>1537.9433409999999</v>
      </c>
      <c r="Q358" s="3">
        <f>1158.7+(2316-1540.5)+(0+(0-0))+0-375.2-0</f>
        <v>1559</v>
      </c>
      <c r="R358" s="3">
        <f>1154.8+(2199.5-1460.6)+(-1.177896+(-2.24349--1.489812))+0-379--0.38658000000006</f>
        <v>1513.1550060000002</v>
      </c>
      <c r="S358" s="3">
        <f>1155.4+(2017.2-1375.2)+(-1.178508+(-2.057544--1.402704))+0-378--0.38556000000006</f>
        <v>1417.9522120000004</v>
      </c>
      <c r="T358" s="3">
        <f>1156.5+(1917.8-1253.7)+(1.17963+(1.956156-1.278774))+0-377-0.38454000000006</f>
        <v>1445.0724719999998</v>
      </c>
      <c r="U358" s="3">
        <f>1157.1+(1831.4-1153)+(0.590121+(0.934014-0.58803))+0-384.9-0.196298999999961</f>
        <v>1451.3398060000002</v>
      </c>
      <c r="V358" s="3">
        <f>1154.6+(1758.9-1092.5)+(0+(0-0))+0-380.6-0</f>
        <v>1440.4</v>
      </c>
      <c r="W358" s="3">
        <f>1243.9+(1600.1-1018.5)+(0.634389+(0.816051-0.519435))+0-385.2-0.196451999999961</f>
        <v>1441.034553</v>
      </c>
      <c r="X358" s="3">
        <f>1461.6+(2008.4-1503.1)+(0+(0-0))+0-388.1-0</f>
        <v>1578.8000000000002</v>
      </c>
      <c r="Y358" s="3">
        <f>1567.2+(2227.7-1722.1)+(-4.795632+(-6.816762--5.269626))+0-372.3--1.13923800000004</f>
        <v>1695.2964700000002</v>
      </c>
      <c r="Z358" s="3">
        <f>1567.4+(1945.2-1454.9)+(-1.598748+(-1.984104--1.483998))+0-385.1--0.392802000000061</f>
        <v>1670.8939480000001</v>
      </c>
      <c r="AA358" s="3">
        <f>1536.2+(1631.5-1127.8)+(-3.133848+(-3.32826--2.300712))+0-392.8--0.801311999999983</f>
        <v>1643.7399160000002</v>
      </c>
      <c r="AB358" s="3">
        <f>1395.1+(1576-1000.8)+(-2.846004+(-3.21504--2.041632))+0-397.1--0.810083999999983</f>
        <v>1569.9906719999997</v>
      </c>
      <c r="AC358" s="3">
        <f>1206.2+(1612-928.8)+(-3.07581+(-4.1106--2.36844))+0-398.2--1.01540999999994</f>
        <v>1487.39744</v>
      </c>
      <c r="AD358" s="2">
        <v>1686.7999999999997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1158.2+(1194.8-552.6)+(-2.95341+(-3.04674--1.40913))+0-402.2--1.02560999999994</f>
        <v>1394.6345899999999</v>
      </c>
      <c r="G359" s="3">
        <f>1158.4+(877.2-337.2)+(-2.95392+(-2.23686--0.85986))+0-406.3--1.03606499999994</f>
        <v>1288.805145</v>
      </c>
      <c r="H359" s="3">
        <f>1157.4+(762.5-253.1)+(-0.590274+(-0.388875--0.129081))+0-407.2--0.207671999999959</f>
        <v>1258.9576040000002</v>
      </c>
      <c r="I359" s="3">
        <f>1156.6+(645-157.1)+(-0.589866+(-0.32895--0.080121))+0-403.6--0.205835999999959</f>
        <v>1240.267141</v>
      </c>
      <c r="J359" s="3">
        <f>1158.2+(588.3-113.6)+(-2.95341+(-1.500165--0.28968))+0-409.7--1.04473499999994</f>
        <v>1220.0808400000001</v>
      </c>
      <c r="K359" s="3">
        <f>1158.2+(653.9-161.7)+(-0.590682+(-0.333489--0.082467))+0-409.9--0.209048999999958</f>
        <v>1239.8673450000001</v>
      </c>
      <c r="L359" s="3">
        <f>1157.1+(724.1-244.9)+(-1.770363+(-1.107873--0.374697))+0-411.7--0.629901000000024</f>
        <v>1222.7263619999999</v>
      </c>
      <c r="M359" s="3">
        <f>1157.5+(851.5-308.9)+(0+(0-0))+0-413.5-0</f>
        <v>1286.5999999999999</v>
      </c>
      <c r="N359" s="3">
        <f>1157.3+(1071.2-425.4)+(0.590223+(0.546312-0.216954))+0-402.5-0.205274999999959</f>
        <v>1401.314306</v>
      </c>
      <c r="O359" s="3">
        <f>1157.3+(1533.4-771.2)+(-2.360892+(-3.128136--1.573248))+0-407.4--0.831095999999982</f>
        <v>1509.015316</v>
      </c>
      <c r="P359" s="3">
        <f>1159.3+(1899.6-1152.1)+(-1.182486+(-1.937592--1.175142))+0-373.3--0.38076600000006</f>
        <v>1531.9358299999999</v>
      </c>
      <c r="Q359" s="3">
        <f>1166.5+(1835.2-1072.6)+(0+(0-0))+0-370.8-0</f>
        <v>1558.3000000000002</v>
      </c>
      <c r="R359" s="3">
        <f>1245.2+(1563.7-923.2)+(-2.540208+(-3.189948--1.883328))+0-388.3--0.792131999999983</f>
        <v>1494.3453040000002</v>
      </c>
      <c r="S359" s="3">
        <f>1244.5+(1264.2-675.9)+(-0.634695+(-0.644742--0.344709))+0-388.4--0.198083999999961</f>
        <v>1443.6633560000002</v>
      </c>
      <c r="T359" s="3">
        <f>1245+(1166.4-570.1)+(0+(0-0))+0-382.5-0</f>
        <v>1458.8000000000002</v>
      </c>
      <c r="U359" s="3">
        <f>1256.4+(1287.3-687.4)+(1.281528+(1.313046-0.701148))+0-404-0.412080000000064</f>
        <v>1453.7813460000002</v>
      </c>
      <c r="V359" s="3">
        <f>1291.1+(1020.6-442.4)+(-3.292305+(-2.60253--1.12812))+0-405.7--1.03453499999994</f>
        <v>1459.8678199999999</v>
      </c>
      <c r="W359" s="3">
        <f>1313.5+(921.5-393.5)+(0+(0-0))+0-408.3-0</f>
        <v>1433.2</v>
      </c>
      <c r="X359" s="3">
        <f>1546+(1268.1-874.1)+(-1.57692+(-1.293462--0.891582))+12-405--0.413100000000065</f>
        <v>1545.4342999999999</v>
      </c>
      <c r="Y359" s="3">
        <f>1643.3+(1692.4-1229.3)+(-4.190415+(-4.31562--3.134715))+0-412--1.05059999999994</f>
        <v>1690.0792799999999</v>
      </c>
      <c r="Z359" s="3">
        <f>1657.4+(1390.5-960)+(-3.381096+(-2.83662--1.9584))+0-417.8--0.852311999999982</f>
        <v>1666.692996</v>
      </c>
      <c r="AA359" s="3">
        <f>1656.1+(1029-624.6)+(-5.912277+(-3.67353--2.229822))+0-419.4--1.49725800000001</f>
        <v>1635.2412729999999</v>
      </c>
      <c r="AB359" s="3">
        <f>1518.7+(1009.6-545.6)+(-3.098148+(-2.059584--1.113024))+0-422.6--0.862103999999982</f>
        <v>1556.9173960000001</v>
      </c>
      <c r="AC359" s="3">
        <f>1257.2+(1106.9-446.1)+(-1.282344+(-1.129038--0.455022))+0-417.9--0.426258000000067</f>
        <v>1498.5698980000002</v>
      </c>
      <c r="AD359" s="2">
        <v>1685.6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1202.4+(966.5-357.5)+(-3.679344+(-2.95749--1.09395))+0-416--1.27296000000005</f>
        <v>1391.1300760000001</v>
      </c>
      <c r="G360" s="3">
        <f>1200.8+(673.3-140.2)+(-1.837224+(-1.030149--0.214506))+0-420.9--0.643977000000024</f>
        <v>1310.9911099999997</v>
      </c>
      <c r="H360" s="3">
        <f>1201.5+(679.1-197.7)+(-1.838295+(-1.039023--0.302481))+0-420.9--0.643977000000024</f>
        <v>1260.0691400000003</v>
      </c>
      <c r="I360" s="3">
        <f>1201.7+(621.4-175.2)+(-0.612867+(-0.316914--0.089352))+0-407.6--0.207875999999959</f>
        <v>1239.6674469999998</v>
      </c>
      <c r="J360" s="3">
        <f>1196+(637.4-194.1)+(-1.21992+(-0.650148--0.197982))+0-395.3--0.403206000000063</f>
        <v>1242.7311199999999</v>
      </c>
      <c r="K360" s="3">
        <f>1189.4+(687.6-215.8)+(1.213188+(0.701352-0.220116))+0-411.5-0.419730000000066</f>
        <v>1250.974694</v>
      </c>
      <c r="L360" s="3">
        <f>1188.6+(764.5-332.2)+(-2.424744+(-1.55958--0.677688))+0-406.5--0.829259999999982</f>
        <v>1211.9226239999998</v>
      </c>
      <c r="M360" s="3">
        <f>1187.7+(1020.1-532.3)+(0.605727+(0.520251-0.271473))+0-394.6-0.20124599999996</f>
        <v>1281.553259</v>
      </c>
      <c r="N360" s="3">
        <f>1192.9+(1005.6-420.3)+(0.608379+(0.512856-0.214353))+0-403.5-0.205784999999959</f>
        <v>1375.4010970000002</v>
      </c>
      <c r="O360" s="3">
        <f>1238.2+(1254.7-595.7)+(2.525928+(2.559588-1.215228))+0-408.5-0.833339999999982</f>
        <v>1491.7369480000002</v>
      </c>
      <c r="P360" s="3">
        <f>1275.8+(1496.3-805.9)+(-1.301316+(-1.526226--0.822018))+0-422.3--0.430746000000067</f>
        <v>1542.3252219999999</v>
      </c>
      <c r="Q360" s="3">
        <f>1327.4+(1445.5-834.3)+(-3.38487+(-3.686025--2.127465))+0-418.7--1.06768499999994</f>
        <v>1516.024255</v>
      </c>
      <c r="R360" s="3">
        <f>1337.9+(1289.1-621.5)+(-3.411645+(-3.287205--1.584825))+0-413.3--1.05391499999994</f>
        <v>1588.1398899999999</v>
      </c>
      <c r="S360" s="3">
        <f>1314.1+(908.6-322.7)+(-2.680764+(-1.853544--0.658308))+0-412.6--0.841703999999982</f>
        <v>1484.3657039999998</v>
      </c>
      <c r="T360" s="3">
        <f>1238.2+(923.5-270.4)+(1.262964+(0.94197-0.275808))+0-422.1-0.430542000000067</f>
        <v>1470.6985840000002</v>
      </c>
      <c r="U360" s="3">
        <f>1252.7+(941-285)+(0+(0-0))+0-422-0</f>
        <v>1486.7</v>
      </c>
      <c r="V360" s="3">
        <f>1318.1+(897.4-336.1)+(-2.016693+(-1.373022--0.514233))+0-422.1--0.645813000000024</f>
        <v>1455.0703309999999</v>
      </c>
      <c r="W360" s="3">
        <f>1320.7+(895.8-342.8)+(1.347114+(0.913716-0.349656))+0-425-0.433500000000068</f>
        <v>1450.177674</v>
      </c>
      <c r="X360" s="3">
        <f>1653.4+(1048.7-615.4)+(1.686468+(1.069674-0.627708))+0-425.5-0.434010000000068</f>
        <v>1662.8944240000003</v>
      </c>
      <c r="Y360" s="3">
        <f>1793.2+(1411-1002.8)+(-2.743596+(-2.15883--1.534284))+0-418.1--0.639693000000024</f>
        <v>1780.5715510000005</v>
      </c>
      <c r="Z360" s="3">
        <f>1712.4+(1250.9-794.4)+(-2.619972+(-1.913877--1.215432))+0-413.6--0.632808000000024</f>
        <v>1752.6143910000003</v>
      </c>
      <c r="AA360" s="3">
        <f>1513+(1131.6-527.7)+(-0.77163+(-0.577116--0.269127))+0-419.1--0.213740999999957</f>
        <v>1696.9341219999997</v>
      </c>
      <c r="AB360" s="3">
        <f>1115.5+(1293.4-376)+(-2.844525+(-3.29817--0.9588))+0-416--1.06079999999994</f>
        <v>1612.7769050000002</v>
      </c>
      <c r="AC360" s="3">
        <f>1036.3+(1352.6-423.7)+(-1.585539+(-2.069478--0.648261))+0-420.4--0.643212000000024</f>
        <v>1542.4364559999999</v>
      </c>
      <c r="AD360" s="2">
        <v>1641.4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1060.2+(1138.2-414.6)+(-2.162808+(-2.321928--0.845784))+0-417.9--0.852515999999982</f>
        <v>1363.1135640000002</v>
      </c>
      <c r="G361" s="3">
        <f>1060.7+(1151.7-524.2)+(-2.163828+(-2.349468--1.069368))+0-419.2--0.855167999999982</f>
        <v>1266.4112400000001</v>
      </c>
      <c r="H361" s="3">
        <f>1081.2+(964.7-369.1)+(-1.102824+(-0.983994--0.376482))+0-425--0.433500000000068</f>
        <v>1250.5231640000002</v>
      </c>
      <c r="I361" s="3">
        <f>1086.7+(985.2-432.6)+(1.662651+(1.507356-0.661878))+0-420.7-0.643671000000024</f>
        <v>1220.4644580000001</v>
      </c>
      <c r="J361" s="3">
        <f>1241.2+(888.1-488.6)+(-2.532048+(-1.811724--0.996744))+0-414.4--0.845375999999982</f>
        <v>1223.798348</v>
      </c>
      <c r="K361" s="3">
        <f>1277.7+(934.2-614.9)+(-1.303254+(-0.952884--0.627198))+0-417.1--0.425442000000067</f>
        <v>1178.696502</v>
      </c>
      <c r="L361" s="3">
        <f>1347.4+(1127.1-874.3)+(-0.687174+(-0.574821--0.445893))+0-417.6--0.212975999999958</f>
        <v>1181.9968740000002</v>
      </c>
      <c r="M361" s="3">
        <f>1348.3+(1246.4-979.3)+(0.687633+(0.635664-0.499443))+0-410.7-0.209456999999958</f>
        <v>1205.3143970000001</v>
      </c>
      <c r="N361" s="3">
        <f>1367+(1093.4-775.1)+(-0.69717+(-0.557634--0.395301))+0-408--0.208079999999959</f>
        <v>1276.6485770000002</v>
      </c>
      <c r="O361" s="3">
        <f>1367.3+(1038.1-649.6)+(-0.697323+(-0.529431--0.331296))+0-406--0.207059999999959</f>
        <v>1349.1116019999997</v>
      </c>
      <c r="P361" s="3">
        <f>1418+(994.1-583.5)+(2.16954+(1.520973-0.892755))+0-409.9-0.627147000000024</f>
        <v>1420.8706110000001</v>
      </c>
      <c r="Q361" s="3">
        <f>1446.2+(878.6-492.3)+(-2.950248+(-1.792344--1.004292))+0-411.9--0.840275999999982</f>
        <v>1417.7019759999998</v>
      </c>
      <c r="R361" s="3">
        <f>1432.9+(923.7-504.9)+(-1.461558+(-0.942174--0.514998))+0-412.5--0.420750000000066</f>
        <v>1437.7320160000002</v>
      </c>
      <c r="S361" s="3">
        <f>1432.4+(981.5-608.3)+(-2.922096+(-2.00226--1.240932))+0-409.7--0.835787999999982</f>
        <v>1393.0523640000001</v>
      </c>
      <c r="T361" s="3">
        <f>1414.4+(1098.9-753.1)+(1.442688+(1.120878-0.768162))+0-410.2-0.418404000000065</f>
        <v>1351.3770000000002</v>
      </c>
      <c r="U361" s="3">
        <f>1446.3+(1175.3-850.6)+(0.737613+(0.599403-0.433806))+0-397.2-0.20257199999996</f>
        <v>1374.500638</v>
      </c>
      <c r="V361" s="3">
        <f>1430.7+(1109.8-863.2)+(1.459314+(1.131996-0.880464))+0-391.4-0.399228000000062</f>
        <v>1287.211618</v>
      </c>
      <c r="W361" s="3">
        <f>1599.2+(922.2-725.9)+(0+(0-0))+0-400.2-0</f>
        <v>1395.3</v>
      </c>
      <c r="X361" s="3">
        <f>1774.6+(715.4-490.1)+(1.810092+(0.729708-0.499902))+0-407.9-0.416058000000065</f>
        <v>1593.62384</v>
      </c>
      <c r="Y361" s="3">
        <f>1851.9+(1287.1-986.1)+(-0.944469+(-0.656421--0.502911))+0-391.5--0.19966499999996</f>
        <v>1760.5016859999998</v>
      </c>
      <c r="Z361" s="3">
        <f>1853.9+(1057.4-769.5)+(-1.890978+(-1.078548--0.78489))+0-403.6--0.411672000000064</f>
        <v>1736.4270360000003</v>
      </c>
      <c r="AA361" s="3">
        <f>1727.3+(1009.3-634.4)+(-1.761846+(-1.029486--0.647088))+0-414.6--0.422892000000066</f>
        <v>1685.8786479999999</v>
      </c>
      <c r="AB361" s="3">
        <f>1563.9+(784.7-317)+(-3.987945+(-2.000985--0.80835))+0-420.3--1.07176499999994</f>
        <v>1607.1911850000001</v>
      </c>
      <c r="AC361" s="3">
        <f>1456.2+(716.1-283.3)+(-2.227986+(-1.095633--0.433449))+0-415.4--0.635562000000024</f>
        <v>1471.3453920000002</v>
      </c>
      <c r="AD361" s="2">
        <v>1598.7000000000003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1395.9+(969.7-712.5)+(-4.271454+(-2.967282--2.18025))+0-391.2--1.19707200000005</f>
        <v>1258.0385860000004</v>
      </c>
      <c r="G362" s="3">
        <f>1396.9+(1237.8-1013.2)+(-3.562095+(-3.15639--2.58366))+0-398.2--1.01540999999994</f>
        <v>1220.1805849999998</v>
      </c>
      <c r="H362" s="3">
        <f>1397.3+(1359.6-1164.4)+(-2.850492+(-2.773584--2.375376))+0-410.5--0.837419999999982</f>
        <v>1179.5887199999997</v>
      </c>
      <c r="I362" s="3">
        <f>1398+(1019.7-822.5)+(0+(0-0))+0-411.4-0</f>
        <v>1183.8000000000002</v>
      </c>
      <c r="J362" s="3">
        <f>1398.1+(983.8-769.6)+(2.139093+(1.505214-1.177488))+0-420.4-0.643212000000024</f>
        <v>1193.7236069999999</v>
      </c>
      <c r="K362" s="3">
        <f>1397.9+(929.6-714.8)+(0+(0-0))+0-420.6-0</f>
        <v>1192.1000000000004</v>
      </c>
      <c r="L362" s="3">
        <f>1408.7+(954.5-765.7)+(-0.718437+(-0.486795--0.390507))+0-409.7--0.208946999999958</f>
        <v>1187.1942219999999</v>
      </c>
      <c r="M362" s="3">
        <f>1407.1+(1131.3-852.9)+(0+(0-0))+0-411.4-0</f>
        <v>1274.0999999999999</v>
      </c>
      <c r="N362" s="3">
        <f>1404.5+(982.8-622.9)+(-0.716295+(-0.501228--0.317679))+0-407--0.207569999999959</f>
        <v>1356.7077260000001</v>
      </c>
      <c r="O362" s="3">
        <f>1406.4+(952.8-523.9)+(-0.717264+(-0.485928--0.267189))+0-398.6--0.20328599999996</f>
        <v>1435.967283</v>
      </c>
      <c r="P362" s="3">
        <f>1423.6+(894.1-452.2)+(0.726036+(0.455991-0.230622))+0-403-0.205529999999959</f>
        <v>1463.2458750000001</v>
      </c>
      <c r="Q362" s="3">
        <f>1510+(804.1-431.8)+(0+(0-0))+0-398-0</f>
        <v>1484.3</v>
      </c>
      <c r="R362" s="3">
        <f>1569+(757.1-508.4)+(-2.40057+(-1.158363--0.777852))+0-399.1--0.610623000000023</f>
        <v>1416.4295419999999</v>
      </c>
      <c r="S362" s="3">
        <f>1573.3+(933.6-747.4)+(0.802383+(0.476136-0.381174))+0-390.1-0.19895099999996</f>
        <v>1370.0983940000001</v>
      </c>
      <c r="T362" s="3">
        <f>1573.3+(937.2-767)+(-1.604766+(-0.955944--0.78234))+0-359.5--0.366690000000057</f>
        <v>1382.5883200000001</v>
      </c>
      <c r="U362" s="3">
        <f>1570.4+(931.4-748.4)+(-3.203616+(-1.900056--1.526736))+0-371.6--0.758063999999984</f>
        <v>1378.9811280000001</v>
      </c>
      <c r="V362" s="3">
        <f>1620+(1090.8-927.1)+(-4.9572+(-3.337848--2.836926))+0-377.1--1.15392600000004</f>
        <v>1402.2958039999999</v>
      </c>
      <c r="W362" s="3">
        <f>1620+(876.1-701.5)+(-6.6096+(-3.574488--2.86212))+0-384.5--1.56875999999997</f>
        <v>1404.3467919999998</v>
      </c>
      <c r="X362" s="3">
        <f>1836.7+(608.8-528.2)+(0+(0-0))+0-390.6-0</f>
        <v>1526.6999999999998</v>
      </c>
      <c r="Y362" s="3">
        <f>1872.7+(826.1-632.2)+(-4.775385+(-2.106555--1.61211))+0-389.4--0.992969999999943</f>
        <v>1672.9231399999996</v>
      </c>
      <c r="Z362" s="3">
        <f>1872.8+(729.9-591.9)+(-4.77564+(-1.861245--1.509345))+0-386--0.984299999999944</f>
        <v>1620.6567599999998</v>
      </c>
      <c r="AA362" s="3">
        <f>1855.2+(762.1-620.3)+(-3.784608+(-1.554684--1.265412))+0-397.8--0.811511999999983</f>
        <v>1595.9376320000001</v>
      </c>
      <c r="AB362" s="3">
        <f>1626.3+(855.8-549)+(-0.829413+(-0.436458--0.27999))+0-402.9--0.205478999999959</f>
        <v>1529.4195979999997</v>
      </c>
      <c r="AC362" s="3">
        <f>1511.6+(770-436)+(-3.85458+(-1.9635--1.1118))+0-405.2--1.03325999999994</f>
        <v>1436.7269799999997</v>
      </c>
      <c r="AD362" s="2">
        <v>1655.0000000000005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1476.6+(1037.1-627.1)+(-4.518396+(-3.173526--1.918926))+0-419.1--1.28244600000005</f>
        <v>1463.00945</v>
      </c>
      <c r="G363" s="3">
        <f>1478+(1133.1-758.2)+(-3.7689+(-2.889405--1.93341))+0-416.9--1.06309499999994</f>
        <v>1432.3381999999997</v>
      </c>
      <c r="H363" s="3">
        <f>1478.6+(1439.7-1263.7)+(-3.016344+(-2.936988--2.577948))+0-416.1--0.848843999999982</f>
        <v>1235.9734599999999</v>
      </c>
      <c r="I363" s="3">
        <f>1478.5+(1376.4-1220.8)+(-4.52421+(-4.211784--3.735648))+0-412.9--1.26347400000005</f>
        <v>1217.4631280000001</v>
      </c>
      <c r="J363" s="3">
        <f>1478.5+(1372.6-1226.2)+(-2.262105+(-2.100078--1.876086))+0-414.5--0.634185000000024</f>
        <v>1208.548088</v>
      </c>
      <c r="K363" s="3">
        <f>1479.2+(1253.3-1129.2)+(-0.754392+(-0.639183--0.575892))+0-393.6--0.20073599999996</f>
        <v>1209.0830530000001</v>
      </c>
      <c r="L363" s="3">
        <f>1478.8+(1354.1-1230.1)+(0+(0-0))+0-396.7-0</f>
        <v>1206.0999999999999</v>
      </c>
      <c r="M363" s="3">
        <f>1478.9+(1388.9-1227)+(1.508478+(1.416678-1.25154))+0-389.3-0.397086000000062</f>
        <v>1252.7765300000001</v>
      </c>
      <c r="N363" s="3">
        <f>1478.2+(1121.9-837.1)+(-0.753882+(-0.572169--0.426921))+0-392.6--0.20022599999996</f>
        <v>1369.7010959999998</v>
      </c>
      <c r="O363" s="3">
        <f>1478.5+(1033.7-665.9)+(0+(0-0))+0-410.9-0</f>
        <v>1435.4</v>
      </c>
      <c r="P363" s="3">
        <f>1478.6+(911.1-502)+(-3.77043+(-2.323305--1.2801))+0-409.9--1.04524499999994</f>
        <v>1474.0316099999998</v>
      </c>
      <c r="Q363" s="3">
        <f>1479.1+(911.7-497.7)+(-0.754341+(-0.464967--0.253827))+0-414.7--0.211496999999958</f>
        <v>1477.6460159999999</v>
      </c>
      <c r="R363" s="3">
        <f>1479.9+(880.8-436.6)+(-4.528494+(-2.695248--1.335996))+0-406.6--1.24419600000005</f>
        <v>1512.8564499999998</v>
      </c>
      <c r="S363" s="3">
        <f>1478.6+(933.1-541.1)+(0.754086+(0.475881-0.275961))+0-379.6-0.193595999999961</f>
        <v>1491.7604099999999</v>
      </c>
      <c r="T363" s="3">
        <f>1480+(824.2-463.1)+(-3.0192+(-1.681368--0.944724))+0-368--0.750719999999984</f>
        <v>1470.0948759999999</v>
      </c>
      <c r="U363" s="3">
        <f>1481+(888.7-521.1)+(-2.26593+(-1.359711--0.797283))+0-373.6--0.571608000000022</f>
        <v>1472.7432499999998</v>
      </c>
      <c r="V363" s="3">
        <f>1478.8+(870.3-503.7)+(0+(0-0))+0-375.6-0</f>
        <v>1469.7999999999997</v>
      </c>
      <c r="W363" s="3">
        <f>1535+(650-515)+(0+(0-0))+0-399-0</f>
        <v>1271</v>
      </c>
      <c r="X363" s="3">
        <f>1828.1+(872.9-723)+(0.932331+(0.445179-0.36873))+0-429-0.218789999999956</f>
        <v>1549.78999</v>
      </c>
      <c r="Y363" s="3">
        <f>1876+(954.5-638)+(-0.95676+(-0.486795--0.32538))+0-437--0.222869999999956</f>
        <v>1754.604695</v>
      </c>
      <c r="Z363" s="3">
        <f>1876.5+(821.9-557.2)+(-0.957015+(-0.419169--0.284172))+0-400.6--0.204305999999959</f>
        <v>1739.7122939999997</v>
      </c>
      <c r="AA363" s="3">
        <f>1647.3+(848.6-398.1)+(-0.840123+(-0.432786--0.203031))+0-404.4--0.206243999999959</f>
        <v>1692.5363660000003</v>
      </c>
      <c r="AB363" s="3">
        <f>1481.4+(951-409.2)+(-3.77757+(-2.42505--1.04346))+0-404.5--1.03147499999994</f>
        <v>1614.5723150000001</v>
      </c>
      <c r="AC363" s="3">
        <f>1480+(781.7-327)+(-3.0192+(-1.594668--0.66708))+0-408.4--0.833135999999982</f>
        <v>1523.186348</v>
      </c>
      <c r="AD363" s="2">
        <v>1740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1481.7+(846.5-547.8)+(-3.022668+(-1.72686--1.117512))+0-418.3--0.853331999999982</f>
        <v>1359.321316</v>
      </c>
      <c r="G364" s="3">
        <f>1482.3+(1068.4-873.1)+(-2.267919+(-1.634652--1.335843))+0-419.3--0.641529000000024</f>
        <v>1256.3748009999999</v>
      </c>
      <c r="H364" s="3">
        <f>1480.7+(1265.9-1121.6)+(-3.775785+(-3.228045--2.86008))+5.1-415.5--1.05952499999994</f>
        <v>1211.5157750000001</v>
      </c>
      <c r="I364" s="3">
        <f>1482.3+(1234.6-1142.1)+(0.755973+(0.629646-0.582471))+24.4-414.8-0.211547999999958</f>
        <v>1184.9916000000001</v>
      </c>
      <c r="J364" s="3">
        <f>1479.8+(1196.4-1091.1)+(-3.018792+(-2.440656--2.225844))+0-415.5--0.847619999999982</f>
        <v>1167.2140160000001</v>
      </c>
      <c r="K364" s="3">
        <f>1481.5+(1146.8-1021.1)+(-1.51113+(-1.169736--1.041522))+0-418.7--0.427074000000067</f>
        <v>1187.28773</v>
      </c>
      <c r="L364" s="3">
        <f>1480.6+(1171.2-1091.7)+(0+(0-0))+0-415.5-0</f>
        <v>1144.5999999999999</v>
      </c>
      <c r="M364" s="3">
        <f>1481.3+(1173-1042.3)+(-2.266389+(-1.79469--1.594719))+0-396--0.605880000000023</f>
        <v>1214.1395200000002</v>
      </c>
      <c r="N364" s="3">
        <f>1474.6+(1242.3-1077.1)+(-0.752046+(-0.633573--0.549321))+0-386.8--0.197267999999961</f>
        <v>1252.36097</v>
      </c>
      <c r="O364" s="3">
        <f>1475+(1009-784.7)+(-3.76125+(-2.57295--2.000985))+0-376--0.958799999999945</f>
        <v>1319.9255849999997</v>
      </c>
      <c r="P364" s="3">
        <f>1474+(940-684.2)+(0.75174+(0.4794-0.348942))+0-369.8-0.188597999999962</f>
        <v>1360.6936000000001</v>
      </c>
      <c r="Q364" s="3">
        <f>1474.4+(927.5-682.9)+(0.751944+(0.473025-0.348279))+0-361-0.184109999999963</f>
        <v>1358.6925800000001</v>
      </c>
      <c r="R364" s="3">
        <f>1461.9+(939.9-708.8)+(-4.473414+(-2.876094--2.168928))+0-364.4--1.11506400000004</f>
        <v>1324.5344840000002</v>
      </c>
      <c r="S364" s="3">
        <f>1455.7+(1159.3-945.6)+(-2.969628+(-2.364972--1.929024))+0-372.3--0.759491999999984</f>
        <v>1294.4539159999999</v>
      </c>
      <c r="T364" s="3">
        <f>1456.5+(1170.3-973.4)+(-1.48563+(-1.193706--0.992868))+0-381.4--0.389028000000061</f>
        <v>1270.7025600000002</v>
      </c>
      <c r="U364" s="3">
        <f>1456+(1062.9-988.2)+(-0.74256+(-0.542079--0.503982))+0-423.1--0.215780999999957</f>
        <v>1107.035124</v>
      </c>
      <c r="V364" s="3">
        <f>1465.3+(1059.5-833.6)+(-2.241909+(-1.621035--1.275408))+0-391.1--0.598383000000023</f>
        <v>1298.1108469999999</v>
      </c>
      <c r="W364" s="3">
        <f>1506.7+(954.4-737.8)+(1.536834+(0.973488-0.752556))+0-396.1-0.404022000000063</f>
        <v>1328.5537439999998</v>
      </c>
      <c r="X364" s="3">
        <f>1622.1+(805-605.5)+(1.654542+(0.8211-0.61761))+0-394.7-0.402594000000063</f>
        <v>1428.3554379999998</v>
      </c>
      <c r="Y364" s="3">
        <f>1622.5+(848.5-516.3)+(-0.827475+(-0.432735--0.263313))+0-395.9--0.20190899999996</f>
        <v>1558.0050120000001</v>
      </c>
      <c r="Z364" s="3">
        <f>1620.4+(787-454.7)+(-4.13202+(-2.00685--1.159485))+0-396.3--1.01056499999994</f>
        <v>1552.43118</v>
      </c>
      <c r="AA364" s="3">
        <f>1625.6+(739.7-461.4)+(0+(0-0))+0-392.8-0</f>
        <v>1511.1000000000001</v>
      </c>
      <c r="AB364" s="3">
        <f>1623.5+(673.8-433.6)+(-3.31194+(-1.374552--0.884544))+0-392.9--0.801515999999983</f>
        <v>1467.7995679999999</v>
      </c>
      <c r="AC364" s="3">
        <f>1523+(682.3-407.1)+(-3.88365+(-1.739865--1.038105))+0-407--1.03784999999994</f>
        <v>1387.6524399999998</v>
      </c>
      <c r="AD364" s="2">
        <v>1553.3999999999996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1477.1+(645.2-388.9)+(0+(0-0))+0-417.3-0</f>
        <v>1316.1000000000001</v>
      </c>
      <c r="G365" s="3">
        <f>1433+(951.1-738.2)+(-2.92332+(-1.940244--1.505928))+0-418.7--0.854147999999982</f>
        <v>1224.696512</v>
      </c>
      <c r="H365" s="3">
        <f>1433.3+(1111.9-954.1)+(-4.385898+(-3.402414--2.919546))+0-411.3--1.25857800000005</f>
        <v>1176.1898119999998</v>
      </c>
      <c r="I365" s="3">
        <f>1432.5+(967.9-834)+(-1.46115+(-0.987258--0.85068))+0-418.7--0.427074000000067</f>
        <v>1146.5293460000003</v>
      </c>
      <c r="J365" s="3">
        <f>1424.5+(819.7-674.2)+(-1.45299+(-0.836094--0.687684))+0-416.3--0.424626000000066</f>
        <v>1152.523226</v>
      </c>
      <c r="K365" s="3">
        <f>1413.1+(982.4-842.4)+(1.441362+(1.002048-0.859248))+0-413.2-0.421464000000066</f>
        <v>1141.062698</v>
      </c>
      <c r="L365" s="3">
        <f>1412.1+(1038.6-939.5)+(-1.440342+(-1.059372--0.95829))+0-412.2--0.420444000000066</f>
        <v>1097.8790199999999</v>
      </c>
      <c r="M365" s="3">
        <f>1413.7+(1125.1-1003.1)+(1.441974+(1.147602-1.023162))+0-413.9-0.422178000000066</f>
        <v>1122.9442359999996</v>
      </c>
      <c r="N365" s="3">
        <f>1414.2+(1118.4-937.9)+(-0.721242+(-0.570384--0.478329))+0-410--0.209099999999958</f>
        <v>1184.0958030000004</v>
      </c>
      <c r="O365" s="3">
        <f>1412.5+(981.2-757)+(0+(0-0))+0-403.9-0</f>
        <v>1232.8000000000002</v>
      </c>
      <c r="P365" s="3">
        <f>1429.3+(766.7-535.9)+(-0.728943+(-0.391017--0.273309))+0-408.8--0.208487999999959</f>
        <v>1250.6618369999999</v>
      </c>
      <c r="Q365" s="3">
        <f>1457.8+(778.5-570.8)+(2.973912+(1.58814-1.164432))+0-410.3-0.837011999999982</f>
        <v>1257.760608</v>
      </c>
      <c r="R365" s="3">
        <f>1458.8+(786.6-583.5)+(-2.975952+(-1.604664--1.19034))+0-415.2--0.847007999999982</f>
        <v>1244.1567319999999</v>
      </c>
      <c r="S365" s="3">
        <f>1459.4+(957.2-776.1)+(-1.488588+(-0.976344--0.791622))+0-418.4--0.426768000000067</f>
        <v>1220.8534580000003</v>
      </c>
      <c r="T365" s="3">
        <f>1459.1+(865-703.7)+(-2.976564+(-1.7646--1.435548))+0-420.1--0.857003999999982</f>
        <v>1197.8513879999996</v>
      </c>
      <c r="U365" s="3">
        <f>1459.7+(848.9-683.5)+(-2.233341+(-1.298817--1.045755))+0-417.4--0.638622000000024</f>
        <v>1205.8522189999999</v>
      </c>
      <c r="V365" s="3">
        <f>1459.8+(899.6-746.7)+(2.977992+(1.835184-1.523268))+0-415-0.846599999999982</f>
        <v>1200.1433079999997</v>
      </c>
      <c r="W365" s="3">
        <f>1534.5+(698.7-589.8)+(-3.13038+(-1.425348--1.203192))+0-408.8--0.833951999999982</f>
        <v>1232.081416</v>
      </c>
      <c r="X365" s="3">
        <f>1842+(459.7-512)+(1.87884+(0.468894-0.52224))+0-408.3-0.416466000000065</f>
        <v>1382.8090279999999</v>
      </c>
      <c r="Y365" s="3">
        <f>1875.3+(801.1-731.8)+(-2.869209+(-1.225683--1.119654))+0-409.7--0.626841000000024</f>
        <v>1532.5516029999999</v>
      </c>
      <c r="Z365" s="3">
        <f>1728.5+(1226.7-1048.4)+(1.76307+(1.251234-1.069368))+0-412.4-0.420648000000066</f>
        <v>1495.9242879999999</v>
      </c>
      <c r="AA365" s="3">
        <f>1626.6+(1656-1364.3)+(1.659132+(1.68912-1.391586))+0-412.5-0.420750000000066</f>
        <v>1507.335916</v>
      </c>
      <c r="AB365" s="3">
        <f>1625.9+(1468.5-1180.4)+(-2.487627+(-2.246805--1.806012))+0-420.2--0.642906000000024</f>
        <v>1491.514486</v>
      </c>
      <c r="AC365" s="3">
        <f>1484.6+(1165.8-824.4)+(-1.514292+(-1.189116--0.840888))+0-418.8--0.427176000000067</f>
        <v>1405.7646560000003</v>
      </c>
      <c r="AD365" s="2">
        <v>1563.5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1369.1739959999998</v>
      </c>
      <c r="G366" s="1">
        <v>1205.885</v>
      </c>
      <c r="H366" s="1">
        <v>1165.5900689999999</v>
      </c>
      <c r="I366" s="1">
        <v>1128.2382039999998</v>
      </c>
      <c r="J366" s="1">
        <v>1085.4668360000003</v>
      </c>
      <c r="K366" s="1">
        <v>1106.9220460000001</v>
      </c>
      <c r="L366" s="1">
        <v>1062.787544</v>
      </c>
      <c r="M366" s="1">
        <v>1044.4000000000001</v>
      </c>
      <c r="N366" s="1">
        <v>1135.3999999999999</v>
      </c>
      <c r="O366" s="1">
        <v>1210.8</v>
      </c>
      <c r="P366" s="1">
        <v>1237.9000000000001</v>
      </c>
      <c r="Q366" s="1">
        <v>1238.6404289999998</v>
      </c>
      <c r="R366" s="1">
        <v>1230.2710629999997</v>
      </c>
      <c r="S366" s="1">
        <v>1214.0641919999998</v>
      </c>
      <c r="T366" s="1">
        <v>1174.1304550000002</v>
      </c>
      <c r="U366" s="1">
        <v>1139.611545</v>
      </c>
      <c r="V366" s="1">
        <v>1130.0329369999999</v>
      </c>
      <c r="W366" s="1">
        <v>1141.011364</v>
      </c>
      <c r="X366" s="1">
        <v>1283.3351419999999</v>
      </c>
      <c r="Y366" s="1">
        <v>1435.9613450000002</v>
      </c>
      <c r="Z366" s="1">
        <v>1411.7643549999998</v>
      </c>
      <c r="AA366" s="1">
        <v>1401.0982699999997</v>
      </c>
      <c r="AB366" s="1">
        <v>1369.388285</v>
      </c>
      <c r="AC366" s="1">
        <v>1293.2028249999998</v>
      </c>
      <c r="AD366" s="1">
        <v>1429.2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1298.9+(122.1-664.6)+(-1.324878+(-0.124542--0.677892))+0-4--0.00408000000000064</f>
        <v>751.63255200000015</v>
      </c>
      <c r="G1" s="3">
        <f>1282.8+(147.8-760.6)+(-2.616912+(-0.301512--1.551624))+0-4--0.00815999999999983</f>
        <v>664.64135999999996</v>
      </c>
      <c r="H1" s="3">
        <f>1256.3+(154.7-787.5)+(-3.203565+(-0.394485--2.008125))+0-4--0.0101999999999994</f>
        <v>617.92027500000006</v>
      </c>
      <c r="I1" s="3">
        <f>1225.3+(141.4-760.8)+(-1.874709+(-0.216342--1.164024))+0-4--0.00612000000000023</f>
        <v>600.97909300000003</v>
      </c>
      <c r="J1" s="3">
        <f>1207.5+(129.6-745.7)+(-0.615825+(-0.066096--0.380307))+0-4--0.00203999999999959</f>
        <v>587.10042599999997</v>
      </c>
      <c r="K1" s="3">
        <f>1183.5+(135-726)+(0+(0-0))+0-4-0</f>
        <v>588.5</v>
      </c>
      <c r="L1" s="3">
        <f>1142.7+(164.5-728.8)+(-0.582777+(-0.083895--0.371688))+0-4--0.00203999999999959</f>
        <v>574.10705600000006</v>
      </c>
      <c r="M1" s="3">
        <f>1192.6+(136.4-710.9)+(0+(0-0))+0-4-0</f>
        <v>614.09999999999991</v>
      </c>
      <c r="N1" s="3">
        <f>1200.2+(136.5-671.3)+(-1.224204+(-0.13923--0.684726))+0-4--0.00408000000000064</f>
        <v>660.72537200000011</v>
      </c>
      <c r="O1" s="3">
        <f>1199.8+(147.1-676.9)+(-1.835694+(-0.225063--1.035657))+0-4--0.00612000000000023</f>
        <v>664.98102000000006</v>
      </c>
      <c r="P1" s="3">
        <f>1100.4+(178.1-631.6)+(-1.683612+(-0.272493--0.966348))+0-4--0.00612000000000023</f>
        <v>641.91636300000005</v>
      </c>
      <c r="Q1" s="3">
        <f>1034.3+(206.1-615.6)+(-0.527493+(-0.105111--0.313956))+0-4--0.00203999999999959</f>
        <v>620.48339199999987</v>
      </c>
      <c r="R1" s="3">
        <f>1011.3+(205.9-603.4)+(0+(0-0))+0-4-0</f>
        <v>609.79999999999995</v>
      </c>
      <c r="S1" s="3">
        <f>880.6+(288.1-583)+(0.449106+(0.146931-0.29733))+0-4-0.00203999999999959</f>
        <v>581.99666700000012</v>
      </c>
      <c r="T1" s="3">
        <f>847.4+(300.6-579.7)+(-2.16087+(-0.76653--1.478235))+0-4--0.0101999999999994</f>
        <v>562.86103500000002</v>
      </c>
      <c r="U1" s="3">
        <f>835.3+(302.1-568.7)+(-1.278009+(-0.462213--0.870111))+0-4--0.00612000000000023</f>
        <v>563.83600899999999</v>
      </c>
      <c r="V1" s="3">
        <f>800.9+(349-576.7)+(-1.225377+(-0.53397--0.882351))+0-4--0.00612000000000023</f>
        <v>568.32912399999998</v>
      </c>
      <c r="W1" s="3">
        <f>845+(341.2-602.9)+(-0.8619+(-0.348024--0.614958))+0-4--0.00408000000000064</f>
        <v>578.709114</v>
      </c>
      <c r="X1" s="3">
        <f>1077.2+(202.1-611.5)+(-1.098744+(-0.206142--0.62373))+0-4--0.00408000000000064</f>
        <v>663.12292400000013</v>
      </c>
      <c r="Y1" s="3">
        <f>1117.5+(274.9-596.5)+(-1.13985+(-0.280398--0.60843))+0-4--0.00408000000000064</f>
        <v>791.09226200000001</v>
      </c>
      <c r="Z1" s="3">
        <f>1097.5+(319.1-631.7)+(-1.679175+(-0.488223--0.966501))+0-4--0.00612000000000023</f>
        <v>779.70522299999993</v>
      </c>
      <c r="AA1" s="3">
        <f>1103.4+(345.9-687.7)+(-1.688202+(-0.529227--1.052181))+0-4--0.00612000000000023</f>
        <v>756.44087200000001</v>
      </c>
      <c r="AB1" s="3">
        <f>1163.7+(398.5-801.6)+(-1.780461+(-0.609705--1.226448))+0-4--0.00612000000000023</f>
        <v>755.44240200000002</v>
      </c>
      <c r="AC1" s="3">
        <f>1120.5+(309.5-691.8)+(-4.000185+(-1.104915--2.469726))+0-4--0.0142800000000001</f>
        <v>731.57890600000007</v>
      </c>
      <c r="AD1" s="2">
        <v>772.19999999999993</v>
      </c>
      <c r="AE1" s="3">
        <f>1094+(333.1-654.9)+(0+(0-0))+0-4-0</f>
        <v>768.2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661.889453</v>
      </c>
      <c r="G2" s="3">
        <f>891.5+(292.1-587.4)+(0+(0-0))+0-4-0</f>
        <v>592.20000000000005</v>
      </c>
      <c r="H2" s="3">
        <f>892+(282.5-558.2)+(-1.36476+(-0.432225--0.854046))+0-4--0.00612000000000023</f>
        <v>611.36318099999994</v>
      </c>
      <c r="I2" s="3">
        <f>893+(271-566.4)+(-1.36629+(-0.41463--0.866592))+0-4--0.00612000000000023</f>
        <v>592.69179200000008</v>
      </c>
      <c r="J2" s="3">
        <f>852.9+(286.5-552.5)+(-1.304937+(-0.438345--0.845325))+0-4--0.00612000000000023</f>
        <v>582.00816299999997</v>
      </c>
      <c r="K2" s="3">
        <f>824.1+(324-572.3)+(1.260873+(0.49572-0.875619))+0-4-0.00612000000000023</f>
        <v>572.6748540000001</v>
      </c>
      <c r="L2" s="3">
        <f>816.5+(313-559.8)+(-1.249245+(-0.47889--0.856494))+0-4--0.00612000000000023</f>
        <v>564.8344790000001</v>
      </c>
      <c r="M2" s="3">
        <f>817.6+(314.2-583)+(0.416976+(0.160242-0.29733))+0-4-0.00203999999999959</f>
        <v>545.07784800000002</v>
      </c>
      <c r="N2" s="3">
        <f>828.8+(296.6-577.1)+(0.422688+(0.151266-0.294321))+0-4-0.00203999999999959</f>
        <v>544.57759299999998</v>
      </c>
      <c r="O2" s="3">
        <f>906.3+(271.7-586)+(0.462213+(0.138567-0.29886))+0-4-0.00203999999999959</f>
        <v>588.29988000000003</v>
      </c>
      <c r="P2" s="3">
        <f>913.8+(296.8-581.8)+(0+(0-0))+0-4-0</f>
        <v>624.79999999999995</v>
      </c>
      <c r="Q2" s="3">
        <f>965.7+(272.4-594)+(-0.985014+(-0.277848--0.60588))+0-4--0.00408000000000064</f>
        <v>639.4470980000001</v>
      </c>
      <c r="R2" s="3">
        <f>916.7+(313.2-585.7)+(0+(0-0))+0-4-0</f>
        <v>640.20000000000005</v>
      </c>
      <c r="S2" s="3">
        <f>796.1+(383.8-563)+(0+(0-0))+0-4-0</f>
        <v>612.90000000000009</v>
      </c>
      <c r="T2" s="3">
        <f>787.2+(397.7-577)+(-0.802944+(-0.405654--0.58854))+0-4--0.00408000000000064</f>
        <v>603.28402200000016</v>
      </c>
      <c r="U2" s="3">
        <f>784.6+(393.8-586.9)+(-1.600584+(-0.803352--1.197276))+0-4--0.00815999999999983</f>
        <v>586.30149999999992</v>
      </c>
      <c r="V2" s="3">
        <f>929.4+(232.6-571.8)+(0.947988+(0.237252-0.583236))+0-4-0.00408000000000064</f>
        <v>586.79792399999997</v>
      </c>
      <c r="W2" s="3">
        <f>1211.2+(226.7-768.6)+(-1.235424+(-0.231234--0.783972))+0-4--0.00408000000000064</f>
        <v>664.62139400000001</v>
      </c>
      <c r="X2" s="3">
        <f>1243.9+(245.4-808.1)+(-1.268778+(-0.250308--0.824262))+0-4--0.00408000000000064</f>
        <v>676.50925600000005</v>
      </c>
      <c r="Y2" s="3">
        <f>1252.9+(239-718.9)+(0+(0-0))+0-4-0</f>
        <v>769.00000000000011</v>
      </c>
      <c r="Z2" s="3">
        <f>1253.3+(252.9-634.1)+(-1.917549+(-0.386937--0.970173))+0-4--0.00612000000000023</f>
        <v>866.77180699999997</v>
      </c>
      <c r="AA2" s="3">
        <f>1258.6+(259-666.5)+(-1.283772+(-0.26418--0.67983))+0-4--0.00408000000000064</f>
        <v>846.23595799999998</v>
      </c>
      <c r="AB2" s="3">
        <f>1265.3+(324.6-749.1)+(1.290606+(0.331092-0.764082))+0-4-0.00408000000000064</f>
        <v>837.65353599999992</v>
      </c>
      <c r="AC2" s="3">
        <f>1201.6+(343.7-728.4)+(-0.612816+(-0.175287--0.371484))+0-4--0.00203999999999959</f>
        <v>812.48542099999986</v>
      </c>
      <c r="AD2" s="2">
        <v>860</v>
      </c>
      <c r="AE2" s="3">
        <f>1258+(221.7-619.7)+(0+(0-0))+0-4-0</f>
        <v>856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958.5+(394.3-614.8)+(-1.466505+(-0.603279--0.940644))+0-4--0.00612000000000023</f>
        <v>732.87698</v>
      </c>
      <c r="G3" s="3">
        <f>946.2+(316.1-601.2)+(-0.482562+(-0.161211--0.306612))+0-4--0.00203999999999959</f>
        <v>656.76487899999995</v>
      </c>
      <c r="H3" s="3">
        <f>845.5+(318.4-553.2)+(-0.431205+(-0.162384--0.282132))+0-4--0.00203999999999959</f>
        <v>606.39058299999988</v>
      </c>
      <c r="I3" s="3">
        <f>829.1+(334-582.5)+(1.691364+(0.68136-1.1883))+0-4-0.00815999999999983</f>
        <v>577.77626400000008</v>
      </c>
      <c r="J3" s="3">
        <f>781.7+(337.5-547.2)+(0+(0-0))+0-4-0</f>
        <v>568</v>
      </c>
      <c r="K3" s="3">
        <f>776.2+(344.6-552.4)+(0.395862+(0.175746-0.281724))+0-4-0.00203999999999959</f>
        <v>564.68784400000015</v>
      </c>
      <c r="L3" s="3">
        <f>811.5+(328.9-560.3)+(0.413865+(0.167739-0.285753))+0-4-0.00203999999999959</f>
        <v>576.39381100000003</v>
      </c>
      <c r="M3" s="3">
        <f>821.6+(325.2-589.1)+(-1.676064+(-0.663408--1.201764))+0-4--0.00815999999999983</f>
        <v>552.57045200000005</v>
      </c>
      <c r="N3" s="3">
        <f>798+(348.8-584.4)+(-0.40698+(-0.177888--0.298044))+0-4--0.00203999999999959</f>
        <v>558.11521600000003</v>
      </c>
      <c r="O3" s="3">
        <f>878.4+(318.1-596.8)+(0.447984+(0.162231-0.304368))+0-4-0.00203999999999959</f>
        <v>596.00380700000005</v>
      </c>
      <c r="P3" s="3">
        <f>934.4+(296.8-593.5)+(-0.476544+(-0.151368--0.302685))+0-4--0.00203999999999959</f>
        <v>633.37681299999997</v>
      </c>
      <c r="Q3" s="3">
        <f>948.7+(300.2-594.8)+(0+(0-0))+0-4-0</f>
        <v>650.10000000000014</v>
      </c>
      <c r="R3" s="3">
        <f>939.1+(277.8-567.7)+(-2.394705+(-0.70839--1.447635))+0-4--0.0101999999999994</f>
        <v>643.55474000000015</v>
      </c>
      <c r="S3" s="3">
        <f>937.8+(253.6-567.2)+(0.956556+(0.258672-0.578544))+0-4-0.00408000000000064</f>
        <v>620.83260399999983</v>
      </c>
      <c r="T3" s="3">
        <f>885+(314.4-586.5)+(-0.9027+(-0.320688--0.59823))+0-4--0.00408000000000064</f>
        <v>608.27892199999997</v>
      </c>
      <c r="U3" s="3">
        <f>826.8+(367.6-584.5)+(-1.686672+(-0.749904--1.19238))+0-4--0.00815999999999983</f>
        <v>604.66396399999996</v>
      </c>
      <c r="V3" s="3">
        <f>779.4+(404.5-587)+(0+(0-0))+0-4-0</f>
        <v>592.9</v>
      </c>
      <c r="W3" s="3">
        <f>781.3+(381.3-554)+(0.398463+(0.194463-0.28254))+0-4-0.00203999999999959</f>
        <v>604.90834599999994</v>
      </c>
      <c r="X3" s="3">
        <f>955.9+(229.6-576.9)+(-1.462527+(-0.351288--0.882657))+0-4--0.00612000000000023</f>
        <v>603.67496200000005</v>
      </c>
      <c r="Y3" s="3">
        <f>1165+(194.7-658.8)+(0+(0-0))+0-4-0</f>
        <v>696.90000000000009</v>
      </c>
      <c r="Z3" s="3">
        <f>1230.5+(230.6-638.5)+(-3.76533+(-0.705636--1.95381))+0-4--0.0122400000000005</f>
        <v>816.09508400000004</v>
      </c>
      <c r="AA3" s="3">
        <f>1160.9+(309.2-679.2)+(-0.592059+(-0.157692--0.346392))+0-4--0.00203999999999959</f>
        <v>786.49868100000003</v>
      </c>
      <c r="AB3" s="3">
        <f>1163.7+(307.5-695)+(-1.186974+(-0.31365--0.7089))+0-4--0.00408000000000064</f>
        <v>771.41235600000005</v>
      </c>
      <c r="AC3" s="3">
        <f>1269.2+(211.2-728.8)+(-1.941876+(-0.323136--1.115064))+0-4--0.00612000000000023</f>
        <v>746.45617200000015</v>
      </c>
      <c r="AD3" s="2">
        <v>841.89999999999986</v>
      </c>
      <c r="AE3" s="3">
        <f>1219+(267.1-644.2)+(0+(0-0))+0-4-0</f>
        <v>837.9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1230.6+(149.4-653.2)+(-1.255212+(-0.152388--0.666264))+0-4--0.00408000000000064</f>
        <v>722.06274399999984</v>
      </c>
      <c r="G4" s="3">
        <f>1022.9+(227.5-613.9)+(-1.565037+(-0.348075--0.939267))+0-4--0.00612000000000023</f>
        <v>631.53227500000003</v>
      </c>
      <c r="H4" s="3">
        <f>936.6+(239.4-581.1)+(-0.477666+(-0.122094--0.296361))+0-4--0.00203999999999959</f>
        <v>590.59864099999993</v>
      </c>
      <c r="I4" s="3">
        <f>933.2+(240.5-605.5)+(0+(0-0))+0-4-0</f>
        <v>564.20000000000005</v>
      </c>
      <c r="J4" s="3">
        <f>908.6+(225.7-577.7)+(-1.390158+(-0.345321--0.883881))+0-4--0.00612000000000023</f>
        <v>551.75452199999995</v>
      </c>
      <c r="K4" s="3">
        <f>874.8+(210.3-552.5)+(-0.446148+(-0.107253--0.281775))+0-4--0.00203999999999959</f>
        <v>528.33041399999991</v>
      </c>
      <c r="L4" s="3">
        <f>927.3+(181.3-567.5)+(-1.891692+(-0.369852--1.1577))+0-4--0.00815999999999983</f>
        <v>536.0043159999999</v>
      </c>
      <c r="M4" s="3">
        <f>836.7+(286.6-586.2)+(-2.560302+(-0.876996--1.793772))+0-4--0.0122400000000005</f>
        <v>531.46871400000009</v>
      </c>
      <c r="N4" s="3">
        <f>768.8+(376.8-599.7)+(0.784176+(0.384336-0.611694))+0-4-0.00408000000000064</f>
        <v>542.45273799999984</v>
      </c>
      <c r="O4" s="3">
        <f>776.6+(408.5-615.3)+(0.396066+(0.208335-0.313803))+0-4-0.00203999999999959</f>
        <v>566.08855800000015</v>
      </c>
      <c r="P4" s="3">
        <f>954.3+(300.2-604.5)+(0.973386+(0.306204-0.61659))+0-4-0.00408000000000064</f>
        <v>646.65891999999997</v>
      </c>
      <c r="Q4" s="3">
        <f>1063.3+(227.5-614.2)+(0+(0-0))+0-4-0</f>
        <v>672.59999999999991</v>
      </c>
      <c r="R4" s="3">
        <f>1225.7+(90-679.1)+(-3.125535+(-0.2295--1.731705))+0-4--0.0101999999999994</f>
        <v>630.98687000000007</v>
      </c>
      <c r="S4" s="3">
        <f>1150.4+(153-674.5)+(-2.346816+(-0.31212--1.37598))+0-4--0.00815999999999983</f>
        <v>623.62520400000005</v>
      </c>
      <c r="T4" s="3">
        <f>1123.4+(152.7-667.6)+(-1.145868+(-0.155754--0.680952))+0-4--0.00408000000000064</f>
        <v>603.88341000000003</v>
      </c>
      <c r="U4" s="3">
        <f>1122.9+(138-655.4)+(-1.718037+(-0.21114--1.002762))+0-4--0.00612000000000023</f>
        <v>600.5797050000001</v>
      </c>
      <c r="V4" s="3">
        <f>1128.8+(130.7-659.5)+(0.575688+(0.066657-0.336345))+0-4-0.00203999999999959</f>
        <v>596.30396000000007</v>
      </c>
      <c r="W4" s="3">
        <f>1099.3+(135.3-624.4)+(2.242572+(0.276012-1.273776))+0-4-0.00815999999999983</f>
        <v>607.4366480000001</v>
      </c>
      <c r="X4" s="3">
        <f>1182.6+(148.2-703.9)+(-0.603126+(-0.075582--0.358989))+0-4--0.00203999999999959</f>
        <v>622.58232099999987</v>
      </c>
      <c r="Y4" s="3">
        <f>1220.5+(194.2-709)+(0+(0-0))+0-4-0</f>
        <v>701.7</v>
      </c>
      <c r="Z4" s="3">
        <f>1218.5+(238.9-669.7)+(-3.107175+(-0.609195--1.707735))+0-4--0.0101999999999994</f>
        <v>781.70156499999996</v>
      </c>
      <c r="AA4" s="3">
        <f>1155.2+(296.5-650.7)+(-2.356608+(-0.60486--1.327428))+0-4--0.00815999999999983</f>
        <v>795.37411999999995</v>
      </c>
      <c r="AB4" s="3">
        <f>1156+(263.6-620.5)+(0+(0-0))+0-4-0</f>
        <v>795.1</v>
      </c>
      <c r="AC4" s="3">
        <f>1151.6+(246.8-623.6)+(0.587316+(0.125868-0.318036))+0-4-0.00203999999999959</f>
        <v>771.19310799999994</v>
      </c>
      <c r="AD4" s="2">
        <v>784</v>
      </c>
      <c r="AE4" s="3">
        <f>1198+(230.7-644.7)+(0+(0-0))+0-4-0</f>
        <v>780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1085.1+(236.1-570.8)+(-2.767005+(-0.602055--1.45554))+0-4--0.0101999999999994</f>
        <v>744.49668000000008</v>
      </c>
      <c r="G5" s="3">
        <f>840.7+(355.8-588.1)+(-1.715028+(-0.725832--1.199724))+0-4--0.00815999999999983</f>
        <v>603.16702400000008</v>
      </c>
      <c r="H5" s="3">
        <f>772.1+(386-578.4)+(0.393771+(0.19686-0.294984))+0-4-0.00203999999999959</f>
        <v>575.99360700000011</v>
      </c>
      <c r="I5" s="3">
        <f>763.1+(353.9-617.6)+(-2.335086+(-1.082934--1.889856))+0-4--0.0122400000000005</f>
        <v>493.88407599999999</v>
      </c>
      <c r="J5" s="3">
        <f>762.2+(315.2-585.3)+(-0.777444+(-0.321504--0.597006))+0-4--0.00408000000000064</f>
        <v>487.60213800000008</v>
      </c>
      <c r="K5" s="3">
        <f>768.4+(303.8-566)+(0.783768+(0.309876-0.57732))+0-4-0.00408000000000064</f>
        <v>502.712244</v>
      </c>
      <c r="L5" s="3">
        <f>782+(317.3-600)+(-1.19646+(-0.485469--0.918))+0-4--0.00612000000000023</f>
        <v>494.542191</v>
      </c>
      <c r="M5" s="3">
        <f>764.5+(334.2-608.9)+(-0.389895+(-0.170442--0.310539))+0-4--0.00203999999999959</f>
        <v>485.55224200000004</v>
      </c>
      <c r="N5" s="3">
        <f>782.8+(328.9-637)+(0.399228+(0.167739-0.32487))+0-4-0.00203999999999959</f>
        <v>470.94005699999991</v>
      </c>
      <c r="O5" s="3">
        <f>1134.4+(186-757.5)+(0.578544+(0.09486-0.386325))+0-4-0.00203999999999959</f>
        <v>559.18503900000007</v>
      </c>
      <c r="P5" s="3">
        <f>1272.3+(141.5-735.1)+(0+(0-0))+0-4-0</f>
        <v>674.69999999999993</v>
      </c>
      <c r="Q5" s="3">
        <f>1277.9+(127.2-707.7)+(0.651729+(0.064872-0.360927))+0-4-0.00203999999999959</f>
        <v>693.75363400000015</v>
      </c>
      <c r="R5" s="3">
        <f>1259.2+(158.6-718.7)+(-2.568768+(-0.323544--1.466148))+0-4--0.00815999999999983</f>
        <v>693.68199600000003</v>
      </c>
      <c r="S5" s="3">
        <f>1195.8+(169.1-695.3)+(-1.829574+(-0.258723--1.063809))+0-4--0.00612000000000023</f>
        <v>664.58163200000001</v>
      </c>
      <c r="T5" s="3">
        <f>1187.6+(187.6-709.9)+(-0.605676+(-0.095676--0.362049))+0-4--0.00203999999999959</f>
        <v>660.96273699999995</v>
      </c>
      <c r="U5" s="3">
        <f>1181.3+(183.7-706)+(-3.012315+(-0.468435--1.8003))+0-4--0.0101999999999994</f>
        <v>653.3297500000001</v>
      </c>
      <c r="V5" s="3">
        <f>1206.5+(141.4-686.8)+(0+(0-0))+0-4-0</f>
        <v>657.1</v>
      </c>
      <c r="W5" s="3">
        <f>1197.5+(146.1-688.5)+(0.610725+(0.074511-0.351135))+0-4-0.00203999999999959</f>
        <v>651.43206100000009</v>
      </c>
      <c r="X5" s="3">
        <f>1193.1+(142.8-677.2)+(0+(0-0))+0-4-0</f>
        <v>654.69999999999982</v>
      </c>
      <c r="Y5" s="3">
        <f>1246.4+(137.9-663.2)+(1.271328+(0.140658-0.676464))+0-4-0.00408000000000064</f>
        <v>717.83144199999992</v>
      </c>
      <c r="Z5" s="3">
        <f>1265.6+(168.2-631.2)+(-1.290912+(-0.171564--0.643824))+0-4--0.00408000000000064</f>
        <v>797.78542799999991</v>
      </c>
      <c r="AA5" s="3">
        <f>1264.5+(176.2-659.7)+(-1.934685+(-0.269586--1.009341))+0-4--0.00612000000000023</f>
        <v>775.81119000000001</v>
      </c>
      <c r="AB5" s="3">
        <f>1269.1+(144.7-642.5)+(0.647241+(0.073797-0.327675))+0-4-0.00203999999999959</f>
        <v>767.69132300000001</v>
      </c>
      <c r="AC5" s="3">
        <f>1253.8+(105.7-641.9)+(-2.557752+(-0.215628--1.309476))+0-4--0.00815999999999983</f>
        <v>712.14425600000004</v>
      </c>
      <c r="AD5" s="2">
        <v>850.6</v>
      </c>
      <c r="AE5" s="3">
        <f>1261+(201.7-612.1)+(0+(0-0))+0-4-0</f>
        <v>846.59999999999991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1153.3+(227.9-582.1)+(-1.764549+(-0.348687--0.890613))+0-4--0.00612000000000023</f>
        <v>793.88349699999992</v>
      </c>
      <c r="G6" s="3">
        <f>895.1+(382.5-607.9)+(-2.282505+(-0.975375--1.550145))+0-4--0.0101999999999994</f>
        <v>664.00246500000014</v>
      </c>
      <c r="H6" s="3">
        <f>831.3+(327.9-562.4)+(-1.271889+(-0.501687--0.860472))+0-4--0.00612000000000023</f>
        <v>591.89301599999999</v>
      </c>
      <c r="I6" s="3">
        <f>801+(330-561)+(0+(0-0))+0-4-0</f>
        <v>566</v>
      </c>
      <c r="J6" s="3">
        <f>806.2+(322.1-548.1)+(0+(0-0))+0-4-0</f>
        <v>576.20000000000005</v>
      </c>
      <c r="K6" s="3">
        <f>810.2+(313.6-546.2)+(0.413202+(0.159936-0.278562))+0-4-0.00203999999999959</f>
        <v>573.89253600000006</v>
      </c>
      <c r="L6" s="3">
        <f>802.4+(330.2-552.6)+(-0.409224+(-0.168402--0.281826))+0-4--0.00203999999999959</f>
        <v>575.70623999999998</v>
      </c>
      <c r="M6" s="3">
        <f>832.9+(339.8-574.1)+(0+(0-0))+0-4-0</f>
        <v>594.59999999999991</v>
      </c>
      <c r="N6" s="3">
        <f>908.8+(322.4-644)+(0+(0-0))+0-4-0</f>
        <v>583.19999999999993</v>
      </c>
      <c r="O6" s="3">
        <f>1161.2+(240.9-715.5)+(2.368848+(0.491436-1.45962))+0-4-0.00815999999999983</f>
        <v>683.99250400000005</v>
      </c>
      <c r="P6" s="3">
        <f>1230.2+(154.7-717.7)+(1.254804+(0.157794-0.732054))+0-4-0.00408000000000064</f>
        <v>663.87646400000006</v>
      </c>
      <c r="Q6" s="3">
        <f>1242.2+(117.8-655.7)+(-2.534088+(-0.240312--1.337628))+0-4--0.00815999999999983</f>
        <v>698.87138799999991</v>
      </c>
      <c r="R6" s="3">
        <f>1255.7+(137.3-684.7)+(-1.280814+(-0.140046--0.698394))+0-4--0.00408000000000064</f>
        <v>703.58161399999995</v>
      </c>
      <c r="S6" s="3">
        <f>1250.9+(154.5-735.7)+(-2.551836+(-0.31518--1.500828))+0-4--0.00815999999999983</f>
        <v>664.34197200000006</v>
      </c>
      <c r="T6" s="3">
        <f>1199.4+(195-714.1)+(0.611694+(0.09945-0.364191))+0-4-0.00203999999999959</f>
        <v>676.64491300000009</v>
      </c>
      <c r="U6" s="3">
        <f>1161.8+(212.5-703.7)+(-1.777554+(-0.325125--1.076661))+0-4--0.00612000000000023</f>
        <v>665.5801019999999</v>
      </c>
      <c r="V6" s="3">
        <f>1122.2+(219.3-671.7)+(-1.144644+(-0.223686--0.685134))+0-4--0.00408000000000064</f>
        <v>665.12088400000005</v>
      </c>
      <c r="W6" s="3">
        <f>1114.9+(228.6-675.7)+(-3.980193+(-0.816102--2.412249))+0-4--0.0142800000000001</f>
        <v>661.43023400000004</v>
      </c>
      <c r="X6" s="3">
        <f>1125.1+(179.7-701.1)+(-0.573801+(-0.091647--0.357561))+0-4--0.00203999999999959</f>
        <v>599.39415299999973</v>
      </c>
      <c r="Y6" s="3">
        <f>1156.4+(190.8-654.9)+(1.179528+(0.194616-0.667998))+0-4-0.00408000000000064</f>
        <v>689.00206600000013</v>
      </c>
      <c r="Z6" s="3">
        <f>1248.3+(216-624.9)+(-1.909899+(-0.33048--0.956097))+0-4--0.00612000000000023</f>
        <v>834.12183800000003</v>
      </c>
      <c r="AA6" s="3">
        <f>1225+(247.1-655.2)+(-1.2495+(-0.252042--0.668304))+0-4--0.00408000000000064</f>
        <v>812.07084199999997</v>
      </c>
      <c r="AB6" s="3">
        <f>1177.5+(255.9-621.2)+(-0.600525+(-0.130509--0.316812))+0-4--0.00203999999999959</f>
        <v>807.7878179999999</v>
      </c>
      <c r="AC6" s="3">
        <f>1177.1+(239.2-622.2)+(0+(0-0))+0-4-0</f>
        <v>790.09999999999991</v>
      </c>
      <c r="AD6" s="2">
        <v>839</v>
      </c>
      <c r="AE6" s="3">
        <f>1256+(212-629)+(0+(0-0))+0-4-0</f>
        <v>835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1172+(172.2-610.4)+(-1.19544+(-0.175644--0.622608))+0-4--0.00408000000000064</f>
        <v>729.05560400000002</v>
      </c>
      <c r="G7" s="3">
        <f>1072.9+(205.6-606.5)+(-1.094358+(-0.209712--0.61863))+0-4--0.00408000000000064</f>
        <v>667.31864000000019</v>
      </c>
      <c r="H7" s="3">
        <f>848.1+(339.3-606.3)+(-0.865062+(-0.346086--0.618426))+0-4--0.00408000000000064</f>
        <v>576.5113580000002</v>
      </c>
      <c r="I7" s="3">
        <f>838.4+(340.5-608.1)+(0.427584+(0.173655-0.310131))+0-4-0.00203999999999959</f>
        <v>567.089068</v>
      </c>
      <c r="J7" s="3">
        <f>835.4+(299.5-563.5)+(-0.852108+(-0.30549--0.57477))+0-4--0.00408000000000064</f>
        <v>566.82125200000007</v>
      </c>
      <c r="K7" s="3">
        <f>843.7+(275-551.9)+(2.151435+(0.70125-1.407345))+0-4-0.0101999999999994</f>
        <v>564.23514</v>
      </c>
      <c r="L7" s="3">
        <f>840.1+(306.2-568.2)+(0.428451+(0.156162-0.289782))+0-4-0.00203999999999959</f>
        <v>574.39279099999999</v>
      </c>
      <c r="M7" s="3">
        <f>837+(349.5-585.9)+(0+(0-0))+0-4-0</f>
        <v>596.6</v>
      </c>
      <c r="N7" s="3">
        <f>993.5+(256.3-637.2)+(-1.520055+(-0.392139--0.974916))+0-4--0.00612000000000023</f>
        <v>607.66884199999993</v>
      </c>
      <c r="O7" s="3">
        <f>1219.2+(174.8-724.5)+(-1.243584+(-0.178296--0.73899))+0-4--0.00408000000000064</f>
        <v>664.82119</v>
      </c>
      <c r="P7" s="3">
        <f>1233.7+(134.2-660.5)+(1.258374+(0.136884-0.67371))+0-4-0.00408000000000064</f>
        <v>704.11746800000003</v>
      </c>
      <c r="Q7" s="3">
        <f>1233.9+(156.3-654)+(-2.517156+(-0.318852--1.33416))+0-4--0.00815999999999983</f>
        <v>730.70631200000003</v>
      </c>
      <c r="R7" s="3">
        <f>1228.6+(159.1-660.2)+(-1.879758+(-0.243423--1.010106))+0-4--0.00612000000000023</f>
        <v>722.39304499999992</v>
      </c>
      <c r="S7" s="3">
        <f>1227+(166.9-696.2)+(-2.50308+(-0.340476--1.420248))+0-4--0.00815999999999983</f>
        <v>692.28485199999989</v>
      </c>
      <c r="T7" s="3">
        <f>1224+(162.7-700.2)+(-2.49696+(-0.331908--1.428408))+0-4--0.00815999999999983</f>
        <v>681.10770000000002</v>
      </c>
      <c r="U7" s="3">
        <f>1224+(134.9-677.7)+(0+(0-0))+0-4-0</f>
        <v>677.19999999999993</v>
      </c>
      <c r="V7" s="3">
        <f>1219.6+(132.1-661.1)+(-1.865988+(-0.202113--1.011483))+0-4--0.00612000000000023</f>
        <v>685.54950199999996</v>
      </c>
      <c r="W7" s="3">
        <f>1200.7+(149.1-656.7)+(1.224714+(0.152082-0.669834))+0-4-0.00408000000000064</f>
        <v>689.80288199999995</v>
      </c>
      <c r="X7" s="3">
        <f>1125.5+(188.7-626.8)+(-2.870025+(-0.481185--1.59834))+0-4--0.0101999999999994</f>
        <v>681.65733000000012</v>
      </c>
      <c r="Y7" s="3">
        <f>1190.9+(200.4-638.9)+(0.607359+(0.102204-0.325839))+0-4-0.00203999999999959</f>
        <v>748.78168400000015</v>
      </c>
      <c r="Z7" s="3">
        <f>1227.7+(306.6-669.2)+(-1.252254+(-0.312732--0.682584))+0-4--0.00408000000000064</f>
        <v>860.22167800000011</v>
      </c>
      <c r="AA7" s="3">
        <f>1222.4+(319.2-687.7)+(-3.11712+(-0.81396--1.753635))+0-4--0.0101999999999994</f>
        <v>847.73275500000011</v>
      </c>
      <c r="AB7" s="3">
        <f>1225.3+(270.9-659.8)+(-3.124515+(-0.690795--1.68249))+0-4--0.0101999999999994</f>
        <v>830.27737999999999</v>
      </c>
      <c r="AC7" s="3">
        <f>1192.7+(337.2-726)+(1.216554+(0.343944-0.74052))+0-4-0.00408000000000064</f>
        <v>800.71589800000004</v>
      </c>
      <c r="AD7" s="2">
        <v>868.80000000000007</v>
      </c>
      <c r="AE7" s="3">
        <f>1228+(304.9-664.1)+(0+(0-0))+0-4-0</f>
        <v>864.8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1180.6+(235.5-641.9)+(-2.408424+(-0.48042--1.309476))+0-4--0.00815999999999983</f>
        <v>768.62879199999986</v>
      </c>
      <c r="G8" s="3">
        <f>1143.8+(164.7-613.9)+(-2.333352+(-0.335988--1.252356))+0-4--0.00815999999999983</f>
        <v>689.19117599999993</v>
      </c>
      <c r="H8" s="3">
        <f>949.6+(255.8-581.2)+(1.937184+(0.521832-1.185648))+0-4-0.00815999999999983</f>
        <v>621.46520800000008</v>
      </c>
      <c r="I8" s="3">
        <f>834.2+(322-559.5)+(0.850884+(0.32844-0.57069))+0-4-0.00408000000000064</f>
        <v>593.30455400000005</v>
      </c>
      <c r="J8" s="3">
        <f>816.8+(37.2-248.6)+(-2.08284+(-0.09486--0.63393))+0-4--0.0101999999999994</f>
        <v>599.86643000000004</v>
      </c>
      <c r="K8" s="3">
        <f>820.5+(36.8-254.4)+(-0.83691+(-0.037536--0.259488))+0-4--0.00408000000000064</f>
        <v>598.28912200000002</v>
      </c>
      <c r="L8" s="3">
        <f>831.4+(94.4-329.2)+(2.12007+(0.24072-0.83946))+0-4-0.0101999999999994</f>
        <v>594.11113</v>
      </c>
      <c r="M8" s="3">
        <f>856.8+(264.2-535)+(-1.310904+(-0.404226--0.81855))+0-4--0.00612000000000023</f>
        <v>581.10954000000004</v>
      </c>
      <c r="N8" s="3">
        <f>1010.3+(227-615.5)+(1.030506+(0.23154-0.62781))+0-4-0.00408000000000064</f>
        <v>618.4301559999999</v>
      </c>
      <c r="O8" s="3">
        <f>1219+(164.5-686.7)+(1.24338+(0.16779-0.700434))+0-4-0.00408000000000064</f>
        <v>693.50665599999991</v>
      </c>
      <c r="P8" s="3">
        <f>1249.5+(138.7-640)+(1.27449+(0.141474-0.6528))+0-4-0.00408000000000064</f>
        <v>744.95908399999996</v>
      </c>
      <c r="Q8" s="3">
        <f>1259.4+(121.1-614.9)+(0.642294+(0.061761-0.313599))+0-4-0.00203999999999959</f>
        <v>761.98841600000014</v>
      </c>
      <c r="R8" s="3">
        <f>1252.6+(107.5-608.2)+(0+(0-0))+0-4-0</f>
        <v>747.89999999999986</v>
      </c>
      <c r="S8" s="3">
        <f>1238.9+(115.8-618.6)+(-2.527356+(-0.236232--1.261944))+0-4--0.00815999999999983</f>
        <v>730.60651600000006</v>
      </c>
      <c r="T8" s="3">
        <f>1242.1+(129.9-651.2)+(-1.900413+(-0.198747--0.996336))+0-4--0.00612000000000023</f>
        <v>715.7032959999998</v>
      </c>
      <c r="U8" s="3">
        <f>1242.9+(168.3-704.4)+(-1.267758+(-0.171666--0.718488))+0-4--0.00408000000000064</f>
        <v>702.08314400000017</v>
      </c>
      <c r="V8" s="3">
        <f>1252.3+(132-667.8)+(-1.916019+(-0.20196--1.021734))+0-4--0.00612000000000023</f>
        <v>711.40987500000006</v>
      </c>
      <c r="W8" s="3">
        <f>1251.5+(141.7-652.8)+(-1.27653+(-0.144534--0.665856))+0-4--0.00408000000000064</f>
        <v>735.6488720000001</v>
      </c>
      <c r="X8" s="3">
        <f>1252.3+(146.5-627.3)+(0.638673+(0.074715-0.319923))+0-4-0.00203999999999959</f>
        <v>767.89142500000003</v>
      </c>
      <c r="Y8" s="3">
        <f>1255.4+(174.5-624.8)+(1.280508+(0.17799-0.637296))+0-4-0.00408000000000064</f>
        <v>801.91712200000006</v>
      </c>
      <c r="Z8" s="3">
        <f>1254.2+(215.4-628.5)+(-1.918926+(-0.329562--0.961605))+0.7-4--0.00612000000000023</f>
        <v>836.51923700000009</v>
      </c>
      <c r="AA8" s="3">
        <f>1259.5+(216.7-645.6)+(-0.642345+(-0.110517--0.329256))+7.7-4--0.00203999999999959</f>
        <v>833.87843399999997</v>
      </c>
      <c r="AB8" s="3">
        <f>1243.9+(215.3-639.6)+(0+(0-0))+0-4-0</f>
        <v>815.60000000000014</v>
      </c>
      <c r="AC8" s="3">
        <f>1231.5+(188.7-625.6)+(-0.628065+(-0.096237--0.319056))+0-4--0.00203999999999959</f>
        <v>790.19679399999984</v>
      </c>
      <c r="AD8" s="2">
        <v>838.3</v>
      </c>
      <c r="AE8" s="3">
        <f>1243+(234.6-639.3)+(0+(0-0))+0-4-0</f>
        <v>834.30000000000007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1224.1+(187.7-672.3)+(-1.248582+(-0.191454--0.685746))+0-4--0.00408000000000064</f>
        <v>734.74979000000008</v>
      </c>
      <c r="G9" s="3">
        <f>1159.1+(178.7-679.5)+(-1.773423+(-0.273411--1.039635))+0-4--0.00612000000000023</f>
        <v>653.29892099999995</v>
      </c>
      <c r="H9" s="3">
        <f>1026.3+(225.4-638.3)+(-0.523413+(-0.114954--0.325533))+0-4--0.00203999999999959</f>
        <v>609.08920599999999</v>
      </c>
      <c r="I9" s="3">
        <f>998.6+(215-624)+(-1.018572+(-0.2193--0.63648))+0-4--0.00408000000000064</f>
        <v>585.00268800000003</v>
      </c>
      <c r="J9" s="3">
        <f>964.7+(232.6-617.4)+(-0.983994+(-0.237252--0.629748))+0-4--0.00408000000000064</f>
        <v>575.31258200000013</v>
      </c>
      <c r="K9" s="3">
        <f>970.3+(214.6-604.9)+(0.494853+(0.109446-0.308499))+0-4-0.00203999999999959</f>
        <v>576.29376000000002</v>
      </c>
      <c r="L9" s="3">
        <f>964.2+(215.5-606)+(0.983484+(0.21981-0.61812))+0-4-0.00408000000000064</f>
        <v>570.28109400000005</v>
      </c>
      <c r="M9" s="3">
        <f>972.4+(231.5-631)+(-0.495924+(-0.118065--0.32181))+0-4--0.00203999999999959</f>
        <v>568.60986099999991</v>
      </c>
      <c r="N9" s="3">
        <f>1114.6+(199.2-695.4)+(-0.568446+(-0.101592--0.354654))+0-4--0.00203999999999959</f>
        <v>614.08665599999983</v>
      </c>
      <c r="O9" s="3">
        <f>1250.2+(128.3-712)+(-0.637602+(-0.065433--0.36312))+0-4--0.00203999999999959</f>
        <v>662.16212499999995</v>
      </c>
      <c r="P9" s="3">
        <f>1260.5+(177-715.2)+(0+(0-0))+0-4-0</f>
        <v>718.3</v>
      </c>
      <c r="Q9" s="3">
        <f>1259.5+(117.7-611.7)+(1.28469+(0.120054-0.623934))+0-4-0.00408000000000064</f>
        <v>762.27672999999993</v>
      </c>
      <c r="R9" s="3">
        <f>1222.2+(151-649.1)+(0+(0-0))+0-4-0</f>
        <v>720.1</v>
      </c>
      <c r="S9" s="3">
        <f>1198.4+(157.6-662)+(-3.05592+(-0.40188--1.6881))+0-4--0.0101999999999994</f>
        <v>688.24050000000022</v>
      </c>
      <c r="T9" s="3">
        <f>1201.4+(133.9-653.2)+(-1.225428+(-0.136578--0.666264))+0-4--0.00408000000000064</f>
        <v>677.40833800000007</v>
      </c>
      <c r="U9" s="3">
        <f>1147.5+(168.4-635.3)+(-1.755675+(-0.257652--0.972009))+0-4--0.00612000000000023</f>
        <v>675.56480199999999</v>
      </c>
      <c r="V9" s="3">
        <f>1143.1+(215.3-666.2)+(0+(0-0))+0-4-0</f>
        <v>688.19999999999982</v>
      </c>
      <c r="W9" s="3">
        <f>1151.9+(212-672.5)+(2.937345+(0.5406-1.714875))+0-4-0.0101999999999994</f>
        <v>689.15287000000001</v>
      </c>
      <c r="X9" s="3">
        <f>1167.7+(195.5-688.2)+(2.382108+(0.39882-1.403928))+0-4-0.00815999999999983</f>
        <v>672.36883999999998</v>
      </c>
      <c r="Y9" s="3">
        <f>1270.7+(146.7-678.2)+(1.296114+(0.149634-0.691764))+0-4-0.00408000000000064</f>
        <v>735.94990399999995</v>
      </c>
      <c r="Z9" s="3">
        <f>1273.8+(214.7-633.3)+(0.649638+(0.109497-0.322983))+0-4-0.00203999999999959</f>
        <v>851.63411200000007</v>
      </c>
      <c r="AA9" s="3">
        <f>1272.2+(200.9-639.1)+(0+(0-0))+0-4-0</f>
        <v>830</v>
      </c>
      <c r="AB9" s="3">
        <f>1266.1+(172.7-607.7)+(-1.937133+(-0.264231--0.929781))+0-4--0.00612000000000023</f>
        <v>825.83453699999995</v>
      </c>
      <c r="AC9" s="3">
        <f>1265.2+(167.1-633.1)+(-0.645252+(-0.085221--0.322881))+0-4--0.00203999999999959</f>
        <v>794.79444799999999</v>
      </c>
      <c r="AD9" s="2">
        <v>841.1</v>
      </c>
      <c r="AE9" s="3">
        <f>1268+(211.7-638.6)+(0+(0-0))+0-4-0</f>
        <v>837.09999999999991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1259.2+(196.3-694.8)+(-1.926576+(-0.300339--1.063044))+0-4--0.00612000000000023</f>
        <v>755.54224900000008</v>
      </c>
      <c r="G10" s="3">
        <f>1107.7+(193.2-616)+(0+(0-0))+0-4-0</f>
        <v>680.90000000000009</v>
      </c>
      <c r="H10" s="3">
        <f>938.5+(288.4-607.3)+(-1.435905+(-0.441252--0.929169))+0-4--0.00612000000000023</f>
        <v>614.65813200000002</v>
      </c>
      <c r="I10" s="3">
        <f>948.7+(238.3-581)+(-1.451511+(-0.364599--0.88893))+0-4--0.00612000000000023</f>
        <v>601.07893999999999</v>
      </c>
      <c r="J10" s="3">
        <f>941.7+(225.8-569.4)+(-1.440801+(-0.345474--0.871182))+0-4--0.00612000000000023</f>
        <v>593.19102700000019</v>
      </c>
      <c r="K10" s="3">
        <f>946.2+(211.9-561.4)+(0+(0-0))+0-4-0</f>
        <v>592.70000000000005</v>
      </c>
      <c r="L10" s="3">
        <f>926.7+(224-566.3)+(0+(0-0))+0-4-0</f>
        <v>580.40000000000009</v>
      </c>
      <c r="M10" s="3">
        <f>946.4+(248.8-602.8)+(-0.482664+(-0.126888--0.307428))+0-4--0.00203999999999959</f>
        <v>588.09991600000001</v>
      </c>
      <c r="N10" s="3">
        <f>873.9+(332.7-584.1)+(0+(0-0))+0-4-0</f>
        <v>618.5</v>
      </c>
      <c r="O10" s="3">
        <f>1052.6+(234.5-660.2)+(-1.073652+(-0.23919--0.673404))+0-4--0.00408000000000064</f>
        <v>622.26464199999987</v>
      </c>
      <c r="P10" s="3">
        <f>1191.5+(156.1-701.2)+(-0.607665+(-0.079611--0.357612))+0-4--0.00203999999999959</f>
        <v>642.07237599999996</v>
      </c>
      <c r="Q10" s="3">
        <f>1242.9+(129-660.1)+(-1.267758+(-0.13158--0.673302))+0-4--0.00408000000000064</f>
        <v>707.07804400000009</v>
      </c>
      <c r="R10" s="3">
        <f>1244+(98.8-649.5)+(-0.63444+(-0.050388--0.331245))+0-4--0.00203999999999959</f>
        <v>688.94845699999996</v>
      </c>
      <c r="S10" s="3">
        <f>1214.1+(115.1-651.8)+(-2.476764+(-0.234804--1.329672))+0-4--0.00815999999999983</f>
        <v>672.02626399999997</v>
      </c>
      <c r="T10" s="3">
        <f>1063.2+(218.3-622.8)+(0.542232+(0.111333-0.317628))+0-4-0.00203999999999959</f>
        <v>655.03389700000002</v>
      </c>
      <c r="U10" s="3">
        <f>1017.3+(235.4-605.4)+(-1.037646+(-0.240108--0.617508))+0-4--0.00408000000000064</f>
        <v>642.64383399999997</v>
      </c>
      <c r="V10" s="3">
        <f>1186+(126.7-648.2)+(-0.60486+(-0.064617--0.330582))+0-4--0.00203999999999959</f>
        <v>660.16314499999999</v>
      </c>
      <c r="W10" s="3">
        <f>1236.5+(170.4-732.6)+(-1.891845+(-0.260712--1.120878))+0-4--0.00612000000000023</f>
        <v>669.27444099999991</v>
      </c>
      <c r="X10" s="3">
        <f>1235.4+(171.5-735.1)+(-1.260108+(-0.17493--0.749802))+0-4--0.00408000000000064</f>
        <v>667.11884400000008</v>
      </c>
      <c r="Y10" s="3">
        <f>1246.2+(106.9-629)+(1.271124+(0.109038-0.64158))+0-4-0.00408000000000064</f>
        <v>720.83450199999993</v>
      </c>
      <c r="Z10" s="3">
        <f>1232.3+(250.2-643.4)+(-3.770838+(-0.765612--1.968804))+0-4--0.0122400000000005</f>
        <v>832.54459399999996</v>
      </c>
      <c r="AA10" s="3">
        <f>1245.3+(218.4-640.8)+(0+(0-0))+0-4-0</f>
        <v>818.9</v>
      </c>
      <c r="AB10" s="3">
        <f>1246.9+(198.4-627.2)+(-0.635919+(-0.101184--0.319872))+0-4--0.00203999999999959</f>
        <v>813.68480899999997</v>
      </c>
      <c r="AC10" s="3">
        <f>1240.5+(182.9-625.9)+(-2.53062+(-0.373116--1.276836))+0-4--0.00815999999999983</f>
        <v>791.88126</v>
      </c>
      <c r="AD10" s="2">
        <v>829.19999999999993</v>
      </c>
      <c r="AE10" s="3">
        <f>1231+(254.6-656.4)+(0+(0-0))+0-4-0</f>
        <v>825.2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1161.3+(202.2-612.1)+(-1.184526+(-0.206244--0.624342))+0-4--0.00408000000000064</f>
        <v>746.63765199999989</v>
      </c>
      <c r="G11" s="3">
        <f>1057.1+(237.6-623)+(-1.617363+(-0.363528--0.95319))+0-4--0.00612000000000023</f>
        <v>666.67841899999996</v>
      </c>
      <c r="H11" s="3">
        <f>1054.3+(153.7-587.9)+(-1.613079+(-0.235161--0.899487))+0-4--0.00612000000000023</f>
        <v>615.15736699999991</v>
      </c>
      <c r="I11" s="3">
        <f>1058.1+(64.6-524.7)+(-0.539631+(-0.032946--0.267597))+0-4--0.00203999999999959</f>
        <v>593.69705999999985</v>
      </c>
      <c r="J11" s="3">
        <f>1058.4+(56.2-526.1)+(1.079568+(0.057324-0.536622))+0-4-0.00408000000000064</f>
        <v>585.09618999999998</v>
      </c>
      <c r="K11" s="3">
        <f>1057.2+(58.4-530.5)+(0+(0-0))+0-4-0</f>
        <v>581.1</v>
      </c>
      <c r="L11" s="3">
        <f>1051.3+(71.9-523.4)+(-2.144652+(-0.146676--1.067736))+0-4--0.00815999999999983</f>
        <v>594.58456799999988</v>
      </c>
      <c r="M11" s="3">
        <f>999.1+(105.1-530.5)+(-0.509541+(-0.053601--0.270555))+0-4--0.00203999999999959</f>
        <v>569.40945299999998</v>
      </c>
      <c r="N11" s="3">
        <f>984.8+(155.4-552.6)+(-1.004496+(-0.158508--0.563652))+0-4--0.00408000000000064</f>
        <v>583.004728</v>
      </c>
      <c r="O11" s="3">
        <f>1116.5+(150.3-645.2)+(-0.569415+(-0.076653--0.329052))+0-4--0.00203999999999959</f>
        <v>617.28502399999991</v>
      </c>
      <c r="P11" s="3">
        <f>1240.9+(134.3-696.6)+(-1.265718+(-0.136986--0.710532))+0-4--0.00408000000000064</f>
        <v>673.91190800000015</v>
      </c>
      <c r="Q11" s="3">
        <f>1246.4+(119.9-637.9)+(-1.906992+(-0.183447--0.975987))+0-4--0.00612000000000023</f>
        <v>723.29166800000007</v>
      </c>
      <c r="R11" s="3">
        <f>1234.7+(119.6-645.7)+(-1.259394+(-0.121992--0.658614))+0-4--0.00408000000000064</f>
        <v>703.8813080000001</v>
      </c>
      <c r="S11" s="3">
        <f>1235.6+(127.2-676.4)+(-1.890468+(-0.194616--1.034892))+0-4--0.00612000000000023</f>
        <v>681.35592799999995</v>
      </c>
      <c r="T11" s="3">
        <f>1238.8+(112.2-687.3)+(-1.895364+(-0.171666--1.051569))+0-4--0.00612000000000023</f>
        <v>658.6906590000001</v>
      </c>
      <c r="U11" s="3">
        <f>1259.1+(109.5-719.7)+(-1.926423+(-0.167535--1.101141))+0-4--0.00612000000000023</f>
        <v>643.91330299999993</v>
      </c>
      <c r="V11" s="3">
        <f>1255.3+(123.7-739.9)+(-3.841218+(-0.378522--2.264094))+0-4--0.0122400000000005</f>
        <v>633.15659400000004</v>
      </c>
      <c r="W11" s="3">
        <f>1259.7+(160-767.9)+(-1.284894+(-0.1632--0.783258))+0-4--0.00408000000000064</f>
        <v>647.13924400000008</v>
      </c>
      <c r="X11" s="3">
        <f>1264.6+(117.4-737.5)+(0.644946+(0.059874-0.376125))+0-4-0.00203999999999959</f>
        <v>640.82665499999996</v>
      </c>
      <c r="Y11" s="3">
        <f>1258.6+(40.2-532)+(0+(0-0))+0-4-0</f>
        <v>762.8</v>
      </c>
      <c r="Z11" s="3">
        <f>1258.4+(46.6-487.5)+(-2.567136+(-0.095064--0.9945))+0-4--0.00815999999999983</f>
        <v>811.84046000000012</v>
      </c>
      <c r="AA11" s="3">
        <f>1195.3+(48.9-436.1)+(-1.219206+(-0.049878--0.444822))+0-4--0.00408000000000064</f>
        <v>803.27981799999998</v>
      </c>
      <c r="AB11" s="3">
        <f>1122.3+(45.3-381.8)+(-0.572373+(-0.023103--0.194718))+0-4--0.00203999999999959</f>
        <v>781.40128199999992</v>
      </c>
      <c r="AC11" s="3">
        <f>975+(109.9-367.1)+(-1.49175+(-0.168147--0.561663))+0-4--0.00612000000000023</f>
        <v>712.70788599999992</v>
      </c>
      <c r="AD11" s="2">
        <v>819.3</v>
      </c>
      <c r="AE11" s="3">
        <f>1263+(45.6-489.3)+(0+(0-0))+0-4-0</f>
        <v>815.3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894+(119.2-297.4)+(-1.36782+(-0.182376--0.455022))+0-4--0.00612000000000023</f>
        <v>710.71094599999992</v>
      </c>
      <c r="G12" s="3">
        <f>898+(52.1-328.5)+(-0.91596+(-0.053142--0.33507))+0-4--0.00408000000000064</f>
        <v>616.97004800000002</v>
      </c>
      <c r="H12" s="3">
        <f>899.6+(50-348.7)+(0.917592+(0.051-0.355674))+0-4-0.00408000000000064</f>
        <v>597.50883800000008</v>
      </c>
      <c r="I12" s="3">
        <f>901.3+(50.1-385.8)+(1.378989+(0.076653-0.590274))+0-4-0.00612000000000023</f>
        <v>562.45924799999989</v>
      </c>
      <c r="J12" s="3">
        <f>900.3+(65.7-388.9)+(0.459153+(0.033507-0.198339))+0-4-0.00203999999999959</f>
        <v>573.39228099999991</v>
      </c>
      <c r="K12" s="3">
        <f>900.7+(88-418.2)+(1.378071+(0.13464-0.639846))+0-4-0.00612000000000023</f>
        <v>567.36674500000004</v>
      </c>
      <c r="L12" s="3">
        <f>894.1+(89.4-416.1)+(-1.367973+(-0.136782--0.636633))+0-4--0.00612000000000023</f>
        <v>562.53799800000002</v>
      </c>
      <c r="M12" s="3">
        <f>893.1+(85.5-429.7)+(-0.910962+(-0.08721--0.438294))+0-4--0.00408000000000064</f>
        <v>544.34420200000011</v>
      </c>
      <c r="N12" s="3">
        <f>894.9+(114.4-435.8)+(-0.456399+(-0.058344--0.222258))+0-4--0.00203999999999959</f>
        <v>569.20955499999991</v>
      </c>
      <c r="O12" s="3">
        <f>899.4+(96.9-377.3)+(0.917388+(0.098838-0.384846))+0-4-0.00408000000000064</f>
        <v>615.62729999999999</v>
      </c>
      <c r="P12" s="3">
        <f>991.6+(58.4-387.9)+(1.517148+(0.089352-0.593487))+0-4-0.00612000000000023</f>
        <v>659.10689300000001</v>
      </c>
      <c r="Q12" s="3">
        <f>1071.5+(44.7-445)+(-0.546465+(-0.022797--0.22695))+0-4--0.00203999999999959</f>
        <v>666.85972800000002</v>
      </c>
      <c r="R12" s="3">
        <f>1084.8+(39.9-459.6)+(-1.106496+(-0.040698--0.468792))+0-4--0.00408000000000064</f>
        <v>660.42567799999995</v>
      </c>
      <c r="S12" s="3">
        <f>1123.9+(37-510)+(0+(0-0))+0-4-0</f>
        <v>646.90000000000009</v>
      </c>
      <c r="T12" s="3">
        <f>1123.5+(36-516.4)+(0.572985+(0.01836-0.263364))+0-4-0.00203999999999959</f>
        <v>639.42594100000008</v>
      </c>
      <c r="U12" s="3">
        <f>1122.2+(35-519.4)+(-0.572322+(-0.01785--0.264894))+0-4--0.00203999999999959</f>
        <v>633.47676200000001</v>
      </c>
      <c r="V12" s="3">
        <f>1124.6+(34-526.3)+(1.720638+(0.05202-0.805239))+0-4-0.00612000000000023</f>
        <v>629.26129899999989</v>
      </c>
      <c r="W12" s="3">
        <f>1118+(37-515.4)+(-1.14036+(-0.03774--0.525708))+0-4--0.00408000000000064</f>
        <v>634.9516880000001</v>
      </c>
      <c r="X12" s="3">
        <f>1177.6+(36-565.9)+(-0.600576+(-0.01836--0.288609))+0-4--0.00203999999999959</f>
        <v>643.37171299999989</v>
      </c>
      <c r="Y12" s="3">
        <f>1258+(42-593.5)+(1.28316+(0.04284-0.60537))+0-4-0.00408000000000064</f>
        <v>703.21654999999998</v>
      </c>
      <c r="Z12" s="3">
        <f>1271.8+(52.6-499.5)+(0.648618+(0.026826-0.254745))+0-4-0.00203999999999959</f>
        <v>821.31865900000003</v>
      </c>
      <c r="AA12" s="3">
        <f>1271.2+(50.6-496.6)+(0.648312+(0.025806-0.253266))+0-4-0.00203999999999959</f>
        <v>821.61881200000005</v>
      </c>
      <c r="AB12" s="3">
        <f>1260.5+(40.5-480.1)+(-1.28571+(-0.04131--0.489702))+0-4--0.00408000000000064</f>
        <v>816.06676200000004</v>
      </c>
      <c r="AC12" s="3">
        <f>1261.4+(35-502.2)+(-0.643314+(-0.01785--0.256122))+0-4--0.00203999999999959</f>
        <v>789.79699800000003</v>
      </c>
      <c r="AD12" s="2">
        <v>812.1</v>
      </c>
      <c r="AE12" s="3">
        <f>1264+(51.5-503.4)+(0+(0-0))+0-4-0</f>
        <v>808.1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1248.4+(37-550.1)+(-0.636684+(-0.01887--0.280551))+0-4--0.00203999999999959</f>
        <v>730.92703700000004</v>
      </c>
      <c r="G13" s="3">
        <f>1178+(36-534.4)+(-1.20156+(-0.03672--0.545088))+0-4--0.00408000000000064</f>
        <v>674.91088800000011</v>
      </c>
      <c r="H13" s="3">
        <f>976.5+(45.6-411.8)+(-0.99603+(-0.046512--0.420036))+0-4--0.00408000000000064</f>
        <v>605.68157399999996</v>
      </c>
      <c r="I13" s="3">
        <f>959.8+(43.1-451.1)+(0+(0-0))+0-4-0</f>
        <v>547.79999999999995</v>
      </c>
      <c r="J13" s="3">
        <f>961.6+(38-450.7)+(0.490416+(0.01938-0.229857))+0-4-0.00203999999999959</f>
        <v>545.17789900000014</v>
      </c>
      <c r="K13" s="3">
        <f>955.3+(43.2-481)+(0.974406+(0.044064-0.49062))+0-4-0.00408000000000064</f>
        <v>514.0237699999999</v>
      </c>
      <c r="L13" s="3">
        <f>950.5+(41.9-460.1)+(0+(0-0))+0-4-0</f>
        <v>528.29999999999995</v>
      </c>
      <c r="M13" s="3">
        <f>951.8+(35-413.8)+(-0.485418+(-0.01785--0.211038))+0-4--0.00203999999999959</f>
        <v>568.70980999999995</v>
      </c>
      <c r="N13" s="3">
        <f>934.6+(43.9-404.2)+(0.953292+(0.044778-0.412284))+0-4-0.00408000000000064</f>
        <v>570.88170599999989</v>
      </c>
      <c r="O13" s="3">
        <f>935.5+(49.1-396)+(-0.477105+(-0.025041--0.20196))+0-4--0.00203999999999959</f>
        <v>584.30185399999993</v>
      </c>
      <c r="P13" s="3">
        <f>922.9+(48.7-383.1)+(-2.353395+(-0.124185--0.976905))+0-4--0.0101999999999994</f>
        <v>583.00952500000005</v>
      </c>
      <c r="Q13" s="3">
        <f>903.8+(50.5-387.5)+(-0.460938+(-0.025755--0.197625))+0-4--0.00203999999999959</f>
        <v>562.51297199999988</v>
      </c>
      <c r="R13" s="3">
        <f>845.3+(56.9-386.4)+(0+(0-0))+0-4-0</f>
        <v>511.79999999999995</v>
      </c>
      <c r="S13" s="3">
        <f>840.2+(54.3-363.7)+(0+(0-0))+0-4-0</f>
        <v>526.80000000000007</v>
      </c>
      <c r="T13" s="3">
        <f>841.3+(50.3-370.3)+(-0.858126+(-0.051306--0.377706))+0-4--0.00408000000000064</f>
        <v>516.77235399999995</v>
      </c>
      <c r="U13" s="3">
        <f>841.2+(51.6-370.7)+(-0.429012+(-0.026316--0.189057))+0-4--0.00203999999999959</f>
        <v>517.83576900000014</v>
      </c>
      <c r="V13" s="3">
        <f>897.3+(118.6-490.3)+(0.457623+(0.060486-0.250053))+0-4-0.00203999999999959</f>
        <v>521.86601599999995</v>
      </c>
      <c r="W13" s="3">
        <f>1011.6+(148.9-629.2)+(-0.515916+(-0.075939--0.320892))+0-4--0.00203999999999959</f>
        <v>527.03107699999987</v>
      </c>
      <c r="X13" s="3">
        <f>1125.9+(108.3-675)+(-1.148418+(-0.110466--0.6885))+0-4--0.00408000000000064</f>
        <v>554.6336960000001</v>
      </c>
      <c r="Y13" s="3">
        <f>1169.6+(106.6-648.5)+(0.596496+(0.054366-0.330735))+0-4-0.00203999999999959</f>
        <v>624.01808699999992</v>
      </c>
      <c r="Z13" s="3">
        <f>1238.3+(309-770.8)+(-1.263066+(-0.31518--0.786216))+0-4--0.00408000000000064</f>
        <v>771.71205000000009</v>
      </c>
      <c r="AA13" s="3">
        <f>1248+(332.9-777.1)+(-0.63648+(-0.169779--0.396321))+0-4--0.00203999999999959</f>
        <v>799.39210199999991</v>
      </c>
      <c r="AB13" s="3">
        <f>1249.7+(266.6-711.7)+(-1.274694+(-0.271932--0.725934))+0-4--0.00408000000000064</f>
        <v>799.78338800000006</v>
      </c>
      <c r="AC13" s="3">
        <f>1249.7+(136.4-632.5)+(-0.637347+(-0.069564--0.322575))+0-4--0.00203999999999959</f>
        <v>749.21770400000003</v>
      </c>
      <c r="AD13" s="2">
        <v>783.40000000000009</v>
      </c>
      <c r="AE13" s="3">
        <f>1236+(345.4-798)+(0+(0-0))+0-4-0</f>
        <v>779.4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1247.3+(109.9-671.4)+(-1.272246+(-0.112098--0.684828))+0-4--0.00408000000000064</f>
        <v>681.10456399999998</v>
      </c>
      <c r="G14" s="3">
        <f>1244.7+(77-692)+(-1.269594+(-0.07854--0.70584))+0-4--0.00408000000000064</f>
        <v>625.0617860000001</v>
      </c>
      <c r="H14" s="3">
        <f>1183.1+(64.1-646.8)+(-1.206762+(-0.065382--0.659736))+0-4--0.00408000000000064</f>
        <v>595.79167200000006</v>
      </c>
      <c r="I14" s="3">
        <f>1018.2+(138.9-587.8)+(-1.038564+(-0.141678--0.599556))+0-4--0.00408000000000064</f>
        <v>564.7233940000001</v>
      </c>
      <c r="J14" s="3">
        <f>1012.7+(142.8-586.5)+(-1.032954+(-0.145656--0.59823))+0-4--0.00408000000000064</f>
        <v>564.42370000000005</v>
      </c>
      <c r="K14" s="3">
        <f>1019.3+(138.2-586.6)+(0.519843+(0.070482-0.299166))+0-4-0.00203999999999959</f>
        <v>567.18911899999989</v>
      </c>
      <c r="L14" s="3">
        <f>1046.1+(147.9-607.1)+(0+(0-0))+0-4-0</f>
        <v>582.89999999999986</v>
      </c>
      <c r="M14" s="3">
        <f>1089.5+(161-653.9)+(0.555645+(0.08211-0.333489))+0-4-0.00203999999999959</f>
        <v>592.90222600000004</v>
      </c>
      <c r="N14" s="3">
        <f>1186+(144-688.9)+(-0.60486+(-0.07344--0.351339))+0-4--0.00203999999999959</f>
        <v>636.77507900000001</v>
      </c>
      <c r="O14" s="3">
        <f>1254.7+(123.2-664.8)+(0+(0-0))+0-4-0</f>
        <v>709.10000000000014</v>
      </c>
      <c r="P14" s="3">
        <f>1257.3+(160.4-665.5)+(0+(0-0))+0-4-0</f>
        <v>748.19999999999993</v>
      </c>
      <c r="Q14" s="3">
        <f>1250.9+(192.1-665.1)+(-0.637959+(-0.097971--0.339201))+0-4--0.00203999999999959</f>
        <v>773.50531100000001</v>
      </c>
      <c r="R14" s="3">
        <f>1239.6+(174-650.4)+(-1.264392+(-0.17748--0.663408))+0-4--0.00408000000000064</f>
        <v>758.42561599999999</v>
      </c>
      <c r="S14" s="3">
        <f>1233.5+(148.9-640.2)+(-2.51634+(-0.303756--1.306008))+0-4--0.00815999999999983</f>
        <v>736.69407199999989</v>
      </c>
      <c r="T14" s="3">
        <f>1227+(114.1-620.1)+(-1.87731+(-0.174573--0.948753))+0-4--0.00612000000000023</f>
        <v>715.90299000000005</v>
      </c>
      <c r="U14" s="3">
        <f>1189.8+(137-612.9)+(-1.213596+(-0.13974--0.625158))+0-4--0.00408000000000064</f>
        <v>709.17590200000006</v>
      </c>
      <c r="V14" s="3">
        <f>1191.6+(142.7-621.8)+(0+(0-0))+0-4-0</f>
        <v>708.5</v>
      </c>
      <c r="W14" s="3">
        <f>1190.6+(149.1-621.6)+(-0.607206+(-0.076041--0.317016))+0-4--0.00203999999999959</f>
        <v>713.7358089999999</v>
      </c>
      <c r="X14" s="3">
        <f>1220.9+(113.2-622.3)+(-0.622659+(-0.057732--0.317373))+0-4--0.00203999999999959</f>
        <v>707.43902200000014</v>
      </c>
      <c r="Y14" s="3">
        <f>1228.6+(181.6-633.6)+(0.626586+(0.092616-0.323136))+0-4-0.00203999999999959</f>
        <v>772.99402599999996</v>
      </c>
      <c r="Z14" s="3">
        <f>1221.6+(303.2-640.5)+(-3.738096+(-0.927792--1.95993))+0-4--0.0122400000000005</f>
        <v>877.60628199999996</v>
      </c>
      <c r="AA14" s="3">
        <f>1232.6+(254-629.3)+(-1.885878+(-0.38862--0.962829))+0-4--0.00612000000000023</f>
        <v>851.99445099999991</v>
      </c>
      <c r="AB14" s="3">
        <f>1235.9+(227-616.1)+(-0.630309+(-0.11577--0.314211))+0-4--0.00203999999999959</f>
        <v>842.37017200000003</v>
      </c>
      <c r="AC14" s="3">
        <f>1148.4+(234.9-589.4)+(-1.757052+(-0.359397--0.901782))+0-4--0.00612000000000023</f>
        <v>788.69145300000014</v>
      </c>
      <c r="AD14" s="2">
        <v>855.5</v>
      </c>
      <c r="AE14" s="3">
        <f>1178+(326.7-649.2)+(0+(0-0))+0-4-0</f>
        <v>851.5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1107.3+(179.4-568.5)+(-2.258892+(-0.365976--1.15974))+0-4--0.00815999999999983</f>
        <v>712.74303199999986</v>
      </c>
      <c r="G15" s="3">
        <f>1022.9+(205.6-573.4)+(-2.608395+(-0.52428--1.46217))+0-4--0.0101999999999994</f>
        <v>649.43969500000003</v>
      </c>
      <c r="H15" s="3">
        <f>918.2+(254.9-561.4)+(-2.34141+(-0.649995--1.43157))+0-4--0.0101999999999994</f>
        <v>606.15036500000008</v>
      </c>
      <c r="I15" s="3">
        <f>841.2+(279.2-536)+(-0.858024+(-0.284784--0.54672))+0-4--0.00408000000000064</f>
        <v>579.80799200000013</v>
      </c>
      <c r="J15" s="3">
        <f>801.9+(279.2-496.4)+(0.408969+(0.142392-0.253164))+0-4-0.00203999999999959</f>
        <v>580.99615700000004</v>
      </c>
      <c r="K15" s="3">
        <f>799.8+(279.3-487.3)+(-0.407898+(-0.142443--0.248523))+0-4--0.00203999999999959</f>
        <v>587.50022199999989</v>
      </c>
      <c r="L15" s="3">
        <f>813.1+(320-515.8)+(0.414681+(0.1632-0.263058))+0-4-0.00203999999999959</f>
        <v>613.61278300000015</v>
      </c>
      <c r="M15" s="3">
        <f>816.4+(373.7-568.4)+(-0.416364+(-0.190587--0.289884))+0-4--0.00203999999999959</f>
        <v>617.38497300000006</v>
      </c>
      <c r="N15" s="3">
        <f>901.1+(335.7-578.4)+(0+(0-0))+0-4-0</f>
        <v>654.40000000000009</v>
      </c>
      <c r="O15" s="3">
        <f>937.8+(347.4-580.2)+(-0.956556+(-0.354348--0.591804))+0-4--0.00408000000000064</f>
        <v>700.2849799999999</v>
      </c>
      <c r="P15" s="3">
        <f>916.9+(415.1-599.7)+(-0.467619+(-0.211701--0.305847))+0-4--0.00203999999999959</f>
        <v>727.92856699999993</v>
      </c>
      <c r="Q15" s="3">
        <f>895.6+(451.7-585)+(-2.28378+(-1.151835--1.49175))+0-4--0.0101999999999994</f>
        <v>756.36633500000005</v>
      </c>
      <c r="R15" s="3">
        <f>828+(478-597.1)+(-0.84456+(-0.48756--0.609042))+0-4--0.00408000000000064</f>
        <v>704.18100200000003</v>
      </c>
      <c r="S15" s="3">
        <f>815+(437-573.7)+(-2.07825+(-1.11435--1.462935))+0-4--0.0101999999999994</f>
        <v>672.58053500000005</v>
      </c>
      <c r="T15" s="3">
        <f>814+(406-558.9)+(-2.0757+(-1.0353--1.425195))+0-4--0.0101999999999994</f>
        <v>655.42439500000012</v>
      </c>
      <c r="U15" s="3">
        <f>821+(413-582.4)+(-0.83742+(-0.42126--0.594048))+0-4--0.00408000000000064</f>
        <v>646.93944800000008</v>
      </c>
      <c r="V15" s="3">
        <f>818+(385.8-543)+(-1.66872+(-0.787032--1.10772))+0-4--0.00815999999999983</f>
        <v>655.46012799999994</v>
      </c>
      <c r="W15" s="3">
        <f>823+(424.1-559)+(-0.41973+(-0.216291--0.28509))+0-4--0.00203999999999959</f>
        <v>683.75110900000004</v>
      </c>
      <c r="X15" s="3">
        <f>822+(455.5-587)+(0+(0-0))+0-4-0</f>
        <v>686.5</v>
      </c>
      <c r="Y15" s="3">
        <f>881+(522.6-584)+(0.44931+(0.266526-0.29784))+0-4-0.00203999999999959</f>
        <v>816.01595600000007</v>
      </c>
      <c r="Z15" s="3">
        <f>921+(552.1-594)+(0.93942+(0.563142-0.60588))+0-4-0.00408000000000064</f>
        <v>875.99260200000003</v>
      </c>
      <c r="AA15" s="3">
        <f>920+(419.9-565)+(-1.4076+(-0.642447--0.86445))+0-4--0.00612000000000023</f>
        <v>769.72052299999996</v>
      </c>
      <c r="AB15" s="3">
        <f>920+(399.4-542)+(0+(0-0))+0-4-0</f>
        <v>773.4</v>
      </c>
      <c r="AC15" s="3">
        <f>917+(432-575)+(-0.93534+(-0.44064--0.5865))+0-4--0.00408000000000064</f>
        <v>769.21460000000002</v>
      </c>
      <c r="AD15" s="2">
        <v>868.3</v>
      </c>
      <c r="AE15" s="3">
        <f>920+(549.6-601.3)+(0+(0-0))+0-4-0</f>
        <v>864.30000000000007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862+(392.5-551.4)+(0+(0-0))+0-4-0</f>
        <v>699.1</v>
      </c>
      <c r="G16" s="3">
        <f>857+(327.2-549.6)+(0+(0-0))+0-4-0</f>
        <v>630.59999999999991</v>
      </c>
      <c r="H16" s="3">
        <f>778+(334-547.3)+(0+(0-0))+0-4-0</f>
        <v>560.70000000000005</v>
      </c>
      <c r="I16" s="3">
        <f>777+(339.8-537.6)+(0+(0-0))+0-4-0</f>
        <v>575.20000000000005</v>
      </c>
      <c r="J16" s="3">
        <f>781+(314.3-514)+(0+(0-0))+0-4-0</f>
        <v>577.29999999999995</v>
      </c>
      <c r="K16" s="3">
        <f>781+(306.5-517.7)+(0+(0-0))+0-4-0</f>
        <v>565.79999999999995</v>
      </c>
      <c r="L16" s="3">
        <f>787.3+(346.8-540.2)+(0.401523+(0.176868-0.275502))+0-4-0.00203999999999959</f>
        <v>590.20084899999995</v>
      </c>
      <c r="M16" s="3">
        <f>819.1+(380.7-609.6)+(1.253223+(0.582471-0.932688))+0-4-0.00612000000000023</f>
        <v>587.09688600000004</v>
      </c>
      <c r="N16" s="3">
        <f>965+(325.2-652.4)+(-0.9843+(-0.331704--0.665448))+0-4--0.00408000000000064</f>
        <v>633.15352399999995</v>
      </c>
      <c r="O16" s="3">
        <f>1038.2+(310.6-654.9)+(-1.058964+(-0.316812--0.667998))+0-4--0.00408000000000064</f>
        <v>689.19630200000017</v>
      </c>
      <c r="P16" s="3">
        <f>997.5+(361.9-645.2)+(-1.526175+(-0.553707--0.987156))+0-4--0.00612000000000023</f>
        <v>709.11339399999997</v>
      </c>
      <c r="Q16" s="3">
        <f>1002.5+(357.8-645.5)+(0+(0-0))+0-4-0</f>
        <v>710.8</v>
      </c>
      <c r="R16" s="3">
        <f>983.9+(348.8-632)+(-3.010734+(-1.067328--1.93392))+0-4--0.0122400000000005</f>
        <v>694.56809800000008</v>
      </c>
      <c r="S16" s="3">
        <f>994.3+(115.2-425.5)+(0.507093+(0.058752-0.217005))+0-4-0.00203999999999959</f>
        <v>680.34680000000003</v>
      </c>
      <c r="T16" s="3">
        <f>986.1+(116.8-419.3)+(-1.005822+(-0.119136--0.427686))+0-4--0.00408000000000064</f>
        <v>678.90680800000007</v>
      </c>
      <c r="U16" s="3">
        <f>988.6+(154.5-467.1)+(-0.504186+(-0.078795--0.238221))+0-4--0.00203999999999959</f>
        <v>671.65728000000001</v>
      </c>
      <c r="V16" s="3">
        <f>990.2+(178.8-480.6)+(-1.010004+(-0.182376--0.490212))+0-4--0.00408000000000064</f>
        <v>683.70191200000011</v>
      </c>
      <c r="W16" s="3">
        <f>989.8+(286.1-569.4)+(0+(0-0))+0-4-0</f>
        <v>702.5</v>
      </c>
      <c r="X16" s="3">
        <f>989+(346.1-631.2)+(-0.50439+(-0.176511--0.321912))+0-4--0.00203999999999959</f>
        <v>699.54305099999999</v>
      </c>
      <c r="Y16" s="3">
        <f>996.6+(393.1-631)+(0.508266+(0.200481-0.32181))+0-4-0.00203999999999959</f>
        <v>755.08489700000007</v>
      </c>
      <c r="Z16" s="3">
        <f>1006.5+(433.8-585.2)+(-1.539945+(-0.663714--0.895356))+0-4--0.00612000000000023</f>
        <v>849.7978169999999</v>
      </c>
      <c r="AA16" s="3">
        <f>1000.3+(433.2-577.4)+(-3.060918+(-1.325592--1.766844))+0-4--0.0122400000000005</f>
        <v>849.49257399999988</v>
      </c>
      <c r="AB16" s="3">
        <f>1001.8+(394.6-572)+(-2.55459+(-1.00623--1.4586))+0-4--0.0101999999999994</f>
        <v>818.30798000000004</v>
      </c>
      <c r="AC16" s="3">
        <f>1004.2+(362.2-602.9)+(-2.048568+(-0.738888--1.229916))+0-4--0.00815999999999983</f>
        <v>757.95061999999996</v>
      </c>
      <c r="AD16" s="2">
        <v>857.09999999999991</v>
      </c>
      <c r="AE16" s="3">
        <f>1009+(435.3-587.2)+(0+(0-0))+0-4-0</f>
        <v>853.09999999999991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990.6+(312.2-637.5)+(-0.505206+(-0.159222--0.325125))+0-4--0.00203999999999959</f>
        <v>660.96273699999995</v>
      </c>
      <c r="G17" s="3">
        <f>952.8+(311.3-648.6)+(-1.457784+(-0.476289--0.992358))+0-4--0.00612000000000023</f>
        <v>610.56440499999997</v>
      </c>
      <c r="H17" s="3">
        <f>964.2+(319.2-695.6)+(0.983484+(0.325584-0.709512))+0-4-0.00408000000000064</f>
        <v>584.39547599999992</v>
      </c>
      <c r="I17" s="3">
        <f>911.7+(338.2-663.5)+(0.929934+(0.344964-0.67677))+0-4-0.00408000000000064</f>
        <v>582.99404800000002</v>
      </c>
      <c r="J17" s="3">
        <f>868.3+(327.7-617.8)+(-0.885666+(-0.334254--0.630156))+0-4--0.00408000000000064</f>
        <v>573.61431600000014</v>
      </c>
      <c r="K17" s="3">
        <f>872.9+(287.2-589.5)+(0.445179+(0.146472-0.300645))+0-4-0.00203999999999959</f>
        <v>566.88896599999998</v>
      </c>
      <c r="L17" s="3">
        <f>857+(310-603.1)+(-0.87414+(-0.3162--0.615162))+0-4--0.00408000000000064</f>
        <v>559.32890199999997</v>
      </c>
      <c r="M17" s="3">
        <f>893.2+(331.9-650.3)+(0.911064+(0.338538-0.663306))+0-4-0.00408000000000064</f>
        <v>571.38221599999997</v>
      </c>
      <c r="N17" s="3">
        <f>970.6+(337.8-685)+(0.990012+(0.344556-0.6987))+0-4-0.00408000000000064</f>
        <v>620.03178800000001</v>
      </c>
      <c r="O17" s="3">
        <f>1007.3+(379.9-677.3)+(1.541169+(0.581247-1.036269))+0-4-0.00612000000000023</f>
        <v>706.98002699999995</v>
      </c>
      <c r="P17" s="3">
        <f>1020.7+(358.9-651.7)+(1.561671+(0.549117-0.997101))+0-4-0.00612000000000023</f>
        <v>725.00756699999999</v>
      </c>
      <c r="Q17" s="3">
        <f>1025+(325.6-634.5)+(0+(0-0))+0-4-0</f>
        <v>712.1</v>
      </c>
      <c r="R17" s="3">
        <f>1017.4+(305.1-624.8)+(0+(0-0))+0-4-0</f>
        <v>693.7</v>
      </c>
      <c r="S17" s="3">
        <f>1008.4+(321.3-638.1)+(-3.085704+(-0.983178--1.952586))+0-4--0.0122400000000005</f>
        <v>685.49594399999989</v>
      </c>
      <c r="T17" s="3">
        <f>1017+(294.5-635.9)+(0+(0-0))+0-4-0</f>
        <v>671.6</v>
      </c>
      <c r="U17" s="3">
        <f>1019.8+(340.9-682)+(0+(0-0))+0-4-0</f>
        <v>674.69999999999993</v>
      </c>
      <c r="V17" s="3">
        <f>1014.9+(367.4-708.8)+(-1.035198+(-0.374748--0.722976))+0-4--0.00408000000000064</f>
        <v>668.81711000000007</v>
      </c>
      <c r="W17" s="3">
        <f>1011.6+(372.2-691.3)+(-1.547748+(-0.569466--1.057689))+0-4--0.00612000000000023</f>
        <v>687.446595</v>
      </c>
      <c r="X17" s="3">
        <f>1006.8+(297-647.9)+(-0.513468+(-0.15147--0.330429))+0-4--0.00203999999999959</f>
        <v>651.56753099999992</v>
      </c>
      <c r="Y17" s="3">
        <f>1011+(299.7-601.7)+(1.54683+(0.458541-0.920601))+0-4-0.00612000000000023</f>
        <v>706.07865000000004</v>
      </c>
      <c r="Z17" s="3">
        <f>1006.6+(398.1-559.7)+(0+(0-0))+0-4-0</f>
        <v>841</v>
      </c>
      <c r="AA17" s="3">
        <f>1003.1+(407-565.3)+(-1.534743+(-0.62271--0.864909))+0-4--0.00612000000000023</f>
        <v>839.51357600000006</v>
      </c>
      <c r="AB17" s="3">
        <f>1001.2+(384.2-564.8)+(-2.042448+(-0.783768--1.152192))+0-4--0.00815999999999983</f>
        <v>814.93413600000008</v>
      </c>
      <c r="AC17" s="3">
        <f>998.7+(420.8-646.6)+(-2.546685+(-1.07304--1.64883))+0-4--0.0101999999999994</f>
        <v>766.9393050000001</v>
      </c>
      <c r="AD17" s="2">
        <v>847.40000000000009</v>
      </c>
      <c r="AE17" s="3">
        <f>1004+(405.9-562.5)+(0+(0-0))+0-4-0</f>
        <v>843.4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1013+(293.7-604.7)+(1.54989+(0.449361-0.925191))+0-4-0.00612000000000023</f>
        <v>699.06794000000002</v>
      </c>
      <c r="G18" s="3">
        <f>1000.3+(271.3-624.6)+(-1.530459+(-0.415089--0.955638))+0-4--0.00612000000000023</f>
        <v>642.01621</v>
      </c>
      <c r="H18" s="3">
        <f>983.6+(281.9-651.9)+(-0.501636+(-0.143769--0.332469))+0-4--0.00203999999999959</f>
        <v>609.28910399999995</v>
      </c>
      <c r="I18" s="3">
        <f>909.2+(290.1-607.4)+(-2.31846+(-0.739755--1.54887))+0-4--0.0101999999999994</f>
        <v>586.40085500000009</v>
      </c>
      <c r="J18" s="3">
        <f>928+(282.3-619.7)+(1.89312+(0.575892-1.264188))+0-4-0.00815999999999983</f>
        <v>587.79666399999996</v>
      </c>
      <c r="K18" s="3">
        <f>920.2+(266.8-595.2)+(-0.469302+(-0.136068--0.303552))+0-4--0.00203999999999959</f>
        <v>587.50022199999989</v>
      </c>
      <c r="L18" s="3">
        <f>909.4+(276.7-602.9)+(-1.855176+(-0.564468--1.229916))+0-4--0.00815999999999983</f>
        <v>578.01843200000008</v>
      </c>
      <c r="M18" s="3">
        <f>914.7+(291.6-637)+(-1.399491+(-0.446148--0.97461))+0-4--0.00612000000000023</f>
        <v>564.43509100000006</v>
      </c>
      <c r="N18" s="3">
        <f>1006.4+(259.2-668.3)+(-0.513264+(-0.132192--0.340833))+0-4--0.00203999999999959</f>
        <v>592.99741699999993</v>
      </c>
      <c r="O18" s="3">
        <f>1063.7+(250.9-688.2)+(0+(0-0))+0-4-0</f>
        <v>622.4</v>
      </c>
      <c r="P18" s="3">
        <f>1050.1+(264.3-655.3)+(0+(0-0))+0-4-0</f>
        <v>655.09999999999991</v>
      </c>
      <c r="Q18" s="3">
        <f>1045.5+(273.7-648)+(0.533205+(0.139587-0.33048))+0-4-0.00203999999999959</f>
        <v>667.54027200000007</v>
      </c>
      <c r="R18" s="3">
        <f>1034.2+(281-653.5)+(-0.527442+(-0.14331--0.333285))+0-4--0.00203999999999959</f>
        <v>657.36457300000006</v>
      </c>
      <c r="S18" s="3">
        <f>1026.2+(268.8-656.3)+(-1.046724+(-0.274176--0.669426))+0-4--0.00408000000000064</f>
        <v>634.05260600000008</v>
      </c>
      <c r="T18" s="3">
        <f>1023.7+(261.5-650)+(-0.522087+(-0.133365--0.3315))+0-4--0.00203999999999959</f>
        <v>630.87808800000005</v>
      </c>
      <c r="U18" s="3">
        <f>1017.1+(237.3-644.1)+(-2.593605+(-0.605115--1.642455))+0-4--0.0101999999999994</f>
        <v>604.75393499999996</v>
      </c>
      <c r="V18" s="3">
        <f>1023.2+(265.8-645.4)+(0+(0-0))+0-4-0</f>
        <v>639.60000000000014</v>
      </c>
      <c r="W18" s="3">
        <f>976.3+(318.9-655.1)+(-2.489565+(-0.813195--1.670505))+0-4--0.0101999999999994</f>
        <v>634.47794499999998</v>
      </c>
      <c r="X18" s="3">
        <f>898.7+(305.5-579.2)+(-0.458337+(-0.155805--0.295392))+0-4--0.00203999999999959</f>
        <v>620.68328999999994</v>
      </c>
      <c r="Y18" s="3">
        <f>919.8+(305-559.8)+(-0.469098+(-0.15555--0.285498))+0-4--0.00203999999999959</f>
        <v>660.66288999999995</v>
      </c>
      <c r="Z18" s="3">
        <f>1033.2+(358-578.6)+(-1.580796+(-0.54774--0.885258))+0-4--0.00612000000000023</f>
        <v>807.362842</v>
      </c>
      <c r="AA18" s="3">
        <f>1030.4+(389.2-595.2)+(-2.102016+(-0.793968--1.214208))+0-4--0.00815999999999983</f>
        <v>818.72638400000005</v>
      </c>
      <c r="AB18" s="3">
        <f>965.5+(408.3-571.1)+(-0.492405+(-0.208233--0.291261))+0-4--0.00203999999999959</f>
        <v>798.29266300000006</v>
      </c>
      <c r="AC18" s="3">
        <f>970.6+(355.3-571.7)+(0.495006+(0.181203-0.291567))+0-4-0.00203999999999959</f>
        <v>750.58260200000007</v>
      </c>
      <c r="AD18" s="2">
        <v>809.19999999999993</v>
      </c>
      <c r="AE18" s="3">
        <f>1041+(361.1-592.9)+(0+(0-0))+0-4-0</f>
        <v>805.2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953.6+(310.9-590.9)+(-2.43168+(-0.792795--1.506795))+0-0-0</f>
        <v>671.88232000000005</v>
      </c>
      <c r="G19" s="3">
        <f>955+(357.4-702.9)+(-2.43525+(-0.91137--1.792395))+0-0-0</f>
        <v>607.94577500000003</v>
      </c>
      <c r="H19" s="3">
        <f>944.2+(284.8-629.8)+(1.444626+(0.435744-0.963594))+0-0-0</f>
        <v>600.11677600000007</v>
      </c>
      <c r="I19" s="3">
        <f>947.4+(265.3-636.3)+(2.41587+(0.676515-1.622565))+0-0-0</f>
        <v>577.86982000000012</v>
      </c>
      <c r="J19" s="3">
        <f>930+(259.5-613.7)+(-2.3715+(-0.661725--1.564935))+0-0-0</f>
        <v>574.33170999999993</v>
      </c>
      <c r="K19" s="3">
        <f>897.5+(265.3-592.2)+(0+(0-0))+0-0-0</f>
        <v>570.59999999999991</v>
      </c>
      <c r="L19" s="3">
        <f>995.1+(213.5-617)+(-2.030004+(-0.43554--1.25868))+0-0-0</f>
        <v>590.39313600000003</v>
      </c>
      <c r="M19" s="3">
        <f>997.9+(235.5-634.7)+(0.508929+(0.120105-0.323697))+0-0-0</f>
        <v>599.00533699999994</v>
      </c>
      <c r="N19" s="3">
        <f>922.6+(349.3-641)+(0.941052+(0.356286-0.65382))+0-0-0</f>
        <v>631.54351800000006</v>
      </c>
      <c r="O19" s="3">
        <f>1004.2+(308.8-627.2)+(0+(0-0))+0-0-0</f>
        <v>685.8</v>
      </c>
      <c r="P19" s="3">
        <f>1008.3+(324.7-624.6)+(-0.514233+(-0.165597--0.318546))+0-0-0</f>
        <v>708.03871599999991</v>
      </c>
      <c r="Q19" s="3">
        <f>996.9+(277.7-582)+(-2.033676+(-0.566508--1.18728))+0-0-0</f>
        <v>691.18709599999988</v>
      </c>
      <c r="R19" s="3">
        <f>961.9+(319.8-578.3)+(0.981138+(0.326196-0.589866))+0-0-0</f>
        <v>704.11746800000014</v>
      </c>
      <c r="S19" s="3">
        <f>984.3+(332.7-626.8)+(-1.505979+(-0.509031--0.959004))+0-0-0</f>
        <v>689.14399400000002</v>
      </c>
      <c r="T19" s="3">
        <f>980+(301-598.6)+(-0.4998+(-0.15351--0.305286))+0-0-0</f>
        <v>682.05197599999997</v>
      </c>
      <c r="U19" s="3">
        <f>873.8+(363-561.3)+(-1.336914+(-0.55539--0.858789))+0-0-0</f>
        <v>674.46648500000003</v>
      </c>
      <c r="V19" s="3">
        <f>843.5+(407.5-572.5)+(0.430185+(0.207825-0.291975))+0-0-0</f>
        <v>678.84603500000003</v>
      </c>
      <c r="W19" s="3">
        <f>837.1+(435.8-593.4)+(-0.853842+(-0.444516--0.605268))+0-0-0</f>
        <v>678.80691000000002</v>
      </c>
      <c r="X19" s="3">
        <f>828.3+(414.8-575.2)+(-1.689732+(-0.846192--1.173408))+0-0-0</f>
        <v>666.53748399999984</v>
      </c>
      <c r="Y19" s="3">
        <f>908.2+(382-595.9)+(0.463182+(0.19482-0.303909))+0-0-0</f>
        <v>694.6540930000001</v>
      </c>
      <c r="Z19" s="3">
        <f>1098.8+(350.4-604)+(-1.681164+(-0.536112--0.92412))+0-0-0</f>
        <v>843.90684399999998</v>
      </c>
      <c r="AA19" s="3">
        <f>1011.4+(431.4-606.6)+(-2.57907+(-1.10007--1.54683))+0-0-0</f>
        <v>834.06768999999997</v>
      </c>
      <c r="AB19" s="3">
        <f>1066.4+(354.1-596.7)+(-2.175456+(-0.722364--1.217268))+0-0-0</f>
        <v>822.11944800000003</v>
      </c>
      <c r="AC19" s="3">
        <f>1119.4+(280.8-624.6)+(-2.283576+(-0.572832--1.274184))+0-0-0</f>
        <v>774.01777600000014</v>
      </c>
      <c r="AD19" s="2">
        <v>865.4</v>
      </c>
      <c r="AE19" s="3">
        <f>1137+(324-595.6)+(0+(0-0))+0-4-0</f>
        <v>861.4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1138.8+(170.7-605.4)+(0+(0-0))+0-4-0</f>
        <v>700.09999999999991</v>
      </c>
      <c r="G20" s="3">
        <f>1132.6+(302.3-786)+(-2.310504+(-0.616692--1.60344))+0-4--0.00815999999999983</f>
        <v>643.58440399999984</v>
      </c>
      <c r="H20" s="3">
        <f>1009.8+(323.7-721.6)+(-2.059992+(-0.660348--1.472064))+0-4--0.00815999999999983</f>
        <v>606.65988399999981</v>
      </c>
      <c r="I20" s="3">
        <f>1013.6+(272-691.2)+(-1.033872+(-0.27744--0.705024))+0-4--0.00408000000000064</f>
        <v>589.79779200000007</v>
      </c>
      <c r="J20" s="3">
        <f>1016.6+(219.6-643.9)+(-1.555398+(-0.335988--0.985167))+0-4--0.00612000000000023</f>
        <v>587.39990100000011</v>
      </c>
      <c r="K20" s="3">
        <f>1051.6+(205.5-656.9)+(0.536316+(0.104805-0.335019))+0-4-0.00203999999999959</f>
        <v>596.50406199999998</v>
      </c>
      <c r="L20" s="3">
        <f>1098.8+(183.8-675.2)+(0+(0-0))+0-4-0</f>
        <v>603.39999999999986</v>
      </c>
      <c r="M20" s="3">
        <f>1151.7+(176.1-706.5)+(-0.587367+(-0.089811--0.360315))+0-4--0.00203999999999959</f>
        <v>616.98517700000002</v>
      </c>
      <c r="N20" s="3">
        <f>1144.9+(201.6-683.4)+(-1.751697+(-0.308448--1.045602))+0-4--0.00612000000000023</f>
        <v>658.09157700000014</v>
      </c>
      <c r="O20" s="3">
        <f>1149.1+(221.8-672.8)+(0.586041+(0.113118-0.343128))+0-4-0.00203999999999959</f>
        <v>694.45399099999997</v>
      </c>
      <c r="P20" s="3">
        <f>1144.3+(204.9-620)+(0+(0-0))+0-4-0</f>
        <v>725.19999999999993</v>
      </c>
      <c r="Q20" s="3">
        <f>1142.6+(218.6-631.1)+(1.165452+(0.222972-0.643722))+0-4-0.00408000000000064</f>
        <v>726.84062199999983</v>
      </c>
      <c r="R20" s="3">
        <f>1125.8+(227.6-621.3)+(0.574158+(0.116076-0.316863))+0-4-0.00203999999999959</f>
        <v>728.47133100000008</v>
      </c>
      <c r="S20" s="3">
        <f>1111.1+(206.9-611.1)+(-3.399966+(-0.633114--1.869966))+0-4--0.0122400000000005</f>
        <v>700.74912599999993</v>
      </c>
      <c r="T20" s="3">
        <f>1118+(187.7-608.5)+(-1.14036+(-0.191454--0.62067))+0-4--0.00408000000000064</f>
        <v>692.4929360000001</v>
      </c>
      <c r="U20" s="3">
        <f>1119+(201.3-618.1)+(-1.71207+(-0.307989--0.945693))+0-4--0.00612000000000023</f>
        <v>697.131754</v>
      </c>
      <c r="V20" s="3">
        <f>1118.1+(199.4-604)+(-0.570231+(-0.101694--0.30804))+0-4--0.00203999999999959</f>
        <v>709.13815499999987</v>
      </c>
      <c r="W20" s="3">
        <f>1125.5+(208.8-613.6)+(0.574005+(0.106488-0.312936))+0-4-0.00203999999999959</f>
        <v>717.06551700000011</v>
      </c>
      <c r="X20" s="3">
        <f>1116+(208.3-603.5)+(-1.70748+(-0.318699--0.923355))+0-4--0.00612000000000023</f>
        <v>715.70329599999991</v>
      </c>
      <c r="Y20" s="3">
        <f>1118.7+(242.6-604.5)+(-1.141074+(-0.247452--0.61659))+0-4--0.00408000000000064</f>
        <v>752.03214400000013</v>
      </c>
      <c r="Z20" s="3">
        <f>1114.4+(422.6-643.7)+(-2.84172+(-1.07763--1.641435))+0-4--0.0101999999999994</f>
        <v>887.03228500000012</v>
      </c>
      <c r="AA20" s="3">
        <f>1008.5+(522.5-658.9)+(-2.05734+(-1.0659--1.344156))+0-4--0.00815999999999983</f>
        <v>866.32907599999999</v>
      </c>
      <c r="AB20" s="3">
        <f>1001.9+(483.1-627.1)+(-1.021938+(-0.492762--0.639642))+0-4--0.00408000000000064</f>
        <v>853.02902200000005</v>
      </c>
      <c r="AC20" s="3">
        <f>1003.2+(409-619.6)+(-1.534896+(-0.62577--0.947988))+0-4--0.00612000000000023</f>
        <v>787.39344200000005</v>
      </c>
      <c r="AD20" s="2">
        <v>876.40000000000009</v>
      </c>
      <c r="AE20" s="3">
        <f>1111+(451.7-686.3)+(0+(0-0))+0-4-0</f>
        <v>872.40000000000009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1026.8+(303.5-623.8)+(-1.571004+(-0.464355--0.954414))+0-4--0.00612000000000023</f>
        <v>701.42517499999997</v>
      </c>
      <c r="G21" s="3">
        <f>1022.4+(314.9-691.6)+(-2.085696+(-0.642396--1.410864))+0-4--0.00815999999999983</f>
        <v>640.39093199999991</v>
      </c>
      <c r="H21" s="3">
        <f>975.6+(311.9-670.1)+(-0.995112+(-0.318138--0.683502))+0-4--0.00408000000000064</f>
        <v>612.77433200000007</v>
      </c>
      <c r="I21" s="3">
        <f>953.3+(307.3-660.9)+(-1.458549+(-0.470169--1.011177))+0-4--0.00612000000000023</f>
        <v>594.78857900000003</v>
      </c>
      <c r="J21" s="3">
        <f>958.1+(278.6-639.5)+(-0.488631+(-0.142086--0.326145))+0-4--0.00203999999999959</f>
        <v>592.897468</v>
      </c>
      <c r="K21" s="3">
        <f>961.4+(293-650.5)+(0.490314+(0.14943-0.331755))+0-4-0.00203999999999959</f>
        <v>600.20594900000003</v>
      </c>
      <c r="L21" s="3">
        <f>939.9+(286.8-617.6)+(-3.355443+(-1.023876--2.204832))+0-4--0.0142800000000001</f>
        <v>602.9397929999999</v>
      </c>
      <c r="M21" s="3">
        <f>962.3+(286.6-638.8)+(0+(0-0))+0-4-0</f>
        <v>606.1</v>
      </c>
      <c r="N21" s="3">
        <f>1191.5+(146.6-680.3)+(0.607665+(0.074766-0.346953))+0-4-0.00203999999999959</f>
        <v>654.13343800000007</v>
      </c>
      <c r="O21" s="3">
        <f>1186.7+(193.5-671)+(-1.210434+(-0.19737--0.68442))+0-4--0.00408000000000064</f>
        <v>704.48069600000008</v>
      </c>
      <c r="P21" s="3">
        <f>1185.9+(181.3-627.7)+(0.604809+(0.092463-0.320127))+0-4-0.00203999999999959</f>
        <v>735.87510500000008</v>
      </c>
      <c r="Q21" s="3">
        <f>1168.6+(222.1-639.8)+(0+(0-0))+0-4-0</f>
        <v>746.9</v>
      </c>
      <c r="R21" s="3">
        <f>1151.5+(178.8-594)+(0+(0-0))+0-4-0</f>
        <v>732.3</v>
      </c>
      <c r="S21" s="3">
        <f>1134.5+(167.8-579)+(-2.892975+(-0.42789--1.47645))+0-4--0.0101999999999994</f>
        <v>717.46578499999998</v>
      </c>
      <c r="T21" s="3">
        <f>1141.2+(151-575.8)+(0+(0-0))+0-4-0</f>
        <v>712.40000000000009</v>
      </c>
      <c r="U21" s="3">
        <f>1133.1+(141.7-560.2)+(-1.155762+(-0.144534--0.571404))+0-4--0.00408000000000064</f>
        <v>709.87518799999998</v>
      </c>
      <c r="V21" s="3">
        <f>1130.7+(170.7-586.8)+(-1.729971+(-0.261171--0.897804))+0-4--0.00612000000000023</f>
        <v>709.51278200000013</v>
      </c>
      <c r="W21" s="3">
        <f>1133.8+(198.2-620.5)+(-0.578238+(-0.101082--0.316455))+0-4--0.00203999999999959</f>
        <v>707.13917499999991</v>
      </c>
      <c r="X21" s="3">
        <f>1130.9+(208-637.4)+(-1.730277+(-0.31824--0.975222))+0-4--0.00612000000000023</f>
        <v>696.43282500000009</v>
      </c>
      <c r="Y21" s="3">
        <f>1132.4+(257.7-645.3)+(-0.577524+(-0.131427--0.329103))+0-4--0.00203999999999959</f>
        <v>740.42219200000011</v>
      </c>
      <c r="Z21" s="3">
        <f>1132.5+(242.7-507)+(-1.15515+(-0.247554--0.51714))+0-4--0.00408000000000064</f>
        <v>863.31851600000005</v>
      </c>
      <c r="AA21" s="3">
        <f>1135.2+(284-548)+(-0.578952+(-0.14484--0.27948))+0-4--0.00203999999999959</f>
        <v>866.75772800000004</v>
      </c>
      <c r="AB21" s="3">
        <f>1132.7+(347.4-618)+(-2.310708+(-0.708696--1.26072))+0-4--0.00815999999999983</f>
        <v>856.34947599999998</v>
      </c>
      <c r="AC21" s="3">
        <f>1139.6+(324.4-667.2)+(0.581196+(0.165444-0.340272))+0-4-0.00203999999999959</f>
        <v>793.20432799999992</v>
      </c>
      <c r="AD21" s="2">
        <v>868.80000000000007</v>
      </c>
      <c r="AE21" s="3">
        <f>1130+(253.4-514.6)+(0+(0-0))+0-4-0</f>
        <v>864.8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1131.4+(314.8-725.3)+(0.577014+(0.160548-0.369903))+0-4-0.00203999999999959</f>
        <v>717.26561900000013</v>
      </c>
      <c r="G22" s="3">
        <f>1127.4+(297.9-764.1)+(-0.574974+(-0.151929--0.389691))+0-4--0.00203999999999959</f>
        <v>656.86482799999999</v>
      </c>
      <c r="H22" s="3">
        <f>1029.7+(278.4-683.6)+(-0.525147+(-0.141984--0.348636))+0-4--0.00203999999999959</f>
        <v>620.18354499999998</v>
      </c>
      <c r="I22" s="3">
        <f>1022.6+(271.7-679.5)+(0+(0-0))+0-4-0</f>
        <v>610.79999999999995</v>
      </c>
      <c r="J22" s="3">
        <f>1019.4+(240.2-653.5)+(0+(0-0))+0-4-0</f>
        <v>602.09999999999991</v>
      </c>
      <c r="K22" s="3">
        <f>1018.8+(210.9-619.7)+(-1.558764+(-0.322677--0.948141))+0-4--0.00612000000000023</f>
        <v>605.07281999999987</v>
      </c>
      <c r="L22" s="3">
        <f>1010+(178.9-587.1)+(-1.0302+(-0.182478--0.598842))+0-4--0.00408000000000064</f>
        <v>597.19024400000001</v>
      </c>
      <c r="M22" s="3">
        <f>1025.2+(155.2-562.6)+(1.045704+(0.158304-0.573852))+0-4-0.00408000000000064</f>
        <v>614.42607599999997</v>
      </c>
      <c r="N22" s="3">
        <f>1036.8+(181.8-559.1)+(2.115072+(0.370872-1.140564))+0-4-0.00815999999999983</f>
        <v>656.83722</v>
      </c>
      <c r="O22" s="3">
        <f>1185.3+(172.5-630.6)+(-1.209006+(-0.17595--0.643212))+0-4--0.00408000000000064</f>
        <v>722.46233599999994</v>
      </c>
      <c r="P22" s="3">
        <f>1167.6+(183-574)+(-0.595476+(-0.09333--0.29274))+0-4--0.00203999999999959</f>
        <v>772.20597399999986</v>
      </c>
      <c r="Q22" s="3">
        <f>1154.9+(158-591.7)+(1.177998+(0.16116-0.603534))+0-4-0.00408000000000064</f>
        <v>717.93154400000003</v>
      </c>
      <c r="R22" s="3">
        <f>1092+(250.8-592.5)+(0+(0-0))+0-4-0</f>
        <v>746.3</v>
      </c>
      <c r="S22" s="3">
        <f>1027.6+(265.5-563.1)+(-2.096304+(-0.54162--1.148724))+0-4--0.00815999999999983</f>
        <v>724.51895999999988</v>
      </c>
      <c r="T22" s="3">
        <f>1033.7+(253-567)+(1.054374+(0.25806-0.57834))+0-4-0.00408000000000064</f>
        <v>716.43001400000003</v>
      </c>
      <c r="U22" s="3">
        <f>1026.2+(242.3-544.5)+(1.046724+(0.247146-0.55539))+0-4-0.00408000000000064</f>
        <v>720.73439999999994</v>
      </c>
      <c r="V22" s="3">
        <f>1018+(223.3-515.2)+(-1.55754+(-0.341649--0.788256))+0-4--0.00612000000000023</f>
        <v>720.99518699999987</v>
      </c>
      <c r="W22" s="3">
        <f>1021.3+(229.8-531.2)+(-0.520863+(-0.117198--0.270912))+0-4--0.00203999999999959</f>
        <v>715.53489099999979</v>
      </c>
      <c r="X22" s="3">
        <f>1010.8+(235.4-545.1)+(-2.57754+(-0.60027--1.390005))+0-4--0.0101999999999994</f>
        <v>695.32239499999991</v>
      </c>
      <c r="Y22" s="3">
        <f>1044.4+(254.3-576.5)+(1.065288+(0.259386-0.58803))+0-4-0.00408000000000064</f>
        <v>718.93256399999996</v>
      </c>
      <c r="Z22" s="3">
        <f>1151.9+(308.2-572.6)+(-0.587469+(-0.157182--0.292026))+0-4--0.00203999999999959</f>
        <v>883.04941499999995</v>
      </c>
      <c r="AA22" s="3">
        <f>1150.8+(311.5-573.4)+(-2.347632+(-0.63546--1.169736))+0-4--0.00815999999999983</f>
        <v>883.09480399999995</v>
      </c>
      <c r="AB22" s="3">
        <f>1158.7+(272.1-555.7)+(-1.181874+(-0.277542--0.566814))+0-4--0.00408000000000064</f>
        <v>870.21147800000006</v>
      </c>
      <c r="AC22" s="3">
        <f>1104.1+(283-578.1)+(-2.252364+(-0.57732--1.179324))+0-4--0.00815999999999983</f>
        <v>803.35779999999988</v>
      </c>
      <c r="AD22" s="2">
        <v>886</v>
      </c>
      <c r="AE22" s="3">
        <f>1142+(341.5-597.5)+(0+(0-0))+0-4-0</f>
        <v>882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983.9+(269.4-536.5)+(-0.501789+(-0.137394--0.273615))+0-0-0</f>
        <v>716.4344319999999</v>
      </c>
      <c r="G23" s="3">
        <f>952.6+(306.4-600.6)+(-1.457478+(-0.468792--0.918918))+0-0-0</f>
        <v>657.39264800000001</v>
      </c>
      <c r="H23" s="3">
        <f>957.5+(285.2-616.4)+(0+(0-0))+0-0-0</f>
        <v>626.29999999999995</v>
      </c>
      <c r="I23" s="3">
        <f>950+(316.7-649.4)+(-2.4225+(-0.807585--1.65597))+0-0-0</f>
        <v>615.72588499999995</v>
      </c>
      <c r="J23" s="3">
        <f>943.1+(327.2-659.2)+(0.961962+(0.333744-0.672384))+0-0-0</f>
        <v>611.72332199999994</v>
      </c>
      <c r="K23" s="3">
        <f>912+(304-604.9)+(-0.46512+(-0.15504--0.308499))+0-0-0</f>
        <v>610.78833900000006</v>
      </c>
      <c r="L23" s="3">
        <f>905.1+(259.9-560.6)+(-2.308005+(-0.662745--1.42953))+0-4--0.0101999999999994</f>
        <v>598.86898000000008</v>
      </c>
      <c r="M23" s="3">
        <f>908.3+(191.9-484.4)+(-0.463233+(-0.097869--0.247044))+0-4--0.00203999999999959</f>
        <v>611.48798199999987</v>
      </c>
      <c r="N23" s="3">
        <f>912.8+(217.1-477.9)+(-0.465528+(-0.110721--0.243729))+0-4--0.00203999999999959</f>
        <v>647.66951999999992</v>
      </c>
      <c r="O23" s="3">
        <f>911.2+(394-507.2)+(0.464712+(0.20094-0.258672))+0-4-0.00203999999999959</f>
        <v>794.40494000000001</v>
      </c>
      <c r="P23" s="3">
        <f>949.9+(345-554.4)+(0.968898+(0.3519-0.565488))+0-4-0.00408000000000064</f>
        <v>737.25122999999996</v>
      </c>
      <c r="Q23" s="3">
        <f>986.5+(343.3-577.4)+(0+(0-0))+0-4-0</f>
        <v>748.40000000000009</v>
      </c>
      <c r="R23" s="3">
        <f>983+(264.7-505.6)+(-1.00266+(-0.269994--0.515712))+0-4--0.00408000000000064</f>
        <v>737.34713799999997</v>
      </c>
      <c r="S23" s="3">
        <f>982.5+(228.4-498.9)+(-0.501075+(-0.116484--0.254439))+0-4--0.00203999999999959</f>
        <v>707.63891999999998</v>
      </c>
      <c r="T23" s="3">
        <f>974.9+(268-539.3)+(-1.988796+(-0.54672--1.100172))+0-4--0.00815999999999983</f>
        <v>698.17281600000001</v>
      </c>
      <c r="U23" s="3">
        <f>991.7+(260.3-548)+(0+(0-0))+0-4-0</f>
        <v>700</v>
      </c>
      <c r="V23" s="3">
        <f>1016.2+(264.1-567)+(-1.554786+(-0.404073--0.86751))+0-4--0.00612000000000023</f>
        <v>708.21477100000004</v>
      </c>
      <c r="W23" s="3">
        <f>1014.5+(270.3-568.3)+(-0.517395+(-0.137853--0.289833))+0-4--0.00203999999999959</f>
        <v>712.13662499999998</v>
      </c>
      <c r="X23" s="3">
        <f>1012.8+(275.7-575.1)+(-2.066112+(-0.562428--1.173204))+0-4--0.00815999999999983</f>
        <v>707.95282399999985</v>
      </c>
      <c r="Y23" s="3">
        <f>1020.2+(334.5-594.9)+(0.520302+(0.170595-0.303399))+0-4-0.00203999999999959</f>
        <v>756.18545800000015</v>
      </c>
      <c r="Z23" s="3">
        <f>1026.9+(423.9-580)+(-0.523719+(-0.216189--0.2958))+0-4--0.00203999999999959</f>
        <v>866.35793200000001</v>
      </c>
      <c r="AA23" s="3">
        <f>1031+(404.4-557.4)+(-1.05162+(-0.412488--0.568548))+0-4--0.00408000000000064</f>
        <v>873.10852</v>
      </c>
      <c r="AB23" s="3">
        <f>1056.2+(413-602.2)+(0+(0-0))+0-4-0</f>
        <v>863</v>
      </c>
      <c r="AC23" s="3">
        <f>1088.6+(473.1-753.1)+(-2.220744+(-0.965124--1.536324))+0-4--0.00815999999999983</f>
        <v>802.95861599999989</v>
      </c>
      <c r="AD23" s="2">
        <v>869.2</v>
      </c>
      <c r="AE23" s="3">
        <f>1029+(430.4-590.2)+(0+(0-0))+0-4-0</f>
        <v>865.19999999999993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1091.5+(479.3-835)+(-1.11333+(-0.488886--0.8517))+0-4--0.00408000000000064</f>
        <v>731.05356400000005</v>
      </c>
      <c r="G24" s="3">
        <f>1059.2+(445.2-826.1)+(-1.080384+(-0.454104--0.842622))+0-4--0.00408000000000064</f>
        <v>673.61221399999999</v>
      </c>
      <c r="H24" s="3">
        <f>1027.1+(432.3-819.4)+(-2.619105+(-1.102365--2.08947))+0-4--0.0101999999999994</f>
        <v>634.37820000000011</v>
      </c>
      <c r="I24" s="3">
        <f>954.6+(453.5-781.7)+(-0.973692+(-0.46257--0.797334))+0-4--0.00408000000000064</f>
        <v>621.76515200000006</v>
      </c>
      <c r="J24" s="3">
        <f>952.7+(408.1-736.1)+(0.485877+(0.208131-0.375411))+0-4-0.00203999999999959</f>
        <v>621.01655700000003</v>
      </c>
      <c r="K24" s="3">
        <f>951.3+(382.8-710.9)+(0.485163+(0.195228-0.362559))+0-4-0.00203999999999959</f>
        <v>619.51579200000003</v>
      </c>
      <c r="L24" s="3">
        <f>951.1+(363.9-685)+(-0.970122+(-0.371178--0.6987))+0-4--0.00408000000000064</f>
        <v>625.36148000000003</v>
      </c>
      <c r="M24" s="3">
        <f>954.3+(311.3-645.9)+(0.973386+(0.317526-0.658818))+0-4-0.00408000000000064</f>
        <v>616.32801400000005</v>
      </c>
      <c r="N24" s="3">
        <f>956.2+(308.4-598.2)+(1.950648+(0.629136-1.220328))+0-4-0.00815999999999983</f>
        <v>663.75129600000002</v>
      </c>
      <c r="O24" s="3">
        <f>954.5+(349.9-560.4)+(0.486795+(0.178449-0.285804))+0-4-0.00203999999999959</f>
        <v>740.37740000000008</v>
      </c>
      <c r="P24" s="3">
        <f>952.1+(396.5-565.7)+(0+(0-0))+0-4-0</f>
        <v>778.9</v>
      </c>
      <c r="Q24" s="3">
        <f>972.9+(399.5-570.2)+(-0.496179+(-0.203745--0.290802))+0-4--0.00203999999999959</f>
        <v>797.79291799999987</v>
      </c>
      <c r="R24" s="3">
        <f>1059.8+(211.4-474.1)+(-1.080996+(-0.215628--0.483582))+0-4--0.00408000000000064</f>
        <v>792.29103799999996</v>
      </c>
      <c r="S24" s="3">
        <f>1062.8+(168.9-465.7)+(-1.084056+(-0.172278--0.475014))+0-4--0.00408000000000064</f>
        <v>761.22275999999999</v>
      </c>
      <c r="T24" s="3">
        <f>1063+(184-501)+(-1.08426+(-0.18768--0.51102))+0-4--0.00408000000000064</f>
        <v>741.24315999999999</v>
      </c>
      <c r="U24" s="3">
        <f>1064.3+(177.2-502.6)+(-0.542793+(-0.090372--0.256326))+0-4--0.00203999999999959</f>
        <v>734.52520099999981</v>
      </c>
      <c r="V24" s="3">
        <f>1066.7+(208.6-529.1)+(0+(0-0))+0-4-0</f>
        <v>742.2</v>
      </c>
      <c r="W24" s="3">
        <f>1030.2+(199.6-479)+(-1.050804+(-0.203592--0.48858))+0-4--0.00408000000000064</f>
        <v>746.03826400000014</v>
      </c>
      <c r="X24" s="3">
        <f>1008.8+(271.8-540.5)+(1.028976+(0.277236-0.55131))+0-4-0.00408000000000064</f>
        <v>736.85082199999988</v>
      </c>
      <c r="Y24" s="3">
        <f>1076.7+(294.5-596.4)+(0+(0-0))+0-4-0</f>
        <v>770.80000000000007</v>
      </c>
      <c r="Z24" s="3">
        <f>1075.8+(376.7-605.6)+(-2.194632+(-0.768468--1.235424))+0-4--0.00815999999999983</f>
        <v>841.18048399999986</v>
      </c>
      <c r="AA24" s="3">
        <f>1048.4+(380.3-601.4)+(-1.069368+(-0.387906--0.613428))+0-4--0.00408000000000064</f>
        <v>822.46023400000024</v>
      </c>
      <c r="AB24" s="3">
        <f>1019.5+(378.3-584.7)+(-2.07978+(-0.771732--1.192788))+0-4--0.00815999999999983</f>
        <v>807.44943599999988</v>
      </c>
      <c r="AC24" s="3">
        <f>1020.9+(325.3-574.7)+(-1.561977+(-0.497709--0.879291))+0-4--0.00612000000000023</f>
        <v>766.32572500000003</v>
      </c>
      <c r="AD24" s="2">
        <v>863.40000000000009</v>
      </c>
      <c r="AE24" s="3">
        <f>1080+(398.2-614.8)+(0+(0-0))+0-4-0</f>
        <v>859.40000000000009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984.7+(299.6-572.9)+(-1.004394+(-0.305592--0.584358))+0-4--0.00408000000000064</f>
        <v>706.67845200000011</v>
      </c>
      <c r="G25" s="3">
        <f>873.7+(347.8-569.5)+(-1.336761+(-0.532134--0.871335))+0-4--0.00612000000000023</f>
        <v>647.00855999999999</v>
      </c>
      <c r="H25" s="3">
        <f>771.2+(389.5-548.8)+(-0.786624+(-0.39729--0.559776))+0-4--0.00408000000000064</f>
        <v>607.27994200000012</v>
      </c>
      <c r="I25" s="3">
        <f>771.4+(373.4-551.8)+(-0.786828+(-0.380868--0.562836))+0-4--0.00408000000000064</f>
        <v>588.39922000000001</v>
      </c>
      <c r="J25" s="3">
        <f>773.2+(380.8-575.6)+(0.788664+(0.388416-0.587112))+0-4-0.00408000000000064</f>
        <v>574.98588800000005</v>
      </c>
      <c r="K25" s="3">
        <f>770.3+(386.6-570.9)+(-0.392853+(-0.197166--0.291159))+0-4--0.00203999999999959</f>
        <v>581.70317999999997</v>
      </c>
      <c r="L25" s="3">
        <f>762.5+(388.2-566.8)+(-2.33325+(-1.187892--1.734408))+0-4--0.0122400000000005</f>
        <v>578.12550600000009</v>
      </c>
      <c r="M25" s="3">
        <f>768.8+(367.5-571)+(-0.392088+(-0.187425--0.29121))+0-4--0.00203999999999959</f>
        <v>561.01373699999988</v>
      </c>
      <c r="N25" s="3">
        <f>772.7+(399.7-581.9)+(0.394077+(0.203847-0.296769))+0-4-0.00203999999999959</f>
        <v>586.79911500000003</v>
      </c>
      <c r="O25" s="3">
        <f>797.4+(422.8-602.3)+(-0.406674+(-0.215628--0.307173))+0-4--0.00203999999999959</f>
        <v>613.5869110000001</v>
      </c>
      <c r="P25" s="3">
        <f>854.4+(401.7-607.7)+(0.435744+(0.204867-0.309927))+0-4-0.00203999999999959</f>
        <v>644.72864399999992</v>
      </c>
      <c r="Q25" s="3">
        <f>911.7+(350.8-596.9)+(-0.929934+(-0.357816--0.608838))+0-4--0.00408000000000064</f>
        <v>660.92516800000021</v>
      </c>
      <c r="R25" s="3">
        <f>924.5+(350.1-614.2)+(0.471495+(0.178551-0.313242))+0-4-0.00203999999999959</f>
        <v>656.73476400000004</v>
      </c>
      <c r="S25" s="3">
        <f>870.4+(377.6-601.3)+(0.443904+(0.192576-0.306663))+0-4-0.00203999999999959</f>
        <v>643.02777700000013</v>
      </c>
      <c r="T25" s="3">
        <f>819.3+(391.1-578.9)+(0.417843+(0.199461-0.295239))+0-4-0.00203999999999959</f>
        <v>627.82002499999999</v>
      </c>
      <c r="U25" s="3">
        <f>814.7+(359.8-551.4)+(-0.830994+(-0.366996--0.562428))+0-4--0.00408000000000064</f>
        <v>618.46851800000013</v>
      </c>
      <c r="V25" s="3">
        <f>786.4+(401.5-570)+(0.802128+(0.40953-0.5814))+0-4-0.00408000000000064</f>
        <v>614.52617799999996</v>
      </c>
      <c r="W25" s="3">
        <f>782.2+(425-590.5)+(1.196766+(0.65025-0.903465))+0-4-0.00612000000000023</f>
        <v>613.63743099999999</v>
      </c>
      <c r="X25" s="3">
        <f>775.4+(436.2-594)+(-1.186362+(-0.667386--0.90882))+0-4--0.00612000000000023</f>
        <v>612.66119199999991</v>
      </c>
      <c r="Y25" s="3">
        <f>872.1+(394.6-593.7)+(0.444771+(0.201246-0.302787))+0-4-0.00203999999999959</f>
        <v>669.34118999999998</v>
      </c>
      <c r="Z25" s="3">
        <f>919.2+(499.9-613.7)+(-1.406376+(-0.764847--0.938961))+0-4--0.00612000000000023</f>
        <v>800.173858</v>
      </c>
      <c r="AA25" s="3">
        <f>907.8+(530.9-618.8)+(-2.31489+(-1.353795--1.57794))+0-4--0.0101999999999994</f>
        <v>813.81945500000006</v>
      </c>
      <c r="AB25" s="3">
        <f>829.8+(540.7-562.9)+(-0.846396+(-0.551514--0.574158))+0-4--0.00408000000000064</f>
        <v>802.78032800000005</v>
      </c>
      <c r="AC25" s="3">
        <f>822.6+(468.2-541.4)+(-0.419526+(-0.238782--0.276114))+0-4--0.00203999999999959</f>
        <v>745.01984600000003</v>
      </c>
      <c r="AD25" s="2">
        <v>821.49999999999989</v>
      </c>
      <c r="AE25" s="3">
        <f>914+(528.1-620.6)+(0+(0-0))+0-4-0</f>
        <v>817.5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822.3+(412.3-554.2)+(-0.419373+(-0.210273--0.282642))+0-4--0.00203999999999959</f>
        <v>676.05503599999986</v>
      </c>
      <c r="G26" s="3">
        <f>824.5+(404.3-604.1)+(0.420495+(0.206193-0.308091))+0-4-0.00203999999999959</f>
        <v>621.01655700000003</v>
      </c>
      <c r="H26" s="3">
        <f>799.6+(382.5-586.9)+(-0.407796+(-0.195075--0.299319))+0-4--0.00203999999999959</f>
        <v>590.89848800000004</v>
      </c>
      <c r="I26" s="3">
        <f>774+(353.3-548.3)+(-0.78948+(-0.360366--0.559266))+0-4--0.00408000000000064</f>
        <v>574.4135</v>
      </c>
      <c r="J26" s="3">
        <f>807.5+(320.8-552.6)+(1.6473+(0.654432-1.127304))+0-4-0.00815999999999983</f>
        <v>572.8662680000001</v>
      </c>
      <c r="K26" s="3">
        <f>803.6+(298-517.7)+(-0.819672+(-0.30396--0.528054))+0-4--0.00408000000000064</f>
        <v>579.30850199999998</v>
      </c>
      <c r="L26" s="3">
        <f>809.1+(300.9-520.4)+(1.237923+(0.460377-0.796212))+0-4-0.00612000000000023</f>
        <v>586.49596800000006</v>
      </c>
      <c r="M26" s="3">
        <f>804.5+(341.6-551)+(-0.410295+(-0.174216--0.28101))+0-4--0.00203999999999959</f>
        <v>590.79853900000001</v>
      </c>
      <c r="N26" s="3">
        <f>860.5+(381.7-605.5)+(-0.438855+(-0.194667--0.308805))+0-4--0.00203999999999959</f>
        <v>632.37732300000005</v>
      </c>
      <c r="O26" s="3">
        <f>881.1+(446.6-639.8)+(-0.898722+(-0.455532--0.652596))+0-4--0.00408000000000064</f>
        <v>683.20242200000018</v>
      </c>
      <c r="P26" s="3">
        <f>928.3+(413.5-621.9)+(-1.420299+(-0.632655--0.951507))+0-4--0.00612000000000023</f>
        <v>714.80467299999998</v>
      </c>
      <c r="Q26" s="3">
        <f>937+(469.3-600)+(-1.91148+(-0.957372--1.224))+0-4--0.00815999999999983</f>
        <v>800.66330799999992</v>
      </c>
      <c r="R26" s="3">
        <f>818.7+(503.3-610.1)+(-1.252611+(-0.770049--0.933453))+0-4--0.00612000000000023</f>
        <v>706.81691300000011</v>
      </c>
      <c r="S26" s="3">
        <f>766+(503.1-606)+(-1.56264+(-1.026324--1.23624))+0-4--0.00815999999999983</f>
        <v>657.75543600000003</v>
      </c>
      <c r="T26" s="3">
        <f>766.5+(502.1-601.3)+(-1.172745+(-0.768213--0.919989))+0-4--0.00612000000000023</f>
        <v>662.28515100000004</v>
      </c>
      <c r="U26" s="3">
        <f>759.1+(504.9-575)+(-2.322846+(-1.544994--1.7595))+0-4--0.0122400000000005</f>
        <v>682.90390000000002</v>
      </c>
      <c r="V26" s="3">
        <f>768.6+(420.2-495.5)+(-0.391986+(-0.214302--0.252705))+0-4--0.00203999999999959</f>
        <v>688.94845699999996</v>
      </c>
      <c r="W26" s="3">
        <f>771.4+(451.8-521.3)+(-1.96707+(-1.15209--1.329315))+0-4--0.0101999999999994</f>
        <v>696.12035500000013</v>
      </c>
      <c r="X26" s="3">
        <f>851.2+(402-563)+(-0.434112+(-0.20502--0.28713))+0-4--0.00203999999999959</f>
        <v>685.85003800000004</v>
      </c>
      <c r="Y26" s="3">
        <f>1021.2+(295.2-574.1)+(0.520812+(0.150552-0.292791))+0-4-0.00203999999999959</f>
        <v>738.67653299999995</v>
      </c>
      <c r="Z26" s="3">
        <f>1167.4+(328.3-629.9)+(-2.97687+(-0.837165--1.606245))+0-4--0.0101999999999994</f>
        <v>859.60241000000019</v>
      </c>
      <c r="AA26" s="3">
        <f>1091.5+(412.7-641.2)+(-2.783325+(-1.052385--1.63506))+0-4--0.0101999999999994</f>
        <v>856.80955000000006</v>
      </c>
      <c r="AB26" s="3">
        <f>1077.3+(445.8-683.3)+(-0.549423+(-0.227358--0.348483))+0-4--0.00203999999999959</f>
        <v>835.37374199999988</v>
      </c>
      <c r="AC26" s="3">
        <f>1004.9+(350.9-568.5)+(-2.049996+(-0.715836--1.15974))+0-4--0.00815999999999983</f>
        <v>781.70206799999994</v>
      </c>
      <c r="AD26" s="2">
        <v>896.09999999999991</v>
      </c>
      <c r="AE26" s="3">
        <f>1161+(361.1-626)+(0+(0-0))+0-4-0</f>
        <v>892.1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946.6+(298.4-545.6)+(-1.931064+(-0.608736--1.113024))+0-4--0.00815999999999983</f>
        <v>693.98138399999993</v>
      </c>
      <c r="G27" s="3">
        <f>839.7+(344.9-557)+(-1.284741+(-0.527697--0.85221))+0-4--0.00612000000000023</f>
        <v>622.645892</v>
      </c>
      <c r="H27" s="3">
        <f>809.6+(319.6-526.8)+(0+(0-0))+0-4-0</f>
        <v>598.40000000000009</v>
      </c>
      <c r="I27" s="3">
        <f>810.2+(301.4-518.8)+(-0.826404+(-0.307428--0.529176))+0-4--0.00408000000000064</f>
        <v>588.19942400000014</v>
      </c>
      <c r="J27" s="3">
        <f>809.4+(304.7-520.1)+(0+(0-0))+0-4-0</f>
        <v>590</v>
      </c>
      <c r="K27" s="3">
        <f>819.3+(312.1-531.3)+(0+(0-0))+0-4-0</f>
        <v>596.1</v>
      </c>
      <c r="L27" s="3">
        <f>854.5+(290.3-533.3)+(1.307385+(0.444159-0.815949))+0-4-0.00612000000000023</f>
        <v>608.42947500000002</v>
      </c>
      <c r="M27" s="3">
        <f>849.8+(334.2-546.2)+(-0.866796+(-0.340884--0.557124))+0-4--0.00408000000000064</f>
        <v>633.15352399999995</v>
      </c>
      <c r="N27" s="3">
        <f>963+(298.4-582.7)+(-0.49113+(-0.152184--0.297177))+0-4--0.00203999999999959</f>
        <v>674.3559029999999</v>
      </c>
      <c r="O27" s="3">
        <f>1052.9+(298.9-633.7)+(0+(0-0))+0-4-0</f>
        <v>714.1</v>
      </c>
      <c r="P27" s="3">
        <f>1135.5+(312.2-713.8)+(-1.15821+(-0.318444--0.728076))+0-4--0.00408000000000064</f>
        <v>729.15550200000018</v>
      </c>
      <c r="Q27" s="3">
        <f>1130.7+(284.5-704.6)+(-1.729971+(-0.435285--1.078038))+0-4--0.00612000000000023</f>
        <v>705.51890200000003</v>
      </c>
      <c r="R27" s="3">
        <f>1141.3+(268.8-682.7)+(-1.164126+(-0.274176--0.696354))+0-4--0.00408000000000064</f>
        <v>722.66213199999993</v>
      </c>
      <c r="S27" s="3">
        <f>1080+(302.2-660.3)+(-2.2032+(-0.616488--1.347012))+0-4--0.00815999999999983</f>
        <v>716.43548400000009</v>
      </c>
      <c r="T27" s="3">
        <f>1075.5+(281.2-643.2)+(-0.548505+(-0.143412--0.328032))+0-4--0.00203999999999959</f>
        <v>709.13815499999998</v>
      </c>
      <c r="U27" s="3">
        <f>1068.6+(300.6-658.6)+(-2.72493+(-0.76653--1.67943))+0-4--0.0101999999999994</f>
        <v>704.79816999999991</v>
      </c>
      <c r="V27" s="3">
        <f>1069.3+(302.8-647.4)+(-3.272058+(-0.926568--1.981044))+0-4--0.0122400000000005</f>
        <v>718.49465800000007</v>
      </c>
      <c r="W27" s="3">
        <f>1069.9+(316.8-660.9)+(-1.636947+(-0.484704--1.011177))+0-4--0.00612000000000023</f>
        <v>720.69564600000024</v>
      </c>
      <c r="X27" s="3">
        <f>1074.2+(334.1-663.8)+(-1.095684+(-0.340782--0.677076))+0-4--0.00408000000000064</f>
        <v>739.74469000000011</v>
      </c>
      <c r="Y27" s="3">
        <f>1088.6+(331.2-637)+(0.555186+(0.168912-0.32487))+0-4-0.00203999999999959</f>
        <v>779.19718799999998</v>
      </c>
      <c r="Z27" s="3">
        <f>1145.1+(399-656.3)+(-1.752003+(-0.61047--1.004139))+0-4--0.00612000000000023</f>
        <v>882.44778599999995</v>
      </c>
      <c r="AA27" s="3">
        <f>1134.5+(374.8-619.2)+(-1.735785+(-0.573444--0.947376))+0-4--0.00612000000000023</f>
        <v>884.74426699999992</v>
      </c>
      <c r="AB27" s="3">
        <f>1077.4+(368.5-588.9)+(-1.098948+(-0.37587--0.600678))+0-4--0.00408000000000064</f>
        <v>852.12994000000015</v>
      </c>
      <c r="AC27" s="3">
        <f>1065.6+(310.9-584.5)+(0+(0-0))+0-4-0</f>
        <v>787.99999999999989</v>
      </c>
      <c r="AD27" s="2">
        <v>904.00000000000011</v>
      </c>
      <c r="AE27" s="3">
        <f>1146+(426.4-668.4)+(0+(0-0))+0-4-0</f>
        <v>900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1010+(258.8-561.9)+(-1.5453+(-0.395964--0.859707))+0-4--0.00612000000000023</f>
        <v>701.82456300000013</v>
      </c>
      <c r="G28" s="3">
        <f>979.7+(241.4-573.7)+(-1.498941+(-0.369342--0.877761))+0-4--0.00612000000000023</f>
        <v>642.41559799999993</v>
      </c>
      <c r="H28" s="3">
        <f>997.6+(206.4-577)+(-1.526328+(-0.315792--0.88281))+0-4--0.00612000000000023</f>
        <v>622.04681000000005</v>
      </c>
      <c r="I28" s="3">
        <f>1002.9+(231.1-624.5)+(0+(0-0))+0-4-0</f>
        <v>605.5</v>
      </c>
      <c r="J28" s="3">
        <f>1003+(217.5-613.9)+(1.02306+(0.22185-0.626178))+0-4-0.00408000000000064</f>
        <v>603.214652</v>
      </c>
      <c r="K28" s="3">
        <f>1003+(192.3-579.5)+(0+(0-0))+0-4-0</f>
        <v>611.79999999999995</v>
      </c>
      <c r="L28" s="3">
        <f>997.5+(215.8-586.7)+(-1.526175+(-0.330174--0.897651))+0-4--0.00612000000000023</f>
        <v>621.64742199999989</v>
      </c>
      <c r="M28" s="3">
        <f>1000.8+(231.2-590.1)+(0+(0-0))+0-4-0</f>
        <v>637.89999999999986</v>
      </c>
      <c r="N28" s="3">
        <f>1012.4+(275.4-605.5)+(-0.516324+(-0.140454--0.308805))+0-4--0.00203999999999959</f>
        <v>677.9540669999999</v>
      </c>
      <c r="O28" s="3">
        <f>1065.8+(252-600.7)+(-1.087116+(-0.25704--0.612714))+0-4--0.00408000000000064</f>
        <v>712.37263799999994</v>
      </c>
      <c r="P28" s="3">
        <f>1115.9+(278.3-646.9)+(0.569109+(0.141933-0.329919))+0-4-0.00203999999999959</f>
        <v>743.67908300000022</v>
      </c>
      <c r="Q28" s="3">
        <f>1116.4+(294.3-658.7)+(0.569364+(0.150093-0.335937))+0-4-0.00203999999999959</f>
        <v>748.38148000000001</v>
      </c>
      <c r="R28" s="3">
        <f>1091.8+(311-664.2)+(0.556818+(0.15861-0.338742))+0-4-0.00203999999999959</f>
        <v>734.97464599999989</v>
      </c>
      <c r="S28" s="3">
        <f>1086.4+(269.7-633.5)+(0.554064+(0.137547-0.323085))+0-4-0.00203999999999959</f>
        <v>718.96648600000015</v>
      </c>
      <c r="T28" s="3">
        <f>1062.2+(337.6-676.5)+(1.625166+(0.516528-1.035045))+0-4-0.00612000000000023</f>
        <v>720.40052900000001</v>
      </c>
      <c r="U28" s="3">
        <f>1088.3+(288.5-652.7)+(-1.110066+(-0.29427--0.665754))+0-4--0.00408000000000064</f>
        <v>719.365498</v>
      </c>
      <c r="V28" s="3">
        <f>1088.3+(242.7-613.8)+(-0.555033+(-0.123777--0.313038))+0-4--0.00203999999999959</f>
        <v>712.83626800000002</v>
      </c>
      <c r="W28" s="3">
        <f>1081.1+(245.5-612.5)+(-0.551361+(-0.125205--0.312375))+0-4--0.00203999999999959</f>
        <v>709.73784899999987</v>
      </c>
      <c r="X28" s="3">
        <f>1079.3+(220.4-598.4)+(-2.201772+(-0.449616--1.220736))+0-4--0.00815999999999983</f>
        <v>695.87750799999992</v>
      </c>
      <c r="Y28" s="3">
        <f>1106.5+(227.5-602.6)+(1.692945+(0.348075-0.921978))+0-4-0.00612000000000023</f>
        <v>728.512922</v>
      </c>
      <c r="Z28" s="3">
        <f>1120.3+(401.5-653.3)+(-0.571353+(-0.204765--0.333183))+0-4--0.00203999999999959</f>
        <v>864.05910499999993</v>
      </c>
      <c r="AA28" s="3">
        <f>1123.4+(375-622.3)+(-1.718802+(-0.57375--0.952119))+0-4--0.00612000000000023</f>
        <v>870.76568700000018</v>
      </c>
      <c r="AB28" s="3">
        <f>1123.8+(297.6-580.1)+(-2.86569+(-0.75888--1.479255))+0-4--0.0101999999999994</f>
        <v>835.16488500000003</v>
      </c>
      <c r="AC28" s="3">
        <f>1133.4+(247-591.9)+(0.578034+(0.12597-0.301869))+0-4-0.00203999999999959</f>
        <v>784.90009500000019</v>
      </c>
      <c r="AD28" s="2">
        <v>872.59999999999991</v>
      </c>
      <c r="AE28" s="3">
        <f>1117+(425.8-670.2)+(0+(0-0))+0-4-0</f>
        <v>868.59999999999991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1131.7+(276.8-682.7)+(-1.154334+(-0.282336--0.696354))+0-4--0.00408000000000064</f>
        <v>721.06376399999999</v>
      </c>
      <c r="G29" s="3">
        <f>1129.7+(340.1-801.9)+(-2.304588+(-0.693804--1.635876))+0-4--0.00815999999999983</f>
        <v>662.54564400000004</v>
      </c>
      <c r="H29" s="3">
        <f>1099.1+(387.9-848.6)+(-0.560541+(-0.197829--0.432786))+0-4--0.00203999999999959</f>
        <v>634.07645599999978</v>
      </c>
      <c r="I29" s="3">
        <f>1079.4+(358.2-817.1)+(0.550494+(0.182682-0.416721))+0-4-0.00203999999999959</f>
        <v>616.81441500000005</v>
      </c>
      <c r="J29" s="3">
        <f>1079.4+(274.1-741.5)+(-0.550494+(-0.139791--0.378165))+0-4--0.00203999999999959</f>
        <v>607.68992000000003</v>
      </c>
      <c r="K29" s="3">
        <f>1081.2+(211-679.9)+(0.551412+(0.10761-0.346749))+0-4-0.00203999999999959</f>
        <v>608.61023300000011</v>
      </c>
      <c r="L29" s="3">
        <f>1071.6+(187-641)+(-1.093032+(-0.19074--0.65382))+0-4--0.00408000000000064</f>
        <v>612.97412799999995</v>
      </c>
      <c r="M29" s="3">
        <f>1035.7+(214.1-622.9)+(1.056414+(0.218382-0.635358))+0-4-0.00408000000000064</f>
        <v>623.53535800000009</v>
      </c>
      <c r="N29" s="3">
        <f>1039.2+(250.2-684)+(1.059984+(0.255204-0.69768))+0-4-0.00408000000000064</f>
        <v>602.01342800000009</v>
      </c>
      <c r="O29" s="3">
        <f>1042.9+(307.3-634.2)+(1.063758+(0.313446-0.646884))+3.6-4-0.00408000000000064</f>
        <v>716.32623999999998</v>
      </c>
      <c r="P29" s="3">
        <f>1135.8+(291.8-660.4)+(1.158516+(0.297636-0.673608))+0-4-0.00408000000000064</f>
        <v>763.97846400000003</v>
      </c>
      <c r="Q29" s="3">
        <f>1109+(127.1-463.5)+(-3.39354+(-0.388926--1.41831))+0-4--0.0122400000000005</f>
        <v>766.24808400000006</v>
      </c>
      <c r="R29" s="3">
        <f>1045.9+(72.2-373.3)+(1.066818+(0.073644-0.380766))+0-4-0.00408000000000064</f>
        <v>741.55561599999999</v>
      </c>
      <c r="S29" s="3">
        <f>998.9+(74.4-346.1)+(-1.018878+(-0.075888--0.353022))+0-4--0.00408000000000064</f>
        <v>722.46233599999994</v>
      </c>
      <c r="T29" s="3">
        <f>1025.4+(53.5-368.8)+(-3.137724+(-0.16371--1.128528))+0-4--0.0122400000000005</f>
        <v>703.93933400000014</v>
      </c>
      <c r="U29" s="3">
        <f>994.5+(60-351.3)+(-2.02878+(-0.1224--0.716652))+0-4--0.00815999999999983</f>
        <v>697.77363200000002</v>
      </c>
      <c r="V29" s="3">
        <f>996.6+(187.7-460.1)+(-0.508266+(-0.095727--0.234651))+0-4--0.00203999999999959</f>
        <v>719.83269800000005</v>
      </c>
      <c r="W29" s="3">
        <f>1001.3+(339-608.2)+(2.042652+(0.69156-1.240728))+0-4-0.00815999999999983</f>
        <v>729.5853239999999</v>
      </c>
      <c r="X29" s="3">
        <f>998.9+(373.4-623.8)+(-1.018878+(-0.380868--0.636276))+0-4--0.00408000000000064</f>
        <v>743.74061000000006</v>
      </c>
      <c r="Y29" s="3">
        <f>1024.7+(321.4-595.9)+(-1.045194+(-0.327828--0.607818))+0-4--0.00408000000000064</f>
        <v>745.43887600000005</v>
      </c>
      <c r="Z29" s="3">
        <f>1114.9+(325.8-601.5)+(-1.705797+(-0.498474--0.920295))+0-4--0.00612000000000023</f>
        <v>833.922144</v>
      </c>
      <c r="AA29" s="3">
        <f>1090.5+(350-604.9)+(-1.11231+(-0.357--0.616998))+0-4--0.00408000000000064</f>
        <v>830.75176800000008</v>
      </c>
      <c r="AB29" s="3">
        <f>1086.5+(295.8-582.3)+(-1.10823+(-0.301716--0.593946))+0-4--0.00408000000000064</f>
        <v>795.18808000000001</v>
      </c>
      <c r="AC29" s="3">
        <f>1077.2+(235.2-574.2)+(-1.098744+(-0.239904--0.585684))+0-4--0.00408000000000064</f>
        <v>733.45111600000007</v>
      </c>
      <c r="AD29" s="2">
        <v>845.2</v>
      </c>
      <c r="AE29" s="3">
        <f>1122+(324.2-601)+(0+(0-0))+0-4-0</f>
        <v>841.2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1078.1+(241.8-632.9)+(-1.649493+(-0.369954--0.968337))+0-4--0.00612000000000023</f>
        <v>681.95501000000002</v>
      </c>
      <c r="G30" s="3">
        <f>1080.6+(321.2-773.3)+(-0.551106+(-0.163812--0.394383))+0-4--0.00203999999999959</f>
        <v>624.18150500000002</v>
      </c>
      <c r="H30" s="3">
        <f>1085.5+(336.5-822.4)+(1.660815+(0.514845-1.258272))+0-4-0.00612000000000023</f>
        <v>596.51126799999997</v>
      </c>
      <c r="I30" s="3">
        <f>1079+(331.6-822.7)+(-1.10058+(-0.338232--0.839154))+0-4--0.00408000000000064</f>
        <v>583.30442200000005</v>
      </c>
      <c r="J30" s="3">
        <f>1017.8+(342.4-770.9)+(-1.038156+(-0.349248--0.786318))+0-4--0.00408000000000064</f>
        <v>584.70299399999999</v>
      </c>
      <c r="K30" s="3">
        <f>988.4+(313.8-706.6)+(-2.016336+(-0.640152--1.441464))+0-4--0.00815999999999983</f>
        <v>590.39313599999991</v>
      </c>
      <c r="L30" s="3">
        <f>981.7+(279.1-653.8)+(-2.002668+(-0.569364--1.333752))+0-4--0.00815999999999983</f>
        <v>601.76988000000006</v>
      </c>
      <c r="M30" s="3">
        <f>1016.1+(248.5-646.7)+(0.518211+(0.126735-0.329817))+0-4-0.00203999999999959</f>
        <v>614.21308899999997</v>
      </c>
      <c r="N30" s="3">
        <f>1044.1+(241.8-618.7)+(0.532491+(0.123318-0.315537))+0-4-0.00203999999999959</f>
        <v>663.53823199999988</v>
      </c>
      <c r="O30" s="3">
        <f>1043.7+(269.1-594.9)+(0.532287+(0.137241-0.303399))+0-4-0.00203999999999959</f>
        <v>714.26408900000013</v>
      </c>
      <c r="P30" s="3">
        <f>1045.7+(322.1-622.4)+(0.533307+(0.164271-0.317424))+0-4-0.00203999999999959</f>
        <v>741.77811400000007</v>
      </c>
      <c r="Q30" s="3">
        <f>1042+(345.8-625.8)+(-0.53142+(-0.176358--0.319158))+0-4--0.00203999999999959</f>
        <v>757.61342000000002</v>
      </c>
      <c r="R30" s="3">
        <f>1041.9+(318.2-633.1)+(0.531369+(0.162282-0.322881))+0-4-0.00203999999999959</f>
        <v>723.36873000000003</v>
      </c>
      <c r="S30" s="3">
        <f>978+(308.3-591)+(-2.4939+(-0.786165--1.50705))+0-4--0.0101999999999994</f>
        <v>689.53718500000002</v>
      </c>
      <c r="T30" s="3">
        <f>984.7+(295.9-588.7)+(-0.502197+(-0.150909--0.300237))+0-4--0.00203999999999959</f>
        <v>687.54917099999989</v>
      </c>
      <c r="U30" s="3">
        <f>1090.8+(202.5-602.2)+(-2.225232+(-0.4131--1.228488))+0-4--0.00815999999999983</f>
        <v>685.69831599999986</v>
      </c>
      <c r="V30" s="3">
        <f>1106.7+(163.8-592.1)+(-0.564417+(-0.083538--0.301971))+0-4--0.00203999999999959</f>
        <v>674.05605600000001</v>
      </c>
      <c r="W30" s="3">
        <f>1095.2+(185.6-592.8)+(-2.234208+(-0.378624--1.209312))+0-4--0.00815999999999983</f>
        <v>682.60464000000013</v>
      </c>
      <c r="X30" s="3">
        <f>1093.7+(170.2-594.1)+(-1.673361+(-0.260406--0.908973))+0-4--0.00612000000000023</f>
        <v>664.78132599999992</v>
      </c>
      <c r="Y30" s="3">
        <f>1102.2+(185-591.6)+(-2.81061+(-0.47175--1.50858))+0-4--0.0101999999999994</f>
        <v>689.83642000000009</v>
      </c>
      <c r="Z30" s="3">
        <f>1126.7+(297.8-581.2)+(-1.723851+(-0.455634--0.889236))+0-4--0.00612000000000023</f>
        <v>838.01587099999995</v>
      </c>
      <c r="AA30" s="3">
        <f>1067.2+(418.2-621.2)+(-2.72136+(-1.06641--1.58406))+0-4--0.0101999999999994</f>
        <v>858.0064900000001</v>
      </c>
      <c r="AB30" s="3">
        <f>1044.9+(416.1-611.2)+(-1.598697+(-0.636633--0.935136))+0-4--0.00612000000000023</f>
        <v>844.50592600000004</v>
      </c>
      <c r="AC30" s="3">
        <f>1046.6+(360.5-617.7)+(-2.135064+(-0.73542--1.260108))+0-4--0.00815999999999983</f>
        <v>783.79778399999987</v>
      </c>
      <c r="AD30" s="2">
        <v>848.3</v>
      </c>
      <c r="AE30" s="3">
        <f>1124+(325.6-601.3)+(0+(0-0))+0-4-0</f>
        <v>844.30000000000007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1045.3+(261.6-580.4)+(-2.132412+(-0.533664--1.184016))+0-4--0.00815999999999983</f>
        <v>721.02609999999993</v>
      </c>
      <c r="G31" s="3">
        <f>1044.2+(261.3-638.4)+(-1.597626+(-0.399789--0.976752))+0-4--0.00612000000000023</f>
        <v>662.08545700000013</v>
      </c>
      <c r="H31" s="3">
        <f>996.1+(296.8-655.3)+(-2.540055+(-0.75684--1.671015))+0-4--0.0101999999999994</f>
        <v>631.98432000000014</v>
      </c>
      <c r="I31" s="3">
        <f>966.8+(264.4-614.4)+(0+(0-0))+0-4-0</f>
        <v>612.79999999999995</v>
      </c>
      <c r="J31" s="3">
        <f>968+(235.6-587.9)+(-0.49368+(-0.120156--0.299829))+0-4--0.00203999999999959</f>
        <v>611.38803300000006</v>
      </c>
      <c r="K31" s="3">
        <f>969.2+(228.3-580.3)+(0.494292+(0.116433-0.295953))+0-4-0.00203999999999959</f>
        <v>613.51273200000003</v>
      </c>
      <c r="L31" s="3">
        <f>968.6+(229.1-586.4)+(-0.493986+(-0.116841--0.299064))+0-4--0.00203999999999959</f>
        <v>606.99027699999999</v>
      </c>
      <c r="M31" s="3">
        <f>964.4+(228.5-584.1)+(0.491844+(0.116535-0.297891))+0-4-0.00203999999999959</f>
        <v>605.10844799999995</v>
      </c>
      <c r="N31" s="3">
        <f>1015.8+(248.8-624.2)+(-0.518058+(-0.126888--0.318342))+0-4--0.00203999999999959</f>
        <v>636.07543599999985</v>
      </c>
      <c r="O31" s="3">
        <f>1005.5+(321.6-620.3)+(-1.02561+(-0.328032--0.632706))+0-4--0.00408000000000064</f>
        <v>702.08314400000006</v>
      </c>
      <c r="P31" s="3">
        <f>1007.3+(384.3-647.1)+(0.513723+(0.195993-0.330021))+0-4-0.00203999999999959</f>
        <v>740.877655</v>
      </c>
      <c r="Q31" s="3">
        <f>1037.7+(367.2-638.4)+(-3.175362+(-1.123632--1.953504))+0-4--0.0122400000000005</f>
        <v>760.16674999999998</v>
      </c>
      <c r="R31" s="3">
        <f>1098.4+(294.2-660.1)+(-2.240736+(-0.600168--1.346604))+0-4--0.00815999999999983</f>
        <v>727.01386000000002</v>
      </c>
      <c r="S31" s="3">
        <f>1043.9+(307.7-648)+(-2.661945+(-0.784635--1.6524))+0-4--0.0101999999999994</f>
        <v>697.81602000000021</v>
      </c>
      <c r="T31" s="3">
        <f>1044.4+(285.1-637.3)+(0+(0-0))+0-4-0</f>
        <v>688.20000000000016</v>
      </c>
      <c r="U31" s="3">
        <f>969.4+(344.4-618.1)+(-0.988788+(-0.351288--0.630462))+0-4--0.00408000000000064</f>
        <v>690.99446599999999</v>
      </c>
      <c r="V31" s="3">
        <f>871.4+(436-603.4)+(-0.444414+(-0.22236--0.307734))+0-4--0.00203999999999959</f>
        <v>699.64299999999992</v>
      </c>
      <c r="W31" s="3">
        <f>873.2+(435.4-602.8)+(-0.890664+(-0.444108--0.614856))+0-4--0.00408000000000064</f>
        <v>701.0841640000001</v>
      </c>
      <c r="X31" s="3">
        <f>875.6+(393.1-572.6)+(0.893112+(0.400962-0.584052))+0-4-0.00408000000000064</f>
        <v>692.80594199999996</v>
      </c>
      <c r="Y31" s="3">
        <f>1014.7+(304.1-606.3)+(0.517497+(0.155091-0.309213))+0-4-0.00203999999999959</f>
        <v>708.86133500000017</v>
      </c>
      <c r="Z31" s="3">
        <f>1113.4+(423.5-675)+(-1.703502+(-0.647955--1.03275))+0-4--0.00612000000000023</f>
        <v>856.58741300000008</v>
      </c>
      <c r="AA31" s="3">
        <f>1111.4+(386.3-625.4)+(-1.700442+(-0.591039--0.956862))+0-4--0.00612000000000023</f>
        <v>866.97150100000022</v>
      </c>
      <c r="AB31" s="3">
        <f>1107.4+(323.9-583.2)+(-1.694322+(-0.495567--0.892296))+0-4--0.00612000000000023</f>
        <v>842.80852700000003</v>
      </c>
      <c r="AC31" s="3">
        <f>1106.9+(277.5-584.9)+(-1.129038+(-0.28305--0.596598))+0-4--0.00408000000000064</f>
        <v>794.6885900000002</v>
      </c>
      <c r="AD31" s="2">
        <v>878.09999999999991</v>
      </c>
      <c r="AE31" s="3">
        <f>1112+(445.6-679.5)+(0+(0-0))+0-4-0</f>
        <v>874.1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1108.5+(266.4-635.5)+(-0.565335+(-0.135864--0.324105))+0-0-0</f>
        <v>739.02290599999992</v>
      </c>
      <c r="G32" s="3">
        <f>1040.8+(224.5-581.7)+(-1.061616+(-0.22899--0.593334))+0-0-0</f>
        <v>682.90272799999991</v>
      </c>
      <c r="H32" s="3">
        <f>998.6+(195.7-554.6)+(-1.018572+(-0.199614--0.565692))+0-0-0</f>
        <v>639.047506</v>
      </c>
      <c r="I32" s="3">
        <f>963.7+(222.5-562.2)+(0+(0-0))+0-0-0</f>
        <v>624</v>
      </c>
      <c r="J32" s="3">
        <f>900.3+(269.4-559.6)+(0+(0-0))+0-0-0</f>
        <v>610.09999999999991</v>
      </c>
      <c r="K32" s="3">
        <f>898.4+(264.2-553.7)+(-0.916368+(-0.269484--0.564774))+0-0-0</f>
        <v>608.27892199999985</v>
      </c>
      <c r="L32" s="3">
        <f>877.9+(284.4-564.5)+(0+(0-0))+0-4-0</f>
        <v>593.79999999999995</v>
      </c>
      <c r="M32" s="3">
        <f>860.5+(303.5-584.1)+(0+(0-0))+0-4-0</f>
        <v>575.9</v>
      </c>
      <c r="N32" s="3">
        <f>860.4+(313.1-570.4)+(0.877608+(0.319362-0.581808))+0-4-0.00408000000000064</f>
        <v>599.71108200000003</v>
      </c>
      <c r="O32" s="3">
        <f>924.5+(304.1-583.2)+(0.94299+(0.310182-0.594864))+0-4-0.00408000000000064</f>
        <v>642.05422799999997</v>
      </c>
      <c r="P32" s="3">
        <f>988.2+(276.8-582.9)+(0+(0-0))+0-4-0</f>
        <v>678.10000000000014</v>
      </c>
      <c r="Q32" s="3">
        <f>962.8+(332.6-607.5)+(-1.473084+(-0.508878--0.929475))+0-4--0.00612000000000023</f>
        <v>682.85363299999995</v>
      </c>
      <c r="R32" s="3">
        <f>903.6+(387.4-616.3)+(0+(0-0))+0-4-0</f>
        <v>670.7</v>
      </c>
      <c r="S32" s="3">
        <f>893.1+(373.5-605.8)+(-1.821924+(-0.76194--1.235832))+0-4--0.00815999999999983</f>
        <v>655.46012800000005</v>
      </c>
      <c r="T32" s="3">
        <f>898.1+(339.7-587.8)+(0+(0-0))+0-4-0</f>
        <v>646</v>
      </c>
      <c r="U32" s="3">
        <f>891.3+(343.5-595.4)+(-2.727378+(-1.05111--1.821924))+0-4--0.0122400000000005</f>
        <v>633.45567600000004</v>
      </c>
      <c r="V32" s="3">
        <f>897.1+(331.5-587)+(0.457521+(0.169065-0.29937))+0-4-0.00203999999999959</f>
        <v>637.92517600000008</v>
      </c>
      <c r="W32" s="3">
        <f>896.9+(354.7-616.3)+(-0.457419+(-0.180897--0.314313))+0-4--0.00203999999999959</f>
        <v>630.97803699999997</v>
      </c>
      <c r="X32" s="3">
        <f>905.2+(325.9-593.7)+(0+(0-0))+0-4-0</f>
        <v>633.4</v>
      </c>
      <c r="Y32" s="3">
        <f>907.8+(356.6-605.4)+(0+(0-0))+0-4-0</f>
        <v>655</v>
      </c>
      <c r="Z32" s="3">
        <f>980.3+(414-592.4)+(-0.999906+(-0.42228--0.604248))+0-4--0.00408000000000064</f>
        <v>797.086142</v>
      </c>
      <c r="AA32" s="3">
        <f>1023+(412.3-588.5)+(-1.56519+(-0.630819--0.900405))+0-4--0.00612000000000023</f>
        <v>841.51051599999994</v>
      </c>
      <c r="AB32" s="3">
        <f>1014.2+(418.8-607)+(-2.068968+(-0.854352--1.23828))+0-4--0.00815999999999983</f>
        <v>820.32312000000002</v>
      </c>
      <c r="AC32" s="3">
        <f>1019.6+(366.8-615.7)+(-0.519996+(-0.187068--0.314007))+0-4--0.00203999999999959</f>
        <v>766.30898300000001</v>
      </c>
      <c r="AD32" s="2">
        <v>826.8</v>
      </c>
      <c r="AE32" s="3">
        <f>1018+(425.5-616.7)+(0+(0-0))+0-4-0</f>
        <v>822.8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1020+(289.3-585.6)+(-1.0404+(-0.295086--0.597312))+0-4--0.00408000000000064</f>
        <v>718.96590600000013</v>
      </c>
      <c r="G33" s="3">
        <f>1020.4+(227.6-579.7)+(-1.040808+(-0.232152--0.591294))+0-4--0.00408000000000064</f>
        <v>663.62241400000005</v>
      </c>
      <c r="H33" s="3">
        <f>1017.6+(227.4-600.9)+(-2.59488+(-0.57987--1.532295))+0-4--0.0101999999999994</f>
        <v>638.46774500000004</v>
      </c>
      <c r="I33" s="3">
        <f>1022+(239.4-626.9)+(1.04244+(0.244188-0.639438))+0-4-0.00408000000000064</f>
        <v>631.14310999999998</v>
      </c>
      <c r="J33" s="3">
        <f>1021.3+(225.4-625)+(1.041726+(0.229908-0.6375))+0-4-0.00408000000000064</f>
        <v>618.3300539999999</v>
      </c>
      <c r="K33" s="3">
        <f>1022.4+(206.2-613.4)+(0.521424+(0.105162-0.312834))+0-4-0.00203999999999959</f>
        <v>611.5117120000001</v>
      </c>
      <c r="L33" s="3">
        <f>1012.5+(193.6-603.9)+(-0.516375+(-0.098736--0.307989))+0-4--0.00203999999999959</f>
        <v>597.89491799999996</v>
      </c>
      <c r="M33" s="3">
        <f>1015.7+(185.9-582.3)+(0.518007+(0.094809-0.296973))+0-4-0.00203999999999959</f>
        <v>615.61380300000008</v>
      </c>
      <c r="N33" s="3">
        <f>1026.1+(218.2-575)+(0+(0-0))+0-4-0</f>
        <v>665.3</v>
      </c>
      <c r="O33" s="3">
        <f>1024.2+(350.3-642)+(0.522342+(0.178653-0.32742))+0-4-0.00203999999999959</f>
        <v>728.87153499999999</v>
      </c>
      <c r="P33" s="3">
        <f>1019.2+(405.9-663.4)+(1.039584+(0.414018-0.676668))+0-4-0.00408000000000064</f>
        <v>758.47285399999998</v>
      </c>
      <c r="Q33" s="3">
        <f>1019.1+(422-662.2)+(-0.519741+(-0.21522--0.337722))+0-4--0.00203999999999959</f>
        <v>774.50480099999993</v>
      </c>
      <c r="R33" s="3">
        <f>1014.3+(389.3-648.4)+(-2.069172+(-0.794172--1.322736))+0-4--0.00815999999999983</f>
        <v>749.667552</v>
      </c>
      <c r="S33" s="3">
        <f>1009.1+(343.6-635.7)+(-2.573205+(-0.87618--1.621035))+0-4--0.0101999999999994</f>
        <v>711.18185000000005</v>
      </c>
      <c r="T33" s="3">
        <f>1002.1+(321.4-612.6)+(-1.022142+(-0.327828--0.624852))+0-4--0.00408000000000064</f>
        <v>706.17896200000007</v>
      </c>
      <c r="U33" s="3">
        <f>949.6+(385.6-619.7)+(0.968592+(0.393312-0.632094))+0-4-0.00408000000000064</f>
        <v>712.22573</v>
      </c>
      <c r="V33" s="3">
        <f>928.9+(394.3-598.5)+(-1.421217+(-0.603279--0.915705))+0-4--0.00612000000000023</f>
        <v>719.59732900000006</v>
      </c>
      <c r="W33" s="3">
        <f>890.3+(436.3-603.7)+(-0.454053+(-0.222513--0.307887))+0-4--0.00203999999999959</f>
        <v>718.53336099999979</v>
      </c>
      <c r="X33" s="3">
        <f>815.2+(481.8-587.8)+(-2.07876+(-1.22859--1.49889))+0-4--0.0101999999999994</f>
        <v>703.40174000000013</v>
      </c>
      <c r="Y33" s="3">
        <f>820.9+(503.1-593.3)+(0.418659+(0.256581-0.302583))+0-4-0.00203999999999959</f>
        <v>727.07061700000008</v>
      </c>
      <c r="Z33" s="3">
        <f>1008.4+(489.5-629.6)+(-2.057136+(-0.99858--1.284384))+0-4--0.00815999999999983</f>
        <v>862.5368279999999</v>
      </c>
      <c r="AA33" s="3">
        <f>990.6+(545.3-650.6)+(-2.52603+(-1.390515--1.65903))+0-4--0.0101999999999994</f>
        <v>879.052685</v>
      </c>
      <c r="AB33" s="3">
        <f>981.9+(510.3-616.5)+(-2.503845+(-1.301265--1.572075))+0-4--0.0101999999999994</f>
        <v>869.47716500000013</v>
      </c>
      <c r="AC33" s="3">
        <f>980.1+(437.9-602.8)+(-1.499553+(-0.669987--0.922284))+0-4--0.00612000000000023</f>
        <v>809.95886400000006</v>
      </c>
      <c r="AD33" s="2">
        <v>887.49999999999989</v>
      </c>
      <c r="AE33" s="3">
        <f>1013+(520.6-646.1)+(0+(0-0))+0-4-0</f>
        <v>883.5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973.7+(362.2-599.4)+(-0.993174+(-0.369444--0.611388))+0-4--0.00408000000000064</f>
        <v>731.75285000000008</v>
      </c>
      <c r="G34" s="3">
        <f>962.7+(311.1-610.8)+(-0.981954+(-0.317322--0.623016))+0-4--0.00408000000000064</f>
        <v>658.3278200000002</v>
      </c>
      <c r="H34" s="3">
        <f>973.3+(284.4-615.1)+(-0.992766+(-0.290088--0.627402))+0-4--0.00408000000000064</f>
        <v>637.94862799999999</v>
      </c>
      <c r="I34" s="3">
        <f>936.4+(304.1-608.1)+(-0.477564+(-0.155091--0.310131))+0-4--0.00203999999999959</f>
        <v>628.0795159999999</v>
      </c>
      <c r="J34" s="3">
        <f>892.3+(306.2-574.5)+(-1.820292+(-0.624648--1.17198))+0-4--0.00815999999999983</f>
        <v>618.73519999999996</v>
      </c>
      <c r="K34" s="3">
        <f>837.2+(303.1-517.7)+(0.853944+(0.309162-0.528054))+0-4-0.00408000000000064</f>
        <v>619.23097199999995</v>
      </c>
      <c r="L34" s="3">
        <f>829.5+(330.8-533.9)+(-0.423045+(-0.168708--0.272289))+0-4--0.00203999999999959</f>
        <v>622.08257600000002</v>
      </c>
      <c r="M34" s="3">
        <f>956.8+(244.9-563.5)+(1.463904+(0.374697-0.862155))+0-4-0.00612000000000023</f>
        <v>635.17032599999993</v>
      </c>
      <c r="N34" s="3">
        <f>1027.2+(254-588.1)+(1.047744+(0.25908-0.599862))+0-4-0.00408000000000064</f>
        <v>689.80288199999995</v>
      </c>
      <c r="O34" s="3">
        <f>1022.4+(339.5-632.8)+(-0.521424+(-0.173145--0.322728))+0-4--0.00203999999999959</f>
        <v>724.73019899999997</v>
      </c>
      <c r="P34" s="3">
        <f>1021.7+(395.1-663.4)+(-0.521067+(-0.201501--0.338334))+0-4--0.00203999999999959</f>
        <v>749.01780600000006</v>
      </c>
      <c r="Q34" s="3">
        <f>949.4+(452.6-702.8)+(-1.452582+(-0.692478--1.075284))+0-4--0.00612000000000023</f>
        <v>694.13634400000001</v>
      </c>
      <c r="R34" s="3">
        <f>915.9+(488.7-648.6)+(0+(0-0))+0-4-0</f>
        <v>752</v>
      </c>
      <c r="S34" s="3">
        <f>916.7+(412.9-599.5)+(-2.337585+(-1.052895--1.528725))+0-4--0.0101999999999994</f>
        <v>724.24844500000006</v>
      </c>
      <c r="T34" s="3">
        <f>923.7+(375.6-572.9)+(0.942174+(0.383112-0.584358))+0-4-0.00408000000000064</f>
        <v>723.1368480000001</v>
      </c>
      <c r="U34" s="3">
        <f>919.3+(358.6-550.9)+(-1.406529+(-0.548658--0.842877))+0-4--0.00612000000000023</f>
        <v>721.89381000000003</v>
      </c>
      <c r="V34" s="3">
        <f>920.1+(331.3-519.6)+(-0.469251+(-0.168963--0.264996))+0-4--0.00203999999999959</f>
        <v>727.42882199999997</v>
      </c>
      <c r="W34" s="3">
        <f>919.4+(333.6-523.2)+(-1.406682+(-0.510408--0.800496))+0-4--0.00612000000000023</f>
        <v>724.689526</v>
      </c>
      <c r="X34" s="3">
        <f>897.5+(353.4-520.9)+(-0.457725+(-0.180234--0.265659))+0-4--0.00203999999999959</f>
        <v>725.62973999999997</v>
      </c>
      <c r="Y34" s="3">
        <f>866.6+(448.8-587.7)+(0+(0-0))+0-4-0</f>
        <v>723.7</v>
      </c>
      <c r="Z34" s="3">
        <f>944+(537.8-612.1)+(0+(0-0))+0-4-0</f>
        <v>865.69999999999993</v>
      </c>
      <c r="AA34" s="3">
        <f>1011.7+(484.3-602)+(-2.063868+(-0.987972--1.22808))+0-4--0.00815999999999983</f>
        <v>888.18439999999998</v>
      </c>
      <c r="AB34" s="3">
        <f>1020+(443.2-588.6)+(-1.0404+(-0.452064--0.600372))+0-4--0.00408000000000064</f>
        <v>869.71198799999991</v>
      </c>
      <c r="AC34" s="3">
        <f>1022.8+(349.7-558.7)+(-0.521628+(-0.178347--0.284937))+0-4--0.00203999999999959</f>
        <v>809.38700199999994</v>
      </c>
      <c r="AD34" s="2">
        <v>892.09999999999991</v>
      </c>
      <c r="AE34" s="3">
        <f>1018+(503.8-629.7)+(0+(0-0))+0-4-0</f>
        <v>888.09999999999991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1028.5+(260.6-553.7)+(-2.09814+(-0.531624--1.129548))+0-4--0.00815999999999983</f>
        <v>729.90794399999993</v>
      </c>
      <c r="G35" s="3">
        <f>1031.2+(255.8-607.3)+(-0.525912+(-0.130458--0.309723))+0-4--0.00203999999999959</f>
        <v>675.35539300000005</v>
      </c>
      <c r="H35" s="3">
        <f>990.8+(277.5-619.5)+(-0.505308+(-0.141525--0.315945))+0-4--0.00203999999999959</f>
        <v>644.47115199999996</v>
      </c>
      <c r="I35" s="3">
        <f>965.8+(293.1-627.3)+(1.477674+(0.448443-0.959769))+0-4-0.00612000000000023</f>
        <v>628.56022800000005</v>
      </c>
      <c r="J35" s="3">
        <f>961.7+(268.6-606.1)+(-1.471401+(-0.410958--0.927333))+0-4--0.00612000000000023</f>
        <v>619.25109400000008</v>
      </c>
      <c r="K35" s="3">
        <f>962.9+(264.3-608.9)+(-0.491079+(-0.134793--0.310539))+0-4--0.00203999999999959</f>
        <v>613.98670699999991</v>
      </c>
      <c r="L35" s="3">
        <f>929.4+(234.6-543.1)+(-1.895976+(-0.478584--1.107924))+0-4--0.00815999999999983</f>
        <v>615.641524</v>
      </c>
      <c r="M35" s="3">
        <f>899.7+(277.2-548.6)+(1.835388+(0.565488-1.119144))+0-4-0.00815999999999983</f>
        <v>625.57357200000001</v>
      </c>
      <c r="N35" s="3">
        <f>897.7+(395.8-613.3)+(0.457827+(0.201858-0.312783))+0-4-0.00203999999999959</f>
        <v>676.54486200000008</v>
      </c>
      <c r="O35" s="3">
        <f>975.4+(402.3-645.4)+(0.497454+(0.205173-0.329154))+0-4-0.00203999999999959</f>
        <v>728.67143299999998</v>
      </c>
      <c r="P35" s="3">
        <f>1021.4+(400.3-647)+(-0.520914+(-0.204153--0.32997))+0-4--0.00203999999999959</f>
        <v>770.30694300000005</v>
      </c>
      <c r="Q35" s="3">
        <f>1020.5+(404.7-623)+(1.04091+(0.412794-0.63546))+0-4-0.00408000000000064</f>
        <v>799.01416400000005</v>
      </c>
      <c r="R35" s="3">
        <f>1064.1+(279.6-571.8)+(-1.085382+(-0.285192--0.583236))+0-4--0.00408000000000064</f>
        <v>767.11674200000004</v>
      </c>
      <c r="S35" s="3">
        <f>1126.8+(182.4-562.8)+(1.149336+(0.186048-0.574056))+0-4-0.00408000000000064</f>
        <v>743.15724799999998</v>
      </c>
      <c r="T35" s="3">
        <f>1118.2+(174.3-556.3)+(1.140564+(0.177786-0.567426))+0-4-0.00408000000000064</f>
        <v>732.94684400000006</v>
      </c>
      <c r="U35" s="3">
        <f>1114.7+(184.9-560.3)+(-0.568497+(-0.094299--0.285753))+0-4--0.00203999999999959</f>
        <v>734.92499700000008</v>
      </c>
      <c r="V35" s="3">
        <f>1110.8+(209.1-571.9)+(-2.266032+(-0.426564--1.166676))+0-4--0.00815999999999983</f>
        <v>742.48223999999993</v>
      </c>
      <c r="W35" s="3">
        <f>1107.3+(271.1-633.1)+(-2.823615+(-0.691305--1.614405))+0-4--0.0101999999999994</f>
        <v>739.40968499999997</v>
      </c>
      <c r="X35" s="3">
        <f>1105.7+(259.6-641.9)+(-3.947349+(-0.926772--2.291583))+0-4--0.0142800000000001</f>
        <v>716.83174200000008</v>
      </c>
      <c r="Y35" s="3">
        <f>1057.6+(306.2-639.6)+(0.539376+(0.156162-0.326196))+0-4-0.00203999999999959</f>
        <v>720.56730199999981</v>
      </c>
      <c r="Z35" s="3">
        <f>1132+(345.2-608.5)+(-0.57732+(-0.176052--0.310335))+0-4--0.00203999999999959</f>
        <v>864.25900300000001</v>
      </c>
      <c r="AA35" s="3">
        <f>1129.3+(368.1-598)+(-4.607544+(-1.501848--2.43984))+0-4--0.0163199999999997</f>
        <v>891.74676799999997</v>
      </c>
      <c r="AB35" s="3">
        <f>1118.2+(385.2-616.4)+(-2.85141+(-0.98226--1.57182))+0-4--0.0101999999999994</f>
        <v>880.74835000000007</v>
      </c>
      <c r="AC35" s="3">
        <f>1015.7+(386.8-584.6)+(-1.554021+(-0.591804--0.894438))+0-4--0.00612000000000023</f>
        <v>812.65473300000008</v>
      </c>
      <c r="AD35" s="2">
        <v>893.3</v>
      </c>
      <c r="AE35" s="3">
        <f>1138+(366-610.7)+(0+(0-0))+0-4-0</f>
        <v>889.3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901.7+(476.8-647.6)+(-1.839468+(-0.972672--1.321104))+0-4--0.00815999999999983</f>
        <v>725.41712400000006</v>
      </c>
      <c r="G36" s="3">
        <f>894.8+(485.1-709.5)+(-1.825392+(-0.989604--1.44738))+0-4--0.00815999999999983</f>
        <v>665.04054399999995</v>
      </c>
      <c r="H36" s="3">
        <f>875.3+(475.7-704.6)+(-2.232015+(-1.213035--1.79673))+0-4--0.0101999999999994</f>
        <v>640.76187999999991</v>
      </c>
      <c r="I36" s="3">
        <f>855.5+(421.2-652.6)+(0.87261+(0.429624-0.665652))+0-4-0.00408000000000064</f>
        <v>620.73250199999984</v>
      </c>
      <c r="J36" s="3">
        <f>853.6+(398.5-632.6)+(-0.435336+(-0.203235--0.322626))+0-4--0.00203999999999959</f>
        <v>615.18609499999991</v>
      </c>
      <c r="K36" s="3">
        <f>910.1+(379.1-667.2)+(0+(0-0))+0-4-0</f>
        <v>618</v>
      </c>
      <c r="L36" s="3">
        <f>961.1+(376.8-711.1)+(-0.490161+(-0.192168--0.362661))+0-5--0.00254999999999949</f>
        <v>621.48288200000002</v>
      </c>
      <c r="M36" s="3">
        <f>963.8+(353.9-678)+(0.983076+(0.360978-0.69156))+0-4-0.00408000000000064</f>
        <v>636.34841399999993</v>
      </c>
      <c r="N36" s="3">
        <f>1160.9+(259-721.3)+(0.592059+(0.13209-0.367863))+0-5-0.00254999999999949</f>
        <v>693.95373600000005</v>
      </c>
      <c r="O36" s="3">
        <f>1331.5+(186.2-762.3)+(0.679065+(0.094962-0.388773))+0-5-0.00254999999999949</f>
        <v>750.78270400000008</v>
      </c>
      <c r="P36" s="3">
        <f>1349.9+(188.5-753.7)+(-2.065347+(-0.288405--1.153161))+0-5--0.00765000000000029</f>
        <v>778.50705900000003</v>
      </c>
      <c r="Q36" s="3">
        <f>1371.5+(194.7-765.9)+(-0.699465+(-0.099297--0.390609))+0-5--0.00254999999999949</f>
        <v>794.89439700000003</v>
      </c>
      <c r="R36" s="3">
        <f>1360.4+(194.8-767.6)+(-2.775216+(-0.397392--1.565904))+0-4--0.00815999999999983</f>
        <v>782.00145600000008</v>
      </c>
      <c r="S36" s="3">
        <f>1309.8+(235.1-777.4)+(-1.335996+(-0.239802--0.792948))+0-4--0.00408000000000064</f>
        <v>762.72122999999999</v>
      </c>
      <c r="T36" s="3">
        <f>1277.7+(233.4-748.5)+(1.303254+(0.238068-0.76347))+0-4-0.00408000000000064</f>
        <v>759.37377200000003</v>
      </c>
      <c r="U36" s="3">
        <f>1273.1+(262.6-766.3)+(-1.947843+(-0.401778--1.172439))+0-4--0.00612000000000023</f>
        <v>764.22893799999997</v>
      </c>
      <c r="V36" s="3">
        <f>1205+(246.3-673.5)+(-1.84365+(-0.376839--1.030455))+0-4--0.00612000000000023</f>
        <v>772.616086</v>
      </c>
      <c r="W36" s="3">
        <f>1108.2+(275.1-612.5)+(-3.391092+(-0.841806--1.87425))+0-4--0.0122400000000005</f>
        <v>764.45359200000007</v>
      </c>
      <c r="X36" s="3">
        <f>1035.1+(307-596.1)+(-2.111604+(-0.62628--1.216044))+0-4--0.00815999999999983</f>
        <v>740.48631999999986</v>
      </c>
      <c r="Y36" s="3">
        <f>1035.1+(313.6-610.4)+(0+(0-0))+0-4-0</f>
        <v>734.3</v>
      </c>
      <c r="Z36" s="3">
        <f>1230+(280.4-638.6)+(-1.8819+(-0.429012--0.977058))+0-4--0.00612000000000023</f>
        <v>866.47226599999999</v>
      </c>
      <c r="AA36" s="3">
        <f>1226.3+(323.9-641.9)+(-2.501652+(-0.660756--1.309476))+0-4--0.00815999999999983</f>
        <v>902.45522799999992</v>
      </c>
      <c r="AB36" s="3">
        <f>1076.7+(406.5-614.6)+(0+(0-0))+0-4-0</f>
        <v>864.6</v>
      </c>
      <c r="AC36" s="3">
        <f>1049.7+(356.2-587.5)+(-1.070694+(-0.363324--0.59925))+0-4--0.00408000000000064</f>
        <v>813.56931200000008</v>
      </c>
      <c r="AD36" s="2">
        <v>885.99999999999989</v>
      </c>
      <c r="AE36" s="3">
        <f>1204+(325.6-643.6)+(0+(0-0))+0-4-0</f>
        <v>882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1042.2+(339.6-619.9)+(-1.063044+(-0.346392--0.632298))+0-4--0.00408000000000064</f>
        <v>757.1269420000001</v>
      </c>
      <c r="G37" s="3">
        <f>996.8+(384.5-685.2)+(-1.016736+(-0.39219--0.698904))+0-4--0.00408000000000064</f>
        <v>691.39405799999997</v>
      </c>
      <c r="H37" s="3">
        <f>893.3+(422.9-671.1)+(-0.911166+(-0.431358--0.684522))+0-4--0.00408000000000064</f>
        <v>640.44607799999994</v>
      </c>
      <c r="I37" s="3">
        <f>888.7+(444.1-698.6)+(0+(0-0))+0-4-0</f>
        <v>630.20000000000005</v>
      </c>
      <c r="J37" s="3">
        <f>886.8+(401.1-660)+(-0.904536+(-0.409122--0.6732))+0-4--0.00408000000000064</f>
        <v>623.26362200000005</v>
      </c>
      <c r="K37" s="3">
        <f>870+(349.2-591.2)+(-1.3311+(-0.534276--0.904536))+0-4--0.00612000000000023</f>
        <v>623.04528000000005</v>
      </c>
      <c r="L37" s="3">
        <f>812.8+(388.2-586.5)+(-2.07264+(-0.98991--1.495575))+0-4--0.0101999999999994</f>
        <v>608.9432250000001</v>
      </c>
      <c r="M37" s="3">
        <f>830.2+(359.7-572.2)+(0+(0-0))+0-4-0</f>
        <v>613.70000000000005</v>
      </c>
      <c r="N37" s="3">
        <f>828.7+(437.4-596.4)+(0+(0-0))+0-4-0</f>
        <v>665.7</v>
      </c>
      <c r="O37" s="3">
        <f>874.9+(440.3-592.1)+(0+(0-0))+0-4-0</f>
        <v>719.09999999999991</v>
      </c>
      <c r="P37" s="3">
        <f>991.4+(360.5-592.5)+(-2.022456+(-0.73542--1.2087))+0-4--0.00815999999999983</f>
        <v>753.85898399999996</v>
      </c>
      <c r="Q37" s="3">
        <f>1059.6+(309.5-588.7)+(0.540396+(0.157845-0.300237))+0-4-0.00203999999999959</f>
        <v>776.79596399999991</v>
      </c>
      <c r="R37" s="3">
        <f>1061.2+(288-576.6)+(-2.164848+(-0.58752--1.176264))+0-4--0.00815999999999983</f>
        <v>767.03205600000001</v>
      </c>
      <c r="S37" s="3">
        <f>1059.2+(278.9-586)+(0+(0-0))+0-4-0</f>
        <v>748.1</v>
      </c>
      <c r="T37" s="3">
        <f>1053+(310-610.3)+(-0.53703+(-0.1581--0.311253))+0-4--0.00203999999999959</f>
        <v>748.31816300000003</v>
      </c>
      <c r="U37" s="3">
        <f>1049.1+(360-655.9)+(-2.140164+(-0.7344--1.338036))+0-4--0.00815999999999983</f>
        <v>747.67163199999993</v>
      </c>
      <c r="V37" s="3">
        <f>1066.5+(341.3-653.2)+(-0.543915+(-0.174063--0.333132))+0-4--0.00203999999999959</f>
        <v>750.21719399999984</v>
      </c>
      <c r="W37" s="3">
        <f>1076.3+(316.5-632.2)+(-2.195652+(-0.64566--1.289688))+0-4--0.00815999999999983</f>
        <v>755.05653599999994</v>
      </c>
      <c r="X37" s="3">
        <f>1059+(298.1-614.5)+(-2.16036+(-0.608124--1.25358))+0-4--0.00815999999999983</f>
        <v>737.093256</v>
      </c>
      <c r="Y37" s="3">
        <f>1071+(335.4-659)+(-0.54621+(-0.171054--0.33609))+0-4--0.00203999999999959</f>
        <v>743.02086599999996</v>
      </c>
      <c r="Z37" s="3">
        <f>1095.7+(402.8-625)+(-1.676421+(-0.616284--0.95625))+0-4--0.00612000000000023</f>
        <v>868.16966500000001</v>
      </c>
      <c r="AA37" s="3">
        <f>1105.5+(382.5-598.7)+(-1.691415+(-0.585225--0.916011))+0-4--0.00612000000000023</f>
        <v>883.94549099999995</v>
      </c>
      <c r="AB37" s="3">
        <f>1110.9+(366.8-618)+(-0.566559+(-0.187068--0.31518))+0-4--0.00203999999999959</f>
        <v>855.26359300000001</v>
      </c>
      <c r="AC37" s="3">
        <f>1100.4+(413.4-697.9)+(-0.561204+(-0.210834--0.355929))+0-4--0.00203999999999959</f>
        <v>811.48593100000005</v>
      </c>
      <c r="AD37" s="2">
        <v>892.8</v>
      </c>
      <c r="AE37" s="3">
        <f>1105+(416.6-628.8)+(0+(0-0))+0-4-0</f>
        <v>888.80000000000007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1102.1+(402.3-753)+(-0.562071+(-0.205173--0.38403))+0-4--0.00203999999999959</f>
        <v>747.01882599999988</v>
      </c>
      <c r="G38" s="3">
        <f>1099.7+(412.4-848.8)+(-2.243388+(-0.841296--1.731552))+0-4--0.00815999999999983</f>
        <v>657.95502800000008</v>
      </c>
      <c r="H38" s="3">
        <f>1010.3+(385.4-739.8)+(-0.515253+(-0.196554--0.377298))+0-4--0.00203999999999959</f>
        <v>651.56753099999992</v>
      </c>
      <c r="I38" s="3">
        <f>933.7+(387-692.6)+(-0.476187+(-0.19737--0.353226))+0-4--0.00203999999999959</f>
        <v>623.78170899999998</v>
      </c>
      <c r="J38" s="3">
        <f>926.5+(344.2-654.1)+(-0.94503+(-0.351084--0.667182))+0-4--0.00408000000000064</f>
        <v>611.97514799999999</v>
      </c>
      <c r="K38" s="3">
        <f>925.8+(340.6-651)+(-0.944316+(-0.347412--0.66402))+0-4--0.00408000000000064</f>
        <v>610.77637200000004</v>
      </c>
      <c r="L38" s="3">
        <f>834.3+(360.6-596.2)+(-1.701972+(-0.735624--1.216248))+0-4--0.00815999999999983</f>
        <v>593.48681199999987</v>
      </c>
      <c r="M38" s="3">
        <f>903.5+(300.1-595)+(0.460785+(0.153051-0.30345))+0-4-0.00203999999999959</f>
        <v>604.90834600000005</v>
      </c>
      <c r="N38" s="3">
        <f>1071.6+(230.8-620.3)+(0.546516+(0.117708-0.316353))+0-4-0.00203999999999959</f>
        <v>678.445831</v>
      </c>
      <c r="O38" s="3">
        <f>1090.7+(272.3-616.5)+(-0.556257+(-0.138873--0.314415))+0-4--0.00203999999999959</f>
        <v>742.12132499999996</v>
      </c>
      <c r="P38" s="3">
        <f>1145.3+(231.6-602.8)+(1.168206+(0.236232-0.614856))+0-4-0.00408000000000064</f>
        <v>770.88550199999997</v>
      </c>
      <c r="Q38" s="3">
        <f>1136.8+(223.6-576.6)+(0+(0-0))+0-4-0</f>
        <v>779.8</v>
      </c>
      <c r="R38" s="3">
        <f>1130.4+(221.4-579.2)+(-1.153008+(-0.225828--0.590784))+0-4--0.00408000000000064</f>
        <v>767.81602800000007</v>
      </c>
      <c r="S38" s="3">
        <f>1127.4+(219.8-601.3)+(-0.574974+(-0.112098--0.306663))+0-4--0.00203999999999959</f>
        <v>741.52163100000007</v>
      </c>
      <c r="T38" s="3">
        <f>1120+(240.3-618.8)+(-1.1424+(-0.245106--0.631176))+0-4--0.00408000000000064</f>
        <v>736.74775</v>
      </c>
      <c r="U38" s="3">
        <f>1117.8+(263.9-631.4)+(-1.710234+(-0.403767--0.966042))+0-4--0.00612000000000023</f>
        <v>745.15816099999995</v>
      </c>
      <c r="V38" s="3">
        <f>1117.5+(277.1-626.2)+(0+(0-0))+0-4-0</f>
        <v>764.4</v>
      </c>
      <c r="W38" s="3">
        <f>1115.5+(283.2-634.3)+(-0.568905+(-0.144432--0.323493))+0-4--0.00203999999999959</f>
        <v>760.01219600000002</v>
      </c>
      <c r="X38" s="3">
        <f>1111.2+(323.3-688.6)+(-1.700136+(-0.494649--1.053558))+0-4--0.00612000000000023</f>
        <v>740.76489300000014</v>
      </c>
      <c r="Y38" s="3">
        <f>1122.7+(308.7-687.7)+(-0.572577+(-0.157437--0.350727))+0-4--0.00203999999999959</f>
        <v>739.32275300000003</v>
      </c>
      <c r="Z38" s="3">
        <f>1125.7+(351.1-607.2)+(-1.148214+(-0.358122--0.619344))+0-4--0.00408000000000064</f>
        <v>864.7170880000001</v>
      </c>
      <c r="AA38" s="3">
        <f>1105.6+(387.1-594.9)+(-1.691568+(-0.592263--0.910197))+0-4--0.00612000000000023</f>
        <v>892.43248599999993</v>
      </c>
      <c r="AB38" s="3">
        <f>1076.8+(376.1-569.7)+(-1.098336+(-0.383622--0.581094))+0-4--0.00408000000000064</f>
        <v>878.30321600000002</v>
      </c>
      <c r="AC38" s="3">
        <f>1078.2+(331.7-580.8)+(1.649646+(0.507501-0.888624))+0-4-0.00612000000000023</f>
        <v>826.36240300000009</v>
      </c>
      <c r="AD38" s="2">
        <v>890.8</v>
      </c>
      <c r="AE38" s="3">
        <f>1124+(380.8-614)+(0+(0-0))+0-4-0</f>
        <v>886.8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1067+(325.5-623.3)+(0+(0-0))+0-4-0</f>
        <v>765.2</v>
      </c>
      <c r="G39" s="3">
        <f>1025.9+(407.5-722.6)+(-0.523209+(-0.207825--0.368526))+0-4--0.00203999999999959</f>
        <v>706.43953199999999</v>
      </c>
      <c r="H39" s="3">
        <f>1025.7+(401.3-761.4)+(1.569321+(0.613989-1.164942))+0-4-0.00612000000000023</f>
        <v>662.61224800000014</v>
      </c>
      <c r="I39" s="3">
        <f>1020.1+(394.4-763.5)+(-2.081004+(-0.804576--1.55754))+0-4--0.00815999999999983</f>
        <v>645.68011999999999</v>
      </c>
      <c r="J39" s="3">
        <f>1019.8+(397-773.1)+(-1.560294+(-0.60741--1.182843))+0-4--0.00612000000000023</f>
        <v>638.72125899999992</v>
      </c>
      <c r="K39" s="3">
        <f>1023.3+(328.7-719.8)+(-1.043766+(-0.335274--0.734196))+0-4--0.00408000000000064</f>
        <v>627.55923600000006</v>
      </c>
      <c r="L39" s="3">
        <f>813.3+(403.4-611)+(-2.903481+(-1.440138--2.18127))+0-4--0.0142800000000001</f>
        <v>599.55193099999997</v>
      </c>
      <c r="M39" s="3">
        <f>749.3+(427.3-582.2)+(0.382143+(0.217923-0.296922))+0-4-0.00203999999999959</f>
        <v>590.70110399999987</v>
      </c>
      <c r="N39" s="3">
        <f>841+(371.4-582.5)+(0.42891+(0.189414-0.297075))+0-4-0.00203999999999959</f>
        <v>626.21920899999998</v>
      </c>
      <c r="O39" s="3">
        <f>862.8+(416.6-589.9)+(-0.880056+(-0.424932--0.601698))+0-4--0.00408000000000064</f>
        <v>684.80079000000001</v>
      </c>
      <c r="P39" s="3">
        <f>972.5+(347.8-587.2)+(-1.487925+(-0.532134--0.898416))+0-4--0.00612000000000023</f>
        <v>727.98447699999997</v>
      </c>
      <c r="Q39" s="3">
        <f>1109.6+(158.1-511.9)+(-2.263584+(-0.322524--1.044276))+0-4--0.00815999999999983</f>
        <v>750.26632799999993</v>
      </c>
      <c r="R39" s="3">
        <f>1132.3+(197.7-597.2)+(0+(0-0))+0-4-0</f>
        <v>728.8</v>
      </c>
      <c r="S39" s="3">
        <f>1123+(265.1-671.4)+(-1.71819+(-0.405603--1.027242))+0-4--0.00612000000000023</f>
        <v>711.60956900000008</v>
      </c>
      <c r="T39" s="3">
        <f>1120.7+(301.6-706.1)+(-0.571557+(-0.153816--0.360111))+0-4--0.00203999999999959</f>
        <v>711.83677799999998</v>
      </c>
      <c r="U39" s="3">
        <f>1113.2+(302.7-701.9)+(-1.135464+(-0.308754--0.715938))+0-4--0.00408000000000064</f>
        <v>709.2758</v>
      </c>
      <c r="V39" s="3">
        <f>1108.8+(296.8-685.9)+(-1.130976+(-0.302736--0.699618))+0-4--0.00408000000000064</f>
        <v>714.96998600000006</v>
      </c>
      <c r="W39" s="3">
        <f>1108.7+(301.7-688)+(-1.696311+(-0.461601--1.05264))+0-4--0.00612000000000023</f>
        <v>717.30084800000009</v>
      </c>
      <c r="X39" s="3">
        <f>1102.9+(296.1-690.5)+(-1.687437+(-0.453033--1.056465))+0-4--0.00612000000000023</f>
        <v>703.42211500000008</v>
      </c>
      <c r="Y39" s="3">
        <f>995.6+(359.3-631.8)+(-1.015512+(-0.366486--0.644436))+0-4--0.00408000000000064</f>
        <v>718.36651800000016</v>
      </c>
      <c r="Z39" s="3">
        <f>1066.4+(378.5-608.3)+(-0.543864+(-0.193035--0.310233))+0-4--0.00203999999999959</f>
        <v>832.17537400000015</v>
      </c>
      <c r="AA39" s="3">
        <f>1124.9+(355.3-596.1)+(-1.147398+(-0.362406--0.608022))+0-4--0.00408000000000064</f>
        <v>879.20229800000016</v>
      </c>
      <c r="AB39" s="3">
        <f>1127.1+(406.4-658.1)+(0.574821+(0.207264-0.335631))+0-4-0.00203999999999959</f>
        <v>871.84441399999992</v>
      </c>
      <c r="AC39" s="3">
        <f>1119.6+(415.2-720.4)+(-1.712988+(-0.635256--1.102212))+0-4--0.00612000000000023</f>
        <v>809.16008799999986</v>
      </c>
      <c r="AD39" s="2">
        <v>882.89999999999986</v>
      </c>
      <c r="AE39" s="3">
        <f>1123+(328.6-568.7)+(0+(0-0))+0-4-0</f>
        <v>878.9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1120.6+(478.6-845.8)+(-0.571506+(-0.244086--0.431358))+0-4--0.00203999999999959</f>
        <v>749.01780599999995</v>
      </c>
      <c r="G40" s="3">
        <f>1120.3+(486.2-913.8)+(-1.714059+(-0.743886--1.398114))+0-4--0.00612000000000023</f>
        <v>687.64628900000002</v>
      </c>
      <c r="H40" s="3">
        <f>1125.2+(417-882.3)+(1.147704+(0.42534-0.899946))+0-4-0.00408000000000064</f>
        <v>656.56901800000003</v>
      </c>
      <c r="I40" s="3">
        <f>1088.8+(390.8-829.4)+(0.555288+(0.199308-0.422994))+0-4-0.00203999999999959</f>
        <v>646.52956200000006</v>
      </c>
      <c r="J40" s="3">
        <f>1083.9+(378.3-818.6)+(0+(0-0))+0-4-0</f>
        <v>639.60000000000014</v>
      </c>
      <c r="K40" s="3">
        <f>1080.2+(337.7-771.7)+(-1.652706+(-0.516681--1.180701))+0-4--0.00612000000000023</f>
        <v>641.21743400000003</v>
      </c>
      <c r="L40" s="3">
        <f>929.4+(362.2-644.5)+(-0.473994+(-0.184722--0.328695))+0-4--0.00203999999999959</f>
        <v>642.77201899999989</v>
      </c>
      <c r="M40" s="3">
        <f>932.6+(335.2-603.2)+(0.475626+(0.170952-0.307632))+0-4-0.00203999999999959</f>
        <v>660.93690599999991</v>
      </c>
      <c r="N40" s="3">
        <f>1089.9+(272.7-628.3)+(0.555849+(0.139077-0.320433))+0-4-0.00203999999999959</f>
        <v>730.67245300000025</v>
      </c>
      <c r="O40" s="3">
        <f>1098.7+(311.4-617.4)+(0+(0-0))+0-4-0</f>
        <v>788.7</v>
      </c>
      <c r="P40" s="3">
        <f>1132.6+(309.2-618.4)+(0+(0-0))+0-4-0</f>
        <v>819.39999999999986</v>
      </c>
      <c r="Q40" s="3">
        <f>1193.9+(262.6-622.3)+(-1.826667+(-0.401778--0.952119))+0-4--0.00612000000000023</f>
        <v>828.92979400000013</v>
      </c>
      <c r="R40" s="3">
        <f>1234.8+(221.5-629.4)+(-2.518992+(-0.45186--1.283976))+0-4--0.00815999999999983</f>
        <v>821.22128399999997</v>
      </c>
      <c r="S40" s="3">
        <f>1233.2+(243.9-671.2)+(-1.257864+(-0.248778--0.684624))+0-4--0.00408000000000064</f>
        <v>801.08206200000006</v>
      </c>
      <c r="T40" s="3">
        <f>1233.2+(244-651.5)+(0+(0-0))+0-4-0</f>
        <v>821.7</v>
      </c>
      <c r="U40" s="3">
        <f>1217.2+(245.7-653.5)+(-1.241544+(-0.250614--0.66657))+0-4--0.00408000000000064</f>
        <v>804.5784920000001</v>
      </c>
      <c r="V40" s="3">
        <f>1216.9+(253.2-653.1)+(-1.241238+(-0.258264--0.666162))+0-4--0.00408000000000064</f>
        <v>812.17074000000002</v>
      </c>
      <c r="W40" s="3">
        <f>1226+(249.5-668.6)+(-1.25052+(-0.25449--0.681972))+0-4--0.00408000000000064</f>
        <v>802.08104200000002</v>
      </c>
      <c r="X40" s="3">
        <f>1171.9+(263.7-633.7)+(-1.793007+(-0.403461--0.969561))+0-4--0.00612000000000023</f>
        <v>796.67921300000012</v>
      </c>
      <c r="Y40" s="3">
        <f>1015.3+(387-603.6)+(-1.553409+(-0.59211--0.923508))+0-4--0.00612000000000023</f>
        <v>793.48410899999999</v>
      </c>
      <c r="Z40" s="3">
        <f>1210.8+(318.3-613.3)+(-2.470032+(-0.649332--1.251132))+0-4--0.00815999999999983</f>
        <v>909.9399279999999</v>
      </c>
      <c r="AA40" s="3">
        <f>1211.7+(355.5-624.6)+(-1.235934+(-0.36261--0.637092))+0.2-4--0.00408000000000064</f>
        <v>937.8426280000001</v>
      </c>
      <c r="AB40" s="3">
        <f>1221.6+(408.8-705.9)+(-1.869048+(-0.625464--1.080027))+0-4--0.00612000000000023</f>
        <v>919.091635</v>
      </c>
      <c r="AC40" s="3">
        <f>1209.4+(521.5-861.6)+(-2.467176+(-1.06386--1.757664))+0-4--0.00815999999999983</f>
        <v>863.53478800000005</v>
      </c>
      <c r="AD40" s="2">
        <v>967.49999999999989</v>
      </c>
      <c r="AE40" s="3">
        <f>1225+(352.1-609.6)+(0+(0-0))+0-4-0</f>
        <v>963.5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1145.6+(457.4-815)+(-1.752768+(-0.699822--1.24695))+0-4--0.00612000000000023</f>
        <v>782.80047999999988</v>
      </c>
      <c r="G41" s="3">
        <f>1122.3+(413.5-814.8)+(-1.717119+(-0.632655--1.246644))+0-4--0.00612000000000023</f>
        <v>715.90299000000005</v>
      </c>
      <c r="H41" s="3">
        <f>1122.9+(394.2-822.7)+(0.572679+(0.201042-0.419577))+0-4-0.00203999999999959</f>
        <v>690.75210400000014</v>
      </c>
      <c r="I41" s="3">
        <f>987.9+(430-747.1)+(1.007658+(0.4386-0.762042))+0-4-0.00408000000000064</f>
        <v>667.4801359999999</v>
      </c>
      <c r="J41" s="3">
        <f>986.2+(416.4-736.1)+(-0.502962+(-0.212364--0.375411))+0-4--0.00203999999999959</f>
        <v>662.16212499999995</v>
      </c>
      <c r="K41" s="3">
        <f>980.8+(410.3-721.8)+(-2.000832+(-0.837012--1.472472))+0-4--0.00815999999999983</f>
        <v>663.94278799999995</v>
      </c>
      <c r="L41" s="3">
        <f>949.5+(398.2-644)+(-1.452735+(-0.609246--0.98532))+0-4--0.00612000000000023</f>
        <v>698.62945900000011</v>
      </c>
      <c r="M41" s="3">
        <f>956.5+(340.7-611.4)+(0+(0-0))+0-4-0</f>
        <v>681.8</v>
      </c>
      <c r="N41" s="3">
        <f>1147.3+(261.9-650.2)+(0.585123+(0.133569-0.331602))+0-4-0.00203999999999959</f>
        <v>755.38504999999986</v>
      </c>
      <c r="O41" s="3">
        <f>1182.5+(252-625.7)+(0.603075+(0.12852-0.319107))+0-4-0.00203999999999959</f>
        <v>805.21044800000004</v>
      </c>
      <c r="P41" s="3">
        <f>1352.9+(182.3-698.7)+(-0.689979+(-0.092973--0.356337))+0-4--0.00203999999999959</f>
        <v>832.075425</v>
      </c>
      <c r="Q41" s="3">
        <f>1548.7+(224.8-887.9)+(-2.369511+(-0.343944--1.358487))+0-4--0.00612000000000023</f>
        <v>880.25115200000016</v>
      </c>
      <c r="R41" s="3">
        <f>1580.5+(266.2-994.6)+(-1.61211+(-0.271524--1.014492))+0-4--0.00408000000000064</f>
        <v>847.23493799999994</v>
      </c>
      <c r="S41" s="3">
        <f>1571.2+(315.2-1043)+(-3.205248+(-0.643008--2.12772))+0-4--0.00815999999999983</f>
        <v>837.68762400000003</v>
      </c>
      <c r="T41" s="3">
        <f>1568.4+(318.6-1041.4)+(-0.799884+(-0.162486--0.531114))+0-4--0.00203999999999959</f>
        <v>841.17078400000003</v>
      </c>
      <c r="U41" s="3">
        <f>1548.1+(341.3-1045.2)+(-3.158124+(-0.696252--2.132208))+0-4--0.00815999999999983</f>
        <v>838.48599199999978</v>
      </c>
      <c r="V41" s="3">
        <f>1474.5+(316.5-941.8)+(-1.50399+(-0.32283--0.960636))+0-4--0.00408000000000064</f>
        <v>844.33789600000011</v>
      </c>
      <c r="W41" s="3">
        <f>1455.7+(339-960.6)+(-3.712035+(-0.86445--2.44953))+0-4--0.0101999999999994</f>
        <v>827.98324500000012</v>
      </c>
      <c r="X41" s="3">
        <f>1433.4+(369.1-992.2)+(-6.579306+(-1.694169--4.554198))+0-4--0.0183600000000007</f>
        <v>802.59908300000006</v>
      </c>
      <c r="Y41" s="3">
        <f>1316+(382.2-917.3)+(0+(0-0))+0-4-0</f>
        <v>776.90000000000009</v>
      </c>
      <c r="Z41" s="3">
        <f>1558.9+(359.9-993.4)+(-0.795039+(-0.183549--0.506634))+0-4--0.00203999999999959</f>
        <v>920.93008600000007</v>
      </c>
      <c r="AA41" s="3">
        <f>1554.6+(370.1-960)+(-4.757076+(-1.132506--2.9376))+0-4--0.0122400000000005</f>
        <v>957.76025799999991</v>
      </c>
      <c r="AB41" s="3">
        <f>1570.8+(419.1-1046.6)+(0+(0-0))+0-4-0</f>
        <v>939.30000000000007</v>
      </c>
      <c r="AC41" s="3">
        <f>1560+(463.7-1145.6)+(0+(0-0))+0-4-0</f>
        <v>874.10000000000014</v>
      </c>
      <c r="AD41" s="2">
        <v>982.09999999999991</v>
      </c>
      <c r="AE41" s="3">
        <f>1568+(319.3-905.2)+(0+(0-0))+0-4-0</f>
        <v>978.09999999999991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1577+(458.1-1228.4)+(-1.60854+(-0.467262--1.252968))+0-4--0.00408000000000064</f>
        <v>801.88124600000003</v>
      </c>
      <c r="G42" s="3">
        <f>1593+(499.6-1343.8)+(-1.62486+(-0.509592--1.370676))+0-4--0.00408000000000064</f>
        <v>744.04030400000011</v>
      </c>
      <c r="H42" s="3">
        <f>1585.8+(465.8-1329.3)+(0+(0-0))+0-4-0</f>
        <v>718.3</v>
      </c>
      <c r="I42" s="3">
        <f>1503.5+(463.3-1264.7)+(1.53357+(0.472566-1.289994))+0-4-0.00408000000000064</f>
        <v>698.81206199999986</v>
      </c>
      <c r="J42" s="3">
        <f>1422.4+(432.4-1166.4)+(-1.450848+(-0.441048--1.189728))+0-4--0.00408000000000064</f>
        <v>683.70191199999999</v>
      </c>
      <c r="K42" s="3">
        <f>1352.3+(429.5-1097.3)+(-0.689673+(-0.219045--0.559623))+0-4--0.00203999999999959</f>
        <v>680.15294499999993</v>
      </c>
      <c r="L42" s="3">
        <f>1145.4+(404.1-869.2)+(-2.92077+(-1.030455--2.21646))+0-4--0.0101999999999994</f>
        <v>674.57543500000008</v>
      </c>
      <c r="M42" s="3">
        <f>1305.7+(262.5-860.6)+(1.997721+(0.401625-1.316718))+0-4-0.00612000000000023</f>
        <v>704.67650800000001</v>
      </c>
      <c r="N42" s="3">
        <f>1515.6+(154.2-876.4)+(0+(0-0))+0-4-0</f>
        <v>789.39999999999986</v>
      </c>
      <c r="O42" s="3">
        <f>1562.5+(200.9-914.7)+(0.796875+(0.102459-0.466497))+0-4-0.00203999999999959</f>
        <v>845.13079699999992</v>
      </c>
      <c r="P42" s="3">
        <f>1608.9+(241.6-973.5)+(-0.820539+(-0.123216--0.496485))+0-4--0.00203999999999959</f>
        <v>872.55477000000008</v>
      </c>
      <c r="Q42" s="3">
        <f>1583.7+(226.9-919.6)+(-4.038435+(-0.578595--2.34498))+0-4--0.0101999999999994</f>
        <v>884.73815000000002</v>
      </c>
      <c r="R42" s="3">
        <f>1581.6+(265.8-981)+(-3.226464+(-0.542232--2.00124))+0-4--0.00815999999999983</f>
        <v>860.6407039999998</v>
      </c>
      <c r="S42" s="3">
        <f>1516.9+(308.9-969.2)+(-2.320857+(-0.472617--1.482876))+0-4--0.00612000000000023</f>
        <v>851.29552200000001</v>
      </c>
      <c r="T42" s="3">
        <f>1483.6+(340.6-975.3)+(2.269908+(0.521118-1.492209))+0-4-0.00612000000000023</f>
        <v>846.19269699999995</v>
      </c>
      <c r="U42" s="3">
        <f>1504.8+(344.4-990.8)+(-3.83724+(-0.87822--2.52654))+0-4--0.0101999999999994</f>
        <v>852.22127999999998</v>
      </c>
      <c r="V42" s="3">
        <f>1517.1+(356.3-1007.3)+(-1.547442+(-0.363426--1.027446))+0-4--0.00408000000000064</f>
        <v>861.22065799999996</v>
      </c>
      <c r="W42" s="3">
        <f>1543.6+(339.5-1024.8)+(-3.93618+(-0.865725--2.61324))+0-4--0.0101999999999994</f>
        <v>852.12153499999999</v>
      </c>
      <c r="X42" s="3">
        <f>1543.6+(336.5-1023.8)+(-3.93618+(-0.858075--2.61069))+0-3--0.00764999999999957</f>
        <v>851.12408499999992</v>
      </c>
      <c r="Y42" s="3">
        <f>1363.6+(376.5-898.4)+(-3.47718+(-0.960075--2.29092))+0-3--0.00764999999999957</f>
        <v>836.56131499999992</v>
      </c>
      <c r="Z42" s="3">
        <f>1573+(388.7-991.8)+(-2.40669+(-0.594711--1.517454))+0-3--0.00459000000000017</f>
        <v>965.42064300000015</v>
      </c>
      <c r="AA42" s="3">
        <f>1597.9+(358.4-966.1)+(-2.444787+(-0.548352--1.478133))+0-3--0.00459000000000017</f>
        <v>985.68958400000008</v>
      </c>
      <c r="AB42" s="3">
        <f>1549.7+(324.4-920.1)+(2.371041+(0.496332-1.407753))+0-3-0.00459000000000017</f>
        <v>952.45502999999997</v>
      </c>
      <c r="AC42" s="3">
        <f>1519.8+(369.9-1001.7)+(-3.87549+(-0.943245--2.554335))+0-3--0.00764999999999957</f>
        <v>882.74324999999988</v>
      </c>
      <c r="AD42" s="2">
        <v>997.6</v>
      </c>
      <c r="AE42" s="3">
        <f>1618+(377-997.4)+(0+(0-0))+0-3-0</f>
        <v>994.6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1529.1+(400.5-1069.5)+(-2.339523+(-0.612765--1.636335))+0-4--0.00612000000000023</f>
        <v>854.79016699999988</v>
      </c>
      <c r="G43" s="3">
        <f>1488.9+(478.7-1173.4)+(-3.037356+(-0.976548--2.393736))+0-4--0.00815999999999983</f>
        <v>788.58799199999999</v>
      </c>
      <c r="H43" s="3">
        <f>1472.2+(437.5-1153.5)+(-2.252466+(-0.669375--1.764855))+0-4--0.00612000000000023</f>
        <v>751.04913400000009</v>
      </c>
      <c r="I43" s="3">
        <f>1417.2+(411.8-1086.7)+(-3.61386+(-1.05009--2.771085))+0-4--0.0101999999999994</f>
        <v>736.41733499999998</v>
      </c>
      <c r="J43" s="3">
        <f>1241+(407-929.1)+(0.63291+(0.20757-0.473841))+0-4-0.00203999999999959</f>
        <v>715.26459899999998</v>
      </c>
      <c r="K43" s="3">
        <f>1222+(383.6-887.2)+(-2.49288+(-0.782544--1.809888))+0-4--0.00815999999999983</f>
        <v>712.94262399999991</v>
      </c>
      <c r="L43" s="3">
        <f>1133.6+(311.5-765.9)+(1.156272+(0.31773-0.781218))+0-4-0.00408000000000064</f>
        <v>675.88870399999985</v>
      </c>
      <c r="M43" s="3">
        <f>1320.7+(133.8-765.7)+(0+(0-0))+0-4-0</f>
        <v>684.8</v>
      </c>
      <c r="N43" s="3">
        <f>1549.2+(163.8-874.2)+(1.580184+(0.167076-0.891684))+0-4-0.00408000000000064</f>
        <v>835.65149599999995</v>
      </c>
      <c r="O43" s="3">
        <f>1550.9+(181.7-881.9)+(0+(0-0))+0-4-0</f>
        <v>846.7</v>
      </c>
      <c r="P43" s="3">
        <f>1586.5+(179.3-916.2)+(-0.809115+(-0.091443--0.467262))+0-4--0.00203999999999959</f>
        <v>845.16874399999983</v>
      </c>
      <c r="Q43" s="3">
        <f>1594.4+(205-910.6)+(0.813144+(0.10455-0.464406))+0-4-0.00203999999999959</f>
        <v>885.25124800000015</v>
      </c>
      <c r="R43" s="3">
        <f>1568.8+(267.1-957.2)+(-3.200352+(-0.544884--1.952688))+0-4--0.00815999999999983</f>
        <v>872.9156119999999</v>
      </c>
      <c r="S43" s="3">
        <f>1328.5+(390-827)+(-1.35507+(-0.3978--0.84354))+0-4--0.00408000000000064</f>
        <v>886.59475000000009</v>
      </c>
      <c r="T43" s="3">
        <f>1122.2+(479.6-740.2)+(-1.144644+(-0.489192--0.755004))+0-4--0.00408000000000064</f>
        <v>856.72524800000008</v>
      </c>
      <c r="U43" s="3">
        <f>1121.8+(488.5-749.1)+(-3.432708+(-1.49481--2.292246))+0-4--0.0122400000000005</f>
        <v>854.57696799999997</v>
      </c>
      <c r="V43" s="3">
        <f>1192.3+(438.3-763.5)+(-2.432292+(-0.894132--1.55754))+0-4--0.00815999999999983</f>
        <v>861.33927599999993</v>
      </c>
      <c r="W43" s="3">
        <f>1239.8+(371.5-738.2)+(-1.896894+(-0.568395--1.129446))+0-4--0.00612000000000023</f>
        <v>867.77027699999996</v>
      </c>
      <c r="X43" s="3">
        <f>1227.6+(399.6-772.4)+(-2.504304+(-0.815184--1.575696))+0-4--0.00815999999999983</f>
        <v>849.06436799999994</v>
      </c>
      <c r="Y43" s="3">
        <f>1143.9+(487.2-790.3)+(-0.583389+(-0.248472--0.403053))+0-4--0.00203999999999959</f>
        <v>836.37323200000014</v>
      </c>
      <c r="Z43" s="3">
        <f>1319.7+(523.4-872)+(-1.346094+(-0.533868--0.88944))+0-4--0.00408000000000064</f>
        <v>966.11355800000001</v>
      </c>
      <c r="AA43" s="3">
        <f>1348.9+(539.5-883.8)+(-2.751756+(-1.10058--1.802952))+0-4--0.00815999999999983</f>
        <v>998.55877600000008</v>
      </c>
      <c r="AB43" s="3">
        <f>1352.2+(566.1-929.3)+(-2.068866+(-0.866133--1.421829))+0-4--0.00612000000000023</f>
        <v>983.49295000000018</v>
      </c>
      <c r="AC43" s="3">
        <f>1347.6+(480.5-914.6)+(-3.43638+(-1.225275--2.33223))+0-4--0.0101999999999994</f>
        <v>907.18077499999993</v>
      </c>
      <c r="AD43" s="2">
        <v>1005.1000000000001</v>
      </c>
      <c r="AE43" s="3">
        <f>1348+(539.9-882.8)+(0+(0-0))+0-4-0</f>
        <v>1001.1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1349.7+(425-948.7)+(-1.376694+(-0.4335--0.967674))+0-4--0.00408000000000064</f>
        <v>821.16156000000001</v>
      </c>
      <c r="G44" s="3">
        <f>1308.1+(442.4-992.6)+(0+(0-0))+0-4-0</f>
        <v>753.89999999999986</v>
      </c>
      <c r="H44" s="3">
        <f>1256.3+(443.1-967.5)+(-3.203565+(-1.129905--2.467125))+0-4--0.0101999999999994</f>
        <v>726.04385500000001</v>
      </c>
      <c r="I44" s="3">
        <f>1115.4+(497.6-902.3)+(0+(0-0))+0-4-0</f>
        <v>706.70000000000016</v>
      </c>
      <c r="J44" s="3">
        <f>1087.7+(482.6-868)+(-2.218908+(-0.984504--1.77072))+0-4--0.00815999999999983</f>
        <v>696.87546800000007</v>
      </c>
      <c r="K44" s="3">
        <f>1109.6+(470.1-876)+(-2.82948+(-1.198755--2.2338))+0-4--0.0101999999999994</f>
        <v>697.91576499999996</v>
      </c>
      <c r="L44" s="3">
        <f>1109.6+(472.1-877)+(-2.82948+(-1.203855--2.23635))+0-4--0.0101999999999994</f>
        <v>698.91321500000004</v>
      </c>
      <c r="M44" s="3">
        <f>1080.7+(457.9-847.8)+(-3.858099+(-1.634703--3.026646))+0-4--0.0142800000000001</f>
        <v>684.3481240000001</v>
      </c>
      <c r="N44" s="3">
        <f>1046.6+(469.5-799.2)+(0.533766+(0.239445-0.407592))+0-4-0.00203999999999959</f>
        <v>713.26357899999994</v>
      </c>
      <c r="O44" s="3">
        <f>1217.5+(297.1-750.3)+(0.620925+(0.151521-0.382653))+0-4-0.00203999999999959</f>
        <v>760.68775300000016</v>
      </c>
      <c r="P44" s="3">
        <f>1588+(162.1-852.1)+(0+(0-0))+0-4-0</f>
        <v>894</v>
      </c>
      <c r="Q44" s="3">
        <f>1571.1+(169.9-831.3)+(0.801261+(0.086649-0.423963))+0-4-0.00203999999999959</f>
        <v>906.16190699999993</v>
      </c>
      <c r="R44" s="3">
        <f>1560.7+(203.9-859.2)+(-2.387871+(-0.311967--1.314576))+0-4--0.00612000000000023</f>
        <v>900.02085799999998</v>
      </c>
      <c r="S44" s="3">
        <f>1555.8+(296.6-955.2)+(0+(0-0))+0-4-0</f>
        <v>893.19999999999993</v>
      </c>
      <c r="T44" s="3">
        <f>1538.5+(310.3-963.6)+(-3.13854+(-0.633012--1.965744))+0-4--0.00815999999999983</f>
        <v>879.40235200000006</v>
      </c>
      <c r="U44" s="3">
        <f>1532.7+(322.7-969.6)+(-3.126708+(-0.658308--1.977984))+0-4--0.00815999999999983</f>
        <v>880.00112799999988</v>
      </c>
      <c r="V44" s="3">
        <f>1523.9+(321.1-950.9)+(-3.108756+(-0.655044--1.939836))+0-4--0.00815999999999983</f>
        <v>888.28419600000007</v>
      </c>
      <c r="W44" s="3">
        <f>1420.4+(335.4-854.9)+(-5.795232+(-1.368432--3.487992))+0-4--0.0163199999999997</f>
        <v>893.24064800000008</v>
      </c>
      <c r="X44" s="3">
        <f>1296.8+(391.9-807)+(-5.952312+(-1.798821--3.70413))+1.5-4--0.0183600000000007</f>
        <v>875.17135699999994</v>
      </c>
      <c r="Y44" s="3">
        <f>1320.9+(356.9-842.7)+(0+(0-0))+0-4-0</f>
        <v>831.1</v>
      </c>
      <c r="Z44" s="3">
        <f>1446.6+(358.6-848.3)+(1.475532+(0.365772-0.865266))+0-4-0.00408000000000064</f>
        <v>953.87195799999995</v>
      </c>
      <c r="AA44" s="3">
        <f>1571.1+(333.5-894.6)+(-5.608827+(-1.190595--3.193722))+0-4--0.0142800000000001</f>
        <v>1002.4085799999999</v>
      </c>
      <c r="AB44" s="3">
        <f>1506.7+(343-865)+(-1.536834+(-0.34986--0.8823))+0-4--0.00408000000000064</f>
        <v>979.69968600000004</v>
      </c>
      <c r="AC44" s="3">
        <f>1499.1+(376.8-952.1)+(-3.058164+(-0.768672--1.942284))+0-4--0.00815999999999983</f>
        <v>917.92360799999994</v>
      </c>
      <c r="AD44" s="2">
        <v>1031.8</v>
      </c>
      <c r="AE44" s="3">
        <f>1569+(315-852.2)+(0+(0-0))+0-4-0</f>
        <v>1027.8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1499.1+(357.3-1019)+(-0.764541+(-0.182223--0.51969))+0-4--0.00203999999999959</f>
        <v>832.97496599999988</v>
      </c>
      <c r="G45" s="3">
        <f>1473.6+(366.1-1058.1)+(-1.503072+(-0.373422--1.079262))+0-4--0.00408000000000064</f>
        <v>776.80684800000006</v>
      </c>
      <c r="H45" s="3">
        <f>1362.8+(412.7-1029.5)+(-3.47514+(-1.052385--2.625225))+0-4--0.0101999999999994</f>
        <v>740.10790000000009</v>
      </c>
      <c r="I45" s="3">
        <f>1282+(419.8-982.5)+(-0.65382+(-0.214098--0.501075))+0-4--0.00203999999999959</f>
        <v>714.9351969999999</v>
      </c>
      <c r="J45" s="3">
        <f>1266.4+(421.3-978.1)+(-1.291728+(-0.429726--0.997662))+0-4--0.00408000000000064</f>
        <v>704.88028800000018</v>
      </c>
      <c r="K45" s="3">
        <f>1225.4+(414.2-921.3)+(-2.499816+(-0.844968--1.879452))+0-4--0.00815999999999983</f>
        <v>712.84282800000017</v>
      </c>
      <c r="L45" s="3">
        <f>1105.7+(412.3-821.6)+(-1.127814+(-0.420546--0.838032))+0-4--0.00408000000000064</f>
        <v>691.69375200000013</v>
      </c>
      <c r="M45" s="3">
        <f>1169.4+(367.4-832)+(-0.596394+(-0.187374--0.42432))+0-4--0.00203999999999959</f>
        <v>700.44259199999999</v>
      </c>
      <c r="N45" s="3">
        <f>1335.9+(315.7-870.6)+(0+(0-0))+0-4-0</f>
        <v>777</v>
      </c>
      <c r="O45" s="3">
        <f>1482.8+(263.8-882.6)+(0.756228+(0.134538-0.450126))+0-4-0.00203999999999959</f>
        <v>860.43860000000006</v>
      </c>
      <c r="P45" s="3">
        <f>1532.5+(220.9-851.1)+(2.344725+(0.337977-1.302183))+0-4-0.00612000000000023</f>
        <v>899.67439899999999</v>
      </c>
      <c r="Q45" s="3">
        <f>1524.7+(230.5-841)+(-0.777597+(-0.117555--0.42891))+0-4--0.00203999999999959</f>
        <v>909.73579800000005</v>
      </c>
      <c r="R45" s="3">
        <f>1508.1+(273.2-884)+(-1.538262+(-0.278664--0.90168))+0-4--0.00408000000000064</f>
        <v>892.38883399999997</v>
      </c>
      <c r="S45" s="3">
        <f>1497.9+(376.3-1003)+(-2.291787+(-0.575739--1.53459))+0-4--0.00612000000000023</f>
        <v>865.87318400000004</v>
      </c>
      <c r="T45" s="3">
        <f>1489.7+(429.1-1073.1)+(-2.279241+(-0.656523--1.641843))+0-4--0.00612000000000023</f>
        <v>840.41219900000021</v>
      </c>
      <c r="U45" s="3">
        <f>1486.9+(467.7-1125.8)+(-1.516638+(-0.477054--1.148316))+0-4--0.00408000000000064</f>
        <v>823.95870400000024</v>
      </c>
      <c r="V45" s="3">
        <f>1462.3+(465.7-1077.4)+(-4.474638+(-1.425042--3.296844))+0-4--0.0122400000000005</f>
        <v>844.0094039999999</v>
      </c>
      <c r="W45" s="3">
        <f>1401.9+(369.9-926.4)+(-2.144907+(-0.565947--1.417392))+0-4--0.00612000000000023</f>
        <v>840.11265800000012</v>
      </c>
      <c r="X45" s="3">
        <f>1328.3+(336.2-830.7)+(-0.677433+(-0.171462--0.423657))+0-4--0.00203999999999959</f>
        <v>829.37680199999988</v>
      </c>
      <c r="Y45" s="3">
        <f>1279.2+(339.7-797.4)+(0.652392+(0.173247-0.406674))+0-4-0.00203999999999959</f>
        <v>817.91692499999999</v>
      </c>
      <c r="Z45" s="3">
        <f>1569+(314.2-1041.6)+(-1.60038+(-0.320484--1.062432))+0-4--0.00408000000000064</f>
        <v>836.74564800000019</v>
      </c>
      <c r="AA45" s="3">
        <f>1591+(374.4-1098.5)+(-2.43423+(-0.572832--1.680705))+0-4--0.00612000000000023</f>
        <v>861.57976299999996</v>
      </c>
      <c r="AB45" s="3">
        <f>1580.2+(375.4-1099.8)+(-4.835412+(-1.148724--3.365388))+0-4--0.0122400000000005</f>
        <v>849.19349200000011</v>
      </c>
      <c r="AC45" s="3">
        <f>1627.4+(368.3-1177.8)+(-1.659948+(-0.375666--1.201356))+0-4--0.00408000000000064</f>
        <v>813.06982200000016</v>
      </c>
      <c r="AD45" s="2">
        <v>858.89999999999986</v>
      </c>
      <c r="AE45" s="3">
        <f>1603+(383.3-1127.4)+(0+(0-0))+0-4-0</f>
        <v>854.89999999999986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1608.1+(431.2-1274.2)+(-3.280524+(-0.879648--2.599368))+0-4--0.00815999999999983</f>
        <v>759.54735599999992</v>
      </c>
      <c r="G46" s="3">
        <f>1595.5+(432.8-1329.1)+(-1.62741+(-0.441456--1.355682))+0-4--0.00408000000000064</f>
        <v>694.49089600000013</v>
      </c>
      <c r="H46" s="3">
        <f>1660.1+(360.8-1355.3)+(-0.846651+(-0.184008--0.691203))+0-4--0.00203999999999959</f>
        <v>661.26258399999983</v>
      </c>
      <c r="I46" s="3">
        <f>1655.6+(313.9-1314.1)+(3.377424+(0.640356-2.680764))+0-4-0.00815999999999983</f>
        <v>652.72885599999995</v>
      </c>
      <c r="J46" s="3">
        <f>1601+(318.2-1281.4)+(0+(0-0))+0-4-0</f>
        <v>633.79999999999995</v>
      </c>
      <c r="K46" s="3">
        <f>1586.8+(311.1-1261.8)+(-2.427804+(-0.475983--1.930554))+0-4--0.00612000000000023</f>
        <v>631.13288699999998</v>
      </c>
      <c r="L46" s="3">
        <f>1257.8+(410.8-1051.2)+(-1.282956+(-0.419016--1.072224))+0-4--0.00408000000000064</f>
        <v>612.77433199999996</v>
      </c>
      <c r="M46" s="3">
        <f>1158.7+(414.1-966.2)+(-1.181874+(-0.422382--0.985524))+0-4--0.00408000000000064</f>
        <v>601.98534800000004</v>
      </c>
      <c r="N46" s="3">
        <f>1119.8+(394.5-884.5)+(-0.571098+(-0.201195--0.451095))+0-4--0.00203999999999959</f>
        <v>625.48084199999994</v>
      </c>
      <c r="O46" s="3">
        <f>1399.8+(264.6-960.7)+(0+(0-0))+0-4-0</f>
        <v>699.69999999999993</v>
      </c>
      <c r="P46" s="3">
        <f>1490+(176.5-921.5)+(0+(0-0))+0-4-0</f>
        <v>741</v>
      </c>
      <c r="Q46" s="3">
        <f>1555.9+(175.4-951.9)+(-2.380527+(-0.268362--1.456407))+0-4--0.00612000000000023</f>
        <v>774.21363800000006</v>
      </c>
      <c r="R46" s="3">
        <f>1490.3+(259.9-969.6)+(-0.760053+(-0.132549--0.494496))+0-4--0.00203999999999959</f>
        <v>776.20393399999989</v>
      </c>
      <c r="S46" s="3">
        <f>1479.5+(317.1-1023)+(0+(0-0))+0-4-0</f>
        <v>769.6</v>
      </c>
      <c r="T46" s="3">
        <f>1534.7+(385.2-1147.6)+(-3.913485+(-0.98226--2.92638))+0-4--0.0101999999999994</f>
        <v>766.3408350000002</v>
      </c>
      <c r="U46" s="3">
        <f>1551.2+(394.8-1176.6)+(-2.373336+(-0.604044--1.800198))+0-4--0.00612000000000023</f>
        <v>764.22893800000008</v>
      </c>
      <c r="V46" s="3">
        <f>1547+(386.1-1169.1)+(-3.94485+(-0.984555--2.981205))+0-4--0.0101999999999994</f>
        <v>758.06200000000013</v>
      </c>
      <c r="W46" s="3">
        <f>1506.3+(328.3-1085.5)+(-1.536426+(-0.334866--1.10721))+0-4--0.00408000000000064</f>
        <v>744.33999799999992</v>
      </c>
      <c r="X46" s="3">
        <f>1392.2+(328-991.5)+(-2.130066+(-0.50184--1.516995))+0-4--0.00612000000000023</f>
        <v>723.59120900000005</v>
      </c>
      <c r="Y46" s="3">
        <f>1437.5+(315.6-1036.3)+(-0.733125+(-0.160956--0.528513))+0-4--0.00203999999999959</f>
        <v>712.43647199999998</v>
      </c>
      <c r="Z46" s="3">
        <f>1675.1+(280.1-1099.2)+(0+(0-0))+0-4-0</f>
        <v>851.99999999999989</v>
      </c>
      <c r="AA46" s="3">
        <f>1672.3+(304.2-1048.7)+(-3.411492+(-0.620568--2.139348))+0-4--0.00815999999999983</f>
        <v>921.91544799999997</v>
      </c>
      <c r="AB46" s="3">
        <f>1582.9+(374.1-1027.1)+(-3.229116+(-0.763164--2.095284))+0-4--0.00815999999999983</f>
        <v>924.01116400000024</v>
      </c>
      <c r="AC46" s="3">
        <f>1598.4+(407.6-1129.5)+(-2.445552+(-0.623628--1.728135))+0-4--0.00612000000000023</f>
        <v>871.16507500000012</v>
      </c>
      <c r="AD46" s="2">
        <v>920.5</v>
      </c>
      <c r="AE46" s="3">
        <f>1673+(295.9-1048.4)+(0+(0-0))+0-4-0</f>
        <v>916.49999999999989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1608.8+(419.8-1229)+(-0.820488+(-0.214098--0.62679))+0-4--0.00203999999999959</f>
        <v>795.19424399999991</v>
      </c>
      <c r="G47" s="3">
        <f>1571.9+(404.3-1237)+(-2.405007+(-0.618579--1.89261))+0-4--0.00612000000000023</f>
        <v>734.07514400000002</v>
      </c>
      <c r="H47" s="3">
        <f>1482.8+(435.2-1210)+(-1.512456+(-0.443904--1.2342))+0-4--0.00408000000000064</f>
        <v>703.28192000000001</v>
      </c>
      <c r="I47" s="3">
        <f>1436.2+(449-1194.5)+(-3.66231+(-1.14495--3.045975))+0-4--0.0101999999999994</f>
        <v>684.94891500000006</v>
      </c>
      <c r="J47" s="3">
        <f>1454.4+(417.9-1179.5)+(-3.70872+(-1.065645--3.007725))+0-4--0.0101999999999994</f>
        <v>687.04356000000007</v>
      </c>
      <c r="K47" s="3">
        <f>1446.8+(407.9-1154.5)+(-2.213604+(-0.624087--1.766385))+0-4--0.00612000000000023</f>
        <v>695.13481399999989</v>
      </c>
      <c r="L47" s="3">
        <f>1259+(410.2-990.4)+(-3.85254+(-1.255212--3.030624))+0-4--0.0122400000000005</f>
        <v>672.73511199999996</v>
      </c>
      <c r="M47" s="3">
        <f>1250.8+(361-908.4)+(-0.637908+(-0.18411--0.463284))+0-4--0.00203999999999959</f>
        <v>699.04330599999992</v>
      </c>
      <c r="N47" s="3">
        <f>1525+(352.8-1104.9)+(3.88875+(0.89964-2.817495))+0-4-0.0101999999999994</f>
        <v>770.86069499999985</v>
      </c>
      <c r="O47" s="3">
        <f>1624.9+(247.2-1033.3)+(-1.657398+(-0.252144--1.053966))+0-3--0.00306000000000048</f>
        <v>834.94748400000014</v>
      </c>
      <c r="P47" s="3">
        <f>1600.3+(219.7-952.7)+(-1.632306+(-0.224094--0.971754))+0-3--0.00306000000000048</f>
        <v>863.41841399999998</v>
      </c>
      <c r="Q47" s="3">
        <f>1641.3+(193.2-953.8)+(-3.348252+(-0.394128--1.945752))+0-3--0.00611999999999987</f>
        <v>875.909492</v>
      </c>
      <c r="R47" s="3">
        <f>1694.7+(217.1-1022.6)+(0.864297+(0.110721-0.521526))+0-4-0.00203999999999959</f>
        <v>885.65145200000006</v>
      </c>
      <c r="S47" s="3">
        <f>1664.8+(270.2-1059.6)+(-2.547144+(-0.413406--1.621188))+0-4--0.00612000000000023</f>
        <v>870.06675800000005</v>
      </c>
      <c r="T47" s="3">
        <f>1675.1+(292.3-1092)+(0.854301+(0.149073-0.55692))+0-4-0.00203999999999959</f>
        <v>871.84441399999992</v>
      </c>
      <c r="U47" s="3">
        <f>1665.8+(289.8-1086.9)+(0.849558+(0.147798-0.554319))+0-4-0.00203999999999959</f>
        <v>865.14099699999986</v>
      </c>
      <c r="V47" s="3">
        <f>1658.5+(270.9-1059)+(-3.38334+(-0.552636--2.16036))+0-4--0.00815999999999983</f>
        <v>864.63254399999994</v>
      </c>
      <c r="W47" s="3">
        <f>1662.7+(319.7-1117.4)+(-5.087862+(-0.978282--3.419244))+0-4--0.0122400000000005</f>
        <v>858.36534000000006</v>
      </c>
      <c r="X47" s="3">
        <f>1628.9+(254.9-1049.6)+(-5.815173+(-0.909993--3.747072))+0-3--0.01071</f>
        <v>828.23261600000012</v>
      </c>
      <c r="Y47" s="3">
        <f>1571.5+(268.9-1027)+(-3.20586+(-0.548556--2.09508))+0-3--0.00611999999999987</f>
        <v>808.74678399999993</v>
      </c>
      <c r="Z47" s="3">
        <f>1701.4+(366.2-1124.8)+(-1.735428+(-0.373524--1.147296))+0-3--0.00306000000000048</f>
        <v>938.84140400000024</v>
      </c>
      <c r="AA47" s="3">
        <f>1704+(405.9-1112.7)+(-5.21424+(-1.242054--3.404862))+0-3--0.00918000000000035</f>
        <v>991.15774799999997</v>
      </c>
      <c r="AB47" s="3">
        <f>1681.9+(461.9-1152.9)+(-3.431076+(-0.942276--2.351916))+0-3--0.00611999999999987</f>
        <v>985.88468399999999</v>
      </c>
      <c r="AC47" s="3">
        <f>1594.4+(489.1-1155)+(-1.626288+(-0.498882--1.1781))+0-3--0.00306000000000048</f>
        <v>924.55599000000007</v>
      </c>
      <c r="AD47" s="2">
        <v>981.3</v>
      </c>
      <c r="AE47" s="3">
        <f>1705+(384.1-1107.8)+(0+(0-0))+0-4-0</f>
        <v>977.30000000000007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1591.8+(471.9-1167.7)+(-2.435454+(-0.722007--1.786581))+0-3--0.00459000000000017</f>
        <v>891.63370999999984</v>
      </c>
      <c r="G48" s="3">
        <f>1591.7+(465.9-1231.6)+(-2.435301+(-0.712827--1.884348))+0-3--0.00459000000000017</f>
        <v>821.74081000000012</v>
      </c>
      <c r="H48" s="3">
        <f>1597.6+(416.6-1221.2)+(0+(0-0))+0-3-0</f>
        <v>789.99999999999989</v>
      </c>
      <c r="I48" s="3">
        <f>1595.9+(404.8-1218.9)+(-1.627818+(-0.412896--1.243278))+0-3--0.00306000000000048</f>
        <v>778.00562400000001</v>
      </c>
      <c r="J48" s="3">
        <f>1540.6+(407.4-1170.6)+(-2.357118+(-0.623322--1.791018))+0-3--0.00459000000000017</f>
        <v>773.21516799999995</v>
      </c>
      <c r="K48" s="3">
        <f>1410.4+(399.8-1039.7)+(-3.59652+(-1.01949--2.651235))+0-3--0.00764999999999957</f>
        <v>765.54287499999998</v>
      </c>
      <c r="L48" s="3">
        <f>1316.7+(361.9-996.7)+(0+(0-0))+0-3-0</f>
        <v>678.9</v>
      </c>
      <c r="M48" s="3">
        <f>1295.4+(381.5-949)+(-0.660654+(-0.194565--0.48399))+0-3--0.0015299999999997</f>
        <v>724.53030100000012</v>
      </c>
      <c r="N48" s="3">
        <f>1503.1+(302.4-1002.6)+(0+(0-0))+0-3-0</f>
        <v>799.89999999999986</v>
      </c>
      <c r="O48" s="3">
        <f>1477.9+(194.5-819.6)+(-0.753729+(-0.099195--0.417996))+0-3--0.0015299999999997</f>
        <v>849.36660200000006</v>
      </c>
      <c r="P48" s="3">
        <f>1479.7+(231.4-820.6)+(-0.754647+(-0.118014--0.418506))+0-3--0.0015299999999997</f>
        <v>887.04737499999999</v>
      </c>
      <c r="Q48" s="3">
        <f>1536.3+(211.8-843.2)+(-0.783513+(-0.108018--0.430032))+0-3--0.0015299999999997</f>
        <v>901.44003099999986</v>
      </c>
      <c r="R48" s="3">
        <f>1594.7+(242.6-946.5)+(0+(0-0))+0-4-0</f>
        <v>886.80000000000007</v>
      </c>
      <c r="S48" s="3">
        <f>1634.6+(308.4-1069.3)+(-3.334584+(-0.629136--2.181372))+0-4--0.00815999999999983</f>
        <v>867.92581199999995</v>
      </c>
      <c r="T48" s="3">
        <f>1661+(321.7-1108)+(-0.84711+(-0.164067--0.56508))+0-4--0.00203999999999959</f>
        <v>870.255943</v>
      </c>
      <c r="U48" s="3">
        <f>1633.4+(326.3-1090.2)+(-1.666068+(-0.332826--1.112004))+0-4--0.00408000000000064</f>
        <v>864.61719000000005</v>
      </c>
      <c r="V48" s="3">
        <f>1651.8+(298.5-1066.7)+(-4.21209+(-0.761175--2.720085))+0-4--0.0101999999999994</f>
        <v>877.35701999999992</v>
      </c>
      <c r="W48" s="3">
        <f>1655.7+(303-1082.3)+(-1.688814+(-0.30906--1.103946))+0-4--0.00408000000000064</f>
        <v>871.51015200000018</v>
      </c>
      <c r="X48" s="3">
        <f>1657+(280.2-1088.5)+(-5.07042+(-0.857412--3.33081))+0-4--0.0122400000000005</f>
        <v>842.11521800000003</v>
      </c>
      <c r="Y48" s="3">
        <f>1511.1+(298.6-972.3)+(0+(0-0))+0-4-0</f>
        <v>833.4</v>
      </c>
      <c r="Z48" s="3">
        <f>1648.8+(248.8-958.4)+(-1.681776+(-0.253776--0.977568))+0-4--0.00408000000000064</f>
        <v>934.24609600000008</v>
      </c>
      <c r="AA48" s="3">
        <f>1685.5+(180.1-881.5)+(-4.298025+(-0.459255--2.247825))+0-4--0.0101999999999994</f>
        <v>977.60074500000007</v>
      </c>
      <c r="AB48" s="3">
        <f>1697.4+(188.3-921.5)+(-2.597022+(-0.288099--1.409895))+0-4--0.00612000000000023</f>
        <v>958.73089400000003</v>
      </c>
      <c r="AC48" s="3">
        <f>1698.9+(223.8-1010.1)+(-3.465756+(-0.456552--2.060604))+0-4--0.00815999999999983</f>
        <v>906.74645600000008</v>
      </c>
      <c r="AD48" s="2">
        <v>995.99999999999989</v>
      </c>
      <c r="AE48" s="3">
        <f>1695+(198.1-897.1)+(0+(0-0))+0-4-0</f>
        <v>992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1608.2+(334.8-1095.7)+(-5.741274+(-1.195236--3.911649))+0-4--0.0142800000000001</f>
        <v>840.28941899999995</v>
      </c>
      <c r="G49" s="3">
        <f>1460.9+(454.5-1145.8)+(-5.215413+(-1.622565--4.090506))+0-4--0.0142800000000001</f>
        <v>762.86680800000011</v>
      </c>
      <c r="H49" s="3">
        <f>1352.4+(451.1-1079.5)+(-1.379448+(-0.460122--1.10109))+0-4--0.00408000000000064</f>
        <v>719.26560000000018</v>
      </c>
      <c r="I49" s="3">
        <f>1331.3+(397.5-1022.7)+(-0.678963+(-0.202725--0.521577))+0-4--0.00203999999999959</f>
        <v>701.74192899999991</v>
      </c>
      <c r="J49" s="3">
        <f>1240.1+(394.9-931.2)+(-0.632451+(-0.201399--0.474912))+0-4--0.00203999999999959</f>
        <v>699.44310199999984</v>
      </c>
      <c r="K49" s="3">
        <f>1111.8+(399-808.6)+(-2.268072+(-0.81396--1.649544))+0-4--0.00815999999999983</f>
        <v>696.77567199999987</v>
      </c>
      <c r="L49" s="3">
        <f>977.9+(424.3-714)+(-1.994916+(-0.865572--1.45656))+0-4--0.00815999999999983</f>
        <v>682.80423200000007</v>
      </c>
      <c r="M49" s="3">
        <f>1171.1+(291.6-741.3)+(2.986305+(0.74358-1.890315))+0-4-0.0101999999999994</f>
        <v>719.2293699999999</v>
      </c>
      <c r="N49" s="3">
        <f>1664+(189-1019.1)+(0.84864+(0.09639-0.519741))+0-4-0.00203999999999959</f>
        <v>830.32324900000003</v>
      </c>
      <c r="O49" s="3">
        <f>1730.7+(182.2-1007.4)+(-0.882657+(-0.092922--0.513774))+0-4--0.00203999999999959</f>
        <v>901.04023499999994</v>
      </c>
      <c r="P49" s="3">
        <f>1704.7+(172.9-947.1)+(-0.869397+(-0.088179--0.483021))+0-4--0.00203999999999959</f>
        <v>926.02748499999996</v>
      </c>
      <c r="Q49" s="3">
        <f>1698.1+(182.1-923.6)+(-0.866031+(-0.092871--0.471036))+0-4--0.00203999999999959</f>
        <v>952.11417399999982</v>
      </c>
      <c r="R49" s="3">
        <f>1666.8+(109.8-880.2)+(-5.100408+(-0.335988--2.693412))+0-4--0.0122400000000005</f>
        <v>889.6692559999999</v>
      </c>
      <c r="S49" s="3">
        <f>1689.6+(186.5-995.4)+(-2.585088+(-0.285345--1.522962))+0-4--0.00612000000000023</f>
        <v>875.3586489999999</v>
      </c>
      <c r="T49" s="3">
        <f>1690.5+(193.1-1005.9)+(0.862155+(0.098481-0.513009))+0-4-0.00203999999999959</f>
        <v>874.14558700000009</v>
      </c>
      <c r="U49" s="3">
        <f>1645.5+(186.9-949.4)+(-4.196025+(-0.476595--2.42097))+0-4--0.0101999999999994</f>
        <v>876.75855000000001</v>
      </c>
      <c r="V49" s="3">
        <f>1642.1+(187.9-937.9)+(-4.187355+(-0.479145--2.391645))+0-4--0.0101999999999994</f>
        <v>885.83534499999996</v>
      </c>
      <c r="W49" s="3">
        <f>1652.7+(179.4-956.6)+(-4.214385+(-0.45747--2.43933))+0-4--0.0101999999999994</f>
        <v>869.27767500000004</v>
      </c>
      <c r="X49" s="3">
        <f>1633.1+(115.9-915.2)+(-1.665762+(-0.118218--0.933504))+0-4--0.00408000000000064</f>
        <v>828.95360399999993</v>
      </c>
      <c r="Y49" s="3">
        <f>1605.4+(109.6-899.4)+(-0.818754+(-0.055896--0.458694))+0-4--0.00203999999999959</f>
        <v>811.18608400000005</v>
      </c>
      <c r="Z49" s="3">
        <f>1660.1+(161.6-882.9)+(-2.539953+(-0.247248--1.350837))+0-4--0.00612000000000023</f>
        <v>933.36975599999994</v>
      </c>
      <c r="AA49" s="3">
        <f>1724.1+(199.5-916.9)+(-4.396455+(-0.508725--2.338095))+0-4--0.0101999999999994</f>
        <v>1000.143115</v>
      </c>
      <c r="AB49" s="3">
        <f>1704+(225.7-935.3)+(-2.60712+(-0.345321--1.431009))+0-4--0.00612000000000023</f>
        <v>988.8846880000001</v>
      </c>
      <c r="AC49" s="3">
        <f>1631.9+(285.6-980.4)+(-2.496807+(-0.436968--1.500012))+0-4--0.00612000000000023</f>
        <v>931.67235700000015</v>
      </c>
      <c r="AD49" s="2">
        <v>985</v>
      </c>
      <c r="AE49" s="3">
        <f>1704+(188.5-907.5)+(0+(0-0))+0-4-0</f>
        <v>981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1516.2+(307.6-983.3)+(-3.86631+(-0.78438--2.507415))+0-4--0.0101999999999994</f>
        <v>834.36692500000015</v>
      </c>
      <c r="G50" s="3">
        <f>1456.4+(324.8-1000.6)+(-2.228292+(-0.496944--1.530918))+0-4--0.00612000000000023</f>
        <v>775.41180200000019</v>
      </c>
      <c r="H50" s="3">
        <f>1346.3+(360.9-955)+(-3.433065+(-0.920295--2.43525))+0-4--0.0101999999999994</f>
        <v>746.29209000000003</v>
      </c>
      <c r="I50" s="3">
        <f>1276.2+(402.4-941.9)+(-2.603448+(-0.820896--1.921476))+0-4--0.00815999999999983</f>
        <v>731.20529199999999</v>
      </c>
      <c r="J50" s="3">
        <f>1226.4+(397.4-901.5)+(-1.876392+(-0.608022--1.379295))+0-4--0.00612000000000023</f>
        <v>717.20100100000013</v>
      </c>
      <c r="K50" s="3">
        <f>1234.2+(384.8-894.8)+(-1.258884+(-0.392496--0.912696))+0-4--0.00408000000000064</f>
        <v>719.46539600000006</v>
      </c>
      <c r="L50" s="3">
        <f>1182.2+(333.1-818.9)+(-2.411688+(-0.679524--1.670556))+0-4--0.00815999999999983</f>
        <v>690.98750400000006</v>
      </c>
      <c r="M50" s="3">
        <f>1408.2+(235.9-925.1)+(1.436364+(0.240618-0.943602))+0-4-0.00408000000000064</f>
        <v>715.72929999999997</v>
      </c>
      <c r="N50" s="3">
        <f>1675.6+(87.5-957.3)+(-1.709112+(-0.08925--0.976446))+0-4--0.00408000000000064</f>
        <v>800.98216400000001</v>
      </c>
      <c r="O50" s="3">
        <f>1592.8+(44.5-763.2)+(0+(0-0))+0-4-0</f>
        <v>870.09999999999991</v>
      </c>
      <c r="P50" s="3">
        <f>1579.1+(46.4-711.6)+(0+(0-0))+0-4-0</f>
        <v>909.89999999999986</v>
      </c>
      <c r="Q50" s="3">
        <f>1564.2+(45.9-686.7)+(0+(0-0))+0-4-0</f>
        <v>919.4</v>
      </c>
      <c r="R50" s="3">
        <f>1531+(110.6-696)+(0+(0-0))+0-4-0</f>
        <v>941.6</v>
      </c>
      <c r="S50" s="3">
        <f>1537.6+(158.5-800.6)+(-3.92088+(-0.404175--2.04153))+0-4--0.0101999999999994</f>
        <v>889.22667499999989</v>
      </c>
      <c r="T50" s="3">
        <f>1529+(202.9-765)+(-3.89895+(-0.517395--1.95075))+0-4--0.0101999999999994</f>
        <v>960.44460500000002</v>
      </c>
      <c r="U50" s="3">
        <f>1512.1+(218.8-833.2)+(-2.313513+(-0.334764--1.274796))+0-4--0.00612000000000023</f>
        <v>892.33263899999986</v>
      </c>
      <c r="V50" s="3">
        <f>1462.6+(243.6-802.1)+(-2.983704+(-0.496944--1.636284))+0-4--0.00815999999999983</f>
        <v>898.26379599999984</v>
      </c>
      <c r="W50" s="3">
        <f>1386.8+(181.5-668.5)+(-3.53634+(-0.462825--1.704675))+0-4--0.0101999999999994</f>
        <v>893.51571000000001</v>
      </c>
      <c r="X50" s="3">
        <f>1378.2+(167.4-693.8)+(-3.51441+(-0.42687--1.76919))+0-4--0.0101999999999994</f>
        <v>845.6381100000001</v>
      </c>
      <c r="Y50" s="3">
        <f>1324.3+(251.4-733.1)+(-1.350786+(-0.256428--0.747762))+0-4--0.00408000000000064</f>
        <v>837.74462799999992</v>
      </c>
      <c r="Z50" s="3">
        <f>1659.9+(188.5-900)+(-2.539647+(-0.288405--1.377))+0-4--0.00612000000000023</f>
        <v>942.9550680000001</v>
      </c>
      <c r="AA50" s="3">
        <f>1694+(194-864.2)+(-5.18364+(-0.59364--2.644452))+0-4--0.0122400000000005</f>
        <v>1016.679412</v>
      </c>
      <c r="AB50" s="3">
        <f>1600.5+(242.8-846.5)+(-0.816255+(-0.123828--0.431715))+0-4--0.00203999999999959</f>
        <v>992.2936719999999</v>
      </c>
      <c r="AC50" s="3">
        <f>1595.2+(267.6-928.2)+(-2.440656+(-0.409428--1.420146))+0-4--0.00612000000000023</f>
        <v>929.17618200000004</v>
      </c>
      <c r="AD50" s="2">
        <v>1019.4000000000001</v>
      </c>
      <c r="AE50" s="3">
        <f>1697+(208.7-886.3)+(0+(0-0))+0-4-0</f>
        <v>1015.4000000000001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1607.9+(351.3-1098.1)+(-4.100145+(-0.895815--2.800155))+0-4--0.0101999999999994</f>
        <v>854.91439500000024</v>
      </c>
      <c r="G51" s="3">
        <f>1516.3+(408.3-1130.3)+(-3.866565+(-1.041165--2.882265))+0-4--0.0101999999999994</f>
        <v>788.28473499999996</v>
      </c>
      <c r="H51" s="3">
        <f>1386+(481.9-1116.5)+(-2.82744+(-0.983076--2.27766))+0-4--0.00815999999999983</f>
        <v>745.87530399999991</v>
      </c>
      <c r="I51" s="3">
        <f>1379.7+(452.7-1100.5)+(-0.703647+(-0.230877--0.561255))+0-4--0.00203999999999959</f>
        <v>727.52877100000001</v>
      </c>
      <c r="J51" s="3">
        <f>1369.8+(418.4-1064.6)+(2.095794+(0.640152-1.628838))+0-4-0.00612000000000023</f>
        <v>720.70098800000005</v>
      </c>
      <c r="K51" s="3">
        <f>1306.2+(393.4-963.1)+(-1.998486+(-0.601902--1.473543))+0-4--0.00612000000000023</f>
        <v>731.37927500000001</v>
      </c>
      <c r="L51" s="3">
        <f>1107.1+(394.1-789.5)+(-0.564621+(-0.200991--0.402645))+0-4--0.00203999999999959</f>
        <v>707.33907299999987</v>
      </c>
      <c r="M51" s="3">
        <f>1275.5+(267.3-812.6)+(-2.60202+(-0.545292--1.657704))+0-4--0.00815999999999983</f>
        <v>724.71855200000005</v>
      </c>
      <c r="N51" s="3">
        <f>1383+(219.8-802.2)+(-2.11599+(-0.336294--1.227366))+0-4--0.00612000000000023</f>
        <v>795.38120199999992</v>
      </c>
      <c r="O51" s="3">
        <f>1381.7+(91-600.2)+(-1.409334+(-0.09282--0.612204))+0-4--0.00408000000000064</f>
        <v>867.61413000000005</v>
      </c>
      <c r="P51" s="3">
        <f>1383.3+(72.2-548.2)+(-1.410966+(-0.073644--0.559164))+0-4--0.00408000000000064</f>
        <v>902.37863400000003</v>
      </c>
      <c r="Q51" s="3">
        <f>1382.6+(63.2-520.4)+(-1.410252+(-0.064464--0.530808))+0-4--0.00408000000000064</f>
        <v>920.46017199999994</v>
      </c>
      <c r="R51" s="3">
        <f>1388.6+(108.6-587.9)+(-0.708186+(-0.055386--0.299829))+0-4--0.00203999999999959</f>
        <v>904.8382969999999</v>
      </c>
      <c r="S51" s="3">
        <f>1377.7+(130.5-592.3)+(-2.810508+(-0.26622--1.208292))+0-4--0.00815999999999983</f>
        <v>910.03972400000009</v>
      </c>
      <c r="T51" s="3">
        <f>1377.7+(130.5-589.3)+(-2.810508+(-0.26622--1.202172))+0-4--0.00815999999999983</f>
        <v>913.03360400000008</v>
      </c>
      <c r="U51" s="3">
        <f>1362.8+(166.1-599.1)+(0+(0-0))+0-4-0</f>
        <v>925.8</v>
      </c>
      <c r="V51" s="3">
        <f>1300.7+(207.9-578.8)+(-2.653428+(-0.424116--1.180752))+0-4--0.00815999999999983</f>
        <v>923.91136800000004</v>
      </c>
      <c r="W51" s="3">
        <f>1285.6+(236.4-603.4)+(-3.933936+(-0.723384--1.846404))+0-4--0.0122400000000005</f>
        <v>911.80132399999991</v>
      </c>
      <c r="X51" s="3">
        <f>1291.6+(236.4-600.4)+(-3.952296+(-0.723384--1.837224))+0-4--0.0122400000000005</f>
        <v>920.77378399999998</v>
      </c>
      <c r="Y51" s="3">
        <f>1270.1+(249.7-645.2)+(-4.534257+(-0.891429--2.303364))+0-4--0.0142800000000001</f>
        <v>867.49195799999984</v>
      </c>
      <c r="Z51" s="3">
        <f>1608.3+(242.3-869.2)+(-0.820233+(-0.123573--0.443292))+0-4--0.00203999999999959</f>
        <v>976.90152599999988</v>
      </c>
      <c r="AA51" s="3">
        <f>1673.3+(294.8-923.3)+(-5.120298+(-0.902088--2.825298))+0-4--0.0122400000000005</f>
        <v>1037.6151520000001</v>
      </c>
      <c r="AB51" s="3">
        <f>1674.5+(268.7-905.9)+(-2.561985+(-0.411111--1.386027))+0-4--0.00612000000000023</f>
        <v>1031.719051</v>
      </c>
      <c r="AC51" s="3">
        <f>1643.7+(299-969.1)+(-3.353148+(-0.60996--1.976964))+0-4--0.00815999999999983</f>
        <v>967.62201600000003</v>
      </c>
      <c r="AD51" s="2">
        <v>1047.5</v>
      </c>
      <c r="AE51" s="3">
        <f>1690+(270.4-912.9)+(0+(0-0))+0-4-0</f>
        <v>1043.5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1586.1+(357.8-1049.9)+(-4.044555+(-0.91239--2.677245))+0-4--0.0101999999999994</f>
        <v>887.73049999999978</v>
      </c>
      <c r="G52" s="3">
        <f>1590.8+(398.7-1165.3)+(-3.245232+(-0.813348--2.377212))+0-4--0.00815999999999983</f>
        <v>818.526792</v>
      </c>
      <c r="H52" s="3">
        <f>1576.2+(418.2-1203.3)+(-2.411586+(-0.639846--1.841049))+0-4--0.00612000000000023</f>
        <v>785.89573700000017</v>
      </c>
      <c r="I52" s="3">
        <f>1467.8+(451.2-1147.9)+(3.74289+(1.15056-2.927145))+0-4-0.0101999999999994</f>
        <v>769.05610499999989</v>
      </c>
      <c r="J52" s="3">
        <f>1405.4+(447-1097.5)+(-2.150262+(-0.68391--1.679175))+0-4--0.00612000000000023</f>
        <v>749.75112300000012</v>
      </c>
      <c r="K52" s="3">
        <f>1385+(433.9-1061.1)+(-0.70635+(-0.221289--0.541161))+0-4--0.00203999999999959</f>
        <v>753.41556200000002</v>
      </c>
      <c r="L52" s="3">
        <f>1175.4+(433.8-871.1)+(-1.198908+(-0.442476--0.888522))+0-4--0.00408000000000064</f>
        <v>733.35121800000013</v>
      </c>
      <c r="M52" s="3">
        <f>1148+(338.4-736.7)+(0.58548+(0.172584-0.375717))+0-4-0.00203999999999959</f>
        <v>746.08030699999995</v>
      </c>
      <c r="N52" s="3">
        <f>1332.8+(240.1-766.2)+(0+(0-0))+0-4-0</f>
        <v>802.69999999999993</v>
      </c>
      <c r="O52" s="3">
        <f>1720.4+(165-975)+(-1.754808+(-0.1683--0.9945))+0-4--0.00408000000000064</f>
        <v>905.47547200000008</v>
      </c>
      <c r="P52" s="3">
        <f>1711.4+(186.6-954.6)+(0.872814+(0.095166-0.486846))+0-4-0.00203999999999959</f>
        <v>939.87909400000012</v>
      </c>
      <c r="Q52" s="3">
        <f>1694.4+(141.3-875.7)+(-0.864144+(-0.072063--0.446607))+0-4--0.00203999999999959</f>
        <v>955.51243999999997</v>
      </c>
      <c r="R52" s="3">
        <f>1684.6+(176.4-912.2)+(1.718292+(0.179928-0.930444))+0-4-0.00408000000000064</f>
        <v>945.76369599999975</v>
      </c>
      <c r="S52" s="3">
        <f>1649+(232.4-950.3)+(-3.36396+(-0.474096--1.938612))+0-4--0.00815999999999983</f>
        <v>925.20871599999998</v>
      </c>
      <c r="T52" s="3">
        <f>1638.6+(261.3-987.5)+(0.835686+(0.133263-0.503625))+0-4-0.00203999999999959</f>
        <v>908.86328399999991</v>
      </c>
      <c r="U52" s="3">
        <f>1641.3+(291.7-1015.2)+(-1.674126+(-0.297534--1.035504))+0-4--0.00408000000000064</f>
        <v>912.86792400000002</v>
      </c>
      <c r="V52" s="3">
        <f>1545.6+(344.8-982.6)+(-3.153024+(-0.703392--2.004504))+0-4--0.00815999999999983</f>
        <v>901.95624799999996</v>
      </c>
      <c r="W52" s="3">
        <f>1562.1+(350.1-994.3)+(0.796671+(0.178551-0.507093))+0-4-0.00203999999999959</f>
        <v>914.36608899999999</v>
      </c>
      <c r="X52" s="3">
        <f>1572+(293.8-984.9)+(-5.61204+(-1.048866--3.516093))+0-4--0.0142800000000001</f>
        <v>873.76946700000008</v>
      </c>
      <c r="Y52" s="3">
        <f>1487.4+(318.8-943.6)+(-2.275722+(-0.487764--1.443708))+0-4--0.00612000000000023</f>
        <v>857.2863420000001</v>
      </c>
      <c r="Z52" s="3">
        <f>1641.9+(358.6-1047.6)+(-1.674738+(-0.365772--1.068552))+0-4--0.00408000000000064</f>
        <v>947.93212200000028</v>
      </c>
      <c r="AA52" s="3">
        <f>1711.2+(323.2-1017.7)+(-5.236272+(-0.988992--3.114162))+0-4--0.0122400000000005</f>
        <v>1009.6011380000001</v>
      </c>
      <c r="AB52" s="3">
        <f>1722.2+(382.8-1087.8)+(0+(0-0))+0-4-0</f>
        <v>1013.2</v>
      </c>
      <c r="AC52" s="3">
        <f>1707.5+(490-1233.3)+(-0.870825+(-0.2499--0.628983))+0-4--0.00203999999999959</f>
        <v>959.71029799999997</v>
      </c>
      <c r="AD52" s="2">
        <v>995.89999999999986</v>
      </c>
      <c r="AE52" s="3">
        <f>1720+(313.3-1037.4)+(0+(0-0))+0-3-0</f>
        <v>992.89999999999986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1604.6+(465.6-1177.2)+(-4.09173+(-1.18728--3.00186))+0-4--0.0101999999999994</f>
        <v>886.73304999999993</v>
      </c>
      <c r="G53" s="3">
        <f>1512.8+(421.4-1123.5)+(-0.771528+(-0.214914--0.572985))+0-4--0.00203999999999959</f>
        <v>806.2885829999999</v>
      </c>
      <c r="H53" s="3">
        <f>1423.5+(436.7-1098.9)+(-2.177955+(-0.668151--1.681317))+0-4--0.00612000000000023</f>
        <v>756.14133099999992</v>
      </c>
      <c r="I53" s="3">
        <f>1416.8+(436.1-1103)+(-2.890272+(-0.889644--2.25012))+0-4--0.00815999999999983</f>
        <v>744.37836399999992</v>
      </c>
      <c r="J53" s="3">
        <f>1430.7+(414.1-1097.8)+(0+(0-0))+0-4-0</f>
        <v>743.00000000000011</v>
      </c>
      <c r="K53" s="3">
        <f>1374.3+(423.9-1050.2)+(-2.803572+(-0.864756--2.142408))+0-4--0.00815999999999983</f>
        <v>742.48223999999982</v>
      </c>
      <c r="L53" s="3">
        <f>1209.9+(464.3-957.1)+(-2.468196+(-0.947172--1.952484))+0-4--0.00815999999999983</f>
        <v>711.64527600000008</v>
      </c>
      <c r="M53" s="3">
        <f>1031.4+(433.2-751)+(0+(0-0))+0-4-0</f>
        <v>709.60000000000014</v>
      </c>
      <c r="N53" s="3">
        <f>1243.5+(361.8-845.8)+(-1.26837+(-0.369036--0.862716))+0-4--0.00408000000000064</f>
        <v>754.72939000000008</v>
      </c>
      <c r="O53" s="3">
        <f>1289+(288-769)+(0+(0-0))+0-4-0</f>
        <v>804</v>
      </c>
      <c r="P53" s="3">
        <f>1264.4+(272.8-691.8)+(0+(0-0))+0-4-0</f>
        <v>841.40000000000009</v>
      </c>
      <c r="Q53" s="3">
        <f>1305.1+(286.2-721.9)+(-0.665601+(-0.145962--0.368169))+0-4--0.00203999999999959</f>
        <v>864.95864599999982</v>
      </c>
      <c r="R53" s="3">
        <f>1302.1+(296.3-732.1)+(-0.664071+(-0.151113--0.373371))+0-3--0.0015299999999997</f>
        <v>862.85971699999993</v>
      </c>
      <c r="S53" s="3">
        <f>1333.9+(321.2-806.4)+(-1.360578+(-0.327624--0.822528))+0-3--0.00306000000000048</f>
        <v>844.83738600000004</v>
      </c>
      <c r="T53" s="3">
        <f>1373.6+(392.4-913.5)+(-2.101608+(-0.600372--1.397655))+0-3--0.00459000000000017</f>
        <v>848.20026499999994</v>
      </c>
      <c r="U53" s="3">
        <f>1379+(406.2-934.6)+(-1.40658+(-0.414324--0.953292))+0-3--0.00306000000000048</f>
        <v>846.73544799999991</v>
      </c>
      <c r="V53" s="3">
        <f>1377+(375.5-913.4)+(0.70227+(0.191505-0.465834))+0-3-0.0015299999999997</f>
        <v>836.52641100000005</v>
      </c>
      <c r="W53" s="3">
        <f>1371.8+(300.3-837)+(-0.699618+(-0.153153--0.42687))+0-3--0.0015299999999997</f>
        <v>831.67562899999996</v>
      </c>
      <c r="X53" s="3">
        <f>1364.1+(237.1-782)+(-3.478455+(-0.604605--1.9941))+0-3--0.00764999999999957</f>
        <v>814.1186899999999</v>
      </c>
      <c r="Y53" s="3">
        <f>1330.5+(276.8-807.6)+(-2.035665+(-0.423504--1.235628))+0-3--0.00459000000000017</f>
        <v>795.4810490000001</v>
      </c>
      <c r="Z53" s="3">
        <f>1594.2+(300.5-963.7)+(-2.439126+(-0.459765--1.474461))+0-3--0.00459000000000017</f>
        <v>926.58015999999998</v>
      </c>
      <c r="AA53" s="3">
        <f>1670.6+(282-936)+(-2.556018+(-0.43146--1.43208))+0-3--0.00459000000000017</f>
        <v>1012.0491919999999</v>
      </c>
      <c r="AB53" s="3">
        <f>1678.3+(314.5-980.3)+(1.711866+(0.32079-0.999906))+0-3-0.00306000000000048</f>
        <v>1010.52969</v>
      </c>
      <c r="AC53" s="3">
        <f>1667.8+(329.5-1041.8)+(-1.701156+(-0.33609--1.062636))+0-3--0.00306000000000048</f>
        <v>951.52845000000002</v>
      </c>
      <c r="AD53" s="2">
        <v>1005.1999999999999</v>
      </c>
      <c r="AE53" s="3">
        <f>1679+(281.6-955.4)+(0+(0-0))+0-3-0</f>
        <v>1002.2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1664.1+(361.7-1145.5)+(-0.848691+(-0.184467--0.584205))+0-3--0.0015299999999997</f>
        <v>876.852577</v>
      </c>
      <c r="G54" s="3">
        <f>1645.3+(428.7-1262.2)+(-4.195515+(-1.093185--3.21861))+0-3--0.00764999999999957</f>
        <v>806.73755999999992</v>
      </c>
      <c r="H54" s="3">
        <f>1669.2+(380.2-1268.1)+(0+(0-0))+0-3-0</f>
        <v>778.30000000000018</v>
      </c>
      <c r="I54" s="3">
        <f>1605.9+(370.2-1206.4)+(-2.457027+(-0.566406--1.845792))+0-3--0.00459000000000017</f>
        <v>765.52694900000006</v>
      </c>
      <c r="J54" s="3">
        <f>1513.7+(385.9-1137.3)+(2.315961+(0.590427-1.740069))+0-3-0.00459000000000017</f>
        <v>760.4617290000001</v>
      </c>
      <c r="K54" s="3">
        <f>1403.4+(409.9-1048.8)+(-1.431468+(-0.418098--1.069776))+0-3--0.00306000000000048</f>
        <v>760.72327000000007</v>
      </c>
      <c r="L54" s="3">
        <f>1312.9+(378-957.3)+(-2.008737+(-0.57834--1.464669))+0-3--0.00459000000000017</f>
        <v>729.48218200000019</v>
      </c>
      <c r="M54" s="3">
        <f>1410.3+(345.3-978.9)+(0.719253+(0.176103-0.499239))+0-3-0.0015299999999997</f>
        <v>774.09458700000005</v>
      </c>
      <c r="N54" s="3">
        <f>1480+(333.6-968.6)+(3.0192+(0.680544-1.975944))+0-3-0.00611999999999987</f>
        <v>843.71767999999997</v>
      </c>
      <c r="O54" s="3">
        <f>1580.1+(291.3-893)+(-0.805851+(-0.148563--0.45543))+0-3--0.0015299999999997</f>
        <v>974.90254599999992</v>
      </c>
      <c r="P54" s="3">
        <f>1618.4+(219.3-836.8)+(0+(0-0))+0-3-0</f>
        <v>997.90000000000009</v>
      </c>
      <c r="Q54" s="3">
        <f>1677.9+(171.7-808.8)+(-1.711458+(-0.175134--0.824976))+0-3--0.00306000000000048</f>
        <v>1036.7414440000002</v>
      </c>
      <c r="R54" s="3">
        <f>1669.9+(226.5-840.3)+(-0.851649+(-0.115515--0.428553))+0-3--0.0015299999999997</f>
        <v>1052.5629190000002</v>
      </c>
      <c r="S54" s="3">
        <f>1656.4+(305.3-947.5)+(-1.689528+(-0.311406--0.96645))+0-3--0.00306000000000048</f>
        <v>1010.168576</v>
      </c>
      <c r="T54" s="3">
        <f>1654+(375.7-1018.4)+(-0.84354+(-0.191607--0.519384))+0-3--0.0015299999999997</f>
        <v>1007.785767</v>
      </c>
      <c r="U54" s="3">
        <f>1629+(382.6-995.7)+(-2.49237+(-0.585378--1.523421))+0-3--0.00459000000000017</f>
        <v>1011.350263</v>
      </c>
      <c r="V54" s="3">
        <f>1633.7+(398-1008.7)+(0+(0-0))+0-3-0</f>
        <v>1020</v>
      </c>
      <c r="W54" s="3">
        <f>1627.1+(368.6-1037.9)+(-2.489463+(-0.563958--1.587987))+0-3--0.00459000000000017</f>
        <v>953.33915599999989</v>
      </c>
      <c r="X54" s="3">
        <f>1589.9+(346.7-1026.5)+(-4.054245+(-0.884085--2.617575))+0-3--0.00764999999999957</f>
        <v>904.78689500000019</v>
      </c>
      <c r="Y54" s="3">
        <f>1603.1+(307.7-1011.6)+(-2.452743+(-0.470781--1.547748))+0-3--0.00459000000000017</f>
        <v>894.82881399999985</v>
      </c>
      <c r="Z54" s="3">
        <f>1658.2+(286.8-933.1)+(-0.845682+(-0.146268--0.475881))+0-3--0.0015299999999997</f>
        <v>1008.3854610000001</v>
      </c>
      <c r="AA54" s="3">
        <f>1652.9+(272-847)+(-3.371916+(-0.55488--1.72788))+0-3--0.00611999999999987</f>
        <v>1072.707204</v>
      </c>
      <c r="AB54" s="3">
        <f>1658.4+(372.7-999.4)+(-0.845784+(-0.190077--0.509694))+0-3--0.0015299999999997</f>
        <v>1028.1753630000001</v>
      </c>
      <c r="AC54" s="3">
        <f>1682.6+(446.8-1104.7)+(0.858126+(0.227868-0.563397))+0-3-0.0015299999999997</f>
        <v>1022.2210669999997</v>
      </c>
      <c r="AD54" s="2">
        <v>1073.5</v>
      </c>
      <c r="AE54" s="3">
        <f>1660+(257.7-844.2)+(0+(0-0))+0-3-0</f>
        <v>1070.5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1626.8+(420.7-1135.3)+(-1.659336+(-0.429114--1.158006))+0-3--0.00306000000000048</f>
        <v>908.27261600000008</v>
      </c>
      <c r="G55" s="3">
        <f>1616.4+(416.8-1195.3)+(-4.12182+(-1.06284--3.048015))+0-3--0.00764999999999957</f>
        <v>832.77100500000006</v>
      </c>
      <c r="H55" s="3">
        <f>1627.9+(374.9-1210.3)+(-2.490687+(-0.573597--1.851759))+0-3--0.00459000000000017</f>
        <v>788.29206500000009</v>
      </c>
      <c r="I55" s="3">
        <f>1604.2+(375.5-1206.8)+(-1.636284+(-0.38301--1.230936))+0-3--0.00306000000000048</f>
        <v>769.11470200000008</v>
      </c>
      <c r="J55" s="3">
        <f>1506.5+(386.3-1119.9)+(-1.53663+(-0.394026--1.142298))+0-3--0.00306000000000048</f>
        <v>769.11470199999985</v>
      </c>
      <c r="K55" s="3">
        <f>1472.9+(381.9-1090.4)+(-3.755895+(-0.973845--2.78052))+0-3--0.00764999999999957</f>
        <v>759.45843000000002</v>
      </c>
      <c r="L55" s="3">
        <f>1348.2+(379.3-984.4)+(-2.750328+(-0.773772--2.008176))+0-3--0.00611999999999987</f>
        <v>738.59019600000011</v>
      </c>
      <c r="M55" s="3">
        <f>1354.1+(336.6-911.3)+(2.071773+(0.514998-1.394289))+0-3-0.00459000000000017</f>
        <v>777.58789200000001</v>
      </c>
      <c r="N55" s="3">
        <f>1391+(256.8-785.1)+(1.41882+(0.261936-0.800802))+0-3-0.00306000000000048</f>
        <v>860.57689400000004</v>
      </c>
      <c r="O55" s="3">
        <f>1357.1+(216.8-660.3)+(0+(0-0))+0-3-0</f>
        <v>910.59999999999991</v>
      </c>
      <c r="P55" s="3">
        <f>1453.6+(136.8-632.9)+(0+(0-0))+0-3-0</f>
        <v>954.5</v>
      </c>
      <c r="Q55" s="3">
        <f>1509.4+(72.6-585.1)+(0+(0-0))+0-3-0</f>
        <v>993.90000000000009</v>
      </c>
      <c r="R55" s="3">
        <f>1506.2+(53.7-602.8)+(-0.768162+(-0.027387--0.307428))+0-4--0.00203999999999959</f>
        <v>952.61391900000012</v>
      </c>
      <c r="S55" s="3">
        <f>1588.4+(127.7-779.6)+(-1.620168+(-0.130254--0.795192))+0-4--0.00408000000000064</f>
        <v>931.54885000000013</v>
      </c>
      <c r="T55" s="3">
        <f>1573.2+(161.4-824.8)+(0+(0-0))+0-4-0</f>
        <v>905.80000000000007</v>
      </c>
      <c r="U55" s="3">
        <f>1604.6+(178.1-866.5)+(-3.273384+(-0.363324--1.76766))+0-4--0.00815999999999983</f>
        <v>910.33911199999989</v>
      </c>
      <c r="V55" s="3">
        <f>1594+(259.9-922.6)+(-4.0647+(-0.662745--2.35263))+0-4--0.0101999999999994</f>
        <v>924.935385</v>
      </c>
      <c r="W55" s="3">
        <f>1511.3+(314.4-902.7)+(-5.395341+(-1.122408--3.222639))+0-4--0.0142800000000001</f>
        <v>915.71916999999985</v>
      </c>
      <c r="X55" s="3">
        <f>1605.4+(193.4-905)+(-5.731278+(-0.690438--3.23085))+0-4--0.0142800000000001</f>
        <v>886.62341400000003</v>
      </c>
      <c r="Y55" s="3">
        <f>1639.2+(243.7-992.9)+(-0.835992+(-0.124287--0.506379))+0-4--0.00203999999999959</f>
        <v>885.54813999999999</v>
      </c>
      <c r="Z55" s="3">
        <f>1655.3+(260.9-916.1)+(0.844203+(0.133059-0.467211))+0-4-0.00203999999999959</f>
        <v>996.60801099999992</v>
      </c>
      <c r="AA55" s="3">
        <f>1644+(241.1-821.2)+(-5.03064+(-0.737766--2.512872))+0-4--0.0122400000000005</f>
        <v>1056.6567060000002</v>
      </c>
      <c r="AB55" s="3">
        <f>1661.8+(299-918.6)+(-4.23759+(-0.76245--2.34243))+0-4--0.0101999999999994</f>
        <v>1035.5525899999998</v>
      </c>
      <c r="AC55" s="3">
        <f>1658+(350.7-1033.7)+(-4.2279+(-0.894285--2.635935))+0-4--0.0101999999999994</f>
        <v>968.52395000000001</v>
      </c>
      <c r="AD55" s="2">
        <v>1069.5999999999999</v>
      </c>
      <c r="AE55" s="3">
        <f>1660+(228.1-818.5)+(0+(0-0))+0-4-0</f>
        <v>1065.5999999999999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1572.7+(323.9-1007.2)+(-1.604154+(-0.330378--1.027344))+0-4--0.00408000000000064</f>
        <v>884.496892</v>
      </c>
      <c r="G56" s="3">
        <f>1479.1+(356.2-1012.8)+(-0.754341+(-0.181662--0.516528))+0-4--0.00203999999999959</f>
        <v>818.08256499999993</v>
      </c>
      <c r="H56" s="3">
        <f>1403.3+(392.1-1006.5)+(-2.862732+(-0.799884--2.05326))+0-4--0.00815999999999983</f>
        <v>783.2988039999999</v>
      </c>
      <c r="I56" s="3">
        <f>1322.1+(415.1-972.5)+(-2.022813+(-0.635103--1.487925))+0-4--0.00612000000000023</f>
        <v>759.53612899999996</v>
      </c>
      <c r="J56" s="3">
        <f>1204.8+(460.6-911.8)+(0+(0-0))+0-4-0</f>
        <v>749.6</v>
      </c>
      <c r="K56" s="3">
        <f>1182.7+(443.3-873)+(-2.412708+(-0.904332--1.78092))+0-4--0.00815999999999983</f>
        <v>747.47203999999999</v>
      </c>
      <c r="L56" s="3">
        <f>1056.8+(436.2-765.8)+(-0.538968+(-0.222462--0.390558))+0-4--0.00203999999999959</f>
        <v>722.83116800000005</v>
      </c>
      <c r="M56" s="3">
        <f>1111+(388.2-744.1)+(-0.56661+(-0.197982--0.379491))+0-4--0.00203999999999959</f>
        <v>750.71693899999991</v>
      </c>
      <c r="N56" s="3">
        <f>1345.8+(281.5-796.3)+(0.686358+(0.143565-0.406113))+0-4-0.00203999999999959</f>
        <v>827.42177000000004</v>
      </c>
      <c r="O56" s="3">
        <f>1545.3+(177.8-810)+(0.788103+(0.090678-0.4131))+0-4-0.00203999999999959</f>
        <v>909.56364099999996</v>
      </c>
      <c r="P56" s="3">
        <f>1571.4+(128.9-741.8)+(-1.602828+(-0.131478--0.756636))+0-4--0.00408000000000064</f>
        <v>953.52641000000017</v>
      </c>
      <c r="Q56" s="3">
        <f>1605.9+(127-757.2)+(0+(0-0))+0-4-0</f>
        <v>971.7</v>
      </c>
      <c r="R56" s="3">
        <f>1579.1+(145.2-762.2)+(0+(0-0))+0-4-0</f>
        <v>958.09999999999991</v>
      </c>
      <c r="S56" s="3">
        <f>1570.5+(211.4-838.6)+(-2.402865+(-0.323442--1.283058))+0-4--0.00612000000000023</f>
        <v>937.86287099999993</v>
      </c>
      <c r="T56" s="3">
        <f>1619.4+(254.3-946.2)+(-4.12947+(-0.648465--2.41281))+0-4--0.0101999999999994</f>
        <v>921.14507500000002</v>
      </c>
      <c r="U56" s="3">
        <f>1630.5+(265.7-968.3)+(-4.157775+(-0.677535--2.469165))+0-4--0.0101999999999994</f>
        <v>921.54405500000018</v>
      </c>
      <c r="V56" s="3">
        <f>1635.9+(278.3-975.9)+(-3.337236+(-0.567732--1.990836))+0-4--0.00815999999999983</f>
        <v>932.39402800000016</v>
      </c>
      <c r="W56" s="3">
        <f>1578.8+(274.7-926.5)+(-1.610376+(-0.280194--0.94503))+0-4--0.00408000000000064</f>
        <v>922.05853999999999</v>
      </c>
      <c r="X56" s="3">
        <f>1584+(266.8-955.5)+(-4.0392+(-0.68034--2.436525))+0-4--0.0101999999999994</f>
        <v>889.02718500000003</v>
      </c>
      <c r="Y56" s="3">
        <f>1485.1+(229.7-814.4)+(0.757401+(0.117147-0.415344))+0-4-0.00203999999999959</f>
        <v>896.8571639999999</v>
      </c>
      <c r="Z56" s="3">
        <f>1607.3+(190.4-795.4)+(0+(0-0))+0-4-0</f>
        <v>998.3</v>
      </c>
      <c r="AA56" s="3">
        <f>1660.3+(263.7-858)+(-5.080518+(-0.806922--2.62548))+0-4--0.0122400000000005</f>
        <v>1058.75028</v>
      </c>
      <c r="AB56" s="3">
        <f>1662.4+(348.9-965.2)+(-2.543472+(-0.533817--1.476756))+0-4--0.00612000000000023</f>
        <v>1040.5055869999999</v>
      </c>
      <c r="AC56" s="3">
        <f>1665.3+(351.7-1042.8)+(-2.547909+(-0.538101--1.595484))+0-4--0.00612000000000023</f>
        <v>968.71559400000001</v>
      </c>
      <c r="AD56" s="2">
        <v>1064.3999999999999</v>
      </c>
      <c r="AE56" s="3">
        <f>1664+(263.1-862.7)+(0+(0-0))+0-4-0</f>
        <v>1060.4000000000001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1667.3+(377.4-1152.2)+(-1.700646+(-0.384948--1.175244))+0-4--0.00408000000000064</f>
        <v>887.59372999999994</v>
      </c>
      <c r="G57" s="3">
        <f>1557.3+(389.6-1126.5)+(-2.382669+(-0.596088--1.723545))+0-4--0.00612000000000023</f>
        <v>815.15090799999996</v>
      </c>
      <c r="H57" s="3">
        <f>1441.4+(374.3-1034.6)+(-0.735114+(-0.190893--0.527646))+0-4--0.00203999999999959</f>
        <v>776.70367900000008</v>
      </c>
      <c r="I57" s="3">
        <f>1439.5+(395.4-1070.5)+(0.734145+(0.201654-0.545955))+0-4-0.00203999999999959</f>
        <v>760.78780400000005</v>
      </c>
      <c r="J57" s="3">
        <f>1441.1+(361-1045.4)+(0+(0-0))+0-4-0</f>
        <v>752.69999999999982</v>
      </c>
      <c r="K57" s="3">
        <f>1424+(355-1016.2)+(-2.17872+(-0.54315--1.554786))+0-4--0.00612000000000023</f>
        <v>757.63903599999992</v>
      </c>
      <c r="L57" s="3">
        <f>1358.5+(340.2-963.9)+(0+(0-0))+0-4-0</f>
        <v>730.8</v>
      </c>
      <c r="M57" s="3">
        <f>1489.4+(257.1-986.6)+(0+(0-0))+0-4-0</f>
        <v>755.90000000000009</v>
      </c>
      <c r="N57" s="3">
        <f>1689+(152.3-1007.5)+(-1.72278+(-0.155346--1.02765))+0-4--0.00408000000000064</f>
        <v>828.95360400000004</v>
      </c>
      <c r="O57" s="3">
        <f>1697.2+(139.9-939.6)+(-0.865572+(-0.071349--0.479196))+0-4--0.00203999999999959</f>
        <v>893.04431499999998</v>
      </c>
      <c r="P57" s="3">
        <f>1672.8+(129.4-874)+(4.26564+(0.32997-2.2287))+0-4-0.0101999999999994</f>
        <v>926.55670999999984</v>
      </c>
      <c r="Q57" s="3">
        <f>1621.7+(129-790.2)+(0.827067+(0.06579-0.403002))+0-4-0.00203999999999959</f>
        <v>956.98781500000007</v>
      </c>
      <c r="R57" s="3">
        <f>1574.7+(175.1-815.3)+(1.606194+(0.178602-0.831606))+0-4-0.00408000000000064</f>
        <v>931.44911000000002</v>
      </c>
      <c r="S57" s="3">
        <f>1567.4+(261-927.6)+(0+(0-0))+0-4-0</f>
        <v>896.80000000000007</v>
      </c>
      <c r="T57" s="3">
        <f>1569.1+(336.7-1005.6)+(1.600482+(0.343434-1.025712))+0-4-0.00408000000000064</f>
        <v>897.11412399999972</v>
      </c>
      <c r="U57" s="3">
        <f>1501.1+(327.3-930.5)+(0+(0-0))+0-4-0</f>
        <v>893.89999999999986</v>
      </c>
      <c r="V57" s="3">
        <f>1502.9+(285.7-889.3)+(-3.832395+(-0.728535--2.267715))+0-4--0.0101999999999994</f>
        <v>893.0169850000002</v>
      </c>
      <c r="W57" s="3">
        <f>1509.3+(291.1-900.6)+(-2.309229+(-0.445383--1.377918))+0-4--0.00612000000000023</f>
        <v>894.42942599999992</v>
      </c>
      <c r="X57" s="3">
        <f>1461.5+(233.8-827.4)+(-5.217555+(-0.834666--2.953818))+0-4--0.0142800000000001</f>
        <v>860.81587700000011</v>
      </c>
      <c r="Y57" s="3">
        <f>1492.7+(228.6-865.9)+(-0.761277+(-0.116586--0.441609))+0-4--0.00203999999999959</f>
        <v>850.96578600000009</v>
      </c>
      <c r="Z57" s="3">
        <f>1617.1+(228.3-873.1)+(-1.649442+(-0.232866--0.890562))+0-4--0.00408000000000064</f>
        <v>967.31233399999996</v>
      </c>
      <c r="AA57" s="3">
        <f>1677.2+(283.6-912)+(-3.421488+(-0.578544--1.86048))+0-4--0.00815999999999983</f>
        <v>1042.6686080000002</v>
      </c>
      <c r="AB57" s="3">
        <f>1606.9+(384.2-964.6)+(-4.917114+(-1.175652--2.951676))+0-4--0.0122400000000005</f>
        <v>1019.3711500000001</v>
      </c>
      <c r="AC57" s="3">
        <f>1615+(431.5-1078.2)+(-3.2946+(-0.88026--2.199528))+0-4--0.00815999999999983</f>
        <v>962.33282799999995</v>
      </c>
      <c r="AD57" s="2">
        <v>1035.2</v>
      </c>
      <c r="AE57" s="3">
        <f>1696+(280.4-941.2)+(0+(0-0))+0-4-0</f>
        <v>1031.1999999999998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1637.8+(341-1077.3)+(-0.835278+(-0.17391--0.549423))+0-4--0.00203999999999959</f>
        <v>897.04227500000002</v>
      </c>
      <c r="G58" s="3">
        <f>1550+(352.5-1062.3)+(-3.9525+(-0.898875--2.708865))+0-4--0.0101999999999994</f>
        <v>834.06769000000008</v>
      </c>
      <c r="H58" s="3">
        <f>1446.2+(406.3-1059.9)+(-2.950248+(-0.828852--2.162196))+0-4--0.00815999999999983</f>
        <v>786.99125599999991</v>
      </c>
      <c r="I58" s="3">
        <f>1451.3+(413.1-1090)+(-2.220489+(-0.632043--1.6677))+0-4--0.00612000000000023</f>
        <v>769.22128799999996</v>
      </c>
      <c r="J58" s="3">
        <f>1448.6+(399.8-1079.8)+(-3.69393+(-1.01949--2.75349))+0-4--0.0101999999999994</f>
        <v>762.65026999999998</v>
      </c>
      <c r="K58" s="3">
        <f>1373+(381.5-998.8)+(-3.50115+(-0.972825--2.54694))+0-4--0.0101999999999994</f>
        <v>749.78316500000005</v>
      </c>
      <c r="L58" s="3">
        <f>1370.9+(305.1-946.5)+(0.699159+(0.155601-0.482715))+0-4-0.00203999999999959</f>
        <v>725.87000500000011</v>
      </c>
      <c r="M58" s="3">
        <f>1399.8+(273.7-898.9)+(2.141694+(0.418761-1.375317))+0-4-0.00612000000000023</f>
        <v>771.77901799999995</v>
      </c>
      <c r="N58" s="3">
        <f>1502.2+(277.7-926.1)+(1.532244+(0.283254-0.944622))+0-4-0.00408000000000064</f>
        <v>850.66679599999986</v>
      </c>
      <c r="O58" s="3">
        <f>1571.3+(224.9-883.7)+(-2.404089+(-0.344097--1.352061))+0-4--0.00612000000000023</f>
        <v>907.10999499999991</v>
      </c>
      <c r="P58" s="3">
        <f>1596.5+(112.2-769.4)+(-2.442645+(-0.171666--1.177182))+0-4--0.00612000000000023</f>
        <v>933.86899100000005</v>
      </c>
      <c r="Q58" s="3">
        <f>1583.6+(104.7-736)+(-2.422908+(-0.160191--1.12608))+0-4--0.00612000000000023</f>
        <v>946.84910100000002</v>
      </c>
      <c r="R58" s="3">
        <f>1623.9+(112.6-800.8)+(0+(0-0))+0-4-0</f>
        <v>931.70000000000016</v>
      </c>
      <c r="S58" s="3">
        <f>1607.7+(195.1-877.8)+(1.639854+(0.199002-0.895356))+0-4-0.00408000000000064</f>
        <v>921.93942000000004</v>
      </c>
      <c r="T58" s="3">
        <f>1606.7+(193.4-887.9)+(-2.458251+(-0.295902--1.358487))+0-4--0.00612000000000023</f>
        <v>906.81045400000005</v>
      </c>
      <c r="U58" s="3">
        <f>1633.7+(189.4-902.5)+(1.666374+(0.193188-0.92055))+0-4-0.00408000000000064</f>
        <v>917.53493200000003</v>
      </c>
      <c r="V58" s="3">
        <f>1622.7+(268.2-947.4)+(-0.827577+(-0.136782--0.483174))+0-4--0.00203999999999959</f>
        <v>939.02085499999998</v>
      </c>
      <c r="W58" s="3">
        <f>1550.5+(270.4-894.1)+(-3.953775+(-0.68952--2.279955))+0-4--0.0101999999999994</f>
        <v>920.44686000000002</v>
      </c>
      <c r="X58" s="3">
        <f>1558.2+(246.3-904.5)+(-3.97341+(-0.628065--2.306475))+0-4--0.0101999999999994</f>
        <v>893.7152000000001</v>
      </c>
      <c r="Y58" s="3">
        <f>1512.8+(247.5-872.2)+(-1.543056+(-0.25245--0.889644))+0-4--0.00408000000000064</f>
        <v>883.198218</v>
      </c>
      <c r="Z58" s="3">
        <f>1597.2+(246.3-875.9)+(0+(0-0))+0-4-0</f>
        <v>963.60000000000014</v>
      </c>
      <c r="AA58" s="3">
        <f>1653.6+(277.4-881.2)+(-4.21668+(-0.70737--2.24706))+0-4--0.0101999999999994</f>
        <v>1043.1332099999997</v>
      </c>
      <c r="AB58" s="3">
        <f>1590.3+(306.3-869.8)+(-4.055265+(-0.781065--2.21799))+0-4--0.0101999999999994</f>
        <v>1020.19186</v>
      </c>
      <c r="AC58" s="3">
        <f>1598+(348-978.1)+(-0.81498+(-0.17748--0.498831))+0-4--0.00203999999999959</f>
        <v>963.40841099999989</v>
      </c>
      <c r="AD58" s="2">
        <v>1046.3999999999999</v>
      </c>
      <c r="AE58" s="3">
        <f>1685+(268.6-907.2)+(0+(0-0))+0-4-0</f>
        <v>1042.4000000000001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1578+(403.1-1055.9)+(-5.63346+(-1.439067--3.769563))+0-4--0.0142800000000001</f>
        <v>917.91131599999994</v>
      </c>
      <c r="G59" s="3">
        <f>1598.8+(353.8-1126.7)+(-0.815388+(-0.180438--0.574617))+0-4--0.00203999999999959</f>
        <v>821.48083099999985</v>
      </c>
      <c r="H59" s="3">
        <f>1604.1+(323.5-1137.1)+(0+(0-0))+0-4-0</f>
        <v>786.5</v>
      </c>
      <c r="I59" s="3">
        <f>1594.4+(327.5-1147.6)+(-2.439432+(-0.501075--1.755828))+0-4--0.00612000000000023</f>
        <v>769.12144100000023</v>
      </c>
      <c r="J59" s="3">
        <f>1591.7+(322.6-1147.1)+(-4.058835+(-0.82263--2.925105))+0-4--0.0101999999999994</f>
        <v>761.2538400000002</v>
      </c>
      <c r="K59" s="3">
        <f>1456.4+(333.6-1028.4)+(-2.971056+(-0.680544--2.097936))+0-4--0.00815999999999983</f>
        <v>756.05449599999997</v>
      </c>
      <c r="L59" s="3">
        <f>1321.7+(318.6-922.5)+(-2.022201+(-0.487458--1.411425))+0-4--0.00612000000000023</f>
        <v>712.70788600000003</v>
      </c>
      <c r="M59" s="3">
        <f>1561.7+(187.7-982.1)+(0+(0-0))+0-4-0</f>
        <v>763.3</v>
      </c>
      <c r="N59" s="3">
        <f>1560+(251.3-959)+(0.7956+(0.128163-0.48909))+0-4-0.00203999999999959</f>
        <v>848.73263299999996</v>
      </c>
      <c r="O59" s="3">
        <f>1551.6+(258.9-888.5)+(-0.791316+(-0.132039--0.453135))+0-4--0.00203999999999959</f>
        <v>917.53181999999981</v>
      </c>
      <c r="P59" s="3">
        <f>1558.9+(234.4-835.5)+(0+(0-0))+0-4-0</f>
        <v>953.80000000000007</v>
      </c>
      <c r="Q59" s="3">
        <f>1607.3+(196.5-840.5)+(-0.819723+(-0.100215--0.428655))+0-4--0.00203999999999959</f>
        <v>958.81075699999997</v>
      </c>
      <c r="R59" s="3">
        <f>1608.1+(129.9-790.7)+(1.640262+(0.132498-0.806514))+0-4-0.00408000000000064</f>
        <v>944.26216599999975</v>
      </c>
      <c r="S59" s="3">
        <f>1597.2+(193.4-865.6)+(-2.443716+(-0.295902--1.324368))+0-4--0.00612000000000023</f>
        <v>919.59087</v>
      </c>
      <c r="T59" s="3">
        <f>1574.5+(301.3-957.2)+(0.802995+(0.153663-0.488172))+0-4-0.00203999999999959</f>
        <v>915.06644599999993</v>
      </c>
      <c r="U59" s="3">
        <f>1611.7+(317.1-1014)+(-4.931802+(-0.970326--3.10284))+0-4--0.0122400000000005</f>
        <v>908.01295200000004</v>
      </c>
      <c r="V59" s="3">
        <f>1650.9+(315.5-1038.4)+(-3.367836+(-0.64362--2.118336))+0-4--0.00815999999999983</f>
        <v>922.11504000000002</v>
      </c>
      <c r="W59" s="3">
        <f>1633.6+(304.1-1013.6)+(-4.16568+(-0.775455--2.58468))+0-4--0.0101999999999994</f>
        <v>917.75374499999998</v>
      </c>
      <c r="X59" s="3">
        <f>1635.1+(252.4-989.2)+(-5.003406+(-0.772344--3.026952))+0-4--0.0122400000000005</f>
        <v>891.5634419999999</v>
      </c>
      <c r="Y59" s="3">
        <f>1671.5+(226.6-1010.7)+(1.70493+(0.231132-1.030914))+0-4-0.00408000000000064</f>
        <v>884.30106799999999</v>
      </c>
      <c r="Z59" s="3">
        <f>1673+(206.2-910.7)+(-0.85323+(-0.105162--0.464457))+0-4--0.00203999999999959</f>
        <v>964.008105</v>
      </c>
      <c r="AA59" s="3">
        <f>1678.9+(192.5-824.9)+(-4.281195+(-0.490875--2.103495))+0-4--0.0101999999999994</f>
        <v>1039.841625</v>
      </c>
      <c r="AB59" s="3">
        <f>1646.8+(239.4-852.7)+(-2.519604+(-0.366282--1.304631))+0-4--0.00612000000000023</f>
        <v>1027.924865</v>
      </c>
      <c r="AC59" s="3">
        <f>1650.9+(279-956)+(-1.683918+(-0.28458--0.97512))+0-4--0.00408000000000064</f>
        <v>968.91070200000013</v>
      </c>
      <c r="AD59" s="2">
        <v>1050.3000000000002</v>
      </c>
      <c r="AE59" s="3">
        <f>1673+(164.9-787.6)+(0+(0-0))+0-4-0</f>
        <v>1046.3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1618.4+(326-1034.9)+(-1.650768+(-0.33252--1.055598))+0-4--0.00408000000000064</f>
        <v>904.57639000000006</v>
      </c>
      <c r="G60" s="3">
        <f>1422.6+(338.7-932.8)+(1.451052+(0.345474-0.951456))+0-4-0.00408000000000064</f>
        <v>825.34098999999992</v>
      </c>
      <c r="H60" s="3">
        <f>1344.5+(381.8-937.2)+(-0.685695+(-0.194718--0.477972))+0-4--0.00203999999999959</f>
        <v>784.69959899999992</v>
      </c>
      <c r="I60" s="3">
        <f>1332+(435.7-994.1)+(0+(0-0))+0-4-0</f>
        <v>769.59999999999991</v>
      </c>
      <c r="J60" s="3">
        <f>1346.1+(453.4-1035)+(0+(0-0))+0-4-0</f>
        <v>760.49999999999989</v>
      </c>
      <c r="K60" s="3">
        <f>1355.3+(366.6-970.6)+(-2.073609+(-0.560898--1.485018))+0-4--0.00612000000000023</f>
        <v>746.15663099999995</v>
      </c>
      <c r="L60" s="3">
        <f>1239.9+(385.3-908.5)+(-1.897047+(-0.589509--1.390005))+0-4--0.00612000000000023</f>
        <v>711.60956900000008</v>
      </c>
      <c r="M60" s="3">
        <f>1204.9+(354-832.7)+(-1.843497+(-0.54162--1.274031))+0-4--0.00612000000000023</f>
        <v>721.09503400000006</v>
      </c>
      <c r="N60" s="3">
        <f>1218.1+(345.3-796.1)+(0+(0-0))+0-4-0</f>
        <v>763.3</v>
      </c>
      <c r="O60" s="3">
        <f>1307.5+(327.4-803.7)+(-0.666825+(-0.166974--0.409887))+0-4--0.00203999999999959</f>
        <v>826.77812799999992</v>
      </c>
      <c r="P60" s="3">
        <f>1338.6+(316.7-795.2)+(1.365372+(0.323034-0.811104))+0-4-0.00408000000000064</f>
        <v>856.97322199999985</v>
      </c>
      <c r="Q60" s="3">
        <f>1404.1+(312.4-823.5)+(2.148273+(0.477972-1.259955))+0-4-0.00612000000000023</f>
        <v>890.36016999999993</v>
      </c>
      <c r="R60" s="3">
        <f>1450.1+(367.9-916.5)+(0+(0-0))+0-4-0</f>
        <v>897.49999999999989</v>
      </c>
      <c r="S60" s="3">
        <f>1560.7+(336.2-1011.9)+(-0.795957+(-0.171462--0.516069))+0-4--0.00203999999999959</f>
        <v>880.55068999999992</v>
      </c>
      <c r="T60" s="3">
        <f>1578.5+(342.9-1039.6)+(-1.61007+(-0.349758--1.060392))+0-4--0.00408000000000064</f>
        <v>876.90464400000008</v>
      </c>
      <c r="U60" s="3">
        <f>1583+(371.3-1070)+(-1.61466+(-0.378726--1.0914))+0-4--0.00408000000000064</f>
        <v>879.40209400000003</v>
      </c>
      <c r="V60" s="3">
        <f>1567.3+(370.3-1049.3)+(-3.197292+(-0.755412--2.140572))+0-4--0.00815999999999983</f>
        <v>882.49602799999991</v>
      </c>
      <c r="W60" s="3">
        <f>1589.2+(311.8-1019.9)+(-3.241968+(-0.636072--2.080596))+0-4--0.00815999999999983</f>
        <v>875.31071600000007</v>
      </c>
      <c r="X60" s="3">
        <f>1553.9+(245.1-945.4)+(-2.377467+(-0.375003--1.446462))+0-4--0.00612000000000023</f>
        <v>848.30011200000013</v>
      </c>
      <c r="Y60" s="3">
        <f>1370.7+(260.8-798.2)+(-0.699057+(-0.133008--0.407082))+0-4--0.00203999999999959</f>
        <v>828.87705699999992</v>
      </c>
      <c r="Z60" s="3">
        <f>1552.5+(217.4-862.2)+(0+(0-0))+0-4-0</f>
        <v>903.69999999999993</v>
      </c>
      <c r="AA60" s="3">
        <f>1651.5+(169.8-800.6)+(-2.526795+(-0.259794--1.224918))+0-4--0.00612000000000023</f>
        <v>1015.144449</v>
      </c>
      <c r="AB60" s="3">
        <f>1613.5+(253.3-854.3)+(-3.29154+(-0.516732--1.742772))+0-4--0.00815999999999983</f>
        <v>1006.4426599999999</v>
      </c>
      <c r="AC60" s="3">
        <f>1609.7+(324.3-970.5)+(-3.283788+(-0.661572--1.97982))+0-4--0.00815999999999983</f>
        <v>957.54261999999994</v>
      </c>
      <c r="AD60" s="2">
        <v>1005.5000000000001</v>
      </c>
      <c r="AE60" s="3">
        <f>1666+(147.4-807.9)+(0+(0-0))+0-4-0</f>
        <v>1001.5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1614.5+(375.8-1096.1)+(-0.823395+(-0.191658--0.559011))+0-4--0.00203999999999959</f>
        <v>889.74599799999999</v>
      </c>
      <c r="G61" s="3">
        <f>1594+(407.8-1158.6)+(-4.0647+(-1.03989--2.95443))+0-4--0.0101999999999994</f>
        <v>837.06004000000007</v>
      </c>
      <c r="H61" s="3">
        <f>1496.7+(466.6-1162.7)+(-3.053268+(-0.951864--2.371908))+0-4--0.00815999999999983</f>
        <v>794.97493599999996</v>
      </c>
      <c r="I61" s="3">
        <f>1416.6+(516.6-1154.8)+(-2.889864+(-1.053864--2.355792))+0-4--0.00815999999999983</f>
        <v>772.82022399999994</v>
      </c>
      <c r="J61" s="3">
        <f>1292.2+(505-1027.7)+(0.659022+(0.25755-0.524127))+0-4-0.00203999999999959</f>
        <v>765.89040499999999</v>
      </c>
      <c r="K61" s="3">
        <f>1224.1+(474.4-940.3)+(-2.497164+(-0.967776--1.918212))+0-4--0.00815999999999983</f>
        <v>752.66143199999988</v>
      </c>
      <c r="L61" s="3">
        <f>1226.7+(436.8-934.6)+(-0.625617+(-0.222768--0.476646))+0-4--0.00203999999999959</f>
        <v>724.53030100000001</v>
      </c>
      <c r="M61" s="3">
        <f>1547.5+(274.4-1049)+(1.57845+(0.279888-1.06998))+0-4-0.00408000000000064</f>
        <v>769.68427799999995</v>
      </c>
      <c r="N61" s="3">
        <f>1739.2+(276.6-1146.5)+(0+(0-0))+0-4-0</f>
        <v>865.30000000000007</v>
      </c>
      <c r="O61" s="3">
        <f>1714.8+(262-1038.4)+(1.749096+(0.26724-1.059168))+0-4-0.00408000000000064</f>
        <v>935.35308799999984</v>
      </c>
      <c r="P61" s="3">
        <f>1648.3+(239.4-921.8)+(0+(0-0))+0-4-0</f>
        <v>961.9</v>
      </c>
      <c r="Q61" s="3">
        <f>1677.6+(193.3-886.2)+(0+(0-0))+0-4-0</f>
        <v>980.69999999999982</v>
      </c>
      <c r="R61" s="3">
        <f>1662.2+(236.6-931.4)+(-0.847722+(-0.120666--0.475014))+0-4--0.00203999999999959</f>
        <v>962.90866600000004</v>
      </c>
      <c r="S61" s="3">
        <f>1648.3+(370.5-1067.9)+(-3.362532+(-0.75582--2.178516))+0-4--0.00815999999999983</f>
        <v>944.96832399999982</v>
      </c>
      <c r="T61" s="3">
        <f>1648+(388.4-1086.4)+(0+(0-0))+0-4-0</f>
        <v>945.99999999999989</v>
      </c>
      <c r="U61" s="3">
        <f>1604.9+(434.1-1073.6)+(-3.273996+(-0.885564--2.190144))+0-4--0.00815999999999983</f>
        <v>959.43874400000016</v>
      </c>
      <c r="V61" s="3">
        <f>1559.5+(472.8-1063.6)+(-3.976725+(-1.20564--2.71218))+0-4--0.0101999999999994</f>
        <v>962.24001500000008</v>
      </c>
      <c r="W61" s="3">
        <f>1563.3+(526.6-1129.8)+(-2.391849+(-0.805698--1.728594))+0-4--0.00612000000000023</f>
        <v>954.63716699999998</v>
      </c>
      <c r="X61" s="3">
        <f>1551+(514.5-1124.9)+(-5.53707+(-1.836765--4.015893))+0-4--0.0142800000000001</f>
        <v>933.25633799999991</v>
      </c>
      <c r="Y61" s="3">
        <f>1509.5+(400.6-996.3)+(-3.849225+(-1.02153--2.540565))+0-4--0.0101999999999994</f>
        <v>907.48001000000011</v>
      </c>
      <c r="Z61" s="3">
        <f>1512.3+(463.9-994)+(-0.771273+(-0.236589--0.50694))+0-4--0.00203999999999959</f>
        <v>977.70111799999995</v>
      </c>
      <c r="AA61" s="3">
        <f>1653.5+(434.2-1008.8)+(-4.216425+(-1.10721--2.57244))+0-4--0.0101999999999994</f>
        <v>1072.159005</v>
      </c>
      <c r="AB61" s="3">
        <f>1655.8+(439.5-1021.5)+(-3.377832+(-0.89658--2.08386))+0-4--0.00815999999999983</f>
        <v>1067.617608</v>
      </c>
      <c r="AC61" s="3">
        <f>1655.4+(446.9-1090.8)+(-3.377016+(-0.911676--2.225232))+0-4--0.00815999999999983</f>
        <v>1005.4447000000001</v>
      </c>
      <c r="AD61" s="2">
        <v>1087.4000000000001</v>
      </c>
      <c r="AE61" s="3">
        <f>1656+(435.3-1003.9)+(0+(0-0))+0-4-0</f>
        <v>1083.4000000000001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1570.7+(440.8-1087)+(-4.005285+(-1.12404--2.77185))+0-4--0.0101999999999994</f>
        <v>918.15272500000003</v>
      </c>
      <c r="G62" s="3">
        <f>1528.6+(418.7-1090.1)+(-3.89793+(-1.067685--2.779755))+0-4--0.0101999999999994</f>
        <v>851.02434000000005</v>
      </c>
      <c r="H62" s="3">
        <f>1506.2+(460.7-1141.4)+(-2.304486+(-0.704871--1.746342))+0-4--0.00612000000000023</f>
        <v>820.24310500000001</v>
      </c>
      <c r="I62" s="3">
        <f>1511.6+(460.8-1182.5)+(-0.770916+(-0.235008--0.603075))+0-4--0.00203999999999959</f>
        <v>785.49919099999988</v>
      </c>
      <c r="J62" s="3">
        <f>1517.5+(467-1195.9)+(-2.321775+(-0.71451--1.829727))+0-4--0.00612000000000023</f>
        <v>783.39956199999995</v>
      </c>
      <c r="K62" s="3">
        <f>1482.6+(463.2-1155.3)+(-3.78063+(-1.18116--2.946015))+0-4--0.0101999999999994</f>
        <v>784.49442500000009</v>
      </c>
      <c r="L62" s="3">
        <f>1272.8+(428.4-951.6)+(-0.649128+(-0.218484--0.485316))+0-4--0.00203999999999959</f>
        <v>745.21974399999988</v>
      </c>
      <c r="M62" s="3">
        <f>1325.1+(369.4-892.2)+(-1.351602+(-0.376788--0.910044))+0-4--0.00408000000000064</f>
        <v>797.48573399999987</v>
      </c>
      <c r="N62" s="3">
        <f>1549.5+(280.9-970.8)+(0.790245+(0.143259-0.495108))+0-4-0.00203999999999959</f>
        <v>856.03635600000007</v>
      </c>
      <c r="O62" s="3">
        <f>1695.7+(347.8-1086.2)+(-1.729614+(-0.354756--1.107924))+0-4--0.00408000000000064</f>
        <v>952.32763399999999</v>
      </c>
      <c r="P62" s="3">
        <f>1666+(362.2-1042.1)+(2.54898+(0.554166-1.594413))+0-4-0.00612000000000023</f>
        <v>983.60261300000013</v>
      </c>
      <c r="Q62" s="3">
        <f>1620+(361.5-972.4)+(2.4786+(0.553095-1.487772))+0-4-0.00612000000000023</f>
        <v>1006.637803</v>
      </c>
      <c r="R62" s="3">
        <f>1597.9+(395.7-975.6)+(0+(0-0))+0-4-0</f>
        <v>1014</v>
      </c>
      <c r="S62" s="3">
        <f>1585.9+(463-1063.8)+(0+(0-0))+0-4-0</f>
        <v>981.10000000000014</v>
      </c>
      <c r="T62" s="3">
        <f>1579+(440.5-1079)+(-2.41587+(-0.673965--1.65087))+0-4--0.00612000000000023</f>
        <v>935.06715499999996</v>
      </c>
      <c r="U62" s="3">
        <f>1562.7+(503.9-1097.1)+(-3.187908+(-1.027956--2.238084))+0-4--0.00815999999999983</f>
        <v>963.53038000000004</v>
      </c>
      <c r="V62" s="3">
        <f>1564.3+(534.6-1121.6)+(-3.988965+(-1.36323--2.86008))+0-4--0.0101999999999994</f>
        <v>970.81808500000011</v>
      </c>
      <c r="W62" s="3">
        <f>1572.4+(526.1-1117.1)+(-0.801924+(-0.268311--0.569721))+0-4--0.00203999999999959</f>
        <v>976.90152600000022</v>
      </c>
      <c r="X62" s="3">
        <f>1538.8+(431.6-1022.5)+(-3.139152+(-0.880464--2.0859))+0-4--0.00815999999999983</f>
        <v>941.97444399999995</v>
      </c>
      <c r="Y62" s="3">
        <f>1477.9+(385.4-933.9)+(-0.753729+(-0.196554--0.476289))+0-4--0.00203999999999959</f>
        <v>924.92804600000011</v>
      </c>
      <c r="Z62" s="3">
        <f>1550.1+(406.5-943.5)+(0.790551+(0.207315-0.481185))+0-4-0.00203999999999959</f>
        <v>1009.6146409999999</v>
      </c>
      <c r="AA62" s="3">
        <f>1570.1+(432.7-893.2)+(-3.203004+(-0.882708--1.822128))+0-4--0.00815999999999983</f>
        <v>1103.344576</v>
      </c>
      <c r="AB62" s="3">
        <f>1547.1+(496.5-936.2)+(-2.367063+(-0.759645--1.432386))+0-4--0.00612000000000023</f>
        <v>1101.7117979999998</v>
      </c>
      <c r="AC62" s="3">
        <f>1424.2+(551.3-943.2)+(-2.905368+(-1.124652--1.924128))+0-4--0.00815999999999983</f>
        <v>1026.202268</v>
      </c>
      <c r="AD62" s="2">
        <v>1108.8</v>
      </c>
      <c r="AE62" s="3">
        <f>1586+(410.3-887.5)+(0+(0-0))+0-4-0</f>
        <v>1104.8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1359.3+(522.2-951.5)+(-1.386486+(-0.532644--0.97053))+0-4--0.00408000000000064</f>
        <v>925.05547999999999</v>
      </c>
      <c r="G63" s="3">
        <f>1385.3+(454.3-980.8)+(-3.532515+(-1.158465--2.50104))+0-4--0.0101999999999994</f>
        <v>852.62026000000003</v>
      </c>
      <c r="H63" s="3">
        <f>1399.2+(494.3-1064.9)+(-1.427184+(-0.504186--1.086198))+0-4--0.00408000000000064</f>
        <v>823.75890799999991</v>
      </c>
      <c r="I63" s="3">
        <f>1369.1+(473.6-1045.9)+(-2.094723+(-0.724608--1.600227))+0-4--0.00612000000000023</f>
        <v>791.58701599999984</v>
      </c>
      <c r="J63" s="3">
        <f>1299.1+(460.1-978.7)+(0+(0-0))+0-4-0</f>
        <v>776.49999999999989</v>
      </c>
      <c r="K63" s="3">
        <f>1279.1+(462.9-963.7)+(-1.957023+(-0.708237--1.474461))+0-4--0.00612000000000023</f>
        <v>773.11532099999988</v>
      </c>
      <c r="L63" s="3">
        <f>1197.9+(387-831.4)+(-1.221858+(-0.39474--0.848028))+0-4--0.00408000000000064</f>
        <v>748.7355100000002</v>
      </c>
      <c r="M63" s="3">
        <f>1305.4+(293.5-796.8)+(-1.997262+(-0.449055--1.219104))+0-4--0.00612000000000023</f>
        <v>796.87890700000014</v>
      </c>
      <c r="N63" s="3">
        <f>1516.2+(195.5-839.3)+(-0.773262+(-0.099705--0.428043))+0-4--0.00203999999999959</f>
        <v>867.95711600000004</v>
      </c>
      <c r="O63" s="3">
        <f>1559.6+(363.7-965.9)+(0+(0-0))+0-4-0</f>
        <v>953.39999999999986</v>
      </c>
      <c r="P63" s="3">
        <f>1477.2+(407.8-899)+(0+(0-0))+0-4-0</f>
        <v>982</v>
      </c>
      <c r="Q63" s="3">
        <f>1442.4+(374.4-793.4)+(0.735624+(0.190944-0.404634))+0-4-0.00203999999999959</f>
        <v>1019.9198940000001</v>
      </c>
      <c r="R63" s="3">
        <f>1565.3+(352.3-915.2)+(-0.798303+(-0.179673--0.466752))+0-4--0.00203999999999959</f>
        <v>997.89081599999986</v>
      </c>
      <c r="S63" s="3">
        <f>1557.1+(425.5-982.5)+(-1.588242+(-0.43401--1.00215))+0-4--0.00408000000000064</f>
        <v>995.083978</v>
      </c>
      <c r="T63" s="3">
        <f>1526.1+(402.2-969.1)+(-0.778311+(-0.205122--0.494241))+0-4--0.00203999999999959</f>
        <v>954.71284799999978</v>
      </c>
      <c r="U63" s="3">
        <f>1534.7+(453.5-997.8)+(-1.565394+(-0.46257--1.017756))+0-4--0.00408000000000064</f>
        <v>985.3938720000001</v>
      </c>
      <c r="V63" s="3">
        <f>1529.8+(460.7-1007.8)+(-4.681188+(-1.409742--3.083868))+0-4--0.0122400000000005</f>
        <v>975.70517800000005</v>
      </c>
      <c r="W63" s="3">
        <f>1535.5+(504.3-1083.7)+(-2.349315+(-0.771579--1.658061))+0-4--0.00612000000000023</f>
        <v>950.64328699999987</v>
      </c>
      <c r="X63" s="3">
        <f>1463.5+(484.1-1030.8)+(-5.224695+(-1.728237--3.679956))+0-4--0.0142800000000001</f>
        <v>909.54130400000008</v>
      </c>
      <c r="Y63" s="3">
        <f>1420.1+(367.2-872.8)+(-3.621255+(-0.93636--2.22564))+0-4--0.0101999999999994</f>
        <v>908.178225</v>
      </c>
      <c r="Z63" s="3">
        <f>1531.8+(395.5-928.3)+(0.781218+(0.201705-0.473433))+0-4-0.00203999999999959</f>
        <v>995.50745000000006</v>
      </c>
      <c r="AA63" s="3">
        <f>1612.9+(393.5-915.5)+(-2.467737+(-0.602055--1.400715))+0-4--0.00612000000000023</f>
        <v>1085.2370430000001</v>
      </c>
      <c r="AB63" s="3">
        <f>1616.1+(423.9-978.7)+(-3.296844+(-0.864756--1.996548))+0-4--0.00815999999999983</f>
        <v>1055.1431079999998</v>
      </c>
      <c r="AC63" s="3">
        <f>1538.5+(484.7-1019.9)+(-1.56927+(-0.494394--1.040298))+0-4--0.00408000000000064</f>
        <v>998.28071399999999</v>
      </c>
      <c r="AD63" s="2">
        <v>1072.2</v>
      </c>
      <c r="AE63" s="3">
        <f>1623+(419-969.8)+(0+(0-0))+0-4-0</f>
        <v>1068.2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1520.2+(508.8-1089.8)+(-2.325906+(-0.778464--1.667394))+0-4--0.00612000000000023</f>
        <v>933.7691440000001</v>
      </c>
      <c r="G64" s="3">
        <f>1554.4+(480.9-1167.4)+(-3.170976+(-0.981036--2.381496))+0-4--0.00815999999999983</f>
        <v>862.13764399999991</v>
      </c>
      <c r="H64" s="3">
        <f>1493.4+(533-1189.2)+(-3.80817+(-1.35915--3.03246))+0-4--0.0101999999999994</f>
        <v>831.0753400000001</v>
      </c>
      <c r="I64" s="3">
        <f>1448.5+(557.1-1192.5)+(-2.216205+(-0.852363--1.824525))+0-4--0.00612000000000023</f>
        <v>807.862077</v>
      </c>
      <c r="J64" s="3">
        <f>1360.2+(567.2-1129.6)+(-2.081106+(-0.867816--1.728288))+0-4--0.00612000000000023</f>
        <v>792.58548600000017</v>
      </c>
      <c r="K64" s="3">
        <f>1348.1+(571.4-1129.6)+(-4.125186+(-1.748484--3.456576))+0-4--0.0122400000000005</f>
        <v>783.49514599999998</v>
      </c>
      <c r="L64" s="3">
        <f>1243.9+(496-980.1)+(0.634389+(0.25296-0.499851))+0-4-0.00203999999999959</f>
        <v>756.18545800000015</v>
      </c>
      <c r="M64" s="3">
        <f>1265.2+(462.4-923.2)+(-0.645252+(-0.235824--0.470832))+0-4--0.00203999999999959</f>
        <v>799.99179599999991</v>
      </c>
      <c r="N64" s="3">
        <f>1371.2+(366.3-853.8)+(0.699312+(0.186813-0.435438))+0-4-0.00203999999999959</f>
        <v>880.1486470000001</v>
      </c>
      <c r="O64" s="3">
        <f>1438.1+(373.9-875.1)+(0+(0-0))+0-4-0</f>
        <v>932.89999999999986</v>
      </c>
      <c r="P64" s="3">
        <f>1503.3+(392-886.6)+(0+(0-0))+0-4-0</f>
        <v>1004.6999999999999</v>
      </c>
      <c r="Q64" s="3">
        <f>1509+(410.4-902.3)+(0+(0-0))+0-4-0</f>
        <v>1013.1</v>
      </c>
      <c r="R64" s="3">
        <f>1531.1+(394.3-934.3)+(0+(0-0))+0-4-0</f>
        <v>987.09999999999991</v>
      </c>
      <c r="S64" s="3">
        <f>1596.2+(465.5-1124.4)+(-3.256248+(-0.94962--2.293776))+0-4--0.00815999999999983</f>
        <v>931.3960679999999</v>
      </c>
      <c r="T64" s="3">
        <f>1558.6+(530.1-1118.3)+(-0.794886+(-0.270351--0.570333))+0-4--0.00203999999999959</f>
        <v>965.90713599999992</v>
      </c>
      <c r="U64" s="3">
        <f>1459.8+(540.5-1047.4)+(-2.977992+(-1.10262--2.136696))+0-4--0.00815999999999983</f>
        <v>946.96424399999989</v>
      </c>
      <c r="V64" s="3">
        <f>1477.4+(480.8-1008.3)+(-5.274318+(-1.716456--3.599631))+0-4--0.0142800000000001</f>
        <v>942.52313700000002</v>
      </c>
      <c r="W64" s="3">
        <f>1476.7+(425.5-955.9)+(-4.518702+(-1.30203--2.925054))+0-4--0.0122400000000005</f>
        <v>939.41656200000011</v>
      </c>
      <c r="X64" s="3">
        <f>1444.4+(360.4-904.3)+(-1.473288+(-0.367608--0.922386))+0-4--0.00408000000000064</f>
        <v>895.58557000000019</v>
      </c>
      <c r="Y64" s="3">
        <f>1476.6+(338.5-892.8)+(0+(0-0))+0-4-0</f>
        <v>918.3</v>
      </c>
      <c r="Z64" s="3">
        <f>1512.2+(372.8-943.3)+(-1.542444+(-0.380256--0.962166))+0-4--0.00408000000000064</f>
        <v>936.74354600000004</v>
      </c>
      <c r="AA64" s="3">
        <f>1681.7+(425-1042.8)+(-4.288335+(-1.08375--2.65914))+0-4--0.0101999999999994</f>
        <v>1057.197255</v>
      </c>
      <c r="AB64" s="3">
        <f>1642.8+(429.6-1000.9)+(-3.351312+(-0.876384--2.041836))+0-4--0.00815999999999983</f>
        <v>1065.3223</v>
      </c>
      <c r="AC64" s="3">
        <f>1555.5+(455.4-1041.8)+(-5.553135+(-1.625778--3.719226))+0-4--0.0142800000000001</f>
        <v>961.65459299999998</v>
      </c>
      <c r="AD64" s="2">
        <v>1076.2999999999997</v>
      </c>
      <c r="AE64" s="3">
        <f>1696+(392.7-1012.4)+(0+(0-0))+0-4-0</f>
        <v>1072.3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1543.5+(446.7-1077)+(-5.510295+(-1.594719--3.84489))+0-4--0.0142800000000001</f>
        <v>905.95415600000001</v>
      </c>
      <c r="G65" s="3">
        <f>1428.4+(449.1-1050.2)+(-4.370904+(-1.374246--3.213612))+0-4--0.0122400000000005</f>
        <v>820.78070200000013</v>
      </c>
      <c r="H65" s="3">
        <f>1424+(467.4-1100.7)+(-2.90496+(-0.953496--2.245428))+0-4--0.00815999999999983</f>
        <v>785.09513199999992</v>
      </c>
      <c r="I65" s="3">
        <f>1440.4+(493-1156)+(-2.938416+(-1.00572--2.35824))+0-4--0.00815999999999983</f>
        <v>771.82226400000002</v>
      </c>
      <c r="J65" s="3">
        <f>1441.4+(434.4-1111.1)+(-2.940456+(-0.886176--2.266644))+0-4--0.00815999999999983</f>
        <v>759.14817200000016</v>
      </c>
      <c r="K65" s="3">
        <f>1434+(408.8-1081.9)+(-2.19402+(-0.625464--1.655307))+0-4--0.00612000000000023</f>
        <v>755.74194299999988</v>
      </c>
      <c r="L65" s="3">
        <f>1156.7+(449-875.2)+(-2.359668+(-0.91596--1.785408))+0-4--0.00815999999999983</f>
        <v>725.01793999999995</v>
      </c>
      <c r="M65" s="3">
        <f>1160+(394.5-787.7)+(0.5916+(0.201195-0.401727))+0-4-0.00203999999999959</f>
        <v>763.18902800000001</v>
      </c>
      <c r="N65" s="3">
        <f>1190+(468-806.5)+(-1.2138+(-0.47736--0.82263))+0-4--0.00408000000000064</f>
        <v>846.63555000000008</v>
      </c>
      <c r="O65" s="3">
        <f>1272.4+(421.4-777.6)+(-3.893544+(-1.289484--2.379456))+0-4--0.0122400000000005</f>
        <v>909.40866800000003</v>
      </c>
      <c r="P65" s="3">
        <f>1432.1+(329.2-816.9)+(0.730371+(0.167892-0.416619))+0-4-0.00203999999999959</f>
        <v>940.87960399999986</v>
      </c>
      <c r="Q65" s="3">
        <f>1643.8+(309-964)+(0+(0-0))+0-4-0</f>
        <v>984.8</v>
      </c>
      <c r="R65" s="3">
        <f>1695.1+(343.4-1025.1)+(0+(0-0))+0-4-0</f>
        <v>1009.4</v>
      </c>
      <c r="S65" s="3">
        <f>1685.4+(403.1-1114.4)+(-4.29777+(-1.027905--2.84172))+0-4--0.0101999999999994</f>
        <v>967.62624500000004</v>
      </c>
      <c r="T65" s="3">
        <f>1682.6+(410.4-1119.2)+(-0.858126+(-0.209304--0.570792))+0-4--0.00203999999999959</f>
        <v>969.30540199999984</v>
      </c>
      <c r="U65" s="3">
        <f>1663.8+(353.8-1051.3)+(-3.394152+(-0.721752--2.144652))+0-4--0.00815999999999983</f>
        <v>960.33690799999988</v>
      </c>
      <c r="V65" s="3">
        <f>1661.9+(267.1-961.5)+(-1.695138+(-0.272442--0.98073))+0-4--0.00408000000000064</f>
        <v>962.51723000000015</v>
      </c>
      <c r="W65" s="3">
        <f>1528.2+(263.3-839.9)+(-1.558764+(-0.268566--0.856698))+0-4--0.00408000000000064</f>
        <v>946.63344800000016</v>
      </c>
      <c r="X65" s="3">
        <f>1385+(219.4-648.5)+(-0.70635+(-0.111894--0.330735))+0-4--0.00203999999999959</f>
        <v>951.4145309999999</v>
      </c>
      <c r="Y65" s="3">
        <f>1302+(254.9-624.9)+(-1.99206+(-0.389997--0.956097))+0-4--0.00612000000000023</f>
        <v>926.58015999999998</v>
      </c>
      <c r="Z65" s="3">
        <f>1258.1+(307.5-623.1)+(-1.283262+(-0.31365--0.635562))+0-4--0.00408000000000064</f>
        <v>937.54272999999989</v>
      </c>
      <c r="AA65" s="3">
        <f>1268.9+(396.2-630.4)+(-1.294278+(-0.404124--0.643008))+0-4--0.00408000000000064</f>
        <v>1029.648686</v>
      </c>
      <c r="AB65" s="3">
        <f>1267.8+(375.6-632.3)+(-3.23289+(-0.95778--1.612365))+0-4--0.0101999999999994</f>
        <v>1004.5318950000001</v>
      </c>
      <c r="AC65" s="3">
        <f>1275.8+(390.1-718.2)+(0+(0-0))+0-4-0</f>
        <v>943.69999999999993</v>
      </c>
      <c r="AD65" s="2">
        <v>1033.9000000000001</v>
      </c>
      <c r="AE65" s="3">
        <f>1271+(398.5-635.6)+(0+(0-0))+0-4-0</f>
        <v>1029.9000000000001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1273.5+(417-805.5)+(-1.29897+(-0.42534--0.82161))+0-4--0.00408000000000064</f>
        <v>880.10138000000006</v>
      </c>
      <c r="G66" s="3">
        <f>1269.2+(514.8-953)+(-0.647292+(-0.262548--0.48603))+0-4--0.00203999999999959</f>
        <v>826.57822999999996</v>
      </c>
      <c r="H66" s="3">
        <f>1280.2+(525.9-996.7)+(1.958706+(0.804627-1.524951))+0-4-0.00612000000000023</f>
        <v>806.63226199999997</v>
      </c>
      <c r="I66" s="3">
        <f>1276.9+(503.1-995.3)+(0.651219+(0.256581-0.507603))+0-4-0.00203999999999959</f>
        <v>781.09815700000024</v>
      </c>
      <c r="J66" s="3">
        <f>1282.5+(455.2-965.9)+(-1.962225+(-0.696456--1.477827))+0-4--0.00612000000000023</f>
        <v>766.62526600000001</v>
      </c>
      <c r="K66" s="3">
        <f>1291.1+(451.2-967.3)+(-3.292305+(-1.15056--2.466615))+0-4--0.0101999999999994</f>
        <v>769.03395</v>
      </c>
      <c r="L66" s="3">
        <f>1296.7+(397.8-937.1)+(-1.322634+(-0.405756--0.955842))+0-4--0.00408000000000064</f>
        <v>752.63153200000011</v>
      </c>
      <c r="M66" s="3">
        <f>1302.3+(328.2-853.2)+(1.328346+(0.334764-0.870264))+0-4-0.00408000000000064</f>
        <v>774.08876599999996</v>
      </c>
      <c r="N66" s="3">
        <f>1368.3+(285-802.7)+(-1.395666+(-0.2907--0.818754))+0-4--0.00408000000000064</f>
        <v>845.73646799999995</v>
      </c>
      <c r="O66" s="3">
        <f>1389.8+(225.1-715.9)+(1.417596+(0.229602-0.730218))+0-4-0.00408000000000064</f>
        <v>895.91289999999992</v>
      </c>
      <c r="P66" s="3">
        <f>1631.8+(100.1-784)+(0+(0-0))+0-4-0</f>
        <v>943.9</v>
      </c>
      <c r="Q66" s="3">
        <f>1661.5+(104.7-815.9)+(0.847365+(0.053397-0.416109))+0-4-0.00203999999999959</f>
        <v>946.78261300000008</v>
      </c>
      <c r="R66" s="3">
        <f>1652.1+(104.2-810.2)+(-3.370284+(-0.212568--1.652808))+0-4--0.00815999999999983</f>
        <v>940.17811599999993</v>
      </c>
      <c r="S66" s="3">
        <f>1650.7+(197.6-940.1)+(-1.683714+(-0.201552--0.958902))+0-4--0.00408000000000064</f>
        <v>903.27771600000005</v>
      </c>
      <c r="T66" s="3">
        <f>1657.6+(236.8-999.7)+(-0.845376+(-0.120768--0.509847))+0-4--0.00203999999999959</f>
        <v>890.24574299999983</v>
      </c>
      <c r="U66" s="3">
        <f>1651.2+(250.6-1004.1)+(-3.368448+(-0.511224--2.048364))+0-4--0.00815999999999983</f>
        <v>891.87685199999999</v>
      </c>
      <c r="V66" s="3">
        <f>1647.4+(253.2-995.3)+(-4.20087+(-0.64566--2.538015))+0-4--0.0101999999999994</f>
        <v>899.00168500000029</v>
      </c>
      <c r="W66" s="3">
        <f>1634.5+(260.9-990.3)+(-3.33438+(-0.532236--2.020212))+0-4--0.00815999999999983</f>
        <v>899.26175599999999</v>
      </c>
      <c r="X66" s="3">
        <f>1473.9+(259.6-840.5)+(-3.758445+(-0.66198--2.143275))+0-4--0.0101999999999994</f>
        <v>886.73305000000016</v>
      </c>
      <c r="Y66" s="3">
        <f>1445.4+(215.4-778.3)+(-0.737154+(-0.109854--0.396933))+0-4--0.00203999999999959</f>
        <v>878.05196500000011</v>
      </c>
      <c r="Z66" s="3">
        <f>1618.6+(184.3-833.1)+(-0.825486+(-0.093993--0.424881))+0-4--0.00203999999999959</f>
        <v>965.30744199999992</v>
      </c>
      <c r="AA66" s="3">
        <f>1656.7+(191.4-807.7)+(-4.224585+(-0.48807--2.059635))+0-4--0.0101999999999994</f>
        <v>1033.7571800000001</v>
      </c>
      <c r="AB66" s="3">
        <f>1649.5+(230.2-866.5)+(-4.206225+(-0.58701--2.209575))+0-4--0.0101999999999994</f>
        <v>1006.6265400000001</v>
      </c>
      <c r="AC66" s="3">
        <f>1675.9+(202.3-921.6)+(-0.854709+(-0.103173--0.470016))+0-4--0.00203999999999959</f>
        <v>952.11417400000005</v>
      </c>
      <c r="AD66" s="2">
        <v>1042.8999999999999</v>
      </c>
      <c r="AE66" s="3">
        <f>1667+(186.6-810.7)+(0+(0-0))+0-4-0</f>
        <v>1038.9000000000001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1672.4+(197.1-964.4)+(-0.852924+(-0.100521--0.491844))+0-4--0.00203999999999959</f>
        <v>900.64043900000013</v>
      </c>
      <c r="G67" s="3">
        <f>1584.4+(299.4-1039.3)+(-1.616088+(-0.305388--1.060086))+0-4--0.00408000000000064</f>
        <v>839.64269000000013</v>
      </c>
      <c r="H67" s="3">
        <f>1527.1+(311-1049.3)+(-2.336463+(-0.47583--1.605429))+0-4--0.00612000000000023</f>
        <v>783.59925599999997</v>
      </c>
      <c r="I67" s="3">
        <f>1531.2+(273.8-1050.1)+(-1.561824+(-0.279276--1.071102))+0-4--0.00408000000000064</f>
        <v>750.13408200000015</v>
      </c>
      <c r="J67" s="3">
        <f>1543.1+(228.7-1016.5)+(2.360943+(0.349911-1.555245))+0-4-0.00612000000000023</f>
        <v>752.44948899999997</v>
      </c>
      <c r="K67" s="3">
        <f>1536.9+(224-1010.4)+(-0.783819+(-0.11424--0.515304))+0-4--0.00203999999999959</f>
        <v>746.1192850000001</v>
      </c>
      <c r="L67" s="3">
        <f>1528.9+(266.6-1063.1)+(0.779739+(0.135966-0.542181))+0-4-0.00203999999999959</f>
        <v>728.77148400000021</v>
      </c>
      <c r="M67" s="3">
        <f>1516.7+(232.3-1004.2)+(-0.773517+(-0.118473--0.512142))+0-4--0.00203999999999959</f>
        <v>740.42219199999988</v>
      </c>
      <c r="N67" s="3">
        <f>1586.9+(213.9-1003.7)+(-2.427957+(-0.327267--1.535661))+0-4--0.00612000000000023</f>
        <v>791.88655700000004</v>
      </c>
      <c r="O67" s="3">
        <f>1687.4+(195-1025.1)+(-1.721148+(-0.1989--1.045602))+0-4--0.00408000000000064</f>
        <v>852.42963400000019</v>
      </c>
      <c r="P67" s="3">
        <f>1690.3+(150.5-932.6)+(-0.862053+(-0.076755--0.475626))+0-4--0.00203999999999959</f>
        <v>903.73885799999994</v>
      </c>
      <c r="Q67" s="3">
        <f>1680.5+(156.1-899.6)+(-1.71411+(-0.159222--0.917592))+0-4--0.00408000000000064</f>
        <v>932.04834000000005</v>
      </c>
      <c r="R67" s="3">
        <f>1674.2+(166.6-921.4)+(0.853842+(0.084966-0.469914))+0-4-0.00203999999999959</f>
        <v>915.8668540000001</v>
      </c>
      <c r="S67" s="3">
        <f>1650.2+(173.2-926.6)+(-0.841602+(-0.088332--0.472566))+0-4--0.00203999999999959</f>
        <v>892.34467199999995</v>
      </c>
      <c r="T67" s="3">
        <f>1648.7+(193.6-952.2)+(-0.840837+(-0.098736--0.485622))+0-4--0.00203999999999959</f>
        <v>885.64808900000003</v>
      </c>
      <c r="U67" s="3">
        <f>1655.2+(228.4-996.8)+(4.22076+(0.58242-2.54184))+0-4-0.0101999999999994</f>
        <v>885.05114000000003</v>
      </c>
      <c r="V67" s="3">
        <f>1639.9+(281.3-1028.7)+(-0.836349+(-0.143463--0.524637))+0-4--0.00203999999999959</f>
        <v>888.04686499999991</v>
      </c>
      <c r="W67" s="3">
        <f>1638.9+(330.6-1071.9)+(-1.671678+(-0.337212--1.093338))+0-4--0.00408000000000064</f>
        <v>892.68852800000002</v>
      </c>
      <c r="X67" s="3">
        <f>1573.5+(347.3-1036.6)+(-4.81491+(-1.062738--3.171996))+0-4--0.0122400000000005</f>
        <v>877.50658800000008</v>
      </c>
      <c r="Y67" s="3">
        <f>1397.7+(343.9-868.4)+(-2.138481+(-0.526167--1.328652))+0-4--0.00612000000000023</f>
        <v>867.87012400000003</v>
      </c>
      <c r="Z67" s="3">
        <f>1557.5+(330.2-953.4)+(-1.58865+(-0.336804--0.972468))+0-4--0.00408000000000064</f>
        <v>929.35109399999999</v>
      </c>
      <c r="AA67" s="3">
        <f>1749.8+(290.4-986.2)+(-2.677194+(-0.444312--1.508886))+0-4--0.00612000000000023</f>
        <v>1048.3934999999999</v>
      </c>
      <c r="AB67" s="3">
        <f>1752.4+(361.4-1064.7)+(-2.681172+(-0.552942--1.628991))+0-4--0.00612000000000023</f>
        <v>1043.5009969999999</v>
      </c>
      <c r="AC67" s="3">
        <f>1763.8+(454.3-1214.2)+(-0.899538+(-0.231693--0.619242))+0-4--0.00203999999999959</f>
        <v>999.39005099999986</v>
      </c>
      <c r="AD67" s="2">
        <v>1053.5</v>
      </c>
      <c r="AE67" s="3">
        <f>1749+(314.5-1010)+(0+(0-0))+0-4-0</f>
        <v>1049.5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1631.1+(436.5-1132.3)+(-3.327444+(-0.89046--2.309892))+0-4--0.00815999999999983</f>
        <v>929.40014799999994</v>
      </c>
      <c r="G68" s="3">
        <f>1547.1+(422.4-1108.9)+(-3.945105+(-1.07712--2.827695))+0-4--0.0101999999999994</f>
        <v>854.41566999999986</v>
      </c>
      <c r="H68" s="3">
        <f>1522.2+(409.5-1113.4)+(-3.105288+(-0.83538--2.271336))+0-4--0.00815999999999983</f>
        <v>812.63882799999988</v>
      </c>
      <c r="I68" s="3">
        <f>1403.9+(444.1-1054.7)+(-1.431978+(-0.452982--1.075794))+0-4--0.00408000000000064</f>
        <v>788.49491400000011</v>
      </c>
      <c r="J68" s="3">
        <f>1395.9+(425.8-1037.4)+(-1.423818+(-0.434316--1.058148))+0-4--0.00408000000000064</f>
        <v>779.50409400000001</v>
      </c>
      <c r="K68" s="3">
        <f>1376.1+(423.5-1014.1)+(-3.509055+(-1.079925--2.585955))+0-4--0.0101999999999994</f>
        <v>779.50717499999996</v>
      </c>
      <c r="L68" s="3">
        <f>1135.7+(440.8-819.5)+(-0.579207+(-0.224808--0.417945))+0-4--0.00203999999999959</f>
        <v>752.61596999999995</v>
      </c>
      <c r="M68" s="3">
        <f>1133.3+(421.8-765.4)+(1.155966+(0.430236-0.780708))+0-4-0.00408000000000064</f>
        <v>786.50141399999995</v>
      </c>
      <c r="N68" s="3">
        <f>1344+(257.9-718.2)+(0.68544+(0.131529-0.366282))+0-4-0.00203999999999959</f>
        <v>880.14864699999998</v>
      </c>
      <c r="O68" s="3">
        <f>1427+(219.4-690.5)+(0.72777+(0.111894-0.352155))+0-4-0.00203999999999959</f>
        <v>952.38546900000006</v>
      </c>
      <c r="P68" s="3">
        <f>1597.7+(153-750.4)+(-2.444481+(-0.23409--1.148112))+0-4--0.00612000000000023</f>
        <v>994.77566100000013</v>
      </c>
      <c r="Q68" s="3">
        <f>1658.3+(134.1-776.3)+(-0.845733+(-0.068391--0.395913))+0-4--0.00203999999999959</f>
        <v>1011.583829</v>
      </c>
      <c r="R68" s="3">
        <f>1645.9+(140.8-801.7)+(1.678818+(0.143616-0.817734))+0-4-0.00408000000000064</f>
        <v>982.00061999999991</v>
      </c>
      <c r="S68" s="3">
        <f>1629.4+(190.5-854.8)+(-1.661988+(-0.19431--0.871896))+0-4--0.00408000000000064</f>
        <v>960.11967800000014</v>
      </c>
      <c r="T68" s="3">
        <f>1628.5+(249.7-935.4)+(-0.830535+(-0.127347--0.477054))+0-4--0.00203999999999959</f>
        <v>938.32121199999995</v>
      </c>
      <c r="U68" s="3">
        <f>1613+(283.4-963.2)+(-4.11315+(-0.72267--2.45616))+0-4--0.0101999999999994</f>
        <v>926.83054000000004</v>
      </c>
      <c r="V68" s="3">
        <f>1624.8+(291.7-966.9)+(-0.828648+(-0.148767--0.493119))+0-4--0.00203999999999959</f>
        <v>945.1177439999999</v>
      </c>
      <c r="W68" s="3">
        <f>1622.3+(281.1-942.7)+(-3.309492+(-0.573444--1.923108))+0-4--0.00815999999999983</f>
        <v>954.74833199999989</v>
      </c>
      <c r="X68" s="3">
        <f>1639.3+(336.1-1038.2)+(-4.180215+(-0.857055--2.64741))+0-4--0.0101999999999994</f>
        <v>930.82033999999999</v>
      </c>
      <c r="Y68" s="3">
        <f>1557+(320-956.2)+(0.79407+(0.1632-0.487662))+0-4-0.00203999999999959</f>
        <v>917.26756799999998</v>
      </c>
      <c r="Z68" s="3">
        <f>1651.1+(374.3-1028.1)+(-0.842061+(-0.190893--0.524331))+0-4--0.00203999999999959</f>
        <v>992.79341699999998</v>
      </c>
      <c r="AA68" s="3">
        <f>1693.7+(434.5-1036.1)+(-2.591361+(-0.664785--1.585233))+0-4--0.00612000000000023</f>
        <v>1086.4352070000002</v>
      </c>
      <c r="AB68" s="3">
        <f>1643.7+(479.9-1055)+(-5.029722+(-1.468494--3.2283))+0-4--0.0122400000000005</f>
        <v>1061.342324</v>
      </c>
      <c r="AC68" s="3">
        <f>1619.7+(491.3-1103.1)+(-4.130235+(-1.252815--2.812905))+0-4--0.0101999999999994</f>
        <v>1001.3400550000001</v>
      </c>
      <c r="AD68" s="2">
        <v>1089.3</v>
      </c>
      <c r="AE68" s="3">
        <f>1699+(432.6-1042.3)+(0+(0-0))+0-4-0</f>
        <v>1085.3000000000002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1634.6+(494.3-1192.7)+(0+(0-0))+0-4-0</f>
        <v>932.19999999999982</v>
      </c>
      <c r="G69" s="3">
        <f>1585.9+(492.7-1198.3)+(-2.426427+(-0.753831--1.833399))+0-4--0.00612000000000023</f>
        <v>874.9592610000002</v>
      </c>
      <c r="H69" s="3">
        <f>1499.5+(510.1-1164.8)+(-3.05898+(-1.040604--2.376192))+0-4--0.00815999999999983</f>
        <v>839.08476800000005</v>
      </c>
      <c r="I69" s="3">
        <f>1372.7+(527.3-1084.7)+(-2.800308+(-1.075692--2.212788))+0-4--0.00815999999999983</f>
        <v>809.64494799999989</v>
      </c>
      <c r="J69" s="3">
        <f>1284.6+(535.1-1019.4)+(-0.655146+(-0.272901--0.519894))+0-4--0.00203999999999959</f>
        <v>795.89388699999995</v>
      </c>
      <c r="K69" s="3">
        <f>1201+(541.3-939.2)+(-2.45004+(-1.104252--1.915968))+0-4--0.00815999999999983</f>
        <v>797.46983599999987</v>
      </c>
      <c r="L69" s="3">
        <f>904.2+(570.9-717.3)+(-2.30571+(-1.455795--1.829115))+0-4--0.0101999999999994</f>
        <v>751.87781000000007</v>
      </c>
      <c r="M69" s="3">
        <f>1011+(478.4-716.4)+(0.51561+(0.243984-0.365364))+0-4-0.00203999999999959</f>
        <v>769.39219000000003</v>
      </c>
      <c r="N69" s="3">
        <f>1388.5+(361-847.5)+(0+(0-0))+0-4-0</f>
        <v>898</v>
      </c>
      <c r="O69" s="3">
        <f>1428.9+(320.2-796.1)+(-0.728739+(-0.163302--0.406011))+0-4--0.00203999999999959</f>
        <v>948.51600999999994</v>
      </c>
      <c r="P69" s="3">
        <f>1550.9+(166.7-720.9)+(0.790959+(0.085017-0.367659))+0-4-0.00203999999999959</f>
        <v>993.20627700000011</v>
      </c>
      <c r="Q69" s="3">
        <f>1565.7+(157.4-712)+(-1.597014+(-0.160548--0.72624))+0-4--0.00408000000000064</f>
        <v>1006.072758</v>
      </c>
      <c r="R69" s="3">
        <f>1663.5+(214.3-882.5)+(0.848385+(0.109293-0.450075))+0-4-0.00203999999999959</f>
        <v>991.80556300000001</v>
      </c>
      <c r="S69" s="3">
        <f>1659+(311.6-992.5)+(-0.84609+(-0.158916--0.506175))+0-4--0.00203999999999959</f>
        <v>973.60320899999999</v>
      </c>
      <c r="T69" s="3">
        <f>1662.8+(334.7-1027.7)+(0+(0-0))+0-4-0</f>
        <v>965.8</v>
      </c>
      <c r="U69" s="3">
        <f>1659.3+(335-1026)+(-0.846243+(-0.17085--0.52326))+0-4--0.00203999999999959</f>
        <v>963.80820699999992</v>
      </c>
      <c r="V69" s="3">
        <f>1653.8+(325.3-1012.1)+(-3.373752+(-0.663612--2.064684))+0-4--0.00815999999999983</f>
        <v>961.03548000000001</v>
      </c>
      <c r="W69" s="3">
        <f>1628.6+(280.4-942.6)+(-4.983516+(-0.858024--2.884356))+0-4--0.0122400000000005</f>
        <v>959.4550559999999</v>
      </c>
      <c r="X69" s="3">
        <f>1505.8+(226-790.5)+(-3.071832+(-0.46104--1.61262))+0-4--0.00815999999999983</f>
        <v>935.38790799999992</v>
      </c>
      <c r="Y69" s="3">
        <f>1516.6+(286.8-879.9)+(2.320398+(0.438804-1.346247))+0-4-0.00612000000000023</f>
        <v>920.906835</v>
      </c>
      <c r="Z69" s="3">
        <f>1607+(311.7-920.3)+(0+(0-0))+0-4-0</f>
        <v>994.40000000000009</v>
      </c>
      <c r="AA69" s="3">
        <f>1679+(289.9-886.6)+(-3.42516+(-0.591396--1.808664))+0-4--0.00815999999999983</f>
        <v>1076.1002680000001</v>
      </c>
      <c r="AB69" s="3">
        <f>1685.5+(331-969.7)+(-2.578815+(-0.50643--1.483641))+0-4--0.00612000000000023</f>
        <v>1041.204516</v>
      </c>
      <c r="AC69" s="3">
        <f>1693+(396.7-1101.6)+(-0.86343+(-0.202317--0.561816))+0-4--0.00203999999999959</f>
        <v>983.59810900000014</v>
      </c>
      <c r="AD69" s="2">
        <v>1054.5999999999999</v>
      </c>
      <c r="AE69" s="3">
        <f>1692+(324.2-961.6)+(0+(0-0))+0-4-0</f>
        <v>1050.5999999999999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1694+(397-1147.6)+(-2.59182+(-0.60741--1.755828))+0-4--0.00612000000000023</f>
        <v>937.96271800000011</v>
      </c>
      <c r="G70" s="3">
        <f>1639.1+(445.9-1174.2)+(0+(0-0))+0-4-0</f>
        <v>906.79999999999984</v>
      </c>
      <c r="H70" s="3">
        <f>1649.9+(467.7-1234.4)+(0+(0-0))+0-4-0</f>
        <v>879.2</v>
      </c>
      <c r="I70" s="3">
        <f>1663.4+(445.3-1217.2)+(1.696668+(0.454206-1.241544))+0-4-0.00408000000000064</f>
        <v>888.40524999999991</v>
      </c>
      <c r="J70" s="3">
        <f>1674.7+(413.6-1187.2)+(-0.854097+(-0.210936--0.605472))+0-4--0.00203999999999959</f>
        <v>896.64247899999998</v>
      </c>
      <c r="K70" s="3">
        <f>1519+(432.6-1048.8)+(-3.87345+(-1.10313--2.67444))+0-4--0.0101999999999994</f>
        <v>896.50806000000011</v>
      </c>
      <c r="L70" s="3">
        <f>1262.8+(406.3-843.4)+(-1.288056+(-0.414426--0.860268))+0-4--0.00408000000000064</f>
        <v>820.86186600000008</v>
      </c>
      <c r="M70" s="3">
        <f>1382.9+(335.1-852)+(1.410558+(0.341802-0.86904))+0-4-0.00408000000000064</f>
        <v>862.8792400000001</v>
      </c>
      <c r="N70" s="3">
        <f>1425.7+(264.6-837.2)+(2.181321+(0.404838-1.280916))+0-4-0.00612000000000023</f>
        <v>850.39912300000003</v>
      </c>
      <c r="O70" s="3">
        <f>1686.8+(224.4-971.5)+(1.720536+(0.228888-0.99093))+0-4-0.00408000000000064</f>
        <v>936.65441399999986</v>
      </c>
      <c r="P70" s="3">
        <f>1698.2+(206.3-929)+(2.598246+(0.315639-1.42137))+0-4-0.00612000000000023</f>
        <v>972.98639500000002</v>
      </c>
      <c r="Q70" s="3">
        <f>1698.2+(199.1-905.3)+(0+(0-0))+0-4-0</f>
        <v>988.00000000000011</v>
      </c>
      <c r="R70" s="3">
        <f>1691.7+(234.6-940)+(-0.862767+(-0.119646--0.4794))+0-4--0.00203999999999959</f>
        <v>981.79902700000002</v>
      </c>
      <c r="S70" s="3">
        <f>1682.9+(319.5-1039.5)+(-2.574837+(-0.488835--1.590435))+0-4--0.00612000000000023</f>
        <v>957.43288300000006</v>
      </c>
      <c r="T70" s="3">
        <f>1652.9+(349.7-1048.9)+(2.528937+(0.535041-1.604817))+0-4-0.00612000000000023</f>
        <v>951.15304100000003</v>
      </c>
      <c r="U70" s="3">
        <f>1651.8+(331.5-1025.9)+(-1.684836+(-0.33813--1.046418))+0-4--0.00408000000000064</f>
        <v>952.42753199999993</v>
      </c>
      <c r="V70" s="3">
        <f>1639.4+(263-944.4)+(-4.18047+(-0.67065--2.40822))+0-4--0.0101999999999994</f>
        <v>951.56730000000016</v>
      </c>
      <c r="W70" s="3">
        <f>1634.4+(179-869)+(-2.500632+(-0.27387--1.32957))+0-4--0.00612000000000023</f>
        <v>938.96118800000011</v>
      </c>
      <c r="X70" s="3">
        <f>1573.3+(205.9-842.5)+(-4.011915+(-0.525045--2.148375))+0-4--0.0101999999999994</f>
        <v>930.32161499999995</v>
      </c>
      <c r="Y70" s="3">
        <f>1488+(261.2-815.8)+(-1.51776+(-0.266424--0.832116))+0-4--0.00408000000000064</f>
        <v>928.45201200000008</v>
      </c>
      <c r="Z70" s="3">
        <f>1555.5+(340-899.8)+(-1.58661+(-0.3468--0.917796))+0-4--0.00408000000000064</f>
        <v>990.68846600000006</v>
      </c>
      <c r="AA70" s="3">
        <f>1685.8+(304.7-897.9)+(-2.579274+(-0.466191--1.373787))+0-4--0.00612000000000023</f>
        <v>1086.934442</v>
      </c>
      <c r="AB70" s="3">
        <f>1666.9+(332.8-935.5)+(-4.250595+(-0.84864--2.385525))+0-4--0.0101999999999994</f>
        <v>1057.49649</v>
      </c>
      <c r="AC70" s="3">
        <f>1685.7+(388.1-1069.2)+(-2.579121+(-0.593793--1.635876))+0-4--0.00612000000000023</f>
        <v>999.06908199999998</v>
      </c>
      <c r="AD70" s="2">
        <v>1087.1000000000001</v>
      </c>
      <c r="AE70" s="3">
        <f>1693+(311.9-917.8)+(0+(0-0))+0-4-0</f>
        <v>1083.0999999999999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1687.9+(386.9-1147.6)+(-2.582487+(-0.591957--1.755828))+0-4--0.00612000000000023</f>
        <v>921.78750400000013</v>
      </c>
      <c r="G71" s="3">
        <f>1644.5+(349.7-1131.2)+(-0.838695+(-0.178347--0.576912))+0-4--0.00203999999999959</f>
        <v>858.56191000000001</v>
      </c>
      <c r="H71" s="3">
        <f>1610.1+(308.5-1096.9)+(-1.642302+(-0.31467--1.118838))+0-4--0.00408000000000064</f>
        <v>816.86594599999989</v>
      </c>
      <c r="I71" s="3">
        <f>1614.7+(310.5-1116.5)+(-2.470491+(-0.475065--1.708245))+0-4--0.00612000000000023</f>
        <v>803.46880900000008</v>
      </c>
      <c r="J71" s="3">
        <f>1605.5+(283.1-1089.9)+(-3.27522+(-0.577524--2.223396))+0-4--0.00815999999999983</f>
        <v>793.07881199999986</v>
      </c>
      <c r="K71" s="3">
        <f>1388.8+(334.7-939.1)+(-2.124864+(-0.512091--1.436823))+0-4--0.00612000000000023</f>
        <v>779.20598799999982</v>
      </c>
      <c r="L71" s="3">
        <f>1330.2+(314-890.1)+(-2.713608+(-0.64056--1.815804))+0-4--0.00815999999999983</f>
        <v>748.569796</v>
      </c>
      <c r="M71" s="3">
        <f>1498.8+(207.3-910.5)+(0+(0-0))+0-4-0</f>
        <v>791.59999999999991</v>
      </c>
      <c r="N71" s="3">
        <f>1617+(196.5-935.4)+(1.64934+(0.20043-0.954108))+0-4-0.00408000000000064</f>
        <v>874.99158199999999</v>
      </c>
      <c r="O71" s="3">
        <f>1704+(160.5-909.3)+(3.47616+(0.32742-1.854972))+0-4-0.00815999999999983</f>
        <v>953.14044800000011</v>
      </c>
      <c r="P71" s="3">
        <f>1654.6+(169.8-832.2)+(-1.687692+(-0.173196--0.848844))+0-4--0.00408000000000064</f>
        <v>987.19203599999992</v>
      </c>
      <c r="Q71" s="3">
        <f>1679.2+(82.8-748.8)+(0+(0-0))+0-4-0</f>
        <v>1009.2</v>
      </c>
      <c r="R71" s="3">
        <f>1663.6+(138-797.3)+(-2.545308+(-0.21114--1.219869))+0-4--0.00612000000000023</f>
        <v>998.769541</v>
      </c>
      <c r="S71" s="3">
        <f>1657.8+(277.5-952)+(1.690956+(0.28305-0.97104))+0-4-0.00408000000000064</f>
        <v>980.29888599999992</v>
      </c>
      <c r="T71" s="3">
        <f>1650+(315.5-989.6)+(1.683+(0.32181-1.009392))+0-4-0.00408000000000064</f>
        <v>972.89133799999991</v>
      </c>
      <c r="U71" s="3">
        <f>1642.8+(332.8-990.4)+(0+(0-0))+0-4-0</f>
        <v>981.2</v>
      </c>
      <c r="V71" s="3">
        <f>1637.5+(349-989.9)+(-1.67025+(-0.35598--1.009698))+0-4--0.00408000000000064</f>
        <v>991.58754800000008</v>
      </c>
      <c r="W71" s="3">
        <f>1637.2+(362.4-1012.5)+(-3.339888+(-0.739296--2.0655))+0-4--0.00815999999999983</f>
        <v>981.09447599999999</v>
      </c>
      <c r="X71" s="3">
        <f>1633.4+(347.6-1016.8)+(-4.998204+(-1.063656--3.111408))+0-4--0.0122400000000005</f>
        <v>957.26178800000014</v>
      </c>
      <c r="Y71" s="3">
        <f>1356.2+(360.8-777.5)+(1.383324+(0.368016-0.79305))+0-4-0.00408000000000064</f>
        <v>936.45420999999999</v>
      </c>
      <c r="Z71" s="3">
        <f>1588.4+(380.8-981.4)+(-0.810084+(-0.194208--0.500514))+0-4--0.00203999999999959</f>
        <v>983.29826200000014</v>
      </c>
      <c r="AA71" s="3">
        <f>1661.4+(379.7-941.5)+(-1.694628+(-0.387294--0.96033))+0-4--0.00408000000000064</f>
        <v>1094.4824880000001</v>
      </c>
      <c r="AB71" s="3">
        <f>1659.4+(427.7-1010.7)+(-3.385176+(-0.872508--2.061828))+0-4--0.00815999999999983</f>
        <v>1070.2123040000001</v>
      </c>
      <c r="AC71" s="3">
        <f>1666.8+(358.7-1021.5)+(-2.550204+(-0.548811--1.562895))+0-4--0.00612000000000023</f>
        <v>998.47</v>
      </c>
      <c r="AD71" s="2">
        <v>1091.2</v>
      </c>
      <c r="AE71" s="3">
        <f>1672+(373.2-954)+(0+(0-0))+0-4-0</f>
        <v>1087.2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1664.1+(337.2-1067.3)+(-3.394764+(-0.687888--2.177292))+0-4--0.00815999999999983</f>
        <v>928.1028</v>
      </c>
      <c r="G72" s="3">
        <f>1662.7+(298.5-1091)+(-3.391908+(-0.60894--2.22564))+0-4--0.00815999999999983</f>
        <v>864.432952</v>
      </c>
      <c r="H72" s="3">
        <f>1655.3+(297.9-1111.4)+(-2.532609+(-0.455787--1.700442))+0-4--0.00612000000000023</f>
        <v>836.51816599999984</v>
      </c>
      <c r="I72" s="3">
        <f>1557.7+(327.6-1063.5)+(-4.766562+(-1.002456--3.25431))+0-4--0.0122400000000005</f>
        <v>815.29753200000005</v>
      </c>
      <c r="J72" s="3">
        <f>1523.2+(333.9-1043.2)+(-3.107328+(-0.681156--2.128128))+0-4--0.00815999999999983</f>
        <v>808.24780399999997</v>
      </c>
      <c r="K72" s="3">
        <f>1440.2+(350.4-983.1)+(-3.67251+(-0.89352--2.506905))+0-4--0.0101999999999994</f>
        <v>801.45107500000006</v>
      </c>
      <c r="L72" s="3">
        <f>1442.4+(319.7-984.3)+(-2.942496+(-0.652188--2.007972))+0-4--0.00815999999999983</f>
        <v>772.22144800000012</v>
      </c>
      <c r="M72" s="3">
        <f>1457.3+(280.3-923.6)+(4.459338+(0.857718-2.826216))+0-4-0.0122400000000005</f>
        <v>812.47860000000003</v>
      </c>
      <c r="N72" s="3">
        <f>1573.7+(304.1-970.6)+(0+(0-0))+0-4-0</f>
        <v>903.2</v>
      </c>
      <c r="O72" s="3">
        <f>1695+(286.3-1009)+(1.7289+(0.292026-1.02918))+0-4-0.00408000000000064</f>
        <v>969.28766599999994</v>
      </c>
      <c r="P72" s="3">
        <f>1683.8+(132.1-808.7)+(-1.717476+(-0.134742--0.824874))+0-4--0.00408000000000064</f>
        <v>1002.176736</v>
      </c>
      <c r="Q72" s="3">
        <f>1675.6+(84.3-726.8)+(0+(0-0))+0-4-0</f>
        <v>1029.0999999999999</v>
      </c>
      <c r="R72" s="3">
        <f>1661.8+(86.5-712.7)+(-0.847518+(-0.044115--0.363477))+0-4--0.00203999999999959</f>
        <v>1031.0738839999999</v>
      </c>
      <c r="S72" s="3">
        <f>1653.1+(136.2-771.1)+(-1.686162+(-0.138924--0.786522))+0-4--0.00408000000000064</f>
        <v>1013.1655159999999</v>
      </c>
      <c r="T72" s="3">
        <f>1641.5+(169.9-817.8)+(0+(0-0))+0-4-0</f>
        <v>989.6</v>
      </c>
      <c r="U72" s="3">
        <f>1640.3+(177.7-820.4)+(-1.673106+(-0.181254--0.836808))+0-4--0.00408000000000064</f>
        <v>992.58652799999993</v>
      </c>
      <c r="V72" s="3">
        <f>1639.1+(176.1-798)+(-2.507823+(-0.269433--1.22094))+0-4--0.00612000000000023</f>
        <v>1011.6498039999999</v>
      </c>
      <c r="W72" s="3">
        <f>1618.2+(203.4-807.2)+(-4.951692+(-0.622404--2.470032))+0-4--0.0122400000000005</f>
        <v>1007.308176</v>
      </c>
      <c r="X72" s="3">
        <f>1632.8+(352.5-997.9)+(-0.832728+(-0.179775--0.508929))+0-4--0.00203999999999959</f>
        <v>982.89846599999998</v>
      </c>
      <c r="Y72" s="3">
        <f>1596.5+(359.6-983.8)+(-1.62843+(-0.366792--1.003476))+0-4--0.00408000000000064</f>
        <v>967.31233400000008</v>
      </c>
      <c r="Z72" s="3">
        <f>1634.9+(370.5-984.2)+(0.833799+(0.188955-0.501942))+0-4-0.00203999999999959</f>
        <v>1017.7187720000001</v>
      </c>
      <c r="AA72" s="3">
        <f>1664.2+(370.1-899.4)+(-1.697484+(-0.377502--0.917388))+0-4--0.00408000000000064</f>
        <v>1129.746482</v>
      </c>
      <c r="AB72" s="3">
        <f>1674.2+(430.6-997)+(-1.707684+(-0.439212--1.01694))+0-4--0.00408000000000064</f>
        <v>1102.6741240000001</v>
      </c>
      <c r="AC72" s="3">
        <f>1646.8+(553-1151.4)+(0.839868+(0.28203-0.587214))+0-4-0.00203999999999959</f>
        <v>1044.9326439999998</v>
      </c>
      <c r="AD72" s="2">
        <v>1134.0999999999999</v>
      </c>
      <c r="AE72" s="3">
        <f>1664+(360.7-890.6)+(0+(0-0))+0-4-0</f>
        <v>1130.0999999999999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1623.2+(571.9-1212.2)+(-3.311328+(-1.166676--2.472888))+0-4--0.00815999999999983</f>
        <v>976.90304399999991</v>
      </c>
      <c r="G73" s="3">
        <f>1630.1+(500.8-1216.6)+(0+(0-0))+0-4-0</f>
        <v>910.3</v>
      </c>
      <c r="H73" s="3">
        <f>1591.9+(476.9-1196.5)+(-0.811869+(-0.243219--0.610215))+0-4--0.00203999999999959</f>
        <v>867.857167</v>
      </c>
      <c r="I73" s="3">
        <f>1495.7+(422.5-1074.3)+(2.288421+(0.646425-1.643679))+0-4-0.00612000000000023</f>
        <v>841.18504700000005</v>
      </c>
      <c r="J73" s="3">
        <f>1442.4+(386.3-995.5)+(-2.206872+(-0.591039--1.523115))+0-4--0.00612000000000023</f>
        <v>827.93132400000002</v>
      </c>
      <c r="K73" s="3">
        <f>1435.9+(381.9-989.2)+(-3.661545+(-0.973845--2.52246))+0-4--0.0101999999999994</f>
        <v>822.49727000000007</v>
      </c>
      <c r="L73" s="3">
        <f>1450.3+(358.3-1011.5)+(-1.479306+(-0.365466--1.03173))+0-4--0.00408000000000064</f>
        <v>792.29103799999996</v>
      </c>
      <c r="M73" s="3">
        <f>1477+(308.2-950.3)+(-0.75327+(-0.157182--0.484653))+0-4--0.00203999999999959</f>
        <v>830.47624100000007</v>
      </c>
      <c r="N73" s="3">
        <f>1569+(278.4-939.1)+(4.00095+(0.70992-2.394705))+0-4-0.0101999999999994</f>
        <v>906.60596499999986</v>
      </c>
      <c r="O73" s="3">
        <f>1639+(285-936.2)+(4.17945+(0.72675-2.38731))+0-4-0.0101999999999994</f>
        <v>986.30868999999996</v>
      </c>
      <c r="P73" s="3">
        <f>1619.5+(249.5-832)+(3.30378+(0.50898-1.69728))+0-4-0.00815999999999983</f>
        <v>1035.1073199999998</v>
      </c>
      <c r="Q73" s="3">
        <f>1594.2+(177.3-718)+(1.626084+(0.180846-0.73236))+0-4-0.00408000000000064</f>
        <v>1050.5704900000001</v>
      </c>
      <c r="R73" s="3">
        <f>1572.8+(218.2-749.3)+(0.802128+(0.111282-0.382143))+0-4-0.00203999999999959</f>
        <v>1038.229227</v>
      </c>
      <c r="S73" s="3">
        <f>1556.2+(284.8-829.2)+(-1.587324+(-0.290496--0.845784))+0-4--0.00408000000000064</f>
        <v>1006.7720440000001</v>
      </c>
      <c r="T73" s="3">
        <f>1544.9+(321.3-861.9)+(-0.787899+(-0.163863--0.439569))+0-4--0.00203999999999959</f>
        <v>999.78984700000012</v>
      </c>
      <c r="U73" s="3">
        <f>1533.2+(309.8-842.7)+(-1.563864+(-0.315996--0.859554))+0-4--0.00408000000000064</f>
        <v>995.28377399999999</v>
      </c>
      <c r="V73" s="3">
        <f>1538.5+(336-866.1)+(0.784635+(0.17136-0.441711))+0-4-0.00203999999999959</f>
        <v>1004.912244</v>
      </c>
      <c r="W73" s="3">
        <f>1528.9+(340.2-859.4)+(-1.559478+(-0.347004--0.876588))+0-4--0.00408000000000064</f>
        <v>1004.6741860000001</v>
      </c>
      <c r="X73" s="3">
        <f>1531+(396.3-939.2)+(-1.56162+(-0.404226--0.957984))+0-4--0.00408000000000064</f>
        <v>983.09621799999991</v>
      </c>
      <c r="Y73" s="3">
        <f>1424.9+(383.6-852.8)+(-1.453398+(-0.391272--0.869856))+0-4--0.00408000000000064</f>
        <v>950.72926600000017</v>
      </c>
      <c r="Z73" s="3">
        <f>1298.2+(578.4-889.3)+(-1.986246+(-0.884952--1.360629))+0-4--0.00612000000000023</f>
        <v>981.79555100000005</v>
      </c>
      <c r="AA73" s="3">
        <f>1318.7+(619-840.4)+(-2.690148+(-1.26276--1.714416))+0-4--0.00815999999999983</f>
        <v>1091.0696680000003</v>
      </c>
      <c r="AB73" s="3">
        <f>1339.3+(688.3-942.6)+(-2.049129+(-1.053099--1.442178))+0-4--0.00612000000000023</f>
        <v>1079.3460700000001</v>
      </c>
      <c r="AC73" s="3">
        <f>1345+(726.4-1034.5)+(-2.7438+(-1.481856--2.11038))+0-4--0.00815999999999983</f>
        <v>1030.7928840000002</v>
      </c>
      <c r="AD73" s="2">
        <v>1095.2</v>
      </c>
      <c r="AE73" s="3">
        <f>1323+(631.4-859.2)+(0+(0-0))+0-3-0</f>
        <v>1092.1999999999998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1361.7+(708.1-1074)+(-2.083401+(-1.083393--1.64322))+0-4--0.00612000000000023</f>
        <v>990.28254600000002</v>
      </c>
      <c r="G74" s="3">
        <f>1478.9+(641.6-1226.6)+(-0.754239+(-0.327216--0.625566))+0-4--0.00203999999999959</f>
        <v>889.44615100000021</v>
      </c>
      <c r="H74" s="3">
        <f>1601.5+(463.8-1213.9)+(-1.63353+(-0.473076--1.238178))+0-4--0.00408000000000064</f>
        <v>846.53565199999991</v>
      </c>
      <c r="I74" s="3">
        <f>1611+(347.4-1128.4)+(-0.82161+(-0.177174--0.575484))+0-4--0.00203999999999959</f>
        <v>825.57873999999981</v>
      </c>
      <c r="J74" s="3">
        <f>1600.6+(303.8-1084.9)+(-5.714142+(-1.084566--3.873093))+0-4--0.0142800000000001</f>
        <v>812.58866499999976</v>
      </c>
      <c r="K74" s="3">
        <f>1551.2+(290.9-1024.6)+(-7.91112+(-1.48359--5.22546))+0-4--0.0204000000000003</f>
        <v>809.35115000000008</v>
      </c>
      <c r="L74" s="3">
        <f>1372.2+(356.8-961)+(-1.399644+(-0.363936--0.98022))+0-4--0.00408000000000064</f>
        <v>763.22072000000003</v>
      </c>
      <c r="M74" s="3">
        <f>1439+(296.1-956)+(2.20167+(0.453033-1.46268))+0-4-0.00612000000000023</f>
        <v>776.28590299999996</v>
      </c>
      <c r="N74" s="3">
        <f>1504.2+(248.1-923.4)+(3.068568+(0.506124-1.883736))+0-4-0.00815999999999983</f>
        <v>826.58279600000014</v>
      </c>
      <c r="O74" s="3">
        <f>1542.2+(279.3-918.6)+(-0.786522+(-0.142443--0.468486))+0-4--0.00203999999999959</f>
        <v>898.44156100000009</v>
      </c>
      <c r="P74" s="3">
        <f>1640.5+(264.8-973.8)+(0+(0-0))+0-4-0</f>
        <v>927.5</v>
      </c>
      <c r="Q74" s="3">
        <f>1646.4+(246.7-939.4)+(0+(0-0))+0-4-0</f>
        <v>949.7</v>
      </c>
      <c r="R74" s="3">
        <f>1645+(333.6-1012.6)+(2.51685+(0.510408-1.549278))+0-4-0.00612000000000023</f>
        <v>963.47185999999999</v>
      </c>
      <c r="S74" s="3">
        <f>1587.1+(371.7-1005.1)+(-1.618842+(-0.379134--1.025202))+0-4--0.00408000000000064</f>
        <v>948.7313059999999</v>
      </c>
      <c r="T74" s="3">
        <f>1615.7+(406.2-1070.8)+(-1.648014+(-0.414324--1.092216))+0-4--0.00408000000000064</f>
        <v>946.13395800000023</v>
      </c>
      <c r="U74" s="3">
        <f>1617.5+(451.4-1115.7)+(0+(0-0))+0-4-0</f>
        <v>949.19999999999993</v>
      </c>
      <c r="V74" s="3">
        <f>1615.3+(434.3-1094.2)+(-0.823803+(-0.221493--0.558042))+0-4--0.00203999999999959</f>
        <v>950.91478599999982</v>
      </c>
      <c r="W74" s="3">
        <f>1613.5+(417.8-1079.2)+(-1.64577+(-0.426156--1.100784))+0-4--0.00408000000000064</f>
        <v>947.13293799999997</v>
      </c>
      <c r="X74" s="3">
        <f>1605.1+(401.2-1073.3)+(-4.093005+(-1.02306--2.736915))+0-4--0.0101999999999994</f>
        <v>926.63105000000007</v>
      </c>
      <c r="Y74" s="3">
        <f>1621.1+(331.8-1041)+(-1.653522+(-0.338436--1.06182))+0-4--0.00408000000000064</f>
        <v>906.97394199999985</v>
      </c>
      <c r="Z74" s="3">
        <f>1641.3+(328.9-1019.8)+(-0.837063+(-0.167739--0.520098))+0-4--0.00203999999999959</f>
        <v>945.91733599999998</v>
      </c>
      <c r="AA74" s="3">
        <f>1654.8+(335.2-920.1)+(-3.375792+(-0.683808--1.877004))+0-4--0.00815999999999983</f>
        <v>1063.7255639999998</v>
      </c>
      <c r="AB74" s="3">
        <f>1679.1+(357.9-979.8)+(-0.856341+(-0.182529--0.499698))+0-4--0.00203999999999959</f>
        <v>1052.6628679999999</v>
      </c>
      <c r="AC74" s="3">
        <f>1654.4+(438.4-1082.3)+(-4.21872+(-1.11792--2.759865))+0-4--0.0101999999999994</f>
        <v>1003.9334250000002</v>
      </c>
      <c r="AD74" s="2">
        <v>1073.1999999999998</v>
      </c>
      <c r="AE74" s="3">
        <f>1658+(337.1-921.9)+(0+(0-0))+0-4-0</f>
        <v>1069.2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1638.7+(445.8-1134.6)+(0.835737+(0.227358-0.578646))+0-4-0.00203999999999959</f>
        <v>946.38240900000017</v>
      </c>
      <c r="G75" s="3">
        <f>1641.9+(502.3-1248.5)+(0+(0-0))+0-4-0</f>
        <v>891.7</v>
      </c>
      <c r="H75" s="3">
        <f>1584.2+(539.8-1266.6)+(3.231768+(1.101192-2.583864))+0-4-0.00815999999999983</f>
        <v>855.14093600000012</v>
      </c>
      <c r="I75" s="3">
        <f>1531.4+(514.8-1208.6)+(-4.686084+(-1.575288--3.698316))+0-4--0.0122400000000005</f>
        <v>831.0491840000002</v>
      </c>
      <c r="J75" s="3">
        <f>1540.6+(330.5-1054.3)+(-0.785706+(-0.168555--0.537693))+0-4--0.00203999999999959</f>
        <v>812.38547199999994</v>
      </c>
      <c r="K75" s="3">
        <f>1492.8+(315.8-1000.4)+(-4.567968+(-0.966348--3.061224))+0-4--0.0122400000000005</f>
        <v>801.73914800000011</v>
      </c>
      <c r="L75" s="3">
        <f>1422.8+(341.3-1003.6)+(-3.62814+(-0.870315--2.55918))+0-4--0.0101999999999994</f>
        <v>754.5709250000001</v>
      </c>
      <c r="M75" s="3">
        <f>1479.6+(314.2-985.6)+(0+(0-0))+0-4-0</f>
        <v>804.19999999999982</v>
      </c>
      <c r="N75" s="3">
        <f>1493.4+(313.3-928.9)+(0+(0-0))+0-4-0</f>
        <v>873.80000000000018</v>
      </c>
      <c r="O75" s="3">
        <f>1654.8+(297.3-986.4)+(0+(0-0))+0-4-0</f>
        <v>961.7</v>
      </c>
      <c r="P75" s="3">
        <f>1688.6+(326.7-999.2)+(-0.861186+(-0.166617--0.509592))+0-4--0.00203999999999959</f>
        <v>1011.5838289999999</v>
      </c>
      <c r="Q75" s="3">
        <f>1685.4+(259.6-908.6)+(-0.859554+(-0.132396--0.463386))+0-4--0.00203999999999959</f>
        <v>1031.8734760000002</v>
      </c>
      <c r="R75" s="3">
        <f>1657.4+(256.6-884.9)+(-0.845274+(-0.130866--0.451299))+0-4--0.00203999999999959</f>
        <v>1024.5771990000003</v>
      </c>
      <c r="S75" s="3">
        <f>1647.8+(312.7-955.1)+(-0.840378+(-0.159477--0.487101))+0-4--0.00203999999999959</f>
        <v>1000.8892859999999</v>
      </c>
      <c r="T75" s="3">
        <f>1640.3+(331.9-976.8)+(-1.673106+(-0.338538--0.996336))+0-4--0.00408000000000064</f>
        <v>990.38877200000002</v>
      </c>
      <c r="U75" s="3">
        <f>1632.8+(344.3-977.6)+(-1.665456+(-0.351186--0.997152))+0-4--0.00408000000000064</f>
        <v>994.48459000000003</v>
      </c>
      <c r="V75" s="3">
        <f>1625.7+(354.9-974.3)+(-2.487321+(-0.542997--1.490679))+0-4--0.00612000000000023</f>
        <v>1000.7664810000001</v>
      </c>
      <c r="W75" s="3">
        <f>1627.8+(394.2-1025.2)+(-2.490534+(-0.603126--1.568556))+0-4--0.00612000000000023</f>
        <v>991.28101599999991</v>
      </c>
      <c r="X75" s="3">
        <f>1624.4+(435.9-1077.1)+(-4.14222+(-1.111545--2.746605))+0-4--0.0101999999999994</f>
        <v>976.70304000000021</v>
      </c>
      <c r="Y75" s="3">
        <f>1628.3+(471.3-1140.2)+(-3.321732+(-0.961452--2.326008))+0-4--0.00815999999999983</f>
        <v>953.45098399999983</v>
      </c>
      <c r="Z75" s="3">
        <f>1634.6+(555.2-1184.9)+(-1.667292+(-0.566304--1.208598))+0-4--0.00408000000000064</f>
        <v>999.87908199999993</v>
      </c>
      <c r="AA75" s="3">
        <f>1649.7+(526.7-1066.7)+(-4.206735+(-1.343085--2.720085))+0-4--0.0101999999999994</f>
        <v>1102.880465</v>
      </c>
      <c r="AB75" s="3">
        <f>1653.3+(529.7-1108.7)+(-3.372732+(-1.080588--2.261748))+0-4--0.00815999999999983</f>
        <v>1068.1165880000001</v>
      </c>
      <c r="AC75" s="3">
        <f>1671.7+(526.6-1183.1)+(-0.852567+(-0.268566--0.603381))+0-4--0.00203999999999959</f>
        <v>1010.6842880000002</v>
      </c>
      <c r="AD75" s="2">
        <v>1119.8</v>
      </c>
      <c r="AE75" s="3">
        <f>1660+(531-1071.2)+(0+(0-0))+0-4-0</f>
        <v>1115.8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1689.3+(510.8-1226.8)+(0+(0-0))+0-4-0</f>
        <v>969.3</v>
      </c>
      <c r="G76" s="3">
        <f>1641.6+(528.1-1266.8)+(-1.674432+(-0.538662--1.292136))+0-4--0.00408000000000064</f>
        <v>897.98312199999998</v>
      </c>
      <c r="H76" s="3">
        <f>1616+(486.9-1246.1)+(0.82416+(0.248319-0.635511))+0-4-0.00203999999999959</f>
        <v>853.23492800000008</v>
      </c>
      <c r="I76" s="3">
        <f>1564+(456.5-1195.2)+(1.59528+(0.46563-1.219104))+0-4-0.00408000000000064</f>
        <v>822.13772599999993</v>
      </c>
      <c r="J76" s="3">
        <f>1553.7+(462.4-1196.4)+(-1.584774+(-0.471648--1.220328))+0-4--0.00408000000000064</f>
        <v>814.86798599999997</v>
      </c>
      <c r="K76" s="3">
        <f>1397.3+(487.2-1091.8)+(-1.425246+(-0.496944--1.113636))+0-4--0.00408000000000064</f>
        <v>787.89552600000013</v>
      </c>
      <c r="L76" s="3">
        <f>1264.7+(479.6-991.3)+(-3.869982+(-1.467576--3.033378))+0-4--0.0122400000000005</f>
        <v>746.70806000000016</v>
      </c>
      <c r="M76" s="3">
        <f>1254.7+(440.4-921.6)+(2.559588+(0.898416-1.880064))+0-4-0.00815999999999983</f>
        <v>771.06978000000004</v>
      </c>
      <c r="N76" s="3">
        <f>1358+(411.3-942.1)+(0+(0-0))+0-4-0</f>
        <v>823.2</v>
      </c>
      <c r="O76" s="3">
        <f>1475.3+(403.2-982.1)+(-0.752403+(-0.205632--0.500871))+0-4--0.00203999999999959</f>
        <v>891.94487599999979</v>
      </c>
      <c r="P76" s="3">
        <f>1580.6+(374.4-1018.2)+(0+(0-0))+0-4-0</f>
        <v>932.79999999999984</v>
      </c>
      <c r="Q76" s="3">
        <f>1670.5+(325.5-1023.3)+(0+(0-0))+0-4-0</f>
        <v>968.7</v>
      </c>
      <c r="R76" s="3">
        <f>1659.1+(327.7-1017.5)+(0+(0-0))+0-4-0</f>
        <v>965.3</v>
      </c>
      <c r="S76" s="3">
        <f>1636+(385.9-1071.1)+(-3.33744+(-0.787236--2.185044))+0-4--0.00815999999999983</f>
        <v>944.86852800000008</v>
      </c>
      <c r="T76" s="3">
        <f>1645.5+(415.3-1109)+(0.839205+(0.211803-0.56559))+0-4-0.00203999999999959</f>
        <v>948.28337799999997</v>
      </c>
      <c r="U76" s="3">
        <f>1641.6+(425.6-1107.2)+(-0.837216+(-0.217056--0.564672))+0-4--0.00203999999999959</f>
        <v>955.51243999999986</v>
      </c>
      <c r="V76" s="3">
        <f>1615.3+(457.5-1092.8)+(1.647606+(0.46665-1.114656))+0-4-0.00408000000000064</f>
        <v>976.99551999999994</v>
      </c>
      <c r="W76" s="3">
        <f>1601.2+(451.7-1078.6)+(-2.449836+(-0.691101--1.650258))+0-4--0.00612000000000023</f>
        <v>968.81544100000019</v>
      </c>
      <c r="X76" s="3">
        <f>1596.9+(460.4-1092.2)+(-1.628838+(-0.469608--1.114044))+0-4--0.00408000000000064</f>
        <v>960.11967800000002</v>
      </c>
      <c r="Y76" s="3">
        <f>1519.6+(414.5-989.8)+(-1.549992+(-0.42279--1.009596))+0-4--0.00408000000000064</f>
        <v>939.34089400000005</v>
      </c>
      <c r="Z76" s="3">
        <f>1479.5+(488-988.9)+(0+(0-0))+0-4-0</f>
        <v>974.6</v>
      </c>
      <c r="AA76" s="3">
        <f>1599+(480.4-977)+(-2.44647+(-0.735012--1.49481))+0-4--0.00612000000000023</f>
        <v>1096.7194480000001</v>
      </c>
      <c r="AB76" s="3">
        <f>1600.6+(457-981.2)+(-1.632612+(-0.46614--1.000824))+0-4--0.00408000000000064</f>
        <v>1071.3061519999999</v>
      </c>
      <c r="AC76" s="3">
        <f>1624.9+(435.5-1027.8)+(1.657398+(0.44421-1.048356))+0-4-0.00408000000000064</f>
        <v>1029.6491720000001</v>
      </c>
      <c r="AD76" s="2">
        <v>1095.7000000000003</v>
      </c>
      <c r="AE76" s="3">
        <f>1605+(489.8-999.1)+(0+(0-0))+0-4-0</f>
        <v>1091.7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1638.2+(520.1-1158.2)+(-1.670964+(-0.530502--1.181364))+0-4--0.00408000000000064</f>
        <v>995.08397800000012</v>
      </c>
      <c r="G77" s="3">
        <f>1655.8+(527.6-1249.4)+(1.688916+(0.538152-1.274388))+0-4-0.00408000000000064</f>
        <v>930.94859999999983</v>
      </c>
      <c r="H77" s="3">
        <f>1646.8+(497.7-1256.2)+(-0.839868+(-0.253827--0.640662))+0-4--0.00203999999999959</f>
        <v>883.84900699999992</v>
      </c>
      <c r="I77" s="3">
        <f>1507.1+(505.7-1160.5)+(0+(0-0))+0-4-0</f>
        <v>848.3</v>
      </c>
      <c r="J77" s="3">
        <f>1398.2+(524.5-1089.3)+(-2.139246+(-0.802485--1.666629))+0-4--0.00612000000000023</f>
        <v>828.13101800000015</v>
      </c>
      <c r="K77" s="3">
        <f>1345.1+(507.4-1037.8)+(-1.372002+(-0.517548--1.058556))+0-4--0.00408000000000064</f>
        <v>809.87308599999994</v>
      </c>
      <c r="L77" s="3">
        <f>1332.5+(445.6-1003.8)+(-3.397875+(-1.13628--2.55969))+0-4--0.0101999999999994</f>
        <v>768.33573500000011</v>
      </c>
      <c r="M77" s="3">
        <f>1378+(373.5-960.4)+(2.10834+(0.571455-1.469412))+0-4-0.00612000000000023</f>
        <v>788.30426299999999</v>
      </c>
      <c r="N77" s="3">
        <f>1464.8+(344.5-950)+(0.747048+(0.175695-0.4845))+0-4-0.00203999999999959</f>
        <v>855.73620300000005</v>
      </c>
      <c r="O77" s="3">
        <f>1537.9+(410.9-1031.2)+(1.568658+(0.419118-1.051824))+0-4-0.00408000000000064</f>
        <v>914.53187200000002</v>
      </c>
      <c r="P77" s="3">
        <f>1584.1+(411.8-1019.5)+(0+(0-0))+0-4-0</f>
        <v>972.39999999999986</v>
      </c>
      <c r="Q77" s="3">
        <f>1567.4+(427.9-999.1)+(-2.398122+(-0.654687--1.528623))+0-4--0.00612000000000023</f>
        <v>990.68193400000007</v>
      </c>
      <c r="R77" s="3">
        <f>1557.3+(430.5-976)+(0.794223+(0.219555-0.49776))+0-4-0.00203999999999959</f>
        <v>1008.313978</v>
      </c>
      <c r="S77" s="3">
        <f>1584.5+(495.3-1068.9)+(-4.040475+(-1.263015--2.725695))+0-4--0.0101999999999994</f>
        <v>1004.3324049999999</v>
      </c>
      <c r="T77" s="3">
        <f>1580.6+(506.8-1072.1)+(-4.03053+(-1.29234--2.733855))+0-4--0.0101999999999994</f>
        <v>1008.721185</v>
      </c>
      <c r="U77" s="3">
        <f>1590.3+(528.7-1098.7)+(0+(0-0))+0-4-0</f>
        <v>1016.3</v>
      </c>
      <c r="V77" s="3">
        <f>1591+(526.5-1084)+(-2.43423+(-0.805545--1.65852))+0-4--0.00612000000000023</f>
        <v>1027.924865</v>
      </c>
      <c r="W77" s="3">
        <f>1587.6+(438.7-998.4)+(-4.04838+(-1.118685--2.54592))+0-4--0.0101999999999994</f>
        <v>1021.2890549999998</v>
      </c>
      <c r="X77" s="3">
        <f>1583.3+(309.1-888.2)+(-4.037415+(-0.788205--2.26491))+0-4--0.0101999999999994</f>
        <v>997.64949000000001</v>
      </c>
      <c r="Y77" s="3">
        <f>1515.9+(317.1-848.5)+(-2.319327+(-0.485163--1.298205))+0-4--0.00612000000000023</f>
        <v>978.99983500000008</v>
      </c>
      <c r="Z77" s="3">
        <f>1576.9+(360.4-931.3)+(1.608438+(0.367608-0.949926))+0-4-0.00408000000000064</f>
        <v>1003.0220400000001</v>
      </c>
      <c r="AA77" s="3">
        <f>1614+(434.5-906.9)+(-0.82314+(-0.221595--0.462519))+0-4--0.00203999999999959</f>
        <v>1137.019824</v>
      </c>
      <c r="AB77" s="3">
        <f>1622.3+(470.9-963.1)+(-2.482119+(-0.720477--1.473543))+0-4--0.00612000000000023</f>
        <v>1124.3770669999999</v>
      </c>
      <c r="AC77" s="3">
        <f>1624.3+(509.5-1060)+(-1.656786+(-0.51969--1.0812))+0-4--0.00408000000000064</f>
        <v>1068.7088039999999</v>
      </c>
      <c r="AD77" s="2">
        <v>1128.7</v>
      </c>
      <c r="AE77" s="3">
        <f>1621+(445.9-938.2)+(0+(0-0))+0-4-0</f>
        <v>1124.6999999999998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1628.2+(511.9-1107.8)+(0+(0-0))+0-4-0</f>
        <v>1028.3000000000002</v>
      </c>
      <c r="G78" s="3">
        <f>1508.2+(558.5-1114.1)+(-3.076728+(-1.13934--2.272764))+0-4--0.00815999999999983</f>
        <v>946.6648560000001</v>
      </c>
      <c r="H78" s="3">
        <f>1488.1+(520.2-1102.3)+(-3.794655+(-1.32651--2.810865))+0-4--0.0101999999999994</f>
        <v>899.69990000000007</v>
      </c>
      <c r="I78" s="3">
        <f>1497.1+(517.1-1132.4)+(-1.527042+(-0.527442--1.155048))+0-4--0.00408000000000064</f>
        <v>876.90464399999985</v>
      </c>
      <c r="J78" s="3">
        <f>1501.1+(523.7-1152.2)+(-0.765561+(-0.267087--0.587622))+0-4--0.00203999999999959</f>
        <v>868.15701399999989</v>
      </c>
      <c r="K78" s="3">
        <f>1433.8+(516.4-1088.3)+(-0.731238+(-0.263364--0.555033))+0-4--0.00203999999999959</f>
        <v>857.46247099999994</v>
      </c>
      <c r="L78" s="3">
        <f>1303.4+(461.7-941.1)+(0+(0-0))+0-4-0</f>
        <v>820</v>
      </c>
      <c r="M78" s="3">
        <f>1387.5+(452.1-972.7)+(2.122875+(0.691713-1.488231))+0-4-0.00612000000000023</f>
        <v>864.220237</v>
      </c>
      <c r="N78" s="3">
        <f>1518+(431.8-982.9)+(-2.32254+(-0.660654--1.503837))+0-4--0.00612000000000023</f>
        <v>961.42676300000005</v>
      </c>
      <c r="O78" s="3">
        <f>1533.8+(304.8-823.8)+(0+(0-0))+0-4-0</f>
        <v>1010.8</v>
      </c>
      <c r="P78" s="3">
        <f>1650.5+(135.4-724.2)+(0+(0-0))+0-4-0</f>
        <v>1057.6999999999998</v>
      </c>
      <c r="Q78" s="3">
        <f>1639.4+(124.4-662.3)+(0+(0-0))+0-4-0</f>
        <v>1097.5</v>
      </c>
      <c r="R78" s="3">
        <f>1633.7+(123.7-647.6)+(1.666374+(0.126174-0.660552))+0-4-0.00408000000000064</f>
        <v>1106.9279160000003</v>
      </c>
      <c r="S78" s="3">
        <f>1616.1+(193.1-742.2)+(-0.824211+(-0.098481--0.378522))+0-4--0.00203999999999959</f>
        <v>1062.4578700000002</v>
      </c>
      <c r="T78" s="3">
        <f>1619.3+(195.6-761.2)+(-0.825843+(-0.099756--0.388212))+0-4--0.00203999999999959</f>
        <v>1049.1646529999998</v>
      </c>
      <c r="U78" s="3">
        <f>1604.8+(208-747.6)+(0+(0-0))+0-4-0</f>
        <v>1061.1999999999998</v>
      </c>
      <c r="V78" s="3">
        <f>1587.3+(220.4-727.1)+(-3.238092+(-0.449616--1.483284))+0-4--0.00815999999999983</f>
        <v>1074.403736</v>
      </c>
      <c r="W78" s="3">
        <f>1580+(251.1-734.4)+(-4.8348+(-0.768366--2.247264))+0-4--0.0122400000000005</f>
        <v>1089.3563380000001</v>
      </c>
      <c r="X78" s="3">
        <f>1579.9+(315.2-822.3)+(-7.251741+(-1.446768--3.774357))+0-4--0.0183600000000007</f>
        <v>1063.8942080000002</v>
      </c>
      <c r="Y78" s="3">
        <f>1590.9+(347.2-893.6)+(-4.056795+(-0.88536--2.27868))+0-4--0.0101999999999994</f>
        <v>1037.8467249999999</v>
      </c>
      <c r="Z78" s="3">
        <f>1604.8+(405.8-928.7)+(-2.455344+(-0.620874--1.420911))+0-4--0.00612000000000023</f>
        <v>1076.2508129999999</v>
      </c>
      <c r="AA78" s="3">
        <f>1627.3+(406.6-825.8)+(-0.829923+(-0.207366--0.421158))+0-4--0.00203999999999959</f>
        <v>1203.485909</v>
      </c>
      <c r="AB78" s="3">
        <f>1634.6+(434.8-879.6)+(-4.16823+(-1.10874--2.24298))+0-4--0.0101999999999994</f>
        <v>1182.77621</v>
      </c>
      <c r="AC78" s="3">
        <f>1645.9+(492.7-999.4)+(-3.357636+(-1.005108--2.038776))+0-4--0.00815999999999983</f>
        <v>1132.8841920000002</v>
      </c>
      <c r="AD78" s="2">
        <v>1201.5</v>
      </c>
      <c r="AE78" s="3">
        <f>1629+(387.9-815.4)+(0+(0-0))+0-3-0</f>
        <v>1198.5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1612.6+(427.7-988.5)+(-0.822426+(-0.218127--0.504135))+0-3--0.0015299999999997</f>
        <v>1048.265112</v>
      </c>
      <c r="G79" s="3">
        <f>1508.3+(514.6-1058.1)+(0+(0-0))+0-3-0</f>
        <v>961.80000000000007</v>
      </c>
      <c r="H79" s="3">
        <f>1517.2+(495.7-1097.8)+(-0.773772+(-0.252807--0.559878))+0-3--0.0015299999999997</f>
        <v>911.6348290000002</v>
      </c>
      <c r="I79" s="3">
        <f>1514.6+(478.8-1096.9)+(-2.317338+(-0.732564--1.678257))+0-3--0.00459000000000017</f>
        <v>892.13294499999984</v>
      </c>
      <c r="J79" s="3">
        <f>1515.2+(467.8-1099.3)+(-2.318256+(-0.715734--1.681929))+0-3--0.00459000000000017</f>
        <v>879.352529</v>
      </c>
      <c r="K79" s="3">
        <f>1471.4+(425.5-1034)+(-3.75207+(-1.085025--2.6367))+0-3--0.00764999999999957</f>
        <v>857.70725500000015</v>
      </c>
      <c r="L79" s="3">
        <f>1357.3+(422.9-969.4)+(-2.076669+(-0.647037--1.483182))+0-3--0.00459000000000017</f>
        <v>806.56406599999991</v>
      </c>
      <c r="M79" s="3">
        <f>1360.6+(406.8-913.5)+(2.081718+(0.622404-1.397655))+0-3-0.00459000000000017</f>
        <v>852.20187699999985</v>
      </c>
      <c r="N79" s="3">
        <f>1613.5+(376.8-1044.8)+(4.114425+(0.96084-2.66424))+0-3-0.00764999999999957</f>
        <v>944.90337499999998</v>
      </c>
      <c r="O79" s="3">
        <f>1660.8+(352.5-988.5)+(1.694016+(0.35955-1.00827))+0-3-0.00306000000000048</f>
        <v>1022.842236</v>
      </c>
      <c r="P79" s="3">
        <f>1656.9+(344.8-938.7)+(-2.535057+(-0.527544--1.436211))+0-3--0.00459000000000017</f>
        <v>1058.3782000000001</v>
      </c>
      <c r="Q79" s="3">
        <f>1657.5+(298.2-867.2)+(2.535975+(0.456246-1.326816))+0-3-0.00459000000000017</f>
        <v>1087.160815</v>
      </c>
      <c r="R79" s="3">
        <f>1629.4+(268-852.7)+(0+(0-0))+0-4-0</f>
        <v>1040.7</v>
      </c>
      <c r="S79" s="3">
        <f>1616.7+(322-891.4)+(-0.824517+(-0.16422--0.454614))+0-4--0.00203999999999959</f>
        <v>1042.7679170000004</v>
      </c>
      <c r="T79" s="3">
        <f>1615+(358.9-919.9)+(-0.82365+(-0.183039--0.469149))+0-4--0.00203999999999959</f>
        <v>1049.4645</v>
      </c>
      <c r="U79" s="3">
        <f>1613.5+(354.3-913)+(0.822885+(0.180693-0.46563))+0-4-0.00203999999999959</f>
        <v>1051.3359079999998</v>
      </c>
      <c r="V79" s="3">
        <f>1598.5+(352.8-888.7)+(-1.63047+(-0.359856--0.906474))+0-4--0.00408000000000064</f>
        <v>1057.5202279999999</v>
      </c>
      <c r="W79" s="3">
        <f>1598.4+(376.7-903.9)+(-3.260736+(-0.768468--1.843956))+0-4--0.00815999999999983</f>
        <v>1065.0229120000001</v>
      </c>
      <c r="X79" s="3">
        <f>1603.3+(442.8-998.9)+(-1.635366+(-0.451656--1.018878))+0-4--0.00408000000000064</f>
        <v>1042.1359359999999</v>
      </c>
      <c r="Y79" s="3">
        <f>1603.8+(367.3-958.3)+(-3.271752+(-0.749292--1.954932))+0-4--0.00815999999999983</f>
        <v>1006.742048</v>
      </c>
      <c r="Z79" s="3">
        <f>1622+(445.2-1005.8)+(-0.82722+(-0.227052--0.512958))+0-4--0.00203999999999959</f>
        <v>1056.8607260000001</v>
      </c>
      <c r="AA79" s="3">
        <f>1629.5+(427-865.2)+(-2.493135+(-0.65331--1.323756))+0-4--0.00612000000000023</f>
        <v>1185.4834309999999</v>
      </c>
      <c r="AB79" s="3">
        <f>1640.7+(474.8-938.4)+(0+(0-0))+0-4-0</f>
        <v>1173.1000000000001</v>
      </c>
      <c r="AC79" s="3">
        <f>1648.7+(549.2-1068.1)+(-2.522511+(-0.840276--1.634193))+0-4--0.00612000000000023</f>
        <v>1124.0775260000003</v>
      </c>
      <c r="AD79" s="2">
        <v>1155.1000000000001</v>
      </c>
      <c r="AE79" s="3">
        <f>1627+(429.8-905.7)+(0+(0-0))+0-4-0</f>
        <v>1147.0999999999999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1663.8+(533.9-1153.7)+(-1.697076+(-0.544578--1.176774))+0-4--0.00408000000000064</f>
        <v>1038.9392</v>
      </c>
      <c r="G80" s="3">
        <f>1670.4+(473.6-1184.1)+(-1.703808+(-0.483072--1.207782))+0-4--0.00408000000000064</f>
        <v>954.92498200000023</v>
      </c>
      <c r="H80" s="3">
        <f>1543.9+(513.3-1142.9)+(0+(0-0))+0-4-0</f>
        <v>910.3</v>
      </c>
      <c r="I80" s="3">
        <f>1549.9+(451.2-1122.3)+(-0.790449+(-0.230112--0.572373))+0-4--0.00203999999999959</f>
        <v>874.35385200000019</v>
      </c>
      <c r="J80" s="3">
        <f>1544.1+(388.6-1073.2)+(-2.362473+(-0.594558--1.641996))+0-4--0.00612000000000023</f>
        <v>854.19108499999993</v>
      </c>
      <c r="K80" s="3">
        <f>1544.2+(376.6-1076.5)+(-1.575084+(-0.384132--1.09803))+0-4--0.00408000000000064</f>
        <v>839.44289400000014</v>
      </c>
      <c r="L80" s="3">
        <f>1287.2+(417.1-897.7)+(-2.625888+(-0.850884--1.831308))+0-4--0.00815999999999983</f>
        <v>800.96269600000005</v>
      </c>
      <c r="M80" s="3">
        <f>1353.8+(369.8-878.2)+(2.071314+(0.565794-1.343646))+0-4-0.00612000000000023</f>
        <v>842.68734199999983</v>
      </c>
      <c r="N80" s="3">
        <f>1451.7+(340.6-858.1)+(2.221101+(0.521118-1.312893))+0-4-0.00612000000000023</f>
        <v>931.62320599999998</v>
      </c>
      <c r="O80" s="3">
        <f>1476.2+(286.7-768.6)+(0+(0-0))+0-4-0</f>
        <v>990.3</v>
      </c>
      <c r="P80" s="3">
        <f>1499.3+(231.6-685.8)+(0.764643+(0.118116-0.349758))+0-4-0.00203999999999959</f>
        <v>1041.6309609999998</v>
      </c>
      <c r="Q80" s="3">
        <f>1483.4+(181.3-586.1)+(0+(0-0))+0-4-0</f>
        <v>1074.6000000000001</v>
      </c>
      <c r="R80" s="3">
        <f>1476.4+(197.1-579.6)+(0+(0-0))+0-2-0</f>
        <v>1091.9000000000001</v>
      </c>
      <c r="S80" s="3">
        <f>1461.4+(254.1-661.9)+(-2.235942+(-0.388773--1.012707))+0-2--0.00306000000000012</f>
        <v>1049.9910520000001</v>
      </c>
      <c r="T80" s="3">
        <f>1448.8+(286.6-691.7)+(-1.477776+(-0.292332--0.705534))+0-2--0.00204000000000032</f>
        <v>1040.6374659999999</v>
      </c>
      <c r="U80" s="3">
        <f>1439.9+(314.4-709.3)+(-2.937396+(-0.641376--1.446972))+0-2--0.00407999999999991</f>
        <v>1040.8722799999998</v>
      </c>
      <c r="V80" s="3">
        <f>1453.4+(352.6-756.1)+(0.741234+(0.179826-0.385611))+0-2-0.0010199999999998</f>
        <v>1048.4344290000001</v>
      </c>
      <c r="W80" s="3">
        <f>1450.9+(406.3-794.2)+(0+(0-0))+0-2-0</f>
        <v>1061</v>
      </c>
      <c r="X80" s="3">
        <f>1441.7+(463.7-861.2)+(-1.470534+(-0.472974--0.878424))+0-2--0.00204000000000032</f>
        <v>1041.1369560000001</v>
      </c>
      <c r="Y80" s="3">
        <f>1439.9+(397.8-825.4)+(-0.734349+(-0.202878--0.420954))+0-2--0.0010199999999998</f>
        <v>1009.7847470000003</v>
      </c>
      <c r="Z80" s="3">
        <f>1461.5+(480.5-873.3)+(1.49073+(0.49011-0.890766))+0-2-0.00204000000000032</f>
        <v>1067.7880339999999</v>
      </c>
      <c r="AA80" s="3">
        <f>1470.8+(533.3-811.1)+(-2.250324+(-0.815949--1.240983))+0-2--0.00306000000000012</f>
        <v>1189.17777</v>
      </c>
      <c r="AB80" s="3">
        <f>1469.6+(596.2-891.7)+(-1.498992+(-0.608124--0.909534))+0-2--0.00204000000000032</f>
        <v>1170.904458</v>
      </c>
      <c r="AC80" s="3">
        <f>1488.9+(607.8-980.2)+(0.759339+(0.309978-0.499902))+0-2-0.0010199999999998</f>
        <v>1115.068395</v>
      </c>
      <c r="AD80" s="2">
        <v>1165.8000000000002</v>
      </c>
      <c r="AE80" s="3">
        <f>1486+(571.8-892)+(0+(0-0))+0-2-0</f>
        <v>1163.8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1393.5+(596-950.1)+(-0.710685+(-0.30396--0.484551))+0-2--0.0010199999999998</f>
        <v>1036.8709260000001</v>
      </c>
      <c r="G81" s="3">
        <f>1327.3+(594.1-954)+(-0.676923+(-0.302991--0.48654))+0-2--0.0010199999999998</f>
        <v>964.907646</v>
      </c>
      <c r="H81" s="3">
        <f>1337.2+(541.9-961.2)+(0+(0-0))+0-2-0</f>
        <v>915.9</v>
      </c>
      <c r="I81" s="3">
        <f>1337+(466.8-918.2)+(0+(0-0))+0-2-0</f>
        <v>883.59999999999991</v>
      </c>
      <c r="J81" s="3">
        <f>1323.3+(439.4-895.2)+(-2.699532+(-0.896376--1.826208))+0-2--0.00407999999999991</f>
        <v>863.73437999999999</v>
      </c>
      <c r="K81" s="3">
        <f>1314.4+(463.9-935.5)+(-3.35172+(-1.182945--2.385525))+0-2--0.00509999999999971</f>
        <v>838.65596000000005</v>
      </c>
      <c r="L81" s="3">
        <f>1149.5+(419.2-782.9)+(-2.931225+(-1.06896--1.996395))+0-2--0.00509999999999971</f>
        <v>781.80130999999994</v>
      </c>
      <c r="M81" s="3">
        <f>1048.6+(400.5-651.4)+(1.069572+(0.40851-0.664428))+0-2-0.00204000000000032</f>
        <v>796.51161400000001</v>
      </c>
      <c r="N81" s="3">
        <f>1068.8+(387.8-619.7)+(-0.545088+(-0.197778--0.316047))+0-2--0.0010199999999998</f>
        <v>834.47420099999988</v>
      </c>
      <c r="O81" s="3">
        <f>1170.5+(405-685)+(-1.19391+(-0.4131--0.6987))+0-2--0.00204000000000032</f>
        <v>887.59372999999994</v>
      </c>
      <c r="P81" s="3">
        <f>1252.6+(360.5-672.5)+(0+(0-0))+0-2-0</f>
        <v>938.59999999999991</v>
      </c>
      <c r="Q81" s="3">
        <f>1314.3+(326.8-670.2)+(0.670293+(0.166668-0.341802))+0-2-0.0010199999999998</f>
        <v>969.39413899999977</v>
      </c>
      <c r="R81" s="3">
        <f>1319.2+(330.9-671.1)+(1.345584+(0.337518-0.684522))+0-2-0.00204000000000032</f>
        <v>977.99653999999998</v>
      </c>
      <c r="S81" s="3">
        <f>1296.7+(347.9-668.9)+(-0.661317+(-0.177429--0.341139))+0-2--0.0010199999999998</f>
        <v>973.20341300000007</v>
      </c>
      <c r="T81" s="3">
        <f>1298.2+(363-686.6)+(0+(0-0))+0-2-0</f>
        <v>972.6</v>
      </c>
      <c r="U81" s="3">
        <f>1294.1+(393.6-709.8)+(-1.319982+(-0.401472--0.723996))+0-2--0.00204000000000032</f>
        <v>974.90458199999989</v>
      </c>
      <c r="V81" s="3">
        <f>1290.3+(408.3-719.3)+(0+(0-0))+0-2-0</f>
        <v>977.3</v>
      </c>
      <c r="W81" s="3">
        <f>1260.7+(432.4-717.6)+(-1.285914+(-0.441048--0.731952))+0-2--0.00204000000000032</f>
        <v>972.50702999999999</v>
      </c>
      <c r="X81" s="3">
        <f>1213.9+(447.1-710.5)+(-1.238178+(-0.456042--0.72471))+0-2--0.00204000000000032</f>
        <v>947.53253000000007</v>
      </c>
      <c r="Y81" s="3">
        <f>1171.8+(361.9-614.7)+(-1.195236+(-0.369138--0.626994))+0-2--0.00204000000000032</f>
        <v>916.06465999999989</v>
      </c>
      <c r="Z81" s="3">
        <f>1275+(396.9-707.3)+(1.3005+(0.404838-0.721446))+0-2-0.00204000000000032</f>
        <v>963.58185200000003</v>
      </c>
      <c r="AA81" s="3">
        <f>1314.5+(416.2-629.5)+(-0.670395+(-0.212262--0.321045))+0-2--0.0010199999999998</f>
        <v>1098.639408</v>
      </c>
      <c r="AB81" s="3">
        <f>1324.6+(432.2-654.4)+(1.351092+(0.440844-0.667488))+0-2-0.00204000000000032</f>
        <v>1101.5224079999998</v>
      </c>
      <c r="AC81" s="3">
        <f>1325.3+(475.8-733.2)+(-1.351806+(-0.485316--0.747864))+0-2--0.00204000000000032</f>
        <v>1064.812782</v>
      </c>
      <c r="AD81" s="2">
        <v>1099.7</v>
      </c>
      <c r="AE81" s="3">
        <f>1312+(423.9-636.2)+(0+(0-0))+0-2-0</f>
        <v>1097.6999999999998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1266.1+(501.5-775.9)+(-0.645711+(-0.255765--0.395709))+0-2--0.0010199999999998</f>
        <v>989.19525299999998</v>
      </c>
      <c r="G82" s="3">
        <f>1251.3+(538.7-864.1)+(-3.190815+(-1.373685--2.203455))+0-2--0.00509999999999971</f>
        <v>921.54405499999996</v>
      </c>
      <c r="H82" s="3">
        <f>1200.6+(560-877.6)+(-1.224612+(-0.5712--0.895152))+0-2--0.00204000000000032</f>
        <v>880.10137999999984</v>
      </c>
      <c r="I82" s="3">
        <f>1208.9+(553.8-898.9)+(-1.233078+(-0.564876--0.916878))+0-2--0.00204000000000032</f>
        <v>860.92096400000003</v>
      </c>
      <c r="J82" s="3">
        <f>1217.2+(545-909.1)+(-0.620772+(-0.27795--0.463641))+0-2--0.0010199999999998</f>
        <v>850.66593900000009</v>
      </c>
      <c r="K82" s="3">
        <f>1193.2+(502.8-852.8)+(-3.04266+(-1.28214--2.17464))+0-2--0.00509999999999971</f>
        <v>839.05493999999999</v>
      </c>
      <c r="L82" s="3">
        <f>1263.3+(397.5-866.8)+(-1.288566+(-0.40545--0.884136))+0-2--0.00204000000000032</f>
        <v>791.19215999999994</v>
      </c>
      <c r="M82" s="3">
        <f>1399+(235.3-783.1)+(-3.56745+(-0.600015--1.996905))+0-2--0.00509999999999971</f>
        <v>847.03453999999999</v>
      </c>
      <c r="N82" s="3">
        <f>1505.2+(197.8-768.6)+(-0.767652+(-0.100878--0.391986))+0-2--0.0010199999999998</f>
        <v>931.92447600000014</v>
      </c>
      <c r="O82" s="3">
        <f>1691.1+(217.3-895.2)+(-0.862461+(-0.110823--0.456552))+0-2--0.0010199999999998</f>
        <v>1010.6842879999998</v>
      </c>
      <c r="P82" s="3">
        <f>1678.1+(298.8-917.7)+(-1.711662+(-0.304776--0.936054))+0-2--0.00204000000000032</f>
        <v>1056.1216559999998</v>
      </c>
      <c r="Q82" s="3">
        <f>1656.8+(295.3-867.5)+(0+(0-0))+0-2-0</f>
        <v>1082.5999999999999</v>
      </c>
      <c r="R82" s="3">
        <f>1651.1+(325.8-888)+(-2.526183+(-0.498474--1.35864))+0-2--0.00306000000000012</f>
        <v>1085.2370429999999</v>
      </c>
      <c r="S82" s="3">
        <f>1643.5+(408.1-974.7)+(-3.35274+(-0.832524--1.988388))+0-2--0.00407999999999991</f>
        <v>1072.707204</v>
      </c>
      <c r="T82" s="3">
        <f>1634.3+(441-1008.4)+(1.666986+(0.44982-1.028568))+0-2-0.00204000000000032</f>
        <v>1065.9861980000001</v>
      </c>
      <c r="U82" s="3">
        <f>1629+(440.1-999.2)+(-0.83079+(-0.224451--0.509592))+0-2--0.0010199999999998</f>
        <v>1067.3553710000001</v>
      </c>
      <c r="V82" s="3">
        <f>1622.3+(449.3-1001.4)+(-2.482119+(-0.687429--1.532142))+0-2--0.00306000000000012</f>
        <v>1066.565654</v>
      </c>
      <c r="W82" s="3">
        <f>1595.6+(435.4-947.2)+(0+(0-0))+0-2-0</f>
        <v>1081.7999999999997</v>
      </c>
      <c r="X82" s="3">
        <f>1518.2+(435.8-890.8)+(-1.548564+(-0.444516--0.908616))+0-2--0.00204000000000032</f>
        <v>1060.1175760000001</v>
      </c>
      <c r="Y82" s="3">
        <f>1523.1+(321.6-826.4)+(0+(0-0))+0-2-0</f>
        <v>1016.3</v>
      </c>
      <c r="Z82" s="3">
        <f>1553.9+(299.7-806.1)+(0.792489+(0.152847-0.411111))+0-2-0.0010199999999998</f>
        <v>1046.0332050000002</v>
      </c>
      <c r="AA82" s="3">
        <f>1637+(256.1-718.4)+(-3.33948+(-0.522444--1.465536))+0-2--0.00407999999999991</f>
        <v>1170.3076920000001</v>
      </c>
      <c r="AB82" s="3">
        <f>1641.3+(284.4-762.8)+(-4.185315+(-0.72522--1.94514))+0-2--0.00509999999999971</f>
        <v>1157.9397050000002</v>
      </c>
      <c r="AC82" s="3">
        <f>1644.4+(373.6-901)+(-2.515932+(-0.571608--1.37853))+0-2--0.00306000000000012</f>
        <v>1113.29405</v>
      </c>
      <c r="AD82" s="2">
        <v>1181.1999999999998</v>
      </c>
      <c r="AE82" s="3">
        <f>1651+(226.8-696.6)+(0+(0-0))+0-2-0</f>
        <v>1179.2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1604.8+(448.6-1013.5)+(-4.09224+(-1.14393--2.584425))+0-2--0.00509999999999971</f>
        <v>1035.2533550000003</v>
      </c>
      <c r="G83" s="3">
        <f>1568+(502.5-1108.2)+(-1.59936+(-0.51255--1.130364))+0-2--0.00204000000000032</f>
        <v>959.32049399999994</v>
      </c>
      <c r="H83" s="3">
        <f>1501.4+(462.5-1051.4)+(0.765714+(0.235875-0.536214))+0-2-0.0010199999999998</f>
        <v>910.96435499999995</v>
      </c>
      <c r="I83" s="3">
        <f>1491.5+(467.1-1065)+(3.04266+(0.952884-2.1726))+0-2-0.00407999999999991</f>
        <v>893.41886399999999</v>
      </c>
      <c r="J83" s="3">
        <f>1459.3+(443.7-1021.6)+(-2.232729+(-0.678861--1.563048))+0-2--0.00306000000000012</f>
        <v>878.05451799999992</v>
      </c>
      <c r="K83" s="3">
        <f>1312.1+(469.4-919.3)+(-3.345855+(-1.19697--2.344215))+0-2--0.00509999999999971</f>
        <v>858.00648999999987</v>
      </c>
      <c r="L83" s="3">
        <f>1280.7+(422.4-885.1)+(-1.306314+(-0.430848--0.902802))+0-2--0.00204000000000032</f>
        <v>815.16768000000002</v>
      </c>
      <c r="M83" s="3">
        <f>1307.5+(412.3-861.2)+(0+(0-0))+0-2-0</f>
        <v>856.59999999999991</v>
      </c>
      <c r="N83" s="3">
        <f>1527.8+(392-964.5)+(2.337534+(0.59976-1.475685))+0-2-0.00306000000000012</f>
        <v>954.7585489999999</v>
      </c>
      <c r="O83" s="3">
        <f>1550.4+(361.2-887)+(0+(0-0))+0-2-0</f>
        <v>1022.6000000000001</v>
      </c>
      <c r="P83" s="3">
        <f>1514.5+(384.8-867.4)+(0.772395+(0.196248-0.442374))+0-2-0.0010199999999998</f>
        <v>1030.4252490000001</v>
      </c>
      <c r="Q83" s="3">
        <f>1515.6+(392.4-810.7)+(-1.545912+(-0.400248--0.826914))+0-2--0.00204000000000032</f>
        <v>1094.1827939999998</v>
      </c>
      <c r="R83" s="3">
        <f>1562.6+(455.7-905.4)+(-0.796926+(-0.232407--0.461754))+0-2--0.0010199999999998</f>
        <v>1110.3334409999998</v>
      </c>
      <c r="S83" s="3">
        <f>1562.4+(522.5-968.7)+(-2.390472+(-0.799425--1.482111))+0-2--0.00306000000000012</f>
        <v>1112.4952740000001</v>
      </c>
      <c r="T83" s="3">
        <f>1615.4+(494.6-1026.1)+(-2.471562+(-0.756738--1.569933))+0-2--0.00306000000000012</f>
        <v>1080.2446930000001</v>
      </c>
      <c r="U83" s="3">
        <f>1657.4+(471-1033.8)+(-4.22637+(-1.20105--2.63619))+0-2--0.00509999999999971</f>
        <v>1089.8138700000002</v>
      </c>
      <c r="V83" s="3">
        <f>1673.5+(393.9-976.1)+(-0.853485+(-0.200889--0.497811))+0-2--0.0010199999999998</f>
        <v>1088.7444569999998</v>
      </c>
      <c r="W83" s="3">
        <f>1662.1+(380.8-948.8)+(-3.390684+(-0.776832--1.935552))+0-2--0.00407999999999991</f>
        <v>1089.8721159999998</v>
      </c>
      <c r="X83" s="3">
        <f>1620.6+(369.4-909.4)+(-4.13253+(-0.94197--2.31897))+0-2--0.00509999999999971</f>
        <v>1075.8495700000001</v>
      </c>
      <c r="Y83" s="3">
        <f>1512.1+(280.5-756.4)+(-2.313513+(-0.429165--1.157292))+0-2--0.00306000000000012</f>
        <v>1032.6176739999999</v>
      </c>
      <c r="Z83" s="3">
        <f>1514.9+(315.9-760.7)+(0+(0-0))+0-2-0</f>
        <v>1068.0999999999999</v>
      </c>
      <c r="AA83" s="3">
        <f>1619.8+(401-803.9)+(-2.478294+(-0.61353--1.229967))+0-2--0.00306000000000012</f>
        <v>1213.041203</v>
      </c>
      <c r="AB83" s="3">
        <f>1588.6+(373.3-762.7)+(-4.861116+(-1.142298--2.333862))+0-2--0.00612000000000023</f>
        <v>1193.5365679999998</v>
      </c>
      <c r="AC83" s="3">
        <f>1581.7+(373.4-827.4)+(0+(0-0))+0-2-0</f>
        <v>1125.7</v>
      </c>
      <c r="AD83" s="2">
        <v>1213.3000000000002</v>
      </c>
      <c r="AE83" s="3">
        <f>1627+(414.9-828.6)+(0+(0-0))+0-2-0</f>
        <v>1211.3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1563.7+(389.6-906.3)+(-1.594974+(-0.397392--0.924426))+0-2--0.00204000000000032</f>
        <v>1043.9341000000002</v>
      </c>
      <c r="G84" s="3">
        <f>1579.6+(467.9-1079.9)+(0+(0-0))+0-2-0</f>
        <v>965.5999999999998</v>
      </c>
      <c r="H84" s="3">
        <f>1589.9+(465.5-1122.1)+(-0.810849+(-0.237405--0.572271))+0-2--0.0010199999999998</f>
        <v>930.82503700000018</v>
      </c>
      <c r="I84" s="3">
        <f>1541.8+(458.7-1097.9)+(-2.358954+(-0.701811--1.679787))+0-2--0.00306000000000012</f>
        <v>899.22208199999989</v>
      </c>
      <c r="J84" s="3">
        <f>1404.5+(470-1000.2)+(-3.581475+(-1.1985--2.55051))+0-2--0.00509999999999971</f>
        <v>870.07563499999992</v>
      </c>
      <c r="K84" s="3">
        <f>1346.8+(482.2-969.5)+(-3.43434+(-1.22961--2.472225))+0-2--0.00509999999999971</f>
        <v>855.31337499999995</v>
      </c>
      <c r="L84" s="3">
        <f>1286+(487.2-951.4)+(-1.31172+(-0.496944--0.970428))+0-2--0.00204000000000032</f>
        <v>818.96380399999987</v>
      </c>
      <c r="M84" s="3">
        <f>1278.1+(416.4-830.8)+(1.955493+(0.637092-1.271124))+0-2-0.00306000000000012</f>
        <v>863.01840099999993</v>
      </c>
      <c r="N84" s="3">
        <f>1489.2+(380.2-920.8)+(-0.759492+(-0.193902--0.469608))+0-2--0.0010199999999998</f>
        <v>946.11723400000017</v>
      </c>
      <c r="O84" s="3">
        <f>1659+(359.9-982.5)+(-1.69218+(-0.367098--1.00215))+0-2--0.00204000000000032</f>
        <v>1033.3449120000002</v>
      </c>
      <c r="P84" s="3">
        <f>1604.3+(407.1-948.7)+(-1.636386+(-0.415242--0.967674))+0-2--0.00204000000000032</f>
        <v>1059.6180859999999</v>
      </c>
      <c r="Q84" s="3">
        <f>1631.5+(330.1-843.2)+(1.66413+(0.336702-0.860064))+0-2-0.00204000000000032</f>
        <v>1117.538728</v>
      </c>
      <c r="R84" s="3">
        <f>1622+(300-796.6)+(0+(0-0))+0-2-0</f>
        <v>1123.4000000000001</v>
      </c>
      <c r="S84" s="3">
        <f>1622+(339.3-865.6)+(-0.82722+(-0.173043--0.441456))+0-2--0.0010199999999998</f>
        <v>1093.1422130000001</v>
      </c>
      <c r="T84" s="3">
        <f>1666.2+(349.4-916.2)+(0.849762+(0.178194-0.467262))+0-2-0.0010199999999998</f>
        <v>1097.9596740000002</v>
      </c>
      <c r="U84" s="3">
        <f>1659.3+(352-920.2)+(1.692486+(0.35904-0.938604))+0-2-0.00204000000000032</f>
        <v>1090.2108819999999</v>
      </c>
      <c r="V84" s="3">
        <f>1636.2+(377.4-914.2)+(-2.503386+(-0.577422--1.398726))+0-2--0.00306000000000012</f>
        <v>1095.7209780000001</v>
      </c>
      <c r="W84" s="3">
        <f>1653.5+(411.8-951.6)+(-5.05971+(-1.260108--2.911896))+0-2--0.00612000000000023</f>
        <v>1108.298198</v>
      </c>
      <c r="X84" s="3">
        <f>1650.7+(431-999.5)+(-1.683714+(-0.43962--1.01949))+0-2--0.00204000000000032</f>
        <v>1079.0981960000001</v>
      </c>
      <c r="Y84" s="3">
        <f>1559+(416.9-921.5)+(-4.77054+(-1.275714--2.81979))+0-2--0.00612000000000023</f>
        <v>1049.179656</v>
      </c>
      <c r="Z84" s="3">
        <f>1574.5+(448.4-925.8)+(1.60599+(0.457368-0.944316))+0-2-0.00204000000000032</f>
        <v>1096.2170019999999</v>
      </c>
      <c r="AA84" s="3">
        <f>1604+(446.1-808.9)+(-2.45412+(-0.682533--1.237617))+0-2--0.00306000000000012</f>
        <v>1237.304024</v>
      </c>
      <c r="AB84" s="3">
        <f>1627.4+(477.5-879)+(-0.829974+(-0.243525--0.44829))+0-2--0.0010199999999998</f>
        <v>1223.275811</v>
      </c>
      <c r="AC84" s="3">
        <f>1630.4+(430.7-900)+(-2.494512+(-0.658971--1.377))+0-2--0.00306000000000012</f>
        <v>1157.326577</v>
      </c>
      <c r="AD84" s="2">
        <v>1235.2</v>
      </c>
      <c r="AE84" s="3">
        <f>1603+(418.4-786.2)+(0+(0-0))+0-2-0</f>
        <v>1233.1999999999998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1627.5+(371-928.3)+(-3.3201+(-0.75684--1.893732))+0-2--0.00407999999999991</f>
        <v>1066.0208720000001</v>
      </c>
      <c r="G85" s="3">
        <f>1631.4+(421-1066.6)+(-1.664028+(-0.42942--1.087932))+0-2--0.00204000000000032</f>
        <v>982.7965240000002</v>
      </c>
      <c r="H85" s="3">
        <f>1543.5+(426.5-1043)+(-0.787185+(-0.217515--0.53193))+0-2--0.0010199999999998</f>
        <v>924.52825000000007</v>
      </c>
      <c r="I85" s="3">
        <f>1540.3+(433.2-1073.4)+(-2.356659+(-0.662796--1.642302))+0-2--0.00306000000000012</f>
        <v>896.72590699999989</v>
      </c>
      <c r="J85" s="3">
        <f>1546.3+(438.3-1090.1)+(-2.365839+(-0.670599--1.667853))+0-2--0.00306000000000012</f>
        <v>891.13447499999995</v>
      </c>
      <c r="K85" s="3">
        <f>1437.8+(467.9-1026.9)+(-2.933112+(-0.954516--2.094876))+0-2--0.00407999999999991</f>
        <v>875.01132799999993</v>
      </c>
      <c r="L85" s="3">
        <f>1204.9+(413.3-788.4)+(0+(0-0))+0-2-0</f>
        <v>827.80000000000018</v>
      </c>
      <c r="M85" s="3">
        <f>1269.7+(354.7-774.6)+(-1.942641+(-0.542691--1.185138))+0-2--0.00306000000000012</f>
        <v>846.50286599999993</v>
      </c>
      <c r="N85" s="3">
        <f>1501+(340-789)+(0+(0-0))+0-2-0</f>
        <v>1050</v>
      </c>
      <c r="O85" s="3">
        <f>1618.5+(321.5-830.2)+(1.65087+(0.32793-0.846804))+0-2-0.00204000000000032</f>
        <v>1108.9299559999999</v>
      </c>
      <c r="P85" s="3">
        <f>1619.4+(300.1-816.6)+(2.477682+(0.459153-1.249398))+0-2-0.00306000000000012</f>
        <v>1102.5843770000001</v>
      </c>
      <c r="Q85" s="3">
        <f>1608.8+(227.4-703.8)+(1.640976+(0.231948-0.717876))+0-2-0.00204000000000032</f>
        <v>1131.5530080000001</v>
      </c>
      <c r="R85" s="3">
        <f>1671+(237.1-764.3)+(3.40884+(0.483684-1.559172))+0-2-0.00407999999999991</f>
        <v>1144.1292720000004</v>
      </c>
      <c r="S85" s="3">
        <f>1661.9+(271.2-833.5)+(0.847569+(0.138312-0.425085))+0-2-0.0010199999999998</f>
        <v>1098.1597760000002</v>
      </c>
      <c r="T85" s="3">
        <f>1648.1+(300-827.9)+(-0.840531+(-0.153--0.422229))+0-2--0.0010199999999998</f>
        <v>1117.6297179999997</v>
      </c>
      <c r="U85" s="3">
        <f>1636.1+(352.1-881.2)+(0+(0-0))+0-2-0</f>
        <v>1105</v>
      </c>
      <c r="V85" s="3">
        <f>1538.2+(375.9-839.5)+(0+(0-0))+0-2-0</f>
        <v>1072.5999999999999</v>
      </c>
      <c r="W85" s="3">
        <f>1507.2+(433-845.9)+(-0.768672+(-0.22083--0.431409))+0-2--0.0010199999999998</f>
        <v>1091.742927</v>
      </c>
      <c r="X85" s="3">
        <f>1475.9+(520.3-916.4)+(-0.752709+(-0.265353--0.467364))+0-2--0.0010199999999998</f>
        <v>1077.2503220000001</v>
      </c>
      <c r="Y85" s="3">
        <f>1477.4+(455.9-882.3)+(-3.76737+(-1.162545--2.249865))+0-2--0.00509999999999971</f>
        <v>1046.3250500000001</v>
      </c>
      <c r="Z85" s="3">
        <f>1495.9+(513.3-908.9)+(1.525818+(0.523566-0.927078))+0-2-0.00204000000000032</f>
        <v>1099.4202660000001</v>
      </c>
      <c r="AA85" s="3">
        <f>1554.8+(529.5-848)+(-3.171792+(-1.08018--1.72992))+0-2--0.00407999999999991</f>
        <v>1231.7820279999999</v>
      </c>
      <c r="AB85" s="3">
        <f>1568.2+(581.5-921.1)+(-2.399346+(-0.889695--1.409283))+0-2--0.00306000000000012</f>
        <v>1224.7233019999999</v>
      </c>
      <c r="AC85" s="3">
        <f>1571.5+(599.1-998.2)+(-0.801465+(-0.305541--0.509082))+0-2--0.0010199999999998</f>
        <v>1169.8030960000001</v>
      </c>
      <c r="AD85" s="2">
        <v>1237.1999999999998</v>
      </c>
      <c r="AE85" s="3">
        <f>1556+(536.2-855)+(0+(0-0))+0-2-0</f>
        <v>1235.2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1601.8+(564.7-1047.3)+(0+(0-0))+0-2-0</f>
        <v>1117.2</v>
      </c>
      <c r="G86" s="3">
        <f>1637.6+(524.5-1126.6)+(-3.340704+(-1.06998--2.298264))+0-2--0.00407999999999991</f>
        <v>1031.39166</v>
      </c>
      <c r="H86" s="3">
        <f>1711.5+(458-1200.6)+(-1.74573+(-0.46716--1.224612))+0-2--0.00204000000000032</f>
        <v>965.91376200000002</v>
      </c>
      <c r="I86" s="3">
        <f>1596.8+(492.6-1158.2)+(2.443104+(0.753678-1.772046))+0-2-0.00306000000000012</f>
        <v>930.62167599999998</v>
      </c>
      <c r="J86" s="3">
        <f>1516.7+(537.5-1131.7)+(-0.773517+(-0.274125--0.577167))+0-2--0.0010199999999998</f>
        <v>920.03054500000007</v>
      </c>
      <c r="K86" s="3">
        <f>1463.3+(499.9-1061.5)+(-3.731415+(-1.274745--2.706825))+0-2--0.00509999999999971</f>
        <v>897.40576499999986</v>
      </c>
      <c r="L86" s="3">
        <f>1435.7+(428.3-1001)+(-1.464414+(-0.436866--1.02102))+0-2--0.00204000000000032</f>
        <v>860.12177999999994</v>
      </c>
      <c r="M86" s="3">
        <f>1483.4+(364-951.8)+(2.269602+(0.55692-1.456254))+0-2-0.00306000000000012</f>
        <v>894.96720800000014</v>
      </c>
      <c r="N86" s="3">
        <f>1702.8+(391.3-1092.4)+(-0.868428+(-0.199563--0.557124))+0-2--0.0010199999999998</f>
        <v>999.1901529999999</v>
      </c>
      <c r="O86" s="3">
        <f>1655.4+(417.4-998.9)+(2.532762+(0.638622-1.528317))+0-2-0.00306000000000012</f>
        <v>1073.5400070000001</v>
      </c>
      <c r="P86" s="3">
        <f>1515.3+(395.4-815)+(0.772803+(0.201654-0.41565))+0-2-0.0010199999999998</f>
        <v>1094.2577869999998</v>
      </c>
      <c r="Q86" s="3">
        <f>1509.7+(367-732)+(0+(0-0))+0-2-0</f>
        <v>1142.7</v>
      </c>
      <c r="R86" s="3">
        <f>1534.8+(371.5-768.7)+(0+(0-0))+0-2-0</f>
        <v>1135.5999999999999</v>
      </c>
      <c r="S86" s="3">
        <f>1611.9+(387.1-880.4)+(-1.644138+(-0.394842--0.898008))+0-2--0.00204000000000032</f>
        <v>1115.4610680000003</v>
      </c>
      <c r="T86" s="3">
        <f>1612.9+(377.7-893.4)+(-0.822579+(-0.192627--0.455634))+0-2--0.0010199999999998</f>
        <v>1094.6414480000001</v>
      </c>
      <c r="U86" s="3">
        <f>1618+(373.6-898.3)+(-0.82518+(-0.190536--0.458133))+0-2--0.0010199999999998</f>
        <v>1090.7434370000001</v>
      </c>
      <c r="V86" s="3">
        <f>1609.7+(393.8-913.2)+(-3.283788+(-0.803352--1.862928))+0-2--0.00407999999999991</f>
        <v>1086.0798679999998</v>
      </c>
      <c r="W86" s="3">
        <f>1612+(446.5-952.4)+(-1.64424+(-0.45543--0.971448))+0-2--0.00204000000000032</f>
        <v>1102.9738179999999</v>
      </c>
      <c r="X86" s="3">
        <f>1612+(510.7-1035.1)+(-2.46636+(-0.781371--1.583703))+0-2--0.00306000000000012</f>
        <v>1083.9390320000002</v>
      </c>
      <c r="Y86" s="3">
        <f>1556.2+(434.3-939.6)+(-1.587324+(-0.442986--0.958392))+0-2--0.00204000000000032</f>
        <v>1047.8301220000001</v>
      </c>
      <c r="Z86" s="3">
        <f>1605.4+(463.5-962.6)+(0.818754+(0.236385-0.490926))+0-2-0.0010199999999998</f>
        <v>1104.8631930000004</v>
      </c>
      <c r="AA86" s="3">
        <f>1648.8+(456.5-869.1)+(-3.363552+(-0.93126--1.772964))+0-2--0.00407999999999991</f>
        <v>1231.6822319999997</v>
      </c>
      <c r="AB86" s="3">
        <f>1660.6+(476.6-921.1)+(0+(0-0))+0-2-0</f>
        <v>1214.0999999999999</v>
      </c>
      <c r="AC86" s="3">
        <f>1656.8+(525.4-1014.5)+(-0.844968+(-0.267954--0.517395))+0-2--0.0010199999999998</f>
        <v>1165.1054929999998</v>
      </c>
      <c r="AD86" s="2">
        <v>1246.5</v>
      </c>
      <c r="AE86" s="3">
        <f>1651+(460.4-864.9)+(0+(0-0))+0-2-0</f>
        <v>1244.5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1662+(580-1138.4)+(-3.39048+(-1.1832--2.322336))+0-2--0.00407999999999991</f>
        <v>1099.3527359999998</v>
      </c>
      <c r="G87" s="3">
        <f>1684.1+(461.8-1123.6)+(0+(0-0))+0-2-0</f>
        <v>1020.3</v>
      </c>
      <c r="H87" s="3">
        <f>1615.4+(515.1-1174)+(1.647708+(0.525402-1.19748))+0-2-0.00204000000000032</f>
        <v>955.47359000000017</v>
      </c>
      <c r="I87" s="3">
        <f>1586+(470.5-1127.5)+(0+(0-0))+0-2-0</f>
        <v>927</v>
      </c>
      <c r="J87" s="3">
        <f>1548.6+(446.2-1082.7)+(1.579572+(0.455124-1.104354))+0-2-0.00204000000000032</f>
        <v>911.02830199999994</v>
      </c>
      <c r="K87" s="3">
        <f>1481.9+(359.4-958.1)+(-3.778845+(-0.91647--2.443155))+0-2--0.00509999999999971</f>
        <v>878.95294000000001</v>
      </c>
      <c r="L87" s="3">
        <f>1401.2+(260.7-810)+(-2.143836+(-0.398871--1.2393))+0-2--0.00306000000000012</f>
        <v>848.5996530000001</v>
      </c>
      <c r="M87" s="3">
        <f>1386.2+(257.4-765.2)+(2.120886+(0.393822-1.170756))+0-2-0.00306000000000012</f>
        <v>877.74089199999992</v>
      </c>
      <c r="N87" s="3">
        <f>1672.6+(195.8-897.8)+(0.853026+(0.099858-0.457878))+0-2-0.0010199999999998</f>
        <v>969.09398599999986</v>
      </c>
      <c r="O87" s="3">
        <f>1712.2+(240.1-899.3)+(1.746444+(0.244902-0.917286))+0-2-0.00204000000000032</f>
        <v>1052.0720199999998</v>
      </c>
      <c r="P87" s="3">
        <f>1696.1+(275.8-860.9)+(1.730022+(0.281316-0.878118))+0-2-0.00204000000000032</f>
        <v>1110.1311799999999</v>
      </c>
      <c r="Q87" s="3">
        <f>1676.9+(249.3-772.7)+(-2.565657+(-0.381429--1.182231))+0-2--0.00306000000000012</f>
        <v>1149.7382050000001</v>
      </c>
      <c r="R87" s="3">
        <f>1674.3+(280.9-810.9)+(0+(0-0))+0-2-0</f>
        <v>1142.3</v>
      </c>
      <c r="S87" s="3">
        <f>1663+(403.6-964.6)+(-5.08878+(-1.235016--2.951676))+0-2--0.00612000000000023</f>
        <v>1096.634</v>
      </c>
      <c r="T87" s="3">
        <f>1660.5+(438.8-1002.8)+(-1.69371+(-0.447576--1.022856))+0-2--0.00204000000000032</f>
        <v>1093.3836100000001</v>
      </c>
      <c r="U87" s="3">
        <f>1659.1+(473-1041.3)+(-1.692282+(-0.48246--1.062126))+0-2--0.00204000000000032</f>
        <v>1087.6894240000001</v>
      </c>
      <c r="V87" s="3">
        <f>1661.7+(516.1-1076)+(-2.542401+(-0.789633--1.64628))+0-2--0.00306000000000012</f>
        <v>1098.1173060000001</v>
      </c>
      <c r="W87" s="3">
        <f>1666.2+(545.3-1097.3)+(-0.849762+(-0.278103--0.559623))+0-2--0.0010199999999998</f>
        <v>1111.6327779999999</v>
      </c>
      <c r="X87" s="3">
        <f>1659.3+(467.7-1039.9)+(-3.384972+(-0.954108--2.121396))+0-2--0.00407999999999991</f>
        <v>1082.8863959999999</v>
      </c>
      <c r="Y87" s="3">
        <f>1604.3+(407.6-952.1)+(0+(0-0))+0-2-0</f>
        <v>1057.8</v>
      </c>
      <c r="Z87" s="3">
        <f>1586+(448.6-934.5)+(0+(0-0))+0-2-0</f>
        <v>1098.0999999999999</v>
      </c>
      <c r="AA87" s="3">
        <f>1643+(444.6-863)+(-2.51379+(-0.680238--1.32039))+0-2--0.00306000000000012</f>
        <v>1220.7294219999999</v>
      </c>
      <c r="AB87" s="3">
        <f>1649.9+(437.1-872.3)+(-3.365796+(-0.891684--1.779492))+0-2--0.00407999999999991</f>
        <v>1210.2260920000001</v>
      </c>
      <c r="AC87" s="3">
        <f>1656.5+(409.1-911.5)+(-0.844815+(-0.208641--0.464865))+0-2--0.0010199999999998</f>
        <v>1151.5124289999999</v>
      </c>
      <c r="AD87" s="2">
        <v>1224.1999999999998</v>
      </c>
      <c r="AE87" s="3">
        <f>1640+(447.6-863.4)+(0+(0-0))+0-2-0</f>
        <v>1222.2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1651.1+(413.2-965.3)+(-1.684122+(-0.421464--0.984606))+0-2--0.00204000000000032</f>
        <v>1095.8810600000002</v>
      </c>
      <c r="G88" s="3">
        <f>1640.4+(441.9-1055.8)+(-5.019624+(-1.352214--3.230748))+0-2--0.00612000000000023</f>
        <v>1021.36503</v>
      </c>
      <c r="H88" s="3">
        <f>1646.1+(494.2-1158.8)+(-3.358044+(-1.008168--2.363952))+0-2--0.00407999999999991</f>
        <v>977.50182000000007</v>
      </c>
      <c r="I88" s="3">
        <f>1646.9+(484.2-1181.1)+(-4.199595+(-1.23471--3.011805))+0-2--0.00509999999999971</f>
        <v>945.58260000000018</v>
      </c>
      <c r="J88" s="3">
        <f>1642.2+(362.5-1079.8)+(0+(0-0))+0-2-0</f>
        <v>922.90000000000009</v>
      </c>
      <c r="K88" s="3">
        <f>1575.6+(373.7-1049.2)+(-2.410668+(-0.571761--1.605276))+0-2--0.00306000000000012</f>
        <v>896.72590699999989</v>
      </c>
      <c r="L88" s="3">
        <f>1371+(460.9-982.4)+(0.69921+(0.235059-0.501024))+0-2-0.0010199999999998</f>
        <v>847.93222500000002</v>
      </c>
      <c r="M88" s="3">
        <f>1305.2+(428.9-881.8)+(0.665652+(0.218739-0.449718))+0-2-0.0010199999999998</f>
        <v>850.733653</v>
      </c>
      <c r="N88" s="3">
        <f>1451.3+(349.4-905.1)+(0+(0-0))+0-2-0</f>
        <v>893.59999999999991</v>
      </c>
      <c r="O88" s="3">
        <f>1633.8+(301.8-974)+(0.833238+(0.153918-0.49674))+0-2-0.0010199999999998</f>
        <v>960.08939599999985</v>
      </c>
      <c r="P88" s="3">
        <f>1662.8+(350.6-983.9)+(0.848028+(0.178806-0.501789))+0-2-0.0010199999999998</f>
        <v>1028.0240250000002</v>
      </c>
      <c r="Q88" s="3">
        <f>1642.3+(312.1-898.8)+(2.512719+(0.477513-1.375164))+0-2-0.00306000000000012</f>
        <v>1055.212008</v>
      </c>
      <c r="R88" s="3">
        <f>1646.1+(335-924.4)+(5.037066+(1.0251-2.828664))+0-0-0</f>
        <v>1059.9335019999999</v>
      </c>
      <c r="S88" s="3">
        <f>1621.3+(320-909.6)+(1.653726+(0.3264-0.927792))+0-0-0</f>
        <v>1032.7523339999998</v>
      </c>
      <c r="T88" s="3">
        <f>1619.1+(289.3-874.2)+(2.477223+(0.442629-1.337526))+0-0-0</f>
        <v>1035.7823259999998</v>
      </c>
      <c r="U88" s="3">
        <f>1618.7+(289.8-872.8)+(0.825537+(0.147798-0.445128))+0-0-0</f>
        <v>1036.2282070000001</v>
      </c>
      <c r="V88" s="3">
        <f>1612.1+(282.5-856.3)+(0.822171+(0.144075-0.436713))+0-0-0</f>
        <v>1038.8295329999999</v>
      </c>
      <c r="W88" s="3">
        <f>1608.4+(305.2-862.9)+(0+(0-0))+0-0-0</f>
        <v>1050.7</v>
      </c>
      <c r="X88" s="3">
        <f>1605.8+(333-896.1)+(-1.637916+(-0.33966--0.914022))+0-0-0</f>
        <v>1041.6364459999998</v>
      </c>
      <c r="Y88" s="3">
        <f>1581.2+(338-902.3)+(0+(0-0))+0-0-0</f>
        <v>1016.9000000000001</v>
      </c>
      <c r="Z88" s="3">
        <f>1619.9+(400.8-974.4)+(2.478447+(0.613224-1.490832))+0-0-0</f>
        <v>1047.9008390000001</v>
      </c>
      <c r="AA88" s="3">
        <f>1628.2+(313.7-752)+(3.321528+(0.639948-1.53408))+0-0-0</f>
        <v>1192.3273960000001</v>
      </c>
      <c r="AB88" s="3">
        <f>1631.9+(275-715.8)+(-0.832269+(-0.14025--0.365058))+0-0-0</f>
        <v>1190.4925390000001</v>
      </c>
      <c r="AC88" s="3">
        <f>1658.7+(302.2-816.6)+(0.845937+(0.154122-0.416466))+0-0-0</f>
        <v>1144.883593</v>
      </c>
      <c r="AD88" s="2">
        <v>1199.9000000000001</v>
      </c>
      <c r="AE88" s="3">
        <f>1624+(287.4-711.5)+(0+(0-0))+0-0-0</f>
        <v>1199.9000000000001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1662.6+(328.5-911)+(-1.695852+(-0.33507--0.92922))+0-0-0</f>
        <v>1078.998298</v>
      </c>
      <c r="G89" s="3">
        <f>1634.5+(323.9-948.9)+(-5.00157+(-0.991134--2.903634))+0-0-0</f>
        <v>1006.41093</v>
      </c>
      <c r="H89" s="3">
        <f>1563.1+(403-1014.9)+(-1.594362+(-0.41106--1.035198))+0-0-0</f>
        <v>950.2297759999999</v>
      </c>
      <c r="I89" s="3">
        <f>1574.2+(362.8-1002.5)+(1.605684+(0.370056-1.02255))+0-0-0</f>
        <v>935.45318999999995</v>
      </c>
      <c r="J89" s="3">
        <f>1583+(366.9-1025.7)+(3.22932+(0.748476-2.092428))+0-0-0</f>
        <v>926.0853679999999</v>
      </c>
      <c r="K89" s="3">
        <f>1580.7+(327.8-991.7)+(-1.612314+(-0.334356--1.011534))+0-0-0</f>
        <v>915.8648639999999</v>
      </c>
      <c r="L89" s="3">
        <f>1424.8+(310.1-868.6)+(3.63324+(0.790755-2.21493))+0-0-0</f>
        <v>868.50906499999996</v>
      </c>
      <c r="M89" s="3">
        <f>1437.5+(289.4-821.2)+(2.199375+(0.442782-1.256436))+0-0-0</f>
        <v>907.08572099999992</v>
      </c>
      <c r="N89" s="3">
        <f>1655.2+(318.7-961.9)+(4.22076+(0.812685-2.452845))+0-0-0</f>
        <v>1014.5806</v>
      </c>
      <c r="O89" s="3">
        <f>1671.2+(314.6-893.1)+(4.26156+(0.80223-2.277405))+0-0-0</f>
        <v>1095.4863850000002</v>
      </c>
      <c r="P89" s="3">
        <f>1624.3+(301.4-792)+(1.656786+(0.307428-0.80784))+0-0-0</f>
        <v>1134.8563739999997</v>
      </c>
      <c r="Q89" s="3">
        <f>1638.4+(289.2-743)+(4.17792+(0.73746-1.89465))+0-0-0</f>
        <v>1187.6207300000001</v>
      </c>
      <c r="R89" s="3">
        <f>1660+(310.9-773.6)+(1.6932+(0.317118-0.789072))+0-1-0.00102000000000016</f>
        <v>1197.5202260000001</v>
      </c>
      <c r="S89" s="3">
        <f>1667+(365.5-871.9)+(-0.85017+(-0.186405--0.444669))+0-1--0.000509999999999899</f>
        <v>1159.0086039999999</v>
      </c>
      <c r="T89" s="3">
        <f>1659+(339.1-846.1)+(0.84609+(0.172941-0.431511))+0-1-0.000509999999999899</f>
        <v>1151.58701</v>
      </c>
      <c r="U89" s="3">
        <f>1658.6+(330.5-836.5)+(0+(0-0))+0-1-0</f>
        <v>1151.5999999999999</v>
      </c>
      <c r="V89" s="3">
        <f>1659.7+(378.9-890.9)+(-0.846447+(-0.193239--0.454359))+0-1--0.000509999999999899</f>
        <v>1146.1151830000001</v>
      </c>
      <c r="W89" s="3">
        <f>1650.6+(394.2-900.2)+(-5.050836+(-1.206252--2.754612))+0-1--0.00306000000000012</f>
        <v>1140.100584</v>
      </c>
      <c r="X89" s="3">
        <f>1605.1+(389.8-877.5)+(-3.274404+(-0.795192--1.7901))+0-1--0.00203999999999996</f>
        <v>1114.1225439999998</v>
      </c>
      <c r="Y89" s="3">
        <f>1606.2+(291-804.4)+(-4.09581+(-0.74205--2.05122))+0-1--0.00254999999999985</f>
        <v>1089.0159100000001</v>
      </c>
      <c r="Z89" s="3">
        <f>1621+(296.2-765.7)+(0+(0-0))+0-1-0</f>
        <v>1150.5</v>
      </c>
      <c r="AA89" s="3">
        <f>1624.9+(407-762.7)+(-2.486097+(-0.62271--1.166931))+0-1--0.00153000000000006</f>
        <v>1266.259654</v>
      </c>
      <c r="AB89" s="3">
        <f>1630.8+(446-814.8)+(0+(0-0))+0-1-0</f>
        <v>1261</v>
      </c>
      <c r="AC89" s="3">
        <f>1626.8+(512.9-920)+(-3.318672+(-1.046316--1.8768))+0-1--0.00203999999999996</f>
        <v>1216.2138519999999</v>
      </c>
      <c r="AD89" s="2">
        <v>1284.3999999999999</v>
      </c>
      <c r="AE89" s="3">
        <f>1631+(441.7-788.3)+(0+(0-0))+0-1-0</f>
        <v>1283.4000000000001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1629.6+(524.2-1024.8)+(-3.324384+(-1.069368--2.090592))+0-1--0.00203999999999996</f>
        <v>1125.6988800000001</v>
      </c>
      <c r="G90" s="3">
        <f>1651.7+(467.9-1068.4)+(-0.842367+(-0.238629--0.544884))+0-1--0.000509999999999899</f>
        <v>1049.6643979999999</v>
      </c>
      <c r="H90" s="3">
        <f>1614+(470.1-1090.2)+(-2.46942+(-0.719253--1.668006))+0-1--0.00153000000000006</f>
        <v>991.38086299999998</v>
      </c>
      <c r="I90" s="3">
        <f>1543.9+(456.5-1034.7)+(-3.936945+(-1.164075--2.638485))+0-1--0.00254999999999985</f>
        <v>962.24001500000008</v>
      </c>
      <c r="J90" s="3">
        <f>1537.6+(424.5-1020.4)+(-0.784176+(-0.216495--0.520404))+0-1--0.000509999999999899</f>
        <v>940.22024299999987</v>
      </c>
      <c r="K90" s="3">
        <f>1464.5+(460.8-1000.1)+(-3.734475+(-1.17504--2.550255))+0-1--0.00254999999999985</f>
        <v>921.84329000000014</v>
      </c>
      <c r="L90" s="3">
        <f>1418.8+(435.3-981.2)+(0.723588+(0.222003-0.500412))+0-0-0</f>
        <v>873.34517899999992</v>
      </c>
      <c r="M90" s="3">
        <f>1525.1+(337.7-954.4)+(2.333403+(0.516681-1.460232))+0-0-0</f>
        <v>909.78985199999988</v>
      </c>
      <c r="N90" s="3">
        <f>1662+(332.3-985.5)+(2.54286+(0.508419-1.507815))+0-0-0</f>
        <v>1010.3434639999999</v>
      </c>
      <c r="O90" s="3">
        <f>1656.7+(340.2-910.7)+(-0.844917+(-0.173502--0.464457))+0-0-0</f>
        <v>1085.6460380000001</v>
      </c>
      <c r="P90" s="3">
        <f>1643.5+(423.1-923.7)+(0+(0-0))+0-0-0</f>
        <v>1142.9000000000001</v>
      </c>
      <c r="Q90" s="3">
        <f>1640.6+(432.4-895.5)+(0+(0-0))+0-0-0</f>
        <v>1177.5</v>
      </c>
      <c r="R90" s="3">
        <f>1624.4+(415.6-859.7)+(1.656888+(0.423912-0.876894))+0-0.5-0.00051000000000008</f>
        <v>1181.0033960000001</v>
      </c>
      <c r="S90" s="3">
        <f>1599.5+(482.1-921.6)+(-2.447235+(-0.737613--1.410048))+0-0.5--0.000765000000000029</f>
        <v>1157.7259650000001</v>
      </c>
      <c r="T90" s="3">
        <f>1598.5+(483.8-920.5)+(-2.445705+(-0.740214--1.408365))+0-0.5--0.000765000000000029</f>
        <v>1159.5232109999999</v>
      </c>
      <c r="U90" s="3">
        <f>1525.2+(460.7-826.7)+(-1.555704+(-0.469914--0.843234))+0-0.5--0.00051000000000008</f>
        <v>1157.5181260000002</v>
      </c>
      <c r="V90" s="3">
        <f>1516+(484-841.9)+(0.77316+(0.24684-0.429369))+0-0.5-0.000254999999999949</f>
        <v>1158.190376</v>
      </c>
      <c r="W90" s="3">
        <f>1505.4+(547.6-876.7)+(-2.303262+(-0.837828--1.341351))+0-0.5--0.000765000000000029</f>
        <v>1174.0010260000001</v>
      </c>
      <c r="X90" s="3">
        <f>1517.1+(589.8-965.8)+(-0.773721+(-0.300798--0.492558))+0-0.5--0.000254999999999949</f>
        <v>1140.0182939999997</v>
      </c>
      <c r="Y90" s="3">
        <f>1546.2+(353.5-810.9)+(-0.788562+(-0.180285--0.413559))+0-0.5--0.000254999999999949</f>
        <v>1087.7449670000001</v>
      </c>
      <c r="Z90" s="3">
        <f>1556.3+(376.3-811.5)+(-0.793713+(-0.191913--0.413865))+0-0.5--0.000254999999999949</f>
        <v>1120.0284939999999</v>
      </c>
      <c r="AA90" s="3">
        <f>1549.9+(394.3-722.4)+(-5.533143+(-1.407651--2.578968))+0-0.5--0.00178500000000001</f>
        <v>1216.939959</v>
      </c>
      <c r="AB90" s="3">
        <f>1573.4+(359.8-700.9)+(-0.802434+(-0.183498--0.357459))+0-0.5--0.000254999999999949</f>
        <v>1231.1717820000001</v>
      </c>
      <c r="AC90" s="3">
        <f>1654+(351.8-821)+(-0.84354+(-0.179418--0.41871))+0-0.5--0.000254999999999949</f>
        <v>1183.6960069999998</v>
      </c>
      <c r="AD90" s="2">
        <v>1257.6999999999998</v>
      </c>
      <c r="AE90" s="3">
        <f>1565+(402.6-709.9)+(0+(0-0))+0-0.5-0</f>
        <v>1257.2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1670.9+(394.9-951.8)+(0+(0-0))+0-0.3-0</f>
        <v>1113.7</v>
      </c>
      <c r="G91" s="3">
        <f>1666.7+(368.2-997.9)+(-4.250085+(-0.93891--2.544645))+0-0.3--0.000764999999999956</f>
        <v>1034.056415</v>
      </c>
      <c r="H91" s="3">
        <f>1691.3+(289.3-1006)+(-0.862563+(-0.147543--0.51306))+0-0.3--0.00015299999999997</f>
        <v>973.80310699999995</v>
      </c>
      <c r="I91" s="3">
        <f>1697.2+(295.4-1040.9)+(0+(0-0))+0-0.3-0</f>
        <v>951.4</v>
      </c>
      <c r="J91" s="3">
        <f>1695.9+(304.8-1074.1)+(-1.729818+(-0.310896--1.095582))+0-0.3--0.000306000000000048</f>
        <v>925.35517400000026</v>
      </c>
      <c r="K91" s="3">
        <f>1687.2+(322.2-1101.4)+(-4.30236+(-0.82161--2.80857))+0-0.3--0.000764999999999956</f>
        <v>905.38536500000009</v>
      </c>
      <c r="L91" s="3">
        <f>1623.8+(358-1116.7)+(-1.656276+(-0.36516--1.139034))+0-0-0</f>
        <v>864.21759799999995</v>
      </c>
      <c r="M91" s="3">
        <f>1572.2+(362.3-1049.6)+(0+(0-0))+0-0-0</f>
        <v>884.90000000000009</v>
      </c>
      <c r="N91" s="3">
        <f>1568.9+(324.1-951.1)+(-1.600278+(-0.330582--0.970122))+0-0-0</f>
        <v>940.9392620000001</v>
      </c>
      <c r="O91" s="3">
        <f>1635.6+(295.4-906)+(1.668312+(0.301308-0.92412))+0-0-0</f>
        <v>1026.0454999999999</v>
      </c>
      <c r="P91" s="3">
        <f>1608.8+(272.7-802.7)+(0.820488+(0.139077-0.409377))+0-0-0</f>
        <v>1079.3501879999999</v>
      </c>
      <c r="Q91" s="3">
        <f>1592.1+(279.7-751.7)+(1.623942+(0.285294-0.766734))+0-0-0</f>
        <v>1121.2425019999998</v>
      </c>
      <c r="R91" s="3">
        <f>1608.6+(352.9-843.2)+(0.820386+(0.179979-0.430032))+0-2-0.0010199999999998</f>
        <v>1116.8693129999997</v>
      </c>
      <c r="S91" s="3">
        <f>1616.9+(407.2-954.4)+(-1.649238+(-0.415344--0.973488))+0-2--0.00204000000000032</f>
        <v>1066.610946</v>
      </c>
      <c r="T91" s="3">
        <f>1610.5+(432.6-974)+(-2.464065+(-0.661878--1.49022))+0-2--0.00306000000000012</f>
        <v>1065.4673369999998</v>
      </c>
      <c r="U91" s="3">
        <f>1617.1+(478.9-1022.7)+(-0.824721+(-0.244239--0.521577))+0-2--0.0010199999999998</f>
        <v>1070.7536369999996</v>
      </c>
      <c r="V91" s="3">
        <f>1637+(497.1-1057.3)+(1.66974+(0.507042-1.078446))+0-2-0.00204000000000032</f>
        <v>1075.8962960000001</v>
      </c>
      <c r="W91" s="3">
        <f>1585.8+(509.8-1014)+(-1.617516+(-0.519996--1.03428))+0-2--0.00204000000000032</f>
        <v>1078.4988080000001</v>
      </c>
      <c r="X91" s="3">
        <f>1572.2+(536.5-1046.9)+(-3.207288+(-1.09446--2.135676))+0-2--0.00407999999999991</f>
        <v>1057.6380079999999</v>
      </c>
      <c r="Y91" s="3">
        <f>1544.5+(427-939.2)+(-1.57539+(-0.43554--0.957984))+0-2--0.00204000000000032</f>
        <v>1029.249094</v>
      </c>
      <c r="Z91" s="3">
        <f>1611.2+(466.8-988.7)+(0+(0-0))+0-2-0</f>
        <v>1087.3</v>
      </c>
      <c r="AA91" s="3">
        <f>1643.1+(473.8-892.8)+(-3.351924+(-0.966552--1.821312))+0-2--0.00407999999999991</f>
        <v>1219.6069159999997</v>
      </c>
      <c r="AB91" s="3">
        <f>1612.5+(464.1-862.8)+(-3.2895+(-0.946764--1.760112))+0-2--0.00407999999999991</f>
        <v>1209.3279280000002</v>
      </c>
      <c r="AC91" s="3">
        <f>1615.3+(490.2-929.6)+(-0.823803+(-0.250002--0.474096))+0-2--0.0010199999999998</f>
        <v>1173.3013109999997</v>
      </c>
      <c r="AD91" s="2">
        <v>1226.3000000000002</v>
      </c>
      <c r="AE91" s="3">
        <f>1621+(454.4-849.1)+(0+(0-0))+0-2-0</f>
        <v>1224.3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1514.7+(510.3-913.2)+(-1.544994+(-0.520506--0.931464))+0-2--0.00204000000000032</f>
        <v>1108.6680040000001</v>
      </c>
      <c r="G92" s="3">
        <f>1489.5+(546-995)+(-3.03858+(-1.11384--2.0298))+0-2--0.00407999999999991</f>
        <v>1036.3814599999998</v>
      </c>
      <c r="H92" s="3">
        <f>1497.4+(568.2-1073.3)+(-2.291022+(-0.869346--1.642149))+0-2--0.00306000000000012</f>
        <v>988.78484100000014</v>
      </c>
      <c r="I92" s="3">
        <f>1473.7+(538.9-1048.9)+(-3.006348+(-1.099356--2.139756))+0-2--0.00407999999999991</f>
        <v>959.73813199999995</v>
      </c>
      <c r="J92" s="3">
        <f>1460.2+(466.1-985.6)+(0.744702+(0.237711-0.502656))+0-2-0.0010199999999998</f>
        <v>939.17873699999996</v>
      </c>
      <c r="K92" s="3">
        <f>1411.1+(430.7-914.7)+(-2.878644+(-0.878628--1.865988))+0-2--0.00407999999999991</f>
        <v>923.21279599999991</v>
      </c>
      <c r="L92" s="3">
        <f>1183.1+(481.4-795.5)+(2.413524+(0.982056-1.62282))+0-2-0.00407999999999991</f>
        <v>868.76867999999979</v>
      </c>
      <c r="M92" s="3">
        <f>1276.2+(430.3-797.5)+(0+(0-0))+0-2-0</f>
        <v>907</v>
      </c>
      <c r="N92" s="3">
        <f>1487.5+(437.9-949.2)+(1.51725+(0.446658-0.968184))+0-2-0.00204000000000032</f>
        <v>975.19368399999996</v>
      </c>
      <c r="O92" s="3">
        <f>1544.2+(410.5-921.8)+(0+(0-0))+0-2-0</f>
        <v>1030.9000000000001</v>
      </c>
      <c r="P92" s="3">
        <f>1541.2+(447.3-921.5)+(1.572024+(0.456246-0.93993))+0-2-0.00204000000000032</f>
        <v>1066.0862999999999</v>
      </c>
      <c r="Q92" s="3">
        <f>1541.8+(438.6-860.2)+(0.786318+(0.223686-0.438702))+0-2-0.0010199999999998</f>
        <v>1118.770282</v>
      </c>
      <c r="R92" s="3">
        <f>1530.6+(416.2-828.1)+(0.780606+(0.212262-0.422331))+0-2-0.0010199999999998</f>
        <v>1117.269517</v>
      </c>
      <c r="S92" s="3">
        <f>1510.5+(453.6-868.1)+(-3.851775+(-1.15668--2.213655))+0-2--0.00509999999999971</f>
        <v>1091.2103000000002</v>
      </c>
      <c r="T92" s="3">
        <f>1517+(481.2-907.8)+(-1.54734+(-0.490824--0.925956))+0-2--0.00204000000000032</f>
        <v>1087.2898320000002</v>
      </c>
      <c r="U92" s="3">
        <f>1505.2+(485.2-911.6)+(-3.83826+(-1.23726--2.32458))+0-2--0.00509999999999971</f>
        <v>1074.0541600000001</v>
      </c>
      <c r="V92" s="3">
        <f>1422.6+(516.7-844.8)+(-1.451052+(-0.527034--0.861696))+0-2--0.00204000000000032</f>
        <v>1091.3856500000002</v>
      </c>
      <c r="W92" s="3">
        <f>1464+(467.4-850.6)+(-3.7332+(-1.19187--2.16903))+0-2--0.00509999999999971</f>
        <v>1076.0490600000001</v>
      </c>
      <c r="X92" s="3">
        <f>1521.6+(410.2-862.4)+(-3.88008+(-1.04601--2.19912))+0-2--0.00509999999999971</f>
        <v>1064.67813</v>
      </c>
      <c r="Y92" s="3">
        <f>1534.8+(390.9-880.4)+(-3.130992+(-0.797436--1.796016))+0-2--0.00407999999999991</f>
        <v>1041.171668</v>
      </c>
      <c r="Z92" s="3">
        <f>1568.7+(405.6-907.4)+(0+(0-0))+0-2-0</f>
        <v>1064.9000000000001</v>
      </c>
      <c r="AA92" s="3">
        <f>1615.2+(405.4-821.3)+(-4.942512+(-1.240524--2.513178))+0-2--0.00612000000000023</f>
        <v>1193.6362620000002</v>
      </c>
      <c r="AB92" s="3">
        <f>1626.7+(383.9-837.4)+(-3.318468+(-0.783156--1.708296))+0-2--0.00407999999999991</f>
        <v>1168.8107519999999</v>
      </c>
      <c r="AC92" s="3">
        <f>1631.5+(380.9-888.6)+(-1.66413+(-0.388518--0.906372))+0-2--0.00204000000000032</f>
        <v>1120.6557640000001</v>
      </c>
      <c r="AD92" s="2">
        <v>1181.7</v>
      </c>
      <c r="AE92" s="3">
        <f>1635+(390.9-844.2)+(0+(0-0))+0-2-0</f>
        <v>1179.6999999999998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1637.5+(332.1-928.2)+(-2.505375+(-0.508113--1.420146))+0-2--0.00306000000000012</f>
        <v>1037.8097180000002</v>
      </c>
      <c r="G93" s="3">
        <f>1640.7+(401-1068.6)+(-3.347028+(-0.81804--2.179944))+0-2--0.00407999999999991</f>
        <v>969.11895600000014</v>
      </c>
      <c r="H93" s="3">
        <f>1641.1+(437.7-1141.5)+(-2.510883+(-0.669681--1.746495))+0-2--0.00306000000000012</f>
        <v>933.86899099999994</v>
      </c>
      <c r="I93" s="3">
        <f>1650.2+(424.4-1150.9)+(-0.841602+(-0.216444--0.586959))+0-2--0.0010199999999998</f>
        <v>921.22993299999996</v>
      </c>
      <c r="J93" s="3">
        <f>1655.8+(400.1-1143.3)+(-1.688916+(-0.408102--1.166166))+0-2--0.00204000000000032</f>
        <v>909.67118800000003</v>
      </c>
      <c r="K93" s="3">
        <f>1514.8+(404.4-1019.5)+(-1.545096+(-0.412488--1.03989))+0-2--0.00204000000000032</f>
        <v>896.78434599999991</v>
      </c>
      <c r="L93" s="3">
        <f>1388.2+(437.8-976.6)+(0+(0-0))+0-2-0</f>
        <v>847.40000000000009</v>
      </c>
      <c r="M93" s="3">
        <f>1597.4+(333.4-1035.4)+(0.814674+(0.170034-0.528054))+0-2-0.0010199999999998</f>
        <v>893.8556339999999</v>
      </c>
      <c r="N93" s="3">
        <f>1665.7+(354.8-1050.7)+(1.699014+(0.361896-1.071714))+0-2-0.00204000000000032</f>
        <v>968.78715599999998</v>
      </c>
      <c r="O93" s="3">
        <f>1653.4+(352.2-978.9)+(1.686468+(0.359244-0.998478))+0-2-0.00204000000000032</f>
        <v>1025.7451939999999</v>
      </c>
      <c r="P93" s="3">
        <f>1695+(290.9-923.5)+(0+(0-0))+0-2-0</f>
        <v>1060.4000000000001</v>
      </c>
      <c r="Q93" s="3">
        <f>1697.5+(281.1-883.8)+(0+(0-0))+0-2-0</f>
        <v>1092.8000000000002</v>
      </c>
      <c r="R93" s="3">
        <f>1686.1+(244-829.8)+(-4.299555+(-0.6222--2.11599))+0-2--0.00509999999999971</f>
        <v>1095.499335</v>
      </c>
      <c r="S93" s="3">
        <f>1681.5+(282.3-892.9)+(-4.287825+(-0.719865--2.276895))+0-2--0.00509999999999971</f>
        <v>1066.1743050000002</v>
      </c>
      <c r="T93" s="3">
        <f>1692.4+(224-881.5)+(-0.863124+(-0.11424--0.449565))+0-2--0.0010199999999998</f>
        <v>1032.3732210000001</v>
      </c>
      <c r="U93" s="3">
        <f>1690.8+(234.6-851.5)+(-3.449232+(-0.478584--1.73706))+0-2--0.00407999999999991</f>
        <v>1069.7133240000001</v>
      </c>
      <c r="V93" s="3">
        <f>1686+(249.7-859.2)+(-3.43944+(-0.509388--1.752768))+0-2--0.00407999999999991</f>
        <v>1072.3080199999999</v>
      </c>
      <c r="W93" s="3">
        <f>1667.4+(227.6-807.8)+(-4.25187+(-0.58038--2.05989))+0-2--0.00509999999999971</f>
        <v>1082.4327400000004</v>
      </c>
      <c r="X93" s="3">
        <f>1555.7+(182.3-731.2)+(-3.967035+(-0.464865--1.86456))+0-2--0.00509999999999971</f>
        <v>1002.23776</v>
      </c>
      <c r="Y93" s="3">
        <f>1406.4+(235.4-631.6)+(-0.717264+(-0.120054--0.322116))+0-2--0.0010199999999998</f>
        <v>1007.685818</v>
      </c>
      <c r="Z93" s="3">
        <f>1439+(307.8-653)+(0+(0-0))+0-2-0</f>
        <v>1091.8</v>
      </c>
      <c r="AA93" s="3">
        <f>1657+(262.7-742.4)+(-3.38028+(-0.535908--1.514496))+0-2--0.00407999999999991</f>
        <v>1172.902388</v>
      </c>
      <c r="AB93" s="3">
        <f>1625.4+(285.9-753.6)+(-2.486862+(-0.437427--1.153008))+0-2--0.00306000000000012</f>
        <v>1153.931779</v>
      </c>
      <c r="AC93" s="3">
        <f>1548.6+(323.6-779.9)+(-1.579572+(-0.330072--0.795498))+0-2--0.00204000000000032</f>
        <v>1089.1878940000001</v>
      </c>
      <c r="AD93" s="2">
        <v>1173.0999999999999</v>
      </c>
      <c r="AE93" s="3">
        <f>1693+(290.3-810.2)+(0+(0-0))+0-2-0</f>
        <v>1171.0999999999999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1560.5+(364.1-906.3)+(-1.59171+(-0.371382--0.924426))+0-2--0.00204000000000032</f>
        <v>1015.263374</v>
      </c>
      <c r="G94" s="3">
        <f>1561.7+(369.1-982.8)+(-1.592934+(-0.376482--1.002456))+0-2--0.00204000000000032</f>
        <v>945.03508000000011</v>
      </c>
      <c r="H94" s="3">
        <f>1656.6+(357-1080.1)+(1.689732+(0.36414-1.101702))+0-2-0.00204000000000032</f>
        <v>932.45013000000006</v>
      </c>
      <c r="I94" s="3">
        <f>1674.4+(374.7-1164.9)+(-1.707888+(-0.382194--1.188198))+0-2--0.00204000000000032</f>
        <v>881.30015600000002</v>
      </c>
      <c r="J94" s="3">
        <f>1701.1+(397.8-1194.8)+(2.602683+(0.608634-1.828044))+0-2-0.00306000000000012</f>
        <v>903.48021299999994</v>
      </c>
      <c r="K94" s="3">
        <f>1475.2+(405.5-1031.4)+(-3.76176+(-1.034025--2.63007))+0-2--0.00509999999999971</f>
        <v>845.13938499999995</v>
      </c>
      <c r="L94" s="3">
        <f>1387.7+(383.3-967.9)+(-0.707727+(-0.195483--0.493629))+0-2--0.0010199999999998</f>
        <v>800.69143900000017</v>
      </c>
      <c r="M94" s="3">
        <f>1357.6+(374.6-887.7)+(1.384752+(0.382092-0.905454))+0-2-0.00204000000000032</f>
        <v>843.35934999999995</v>
      </c>
      <c r="N94" s="3">
        <f>1406.1+(391.5-880.9)+(1.434222+(0.39933-0.898518))+0-2-0.00204000000000032</f>
        <v>915.63299399999994</v>
      </c>
      <c r="O94" s="3">
        <f>1537+(335-886.4)+(0.78387+(0.17085-0.452064))+0-2-0.0010199999999998</f>
        <v>984.10163599999998</v>
      </c>
      <c r="P94" s="3">
        <f>1554.8+(247.1-772.2)+(0+(0-0))+0-2-0</f>
        <v>1027.6999999999998</v>
      </c>
      <c r="Q94" s="3">
        <f>1552.6+(213.8-711.3)+(2.375478+(0.327114-1.088289))+0-2-0.00306000000000012</f>
        <v>1054.711243</v>
      </c>
      <c r="R94" s="3">
        <f>1545.4+(204-692.5)+(1.576308+(0.20808-0.70635))+0-2-0.00204000000000032</f>
        <v>1055.9759980000001</v>
      </c>
      <c r="S94" s="3">
        <f>1530.9+(265.1-767.7)+(-3.123036+(-0.540804--1.566108))+0-2--0.00407999999999991</f>
        <v>1024.2063480000002</v>
      </c>
      <c r="T94" s="3">
        <f>1522.6+(326.3-817.9)+(-3.106104+(-0.665652--1.668516))+0-2--0.00407999999999991</f>
        <v>1026.90084</v>
      </c>
      <c r="U94" s="3">
        <f>1515.2+(337.9-826)+(-0.772752+(-0.172329--0.42126))+0-2--0.0010199999999998</f>
        <v>1024.5771989999998</v>
      </c>
      <c r="V94" s="3">
        <f>1510+(340.6-819.9)+(-2.3103+(-0.521118--1.254447))+0-2--0.00306000000000012</f>
        <v>1027.1260890000001</v>
      </c>
      <c r="W94" s="3">
        <f>1507.6+(372.4-840.2)+(-3.84438+(-0.94962--2.14251))+0-2--0.00509999999999971</f>
        <v>1035.1536099999998</v>
      </c>
      <c r="X94" s="3">
        <f>1508.5+(362.5-867.8)+(-3.846675+(-0.924375--2.21289))+0-2--0.00509999999999971</f>
        <v>998.64693999999997</v>
      </c>
      <c r="Y94" s="3">
        <f>1512.6+(270.9-800.4)+(-0.771426+(-0.138159--0.408204))+0-2--0.0010199999999998</f>
        <v>980.59963899999991</v>
      </c>
      <c r="Z94" s="3">
        <f>1522.2+(325.1-807.2)+(2.328966+(0.497403-1.235016))+0-2-0.00306000000000012</f>
        <v>1039.6882929999999</v>
      </c>
      <c r="AA94" s="3">
        <f>1523.8+(300.1-669.3)+(-2.331414+(-0.459153--1.024029))+0-2--0.00306000000000012</f>
        <v>1150.8365219999998</v>
      </c>
      <c r="AB94" s="3">
        <f>1520.7+(324.3-711.8)+(-3.877785+(-0.826965--1.81509))+0-2--0.00509999999999971</f>
        <v>1128.3154400000001</v>
      </c>
      <c r="AC94" s="3">
        <f>1525.9+(374-817.8)+(-2.334627+(-0.57222--1.251234))+0-2--0.00306000000000012</f>
        <v>1078.4474470000002</v>
      </c>
      <c r="AD94" s="2">
        <v>1172.5999999999999</v>
      </c>
      <c r="AE94" s="3">
        <f>1538+(265.8-631.2)+(0+(0-0))+0-2-0</f>
        <v>1170.5999999999999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1535.3+(398.7-918.6)+(-1.566006+(-0.406674--0.936972))+0-2--0.00204000000000032</f>
        <v>1012.3663319999998</v>
      </c>
      <c r="G95" s="3">
        <f>1537.3+(384.4-979.4)+(-3.136092+(-0.784176--1.997976))+0-2--0.00407999999999991</f>
        <v>938.38178800000003</v>
      </c>
      <c r="H95" s="3">
        <f>1545.6+(299.2-956.3)+(-1.576512+(-0.305184--0.975426))+0-2--0.00204000000000032</f>
        <v>885.59577000000002</v>
      </c>
      <c r="I95" s="3">
        <f>1433+(335.6-917.7)+(0+(0-0))+0-2-0</f>
        <v>848.9</v>
      </c>
      <c r="J95" s="3">
        <f>1386+(368.2-914)+(-2.82744+(-0.751128--1.86456))+0-2--0.00407999999999991</f>
        <v>836.49007200000005</v>
      </c>
      <c r="K95" s="3">
        <f>1360.2+(402.1-928.9)+(-3.46851+(-1.025355--2.368695))+0-2--0.00509999999999971</f>
        <v>829.27993000000004</v>
      </c>
      <c r="L95" s="3">
        <f>1094.9+(508.2-812.7)+(-2.791995+(-1.29591--2.072385))+0-2--0.00509999999999971</f>
        <v>786.38958000000002</v>
      </c>
      <c r="M95" s="3">
        <f>1078+(458.1-722.8)+(-1.64934+(-0.700893--1.105884))+0-2--0.00306000000000012</f>
        <v>810.05871100000002</v>
      </c>
      <c r="N95" s="3">
        <f>1033.5+(471.8-660.5)+(-0.527085+(-0.240618--0.336855))+0-2--0.0010199999999998</f>
        <v>842.37017200000003</v>
      </c>
      <c r="O95" s="3">
        <f>1422.9+(386.6-799.7)+(-1.451358+(-0.394332--0.815694))+0-2--0.00204000000000032</f>
        <v>1006.7720440000001</v>
      </c>
      <c r="P95" s="3">
        <f>1518.3+(295.4-859.3)+(0.774333+(0.150654-0.438243))+0-2-0.0010199999999998</f>
        <v>952.88572399999998</v>
      </c>
      <c r="Q95" s="3">
        <f>1570.2+(361.1-903)+(-0.800802+(-0.184161--0.46053))+0-2--0.0010199999999998</f>
        <v>1025.7765870000001</v>
      </c>
      <c r="R95" s="3">
        <f>1538.9+(353.7-862.6)+(-2.354517+(-0.541161--1.319778))+0-2--0.00306000000000012</f>
        <v>1026.42716</v>
      </c>
      <c r="S95" s="3">
        <f>1476.9+(356.6-790.7)+(-2.259657+(-0.545598--1.209771))+0-2--0.00306000000000012</f>
        <v>1039.2075760000002</v>
      </c>
      <c r="T95" s="3">
        <f>1448.4+(333.9-757.1)+(-0.738684+(-0.170289--0.386121))+0-2--0.0010199999999998</f>
        <v>1022.678168</v>
      </c>
      <c r="U95" s="3">
        <f>1451.8+(358.3-781.2)+(-1.480836+(-0.365466--0.796824))+0-2--0.00204000000000032</f>
        <v>1025.852562</v>
      </c>
      <c r="V95" s="3">
        <f>1440.3+(361.3-783.1)+(-2.203659+(-0.552789--1.198143))+0-2--0.00306000000000012</f>
        <v>1014.944755</v>
      </c>
      <c r="W95" s="3">
        <f>1436+(371.6-788.2)+(-2.92944+(-0.758064--1.607928))+0-2--0.00407999999999991</f>
        <v>1015.324504</v>
      </c>
      <c r="X95" s="3">
        <f>1441.2+(384.4-829.5)+(-2.205036+(-0.588132--1.269135))+0-2--0.00306000000000012</f>
        <v>992.579027</v>
      </c>
      <c r="Y95" s="3">
        <f>1437.4+(345.5-808.1)+(-2.932296+(-0.70482--1.648524))+0-2--0.00407999999999991</f>
        <v>970.81548800000007</v>
      </c>
      <c r="Z95" s="3">
        <f>1485+(423.3-905.1)+(0+(0-0))+0-2-0</f>
        <v>1001.2</v>
      </c>
      <c r="AA95" s="3">
        <f>1534.7+(410-803.2)+(0.782697+(0.2091-0.409632))+0-2-0.0010199999999998</f>
        <v>1140.0811450000001</v>
      </c>
      <c r="AB95" s="3">
        <f>1502.8+(406.4-751.5)+(-3.065712+(-0.829056--1.53306))+0-2--0.00407999999999991</f>
        <v>1153.3423719999998</v>
      </c>
      <c r="AC95" s="3">
        <f>1450+(442.8-786.5)+(-2.2185+(-0.677484--1.203345))+0-2--0.00306000000000012</f>
        <v>1102.6104209999999</v>
      </c>
      <c r="AD95" s="2">
        <v>1154.1999999999998</v>
      </c>
      <c r="AE95" s="3">
        <f>1539+(385.6-770.4)+(0+(0-0))+0-2-0</f>
        <v>1152.2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1463.4+(476.6-887.5)+(-1.492668+(-0.486132--0.90525))+0-2--0.00204000000000032</f>
        <v>1049.42849</v>
      </c>
      <c r="G96" s="3">
        <f>1475.1+(388.3-880.6)+(-0.752301+(-0.198033--0.449106))+0-2--0.0010199999999998</f>
        <v>980.29979200000002</v>
      </c>
      <c r="H96" s="3">
        <f>1381+(436.1-886.9)+(-1.40862+(-0.444822--0.904638))+0-2--0.00204000000000032</f>
        <v>927.25323600000002</v>
      </c>
      <c r="I96" s="3">
        <f>1400.2+(417.1-911.5)+(-1.428204+(-0.425442--0.92973))+0-2--0.00204000000000032</f>
        <v>902.87812400000007</v>
      </c>
      <c r="J96" s="3">
        <f>1505+(373.7-953.5)+(-2.30265+(-0.571761--1.458855))+0-2--0.00306000000000012</f>
        <v>921.78750400000001</v>
      </c>
      <c r="K96" s="3">
        <f>1518.5+(378.3-976.2)+(-3.872175+(-0.964665--2.48931))+0-2--0.00509999999999971</f>
        <v>916.25756999999987</v>
      </c>
      <c r="L96" s="3">
        <f>1494.2+(366.1-991.7)+(1.524084+(0.373422-1.011534))+0-2-0.00204000000000032</f>
        <v>867.4839320000001</v>
      </c>
      <c r="M96" s="3">
        <f>1561.9+(323.9-969.1)+(0+(0-0))+0-2-0</f>
        <v>914.7</v>
      </c>
      <c r="N96" s="3">
        <f>1606.1+(323.7-980.6)+(1.638222+(0.330174-1.000212))+0-2-0.00204000000000032</f>
        <v>948.1661439999998</v>
      </c>
      <c r="O96" s="3">
        <f>1641.5+(248.8-872.7)+(0+(0-0))+0-2-0</f>
        <v>1015.5999999999999</v>
      </c>
      <c r="P96" s="3">
        <f>1688.2+(221.2-785.6)+(0.860982+(0.112812-0.400656))+0-2-0.0010199999999998</f>
        <v>1122.372118</v>
      </c>
      <c r="Q96" s="3">
        <f>1641.4+(225.9-753)+(1.674228+(0.230418-0.76806))+0-2-0.00204000000000032</f>
        <v>1113.4345460000002</v>
      </c>
      <c r="R96" s="3">
        <f>1621.2+(311.6-787.6)+(0+(0-0))+0-2-0</f>
        <v>1143.2</v>
      </c>
      <c r="S96" s="3">
        <f>1613.4+(369.1-853.7)+(-0.822834+(-0.188241--0.435387))+0-2--0.0010199999999998</f>
        <v>1126.2253320000002</v>
      </c>
      <c r="T96" s="3">
        <f>1611.7+(355.9-838.5)+(-1.643934+(-0.363018--0.85527))+0-2--0.00204000000000032</f>
        <v>1125.9503580000001</v>
      </c>
      <c r="U96" s="3">
        <f>1610.4+(367.2-858.5)+(1.642608+(0.374544-0.87567))+0-2-0.00204000000000032</f>
        <v>1118.2394420000001</v>
      </c>
      <c r="V96" s="3">
        <f>1599+(392.4-861.7)+(-2.44647+(-0.600372--1.318401))+0-2--0.00306000000000012</f>
        <v>1125.9746189999998</v>
      </c>
      <c r="W96" s="3">
        <f>1599.8+(401.1-874)+(-4.07949+(-1.022805--2.2287))+0-2--0.00509999999999971</f>
        <v>1122.0315050000002</v>
      </c>
      <c r="X96" s="3">
        <f>1599.8+(427.4-920)+(-3.263592+(-0.871896--1.8768))+0-2--0.00407999999999991</f>
        <v>1102.9453919999999</v>
      </c>
      <c r="Y96" s="3">
        <f>1601.9+(386.8-925.6)+(-3.267876+(-0.789072--1.888224))+0-2--0.00407999999999991</f>
        <v>1058.935356</v>
      </c>
      <c r="Z96" s="3">
        <f>1621+(429.4-955.1)+(1.65342+(0.437988-0.974202))+0-2-0.00204000000000032</f>
        <v>1094.4151659999998</v>
      </c>
      <c r="AA96" s="3">
        <f>1618.2+(403.9-794.5)+(-2.475846+(-0.617967--1.215585))+0-2--0.00306000000000012</f>
        <v>1223.7248319999999</v>
      </c>
      <c r="AB96" s="3">
        <f>1623.9+(442.2-850)+(0.828189+(0.225522-0.4335))+0-2-0.0010199999999998</f>
        <v>1214.7191910000001</v>
      </c>
      <c r="AC96" s="3">
        <f>1648.2+(496-974.4)+(0.840582+(0.25296-0.496944))+0-2-0.0010199999999998</f>
        <v>1168.3955780000003</v>
      </c>
      <c r="AD96" s="2">
        <v>1223</v>
      </c>
      <c r="AE96" s="3">
        <f>1622+(397.4-796.4)+(0+(0-0))+0-2-0</f>
        <v>1221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1639.2+(548.5-1087.8)+(-3.343968+(-1.11894--2.219112))+0-2--0.00407999999999991</f>
        <v>1095.660284</v>
      </c>
      <c r="G97" s="3">
        <f>1641.2+(576.3-1190.7)+(-2.511036+(-0.881739--1.821771))+0-2--0.00306000000000012</f>
        <v>1023.2320560000001</v>
      </c>
      <c r="H97" s="3">
        <f>1651.1+(569.7-1250.5)+(0.842061+(0.290547-0.637755))+0-2-0.0010199999999998</f>
        <v>968.79383299999995</v>
      </c>
      <c r="I97" s="3">
        <f>1621.3+(537.4-1219.6)+(3.307452+(1.096296-2.487984))+0-2-0.00407999999999991</f>
        <v>939.01168399999995</v>
      </c>
      <c r="J97" s="3">
        <f>1582.4+(577.8-1229.1)+(-4.03512+(-1.47339--3.134205))+0-2--0.00509999999999971</f>
        <v>926.73079500000006</v>
      </c>
      <c r="K97" s="3">
        <f>1589.4+(553.6-1232.1)+(-4.05297+(-1.41168--3.141855))+0-2--0.00509999999999971</f>
        <v>906.58230500000013</v>
      </c>
      <c r="L97" s="3">
        <f>1487.8+(433.5-1060.8)+(-2.276334+(-0.663255--1.623024))+0-2--0.00306000000000012</f>
        <v>857.18649500000004</v>
      </c>
      <c r="M97" s="3">
        <f>1569.6+(365-1059.3)+(2.401488+(0.55845-1.620729))+0-2-0.00306000000000012</f>
        <v>874.63614899999993</v>
      </c>
      <c r="N97" s="3">
        <f>1642.5+(455.1-1117.5)+(0.837675+(0.232101-0.569925))+0-2-0.0010199999999998</f>
        <v>978.59883100000002</v>
      </c>
      <c r="O97" s="3">
        <f>1634.1+(415-1005.1)+(0.833391+(0.21165-0.512601))+0-2-0.0010199999999998</f>
        <v>1042.53142</v>
      </c>
      <c r="P97" s="3">
        <f>1657.9+(357.1-909.3)+(2.536587+(0.546363-1.391229))+0-2-0.00306000000000012</f>
        <v>1105.3886610000002</v>
      </c>
      <c r="Q97" s="3">
        <f>1631.4+(300.1-788.7)+(0+(0-0))+0-2-0</f>
        <v>1140.8000000000002</v>
      </c>
      <c r="R97" s="3">
        <f>1612.6+(355.9-817.3)+(-3.289704+(-0.726036--1.667292))+0-2--0.00407999999999991</f>
        <v>1146.8556319999998</v>
      </c>
      <c r="S97" s="3">
        <f>1617.7+(458.8-961.1)+(-3.300108+(-0.935952--1.960644))+0-2--0.00407999999999991</f>
        <v>1111.1286640000001</v>
      </c>
      <c r="T97" s="3">
        <f>1619.2+(468.4-976.1)+(0+(0-0))+0-2-0</f>
        <v>1109.5</v>
      </c>
      <c r="U97" s="3">
        <f>1609.8+(493-989.3)+(-0.820998+(-0.25143--0.504543))+0-2--0.0010199999999998</f>
        <v>1110.933135</v>
      </c>
      <c r="V97" s="3">
        <f>1600.9+(500-969.8)+(-2.449377+(-0.765--1.483794))+0-2--0.00306000000000012</f>
        <v>1127.3724770000001</v>
      </c>
      <c r="W97" s="3">
        <f>1596.6+(392.6-876.8)+(-4.07133+(-1.00113--2.23584))+0-2--0.00509999999999971</f>
        <v>1107.5684800000001</v>
      </c>
      <c r="X97" s="3">
        <f>1601+(434-951.1)+(-3.26604+(-0.88536--1.940244))+0-2--0.00407999999999991</f>
        <v>1079.6929239999999</v>
      </c>
      <c r="Y97" s="3">
        <f>1522.9+(403.4-878.7)+(-3.106716+(-0.822936--1.792548))+0-2--0.00407999999999991</f>
        <v>1043.4669759999999</v>
      </c>
      <c r="Z97" s="3">
        <f>1494.1+(403-822.6)+(0.761991+(0.20553-0.419526))+0-2-0.0010199999999998</f>
        <v>1073.046975</v>
      </c>
      <c r="AA97" s="3">
        <f>1613.3+(391.1-810)+(-0.822783+(-0.199461--0.4131))+0-2--0.0010199999999998</f>
        <v>1191.791876</v>
      </c>
      <c r="AB97" s="3">
        <f>1602.3+(460.9-868.5)+(-4.085865+(-1.175295--2.214675))+0-2--0.00509999999999971</f>
        <v>1189.6586149999998</v>
      </c>
      <c r="AC97" s="3">
        <f>1573.8+(471.2-903.1)+(-1.605276+(-0.480624--0.921162))+0-2--0.00204000000000032</f>
        <v>1138.737302</v>
      </c>
      <c r="AD97" s="2">
        <v>1206.9000000000001</v>
      </c>
      <c r="AE97" s="3">
        <f>1655+(393-841.1)+(0+(0-0))+0-2-0</f>
        <v>1204.9000000000001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1566.2+(493-993.5)+(-3.195048+(-1.00572--2.02674))+0-2--0.00407999999999991</f>
        <v>1061.5300520000001</v>
      </c>
      <c r="G98" s="3">
        <f>1564.8+(508.9-1078.2)+(-2.394144+(-0.778617--1.649646))+0-2--0.00306000000000012</f>
        <v>991.97994499999993</v>
      </c>
      <c r="H98" s="3">
        <f>1564.7+(563.7-1179.9)+(-3.191988+(-1.149948--2.406996))+0-2--0.00407999999999991</f>
        <v>944.56914000000006</v>
      </c>
      <c r="I98" s="3">
        <f>1574.1+(550.5-1199.6)+(-0.802791+(-0.280755--0.611796))+0-2--0.0010199999999998</f>
        <v>922.52927</v>
      </c>
      <c r="J98" s="3">
        <f>1569.7+(478.7-1140.2)+(-3.202188+(-0.976548--2.326008))+0-2--0.00407999999999991</f>
        <v>904.35135200000013</v>
      </c>
      <c r="K98" s="3">
        <f>1491.8+(480.7-1068.2)+(-3.80409+(-1.225785--2.72391))+0-2--0.00509999999999971</f>
        <v>899.99913499999991</v>
      </c>
      <c r="L98" s="3">
        <f>1253.4+(486.9-891.7)+(-1.917702+(-0.744957--1.364301))+0-2--0.00306000000000012</f>
        <v>845.30470200000002</v>
      </c>
      <c r="M98" s="3">
        <f>1269.9+(513.9-884.6)+(1.295298+(0.524178-0.902292))+0-2-0.00204000000000032</f>
        <v>898.1151440000001</v>
      </c>
      <c r="N98" s="3">
        <f>1376.1+(469.7-865.6)+(1.403622+(0.479094-0.882912))+0-2-0.00204000000000032</f>
        <v>979.19776399999989</v>
      </c>
      <c r="O98" s="3">
        <f>1542.5+(394.2-888.6)+(0+(0-0))+0-2-0</f>
        <v>1046.0999999999999</v>
      </c>
      <c r="P98" s="3">
        <f>1636.4+(353.9-892.8)+(0+(0-0))+0-2-0</f>
        <v>1095.5</v>
      </c>
      <c r="Q98" s="3">
        <f>1662.2+(310.7-848.9)+(1.695444+(0.316914-0.865878))+0-2-0.00204000000000032</f>
        <v>1123.14444</v>
      </c>
      <c r="R98" s="3">
        <f>1650.1+(338.9-847.8)+(2.524653+(0.518517-1.297134))+0-2-0.00306000000000012</f>
        <v>1140.9429759999998</v>
      </c>
      <c r="S98" s="3">
        <f>1625.8+(410.6-917.2)+(-3.316632+(-0.837624--1.871088))+0-2--0.00407999999999991</f>
        <v>1114.9209119999998</v>
      </c>
      <c r="T98" s="3">
        <f>1630.8+(465.8-975)+(0.831708+(0.237558-0.49725))+0-2-0.0010199999999998</f>
        <v>1120.1709960000001</v>
      </c>
      <c r="U98" s="3">
        <f>1607.3+(526-1018.2)+(-4.098615+(-1.3413--2.59641))+0-2--0.00509999999999971</f>
        <v>1110.2615949999999</v>
      </c>
      <c r="V98" s="3">
        <f>1602.9+(512.3-990.4)+(-3.269916+(-1.045092--2.020416))+0-2--0.00407999999999991</f>
        <v>1120.5094880000001</v>
      </c>
      <c r="W98" s="3">
        <f>1594.1+(422.1-893.7)+(-4.877946+(-1.291626--2.734722))+0-2--0.00612000000000023</f>
        <v>1117.0712699999999</v>
      </c>
      <c r="X98" s="3">
        <f>1596.2+(407.5-913.4)+(-4.884372+(-1.24695--2.795004))+0-2--0.00612000000000023</f>
        <v>1084.9698020000003</v>
      </c>
      <c r="Y98" s="3">
        <f>1594.3+(319.3-861.9)+(-4.065465+(-0.814215--2.197845))+0-2--0.00509999999999971</f>
        <v>1047.023265</v>
      </c>
      <c r="Z98" s="3">
        <f>1604.4+(294.3-809.2)+(-0.818244+(-0.150093--0.412692))+0-2--0.0010199999999998</f>
        <v>1086.945375</v>
      </c>
      <c r="AA98" s="3">
        <f>1613.1+(335.5-733)+(-1.645362+(-0.34221--0.74766))+0-2--0.00204000000000032</f>
        <v>1212.362128</v>
      </c>
      <c r="AB98" s="3">
        <f>1631.2+(308.7-737.7)+(-0.831912+(-0.157437--0.376227))+0-2--0.0010199999999998</f>
        <v>1199.587898</v>
      </c>
      <c r="AC98" s="3">
        <f>1643.8+(268.8-776.8)+(-1.676676+(-0.274176--0.792336))+0-2--0.00204000000000032</f>
        <v>1132.6435240000001</v>
      </c>
      <c r="AD98" s="2">
        <v>1219.4000000000001</v>
      </c>
      <c r="AE98" s="3">
        <f>1615+(345.5-741.1)+(0+(0-0))+0-2-0</f>
        <v>1217.4000000000001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1639.4+(370.3-950.8)+(-3.344376+(-0.755412--1.939632))+0-0-0</f>
        <v>1056.7398440000002</v>
      </c>
      <c r="G99" s="3">
        <f>1656.4+(447.1-1116.9)+(-1.689528+(-0.456042--1.139238))+0-0-0</f>
        <v>985.59366799999998</v>
      </c>
      <c r="H99" s="3">
        <f>1656.1+(477.8-1185.2)+(-3.378444+(-0.974712--2.417808))+0-0-0</f>
        <v>946.76465199999984</v>
      </c>
      <c r="I99" s="3">
        <f>1611.7+(462.9-1152.8)+(-4.109835+(-1.180395--2.93964))+0-0-0</f>
        <v>919.44941000000006</v>
      </c>
      <c r="J99" s="3">
        <f>1522.6+(433-1058.1)+(1.553052+(0.44166-1.079262))+0-0-0</f>
        <v>898.41544999999996</v>
      </c>
      <c r="K99" s="3">
        <f>1451.4+(461.6-1024.8)+(-3.70107+(-1.17708--2.61324))+0-0-0</f>
        <v>885.93509000000017</v>
      </c>
      <c r="L99" s="3">
        <f>1309.5+(444.4-904.1)+(-3.339225+(-1.13322--2.305455))+0-2--0.00509999999999971</f>
        <v>845.63810999999987</v>
      </c>
      <c r="M99" s="3">
        <f>1330.5+(421.2-866.1)+(1.35711+(0.429624-0.883422))+0-2-0.00204000000000032</f>
        <v>884.50127199999997</v>
      </c>
      <c r="N99" s="3">
        <f>1509.8+(320.1-863.2)+(0.769998+(0.163251-0.440232))+0-2-0.0010199999999998</f>
        <v>965.1919969999999</v>
      </c>
      <c r="O99" s="3">
        <f>1554.6+(294.8-799.1)+(-0.792846+(-0.150348--0.407541))+0-2--0.0010199999999998</f>
        <v>1047.765367</v>
      </c>
      <c r="P99" s="3">
        <f>1656.7+(258.5-813.8)+(0.844917+(0.131835-0.415038))+0-2-0.0010199999999998</f>
        <v>1099.9606940000001</v>
      </c>
      <c r="Q99" s="3">
        <f>1651.1+(178-688.5)+(-2.526183+(-0.27234--1.053405))+0-2--0.00306000000000012</f>
        <v>1136.8579419999999</v>
      </c>
      <c r="R99" s="3">
        <f>1648.4+(203.5-710.4)+(-1.681368+(-0.20757--0.724608))+0-2--0.00204000000000032</f>
        <v>1138.33771</v>
      </c>
      <c r="S99" s="3">
        <f>1613.4+(280.1-777)+(-5.759838+(-0.999957--2.77389))+0-2--0.00714000000000003</f>
        <v>1110.5212349999999</v>
      </c>
      <c r="T99" s="3">
        <f>1621.8+(271.6-785.3)+(-0.827118+(-0.138516--0.400503))+0-2--0.0010199999999998</f>
        <v>1105.5358889999998</v>
      </c>
      <c r="U99" s="3">
        <f>1619.5+(269-777.1)+(0+(0-0))+0-2-0</f>
        <v>1109.4000000000001</v>
      </c>
      <c r="V99" s="3">
        <f>1463.8+(319.4-672.1)+(-2.239614+(-0.488682--1.028313))+0-2--0.00306000000000012</f>
        <v>1107.4030769999999</v>
      </c>
      <c r="W99" s="3">
        <f>1529.9+(263.2-694.8)+(-3.120996+(-0.536928--1.417392))+0-2--0.00407999999999991</f>
        <v>1094.0635480000001</v>
      </c>
      <c r="X99" s="3">
        <f>1577.4+(396.2-882.7)+(-2.413422+(-0.606186--1.350531))+0-2--0.00306000000000012</f>
        <v>1087.2339830000001</v>
      </c>
      <c r="Y99" s="3">
        <f>1589.1+(396-936.4)+(-1.620882+(-0.40392--0.955128))+0-2--0.00204000000000032</f>
        <v>1045.6323659999998</v>
      </c>
      <c r="Z99" s="3">
        <f>1613.4+(380.4-912.1)+(-0.822834+(-0.194004--0.465171))+0-2--0.0010199999999998</f>
        <v>1079.149353</v>
      </c>
      <c r="AA99" s="3">
        <f>1599.5+(372.7-753.3)+(-2.447235+(-0.570231--1.152549))+0-2--0.00306000000000012</f>
        <v>1215.038143</v>
      </c>
      <c r="AB99" s="3">
        <f>1610.9+(403.1-802.7)+(-3.286236+(-0.822324--1.637508))+0-2--0.00407999999999991</f>
        <v>1206.833028</v>
      </c>
      <c r="AC99" s="3">
        <f>1630.3+(486.5-952.1)+(-1.662906+(-0.49623--0.971142))+0-2--0.00204000000000032</f>
        <v>1161.514046</v>
      </c>
      <c r="AD99" s="2">
        <v>1226.3000000000002</v>
      </c>
      <c r="AE99" s="3">
        <f>1598+(362.7-734.4)+(0+(0-0))+0-2-0</f>
        <v>1224.3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1537.5+(552-1007)+(-0.784125+(-0.28152--0.51357))+0-2--0.0010199999999998</f>
        <v>1079.9489449999999</v>
      </c>
      <c r="G100" s="3">
        <f>1495.6+(520.7-1012.9)+(-2.288268+(-0.796671--1.549737))+0-2--0.00306000000000012</f>
        <v>999.86785799999996</v>
      </c>
      <c r="H100" s="3">
        <f>1500.7+(436.5-986.5)+(-2.296071+(-0.667845--1.509345))+0-2--0.00306000000000012</f>
        <v>947.24848900000006</v>
      </c>
      <c r="I100" s="3">
        <f>1529.9+(405.1-1004.8)+(0+(0-0))+0-2-0</f>
        <v>928.20000000000016</v>
      </c>
      <c r="J100" s="3">
        <f>1546.7+(385.9-1014)+(-3.944085+(-0.984045--2.5857))+0-2--0.00509999999999971</f>
        <v>914.26266999999996</v>
      </c>
      <c r="K100" s="3">
        <f>1423.8+(406.4-921.2)+(-2.904552+(-0.829056--1.879248))+0-2--0.00407999999999991</f>
        <v>905.14971999999989</v>
      </c>
      <c r="L100" s="3">
        <f>1281.6+(430.9-846.9)+(-1.960848+(-0.659277--1.295757))+0-2--0.00306000000000012</f>
        <v>862.27869199999986</v>
      </c>
      <c r="M100" s="3">
        <f>1288.3+(357-742.1)+(1.314066+(0.36414-0.756942))+0-2-0.00204000000000032</f>
        <v>902.11922399999992</v>
      </c>
      <c r="N100" s="3">
        <f>1536.5+(228.2-781.2)+(1.56723+(0.232764-0.796824))+0-2-0.00204000000000032</f>
        <v>982.50112999999999</v>
      </c>
      <c r="O100" s="3">
        <f>1620.8+(242.6-808.8)+(-1.653216+(-0.247452--0.824976))+0-2--0.00204000000000032</f>
        <v>1051.5263480000001</v>
      </c>
      <c r="P100" s="3">
        <f>1631.7+(239.8-740.5)+(0+(0-0))+0-2-0</f>
        <v>1129</v>
      </c>
      <c r="Q100" s="3">
        <f>1597.2+(186.2-619.8)+(2.443716+(0.284886-0.948294))+0-2-0.00306000000000012</f>
        <v>1163.3772480000002</v>
      </c>
      <c r="R100" s="3">
        <f>1579.1+(263.7-672)+(-0.805341+(-0.134487--0.34272))+0-2--0.0010199999999998</f>
        <v>1168.2039119999999</v>
      </c>
      <c r="S100" s="3">
        <f>1568.9+(387.1-808.9)+(-1.600278+(-0.394842--0.825078))+0-2--0.00204000000000032</f>
        <v>1143.9319980000002</v>
      </c>
      <c r="T100" s="3">
        <f>1563.1+(408.6-824.3)+(-0.797181+(-0.208386--0.420393))+0-2--0.0010199999999998</f>
        <v>1144.815846</v>
      </c>
      <c r="U100" s="3">
        <f>1559.2+(355.4-788.6)+(2.385576+(0.543762-1.206558))+0-2-0.00306000000000012</f>
        <v>1125.7197200000001</v>
      </c>
      <c r="V100" s="3">
        <f>1580.6+(330.6-782.3)+(-1.612212+(-0.337212--0.797946))+0-2--0.00204000000000032</f>
        <v>1125.7505620000002</v>
      </c>
      <c r="W100" s="3">
        <f>1620.5+(367-846)+(-2.479365+(-0.56151--1.29438))+0-2--0.00306000000000012</f>
        <v>1137.7565649999999</v>
      </c>
      <c r="X100" s="3">
        <f>1620.6+(444.6-948.2)+(-4.959036+(-1.360476--2.901492))+0-2--0.00612000000000023</f>
        <v>1111.5880999999999</v>
      </c>
      <c r="Y100" s="3">
        <f>1621.6+(433.5-974.6)+(-3.308064+(-0.88434--1.988184))+0-2--0.00407999999999991</f>
        <v>1076.2998599999999</v>
      </c>
      <c r="Z100" s="3">
        <f>1643.5+(478-996.8)+(1.67637+(0.48756-1.016736))+0-2-0.00204000000000032</f>
        <v>1123.8451539999999</v>
      </c>
      <c r="AA100" s="3">
        <f>1630.6+(437.1-814.6)+(-1.663212+(-0.445842--0.830892))+0-2--0.00204000000000032</f>
        <v>1249.8238779999999</v>
      </c>
      <c r="AB100" s="3">
        <f>1608.4+(462.7-825.3)+(0.820284+(0.235977-0.420903))+0-2-0.0010199999999998</f>
        <v>1244.4343380000003</v>
      </c>
      <c r="AC100" s="3">
        <f>1598+(526.2-932.6)+(0+(0-0))+0-2-0</f>
        <v>1189.5999999999999</v>
      </c>
      <c r="AD100" s="2">
        <v>1272</v>
      </c>
      <c r="AE100" s="3">
        <f>1659+(465.1-852.1)+(0+(0-0))+0-2-0</f>
        <v>1270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1643.2+(489.5-1017.9)+(0.838032+(0.249645-0.519129))+0-2-0.0010199999999998</f>
        <v>1113.3675280000002</v>
      </c>
      <c r="G101" s="3">
        <f>1618.5+(383.6-963.6)+(1.65087+(0.391272-0.982872))+0-2-0.00204000000000032</f>
        <v>1037.5572299999999</v>
      </c>
      <c r="H101" s="3">
        <f>1543.6+(424.2-995.8)+(0+(0-0))+0-2-0</f>
        <v>970</v>
      </c>
      <c r="I101" s="3">
        <f>1577.4+(461.4-1090.9)+(0.804474+(0.235314-0.556359))+0-2-0.0010199999999998</f>
        <v>946.38240899999994</v>
      </c>
      <c r="J101" s="3">
        <f>1601.7+(467.8-1132.3)+(0.816867+(0.238578-0.577473))+0-2-0.0010199999999998</f>
        <v>935.67695200000003</v>
      </c>
      <c r="K101" s="3">
        <f>1575.1+(477.1-1131.4)+(-1.606602+(-0.486642--1.154028))+0-2--0.00204000000000032</f>
        <v>917.86282399999982</v>
      </c>
      <c r="L101" s="3">
        <f>1532.9+(413.1-1065.3)+(-1.563558+(-0.421362--1.086606))+0-2--0.00204000000000032</f>
        <v>877.8037260000001</v>
      </c>
      <c r="M101" s="3">
        <f>1578.3+(353.4-1014.5)+(2.414799+(0.540702-1.552185))+0-2-0.00306000000000012</f>
        <v>916.60025599999994</v>
      </c>
      <c r="N101" s="3">
        <f>1589.4+(369.1-963.2)+(4.05297+(0.941205-2.45616))+0-2-0.00509999999999971</f>
        <v>995.83291500000007</v>
      </c>
      <c r="O101" s="3">
        <f>1572.6+(298.4-804.3)+(3.208104+(0.608736-1.640772))+0-2-0.00407999999999991</f>
        <v>1066.8719879999999</v>
      </c>
      <c r="P101" s="3">
        <f>1559.9+(310.3-746.5)+(3.182196+(0.633012-1.52286))+0-2-0.00407999999999991</f>
        <v>1123.9882680000001</v>
      </c>
      <c r="Q101" s="3">
        <f>1555.9+(278.5-675.6)+(2.380527+(0.426105-1.033668))+0-2-0.00306000000000012</f>
        <v>1158.5699040000002</v>
      </c>
      <c r="R101" s="3">
        <f>1549.1+(318.4-706.3)+(3.160164+(0.649536-1.440852))+0-2-0.00407999999999991</f>
        <v>1161.564768</v>
      </c>
      <c r="S101" s="3">
        <f>1511.4+(457.5-838.7)+(-3.85407+(-1.166625--2.138685))+0-2--0.00509999999999971</f>
        <v>1125.3230900000001</v>
      </c>
      <c r="T101" s="3">
        <f>1518.2+(522.4-911.4)+(0+(0-0))+0-2-0</f>
        <v>1127.2</v>
      </c>
      <c r="U101" s="3">
        <f>1509+(524.9-918)+(0+(0-0))+0-2-0</f>
        <v>1113.9000000000001</v>
      </c>
      <c r="V101" s="3">
        <f>1527+(523.1-934.3)+(0+(0-0))+0-2-0</f>
        <v>1113.8000000000002</v>
      </c>
      <c r="W101" s="3">
        <f>1489.6+(565.4-940.5)+(-3.038784+(-1.153416--1.91862))+0-2--0.00407999999999991</f>
        <v>1110.2304999999999</v>
      </c>
      <c r="X101" s="3">
        <f>1565.7+(539.9-1026.6)+(-4.791042+(-1.652094--3.141396))+0-2--0.00612000000000023</f>
        <v>1073.7043799999999</v>
      </c>
      <c r="Y101" s="3">
        <f>1592.9+(350.9-903.7)+(-3.249516+(-0.715836--1.843548))+0-2--0.00407999999999991</f>
        <v>1035.9822759999997</v>
      </c>
      <c r="Z101" s="3">
        <f>1656.9+(449.3-1009.4)+(1.690038+(0.458286-1.029588))+0-2-0.00204000000000032</f>
        <v>1095.916696</v>
      </c>
      <c r="AA101" s="3">
        <f>1694.6+(464.2-928.6)+(-6.049722+(-1.657194--3.315102))+0-2--0.00714000000000003</f>
        <v>1223.8153259999997</v>
      </c>
      <c r="AB101" s="3">
        <f>1697.7+(451-933.5)+(-2.597481+(-0.69003--1.428255))+0-2--0.00306000000000012</f>
        <v>1211.3438040000001</v>
      </c>
      <c r="AC101" s="3">
        <f>1700.6+(485.5-1015.5)+(-3.469224+(-0.99042--2.07162))+0-2--0.00407999999999991</f>
        <v>1166.2160559999998</v>
      </c>
      <c r="AD101" s="2">
        <v>1215.0000000000002</v>
      </c>
      <c r="AE101" s="3">
        <f>1693+(419.3-897.3)+(0+(0-0))+0-2-0</f>
        <v>1213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1707.4+(404.9-1010.6)+(1.741548+(0.412998-1.030812))+0-2-0.00204000000000032</f>
        <v>1100.821694</v>
      </c>
      <c r="G102" s="3">
        <f>1655.5+(410.5-1042.8)+(-3.37722+(-0.83742--2.127312))+0-2--0.00407999999999991</f>
        <v>1019.1167520000001</v>
      </c>
      <c r="H102" s="3">
        <f>1658.5+(453.8-1131.8)+(-2.537505+(-0.694314--1.731654))+0-2--0.00306000000000012</f>
        <v>977.00289499999997</v>
      </c>
      <c r="I102" s="3">
        <f>1661.3+(451.5-1165)+(-1.694526+(-0.46053--1.1883))+0-2--0.00204000000000032</f>
        <v>944.83528399999989</v>
      </c>
      <c r="J102" s="3">
        <f>1665.7+(495-1222.3)+(-1.699014+(-0.5049--1.246746))+0-2--0.00204000000000032</f>
        <v>935.44487200000003</v>
      </c>
      <c r="K102" s="3">
        <f>1603.1+(517.3-1190.6)+(-2.452743+(-0.791469--1.821618))+0-2--0.00306000000000012</f>
        <v>926.38046599999996</v>
      </c>
      <c r="L102" s="3">
        <f>1469.8+(501.7-1105.8)+(-3.74799+(-1.279335--2.81979))+0-2--0.00509999999999971</f>
        <v>861.49756500000001</v>
      </c>
      <c r="M102" s="3">
        <f>1486.4+(442.3-1062.4)+(-0.758064+(-0.225573--0.541824))+0-2--0.0010199999999998</f>
        <v>863.85920699999997</v>
      </c>
      <c r="N102" s="3">
        <f>1463.8+(476.9-1033.2)+(-1.493076+(-0.486438--1.053864))+0-2--0.00204000000000032</f>
        <v>904.57638999999983</v>
      </c>
      <c r="O102" s="3">
        <f>1469.4+(443.4-947.1)+(-2.248182+(-0.678402--1.449063))+0-2--0.00306000000000012</f>
        <v>962.22553900000003</v>
      </c>
      <c r="P102" s="3">
        <f>1546.9+(379.6-896.8)+(0+(0-0))+0-2-0</f>
        <v>1027.7000000000003</v>
      </c>
      <c r="Q102" s="3">
        <f>1506.7+(395.5-816.6)+(1.536834+(0.40341-0.832932))+0-2-0.00204000000000032</f>
        <v>1084.7052719999999</v>
      </c>
      <c r="R102" s="3">
        <f>1446.8+(422.2-784.2)+(0.737868+(0.215322-0.399942))+0-2-0.0010199999999998</f>
        <v>1083.352228</v>
      </c>
      <c r="S102" s="3">
        <f>1488.9+(468.8-885.2)+(0.759339+(0.239088-0.451452))+0-2-0.0010199999999998</f>
        <v>1071.045955</v>
      </c>
      <c r="T102" s="3">
        <f>1575.8+(478.3-969.9)+(-0.803658+(-0.243933--0.494649))+0-2--0.0010199999999998</f>
        <v>1081.6480779999999</v>
      </c>
      <c r="U102" s="3">
        <f>1567+(495-980.9)+(-0.79917+(-0.25245--0.500259))+0-2--0.0010199999999998</f>
        <v>1078.5496589999998</v>
      </c>
      <c r="V102" s="3">
        <f>1582+(525.2-1027.5)+(0.80682+(0.267852-0.524025))+0-2-0.0010199999999998</f>
        <v>1078.2496270000001</v>
      </c>
      <c r="W102" s="3">
        <f>1569.7+(530.8-1024)+(-4.002735+(-1.35354--2.6112))+0-2--0.00509999999999971</f>
        <v>1071.760025</v>
      </c>
      <c r="X102" s="3">
        <f>1566.2+(558.3-1068.2)+(-3.99381+(-1.423665--2.72391))+0-2--0.00509999999999971</f>
        <v>1051.611535</v>
      </c>
      <c r="Y102" s="3">
        <f>1579.3+(450.1-1008.1)+(-0.805443+(-0.229551--0.514131))+0-2--0.0010199999999998</f>
        <v>1018.780157</v>
      </c>
      <c r="Z102" s="3">
        <f>1603.4+(469.4-1011.3)+(-1.635468+(-0.478788--1.031526))+0-2--0.00204000000000032</f>
        <v>1058.41931</v>
      </c>
      <c r="AA102" s="3">
        <f>1610.4+(411.4-836.5)+(-4.10652+(-1.04907--2.133075))+0-2--0.00509999999999971</f>
        <v>1180.2825850000002</v>
      </c>
      <c r="AB102" s="3">
        <f>1632.6+(430-872.9)+(-0.832626+(-0.2193--0.445179))+0-2--0.0010199999999998</f>
        <v>1187.0942729999997</v>
      </c>
      <c r="AC102" s="3">
        <f>1617.4+(508.5-970)+(-2.474622+(-0.778005--1.4841))+0-2--0.00306000000000012</f>
        <v>1152.1345330000001</v>
      </c>
      <c r="AD102" s="2">
        <v>1175.5</v>
      </c>
      <c r="AE102" s="3">
        <f>1631+(408.1-863.6)+(0+(0-0))+0-2-0</f>
        <v>1173.5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1608.5+(550.4-1032)+(0+(0-0))+0-2-0</f>
        <v>1124.9000000000001</v>
      </c>
      <c r="G103" s="3">
        <f>1605.2+(536.7-1089.7)+(-0.818652+(-0.273717--0.555747))+0-2--0.0010199999999998</f>
        <v>1049.6643979999999</v>
      </c>
      <c r="H103" s="3">
        <f>1609.3+(537.9-1139.8)+(0.820743+(0.274329-0.581298))+0-2-0.0010199999999998</f>
        <v>1005.9127539999999</v>
      </c>
      <c r="I103" s="3">
        <f>1611.8+(517.6-1145.3)+(0+(0-0))+0-2-0</f>
        <v>982.1</v>
      </c>
      <c r="J103" s="3">
        <f>1620+(534.5-1182.3)+(-1.6524+(-0.54519--1.205946))+0-2--0.00204000000000032</f>
        <v>969.21039600000006</v>
      </c>
      <c r="K103" s="3">
        <f>1579.9+(514.7-1136.5)+(-4.028745+(-1.312485--2.898075))+0-2--0.00509999999999971</f>
        <v>953.66194500000006</v>
      </c>
      <c r="L103" s="3">
        <f>1553.5+(501.9-1169.7)+(0+(0-0))+0-2-0</f>
        <v>883.69999999999993</v>
      </c>
      <c r="M103" s="3">
        <f>1621.9+(444.8-1145)+(1.654338+(0.453696-1.1679))+0-2-0.00204000000000032</f>
        <v>920.63809400000002</v>
      </c>
      <c r="N103" s="3">
        <f>1650.6+(420.7-1070.6)+(1.683612+(0.429114-1.092012))+0-2-0.00204000000000032</f>
        <v>999.71867400000008</v>
      </c>
      <c r="O103" s="3">
        <f>1647.8+(481-1057.3)+(0+(0-0))+0-2-0</f>
        <v>1069.5</v>
      </c>
      <c r="P103" s="3">
        <f>1647+(565.5-1072)+(2.51991+(0.865215-1.64016))+0-2-0.00306000000000012</f>
        <v>1140.2419050000001</v>
      </c>
      <c r="Q103" s="3">
        <f>1636+(553.3-1007.5)+(0+(0-0))+0-2-0</f>
        <v>1179.8</v>
      </c>
      <c r="R103" s="3">
        <f>1622.4+(536.1-978.3)+(-0.827424+(-0.273411--0.498933))+0-2--0.0010199999999998</f>
        <v>1177.5991180000001</v>
      </c>
      <c r="S103" s="3">
        <f>1617.9+(601.2-1059.6)+(0.825129+(0.306612-0.540396))+0-2-0.0010199999999998</f>
        <v>1158.0903250000003</v>
      </c>
      <c r="T103" s="3">
        <f>1599.7+(622.3-1061.3)+(-1.631694+(-0.634746--1.082526))+0-2--0.00204000000000032</f>
        <v>1157.5181260000002</v>
      </c>
      <c r="U103" s="3">
        <f>1596.9+(617.1-1058.7)+(-1.628838+(-0.629442--1.079874))+0-2--0.00204000000000032</f>
        <v>1152.1236340000003</v>
      </c>
      <c r="V103" s="3">
        <f>1591.1+(608.6-1048.9)+(-0.811461+(-0.310386--0.534939))+0-2--0.0010199999999998</f>
        <v>1148.2141119999997</v>
      </c>
      <c r="W103" s="3">
        <f>1588+(624.5-1055.2)+(-3.23952+(-1.27398--2.152608))+0-2--0.00407999999999991</f>
        <v>1152.943188</v>
      </c>
      <c r="X103" s="3">
        <f>1593.8+(567.1-1044.1)+(-2.438514+(-0.867663--1.597473))+0-2--0.00306000000000012</f>
        <v>1113.0943560000003</v>
      </c>
      <c r="Y103" s="3">
        <f>1537+(518.2-970.2)+(-1.56774+(-0.528564--0.989604))+0-2--0.00204000000000032</f>
        <v>1081.89534</v>
      </c>
      <c r="Z103" s="3">
        <f>1591.8+(626.1-1097)+(1.623636+(0.638622-1.11894))+0-2-0.00204000000000032</f>
        <v>1120.0412779999999</v>
      </c>
      <c r="AA103" s="3">
        <f>1686.2+(644.5-1067.8)+(-3.439848+(-1.31478--2.178312))+0-2--0.00407999999999991</f>
        <v>1258.3277640000001</v>
      </c>
      <c r="AB103" s="3">
        <f>1731.3+(676.4-1143.9)+(-4.414815+(-1.72482--2.916945))+0-2--0.00509999999999971</f>
        <v>1258.5824099999998</v>
      </c>
      <c r="AC103" s="3">
        <f>1753.5+(644.2-1196.4)+(-3.57714+(-1.314168--2.440656))+0-2--0.00407999999999991</f>
        <v>1196.8534279999999</v>
      </c>
      <c r="AD103" s="2">
        <v>1270.8000000000002</v>
      </c>
      <c r="AE103" s="3">
        <f>1735+(643.9-1108.1)+(0+(0-0))+0-2-0</f>
        <v>1268.8000000000002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1762.2+(526.1-1179.1)+(0+(0-0))+0-2-0</f>
        <v>1107.2000000000003</v>
      </c>
      <c r="G104" s="3">
        <f>1655.7+(488-1118.8)+(-5.066442+(-1.49328--3.423528))+0-2--0.00612000000000023</f>
        <v>1019.7699260000001</v>
      </c>
      <c r="H104" s="3">
        <f>1630.9+(435.7-1107.9)+(-3.327036+(-0.888828--2.260116))+0-2--0.00407999999999991</f>
        <v>954.74833200000012</v>
      </c>
      <c r="I104" s="3">
        <f>1632.8+(447.4-1137.6)+(-4.16364+(-1.14087--2.90088))+0-2--0.00509999999999971</f>
        <v>938.20146999999997</v>
      </c>
      <c r="J104" s="3">
        <f>1638.8+(455.4-1164.1)+(-5.014728+(-1.393524--3.562146))+0-2--0.00612000000000023</f>
        <v>925.26001400000007</v>
      </c>
      <c r="K104" s="3">
        <f>1532.2+(478.6-1099.2)+(-3.125688+(-0.976344--2.242368))+0-2--0.00407999999999991</f>
        <v>907.74441600000011</v>
      </c>
      <c r="L104" s="3">
        <f>1355+(509.8-1003.5)+(-3.45525+(-1.29999--2.558925))+0-2--0.00509999999999971</f>
        <v>857.1087849999999</v>
      </c>
      <c r="M104" s="3">
        <f>1329.3+(508.4-941.3)+(2.033829+(0.777852-1.440189))+0-2-0.00306000000000012</f>
        <v>895.76843199999996</v>
      </c>
      <c r="N104" s="3">
        <f>1629.5+(426.3-1064.8)+(2.493135+(0.652239-1.629144))+0-2-0.00306000000000012</f>
        <v>990.51316999999995</v>
      </c>
      <c r="O104" s="3">
        <f>1786.1+(460.6-1167.9)+(1.821822+(0.469812-1.191258))+0-2-0.00204000000000032</f>
        <v>1077.8983359999997</v>
      </c>
      <c r="P104" s="3">
        <f>1753.3+(519.8-1144.1)+(0+(0-0))+0-3-0</f>
        <v>1126</v>
      </c>
      <c r="Q104" s="3">
        <f>1760.4+(491.7-1093.2)+(4.48902+(1.253835-2.78766))+0-3-0.00764999999999957</f>
        <v>1158.8475450000001</v>
      </c>
      <c r="R104" s="3">
        <f>1722.1+(531.3-1072.9)+(0.878271+(0.270963-0.547179))+0-3-0.0015299999999997</f>
        <v>1178.1005249999998</v>
      </c>
      <c r="S104" s="3">
        <f>1708.6+(593.1-1155)+(-1.742772+(-0.604962--1.1781))+0-3--0.00306000000000048</f>
        <v>1142.5334259999997</v>
      </c>
      <c r="T104" s="3">
        <f>1709.5+(608.5-1181.3)+(-1.74369+(-0.62067--1.204926))+0-3--0.00306000000000048</f>
        <v>1132.5436260000001</v>
      </c>
      <c r="U104" s="3">
        <f>1693.4+(581.8-1140.7)+(-4.31817+(-1.48359--2.908785))+0-3--0.00764999999999957</f>
        <v>1128.614675</v>
      </c>
      <c r="V104" s="3">
        <f>1706.8+(592.2-1161.1)+(-0.870468+(-0.302022--0.592161))+0-3--0.0015299999999997</f>
        <v>1134.3212010000002</v>
      </c>
      <c r="W104" s="3">
        <f>1701.4+(621.1-1177.5)+(-3.470856+(-1.267044--2.4021))+0-3--0.00611999999999987</f>
        <v>1139.6703199999999</v>
      </c>
      <c r="X104" s="3">
        <f>1708.5+(527.8-1128.4)+(-2.614005+(-0.807534--1.726452))+0-3--0.00459000000000017</f>
        <v>1103.2095029999998</v>
      </c>
      <c r="Y104" s="3">
        <f>1679.6+(505.8-1108.3)+(-4.28298+(-1.28979--2.826165))+0-3--0.00764999999999957</f>
        <v>1071.3610449999999</v>
      </c>
      <c r="Z104" s="3">
        <f>1714.8+(564.4-1167.6)+(0+(0-0))+0-3-0</f>
        <v>1108.5999999999999</v>
      </c>
      <c r="AA104" s="3">
        <f>1726.9+(595.4-1077.5)+(-4.403595+(-1.51827--2.747625))+0-4--0.0101999999999994</f>
        <v>1237.6359600000001</v>
      </c>
      <c r="AB104" s="3">
        <f>1746.9+(538.5-1055.7)+(-1.781838+(-0.54927--1.076814))+0-4--0.00408000000000064</f>
        <v>1224.4497859999999</v>
      </c>
      <c r="AC104" s="3">
        <f>1772.5+(546.3-1146.5)+(-1.80795+(-0.557226--1.16943))+0-4--0.00408000000000064</f>
        <v>1167.1083339999998</v>
      </c>
      <c r="AD104" s="2">
        <v>1244.1999999999998</v>
      </c>
      <c r="AE104" s="3">
        <f>1731+(585.2-1072)+(0+(0-0))+0-3-0</f>
        <v>1241.2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1783.7+(498.4-1184.3)+(-4.548435+(-1.27092--3.019965))+0-2--0.00509999999999971</f>
        <v>1093.0057100000004</v>
      </c>
      <c r="G105" s="3">
        <f>1781.5+(490.5-1248.2)+(-3.63426+(-1.00062--2.546328))+0-2--0.00407999999999991</f>
        <v>1019.7155279999999</v>
      </c>
      <c r="H105" s="3">
        <f>1786.5+(521.8-1333.1)+(-2.733345+(-0.798354--2.039643))+0-2--0.00306000000000012</f>
        <v>971.711004</v>
      </c>
      <c r="I105" s="3">
        <f>1782.7+(521.2-1357.4)+(-3.636708+(-1.063248--2.769096))+0-2--0.00407999999999991</f>
        <v>942.57321999999999</v>
      </c>
      <c r="J105" s="3">
        <f>1793+(476.3-1342.3)+(-4.57215+(-1.214565--3.422865))+0-2--0.00509999999999971</f>
        <v>922.64125000000001</v>
      </c>
      <c r="K105" s="3">
        <f>1760.4+(468.8-1308.7)+(-4.48902+(-1.19544--3.337185))+0-2--0.00509999999999971</f>
        <v>916.157825</v>
      </c>
      <c r="L105" s="3">
        <f>1487.4+(540.2-1172.7)+(-0.758574+(-0.275502--0.598077))+0-2--0.0010199999999998</f>
        <v>852.46502100000009</v>
      </c>
      <c r="M105" s="3">
        <f>1613.8+(444.7-1159.8)+(1.646076+(0.453594-1.182996))+0-2-0.00204000000000032</f>
        <v>897.61463400000002</v>
      </c>
      <c r="N105" s="3">
        <f>1688.1+(438.8-1138.2)+(0+(0-0))+0-2-0</f>
        <v>986.69999999999982</v>
      </c>
      <c r="O105" s="3">
        <f>1759.1+(528.1-1212.2)+(-4.485705+(-1.346655--3.09111))+0-2--0.00509999999999971</f>
        <v>1070.26385</v>
      </c>
      <c r="P105" s="3">
        <f>1756.8+(578.5-1214.6)+(0+(0-0))+0-2-0</f>
        <v>1118.7</v>
      </c>
      <c r="Q105" s="3">
        <f>1734.1+(633.2-1215)+(-1.768782+(-0.645864--1.2393))+0-2--0.00204000000000032</f>
        <v>1149.126694</v>
      </c>
      <c r="R105" s="3">
        <f>1770.8+(626.4-1235.5)+(0+(0-0))+0-4-0</f>
        <v>1157.6999999999998</v>
      </c>
      <c r="S105" s="3">
        <f>1760.9+(669.5-1286.3)+(-1.796118+(-0.68289--1.312026))+0-4--0.00408000000000064</f>
        <v>1138.9370980000001</v>
      </c>
      <c r="T105" s="3">
        <f>1750.8+(646.2-1264.1)+(-2.678724+(-0.988686--1.934073))+0-4--0.00612000000000023</f>
        <v>1127.1727830000002</v>
      </c>
      <c r="U105" s="3">
        <f>1636.9+(663.1-1162.3)+(1.669638+(0.676362-1.185546))+0-4-0.00408000000000064</f>
        <v>1134.8563740000004</v>
      </c>
      <c r="V105" s="3">
        <f>1656+(541.5-1061.8)+(-0.84456+(-0.276165--0.541518))+0-4--0.00203999999999959</f>
        <v>1131.1228330000001</v>
      </c>
      <c r="W105" s="3">
        <f>1633.1+(581.8-1080.8)+(-5.830167+(-2.077026--3.858456))+0-4--0.0142800000000001</f>
        <v>1126.0655429999999</v>
      </c>
      <c r="X105" s="3">
        <f>1634.8+(465.9-1012.8)+(-5.836236+(-1.663263--3.615696))+0-4--0.0142800000000001</f>
        <v>1080.0304770000002</v>
      </c>
      <c r="Y105" s="3">
        <f>1655.6+(329.6-941.8)+(-1.688712+(-0.336192--0.960636))+0-4--0.00408000000000064</f>
        <v>1038.3398119999999</v>
      </c>
      <c r="Z105" s="3">
        <f>1673.4+(366.4-953.4)+(0+(0-0))+0-4-0</f>
        <v>1082.4000000000001</v>
      </c>
      <c r="AA105" s="3">
        <f>1672.7+(451.6-921.5)+(-1.706154+(-0.460632--0.93993))+0-4--0.00408000000000064</f>
        <v>1197.5772240000001</v>
      </c>
      <c r="AB105" s="3">
        <f>1683.4+(319.6-802.7)+(-1.717068+(-0.325992--0.818754))+0-4--0.00408000000000064</f>
        <v>1195.079774</v>
      </c>
      <c r="AC105" s="3">
        <f>1706.3+(297-856.2)+(0+(0-0))+0-4-0</f>
        <v>1143.0999999999999</v>
      </c>
      <c r="AD105" s="2">
        <v>1250.1999999999998</v>
      </c>
      <c r="AE105" s="3">
        <f>1727+(312.8-789.6)+(0+(0-0))+0-4-0</f>
        <v>1246.2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1714.7+(160.4-805.8)+(0.874497+(0.081804-0.410958))+0-4-0.00203999999999959</f>
        <v>1065.8433030000001</v>
      </c>
      <c r="G106" s="3">
        <f>1702.9+(238.2-936.2)+(0+(0-0))+0-4-0</f>
        <v>1000.9000000000001</v>
      </c>
      <c r="H106" s="3">
        <f>1290.9+(400.8-741.8)+(0+(0-0))+0-4-0</f>
        <v>945.90000000000009</v>
      </c>
      <c r="I106" s="3">
        <f>1243.8+(393.1-715.9)+(0+(0-0))+0-4-0</f>
        <v>917</v>
      </c>
      <c r="J106" s="3">
        <f>1233.7+(356.5-686.8)+(-1.887561+(-0.545445--1.050804))+0-4--0.00612000000000023</f>
        <v>898.02391800000009</v>
      </c>
      <c r="K106" s="3">
        <f>1230.9+(305.2-651.6)+(-1.255518+(-0.311304--0.664632))+0-4--0.00408000000000064</f>
        <v>879.60189000000003</v>
      </c>
      <c r="L106" s="3">
        <f>1224.4+(267.7-643.6)+(-2.497776+(-0.546108--1.312944))+0-3--0.00611999999999987</f>
        <v>843.77517999999998</v>
      </c>
      <c r="M106" s="3">
        <f>1291.7+(279.5-690.4)+(0+(0-0))+0-3-0</f>
        <v>877.80000000000007</v>
      </c>
      <c r="N106" s="3">
        <f>1473.4+(463.4-959.9)+(1.502868+(0.472668-0.979098))+0-3-0.00306000000000048</f>
        <v>974.8933780000001</v>
      </c>
      <c r="O106" s="3">
        <f>1645.3+(398.4-983.8)+(-3.356412+(-0.812736--2.006952))+0-4--0.00815999999999983</f>
        <v>1053.7459640000002</v>
      </c>
      <c r="P106" s="3">
        <f>1675.1+(376.4-926)+(-0.854301+(-0.191964--0.47226))+0-4--0.00203999999999959</f>
        <v>1120.9280350000001</v>
      </c>
      <c r="Q106" s="3">
        <f>1616.5+(404.7-862.1)+(-0.824415+(-0.206397--0.439671))+0-4--0.00203999999999959</f>
        <v>1154.5108989999999</v>
      </c>
      <c r="R106" s="3">
        <f>1632.7+(475.6-947.3)+(0+(0-0))+0-4-0</f>
        <v>1157</v>
      </c>
      <c r="S106" s="3">
        <f>1617.7+(555.7-1035.7)+(-3.300108+(-1.133628--2.112828))+0-4--0.00815999999999983</f>
        <v>1131.3872520000002</v>
      </c>
      <c r="T106" s="3">
        <f>1651.5+(553.6-1066.4)+(-1.68453+(-0.564672--1.087728))+0-4--0.00408000000000064</f>
        <v>1133.5426059999998</v>
      </c>
      <c r="U106" s="3">
        <f>1726.8+(549.4-1134)+(-0.880668+(-0.280194--0.57834))+0-4--0.00203999999999959</f>
        <v>1137.619518</v>
      </c>
      <c r="V106" s="3">
        <f>1700.2+(543-1085.3)+(-0.867102+(-0.27693--0.553503))+0-4--0.00203999999999959</f>
        <v>1153.3115110000001</v>
      </c>
      <c r="W106" s="3">
        <f>1671.5+(573.9-1096.6)+(2.557395+(0.878067-1.677798))+0-4-0.00612000000000023</f>
        <v>1146.5515440000001</v>
      </c>
      <c r="X106" s="3">
        <f>1710.6+(611.4-1183.8)+(-2.617218+(-0.935442--1.811214))+0-4--0.00612000000000023</f>
        <v>1132.4646739999998</v>
      </c>
      <c r="Y106" s="3">
        <f>1741.2+(502.1-1143)+(1.776024+(0.512142-1.16586))+0-4-0.00408000000000064</f>
        <v>1097.4182260000002</v>
      </c>
      <c r="Z106" s="3">
        <f>1739.4+(559.2-1166.8)+(-0.887094+(-0.285192--0.595068))+0-4--0.00203999999999959</f>
        <v>1127.2248220000004</v>
      </c>
      <c r="AA106" s="3">
        <f>1754.6+(623.3-1097.7)+(-3.579384+(-1.271532--2.239308))+0-4--0.00815999999999983</f>
        <v>1273.596552</v>
      </c>
      <c r="AB106" s="3">
        <f>1775+(614.3-1126.7)+(-0.90525+(-0.313293--0.574617))+0-4--0.00203999999999959</f>
        <v>1257.958114</v>
      </c>
      <c r="AC106" s="3">
        <f>1785.7+(628.7-1211.1)+(-1.821414+(-0.641274--1.235322))+0-3--0.00306000000000048</f>
        <v>1199.0756940000001</v>
      </c>
      <c r="AD106" s="2">
        <v>1287</v>
      </c>
      <c r="AE106" s="3">
        <f>1762+(627.5-1102.5)+(0+(0-0))+0-4-0</f>
        <v>1283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1770.2+(468.6-1162.2)+(-4.51401+(-1.19493--2.96361))+0-0-0</f>
        <v>1073.8546699999999</v>
      </c>
      <c r="G107" s="3">
        <f>1726.9+(369.4-1105)+(1.761438+(0.376788-1.1271))+0-0-0</f>
        <v>992.31112600000006</v>
      </c>
      <c r="H107" s="3">
        <f>1625.8+(380.1-1071.2)+(-1.658316+(-0.387702--1.092624))+0-0-0</f>
        <v>933.74660599999993</v>
      </c>
      <c r="I107" s="3">
        <f>1614.6+(376.1-1076.1)+(0.823446+(0.191811-0.548811))+0-0-0</f>
        <v>915.06644600000004</v>
      </c>
      <c r="J107" s="3">
        <f>1611.1+(340.9-1048.4)+(-2.464983+(-0.521577--1.604052))+0-0-0</f>
        <v>902.21749199999977</v>
      </c>
      <c r="K107" s="3">
        <f>1640.7+(124.9-894.7)+(-2.510271+(-0.191097--1.368891))+0-0-0</f>
        <v>869.56752299999994</v>
      </c>
      <c r="L107" s="3">
        <f>1572.3+(125.9-831.6)+(-2.405619+(-0.192627--1.272348))+0-3--0.00459000000000017</f>
        <v>862.27869199999986</v>
      </c>
      <c r="M107" s="3">
        <f>1644.1+(110.4-850.1)+(1.676982+(0.112608-0.867102))+0-3-0.00306000000000048</f>
        <v>902.3194279999999</v>
      </c>
      <c r="N107" s="3">
        <f>1707.4+(151.6-862.6)+(0+(0-0))+0-3-0</f>
        <v>993.40000000000009</v>
      </c>
      <c r="O107" s="3">
        <f>1776+(167.8-883.6)+(-2.71728+(-0.256734--1.351908))+0-3--0.00459000000000017</f>
        <v>1055.582484</v>
      </c>
      <c r="P107" s="3">
        <f>1739.5+(168.9-792.8)+(-2.661435+(-0.258417--1.212984))+0-3--0.00459000000000017</f>
        <v>1110.8977219999999</v>
      </c>
      <c r="Q107" s="3">
        <f>1747.4+(319.8-906.5)+(0+(0-0))+0-3-0</f>
        <v>1157.7</v>
      </c>
      <c r="R107" s="3">
        <f>1722.3+(422.1-966.1)+(1.756746+(0.430542-0.985422))+0-3-0.00306000000000048</f>
        <v>1176.4988060000001</v>
      </c>
      <c r="S107" s="3">
        <f>1672.4+(552.8-1069.4)+(-5.117544+(-1.691568--3.272364))+0-3--0.00918000000000035</f>
        <v>1149.272432</v>
      </c>
      <c r="T107" s="3">
        <f>1591+(546.5-991.2)+(-0.81141+(-0.278715--0.505512))+0-3--0.0015299999999997</f>
        <v>1142.716917</v>
      </c>
      <c r="U107" s="3">
        <f>1361.6+(582.3-789.3)+(-1.388832+(-0.593946--0.805086))+0-3--0.00306000000000048</f>
        <v>1150.4253679999999</v>
      </c>
      <c r="V107" s="3">
        <f>1153.5+(712.8-731.6)+(-1.764855+(-1.090584--1.119348))+0-3--0.00459000000000017</f>
        <v>1129.9684989999998</v>
      </c>
      <c r="W107" s="3">
        <f>1166.6+(744.3-782.5)+(-2.379864+(-1.518372--1.5963))+0-3--0.00611999999999987</f>
        <v>1123.1041839999998</v>
      </c>
      <c r="X107" s="3">
        <f>1234.2+(677.2-808.9)+(-5.035536+(-2.762976--3.300312))+0-3--0.0122399999999997</f>
        <v>1095.01404</v>
      </c>
      <c r="Y107" s="3">
        <f>1262.2+(505.4-705.3)+(-1.931166+(-0.773262--1.079109))+0-3--0.00459000000000017</f>
        <v>1057.6792710000002</v>
      </c>
      <c r="Z107" s="3">
        <f>1200.8+(619.8-725.5)+(-0.612408+(-0.316098--0.370005))+0-3--0.0015299999999997</f>
        <v>1091.5430289999999</v>
      </c>
      <c r="AA107" s="3">
        <f>1313.9+(719.4-797.4)+(-4.020534+(-2.201364--2.440044))+0-3--0.00918000000000035</f>
        <v>1229.127326</v>
      </c>
      <c r="AB107" s="3">
        <f>1326.2+(656.2-762.3)+(-2.705448+(-1.338648--1.555092))+0-3--0.00611999999999987</f>
        <v>1214.6171160000001</v>
      </c>
      <c r="AC107" s="3">
        <f>1345.3+(599.4-786.4)+(-2.058309+(-0.917082--1.203192))+0-3--0.00459000000000017</f>
        <v>1153.532391</v>
      </c>
      <c r="AD107" s="2">
        <v>1230.1000000000001</v>
      </c>
      <c r="AE107" s="3">
        <f>1322+(719.9-811.8)+(0+(0-0))+0-3-0</f>
        <v>1227.0999999999999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1392.5+(545.8-853.6)+(-0.710175+(-0.278358--0.435336))+0-3--0.0015299999999997</f>
        <v>1081.1483329999999</v>
      </c>
      <c r="G108" s="3">
        <f>1356.7+(485.9-845.1)+(0.691917+(0.247809-0.431001))+0-3-0.0015299999999997</f>
        <v>995.00719500000002</v>
      </c>
      <c r="H108" s="3">
        <f>1292.2+(462.2-815.1)+(-1.977066+(-0.707166--1.247103))+0-3--0.00459000000000017</f>
        <v>934.86746099999993</v>
      </c>
      <c r="I108" s="3">
        <f>1290.9+(379.4-786.9)+(0+(0-0))+0-3-0</f>
        <v>880.40000000000009</v>
      </c>
      <c r="J108" s="3">
        <f>1366.5+(367.2-861.2)+(0+(0-0))+0-3-0</f>
        <v>869.5</v>
      </c>
      <c r="K108" s="3">
        <f>1354.7+(404.3-891.3)+(-3.454485+(-1.030965--2.272815))+0-3--0.00764999999999957</f>
        <v>862.49501500000008</v>
      </c>
      <c r="L108" s="3">
        <f>1224.7+(430-836.7)+(-4.372179+(-1.5351--2.987019))+0-3--0.01071</f>
        <v>812.09045000000003</v>
      </c>
      <c r="M108" s="3">
        <f>1145+(436.1-746.9)+(0+(0-0))+0-3-0</f>
        <v>831.2</v>
      </c>
      <c r="N108" s="3">
        <f>1144.8+(480.6-738.6)+(0+(0-0))+0-3-0</f>
        <v>883.8</v>
      </c>
      <c r="O108" s="3">
        <f>1216.3+(421.2-694.1)+(0.620313+(0.214812-0.353991))+0-3-0.0015299999999997</f>
        <v>940.87960399999986</v>
      </c>
      <c r="P108" s="3">
        <f>1362.2+(384.1-739.7)+(0+(0-0))+0-3-0</f>
        <v>1003.6</v>
      </c>
      <c r="Q108" s="3">
        <f>1368.3+(353.9-675.8)+(1.395666+(0.360978-0.689316))+0-3-0.00306000000000048</f>
        <v>1044.4642680000002</v>
      </c>
      <c r="R108" s="3">
        <f>1366.1+(443.1-744.5)+(-0.696711+(-0.225981--0.379695))+0-3--0.0015299999999997</f>
        <v>1061.1585329999998</v>
      </c>
      <c r="S108" s="3">
        <f>1365.8+(472.4-785.2)+(-0.696558+(-0.240924--0.400452))+0-3--0.0015299999999997</f>
        <v>1049.4645</v>
      </c>
      <c r="T108" s="3">
        <f>1371.1+(483.6-810.9)+(-1.398522+(-0.493272--0.827118))+0-3--0.00306000000000048</f>
        <v>1039.738384</v>
      </c>
      <c r="U108" s="3">
        <f>1296.9+(489.1-738.7)+(0+(0-0))+0-3-0</f>
        <v>1044.3000000000002</v>
      </c>
      <c r="V108" s="3">
        <f>1262.6+(510.6-722.2)+(0.643926+(0.260406-0.368322))+0-3-0.0015299999999997</f>
        <v>1048.53448</v>
      </c>
      <c r="W108" s="3">
        <f>1235.5+(503-671.2)+(-3.78063+(-1.53918--2.053872))+0-3--0.00918000000000035</f>
        <v>1061.043242</v>
      </c>
      <c r="X108" s="3">
        <f>1242.3+(466.9-664.4)+(-3.167865+(-1.190595--1.69422))+0-3--0.00764999999999957</f>
        <v>1039.1434099999999</v>
      </c>
      <c r="Y108" s="3">
        <f>1256.1+(485.2-717.2)+(-0.640611+(-0.247452--0.365772))+0-3--0.0015299999999997</f>
        <v>1020.5792389999999</v>
      </c>
      <c r="Z108" s="3">
        <f>1275+(487.9-713.7)+(0.65025+(0.248829-0.363987))+0-3-0.0015299999999997</f>
        <v>1046.7335619999999</v>
      </c>
      <c r="AA108" s="3">
        <f>1263.6+(430.5-526.1)+(-1.933308+(-0.658665--0.804933))+0-3--0.00459000000000017</f>
        <v>1163.2175500000001</v>
      </c>
      <c r="AB108" s="3">
        <f>1238.8+(435.5-533.7)+(-0.631788+(-0.222105--0.272187))+0-3--0.0015299999999997</f>
        <v>1137.019824</v>
      </c>
      <c r="AC108" s="3">
        <f>1318.9+(368.5-593)+(0.672639+(0.187935-0.30243))+0-3-0.0015299999999997</f>
        <v>1091.9566140000002</v>
      </c>
      <c r="AD108" s="2">
        <v>1158.9000000000001</v>
      </c>
      <c r="AE108" s="3">
        <f>1234+(445.9-521)+(0+(0-0))+0-3-0</f>
        <v>1155.9000000000001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1317.5+(314.3-618.4)+(1.34385+(0.320586-0.630768))+0-3-0.00306000000000048</f>
        <v>1011.4306080000001</v>
      </c>
      <c r="G109" s="3">
        <f>1342+(262.9-651.8)+(0.68442+(0.134079-0.332418))+0-3-0.0015299999999997</f>
        <v>950.58455100000003</v>
      </c>
      <c r="H109" s="3">
        <f>1430.8+(270.5-786.5)+(2.189124+(0.413865-1.203345))+0-3-0.00459000000000017</f>
        <v>913.19505399999991</v>
      </c>
      <c r="I109" s="3">
        <f>1413.7+(319.1-847.4)+(0+(0-0))+0-3-0</f>
        <v>882.40000000000009</v>
      </c>
      <c r="J109" s="3">
        <f>1415.9+(349.8-900.2)+(-1.444218+(-0.356796--0.918204))+0-3--0.00306000000000048</f>
        <v>861.62025000000006</v>
      </c>
      <c r="K109" s="3">
        <f>1396.9+(376.2-916.5)+(-4.986933+(-1.343034--3.271905))+0-3--0.01071</f>
        <v>850.5526480000002</v>
      </c>
      <c r="L109" s="3">
        <f>1292.1+(441.7-918.2)+(-1.976913+(-0.675801--1.404846))+0-3--0.00459000000000017</f>
        <v>811.35672199999988</v>
      </c>
      <c r="M109" s="3">
        <f>1146.5+(442.8-771.4)+(0.584715+(0.225828-0.393414))+0-3-0.0015299999999997</f>
        <v>815.31559900000013</v>
      </c>
      <c r="N109" s="3">
        <f>1143.7+(426.1-708.7)+(-0.583287+(-0.217311--0.361437))+0-3--0.0015299999999997</f>
        <v>857.66236900000001</v>
      </c>
      <c r="O109" s="3">
        <f>1215.4+(362.7-669.8)+(1.859562+(0.554931-1.024794))+0-3-0.00459000000000017</f>
        <v>906.68510900000012</v>
      </c>
      <c r="P109" s="3">
        <f>1391.7+(297.2-724.8)+(0.709767+(0.151572-0.369648))+0-3-0.0015299999999997</f>
        <v>961.59016100000008</v>
      </c>
      <c r="Q109" s="3">
        <f>1407.6+(291.7-689.4)+(0.717876+(0.148767-0.351594))+0-3-0.0015299999999997</f>
        <v>1007.4135189999998</v>
      </c>
      <c r="R109" s="3">
        <f>1389.2+(339.4-698.6)+(1.416984+(0.346188-0.712572))+0-2-0.00204000000000032</f>
        <v>1029.04856</v>
      </c>
      <c r="S109" s="3">
        <f>1381.5+(370.4-719.6)+(2.81826+(0.755616-1.467984))+0-2-0.00407999999999991</f>
        <v>1032.4018120000001</v>
      </c>
      <c r="T109" s="3">
        <f>1365.4+(393.5-724.5)+(2.089062+(0.602055-1.108485))+0-2-0.00306000000000012</f>
        <v>1033.9795720000002</v>
      </c>
      <c r="U109" s="3">
        <f>1360.3+(385.1-711.7)+(1.387506+(0.392802-0.725934))+0-2-0.00204000000000032</f>
        <v>1032.7523339999998</v>
      </c>
      <c r="V109" s="3">
        <f>1377.1+(391.4-732.8)+(0.702321+(0.199614-0.373728))+0-2-0.0010199999999998</f>
        <v>1034.227187</v>
      </c>
      <c r="W109" s="3">
        <f>1408.9+(384.1-757.8)+(-0.718539+(-0.195891--0.386478))+0-2--0.0010199999999998</f>
        <v>1032.6730680000003</v>
      </c>
      <c r="X109" s="3">
        <f>1389+(382.9-754.9)+(-2.83356+(-0.781116--1.539996))+0-2--0.00407999999999991</f>
        <v>1012.9294000000001</v>
      </c>
      <c r="Y109" s="3">
        <f>1373.1+(333-717.9)+(0.700281+(0.16983-0.366129))+0-2-0.0010199999999998</f>
        <v>986.70296199999984</v>
      </c>
      <c r="Z109" s="3">
        <f>1426.9+(356.9-759.8)+(-0.727719+(-0.182019--0.387498))+0-2--0.0010199999999998</f>
        <v>1021.47878</v>
      </c>
      <c r="AA109" s="3">
        <f>1386.1+(352.2-582.9)+(-1.413822+(-0.359244--0.594558))+0-2--0.00204000000000032</f>
        <v>1152.223532</v>
      </c>
      <c r="AB109" s="3">
        <f>1381+(374.9-601.6)+(-1.40862+(-0.382398--0.613632))+0-2--0.00204000000000032</f>
        <v>1151.124654</v>
      </c>
      <c r="AC109" s="3">
        <f>1502.6+(362.2-741.5)+(-0.766326+(-0.184722--0.378165))+0-2--0.0010199999999998</f>
        <v>1120.7281369999998</v>
      </c>
      <c r="AD109" s="2">
        <v>1158.5999999999999</v>
      </c>
      <c r="AE109" s="3">
        <f>1355+(371.6-568)+(0+(0-0))+0-2-0</f>
        <v>1156.5999999999999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1564.8+(377.1-877.3)+(-0.798048+(-0.192321--0.447423))+0-2--0.0010199999999998</f>
        <v>1062.0580739999998</v>
      </c>
      <c r="G110" s="3">
        <f>1529+(379.2-918.1)+(0+(0-0))+0-2-0</f>
        <v>988.09999999999991</v>
      </c>
      <c r="H110" s="3">
        <f>1500.1+(385.2-934.7)+(-0.765051+(-0.196452--0.476697))+0-2--0.0010199999999998</f>
        <v>948.1162139999999</v>
      </c>
      <c r="I110" s="3">
        <f>1390.3+(433.4-919.6)+(-0.709053+(-0.221034--0.468996))+0-2--0.0010199999999998</f>
        <v>901.63992899999994</v>
      </c>
      <c r="J110" s="3">
        <f>1387.5+(419.4-918.8)+(-1.41525+(-0.427788--0.937176))+0-2--0.00204000000000032</f>
        <v>885.19617800000003</v>
      </c>
      <c r="K110" s="3">
        <f>1378.4+(384.6-885.9)+(-3.51492+(-0.98073--2.259045))+0-2--0.00509999999999971</f>
        <v>872.86849500000005</v>
      </c>
      <c r="L110" s="3">
        <f>1381.7+(370.4-914)+(-1.409334+(-0.377808--0.93228))+0-2--0.00204000000000032</f>
        <v>835.24717799999996</v>
      </c>
      <c r="M110" s="3">
        <f>1402.1+(380.5-893.9)+(2.145213+(0.582165-1.367667))+0-2-0.00306000000000012</f>
        <v>888.05665099999987</v>
      </c>
      <c r="N110" s="3">
        <f>1394.7+(394.6-823.1)+(0+(0-0))+0-2-0</f>
        <v>964.2</v>
      </c>
      <c r="O110" s="3">
        <f>1381.8+(425-766)+(1.409436+(0.4335-0.78132))+0-2-0.00204000000000032</f>
        <v>1039.8595759999998</v>
      </c>
      <c r="P110" s="3">
        <f>1379+(500-784)+(2.10987+(0.765-1.19952))+0-2-0.00306000000000012</f>
        <v>1094.67229</v>
      </c>
      <c r="Q110" s="3">
        <f>1366.1+(446.5-682.7)+(2.090133+(0.683145-1.044531))+0-2-0.00306000000000012</f>
        <v>1129.625687</v>
      </c>
      <c r="R110" s="3">
        <f>1367.4+(413.7-633)+(2.789496+(0.843948-1.29132))+0-3-0.00611999999999987</f>
        <v>1147.4360040000001</v>
      </c>
      <c r="S110" s="3">
        <f>1354.8+(473.2-695.9)+(0.690948+(0.241332-0.354909))+0-3-0.0015299999999997</f>
        <v>1129.675841</v>
      </c>
      <c r="T110" s="3">
        <f>1337.8+(508.3-714.6)+(-0.682278+(-0.259233--0.364446))+0-3--0.0015299999999997</f>
        <v>1127.9244650000001</v>
      </c>
      <c r="U110" s="3">
        <f>1326+(523.7-720.4)+(0+(0-0))+0-3-0</f>
        <v>1126.3000000000002</v>
      </c>
      <c r="V110" s="3">
        <f>1319.7+(533.7-716.2)+(-1.346094+(-0.544374--0.730524))+0-3--0.00306000000000048</f>
        <v>1133.0431160000001</v>
      </c>
      <c r="W110" s="3">
        <f>1338.7+(557.6-775)+(-2.048211+(-0.853128--1.18575))+0-3--0.00459000000000017</f>
        <v>1116.5890010000003</v>
      </c>
      <c r="X110" s="3">
        <f>1450.1+(569.8-919.6)+(-3.697755+(-1.45299--2.34498))+0-3--0.00764999999999957</f>
        <v>1094.5018849999997</v>
      </c>
      <c r="Y110" s="3">
        <f>1586.3+(508.6-1033.6)+(-2.427039+(-0.778158--1.581408))+0-3--0.00459000000000017</f>
        <v>1056.6808010000002</v>
      </c>
      <c r="Z110" s="3">
        <f>1658.8+(554.3-1101.1)+(1.691976+(0.565386-1.123122))+0-3-0.00306000000000048</f>
        <v>1110.1311800000001</v>
      </c>
      <c r="AA110" s="3">
        <f>1665.8+(479-907.2)+(-2.548674+(-0.73287--1.388016))+0-3--0.00459000000000017</f>
        <v>1232.7110619999999</v>
      </c>
      <c r="AB110" s="3">
        <f>1662.5+(538.1-970.6)+(-2.543625+(-0.823293--1.485018))+0-3--0.00459000000000017</f>
        <v>1225.1226899999999</v>
      </c>
      <c r="AC110" s="3">
        <f>1673.9+(596.2-1098.4)+(-1.707378+(-0.608124--1.120368))+0-3--0.00306000000000048</f>
        <v>1167.507926</v>
      </c>
      <c r="AD110" s="2">
        <v>1248.1000000000001</v>
      </c>
      <c r="AE110" s="3">
        <f>1664+(464.4-880.3)+(0+(0-0))+0-3-0</f>
        <v>1245.0999999999999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1678+(570.3-1138)+(-1.71156+(-0.581706--1.16076))+0-3--0.00306000000000048</f>
        <v>1106.170554</v>
      </c>
      <c r="G111" s="3">
        <f>1625.9+(573.4-1161.3)+(-1.658418+(-0.584868--1.184526))+0-3--0.00306000000000048</f>
        <v>1033.9443000000001</v>
      </c>
      <c r="H111" s="3">
        <f>1656.4+(526.3-1201.5)+(-2.534292+(-0.805239--1.838295))+0-3--0.00459000000000017</f>
        <v>976.7033540000001</v>
      </c>
      <c r="I111" s="3">
        <f>1661.7+(462.9-1174.3)+(-5.084802+(-1.416474--3.593358))+0-3--0.00918000000000035</f>
        <v>944.40126200000009</v>
      </c>
      <c r="J111" s="3">
        <f>1666.9+(376.6-1117)+(-4.250595+(-0.96033--2.84835))+0-3--0.00764999999999957</f>
        <v>921.14507500000013</v>
      </c>
      <c r="K111" s="3">
        <f>1596+(384.1-1073.3)+(-7.32564+(-1.763019--4.926447))+0-3--0.0137700000000005</f>
        <v>899.65155800000014</v>
      </c>
      <c r="L111" s="3">
        <f>1460.4+(433.8-1025.1)+(0+(0-0))+0-2-0</f>
        <v>867.10000000000014</v>
      </c>
      <c r="M111" s="3">
        <f>1496.9+(424.1-999.6)+(0.763419+(0.216291-0.509796))+0-2-0.0010199999999998</f>
        <v>919.86889400000007</v>
      </c>
      <c r="N111" s="3">
        <f>1618.3+(393.9-1011.6)+(1.650666+(0.401778-1.031832))+0-2-0.00204000000000032</f>
        <v>999.61857199999997</v>
      </c>
      <c r="O111" s="3">
        <f>1704+(363.5-986.8)+(0.86904+(0.185385-0.503268))+0-2-0.0010199999999998</f>
        <v>1079.2501370000002</v>
      </c>
      <c r="P111" s="3">
        <f>1677.9+(359.8-893)+(0.855729+(0.183498-0.45543))+0-2-0.0010199999999998</f>
        <v>1143.2827770000001</v>
      </c>
      <c r="Q111" s="3">
        <f>1670.6+(377.2-858.1)+(0.852006+(0.192372-0.437631))+0-2-0.0010199999999998</f>
        <v>1188.3057269999999</v>
      </c>
      <c r="R111" s="3">
        <f>1652.6+(329.4-792.1)+(0+(0-0))+0-3-0</f>
        <v>1186.8999999999999</v>
      </c>
      <c r="S111" s="3">
        <f>1629.1+(392.4-857.7)+(-0.830841+(-0.200124--0.437427))+0-3--0.0015299999999997</f>
        <v>1160.2079919999996</v>
      </c>
      <c r="T111" s="3">
        <f>1627.3+(450.2-900.7)+(1.659846+(0.459204-0.918714))+0-3-0.00306000000000048</f>
        <v>1174.9972760000001</v>
      </c>
      <c r="U111" s="3">
        <f>1614.2+(455.7-893.3)+(0+(0-0))+0-3-0</f>
        <v>1173.6000000000001</v>
      </c>
      <c r="V111" s="3">
        <f>1611.9+(494.5-920.5)+(0+(0-0))+0-3-0</f>
        <v>1182.9000000000001</v>
      </c>
      <c r="W111" s="3">
        <f>1587.6+(516.7-916.2)+(-4.858056+(-1.581102--2.803572))+0-3--0.00918000000000035</f>
        <v>1181.4735939999998</v>
      </c>
      <c r="X111" s="3">
        <f>1575.8+(496.6-919.2)+(-7.232922+(-2.279394--4.219128))+0-3--0.0137700000000005</f>
        <v>1144.9205819999997</v>
      </c>
      <c r="Y111" s="3">
        <f>1590.5+(446.6-931.3)+(-1.62231+(-0.455532--0.949926))+0-3--0.00306000000000048</f>
        <v>1101.6751440000003</v>
      </c>
      <c r="Z111" s="3">
        <f>1584.8+(419.6-849.9)+(0+(0-0))+0-3-0</f>
        <v>1151.5</v>
      </c>
      <c r="AA111" s="3">
        <f>1627.4+(385.1-731.3)+(-1.659948+(-0.392802--0.745926))+0-3--0.00306000000000048</f>
        <v>1276.8962360000003</v>
      </c>
      <c r="AB111" s="3">
        <f>1651.4+(463.6-835.3)+(-3.368856+(-0.945744--1.704012))+0-3--0.00611999999999987</f>
        <v>1274.0955320000003</v>
      </c>
      <c r="AC111" s="3">
        <f>1642.1+(528.2-940.2)+(-1.674942+(-0.538764--0.959004))+0-3--0.00306000000000048</f>
        <v>1225.848358</v>
      </c>
      <c r="AD111" s="2">
        <v>1300.6999999999998</v>
      </c>
      <c r="AE111" s="3">
        <f>1636+(401.6-736.9)+(0+(0-0))+0-3-0</f>
        <v>1297.7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1577.3+(554.2-969.6)+(-1.608846+(-0.565284--0.988992))+0-3--0.00306000000000048</f>
        <v>1157.717922</v>
      </c>
      <c r="G112" s="3">
        <f>1513.2+(584.7-1021.4)+(-2.315196+(-0.894591--1.562742))+0-3--0.00459000000000017</f>
        <v>1071.8575450000001</v>
      </c>
      <c r="H112" s="3">
        <f>1502.5+(560.9-1039.4)+(-3.831375+(-1.430295--2.65047))+0-3--0.00764999999999957</f>
        <v>1018.3964499999998</v>
      </c>
      <c r="I112" s="3">
        <f>1524.6+(510.1-1035.8)+(0.777546+(0.260151-0.528258))+0-3-0.0015299999999997</f>
        <v>996.40790900000002</v>
      </c>
      <c r="J112" s="3">
        <f>1371.8+(519.2-929.4)+(-0.699618+(-0.264792--0.473994))+0-3--0.0015299999999997</f>
        <v>958.11111400000004</v>
      </c>
      <c r="K112" s="3">
        <f>1354.1+(533.9-941.1)+(-2.071773+(-0.816867--1.439883))+0-3--0.00459000000000017</f>
        <v>942.45583299999987</v>
      </c>
      <c r="L112" s="3">
        <f>1276.5+(527-904)+(0+(0-0))+0-3-0</f>
        <v>896.5</v>
      </c>
      <c r="M112" s="3">
        <f>1311.5+(469.3-855.9)+(-0.668865+(-0.239343--0.436509))+0-3--0.0015299999999997</f>
        <v>921.42983100000015</v>
      </c>
      <c r="N112" s="3">
        <f>1427.5+(467.1-875.4)+(2.9121+(0.952884-1.785816))+0-3-0.00611999999999987</f>
        <v>1018.273048</v>
      </c>
      <c r="O112" s="3">
        <f>1386.3+(437.9-740.6)+(-1.414026+(-0.446658--0.755412))+0-3--0.00306000000000048</f>
        <v>1079.4977879999999</v>
      </c>
      <c r="P112" s="3">
        <f>1402.5+(430.6-697.7)+(-0.715275+(-0.219606--0.355827))+0-3--0.0015299999999997</f>
        <v>1131.8224760000001</v>
      </c>
      <c r="Q112" s="3">
        <f>1389.1+(436.1-655.9)+(2.833764+(0.889644-1.338036))+0-3-0.00611999999999987</f>
        <v>1168.6792519999999</v>
      </c>
      <c r="R112" s="3">
        <f>1388.9+(401.8-611.4)+(1.416678+(0.409836-0.623628))+0-3-0.00306000000000048</f>
        <v>1177.4998260000002</v>
      </c>
      <c r="S112" s="3">
        <f>1411.6+(460.2-711.6)+(0.719916+(0.234702-0.362916))+0-3-0.0015299999999997</f>
        <v>1157.7901719999998</v>
      </c>
      <c r="T112" s="3">
        <f>1392.1+(483.3-707.4)+(-0.709971+(-0.246483--0.360774))+0-3--0.0015299999999997</f>
        <v>1164.4058500000001</v>
      </c>
      <c r="U112" s="3">
        <f>1394.6+(515.7-739.9)+(0+(0-0))+0-3-0</f>
        <v>1167.4000000000001</v>
      </c>
      <c r="V112" s="3">
        <f>1401.2+(510.7-748.4)+(0.714612+(0.260457-0.381684))+0-3-0.0015299999999997</f>
        <v>1161.0918549999999</v>
      </c>
      <c r="W112" s="3">
        <f>1394.5+(556-777.5)+(0+(0-0))+0-3-0</f>
        <v>1170</v>
      </c>
      <c r="X112" s="3">
        <f>1389.9+(601.5-838.5)+(-1.417698+(-0.61353--0.85527))+0-3--0.00306000000000048</f>
        <v>1148.7271020000001</v>
      </c>
      <c r="Y112" s="3">
        <f>1408.7+(508.3-815.4)+(2.873748+(1.036932-1.663416))+0-3-0.00611999999999987</f>
        <v>1100.8411440000002</v>
      </c>
      <c r="Z112" s="3">
        <f>1413.2+(584.9-839.5)+(2.162196+(0.894897-1.284435))+0-3-0.00459000000000017</f>
        <v>1157.368068</v>
      </c>
      <c r="AA112" s="3">
        <f>1399.7+(532.6-652)+(-2.855388+(-1.086504--1.33008))+0-3--0.00611999999999987</f>
        <v>1274.6943080000001</v>
      </c>
      <c r="AB112" s="3">
        <f>1413.8+(570.2-707.2)+(-2.163114+(-0.872406--1.082016))+0-3--0.00459000000000017</f>
        <v>1271.8510859999999</v>
      </c>
      <c r="AC112" s="3">
        <f>1415.6+(591.9-784.4)+(-0.721956+(-0.301869--0.400044))+0-3--0.0015299999999997</f>
        <v>1219.4777489999999</v>
      </c>
      <c r="AD112" s="2">
        <v>1290.5999999999999</v>
      </c>
      <c r="AE112" s="3">
        <f>1405+(523.5-637.9)+(0+(0-0))+0-3-0</f>
        <v>1287.5999999999999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1417.9+(570.7-863.3)+(-2.169387+(-0.873171--1.320849))+0-3--0.00459000000000017</f>
        <v>1120.5828810000003</v>
      </c>
      <c r="G113" s="3">
        <f>1413+(634.4-990.1)+(-3.60315+(-1.61772--2.524755))+0-3--0.00764999999999957</f>
        <v>1051.611535</v>
      </c>
      <c r="H113" s="3">
        <f>1422.1+(578.3-993.5)+(-2.901084+(-1.179732--2.02674))+0-3--0.00611999999999987</f>
        <v>1001.8520439999999</v>
      </c>
      <c r="I113" s="3">
        <f>1424.7+(576.4-1020.1)+(-3.632985+(-1.46982--2.601255))+0-3--0.00764999999999957</f>
        <v>975.50610000000006</v>
      </c>
      <c r="J113" s="3">
        <f>1448.5+(534.7-1025.9)+(-0.738735+(-0.272697--0.523209))+0-3--0.0015299999999997</f>
        <v>953.81330700000001</v>
      </c>
      <c r="K113" s="3">
        <f>1454+(533.6-1043.9)+(0+(0-0))+0-3-0</f>
        <v>940.69999999999993</v>
      </c>
      <c r="L113" s="3">
        <f>1448.2+(474.9-1009.3)+(-2.215746+(-0.726597--1.544229))+0-3--0.00459000000000017</f>
        <v>909.40647600000011</v>
      </c>
      <c r="M113" s="3">
        <f>1475+(441.7-961.4)+(2.25675+(0.675801-1.470942))+0-3-0.00459000000000017</f>
        <v>953.7570189999999</v>
      </c>
      <c r="N113" s="3">
        <f>1462.8+(535.4-961.8)+(0+(0-0))+0-3-0</f>
        <v>1033.4000000000001</v>
      </c>
      <c r="O113" s="3">
        <f>1458.1+(433.9-791.9)+(0+(0-0))+0-3-0</f>
        <v>1097.0999999999999</v>
      </c>
      <c r="P113" s="3">
        <f>1454.8+(364.2-661.9)+(0+(0-0))+0-3-0</f>
        <v>1154.0999999999999</v>
      </c>
      <c r="Q113" s="3">
        <f>1451.7+(407.9-664.9)+(1.480734+(0.416058-0.678198))+0-3-0.00306000000000048</f>
        <v>1192.915534</v>
      </c>
      <c r="R113" s="3">
        <f>1439.6+(448.5-676.1)+(1.468392+(0.45747-0.689622))+0-3-0.00306000000000048</f>
        <v>1210.2331799999999</v>
      </c>
      <c r="S113" s="3">
        <f>1432.3+(484-724.8)+(-2.191419+(-0.74052--1.108944))+0-3--0.00459000000000017</f>
        <v>1186.681595</v>
      </c>
      <c r="T113" s="3">
        <f>1448.5+(479.8-745)+(-1.47747+(-0.489396--0.7599))+0-3--0.00306000000000048</f>
        <v>1179.096094</v>
      </c>
      <c r="U113" s="3">
        <f>1386.1+(460.4-650.2)+(-2.827644+(-0.939216--1.326408))+0-3--0.00611999999999987</f>
        <v>1190.8656679999997</v>
      </c>
      <c r="V113" s="3">
        <f>1338.2+(510.8-656.9)+(-0.682482+(-0.260508--0.335019))+0-3--0.0015299999999997</f>
        <v>1188.4935590000002</v>
      </c>
      <c r="W113" s="3">
        <f>1333.1+(554.9-691.9)+(-2.039643+(-0.848997--1.058607))+0-3--0.00459000000000017</f>
        <v>1191.274557</v>
      </c>
      <c r="X113" s="3">
        <f>1336+(533.8-709.1)+(-3.4068+(-1.36119--1.808205))+0-3--0.00764999999999957</f>
        <v>1154.7478649999998</v>
      </c>
      <c r="Y113" s="3">
        <f>1338.9+(463-687)+(0+(0-0))+0-3-0</f>
        <v>1111.9000000000001</v>
      </c>
      <c r="Z113" s="3">
        <f>1346.7+(555.4-741.1)+(0+(0-0))+0-3-0</f>
        <v>1158</v>
      </c>
      <c r="AA113" s="3">
        <f>1355.4+(543.7-611.7)+(-2.073762+(-0.831861--0.935901))+0-3--0.00459000000000017</f>
        <v>1282.4348680000001</v>
      </c>
      <c r="AB113" s="3">
        <f>1359.9+(548.6-632.1)+(-2.080647+(-0.839358--0.967113))+0-3--0.00459000000000017</f>
        <v>1271.4516980000001</v>
      </c>
      <c r="AC113" s="3">
        <f>1299.6+(576.4-645)+(-1.325592+(-0.587928--0.6579))+0-3--0.00306000000000048</f>
        <v>1226.7474400000001</v>
      </c>
      <c r="AD113" s="2">
        <v>1264.2</v>
      </c>
      <c r="AE113" s="3">
        <f>1357+(514.9-607.7)+(0+(0-0))+0-3-0</f>
        <v>1261.1999999999998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1243+(573-676.2)+(-0.63393+(-0.29223--0.344862))+0-3--0.0015299999999997</f>
        <v>1136.2202319999999</v>
      </c>
      <c r="G114" s="3">
        <f>1292.9+(600.3-836.6)+(-2.637516+(-1.224612--1.706664))+0-3--0.00611999999999987</f>
        <v>1051.450656</v>
      </c>
      <c r="H114" s="3">
        <f>1353.4+(579.2-917.2)+(-0.690234+(-0.295392--0.467772))+0-3--0.0015299999999997</f>
        <v>1011.883676</v>
      </c>
      <c r="I114" s="3">
        <f>1345.1+(579.8-935.4)+(-2.058003+(-0.887094--1.431162))+0-3--0.00459000000000017</f>
        <v>984.99065499999995</v>
      </c>
      <c r="J114" s="3">
        <f>1346.6+(497.2-878)+(-1.373532+(-0.507144--0.89556))+0-3--0.00306000000000048</f>
        <v>961.81794400000001</v>
      </c>
      <c r="K114" s="3">
        <f>1341.5+(505.7-895.9)+(-4.10499+(-1.547442--2.741454))+0-3--0.00918000000000035</f>
        <v>945.39820199999997</v>
      </c>
      <c r="L114" s="3">
        <f>1148.2+(563.4-797)+(0+(0-0))+0-3-0</f>
        <v>911.6</v>
      </c>
      <c r="M114" s="3">
        <f>1247.4+(445.7-758.6)+(0.636174+(0.227307-0.386886))+0-3-0.0015299999999997</f>
        <v>931.97506499999997</v>
      </c>
      <c r="N114" s="3">
        <f>1354.7+(380.2-707)+(1.381794+(0.387804-0.72114))+0-3-0.00306000000000048</f>
        <v>1025.9453980000001</v>
      </c>
      <c r="O114" s="3">
        <f>1351.5+(462.1-717.7)+(0+(0-0))+0-3-0</f>
        <v>1092.9000000000001</v>
      </c>
      <c r="P114" s="3">
        <f>1342.5+(472.2-669)+(2.054025+(0.722466-1.02357))+0-3-0.00459000000000017</f>
        <v>1144.4483310000001</v>
      </c>
      <c r="Q114" s="3">
        <f>1323.5+(404.2-559.1)+(-1.34997+(-0.412284--0.570282))+0-3--0.00306000000000048</f>
        <v>1164.4110879999998</v>
      </c>
      <c r="R114" s="3">
        <f>1333.4+(397.1-537.1)+(0.680034+(0.202521-0.273921))+0-3-0.0015299999999997</f>
        <v>1191.007104</v>
      </c>
      <c r="S114" s="3">
        <f>1300.4+(419.9-546)+(-3.31602+(-1.070745--1.3923))+0-3--0.00764999999999957</f>
        <v>1168.3131850000002</v>
      </c>
      <c r="T114" s="3">
        <f>1301.3+(418.7-543.1)+(-1.327326+(-0.427074--0.553962))+0-3--0.00306000000000048</f>
        <v>1172.7026219999998</v>
      </c>
      <c r="U114" s="3">
        <f>1252+(448.6-546.4)+(-0.63852+(-0.228786--0.278664))+0-3--0.0015299999999997</f>
        <v>1150.6128880000001</v>
      </c>
      <c r="V114" s="3">
        <f>1271+(474.8-563.6)+(0.64821+(0.242148-0.287436))+0-3-0.0015299999999997</f>
        <v>1179.8013920000001</v>
      </c>
      <c r="W114" s="3">
        <f>1261.6+(515.5-593.7)+(-0.643416+(-0.262905--0.302787))+0-3--0.0015299999999997</f>
        <v>1179.7979959999998</v>
      </c>
      <c r="X114" s="3">
        <f>1254.7+(552.3-664)+(-1.279794+(-0.563346--0.67728))+0-3--0.00306000000000048</f>
        <v>1138.8371999999999</v>
      </c>
      <c r="Y114" s="3">
        <f>1249.3+(457.1-600.7)+(-2.548572+(-0.932484--1.225428))+0-3--0.00611999999999987</f>
        <v>1100.4504919999999</v>
      </c>
      <c r="Z114" s="3">
        <f>1277.5+(564.5-679.3)+(2.6061+(1.15158-1.385772))+0-3-0.00611999999999987</f>
        <v>1162.0657880000001</v>
      </c>
      <c r="AA114" s="3">
        <f>1294.6+(599.9-604.3)+(-1.320492+(-0.611898--0.616386))+0-3--0.00306000000000048</f>
        <v>1285.8870559999998</v>
      </c>
      <c r="AB114" s="3">
        <f>1326.2+(587.9-639.9)+(-2.705448+(-1.199316--1.305396))+0-3--0.00611999999999987</f>
        <v>1268.6067520000001</v>
      </c>
      <c r="AC114" s="3">
        <f>1350.1+(608.9-752.4)+(0.688551+(0.310539-0.383724))+0-3-0.0015299999999997</f>
        <v>1204.2138359999999</v>
      </c>
      <c r="AD114" s="2">
        <v>1278.3000000000002</v>
      </c>
      <c r="AE114" s="3">
        <f>1307+(574.2-602.9)+(0+(0-0))+0-3-0</f>
        <v>1275.3000000000002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1352.7+(578-762.9)+(-0.689877+(-0.29478--0.389079))+0-3--0.0015299999999997</f>
        <v>1164.2059520000003</v>
      </c>
      <c r="G115" s="3">
        <f>1351.8+(582.5-821.7)+(-0.689418+(-0.297075--0.419067))+0-3--0.0015299999999997</f>
        <v>1109.0341039999998</v>
      </c>
      <c r="H115" s="3">
        <f>1362.5+(627.9-915.7)+(-1.38975+(-0.640458--0.934014))+0-3--0.00306000000000048</f>
        <v>1070.6068659999999</v>
      </c>
      <c r="I115" s="3">
        <f>1395.3+(625.5-968.2)+(-2.134809+(-0.957015--1.481346))+0-3--0.00459000000000017</f>
        <v>1047.9941119999999</v>
      </c>
      <c r="J115" s="3">
        <f>1406+(540-1003.7)+(-1.43412+(-0.5508--1.023774))+19.2-3--0.00306000000000048</f>
        <v>957.54191400000002</v>
      </c>
      <c r="K115" s="3">
        <f>1410.3+(533.1-1020)+(-1.438506+(-0.543762--1.0404))+25-3--0.00306000000000048</f>
        <v>944.46119199999998</v>
      </c>
      <c r="L115" s="3">
        <f>1326.5+(387.6-862.3)+(0.676515+(0.197676-0.439773))+25-3-0.0015299999999997</f>
        <v>874.23288800000012</v>
      </c>
      <c r="M115" s="3">
        <f>1260.4+(361.4-724.4)+(1.928412+(0.552942-1.108332))+3.3-3-0.00459000000000017</f>
        <v>899.06843200000003</v>
      </c>
      <c r="N115" s="3">
        <f>1345.7+(369.3-735.6)+(-0.686307+(-0.188343--0.375156))+0-3--0.0015299999999997</f>
        <v>975.90203600000007</v>
      </c>
      <c r="O115" s="3">
        <f>1376.1+(420.9-727.3)+(2.807244+(0.858636-1.483692))+0-3-0.00611999999999987</f>
        <v>1068.8760679999998</v>
      </c>
      <c r="P115" s="3">
        <f>1359.3+(341.4-565.8)+(0+(0-0))+0-3-0</f>
        <v>1131.9000000000001</v>
      </c>
      <c r="Q115" s="3">
        <f>1334.9+(348.3-521.4)+(2.723196+(0.710532-1.063656))+0-3-0.00611999999999987</f>
        <v>1161.1639520000001</v>
      </c>
      <c r="R115" s="3">
        <f>1306.9+(427.3-523.1)+(-0.666519+(-0.217923--0.266781))+0-3--0.0015299999999997</f>
        <v>1207.4838690000001</v>
      </c>
      <c r="S115" s="3">
        <f>1306.1+(514.3-637)+(-1.332222+(-0.524586--0.64974))+0-3--0.00306000000000048</f>
        <v>1179.1959919999999</v>
      </c>
      <c r="T115" s="3">
        <f>1426.9+(514.1-746.6)+(1.455438+(0.524382-0.761532))+0-3-0.00306000000000048</f>
        <v>1192.6152280000001</v>
      </c>
      <c r="U115" s="3">
        <f>1548.2+(475.4-820.1)+(-0.789582+(-0.242454--0.418251))+0-3--0.0015299999999997</f>
        <v>1199.887745</v>
      </c>
      <c r="V115" s="3">
        <f>1585+(514.9-888.2)+(-1.6167+(-0.525198--0.905964))+0-3--0.00306000000000048</f>
        <v>1207.4671259999998</v>
      </c>
      <c r="W115" s="3">
        <f>1537.5+(520.7-852.4)+(0.784125+(0.265557-0.434724))+0-3-0.0015299999999997</f>
        <v>1203.4134280000001</v>
      </c>
      <c r="X115" s="3">
        <f>1487.8+(543-851.6)+(-2.276334+(-0.83079--1.302948))+0-3--0.00459000000000017</f>
        <v>1174.4004139999997</v>
      </c>
      <c r="Y115" s="3">
        <f>1505.8+(493.7-853)+(-3.071832+(-1.007148--1.74012))+0-3--0.00611999999999987</f>
        <v>1141.1672599999999</v>
      </c>
      <c r="Z115" s="3">
        <f>1615.3+(484-934.7)+(0.823803+(0.24684-0.476697))+0-3-0.0015299999999997</f>
        <v>1162.1924159999999</v>
      </c>
      <c r="AA115" s="3">
        <f>1784.1+(457.1-910.5)+(-2.729673+(-0.699363--1.393065))+0-3--0.00459000000000017</f>
        <v>1325.6686189999998</v>
      </c>
      <c r="AB115" s="3">
        <f>1801.4+(503.5-976.8)+(-1.837428+(-0.51357--0.996336))+0-3--0.00306000000000048</f>
        <v>1323.7483980000002</v>
      </c>
      <c r="AC115" s="3">
        <f>1799.1+(546.6-1048.4)+(-2.752623+(-0.836298--1.604052))+0-3--0.00459000000000017</f>
        <v>1292.3197209999998</v>
      </c>
      <c r="AD115" s="2">
        <v>1312.8</v>
      </c>
      <c r="AE115" s="3">
        <f>1786+(467.6-940.8)+(0+(0-0))+0-3-0</f>
        <v>1309.8000000000002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1651.8+(585.1-985)+(2.527254+(0.895203-1.50705))+0-3-0.00459000000000017</f>
        <v>1250.810817</v>
      </c>
      <c r="G116" s="3">
        <f>1522.9+(559.4-934)+(0+(0-0))+0-3-0</f>
        <v>1145.3000000000002</v>
      </c>
      <c r="H116" s="3">
        <f>1530.7+(559.1-987.2)+(1.561314+(0.570282-1.006944))+0-3-0.00306000000000048</f>
        <v>1100.7215919999999</v>
      </c>
      <c r="I116" s="3">
        <f>1465+(569.1-968.9)+(-1.4943+(-0.580482--0.988278))+0-3--0.00306000000000048</f>
        <v>1061.1165559999999</v>
      </c>
      <c r="J116" s="3">
        <f>1447.8+(552.9-961.4)+(-0.738378+(-0.281979--0.490314))+0-3--0.0015299999999997</f>
        <v>1035.771487</v>
      </c>
      <c r="K116" s="3">
        <f>1440.8+(503.2-925.3)+(-3.67404+(-1.28316--2.359515))+0-3--0.00764999999999957</f>
        <v>1013.1099650000001</v>
      </c>
      <c r="L116" s="3">
        <f>1448.5+(516.9-1001.5)+(-2.95494+(-1.054476--2.04306))+0-3--0.00611999999999987</f>
        <v>958.93976399999997</v>
      </c>
      <c r="M116" s="3">
        <f>1447.1+(486.7-972.6)+(-0.738021+(-0.248217--0.496026))+0-3--0.0015299999999997</f>
        <v>957.71131799999978</v>
      </c>
      <c r="N116" s="3">
        <f>1461.9+(467.9-929.6)+(-1.491138+(-0.477258--0.948192))+0-3--0.00306000000000048</f>
        <v>996.18285600000002</v>
      </c>
      <c r="O116" s="3">
        <f>1482.7+(489.9-917.6)+(-1.512354+(-0.499698--0.935952))+0-3--0.00306000000000048</f>
        <v>1050.92696</v>
      </c>
      <c r="P116" s="3">
        <f>1460.5+(505.9-858.3)+(-0.744855+(-0.258009--0.437733))+0-3--0.0015299999999997</f>
        <v>1104.5363989999998</v>
      </c>
      <c r="Q116" s="3">
        <f>1468.4+(494.7-811.9)+(-0.748884+(-0.252297--0.414069))+0-3--0.0015299999999997</f>
        <v>1147.6144180000001</v>
      </c>
      <c r="R116" s="3">
        <f>1466.1+(501.9-800.1)+(0+(0-0))+0-3-0</f>
        <v>1164.8999999999999</v>
      </c>
      <c r="S116" s="3">
        <f>1452.5+(520.9-792.1)+(-1.48155+(-0.531318--0.807942))+0-3--0.00306000000000048</f>
        <v>1177.0981340000001</v>
      </c>
      <c r="T116" s="3">
        <f>1442+(529.6-804.9)+(1.47084+(0.540192-0.820998))+0-3-0.00306000000000048</f>
        <v>1164.886974</v>
      </c>
      <c r="U116" s="3">
        <f>1423.1+(531.5-793.2)+(-1.451562+(-0.54213--0.809064))+0-3--0.00306000000000048</f>
        <v>1157.2184319999999</v>
      </c>
      <c r="V116" s="3">
        <f>1396.4+(518.1-766)+(-2.848656+(-1.056924--1.56264))+0-3--0.00611999999999987</f>
        <v>1143.16318</v>
      </c>
      <c r="W116" s="3">
        <f>1396.1+(564.6-805.1)+(-1.424022+(-0.575892--0.821202))+0-3--0.00306000000000048</f>
        <v>1151.424348</v>
      </c>
      <c r="X116" s="3">
        <f>1385.5+(550.5-817.9)+(-2.119815+(-0.842265--1.251387))+0-3--0.00459000000000017</f>
        <v>1113.3938969999999</v>
      </c>
      <c r="Y116" s="3">
        <f>1386.7+(449.9-768.5)+(-0.707217+(-0.229449--0.391935))+0-3--0.0015299999999997</f>
        <v>1064.556799</v>
      </c>
      <c r="Z116" s="3">
        <f>1400.5+(577.6-830.2)+(0+(0-0))+0-3-0</f>
        <v>1144.9000000000001</v>
      </c>
      <c r="AA116" s="3">
        <f>1417.6+(635-780.3)+(2.168928+(0.97155-1.193859))+0-3-0.00459000000000017</f>
        <v>1271.242029</v>
      </c>
      <c r="AB116" s="3">
        <f>1418.9+(630.8-775.2)+(-2.170917+(-0.965124--1.186056))+0-3--0.00459000000000017</f>
        <v>1269.554605</v>
      </c>
      <c r="AC116" s="3">
        <f>1431.5+(675.5-860.9)+(-2.190195+(-1.033515--1.317177))+0-2--0.00306000000000012</f>
        <v>1242.1965269999998</v>
      </c>
      <c r="AD116" s="2">
        <v>1234.0999999999999</v>
      </c>
      <c r="AE116" s="3">
        <f>1408+(636.7-778.6)+(0+(0-0))+0-3-0</f>
        <v>1263.0999999999999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1445.9+(655.1-916.8)+(-0.737409+(-0.334101--0.467568))+0-3--0.0015299999999997</f>
        <v>1180.5975880000003</v>
      </c>
      <c r="G117" s="3">
        <f>1447.7+(638.3-965.1)+(-2.214981+(-0.976599--1.476603))+0-3--0.00459000000000017</f>
        <v>1116.189613</v>
      </c>
      <c r="H117" s="3">
        <f>1458.6+(632.7-1011.1)+(-1.487772+(-0.645354--1.031322))+0-3--0.00306000000000048</f>
        <v>1076.1012559999999</v>
      </c>
      <c r="I117" s="3">
        <f>1466.5+(602.1-1010.4)+(-1.49583+(-0.614142--1.030608))+0-3--0.00306000000000048</f>
        <v>1054.1236960000001</v>
      </c>
      <c r="J117" s="3">
        <f>1470.3+(593.9-1023.2)+(-1.499706+(-0.605778--1.043664))+0-3--0.00306000000000048</f>
        <v>1036.9412400000001</v>
      </c>
      <c r="K117" s="3">
        <f>1470.8+(566.3-1005.8)+(-3.000432+(-1.155252--2.051832))+0-3--0.00611999999999987</f>
        <v>1026.202268</v>
      </c>
      <c r="L117" s="3">
        <f>1479.8+(517.4-1014.3)+(0+(0-0))+0-3-0</f>
        <v>979.9</v>
      </c>
      <c r="M117" s="3">
        <f>1493.8+(488.8-955.5)+(-0.761838+(-0.249288--0.487305))+0-3--0.0015299999999997</f>
        <v>1023.5777089999999</v>
      </c>
      <c r="N117" s="3">
        <f>1488.6+(504.5-905.3)+(1.518372+(0.51459-0.923406))+0-3-0.00306000000000048</f>
        <v>1085.9064960000001</v>
      </c>
      <c r="O117" s="3">
        <f>1463.5+(505.9-814.7)+(-0.746385+(-0.258009--0.415497))+0-3--0.0015299999999997</f>
        <v>1151.1126329999997</v>
      </c>
      <c r="P117" s="3">
        <f>1457.6+(504.7-753.6)+(1.486752+(0.514794-0.768672))+0-3-0.00306000000000048</f>
        <v>1206.9298139999999</v>
      </c>
      <c r="Q117" s="3">
        <f>1444.1+(466.8-660.7)+(0.736491+(0.238068-0.336957))+0-3-0.0015299999999997</f>
        <v>1247.8360719999998</v>
      </c>
      <c r="R117" s="3">
        <f>1537.2+(451.8-714.2)+(0.783972+(0.230418-0.364242))+0-3-0.0015299999999997</f>
        <v>1272.4486179999999</v>
      </c>
      <c r="S117" s="3">
        <f>1547.2+(479.1-763.6)+(-0.789072+(-0.244341--0.389436))+0-3--0.0015299999999997</f>
        <v>1259.0575530000001</v>
      </c>
      <c r="T117" s="3">
        <f>1501.1+(496.2-747.5)+(-2.296683+(-0.759186--1.143675))+0-3--0.00459000000000017</f>
        <v>1244.892396</v>
      </c>
      <c r="U117" s="3">
        <f>1594.1+(462.5-797.1)+(-3.251964+(-0.9435--1.626084))+0-3--0.00611999999999987</f>
        <v>1253.9367400000001</v>
      </c>
      <c r="V117" s="3">
        <f>1683.3+(451.3-859.2)+(-3.433932+(-0.920652--1.752768))+0-3--0.00611999999999987</f>
        <v>1269.8043039999998</v>
      </c>
      <c r="W117" s="3">
        <f>1693.4+(447.2-848.6)+(-2.590902+(-0.684216--1.298358))+0-3--0.00459000000000017</f>
        <v>1287.02783</v>
      </c>
      <c r="X117" s="3">
        <f>1672.8+(538.7-932.3)+(-5.971896+(-1.923159--3.328311))+0-3--0.01071</f>
        <v>1271.6439660000001</v>
      </c>
      <c r="Y117" s="3">
        <f>1675.7+(473.4-924.9)+(-4.273035+(-1.20717--2.358495))+0-3--0.00764999999999957</f>
        <v>1218.0859400000002</v>
      </c>
      <c r="Z117" s="3">
        <f>1637.3+(541.9-933.4)+(3.340092+(1.105476-1.904136))+0-3-0.00611999999999987</f>
        <v>1245.3353119999999</v>
      </c>
      <c r="AA117" s="3">
        <f>1722.7+(496.7-846)+(-0.878577+(-0.253317--0.43146))+0-3--0.0015299999999997</f>
        <v>1369.701096</v>
      </c>
      <c r="AB117" s="3">
        <f>1769.6+(486.1-882.8)+(-5.414976+(-1.487466--2.701368))+0-3--0.00918000000000035</f>
        <v>1365.708106</v>
      </c>
      <c r="AC117" s="3">
        <f>1774.8+(546-992.5)+(0.905148+(0.27846-0.506175))+0-3-0.0015299999999997</f>
        <v>1325.975903</v>
      </c>
      <c r="AD117" s="2">
        <v>1345.0000000000002</v>
      </c>
      <c r="AE117" s="3">
        <f>1757+(498.2-879.4)+(0+(0-0))+0-3-0</f>
        <v>1372.8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1786.4+(550.1-1066.6)+(-2.733192+(-0.841653--1.631898))+0-3--0.00459000000000017</f>
        <v>1264.9616430000001</v>
      </c>
      <c r="G118" s="3">
        <f>1803.7+(595.9-1182)+(0.919887+(0.303909-0.60282))+0-3-0.0015299999999997</f>
        <v>1215.2194459999998</v>
      </c>
      <c r="H118" s="3">
        <f>1795.8+(588.7-1223.9)+(-0.915858+(-0.300237--0.624189))+0-3--0.0015299999999997</f>
        <v>1157.0096239999998</v>
      </c>
      <c r="I118" s="3">
        <f>1730.9+(530.6-1135.4)+(-1.765518+(-0.541212--1.158108))+0-3--0.00306000000000048</f>
        <v>1121.954438</v>
      </c>
      <c r="J118" s="3">
        <f>1738+(471.5-1119.4)+(-3.54552+(-0.96186--2.283576))+0-3--0.00611999999999987</f>
        <v>1084.8823159999999</v>
      </c>
      <c r="K118" s="3">
        <f>1732.9+(416.5-1082.8)+(-2.651337+(-0.637245--1.656684))+0-3--0.00459000000000017</f>
        <v>1061.9726920000001</v>
      </c>
      <c r="L118" s="3">
        <f>1700.6+(443.9-1108.6)+(-4.33653+(-1.131945--2.82693))+0-3--0.00764999999999957</f>
        <v>1030.2661050000002</v>
      </c>
      <c r="M118" s="3">
        <f>1724.4+(408.1-1059.3)+(3.517776+(0.832524-2.160972))+0-3-0.00611999999999987</f>
        <v>1072.3832080000002</v>
      </c>
      <c r="N118" s="3">
        <f>1721.2+(490.5-1039.5)+(0+(0-0))+0-3-0</f>
        <v>1169.2</v>
      </c>
      <c r="O118" s="3">
        <f>1729.8+(492.5-986.6)+(1.764396+(0.50235-1.006332))+0-3-0.00306000000000048</f>
        <v>1233.9573539999999</v>
      </c>
      <c r="P118" s="3">
        <f>1726+(470.4-899.5)+(1.76052+(0.479808-0.91749))+0-3-0.00306000000000048</f>
        <v>1295.2197780000001</v>
      </c>
      <c r="Q118" s="3">
        <f>1703.6+(446.7-813.6)+(0+(0-0))+0-3-0</f>
        <v>1333.6999999999998</v>
      </c>
      <c r="R118" s="3">
        <f>1691.7+(427.3-797.5)+(0.862767+(0.217923-0.406725))+0-3-0.0015299999999997</f>
        <v>1319.172435</v>
      </c>
      <c r="S118" s="3">
        <f>1683.1+(465.2-830.9)+(-1.716762+(-0.474504--0.847518))+0-3--0.00306000000000048</f>
        <v>1313.0593119999999</v>
      </c>
      <c r="T118" s="3">
        <f>1659.2+(519-861.8)+(-3.384768+(-1.05876--1.758072))+0-3--0.00611999999999987</f>
        <v>1310.7206640000002</v>
      </c>
      <c r="U118" s="3">
        <f>1709.4+(538-914.5)+(0.871794+(0.27438-0.466395))+0-3-0.0015299999999997</f>
        <v>1330.5782490000001</v>
      </c>
      <c r="V118" s="3">
        <f>1694.8+(518.6-910.6)+(-3.457392+(-1.057944--1.857624))+0-3--0.00611999999999987</f>
        <v>1297.148408</v>
      </c>
      <c r="W118" s="3">
        <f>1697.8+(544.3-931.3)+(-1.731756+(-0.555186--0.949926))+0-3--0.00306000000000048</f>
        <v>1306.466044</v>
      </c>
      <c r="X118" s="3">
        <f>1682.3+(593.8-985.8)+(-1.715946+(-0.605676--1.005516))+0-3--0.00306000000000048</f>
        <v>1285.986954</v>
      </c>
      <c r="Y118" s="3">
        <f>1665.1+(510.4-939.8)+(0+(0-0))+0-3-0</f>
        <v>1232.6999999999998</v>
      </c>
      <c r="Z118" s="3">
        <f>1705.2+(548.9-982.1)+(0+(0-0))+0-3-0</f>
        <v>1269</v>
      </c>
      <c r="AA118" s="3">
        <f>1758.4+(552.9-929.9)+(-3.587136+(-1.127916--1.896996))+0-3--0.00611999999999987</f>
        <v>1375.588064</v>
      </c>
      <c r="AB118" s="3">
        <f>1770.6+(590.3-975.6)+(-3.612024+(-1.204212--1.990224))+0-3--0.00611999999999987</f>
        <v>1379.4801079999997</v>
      </c>
      <c r="AC118" s="3">
        <f>1784.7+(617.2-1043.7)+(-4.550985+(-1.57386--2.661435))+0-3--0.00764999999999957</f>
        <v>1351.74424</v>
      </c>
      <c r="AD118" s="2">
        <v>1438.1999999999998</v>
      </c>
      <c r="AE118" s="3">
        <f>1763+(611.1-935.9)+(0+(0-0))+0-4-0</f>
        <v>1434.2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1789.3+(604.9-1107.4)+(-4.562715+(-1.542495--2.82387))+0-3--0.00764999999999957</f>
        <v>1280.5263099999997</v>
      </c>
      <c r="G119" s="3">
        <f>1797.2+(596.1-1159.2)+(-2.749716+(-0.912033--1.773576))+0-3--0.00459000000000017</f>
        <v>1229.2164169999999</v>
      </c>
      <c r="H119" s="3">
        <f>1805.6+(574-1194.3)+(-0.920856+(-0.29274--0.609093))+0-3--0.0015299999999997</f>
        <v>1181.6970269999999</v>
      </c>
      <c r="I119" s="3">
        <f>1812.6+(550.1-1202)+(-4.62213+(-1.402755--3.0651))+0-3--0.00764999999999957</f>
        <v>1154.7478649999998</v>
      </c>
      <c r="J119" s="3">
        <f>1814.5+(500.3-1184.2)+(-3.70158+(-1.020612--2.415768))+0-3--0.00611999999999987</f>
        <v>1125.2996959999998</v>
      </c>
      <c r="K119" s="3">
        <f>1810.6+(427.6-1131.6)+(-1.846812+(-0.436152--1.154232))+0-3--0.00306000000000048</f>
        <v>1102.474328</v>
      </c>
      <c r="L119" s="3">
        <f>1749.8+(388-1089.4)+(-4.46199+(-0.9894--2.77797))+0-2--0.00509999999999971</f>
        <v>1043.7316799999999</v>
      </c>
      <c r="M119" s="3">
        <f>1774.6+(372.6-1057.3)+(3.620184+(0.760104-2.156892))+0-3-0.00611999999999987</f>
        <v>1089.1172760000002</v>
      </c>
      <c r="N119" s="3">
        <f>1801.1+(444.1-1084.5)+(4.592805+(1.132455-2.765475))+0-3-0.00764999999999957</f>
        <v>1160.6521349999998</v>
      </c>
      <c r="O119" s="3">
        <f>1808.3+(414.5-1002.8)+(1.844466+(0.42279-1.022856))+0-3-0.00306000000000048</f>
        <v>1218.24134</v>
      </c>
      <c r="P119" s="3">
        <f>1804.1+(439.7-972.5)+(2.760273+(0.672741-1.487925))+0-3-0.00459000000000017</f>
        <v>1270.240499</v>
      </c>
      <c r="Q119" s="3">
        <f>1801.9+(364.2-878.8)+(3.675876+(0.742968-1.792752))+0-3-0.00611999999999987</f>
        <v>1286.9199720000001</v>
      </c>
      <c r="R119" s="3">
        <f>1783.2+(419-903.9)+(2.728296+(0.64107-1.382967))+0-3-0.00459000000000017</f>
        <v>1297.2818090000001</v>
      </c>
      <c r="S119" s="3">
        <f>1764.1+(552.2-1014)+(-0.899691+(-0.281622--0.51714))+0-3--0.0015299999999997</f>
        <v>1298.6373570000001</v>
      </c>
      <c r="T119" s="3">
        <f>1763+(561.8-1022.4)+(0+(0-0))+0-3-0</f>
        <v>1299.4000000000001</v>
      </c>
      <c r="U119" s="3">
        <f>1743.4+(566.2-980.7)+(-4.44567+(-1.44381--2.500785))+0-3--0.00764999999999957</f>
        <v>1322.518955</v>
      </c>
      <c r="V119" s="3">
        <f>1758.8+(590.3-1017.4)+(0.896988+(0.301053-0.518874))+0-3-0.0015299999999997</f>
        <v>1329.3776369999998</v>
      </c>
      <c r="W119" s="3">
        <f>1754.6+(562.8-1022.9)+(-2.684538+(-0.861084--1.565037))+0-3--0.00459000000000017</f>
        <v>1289.524005</v>
      </c>
      <c r="X119" s="3">
        <f>1768.5+(536.6-1050.1)+(-5.41161+(-1.641996--3.213306))+0-3--0.00918000000000035</f>
        <v>1248.1688799999999</v>
      </c>
      <c r="Y119" s="3">
        <f>1774.1+(375.3-954.8)+(0+(0-0))+0-3-0</f>
        <v>1191.5999999999999</v>
      </c>
      <c r="Z119" s="3">
        <f>1772+(496.4-1007.9)+(-2.71116+(-0.759492--1.542087))+0-3--0.00459000000000017</f>
        <v>1255.5760250000001</v>
      </c>
      <c r="AA119" s="3">
        <f>1775+(405-833)+(-2.71575+(-0.61965--1.27449))+0-3--0.00459000000000017</f>
        <v>1341.9436800000001</v>
      </c>
      <c r="AB119" s="3">
        <f>1772.6+(347.7-792.3)+(-5.424156+(-1.063962--2.424438))+0-3--0.00918000000000035</f>
        <v>1320.9455</v>
      </c>
      <c r="AC119" s="3">
        <f>1717.1+(409-839.5)+(-2.627163+(-0.62577--1.284435))+0-3--0.00459000000000017</f>
        <v>1281.636092</v>
      </c>
      <c r="AD119" s="2">
        <v>1339.3</v>
      </c>
      <c r="AE119" s="3">
        <f>1771+(397.5-829.2)+(0+(0-0))+0-3-0</f>
        <v>1336.3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1676+(453.8-894.9)+(-5.98332+(-1.620066--3.194793))+0-3--0.01071</f>
        <v>1227.502117</v>
      </c>
      <c r="G120" s="3">
        <f>1598.2+(494.8-929.1)+(-4.07541+(-1.26174--2.369205))+0-3--0.00764999999999957</f>
        <v>1157.939705</v>
      </c>
      <c r="H120" s="3">
        <f>1603.1+(518.5-990.5)+(-3.270324+(-1.05774--2.02062))+0-3--0.00611999999999987</f>
        <v>1125.7986759999999</v>
      </c>
      <c r="I120" s="3">
        <f>1604.3+(532.7-1031.7)+(-3.272772+(-1.086708--2.104668))+0-3--0.00611999999999987</f>
        <v>1100.0513080000001</v>
      </c>
      <c r="J120" s="3">
        <f>1602.3+(510.6-1026.8)+(0+(0-0))+0-3-0</f>
        <v>1083.0999999999999</v>
      </c>
      <c r="K120" s="3">
        <f>1592.8+(515-1021)+(-3.249312+(-1.0506--2.08284))+0-3--0.00611999999999987</f>
        <v>1081.589048</v>
      </c>
      <c r="L120" s="3">
        <f>1625.6+(483-1061.5)+(0+(0-0))+0-4-0</f>
        <v>1043.0999999999999</v>
      </c>
      <c r="M120" s="3">
        <f>1595.7+(449.2-982.3)+(2.441421+(0.687276-1.502919))+0-4-0.00612000000000023</f>
        <v>1060.2196580000002</v>
      </c>
      <c r="N120" s="3">
        <f>1593+(427.1-901.8)+(0.81243+(0.217821-0.459918))+0-4-0.00203999999999959</f>
        <v>1114.868293</v>
      </c>
      <c r="O120" s="3">
        <f>1646.2+(398.7-857.5)+(0.839562+(0.203337-0.437325))+0-4-0.00203999999999959</f>
        <v>1184.0035339999999</v>
      </c>
      <c r="P120" s="3">
        <f>1645.3+(402.4-807.3)+(3.356412+(0.820896-1.646892))+0-4-0.00815999999999983</f>
        <v>1238.9222560000001</v>
      </c>
      <c r="Q120" s="3">
        <f>1635.9+(440.7-779)+(2.502927+(0.674271-1.19187))+0-4-0.00612000000000023</f>
        <v>1295.5792080000001</v>
      </c>
      <c r="R120" s="3">
        <f>1625.7+(492.9-804.3)+(-0.829107+(-0.251379--0.410193))+0-4--0.00203999999999959</f>
        <v>1309.6317470000004</v>
      </c>
      <c r="S120" s="3">
        <f>1616.7+(473.9-754)+(-2.473551+(-0.725067--1.15362))+0-4--0.00612000000000023</f>
        <v>1330.5611219999998</v>
      </c>
      <c r="T120" s="3">
        <f>1605.5+(515.6-810.5)+(-0.818805+(-0.262956--0.413355))+0-4--0.00203999999999959</f>
        <v>1305.933634</v>
      </c>
      <c r="U120" s="3">
        <f>1596.7+(557.7-850.5)+(3.257268+(1.137708-1.73502))+0-4-0.00815999999999983</f>
        <v>1302.551796</v>
      </c>
      <c r="V120" s="3">
        <f>1596+(557.4-847.9)+(0+(0-0))+0-4-0</f>
        <v>1301.5</v>
      </c>
      <c r="W120" s="3">
        <f>1586.2+(599.4-877.9)+(-4.04481+(-1.52847--2.238645))+0-4--0.0101999999999994</f>
        <v>1300.3755650000001</v>
      </c>
      <c r="X120" s="3">
        <f>1591.1+(617.1-922.3)+(-2.434383+(-0.944163--1.411119))+0-4--0.00612000000000023</f>
        <v>1279.9386930000001</v>
      </c>
      <c r="Y120" s="3">
        <f>1613.3+(564.9-937.5)+(-0.822783+(-0.288099--0.478125))+0-4--0.00203999999999959</f>
        <v>1236.0692829999998</v>
      </c>
      <c r="Z120" s="3">
        <f>1625.1+(604.1-947.5)+(1.657602+(0.616182-0.96645))+0-4-0.00408000000000064</f>
        <v>1279.003254</v>
      </c>
      <c r="AA120" s="3">
        <f>1623.5+(578.8-810.8)+(-1.65597+(-0.590376--0.827016))+0-4--0.00408000000000064</f>
        <v>1386.08475</v>
      </c>
      <c r="AB120" s="3">
        <f>1618.7+(604.7-840)+(-1.651074+(-0.616794--0.8568))+0-4--0.00408000000000064</f>
        <v>1377.9930120000001</v>
      </c>
      <c r="AC120" s="3">
        <f>1668.5+(604.5-929.9)+(-1.70187+(-0.61659--0.948498))+0-4--0.00408000000000064</f>
        <v>1337.7341179999999</v>
      </c>
      <c r="AD120" s="2">
        <v>1440.8999999999999</v>
      </c>
      <c r="AE120" s="3">
        <f>1621+(635.1-815.2)+(0+(0-0))+0-4-0</f>
        <v>1436.9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1672+(546.9-955.7)+(-2.55816+(-0.836757--1.462221))+0-4--0.00612000000000023</f>
        <v>1257.2734239999997</v>
      </c>
      <c r="G121" s="3">
        <f>1660.7+(458.5-942)+(-0.846957+(-0.233835--0.48042))+0-4--0.00203999999999959</f>
        <v>1172.601668</v>
      </c>
      <c r="H121" s="3">
        <f>1682.5+(537.1-1075.7)+(-2.574225+(-0.821763--1.645821))+0-4--0.00612000000000023</f>
        <v>1138.1559530000002</v>
      </c>
      <c r="I121" s="3">
        <f>1779.2+(486.4-1137.1)+(-1.814784+(-0.496128--1.159842))+0-4--0.00408000000000064</f>
        <v>1123.35301</v>
      </c>
      <c r="J121" s="3">
        <f>1820+(464.9-1165.8)+(-4.641+(-1.185495--2.97279))+0-4--0.0101999999999994</f>
        <v>1112.2564949999999</v>
      </c>
      <c r="K121" s="3">
        <f>1787.7+(426.9-1115.3)+(-4.558635+(-1.088595--2.844015))+0-4--0.0101999999999994</f>
        <v>1092.5069850000002</v>
      </c>
      <c r="L121" s="3">
        <f>1689.4+(530.5-1125)+(1.723188+(0.54111-1.1475))+0-4-0.00408000000000064</f>
        <v>1092.0127180000002</v>
      </c>
      <c r="M121" s="3">
        <f>1731.7+(419.6-1063.3)+(-0.883167+(-0.213996--0.542283))+0-4--0.00203999999999959</f>
        <v>1083.4471600000002</v>
      </c>
      <c r="N121" s="3">
        <f>1761.4+(387.5-987.4)+(2.694942+(0.592875-1.510722))+0-4-0.00612000000000023</f>
        <v>1159.2709749999999</v>
      </c>
      <c r="O121" s="3">
        <f>1749.7+(413.3-914.9)+(0+(0-0))+0-4-0</f>
        <v>1244.1000000000001</v>
      </c>
      <c r="P121" s="3">
        <f>1743.6+(412.9-874.8)+(1.778472+(0.421158-0.892296))+0-4-0.00408000000000064</f>
        <v>1279.003254</v>
      </c>
      <c r="Q121" s="3">
        <f>1732.3+(386.6-807.2)+(2.650419+(0.591498-1.235016))+0-4-0.00612000000000023</f>
        <v>1309.7007809999998</v>
      </c>
      <c r="R121" s="3">
        <f>1737.2+(334.9-788)+(2.657916+(0.512397-1.20564))+0-4-0.00612000000000023</f>
        <v>1282.0585529999998</v>
      </c>
      <c r="S121" s="3">
        <f>1705.9+(362-833.3)+(-3.480036+(-0.73848--1.699932))+0-4--0.00815999999999983</f>
        <v>1228.0895760000003</v>
      </c>
      <c r="T121" s="3">
        <f>1716.9+(371.4-807.9)+(0+(0-0))+0-4-0</f>
        <v>1276.4000000000001</v>
      </c>
      <c r="U121" s="3">
        <f>1707+(353.5-789.9)+(-2.61171+(-0.540855--1.208547))+0-4--0.00612000000000023</f>
        <v>1264.662102</v>
      </c>
      <c r="V121" s="3">
        <f>1708.2+(406.6-839.5)+(0.871182+(0.207366-0.428145))+0-4-0.00203999999999959</f>
        <v>1271.9483630000002</v>
      </c>
      <c r="W121" s="3">
        <f>1697+(439.8-847)+(-2.59641+(-0.672894--1.29591))+0-4--0.00612000000000023</f>
        <v>1283.8327259999999</v>
      </c>
      <c r="X121" s="3">
        <f>1690.1+(532.9-947.7)+(-3.447804+(-1.087116--1.933308))+0-4--0.00815999999999983</f>
        <v>1268.7065479999999</v>
      </c>
      <c r="Y121" s="3">
        <f>1699.1+(526-973.2)+(-0.866541+(-0.26826--0.496332))+0-4--0.00203999999999959</f>
        <v>1247.263571</v>
      </c>
      <c r="Z121" s="3">
        <f>1713.2+(509.4-959.4)+(4.36866+(1.29897-2.44647))+0-4-0.0101999999999994</f>
        <v>1262.4109600000002</v>
      </c>
      <c r="AA121" s="3">
        <f>1710.4+(425.5-776.7)+(0.872304+(0.217005-0.396117))+0-4-0.00203999999999959</f>
        <v>1355.8911519999999</v>
      </c>
      <c r="AB121" s="3">
        <f>1736.5+(415.1-813.8)+(1.77123+(0.423402-0.830076))+0-4-0.00408000000000064</f>
        <v>1335.1604760000002</v>
      </c>
      <c r="AC121" s="3">
        <f>1741.6+(458.5-901.5)+(0.888216+(0.233835-0.459765))+0-4-0.00203999999999959</f>
        <v>1295.2602459999998</v>
      </c>
      <c r="AD121" s="2">
        <v>1476.2</v>
      </c>
      <c r="AE121" s="3">
        <f>1710.4+(504.5-738.7)+(0+(0-0))+0-4-0</f>
        <v>1472.2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1726.4+(471.5-939.3)+(-2.641392+(-0.721395--1.437129))+0-4--0.00612000000000023</f>
        <v>1252.680462</v>
      </c>
      <c r="G122" s="3">
        <f>1725.8+(416.4-948.2)+(-1.760316+(-0.424728--0.967164))+0-4--0.00408000000000064</f>
        <v>1188.7862</v>
      </c>
      <c r="H122" s="3">
        <f>1728.2+(522.2-1076.9)+(-1.762764+(-0.532644--1.098438))+0-4--0.00408000000000064</f>
        <v>1168.30711</v>
      </c>
      <c r="I122" s="3">
        <f>1735.6+(553.8-1137.2)+(0+(0-0))+0-4-0</f>
        <v>1148.1999999999998</v>
      </c>
      <c r="J122" s="3">
        <f>1734+(553.6-1153.3)+(-0.88434+(-0.282336--0.588183))+0-4--0.00203999999999959</f>
        <v>1129.7235470000003</v>
      </c>
      <c r="K122" s="3">
        <f>1757.8+(525.4-1156.3)+(-1.792956+(-0.535908--1.179426))+0-4--0.00408000000000064</f>
        <v>1121.7546420000001</v>
      </c>
      <c r="L122" s="3">
        <f>1767+(457.6-1139.4)+(0+(0-0))+0-3-0</f>
        <v>1082.1999999999998</v>
      </c>
      <c r="M122" s="3">
        <f>1777.1+(397-1083.3)+(1.812642+(0.40494-1.104966))+0-3-0.00306000000000048</f>
        <v>1088.9095559999998</v>
      </c>
      <c r="N122" s="3">
        <f>1777.6+(450.9-1047.6)+(4.53288+(1.149795-2.67138))+0-3-0.00764999999999957</f>
        <v>1180.9036450000001</v>
      </c>
      <c r="O122" s="3">
        <f>1764.2+(477.7-997.5)+(2.699226+(0.730881-1.526175))+0-3-0.00459000000000017</f>
        <v>1243.299342</v>
      </c>
      <c r="P122" s="3">
        <f>1754.2+(372.8-859)+(1.789284+(0.380256-0.87618))+0-3-0.00306000000000048</f>
        <v>1266.2902999999999</v>
      </c>
      <c r="Q122" s="3">
        <f>1745.7+(305.6-740.2)+(2.670921+(0.467568-1.132506))+0-3-0.00459000000000017</f>
        <v>1310.1013929999999</v>
      </c>
      <c r="R122" s="3">
        <f>1726.1+(334.5-752.3)+(-0.880311+(-0.170595--0.383673))+0-4--0.00203999999999959</f>
        <v>1303.6348070000001</v>
      </c>
      <c r="S122" s="3">
        <f>1705.8+(391.3-799.3)+(-4.34979+(-0.997815--2.038215))+0-4--0.0101999999999994</f>
        <v>1290.50081</v>
      </c>
      <c r="T122" s="3">
        <f>1712+(427.4-848.5)+(0+(0-0))+0-4-0</f>
        <v>1286.9000000000001</v>
      </c>
      <c r="U122" s="3">
        <f>1701.2+(445.2-858.9)+(-2.602836+(-0.681156--1.314117))+0-4--0.00612000000000023</f>
        <v>1281.536245</v>
      </c>
      <c r="V122" s="3">
        <f>1695.7+(471.2-870.6)+(-2.594421+(-0.720936--1.332018))+0-4--0.00612000000000023</f>
        <v>1290.3227810000001</v>
      </c>
      <c r="W122" s="3">
        <f>1693.5+(535.9-911.7)+(-1.72737+(-0.546618--0.929934))+0-4--0.00408000000000064</f>
        <v>1312.3600259999998</v>
      </c>
      <c r="X122" s="3">
        <f>1692.7+(624.2-1012.4)+(-1.726554+(-0.636684--1.032648))+0-4--0.00408000000000064</f>
        <v>1299.1734899999999</v>
      </c>
      <c r="Y122" s="3">
        <f>1692.2+(549.4-987.2)+(2.589066+(0.840582-1.510416))+0-4-0.00612000000000023</f>
        <v>1252.313112</v>
      </c>
      <c r="Z122" s="3">
        <f>1691.7+(609.7-981.9)+(1.725534+(0.621894-1.001538))+0-4-0.00408000000000064</f>
        <v>1316.8418100000001</v>
      </c>
      <c r="AA122" s="3">
        <f>1725+(551.3-858.5)+(-3.519+(-1.124652--1.75134))+0-4--0.00815999999999983</f>
        <v>1410.9158480000001</v>
      </c>
      <c r="AB122" s="3">
        <f>1726.5+(606.7-907.8)+(-1.76103+(-0.618834--0.925956))+0-4--0.00408000000000064</f>
        <v>1419.9501720000001</v>
      </c>
      <c r="AC122" s="3">
        <f>1746.2+(576.9-942.4)+(-0.890562+(-0.294219--0.480624))+0-4--0.00203999999999959</f>
        <v>1375.9978830000002</v>
      </c>
      <c r="AD122" s="2">
        <v>1466.8000000000002</v>
      </c>
      <c r="AE122" s="3">
        <f>1724+(613.3-870.5)+(0+(0-0))+0-4-0</f>
        <v>1462.8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1754.4+(471.5-928.7)+(0+(0-0))+0-4-0</f>
        <v>1293.2</v>
      </c>
      <c r="G123" s="3">
        <f>1762.7+(500.4-1018.4)+(-1.797954+(-0.510408--1.038768))+0-4--0.00408000000000064</f>
        <v>1239.4344859999999</v>
      </c>
      <c r="H123" s="3">
        <f>1772.8+(554.4-1126.5)+(0+(0-0))+0-4-0</f>
        <v>1196.6999999999998</v>
      </c>
      <c r="I123" s="3">
        <f>1777.6+(516.5-1124.3)+(-1.813152+(-0.52683--1.146786))+0-4--0.00408000000000064</f>
        <v>1164.6108839999999</v>
      </c>
      <c r="J123" s="3">
        <f>1797.3+(538.2-1174.1)+(-2.749869+(-0.823446--1.796373))+0-4--0.00612000000000023</f>
        <v>1155.6291780000001</v>
      </c>
      <c r="K123" s="3">
        <f>1812.9+(533.6-1208.1)+(-3.698316+(-1.088544--2.464524))+0-4--0.00815999999999983</f>
        <v>1132.0858240000002</v>
      </c>
      <c r="L123" s="3">
        <f>1825.1+(481.7-1222.8)+(-2.792403+(-0.737001--1.870884))+0-4--0.00612000000000023</f>
        <v>1078.3476000000001</v>
      </c>
      <c r="M123" s="3">
        <f>1828.4+(484.6-1218.6)+(2.797452+(0.741438-1.864458))+0-4-0.00612000000000023</f>
        <v>1092.0683120000001</v>
      </c>
      <c r="N123" s="3">
        <f>1824+(452.4-1155.1)+(1.86048+(0.461448-1.178202))+0-4-0.00408000000000064</f>
        <v>1118.4396460000003</v>
      </c>
      <c r="O123" s="3">
        <f>1772+(500.5-1094.6)+(0.90372+(0.255255-0.558246))+0-4-0.00203999999999959</f>
        <v>1174.498689</v>
      </c>
      <c r="P123" s="3">
        <f>1774.4+(481.3-1018.6)+(2.714832+(0.736389-1.558458))+0-4-0.00612000000000023</f>
        <v>1234.9866430000002</v>
      </c>
      <c r="Q123" s="3">
        <f>1793+(475-964.4)+(1.82886+(0.4845-0.983688))+0-5-0.0051000000000008</f>
        <v>1299.9245719999999</v>
      </c>
      <c r="R123" s="3">
        <f>1781+(529.8-992)+(1.81662+(0.540396-1.01184))+0-4-0.00408000000000064</f>
        <v>1316.1410960000001</v>
      </c>
      <c r="S123" s="3">
        <f>1774.2+(591.1-1038.7)+(1.809684+(0.602922-1.059474))+0-4-0.00408000000000064</f>
        <v>1323.9490519999999</v>
      </c>
      <c r="T123" s="3">
        <f>1744.9+(626.2-1034.9)+(0+(0-0))+0-4-0</f>
        <v>1332.2</v>
      </c>
      <c r="U123" s="3">
        <f>1742.6+(635-1030.7)+(0+(0-0))+0-4-0</f>
        <v>1342.8999999999999</v>
      </c>
      <c r="V123" s="3">
        <f>1743.7+(625.3-1035.8)+(0+(0-0))+0-4-0</f>
        <v>1329.2</v>
      </c>
      <c r="W123" s="3">
        <f>1738+(613.8-1026.2)+(0+(0-0))+0-4-0</f>
        <v>1321.6</v>
      </c>
      <c r="X123" s="3">
        <f>1740.3+(550.6-1018.7)+(-2.662659+(-0.842418--1.558611))+0-4--0.00612000000000023</f>
        <v>1266.2596539999997</v>
      </c>
      <c r="Y123" s="3">
        <f>1734.7+(509.2-1007.4)+(-3.538788+(-1.038768--2.055096))+0-4--0.00815999999999983</f>
        <v>1229.9857000000002</v>
      </c>
      <c r="Z123" s="3">
        <f>1747.4+(490.5-978.3)+(0+(0-0))+0-4-0</f>
        <v>1255.6000000000001</v>
      </c>
      <c r="AA123" s="3">
        <f>1750.2+(496.8-862.6)+(-4.46301+(-1.26684--2.19963))+0-4--0.0101999999999994</f>
        <v>1376.8799799999999</v>
      </c>
      <c r="AB123" s="3">
        <f>1731.8+(524.2-878.2)+(0.883218+(0.267342-0.447882))+0-4-0.00203999999999959</f>
        <v>1374.500638</v>
      </c>
      <c r="AC123" s="3">
        <f>1672+(598.2-923.1)+(-0.85272+(-0.305082--0.470781))+0-4--0.00203999999999959</f>
        <v>1342.415019</v>
      </c>
      <c r="AD123" s="2">
        <v>1421.6</v>
      </c>
      <c r="AE123" s="3">
        <f>1738+(583.2-899.6)+(0+(0-0))+0-4-0</f>
        <v>1417.6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1692.8+(530.4-965.3)+(-1.726656+(-0.541008--0.984606))+0-4--0.00408000000000064</f>
        <v>1252.621022</v>
      </c>
      <c r="G124" s="3">
        <f>1712.3+(548.3-1058.8)+(-0.873273+(-0.279633--0.539988))+0-4--0.00203999999999959</f>
        <v>1197.189122</v>
      </c>
      <c r="H124" s="3">
        <f>1727.9+(587.1-1148.5)+(0.881229+(0.299421-0.585735))+0-4-0.00203999999999959</f>
        <v>1163.0928749999998</v>
      </c>
      <c r="I124" s="3">
        <f>1741.5+(512.9-1113.6)+(0.888165+(0.261579-0.567936))+0-4-0.00203999999999959</f>
        <v>1137.379768</v>
      </c>
      <c r="J124" s="3">
        <f>1738.4+(524.7-1104.2)+(-2.659752+(-0.802791--1.689426))+0-4--0.00612000000000023</f>
        <v>1153.1330030000001</v>
      </c>
      <c r="K124" s="3">
        <f>1750.5+(583.7-1195.8)+(-1.78551+(-0.595374--1.219716))+0-4--0.00408000000000064</f>
        <v>1133.2429119999999</v>
      </c>
      <c r="L124" s="3">
        <f>1764.9+(592.2-1241.1)+(-1.800198+(-0.604044--1.265922))+0-4--0.00408000000000064</f>
        <v>1110.8657600000001</v>
      </c>
      <c r="M124" s="3">
        <f>1785+(579.9-1224.1)+(0.91035+(0.295749-0.624291))+0-4-0.00203999999999959</f>
        <v>1137.379768</v>
      </c>
      <c r="N124" s="3">
        <f>1787.7+(557.7-1138)+(3.646908+(1.137708-2.32152))+0-4-0.00815999999999983</f>
        <v>1205.854936</v>
      </c>
      <c r="O124" s="3">
        <f>1800.7+(592.6-1091.5)+(1.836714+(0.604452-1.11333))+0-4-0.00408000000000064</f>
        <v>1299.1237560000002</v>
      </c>
      <c r="P124" s="3">
        <f>1822.5+(585.2-1045.9)+(0.929475+(0.298452-0.533409))+0-4-0.00203999999999959</f>
        <v>1358.4924779999999</v>
      </c>
      <c r="Q124" s="3">
        <f>1814.3+(568.3-991.4)+(0.925293+(0.289833-0.505614))+0-4-0.00203999999999959</f>
        <v>1387.9074719999996</v>
      </c>
      <c r="R124" s="3">
        <f>1795.8+(588.7-979.4)+(1.831716+(0.600474-0.998988))+0-4-0.00408000000000064</f>
        <v>1402.5291219999999</v>
      </c>
      <c r="S124" s="3">
        <f>1790.9+(610.4-1009.3)+(-2.740077+(-0.933912--1.544229))+0-4--0.00612000000000023</f>
        <v>1385.87636</v>
      </c>
      <c r="T124" s="3">
        <f>1779.3+(582-982.1)+(-0.907443+(-0.29682--0.500871))+0-4--0.00203999999999959</f>
        <v>1374.498648</v>
      </c>
      <c r="U124" s="3">
        <f>1750.4+(616.6-980.8)+(0.892704+(0.314466-0.500208))+0-4-0.00203999999999959</f>
        <v>1382.9049220000002</v>
      </c>
      <c r="V124" s="3">
        <f>1751.6+(642.6-1016.7)+(2.679948+(0.983178-1.555551))+0-4-0.00612000000000023</f>
        <v>1375.601455</v>
      </c>
      <c r="W124" s="3">
        <f>1743.5+(674.7-1026.4)+(0.889185+(0.344097-0.523464))+0-4-0.00203999999999959</f>
        <v>1388.5077779999999</v>
      </c>
      <c r="X124" s="3">
        <f>1729+(709.3-1068.5)+(-2.64537+(-1.085229--1.634805))+0-4--0.00612000000000023</f>
        <v>1363.7103259999999</v>
      </c>
      <c r="Y124" s="3">
        <f>1724.7+(698.8-1080.2)+(0+(0-0))+0-4-0</f>
        <v>1339.3</v>
      </c>
      <c r="Z124" s="3">
        <f>1726.2+(734.1-1068.3)+(1.760724+(0.748782-1.089666))+0-4-0.00408000000000064</f>
        <v>1389.4157600000001</v>
      </c>
      <c r="AA124" s="3">
        <f>1790.2+(706.9-1000.6)+(-4.56501+(-1.802595--2.55153))+0-4--0.0101999999999994</f>
        <v>1488.694125</v>
      </c>
      <c r="AB124" s="3">
        <f>1793+(717-1033.5)+(0.91443+(0.36567-0.527085))+0-4-0.00203999999999959</f>
        <v>1473.2509749999999</v>
      </c>
      <c r="AC124" s="3">
        <f>1770.4+(698.4-1049.4)+(-1.805808+(-0.712368--1.070388))+0-4--0.00408000000000064</f>
        <v>1413.9562920000001</v>
      </c>
      <c r="AD124" s="2">
        <v>1541.2</v>
      </c>
      <c r="AE124" s="3">
        <f>1796+(734-988.8)+(0+(0-0))+0-4-0</f>
        <v>1537.2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1786.6+(644.6-1087.8)+(-0.911166+(-0.328746--0.554778))+0-4--0.00203999999999959</f>
        <v>1338.7169060000001</v>
      </c>
      <c r="G125" s="3">
        <f>1812.4+(575.5-1120.6)+(0+(0-0))+0-4-0</f>
        <v>1263.3000000000002</v>
      </c>
      <c r="H125" s="3">
        <f>1839.1+(539.4-1157.2)+(1.875882+(0.550188-1.180344))+0-4-0.00408000000000064</f>
        <v>1218.5416459999999</v>
      </c>
      <c r="I125" s="3">
        <f>1845.1+(451.7-1134.2)+(2.823003+(0.691101-1.735326))+0-4-0.00612000000000023</f>
        <v>1160.372658</v>
      </c>
      <c r="J125" s="3">
        <f>1848.6+(527.6-1149.5)+(-1.885572+(-0.538152--1.17249))+0-4--0.00408000000000064</f>
        <v>1221.4528459999997</v>
      </c>
      <c r="K125" s="3">
        <f>1849.4+(608.6-1257.9)+(-3.772776+(-1.241544--2.566116))+0-4--0.00815999999999983</f>
        <v>1193.659956</v>
      </c>
      <c r="L125" s="3">
        <f>1856.4+(580.5-1280.5)+(-4.73382+(-1.480275--3.265275))+0-4--0.0101999999999994</f>
        <v>1149.46138</v>
      </c>
      <c r="M125" s="3">
        <f>1854.5+(556.3-1243.5)+(2.837385+(0.851139-1.902555))+0-4-0.00612000000000023</f>
        <v>1165.079849</v>
      </c>
      <c r="N125" s="3">
        <f>1845.5+(563.2-1162.4)+(2.823615+(0.861696-1.778472))+0-5-0.00765000000000029</f>
        <v>1243.1991889999999</v>
      </c>
      <c r="O125" s="3">
        <f>1831.6+(547-1075.6)+(3.736464+(1.11588-2.194224))+0-5-0.0101999999999998</f>
        <v>1300.6479200000001</v>
      </c>
      <c r="P125" s="3">
        <f>1793.6+(505.3-969)+(0.914736+(0.257703-0.49419))+0-5-0.00254999999999949</f>
        <v>1325.575699</v>
      </c>
      <c r="Q125" s="3">
        <f>1790.3+(514.1-923.9)+(1.826106+(0.524382-0.942378))+0-5-0.0051000000000008</f>
        <v>1376.90301</v>
      </c>
      <c r="R125" s="3">
        <f>1785.9+(509.1-908.6)+(2.732427+(0.778923-1.390158))+0-4-0.00612000000000023</f>
        <v>1384.5150720000001</v>
      </c>
      <c r="S125" s="3">
        <f>1772.8+(531.6-935.6)+(-0.904128+(-0.271116--0.477156))+0-4--0.00203999999999959</f>
        <v>1364.1039519999999</v>
      </c>
      <c r="T125" s="3">
        <f>1749.5+(471.8-874.6)+(1.78449+(0.481236-0.892092))+0-4-0.00408000000000064</f>
        <v>1344.0695540000002</v>
      </c>
      <c r="U125" s="3">
        <f>1461.1+(540-739.1)+(-0.745161+(-0.2754--0.376941))+0-4--0.00203999999999959</f>
        <v>1257.35842</v>
      </c>
      <c r="V125" s="3">
        <f>1471.8+(584.7-785.2)+(1.501236+(0.596394-0.800904))+0-4-0.00408000000000064</f>
        <v>1268.5926460000001</v>
      </c>
      <c r="W125" s="3">
        <f>1598.4+(573.3-869.6)+(-3.260736+(-1.169532--1.773984))+0-4--0.00815999999999983</f>
        <v>1295.4518760000001</v>
      </c>
      <c r="X125" s="3">
        <f>1738.5+(598-1016.8)+(-2.659905+(-0.91494--1.555704))+0-4--0.00612000000000023</f>
        <v>1313.6869790000001</v>
      </c>
      <c r="Y125" s="3">
        <f>1725.2+(494.2-934.2)+(1.759704+(0.504084-0.952884))+0-4-0.00408000000000064</f>
        <v>1282.5068240000001</v>
      </c>
      <c r="Z125" s="3">
        <f>1733.9+(486.7-885)+(4.421445+(1.241085-2.25675))+0-4-0.0101999999999994</f>
        <v>1334.9955800000002</v>
      </c>
      <c r="AA125" s="3">
        <f>1739.1+(493.3-789.6)+(-0.886941+(-0.251583--0.402696))+0-4--0.00203999999999959</f>
        <v>1438.066212</v>
      </c>
      <c r="AB125" s="3">
        <f>1748.2+(536.5-861.8)+(-2.674746+(-0.820845--1.318554))+0-4--0.00612000000000023</f>
        <v>1416.7290830000002</v>
      </c>
      <c r="AC125" s="3">
        <f>1776.8+(604.5-972.4)+(-2.718504+(-0.924885--1.487772))+0-4--0.00612000000000023</f>
        <v>1402.7505030000002</v>
      </c>
      <c r="AD125" s="2">
        <v>1383.6</v>
      </c>
      <c r="AE125" s="3">
        <f>1735+(496.6-794)+(0+(0-0))+0-4-0</f>
        <v>1433.6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1758.9+(577.5-1014.7)+(1.794078+(0.58905-1.034994))+0-4-0.00408000000000064</f>
        <v>1319.0440540000002</v>
      </c>
      <c r="G126" s="3">
        <f>1778.8+(533.4-1058)+(0+(0-0))+0-4-0</f>
        <v>1250.1999999999998</v>
      </c>
      <c r="H126" s="3">
        <f>1770.3+(625.9-1178)+(1.805706+(0.638418-1.20156))+0-4-0.00408000000000064</f>
        <v>1215.4384839999998</v>
      </c>
      <c r="I126" s="3">
        <f>1767.5+(560.7-1143.7)+(0.901425+(0.285957-0.583287))+0-4-0.00203999999999959</f>
        <v>1181.1020549999998</v>
      </c>
      <c r="J126" s="3">
        <f>1765.7+(513.2-1088.8)+(-0.900507+(-0.261732--0.555288))+0-4--0.00203999999999959</f>
        <v>1185.4950890000002</v>
      </c>
      <c r="K126" s="3">
        <f>1758.7+(560.4-1141.5)+(-3.587748+(-1.143216--2.32866))+0-4--0.00815999999999983</f>
        <v>1171.205856</v>
      </c>
      <c r="L126" s="3">
        <f>1774.9+(524.8-1180.4)+(0+(0-0))+0-4-0</f>
        <v>1115.3</v>
      </c>
      <c r="M126" s="3">
        <f>1771.9+(525.7-1163.9)+(0.903669+(0.268107-0.593589))+0-4-0.00203999999999959</f>
        <v>1130.276147</v>
      </c>
      <c r="N126" s="3">
        <f>1777.2+(538.2-1084.6)+(0.906372+(0.274482-0.553146))+0-4-0.00203999999999959</f>
        <v>1227.4256680000001</v>
      </c>
      <c r="O126" s="3">
        <f>1762.8+(542.6-1005.7)+(0.899028+(0.276726-0.512907))+0-4-0.00203999999999959</f>
        <v>1296.3608069999998</v>
      </c>
      <c r="P126" s="3">
        <f>1739.1+(534.2-932.3)+(-0.886941+(-0.272442--0.475473))+0-4--0.00203999999999959</f>
        <v>1336.3181300000001</v>
      </c>
      <c r="Q126" s="3">
        <f>1691.5+(520.6-850.5)+(2.587995+(0.796518-1.301265))+0-4-0.00612000000000023</f>
        <v>1359.6771279999998</v>
      </c>
      <c r="R126" s="3">
        <f>1691.9+(489.8-817.6)+(-2.588607+(-0.749394--1.250928))+0-4--0.00612000000000023</f>
        <v>1358.0190470000002</v>
      </c>
      <c r="S126" s="3">
        <f>1680.6+(515.4-846.3)+(-0.857106+(-0.262854--0.431613))+0-4--0.00203999999999959</f>
        <v>1345.0136929999999</v>
      </c>
      <c r="T126" s="3">
        <f>1670.7+(581-885.3)+(-2.556171+(-0.88893--1.354509))+0-4--0.00612000000000023</f>
        <v>1360.3155280000001</v>
      </c>
      <c r="U126" s="3">
        <f>1668.6+(604.3-896.1)+(-1.701972+(-0.616386--0.914022))+0-4--0.00408000000000064</f>
        <v>1371.3997439999996</v>
      </c>
      <c r="V126" s="3">
        <f>1745.5+(588.3-961.8)+(0.890205+(0.300033-0.490518))+0-4-0.00203999999999959</f>
        <v>1368.69768</v>
      </c>
      <c r="W126" s="3">
        <f>1743.6+(603.5-972.6)+(-0.889236+(-0.307785--0.496026))+0-4--0.00203999999999959</f>
        <v>1369.8010450000002</v>
      </c>
      <c r="X126" s="3">
        <f>1738.7+(646.7-1040.4)+(-2.660211+(-0.989451--1.591812))+0-4--0.00612000000000023</f>
        <v>1338.9482700000001</v>
      </c>
      <c r="Y126" s="3">
        <f>1763.9+(545.8-1019.1)+(-0.899589+(-0.278358--0.519741))+0-4--0.00203999999999959</f>
        <v>1285.9438339999999</v>
      </c>
      <c r="Z126" s="3">
        <f>1771.9+(592.5-1010.2)+(1.807338+(0.60435-1.030404))+0-4-0.00408000000000064</f>
        <v>1351.5772040000002</v>
      </c>
      <c r="AA126" s="3">
        <f>1755.3+(521.6-881.1)+(0.895203+(0.266016-0.449361))+0-4-0.00203999999999959</f>
        <v>1392.5098179999998</v>
      </c>
      <c r="AB126" s="3">
        <f>1799+(537.9-956.5)+(-3.66996+(-1.097316--1.95126))+0-4--0.00815999999999983</f>
        <v>1373.5921440000002</v>
      </c>
      <c r="AC126" s="3">
        <f>1805.2+(577.9-1022.6)+(0.920652+(0.294729-0.521526))+0-4-0.00203999999999959</f>
        <v>1357.1918149999999</v>
      </c>
      <c r="AD126" s="2">
        <v>1372.1</v>
      </c>
      <c r="AE126" s="3">
        <f>1744+(519.7-861.6)+(0+(0-0))+0-4-0</f>
        <v>1398.1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1815.1+(549.9-1063.1)+(0.925701+(0.280449-0.542181))+0-4-0.00203999999999959</f>
        <v>1298.561929</v>
      </c>
      <c r="G127" s="3">
        <f>1809.8+(529.4-1094.3)+(0.922998+(0.269994-0.558093))+0-4-0.00203999999999959</f>
        <v>1241.5328589999999</v>
      </c>
      <c r="H127" s="3">
        <f>1772.8+(569.4-1133.3)+(0.904128+(0.290394-0.577983))+0-4-0.00203999999999959</f>
        <v>1205.5144990000001</v>
      </c>
      <c r="I127" s="3">
        <f>1788.3+(526.7-1118.1)+(1.824066+(0.537234-1.140462))+0-4-0.00408000000000064</f>
        <v>1194.1167580000001</v>
      </c>
      <c r="J127" s="3">
        <f>1795.2+(533.5-1121)+(0.915552+(0.272085-0.57171))+0-4-0.00203999999999959</f>
        <v>1204.313887</v>
      </c>
      <c r="K127" s="3">
        <f>1791.9+(576.8-1177.5)+(-3.655476+(-1.176672--2.4021))+0-4--0.00815999999999983</f>
        <v>1184.7781120000002</v>
      </c>
      <c r="L127" s="3">
        <f>1795.8+(545.2-1231.5)+(-0.915858+(-0.278052--0.628065))+0-5--0.00254999999999949</f>
        <v>1103.9367049999998</v>
      </c>
      <c r="M127" s="3">
        <f>1798.9+(513.7-1185.7)+(1.834878+(0.523974-1.209414))+0-5-0.0051000000000008</f>
        <v>1123.0443379999999</v>
      </c>
      <c r="N127" s="3">
        <f>1795.9+(556.5-1145.9)+(0.915909+(0.283815-0.584409))+0-5-0.00254999999999949</f>
        <v>1202.1127650000001</v>
      </c>
      <c r="O127" s="3">
        <f>1772.5+(533.5-1049.9)+(-1.80795+(-0.54417--1.070898))+0-5--0.0051000000000008</f>
        <v>1249.8238779999999</v>
      </c>
      <c r="P127" s="3">
        <f>1769+(558.1-997.2)+(3.60876+(1.138524-2.034288))+0-5-0.0101999999999998</f>
        <v>1327.6027960000001</v>
      </c>
      <c r="Q127" s="3">
        <f>1775.9+(476.5-917.4)+(0.905709+(0.243015-0.467874))+0-5-0.00254999999999949</f>
        <v>1330.6783</v>
      </c>
      <c r="R127" s="3">
        <f>1786.2+(459.8-922.3)+(1.821924+(0.468996-0.940746))+0-4-0.00408000000000064</f>
        <v>1321.046094</v>
      </c>
      <c r="S127" s="3">
        <f>1775.2+(470.8-946.8)+(-2.716056+(-0.720324--1.448604))+0-4--0.00612000000000023</f>
        <v>1293.2183440000001</v>
      </c>
      <c r="T127" s="3">
        <f>1766.4+(472.2-939.8)+(-3.603456+(-0.963288--1.917192))+0-4--0.00815999999999983</f>
        <v>1292.1586080000002</v>
      </c>
      <c r="U127" s="3">
        <f>1777.3+(506.2-952.4)+(-3.625692+(-1.032648--1.942896))+0-4--0.00815999999999983</f>
        <v>1324.3927160000001</v>
      </c>
      <c r="V127" s="3">
        <f>1766.6+(565-1006)+(-1.801932+(-0.5763--1.02612))+0-4--0.00408000000000064</f>
        <v>1320.2519679999998</v>
      </c>
      <c r="W127" s="3">
        <f>1758.1+(572-990.2)+(-0.896631+(-0.29172--0.505002))+0-4--0.00203999999999959</f>
        <v>1335.218691</v>
      </c>
      <c r="X127" s="3">
        <f>1746.5+(556.4-999.6)+(-4.453575+(-1.41882--2.54898))+0-4--0.0101999999999994</f>
        <v>1295.9867849999998</v>
      </c>
      <c r="Y127" s="3">
        <f>1751.1+(550-1037)+(-5.358366+(-1.683--3.17322))+0-4--0.0122400000000005</f>
        <v>1256.2440939999999</v>
      </c>
      <c r="Z127" s="3">
        <f>1775.6+(527.8-977)+(1.811112+(0.538356-0.99654))+0-4-0.00408000000000064</f>
        <v>1323.748848</v>
      </c>
      <c r="AA127" s="3">
        <f>1795.3+(514.9-865.6)+(-2.746809+(-0.787797--1.324368))+0-4--0.00612000000000023</f>
        <v>1438.395882</v>
      </c>
      <c r="AB127" s="3">
        <f>1796.4+(540.6-922)+(-4.58082+(-1.37853--2.3511))+0-4--0.0101999999999994</f>
        <v>1407.4019499999999</v>
      </c>
      <c r="AC127" s="3">
        <f>1800.2+(591.5-1017.1)+(-3.672408+(-1.20666--2.074884))+0-4--0.00815999999999983</f>
        <v>1367.8039759999999</v>
      </c>
      <c r="AD127" s="2">
        <v>1390.4</v>
      </c>
      <c r="AE127" s="3">
        <f>1766+(483.9-849.5)+(0+(0-0))+0-4-0</f>
        <v>1396.4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1804.5+(457-987.4)+(-0.920295+(-0.23307--0.503574))+0-4--0.00203999999999959</f>
        <v>1269.4522489999999</v>
      </c>
      <c r="G128" s="3">
        <f>1805.8+(401.4-1000.9)+(-1.841916+(-0.409428--1.020918))+0-4--0.00408000000000064</f>
        <v>1201.0736539999998</v>
      </c>
      <c r="H128" s="3">
        <f>1824+(408.7-1073.3)+(0.93024+(0.208437-0.547383))+0-4-0.00203999999999959</f>
        <v>1155.9892540000001</v>
      </c>
      <c r="I128" s="3">
        <f>1839+(428.4-1127.3)+(0+(0-0))+0-4-0</f>
        <v>1136.0999999999999</v>
      </c>
      <c r="J128" s="3">
        <f>1857.7+(430.4-1125.3)+(-3.789708+(-0.878016--2.295612))+0-4--0.00815999999999983</f>
        <v>1156.4360480000003</v>
      </c>
      <c r="K128" s="3">
        <f>1866.9+(509.1-1239.8)+(-4.760595+(-1.298205--3.16149))+0-4--0.0101999999999994</f>
        <v>1129.3128900000002</v>
      </c>
      <c r="L128" s="3">
        <f>1844.6+(495.2-1247.6)+(-4.70373+(-1.26276--3.18138))+0-4--0.0101999999999994</f>
        <v>1085.42509</v>
      </c>
      <c r="M128" s="3">
        <f>1777.8+(479.8-1162.7)+(0.906678+(0.244698-0.592977))+0-4-0.00203999999999959</f>
        <v>1091.4563589999998</v>
      </c>
      <c r="N128" s="3">
        <f>1812.8+(455.2-1099.9)+(1.849056+(0.464304-1.121898))+0-6-0.00612000000000096</f>
        <v>1163.2853419999999</v>
      </c>
      <c r="O128" s="3">
        <f>1829.7+(464.5-1054.2)+(2.799441+(0.710685-1.612926))+0-5-0.00765000000000029</f>
        <v>1236.8895500000001</v>
      </c>
      <c r="P128" s="3">
        <f>1812.1+(522-1044.5)+(1.848342+(0.53244-1.06539))+0-5-0.0051000000000008</f>
        <v>1285.9102919999998</v>
      </c>
      <c r="Q128" s="3">
        <f>1798.8+(504.4-996.2)+(2.752164+(0.771732-1.524186))+0-5-0.00765000000000029</f>
        <v>1303.99206</v>
      </c>
      <c r="R128" s="3">
        <f>1783.3+(462.9-931)+(-2.728449+(-0.708237--1.42443))+0-4--0.00612000000000023</f>
        <v>1309.1938639999998</v>
      </c>
      <c r="S128" s="3">
        <f>1777.6+(479.2-969.7)+(-1.813152+(-0.488784--0.989094))+0-4--0.00408000000000064</f>
        <v>1281.7912379999998</v>
      </c>
      <c r="T128" s="3">
        <f>1772+(451.2-938.1)+(-1.80744+(-0.460224--0.956862))+0-4--0.00408000000000064</f>
        <v>1279.7932779999999</v>
      </c>
      <c r="U128" s="3">
        <f>1765.2+(473.6-935.7)+(-2.700756+(-0.724608--1.431621))+0-4--0.00612000000000023</f>
        <v>1297.1123769999999</v>
      </c>
      <c r="V128" s="3">
        <f>1761+(511.8-965.3)+(-2.69433+(-0.783054--1.476909))+0-4--0.00612000000000023</f>
        <v>1301.505645</v>
      </c>
      <c r="W128" s="3">
        <f>1757.2+(507.3-949.7)+(-4.48086+(-1.293615--2.421735))+0-4--0.0101999999999994</f>
        <v>1307.4574599999999</v>
      </c>
      <c r="X128" s="3">
        <f>1751+(427.6-896.1)+(-1.78602+(-0.436152--0.914022))+0-4--0.00408000000000064</f>
        <v>1277.1959299999999</v>
      </c>
      <c r="Y128" s="3">
        <f>1734.6+(440.1-932)+(-0.884646+(-0.224451--0.47532))+0-4--0.00203999999999959</f>
        <v>1238.0682629999999</v>
      </c>
      <c r="Z128" s="3">
        <f>1744.3+(562.8-997.1)+(1.779186+(0.574056-1.017042))+0-4-0.00408000000000064</f>
        <v>1307.33212</v>
      </c>
      <c r="AA128" s="3">
        <f>1750.2+(545.6-875.2)+(-3.570408+(-1.113024--1.785408))+0-4--0.00815999999999983</f>
        <v>1413.7101359999999</v>
      </c>
      <c r="AB128" s="3">
        <f>1751+(539.5-906.3)+(-0.89301+(-0.275145--0.462213))+0-4--0.00203999999999959</f>
        <v>1379.4960980000001</v>
      </c>
      <c r="AC128" s="3">
        <f>1764.5+(503.4-927.7)+(-2.699685+(-0.770202--1.419381))+0-4--0.00612000000000023</f>
        <v>1334.1556139999998</v>
      </c>
      <c r="AD128" s="2">
        <v>1388.3999999999999</v>
      </c>
      <c r="AE128" s="3">
        <f>1728+(546.2-885.8)+(0+(0-0))+0-4-0</f>
        <v>1384.4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1758.1+(483.2-988.9)+(0+(0-0))+0-4-0</f>
        <v>1248.3999999999999</v>
      </c>
      <c r="G129" s="3">
        <f>1749.6+(495.6-1062.7)+(0.892296+(0.252756-0.541977))+0-4-0.00203999999999959</f>
        <v>1179.1010349999999</v>
      </c>
      <c r="H129" s="3">
        <f>1657.6+(508-1037.4)+(-1.690752+(-0.51816--1.058148))+0-4--0.00408000000000064</f>
        <v>1123.0533159999998</v>
      </c>
      <c r="I129" s="3">
        <f>1673.9+(492.7-1052.9)+(-0.853689+(-0.251277--0.536979))+0-4--0.00203999999999959</f>
        <v>1109.1340530000002</v>
      </c>
      <c r="J129" s="3">
        <f>1679.2+(509.2-1067.9)+(-2.569176+(-0.779076--1.633887))+0-4--0.00612000000000023</f>
        <v>1114.791755</v>
      </c>
      <c r="K129" s="3">
        <f>1676.2+(535.9-1115)+(-2.564586+(-0.819927--1.70595))+0-4--0.00612000000000023</f>
        <v>1091.427557</v>
      </c>
      <c r="L129" s="3">
        <f>1449.4+(600.9-1019.4)+(0+(0-0))+0-4-0</f>
        <v>1026.9000000000001</v>
      </c>
      <c r="M129" s="3">
        <f>1531.5+(501.1-1002.1)+(4.68639+(1.533366-3.066426))+0-4-0.0122400000000005</f>
        <v>1029.6410900000001</v>
      </c>
      <c r="N129" s="3">
        <f>1530.5+(472.4-889.3)+(3.902775+(1.20462-2.267715))+0-4-0.0101999999999994</f>
        <v>1112.42948</v>
      </c>
      <c r="O129" s="3">
        <f>1514.3+(465.1-795.4)+(4.633758+(1.423206-2.433924))+0-4-0.0122400000000005</f>
        <v>1183.6107999999999</v>
      </c>
      <c r="P129" s="3">
        <f>1495.8+(508.1-764.2)+(0+(0-0))+0-4-0</f>
        <v>1235.6999999999998</v>
      </c>
      <c r="Q129" s="3">
        <f>1481.6+(612-806.4)+(2.266848+(0.93636-1.233792))+0-4-0.00612000000000023</f>
        <v>1285.1632959999997</v>
      </c>
      <c r="R129" s="3">
        <f>1469.8+(612.7-784)+(0+(0-0))+0-5-0</f>
        <v>1293.5</v>
      </c>
      <c r="S129" s="3">
        <f>1460.4+(613.6-811.8)+(-4.468824+(-1.877616--2.484108))+0-5--0.0153000000000006</f>
        <v>1253.3529680000004</v>
      </c>
      <c r="T129" s="3">
        <f>1454+(593.3-798)+(-0.74154+(-0.302583--0.40698))+0-5--0.00254999999999949</f>
        <v>1243.665407</v>
      </c>
      <c r="U129" s="3">
        <f>1442.6+(606.1-804.2)+(-0.735726+(-0.309111--0.410142))+0-5--0.00254999999999949</f>
        <v>1238.867855</v>
      </c>
      <c r="V129" s="3">
        <f>1436.5+(654.4-832.4)+(-0.732615+(-0.333744--0.424524))+0-5--0.00254999999999949</f>
        <v>1252.860715</v>
      </c>
      <c r="W129" s="3">
        <f>1432.9+(674.9-888.6)+(1.461558+(0.688398-0.906372))+0-5-0.0051000000000008</f>
        <v>1215.438484</v>
      </c>
      <c r="X129" s="3">
        <f>1433.6+(686.8-897.1)+(0.731136+(0.350268-0.457521))+0-5-0.00254999999999949</f>
        <v>1218.9213329999998</v>
      </c>
      <c r="Y129" s="3">
        <f>1433.7+(685.8-907.7)+(0+(0-0))+0-5-0</f>
        <v>1206.8</v>
      </c>
      <c r="Z129" s="3">
        <f>1435.6+(692.7-838.7)+(-2.196468+(-1.059831--1.283211))+0-5--0.00765000000000029</f>
        <v>1282.634562</v>
      </c>
      <c r="AA129" s="3">
        <f>1438.9+(700-754.4)+(-0.733839+(-0.357--0.384744))+0-5--0.00254999999999949</f>
        <v>1378.7964549999999</v>
      </c>
      <c r="AB129" s="3">
        <f>1445.8+(663.8-762.2)+(-1.474716+(-0.677076--0.777444))+0-5--0.0051000000000008</f>
        <v>1341.0307519999999</v>
      </c>
      <c r="AC129" s="3">
        <f>1462.1+(695.2-858.1)+(-2.982684+(-1.418208--1.750524))+0-5--0.0101999999999998</f>
        <v>1291.5598319999997</v>
      </c>
      <c r="AD129" s="2">
        <v>1391.6</v>
      </c>
      <c r="AE129" s="3">
        <f>1437+(697-742.4)+(0+(0-0))+0-5-0</f>
        <v>1386.6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1479.5+(645.2-884.8)+(-0.754545+(-0.329052--0.451248))+0-4--0.00203999999999959</f>
        <v>1235.2696910000002</v>
      </c>
      <c r="G130" s="3">
        <f>1478+(603.9-902.2)+(-0.75378+(-0.307989--0.460122))+0-4--0.00203999999999959</f>
        <v>1175.1003929999999</v>
      </c>
      <c r="H130" s="3">
        <f>1484.3+(590.3-959.3)+(0+(0-0))+0-4-0</f>
        <v>1111.3</v>
      </c>
      <c r="I130" s="3">
        <f>1486+(574.7-954.8)+(-3.7893+(-1.465485--2.43474))+0-4--0.0101999999999994</f>
        <v>1099.0901550000001</v>
      </c>
      <c r="J130" s="3">
        <f>1498.2+(572.7-962.7)+(-1.528164+(-0.584154--0.981954))+0-4--0.00408000000000064</f>
        <v>1103.0737159999999</v>
      </c>
      <c r="K130" s="3">
        <f>1458+(600.3-985.6)+(-5.20506+(-2.143071--3.518592))+0-4--0.0142800000000001</f>
        <v>1064.8847409999998</v>
      </c>
      <c r="L130" s="3">
        <f>1451+(580.8-1023.7)+(-5.18007+(-2.073456--3.654609))+0-4--0.0142800000000001</f>
        <v>1000.5153629999999</v>
      </c>
      <c r="M130" s="3">
        <f>1384.1+(557-947.7)+(0.705891+(0.28407-0.483327))+0-4-0.00203999999999959</f>
        <v>989.90459399999986</v>
      </c>
      <c r="N130" s="3">
        <f>1397.6+(548.4-916.1)+(-0.712776+(-0.279684--0.467211))+0-4--0.00203999999999959</f>
        <v>1025.3767909999999</v>
      </c>
      <c r="O130" s="3">
        <f>1486.3+(565.7-951.7)+(2.274039+(0.865521-1.456101))+0-4-0.00612000000000023</f>
        <v>1097.977339</v>
      </c>
      <c r="P130" s="3">
        <f>1469.9+(581.2-902.8)+(0+(0-0))+0-4-0</f>
        <v>1144.3000000000002</v>
      </c>
      <c r="Q130" s="3">
        <f>1562.6+(518.5-864.6)+(2.390778+(0.793305-1.322838))+0-4-0.00612000000000023</f>
        <v>1214.355125</v>
      </c>
      <c r="R130" s="3">
        <f>1608+(494.9-894.9)+(1.64016+(0.504798-0.912798))+0-4-0.00408000000000064</f>
        <v>1205.2280800000001</v>
      </c>
      <c r="S130" s="3">
        <f>1598.7+(484.9-873.1)+(3.261348+(0.989196-1.781124))+0-4-0.00815999999999983</f>
        <v>1208.9612599999998</v>
      </c>
      <c r="T130" s="3">
        <f>1593.9+(408.9-809.5)+(3.251556+(0.834156-1.65138))+0-4-0.00815999999999983</f>
        <v>1191.7261720000001</v>
      </c>
      <c r="U130" s="3">
        <f>1579+(383.8-765.2)+(1.61058+(0.391476-0.780504))+0-4-0.00408000000000064</f>
        <v>1194.817472</v>
      </c>
      <c r="V130" s="3">
        <f>1577.6+(407.5-788.6)+(-0.804576+(-0.207825--0.402186))+0-4--0.00203999999999959</f>
        <v>1191.8918250000002</v>
      </c>
      <c r="W130" s="3">
        <f>1577.2+(424.5-816.1)+(1.608744+(0.43299-0.832422))+0-4-0.00408000000000064</f>
        <v>1182.8052319999999</v>
      </c>
      <c r="X130" s="3">
        <f>1577.4+(447.8-858.8)+(-0.804474+(-0.228378--0.437988))+0-4--0.00203999999999959</f>
        <v>1161.8071760000003</v>
      </c>
      <c r="Y130" s="3">
        <f>1580.5+(501.4-934.8)+(-3.22422+(-1.022856--1.906992))+0-4--0.00815999999999983</f>
        <v>1140.7680760000001</v>
      </c>
      <c r="Z130" s="3">
        <f>1589.3+(537.5-874.4)+(0+(0-0))+0-4-0</f>
        <v>1248.4000000000001</v>
      </c>
      <c r="AA130" s="3">
        <f>1695+(460.4-814.9)+(-4.32225+(-1.17402--2.077995))+0-4--0.0101999999999994</f>
        <v>1333.0919249999999</v>
      </c>
      <c r="AB130" s="3">
        <f>1766.9+(469.5-899.9)+(0+(0-0))+0-4-0</f>
        <v>1332.5</v>
      </c>
      <c r="AC130" s="3">
        <f>1777.2+(459.6-951.2)+(2.719116+(0.703188-1.455336))+0-4-0.00612000000000023</f>
        <v>1283.5608479999999</v>
      </c>
      <c r="AD130" s="2">
        <v>1366.7</v>
      </c>
      <c r="AE130" s="3">
        <f>1751+(489-873.3)+(0+(0-0))+0-5-0</f>
        <v>1361.7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1771.6+(461.6-1001.1)+(-3.614064+(-0.941664--2.042244))+0-4--0.00815999999999983</f>
        <v>1225.5946759999999</v>
      </c>
      <c r="G131" s="3">
        <f>1782.8+(456.3-1053.5)+(-4.54614+(-1.163565--2.686425))+0-4--0.0101999999999994</f>
        <v>1178.5869199999997</v>
      </c>
      <c r="H131" s="3">
        <f>1781.8+(463.6-1108.3)+(-6.361026+(-1.655052--3.956631))+0-4--0.0142800000000001</f>
        <v>1129.0548329999999</v>
      </c>
      <c r="I131" s="3">
        <f>1793.7+(386.7-1073.9)+(0+(0-0))+0-4-0</f>
        <v>1102.5</v>
      </c>
      <c r="J131" s="3">
        <f>1797.9+(372-1052.4)+(-4.584645+(-0.9486--2.68362))+0-4--0.0101999999999994</f>
        <v>1110.6605749999999</v>
      </c>
      <c r="K131" s="3">
        <f>1806.8+(411.3-1123.8)+(-5.528808+(-1.258578--3.438828))+0-4--0.0122400000000005</f>
        <v>1086.9636820000001</v>
      </c>
      <c r="L131" s="3">
        <f>1738.3+(407.9-1108.9)+(0+(0-0))+0-4-0</f>
        <v>1033.2999999999997</v>
      </c>
      <c r="M131" s="3">
        <f>1758.6+(379.9-1106.4)+(0+(0-0))+0-4-0</f>
        <v>1028.0999999999999</v>
      </c>
      <c r="N131" s="3">
        <f>1835.2+(340.2-1077.3)+(-0.935952+(-0.173502--0.549423))+0-4--0.00203999999999959</f>
        <v>1093.5420090000002</v>
      </c>
      <c r="O131" s="3">
        <f>1818.9+(342.3-990.3)+(-2.782917+(-0.523719--1.515159))+0-4--0.00612000000000023</f>
        <v>1165.1146430000001</v>
      </c>
      <c r="P131" s="3">
        <f>1784.6+(349.8-904.1)+(0+(0-0))+0-4-0</f>
        <v>1226.3</v>
      </c>
      <c r="Q131" s="3">
        <f>1759.5+(279.1-822.2)+(2.692035+(0.427023-1.257966))+0-4-0.00612000000000023</f>
        <v>1214.2549720000002</v>
      </c>
      <c r="R131" s="3">
        <f>1782.5+(280-773.7)+(1.81815+(0.2856-0.789174))+0-4-0.00408000000000064</f>
        <v>1286.110496</v>
      </c>
      <c r="S131" s="3">
        <f>1735.2+(290.8-765.8)+(0+(0-0))+0-4-0</f>
        <v>1256.2</v>
      </c>
      <c r="T131" s="3">
        <f>1732.8+(224.7-711)+(0.883728+(0.114597-0.36261))+0-4-0.00203999999999959</f>
        <v>1243.1336749999998</v>
      </c>
      <c r="U131" s="3">
        <f>1770.1+(251.7-769.3)+(0+(0-0))+0-4-0</f>
        <v>1248.5</v>
      </c>
      <c r="V131" s="3">
        <f>1757.5+(304.6-793.6)+(0.896325+(0.155346-0.404736))+0-4-0.00203999999999959</f>
        <v>1265.1448949999999</v>
      </c>
      <c r="W131" s="3">
        <f>1765.8+(403.2-902.2)+(0.900558+(0.205632-0.460122))+0-4-0.00203999999999959</f>
        <v>1263.4440279999999</v>
      </c>
      <c r="X131" s="3">
        <f>1767.6+(478.6-986.4)+(0.901476+(0.244086-0.503064))+0-4-0.00203999999999959</f>
        <v>1256.4404579999998</v>
      </c>
      <c r="Y131" s="3">
        <f>1769+(454.2-991.5)+(1.80438+(0.463284-1.01133))+0-4-0.00408000000000064</f>
        <v>1228.952254</v>
      </c>
      <c r="Z131" s="3">
        <f>1779.8+(503.9-960.6)+(0+(0-0))+0-4-0</f>
        <v>1319.1</v>
      </c>
      <c r="AA131" s="3">
        <f>1791+(474.6-867.2)+(-3.65364+(-0.968184--1.769088))+0-4--0.00815999999999983</f>
        <v>1391.5554240000001</v>
      </c>
      <c r="AB131" s="3">
        <f>1810.5+(528.9-940.5)+(0+(0-0))+0-4-0</f>
        <v>1394.9</v>
      </c>
      <c r="AC131" s="3">
        <f>1811.2+(372.9-871.7)+(0.923712+(0.190179-0.444567))+0-4-0.00203999999999959</f>
        <v>1309.067284</v>
      </c>
      <c r="AD131" s="2">
        <v>1384.6</v>
      </c>
      <c r="AE131" s="3">
        <f>1768+(438.1-821.5)+(0+(0-0))+0-4-0</f>
        <v>1380.6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1815.3+(363.4-931.8)+(1.851606+(0.370668-0.950436))+0-4-0.00408000000000064</f>
        <v>1244.167758</v>
      </c>
      <c r="G132" s="3">
        <f>1830+(406.6-1046.8)+(-2.7999+(-0.622098--1.601604))+0-4--0.00612000000000023</f>
        <v>1183.9857260000001</v>
      </c>
      <c r="H132" s="3">
        <f>1843.1+(485-1151.9)+(0+(0-0))+0-4-0</f>
        <v>1172.1999999999998</v>
      </c>
      <c r="I132" s="3">
        <f>1836.2+(497.6-1183.6)+(-1.872924+(-0.507552--1.207272))+0-4--0.00408000000000064</f>
        <v>1145.0308760000003</v>
      </c>
      <c r="J132" s="3">
        <f>1757.9+(552.5-1145.8)+(-3.586116+(-1.1271--2.337432))+0-4--0.00815999999999983</f>
        <v>1158.2323760000002</v>
      </c>
      <c r="K132" s="3">
        <f>1763.8+(520.4-1162.5)+(-4.49769+(-1.32702--2.964375))+0-4--0.0101999999999994</f>
        <v>1114.8498649999997</v>
      </c>
      <c r="L132" s="3">
        <f>1767.5+(500-1201.8)+(-1.80285+(-0.51--1.225836))+0-4--0.00408000000000064</f>
        <v>1060.617066</v>
      </c>
      <c r="M132" s="3">
        <f>1776.3+(452.3-1156)+(0.905913+(0.230673-0.58956))+0-4-0.00203999999999959</f>
        <v>1069.1449859999998</v>
      </c>
      <c r="N132" s="3">
        <f>1769.9+(439-1072.4)+(1.805298+(0.44778-1.093848))+0-4-0.00408000000000064</f>
        <v>1133.65515</v>
      </c>
      <c r="O132" s="3">
        <f>1818.6+(445-1046.2)+(2.782458+(0.68085-1.600686))+0-4-0.00612000000000023</f>
        <v>1215.256502</v>
      </c>
      <c r="P132" s="3">
        <f>1794.5+(445.2-972.5)+(1.83039+(0.454104-0.99195))+0-4-0.00408000000000064</f>
        <v>1264.488464</v>
      </c>
      <c r="Q132" s="3">
        <f>1790+(390.7-877.9)+(3.6516+(0.797028-1.790916))+0-4-0.00815999999999983</f>
        <v>1301.4495519999998</v>
      </c>
      <c r="R132" s="3">
        <f>1774.4+(359.7-828.7)+(2.714832+(0.550341-1.267911))+0-5-0.00765000000000029</f>
        <v>1302.3896120000002</v>
      </c>
      <c r="S132" s="3">
        <f>1762.2+(338.6-840.9)+(2.696166+(0.518058-1.286577))+0-5-0.00765000000000029</f>
        <v>1256.8199970000001</v>
      </c>
      <c r="T132" s="3">
        <f>1750.5+(347.5-842.7)+(-1.78551+(-0.35445--0.859554))+0-5--0.0051000000000008</f>
        <v>1249.024694</v>
      </c>
      <c r="U132" s="3">
        <f>1720.3+(375.2-837.1)+(1.754706+(0.382704-0.853842))+0-5-0.0051000000000008</f>
        <v>1254.6784679999998</v>
      </c>
      <c r="V132" s="3">
        <f>1687.2+(421.3-852.8)+(0+(0-0))+0-4-0</f>
        <v>1251.7</v>
      </c>
      <c r="W132" s="3">
        <f>1633.3+(478.1-858.9)+(0+(0-0))+0-4-0</f>
        <v>1248.5</v>
      </c>
      <c r="X132" s="3">
        <f>1652.1+(546.1-956.6)+(0.842571+(0.278511-0.487866))+0-4-0.00203999999999959</f>
        <v>1238.2311759999998</v>
      </c>
      <c r="Y132" s="3">
        <f>1665+(519.8-966.2)+(2.54745+(0.795294-1.478286))+0-4-0.00612000000000023</f>
        <v>1216.4583379999999</v>
      </c>
      <c r="Z132" s="3">
        <f>1675.6+(531.4-904.1)+(0+(0-0))+0-5-0</f>
        <v>1297.8999999999999</v>
      </c>
      <c r="AA132" s="3">
        <f>1686.4+(510.2-790)+(-6.020448+(-1.821414--2.8203))+0-5--0.0178500000000001</f>
        <v>1396.5962880000002</v>
      </c>
      <c r="AB132" s="3">
        <f>1689.9+(505.5-814)+(-2.585547+(-0.773415--1.24542))+0-4--0.00612000000000023</f>
        <v>1375.292578</v>
      </c>
      <c r="AC132" s="3">
        <f>1695.6+(454.1-826.5)+(0.864756+(0.231591-0.421515))+0-4-0.00203999999999959</f>
        <v>1319.8727919999997</v>
      </c>
      <c r="AD132" s="2">
        <v>1378.2</v>
      </c>
      <c r="AE132" s="3">
        <f>1683+(505.4-810.2)+(0+(0-0))+0-5-0</f>
        <v>1373.1999999999998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1689.6+(421.9-868)+(-1.723392+(-0.430338--0.88536))+0-4--0.00408000000000064</f>
        <v>1238.2357099999999</v>
      </c>
      <c r="G133" s="3">
        <f>1623+(490.7-940.7)+(-3.31092+(-1.001028--1.919028))+0-4--0.00815999999999983</f>
        <v>1166.6152400000001</v>
      </c>
      <c r="H133" s="3">
        <f>1632.1+(505.7-1006)+(-2.497113+(-0.773721--1.53918))+0-4--0.00612000000000023</f>
        <v>1126.074466</v>
      </c>
      <c r="I133" s="3">
        <f>1659.5+(504-1053.6)+(-0.846345+(-0.25704--0.537336))+0-4--0.00203999999999959</f>
        <v>1105.3359910000001</v>
      </c>
      <c r="J133" s="3">
        <f>1739+(487.4-1104.7)+(-3.54756+(-0.994296--2.253588))+0-4--0.00815999999999983</f>
        <v>1115.4198919999999</v>
      </c>
      <c r="K133" s="3">
        <f>1822.6+(475.3-1185.1)+(-2.788578+(-0.727209--1.813203))+0-4--0.00612000000000023</f>
        <v>1107.1035360000001</v>
      </c>
      <c r="L133" s="3">
        <f>1768.5+(457.5-1161.3)+(0+(0-0))+0-4-0</f>
        <v>1060.7</v>
      </c>
      <c r="M133" s="3">
        <f>1714.4+(419-1078.1)+(2.623032+(0.64107-1.649493))+0-4-0.00612000000000023</f>
        <v>1052.9084890000001</v>
      </c>
      <c r="N133" s="3">
        <f>1796.2+(384.3-1045.4)+(0.916062+(0.195993-0.533154))+0-4-0.00203999999999959</f>
        <v>1131.6768609999999</v>
      </c>
      <c r="O133" s="3">
        <f>1841.3+(469.2-1089.8)+(0.939063+(0.239292-0.555798))+0-4-0.00203999999999959</f>
        <v>1217.3205169999999</v>
      </c>
      <c r="P133" s="3">
        <f>1819.7+(494.9-1035.6)+(3.712188+(1.009596-2.112624))+0-4-0.00815999999999983</f>
        <v>1277.6009999999999</v>
      </c>
      <c r="Q133" s="3">
        <f>1796.3+(438-915.2)+(2.748339+(0.67014-1.400256))+0-4-0.00612000000000023</f>
        <v>1317.1121029999999</v>
      </c>
      <c r="R133" s="3">
        <f>1758.9+(346.8-793.8)+(-3.588156+(-0.707472--1.619352))+0-4--0.00815999999999983</f>
        <v>1305.2318840000003</v>
      </c>
      <c r="S133" s="3">
        <f>1758.5+(355.9-846.9)+(-2.690505+(-0.544527--1.295757))+0-4--0.00612000000000023</f>
        <v>1261.5668450000001</v>
      </c>
      <c r="T133" s="3">
        <f>1753.8+(369.6-873.3)+(2.683314+(0.565488-1.336149))+0-4-0.00612000000000023</f>
        <v>1248.006533</v>
      </c>
      <c r="U133" s="3">
        <f>1747.6+(372.4-884.6)+(1.782552+(0.379848-0.902292))+0-4-0.00408000000000064</f>
        <v>1232.6560279999999</v>
      </c>
      <c r="V133" s="3">
        <f>1745.4+(335.4-847.2)+(0.890154+(0.171054-0.432072))+0-4-0.00203999999999959</f>
        <v>1230.2270959999998</v>
      </c>
      <c r="W133" s="3">
        <f>1761.4+(397.8-916.9)+(-0.898314+(-0.202878--0.467619))+0-4--0.00203999999999959</f>
        <v>1237.6684670000002</v>
      </c>
      <c r="X133" s="3">
        <f>1771+(421.4-971)+(1.80642+(0.429828-0.99042))+0-4-0.00408000000000064</f>
        <v>1218.6417480000002</v>
      </c>
      <c r="Y133" s="3">
        <f>1784.4+(417.2-988.9)+(3.640176+(0.851088-2.017356))+0-4-0.00815999999999983</f>
        <v>1211.1657479999999</v>
      </c>
      <c r="Z133" s="3">
        <f>1816+(499.8-999.6)+(0.92616+(0.254898-0.509796))+0-4-0.00203999999999959</f>
        <v>1312.869222</v>
      </c>
      <c r="AA133" s="3">
        <f>1828.2+(529.3-952.3)+(-3.729528+(-1.079772--1.942692))+0-4--0.00815999999999983</f>
        <v>1398.3415520000001</v>
      </c>
      <c r="AB133" s="3">
        <f>1840.7+(410.4-887.2)+(1.877514+(0.418608-0.904944))+0-4-0.00408000000000064</f>
        <v>1361.2870980000002</v>
      </c>
      <c r="AC133" s="3">
        <f>1852.6+(379.6-925.4)+(0+(0-0))+0-4-0</f>
        <v>1302.8</v>
      </c>
      <c r="AD133" s="2">
        <v>1406.6999999999998</v>
      </c>
      <c r="AE133" s="3">
        <f>1837+(489.6-919.9)+(0+(0-0))+0-4-0</f>
        <v>1402.7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1863.8+(389.5-999.5)+(-2.851614+(-0.595935--1.529235))+0-4--0.00612000000000023</f>
        <v>1247.887806</v>
      </c>
      <c r="G134" s="3">
        <f>1838.8+(432.4-1080.8)+(-1.875576+(-0.441048--1.102416))+0-4--0.00408000000000064</f>
        <v>1185.1898719999999</v>
      </c>
      <c r="H134" s="3">
        <f>1767.2+(478.2-1114.2)+(-0.901272+(-0.243882--0.568242))+0-4--0.00203999999999959</f>
        <v>1126.6251280000001</v>
      </c>
      <c r="I134" s="3">
        <f>1766.5+(434-1092.5)+(-1.80183+(-0.44268--1.11435))+0-4--0.00408000000000064</f>
        <v>1102.87392</v>
      </c>
      <c r="J134" s="3">
        <f>1764.7+(464.7-1110.3)+(1.799994+(0.473994-1.132506))+0-4-0.00408000000000064</f>
        <v>1116.2374020000002</v>
      </c>
      <c r="K134" s="3">
        <f>1720.3+(493.4-1116)+(0.877353+(0.251634-0.56916))+0-4-0.00203999999999959</f>
        <v>1094.2577869999998</v>
      </c>
      <c r="L134" s="3">
        <f>1703.5+(468.9-1120.5)+(-2.606355+(-0.717417--1.714365))+0-4--0.00612000000000023</f>
        <v>1046.2967130000002</v>
      </c>
      <c r="M134" s="3">
        <f>1704.3+(408.3-1064)+(0.869193+(0.208233-0.54264))+0-4-0.00203999999999959</f>
        <v>1045.1327459999998</v>
      </c>
      <c r="N134" s="3">
        <f>1818.8+(431.2-1119)+(1.855176+(0.439824-1.14138))+0-4-0.00408000000000064</f>
        <v>1128.1495400000001</v>
      </c>
      <c r="O134" s="3">
        <f>1809.6+(473.8-1077.2)+(1.845792+(0.483276-1.098744))+0-4-0.00408000000000064</f>
        <v>1203.426244</v>
      </c>
      <c r="P134" s="3">
        <f>1804.3+(514.7-1049.5)+(0.920193+(0.262497-0.535245))+0-4-0.00203999999999959</f>
        <v>1266.145405</v>
      </c>
      <c r="Q134" s="3">
        <f>1788.6+(469.8-944.3)+(1.824372+(0.479196-0.963186))+0-4-0.00408000000000064</f>
        <v>1311.4363020000001</v>
      </c>
      <c r="R134" s="3">
        <f>1768.1+(461.2-914.7)+(0.901731+(0.235212-0.466497))+0-4-0.00203999999999959</f>
        <v>1311.2684059999999</v>
      </c>
      <c r="S134" s="3">
        <f>1714.8+(489.1-924.1)+(0.874548+(0.249441-0.471291))+0-4-0.00203999999999959</f>
        <v>1276.450658</v>
      </c>
      <c r="T134" s="3">
        <f>1681.8+(446.3-861.7)+(0.857718+(0.227613-0.439467))+0-4-0.00203999999999959</f>
        <v>1263.0438239999999</v>
      </c>
      <c r="U134" s="3">
        <f>1722.1+(444.2-908.8)+(-2.634813+(-0.679626--1.390464))+0-4--0.00612000000000023</f>
        <v>1251.5821450000001</v>
      </c>
      <c r="V134" s="3">
        <f>1768.5+(443.8-974.4)+(0.901935+(0.226338-0.496944))+0-4-0.00203999999999959</f>
        <v>1234.5292890000001</v>
      </c>
      <c r="W134" s="3">
        <f>1780.7+(479.2-1016.3)+(-1.816314+(-0.488784--1.036626))+0-4--0.00408000000000064</f>
        <v>1238.3356080000001</v>
      </c>
      <c r="X134" s="3">
        <f>1789.5+(502.6-1051.2)+(-2.737935+(-0.768978--1.608336))+0-4--0.00612000000000023</f>
        <v>1235.0075430000002</v>
      </c>
      <c r="Y134" s="3">
        <f>1798.1+(413.7-1000.9)+(1.834062+(0.421974-1.020918))+0-4-0.00408000000000064</f>
        <v>1208.131038</v>
      </c>
      <c r="Z134" s="3">
        <f>1803.6+(468.4-950.9)+(1.839672+(0.477768-0.969918))+0-4-0.00408000000000064</f>
        <v>1318.443442</v>
      </c>
      <c r="AA134" s="3">
        <f>1814.7+(473.6-884.5)+(-1.850994+(-0.483072--0.90219))+0-4--0.00408000000000064</f>
        <v>1398.372204</v>
      </c>
      <c r="AB134" s="3">
        <f>1824.7+(450.4-905.5)+(0.930597+(0.229704-0.461805))+0-4-0.00203999999999959</f>
        <v>1366.2964559999998</v>
      </c>
      <c r="AC134" s="3">
        <f>1842.6+(427.4-935.6)+(4.69863+(1.08987-2.38578))+0-4-0.0101999999999994</f>
        <v>1333.79252</v>
      </c>
      <c r="AD134" s="2">
        <v>1397.1999999999998</v>
      </c>
      <c r="AE134" s="3">
        <f>1812+(455.7-870.5)+(0+(0-0))+0-4-0</f>
        <v>1393.2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1851+(400.4-989.8)+(2.83203+(0.612612-1.514394))+0-4-0.00612000000000023</f>
        <v>1259.5241279999998</v>
      </c>
      <c r="G135" s="3">
        <f>1867.8+(484.2-1160.7)+(-0.952578+(-0.246942--0.591957))+0-4--0.00203999999999959</f>
        <v>1186.694477</v>
      </c>
      <c r="H135" s="3">
        <f>1880.1+(493.5-1232.7)+(1.917702+(0.50337-1.257354))+0-4-0.00408000000000064</f>
        <v>1138.0596379999999</v>
      </c>
      <c r="I135" s="3">
        <f>1856.3+(478.9-1212.3)+(1.893426+(0.488478-1.236546))+0-4-0.00408000000000064</f>
        <v>1120.0412780000001</v>
      </c>
      <c r="J135" s="3">
        <f>1843.2+(466.6-1190.6)+(3.760128+(0.951864-2.428824))+0-4-0.00815999999999983</f>
        <v>1117.4750080000001</v>
      </c>
      <c r="K135" s="3">
        <f>1820.3+(467.6-1195.5)+(-5.570118+(-1.430856--3.65823))+0-4--0.0122400000000005</f>
        <v>1085.0694960000001</v>
      </c>
      <c r="L135" s="3">
        <f>1625.9+(501.3-1103.6)+(-4.146045+(-1.278315--2.81418))+0-4--0.0101999999999994</f>
        <v>1017.0000200000002</v>
      </c>
      <c r="M135" s="3">
        <f>1711.8+(437.4-1130.5)+(0+(0-0))+0-4-0</f>
        <v>1014.6999999999999</v>
      </c>
      <c r="N135" s="3">
        <f>1823.3+(424.8-1145.5)+(-0.929883+(-0.216648--0.584205))+0-4--0.00203999999999959</f>
        <v>1098.039714</v>
      </c>
      <c r="O135" s="3">
        <f>1769.5+(533.2-1090.4)+(0+(0-0))+0-4-0</f>
        <v>1208.3</v>
      </c>
      <c r="P135" s="3">
        <f>1773.9+(506.6-1025.2)+(2.714067+(0.775098-1.568556))+0-4-0.00612000000000023</f>
        <v>1253.2144890000002</v>
      </c>
      <c r="Q135" s="3">
        <f>1783.5+(444.7-922.8)+(2.728755+(0.680391-1.411884))+0-4-0.00612000000000023</f>
        <v>1303.3911420000002</v>
      </c>
      <c r="R135" s="3">
        <f>1766.4+(462.2-923.7)+(-1.801728+(-0.471444--0.942174))+0-4--0.00408000000000064</f>
        <v>1299.5730820000001</v>
      </c>
      <c r="S135" s="3">
        <f>1758.2+(471.6-952)+(-0.896682+(-0.240516--0.48552))+0-4--0.00203999999999959</f>
        <v>1273.1503620000003</v>
      </c>
      <c r="T135" s="3">
        <f>1749.1+(445.9-925.2)+(-3.568164+(-0.909636--1.887408))+0-4--0.00815999999999983</f>
        <v>1263.2177679999998</v>
      </c>
      <c r="U135" s="3">
        <f>1717.8+(464.9-918.3)+(-2.628234+(-0.711297--1.404999))+0-4--0.00612000000000023</f>
        <v>1258.4715880000001</v>
      </c>
      <c r="V135" s="3">
        <f>1722.8+(494.3-945.1)+(0+(0-0))+0-4-0</f>
        <v>1268</v>
      </c>
      <c r="W135" s="3">
        <f>1628.1+(546.2-906.7)+(2.490993+(0.835686-1.387251))+0-4-0.00612000000000023</f>
        <v>1265.5333079999998</v>
      </c>
      <c r="X135" s="3">
        <f>1616.6+(612.5-988.7)+(2.473398+(0.937125-1.512711))+0-4-0.00612000000000023</f>
        <v>1238.2916919999998</v>
      </c>
      <c r="Y135" s="3">
        <f>1637.3+(618.3-1039)+(3.340092+(1.261332-2.11956))+0-4-0.00815999999999983</f>
        <v>1215.0737039999999</v>
      </c>
      <c r="Z135" s="3">
        <f>1659.8+(563.8-913.3)+(1.692996+(0.575076-0.931566))+0-5-0.0051000000000008</f>
        <v>1306.631406</v>
      </c>
      <c r="AA135" s="3">
        <f>1712+(533.6-856.3)+(-3.49248+(-1.088544--1.746852))+0-5--0.0101999999999998</f>
        <v>1381.476028</v>
      </c>
      <c r="AB135" s="3">
        <f>1821.3+(567.9-1017.2)+(-0.928863+(-0.289629--0.518772))+0-5--0.00254999999999949</f>
        <v>1366.3028299999999</v>
      </c>
      <c r="AC135" s="3">
        <f>1838.2+(595.5-1101.7)+(-0.937482+(-0.303705--0.561867))+0-5--0.00254999999999949</f>
        <v>1326.32323</v>
      </c>
      <c r="AD135" s="2">
        <v>1378.4</v>
      </c>
      <c r="AE135" s="3">
        <f>1663+(536.9-821.5)+(0+(0-0))+0-5-0</f>
        <v>1373.4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1816.1+(602.8-1146.1)+(0.926211+(0.307428-0.584511))+0-5-0.00254999999999949</f>
        <v>1268.446578</v>
      </c>
      <c r="G136" s="3">
        <f>1822.2+(557-1190.2)+(2.787966+(0.85221-1.821006))+0-5-0.00765000000000029</f>
        <v>1185.81152</v>
      </c>
      <c r="H136" s="3">
        <f>1814.3+(470.7-1158.2)+(0.925293+(0.240057-0.590682))+0-5-0.00254999999999949</f>
        <v>1122.372118</v>
      </c>
      <c r="I136" s="3">
        <f>1792.4+(454.7-1139.1)+(1.828248+(0.463794-1.161882))+0-5-0.0051000000000008</f>
        <v>1104.1250600000001</v>
      </c>
      <c r="J136" s="3">
        <f>1791.1+(459.9-1146.7)+(-1.826922+(-0.469098--1.169634))+0-5--0.0051000000000008</f>
        <v>1098.1787139999999</v>
      </c>
      <c r="K136" s="3">
        <f>1780.9+(497.9-1202)+(-3.633036+(-1.015716--2.45208))+0-5--0.0101999999999998</f>
        <v>1069.6135280000001</v>
      </c>
      <c r="L136" s="3">
        <f>1742.2+(513.8-1212.6)+(-5.331132+(-1.572228--3.710556))+0-4--0.0122400000000005</f>
        <v>1036.2194360000001</v>
      </c>
      <c r="M136" s="3">
        <f>1756.3+(504.1-1219.9)+(3.582852+(1.028364-2.488596))+0-6-0.0122399999999997</f>
        <v>1036.6103800000001</v>
      </c>
      <c r="N136" s="3">
        <f>1735.4+(470.2-1110.3)+(5.310324+(1.438812-3.397518))+0-6-0.0183600000000007</f>
        <v>1092.6332580000001</v>
      </c>
      <c r="O136" s="3">
        <f>1766.1+(452.6-1050.1)+(2.702133+(0.692478-1.606653))+0-6-0.00918000000000035</f>
        <v>1164.3787779999998</v>
      </c>
      <c r="P136" s="3">
        <f>1796.8+(475-1037.7)+(1.832736+(0.4845-1.058454))+0-6-0.00612000000000096</f>
        <v>1229.352662</v>
      </c>
      <c r="Q136" s="3">
        <f>1786.4+(453.6-966.1)+(0.911064+(0.231336-0.492711))+0-6-0.00305999999999939</f>
        <v>1268.5466290000002</v>
      </c>
      <c r="R136" s="3">
        <f>1763.9+(442.1-941.9)+(0.899589+(0.225471-0.480369))+0-6-0.00305999999999939</f>
        <v>1258.7416310000001</v>
      </c>
      <c r="S136" s="3">
        <f>1742.5+(474.5-975.3)+(-5.33205+(-1.45197--2.984418))+0-6--0.0183600000000007</f>
        <v>1231.918758</v>
      </c>
      <c r="T136" s="3">
        <f>1685.3+(497.6-938.2)+(-4.297515+(-1.26888--2.39241))+0-6--0.0152999999999991</f>
        <v>1235.5413149999999</v>
      </c>
      <c r="U136" s="3">
        <f>1666.3+(547.4-967.8)+(-0.849813+(-0.279174--0.493578))+0-6--0.00305999999999939</f>
        <v>1239.2676510000001</v>
      </c>
      <c r="V136" s="3">
        <f>1656+(569.6-970.6)+(-2.53368+(-0.871488--1.485018))+0-6--0.00918000000000035</f>
        <v>1247.0890300000001</v>
      </c>
      <c r="W136" s="3">
        <f>1695.1+(571.8-1010.3)+(-4.322505+(-1.45809--2.576265))+0-6--0.0152999999999991</f>
        <v>1247.4109699999999</v>
      </c>
      <c r="X136" s="3">
        <f>1706.7+(577.9-1065.9)+(-2.611251+(-0.884187--1.630827))+0-6--0.00918000000000035</f>
        <v>1210.8445689999999</v>
      </c>
      <c r="Y136" s="3">
        <f>1726.4+(607.8-1115.5)+(0+(0-0))+0-6-0</f>
        <v>1212.7</v>
      </c>
      <c r="Z136" s="3">
        <f>1781.1+(538-1019.9)+(1.816722+(0.54876-1.040298))+0-6-0.00612000000000096</f>
        <v>1294.5190639999998</v>
      </c>
      <c r="AA136" s="3">
        <f>1783.7+(530-936.9)+(-1.819374+(-0.5406--0.955638))+0-6--0.00612000000000096</f>
        <v>1369.4017840000001</v>
      </c>
      <c r="AB136" s="3">
        <f>1795.9+(572.6-1015)+(-2.747727+(-0.876078--1.55295))+0-6--0.00918000000000035</f>
        <v>1345.4383250000001</v>
      </c>
      <c r="AC136" s="3">
        <f>1801+(630.6-1112)+(-2.75553+(-0.964818--1.70136))+0-6--0.00918000000000035</f>
        <v>1311.5901919999999</v>
      </c>
      <c r="AD136" s="2">
        <v>1369.7</v>
      </c>
      <c r="AE136" s="3">
        <f>1772+(542-944.3)+(0+(0-0))+0-6-0</f>
        <v>1363.7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1809.7+(576.9-1137)+(-2.768841+(-0.882657--1.73961))+0-6--0.00918000000000035</f>
        <v>1241.6972919999998</v>
      </c>
      <c r="G137" s="3">
        <f>1809.9+(511.2-1138.3)+(0.923049+(0.260712-0.580533))+0-6-0.00305999999999939</f>
        <v>1177.4001680000001</v>
      </c>
      <c r="H137" s="3">
        <f>1788.8+(493.3-1155.5)+(0+(0-0))+0-6-0</f>
        <v>1120.5999999999999</v>
      </c>
      <c r="I137" s="3">
        <f>1785.8+(523.7-1198.7)+(-1.821516+(-0.534174--1.222674))+0-6--0.00612000000000096</f>
        <v>1103.673104</v>
      </c>
      <c r="J137" s="3">
        <f>1781.3+(538.1-1201.6)+(-2.725389+(-0.823293--1.838448))+0-6--0.00918000000000035</f>
        <v>1110.0989460000003</v>
      </c>
      <c r="K137" s="3">
        <f>1742.7+(511.6-1186.8)+(-3.555108+(-1.043664--2.421072))+0-6--0.0122399999999997</f>
        <v>1059.3345400000001</v>
      </c>
      <c r="L137" s="3">
        <f>1751.7+(463.4-1189.6)+(-4.466835+(-1.18167--3.03348))+0-4--0.0101999999999994</f>
        <v>1018.8951750000001</v>
      </c>
      <c r="M137" s="3">
        <f>1760.1+(442.2-1198.6)+(-1.795302+(-0.451044--1.222572))+0-4--0.00408000000000064</f>
        <v>998.68030600000009</v>
      </c>
      <c r="N137" s="3">
        <f>1734.5+(478.3-1172.2)+(-2.653785+(-0.731799--1.793466))+0-4--0.00612000000000023</f>
        <v>1035.0140019999999</v>
      </c>
      <c r="O137" s="3">
        <f>1729.5+(468.8-1112.1)+(0+(0-0))+0-4-0</f>
        <v>1082.2</v>
      </c>
      <c r="P137" s="3">
        <f>1747.2+(505.2-1112.3)+(2.673216+(0.772956-1.701819))+0-4-0.00612000000000023</f>
        <v>1137.8382330000002</v>
      </c>
      <c r="Q137" s="3">
        <f>1749.6+(510.2-1066.1)+(-1.784592+(-0.520404--1.087422))+0-4--0.00408000000000064</f>
        <v>1188.486506</v>
      </c>
      <c r="R137" s="3">
        <f>1767.4+(548.7-1099.6)+(0.901374+(0.279837-0.560796))+0-6-0.00305999999999939</f>
        <v>1211.1173550000003</v>
      </c>
      <c r="S137" s="3">
        <f>1760.7+(511.5-1068.6)+(-0.897957+(-0.260865--0.544986))+0-6--0.00305999999999939</f>
        <v>1196.9892240000001</v>
      </c>
      <c r="T137" s="3">
        <f>1763.2+(473.6-1042)+(0.899232+(0.241536-0.53142))+0-6-0.00305999999999939</f>
        <v>1189.4062880000001</v>
      </c>
      <c r="U137" s="3">
        <f>1767+(446.9-1007.9)+(0.90117+(0.227919-0.514029))+0-6-0.00305999999999939</f>
        <v>1200.6120000000001</v>
      </c>
      <c r="V137" s="3">
        <f>1763.6+(452.5-1003.4)+(0.899436+(0.230775-0.511734))+0-6-0.00305999999999939</f>
        <v>1207.3154169999998</v>
      </c>
      <c r="W137" s="3">
        <f>1746.3+(464.8-995.9)+(-0.890613+(-0.237048--0.507909))+0-6--0.00305999999999939</f>
        <v>1208.583308</v>
      </c>
      <c r="X137" s="3">
        <f>1740.3+(491.3-1039.6)+(0+(0-0))+0-6-0</f>
        <v>1186</v>
      </c>
      <c r="Y137" s="3">
        <f>1680.7+(534.6-1048.1)+(-0.857157+(-0.272646--0.534531))+0-6--0.00305999999999939</f>
        <v>1160.6077880000003</v>
      </c>
      <c r="Z137" s="3">
        <f>1735.4+(503.5-997.1)+(0.885054+(0.256785-0.508521))+0-6-0.00305999999999939</f>
        <v>1236.4302580000001</v>
      </c>
      <c r="AA137" s="3">
        <f>1768.1+(494.7-931)+(-1.803462+(-0.504594--0.94962))+0-6--0.00612000000000096</f>
        <v>1324.447684</v>
      </c>
      <c r="AB137" s="3">
        <f>1777.3+(486.7-956.1)+(0.906423+(0.248217-0.487611))+0-6-0.00305999999999939</f>
        <v>1302.5639689999998</v>
      </c>
      <c r="AC137" s="3">
        <f>1785.7+(482.6-981.3)+(-0.910707+(-0.246126--0.500463))+0-6--0.00305999999999939</f>
        <v>1280.3466900000001</v>
      </c>
      <c r="AD137" s="2">
        <v>1298.4000000000001</v>
      </c>
      <c r="AE137" s="3">
        <f>1771+(503-919.6)+(0+(0-0))+0-6-0</f>
        <v>1348.4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1791.3+(475.2-1017.9)+(-0.913563+(-0.242352--0.519129))+0-6--0.00305999999999939</f>
        <v>1241.9662739999999</v>
      </c>
      <c r="G138" s="3">
        <f>1769.9+(483.3-1079.1)+(-2.707947+(-0.739449--1.651023))+0-6--0.00918000000000035</f>
        <v>1166.3128070000002</v>
      </c>
      <c r="H138" s="3">
        <f>1782.1+(475.9-1139.9)+(0+(0-0))+0-6-0</f>
        <v>1112.0999999999999</v>
      </c>
      <c r="I138" s="3">
        <f>1807.9+(433.7-1147.5)+(0.922029+(0.221187-0.585225))+0-6-0.00305999999999939</f>
        <v>1088.654931</v>
      </c>
      <c r="J138" s="3">
        <f>1810.5+(442.4-1142.6)+(-3.69342+(-0.902496--2.330904))+0-6--0.0122399999999997</f>
        <v>1102.0472280000001</v>
      </c>
      <c r="K138" s="3">
        <f>1818.6+(501.9-1228)+(-4.63743+(-1.279845--3.1314))+0-6--0.0152999999999991</f>
        <v>1083.729425</v>
      </c>
      <c r="L138" s="3">
        <f>1787.7+(484.6-1230.5)+(-1.823454+(-0.494292--1.25511))+0-6--0.00612000000000096</f>
        <v>1034.7434840000001</v>
      </c>
      <c r="M138" s="3">
        <f>1798.5+(413.4-1191.3)+(0+(0-0))+0-6-0</f>
        <v>1014.6</v>
      </c>
      <c r="N138" s="3">
        <f>1846.1+(434.1-1164.5)+(0.941511+(0.221391-0.593895))+0-6-0.00305999999999939</f>
        <v>1110.2659469999999</v>
      </c>
      <c r="O138" s="3">
        <f>1823.1+(475.8-1103.4)+(0+(0-0))+0-6-0</f>
        <v>1189.4999999999998</v>
      </c>
      <c r="P138" s="3">
        <f>1808.1+(424.2-981.4)+(2.766393+(0.649026-1.501542))+0-6-0.00918000000000035</f>
        <v>1246.8046969999998</v>
      </c>
      <c r="Q138" s="3">
        <f>1787+(375.1-893.6)+(-0.91137+(-0.191301--0.455736))+0-6--0.00305999999999939</f>
        <v>1261.856125</v>
      </c>
      <c r="R138" s="3">
        <f>1775.9+(373.6-858.8)+(0+(0-0))+0-6-0</f>
        <v>1284.7000000000003</v>
      </c>
      <c r="S138" s="3">
        <f>1773.4+(356.8-842.7)+(-0.904434+(-0.181968--0.429777))+0-6--0.00305999999999939</f>
        <v>1280.8464349999999</v>
      </c>
      <c r="T138" s="3">
        <f>1722.6+(285.3-731.2)+(0.878526+(0.145503-0.372912))+0-6-0.00305999999999939</f>
        <v>1271.3480569999999</v>
      </c>
      <c r="U138" s="3">
        <f>1587.6+(256.6-560.2)+(0.809676+(0.130866-0.285702))+0-6-0.00305999999999939</f>
        <v>1278.6517799999999</v>
      </c>
      <c r="V138" s="3">
        <f>1530.1+(295.6-548.3)+(-3.121404+(-0.603024--1.118532))+0-6--0.0122399999999997</f>
        <v>1268.8063440000001</v>
      </c>
      <c r="W138" s="3">
        <f>1506.9+(358.4-588.6)+(-3.074076+(-0.731136--1.200744))+0-6--0.0122399999999997</f>
        <v>1268.1077720000001</v>
      </c>
      <c r="X138" s="3">
        <f>1498.8+(428.9-666.8)+(-3.82194+(-1.093695--1.70034))+0-6--0.0152999999999991</f>
        <v>1251.7000050000001</v>
      </c>
      <c r="Y138" s="3">
        <f>1504.3+(464.2-738)+(0+(0-0))+0-6-0</f>
        <v>1224.5</v>
      </c>
      <c r="Z138" s="3">
        <f>1518.5+(413.6-617.3)+(2.323305+(0.632808-0.944469))+0-6-0.00918000000000035</f>
        <v>1310.8024640000001</v>
      </c>
      <c r="AA138" s="3">
        <f>1576+(347.8-528.2)+(-4.82256+(-1.064268--1.616292))+0-6--0.0183600000000007</f>
        <v>1385.3478239999999</v>
      </c>
      <c r="AB138" s="3">
        <f>1600.4+(386-625.8)+(-1.632408+(-0.39372--0.638316))+0-6--0.00612000000000096</f>
        <v>1353.2183080000002</v>
      </c>
      <c r="AC138" s="3">
        <f>1599.7+(403.2-686.1)+(0.815847+(0.205632-0.349911))+0-6-0.00305999999999939</f>
        <v>1311.4685079999999</v>
      </c>
      <c r="AD138" s="2">
        <v>1400</v>
      </c>
      <c r="AE138" s="3">
        <f>1563+(347.8-510.8)+(0+(0-0))+0-6-0</f>
        <v>1394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1598.6+(386.2-718.9)+(0+(0-0))+0-6-0</f>
        <v>1259.8999999999999</v>
      </c>
      <c r="G139" s="3">
        <f>1584.5+(430.6-821.7)+(-0.808095+(-0.219606--0.419067))+0-6--0.00305999999999939</f>
        <v>1186.7944260000002</v>
      </c>
      <c r="H139" s="3">
        <f>1554.2+(489.6-879.8)+(-1.585284+(-0.499392--0.897396))+0-6--0.00612000000000096</f>
        <v>1156.8188399999999</v>
      </c>
      <c r="I139" s="3">
        <f>1559.6+(486.5-907.2)+(-0.795396+(-0.248115--0.462672))+0-6--0.00305999999999939</f>
        <v>1132.3222209999999</v>
      </c>
      <c r="J139" s="3">
        <f>1557+(454.5-871)+(-3.17628+(-0.92718--1.77684))+0-6--0.0122399999999997</f>
        <v>1132.18562</v>
      </c>
      <c r="K139" s="3">
        <f>1563+(484.3-926.9)+(-1.59426+(-0.493986--0.945438))+0-6--0.00612000000000096</f>
        <v>1113.263312</v>
      </c>
      <c r="L139" s="3">
        <f>1566.2+(419.6-916.8)+(-1.597524+(-0.427992--0.935136))+0-6--0.00612000000000096</f>
        <v>1061.9157399999999</v>
      </c>
      <c r="M139" s="3">
        <f>1570+(404.1-901.7)+(0.8007+(0.206091-0.459867))+0-6-0.00305999999999939</f>
        <v>1066.9438640000001</v>
      </c>
      <c r="N139" s="3">
        <f>1583.9+(381.4-840.5)+(0.807789+(0.194514-0.428655))+0-6-0.00305999999999939</f>
        <v>1119.3705880000002</v>
      </c>
      <c r="O139" s="3">
        <f>1640.8+(441.1-859.7)+(-0.836808+(-0.224961--0.438447))+0-6--0.00305999999999939</f>
        <v>1215.5797379999999</v>
      </c>
      <c r="P139" s="3">
        <f>1670.2+(454.8-852.5)+(-1.703604+(-0.463896--0.86955))+0-6--0.00612000000000096</f>
        <v>1265.2081700000001</v>
      </c>
      <c r="Q139" s="3">
        <f>1678.3+(426.9-808.2)+(2.567799+(0.653157-1.236546))+0-6-0.00918000000000035</f>
        <v>1292.97523</v>
      </c>
      <c r="R139" s="3">
        <f>1673.2+(386.8-746.6)+(-1.706664+(-0.394536--0.761532))+0-6--0.00612000000000096</f>
        <v>1306.066452</v>
      </c>
      <c r="S139" s="3">
        <f>1661.3+(386.3-758.4)+(-2.541789+(-0.591039--1.160352))+0-6--0.00918000000000035</f>
        <v>1281.2367040000001</v>
      </c>
      <c r="T139" s="3">
        <f>1671.7+(380.5-768.1)+(-2.557701+(-0.582165--1.175193))+0-6--0.00918000000000035</f>
        <v>1276.144507</v>
      </c>
      <c r="U139" s="3">
        <f>1653.3+(365.7-717.2)+(-1.686366+(-0.373014--0.731544))+0-6--0.00612000000000096</f>
        <v>1294.478284</v>
      </c>
      <c r="V139" s="3">
        <f>1601+(335.4-636.5)+(-0.81651+(-0.171054--0.324615))+0-6--0.00305999999999939</f>
        <v>1293.2401110000001</v>
      </c>
      <c r="W139" s="3">
        <f>1672.5+(352.4-708.9)+(-3.4119+(-0.718896--1.446156))+0-6--0.0122399999999997</f>
        <v>1307.3276000000001</v>
      </c>
      <c r="X139" s="3">
        <f>1764.2+(386.7-864.2)+(-5.398452+(-1.183302--2.644452))+0-6--0.0183600000000007</f>
        <v>1276.781058</v>
      </c>
      <c r="Y139" s="3">
        <f>1774.8+(297.2-830.4)+(3.620592+(0.606288-1.694016))+0-6-0.0122399999999997</f>
        <v>1238.1206239999999</v>
      </c>
      <c r="Z139" s="3">
        <f>1777.2+(403.6-838.3)+(3.625488+(0.823344-1.710132))+0-6-0.0122399999999997</f>
        <v>1339.2264600000001</v>
      </c>
      <c r="AA139" s="3">
        <f>1773.5+(424.3-772.2)+(-3.61794+(-0.865572--1.575288))+0-6--0.0122399999999997</f>
        <v>1416.7040159999999</v>
      </c>
      <c r="AB139" s="3">
        <f>1764.2+(451.9-820.6)+(0+(0-0))+0-6-0</f>
        <v>1389.5</v>
      </c>
      <c r="AC139" s="3">
        <f>1751.6+(462.4-880.8)+(-1.786632+(-0.471648--0.898416))+0-6--0.00612000000000096</f>
        <v>1325.8462559999998</v>
      </c>
      <c r="AD139" s="2">
        <v>1420.3</v>
      </c>
      <c r="AE139" s="3">
        <f>1771+(415-765.7)+(0+(0-0))+0-6-0</f>
        <v>1414.3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1736.4+(504-957.8)+(0+(0-0))+0-6-0</f>
        <v>1276.6000000000001</v>
      </c>
      <c r="G140" s="3">
        <f>1764.4+(526.7-1082.9)+(0+(0-0))+0-6-0</f>
        <v>1202.2</v>
      </c>
      <c r="H140" s="3">
        <f>1767.3+(559.1-1156.4)+(1.802646+(0.570282-1.179528))+0-6-0.00612000000000096</f>
        <v>1165.1872800000001</v>
      </c>
      <c r="I140" s="3">
        <f>1795.1+(489.2-1137.4)+(-1.831002+(-0.498984--1.160148))+0-6--0.00612000000000096</f>
        <v>1139.7362819999998</v>
      </c>
      <c r="J140" s="3">
        <f>1798.2+(465.8-1109.4)+(-4.58541+(-1.18779--2.82897))+0-6--0.0152999999999991</f>
        <v>1145.6710699999999</v>
      </c>
      <c r="K140" s="3">
        <f>1803.1+(513.5-1190.4)+(-4.597905+(-1.309425--3.03552))+0-6--0.0152999999999991</f>
        <v>1117.3434899999997</v>
      </c>
      <c r="L140" s="3">
        <f>1825.4+(398.6-1156.1)+(-0.930954+(-0.203286--0.589611))+0-6--0.00305999999999939</f>
        <v>1061.3584310000001</v>
      </c>
      <c r="M140" s="3">
        <f>1842.5+(349.8-1139.6)+(2.819025+(0.535194-1.743588))+0-6-0.00918000000000035</f>
        <v>1048.301451</v>
      </c>
      <c r="N140" s="3">
        <f>1833.9+(330.4-1051.1)+(3.741156+(0.674016-2.144244))+0-6-0.0122399999999997</f>
        <v>1109.4586880000002</v>
      </c>
      <c r="O140" s="3">
        <f>1815.1+(325.9-947.4)+(0+(0-0))+0-6-0</f>
        <v>1187.5999999999999</v>
      </c>
      <c r="P140" s="3">
        <f>1776.4+(289-841.2)+(2.717892+(0.44217-1.287036))+0-6-0.00918000000000035</f>
        <v>1220.063846</v>
      </c>
      <c r="Q140" s="3">
        <f>1783.9+(253.3-765.2)+(0+(0-0))+0-6-0</f>
        <v>1266</v>
      </c>
      <c r="R140" s="3">
        <f>1767.4+(259.2-715.2)+(-0.901374+(-0.132192--0.364752))+0-6--0.00305999999999939</f>
        <v>1304.734246</v>
      </c>
      <c r="S140" s="3">
        <f>1754.7+(246.1-705.2)+(-2.684691+(-0.376533--1.078956))+0-6--0.00918000000000035</f>
        <v>1287.6269119999999</v>
      </c>
      <c r="T140" s="3">
        <f>1751.2+(288.6-740.5)+(0+(0-0))+0-6-0</f>
        <v>1293.3000000000002</v>
      </c>
      <c r="U140" s="3">
        <f>1761.5+(277.2-737.3)+(-1.79673+(-0.282744--0.752046))+0-6--0.00612000000000096</f>
        <v>1294.078692</v>
      </c>
      <c r="V140" s="3">
        <f>1762.6+(319-762)+(-4.49463+(-0.81345--1.9431))+0-6--0.0152999999999991</f>
        <v>1310.2503199999999</v>
      </c>
      <c r="W140" s="3">
        <f>1761.9+(315.6-764.3)+(0+(0-0))+0-6-0</f>
        <v>1307.2000000000003</v>
      </c>
      <c r="X140" s="3">
        <f>1757.6+(334-813.1)+(-3.585504+(-0.68136--1.658724))+0-6--0.0122399999999997</f>
        <v>1269.9041</v>
      </c>
      <c r="Y140" s="3">
        <f>1760.7+(391.4-906.1)+(0+(0-0))+0-6-0</f>
        <v>1240</v>
      </c>
      <c r="Z140" s="3">
        <f>1762.4+(450.7-853.8)+(-0.898824+(-0.229857--0.435438))+0-6--0.00305999999999939</f>
        <v>1352.6098170000002</v>
      </c>
      <c r="AA140" s="3">
        <f>1777.6+(458.3-807.7)+(-5.439456+(-1.402398--2.471562))+0-6--0.0183600000000007</f>
        <v>1417.8480679999998</v>
      </c>
      <c r="AB140" s="3">
        <f>1786.5+(457-847.1)+(1.82223+(0.46614-0.864042))+0-6-0.00612000000000096</f>
        <v>1391.8182080000001</v>
      </c>
      <c r="AC140" s="3">
        <f>1794.9+(496.5-938.2)+(0+(0-0))+0-6-0</f>
        <v>1347.2</v>
      </c>
      <c r="AD140" s="2">
        <v>1434</v>
      </c>
      <c r="AE140" s="3">
        <f>1778+(434-778)+(0+(0-0))+0-6-0</f>
        <v>1428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1805.3+(480.4-1019.1)+(2.762109+(0.735012-1.559223))+0-7-0.0107100000000004</f>
        <v>1261.5271879999998</v>
      </c>
      <c r="G141" s="3">
        <f>1821.6+(520.7-1136.3)+(-2.787048+(-0.796671--1.738539))+0-7--0.0107100000000004</f>
        <v>1197.16553</v>
      </c>
      <c r="H141" s="3">
        <f>1829.3+(529.3-1194.3)+(0+(0-0))+0-7-0</f>
        <v>1157.3</v>
      </c>
      <c r="I141" s="3">
        <f>1812.5+(537.5-1205.5)+(-0.924375+(-0.274125--0.614805))+0-7--0.00356999999999929</f>
        <v>1136.919875</v>
      </c>
      <c r="J141" s="3">
        <f>1821.2+(540.8-1210.4)+(2.786436+(0.827424-1.851912))+0-7-0.0107100000000004</f>
        <v>1146.351238</v>
      </c>
      <c r="K141" s="3">
        <f>1803.3+(538.8-1216)+(-4.598415+(-1.37394--3.1008))+0-7--0.017849999999999</f>
        <v>1116.2462949999999</v>
      </c>
      <c r="L141" s="3">
        <f>1816.1+(440.5-1195.1)+(-4.631055+(-1.123275--3.047505))+0-7--0.017849999999999</f>
        <v>1051.811025</v>
      </c>
      <c r="M141" s="3">
        <f>1836.8+(279.1-1087.9)+(0+(0-0))+0-7-0</f>
        <v>1021</v>
      </c>
      <c r="N141" s="3">
        <f>1830.3+(349.8-1071.9)+(2.800359+(0.535194-1.640007))+0-7-0.0107100000000004</f>
        <v>1102.8848359999997</v>
      </c>
      <c r="O141" s="3">
        <f>1817.3+(377.6-1001.1)+(4.634115+(0.96288-2.552805))+0-7-0.017849999999999</f>
        <v>1189.8263400000001</v>
      </c>
      <c r="P141" s="3">
        <f>1804.1+(356.6-891.3)+(2.760273+(0.545598-1.363689))+0-7-0.0107100000000004</f>
        <v>1264.3314720000001</v>
      </c>
      <c r="Q141" s="3">
        <f>1795.6+(334.8-828.9)+(0.915756+(0.170748-0.422739))+0-6-0.00305999999999939</f>
        <v>1296.160705</v>
      </c>
      <c r="R141" s="3">
        <f>1782.4+(335-817.6)+(-0.909024+(-0.17085--0.416976))+0-7--0.00356999999999929</f>
        <v>1292.1406720000002</v>
      </c>
      <c r="S141" s="3">
        <f>1775.3+(338.9-827.5)+(0+(0-0))+0-7-0</f>
        <v>1279.6999999999998</v>
      </c>
      <c r="T141" s="3">
        <f>1757.6+(273.5-736.9)+(-2.689128+(-0.418455--1.127457))+0-7--0.0107100000000004</f>
        <v>1285.2305839999999</v>
      </c>
      <c r="U141" s="3">
        <f>1756.6+(279.4-748.3)+(1.791732+(0.284988-0.763266))+0-7-0.00714000000000112</f>
        <v>1282.006314</v>
      </c>
      <c r="V141" s="3">
        <f>1756.3+(330.6-781)+(0.895713+(0.168606-0.39831))+0-7-0.00356999999999929</f>
        <v>1299.562439</v>
      </c>
      <c r="W141" s="3">
        <f>1751.3+(366.8-818.6)+(0.893163+(0.187068-0.417486))+0-7-0.00356999999999929</f>
        <v>1293.159175</v>
      </c>
      <c r="X141" s="3">
        <f>1753.6+(451-919.1)+(1.788672+(0.46002-0.937482))+0-7-0.00714000000000112</f>
        <v>1279.8040700000001</v>
      </c>
      <c r="Y141" s="3">
        <f>1763.6+(478.9-989.7)+(2.698308+(0.732717-1.514241))+0-7-0.0107100000000004</f>
        <v>1247.7060739999997</v>
      </c>
      <c r="Z141" s="3">
        <f>1782.8+(429.8-869)+(0+(0-0))+0-7-0</f>
        <v>1336.6</v>
      </c>
      <c r="AA141" s="3">
        <f>1804.2+(462-846.6)+(-1.840284+(-0.47124--0.863532))+0-7--0.00714000000000112</f>
        <v>1411.1591479999997</v>
      </c>
      <c r="AB141" s="3">
        <f>1813.1+(508.1-929.2)+(0.924681+(0.259131-0.473892))+0-7-0.00356999999999929</f>
        <v>1385.7063499999999</v>
      </c>
      <c r="AC141" s="3">
        <f>1821.5+(525.2-980.2)+(-0.928965+(-0.267852--0.499902))+0-7--0.00356999999999929</f>
        <v>1358.8066550000001</v>
      </c>
      <c r="AD141" s="2">
        <v>1368.9</v>
      </c>
      <c r="AE141" s="3">
        <f>1803+(466.3-856.4)+(0+(0-0))+0-7-0</f>
        <v>1405.9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1825.3+(482.1-1009.1)+(0+(0-0))+0-7-0</f>
        <v>1291.3</v>
      </c>
      <c r="G142" s="3">
        <f>1816.5+(488.3-1077.2)+(-2.779245+(-0.747099--1.648116))+0-7--0.0107100000000004</f>
        <v>1218.7324819999999</v>
      </c>
      <c r="H142" s="3">
        <f>1858.6+(483.4-1152.7)+(-1.895772+(-0.493068--1.175754))+0-7--0.00714000000000112</f>
        <v>1181.0940539999997</v>
      </c>
      <c r="I142" s="3">
        <f>1865+(499.8-1199.5)+(-2.85345+(-0.764694--1.835235))+0-7--0.0107100000000004</f>
        <v>1156.527801</v>
      </c>
      <c r="J142" s="3">
        <f>1871.3+(446.7-1163.8)+(2.863089+(0.683451-1.780614))+0-7-0.0107100000000004</f>
        <v>1148.9552160000001</v>
      </c>
      <c r="K142" s="3">
        <f>1838.9+(436.8-1148.8)+(-1.875678+(-0.445536--1.171776))+0-7--0.00714000000000112</f>
        <v>1118.7577020000001</v>
      </c>
      <c r="L142" s="3">
        <f>1836.5+(409.9-1172.3)+(0+(0-0))+0-6-0</f>
        <v>1068.0999999999999</v>
      </c>
      <c r="M142" s="3">
        <f>1841.9+(404.7-1180.2)+(1.878738+(0.412794-1.203804))+0-6-0.00612000000000096</f>
        <v>1061.4816080000001</v>
      </c>
      <c r="N142" s="3">
        <f>1838.3+(411-1132.2)+(1.875066+(0.41922-1.154844))+0-6-0.00612000000000096</f>
        <v>1112.2333219999998</v>
      </c>
      <c r="O142" s="3">
        <f>1843+(452.1-1100)+(1.87986+(0.461142-1.122))+0-7-0.00714000000000112</f>
        <v>1189.311862</v>
      </c>
      <c r="P142" s="3">
        <f>1832.6+(440.6-1005.5)+(4.67313+(1.12353-2.564025))+0-6-0.0152999999999991</f>
        <v>1264.9173349999999</v>
      </c>
      <c r="Q142" s="3">
        <f>1809.7+(412.5-901.1)+(2.768841+(0.631125-1.378683))+0-6-0.00918000000000035</f>
        <v>1317.1121029999999</v>
      </c>
      <c r="R142" s="3">
        <f>1786.7+(353.6-825.8)+(0+(0-0))+0-6-0</f>
        <v>1308.5</v>
      </c>
      <c r="S142" s="3">
        <f>1770.3+(331.2-809.4)+(0.902853+(0.168912-0.412794))+0-6-0.00305999999999939</f>
        <v>1286.755911</v>
      </c>
      <c r="T142" s="3">
        <f>1769.1+(301.1-777)+(-3.608964+(-0.614244--1.58508))+0-6--0.0122399999999997</f>
        <v>1284.5741119999998</v>
      </c>
      <c r="U142" s="3">
        <f>1769.1+(333.8-803.2)+(-2.706723+(-0.510714--1.228896))+0-6--0.00918000000000035</f>
        <v>1291.7206389999999</v>
      </c>
      <c r="V142" s="3">
        <f>1770.8+(356-824)+(0+(0-0))+0-6-0</f>
        <v>1296.8</v>
      </c>
      <c r="W142" s="3">
        <f>1771.3+(397.7-858.9)+(0+(0-0))+0-6-0</f>
        <v>1304.0999999999999</v>
      </c>
      <c r="X142" s="3">
        <f>1773.8+(478.5-967.6)+(-1.809276+(-0.48807--0.986952))+0-6--0.00612000000000096</f>
        <v>1277.3957259999997</v>
      </c>
      <c r="Y142" s="3">
        <f>1791.3+(441.1-988.8)+(2.740689+(0.674883-1.512864))+0-6-0.00918000000000035</f>
        <v>1239.493528</v>
      </c>
      <c r="Z142" s="3">
        <f>1815.5+(444.9-906.3)+(0+(0-0))+0-6-0</f>
        <v>1348.1</v>
      </c>
      <c r="AA142" s="3">
        <f>1832.4+(459.5-866.7)+(-2.803572+(-0.703035--1.326051))+0-6--0.00918000000000035</f>
        <v>1417.028624</v>
      </c>
      <c r="AB142" s="3">
        <f>1847+(495.8-944.3)+(-1.88394+(-0.505716--0.963186))+0-6--0.00612000000000096</f>
        <v>1391.0796499999999</v>
      </c>
      <c r="AC142" s="3">
        <f>1852.2+(516.6-1015.2)+(0.944622+(0.263466-0.517752))+0-6-0.00305999999999939</f>
        <v>1348.2872759999998</v>
      </c>
      <c r="AD142" s="2">
        <v>1418.6999999999998</v>
      </c>
      <c r="AE142" s="3">
        <f>1826+(454.7-862)+(0+(0-0))+0-6-0</f>
        <v>1412.7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1863.8+(501.3-1089)+(0.950538+(0.255663-0.55539))+0-6-0.00305999999999939</f>
        <v>1270.7477509999999</v>
      </c>
      <c r="G143" s="3">
        <f>1880.9+(525.7-1179.9)+(-0.959259+(-0.268107--0.601749))+0-6--0.00305999999999939</f>
        <v>1220.0774430000001</v>
      </c>
      <c r="H143" s="3">
        <f>1855.2+(507.6-1190.9)+(3.784608+(1.035504-2.429436))+0-6-0.0122399999999997</f>
        <v>1168.2784360000001</v>
      </c>
      <c r="I143" s="3">
        <f>1842.6+(484.6-1184.7)+(-4.69863+(-1.23573--3.020985))+0-6--0.0152999999999991</f>
        <v>1133.6019249999999</v>
      </c>
      <c r="J143" s="3">
        <f>1851.9+(491.2-1201.2)+(-2.833407+(-0.751536--1.837836))+0-6--0.00918000000000035</f>
        <v>1134.1620730000002</v>
      </c>
      <c r="K143" s="3">
        <f>1794.2+(511.4-1205.7)+(-2.745126+(-0.782442--1.844721))+0-6--0.00918000000000035</f>
        <v>1092.2263330000001</v>
      </c>
      <c r="L143" s="3">
        <f>1791.8+(499.1-1222)+(-3.655272+(-1.018164--2.49288))+0-6--0.0122399999999997</f>
        <v>1060.7316840000001</v>
      </c>
      <c r="M143" s="3">
        <f>1796.4+(459-1198)+(0+(0-0))+0-6-0</f>
        <v>1051.4000000000001</v>
      </c>
      <c r="N143" s="3">
        <f>1802.7+(430.9-1120.7)+(1.838754+(0.439518-1.143114))+0-6-0.00612000000000096</f>
        <v>1108.0290380000001</v>
      </c>
      <c r="O143" s="3">
        <f>1791.6+(456.1-1078.6)+(0.913716+(0.232611-0.550086))+0-6-0.00305999999999939</f>
        <v>1163.6931809999999</v>
      </c>
      <c r="P143" s="3">
        <f>1784.2+(418-982.9)+(1.819884+(0.42636-1.002558))+0-6-0.00612000000000096</f>
        <v>1214.5375660000002</v>
      </c>
      <c r="Q143" s="3">
        <f>1777.1+(419.3-929)+(1.812642+(0.427686-0.94758))+0-6-0.00612000000000096</f>
        <v>1262.6866279999999</v>
      </c>
      <c r="R143" s="3">
        <f>1764.7+(398-899.4)+(0.899997+(0.20298-0.458694))+0-6-0.00305999999999939</f>
        <v>1257.9412230000003</v>
      </c>
      <c r="S143" s="3">
        <f>1761.4+(390-909.9)+(-0.898314+(-0.1989--0.464049))+0-6--0.00305999999999939</f>
        <v>1234.869895</v>
      </c>
      <c r="T143" s="3">
        <f>1767.2+(361.8-888.2)+(0.901272+(0.184518-0.452982))+0-6-0.00305999999999939</f>
        <v>1235.429748</v>
      </c>
      <c r="U143" s="3">
        <f>1760.8+(352.7-860.5)+(-0.898008+(-0.179877--0.438855))+0-6--0.00305999999999939</f>
        <v>1246.36403</v>
      </c>
      <c r="V143" s="3">
        <f>1756.5+(408.8-903.9)+(0.895815+(0.208488-0.460989))+0-6-0.00305999999999939</f>
        <v>1256.040254</v>
      </c>
      <c r="W143" s="3">
        <f>1760.7+(449.7-947.8)+(-0.897957+(-0.229347--0.483378))+0-6--0.00305999999999939</f>
        <v>1255.9591340000002</v>
      </c>
      <c r="X143" s="3">
        <f>1758.1+(517.7-1025.9)+(-2.689893+(-0.792081--1.569627))+0-6--0.00918000000000035</f>
        <v>1241.9968329999999</v>
      </c>
      <c r="Y143" s="3">
        <f>1731+(516.2-1027.9)+(-4.41405+(-1.31631--2.621145))+0-6--0.0152999999999991</f>
        <v>1210.206085</v>
      </c>
      <c r="Z143" s="3">
        <f>1818.9+(554.4-1034)+(0+(0-0))+0-6-0</f>
        <v>1333.3000000000002</v>
      </c>
      <c r="AA143" s="3">
        <f>1838+(558.1-990.4)+(-6.56166+(-1.992417--3.535728))+0-6--0.0214200000000001</f>
        <v>1394.7030710000001</v>
      </c>
      <c r="AB143" s="3">
        <f>1805.2+(551.9-997.9)+(0+(0-0))+0-6-0</f>
        <v>1353.2</v>
      </c>
      <c r="AC143" s="3">
        <f>1808.9+(589.1-1077)+(0.922539+(0.300441-0.54927))+0-6-0.00305999999999939</f>
        <v>1315.67065</v>
      </c>
      <c r="AD143" s="2">
        <v>1386.1000000000001</v>
      </c>
      <c r="AE143" s="3">
        <f>1825+(543.8-982.7)+(0+(0-0))+0-6-0</f>
        <v>1380.1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1820.1+(611-1152.7)+(3.713004+(1.24644-2.351508))+0-7-0.0142799999999997</f>
        <v>1273.9936559999999</v>
      </c>
      <c r="G144" s="3">
        <f>1820.2+(586.2-1179.6)+(1.856604+(0.597924-1.203192))+0-7-0.00714000000000112</f>
        <v>1221.0441960000003</v>
      </c>
      <c r="H144" s="3">
        <f>1820.3+(610.9-1241.3)+(-1.856706+(-0.623118--1.266126))+0-7--0.00714000000000112</f>
        <v>1181.693442</v>
      </c>
      <c r="I144" s="3">
        <f>1800+(606.2-1245.8)+(-0.918+(-0.309162--0.635358))+0-7--0.00356999999999929</f>
        <v>1152.8117660000003</v>
      </c>
      <c r="J144" s="3">
        <f>1709.7+(552.9-1140.3)+(-3.487788+(-1.127916--2.326212))+0-7--0.0142799999999997</f>
        <v>1113.0247880000002</v>
      </c>
      <c r="K144" s="3">
        <f>1662.4+(579.6-1151.9)+(-1.695648+(-0.591192--1.174938))+0-7--0.00714000000000112</f>
        <v>1081.9952379999997</v>
      </c>
      <c r="L144" s="3">
        <f>1662.9+(509.5-1147.3)+(-1.696158+(-0.51969--1.170246))+0-6--0.00612000000000096</f>
        <v>1018.0605180000002</v>
      </c>
      <c r="M144" s="3">
        <f>1611.5+(548.8-1123.2)+(0+(0-0))+0-6-0</f>
        <v>1031.0999999999999</v>
      </c>
      <c r="N144" s="3">
        <f>1470.4+(588.7-1032.7)+(0+(0-0))+0-6-0</f>
        <v>1020.4000000000001</v>
      </c>
      <c r="O144" s="3">
        <f>1450.5+(592-1000.8)+(-0.739755+(-0.30192--0.510408))+0-6--0.00305999999999939</f>
        <v>1035.171793</v>
      </c>
      <c r="P144" s="3">
        <f>1484.9+(612.1-1000.5)+(0.757299+(0.312171-0.510255))+0-6-0.00305999999999939</f>
        <v>1091.056155</v>
      </c>
      <c r="Q144" s="3">
        <f>1640.9+(615.7-1088.3)+(1.673718+(0.628014-1.110066))+0-6-0.00612000000000096</f>
        <v>1163.4855460000001</v>
      </c>
      <c r="R144" s="3">
        <f>1743.1+(621.9-1159.7)+(0.888981+(0.317169-0.591447))+0-6-0.00305999999999939</f>
        <v>1199.9116429999997</v>
      </c>
      <c r="S144" s="3">
        <f>1756.6+(547.7-1107)+(2.687598+(0.837981-1.69371))+0-6-0.00918000000000035</f>
        <v>1193.122689</v>
      </c>
      <c r="T144" s="3">
        <f>1749.1+(515-1075.2)+(-1.784082+(-0.5253--1.096704))+0-6--0.00612000000000096</f>
        <v>1181.6934419999998</v>
      </c>
      <c r="U144" s="3">
        <f>1754.8+(506.8-1059.6)+(1.789896+(0.516936-1.080792))+0-6-0.00612000000000096</f>
        <v>1197.21992</v>
      </c>
      <c r="V144" s="3">
        <f>1742.2+(532.2-1064.9)+(0.888522+(0.271422-0.543099))+0-6-0.00305999999999939</f>
        <v>1204.113785</v>
      </c>
      <c r="W144" s="3">
        <f>1741.1+(534-1068.1)+(-1.775922+(-0.54468--1.089462))+0-6--0.00612000000000096</f>
        <v>1199.7749799999999</v>
      </c>
      <c r="X144" s="3">
        <f>1738.7+(605.2-1139.5)+(-3.546948+(-1.234608--2.32458))+0-6--0.0122399999999997</f>
        <v>1195.9552640000002</v>
      </c>
      <c r="Y144" s="3">
        <f>1755+(491.5-1084.2)+(-0.89505+(-0.250665--0.552942))+0-6--0.00305999999999939</f>
        <v>1155.7102869999999</v>
      </c>
      <c r="Z144" s="3">
        <f>1778.8+(429.6-942.3)+(0+(0-0))+0-6-0</f>
        <v>1260.0999999999999</v>
      </c>
      <c r="AA144" s="3">
        <f>1785.9+(426-876.8)+(-3.643236+(-0.86904--1.788672))+0-6--0.0122399999999997</f>
        <v>1326.3886360000001</v>
      </c>
      <c r="AB144" s="3">
        <f>1795.3+(433.6-920.1)+(-0.915603+(-0.221136--0.469251))+0-6--0.00305999999999939</f>
        <v>1302.1355719999999</v>
      </c>
      <c r="AC144" s="3">
        <f>1816.4+(429.6-975.7)+(-0.926364+(-0.219096--0.497607))+0-6--0.00305999999999939</f>
        <v>1263.6552070000002</v>
      </c>
      <c r="AD144" s="2">
        <v>1332.1</v>
      </c>
      <c r="AE144" s="3">
        <f>1783+(429.6-880.5)+(0+(0-0))+0-6-0</f>
        <v>1326.1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1820+(471.5-1062.2)+(-2.7846+(-0.721395--1.625166))+0-6--0.00918000000000035</f>
        <v>1221.428351</v>
      </c>
      <c r="G145" s="3">
        <f>1837.6+(578.3-1221.8)+(-3.748704+(-1.179732--2.492472))+0-6--0.0122399999999997</f>
        <v>1185.6762759999999</v>
      </c>
      <c r="H145" s="3">
        <f>1836.2+(590.9-1275.1)+(-4.68231+(-1.506795--3.251505))+0-6--0.0152999999999991</f>
        <v>1143.0777</v>
      </c>
      <c r="I145" s="3">
        <f>1850.8+(544.2-1274)+(-2.831724+(-0.832626--1.94922))+0-6--0.00918000000000035</f>
        <v>1113.29405</v>
      </c>
      <c r="J145" s="3">
        <f>1848.7+(502.4-1237.8)+(-2.828511+(-0.768672--1.893834))+0-6--0.00918000000000035</f>
        <v>1105.6058310000003</v>
      </c>
      <c r="K145" s="3">
        <f>1840.1+(530.1-1272.5)+(-4.692255+(-1.351755--3.244875))+0-6--0.0152999999999991</f>
        <v>1088.9161649999999</v>
      </c>
      <c r="L145" s="3">
        <f>1777.3+(481.7-1224.9)+(-0.906423+(-0.245667--0.624699))+0-6--0.00305999999999939</f>
        <v>1027.5756689999998</v>
      </c>
      <c r="M145" s="3">
        <f>1773+(466.4-1204.8)+(0.90423+(0.237864-0.614448))+0-6-0.00305999999999939</f>
        <v>1029.1245859999999</v>
      </c>
      <c r="N145" s="3">
        <f>1817+(475.9-1191.4)+(1.85334+(0.485418-1.215228))+0-6-0.00612000000000096</f>
        <v>1096.6174100000001</v>
      </c>
      <c r="O145" s="3">
        <f>1837.3+(475.4-1142.7)+(1.874046+(0.484908-1.165554))+0-6-0.00612000000000096</f>
        <v>1165.1872800000001</v>
      </c>
      <c r="P145" s="3">
        <f>1813.3+(467.8-1054.6)+(0.924783+(0.238578-0.537846))+0-6-0.00305999999999939</f>
        <v>1221.1224549999999</v>
      </c>
      <c r="Q145" s="3">
        <f>1777.1+(400-917)+(0+(0-0))+0-6-0</f>
        <v>1254.0999999999999</v>
      </c>
      <c r="R145" s="3">
        <f>1789.7+(352.1-869.5)+(0+(0-0))+0-6-0</f>
        <v>1266.3000000000002</v>
      </c>
      <c r="S145" s="3">
        <f>1773.8+(356.8-872.4)+(-2.713914+(-0.545904--1.334772))+0-6--0.00918000000000035</f>
        <v>1250.284134</v>
      </c>
      <c r="T145" s="3">
        <f>1770.3+(329.2-835.3)+(-3.611412+(-0.671568--1.704012))+0-6--0.0122399999999997</f>
        <v>1255.633272</v>
      </c>
      <c r="U145" s="3">
        <f>1765.9+(355.8-850.3)+(-0.900609+(-0.181458--0.433653))+0-6--0.00305999999999939</f>
        <v>1264.7546460000001</v>
      </c>
      <c r="V145" s="3">
        <f>1756.3+(385.8-852.8)+(-2.687139+(-0.590274--1.304784))+0-6--0.00918000000000035</f>
        <v>1281.3365509999999</v>
      </c>
      <c r="W145" s="3">
        <f>1758.5+(332.7-813.1)+(-0.896835+(-0.169677--0.414681))+0-6--0.00305999999999939</f>
        <v>1271.451229</v>
      </c>
      <c r="X145" s="3">
        <f>1757.7+(396.4-903.5)+(-0.896427+(-0.202164--0.460785))+0-6--0.00305999999999939</f>
        <v>1243.965254</v>
      </c>
      <c r="Y145" s="3">
        <f>1761.1+(430.7-965.9)+(0.898161+(0.219657-0.492609))+0-6-0.00305999999999939</f>
        <v>1220.5221489999999</v>
      </c>
      <c r="Z145" s="3">
        <f>1768.4+(420.1-848.8)+(-1.803768+(-0.428502--0.865776))+0-6--0.00612000000000096</f>
        <v>1332.3396260000002</v>
      </c>
      <c r="AA145" s="3">
        <f>1777.1+(411.1-782.7)+(-2.718963+(-0.628983--1.197531))+0-6--0.00918000000000035</f>
        <v>1397.3587649999999</v>
      </c>
      <c r="AB145" s="3">
        <f>1793.2+(441.2-861.7)+(-0.914532+(-0.225012--0.439467))+0-6--0.00305999999999939</f>
        <v>1366.0029830000001</v>
      </c>
      <c r="AC145" s="3">
        <f>1809+(432.8-920)+(0+(0-0))+0-6-0</f>
        <v>1315.8</v>
      </c>
      <c r="AD145" s="2">
        <v>1407.7</v>
      </c>
      <c r="AE145" s="3">
        <f>1776+(402-770.3)+(0+(0-0))+0-6-0</f>
        <v>1401.7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1810.2+(392.9-955.1)+(-1.846404+(-0.400758--0.974202))+0-6--0.00612000000000096</f>
        <v>1240.73316</v>
      </c>
      <c r="G146" s="3">
        <f>1803.5+(469.3-1073.1)+(-5.51871+(-1.436058--3.283686))+0-6--0.0183600000000007</f>
        <v>1190.047278</v>
      </c>
      <c r="H146" s="3">
        <f>1816.7+(474.1-1131.5)+(-1.853034+(-0.483582--1.15413))+0-6--0.00612000000000096</f>
        <v>1152.1236340000003</v>
      </c>
      <c r="I146" s="3">
        <f>1829.2+(413.2-1122.8)+(1.865784+(0.421464-1.145256))+0-6-0.00612000000000096</f>
        <v>1114.7358720000002</v>
      </c>
      <c r="J146" s="3">
        <f>1824.9+(416.7-1116.1)+(-3.722796+(-0.850068--2.276844))+0-6--0.0122399999999997</f>
        <v>1117.2162200000002</v>
      </c>
      <c r="K146" s="3">
        <f>1796.2+(423-1116.3)+(-0.916062+(-0.21573--0.569313))+0-6--0.00305999999999939</f>
        <v>1096.3405810000002</v>
      </c>
      <c r="L146" s="3">
        <f>1751.4+(455.2-1150.1)+(0+(0-0))+0-6-0</f>
        <v>1050.5000000000002</v>
      </c>
      <c r="M146" s="3">
        <f>1754.8+(435.8-1153.5)+(1.789896+(0.444516-1.17657))+0-6-0.00612000000000096</f>
        <v>1032.1517219999998</v>
      </c>
      <c r="N146" s="3">
        <f>1757.4+(365-1048.5)+(3.585096+(0.7446-2.13894))+0-6-0.0122399999999997</f>
        <v>1070.078516</v>
      </c>
      <c r="O146" s="3">
        <f>1813.1+(413.9-1052.1)+(2.774043+(0.633267-1.609713))+0-6-0.00918000000000035</f>
        <v>1170.6884170000001</v>
      </c>
      <c r="P146" s="3">
        <f>1809.7+(490.8-1045.6)+(1.845894+(0.500616-1.066512))+0-6-0.00612000000000096</f>
        <v>1250.1738780000001</v>
      </c>
      <c r="Q146" s="3">
        <f>1808.1+(435.2-924.3)+(0.922131+(0.221952-0.471393))+0-6-0.00305999999999939</f>
        <v>1313.6696300000001</v>
      </c>
      <c r="R146" s="3">
        <f>1799.8+(386.5-861)+(-0.917898+(-0.197115--0.43911))+0-6--0.00305999999999939</f>
        <v>1318.6271569999999</v>
      </c>
      <c r="S146" s="3">
        <f>1768.8+(394.9-858.9)+(0+(0-0))+0-6-0</f>
        <v>1298.8</v>
      </c>
      <c r="T146" s="3">
        <f>1777.6+(344.3-826.6)+(0+(0-0))+0-6-0</f>
        <v>1289.3</v>
      </c>
      <c r="U146" s="3">
        <f>1765+(362.2-830.3)+(-0.90015+(-0.184722--0.423453))+0-6--0.00305999999999939</f>
        <v>1290.2416410000001</v>
      </c>
      <c r="V146" s="3">
        <f>1768.6+(264.1-742.8)+(0+(0-0))+0-6-0</f>
        <v>1283.9000000000001</v>
      </c>
      <c r="W146" s="3">
        <f>1766.6+(358.2-835.2)+(-1.801932+(-0.365364--0.851904))+0-6--0.00612000000000096</f>
        <v>1282.2907279999999</v>
      </c>
      <c r="X146" s="3">
        <f>1765.4+(414.2-908)+(-2.701062+(-0.633726--1.38924))+0-6--0.00918000000000035</f>
        <v>1263.6636320000002</v>
      </c>
      <c r="Y146" s="3">
        <f>1737.2+(433.2-918.2)+(-0.885972+(-0.220932--0.468282))+0-6--0.00305999999999939</f>
        <v>1245.5644380000001</v>
      </c>
      <c r="Z146" s="3">
        <f>1777.5+(375-790.8)+(-0.906525+(-0.19125--0.403308))+0-6--0.00305999999999939</f>
        <v>1355.008593</v>
      </c>
      <c r="AA146" s="3">
        <f>1786.2+(355.1-721.7)+(-3.643848+(-0.724404--1.472268))+0-6--0.0122399999999997</f>
        <v>1410.7162559999999</v>
      </c>
      <c r="AB146" s="3">
        <f>1801.9+(385.3-800.3)+(-1.837938+(-0.393006--0.816306))+0-6--0.00612000000000096</f>
        <v>1379.4914820000001</v>
      </c>
      <c r="AC146" s="3">
        <f>1812.5+(364.3-853)+(1.84875+(0.371586-0.87006))+0-6-0.00612000000000096</f>
        <v>1319.1441559999998</v>
      </c>
      <c r="AD146" s="2">
        <v>1432.6</v>
      </c>
      <c r="AE146" s="3">
        <f>1787+(354.6-709)+(0+(0-0))+0-6-0</f>
        <v>1426.6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1823.6+(317.8-892.8)+(1.860072+(0.324156-0.910656))+0-6-0.00612000000000096</f>
        <v>1243.867452</v>
      </c>
      <c r="G147" s="3">
        <f>1829.3+(380.8-1012.3)+(0.932943+(0.194208-0.516273))+0-6-0.00305999999999939</f>
        <v>1192.4078179999999</v>
      </c>
      <c r="H147" s="3">
        <f>1826.6+(470.8-1132.3)+(0+(0-0))+0-6-0</f>
        <v>1159.0999999999999</v>
      </c>
      <c r="I147" s="3">
        <f>1784.8+(534.1-1171.3)+(3.640992+(1.089564-2.389452))+0-6-0.0122399999999997</f>
        <v>1143.928864</v>
      </c>
      <c r="J147" s="3">
        <f>1793.9+(506.9-1160.8)+(-0.914889+(-0.258519--0.592008))+0-6--0.00305999999999939</f>
        <v>1133.42166</v>
      </c>
      <c r="K147" s="3">
        <f>1798.8+(494.1-1191.1)+(-4.58694+(-1.259955--3.037305))+0-6--0.0152999999999991</f>
        <v>1093.0057100000001</v>
      </c>
      <c r="L147" s="3">
        <f>1809.4+(413.2-1174.3)+(-4.61397+(-1.05366--2.994465))+0-6--0.0152999999999991</f>
        <v>1039.6421350000003</v>
      </c>
      <c r="M147" s="3">
        <f>1830.3+(360.5-1146.8)+(2.800359+(0.551565-1.754604))+0-6-0.00918000000000035</f>
        <v>1039.5881400000001</v>
      </c>
      <c r="N147" s="3">
        <f>1837+(366-1092.1)+(0.93687+(0.18666-0.556971))+0-6-0.00305999999999939</f>
        <v>1105.4634990000002</v>
      </c>
      <c r="O147" s="3">
        <f>1855.2+(353.5-1016.3)+(0.946152+(0.180285-0.518313))+0-6-0.00305999999999939</f>
        <v>1187.0050640000002</v>
      </c>
      <c r="P147" s="3">
        <f>1830.4+(391.4-975.3)+(2.800512+(0.598842-1.492209))+0-6-0.00918000000000035</f>
        <v>1242.3979649999999</v>
      </c>
      <c r="Q147" s="3">
        <f>1809.8+(346.8-869.1)+(2.768994+(0.530604-1.329723))+0-6-0.00918000000000035</f>
        <v>1283.460695</v>
      </c>
      <c r="R147" s="3">
        <f>1813.2+(322.1-833.2)+(0+(0-0))+0-6-0</f>
        <v>1296.0999999999999</v>
      </c>
      <c r="S147" s="3">
        <f>1795.6+(329.1-831.8)+(-2.747268+(-0.503523--1.272654))+0-6--0.00918000000000035</f>
        <v>1284.931043</v>
      </c>
      <c r="T147" s="3">
        <f>1789.9+(319.8-825.8)+(0.912849+(0.163098-0.421158))+0-6-0.00305999999999939</f>
        <v>1278.551729</v>
      </c>
      <c r="U147" s="3">
        <f>1785.6+(338.1-821.1)+(-0.910656+(-0.172431--0.418761))+0-6--0.00305999999999939</f>
        <v>1295.9387339999998</v>
      </c>
      <c r="V147" s="3">
        <f>1781.1+(370.1-854.3)+(-3.633444+(-0.755004--1.742772))+0-6--0.0122399999999997</f>
        <v>1288.266564</v>
      </c>
      <c r="W147" s="3">
        <f>1772.6+(414.6-890.5)+(-6.328182+(-1.480122--3.179085))+0-6--0.0214200000000001</f>
        <v>1286.0922009999999</v>
      </c>
      <c r="X147" s="3">
        <f>1774.7+(439.3-937.9)+(-1.810194+(-0.448086--0.956658))+0-6--0.00612000000000096</f>
        <v>1268.8044980000002</v>
      </c>
      <c r="Y147" s="3">
        <f>1787.5+(409.1-953.8)+(0.911625+(0.208641-0.486438))+0-6-0.00305999999999939</f>
        <v>1237.4307680000002</v>
      </c>
      <c r="Z147" s="3">
        <f>1804+(355.2-802.1)+(1.84008+(0.362304-0.818142))+0-6-0.00612000000000096</f>
        <v>1352.478122</v>
      </c>
      <c r="AA147" s="3">
        <f>1822.7+(385.3-795.9)+(-3.718308+(-0.786012--1.623636))+0-6--0.0122399999999997</f>
        <v>1403.2315560000002</v>
      </c>
      <c r="AB147" s="3">
        <f>1836.5+(449-890.6)+(-3.74646+(-0.91596--1.816824))+0-6--0.0122399999999997</f>
        <v>1386.0666440000002</v>
      </c>
      <c r="AC147" s="3">
        <f>1845.4+(496.2-993.8)+(0.941154+(0.253062-0.506838))+0-6-0.00305999999999939</f>
        <v>1342.4843180000003</v>
      </c>
      <c r="AD147" s="2">
        <v>1407.8999999999999</v>
      </c>
      <c r="AE147" s="3">
        <f>1794+(344.6-724.7)+(0+(0-0))+0-6-0</f>
        <v>1407.9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1856.8+(468.1-1037.5)+(0.946968+(0.238731-0.529125))+0-6-0.00305999999999939</f>
        <v>1282.0535140000002</v>
      </c>
      <c r="G148" s="3">
        <f>1870.3+(492.5-1139.1)+(0+(0-0))+0-6-0</f>
        <v>1217.7</v>
      </c>
      <c r="H148" s="3">
        <f>1831.4+(530.9-1183.5)+(-1.868028+(-0.541518--1.20717))+0-6--0.00612000000000096</f>
        <v>1171.6037440000002</v>
      </c>
      <c r="I148" s="3">
        <f>1756+(548.9-1156.8)+(0+(0-0))+0-6-0</f>
        <v>1142.0999999999999</v>
      </c>
      <c r="J148" s="3">
        <f>1750.2+(513.4-1119.5)+(-2.677806+(-0.785502--1.712835))+0-6--0.00918000000000035</f>
        <v>1136.3587069999999</v>
      </c>
      <c r="K148" s="3">
        <f>1762.3+(524.5-1161.2)+(-5.392638+(-1.60497--3.553272))+0-6--0.0183600000000007</f>
        <v>1116.1740239999999</v>
      </c>
      <c r="L148" s="3">
        <f>1770.3+(484.2-1175.3)+(-1.805706+(-0.493884--1.198806))+0-6--0.00612000000000096</f>
        <v>1072.1053360000001</v>
      </c>
      <c r="M148" s="3">
        <f>1770.5+(445.8-1166.6)+(0+(0-0))+0-6-0</f>
        <v>1043.7</v>
      </c>
      <c r="N148" s="3">
        <f>1768.4+(431.2-1079)+(0+(0-0))+0-6-0</f>
        <v>1114.6000000000001</v>
      </c>
      <c r="O148" s="3">
        <f>1801.8+(415.1-1013.3)+(1.837836+(0.423402-1.033566))+0-6-0.00612000000000096</f>
        <v>1198.8215519999999</v>
      </c>
      <c r="P148" s="3">
        <f>1777.7+(399.2-926.8)+(1.813254+(0.407184-0.945336))+0-6-0.00612000000000096</f>
        <v>1245.3689820000002</v>
      </c>
      <c r="Q148" s="3">
        <f>1788.2+(340-823.5)+(0+(0-0))+0-6-0</f>
        <v>1298.7</v>
      </c>
      <c r="R148" s="3">
        <f>1772.1+(277.1-751.8)+(0.903771+(0.141321-0.383418))+0-4-0.00203999999999959</f>
        <v>1294.059634</v>
      </c>
      <c r="S148" s="3">
        <f>1753.8+(288.1-766.9)+(-2.683314+(-0.440793--1.173357))+0-4--0.00612000000000023</f>
        <v>1269.05537</v>
      </c>
      <c r="T148" s="3">
        <f>1748.3+(280.4-741)+(-0.891633+(-0.143004--0.37791))+0-4--0.00203999999999959</f>
        <v>1283.0453129999999</v>
      </c>
      <c r="U148" s="3">
        <f>1776.8+(278.3-758.9)+(-2.718504+(-0.425799--1.161117))+0-4--0.00612000000000023</f>
        <v>1290.2229340000001</v>
      </c>
      <c r="V148" s="3">
        <f>1779.1+(298.7-770.4)+(-2.722023+(-0.457011--1.178712))+0-4--0.00612000000000023</f>
        <v>1301.4057979999998</v>
      </c>
      <c r="W148" s="3">
        <f>1749.3+(335.7-802.1)+(-4.460715+(-0.856035--2.045355))+0-4--0.0101999999999994</f>
        <v>1275.6388049999998</v>
      </c>
      <c r="X148" s="3">
        <f>1744+(423.8-913)+(-6.22608+(-1.512966--3.25941))+0-4--0.0142800000000001</f>
        <v>1246.334644</v>
      </c>
      <c r="Y148" s="3">
        <f>1753.4+(458.2-954.2)+(0+(0-0))+0-4-0</f>
        <v>1253.4000000000001</v>
      </c>
      <c r="Z148" s="3">
        <f>1768.3+(380.6-763.2)+(0.901833+(0.194106-0.389232))+0-4-0.00203999999999959</f>
        <v>1382.4046669999998</v>
      </c>
      <c r="AA148" s="3">
        <f>1790.2+(345.3-711.8)+(-5.478012+(-1.056618--2.178108))+0-4--0.0122400000000005</f>
        <v>1415.355718</v>
      </c>
      <c r="AB148" s="3">
        <f>1803.3+(395.4-810.1)+(-5.518098+(-1.209924--2.478906))+0-4--0.0122400000000005</f>
        <v>1380.363124</v>
      </c>
      <c r="AC148" s="3">
        <f>1807.1+(407.3-876.7)+(1.843242+(0.415446-0.894234))+0-4-0.00408000000000064</f>
        <v>1335.0603739999999</v>
      </c>
      <c r="AD148" s="2">
        <v>1501.5000000000002</v>
      </c>
      <c r="AE148" s="3">
        <f>1771+(403.8-669.3)+(0+(0-0))+0-4-0</f>
        <v>1501.5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1803.7+(416.7-953.3)+(0+(0-0))+0-4-0</f>
        <v>1263.1000000000001</v>
      </c>
      <c r="G149" s="3">
        <f>1817.8+(476.8-1099.1)+(0.927078+(0.243168-0.560541))+0-4-0.00203999999999959</f>
        <v>1192.107665</v>
      </c>
      <c r="H149" s="3">
        <f>1837.7+(502.4-1180.6)+(0+(0-0))+0-4-0</f>
        <v>1155.5</v>
      </c>
      <c r="I149" s="3">
        <f>1833+(465.2-1160.2)+(-1.86966+(-0.474504--1.183404))+0-4--0.00408000000000064</f>
        <v>1132.8433199999999</v>
      </c>
      <c r="J149" s="3">
        <f>1822.6+(424.4-1131.6)+(4.64763+(1.08222-2.88558))+0-4-0.0101999999999994</f>
        <v>1114.2340700000002</v>
      </c>
      <c r="K149" s="3">
        <f>1775.2+(450-1134.9)+(-4.52676+(-1.1475--2.893995))+0-4--0.0101999999999994</f>
        <v>1083.5299349999998</v>
      </c>
      <c r="L149" s="3">
        <f>1722.9+(480.7-1156.2)+(-5.272074+(-1.470942--3.537972))+0-4--0.0122400000000005</f>
        <v>1040.2071960000001</v>
      </c>
      <c r="M149" s="3">
        <f>1716.9+(423.2-1108.7)+(2.626857+(0.647496-1.696311))+0-4-0.00612000000000023</f>
        <v>1028.9719220000002</v>
      </c>
      <c r="N149" s="3">
        <f>1727.3+(390.1-1024.5)+(0.880923+(0.198951-0.522495))+0-4-0.00203999999999959</f>
        <v>1089.4553390000001</v>
      </c>
      <c r="O149" s="3">
        <f>1779.1+(387.9-982.6)+(0.907341+(0.197829-0.501126))+0-4-0.00203999999999959</f>
        <v>1181.0020039999997</v>
      </c>
      <c r="P149" s="3">
        <f>1800.7+(358.6-926.9)+(2.755071+(0.548658-1.418157))+0-4-0.00612000000000023</f>
        <v>1230.279452</v>
      </c>
      <c r="Q149" s="3">
        <f>1803.5+(299.5-821.7)+(0+(0-0))+0-4-0</f>
        <v>1277.3</v>
      </c>
      <c r="R149" s="3">
        <f>1795.5+(285.2-787.2)+(-1.83141+(-0.290904--0.802944))+0-4--0.00408000000000064</f>
        <v>1288.18471</v>
      </c>
      <c r="S149" s="3">
        <f>1790.4+(262.7-776.4)+(0+(0-0))+0-4-0</f>
        <v>1272.7</v>
      </c>
      <c r="T149" s="3">
        <f>1780.2+(224.5-718.3)+(-0.907902+(-0.114495--0.366333))+0-4--0.00203999999999959</f>
        <v>1281.7459760000002</v>
      </c>
      <c r="U149" s="3">
        <f>1770.4+(218.5-708.1)+(-1.805808+(-0.22287--0.722262))+0-4--0.00408000000000064</f>
        <v>1275.4976640000002</v>
      </c>
      <c r="V149" s="3">
        <f>1766.9+(236.3-719.4)+(-1.802238+(-0.241026--0.733788))+0-4--0.00408000000000064</f>
        <v>1278.4946040000002</v>
      </c>
      <c r="W149" s="3">
        <f>1765.6+(243.7-733.2)+(-0.900456+(-0.124287--0.373932))+0-4--0.00203999999999959</f>
        <v>1271.451229</v>
      </c>
      <c r="X149" s="3">
        <f>1767.9+(300-819.7)+(-3.606516+(-0.612--1.672188))+0-4--0.00815999999999983</f>
        <v>1241.6618320000002</v>
      </c>
      <c r="Y149" s="3">
        <f>1773.7+(335.1-873)+(-1.809174+(-0.341802--0.89046))+0-4--0.00408000000000064</f>
        <v>1230.5435640000001</v>
      </c>
      <c r="Z149" s="3">
        <f>1770.7+(323.6-733.7)+(-0.903057+(-0.165036--0.374187))+0-4--0.00203999999999959</f>
        <v>1355.908134</v>
      </c>
      <c r="AA149" s="3">
        <f>1792.1+(322.5-695.5)+(-0.913971+(-0.164475--0.354705))+0-4--0.00203999999999959</f>
        <v>1414.378299</v>
      </c>
      <c r="AB149" s="3">
        <f>1788.9+(317.3-722.8)+(-4.561695+(-0.809115--1.84314))+0-4--0.0101999999999994</f>
        <v>1375.8825300000001</v>
      </c>
      <c r="AC149" s="3">
        <f>1804.7+(348.8-824.2)+(-0.920397+(-0.177888--0.420342))+0-4--0.00203999999999959</f>
        <v>1324.6240970000001</v>
      </c>
      <c r="AD149" s="2">
        <v>1396.4</v>
      </c>
      <c r="AE149" s="3">
        <f>1790+(322.8-710.4)+(0+(0-0))+0-6-0</f>
        <v>1396.4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1806.2+(376.2-911.8)+(0+(0-0))+0-4-0</f>
        <v>1266.6000000000001</v>
      </c>
      <c r="G150" s="3">
        <f>1777.5+(358.2-949)+(-3.6261+(-0.730728--1.93596))+0-4--0.00815999999999983</f>
        <v>1180.2872920000002</v>
      </c>
      <c r="H150" s="3">
        <f>1813+(370.3-1043.4)+(-2.77389+(-0.566559--1.596402))+0-4--0.00612000000000023</f>
        <v>1134.162073</v>
      </c>
      <c r="I150" s="3">
        <f>1820.3+(392.8-1091.6)+(-4.641765+(-1.00164--2.78358))+0-4--0.0101999999999994</f>
        <v>1114.6503749999999</v>
      </c>
      <c r="J150" s="3">
        <f>1859+(415.4-1141.3)+(1.89618+(0.423708-1.164126))+0-4-0.00408000000000064</f>
        <v>1130.2516820000001</v>
      </c>
      <c r="K150" s="3">
        <f>1853.3+(422.6-1165.4)+(-4.725915+(-1.07763--2.97177))+0-4--0.0101999999999994</f>
        <v>1103.6784249999998</v>
      </c>
      <c r="L150" s="3">
        <f>1810.1+(367.1-1124.2)+(-4.615755+(-0.936105--2.86671))+0-4--0.0101999999999994</f>
        <v>1046.3250499999999</v>
      </c>
      <c r="M150" s="3">
        <f>1763.5+(370.8-1095.6)+(0.899385+(0.189108-0.558756))+0-4-0.00203999999999959</f>
        <v>1035.227697</v>
      </c>
      <c r="N150" s="3">
        <f>1740+(375.6-1008.7)+(1.7748+(0.383112-1.028874))+0-4-0.00408000000000064</f>
        <v>1104.0249580000002</v>
      </c>
      <c r="O150" s="3">
        <f>1734.1+(404.2-907.3)+(2.653173+(0.618426-1.388169))+0-4-0.00612000000000023</f>
        <v>1228.8773100000001</v>
      </c>
      <c r="P150" s="3">
        <f>1733.3+(395.5-839.2)+(-0.883983+(-0.201705--0.427992))+0-4--0.00203999999999959</f>
        <v>1284.944344</v>
      </c>
      <c r="Q150" s="3">
        <f>1677.3+(362.3-747.2)+(1.710846+(0.369546-0.762144))+0-4-0.00408000000000064</f>
        <v>1289.714168</v>
      </c>
      <c r="R150" s="3">
        <f>1658.9+(333.7-704.7)+(-1.692078+(-0.340374--0.718794))+0-0-0</f>
        <v>1286.5863420000001</v>
      </c>
      <c r="S150" s="3">
        <f>1653.2+(335.5-729)+(0.843132+(0.171105-0.37179))+0-0-0</f>
        <v>1260.342447</v>
      </c>
      <c r="T150" s="3">
        <f>1645.7+(303.1-696.4)+(0+(0-0))+0-4-0</f>
        <v>1248.4000000000001</v>
      </c>
      <c r="U150" s="3">
        <f>1635.1+(330.7-710.3)+(-2.501703+(-0.505971--1.086759))+0-4--0.00612000000000023</f>
        <v>1249.5852050000001</v>
      </c>
      <c r="V150" s="3">
        <f>1630.7+(368.7-740.8)+(-2.494971+(-0.564111--1.133424))+0-4--0.00612000000000023</f>
        <v>1252.680462</v>
      </c>
      <c r="W150" s="3">
        <f>1619.8+(423.5-790.4)+(-4.13049+(-1.079925--2.01552))+0-4--0.0101999999999994</f>
        <v>1245.7153049999999</v>
      </c>
      <c r="X150" s="3">
        <f>1621.5+(473.8-875.6)+(-2.480895+(-0.724914--1.339668))+0-4--0.00612000000000023</f>
        <v>1213.8399790000001</v>
      </c>
      <c r="Y150" s="3">
        <f>1642.5+(474.8-915)+(1.67535+(0.484296-0.9333))+0-5-0.0051000000000008</f>
        <v>1198.5212459999998</v>
      </c>
      <c r="Z150" s="3">
        <f>1660.1+(405.2-740.1)+(0+(0-0))+0-5-0</f>
        <v>1320.1999999999998</v>
      </c>
      <c r="AA150" s="3">
        <f>1670.1+(410.6-712.4)+(-0.851751+(-0.209406--0.363324))+0-5--0.00254999999999949</f>
        <v>1362.6047169999999</v>
      </c>
      <c r="AB150" s="3">
        <f>1684.9+(424.4-773.2)+(-1.718598+(-0.432888--0.788664))+0-4--0.00408000000000064</f>
        <v>1330.7412579999998</v>
      </c>
      <c r="AC150" s="3">
        <f>1692.6+(434.8-841.5)+(-3.452904+(-0.886992--1.71666))+0-4--0.00815999999999983</f>
        <v>1279.284924</v>
      </c>
      <c r="AD150" s="2">
        <v>1360.7999999999997</v>
      </c>
      <c r="AE150" s="3">
        <f>1676+(398.2-708.4)+(0+(0-0))+0-5-0</f>
        <v>1360.8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1701.9+(482.8-949.6)+(-2.603907+(-0.738684--1.452888))+0-4--0.00612000000000023</f>
        <v>1229.2164170000001</v>
      </c>
      <c r="G151" s="3">
        <f>1711.3+(483.1-1029.7)+(0+(0-0))+0-4-0</f>
        <v>1160.6999999999998</v>
      </c>
      <c r="H151" s="3">
        <f>1709.1+(459.8-1055.7)+(-4.358205+(-1.17249--2.692035))+0-4--0.0101999999999994</f>
        <v>1106.3715399999999</v>
      </c>
      <c r="I151" s="3">
        <f>1715.2+(433.7-1059.8)+(-3.499008+(-0.884748--2.161992))+0-4--0.00815999999999983</f>
        <v>1082.8863960000003</v>
      </c>
      <c r="J151" s="3">
        <f>1729.8+(422.7-1069.5)+(-1.764396+(-0.431154--1.09089))+0-4--0.00408000000000064</f>
        <v>1077.89942</v>
      </c>
      <c r="K151" s="3">
        <f>1730+(400.7-1072.9)+(-4.4115+(-1.021785--2.735895))+0-4--0.0101999999999994</f>
        <v>1051.1128099999999</v>
      </c>
      <c r="L151" s="3">
        <f>1696.8+(420.1-1102.5)+(-2.596104+(-0.642753--1.686825))+0-4--0.00612000000000023</f>
        <v>1008.8540879999999</v>
      </c>
      <c r="M151" s="3">
        <f>1674.6+(385.3-1093.8)+(-1.708092+(-0.393006--1.115676))+0-4--0.00408000000000064</f>
        <v>961.11865799999998</v>
      </c>
      <c r="N151" s="3">
        <f>1702.5+(333.6-1031.4)+(0+(0-0))+0-4-0</f>
        <v>1000.6999999999999</v>
      </c>
      <c r="O151" s="3">
        <f>1699.1+(347.7-981.6)+(-1.733082+(-0.354654--1.001232))+0-4--0.00408000000000064</f>
        <v>1060.1175759999996</v>
      </c>
      <c r="P151" s="3">
        <f>1666.4+(367.8-921.2)+(0.849864+(0.187578-0.469812))+0-4-0.00203999999999959</f>
        <v>1109.5655899999999</v>
      </c>
      <c r="Q151" s="3">
        <f>1695.6+(368.2-896.5)+(0.864756+(0.187782-0.457215))+0-4-0.00203999999999959</f>
        <v>1163.8932829999999</v>
      </c>
      <c r="R151" s="3">
        <f>1678.2+(400.1-890.4)+(-0.855882+(-0.204051--0.454104))+0-4--0.00203999999999959</f>
        <v>1183.2962110000001</v>
      </c>
      <c r="S151" s="3">
        <f>1661.3+(410.3-880.6)+(-1.694526+(-0.418506--0.898212))+0-4--0.00408000000000064</f>
        <v>1185.78926</v>
      </c>
      <c r="T151" s="3">
        <f>1642.2+(396.6-849.3)+(-3.350088+(-0.809064--1.732572))+0-4--0.00815999999999983</f>
        <v>1183.08158</v>
      </c>
      <c r="U151" s="3">
        <f>1638.9+(372.2-824)+(-1.671678+(-0.379644--0.84048))+0-4--0.00408000000000064</f>
        <v>1181.8932380000001</v>
      </c>
      <c r="V151" s="3">
        <f>1638.7+(392.1-853.4)+(-0.835737+(-0.199971--0.435234))+0-4--0.00203999999999959</f>
        <v>1172.8015660000001</v>
      </c>
      <c r="W151" s="3">
        <f>1639+(415-881.4)+(-3.34356+(-0.8466--1.798056))+0-4--0.00815999999999983</f>
        <v>1166.216056</v>
      </c>
      <c r="X151" s="3">
        <f>1638.6+(434.4-938.5)+(-3.342744+(-0.886176--1.91454))+0-4--0.00815999999999983</f>
        <v>1128.1937800000001</v>
      </c>
      <c r="Y151" s="3">
        <f>1653.5+(440.4-964.9)+(-1.68657+(-0.449208--0.984198))+0-4--0.00408000000000064</f>
        <v>1123.8525</v>
      </c>
      <c r="Z151" s="3">
        <f>1672.7+(384.1-782.2)+(0+(0-0))+0-4-0</f>
        <v>1270.5999999999999</v>
      </c>
      <c r="AA151" s="3">
        <f>1685.6+(384.1-771.9)+(-2.578968+(-0.587673--1.181007))+0-4--0.00612000000000023</f>
        <v>1291.8204860000001</v>
      </c>
      <c r="AB151" s="3">
        <f>1704+(437-865.7)+(0+(0-0))+0-4-0</f>
        <v>1271.3</v>
      </c>
      <c r="AC151" s="3">
        <f>1712.8+(394-873.5)+(0.873528+(0.20094-0.445485))+0-4-0.00203999999999959</f>
        <v>1229.9269429999999</v>
      </c>
      <c r="AD151" s="2">
        <v>1395.5</v>
      </c>
      <c r="AE151" s="3">
        <f>1695+(449.9-745.4)+(0+(0-0))+0-4-0</f>
        <v>1395.5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1681.2+(432.2-927.8)+(-0.857412+(-0.220422--0.473178))+0-4--0.00203999999999959</f>
        <v>1180.9973840000002</v>
      </c>
      <c r="G152" s="3">
        <f>1682.1+(526.3-1069)+(-2.573613+(-0.805239--1.63557))+0-4--0.00612000000000023</f>
        <v>1133.662838</v>
      </c>
      <c r="H152" s="3">
        <f>1688.4+(589.3-1163.2)+(-0.861084+(-0.300543--0.593232))+0-4--0.00203999999999959</f>
        <v>1109.9336450000001</v>
      </c>
      <c r="I152" s="3">
        <f>1686+(573.9-1177.2)+(-3.43944+(-1.170756--2.401488))+0-4--0.00815999999999983</f>
        <v>1076.499452</v>
      </c>
      <c r="J152" s="3">
        <f>1663.6+(474-1079.1)+(0.848436+(0.24174-0.550341))+0-4-0.00203999999999959</f>
        <v>1055.037795</v>
      </c>
      <c r="K152" s="3">
        <f>1663.5+(465.9-1091.8)+(-0.848385+(-0.237609--0.556818))+0-4--0.00203999999999959</f>
        <v>1033.072864</v>
      </c>
      <c r="L152" s="3">
        <f>1722.8+(407.7-1142.4)+(-0.878628+(-0.207927--0.582624))+0-4--0.00203999999999959</f>
        <v>983.59810899999991</v>
      </c>
      <c r="M152" s="3">
        <f>1739.5+(350.1-1125.8)+(0+(0-0))+0-4-0</f>
        <v>959.80000000000007</v>
      </c>
      <c r="N152" s="3">
        <f>1806.2+(240.2-1034.3)+(0.921162+(0.122502-0.527493))+0-4-0.00203999999999959</f>
        <v>1008.6141310000002</v>
      </c>
      <c r="O152" s="3">
        <f>1804.5+(291.5-992.9)+(0.920295+(0.148665-0.506379))+0-4-0.00203999999999959</f>
        <v>1099.6605409999997</v>
      </c>
      <c r="P152" s="3">
        <f>1786.5+(408.2-1028.7)+(0.911115+(0.208182-0.524637))+0-4-0.00203999999999959</f>
        <v>1162.5926199999999</v>
      </c>
      <c r="Q152" s="3">
        <f>1785.4+(464.9-1034.2)+(2.731662+(0.711297-1.582326))+0-4-0.00612000000000023</f>
        <v>1213.9545129999999</v>
      </c>
      <c r="R152" s="3">
        <f>1764.8+(409.8-954.4)+(0.900048+(0.208998-0.486744))+0-4-0.00203999999999959</f>
        <v>1216.820262</v>
      </c>
      <c r="S152" s="3">
        <f>1742.6+(411.4-936.6)+(-1.777452+(-0.419628--0.955332))+0-4--0.00408000000000064</f>
        <v>1212.1623319999999</v>
      </c>
      <c r="T152" s="3">
        <f>1740.7+(388.7-918.7)+(-0.887757+(-0.198237--0.468537))+0-4--0.00203999999999959</f>
        <v>1206.0845830000001</v>
      </c>
      <c r="U152" s="3">
        <f>1735.3+(389.8-915.1)+(0.885003+(0.198798-0.466701))+0-4-0.00203999999999959</f>
        <v>1206.6150599999999</v>
      </c>
      <c r="V152" s="3">
        <f>1721.4+(421.7-932.9)+(-0.877914+(-0.215067--0.475779))+0-4--0.00203999999999959</f>
        <v>1205.5848380000002</v>
      </c>
      <c r="W152" s="3">
        <f>1729.4+(479.7-993.7)+(-0.881994+(-0.244647--0.506787))+0-4--0.00203999999999959</f>
        <v>1210.7821860000001</v>
      </c>
      <c r="X152" s="3">
        <f>1720.8+(524.8-1052.9)+(-2.632824+(-0.802944--1.610937))+0-4--0.00612000000000023</f>
        <v>1186.8812889999999</v>
      </c>
      <c r="Y152" s="3">
        <f>1757.4+(456.2-1059)+(1.792548+(0.465324-1.08018))+0-4-0.00408000000000064</f>
        <v>1151.7736120000002</v>
      </c>
      <c r="Z152" s="3">
        <f>1804.8+(454.9-973.4)+(0.920448+(0.231999-0.496434))+0-4-0.00203999999999959</f>
        <v>1282.9539729999999</v>
      </c>
      <c r="AA152" s="3">
        <f>1814.6+(426.9-921.2)+(-3.701784+(-0.870876--1.879248))+0-4--0.00815999999999983</f>
        <v>1313.6147479999997</v>
      </c>
      <c r="AB152" s="3">
        <f>1832.1+(493.8-1029.2)+(-1.868742+(-0.503676--1.049784))+0-4--0.00408000000000064</f>
        <v>1291.3814459999996</v>
      </c>
      <c r="AC152" s="3">
        <f>1830.4+(495.1-1057.3)+(0+(0-0))+0-4-0</f>
        <v>1264.2000000000003</v>
      </c>
      <c r="AD152" s="2">
        <v>1324.5</v>
      </c>
      <c r="AE152" s="3">
        <f>1815+(436.5-923)+(0+(0-0))+0-4-0</f>
        <v>1324.5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1775.2+(367.3-913.8)+(-1.810704+(-0.374646--0.932076))+0-4--0.00408000000000064</f>
        <v>1223.4508060000001</v>
      </c>
      <c r="G153" s="3">
        <f>1566.1+(455.5-843.9)+(-3.194844+(-0.92922--1.721556))+0-4--0.00815999999999983</f>
        <v>1171.305652</v>
      </c>
      <c r="H153" s="3">
        <f>1534.2+(420.1-844.9)+(-0.782442+(-0.214251--0.430899))+0-4--0.00203999999999959</f>
        <v>1104.8362460000001</v>
      </c>
      <c r="I153" s="3">
        <f>1534.8+(404.7-868.4)+(0+(0-0))+0-4-0</f>
        <v>1067.0999999999999</v>
      </c>
      <c r="J153" s="3">
        <f>1541.1+(421.5-912.5)+(-2.357883+(-0.644895--1.396125))+0-4--0.00612000000000023</f>
        <v>1044.4994669999999</v>
      </c>
      <c r="K153" s="3">
        <f>1545.7+(363.6-876.7)+(-3.153228+(-0.741744--1.788468))+0-4--0.00815999999999983</f>
        <v>1026.5016559999999</v>
      </c>
      <c r="L153" s="3">
        <f>1509.1+(334-840.1)+(-6.157128+(-1.36272--3.427608))+0-4--0.0163199999999997</f>
        <v>994.92407999999989</v>
      </c>
      <c r="M153" s="3">
        <f>1360.1+(269-699.3)+(0+(0-0))+0-3-0</f>
        <v>926.8</v>
      </c>
      <c r="N153" s="3">
        <f>1402+(280.4-722.7)+(1.43004+(0.286008-0.737154))+0-3-0.00306000000000048</f>
        <v>957.6758339999999</v>
      </c>
      <c r="O153" s="3">
        <f>1495.1+(251.7-739.1)+(-0.762501+(-0.128367--0.376941))+0-3--0.0015299999999997</f>
        <v>1004.1876029999999</v>
      </c>
      <c r="P153" s="3">
        <f>1428.7+(337.2-714.1)+(-0.728637+(-0.171972--0.364191))+0-3--0.0015299999999997</f>
        <v>1048.265112</v>
      </c>
      <c r="Q153" s="3">
        <f>1454.5+(344.4-718)+(0+(0-0))+0-3-0</f>
        <v>1077.9000000000001</v>
      </c>
      <c r="R153" s="3">
        <f>1440.5+(317.2-673.4)+(-0.734655+(-0.161772--0.343434))+0-4--0.00203999999999959</f>
        <v>1079.749047</v>
      </c>
      <c r="S153" s="3">
        <f>1431.7+(341-674.4)+(-1.460334+(-0.34782--0.687888))+0-4--0.00408000000000064</f>
        <v>1093.1838140000002</v>
      </c>
      <c r="T153" s="3">
        <f>1427.8+(366.8-685.1)+(-2.912712+(-0.748272--1.397604))+0-4--0.00815999999999983</f>
        <v>1103.24478</v>
      </c>
      <c r="U153" s="3">
        <f>1426.6+(364.7-680.5)+(1.455132+(0.371994-0.69411))+0-4-0.00408000000000064</f>
        <v>1107.928936</v>
      </c>
      <c r="V153" s="3">
        <f>1356.1+(392.4-634.6)+(2.074833+(0.600372-0.970938))+0-4-0.00612000000000023</f>
        <v>1111.5981469999999</v>
      </c>
      <c r="W153" s="3">
        <f>1337.2+(433.1-656.5)+(-1.363944+(-0.441762--0.66963))+0-4--0.00408000000000064</f>
        <v>1108.6680040000001</v>
      </c>
      <c r="X153" s="3">
        <f>1336.1+(393.5-645.6)+(-2.044233+(-0.602055--0.987768))+0-4--0.00612000000000023</f>
        <v>1078.3476000000001</v>
      </c>
      <c r="Y153" s="3">
        <f>1288.1+(334.3-575.6)+(-0.656931+(-0.170493--0.293556))+0-4--0.00203999999999959</f>
        <v>1042.268172</v>
      </c>
      <c r="Z153" s="3">
        <f>1350.4+(357.7-530.5)+(-2.066112+(-0.547281--0.811665))+0-4--0.00612000000000023</f>
        <v>1171.8043920000002</v>
      </c>
      <c r="AA153" s="3">
        <f>1390.5+(308.8-465.8)+(-2.127465+(-0.472464--0.712674))+0-4--0.00612000000000023</f>
        <v>1227.6188649999999</v>
      </c>
      <c r="AB153" s="3">
        <f>1405.1+(229.1-433.6)+(-0.716601+(-0.116841--0.221136))+0-4--0.00203999999999959</f>
        <v>1195.989734</v>
      </c>
      <c r="AC153" s="3">
        <f>1404.7+(212.9-460.1)+(-0.716397+(-0.108579--0.234651))+0-4--0.00203999999999959</f>
        <v>1152.9117150000002</v>
      </c>
      <c r="AD153" s="2">
        <v>1231.5</v>
      </c>
      <c r="AE153" s="3">
        <f>1383+(357-504.5)+(0+(0-0))+0-4-0</f>
        <v>1231.5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1411.3+(269.8-561.8)+(0.719763+(0.137598-0.286518))+0-4-0.00203999999999959</f>
        <v>1115.8688029999998</v>
      </c>
      <c r="G154" s="3">
        <f>1409.7+(365.9-696.4)+(0.718947+(0.186609-0.355164))+0-4-0.00203999999999959</f>
        <v>1075.7483520000001</v>
      </c>
      <c r="H154" s="3">
        <f>1412+(346.5-716.5)+(-0.72012+(-0.176715--0.365415))+0-4--0.00203999999999959</f>
        <v>1037.4706200000001</v>
      </c>
      <c r="I154" s="3">
        <f>1406+(364-744)+(-0.71706+(-0.18564--0.37944))+0-4--0.00203999999999959</f>
        <v>1021.47878</v>
      </c>
      <c r="J154" s="3">
        <f>1318+(372.1-695.8)+(-2.01654+(-0.569313--1.064574))+0-4--0.00612000000000023</f>
        <v>988.78484100000003</v>
      </c>
      <c r="K154" s="3">
        <f>1313+(353.8-688.9)+(0+(0-0))+0-4-0</f>
        <v>973.90000000000009</v>
      </c>
      <c r="L154" s="3">
        <f>1318.9+(385-747.9)+(-3.363195+(-0.98175--1.907145))+0-3--0.00764999999999957</f>
        <v>950.56985000000009</v>
      </c>
      <c r="M154" s="3">
        <f>1322.2+(344-733.7)+(-1.348644+(-0.35088--0.748374))+0-3--0.00306000000000048</f>
        <v>928.55191000000002</v>
      </c>
      <c r="N154" s="3">
        <f>1390.7+(317.8-725.6)+(1.418514+(0.324156-0.740112))+0-3-0.00306000000000048</f>
        <v>980.89949800000011</v>
      </c>
      <c r="O154" s="3">
        <f>1406.7+(305.8-678.1)+(-0.717417+(-0.155958--0.345831))+0-3--0.0015299999999997</f>
        <v>1030.8739860000001</v>
      </c>
      <c r="P154" s="3">
        <f>1409.7+(316.5-632.1)+(1.437894+(0.32283-0.644742))+0-3-0.00306000000000048</f>
        <v>1092.2129219999999</v>
      </c>
      <c r="Q154" s="3">
        <f>1417+(336.2-615.5)+(-1.44534+(-0.342924--0.62781))+0-3--0.00306000000000048</f>
        <v>1133.542606</v>
      </c>
      <c r="R154" s="3">
        <f>1471.5+(281.6-607.7)+(-0.750465+(-0.143616--0.309927))+0-4--0.00203999999999959</f>
        <v>1140.8178860000003</v>
      </c>
      <c r="S154" s="3">
        <f>1497.3+(259.1-608.1)+(-0.763623+(-0.132141--0.310131))+0-4--0.00203999999999959</f>
        <v>1143.7164070000001</v>
      </c>
      <c r="T154" s="3">
        <f>1504+(221.8-575.1)+(-3.06816+(-0.452472--1.173204))+0-4--0.00815999999999983</f>
        <v>1144.3607320000001</v>
      </c>
      <c r="U154" s="3">
        <f>1510.2+(231.6-582)+(0+(0-0))+0-4-0</f>
        <v>1155.8000000000002</v>
      </c>
      <c r="V154" s="3">
        <f>1505.5+(234.2-567.4)+(-0.767805+(-0.119442--0.289374))+0-4--0.00203999999999959</f>
        <v>1167.7041670000001</v>
      </c>
      <c r="W154" s="3">
        <f>1500.6+(268.2-593.7)+(-3.061224+(-0.547128--1.211148))+0-4--0.00815999999999983</f>
        <v>1168.7109559999999</v>
      </c>
      <c r="X154" s="3">
        <f>1503.2+(349.9-714.1)+(-2.299896+(-0.535347--1.092573))+0-4--0.00612000000000023</f>
        <v>1133.2634499999999</v>
      </c>
      <c r="Y154" s="3">
        <f>1575.3+(338.4-811.3)+(-2.410209+(-0.517752--1.241289))+0-4--0.00612000000000023</f>
        <v>1096.7194480000001</v>
      </c>
      <c r="Z154" s="3">
        <f>1753.6+(345.1-848.6)+(-3.577344+(-0.704004--1.731144))+0-4--0.00815999999999983</f>
        <v>1243.5579560000001</v>
      </c>
      <c r="AA154" s="3">
        <f>1770.8+(317.8-792.5)+(-1.806216+(-0.324156--0.80835))+0-4--0.00408000000000064</f>
        <v>1290.7820579999998</v>
      </c>
      <c r="AB154" s="3">
        <f>1785.5+(272.8-779.2)+(-3.64242+(-0.556512--1.589568))+0-4--0.00815999999999983</f>
        <v>1272.4987960000001</v>
      </c>
      <c r="AC154" s="3">
        <f>1799.3+(325.7-893.2)+(0+(0-0))+0-4-0</f>
        <v>1227.8</v>
      </c>
      <c r="AD154" s="2">
        <v>1272.4000000000001</v>
      </c>
      <c r="AE154" s="3">
        <f>1768+(265.4-757)+(0+(0-0))+0-4-0</f>
        <v>1272.4000000000001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1802.6+(373.6-1004.7)+(0.919326+(0.190536-0.512397))+0-4-0.00203999999999959</f>
        <v>1168.095425</v>
      </c>
      <c r="G155" s="3">
        <f>1809.5+(404.9-1103.6)+(0.922845+(0.206499-0.562836))+0-4-0.00203999999999959</f>
        <v>1107.3644680000002</v>
      </c>
      <c r="H155" s="3">
        <f>1806+(415.3-1149.3)+(0+(0-0))+0-4-0</f>
        <v>1068</v>
      </c>
      <c r="I155" s="3">
        <f>1815.3+(389.2-1152.9)+(0+(0-0))+0-4-0</f>
        <v>1047.5999999999999</v>
      </c>
      <c r="J155" s="3">
        <f>1740.1+(399.1-1120.1)+(-3.549804+(-0.814164--2.285004))+0-4--0.00815999999999983</f>
        <v>1013.029196</v>
      </c>
      <c r="K155" s="3">
        <f>1742.4+(391.9-1129.2)+(-3.554496+(-0.799476--2.303568))+0-4--0.00815999999999983</f>
        <v>999.05775600000004</v>
      </c>
      <c r="L155" s="3">
        <f>1691.1+(380.6-1099.6)+(-6.899688+(-1.552848--4.486368))+0-4--0.0163199999999997</f>
        <v>964.15015199999993</v>
      </c>
      <c r="M155" s="3">
        <f>1718.5+(328.9-1077.4)+(1.75287+(0.335478-1.098948))+0-4-0.00408000000000064</f>
        <v>966.98531999999989</v>
      </c>
      <c r="N155" s="3">
        <f>1870.6+(311.2-1129.5)+(1.908012+(0.317424-1.15209))+0-4-0.00408000000000064</f>
        <v>1049.3692659999999</v>
      </c>
      <c r="O155" s="3">
        <f>1837.1+(334.4-1053)+(0.936921+(0.170544-0.53703))+0-4-0.00203999999999959</f>
        <v>1115.068395</v>
      </c>
      <c r="P155" s="3">
        <f>1798.1+(333.1-971.4)+(0.917031+(0.169881-0.495414))+0-4-0.00203999999999959</f>
        <v>1156.3894579999999</v>
      </c>
      <c r="Q155" s="3">
        <f>1793.4+(332-915.1)+(2.743902+(0.50796-1.400103))+0-4-0.00612000000000023</f>
        <v>1208.1456390000001</v>
      </c>
      <c r="R155" s="3">
        <f>1771+(327.1-877.7)+(-0.90321+(-0.166821--0.447627))+0-4--0.00203999999999959</f>
        <v>1215.7796360000002</v>
      </c>
      <c r="S155" s="3">
        <f>1752.4+(391.1-922.6)+(-1.787448+(-0.398922--0.941052))+0-4--0.00408000000000064</f>
        <v>1215.658762</v>
      </c>
      <c r="T155" s="3">
        <f>1732.7+(402.3-912.3)+(-2.651031+(-0.615519--1.395819))+0-4--0.00612000000000023</f>
        <v>1216.8353890000001</v>
      </c>
      <c r="U155" s="3">
        <f>1732.9+(418.1-907.9)+(0.883779+(0.213231-0.463029))+0-4-0.00203999999999959</f>
        <v>1239.731941</v>
      </c>
      <c r="V155" s="3">
        <f>1726.2+(452.3-930.7)+(-0.880362+(-0.230673--0.474657))+0-4--0.00203999999999959</f>
        <v>1243.1656620000001</v>
      </c>
      <c r="W155" s="3">
        <f>1722.3+(509-1000.9)+(-0.878373+(-0.25959--0.510459))+0-4--0.00203999999999959</f>
        <v>1225.7745360000001</v>
      </c>
      <c r="X155" s="3">
        <f>1722.9+(549.2-1054.1)+(-2.636037+(-0.840276--1.612773))+0-4--0.00612000000000023</f>
        <v>1212.1425800000002</v>
      </c>
      <c r="Y155" s="3">
        <f>1739.8+(506.4-1058.3)+(-1.774596+(-0.516528--1.079466))+0-4--0.00408000000000064</f>
        <v>1182.6924220000001</v>
      </c>
      <c r="Z155" s="3">
        <f>1758.8+(578.6-1032.1)+(0.896988+(0.295086-0.526371))+0-4-0.00203999999999959</f>
        <v>1301.963663</v>
      </c>
      <c r="AA155" s="3">
        <f>1764.1+(546.7-966.9)+(-3.598764+(-1.115268--1.972476))+0-4--0.00815999999999983</f>
        <v>1337.1666040000002</v>
      </c>
      <c r="AB155" s="3">
        <f>1801.7+(582.5-1052.9)+(0.918867+(0.297075-0.536979))+0-4-0.00203999999999959</f>
        <v>1327.9769229999999</v>
      </c>
      <c r="AC155" s="3">
        <f>1813+(443.7-1008.5)+(1.84926+(0.452574-1.02867))+0-4-0.00408000000000064</f>
        <v>1245.4690840000001</v>
      </c>
      <c r="AD155" s="2">
        <v>1352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1800.2+(459.5-1058.6)+(-1.836204+(-0.46869--1.079772))+0-4--0.00408000000000064</f>
        <v>1195.878958</v>
      </c>
      <c r="G156" s="3">
        <f>1812.3+(512.2-1187.6)+(-0.924273+(-0.261222--0.605676))+0-4--0.00203999999999959</f>
        <v>1132.3222210000001</v>
      </c>
      <c r="H156" s="3">
        <f>1830+(421-1172.5)+(-3.7332+(-0.85884--2.3919))+0-4--0.00815999999999983</f>
        <v>1072.3080200000002</v>
      </c>
      <c r="I156" s="3">
        <f>1848.8+(417.8-1206.8)+(0.942888+(0.213078-0.615468))+0-4-0.00203999999999959</f>
        <v>1056.3384579999999</v>
      </c>
      <c r="J156" s="3">
        <f>1805.8+(440.3-1205.1)+(5.525748+(1.347318-3.687606))+0-4-0.0122400000000005</f>
        <v>1040.1732199999999</v>
      </c>
      <c r="K156" s="3">
        <f>1757.2+(440.1-1170.4)+(0.896172+(0.224451-0.596904))+0-4-0.00203999999999959</f>
        <v>1023.4216790000002</v>
      </c>
      <c r="L156" s="3">
        <f>1619.9+(484.8-1109.3)+(-3.304596+(-0.988992--2.262972))+0-4--0.00815999999999983</f>
        <v>989.37754400000006</v>
      </c>
      <c r="M156" s="3">
        <f>1567.9+(447.2-1046.9)+(-0.799629+(-0.228072--0.533919))+0-4--0.00203999999999959</f>
        <v>963.708258</v>
      </c>
      <c r="N156" s="3">
        <f>1665.8+(436.4-1048.5)+(1.699116+(0.445128-1.06947))+0-4-0.00408000000000064</f>
        <v>1050.7706939999998</v>
      </c>
      <c r="O156" s="3">
        <f>1820.3+(367.2-1052.2)+(0+(0-0))+0-4-0</f>
        <v>1131.3</v>
      </c>
      <c r="P156" s="3">
        <f>1809+(358-985.4)+(0+(0-0))+0-4-0</f>
        <v>1177.5999999999999</v>
      </c>
      <c r="Q156" s="3">
        <f>1768.2+(415.4-959.4)+(-1.803564+(-0.423708--0.978588))+0-4--0.00408000000000064</f>
        <v>1218.9553960000001</v>
      </c>
      <c r="R156" s="3">
        <f>1753+(375.4-899.5)+(-1.78806+(-0.382908--0.91749))+0-4--0.00408000000000064</f>
        <v>1223.6506019999999</v>
      </c>
      <c r="S156" s="3">
        <f>1736+(325.8-819.3)+(-1.77072+(-0.332316--0.835686))+0-4--0.00408000000000064</f>
        <v>1237.2367299999999</v>
      </c>
      <c r="T156" s="3">
        <f>1692.2+(338.8-852.7)+(0+(0-0))+0-4-0</f>
        <v>1174.3</v>
      </c>
      <c r="U156" s="3">
        <f>1708.9+(362.7-852.2)+(0.871539+(0.184977-0.434622))+0-4-0.00203999999999959</f>
        <v>1216.0198540000001</v>
      </c>
      <c r="V156" s="3">
        <f>1690.5+(420.1-907.7)+(-4.310775+(-1.071255--2.314635))+0-4--0.0101999999999994</f>
        <v>1195.842805</v>
      </c>
      <c r="W156" s="3">
        <f>1694.7+(513.3-980.3)+(-3.457188+(-1.047132--1.999812))+0-4--0.00815999999999983</f>
        <v>1221.2036520000001</v>
      </c>
      <c r="X156" s="3">
        <f>1700.6+(546.3-1041.8)+(-3.469224+(-1.114452--2.125272))+0-4--0.00815999999999983</f>
        <v>1198.649756</v>
      </c>
      <c r="Y156" s="3">
        <f>1709.3+(445.4-995.3)+(-0.871743+(-0.227154--0.507603))+0-4--0.00203999999999959</f>
        <v>1154.8107460000001</v>
      </c>
      <c r="Z156" s="3">
        <f>1719.1+(506.3-918.4)+(0+(0-0))+0-4-0</f>
        <v>1303</v>
      </c>
      <c r="AA156" s="3">
        <f>1726.6+(514.9-903.2)+(-4.40283+(-1.312995--2.30316))+0-4--0.0101999999999994</f>
        <v>1330.8975349999996</v>
      </c>
      <c r="AB156" s="3">
        <f>1751.5+(494.1-943.2)+(-3.57306+(-1.007964--1.924128))+0-4--0.00815999999999983</f>
        <v>1295.7512640000002</v>
      </c>
      <c r="AC156" s="3">
        <f>1774.8+(460.6-992.6)+(-1.810296+(-0.469812--1.012452))+0-4--0.00408000000000064</f>
        <v>1237.5364239999999</v>
      </c>
      <c r="AD156" s="2">
        <v>1351.8000000000002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1786.9+(304.4-935.4)+(0+(0-0))+0-4-0</f>
        <v>1151.9000000000001</v>
      </c>
      <c r="G157" s="3">
        <f>1795.2+(305.4-1016.4)+(0.915552+(0.155754-0.518364))+0-4-0.00203999999999959</f>
        <v>1080.750902</v>
      </c>
      <c r="H157" s="3">
        <f>1801.8+(309-1062.1)+(3.675672+(0.63036-2.166684))+0-4-0.00815999999999983</f>
        <v>1046.8311879999999</v>
      </c>
      <c r="I157" s="3">
        <f>1786.5+(364.2-1112.2)+(-0.911115+(-0.185742--0.567222))+0-4--0.00203999999999959</f>
        <v>1033.972405</v>
      </c>
      <c r="J157" s="3">
        <f>1777.6+(364.7-1125.1)+(-1.813152+(-0.371994--1.147602))+0-4--0.00408000000000064</f>
        <v>1012.1665360000001</v>
      </c>
      <c r="K157" s="3">
        <f>1777.6+(342.9-1116)+(-2.719728+(-0.524637--1.70748))+0-4--0.00612000000000023</f>
        <v>998.96923499999991</v>
      </c>
      <c r="L157" s="3">
        <f>1759.1+(329.4-1121.4)+(-6.279987+(-1.175958--4.003398))+0-4--0.0142800000000001</f>
        <v>959.6617329999998</v>
      </c>
      <c r="M157" s="3">
        <f>1803.6+(268.7-1100.6)+(-0.919836+(-0.137037--0.561306))+0-4--0.00203999999999959</f>
        <v>967.20647299999996</v>
      </c>
      <c r="N157" s="3">
        <f>1809.9+(275.6-1044.6)+(2.769147+(0.421668-1.598238))+0-4-0.00612000000000023</f>
        <v>1038.486457</v>
      </c>
      <c r="O157" s="3">
        <f>1776+(283.5-952.4)+(-1.81152+(-0.28917--0.971448))+0-4--0.00408000000000064</f>
        <v>1101.9748379999999</v>
      </c>
      <c r="P157" s="3">
        <f>1761.8+(208.9-803.5)+(-0.898518+(-0.106539--0.409785))+0-5--0.00254999999999949</f>
        <v>1161.6072779999997</v>
      </c>
      <c r="Q157" s="3">
        <f>1754.2+(243.9-793.1)+(0.894642+(0.124389-0.404481))+0-5-0.00254999999999949</f>
        <v>1200.6120000000001</v>
      </c>
      <c r="R157" s="3">
        <f>1731.9+(319.3-845.2)+(0.883269+(0.162843-0.431052))+0-6-0.00305999999999939</f>
        <v>1200.6120000000001</v>
      </c>
      <c r="S157" s="3">
        <f>1731.9+(362.1-912.6)+(1.766538+(0.369342-0.930852))+0-6-0.00612000000000096</f>
        <v>1176.5989080000002</v>
      </c>
      <c r="T157" s="3">
        <f>1715.2+(392.7-905.4)+(-3.499008+(-0.801108--1.847016))+0-6--0.0122399999999997</f>
        <v>1194.0591400000001</v>
      </c>
      <c r="U157" s="3">
        <f>1711.8+(420.2-919.6)+(-1.746036+(-0.428604--0.937992))+0-6--0.00612000000000096</f>
        <v>1205.1694719999998</v>
      </c>
      <c r="V157" s="3">
        <f>1708.2+(399.1-899)+(-0.871182+(-0.203541--0.45849))+0-6--0.00305999999999939</f>
        <v>1201.6868270000002</v>
      </c>
      <c r="W157" s="3">
        <f>1697.9+(407.3-887.2)+(-2.597787+(-0.623169--1.357416))+0-6--0.00918000000000035</f>
        <v>1210.14564</v>
      </c>
      <c r="X157" s="3">
        <f>1684.4+(421.2-918.6)+(-5.154264+(-1.288872--2.810916))+0-4--0.0122400000000005</f>
        <v>1179.3800200000001</v>
      </c>
      <c r="Y157" s="3">
        <f>1699.1+(347.8-902.9)+(0+(0-0))+0-4-0</f>
        <v>1140</v>
      </c>
      <c r="Z157" s="3">
        <f>1711.7+(452.3-886.9)+(0.872967+(0.230673-0.452319))+0-4-0.00203999999999959</f>
        <v>1273.7492810000001</v>
      </c>
      <c r="AA157" s="3">
        <f>1709.5+(512.3-893.9)+(-2.615535+(-0.783819--1.367667))+0-4--0.00612000000000023</f>
        <v>1321.8744330000002</v>
      </c>
      <c r="AB157" s="3">
        <f>1736.1+(513.9-950.6)+(-1.770822+(-0.524178--0.969612))+0-4--0.00408000000000064</f>
        <v>1294.0786919999998</v>
      </c>
      <c r="AC157" s="3">
        <f>1761.4+(512.1-1011.1)+(-1.796628+(-0.522342--1.031322))+0-4--0.00408000000000064</f>
        <v>1257.116432</v>
      </c>
      <c r="AD157" s="2">
        <v>1307.5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1741+(519-1011.6)+(0+(0-0))+0-4-0</f>
        <v>1244.4000000000001</v>
      </c>
      <c r="G158" s="3">
        <f>1744.9+(513.8-1078.5)+(-2.669697+(-0.786114--1.650105))+0-4--0.00612000000000023</f>
        <v>1174.400414</v>
      </c>
      <c r="H158" s="3">
        <f>1755.4+(520.2-1132.3)+(-2.685762+(-0.795906--1.732419))+0-4--0.00612000000000023</f>
        <v>1137.5568710000002</v>
      </c>
      <c r="I158" s="3">
        <f>1758.3+(501.8-1156.4)+(-3.586932+(-1.023672--2.359056))+0-4--0.00815999999999983</f>
        <v>1097.456612</v>
      </c>
      <c r="J158" s="3">
        <f>1760.4+(496.1-1170.3)+(-4.48902+(-1.265055--2.984265))+0-4--0.0101999999999994</f>
        <v>1079.4403900000002</v>
      </c>
      <c r="K158" s="3">
        <f>1706.5+(500.8-1140.6)+(-0.870315+(-0.255408--0.581706))+0-4--0.00203999999999959</f>
        <v>1062.1580230000002</v>
      </c>
      <c r="L158" s="3">
        <f>1571.2+(542.7-1103.4)+(0+(0-0))+0-4-0</f>
        <v>1006.5</v>
      </c>
      <c r="M158" s="3">
        <f>1519+(546.2-1084.6)+(-2.32407+(-0.835686--1.659438))+0-4--0.00612000000000023</f>
        <v>975.10580200000015</v>
      </c>
      <c r="N158" s="3">
        <f>1480+(504.3-996.9)+(0+(0-0))+0-4-0</f>
        <v>983.40000000000009</v>
      </c>
      <c r="O158" s="3">
        <f>1564.3+(405.8-943.9)+(0.797793+(0.206958-0.481389))+0-4-0.00203999999999959</f>
        <v>1022.721322</v>
      </c>
      <c r="P158" s="3">
        <f>1629.3+(361.7-916.5)+(-1.661886+(-0.368934--0.93483))+0-4--0.00408000000000064</f>
        <v>1069.4080899999999</v>
      </c>
      <c r="Q158" s="3">
        <f>1652.3+(407.1-924)+(-0.842673+(-0.207621--0.47124))+0-4--0.00203999999999959</f>
        <v>1130.8229860000001</v>
      </c>
      <c r="R158" s="3">
        <f>1627.3+(527.8-1006.8)+(-0.829923+(-0.269178--0.513468))+0-4--0.00203999999999959</f>
        <v>1143.7164070000001</v>
      </c>
      <c r="S158" s="3">
        <f>1610.5+(484.1-954.6)+(-1.64271+(-0.493782--0.973692))+0-4--0.00408000000000064</f>
        <v>1134.8412799999999</v>
      </c>
      <c r="T158" s="3">
        <f>1605.1+(478.1-942.5)+(-1.637202+(-0.487662--0.96135))+0-4--0.00408000000000064</f>
        <v>1135.5405659999997</v>
      </c>
      <c r="U158" s="3">
        <f>1610.1+(499.4-954.9)+(4.105755+(1.27347-2.434995))+0-4-0.0101999999999994</f>
        <v>1153.53403</v>
      </c>
      <c r="V158" s="3">
        <f>1592.5+(508.5-946.6)+(0.812175+(0.259335-0.482766))+0-4-0.00203999999999959</f>
        <v>1150.9867039999999</v>
      </c>
      <c r="W158" s="3">
        <f>1587.3+(513.2-946.1)+(-1.619046+(-0.523464--0.965022))+0-4--0.00408000000000064</f>
        <v>1149.226592</v>
      </c>
      <c r="X158" s="3">
        <f>1568.7+(502.2-941.8)+(0.800037+(0.256122-0.480318))+0-4-0.00203999999999959</f>
        <v>1125.6738010000001</v>
      </c>
      <c r="Y158" s="3">
        <f>1611.1+(430.7-916.1)+(0.821661+(0.219657-0.467211))+0-4-0.00203999999999959</f>
        <v>1122.2720669999997</v>
      </c>
      <c r="Z158" s="3">
        <f>1657.5+(480.9-883.4)+(0+(0-0))+0-4-0</f>
        <v>1251</v>
      </c>
      <c r="AA158" s="3">
        <f>1659.8+(485.1-846.9)+(-5.078988+(-1.484406--2.591514))+0-4--0.0122400000000005</f>
        <v>1290.04036</v>
      </c>
      <c r="AB158" s="3">
        <f>1667.2+(519.9-913)+(-3.401088+(-1.060596--1.86252))+0-4--0.00815999999999983</f>
        <v>1267.508996</v>
      </c>
      <c r="AC158" s="3">
        <f>1672.4+(564.9-1005.4)+(-0.852924+(-0.288099--0.512754))+0-5--0.00254999999999949</f>
        <v>1226.274281</v>
      </c>
      <c r="AD158" s="2">
        <v>1293.5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1681.1+(543.1-1035.1)+(1.714722+(0.553962-1.055802))+0-4-0.00408000000000064</f>
        <v>1186.308802</v>
      </c>
      <c r="G159" s="3">
        <f>1691.1+(508.1-1075.9)+(-2.587383+(-0.777393--1.646127))+0-4--0.00612000000000023</f>
        <v>1117.5874709999998</v>
      </c>
      <c r="H159" s="3">
        <f>1583+(481-1022.6)+(0+(0-0))+0-4-0</f>
        <v>1037.4000000000001</v>
      </c>
      <c r="I159" s="3">
        <f>1529.9+(471.4-987)+(-3.120996+(-0.961656--2.01348))+0-4--0.00815999999999983</f>
        <v>1008.2389880000001</v>
      </c>
      <c r="J159" s="3">
        <f>1536.4+(475-1003.9)+(-3.134256+(-0.969--2.047956))+0-4--0.00815999999999983</f>
        <v>1001.4528600000001</v>
      </c>
      <c r="K159" s="3">
        <f>1422.4+(532.4-966.5)+(0.725424+(0.271524-0.492915))+0-4-0.00203999999999959</f>
        <v>984.80199300000015</v>
      </c>
      <c r="L159" s="3">
        <f>1306.2+(532.4-853.6)+(-1.332324+(-0.543048--0.870672))+0-4--0.00408000000000064</f>
        <v>979.99938000000009</v>
      </c>
      <c r="M159" s="3">
        <f>1292.7+(443.2-784.6)+(2.637108+(0.904128-1.600584))+0-4-0.00815999999999983</f>
        <v>949.23249199999998</v>
      </c>
      <c r="N159" s="3">
        <f>1499.6+(363.9-836.8)+(0.764796+(0.185589-0.426768))+0-4-0.00203999999999959</f>
        <v>1023.2215769999999</v>
      </c>
      <c r="O159" s="3">
        <f>1642+(344.7-862.9)+(1.67484+(0.351594-0.880158))+0-4-0.00408000000000064</f>
        <v>1120.942196</v>
      </c>
      <c r="P159" s="3">
        <f>1617.4+(381.7-801.4)+(0.824874+(0.194667-0.408714))+0-4-0.00203999999999959</f>
        <v>1194.3087869999999</v>
      </c>
      <c r="Q159" s="3">
        <f>1634.1+(378.8-768)+(2.500173+(0.579564-1.17504))+0-4-0.00612000000000023</f>
        <v>1242.7985769999998</v>
      </c>
      <c r="R159" s="3">
        <f>1608.7+(401.2-752.2)+(-2.461311+(-0.613836--1.150866))+0-4--0.00612000000000023</f>
        <v>1251.781839</v>
      </c>
      <c r="S159" s="3">
        <f>1550.5+(496.7-795.7)+(-1.58151+(-0.506634--0.811614))+0-4--0.00408000000000064</f>
        <v>1246.2275499999998</v>
      </c>
      <c r="T159" s="3">
        <f>1562.5+(476.3-786.5)+(0.796875+(0.242913-0.401115))+0-4-0.00203999999999959</f>
        <v>1248.9366329999998</v>
      </c>
      <c r="U159" s="3">
        <f>1567.6+(464.8-781.7)+(0.799476+(0.237048-0.398667))+0-4-0.00203999999999959</f>
        <v>1247.3358169999997</v>
      </c>
      <c r="V159" s="3">
        <f>1607.7+(468.3-818.2)+(-3.279708+(-0.955332--1.669128))+0-4--0.00815999999999983</f>
        <v>1251.242248</v>
      </c>
      <c r="W159" s="3">
        <f>1552+(494-820.6)+(-2.37456+(-0.75582--1.255518))+0-4--0.00612000000000023</f>
        <v>1219.5312580000002</v>
      </c>
      <c r="X159" s="3">
        <f>1612.6+(438.3-872.9)+(-2.467278+(-0.670599--1.335537))+0-4--0.00612000000000023</f>
        <v>1172.2037800000001</v>
      </c>
      <c r="Y159" s="3">
        <f>1702+(375-904.5)+(-0.86802+(-0.19125--0.461295))+0-4--0.00203999999999959</f>
        <v>1167.9040650000002</v>
      </c>
      <c r="Z159" s="3">
        <f>1697.4+(443.6-821.2)+(0+(0-0))+0-4-0</f>
        <v>1315.8000000000002</v>
      </c>
      <c r="AA159" s="3">
        <f>1693.3+(440.6-783.6)+(-4.317915+(-1.12353--1.99818))+0-4--0.0101999999999994</f>
        <v>1342.8669349999998</v>
      </c>
      <c r="AB159" s="3">
        <f>1715+(438.8-853.3)+(-4.37325+(-1.11894--2.175915))+0-4--0.0101999999999994</f>
        <v>1293.193925</v>
      </c>
      <c r="AC159" s="3">
        <f>1722.1+(462.8-939.1)+(-4.391355+(-1.18014--2.394705))+0-4--0.0101999999999994</f>
        <v>1238.6334099999999</v>
      </c>
      <c r="AD159" s="2">
        <v>1350.1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1724.3+(473.6-1011.5)+(-0.879393+(-0.241536--0.515865))+0-4--0.00203999999999959</f>
        <v>1181.7969760000001</v>
      </c>
      <c r="G160" s="3">
        <f>1641.3+(489.8-1030.2)+(3.348252+(0.999192-2.101608))+0-4-0.00815999999999983</f>
        <v>1099.1376759999998</v>
      </c>
      <c r="H160" s="3">
        <f>1573.9+(496-1015.9)+(-2.408067+(-0.75888--1.554327))+0-4--0.00612000000000023</f>
        <v>1048.3934999999999</v>
      </c>
      <c r="I160" s="3">
        <f>1482.3+(553-1019.3)+(1.511946+(0.56406-1.039686))+0-4-0.00408000000000064</f>
        <v>1013.03224</v>
      </c>
      <c r="J160" s="3">
        <f>1476.3+(498.9-986.6)+(-3.011652+(-1.017756--2.012664))+0-4--0.00815999999999983</f>
        <v>982.59141599999987</v>
      </c>
      <c r="K160" s="3">
        <f>1494.6+(434.2-950.2)+(-0.762246+(-0.221442--0.484602))+0-4--0.00203999999999959</f>
        <v>974.10295399999984</v>
      </c>
      <c r="L160" s="3">
        <f>1433.5+(446.3-934.5)+(-3.655425+(-1.138065--2.382975))+0-4--0.0101999999999994</f>
        <v>938.89968499999998</v>
      </c>
      <c r="M160" s="3">
        <f>1357.8+(475.6-892.2)+(0+(0-0))+0-4-0</f>
        <v>937.19999999999993</v>
      </c>
      <c r="N160" s="3">
        <f>1600.7+(409.8-994.1)+(0.816357+(0.208998-0.506991))+0-4-0.00203999999999959</f>
        <v>1012.9163240000001</v>
      </c>
      <c r="O160" s="3">
        <f>1763.5+(363.1-1000.6)+(0.899385+(0.185181-0.510306))+0-4-0.00203999999999959</f>
        <v>1122.57222</v>
      </c>
      <c r="P160" s="3">
        <f>1765.4+(421.4-1002.4)+(-0.900354+(-0.214914--0.511224))+0-4--0.00203999999999959</f>
        <v>1179.7979960000002</v>
      </c>
      <c r="Q160" s="3">
        <f>1760.9+(437.7-961.6)+(1.796118+(0.446454-0.980832))+0-4-0.00408000000000064</f>
        <v>1234.25766</v>
      </c>
      <c r="R160" s="3">
        <f>1743.3+(437.2-917.2)+(-0.889083+(-0.222972--0.467772))+0-4--0.00203999999999959</f>
        <v>1258.6577569999999</v>
      </c>
      <c r="S160" s="3">
        <f>1728+(493.3-962.1)+(-1.76256+(-0.503166--0.981342))+0-4--0.00408000000000064</f>
        <v>1253.9196959999999</v>
      </c>
      <c r="T160" s="3">
        <f>1719.3+(496.6-953.7)+(0+(0-0))+0-4-0</f>
        <v>1258.1999999999998</v>
      </c>
      <c r="U160" s="3">
        <f>1714.9+(494.5-943.9)+(0.874599+(0.252195-0.481389))+0-4-0.00203999999999959</f>
        <v>1262.1433649999999</v>
      </c>
      <c r="V160" s="3">
        <f>1695.2+(506.5-945.7)+(-0.864552+(-0.258315--0.482307))+0-4--0.00203999999999959</f>
        <v>1251.36148</v>
      </c>
      <c r="W160" s="3">
        <f>1693.2+(551-990.2)+(-1.727064+(-0.56202--1.010004))+0-4--0.00408000000000064</f>
        <v>1248.7249999999999</v>
      </c>
      <c r="X160" s="3">
        <f>1703.4+(485.9-967.9)+(1.737468+(0.495618-0.987258))+0-4-0.00408000000000064</f>
        <v>1218.6417480000002</v>
      </c>
      <c r="Y160" s="3">
        <f>1706.4+(466.2-977)+(0.870264+(0.237762-0.49827))+0-4-0.00203999999999959</f>
        <v>1192.2077160000001</v>
      </c>
      <c r="Z160" s="3">
        <f>1702.8+(531.8-889.6)+(-1.736856+(-0.542436--0.907392))+0-4--0.00408000000000064</f>
        <v>1339.6321799999998</v>
      </c>
      <c r="AA160" s="3">
        <f>1719.5+(504.5-865)+(-2.630835+(-0.771885--1.32345))+0-4--0.00612000000000023</f>
        <v>1352.9268500000001</v>
      </c>
      <c r="AB160" s="3">
        <f>1728.3+(500.9-898.6)+(-2.644299+(-0.766377--1.374858))+0-4--0.00612000000000023</f>
        <v>1324.5703019999999</v>
      </c>
      <c r="AC160" s="3">
        <f>1736.9+(458.9-920.7)+(-4.429095+(-1.170195--2.347785))+0-4--0.0101999999999994</f>
        <v>1267.8586949999999</v>
      </c>
      <c r="AD160" s="2">
        <v>1388.2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1761.1+(492.4-1041.4)+(0+(0-0))+0-6-0</f>
        <v>1206.0999999999999</v>
      </c>
      <c r="G161" s="3">
        <f>1727.5+(469.4-1059.7)+(-0.881025+(-0.239394--0.540447))+0-6--0.00305999999999939</f>
        <v>1130.6230879999998</v>
      </c>
      <c r="H161" s="3">
        <f>1513.7+(517.7-947.7)+(0+(0-0))+0-6-0</f>
        <v>1077.7</v>
      </c>
      <c r="I161" s="3">
        <f>1460.4+(499.7-904.2)+(-2.979216+(-1.019388--1.844568))+0-6--0.0122399999999997</f>
        <v>1047.7582040000002</v>
      </c>
      <c r="J161" s="3">
        <f>1332.1+(475.2-777.2)+(0+(0-0))+0-6-0</f>
        <v>1024.0999999999999</v>
      </c>
      <c r="K161" s="3">
        <f>1212.1+(498.7-708.7)+(-3.090855+(-1.271685--1.807185))+0-6--0.0152999999999991</f>
        <v>993.55994499999997</v>
      </c>
      <c r="L161" s="3">
        <f>1207.2+(528.8-749.1)+(-3.07836+(-1.34844--1.910205))+0-6--0.0152999999999991</f>
        <v>978.39870499999995</v>
      </c>
      <c r="M161" s="3">
        <f>1242.7+(462.3-737.3)+(0.633777+(0.235773-0.376023))+0-6-0.00305999999999939</f>
        <v>962.19046700000001</v>
      </c>
      <c r="N161" s="3">
        <f>1615.5+(370.6-923.4)+(0+(0-0))+0-6-0</f>
        <v>1056.7</v>
      </c>
      <c r="O161" s="3">
        <f>1794.7+(342.1-969.5)+(1.830594+(0.348942-0.98889))+0-6-0.00612000000000096</f>
        <v>1162.4845260000002</v>
      </c>
      <c r="P161" s="3">
        <f>1783.3+(357.6-930.5)+(0+(0-0))+0-6-0</f>
        <v>1204.4000000000001</v>
      </c>
      <c r="Q161" s="3">
        <f>1769.1+(417.4-928.1)+(0.902241+(0.212874-0.473331))+0-6-0.00305999999999939</f>
        <v>1253.0387239999998</v>
      </c>
      <c r="R161" s="3">
        <f>1757.1+(368.1-862.8)+(-1.792242+(-0.375462--0.880056))+0-6--0.00612000000000096</f>
        <v>1255.1184720000001</v>
      </c>
      <c r="S161" s="3">
        <f>1751.6+(439.5-935.2)+(-0.893316+(-0.224145--0.476952))+0-6--0.00305999999999939</f>
        <v>1249.2625509999998</v>
      </c>
      <c r="T161" s="3">
        <f>1738.1+(379-860.9)+(-1.772862+(-0.38658--0.878118))+0-6--0.00612000000000096</f>
        <v>1248.9247959999998</v>
      </c>
      <c r="U161" s="3">
        <f>1731.5+(377.3-853.3)+(2.649195+(0.577269-1.305549))+0-6-0.00918000000000035</f>
        <v>1251.4117349999999</v>
      </c>
      <c r="V161" s="3">
        <f>1729.9+(351.6-851.1)+(0+(0-0))+0-6-0</f>
        <v>1224.4000000000001</v>
      </c>
      <c r="W161" s="3">
        <f>1736.1+(373.1-871.9)+(-2.656233+(-0.570843--1.334007))+0-6--0.00918000000000035</f>
        <v>1229.416111</v>
      </c>
      <c r="X161" s="3">
        <f>1741+(396.7-920.1)+(-6.21537+(-1.416219--3.284757))+0-6--0.0214200000000001</f>
        <v>1207.274588</v>
      </c>
      <c r="Y161" s="3">
        <f>1756.2+(371.7-916.4)+(0+(0-0))+0-6-0</f>
        <v>1205.5</v>
      </c>
      <c r="Z161" s="3">
        <f>1775.2+(430.7-848.7)+(0.905352+(0.219657-0.432837))+0-6-0.00305999999999939</f>
        <v>1351.8891120000001</v>
      </c>
      <c r="AA161" s="3">
        <f>1778.7+(433.1-823.9)+(-3.628548+(-0.883524--1.680756))+0-6--0.0122399999999997</f>
        <v>1379.0809240000001</v>
      </c>
      <c r="AB161" s="3">
        <f>1794.1+(498-944.6)+(0+(0-0))+0-6-0</f>
        <v>1341.5</v>
      </c>
      <c r="AC161" s="3">
        <f>1802+(509.5-1016.4)+(-0.91902+(-0.259845--0.518364))+0-6--0.00305999999999939</f>
        <v>1288.4425589999998</v>
      </c>
      <c r="AD161" s="2">
        <v>1379.9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1806.2+(519.9-1100.3)+(-1.842324+(-0.530298--1.122306))+0-6--0.00612000000000096</f>
        <v>1218.5558040000001</v>
      </c>
      <c r="G162" s="3">
        <f>1812.3+(523-1165.6)+(-0.924273+(-0.26673--0.594456))+0-6--0.00305999999999939</f>
        <v>1163.1065129999999</v>
      </c>
      <c r="H162" s="3">
        <f>1826.4+(440.4-1157.7)+(-2.794392+(-0.673812--1.771281))+0-6--0.00918000000000035</f>
        <v>1101.412257</v>
      </c>
      <c r="I162" s="3">
        <f>1716.5+(437.3-1085.8)+(-0.875415+(-0.223023--0.553758))+0-6--0.00305999999999939</f>
        <v>1061.45838</v>
      </c>
      <c r="J162" s="3">
        <f>1621.6+(488.1-1077.9)+(2.481048+(0.746793-1.649187))+0-6-0.00918000000000035</f>
        <v>1027.3694739999996</v>
      </c>
      <c r="K162" s="3">
        <f>1573.7+(452.3-1018.3)+(2.407761+(0.692019-1.557999))+0-6-0.00918000000000035</f>
        <v>1003.232601</v>
      </c>
      <c r="L162" s="3">
        <f>1506.3+(459.3-970.9)+(1.536426+(0.468486-0.990318))+0-6-0.00612000000000096</f>
        <v>989.70847400000002</v>
      </c>
      <c r="M162" s="3">
        <f>1527.1+(368.9-907.6)+(0+(0-0))+0-6-0</f>
        <v>982.39999999999986</v>
      </c>
      <c r="N162" s="3">
        <f>1522.1+(416.8-870.8)+(-2.328813+(-0.637704--1.332324))+0-6--0.00918000000000035</f>
        <v>1060.4749869999998</v>
      </c>
      <c r="O162" s="3">
        <f>1551.8+(394.2-810.4)+(0.791418+(0.201042-0.413304))+0-6-0.00305999999999939</f>
        <v>1130.1760959999999</v>
      </c>
      <c r="P162" s="3">
        <f>1711.1+(413-911.7)+(4.363305+(1.05315-2.324835))+0-6-0.0152999999999991</f>
        <v>1209.4763199999998</v>
      </c>
      <c r="Q162" s="3">
        <f>1710+(390.8-852.1)+(0.8721+(0.199308-0.434571))+0-6-0.00305999999999939</f>
        <v>1243.3337770000001</v>
      </c>
      <c r="R162" s="3">
        <f>1703.3+(404.1-840.7)+(-0.868683+(-0.206091--0.428757))+0-3--0.0015299999999997</f>
        <v>1263.0555129999998</v>
      </c>
      <c r="S162" s="3">
        <f>1692.7+(435.5-872.9)+(0+(0-0))+0-3-0</f>
        <v>1252.3000000000002</v>
      </c>
      <c r="T162" s="3">
        <f>1683.3+(401.6-832.7)+(-0.858483+(-0.204816--0.424677))+0-3--0.0015299999999997</f>
        <v>1248.5629079999999</v>
      </c>
      <c r="U162" s="3">
        <f>1687.6+(364.7-804.7)+(-0.860676+(-0.185997--0.410397))+0-3--0.0015299999999997</f>
        <v>1243.965254</v>
      </c>
      <c r="V162" s="3">
        <f>1692.6+(330.1-791.4)+(-1.726452+(-0.336702--0.807228))+0-3--0.00306000000000048</f>
        <v>1227.0471339999999</v>
      </c>
      <c r="W162" s="3">
        <f>1709.8+(358.6-854.2)+(-0.871998+(-0.182886--0.435642))+0-3--0.0015299999999997</f>
        <v>1210.5822879999998</v>
      </c>
      <c r="X162" s="3">
        <f>1704.9+(416.5-928.8)+(-2.608497+(-0.637245--1.421064))+0-3--0.00459000000000017</f>
        <v>1187.7799120000002</v>
      </c>
      <c r="Y162" s="3">
        <f>1671.3+(424.5-897.1)+(0+(0-0))+0-3-0</f>
        <v>1195.6999999999998</v>
      </c>
      <c r="Z162" s="3">
        <f>1712.1+(444.2-797.1)+(-1.746342+(-0.453084--0.813042))+0-3--0.00306000000000048</f>
        <v>1354.8166759999999</v>
      </c>
      <c r="AA162" s="3">
        <f>1717.4+(442.3-785.1)+(-0.875874+(-0.225573--0.400401))+0-3--0.0015299999999997</f>
        <v>1370.9004840000002</v>
      </c>
      <c r="AB162" s="3">
        <f>1730.5+(482.9-872.7)+(-0.882555+(-0.246279--0.445077))+0-3--0.0015299999999997</f>
        <v>1337.0177729999998</v>
      </c>
      <c r="AC162" s="3">
        <f>1731.8+(559.4-990.5)+(-2.649654+(-0.855882--1.515465))+0-3--0.00459000000000017</f>
        <v>1295.7145189999999</v>
      </c>
      <c r="AD162" s="2">
        <v>1376.5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1731.8+(511.9-985.9)+(-1.766436+(-0.522138--1.005618))+0-3--0.00306000000000048</f>
        <v>1253.5201039999999</v>
      </c>
      <c r="G163" s="3">
        <f>1729.2+(448.4-1002.2)+(-3.527568+(-0.914736--2.044488))+0-3--0.00611999999999987</f>
        <v>1170.0083040000002</v>
      </c>
      <c r="H163" s="3">
        <f>1734.6+(471.5-1070.3)+(-2.653938+(-0.721395--1.637559))+0-3--0.00459000000000017</f>
        <v>1131.066816</v>
      </c>
      <c r="I163" s="3">
        <f>1722.9+(479.6-1092.4)+(-4.393395+(-1.22298--2.78562))+0-3--0.00764999999999957</f>
        <v>1104.276895</v>
      </c>
      <c r="J163" s="3">
        <f>1646.2+(421.1-997.5)+(3.358248+(0.859044-2.0349))+0-3-0.00611999999999987</f>
        <v>1068.9762720000001</v>
      </c>
      <c r="K163" s="3">
        <f>1631.7+(427.8-997.9)+(1.664334+(0.436356-1.017858))+0-3-0.00306000000000048</f>
        <v>1059.6797720000002</v>
      </c>
      <c r="L163" s="3">
        <f>1585.8+(351.6-933.8)+(-2.426274+(-0.537948--1.428714))+0-3--0.00459000000000017</f>
        <v>999.06908199999998</v>
      </c>
      <c r="M163" s="3">
        <f>1591.2+(305.1-910.5)+(0.811512+(0.155601-0.464355))+0-3-0.0015299999999997</f>
        <v>983.30122800000004</v>
      </c>
      <c r="N163" s="3">
        <f>1643+(362.2-931.4)+(0+(0-0))+0-3-0</f>
        <v>1070.8</v>
      </c>
      <c r="O163" s="3">
        <f>1746.9+(383.3-977.7)+(0.890919+(0.195483-0.498627))+0-3-0.0015299999999997</f>
        <v>1150.086245</v>
      </c>
      <c r="P163" s="3">
        <f>1752.6+(375.4-920.5)+(0.893826+(0.191454-0.469455))+0-3-0.0015299999999997</f>
        <v>1205.1142950000001</v>
      </c>
      <c r="Q163" s="3">
        <f>1737.8+(338-819.9)+(2.658834+(0.51714-1.254447))+0-3-0.00459000000000017</f>
        <v>1254.8169370000001</v>
      </c>
      <c r="R163" s="3">
        <f>1718.4+(332.6-803.8)+(1.752768+(0.339252-0.819876))+0-3-0.00306000000000048</f>
        <v>1245.4690840000003</v>
      </c>
      <c r="S163" s="3">
        <f>1697.6+(332.2-804.7)+(0.865776+(0.169422-0.410397))+0-5-0.00254999999999949</f>
        <v>1220.7222509999999</v>
      </c>
      <c r="T163" s="3">
        <f>1685.4+(320.3-774.9)+(0+(0-0))+0-5-0</f>
        <v>1225.8000000000002</v>
      </c>
      <c r="U163" s="3">
        <f>1685.5+(284.7-734.6)+(-0.859605+(-0.145197--0.374646))+0-5--0.00254999999999949</f>
        <v>1229.9723939999999</v>
      </c>
      <c r="V163" s="3">
        <f>1666+(307.4-737)+(-4.2483+(-0.78387--1.87935))+0-5--0.0127499999999993</f>
        <v>1228.2599300000002</v>
      </c>
      <c r="W163" s="3">
        <f>1667.7+(299.4-752.7)+(-5.103162+(-0.916164--2.303262))+0-5--0.0153000000000006</f>
        <v>1205.6992360000002</v>
      </c>
      <c r="X163" s="3">
        <f>1674.7+(356.6-843.5)+(-2.562291+(-0.545598--1.290555))+0-5--0.00765000000000029</f>
        <v>1180.9903160000001</v>
      </c>
      <c r="Y163" s="3">
        <f>1692.3+(345.8-857.9)+(0.863073+(0.176358-0.437529))+0-5-0.00254999999999949</f>
        <v>1175.7993520000002</v>
      </c>
      <c r="Z163" s="3">
        <f>1746.3+(358.6-762.4)+(-1.781226+(-0.365772--0.777648))+0-5--0.0051000000000008</f>
        <v>1336.1357500000001</v>
      </c>
      <c r="AA163" s="3">
        <f>1764.3+(395.6-795.9)+(-3.599172+(-0.807024--1.623636))+0-5--0.0101999999999998</f>
        <v>1356.2276399999998</v>
      </c>
      <c r="AB163" s="3">
        <f>1771.9+(463.3-900.7)+(-2.711007+(-0.708849--1.378071))+0-5--0.00765000000000029</f>
        <v>1327.4658650000001</v>
      </c>
      <c r="AC163" s="3">
        <f>1788.1+(499.1-1005.5)+(2.735793+(0.763623-1.538415))+0-5-0.00765000000000029</f>
        <v>1278.6533509999997</v>
      </c>
      <c r="AD163" s="2">
        <v>1355.4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1794.6+(519.3-1092.2)+(-1.830492+(-0.529686--1.114044))+0-5--0.0051000000000008</f>
        <v>1215.4589659999999</v>
      </c>
      <c r="G164" s="3">
        <f>1812+(484.2-1143)+(0.92412+(0.246942-0.58293))+0-5-0.00254999999999949</f>
        <v>1148.7855820000002</v>
      </c>
      <c r="H164" s="3">
        <f>1800+(440.4-1143.8)+(1.836+(0.449208-1.166676))+0-5-0.0051000000000008</f>
        <v>1092.7134319999998</v>
      </c>
      <c r="I164" s="3">
        <f>1697.6+(480.8-1115)+(-1.731552+(-0.490416--1.1373))+0-5--0.0051000000000008</f>
        <v>1057.320432</v>
      </c>
      <c r="J164" s="3">
        <f>1618.4+(548.4-1118.8)+(4.952304+(1.678104-3.423528))+0-5-0.0153000000000006</f>
        <v>1046.1915799999999</v>
      </c>
      <c r="K164" s="3">
        <f>1609+(513.9-1096.1)+(3.28236+(1.048356-2.236044))+0-5-0.0101999999999998</f>
        <v>1023.8844720000001</v>
      </c>
      <c r="L164" s="3">
        <f>1576.1+(388.7-975.9)+(1.607622+(0.396474-0.995418))+0-4-0.00408000000000064</f>
        <v>985.90459799999985</v>
      </c>
      <c r="M164" s="3">
        <f>1501.3+(391.6-921.3)+(4.593978+(1.198296-2.819178))+0-4-0.0122400000000005</f>
        <v>970.56085600000006</v>
      </c>
      <c r="N164" s="3">
        <f>1622.3+(317.4-911.1)+(2.482119+(0.485622-1.393983))+0-4-0.00612000000000023</f>
        <v>1026.1676379999999</v>
      </c>
      <c r="O164" s="3">
        <f>1714.2+(343.7-931.2)+(0+(0-0))+0-4-0</f>
        <v>1122.7</v>
      </c>
      <c r="P164" s="3">
        <f>1720.7+(356.9-878.7)+(0.877557+(0.182019-0.448137))+0-4-0.00203999999999959</f>
        <v>1195.509399</v>
      </c>
      <c r="Q164" s="3">
        <f>1706.5+(321.6-793.5)+(0.870315+(0.164016-0.404685))+0-4-0.00203999999999959</f>
        <v>1231.2276059999999</v>
      </c>
      <c r="R164" s="3">
        <f>1688.1+(310.3-777.1)+(-2.582793+(-0.474759--1.188963))+0-6--0.00918000000000035</f>
        <v>1213.440591</v>
      </c>
      <c r="S164" s="3">
        <f>1671.1+(345.2-827.8)+(-2.556783+(-0.528156--1.266534))+0-6--0.00918000000000035</f>
        <v>1180.690775</v>
      </c>
      <c r="T164" s="3">
        <f>1672.5+(398.3-867.6)+(-0.852975+(-0.203133--0.442476))+0-6--0.00305999999999939</f>
        <v>1196.589428</v>
      </c>
      <c r="U164" s="3">
        <f>1677.9+(434.9-902.2)+(0+(0-0))+0-6-0</f>
        <v>1204.5999999999999</v>
      </c>
      <c r="V164" s="3">
        <f>1678.7+(480.2-949.9)+(-0.856137+(-0.244902--0.484449))+0-6--0.00305999999999939</f>
        <v>1202.3864699999999</v>
      </c>
      <c r="W164" s="3">
        <f>1678.4+(513.4-976.5)+(0+(0-0))+0-6-0</f>
        <v>1209.3000000000002</v>
      </c>
      <c r="X164" s="3">
        <f>1671.8+(459.4-943.2)+(-2.557854+(-0.702882--1.443096))+0-6--0.00918000000000035</f>
        <v>1180.19154</v>
      </c>
      <c r="Y164" s="3">
        <f>1701.1+(372.1-907.2)+(0+(0-0))+0-6-0</f>
        <v>1160</v>
      </c>
      <c r="Z164" s="3">
        <f>1757.8+(402.5-850.7)+(0+(0-0))+0-6-0</f>
        <v>1303.5999999999999</v>
      </c>
      <c r="AA164" s="3">
        <f>1689.6+(466.2-819.6)+(-2.585088+(-0.713286--1.253988))+0-6--0.00918000000000035</f>
        <v>1328.1647939999998</v>
      </c>
      <c r="AB164" s="3">
        <f>1529.3+(504.6-755.6)+(-3.899715+(-1.28673--1.92678))+0-6--0.0152999999999991</f>
        <v>1269.0556349999999</v>
      </c>
      <c r="AC164" s="3">
        <f>1507.5+(480.3-765)+(-1.53765+(-0.489906--0.7803))+0-6--0.00612000000000096</f>
        <v>1215.5588639999999</v>
      </c>
      <c r="AD164" s="2">
        <v>1320.1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1512+(496.2-829.3)+(-2.31336+(-0.759186--1.268829))+0-5--0.00765000000000029</f>
        <v>1172.1039330000001</v>
      </c>
      <c r="G165" s="3">
        <f>1524.7+(456.4-875.4)+(-2.332791+(-0.698292--1.339362))+0-5--0.00765000000000029</f>
        <v>1099.0159290000001</v>
      </c>
      <c r="H165" s="3">
        <f>1532.2+(460.7-936.9)+(-1.562844+(-0.469914--0.955638))+0-5--0.0051000000000008</f>
        <v>1049.9279800000002</v>
      </c>
      <c r="I165" s="3">
        <f>1541+(463.5-986.6)+(0.78591+(0.236385-0.503166))+0-5-0.00254999999999949</f>
        <v>1013.416579</v>
      </c>
      <c r="J165" s="3">
        <f>1552.4+(488.4-1039.5)+(-3.166896+(-0.996336--2.12058))+0-5--0.0101999999999998</f>
        <v>994.26754800000015</v>
      </c>
      <c r="K165" s="3">
        <f>1556+(477.5-1057.1)+(-2.38068+(-0.730575--1.617363))+0-5--0.00765000000000029</f>
        <v>969.91375800000014</v>
      </c>
      <c r="L165" s="3">
        <f>1392.4+(458.8-892.2)+(-3.55062+(-1.16994--2.27511))+0-5--0.0127499999999993</f>
        <v>951.56729999999993</v>
      </c>
      <c r="M165" s="3">
        <f>1142.3+(487.9-729.2)+(0.582573+(0.248829-0.371892))+0-5-0.00254999999999949</f>
        <v>896.45695999999987</v>
      </c>
      <c r="N165" s="3">
        <f>1246.8+(443.8-762)+(0.635868+(0.226338-0.38862))+0-6-0.00305999999999939</f>
        <v>923.07052599999986</v>
      </c>
      <c r="O165" s="3">
        <f>1259.6+(508.6-776.7)+(-1.284792+(-0.518772--0.792234))+0-6--0.00612000000000096</f>
        <v>984.49478999999985</v>
      </c>
      <c r="P165" s="3">
        <f>1333.4+(492.5-778.9)+(0+(0-0))+0-6-0</f>
        <v>1041</v>
      </c>
      <c r="Q165" s="3">
        <f>1405.7+(503.7-799)+(0+(0-0))+0-6-0</f>
        <v>1104.4000000000001</v>
      </c>
      <c r="R165" s="3">
        <f>1398+(549.1-808.6)+(-0.71298+(-0.280041--0.412386))+0-6--0.00305999999999939</f>
        <v>1131.922425</v>
      </c>
      <c r="S165" s="3">
        <f>1318.4+(602.4-792.4)+(-2.017152+(-0.921672--1.212372))+0-6--0.00918000000000035</f>
        <v>1120.682728</v>
      </c>
      <c r="T165" s="3">
        <f>1253.4+(647.7-773.1)+(-2.556936+(-1.321308--1.577124))+0-6--0.0122399999999997</f>
        <v>1119.7111199999999</v>
      </c>
      <c r="U165" s="3">
        <f>1238.2+(640.5-755.7)+(0.631482+(0.326655-0.385407))+0-6-0.00305999999999939</f>
        <v>1117.5696700000001</v>
      </c>
      <c r="V165" s="3">
        <f>1246+(622-762.5)+(-3.1773+(-1.5861--1.944375))+0-6--0.0152999999999991</f>
        <v>1096.696275</v>
      </c>
      <c r="W165" s="3">
        <f>1368.4+(549.1-819.3)+(-3.48942+(-1.400205--2.089215))+0-6--0.0152999999999991</f>
        <v>1089.4148900000002</v>
      </c>
      <c r="X165" s="3">
        <f>1375.8+(521.3-821.8)+(-1.403316+(-0.531726--0.838236))+0-6--0.00612000000000096</f>
        <v>1068.2093139999999</v>
      </c>
      <c r="Y165" s="3">
        <f>1395.1+(526.6-826.9)+(0.711501+(0.268566-0.421719))+0-6-0.00305999999999939</f>
        <v>1089.355288</v>
      </c>
      <c r="Z165" s="3">
        <f>1414.5+(542-771)+(0+(0-0))+0-6-0</f>
        <v>1179.5</v>
      </c>
      <c r="AA165" s="3">
        <f>1411.7+(554.8-719.5)+(-2.879868+(-1.131792--1.46778))+0-6--0.0122399999999997</f>
        <v>1238.4683600000001</v>
      </c>
      <c r="AB165" s="3">
        <f>1449.3+(468.2-695.9)+(0+(0-0))+0-6-0</f>
        <v>1215.5999999999999</v>
      </c>
      <c r="AC165" s="3">
        <f>1467.1+(511.4-797.7)+(-0.748221+(-0.260814--0.406827))+0-6--0.00305999999999939</f>
        <v>1174.2008519999997</v>
      </c>
      <c r="AD165" s="2">
        <v>1239.7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1469.7+(556.2-898.5)+(-1.499094+(-0.567324--0.91647))+0-6--0.00612000000000096</f>
        <v>1120.2561720000001</v>
      </c>
      <c r="G166" s="3">
        <f>1471.2+(553.1-968.4)+(-0.750312+(-0.282081--0.493884))+0-6--0.00305999999999939</f>
        <v>1049.3645510000001</v>
      </c>
      <c r="H166" s="3">
        <f>1417.5+(523.4-935.6)+(-1.44585+(-0.533868--0.954312))+0-6--0.00612000000000096</f>
        <v>998.28071399999999</v>
      </c>
      <c r="I166" s="3">
        <f>1473.2+(477.6-968.4)+(2.253996+(0.730728-1.481652))+0-6-0.00918000000000035</f>
        <v>977.89389200000005</v>
      </c>
      <c r="J166" s="3">
        <f>1571.4+(495.2-1079.3)+(-0.801414+(-0.252552--0.550443))+0-6--0.00305999999999939</f>
        <v>980.79953700000021</v>
      </c>
      <c r="K166" s="3">
        <f>1523.9+(495.6-1045.1)+(-3.885945+(-1.26378--2.665005))+0-6--0.0152999999999991</f>
        <v>965.93058000000019</v>
      </c>
      <c r="L166" s="3">
        <f>1479.2+(461.2-990.6)+(-3.017568+(-0.940848--2.020824))+0-6--0.0122399999999997</f>
        <v>941.87464799999998</v>
      </c>
      <c r="M166" s="3">
        <f>1495.5+(406.9-957.1)+(0.762705+(0.207519-0.488121))+0-6-0.00305999999999939</f>
        <v>939.779043</v>
      </c>
      <c r="N166" s="3">
        <f>1640.8+(379.4-989.8)+(0+(0-0))+0-6-0</f>
        <v>1024.4000000000001</v>
      </c>
      <c r="O166" s="3">
        <f>1671.8+(382.8-965.2)+(0+(0-0))+0-6-0</f>
        <v>1083.3999999999999</v>
      </c>
      <c r="P166" s="3">
        <f>1690.3+(386.4-928)+(1.724106+(0.394128-0.94656))+0-6-0.00612000000000096</f>
        <v>1143.8655539999997</v>
      </c>
      <c r="Q166" s="3">
        <f>1679.9+(426.7-907.9)+(0+(0-0))+0-6-0</f>
        <v>1192.7</v>
      </c>
      <c r="R166" s="3">
        <f>1677.2+(445.4-922.3)+(0+(0-0))+0-6-0</f>
        <v>1194.3000000000002</v>
      </c>
      <c r="S166" s="3">
        <f>1660.6+(506.9-974.1)+(-3.387624+(-1.034076--1.987164))+0-6--0.0122399999999997</f>
        <v>1184.9777039999999</v>
      </c>
      <c r="T166" s="3">
        <f>1658.3+(512.6-973.7)+(-2.537199+(-0.784278--1.489761))+0-6--0.00918000000000035</f>
        <v>1189.3774639999999</v>
      </c>
      <c r="U166" s="3">
        <f>1666.9+(513.5-978.8)+(0.850119+(0.261885-0.499188))+0-6-0.00305999999999939</f>
        <v>1196.2097560000002</v>
      </c>
      <c r="V166" s="3">
        <f>1672.2+(543.3-1004.1)+(0.852822+(0.277083-0.512091))+0-6-0.00305999999999939</f>
        <v>1206.014754</v>
      </c>
      <c r="W166" s="3">
        <f>1671.8+(543.7-1011)+(0+(0-0))+0-6-0</f>
        <v>1198.5</v>
      </c>
      <c r="X166" s="3">
        <f>1678.5+(464.5-972.4)+(1.71207+(0.47379-0.991848))+0-6-0.00612000000000096</f>
        <v>1165.7878919999998</v>
      </c>
      <c r="Y166" s="3">
        <f>1717.7+(425.4-975.6)+(0+(0-0))+0-6-0</f>
        <v>1161.5</v>
      </c>
      <c r="Z166" s="3">
        <f>1777.9+(491-956.8)+(-0.906729+(-0.25041--0.487968))+0-6--0.00305999999999939</f>
        <v>1305.4338890000001</v>
      </c>
      <c r="AA166" s="3">
        <f>1797.1+(491.3-969.8)+(-0.916521+(-0.250563--0.494598))+0-6--0.00305999999999939</f>
        <v>1311.930574</v>
      </c>
      <c r="AB166" s="3">
        <f>1804.1+(485.6-1008)+(-1.840182+(-0.495312--1.02816))+0-6--0.00612000000000096</f>
        <v>1274.3987859999997</v>
      </c>
      <c r="AC166" s="3">
        <f>1817+(443.6-1029.2)+(-1.85334+(-0.452472--1.049784))+0-6--0.00612000000000096</f>
        <v>1224.1500920000001</v>
      </c>
      <c r="AD166" s="2">
        <v>1396.3000000000002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1791.8+(372.2-1016.6)+(-2.741454+(-0.569466--1.555398))+0-6--0.00918000000000035</f>
        <v>1139.653658</v>
      </c>
      <c r="G167" s="3">
        <f>1768.3+(373.3-1064.1)+(-4.509165+(-0.951915--2.713455))+0-6--0.0152999999999991</f>
        <v>1068.7676750000001</v>
      </c>
      <c r="H167" s="3">
        <f>1753.9+(319.9-1050.1)+(-1.788978+(-0.326298--1.071102))+0-6--0.00612000000000096</f>
        <v>1016.6619460000002</v>
      </c>
      <c r="I167" s="3">
        <f>1763.3+(336.8-1086.5)+(-3.597132+(-0.687072--2.21646))+0-6--0.0122399999999997</f>
        <v>1005.544496</v>
      </c>
      <c r="J167" s="3">
        <f>1757.5+(364.6-1126.7)+(-0.896325+(-0.185946--0.574617))+0-6--0.00305999999999939</f>
        <v>988.89540599999998</v>
      </c>
      <c r="K167" s="3">
        <f>1767.9+(346.8-1127.9)+(-0.901629+(-0.176868--0.575229))+0-6--0.00305999999999939</f>
        <v>980.29979199999991</v>
      </c>
      <c r="L167" s="3">
        <f>1772.4+(322.9-1124.8)+(-6.327468+(-1.152753--4.015536))+0-6--0.0214200000000001</f>
        <v>961.05673500000012</v>
      </c>
      <c r="M167" s="3">
        <f>1703.6+(299.8-1054.3)+(0.868836+(0.152898-0.537693))+0-6-0.00305999999999939</f>
        <v>943.58098099999995</v>
      </c>
      <c r="N167" s="3">
        <f>1740.7+(268.7-995.8)+(-0.887757+(-0.137037--0.507858))+0-5--0.00254999999999949</f>
        <v>1008.0856140000002</v>
      </c>
      <c r="O167" s="3">
        <f>1747.9+(332.4-988.9)+(0+(0-0))+0-5-0</f>
        <v>1086.4000000000001</v>
      </c>
      <c r="P167" s="3">
        <f>1766.6+(326.4-949.1)+(-0.900966+(-0.166464--0.484041))+0-5--0.00254999999999949</f>
        <v>1138.3191609999999</v>
      </c>
      <c r="Q167" s="3">
        <f>1796.7+(357.9-957.4)+(-0.916317+(-0.182529--0.488274))+0-5--0.00254999999999949</f>
        <v>1191.5919779999999</v>
      </c>
      <c r="R167" s="3">
        <f>1783+(402.1-994.8)+(-1.81866+(-0.410142--1.014696))+0-6--0.00612000000000096</f>
        <v>1183.0920140000003</v>
      </c>
      <c r="S167" s="3">
        <f>1774.1+(455.5-1055.2)+(-0.904791+(-0.232305--0.538152))+0-6--0.00305999999999939</f>
        <v>1167.8041159999998</v>
      </c>
      <c r="T167" s="3">
        <f>1763.7+(478.7-1064.9)+(-4.497435+(-1.220685--2.715495))+0-6--0.0152999999999991</f>
        <v>1168.5126749999999</v>
      </c>
      <c r="U167" s="3">
        <f>1755.5+(485.1-1058)+(-1.79061+(-0.494802--1.07916))+0-6--0.00612000000000096</f>
        <v>1175.399868</v>
      </c>
      <c r="V167" s="3">
        <f>1745.8+(482.2-1033.4)+(-0.890358+(-0.245922--0.527034))+0-6--0.00305999999999939</f>
        <v>1187.9938139999999</v>
      </c>
      <c r="W167" s="3">
        <f>1742.6+(453.1-1006.1)+(-4.44363+(-1.155405--2.565555))+0-6--0.0152999999999991</f>
        <v>1180.5818199999999</v>
      </c>
      <c r="X167" s="3">
        <f>1749.2+(420.8-1019.8)+(-3.568368+(-0.858432--2.080392))+0-6--0.0122399999999997</f>
        <v>1141.865832</v>
      </c>
      <c r="Y167" s="3">
        <f>1767+(374.4-994.2)+(0.90117+(0.190944-0.507042))+0-6-0.00305999999999939</f>
        <v>1141.7820119999999</v>
      </c>
      <c r="Z167" s="3">
        <f>1768.7+(498.6-960.2)+(0+(0-0))+0-6-0</f>
        <v>1301.0999999999999</v>
      </c>
      <c r="AA167" s="3">
        <f>1770.5+(507.1-963.8)+(-6.320685+(-1.810347--3.440766))+0-6--0.0214200000000001</f>
        <v>1303.1311540000002</v>
      </c>
      <c r="AB167" s="3">
        <f>1795.5+(404.2-942.4)+(-2.747115+(-0.618426--1.441872))+0-6--0.00918000000000035</f>
        <v>1249.385511</v>
      </c>
      <c r="AC167" s="3">
        <f>1795.5+(466.8-1051.8)+(-2.747115+(-0.714204--1.609254))+0-6--0.00918000000000035</f>
        <v>1202.657115</v>
      </c>
      <c r="AD167" s="2">
        <v>1306.5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1676.8+(521.5-1042.5)+(-4.27584+(-1.329825--2.658375))+0-6--0.0152999999999991</f>
        <v>1146.8680099999999</v>
      </c>
      <c r="G168" s="3">
        <f>1425.5+(579.5-924)+(-4.36203+(-1.77327--2.82744))+0-6--0.0183600000000007</f>
        <v>1071.7105000000001</v>
      </c>
      <c r="H168" s="3">
        <f>1378.5+(543-903.1)+(-2.109105+(-0.83079--1.381743))+0-6--0.00918000000000035</f>
        <v>1010.851028</v>
      </c>
      <c r="I168" s="3">
        <f>1376.7+(493.6-885.5)+(-1.404234+(-0.503472--0.90321))+0-6--0.00612000000000096</f>
        <v>977.80162400000006</v>
      </c>
      <c r="J168" s="3">
        <f>1383.4+(476.5-898.2)+(-0.705534+(-0.243015--0.458082))+0-6--0.00305999999999939</f>
        <v>955.21259300000008</v>
      </c>
      <c r="K168" s="3">
        <f>1369.2+(477.8-887.6)+(-2.094876+(-0.731034--1.358028))+0-6--0.00918000000000035</f>
        <v>951.94129800000007</v>
      </c>
      <c r="L168" s="3">
        <f>1221.4+(515.9-800.3)+(-0.622914+(-0.263109--0.408153))+0-6--0.00305999999999939</f>
        <v>930.52519000000007</v>
      </c>
      <c r="M168" s="3">
        <f>1292.2+(435.8-806.3)+(0.659022+(0.222258-0.411213))+0-6-0.00305999999999939</f>
        <v>916.16700700000001</v>
      </c>
      <c r="N168" s="3">
        <f>1625.3+(296.8-905.4)+(0.828903+(0.151368-0.461754))+0-6-0.00305999999999939</f>
        <v>1011.215457</v>
      </c>
      <c r="O168" s="3">
        <f>1734.1+(295.3-932.6)+(-0.884391+(-0.150603--0.475626))+0-6--0.00305999999999939</f>
        <v>1090.243692</v>
      </c>
      <c r="P168" s="3">
        <f>1708.4+(334.4-909.1)+(0.871284+(0.170544-0.463641))+0-6-0.00305999999999939</f>
        <v>1128.2751270000001</v>
      </c>
      <c r="Q168" s="3">
        <f>1721.4+(393.7-937.5)+(0.877914+(0.200787-0.478125))+0-6-0.00305999999999939</f>
        <v>1172.1975160000002</v>
      </c>
      <c r="R168" s="3">
        <f>1740.9+(420.2-996.3)+(0+(0-0))+0-6-0</f>
        <v>1158.8000000000002</v>
      </c>
      <c r="S168" s="3">
        <f>1745.8+(471.9-1070.4)+(-0.890358+(-0.240669--0.545904))+0-6--0.00305999999999939</f>
        <v>1140.7179369999997</v>
      </c>
      <c r="T168" s="3">
        <f>1731.1+(559.4-1118)+(-0.882861+(-0.285294--0.57018))+0-6--0.00305999999999939</f>
        <v>1165.9050850000001</v>
      </c>
      <c r="U168" s="3">
        <f>1713.7+(554.9-1094.5)+(-4.369935+(-1.414995--2.790975))+0-6--0.0152999999999991</f>
        <v>1165.121345</v>
      </c>
      <c r="V168" s="3">
        <f>1717+(502.1-1054.8)+(-2.62701+(-0.768213--1.613844))+0-6--0.00918000000000035</f>
        <v>1156.5278010000002</v>
      </c>
      <c r="W168" s="3">
        <f>1700.6+(475.9-1017.7)+(-5.203836+(-1.456254--3.114162))+0-6--0.0183600000000007</f>
        <v>1149.2724319999998</v>
      </c>
      <c r="X168" s="3">
        <f>1700.6+(370.3-961.5)+(-6.071142+(-1.321971--3.432555))+0-6--0.0214200000000001</f>
        <v>1099.4608619999999</v>
      </c>
      <c r="Y168" s="3">
        <f>1728+(302.1-910.5)+(0.88128+(0.154071-0.464355))+0-6-0.00305999999999939</f>
        <v>1114.1679359999998</v>
      </c>
      <c r="Z168" s="3">
        <f>1722.9+(342.5-803.7)+(-0.878679+(-0.174675--0.409887))+0-6--0.00305999999999939</f>
        <v>1255.0595929999999</v>
      </c>
      <c r="AA168" s="3">
        <f>1692.7+(404.5-827.1)+(-3.453108+(-0.82518--1.687284))+0-6--0.0122399999999997</f>
        <v>1261.5212359999998</v>
      </c>
      <c r="AB168" s="3">
        <f>1672.3+(443.1-887.2)+(-2.558619+(-0.677943--1.357416))+0-6--0.00918000000000035</f>
        <v>1220.3300339999998</v>
      </c>
      <c r="AC168" s="3">
        <f>1676.1+(438.2-940.6)+(-1.709622+(-0.446964--0.959412))+0-6--0.00612000000000096</f>
        <v>1166.5089459999999</v>
      </c>
      <c r="AD168" s="2">
        <v>1270.6000000000001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1512.9+(494.9-901.1)+(-2.314737+(-0.757197--1.378683))+0-6--0.00918000000000035</f>
        <v>1099.0159290000001</v>
      </c>
      <c r="G169" s="3">
        <f>1390.3+(549.4-918.9)+(-0.709053+(-0.280194--0.468639))+0-6--0.00305999999999939</f>
        <v>1014.2824519999999</v>
      </c>
      <c r="H169" s="3">
        <f>1387.9+(548.7-958.7)+(-1.415658+(-0.559674--0.977874))+0-6--0.00612000000000096</f>
        <v>970.90866200000005</v>
      </c>
      <c r="I169" s="3">
        <f>1388.2+(524.7-957)+(-2.123946+(-0.802791--1.46421))+0-6--0.00918000000000035</f>
        <v>948.44665300000008</v>
      </c>
      <c r="J169" s="3">
        <f>1399.6+(417.8-895)+(2.855184+(0.852312-1.8258))+0-6-0.0122399999999997</f>
        <v>918.26945599999988</v>
      </c>
      <c r="K169" s="3">
        <f>1387+(405-869.3)+(-2.12211+(-0.61965--1.330029))+0-6--0.00918000000000035</f>
        <v>915.29744900000003</v>
      </c>
      <c r="L169" s="3">
        <f>1382.3+(397-867.4)+(-3.524865+(-1.01235--2.21187))+0-6--0.0152999999999991</f>
        <v>903.58995500000003</v>
      </c>
      <c r="M169" s="3">
        <f>1415.4+(331.5-856)+(-0.721854+(-0.169065--0.43656))+0-6--0.00305999999999939</f>
        <v>884.44870100000014</v>
      </c>
      <c r="N169" s="3">
        <f>1633.5+(253.4-908.1)+(-0.833085+(-0.129234--0.463131))+0-6--0.00305999999999939</f>
        <v>972.30387199999996</v>
      </c>
      <c r="O169" s="3">
        <f>1721.6+(255.7-903.8)+(0+(0-0))+0-6-0</f>
        <v>1067.5</v>
      </c>
      <c r="P169" s="3">
        <f>1730.9+(292.1-892.9)+(0+(0-0))+0-6-0</f>
        <v>1124.1000000000001</v>
      </c>
      <c r="Q169" s="3">
        <f>1738.9+(305.1-883.5)+(0+(0-0))+0-6-0</f>
        <v>1154.5</v>
      </c>
      <c r="R169" s="3">
        <f>1723.8+(347.7-913.9)+(-2.637414+(-0.531981--1.398267))+0-6--0.00918000000000035</f>
        <v>1149.8380519999998</v>
      </c>
      <c r="S169" s="3">
        <f>1713.1+(415.3-981.8)+(-1.747362+(-0.423606--1.001436))+0-6--0.00612000000000096</f>
        <v>1139.436588</v>
      </c>
      <c r="T169" s="3">
        <f>1717.8+(421.8-994.3)+(0+(0-0))+0-6-0</f>
        <v>1139.3</v>
      </c>
      <c r="U169" s="3">
        <f>1713.9+(432.2-1000.3)+(2.622267+(0.661266-1.530459))+0-6-0.00918000000000035</f>
        <v>1141.5438940000001</v>
      </c>
      <c r="V169" s="3">
        <f>1690+(423.8-960.9)+(-4.3095+(-1.08069--2.450295))+0-6--0.0152999999999991</f>
        <v>1143.9754050000001</v>
      </c>
      <c r="W169" s="3">
        <f>1684.5+(450.8-978.2)+(-4.295475+(-1.14954--2.49441))+0-6--0.0152999999999991</f>
        <v>1148.1646949999999</v>
      </c>
      <c r="X169" s="3">
        <f>1696.4+(394-959.4)+(-2.595492+(-0.60282--1.467882))+0-6--0.00918000000000035</f>
        <v>1123.2787499999999</v>
      </c>
      <c r="Y169" s="3">
        <f>1705.4+(382.3-940)+(0.869754+(0.194973-0.4794))+0-6-0.00305999999999939</f>
        <v>1142.282267</v>
      </c>
      <c r="Z169" s="3">
        <f>1730.7+(427.3-866.7)+(-2.647971+(-0.653769--1.326051))+0-6--0.00918000000000035</f>
        <v>1283.3334909999999</v>
      </c>
      <c r="AA169" s="3">
        <f>1700.6+(428.1-841.1)+(-5.203836+(-1.309986--2.573766))+0-6--0.0183600000000007</f>
        <v>1277.678304</v>
      </c>
      <c r="AB169" s="3">
        <f>1675.7+(455.2-893)+(-4.273035+(-1.16076--2.27715))+0-6--0.0152999999999991</f>
        <v>1228.7586550000001</v>
      </c>
      <c r="AC169" s="3">
        <f>1689+(518.6-1020.4)+(-5.16834+(-1.586916--3.122424))+0-6--0.0183600000000007</f>
        <v>1177.5855280000001</v>
      </c>
      <c r="AD169" s="2">
        <v>1285.1000000000001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1703.7+(481.3-1084.6)+(-3.475548+(-0.981852--2.212584))+0-6--0.0122399999999997</f>
        <v>1092.1674240000002</v>
      </c>
      <c r="G170" s="3">
        <f>1609.1+(397.4-976.8)+(0.820641+(0.202674-0.498168))+0-6-0.00305999999999939</f>
        <v>1024.2220869999999</v>
      </c>
      <c r="H170" s="3">
        <f>1488.6+(428.7-936.4)+(0.759186+(0.218637-0.477564))+0-6-0.00305999999999939</f>
        <v>975.39719899999989</v>
      </c>
      <c r="I170" s="3">
        <f>1472.3+(460.6-968.3)+(-2.252619+(-0.704718--1.481499))+0-6--0.00918000000000035</f>
        <v>957.13334200000008</v>
      </c>
      <c r="J170" s="3">
        <f>1471.4+(507.6-1039.7)+(-1.500828+(-0.517752--1.060494))+0-6--0.00612000000000096</f>
        <v>932.3480340000001</v>
      </c>
      <c r="K170" s="3">
        <f>1470.5+(486.4-1028.8)+(-2.249865+(-0.744192--1.574064))+0-6--0.00918000000000035</f>
        <v>920.68918700000006</v>
      </c>
      <c r="L170" s="3">
        <f>1473.4+(433.8-982.5)+(-4.508604+(-1.327428--3.00645))+0-6--0.0183600000000007</f>
        <v>915.88877800000012</v>
      </c>
      <c r="M170" s="3">
        <f>1489.3+(408.9-973)+(0.759543+(0.208539-0.49623))+0-6-0.00305999999999939</f>
        <v>919.66879199999994</v>
      </c>
      <c r="N170" s="3">
        <f>1585.1+(359.5-955.9)+(-0.808401+(-0.183345--0.487509))+0-6--0.00305999999999939</f>
        <v>982.19882299999995</v>
      </c>
      <c r="O170" s="3">
        <f>1665.8+(355.5-942.1)+(-0.849558+(-0.181305--0.480471))+0-6--0.00305999999999939</f>
        <v>1072.6526679999997</v>
      </c>
      <c r="P170" s="3">
        <f>1672.4+(352.9-910.1)+(-2.558772+(-0.539937--1.392453))+0-6--0.00918000000000035</f>
        <v>1107.5029240000001</v>
      </c>
      <c r="Q170" s="3">
        <f>1722.8+(327.3-899.1)+(-0.878628+(-0.166923--0.458541))+0-6--0.00305999999999939</f>
        <v>1144.41605</v>
      </c>
      <c r="R170" s="3">
        <f>1713.5+(253-881)+(-2.621655+(-0.38709--1.34793))+0-6--0.00918000000000035</f>
        <v>1077.8483650000001</v>
      </c>
      <c r="S170" s="3">
        <f>1706.8+(359.2-925.6)+(-2.611404+(-0.549576--1.416168))+0-6--0.00918000000000035</f>
        <v>1132.664368</v>
      </c>
      <c r="T170" s="3">
        <f>1696.3+(414.7-977.4)+(-0.865113+(-0.211497--0.498474))+0-6--0.00305999999999939</f>
        <v>1127.0249239999998</v>
      </c>
      <c r="U170" s="3">
        <f>1695.9+(408.9-965.6)+(0.864909+(0.208539-0.492456))+0-6-0.00305999999999939</f>
        <v>1133.777932</v>
      </c>
      <c r="V170" s="3">
        <f>1684.8+(389.5-930.1)+(-1.718496+(-0.39729--0.948702))+0-6--0.00612000000000096</f>
        <v>1137.0390359999999</v>
      </c>
      <c r="W170" s="3">
        <f>1684.7+(413.5-938.4)+(-3.436788+(-0.84354--1.914336))+0-6--0.0122399999999997</f>
        <v>1151.4462480000002</v>
      </c>
      <c r="X170" s="3">
        <f>1686.5+(399-959.4)+(-1.72023+(-0.40698--0.978588))+0-6--0.00612000000000096</f>
        <v>1118.957498</v>
      </c>
      <c r="Y170" s="3">
        <f>1685.4+(372.2-922.4)+(-1.719108+(-0.379644--0.940848))+0-6--0.00612000000000096</f>
        <v>1128.0482160000001</v>
      </c>
      <c r="Z170" s="3">
        <f>1713.5+(452.8-887.2)+(-0.873885+(-0.230928--0.452472))+0-6--0.00305999999999939</f>
        <v>1272.4507189999999</v>
      </c>
      <c r="AA170" s="3">
        <f>1698.9+(483.4-902.9)+(-6.065073+(-1.725738--3.223353))+0-6--0.0214200000000001</f>
        <v>1268.8539620000001</v>
      </c>
      <c r="AB170" s="3">
        <f>1723.9+(480.8-961.5)+(-3.516756+(-0.980832--1.96146))+0-6--0.0122399999999997</f>
        <v>1234.6761120000001</v>
      </c>
      <c r="AC170" s="3">
        <f>1728.8+(500.5-1040.1)+(0+(0-0))+0-6-0</f>
        <v>1183.2</v>
      </c>
      <c r="AD170" s="2">
        <v>1284.5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1624.7+(422.7-971.8)+(-1.657194+(-0.431154--0.991236))+0-6--0.00612000000000096</f>
        <v>1068.5090080000002</v>
      </c>
      <c r="G171" s="3">
        <f>1622.1+(467.8-1059.9)+(-2.481813+(-0.715734--1.621647))+0-6--0.00918000000000035</f>
        <v>1022.4332799999997</v>
      </c>
      <c r="H171" s="3">
        <f>1620.2+(508.1-1130.9)+(-3.305208+(-1.036524--2.307036))+0-6--0.0122399999999997</f>
        <v>989.37754399999994</v>
      </c>
      <c r="I171" s="3">
        <f>1628.8+(466.9-1112.2)+(-1.661376+(-0.476238--1.134444))+0-6--0.00612000000000096</f>
        <v>976.50294999999994</v>
      </c>
      <c r="J171" s="3">
        <f>1643.8+(448.3-1119.1)+(2.515014+(0.685899-1.712223))+0-6-0.00918000000000035</f>
        <v>968.47951</v>
      </c>
      <c r="K171" s="3">
        <f>1594.9+(365.9-939.5)+(3.253596+(0.746436-1.91658))+0-6-0.0122399999999997</f>
        <v>1017.371212</v>
      </c>
      <c r="L171" s="3">
        <f>1548.4+(268.4-801.9)+(-0.789684+(-0.136884--0.408969))+0-6--0.00305999999999939</f>
        <v>1008.3854610000001</v>
      </c>
      <c r="M171" s="3">
        <f>1526.8+(241.9-778.7)+(0+(0-0))+0-6-0</f>
        <v>983.99999999999989</v>
      </c>
      <c r="N171" s="3">
        <f>1535.5+(250.9-748.1)+(1.56621+(0.255918-0.763062))+0-6-0.00612000000000096</f>
        <v>1033.352946</v>
      </c>
      <c r="O171" s="3">
        <f>1525.5+(286.8-741.2)+(0.778005+(0.146268-0.378012))+0-7-0.00356999999999929</f>
        <v>1064.6426909999998</v>
      </c>
      <c r="P171" s="3">
        <f>1571.7+(293.7-743)+(0.801567+(0.149787-0.37893))+0-7-0.00356999999999929</f>
        <v>1115.968854</v>
      </c>
      <c r="Q171" s="3">
        <f>1655.7+(300.2-779.1)+(0.844407+(0.153102-0.397341))+0-7-0.00356999999999929</f>
        <v>1170.3965979999998</v>
      </c>
      <c r="R171" s="3">
        <f>1643.1+(334.2-790.1)+(-0.837981+(-0.170442--0.402951))+0-6--0.00305999999999939</f>
        <v>1180.5975879999999</v>
      </c>
      <c r="S171" s="3">
        <f>1630.1+(379.3-806.5)+(-1.662702+(-0.386886--0.82263))+0-6--0.00612000000000096</f>
        <v>1195.6791619999999</v>
      </c>
      <c r="T171" s="3">
        <f>1581.1+(426-806.1)+(-0.806361+(-0.21726--0.411111))+0-6--0.00305999999999939</f>
        <v>1194.3905500000001</v>
      </c>
      <c r="U171" s="3">
        <f>1575.7+(515.7-947.7)+(1.607214+(0.526014-0.966654))+0-6-0.00612000000000096</f>
        <v>1138.8604540000001</v>
      </c>
      <c r="V171" s="3">
        <f>1564.9+(575.3-1016.9)+(-3.192396+(-1.173612--2.074476))+0-6--0.0122399999999997</f>
        <v>1115.0207080000002</v>
      </c>
      <c r="W171" s="3">
        <f>1566.9+(549.4-981.7)+(-0.799119+(-0.280194--0.500667))+0-6--0.00305999999999939</f>
        <v>1128.024414</v>
      </c>
      <c r="X171" s="3">
        <f>1566.6+(498.4-954.7)+(-2.396898+(-0.762552--1.460691))+0-6--0.00918000000000035</f>
        <v>1102.6104209999996</v>
      </c>
      <c r="Y171" s="3">
        <f>1579.3+(476.1-942.1)+(1.610886+(0.485622-0.960942))+0-6-0.00612000000000096</f>
        <v>1108.4294459999999</v>
      </c>
      <c r="Z171" s="3">
        <f>1585.4+(583.9-888.9)+(-1.617108+(-0.595578--0.906678))+0-6--0.00612000000000096</f>
        <v>1273.1001120000001</v>
      </c>
      <c r="AA171" s="3">
        <f>1592.1+(607.4-921.4)+(-0.811971+(-0.309774--0.469914))+0-6--0.00305999999999939</f>
        <v>1271.451229</v>
      </c>
      <c r="AB171" s="3">
        <f>1597.6+(614.5-974.9)+(0+(0-0))+0-6-0</f>
        <v>1231.1999999999998</v>
      </c>
      <c r="AC171" s="3">
        <f>1594+(617.3-1026.1)+(-2.43882+(-0.944469--1.569933))+0-6--0.00918000000000035</f>
        <v>1177.3958239999999</v>
      </c>
      <c r="AD171" s="2">
        <v>1286.8999999999999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1600.7+(532.5-1020.7)+(-1.632714+(-0.54315--1.041114))+0-6--0.00612000000000096</f>
        <v>1105.3713700000001</v>
      </c>
      <c r="G172" s="3">
        <f>1601.1+(516.1-1067.4)+(-0.816561+(-0.263211--0.544374))+0-6--0.00305999999999939</f>
        <v>1043.2676619999997</v>
      </c>
      <c r="H172" s="3">
        <f>1606.5+(541.9-1137.2)+(-2.457945+(-0.829107--1.739916))+0-6--0.00918000000000035</f>
        <v>1003.6620439999999</v>
      </c>
      <c r="I172" s="3">
        <f>1629.6+(496.2-1136.5)+(-0.831096+(-0.253062--0.579615))+0-6--0.00305999999999939</f>
        <v>982.79851699999995</v>
      </c>
      <c r="J172" s="3">
        <f>1625.2+(509.4-1155.3)+(-4.14426+(-1.29897--2.946015))+0-6--0.0152999999999991</f>
        <v>970.81808500000011</v>
      </c>
      <c r="K172" s="3">
        <f>1639.1+(511.4-1181.4)+(2.507823+(0.782442-1.807542))+0-6-0.00918000000000035</f>
        <v>964.57354299999975</v>
      </c>
      <c r="L172" s="3">
        <f>1620.8+(494.8-1155.8)+(-4.959648+(-1.514088--3.536748))+0-6--0.0183600000000007</f>
        <v>950.88137199999994</v>
      </c>
      <c r="M172" s="3">
        <f>1646.1+(514.2-1225.5)+(-2.518533+(-0.786726--1.875015))+0-6--0.00918000000000035</f>
        <v>927.37893599999995</v>
      </c>
      <c r="N172" s="3">
        <f>1626+(471.3-1141)+(-1.65852+(-0.480726--1.16382))+0-6--0.00612000000000096</f>
        <v>949.33069399999999</v>
      </c>
      <c r="O172" s="3">
        <f>1579.5+(489.9-1086.8)+(-3.22218+(-0.999396--2.217072))+0-6--0.0122399999999997</f>
        <v>974.60773600000005</v>
      </c>
      <c r="P172" s="3">
        <f>1622+(440.4-1005.9)+(-1.65444+(-0.449208--1.026018))+0-6--0.00612000000000096</f>
        <v>1049.42849</v>
      </c>
      <c r="Q172" s="3">
        <f>1602.7+(427.6-925.5)+(-0.817377+(-0.218076--0.472005))+0-6--0.00305999999999939</f>
        <v>1098.2396120000001</v>
      </c>
      <c r="R172" s="3">
        <f>1604.6+(474-980.8)+(0.818346+(0.24174-0.500208))+0-6-0.00305999999999939</f>
        <v>1092.356818</v>
      </c>
      <c r="S172" s="3">
        <f>1584.3+(570.9-1063.3)+(-1.615986+(-0.582318--1.084566))+0-6--0.00612000000000096</f>
        <v>1084.7923820000001</v>
      </c>
      <c r="T172" s="3">
        <f>1578+(606-1081.5)+(-3.21912+(-1.23624--2.20626))+0-6--0.0122399999999997</f>
        <v>1094.26314</v>
      </c>
      <c r="U172" s="3">
        <f>1577+(598.9-1072.9)+(1.60854+(0.610878-1.094358))+0-6-0.00612000000000096</f>
        <v>1098.1189400000001</v>
      </c>
      <c r="V172" s="3">
        <f>1574+(581.4-1053.6)+(0.80274+(0.296514-0.537336))+0-6-0.00305999999999939</f>
        <v>1096.3588580000003</v>
      </c>
      <c r="W172" s="3">
        <f>1567.4+(563.4-1044.1)+(-0.799374+(-0.287334--0.532491))+0-6--0.00305999999999939</f>
        <v>1080.1488430000002</v>
      </c>
      <c r="X172" s="3">
        <f>1573.1+(415.9-945.4)+(2.406843+(0.636327-1.446462))+0-6-0.00918000000000035</f>
        <v>1039.1875279999999</v>
      </c>
      <c r="Y172" s="3">
        <f>1590.7+(395.8-913.6)+(1.622514+(0.403716-0.931872))+0-6-0.00612000000000096</f>
        <v>1067.9882380000001</v>
      </c>
      <c r="Z172" s="3">
        <f>1665.8+(457.4-892.7)+(-1.699116+(-0.466548--0.910554))+0-6--0.00612000000000096</f>
        <v>1223.25101</v>
      </c>
      <c r="AA172" s="3">
        <f>1678.2+(441.7-874.4)+(-0.855882+(-0.225267--0.445944))+0-6--0.00305999999999939</f>
        <v>1238.867855</v>
      </c>
      <c r="AB172" s="3">
        <f>1689.6+(406.3-889.3)+(0.861696+(0.207213-0.453543))+0-6-0.00305999999999939</f>
        <v>1201.2123059999999</v>
      </c>
      <c r="AC172" s="3">
        <f>1689.4+(404.5-935)+(-2.584782+(-0.618885--1.43055))+0-6--0.00918000000000035</f>
        <v>1151.1360630000001</v>
      </c>
      <c r="AD172" s="2">
        <v>1234.9999999999998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1641.6+(390-954.4)+(-1.674432+(-0.3978--0.973488))+0-6--0.00612000000000096</f>
        <v>1070.1073759999999</v>
      </c>
      <c r="G173" s="3">
        <f>1636.5+(375.6-1017.1)+(-2.503845+(-0.574668--1.556163))+0-6--0.00918000000000035</f>
        <v>987.48683000000005</v>
      </c>
      <c r="H173" s="3">
        <f>1640.2+(345.6-1026.6)+(-2.509506+(-0.528768--1.570698))+0-6--0.00918000000000035</f>
        <v>951.74160400000017</v>
      </c>
      <c r="I173" s="3">
        <f>1638.6+(404.2-1091)+(-2.507058+(-0.618426--1.66923))+0-6--0.00918000000000035</f>
        <v>944.35292600000002</v>
      </c>
      <c r="J173" s="3">
        <f>1644.1+(381.9-1088)+(-3.353964+(-0.779076--2.21952))+0-6--0.0122399999999997</f>
        <v>930.09871999999996</v>
      </c>
      <c r="K173" s="3">
        <f>1617+(347.3-1048.3)+(0.82467+(0.177123-0.534633))+0-6-0.00305999999999939</f>
        <v>910.46410000000003</v>
      </c>
      <c r="L173" s="3">
        <f>1608.4+(317.5-997.4)+(-2.460852+(-0.485775--1.526022))+0-6--0.00918000000000035</f>
        <v>921.08857500000011</v>
      </c>
      <c r="M173" s="3">
        <f>1619.5+(327.8-1003.3)+(-0.825945+(-0.167178--0.511683))+0-6--0.00305999999999939</f>
        <v>937.52161999999998</v>
      </c>
      <c r="N173" s="3">
        <f>1632.7+(350.5-984.1)+(1.665354+(0.35751-1.003782))+0-6-0.00612000000000096</f>
        <v>994.11296200000004</v>
      </c>
      <c r="O173" s="3">
        <f>1641.8+(404.9-968.1)+(-0.837318+(-0.206499--0.493731))+0-6--0.00305999999999939</f>
        <v>1072.0529739999999</v>
      </c>
      <c r="P173" s="3">
        <f>1638.6+(387.8-910.2)+(-0.835686+(-0.197778--0.464202))+0-6--0.00305999999999939</f>
        <v>1109.6337979999998</v>
      </c>
      <c r="Q173" s="3">
        <f>1633.9+(355.8-830.3)+(2.499867+(0.544374-1.270359))+0-6-0.00918000000000035</f>
        <v>1155.164702</v>
      </c>
      <c r="R173" s="3">
        <f>1626.5+(387-834.3)+(2.488545+(0.59211-1.276479))+0-6-0.00918000000000035</f>
        <v>1174.9949960000001</v>
      </c>
      <c r="S173" s="3">
        <f>1656.1+(388.7-911.8)+(-2.533833+(-0.594711--1.395054))+0-6--0.00918000000000035</f>
        <v>1125.2756899999999</v>
      </c>
      <c r="T173" s="3">
        <f>1662.1+(411.2-925)+(0+(0-0))+0-6-0</f>
        <v>1142.3</v>
      </c>
      <c r="U173" s="3">
        <f>1627.3+(409.8-897.9)+(-4.149615+(-1.04499--2.289645))+0-6--0.0152999999999991</f>
        <v>1130.31034</v>
      </c>
      <c r="V173" s="3">
        <f>1632.5+(424-910.1)+(2.497725+(0.64872-1.392453))+0-6-0.00918000000000035</f>
        <v>1142.144812</v>
      </c>
      <c r="W173" s="3">
        <f>1637.9+(450.1-945.1)+(-3.341316+(-0.918204--1.928004))+0-6--0.0122399999999997</f>
        <v>1134.5807240000001</v>
      </c>
      <c r="X173" s="3">
        <f>1693.9+(418.2-992.5)+(-5.183334+(-1.279692--3.03705))+0-6--0.0183600000000007</f>
        <v>1110.1923840000002</v>
      </c>
      <c r="Y173" s="3">
        <f>1723.3+(367.8-950.5)+(0+(0-0))+0-6-0</f>
        <v>1134.5999999999999</v>
      </c>
      <c r="Z173" s="3">
        <f>1771.3+(389.6-878.4)+(0.903363+(0.198696-0.447984))+0-6-0.00305999999999939</f>
        <v>1277.1510149999999</v>
      </c>
      <c r="AA173" s="3">
        <f>1780.1+(449.2-958.3)+(-1.815702+(-0.458184--0.977466))+0-6--0.00612000000000096</f>
        <v>1263.7097000000001</v>
      </c>
      <c r="AB173" s="3">
        <f>1798.4+(537.7-1086.7)+(0+(0-0))+0-6-0</f>
        <v>1243.4000000000001</v>
      </c>
      <c r="AC173" s="3">
        <f>1805.6+(518.1-1130.4)+(-3.683424+(-1.056924--2.306016))+0-6--0.0122399999999997</f>
        <v>1184.8779079999997</v>
      </c>
      <c r="AD173" s="2">
        <v>1303.6000000000001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1823.3+(422.6-1137.2)+(1.859766+(0.431052-1.159944))+0-5-0.0051000000000008</f>
        <v>1104.8257739999997</v>
      </c>
      <c r="G174" s="3">
        <f>1833+(404.7-1182.2)+(1.86966+(0.412794-1.205844))+0-5-0.0051000000000008</f>
        <v>1051.57151</v>
      </c>
      <c r="H174" s="3">
        <f>1839.6+(430.1-1242.6)+(0+(0-0))+0-5-0</f>
        <v>1022.0999999999999</v>
      </c>
      <c r="I174" s="3">
        <f>1648.1+(431.4-1106.3)+(0.840531+(0.220014-0.564213))+0-5-0.00254999999999949</f>
        <v>968.69378199999994</v>
      </c>
      <c r="J174" s="3">
        <f>1597.3+(387.3-1042)+(-3.258492+(-0.790092--2.12568))+0-5--0.0101999999999998</f>
        <v>935.68729599999995</v>
      </c>
      <c r="K174" s="3">
        <f>1588.9+(323.1-990)+(-4.051695+(-0.823905--2.5245))+0-5--0.0127499999999993</f>
        <v>914.66165000000012</v>
      </c>
      <c r="L174" s="3">
        <f>1572.2+(329.5-955.9)+(-6.414576+(-1.34436--3.900072))+0-5--0.0203999999999996</f>
        <v>936.96153600000002</v>
      </c>
      <c r="M174" s="3">
        <f>1629.3+(267-951.3)+(1.661886+(0.27234-0.970326))+0-5-0.0051000000000008</f>
        <v>940.9588</v>
      </c>
      <c r="N174" s="3">
        <f>1661.3+(271.5-926.1)+(1.694526+(0.27693-0.944622))+0-5-0.0051000000000008</f>
        <v>1002.721734</v>
      </c>
      <c r="O174" s="3">
        <f>1644.2+(311.3-882.9)+(-0.838542+(-0.158763--0.450279))+0-5--0.00254999999999949</f>
        <v>1067.0555240000001</v>
      </c>
      <c r="P174" s="3">
        <f>1616.7+(319.7-836.9)+(2.473551+(0.489141-1.280457))+0-6-0.00918000000000035</f>
        <v>1095.173055</v>
      </c>
      <c r="Q174" s="3">
        <f>1606.7+(285.6-757)+(2.458251+(0.436968-1.15821))+0-6-0.00918000000000035</f>
        <v>1131.0278290000001</v>
      </c>
      <c r="R174" s="3">
        <f>1615.7+(351.8-841.1)+(-0.824007+(-0.179418--0.428961))+0-6--0.00305999999999939</f>
        <v>1119.8285960000001</v>
      </c>
      <c r="S174" s="3">
        <f>1699.8+(386-953)+(-3.467592+(-0.78744--1.94412))+0-6--0.0122399999999997</f>
        <v>1124.5013280000001</v>
      </c>
      <c r="T174" s="3">
        <f>1689.5+(380.6-939.6)+(0.861645+(0.194106-0.479196))+0-6-0.00305999999999939</f>
        <v>1125.0734950000001</v>
      </c>
      <c r="U174" s="3">
        <f>1688.6+(398.4-973)+(-0.861186+(-0.203184--0.49623))+0-6--0.00305999999999939</f>
        <v>1107.4349199999999</v>
      </c>
      <c r="V174" s="3">
        <f>1696.4+(404.9-993.7)+(-1.730328+(-0.412998--1.013574))+0-6--0.00612000000000096</f>
        <v>1100.4763679999999</v>
      </c>
      <c r="W174" s="3">
        <f>1705.9+(445.9-1049)+(0.870009+(0.227409-0.53499))+0-6-0.00305999999999939</f>
        <v>1097.3593680000001</v>
      </c>
      <c r="X174" s="3">
        <f>1692.2+(350.2-966.7)+(-6.041154+(-1.250214--3.451119))+0-6--0.0214200000000001</f>
        <v>1065.881171</v>
      </c>
      <c r="Y174" s="3">
        <f>1721.3+(335.7-943)+(1.755726+(0.342414-0.96186))+0-6-0.00612000000000096</f>
        <v>1109.1301599999999</v>
      </c>
      <c r="Z174" s="3">
        <f>1751.8+(381.9-880.2)+(0+(0-0))+0-7-0</f>
        <v>1246.5</v>
      </c>
      <c r="AA174" s="3">
        <f>1760.2+(431.3-960.4)+(-2.693106+(-0.659889--1.469412))+0-7--0.0107100000000004</f>
        <v>1222.2271270000001</v>
      </c>
      <c r="AB174" s="3">
        <f>1776.3+(527.4-1081.6)+(-0.905913+(-0.268974--0.551616))+0-7--0.00356999999999929</f>
        <v>1214.4802990000001</v>
      </c>
      <c r="AC174" s="3">
        <f>1779+(526.8-1133.8)+(-2.72187+(-0.806004--1.734714))+0-7--0.0107100000000004</f>
        <v>1163.2175500000001</v>
      </c>
      <c r="AD174" s="2">
        <v>1248.3000000000002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1773.9+(457.4-1140)+(-0.904689+(-0.233274--0.5814))+0-5--0.00254999999999949</f>
        <v>1085.745987</v>
      </c>
      <c r="G175" s="3">
        <f>1747.9+(428.4-1153.8)+(-2.674287+(-0.655452--1.765314))+0-5--0.00765000000000029</f>
        <v>1015.9432250000001</v>
      </c>
      <c r="H175" s="3">
        <f>1705.8+(415.8-1145.7)+(-3.479832+(-0.848232--2.337228))+0-5--0.0101999999999998</f>
        <v>968.91936399999997</v>
      </c>
      <c r="I175" s="3">
        <f>1709.4+(417.2-1173.6)+(-2.615382+(-0.638316--1.795608))+0-5--0.00765000000000029</f>
        <v>946.54956000000027</v>
      </c>
      <c r="J175" s="3">
        <f>1721.1+(388-1180)+(-2.633283+(-0.59364--1.8054))+0-5--0.00765000000000029</f>
        <v>922.68612699999994</v>
      </c>
      <c r="K175" s="3">
        <f>1729.6+(376.5-1181)+(1.764192+(0.38403-1.20462))+0-5-0.0051000000000008</f>
        <v>921.03850199999999</v>
      </c>
      <c r="L175" s="3">
        <f>1709.5+(346.2-1125.7)+(-5.23107+(-1.059372--3.444642))+0-6--0.0183600000000007</f>
        <v>921.17255999999998</v>
      </c>
      <c r="M175" s="3">
        <f>1725.6+(211.7-1021.9)+(-0.880056+(-0.107967--0.521169))+0-6--0.00305999999999939</f>
        <v>908.93620599999986</v>
      </c>
      <c r="N175" s="3">
        <f>1732+(188.9-950.5)+(0+(0-0))+0-6-0</f>
        <v>964.4</v>
      </c>
      <c r="O175" s="3">
        <f>1730.8+(266.4-954.5)+(0+(0-0))+0-6-0</f>
        <v>1036.6999999999998</v>
      </c>
      <c r="P175" s="3">
        <f>1729.2+(290.5-935.3)+(0+(0-0))+0-6-0</f>
        <v>1078.4000000000001</v>
      </c>
      <c r="Q175" s="3">
        <f>1744.4+(274.8-903.3)+(3.558576+(0.560592-1.842732))+0-6-0.0122399999999997</f>
        <v>1112.1641960000002</v>
      </c>
      <c r="R175" s="3">
        <f>1729.2+(261.3-876.6)+(0.881892+(0.133263-0.447066))+0-6-0.00305999999999939</f>
        <v>1108.4650290000002</v>
      </c>
      <c r="S175" s="3">
        <f>1721.5+(343.3-977)+(-1.75593+(-0.350166--0.99654))+0-6--0.00612000000000096</f>
        <v>1080.6965639999999</v>
      </c>
      <c r="T175" s="3">
        <f>1717.2+(371.6-1000.8)+(-0.875772+(-0.189516--0.510408))+0-6--0.00305999999999939</f>
        <v>1081.4481800000001</v>
      </c>
      <c r="U175" s="3">
        <f>1712.6+(388.2-1012.6)+(-0.873426+(-0.197982--0.516426))+0-6--0.00305999999999939</f>
        <v>1081.6480779999997</v>
      </c>
      <c r="V175" s="3">
        <f>1710.9+(389.1-1001.7)+(-3.490236+(-0.793764--2.043468))+0-6--0.0122399999999997</f>
        <v>1090.0717080000002</v>
      </c>
      <c r="W175" s="3">
        <f>1708.8+(457.8-1060.6)+(0.871488+(0.233478-0.540906))+0-6-0.00305999999999939</f>
        <v>1100.5609999999999</v>
      </c>
      <c r="X175" s="3">
        <f>1710.4+(442.7-1066)+(-1.744608+(-0.451554--1.08732))+0-6--0.00612000000000096</f>
        <v>1079.9972780000001</v>
      </c>
      <c r="Y175" s="3">
        <f>1718+(436.8-1052.6)+(2.62854+(0.668304-1.610478))+0-6-0.00918000000000035</f>
        <v>1097.8771859999999</v>
      </c>
      <c r="Z175" s="3">
        <f>1725.4+(432.5-966)+(-3.519816+(-0.8823--1.97064))+0-6--0.0122399999999997</f>
        <v>1183.4807640000001</v>
      </c>
      <c r="AA175" s="3">
        <f>1732.4+(465.2-1021.6)+(-6.184668+(-1.660764--3.647112))+0-6--0.0214200000000001</f>
        <v>1165.8231000000001</v>
      </c>
      <c r="AB175" s="3">
        <f>1735+(570.2-1148.3)+(-2.65455+(-0.872406--1.756899))+0-6--0.00918000000000035</f>
        <v>1149.1391230000002</v>
      </c>
      <c r="AC175" s="3">
        <f>1739.1+(546.6-1197)+(-0.886941+(-0.278766--0.61047))+0-6--0.00305999999999939</f>
        <v>1082.1478229999998</v>
      </c>
      <c r="AD175" s="2">
        <v>1323.8999999999999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1816.4+(492.5-1219.5)+(1.852728+(0.50235-1.24389))+0-6-0.00612000000000096</f>
        <v>1084.5050680000002</v>
      </c>
      <c r="G176" s="3">
        <f>1815+(486.7-1301.7)+(1.8513+(0.496434-1.327734))+0-6-0.00612000000000096</f>
        <v>995.01387999999997</v>
      </c>
      <c r="H176" s="3">
        <f>1821.8+(479.1-1346.6)+(-2.787354+(-0.733023--2.060298))+0-6--0.00918000000000035</f>
        <v>946.84910100000013</v>
      </c>
      <c r="I176" s="3">
        <f>1821.7+(434.8-1325.1)+(-2.787201+(-0.665244--2.027403))+0-6--0.00918000000000035</f>
        <v>923.98413800000014</v>
      </c>
      <c r="J176" s="3">
        <f>1667.2+(426.4-1187.4)+(-0.850272+(-0.217464--0.605574))+0-6--0.00305999999999939</f>
        <v>899.7408979999999</v>
      </c>
      <c r="K176" s="3">
        <f>1657.2+(418.1-1177.4)+(-3.380688+(-0.852924--2.401896))+0-6--0.0122399999999997</f>
        <v>890.08052399999997</v>
      </c>
      <c r="L176" s="3">
        <f>1641.7+(397.8-1151.5)+(-0.837267+(-0.202878--0.587265))+0-6--0.00305999999999939</f>
        <v>881.55017999999995</v>
      </c>
      <c r="M176" s="3">
        <f>1555.5+(326.9-1024.1)+(0+(0-0))+0-6-0</f>
        <v>852.30000000000007</v>
      </c>
      <c r="N176" s="3">
        <f>1625.8+(233.5-938.7)+(0.829158+(0.119085-0.478737))+0-6-0.00305999999999939</f>
        <v>915.06644599999993</v>
      </c>
      <c r="O176" s="3">
        <f>1679+(293-948.4)+(1.71258+(0.29886-0.967368))+0-6-0.00612000000000096</f>
        <v>1018.637952</v>
      </c>
      <c r="P176" s="3">
        <f>1680.8+(319.4-932.6)+(3.428832+(0.651576-1.902504))+0-6-0.0122399999999997</f>
        <v>1063.7656639999998</v>
      </c>
      <c r="Q176" s="3">
        <f>1669.8+(298.1-868.8)+(-0.851598+(-0.152031--0.443088))+0-6--0.00305999999999939</f>
        <v>1092.5425189999999</v>
      </c>
      <c r="R176" s="3">
        <f>1675.4+(323.1-884.4)+(0+(0-0))+0-6-0</f>
        <v>1108.1000000000001</v>
      </c>
      <c r="S176" s="3">
        <f>1665.6+(378.8-958.2)+(-1.698912+(-0.386376--0.977364))+0-6--0.00612000000000096</f>
        <v>1079.0981959999999</v>
      </c>
      <c r="T176" s="3">
        <f>1655.9+(357.1-929.5)+(-2.533527+(-0.546363--1.422135))+0-6--0.00918000000000035</f>
        <v>1075.8514250000001</v>
      </c>
      <c r="U176" s="3">
        <f>1657+(392.3-963.7)+(-0.84507+(-0.200073--0.491487))+0-6--0.00305999999999939</f>
        <v>1079.0494039999999</v>
      </c>
      <c r="V176" s="3">
        <f>1615.7+(421.4-943.2)+(-3.296028+(-0.859656--1.924128))+0-6--0.0122399999999997</f>
        <v>1085.6806840000002</v>
      </c>
      <c r="W176" s="3">
        <f>1555.6+(425.2-900.2)+(-4.760136+(-1.301112--2.754612))+0-6--0.0183600000000007</f>
        <v>1071.3117239999999</v>
      </c>
      <c r="X176" s="3">
        <f>1643.1+(385.1-966.7)+(-5.027886+(-1.178406--2.958102))+0-6--0.0183600000000007</f>
        <v>1052.27017</v>
      </c>
      <c r="Y176" s="3">
        <f>1719.9+(360-975.5)+(-1.754298+(-0.3672--0.99501))+0-6--0.00612000000000096</f>
        <v>1097.279632</v>
      </c>
      <c r="Z176" s="3">
        <f>1681.7+(404.6-856.7)+(-2.573001+(-0.619038--1.310751))+0-6--0.00918000000000035</f>
        <v>1221.7278919999999</v>
      </c>
      <c r="AA176" s="3">
        <f>1671.4+(428.8-895.4)+(-3.409656+(-0.874752--1.826616))+0-6--0.0122399999999997</f>
        <v>1196.3544480000003</v>
      </c>
      <c r="AB176" s="3">
        <f>1664.7+(529.4-1014.5)+(-3.395988+(-1.079976--2.06958))+0-6--0.0122399999999997</f>
        <v>1171.205856</v>
      </c>
      <c r="AC176" s="3">
        <f>1690.7+(503.2-1069)+(3.449028+(1.026528-2.18076))+0-6-0.0122399999999997</f>
        <v>1121.182556</v>
      </c>
      <c r="AD176" s="2">
        <v>1168.5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1620.2+(523.2-1070.1)+(-4.13151+(-1.33416--2.728755))+0-6--0.0152999999999991</f>
        <v>1064.5783850000003</v>
      </c>
      <c r="G177" s="3">
        <f>1425.3+(497.8-941.6)+(0.726903+(0.253878-0.480216))+0-6-0.00305999999999939</f>
        <v>975.99750500000005</v>
      </c>
      <c r="H177" s="3">
        <f>1280.8+(481.7-853.5)+(-3.26604+(-1.228335--2.176425))+0-6--0.0152999999999991</f>
        <v>900.69735000000003</v>
      </c>
      <c r="I177" s="3">
        <f>1292.8+(466-875)+(0+(0-0))+0-6-0</f>
        <v>877.8</v>
      </c>
      <c r="J177" s="3">
        <f>1297.2+(460.8-888.8)+(0.661572+(0.235008-0.453288))+0-6-0.00305999999999939</f>
        <v>863.64023200000008</v>
      </c>
      <c r="K177" s="3">
        <f>1301.4+(412.6-849.5)+(1.991142+(0.631278-1.299735))+0-6-0.00918000000000035</f>
        <v>859.81350500000008</v>
      </c>
      <c r="L177" s="3">
        <f>1324.5+(390.8-863)+(-1.35099+(-0.398616--0.88026))+0-6--0.00612000000000096</f>
        <v>845.43677400000001</v>
      </c>
      <c r="M177" s="3">
        <f>1359+(393.4-920.5)+(2.07927+(0.601902-1.408365))+0-6-0.00918000000000035</f>
        <v>827.16362699999991</v>
      </c>
      <c r="N177" s="3">
        <f>1354.1+(391.2-856.9)+(-0.690591+(-0.199512--0.437019))+0-6--0.00305999999999939</f>
        <v>881.94997599999988</v>
      </c>
      <c r="O177" s="3">
        <f>1351+(361-770.3)+(0.68901+(0.18411-0.392853))+0-6-0.00305999999999939</f>
        <v>936.17720700000007</v>
      </c>
      <c r="P177" s="3">
        <f>1324.7+(455-772.1)+(2.026791+(0.69615-1.181313))+0-6-0.00918000000000035</f>
        <v>1003.132448</v>
      </c>
      <c r="Q177" s="3">
        <f>1301.7+(447.6-716.2)+(0+(0-0))+0-6-0</f>
        <v>1027.0999999999999</v>
      </c>
      <c r="R177" s="3">
        <f>1310.5+(446.8-727.1)+(-0.668355+(-0.227868--0.370821))+0-6--0.00305999999999939</f>
        <v>1023.6776580000001</v>
      </c>
      <c r="S177" s="3">
        <f>1293.3+(470-765.1)+(-1.978749+(-0.7191--1.170603))+0-6--0.00918000000000035</f>
        <v>990.68193399999996</v>
      </c>
      <c r="T177" s="3">
        <f>1299.3+(485.6-782.8)+(0+(0-0))+0-6-0</f>
        <v>996.1</v>
      </c>
      <c r="U177" s="3">
        <f>1291.1+(472.9-746.7)+(0+(0-0))+0-6-0</f>
        <v>1011.2999999999998</v>
      </c>
      <c r="V177" s="3">
        <f>1279.5+(497-746.7)+(-3.262725+(-1.26735--1.904085))+0-6--0.0152999999999991</f>
        <v>1021.18931</v>
      </c>
      <c r="W177" s="3">
        <f>1280.6+(462-716.1)+(-3.26553+(-1.1781--1.826055))+0-6--0.0152999999999991</f>
        <v>1017.897725</v>
      </c>
      <c r="X177" s="3">
        <f>1272.4+(375.7-653.6)+(-3.893544+(-1.149642--2.000016))+0-6--0.0183600000000007</f>
        <v>985.47519</v>
      </c>
      <c r="Y177" s="3">
        <f>1296+(367.6-613.5)+(1.98288+(0.562428-0.938655))+0-6-0.00918000000000035</f>
        <v>1045.6974729999999</v>
      </c>
      <c r="Z177" s="3">
        <f>1290.3+(458.5-577)+(-1.974159+(-0.701505--0.88281))+0-6--0.00918000000000035</f>
        <v>1164.0163259999999</v>
      </c>
      <c r="AA177" s="3">
        <f>1291.9+(509.9-647.8)+(-1.976607+(-0.780147--0.991134))+0-6--0.00918000000000035</f>
        <v>1146.2435600000001</v>
      </c>
      <c r="AB177" s="3">
        <f>1283.8+(497-662.8)+(-3.928428+(-1.52082--2.028168))+0-6--0.0183600000000007</f>
        <v>1108.59728</v>
      </c>
      <c r="AC177" s="3">
        <f>1288.8+(512.2-729.9)+(-2.629152+(-1.044888--1.488996))+0-6--0.0122399999999997</f>
        <v>1062.9271959999999</v>
      </c>
      <c r="AD177" s="2">
        <v>1156.2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1300.1+(517.9-824.1)+(-1.326102+(-0.528258--0.840582))+0-6--0.00612000000000096</f>
        <v>986.89234199999987</v>
      </c>
      <c r="G178" s="3">
        <f>1297.8+(542.1-908.2)+(-2.647512+(-1.105884--1.852728))+0-6--0.0122399999999997</f>
        <v>923.81157199999996</v>
      </c>
      <c r="H178" s="3">
        <f>1264.5+(549.4-915.5)+(-3.224475+(-1.40097--2.334525))+0-6--0.0152999999999991</f>
        <v>890.12437999999997</v>
      </c>
      <c r="I178" s="3">
        <f>1144.9+(574.4-856)+(-1.751697+(-0.878832--1.30968))+0-6--0.00918000000000035</f>
        <v>855.98833100000013</v>
      </c>
      <c r="J178" s="3">
        <f>1123.1+(558.4-837.2)+(1.145562+(0.569568-0.853944))+0-6-0.00612000000000096</f>
        <v>839.15506599999981</v>
      </c>
      <c r="K178" s="3">
        <f>1118+(530.8-812.4)+(-1.71054+(-0.812124--1.242972))+0-6--0.00918000000000035</f>
        <v>829.12948800000004</v>
      </c>
      <c r="L178" s="3">
        <f>1117.3+(475.5-723.9)+(-1.139646+(-0.48501--0.738378))+0-6--0.00612000000000096</f>
        <v>862.01984200000004</v>
      </c>
      <c r="M178" s="3">
        <f>1114.9+(382.7-665.9)+(0+(0-0))+0-6-0</f>
        <v>825.7</v>
      </c>
      <c r="N178" s="3">
        <f>1141.3+(300.3-574.8)+(-0.582063+(-0.153153--0.293148))+0-6--0.00305999999999939</f>
        <v>860.36099200000001</v>
      </c>
      <c r="O178" s="3">
        <f>1366.9+(329.3-724.3)+(0.697119+(0.167943-0.369393))+0-6-0.00305999999999939</f>
        <v>966.39260900000011</v>
      </c>
      <c r="P178" s="3">
        <f>1376.8+(375.3-723)+(-0.702168+(-0.191403--0.36873))+0-6--0.00305999999999939</f>
        <v>1022.578219</v>
      </c>
      <c r="Q178" s="3">
        <f>1364.1+(453.4-744.3)+(-0.695691+(-0.231234--0.379593))+0-6--0.00305999999999939</f>
        <v>1066.6557279999997</v>
      </c>
      <c r="R178" s="3">
        <f>1349.4+(444.2-730.1)+(0.688194+(0.226542-0.372351))+0-6-0.00305999999999939</f>
        <v>1058.039325</v>
      </c>
      <c r="S178" s="3">
        <f>1359.4+(462.8-804.1)+(-2.079882+(-0.708084--1.230273))+0-6--0.00918000000000035</f>
        <v>1010.5514870000002</v>
      </c>
      <c r="T178" s="3">
        <f>1481.6+(478.2-940.9)+(-0.755616+(-0.243882--0.479859))+0-6--0.00305999999999939</f>
        <v>1012.3834209999999</v>
      </c>
      <c r="U178" s="3">
        <f>1604.8+(477.8-1039.1)+(-2.455344+(-0.731034--1.589823))+0-6--0.00918000000000035</f>
        <v>1035.9126249999999</v>
      </c>
      <c r="V178" s="3">
        <f>1616.7+(481.8-1040.9)+(-1.649034+(-0.491436--1.061718))+0-6--0.00612000000000096</f>
        <v>1050.527368</v>
      </c>
      <c r="W178" s="3">
        <f>1604.1+(456.6-1001.4)+(-1.636182+(-0.465732--1.021428))+0-6--0.00612000000000096</f>
        <v>1052.2256339999999</v>
      </c>
      <c r="X178" s="3">
        <f>1609+(379.3-952.3)+(-3.28236+(-0.773772--1.942692))+0-6--0.0122399999999997</f>
        <v>1027.8987999999999</v>
      </c>
      <c r="Y178" s="3">
        <f>1627.6+(366.2-895.7)+(0+(0-0))+0-6-0</f>
        <v>1092.0999999999999</v>
      </c>
      <c r="Z178" s="3">
        <f>1619.4+(415.4-834.2)+(-2.477682+(-0.635562--1.276326))+0-6--0.00918000000000035</f>
        <v>1192.772262</v>
      </c>
      <c r="AA178" s="3">
        <f>1638.8+(383.8-853)+(-3.343152+(-0.782952--1.74012))+0-6--0.0122399999999997</f>
        <v>1161.2262559999999</v>
      </c>
      <c r="AB178" s="3">
        <f>1652.7+(328-857.6)+(0+(0-0))+0-6-0</f>
        <v>1117.0999999999999</v>
      </c>
      <c r="AC178" s="3">
        <f>1655.5+(349.6-940.2)+(-3.37722+(-0.713184--1.918008))+0-6--0.0122399999999997</f>
        <v>1056.7398440000002</v>
      </c>
      <c r="AD178" s="2">
        <v>1197.5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1661.5+(360.5-1018)+(-0.847365+(-0.183855--0.51918))+0-6--0.00305999999999939</f>
        <v>997.49102000000005</v>
      </c>
      <c r="G179" s="3">
        <f>1671.5+(479.3-1168.4)+(1.70493+(0.488886-1.191768))+0-6-0.00612000000000096</f>
        <v>977.3959279999998</v>
      </c>
      <c r="H179" s="3">
        <f>1659+(457.4-1183.5)+(-2.53827+(-0.699822--1.810755))+0-6--0.00918000000000035</f>
        <v>925.48184300000003</v>
      </c>
      <c r="I179" s="3">
        <f>1660.6+(438.6-1182)+(-0.846906+(-0.223686--0.60282))+0-6--0.00305999999999939</f>
        <v>910.73528799999997</v>
      </c>
      <c r="J179" s="3">
        <f>1600.5+(446-1152.7)+(-0.816255+(-0.22746--0.587877))+0-6--0.00305999999999939</f>
        <v>887.34722199999999</v>
      </c>
      <c r="K179" s="3">
        <f>1592.3+(432.9-1147.4)+(1.624146+(0.441558-1.170348))+0-6-0.00612000000000096</f>
        <v>872.68923599999982</v>
      </c>
      <c r="L179" s="3">
        <f>1554.5+(415.5-1102.2)+(1.58559+(0.42381-1.124244))+0-6-0.00612000000000096</f>
        <v>862.679036</v>
      </c>
      <c r="M179" s="3">
        <f>1496.6+(364.2-1034.8)+(1.526532+(0.371484-1.055496))+0-6-0.00612000000000096</f>
        <v>820.83640000000003</v>
      </c>
      <c r="N179" s="3">
        <f>1516.3+(343.6-1002.7)+(1.546626+(0.350472-1.022754))+0-6-0.00612000000000096</f>
        <v>852.06822399999987</v>
      </c>
      <c r="O179" s="3">
        <f>1499.1+(357.7-918.9)+(0.764541+(0.182427-0.468639))+0-6-0.00305999999999939</f>
        <v>932.37526899999989</v>
      </c>
      <c r="P179" s="3">
        <f>1358.7+(394.9-804.5)+(0+(0-0))+0-6-0</f>
        <v>943.1</v>
      </c>
      <c r="Q179" s="3">
        <f>1451.3+(357.2-840.9)+(0+(0-0))+0-6-0</f>
        <v>961.59999999999991</v>
      </c>
      <c r="R179" s="3">
        <f>1600.3+(429.3-1028)+(-0.816153+(-0.218943--0.52428))+0-6--0.00305999999999939</f>
        <v>995.09224399999994</v>
      </c>
      <c r="S179" s="3">
        <f>1614.2+(421.8-1043.4)+(-2.469726+(-0.645354--1.596402))+0-6--0.00918000000000035</f>
        <v>985.0905019999999</v>
      </c>
      <c r="T179" s="3">
        <f>1607.9+(453.4-1069.6)+(-1.640058+(-0.462468--1.090992))+0-6--0.00612000000000096</f>
        <v>984.69458600000019</v>
      </c>
      <c r="U179" s="3">
        <f>1607+(471.8-1079.4)+(-1.63914+(-0.481236--1.100988))+0-6--0.00612000000000096</f>
        <v>992.38673199999982</v>
      </c>
      <c r="V179" s="3">
        <f>1605.1+(431.9-1048.7)+(-1.637202+(-0.440538--1.069674))+0-6--0.00612000000000096</f>
        <v>981.29805399999987</v>
      </c>
      <c r="W179" s="3">
        <f>1607.3+(332.9-957.5)+(-1.639446+(-0.339558--0.97665))+0-6--0.00612000000000096</f>
        <v>975.70376599999997</v>
      </c>
      <c r="X179" s="3">
        <f>1608.4+(308.4-956.5)+(-0.820284+(-0.157284--0.487815))+0-6--0.00305999999999939</f>
        <v>953.81330700000012</v>
      </c>
      <c r="Y179" s="3">
        <f>1608.5+(349.9-925.1)+(-0.820335+(-0.178449--0.471801))+0-6--0.00305999999999939</f>
        <v>1026.776077</v>
      </c>
      <c r="Z179" s="3">
        <f>1617.9+(404.8-874.2)+(-1.650258+(-0.412896--0.891684))+0-6--0.00612000000000096</f>
        <v>1141.33465</v>
      </c>
      <c r="AA179" s="3">
        <f>1622.2+(347.5-837.2)+(-2.481966+(-0.531675--1.280916))+0-6--0.00918000000000035</f>
        <v>1124.7764549999999</v>
      </c>
      <c r="AB179" s="3">
        <f>1644+(382.4-932.2)+(1.67688+(0.390048-0.950844))+0-6-0.00612000000000096</f>
        <v>1089.3099639999998</v>
      </c>
      <c r="AC179" s="3">
        <f>1645.5+(413.3-1082)+(-0.839205+(-0.210783--0.55182))+0-6--0.00305999999999939</f>
        <v>970.304892</v>
      </c>
      <c r="AD179" s="2">
        <v>1136.3000000000002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1662.6+(502.8-1238)+(0+(0-0))+0-6-0</f>
        <v>921.39999999999986</v>
      </c>
      <c r="G180" s="3">
        <f>1666.1+(560.6-1287.8)+(0+(0-0))+0-6-0</f>
        <v>932.9</v>
      </c>
      <c r="H180" s="3">
        <f>1672.7+(521.5-1271.8)+(0+(0-0))+0-6-0</f>
        <v>916.40000000000009</v>
      </c>
      <c r="I180" s="3">
        <f>1671.7+(485.2-1248.6)+(0+(0-0))+0-6-0</f>
        <v>902.30000000000018</v>
      </c>
      <c r="J180" s="3">
        <f>1691.5+(403.1-1206.8)+(4.313325+(1.027905-3.07734))+0-6-0.0152999999999991</f>
        <v>884.04858999999999</v>
      </c>
      <c r="K180" s="3">
        <f>1692.5+(348-1170.9)+(1.72635+(0.35496-1.194318))+0-6-0.00612000000000096</f>
        <v>864.48087199999986</v>
      </c>
      <c r="L180" s="3">
        <f>1692.4+(248-1090.6)+(0.863124+(0.12648-0.556206))+0-6-0.00305999999999939</f>
        <v>844.23033800000019</v>
      </c>
      <c r="M180" s="3">
        <f>1698+(241.3-1095.5)+(-1.73196+(-0.246126--1.11741))+0-6--0.00612000000000096</f>
        <v>836.94544399999995</v>
      </c>
      <c r="N180" s="3">
        <f>1698.2+(244.2-1019.4)+(4.33041+(0.62271-2.59947))+0-6-0.0152999999999991</f>
        <v>919.33834999999999</v>
      </c>
      <c r="O180" s="3">
        <f>1668.4+(356.9-1024.3)+(0+(0-0))+0-6-0</f>
        <v>995.00000000000011</v>
      </c>
      <c r="P180" s="3">
        <f>1529.5+(407.9-906.9)+(0.780045+(0.208029-0.462519))+0-6-0.00305999999999939</f>
        <v>1025.0224949999999</v>
      </c>
      <c r="Q180" s="3">
        <f>1503.5+(406.1-850.2)+(0.766785+(0.207111-0.433602))+0-6-0.00305999999999939</f>
        <v>1053.937234</v>
      </c>
      <c r="R180" s="3">
        <f>1521.1+(444.4-899.8)+(-1.551522+(-0.453288--0.917796))+0-7--0.00714000000000112</f>
        <v>1057.6201259999998</v>
      </c>
      <c r="S180" s="3">
        <f>1605.2+(497.1-1054.8)+(0.818652+(0.253521-0.537948))+0-7-0.00356999999999929</f>
        <v>1041.030655</v>
      </c>
      <c r="T180" s="3">
        <f>1599.4+(517.9-1058)+(0+(0-0))+0-7-0</f>
        <v>1052.3000000000002</v>
      </c>
      <c r="U180" s="3">
        <f>1597.1+(512-1057)+(4.072605+(1.3056-2.69535))+0-7-0.017849999999999</f>
        <v>1047.765005</v>
      </c>
      <c r="V180" s="3">
        <f>1578.4+(533.3-1044.2)+(-3.219936+(-1.087932--2.130168))+0-7--0.0142799999999997</f>
        <v>1058.3365800000001</v>
      </c>
      <c r="W180" s="3">
        <f>1570.1+(566.6-1060.2)+(-6.406008+(-2.311728--4.325616))+0-7--0.0285599999999994</f>
        <v>1065.13644</v>
      </c>
      <c r="X180" s="3">
        <f>1578.3+(459.7-990.4)+(-4.024665+(-1.172235--2.52552))+0-7--0.017849999999999</f>
        <v>1037.9464699999999</v>
      </c>
      <c r="Y180" s="3">
        <f>1604.3+(419.6-931.5)+(1.636386+(0.427992-0.95013))+0-7-0.00714000000000112</f>
        <v>1086.5071080000002</v>
      </c>
      <c r="Z180" s="3">
        <f>1664.7+(463.3-909.6)+(-1.697994+(-0.472566--0.927792))+0-7--0.00714000000000112</f>
        <v>1210.164372</v>
      </c>
      <c r="AA180" s="3">
        <f>1663.7+(462.3-928.7)+(-1.696974+(-0.471546--0.947274))+0-7--0.00714000000000112</f>
        <v>1189.0858939999998</v>
      </c>
      <c r="AB180" s="3">
        <f>1625.2+(404.7-881.3)+(-1.657704+(-0.412794--0.898926))+0-7--0.00714000000000112</f>
        <v>1140.4355680000001</v>
      </c>
      <c r="AC180" s="3">
        <f>1634+(417.2-961.5)+(0.83334+(0.212772-0.490365))+0-7-0.00356999999999929</f>
        <v>1083.2521770000001</v>
      </c>
      <c r="AD180" s="2">
        <v>1199.3000000000002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1628.5+(486.4-1077.6)+(-2.491605+(-0.744192--1.648728))+0-7--0.0107100000000004</f>
        <v>1028.7236410000003</v>
      </c>
      <c r="G181" s="3">
        <f>1625.3+(539.7-1180.9)+(-3.315612+(-1.100988--2.409036))+0-7--0.0142799999999997</f>
        <v>975.10671599999989</v>
      </c>
      <c r="H181" s="3">
        <f>1634.8+(538.7-1223.1)+(-2.501244+(-0.824211--1.871343))+0-7--0.0107100000000004</f>
        <v>941.9565980000001</v>
      </c>
      <c r="I181" s="3">
        <f>1643.7+(469.1-1183.5)+(-0.838287+(-0.239241--0.603585))+0-7--0.00356999999999929</f>
        <v>921.82962700000007</v>
      </c>
      <c r="J181" s="3">
        <f>1653.7+(444.6-1190.8)+(3.373548+(0.906984-2.429232))+0-7-0.0142799999999997</f>
        <v>902.33702000000017</v>
      </c>
      <c r="K181" s="3">
        <f>1645.7+(371.9-1130.9)+(0.839307+(0.189669-0.576759))+0-7-0.00356999999999929</f>
        <v>880.14864699999998</v>
      </c>
      <c r="L181" s="3">
        <f>1652.9+(285.2-1066.9)+(-3.371916+(-0.581808--2.176476))+0-7--0.0142799999999997</f>
        <v>862.43703200000004</v>
      </c>
      <c r="M181" s="3">
        <f>1498.6+(263.4-903.9)+(-0.764286+(-0.134334--0.460989))+0-7--0.00356999999999929</f>
        <v>850.66593899999987</v>
      </c>
      <c r="N181" s="3">
        <f>1489.1+(330.1-884.8)+(0+(0-0))+0-7-0</f>
        <v>927.4</v>
      </c>
      <c r="O181" s="3">
        <f>1482.2+(396.2-872.8)+(-5.291454+(-1.414434--3.115896))+0-7--0.0249900000000001</f>
        <v>995.03499800000009</v>
      </c>
      <c r="P181" s="3">
        <f>1498.2+(432.3-869.8)+(0+(0-0))+0-7-0</f>
        <v>1053.7</v>
      </c>
      <c r="Q181" s="3">
        <f>1532.1+(438.2-886.7)+(1.562742+(0.446964-0.904434))+0-7-0.00714000000000112</f>
        <v>1077.698132</v>
      </c>
      <c r="R181" s="3">
        <f>1606.2+(411.8-937.2)+(0+(0-0))+0-6-0</f>
        <v>1074.8</v>
      </c>
      <c r="S181" s="3">
        <f>1597.3+(477.4-1015)+(-0.814623+(-0.243474--0.51765))+0-6--0.00305999999999939</f>
        <v>1053.1626129999997</v>
      </c>
      <c r="T181" s="3">
        <f>1595.9+(508.8-1030.6)+(-0.813909+(-0.259488--0.525606))+0-6--0.00305999999999939</f>
        <v>1067.5552690000002</v>
      </c>
      <c r="U181" s="3">
        <f>1586.3+(549.9-1053.9)+(0+(0-0))+0-6-0</f>
        <v>1076.2999999999997</v>
      </c>
      <c r="V181" s="3">
        <f>1573.6+(541.9-1035.2)+(-2.407608+(-0.829107--1.583856))+0-6--0.00918000000000035</f>
        <v>1072.6563209999997</v>
      </c>
      <c r="W181" s="3">
        <f>1574.8+(535.7-1034.8)+(-0.803148+(-0.273207--0.527748))+0-6--0.00305999999999939</f>
        <v>1069.1544530000001</v>
      </c>
      <c r="X181" s="3">
        <f>1581.7+(349.2-893.6)+(0.806667+(0.178092-0.455736))+0-6-0.00305999999999939</f>
        <v>1031.825963</v>
      </c>
      <c r="Y181" s="3">
        <f>1650.8+(385.2-931.2)+(-0.841908+(-0.196452--0.474912))+0-6--0.00305999999999939</f>
        <v>1098.2396119999999</v>
      </c>
      <c r="Z181" s="3">
        <f>1660.1+(442.5-895.2)+(-1.693302+(-0.45135--0.913104))+0-6--0.00612000000000096</f>
        <v>1200.1745719999999</v>
      </c>
      <c r="AA181" s="3">
        <f>1676.5+(465.6-938.9)+(-1.71003+(-0.474912--0.957678))+0-6--0.00612000000000096</f>
        <v>1195.978856</v>
      </c>
      <c r="AB181" s="3">
        <f>1621.3+(337.8-820)+(0+(0-0))+0-6-0</f>
        <v>1133.0999999999999</v>
      </c>
      <c r="AC181" s="3">
        <f>1599+(349.2-869.3)+(-3.26196+(-0.712368--1.773372))+0-6--0.0122399999999997</f>
        <v>1070.7112840000002</v>
      </c>
      <c r="AD181" s="2">
        <v>1219.2999999999997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1593.1+(408-994.5)+(-4.874886+(-1.24848--3.04317))+0-6--0.0183600000000007</f>
        <v>997.53816399999994</v>
      </c>
      <c r="G182" s="3">
        <f>1588.2+(478-1102.7)+(-4.04991+(-1.2189--2.811885))+0-6--0.0152999999999991</f>
        <v>955.05837500000007</v>
      </c>
      <c r="H182" s="3">
        <f>1593.4+(518.6-1178.7)+(-2.437902+(-0.793458--1.803411))+0-6--0.00918000000000035</f>
        <v>925.88123100000007</v>
      </c>
      <c r="I182" s="3">
        <f>1589+(489.8-1168.4)+(-5.67273+(-1.748586--4.171188))+0-6--0.0214200000000001</f>
        <v>901.17129199999988</v>
      </c>
      <c r="J182" s="3">
        <f>1609+(453.5-1161.2)+(1.64118+(0.46257-1.184424))+0-6-0.00612000000000096</f>
        <v>896.2132059999999</v>
      </c>
      <c r="K182" s="3">
        <f>1601.8+(414.7-1126.5)+(-2.450754+(-0.634491--1.723545))+0-6--0.00918000000000035</f>
        <v>882.64747999999997</v>
      </c>
      <c r="L182" s="3">
        <f>1602.1+(388.2-1102.2)+(-4.902426+(-1.187892--3.372732))+0-7--0.0214200000000008</f>
        <v>878.40383399999996</v>
      </c>
      <c r="M182" s="3">
        <f>1605.3+(316.3-1056)+(1.637406+(0.322626-1.07712))+0-7-0.00714000000000112</f>
        <v>859.47577199999989</v>
      </c>
      <c r="N182" s="3">
        <f>1639.5+(282.5-1002.8)+(1.67229+(0.28815-1.022856))+0-7-0.00714000000000112</f>
        <v>913.13044400000001</v>
      </c>
      <c r="O182" s="3">
        <f>1668.3+(278.9-949.6)+(0.850833+(0.142239-0.484296))+0-7-0.00356999999999929</f>
        <v>991.10520599999995</v>
      </c>
      <c r="P182" s="3">
        <f>1654.3+(399.7-996.3)+(2.531079+(0.611541-1.524339))+0-7-0.0107100000000004</f>
        <v>1052.3075710000001</v>
      </c>
      <c r="Q182" s="3">
        <f>1639.3+(379.2-928.1)+(1.672086+(0.386784-0.946662))+0-7-0.00714000000000112</f>
        <v>1084.5050679999999</v>
      </c>
      <c r="R182" s="3">
        <f>1625.4+(340.7-890)+(-0.828954+(-0.173757--0.4539))+0-6--0.00305999999999939</f>
        <v>1069.5542490000003</v>
      </c>
      <c r="S182" s="3">
        <f>1617.7+(401-959.1)+(-2.475081+(-0.61353--1.467423))+0-6--0.00918000000000035</f>
        <v>1051.9879919999998</v>
      </c>
      <c r="T182" s="3">
        <f>1514.5+(421.5-877.2)+(-0.772395+(-0.214965--0.447372))+0-6--0.00305999999999939</f>
        <v>1052.263072</v>
      </c>
      <c r="U182" s="3">
        <f>1502.6+(429.4-871.6)+(0.766326+(0.218994-0.444516))+0-6-0.00305999999999939</f>
        <v>1054.9377439999998</v>
      </c>
      <c r="V182" s="3">
        <f>1551.5+(421.1-914.5)+(-0.791265+(-0.214761--0.466395))+0-6--0.00305999999999939</f>
        <v>1051.5634289999998</v>
      </c>
      <c r="W182" s="3">
        <f>1600.8+(424.2-958.6)+(-0.816408+(-0.216342--0.488886))+0-6--0.00305999999999939</f>
        <v>1059.8591959999999</v>
      </c>
      <c r="X182" s="3">
        <f>1594.3+(401.2-951.9)+(-3.252372+(-0.818448--1.941876))+0-6--0.0122399999999997</f>
        <v>1035.4832959999999</v>
      </c>
      <c r="Y182" s="3">
        <f>1610+(404.6-894.5)+(0.8211+(0.206346-0.456195))+0-6-0.00305999999999939</f>
        <v>1114.668191</v>
      </c>
      <c r="Z182" s="3">
        <f>1608.3+(406.4-791.3)+(-3.280932+(-0.829056--1.614252))+0-7--0.0142799999999997</f>
        <v>1213.9185440000001</v>
      </c>
      <c r="AA182" s="3">
        <f>1606.6+(415-817.7)+(-4.916196+(-1.2699--2.502162))+0-7--0.0214200000000008</f>
        <v>1193.237486</v>
      </c>
      <c r="AB182" s="3">
        <f>1627.9+(444.9-917.4)+(-2.490687+(-0.680697--1.403622))+0-7--0.0107100000000004</f>
        <v>1146.6429480000002</v>
      </c>
      <c r="AC182" s="3">
        <f>1636.9+(430.5-977.2)+(-0.834819+(-0.219555--0.498372))+0-7--0.00356999999999929</f>
        <v>1082.6475680000001</v>
      </c>
      <c r="AD182" s="2">
        <v>1234.7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1613.8+(435.8-1025.3)+(-3.292152+(-0.889032--2.091612))+0-6--0.0122399999999997</f>
        <v>1016.222668</v>
      </c>
      <c r="G183" s="3">
        <f>1557.5+(400.5-1010.9)+(-6.3546+(-1.63404--4.124472))+0-6--0.0244799999999995</f>
        <v>937.26031200000011</v>
      </c>
      <c r="H183" s="3">
        <f>1375.7+(500.9-986.7)+(-2.104821+(-0.766377--1.509651))+0-6--0.00918000000000035</f>
        <v>882.54763300000002</v>
      </c>
      <c r="I183" s="3">
        <f>1259.8+(537.1-935.2)+(-0.642498+(-0.273921--0.476952))+0-6--0.00305999999999939</f>
        <v>855.2635929999999</v>
      </c>
      <c r="J183" s="3">
        <f>1249+(512.8-916.9)+(-0.63699+(-0.261528--0.467619))+0-6--0.00305999999999939</f>
        <v>838.47216100000003</v>
      </c>
      <c r="K183" s="3">
        <f>1249.2+(500.5-912.7)+(-0.637092+(-0.255255--0.465477))+0-6--0.00305999999999939</f>
        <v>830.57619</v>
      </c>
      <c r="L183" s="3">
        <f>1247.2+(454.8-871.6)+(-0.636072+(-0.231948--0.444516))+0-6--0.00305999999999939</f>
        <v>823.97955600000012</v>
      </c>
      <c r="M183" s="3">
        <f>1251.5+(442.8-863.9)+(1.27653+(0.451656-0.881178))+0-6-0.00612000000000096</f>
        <v>825.24088800000004</v>
      </c>
      <c r="N183" s="3">
        <f>1256.4+(368.3-741)+(1.922292+(0.563499-1.13373))+0-6-0.00918000000000035</f>
        <v>879.04288100000008</v>
      </c>
      <c r="O183" s="3">
        <f>1434.1+(293-779.1)+(-1.462782+(-0.29886--0.794682))+0-6--0.00612000000000096</f>
        <v>941.03915999999992</v>
      </c>
      <c r="P183" s="3">
        <f>1589.4+(274.5-839.4)+(0+(0-0))+0-6-0</f>
        <v>1018.5</v>
      </c>
      <c r="Q183" s="3">
        <f>1598.8+(263.7-794.7)+(0.815388+(0.134487-0.405297))+0-6-0.00305999999999939</f>
        <v>1062.341518</v>
      </c>
      <c r="R183" s="3">
        <f>1585.2+(298.9-812.9)+(0.808452+(0.152439-0.414579))+0-6-0.00305999999999939</f>
        <v>1065.743252</v>
      </c>
      <c r="S183" s="3">
        <f>1596.2+(383.2-929.6)+(-0.814062+(-0.195432--0.474096))+0-6--0.00305999999999939</f>
        <v>1043.267662</v>
      </c>
      <c r="T183" s="3">
        <f>1593.1+(390.3-932.8)+(-0.812481+(-0.199053--0.475728))+0-6--0.00305999999999939</f>
        <v>1044.0672539999998</v>
      </c>
      <c r="U183" s="3">
        <f>1594.2+(399-937.5)+(-0.813042+(-0.20349--0.478125))+0-6--0.00305999999999939</f>
        <v>1049.164653</v>
      </c>
      <c r="V183" s="3">
        <f>1610.7+(406.2-956.5)+(-4.107285+(-1.03581--2.439075))+0-6--0.0152999999999991</f>
        <v>1051.7112800000002</v>
      </c>
      <c r="W183" s="3">
        <f>1611.5+(449.1-998.4)+(-3.28746+(-0.916164--2.036736))+0-6--0.0122399999999997</f>
        <v>1054.0453520000001</v>
      </c>
      <c r="X183" s="3">
        <f>1617.3+(360.8-956.1)+(-1.649646+(-0.368016--0.975222))+0-4--0.00408000000000064</f>
        <v>1016.96164</v>
      </c>
      <c r="Y183" s="3">
        <f>1638+(396.7-931.4)+(0.83538+(0.202317-0.475014))+0-4-0.00203999999999959</f>
        <v>1099.860643</v>
      </c>
      <c r="Z183" s="3">
        <f>1651.7+(386.6-846.7)+(-1.684734+(-0.394332--0.863634))+0-4--0.00408000000000064</f>
        <v>1186.3886479999999</v>
      </c>
      <c r="AA183" s="3">
        <f>1665+(423-912.8)+(-4.24575+(-1.07865--2.32764))+0-4--0.0101999999999994</f>
        <v>1168.21344</v>
      </c>
      <c r="AB183" s="3">
        <f>1672.9+(463.8-995.5)+(-3.412716+(-0.946152--2.03082))+0-4--0.00815999999999983</f>
        <v>1134.8801120000001</v>
      </c>
      <c r="AC183" s="3">
        <f>1669.5+(482.4-1061.8)+(-3.40578+(-0.984096--2.166072))+0-4--0.00815999999999983</f>
        <v>1083.884356</v>
      </c>
      <c r="AD183" s="2">
        <v>1191.2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1454.9+(558.1-1004.4)+(-0.741999+(-0.284631--0.512244))+0-4--0.00203999999999959</f>
        <v>1004.0876540000002</v>
      </c>
      <c r="G184" s="3">
        <f>1329+(593.2-998.3)+(-3.38895+(-1.51266--2.545665))+0-4--0.0101999999999994</f>
        <v>917.55425500000013</v>
      </c>
      <c r="H184" s="3">
        <f>1295.4+(549.9-972)+(-3.963924+(-1.682694--2.97432))+0-4--0.0122400000000005</f>
        <v>866.63994200000013</v>
      </c>
      <c r="I184" s="3">
        <f>1294.6+(537.2-975.8)+(-4.621722+(-1.917804--3.483606))+0-4--0.0142800000000001</f>
        <v>848.95835999999997</v>
      </c>
      <c r="J184" s="3">
        <f>1303.4+(506.5-964.7)+(-2.658936+(-1.03326--1.967988))+0-4--0.00815999999999983</f>
        <v>839.48395200000004</v>
      </c>
      <c r="K184" s="3">
        <f>1265.5+(526.4-952.6)+(1.936215+(0.805392-1.457478))+0-4-0.00612000000000023</f>
        <v>836.57800899999995</v>
      </c>
      <c r="L184" s="3">
        <f>1255+(479.5-902)+(-2.5602+(-0.97818--1.84008))+0-6--0.0122399999999997</f>
        <v>824.81394</v>
      </c>
      <c r="M184" s="3">
        <f>1280.1+(417-869.6)+(0+(0-0))+0-6-0</f>
        <v>821.49999999999989</v>
      </c>
      <c r="N184" s="3">
        <f>1283.6+(405.2-788.9)+(0+(0-0))+0-6-0</f>
        <v>893.89999999999986</v>
      </c>
      <c r="O184" s="3">
        <f>1274.6+(435.9-746.4)+(1.300092+(0.444618-0.761328))+0-6-0.00612000000000096</f>
        <v>959.07726199999991</v>
      </c>
      <c r="P184" s="3">
        <f>1256.5+(464.4-710.6)+(1.28163+(0.473688-0.724812))+0-6-0.00612000000000096</f>
        <v>1005.3243859999999</v>
      </c>
      <c r="Q184" s="3">
        <f>1228.8+(438.3-639.7)+(1.880064+(0.670599-0.978741))+0-6-0.00918000000000035</f>
        <v>1022.9627419999999</v>
      </c>
      <c r="R184" s="3">
        <f>1308.8+(392.8-669.2)+(2.002464+(0.600984-1.023876))+0-4-0.00612000000000023</f>
        <v>1029.973452</v>
      </c>
      <c r="S184" s="3">
        <f>1355.5+(404.1-730.8)+(-1.38261+(-0.412182--0.745416))+0-4--0.00408000000000064</f>
        <v>1023.7547040000003</v>
      </c>
      <c r="T184" s="3">
        <f>1473.3+(391.5-833.5)+(0+(0-0))+0-4-0</f>
        <v>1027.3</v>
      </c>
      <c r="U184" s="3">
        <f>1480.4+(408.6-853.2)+(-1.510008+(-0.416772--0.870264))+0-4--0.00408000000000064</f>
        <v>1030.747564</v>
      </c>
      <c r="V184" s="3">
        <f>1473.1+(431-859)+(-3.005124+(-0.87924--1.75236))+0-4--0.00815999999999983</f>
        <v>1038.9761559999999</v>
      </c>
      <c r="W184" s="3">
        <f>1471.5+(418.1-850.8)+(-3.752325+(-1.066155--2.16954))+0-4--0.0101999999999994</f>
        <v>1032.1612600000001</v>
      </c>
      <c r="X184" s="3">
        <f>1478.9+(393.2-858.4)+(-1.508478+(-0.401064--0.875568))+0-4--0.00408000000000064</f>
        <v>1008.6701060000001</v>
      </c>
      <c r="Y184" s="3">
        <f>1500.1+(384.5-783.9)+(0.765051+(0.196095-0.399789))+0-4-0.00203999999999959</f>
        <v>1097.2593169999998</v>
      </c>
      <c r="Z184" s="3">
        <f>1496.2+(390.9-693.3)+(-3.81531+(-0.996795--1.767915))+0-4--0.0101999999999994</f>
        <v>1186.7660100000001</v>
      </c>
      <c r="AA184" s="3">
        <f>1507.5+(367.1-712.6)+(-1.53765+(-0.374442--0.726852))+0-4--0.00408000000000064</f>
        <v>1156.8188399999999</v>
      </c>
      <c r="AB184" s="3">
        <f>1518.7+(381.2-786.5)+(-2.323611+(-0.583236--1.203345))+0-4--0.00612000000000023</f>
        <v>1107.702618</v>
      </c>
      <c r="AC184" s="3">
        <f>1532.5+(362.1-830.8)+(-0.781575+(-0.184671--0.423708))+0-4--0.00203999999999959</f>
        <v>1059.2595020000003</v>
      </c>
      <c r="AD184" s="2">
        <v>1201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1534.1+(319.5-872.6)+(-0.782391+(-0.162945--0.445026))+0-3--0.0015299999999997</f>
        <v>977.50121999999988</v>
      </c>
      <c r="G185" s="3">
        <f>1536.5+(438.6-1030.2)+(0+(0-0))+0-3-0</f>
        <v>941.9</v>
      </c>
      <c r="H185" s="3">
        <f>1533.9+(393.4-1024.8)+(-3.129156+(-0.802536--2.090592))+0-3--0.00611999999999987</f>
        <v>897.66502000000014</v>
      </c>
      <c r="I185" s="3">
        <f>1534.6+(423.8-1075.6)+(-0.782646+(-0.216138--0.548556))+0-3--0.0015299999999997</f>
        <v>879.35130199999992</v>
      </c>
      <c r="J185" s="3">
        <f>1490.5+(425.8-1051.3)+(0+(0-0))+0-3-0</f>
        <v>862</v>
      </c>
      <c r="K185" s="3">
        <f>1312.4+(461.5-927.9)+(-2.677296+(-0.94146--1.892916))+0-3--0.00611999999999987</f>
        <v>841.28028000000018</v>
      </c>
      <c r="L185" s="3">
        <f>1346.1+(466.9-976.5)+(-3.432555+(-1.190595--2.490075))+0-3--0.00764999999999957</f>
        <v>831.37457499999994</v>
      </c>
      <c r="M185" s="3">
        <f>1382.5+(384.4-943)+(-0.705075+(-0.196044--0.48093))+0-3--0.0015299999999997</f>
        <v>820.48134099999993</v>
      </c>
      <c r="N185" s="3">
        <f>1376.6+(368.7-864.4)+(1.404132+(0.376074-0.881688))+0-0-0</f>
        <v>881.79851799999983</v>
      </c>
      <c r="O185" s="3">
        <f>1375.9+(445.9-863.4)+(0+(0-0))+0-0-0</f>
        <v>958.40000000000009</v>
      </c>
      <c r="P185" s="3">
        <f>1370.6+(431.7-800.6)+(0+(0-0))+0-0-0</f>
        <v>1001.6999999999998</v>
      </c>
      <c r="Q185" s="3">
        <f>1358.1+(408.4-747.8)+(-1.385262+(-0.416568--0.762756))+0-0-0</f>
        <v>1017.6609259999999</v>
      </c>
      <c r="R185" s="3">
        <f>1350.3+(442.4-772.9)+(0+(0-0))+0-0-0</f>
        <v>1019.8</v>
      </c>
      <c r="S185" s="3">
        <f>1339.7+(496.4-838.9)+(0+(0-0))+0-0-0</f>
        <v>997.2</v>
      </c>
      <c r="T185" s="3">
        <f>1323.9+(528.3-862.7)+(0+(0-0))+0-0-0</f>
        <v>989.5</v>
      </c>
      <c r="U185" s="3">
        <f>1317.3+(577.8-908.4)+(0+(0-0))+0-0-0</f>
        <v>986.69999999999993</v>
      </c>
      <c r="V185" s="3">
        <f>1320+(598.9-938.4)+(0+(0-0))+0-0-0</f>
        <v>980.5</v>
      </c>
      <c r="W185" s="3">
        <f>1324.8+(525.8-870.8)+(0+(0-0))+0-0-0</f>
        <v>979.8</v>
      </c>
      <c r="X185" s="3">
        <f>1323.1+(489.3-828.8)+(0+(0-0))+0-0-0</f>
        <v>983.59999999999991</v>
      </c>
      <c r="Y185" s="3">
        <f>1336.5+(457.4-732.3)+(0+(0-0))+0-0-0</f>
        <v>1061.5999999999999</v>
      </c>
      <c r="Z185" s="3">
        <f>1332.5+(526-700)+(0+(0-0))+0-0-0</f>
        <v>1158.5</v>
      </c>
      <c r="AA185" s="3">
        <f>1347.1+(456.6-672.2)+(0+(0-0))+0-0-0</f>
        <v>1131.5</v>
      </c>
      <c r="AB185" s="3">
        <f>1351.4+(380.3-642.7)+(0+(0-0))+0-0-0</f>
        <v>1089</v>
      </c>
      <c r="AC185" s="3">
        <f>1359.7+(385.5-712.3)+(0+(0-0))+0-0-0</f>
        <v>1032.9000000000001</v>
      </c>
      <c r="AD185" s="2">
        <v>1050.9000000000001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1308.2+(415.8-760.2)+(-1.334364+(-0.424116--0.775404))+0-0-0</f>
        <v>962.81692399999997</v>
      </c>
      <c r="G186" s="3">
        <f>1306.5+(382.4-833.8)+(-3.331575+(-0.97512--2.12619))+0-0-0</f>
        <v>852.91949499999998</v>
      </c>
      <c r="H186" s="3">
        <f>1311.3+(366.8-852.5)+(-0.668763+(-0.187068--0.434775))+0-0-0</f>
        <v>825.17894399999989</v>
      </c>
      <c r="I186" s="3">
        <f>1313.7+(374.4-875.6)+(-1.339974+(-0.381888--0.893112))+0-0-0</f>
        <v>811.67124999999999</v>
      </c>
      <c r="J186" s="3">
        <f>1321.9+(365.2-885.9)+(0.674169+(0.186252-0.451809))+0-0-0</f>
        <v>801.60861199999999</v>
      </c>
      <c r="K186" s="3">
        <f>1311.5+(338.9-855.5)+(-4.01319+(-1.037034--2.61783))+0-0-0</f>
        <v>792.46760599999993</v>
      </c>
      <c r="L186" s="3">
        <f>1198.1+(325.7-756.8)+(-0.611031+(-0.166107--0.385968))+0-0-0</f>
        <v>766.60883000000001</v>
      </c>
      <c r="M186" s="3">
        <f>1129.4+(404.1-736.2)+(0.575994+(0.206091-0.375462))+0-0-0</f>
        <v>797.70662300000004</v>
      </c>
      <c r="N186" s="3">
        <f>1118.1+(349.1-622.2)+(-1.710693+(-0.534123--0.951966))+0-0-0</f>
        <v>843.70714999999984</v>
      </c>
      <c r="O186" s="3">
        <f>1209.4+(335.5-663.5)+(-3.700764+(-1.02663--2.03031))+0-0-0</f>
        <v>878.70291600000007</v>
      </c>
      <c r="P186" s="3">
        <f>1298.1+(403.6-768.8)+(-2.648124+(-0.823344--1.568352))+0-0-0</f>
        <v>930.99688400000002</v>
      </c>
      <c r="Q186" s="3">
        <f>1298.1+(450.7-803.2)+(2.648124+(0.919428-1.638528))+0-0-0</f>
        <v>947.52902399999994</v>
      </c>
      <c r="R186" s="3">
        <f>1293.6+(437.2-798.1)+(0.659736+(0.222972-0.407031))+0-0-0</f>
        <v>933.17567699999984</v>
      </c>
      <c r="S186" s="3">
        <f>1297.2+(482.1-847.4)+(0.661572+(0.245871-0.432174))+0-0-0</f>
        <v>932.37526900000012</v>
      </c>
      <c r="T186" s="3">
        <f>1284.5+(494.3-844.3)+(-2.62038+(-1.008372--1.722372))+0-0-0</f>
        <v>932.59361999999999</v>
      </c>
      <c r="U186" s="3">
        <f>1281.4+(506.8-854.9)+(-2.614056+(-1.033872--1.743996))+0-0-0</f>
        <v>931.39606800000013</v>
      </c>
      <c r="V186" s="3">
        <f>1273.3+(447-798.4)+(-4.545681+(-1.59579--2.850288))+0-0-0</f>
        <v>918.60881699999993</v>
      </c>
      <c r="W186" s="3">
        <f>1284.2+(352.3-725.6)+(-0.654942+(-0.179673--0.370056))+0-0-0</f>
        <v>910.43544100000008</v>
      </c>
      <c r="X186" s="3">
        <f>1291.2+(374.5-662)+(-1.317024+(-0.38199--0.67524))+0-3--0.00306000000000048</f>
        <v>999.67928600000005</v>
      </c>
      <c r="Y186" s="3">
        <f>1322.7+(446.7-660.7)+(-2.023731+(-0.683451--1.010871))+0-3--0.00459000000000017</f>
        <v>1104.0082790000001</v>
      </c>
      <c r="Z186" s="3">
        <f>1333.2+(492.3-720.7)+(-2.719728+(-1.004292--1.470228))+0-3--0.00611999999999987</f>
        <v>1099.552328</v>
      </c>
      <c r="AA186" s="3">
        <f>1343.9+(466.2-742)+(-2.741556+(-0.951048--1.51368))+0-3--0.00611999999999987</f>
        <v>1062.9271960000001</v>
      </c>
      <c r="AB186" s="3">
        <f>1349.4+(436.1-767)+(-1.376388+(-0.444822--0.78234))+0-3--0.00306000000000048</f>
        <v>1014.4641900000001</v>
      </c>
      <c r="AC186" s="3">
        <f>1350.3+(457.7-865.1)+(-4.131918+(-1.400562--2.647206))+0-3--0.00918000000000035</f>
        <v>937.0239059999999</v>
      </c>
      <c r="AD186" s="2">
        <v>1102.5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1357+(439.3-915.7)+(0+(0-0))+0-4-0</f>
        <v>876.59999999999991</v>
      </c>
      <c r="G187" s="3">
        <f>1357.7+(523.7-1015.8)+(-2.077281+(-0.801261--1.554174))+0-4--0.00612000000000023</f>
        <v>860.2817520000001</v>
      </c>
      <c r="H187" s="3">
        <f>1330.9+(521.2-1013)+(-1.357518+(-0.531624--1.03326))+0-4--0.00408000000000064</f>
        <v>834.24819800000023</v>
      </c>
      <c r="I187" s="3">
        <f>1329.1+(478.2-988.8)+(-2.033523+(-0.731646--1.512864))+0-4--0.00612000000000023</f>
        <v>813.25381500000003</v>
      </c>
      <c r="J187" s="3">
        <f>1336.4+(430.2-958.7)+(0+(0-0))+0-4-0</f>
        <v>803.90000000000009</v>
      </c>
      <c r="K187" s="3">
        <f>1320.5+(390.2-909.5)+(-1.34691+(-0.398004--0.92769))+0-4--0.00408000000000064</f>
        <v>796.38685600000008</v>
      </c>
      <c r="L187" s="3">
        <f>1244.3+(307.3-764.2)+(0+(0-0))+0-3-0</f>
        <v>784.39999999999986</v>
      </c>
      <c r="M187" s="3">
        <f>1230.3+(261.5-657.4)+(-0.627453+(-0.133365--0.335274))+0-3--0.0015299999999997</f>
        <v>830.97598600000003</v>
      </c>
      <c r="N187" s="3">
        <f>1223.4+(303.6-621.8)+(-1.247868+(-0.309672--0.634236))+0-3--0.00306000000000048</f>
        <v>901.27975600000013</v>
      </c>
      <c r="O187" s="3">
        <f>1254+(308.6-609.1)+(1.27908+(0.314772-0.621282))+0-4-0.00408000000000064</f>
        <v>950.46848999999997</v>
      </c>
      <c r="P187" s="3">
        <f>1304.3+(321.4-626.3)+(-0.665193+(-0.163914--0.319413))+0-4--0.00203999999999959</f>
        <v>994.89234599999997</v>
      </c>
      <c r="Q187" s="3">
        <f>1312.6+(317.1-610.8)+(-0.669426+(-0.161721--0.311508))+0-4--0.00203999999999959</f>
        <v>1014.382401</v>
      </c>
      <c r="R187" s="3">
        <f>1313.4+(353-667.3)+(-1.339668+(-0.36006--0.680646))+0-5--0.0051000000000008</f>
        <v>993.08601800000008</v>
      </c>
      <c r="S187" s="3">
        <f>1311.3+(413.7-721.7)+(-2.006289+(-0.632961--1.104201))+0-5--0.00765000000000029</f>
        <v>996.77260100000001</v>
      </c>
      <c r="T187" s="3">
        <f>1307.9+(442.6-723.4)+(-2.001087+(-0.677178--1.106802))+0-5--0.00765000000000029</f>
        <v>1020.5361870000002</v>
      </c>
      <c r="U187" s="3">
        <f>1304.8+(436.9-732.6)+(-1.996344+(-0.668457--1.120878))+0-6--0.00918000000000035</f>
        <v>1001.565257</v>
      </c>
      <c r="V187" s="3">
        <f>1296.4+(456.4-743.8)+(-3.30582+(-1.16382--1.89669))+0-6--0.0152999999999991</f>
        <v>1000.4423500000001</v>
      </c>
      <c r="W187" s="3">
        <f>1295.8+(454.4-742.1)+(-1.982574+(-0.695232--1.135413))+0-6--0.00918000000000035</f>
        <v>1000.566787</v>
      </c>
      <c r="X187" s="3">
        <f>1302.9+(410.4-607.5)+(0+(0-0))+0-6-0</f>
        <v>1099.8000000000002</v>
      </c>
      <c r="Y187" s="3">
        <f>1300.7+(473.9-602.6)+(-3.316785+(-1.208445--1.53663))+0-6--0.0152999999999991</f>
        <v>1163.0267000000001</v>
      </c>
      <c r="Z187" s="3">
        <f>1305.1+(557.8-710)+(-2.662404+(-1.137912--1.4484))+0-6--0.0122399999999997</f>
        <v>1144.5603239999998</v>
      </c>
      <c r="AA187" s="3">
        <f>1306.6+(613.5-783.5)+(-2.665464+(-1.25154--1.59834))+0-6--0.0122399999999997</f>
        <v>1128.293576</v>
      </c>
      <c r="AB187" s="3">
        <f>1307.5+(573.2-815.2)+(-2.6673+(-1.169328--1.663008))+0-6--0.0122399999999997</f>
        <v>1057.33862</v>
      </c>
      <c r="AC187" s="3">
        <f>1309.4+(541.5-882.7)+(-2.003382+(-0.828495--1.350531))+0-5--0.00765000000000029</f>
        <v>961.72630400000003</v>
      </c>
      <c r="AD187" s="2">
        <v>1145.8000000000002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1311.4+(546.5-880.3)+(-0.668814+(-0.278715--0.448953))+0-6--0.00305999999999939</f>
        <v>971.10448400000018</v>
      </c>
      <c r="G188" s="3">
        <f>1311+(379.3-692.7)+(-2.67444+(-0.773772--1.413108))+0-6--0.0122399999999997</f>
        <v>989.57713599999988</v>
      </c>
      <c r="H188" s="3">
        <f>1311.5+(345.1-694.9)+(-2.006595+(-0.528003--1.063197))+0-6--0.00918000000000035</f>
        <v>954.23777900000005</v>
      </c>
      <c r="I188" s="3">
        <f>1315.8+(402.4-858.5)+(-2.013174+(-0.615672--1.313505))+0-6--0.00918000000000035</f>
        <v>852.39383899999996</v>
      </c>
      <c r="J188" s="3">
        <f>1321.7+(408.7-901)+(1.348134+(0.416874-0.91902))+0-6-0.00612000000000096</f>
        <v>824.23986800000011</v>
      </c>
      <c r="K188" s="3">
        <f>1301.7+(393.2-870.6)+(-1.991601+(-0.601596--1.332018))+0-6--0.00918000000000035</f>
        <v>817.048001</v>
      </c>
      <c r="L188" s="3">
        <f>1164.8+(398.7-777.5)+(1.188096+(0.406674-0.79305))+0-5-0.0051000000000008</f>
        <v>781.79662000000008</v>
      </c>
      <c r="M188" s="3">
        <f>1168.4+(474.1-800.6)+(1.191768+(0.483582-0.816612))+0-5-0.0051000000000008</f>
        <v>837.75363800000014</v>
      </c>
      <c r="N188" s="3">
        <f>1180.4+(513.2-767.5)+(0.602004+(0.261732-0.391425))+0-5-0.00254999999999949</f>
        <v>921.56976100000009</v>
      </c>
      <c r="O188" s="3">
        <f>1265.9+(431.5-745.7)+(-0.645609+(-0.220065--0.380307))+0-5--0.00254999999999949</f>
        <v>946.21718300000009</v>
      </c>
      <c r="P188" s="3">
        <f>1321.6+(403.6-719.7)+(-2.022048+(-0.617508--1.101141))+0-5--0.00765000000000029</f>
        <v>998.96923499999991</v>
      </c>
      <c r="Q188" s="3">
        <f>1308.7+(411.2-699.6)+(-0.667437+(-0.209712--0.356796))+0-5--0.00254999999999949</f>
        <v>1014.782197</v>
      </c>
      <c r="R188" s="3">
        <f>1306.3+(487.5-783)+(1.998639+(0.745875-1.19799))+0-5-0.00765000000000029</f>
        <v>1007.3388739999999</v>
      </c>
      <c r="S188" s="3">
        <f>1293+(497.6-796.2)+(1.31886+(0.507552-0.812124))+0-5-0.0051000000000008</f>
        <v>990.40918799999997</v>
      </c>
      <c r="T188" s="3">
        <f>1293.7+(536-827.7)+(-1.319574+(-0.54672--0.844254))+0-5--0.0051000000000008</f>
        <v>995.98306000000002</v>
      </c>
      <c r="U188" s="3">
        <f>1303+(558.8-862.7)+(-3.32265+(-1.42494--2.199885))+0-5--0.0127499999999993</f>
        <v>991.56504499999994</v>
      </c>
      <c r="V188" s="3">
        <f>1297.2+(564.9-874.5)+(-3.30786+(-1.440495--2.229975))+0-5--0.0127499999999993</f>
        <v>980.09437000000003</v>
      </c>
      <c r="W188" s="3">
        <f>1302+(532.5-840.1)+(-1.32804+(-0.54315--0.856902))+0-5--0.0051000000000008</f>
        <v>988.39081199999998</v>
      </c>
      <c r="X188" s="3">
        <f>1306.8+(465.3-683.6)+(-0.666468+(-0.237303--0.348636))+0-6--0.00305999999999939</f>
        <v>1081.9479249999999</v>
      </c>
      <c r="Y188" s="3">
        <f>1309.2+(523.7-658.4)+(-2.670768+(-1.068348--1.343136))+0-6--0.0122399999999997</f>
        <v>1166.11626</v>
      </c>
      <c r="Z188" s="3">
        <f>1320.7+(616.2-778.1)+(-2.020671+(-0.942786--1.190493))+0-5--0.00765000000000029</f>
        <v>1152.0346860000002</v>
      </c>
      <c r="AA188" s="3">
        <f>1322.6+(687.6-887.2)+(-4.047156+(-2.104056--2.714832))+0-5--0.0153000000000006</f>
        <v>1114.5789199999999</v>
      </c>
      <c r="AB188" s="3">
        <f>1330.2+(571.4-840.7)+(-2.035206+(-0.874242--1.286271))+0-5--0.00765000000000029</f>
        <v>1054.2844730000002</v>
      </c>
      <c r="AC188" s="3">
        <f>1336.7+(540.2-897.4)+(0+(0-0))+0-5-0</f>
        <v>974.50000000000011</v>
      </c>
      <c r="AD188" s="2">
        <v>1183.7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1322.8+(483.5-900.4)+(-0.674628+(-0.246585--0.459204))+0-4--0.00203999999999959</f>
        <v>901.44003099999998</v>
      </c>
      <c r="G189" s="3">
        <f>1226.5+(489.4-873.6)+(-2.50206+(-0.998376--1.782144))+0-4--0.00815999999999983</f>
        <v>836.58986799999991</v>
      </c>
      <c r="H189" s="3">
        <f>1228.1+(508.7-924.3)+(-0.626331+(-0.259437--0.471393))+0-4--0.00203999999999959</f>
        <v>808.08766500000002</v>
      </c>
      <c r="I189" s="3">
        <f>1167.7+(503.7-870.1)+(-1.191054+(-0.513774--0.887502))+0-4--0.00408000000000064</f>
        <v>796.48675400000002</v>
      </c>
      <c r="J189" s="3">
        <f>1106.8+(486.4-797.5)+(1.693404+(0.744192-1.220175))+0-5-0.00765000000000029</f>
        <v>791.90977099999986</v>
      </c>
      <c r="K189" s="3">
        <f>1074+(470.8-764.2)+(-1.64322+(-0.720324--1.169226))+0-5--0.00765000000000029</f>
        <v>774.41333199999997</v>
      </c>
      <c r="L189" s="3">
        <f>1031.7+(436.1-703.6)+(-0.526167+(-0.222411--0.358836))+0-5--0.00254999999999949</f>
        <v>758.81280800000013</v>
      </c>
      <c r="M189" s="3">
        <f>1041.5+(396.2-621.8)+(2.12466+(0.808248-1.268472))+0-5-0.0101999999999998</f>
        <v>812.55423600000006</v>
      </c>
      <c r="N189" s="3">
        <f>1094.9+(386-577.8)+(-0.558399+(-0.19686--0.294678))+0-5--0.00254999999999949</f>
        <v>897.64196900000013</v>
      </c>
      <c r="O189" s="3">
        <f>1118+(413.2-557.7)+(0.57018+(0.210732-0.284427))+0-5-0.00254999999999949</f>
        <v>968.99393499999996</v>
      </c>
      <c r="P189" s="3">
        <f>1132.4+(469.7-604.9)+(0+(0-0))+0-5-0</f>
        <v>992.2</v>
      </c>
      <c r="Q189" s="3">
        <f>1177.6+(514.5-660.9)+(1.201152+(0.52479-0.674118))+0-5-0.0051000000000008</f>
        <v>1027.2467239999996</v>
      </c>
      <c r="R189" s="3">
        <f>1165.7+(534.1-737.3)+(-1.783521+(-0.817173--1.128069))+0-3--0.00459000000000017</f>
        <v>958.03196500000013</v>
      </c>
      <c r="S189" s="3">
        <f>1254.2+(594.2-900.5)+(-1.918926+(-0.909126--1.377765))+0-3--0.00459000000000017</f>
        <v>943.4543030000001</v>
      </c>
      <c r="T189" s="3">
        <f>1270.5+(605.7-890.5)+(-3.239775+(-1.544535--2.270775))+0-3--0.00764999999999957</f>
        <v>980.19411500000001</v>
      </c>
      <c r="U189" s="3">
        <f>1266.6+(604.6-883)+(-3.875796+(-1.850076--2.70198))+0-3--0.00918000000000035</f>
        <v>982.1852879999999</v>
      </c>
      <c r="V189" s="3">
        <f>1259.2+(558.2-831.2)+(-4.495344+(-1.992774--2.967384))+0-3--0.01071</f>
        <v>979.68997600000012</v>
      </c>
      <c r="W189" s="3">
        <f>1268.5+(448-760.5)+(-1.29387+(-0.45696--0.77571))+0-3--0.00306000000000048</f>
        <v>952.02794000000006</v>
      </c>
      <c r="X189" s="3">
        <f>1309+(458.7-655)+(-2.00277+(-0.701811--1.00215))+0-3--0.00459000000000017</f>
        <v>1108.0021590000001</v>
      </c>
      <c r="Y189" s="3">
        <f>1162+(547.3-601)+(-2.37048+(-1.116492--1.22604))+0-3--0.00611999999999987</f>
        <v>1103.0451880000001</v>
      </c>
      <c r="Z189" s="3">
        <f>1163.8+(589.7-643.9)+(-2.96769+(-1.503735--1.641945))+0-3--0.00764999999999957</f>
        <v>1103.7781699999998</v>
      </c>
      <c r="AA189" s="3">
        <f>1165.9+(614.1-704.7)+(-3.567654+(-1.879146--2.156382))+0-3--0.00918000000000035</f>
        <v>1069.0187620000002</v>
      </c>
      <c r="AB189" s="3">
        <f>1170.1+(583.8-736.8)+(-2.387004+(-1.190952--1.503072))+0-3--0.00611999999999987</f>
        <v>1012.0312359999999</v>
      </c>
      <c r="AC189" s="3">
        <f>1147.3+(566.7-782.3)+(-2.925615+(-1.445085--1.994865))+0-3--0.00764999999999957</f>
        <v>926.33181500000001</v>
      </c>
      <c r="AD189" s="2">
        <v>1085.0999999999999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1101.9+(556.9-794)+(-0.561969+(-0.284019--0.40494))+0-3--0.0015299999999997</f>
        <v>861.36048200000005</v>
      </c>
      <c r="G190" s="3">
        <f>1096.8+(530.8-799.9)+(-1.118736+(-0.541416--0.815898))+0-3--0.00306000000000048</f>
        <v>823.85880599999996</v>
      </c>
      <c r="H190" s="3">
        <f>1098.1+(505.1-816.4)+(-0.560031+(-0.257601--0.416364))+0-3--0.0015299999999997</f>
        <v>783.400262</v>
      </c>
      <c r="I190" s="3">
        <f>1062+(500.5-778.6)+(-2.7081+(-1.276275--1.98543))+0-3--0.00764999999999957</f>
        <v>778.90870499999994</v>
      </c>
      <c r="J190" s="3">
        <f>1039.5+(448-720.1)+(0.530145+(0.22848-0.367251))+0-3-0.0015299999999997</f>
        <v>764.78984400000002</v>
      </c>
      <c r="K190" s="3">
        <f>1040.3+(419.3-689.9)+(-2.652765+(-1.069215--1.759245))+0-3--0.00764999999999957</f>
        <v>764.74491500000011</v>
      </c>
      <c r="L190" s="3">
        <f>1045.1+(344.3-643.6)+(-0.533001+(-0.175593--0.328236))+0-2--0.0010199999999998</f>
        <v>743.42066199999999</v>
      </c>
      <c r="M190" s="3">
        <f>1117+(324.6-638.2)+(-0.56967+(-0.165546--0.325482))+0-2--0.0010199999999998</f>
        <v>800.99128600000006</v>
      </c>
      <c r="N190" s="3">
        <f>1309.1+(295.8-719.7)+(0+(0-0))+0-2-0</f>
        <v>883.19999999999982</v>
      </c>
      <c r="O190" s="3">
        <f>1463.6+(301.4-805.2)+(0+(0-0))+0-2-0</f>
        <v>957.79999999999984</v>
      </c>
      <c r="P190" s="3">
        <f>1458.5+(304.9-783.3)+(-1.48767+(-0.310998--0.798966))+0-2--0.00204000000000032</f>
        <v>977.10233800000003</v>
      </c>
      <c r="Q190" s="3">
        <f>1455.2+(355.7-811.5)+(-0.742152+(-0.181407--0.413865))+0-2--0.0010199999999998</f>
        <v>996.89132600000016</v>
      </c>
      <c r="R190" s="3">
        <f>1448.5+(359-826.1)+(-1.47747+(-0.36618--0.842622))+0-2--0.00204000000000032</f>
        <v>978.40101199999992</v>
      </c>
      <c r="S190" s="3">
        <f>1433.9+(382.4-831.5)+(-2.193867+(-0.585072--1.272195))+0-2--0.00306000000000012</f>
        <v>981.29631600000005</v>
      </c>
      <c r="T190" s="3">
        <f>1428+(375.1-823.9)+(-0.72828+(-0.191301--0.420189))+0-2--0.0010199999999998</f>
        <v>976.70162800000014</v>
      </c>
      <c r="U190" s="3">
        <f>1431.2+(331.8-788.2)+(-3.64956+(-0.84609--2.00991))+0-2--0.00509999999999971</f>
        <v>970.31935999999996</v>
      </c>
      <c r="V190" s="3">
        <f>1374.3+(227.7-633.8)+(-1.401786+(-0.232254--0.646476))+0-2--0.00204000000000032</f>
        <v>965.21447599999999</v>
      </c>
      <c r="W190" s="3">
        <f>1321.4+(248.5-627.2)+(-2.021742+(-0.380205--0.959616))+0-2--0.00306000000000012</f>
        <v>939.26072900000008</v>
      </c>
      <c r="X190" s="3">
        <f>1418.2+(256-617.3)+(-0.723282+(-0.13056--0.314823))+0-2--0.0010199999999998</f>
        <v>1054.362001</v>
      </c>
      <c r="Y190" s="3">
        <f>1437.7+(304.5-608.5)+(-4.399362+(-0.93177--1.86201))+0-2--0.00612000000000023</f>
        <v>1128.2369980000001</v>
      </c>
      <c r="Z190" s="3">
        <f>1322.7+(397.4-612)+(-0.674577+(-0.202674--0.31212))+0-2--0.0010199999999998</f>
        <v>1105.5358889999998</v>
      </c>
      <c r="AA190" s="3">
        <f>1245.7+(416.4-598.2)+(-0.635307+(-0.212364--0.305082))+0-2--0.0010199999999998</f>
        <v>1061.3584310000001</v>
      </c>
      <c r="AB190" s="3">
        <f>1240.7+(418.6-649.5)+(-3.163785+(-1.06743--1.656225))+0-2--0.00509999999999971</f>
        <v>1005.2301100000001</v>
      </c>
      <c r="AC190" s="3">
        <f>1259.2+(374.2-690.3)+(-1.926576+(-0.572526--1.056159))+0-2--0.00306000000000012</f>
        <v>939.66011700000013</v>
      </c>
      <c r="AD190" s="2">
        <v>1127.7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1172.5+(447.6-752.6)+(-2.3919+(-0.913104--1.535304))+0-2--0.00407999999999991</f>
        <v>863.73437999999999</v>
      </c>
      <c r="G191" s="3">
        <f>1219.5+(413.7-807.5)+(-3.109725+(-1.054935--2.059125))+0-2--0.00509999999999971</f>
        <v>821.59956499999998</v>
      </c>
      <c r="H191" s="3">
        <f>1227.6+(428.4-848.4)+(-3.13038+(-1.09242--2.16342))+0-2--0.00509999999999971</f>
        <v>803.54571999999985</v>
      </c>
      <c r="I191" s="3">
        <f>1179.8+(436.6-826.5)+(-0.601698+(-0.222666--0.421515))+0-2--0.0010199999999998</f>
        <v>787.49817100000007</v>
      </c>
      <c r="J191" s="3">
        <f>1182.6+(431.5-834.9)+(-1.206252+(-0.44013--0.851598))+0-2--0.00204000000000032</f>
        <v>776.40725599999985</v>
      </c>
      <c r="K191" s="3">
        <f>1172.2+(382.1-775.2)+(-2.98911+(-0.974355--1.97676))+0-2--0.00509999999999971</f>
        <v>775.11839499999996</v>
      </c>
      <c r="L191" s="3">
        <f>1117.9+(268.1-635.8)+(0+(0-0))+0-3-0</f>
        <v>747.20000000000016</v>
      </c>
      <c r="M191" s="3">
        <f>1099+(275.3-578.1)+(-0.56049+(-0.140403--0.294831))+0-3--0.0015299999999997</f>
        <v>792.79546800000003</v>
      </c>
      <c r="N191" s="3">
        <f>1135.1+(375.8-615.4)+(-1.157802+(-0.383316--0.627708))+0-3--0.00306000000000048</f>
        <v>891.58965000000001</v>
      </c>
      <c r="O191" s="3">
        <f>1179.4+(373.8-624.2)+(-0.601494+(-0.190638--0.318342))+0-3--0.0015299999999997</f>
        <v>925.52773999999999</v>
      </c>
      <c r="P191" s="3">
        <f>1247.8+(363.2-640.6)+(1.272756+(0.370464-0.653412))+0-3-0.00306000000000048</f>
        <v>968.3867479999999</v>
      </c>
      <c r="Q191" s="3">
        <f>1249.3+(406.5-670.5)+(0+(0-0))+0-3-0</f>
        <v>982.3</v>
      </c>
      <c r="R191" s="3">
        <f>1269.8+(402.1-710.6)+(0.647598+(0.205071-0.362406))+0-3-0.0015299999999997</f>
        <v>958.78873299999998</v>
      </c>
      <c r="S191" s="3">
        <f>1270.2+(411.6-718.6)+(1.295604+(0.419832-0.732972))+0-3-0.00306000000000048</f>
        <v>961.17940400000009</v>
      </c>
      <c r="T191" s="3">
        <f>1264.4+(424.1-730)+(-1.289688+(-0.432582--0.7446))+0-3--0.00306000000000048</f>
        <v>954.52539000000013</v>
      </c>
      <c r="U191" s="3">
        <f>1262.3+(393.9-686.2)+(-4.506411+(-1.406223--2.449734))+0-3--0.01071</f>
        <v>963.54780999999991</v>
      </c>
      <c r="V191" s="3">
        <f>1334.9+(341.5-721.3)+(-1.361598+(-0.34833--0.735726))+0-3--0.00306000000000048</f>
        <v>951.12885800000015</v>
      </c>
      <c r="W191" s="3">
        <f>1299.3+(359.3-710.6)+(0+(0-0))+0-3-0</f>
        <v>945</v>
      </c>
      <c r="X191" s="3">
        <f>1434.9+(294.5-678.2)+(-0.731799+(-0.150195--0.345882))+0-3--0.0015299999999997</f>
        <v>1047.665418</v>
      </c>
      <c r="Y191" s="3">
        <f>1489.4+(285.5-666.7)+(-3.038376+(-0.58242--1.360068))+0-3--0.00611999999999987</f>
        <v>1102.9453920000001</v>
      </c>
      <c r="Z191" s="3">
        <f>1515.7+(252.7-678.8)+(-1.546014+(-0.257754--0.692376))+0-3--0.00306000000000048</f>
        <v>1085.4916680000001</v>
      </c>
      <c r="AA191" s="3">
        <f>1490.4+(277.5-719.5)+(-0.760104+(-0.141525--0.366945))+0-3--0.0015299999999997</f>
        <v>1044.8668460000001</v>
      </c>
      <c r="AB191" s="3">
        <f>1459.2+(296.2-758.2)+(-5.209344+(-1.057434--2.706774))+0-3--0.01071</f>
        <v>990.65070600000001</v>
      </c>
      <c r="AC191" s="3">
        <f>1476.5+(291.7-849.6)+(0.753015+(0.148767-0.433296))+0-3-0.0015299999999997</f>
        <v>916.06695599999989</v>
      </c>
      <c r="AD191" s="2">
        <v>1107.6999999999998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1417.1+(335.5-870.2)+(-2.168163+(-0.513315--1.331406))+0-0-0</f>
        <v>881.04992799999991</v>
      </c>
      <c r="G192" s="3">
        <f>1390.9+(405-947.6)+(-2.128077+(-0.61965--1.449828))+0-0-0</f>
        <v>847.00210100000004</v>
      </c>
      <c r="H192" s="3">
        <f>1441.8+(439.6-1037)+(-3.67659+(-1.12098--2.64435))+0-0-0</f>
        <v>842.24677999999994</v>
      </c>
      <c r="I192" s="3">
        <f>1220.9+(512-923.4)+(-1.245318+(-0.52224--0.941868))+0-0-0</f>
        <v>808.6743100000001</v>
      </c>
      <c r="J192" s="3">
        <f>1006.3+(515.9-761.4)+(0+(0-0))+0-0-0</f>
        <v>760.8</v>
      </c>
      <c r="K192" s="3">
        <f>894.4+(453.3-619.5)+(-1.368432+(-0.693549--0.947835))+0-0-0</f>
        <v>727.08585400000004</v>
      </c>
      <c r="L192" s="3">
        <f>901.4+(407.7-589.4)+(0.459714+(0.207927-0.300594))+0-3-0.0015299999999997</f>
        <v>717.065517</v>
      </c>
      <c r="M192" s="3">
        <f>1150.2+(275.7-682.1)+(-0.586602+(-0.140607--0.347871))+0-3--0.0015299999999997</f>
        <v>740.422192</v>
      </c>
      <c r="N192" s="3">
        <f>1366.1+(313.9-795.5)+(-1.393422+(-0.320178--0.81141))+0-3--0.00306000000000048</f>
        <v>880.60086999999987</v>
      </c>
      <c r="O192" s="3">
        <f>1362.3+(272-704.1)+(-0.694773+(-0.13872--0.359091))+0-3--0.0015299999999997</f>
        <v>926.72712799999988</v>
      </c>
      <c r="P192" s="3">
        <f>1364.7+(273.1-663)+(1.391994+(0.278562-0.67626))+0-3-0.00306000000000048</f>
        <v>972.79123600000003</v>
      </c>
      <c r="Q192" s="3">
        <f>1375.4+(263.2-657.1)+(2.104362+(0.402696-1.005363))+0-3-0.00459000000000017</f>
        <v>979.99710500000003</v>
      </c>
      <c r="R192" s="3">
        <f>1375.7+(261.3-693.3)+(-2.104821+(-0.399789--1.060749))+0-4--0.00612000000000023</f>
        <v>938.26225900000009</v>
      </c>
      <c r="S192" s="3">
        <f>1369.5+(304.8-766.9)+(0+(0-0))+0-4-0</f>
        <v>903.40000000000009</v>
      </c>
      <c r="T192" s="3">
        <f>1365.1+(331-773.4)+(-2.088603+(-0.50643--1.183302))+0-4--0.00612000000000023</f>
        <v>917.29438899999991</v>
      </c>
      <c r="U192" s="3">
        <f>1405.5+(328.5-811.9)+(-4.30083+(-1.00521--2.484414))+0-4--0.0122400000000005</f>
        <v>915.29061400000001</v>
      </c>
      <c r="V192" s="3">
        <f>1407.9+(305.8-785.1)+(-4.308174+(-0.935748--2.402406))+0-4--0.0122400000000005</f>
        <v>921.7707240000002</v>
      </c>
      <c r="W192" s="3">
        <f>1383+(281.6-737.3)+(-2.82132+(-0.574464--1.504092))+0-4--0.00815999999999983</f>
        <v>921.41646800000001</v>
      </c>
      <c r="X192" s="3">
        <f>1490.5+(275.4-735.8)+(0+(0-0))+0-4-0</f>
        <v>1026.0999999999999</v>
      </c>
      <c r="Y192" s="3">
        <f>1518.6+(358.5-777.5)+(-6.970374+(-1.645515--3.568725))+0-3--0.0137700000000005</f>
        <v>1091.5666059999999</v>
      </c>
      <c r="Z192" s="3">
        <f>1538.4+(436.9-891.3)+(-3.92292+(-1.114095--2.272815))+0-3--0.00764999999999957</f>
        <v>1078.2434499999999</v>
      </c>
      <c r="AA192" s="3">
        <f>1549.2+(442.2-942.5)+(-2.370276+(-0.676566--1.442025))+0-3--0.00459000000000017</f>
        <v>1044.2997730000002</v>
      </c>
      <c r="AB192" s="3">
        <f>1555.1+(430.8-989.3)+(-2.379303+(-0.659124--1.513629))+0-3--0.00459000000000017</f>
        <v>992.07979199999988</v>
      </c>
      <c r="AC192" s="3">
        <f>1554.7+(463.2-1082.7)+(-2.378691+(-0.708696--1.656531))+0-3--0.00459000000000017</f>
        <v>930.7737340000001</v>
      </c>
      <c r="AD192" s="2">
        <v>1100.8999999999999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1554+(464-1133.9)+(-3.17016+(-0.94656--2.313156))+0-3--0.00611999999999987</f>
        <v>879.30255599999987</v>
      </c>
      <c r="G193" s="3">
        <f>1564.1+(356.6-1095.4)+(0.797691+(0.181866-0.558654))+0-3-0.0015299999999997</f>
        <v>822.71937299999979</v>
      </c>
      <c r="H193" s="3">
        <f>1559.2+(337.9-1096.3)+(-0.795192+(-0.172329--0.559113))+0-3--0.0015299999999997</f>
        <v>797.39312200000006</v>
      </c>
      <c r="I193" s="3">
        <f>1503.6+(341.4-1062.8)+(-2.300508+(-0.522342--1.626084))+0-3--0.00459000000000017</f>
        <v>778.00782399999991</v>
      </c>
      <c r="J193" s="3">
        <f>1485.8+(324.4-1046.3)+(-0.757758+(-0.165444--0.533613))+0-3--0.0015299999999997</f>
        <v>760.51194099999998</v>
      </c>
      <c r="K193" s="3">
        <f>1361.2+(341.4-941.3)+(-3.47106+(-0.87057--2.400315))+0-3--0.00764999999999957</f>
        <v>756.36633500000005</v>
      </c>
      <c r="L193" s="3">
        <f>1211.3+(407.7-896.6)+(0+(0-0))+0-4-0</f>
        <v>718.39999999999986</v>
      </c>
      <c r="M193" s="3">
        <f>1155.6+(466.8-871.6)+(-3.536136+(-1.428408--2.667096))+0-4--0.0122400000000005</f>
        <v>744.51479199999994</v>
      </c>
      <c r="N193" s="3">
        <f>1111.4+(519.1-810.8)+(-0.566814+(-0.264741--0.413508))+0-4--0.00203999999999959</f>
        <v>815.28399300000012</v>
      </c>
      <c r="O193" s="3">
        <f>1256.6+(343.1-745.9)+(-1.922598+(-0.524943--1.141227))+0-4--0.00612000000000023</f>
        <v>848.49980599999992</v>
      </c>
      <c r="P193" s="3">
        <f>1292+(348.4-753.5)+(-1.97676+(-0.533052--1.152855))+0-4--0.00612000000000023</f>
        <v>881.54916300000002</v>
      </c>
      <c r="Q193" s="3">
        <f>1389.9+(381.4-845.9)+(-1.417698+(-0.389028--0.862818))+0-4--0.00408000000000064</f>
        <v>920.46017200000017</v>
      </c>
      <c r="R193" s="3">
        <f>1392+(441.5-915)+(1.41984+(0.45033-0.9333))+0-4-0.00408000000000064</f>
        <v>915.43278999999995</v>
      </c>
      <c r="S193" s="3">
        <f>1377.2+(446-924.9)+(-2.107116+(-0.68238--1.415097))+0-4--0.00612000000000023</f>
        <v>892.93172100000004</v>
      </c>
      <c r="T193" s="3">
        <f>1377.5+(474-948.2)+(-2.107575+(-0.72522--1.450746))+0-4--0.00612000000000023</f>
        <v>897.92407099999991</v>
      </c>
      <c r="U193" s="3">
        <f>1374.1+(456.9-937.7)+(-3.503955+(-1.165095--2.391135))+0-4--0.0101999999999994</f>
        <v>887.03228499999989</v>
      </c>
      <c r="V193" s="3">
        <f>1373.4+(394.3-886.3)+(-3.50217+(-1.005465--2.260065))+0-4--0.0101999999999994</f>
        <v>875.16263000000015</v>
      </c>
      <c r="W193" s="3">
        <f>1381.8+(325.5-831.1)+(-1.409436+(-0.33201--0.847722))+0-4--0.00408000000000064</f>
        <v>871.31035599999996</v>
      </c>
      <c r="X193" s="3">
        <f>1395.1+(350.1-745.7)+(-0.711501+(-0.178551--0.380307))+0-4--0.00203999999999959</f>
        <v>994.9922949999999</v>
      </c>
      <c r="Y193" s="3">
        <f>1404.2+(411.6-760.1)+(-1.432284+(-0.419832--0.775302))+0-4--0.00408000000000064</f>
        <v>1050.627266</v>
      </c>
      <c r="Z193" s="3">
        <f>1418.3+(438.5-817.6)+(-3.616665+(-1.118175--2.08488))+0-4--0.0101999999999994</f>
        <v>1032.5602399999998</v>
      </c>
      <c r="AA193" s="3">
        <f>1443+(443.7-876.3)+(-0.73593+(-0.226287--0.446913))+0-4--0.00203999999999959</f>
        <v>1005.886736</v>
      </c>
      <c r="AB193" s="3">
        <f>1438.5+(491.4-963)+(-3.668175+(-1.25307--2.45565))+0-4--0.0101999999999994</f>
        <v>960.44460500000002</v>
      </c>
      <c r="AC193" s="3">
        <f>1447.2+(518.7-1048)+(-1.476144+(-0.529074--1.06896))+0-4--0.00408000000000064</f>
        <v>912.96782200000018</v>
      </c>
      <c r="AD193" s="2">
        <v>1067.6999999999998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1440.8+(514.6-1090.5)+(-3.67404+(-1.31223--2.780775))+0-3--0.00764999999999957</f>
        <v>859.70215499999995</v>
      </c>
      <c r="G194" s="3">
        <f>1320.7+(519.2-1015.3)+(-2.020671+(-0.794376--1.553409))+0-3--0.00459000000000017</f>
        <v>820.3429520000002</v>
      </c>
      <c r="H194" s="3">
        <f>1310.6+(515.1-1022.9)+(-3.34203+(-1.313505--2.608395))+0-3--0.00764999999999957</f>
        <v>797.76050999999995</v>
      </c>
      <c r="I194" s="3">
        <f>1312.6+(492.4-1014)+(-2.677704+(-1.004496--2.06856))+0-3--0.00611999999999987</f>
        <v>786.39247999999986</v>
      </c>
      <c r="J194" s="3">
        <f>1315.5+(448.7-990)+(-2.012715+(-0.686511--1.5147))+0-3--0.00459000000000017</f>
        <v>770.02006400000005</v>
      </c>
      <c r="K194" s="3">
        <f>1274.8+(408.5-922.6)+(-0.650148+(-0.208335--0.470526))+0-3--0.0015299999999997</f>
        <v>757.31357299999991</v>
      </c>
      <c r="L194" s="3">
        <f>1284.4+(366.6-899.1)+(1.965132+(0.560898-1.375623))+0-3-0.00459000000000017</f>
        <v>750.04581700000006</v>
      </c>
      <c r="M194" s="3">
        <f>1299.2+(370.4-874.4)+(1.987776+(0.566712-1.337832))+0-3-0.00459000000000017</f>
        <v>793.41206599999998</v>
      </c>
      <c r="N194" s="3">
        <f>1421.6+(237.8-826.9)+(0+(0-0))+0-3-0</f>
        <v>829.5</v>
      </c>
      <c r="O194" s="3">
        <f>1523.8+(217.8-824.1)+(0+(0-0))+0-3-0</f>
        <v>914.5</v>
      </c>
      <c r="P194" s="3">
        <f>1569.7+(247.5-858.1)+(0+(0-0))+0-3-0</f>
        <v>956.1</v>
      </c>
      <c r="Q194" s="3">
        <f>1558.7+(285.9-870.9)+(-2.384811+(-0.437427--1.332477))+0-3--0.00459000000000017</f>
        <v>969.21482900000001</v>
      </c>
      <c r="R194" s="3">
        <f>1546.2+(309.2-914.2)+(-4.731372+(-0.946152--2.797452))+0-3--0.00918000000000035</f>
        <v>935.32910800000002</v>
      </c>
      <c r="S194" s="3">
        <f>1554+(342.8-957.9)+(-1.58508+(-0.349656--0.977058))+0-3--0.00306000000000048</f>
        <v>934.94538200000011</v>
      </c>
      <c r="T194" s="3">
        <f>1536.2+(345.4-938.2)+(-0.783462+(-0.176154--0.478482))+0-3--0.0015299999999997</f>
        <v>939.92039599999998</v>
      </c>
      <c r="U194" s="3">
        <f>1528.7+(345.2-936.5)+(-1.559274+(-0.352104--0.95523))+0-3--0.00306000000000048</f>
        <v>933.44691200000011</v>
      </c>
      <c r="V194" s="3">
        <f>1525.4+(328.1-915.5)+(-2.333862+(-0.501993--1.400715))+0-3--0.00459000000000017</f>
        <v>933.56945000000007</v>
      </c>
      <c r="W194" s="3">
        <f>1542.7+(249.8-863)+(3.147108+(0.509592-1.76052))+0-3-0.00611999999999987</f>
        <v>928.39005999999995</v>
      </c>
      <c r="X194" s="3">
        <f>1544.2+(192.3-679.9)+(1.575084+(0.196146-0.693498))+0-3-0.00306000000000048</f>
        <v>1054.6746720000001</v>
      </c>
      <c r="Y194" s="3">
        <f>1570.9+(203.3-666.4)+(1.602318+(0.207366-0.679728))+0-3-0.00306000000000048</f>
        <v>1105.9268960000002</v>
      </c>
      <c r="Z194" s="3">
        <f>1595.1+(215.5-732.5)+(0+(0-0))+0-3-0</f>
        <v>1075.0999999999999</v>
      </c>
      <c r="AA194" s="3">
        <f>1604+(184.2-753.1)+(0.81804+(0.093942-0.384081))+0-3-0.0015299999999997</f>
        <v>1032.6263709999998</v>
      </c>
      <c r="AB194" s="3">
        <f>1566.6+(232.7-804.9)+(-3.99483+(-0.593385--2.052495))+0-3--0.00764999999999957</f>
        <v>988.87192999999991</v>
      </c>
      <c r="AC194" s="3">
        <f>1483.1+(357.8-919.3)+(-3.025524+(-0.729912--1.875372))+0-3--0.00611999999999987</f>
        <v>916.72605599999997</v>
      </c>
      <c r="AD194" s="2">
        <v>1112.7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1481.9+(467.8-1081.3)+(-3.023076+(-0.954312--2.205852))+0-3--0.00611999999999987</f>
        <v>863.63458400000013</v>
      </c>
      <c r="G195" s="3">
        <f>1485.8+(405.4-1075.6)+(-5.304306+(-1.447278--3.839892))+0-3--0.01071</f>
        <v>809.69901800000002</v>
      </c>
      <c r="H195" s="3">
        <f>1492.9+(359.8-1054.6)+(1.522758+(0.366996-1.075692))+0-3-0.00306000000000048</f>
        <v>795.91100200000017</v>
      </c>
      <c r="I195" s="3">
        <f>1493.2+(377-1071.9)+(-3.046128+(-0.76908--2.186676))+0-3--0.00611999999999987</f>
        <v>793.67758800000001</v>
      </c>
      <c r="J195" s="3">
        <f>1504.2+(345.7-1066.7)+(1.534284+(0.352614-1.088034))+0-3-0.00306000000000048</f>
        <v>780.99580400000002</v>
      </c>
      <c r="K195" s="3">
        <f>1511.1+(313.6-1050.8)+(-2.311983+(-0.479808--1.607724))+0-3--0.00459000000000017</f>
        <v>769.72052299999996</v>
      </c>
      <c r="L195" s="3">
        <f>1509.9+(271.6-1027.9)+(0+(0-0))+0-3-0</f>
        <v>750.6</v>
      </c>
      <c r="M195" s="3">
        <f>1493.6+(315.4-1001.7)+(-2.285208+(-0.482562--1.532601))+0-3--0.00459000000000017</f>
        <v>803.06942099999981</v>
      </c>
      <c r="N195" s="3">
        <f>1546.1+(305.9-975.3)+(0.788511+(0.156009-0.497403))+0-3-0.0015299999999997</f>
        <v>874.14558699999998</v>
      </c>
      <c r="O195" s="3">
        <f>1596.9+(261.9-916.8)+(-1.628838+(-0.267138--0.935136))+0-3--0.00306000000000048</f>
        <v>938.04222000000016</v>
      </c>
      <c r="P195" s="3">
        <f>1594.3+(258.1-890.4)+(-0.813093+(-0.131631--0.454104))+0-3--0.0015299999999997</f>
        <v>958.51090999999997</v>
      </c>
      <c r="Q195" s="3">
        <f>1581.4+(251.1-852.8)+(2.419542+(0.384183-1.304784))+0-3-0.00459000000000017</f>
        <v>978.1943510000001</v>
      </c>
      <c r="R195" s="3">
        <f>1568.2+(273.4-886.4)+(-3.199128+(-0.557736--1.808256))+0-4--0.00815999999999983</f>
        <v>949.25955199999999</v>
      </c>
      <c r="S195" s="3">
        <f>1490.3+(357.2-897.2)+(3.040212+(0.728688-1.830288))+0-4-0.00815999999999983</f>
        <v>948.23045200000001</v>
      </c>
      <c r="T195" s="3">
        <f>1402.8+(371.1-833.6)+(-0.715428+(-0.189261--0.425136))+0-4--0.00203999999999959</f>
        <v>935.82248699999991</v>
      </c>
      <c r="U195" s="3">
        <f>1322.4+(361.1-749.1)+(-3.37212+(-0.920805--1.910205))+0-4--0.0101999999999994</f>
        <v>928.0274800000002</v>
      </c>
      <c r="V195" s="3">
        <f>1185.9+(372-636.8)+(-4.233663+(-1.32804--2.273376))+0-4--0.0142800000000001</f>
        <v>913.82595300000014</v>
      </c>
      <c r="W195" s="3">
        <f>1123+(403.5-595.4)+(-1.71819+(-0.617355--0.910962))+0-4--0.00612000000000023</f>
        <v>925.68153700000005</v>
      </c>
      <c r="X195" s="3">
        <f>1093.3+(526.2-569.3)+(-2.230332+(-1.073448--1.161372))+0-5--0.0101999999999998</f>
        <v>1043.0677920000001</v>
      </c>
      <c r="Y195" s="3">
        <f>1224.6+(464.1-585.5)+(-3.12273+(-1.183455--1.493025))+0-5--0.0127499999999993</f>
        <v>1095.39959</v>
      </c>
      <c r="Z195" s="3">
        <f>1252.8+(426.5-594.5)+(-2.555712+(-0.87006--1.21278))+0-5--0.0101999999999998</f>
        <v>1077.5972079999999</v>
      </c>
      <c r="AA195" s="3">
        <f>1224.1+(457.4-643.2)+(-3.121455+(-1.16637--1.64016))+0-5--0.0127499999999993</f>
        <v>1030.6650849999999</v>
      </c>
      <c r="AB195" s="3">
        <f>1228.5+(474.7-718)+(0.626535+(0.242097-0.36618))+0-5-0.00254999999999949</f>
        <v>980.69990199999995</v>
      </c>
      <c r="AC195" s="3">
        <f>1226.9+(431-745.4)+(-3.128595+(-1.09905--1.90077))+0-5--0.0127499999999993</f>
        <v>905.18587500000012</v>
      </c>
      <c r="AD195" s="2">
        <v>1154.3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1231.4+(465.8-855.3)+(-0.628014+(-0.237558--0.436203))+0-4--0.00203999999999959</f>
        <v>837.4726710000001</v>
      </c>
      <c r="G196" s="3">
        <f>1232.7+(507.8-969)+(-0.628677+(-0.258978--0.49419))+0-4--0.00203999999999959</f>
        <v>767.10857499999997</v>
      </c>
      <c r="H196" s="3">
        <f>1236.5+(496.7-964.5)+(1.891845+(0.759951-1.475685))+0-4-0.00612000000000023</f>
        <v>765.86999100000003</v>
      </c>
      <c r="I196" s="3">
        <f>1241.1+(485.4-978.6)+(1.898883+(0.742662-1.497258))+0-4-0.00612000000000023</f>
        <v>745.03816699999982</v>
      </c>
      <c r="J196" s="3">
        <f>1239.1+(454.7-955.8)+(-2.527764+(-0.927588--1.949832))+0-4--0.00815999999999983</f>
        <v>732.50263999999993</v>
      </c>
      <c r="K196" s="3">
        <f>1240.7+(455-955.3)+(-1.898271+(-0.69615--1.461609))+0-4--0.00612000000000023</f>
        <v>735.27330800000016</v>
      </c>
      <c r="L196" s="3">
        <f>1195.6+(438-907)+(-1.829268+(-0.67014--1.38771))+0-4--0.00612000000000023</f>
        <v>721.49442199999987</v>
      </c>
      <c r="M196" s="3">
        <f>1190.8+(380.4-802.4)+(3.03654+(0.97002-2.04612))+0-4-0.0101999999999994</f>
        <v>766.75023999999985</v>
      </c>
      <c r="N196" s="3">
        <f>1220.9+(322-691)+(0+(0-0))+0-4-0</f>
        <v>847.90000000000009</v>
      </c>
      <c r="O196" s="3">
        <f>1228.9+(334.4-684.4)+(1.880217+(0.511632-1.047132))+0-4-0.00612000000000023</f>
        <v>876.23859700000003</v>
      </c>
      <c r="P196" s="3">
        <f>1219.5+(372.1-664.3)+(0+(0-0))+0-4-0</f>
        <v>923.30000000000007</v>
      </c>
      <c r="Q196" s="3">
        <f>1212.7+(367.6-634.1)+(1.236954+(0.374952-0.646782))+0-4-0.00408000000000064</f>
        <v>943.16104399999995</v>
      </c>
      <c r="R196" s="3">
        <f>1205.7+(420.8-702.5)+(-0.614907+(-0.214608--0.358275))+0-6--0.00305999999999939</f>
        <v>917.53182000000004</v>
      </c>
      <c r="S196" s="3">
        <f>1205.1+(449.1-727.8)+(1.229202+(0.458082-0.742356))+0-6-0.00612000000000096</f>
        <v>921.33880799999997</v>
      </c>
      <c r="T196" s="3">
        <f>1204+(420.5-694.2)+(1.84212+(0.643365-1.062126))+0-6-0.00918000000000035</f>
        <v>925.71417899999994</v>
      </c>
      <c r="U196" s="3">
        <f>1097.1+(460.1-633.5)+(0+(0-0))+0-6-0</f>
        <v>917.69999999999993</v>
      </c>
      <c r="V196" s="3">
        <f>1097.6+(474-660.5)+(-0.559776+(-0.24174--0.336855))+0-6--0.00305999999999939</f>
        <v>904.63839899999994</v>
      </c>
      <c r="W196" s="3">
        <f>1105.7+(480.8-661.7)+(1.691721+(0.735624-1.012401))+0-6-0.00918000000000035</f>
        <v>920.20576399999993</v>
      </c>
      <c r="X196" s="3">
        <f>1138.4+(478.3-555.8)+(-1.161168+(-0.487866--0.566916))+0-6--0.00612000000000096</f>
        <v>1053.8240020000001</v>
      </c>
      <c r="Y196" s="3">
        <f>1138.4+(549.9-592.8)+(-2.90292+(-1.402245--1.51164))+0-6--0.0152999999999991</f>
        <v>1086.721775</v>
      </c>
      <c r="Z196" s="3">
        <f>1134.5+(559.4-622.4)+(-2.31438+(-1.141176--1.269696))+0-6--0.0122399999999997</f>
        <v>1063.32638</v>
      </c>
      <c r="AA196" s="3">
        <f>1076.7+(583.1-618.1)+(-1.647351+(-0.892143--0.945693))+0-6--0.00918000000000035</f>
        <v>1034.1153790000001</v>
      </c>
      <c r="AB196" s="3">
        <f>1028+(560.9-607.7)+(-2.6214+(-1.430295--1.549635))+0-6--0.0152999999999991</f>
        <v>972.71323999999993</v>
      </c>
      <c r="AC196" s="3">
        <f>1035.1+(501.9-647.8)+(-2.639505+(-1.279845--1.65189))+0-6--0.0152999999999991</f>
        <v>880.94783999999993</v>
      </c>
      <c r="AD196" s="2">
        <v>1102.6000000000001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1048+(513.2-751.9)+(-0.53448+(-0.261732--0.383469))+0-7--0.00356999999999929</f>
        <v>801.89082700000006</v>
      </c>
      <c r="G197" s="3">
        <f>1106.1+(449.9-792.2)+(0.564111+(0.229449-0.404022))+0-7-0.00356999999999929</f>
        <v>757.18596799999989</v>
      </c>
      <c r="H197" s="3">
        <f>1177+(393.3-819.9)+(1.20054+(0.401166-0.836298))+0-7-0.00714000000000112</f>
        <v>744.15826800000002</v>
      </c>
      <c r="I197" s="3">
        <f>1249.4+(393.5-887.6)+(-0.637194+(-0.200685--0.452676))+0-7--0.00356999999999929</f>
        <v>747.91836699999999</v>
      </c>
      <c r="J197" s="3">
        <f>1296.5+(363.7-918.4)+(0.661215+(0.185487-0.468384))+0-7-0.00356999999999929</f>
        <v>735.17474800000002</v>
      </c>
      <c r="K197" s="3">
        <f>1289.9+(346.5-878.8)+(-1.973547+(-0.530145--1.344564))+0-7--0.0107100000000004</f>
        <v>749.45158200000014</v>
      </c>
      <c r="L197" s="3">
        <f>1188.4+(310.3-773.9)+(1.212168+(0.316506-0.789378))+0-7-0.00714000000000112</f>
        <v>718.5321560000001</v>
      </c>
      <c r="M197" s="3">
        <f>1190.3+(220.4-642.2)+(1.214106+(0.224808-0.655044))+0-7-0.00714000000000112</f>
        <v>762.27672999999982</v>
      </c>
      <c r="N197" s="3">
        <f>1241.4+(269.7-655.1)+(-0.633114+(-0.137547--0.334101))+0-7--0.00356999999999929</f>
        <v>848.56700999999998</v>
      </c>
      <c r="O197" s="3">
        <f>1269.5+(317.1-682.6)+(-0.647445+(-0.161721--0.348126))+0-7--0.00356999999999929</f>
        <v>896.54252999999994</v>
      </c>
      <c r="P197" s="3">
        <f>1361.3+(249.8-675.3)+(0+(0-0))+0-7-0</f>
        <v>928.8</v>
      </c>
      <c r="Q197" s="3">
        <f>1465.6+(213.3-733.8)+(-1.494912+(-0.217566--0.748476))+0-7--0.00714000000000112</f>
        <v>937.14313799999991</v>
      </c>
      <c r="R197" s="3">
        <f>1568.6+(244.9-887.1)+(0.799986+(0.124899-0.452421))+0-7-0.00356999999999929</f>
        <v>919.86889399999984</v>
      </c>
      <c r="S197" s="3">
        <f>1582.2+(346.9-982.6)+(0+(0-0))+0-7-0</f>
        <v>939.5</v>
      </c>
      <c r="T197" s="3">
        <f>1576.7+(336.6-970.7)+(1.608234+(0.343332-0.990114))+0-7-0.00714000000000112</f>
        <v>936.55431199999998</v>
      </c>
      <c r="U197" s="3">
        <f>1580.3+(351.1-975.6)+(-4.029765+(-0.895305--2.48778))+0-7--0.017849999999999</f>
        <v>946.38055999999995</v>
      </c>
      <c r="V197" s="3">
        <f>1578.3+(332.2-920.2)+(-2.414799+(-0.508266--1.407906))+0-7--0.0107100000000004</f>
        <v>981.79555099999993</v>
      </c>
      <c r="W197" s="3">
        <f>1581+(278.8-913.6)+(1.61262+(0.284376-0.931872))+0-7-0.00714000000000112</f>
        <v>940.15798399999994</v>
      </c>
      <c r="X197" s="3">
        <f>1592.3+(398.3-905.7)+(0+(0-0))+0-7-0</f>
        <v>1077.8999999999999</v>
      </c>
      <c r="Y197" s="3">
        <f>1603.2+(459.5-932.2)+(-3.270528+(-0.93738--1.901688))+0-7--0.0142799999999997</f>
        <v>1121.2080600000002</v>
      </c>
      <c r="Z197" s="3">
        <f>1613.5+(472.6-979.1)+(-1.64577+(-0.482052--0.998682))+0-7--0.00714000000000112</f>
        <v>1098.8779999999999</v>
      </c>
      <c r="AA197" s="3">
        <f>1628.3+(432.8-992.6)+(-0.830433+(-0.220728--0.506226))+0-7--0.00356999999999929</f>
        <v>1060.9586350000002</v>
      </c>
      <c r="AB197" s="3">
        <f>1638.9+(416.5-1029)+(-4.179195+(-1.062075--2.62395))+0-6--0.0152999999999991</f>
        <v>1017.7979800000002</v>
      </c>
      <c r="AC197" s="3">
        <f>1613.3+(400.1-1058.1)+(-4.113915+(-1.020255--2.698155))+0-6--0.0152999999999991</f>
        <v>946.8792850000001</v>
      </c>
      <c r="AD197" s="2">
        <v>1121.0999999999999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1471.4+(463.3-1065.8)+(-2.251242+(-0.708849--1.630674))+0-7--0.0107100000000004</f>
        <v>860.58129300000007</v>
      </c>
      <c r="G198" s="3">
        <f>1349.3+(465.1-1027.1)+(-3.440715+(-1.186005--2.619105))+0-7--0.017849999999999</f>
        <v>778.31023500000003</v>
      </c>
      <c r="H198" s="3">
        <f>1346.9+(435.3-1009.7)+(-2.060757+(-0.666009--1.544841))+0-7--0.0107100000000004</f>
        <v>764.32878500000004</v>
      </c>
      <c r="I198" s="3">
        <f>1354.4+(411.3-1003.5)+(0+(0-0))+0-7-0</f>
        <v>755.2</v>
      </c>
      <c r="J198" s="3">
        <f>1259.4+(397.2-894.6)+(-0.642294+(-0.202572--0.456246))+0-7--0.00356999999999929</f>
        <v>754.61495000000002</v>
      </c>
      <c r="K198" s="3">
        <f>1208.2+(367.3-838.2)+(-1.848546+(-0.561969--1.282446))+0-7--0.0107100000000004</f>
        <v>729.18264099999999</v>
      </c>
      <c r="L198" s="3">
        <f>1117.3+(371-769.3)+(0.569823+(0.18921-0.392343))+0-7-0.00356999999999929</f>
        <v>712.36311999999998</v>
      </c>
      <c r="M198" s="3">
        <f>1121.2+(306.9-655.8)+(0.571812+(0.156519-0.334458))+0-7-0.00356999999999929</f>
        <v>765.69030300000009</v>
      </c>
      <c r="N198" s="3">
        <f>1271.4+(259.2-692.5)+(0.648414+(0.132192-0.353175))+0-7-0.00356999999999929</f>
        <v>831.52386100000012</v>
      </c>
      <c r="O198" s="3">
        <f>1313.9+(258.2-673.9)+(0.670089+(0.131682-0.343689))+0-7-0.00356999999999929</f>
        <v>891.65451200000007</v>
      </c>
      <c r="P198" s="3">
        <f>1343.3+(262.8-696.4)+(0+(0-0))+0-7-0</f>
        <v>902.7</v>
      </c>
      <c r="Q198" s="3">
        <f>1403.5+(219.6-704.3)+(0+(0-0))+0-7-0</f>
        <v>911.80000000000007</v>
      </c>
      <c r="R198" s="3">
        <f>1397.8+(270.6-773.3)+(0+(0-0))+0-5-0</f>
        <v>890.1</v>
      </c>
      <c r="S198" s="3">
        <f>1391.2+(389.6-869.3)+(-1.419024+(-0.397392--0.886686))+0-5--0.0051000000000008</f>
        <v>905.57537000000013</v>
      </c>
      <c r="T198" s="3">
        <f>1384.7+(437-898.4)+(-0.706197+(-0.22287--0.458184))+0-5--0.00254999999999949</f>
        <v>917.83166700000015</v>
      </c>
      <c r="U198" s="3">
        <f>1382.7+(420.7-875.4)+(-4.936239+(-1.501899--3.125178))+0-5--0.0178500000000001</f>
        <v>919.70488999999998</v>
      </c>
      <c r="V198" s="3">
        <f>1383.4+(346.3-813.3)+(0.705534+(0.176613-0.414783))+0-5-0.00254999999999949</f>
        <v>911.86481400000002</v>
      </c>
      <c r="W198" s="3">
        <f>1386.8+(317.1-788.8)+(-1.414536+(-0.323442--0.804576))+0-5--0.0051000000000008</f>
        <v>909.17169799999999</v>
      </c>
      <c r="X198" s="3">
        <f>1395.1+(363.6-720.2)+(-2.846004+(-0.741744--1.469208))+0-6--0.0122399999999997</f>
        <v>1030.3937000000001</v>
      </c>
      <c r="Y198" s="3">
        <f>1404.5+(500.8-822.4)+(-2.86518+(-1.021632--1.677696))+0-6--0.0122399999999997</f>
        <v>1074.7031240000001</v>
      </c>
      <c r="Z198" s="3">
        <f>1417.1+(390.3-766)+(-1.445442+(-0.398106--0.78132))+0-6--0.00612000000000096</f>
        <v>1034.3438919999999</v>
      </c>
      <c r="AA198" s="3">
        <f>1433.8+(401.5-807.3)+(-3.65619+(-1.023825--2.058615))+0-6--0.0152999999999991</f>
        <v>1019.3939</v>
      </c>
      <c r="AB198" s="3">
        <f>1444.9+(384.6-873.5)+(-2.947596+(-0.784584--1.78194))+0-6--0.0122399999999997</f>
        <v>948.06200000000013</v>
      </c>
      <c r="AC198" s="3">
        <f>1365+(495-954.7)+(-0.69615+(-0.25245--0.486897))+0-6--0.00305999999999939</f>
        <v>898.8413569999999</v>
      </c>
      <c r="AD198" s="2">
        <v>1087.4000000000001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1233.9+(589.2-995.1)+(-0.629289+(-0.300492--0.507501))+0-5--0.00254999999999949</f>
        <v>822.58027000000016</v>
      </c>
      <c r="G199" s="3">
        <f>1194.2+(516.9-933.6)+(-3.04521+(-1.318095--2.38068))+0-5--0.0127499999999993</f>
        <v>770.530125</v>
      </c>
      <c r="H199" s="3">
        <f>1197.6+(444.1-889.7)+(0+(0-0))+0-5-0</f>
        <v>746.99999999999989</v>
      </c>
      <c r="I199" s="3">
        <f>1257+(443.3-960.4)+(-0.64107+(-0.226083--0.489804))+0-6--0.00305999999999939</f>
        <v>733.52571100000011</v>
      </c>
      <c r="J199" s="3">
        <f>1150+(453-863.6)+(1.173+(0.46206-0.880872))+0-6-0.00612000000000096</f>
        <v>734.14806799999997</v>
      </c>
      <c r="K199" s="3">
        <f>1088.8+(459.6-808.3)+(-1.110576+(-0.468792--0.824466))+0-6--0.00612000000000096</f>
        <v>733.35121800000002</v>
      </c>
      <c r="L199" s="3">
        <f>842.6+(495-636.1)+(0.429726+(0.25245-0.324411))+0-6-0.00305999999999939</f>
        <v>695.85470499999997</v>
      </c>
      <c r="M199" s="3">
        <f>1015.9+(380.3-662.6)+(0+(0-0))+0-6-0</f>
        <v>727.59999999999991</v>
      </c>
      <c r="N199" s="3">
        <f>1247.7+(212.5-639.4)+(0.636327+(0.108375-0.326094))+0-6-0.00305999999999939</f>
        <v>815.21554800000001</v>
      </c>
      <c r="O199" s="3">
        <f>1226.1+(309.2-659.9)+(0.625311+(0.157692-0.336549))+0-6-0.00305999999999939</f>
        <v>869.84339399999988</v>
      </c>
      <c r="P199" s="3">
        <f>1206.8+(349.1-647)+(-1.846404+(-0.534123--0.98991))+0-6--0.00918000000000035</f>
        <v>901.51856299999997</v>
      </c>
      <c r="Q199" s="3">
        <f>1192.3+(366.4-645.3)+(0+(0-0))+0-6-0</f>
        <v>907.4</v>
      </c>
      <c r="R199" s="3">
        <f>1174.6+(320.2-598.5)+(-1.797138+(-0.489906--0.915705))+0-7--0.0107100000000004</f>
        <v>887.93937099999994</v>
      </c>
      <c r="S199" s="3">
        <f>1174.6+(369.6-657.8)+(-1.198092+(-0.376992--0.670956))+0-7--0.00714000000000112</f>
        <v>878.50301200000001</v>
      </c>
      <c r="T199" s="3">
        <f>1169+(397.9-693.3)+(0+(0-0))+0-7-0</f>
        <v>866.6</v>
      </c>
      <c r="U199" s="3">
        <f>1157.2+(408.5-696.5)+(-1.180344+(-0.41667--0.71043))+0-7--0.00714000000000112</f>
        <v>861.32055600000012</v>
      </c>
      <c r="V199" s="3">
        <f>1160.6+(364.1-656.6)+(-1.775718+(-0.557073--1.004598))+0-7--0.0107100000000004</f>
        <v>859.78251699999987</v>
      </c>
      <c r="W199" s="3">
        <f>1122.2+(368.1-610.8)+(1.144644+(0.375462-0.623016))+0-7-0.00714000000000112</f>
        <v>873.38995000000011</v>
      </c>
      <c r="X199" s="3">
        <f>1152.9+(449.3-586)+(-2.939895+(-1.145715--1.4943))+0-6--0.0152999999999991</f>
        <v>1007.62399</v>
      </c>
      <c r="Y199" s="3">
        <f>1150.3+(487.3-596.8)+(-1.759959+(-0.745569--0.913104))+0-6--0.00918000000000035</f>
        <v>1033.216756</v>
      </c>
      <c r="Z199" s="3">
        <f>1117.2+(460.8-573.1)+(-2.84886+(-1.17504--1.461405))+0-6--0.0152999999999991</f>
        <v>996.3528050000001</v>
      </c>
      <c r="AA199" s="3">
        <f>1125.8+(422.4-577.3)+(-1.722474+(-0.646272--0.883269))+0-6--0.00918000000000035</f>
        <v>963.42370300000005</v>
      </c>
      <c r="AB199" s="3">
        <f>1131+(370-586.5)+(-1.15362+(-0.3774--0.59823))+0-6--0.00612000000000096</f>
        <v>907.57333000000006</v>
      </c>
      <c r="AC199" s="3">
        <f>1141.8+(394.4-679.6)+(-0.582318+(-0.201144--0.346596))+0-6--0.00305999999999939</f>
        <v>850.1661939999999</v>
      </c>
      <c r="AD199" s="2">
        <v>1047.2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1136.3+(437-772.1)+(-1.738539+(-0.66861--1.181313))+0-7--0.0107100000000004</f>
        <v>792.98487399999999</v>
      </c>
      <c r="G200" s="3">
        <f>1004.7+(486.3-727.3)+(-1.537191+(-0.744039--1.112769))+0-7--0.0107100000000004</f>
        <v>755.54224900000008</v>
      </c>
      <c r="H200" s="3">
        <f>835+(513.5-647.7)+(-0.8517+(-0.52377--0.660654))+0-7--0.00714000000000112</f>
        <v>693.09232399999996</v>
      </c>
      <c r="I200" s="3">
        <f>840.3+(508.3-652.4)+(-1.285659+(-0.777699--0.998172))+0-7--0.0107100000000004</f>
        <v>688.14552400000002</v>
      </c>
      <c r="J200" s="3">
        <f>860.4+(490.8-663.5)+(1.316412+(0.750924-1.015155))+0-7-0.0107100000000004</f>
        <v>681.74147100000005</v>
      </c>
      <c r="K200" s="3">
        <f>832.7+(492.4-630.6)+(-2.123385+(-1.25562--1.60803))+0-7--0.017849999999999</f>
        <v>685.74687499999993</v>
      </c>
      <c r="L200" s="3">
        <f>686.3+(534.2-569.6)+(0+(0-0))+0-7-0</f>
        <v>643.9</v>
      </c>
      <c r="M200" s="3">
        <f>693.2+(526.4-565.3)+(0+(0-0))+0-7-0</f>
        <v>647.30000000000007</v>
      </c>
      <c r="N200" s="3">
        <f>842+(469.1-588.5)+(-1.71768+(-0.956964--1.20054))+0-7--0.0142799999999997</f>
        <v>714.140176</v>
      </c>
      <c r="O200" s="3">
        <f>935.8+(391.7-560.7)+(-0.954516+(-0.399534--0.571914))+0-7--0.00714000000000112</f>
        <v>759.02500399999997</v>
      </c>
      <c r="P200" s="3">
        <f>928.5+(436.9-566.7)+(-1.420605+(-0.668457--0.867051))+0-7--0.0107100000000004</f>
        <v>790.488699</v>
      </c>
      <c r="Q200" s="3">
        <f>909.8+(470.5-568.4)+(-1.855992+(-0.95982--1.159536))+0-7--0.0142799999999997</f>
        <v>803.25800399999991</v>
      </c>
      <c r="R200" s="3">
        <f>893+(492.6-583.8)+(0+(0-0))+0-6-0</f>
        <v>795.80000000000007</v>
      </c>
      <c r="S200" s="3">
        <f>887.3+(532-619)+(-2.262615+(-1.3566--1.57845))+0-6--0.0152999999999991</f>
        <v>792.27453500000001</v>
      </c>
      <c r="T200" s="3">
        <f>888+(549.3-640.6)+(-1.35864+(-0.840429--0.980118))+0-6--0.00918000000000035</f>
        <v>789.490229</v>
      </c>
      <c r="U200" s="3">
        <f>887.1+(522.2-618.4)+(-1.357263+(-0.798966--0.946152))+0-6--0.00918000000000035</f>
        <v>783.69910300000015</v>
      </c>
      <c r="V200" s="3">
        <f>888+(475.1-582.8)+(-0.90576+(-0.484602--0.594456))+0-6--0.00612000000000096</f>
        <v>773.51021400000013</v>
      </c>
      <c r="W200" s="3">
        <f>893+(457.9-564.6)+(0.45543+(0.233529-0.287946))+0-6-0.00305999999999939</f>
        <v>780.69795299999998</v>
      </c>
      <c r="X200" s="3">
        <f>901.3+(606.8-568.9)+(0+(0-0))+0-6-0</f>
        <v>933.19999999999993</v>
      </c>
      <c r="Y200" s="3">
        <f>911.1+(606-539.2)+(-1.393983+(-0.92718--0.824976))+0-6--0.00918000000000035</f>
        <v>970.41299300000003</v>
      </c>
      <c r="Z200" s="3">
        <f>919.9+(596.2-557.4)+(-0.469149+(-0.304062--0.284274))+0-6--0.00305999999999939</f>
        <v>952.21412300000009</v>
      </c>
      <c r="AA200" s="3">
        <f>928.6+(572-572.8)+(-1.420758+(-0.87516--0.876384))+0-6--0.00918000000000035</f>
        <v>920.38964600000008</v>
      </c>
      <c r="AB200" s="3">
        <f>936.4+(576.8-623.9)+(-3.342948+(-2.059176--2.227323))+0-6--0.0214200000000001</f>
        <v>880.14661899999999</v>
      </c>
      <c r="AC200" s="3">
        <f>940.6+(574.7-690.4)+(-0.479706+(-0.293097--0.352104))+0-6--0.00305999999999939</f>
        <v>818.48236100000008</v>
      </c>
      <c r="AD200" s="2">
        <v>976.19999999999993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944.6+(619.3-802.4)+(-1.926984+(-1.263372--1.636896))+0-6--0.0122399999999997</f>
        <v>753.95878000000005</v>
      </c>
      <c r="G201" s="3">
        <f>950.7+(637.3-871.3)+(-0.484857+(-0.325023--0.444363))+0-6--0.00305999999999939</f>
        <v>710.3375430000001</v>
      </c>
      <c r="H201" s="3">
        <f>955.1+(597.6-845.9)+(-2.435505+(-1.52388--2.157045))+0-6--0.0152999999999991</f>
        <v>699.01296000000013</v>
      </c>
      <c r="I201" s="3">
        <f>963.1+(506.9-782.4)+(-2.455905+(-1.292595--1.99512))+0-6--0.0152999999999991</f>
        <v>679.86192000000005</v>
      </c>
      <c r="J201" s="3">
        <f>1019.6+(446.1-789.3)+(1.039992+(0.455022-0.805086))+0-6-0.00612000000000096</f>
        <v>671.08380800000009</v>
      </c>
      <c r="K201" s="3">
        <f>1052.4+(424.9-784.7)+(0.536724+(0.216699-0.400197))+0-6-0.00305999999999939</f>
        <v>686.95016599999997</v>
      </c>
      <c r="L201" s="3">
        <f>1065.7+(369.2-756.6)+(1.087014+(0.376584-0.771732))+0-6-0.00612000000000096</f>
        <v>672.98574599999995</v>
      </c>
      <c r="M201" s="3">
        <f>1135.6+(309.9-725.9)+(0.579156+(0.158049-0.370209))+0-6-0.00305999999999939</f>
        <v>713.96393599999988</v>
      </c>
      <c r="N201" s="3">
        <f>1229.4+(323-742.6)+(0+(0-0))+0-6-0</f>
        <v>803.80000000000007</v>
      </c>
      <c r="O201" s="3">
        <f>1244.1+(345.2-717.3)+(0+(0-0))+0-6-0</f>
        <v>866</v>
      </c>
      <c r="P201" s="3">
        <f>1226.1+(358-676.1)+(-0.625311+(-0.18258--0.344811))+0-6--0.00305999999999939</f>
        <v>901.5399799999999</v>
      </c>
      <c r="Q201" s="3">
        <f>1240.6+(364.5-665.2)+(1.898118+(0.557685-1.017756))+0-6-0.00918000000000035</f>
        <v>935.32886699999983</v>
      </c>
      <c r="R201" s="3">
        <f>1198.9+(387.3-689.6)+(0+(0-0))+0-6-0</f>
        <v>890.60000000000014</v>
      </c>
      <c r="S201" s="3">
        <f>1199+(445.5-748.2)+(0.61149+(0.227205-0.381582))+0-6-0.00305999999999939</f>
        <v>890.754053</v>
      </c>
      <c r="T201" s="3">
        <f>1200.8+(494.8-794)+(0+(0-0))+0-6-0</f>
        <v>895.59999999999991</v>
      </c>
      <c r="U201" s="3">
        <f>1208.1+(500-809.2)+(-4.312917+(-1.785--2.888844))+0-6--0.0214200000000001</f>
        <v>889.71234699999991</v>
      </c>
      <c r="V201" s="3">
        <f>1213.9+(510.8-826.6)+(-2.476356+(-1.042032--1.686264))+0-6--0.0122399999999997</f>
        <v>890.28011600000013</v>
      </c>
      <c r="W201" s="3">
        <f>1214.8+(462-784)+(0.619548+(0.23562-0.39984))+0-6-0.00305999999999939</f>
        <v>887.25226799999996</v>
      </c>
      <c r="X201" s="3">
        <f>1225.4+(464-681.5)+(0+(0-0))+0-6-0</f>
        <v>1001.9000000000001</v>
      </c>
      <c r="Y201" s="3">
        <f>1236+(583.9-759.6)+(0+(0-0))+0-6-0</f>
        <v>1054.3</v>
      </c>
      <c r="Z201" s="3">
        <f>1239.9+(583.4-809.4)+(-2.529396+(-1.190136--1.651176))+0-6--0.0122399999999997</f>
        <v>1005.8438840000001</v>
      </c>
      <c r="AA201" s="3">
        <f>1246.6+(598.9-844.4)+(-1.271532+(-0.610878--0.861288))+0-6--0.00612000000000096</f>
        <v>994.08499799999993</v>
      </c>
      <c r="AB201" s="3">
        <f>1256.8+(554.7-872)+(-1.922904+(-0.848691--1.33416))+0-6--0.00918000000000035</f>
        <v>932.07174499999996</v>
      </c>
      <c r="AC201" s="3">
        <f>1252.5+(631.8-1002.4)+(-2.5551+(-1.288872--2.044896))+0-6--0.0122399999999997</f>
        <v>874.11316399999998</v>
      </c>
      <c r="AD201" s="2">
        <v>907.30000000000007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1104.3+(666.7-965.5)+(-2.252772+(-1.360068--1.96962))+0-6--0.0122399999999997</f>
        <v>797.86901999999998</v>
      </c>
      <c r="G202" s="3">
        <f>1063.5+(647.6-958.3)+(-2.711925+(-1.65138--2.443665))+0-6--0.0152999999999991</f>
        <v>744.89566000000013</v>
      </c>
      <c r="H202" s="3">
        <f>1047.8+(659-977.8)+(-1.603134+(-1.00827--1.496034))+0-6--0.00918000000000035</f>
        <v>721.89381000000003</v>
      </c>
      <c r="I202" s="3">
        <f>1047.7+(656.1-978.6)+(-0.534327+(-0.334611--0.499086))+0-6--0.00305999999999939</f>
        <v>718.83320800000001</v>
      </c>
      <c r="J202" s="3">
        <f>1050.7+(546.2-902)+(1.607571+(0.835686-1.38006))+0-6-0.00918000000000035</f>
        <v>689.95401700000002</v>
      </c>
      <c r="K202" s="3">
        <f>1053.2+(504.4-860.6)+(-1.611396+(-0.771732--1.316718))+0-6--0.00918000000000035</f>
        <v>689.94277</v>
      </c>
      <c r="L202" s="3">
        <f>1005.6+(500.9-808.4)+(0+(0-0))+0-6-0</f>
        <v>692.1</v>
      </c>
      <c r="M202" s="3">
        <f>990.1+(505.5-767.2)+(-1.009902+(-0.51561--0.782544))+0-6--0.00612000000000096</f>
        <v>721.66315199999997</v>
      </c>
      <c r="N202" s="3">
        <f>1087.3+(426.7-722.7)+(1.663569+(0.652851-1.105731))+0-5-0.00765000000000029</f>
        <v>787.50303899999994</v>
      </c>
      <c r="O202" s="3">
        <f>1199.1+(398.5-738.9)+(0.611541+(0.203235-0.376839))+0-5-0.00254999999999949</f>
        <v>854.13538699999992</v>
      </c>
      <c r="P202" s="3">
        <f>1187.1+(427.4-719.2)+(0+(0-0))+0-5-0</f>
        <v>890.29999999999984</v>
      </c>
      <c r="Q202" s="3">
        <f>1173.2+(485.6-742.9)+(-1.196664+(-0.495312--0.757758))+0-5--0.0051000000000008</f>
        <v>909.97088200000007</v>
      </c>
      <c r="R202" s="3">
        <f>1154.2+(528.1-786.2)+(0+(0-0))+0-6-0</f>
        <v>890.1</v>
      </c>
      <c r="S202" s="3">
        <f>1146.5+(547.8-812.8)+(0.584715+(0.279378-0.414528))+0-6-0.00305999999999939</f>
        <v>875.946505</v>
      </c>
      <c r="T202" s="3">
        <f>1153.3+(516.5-796.1)+(-1.176366+(-0.52683--0.812022))+0-6--0.00612000000000096</f>
        <v>866.81494599999996</v>
      </c>
      <c r="U202" s="3">
        <f>1132.7+(494.1-733.7)+(-2.888385+(-1.259955--1.870935))+0-6--0.0152999999999991</f>
        <v>884.837895</v>
      </c>
      <c r="V202" s="3">
        <f>1052.9+(490.4-670.8)+(-1.073958+(-0.500208--0.684216))+0-6--0.00612000000000096</f>
        <v>865.61617000000012</v>
      </c>
      <c r="W202" s="3">
        <f>1092.1+(557.9-757.1)+(0.556971+(0.284529-0.386121))+0-6-0.00305999999999939</f>
        <v>887.35231899999985</v>
      </c>
      <c r="X202" s="3">
        <f>1150.2+(571.5-695.5)+(-1.173204+(-0.58293--0.70941))+0-6--0.00612000000000096</f>
        <v>1019.159396</v>
      </c>
      <c r="Y202" s="3">
        <f>1219.7+(596.7-757.9)+(0+(0-0))+0-6-0</f>
        <v>1052.5</v>
      </c>
      <c r="Z202" s="3">
        <f>1230.3+(586.4-800.5)+(-0.627453+(-0.299064--0.408255))+0-6--0.00305999999999939</f>
        <v>1009.6847979999999</v>
      </c>
      <c r="AA202" s="3">
        <f>1204.2+(646.7-860.2)+(-0.614142+(-0.329817--0.438702))+0-6--0.00305999999999939</f>
        <v>984.19780300000002</v>
      </c>
      <c r="AB202" s="3">
        <f>1158.7+(719.9-934)+(-2.363748+(-1.468596--1.90536))+0-6--0.0122399999999997</f>
        <v>936.68525600000009</v>
      </c>
      <c r="AC202" s="3">
        <f>1164.8+(688.6-968.7)+(0+(0-0))+0-6-0</f>
        <v>878.69999999999993</v>
      </c>
      <c r="AD202" s="2">
        <v>1065.9000000000001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1165.2+(692.1-1036.1)+(0+(0-0))+0-6-0</f>
        <v>815.20000000000016</v>
      </c>
      <c r="G203" s="3">
        <f>1167.2+(682.8-1073.2)+(0.595272+(0.348228-0.547332))+0-6-0.00305999999999939</f>
        <v>771.19310799999994</v>
      </c>
      <c r="H203" s="3">
        <f>1168.8+(618.1-1039.5)+(0.596088+(0.315231-0.530145))+0-6-0.00305999999999939</f>
        <v>741.77811399999996</v>
      </c>
      <c r="I203" s="3">
        <f>1170.6+(538.9-992.3)+(1.194012+(0.549678-1.012146))+0-6-0.00612000000000096</f>
        <v>711.92542399999991</v>
      </c>
      <c r="J203" s="3">
        <f>1168.2+(521.6-981.3)+(-1.191564+(-0.532032--1.000926))+0-6--0.00612000000000096</f>
        <v>701.78345000000013</v>
      </c>
      <c r="K203" s="3">
        <f>1166.9+(498.8-960.1)+(-1.190238+(-0.508776--0.979302))+0-6--0.00612000000000096</f>
        <v>698.88640800000019</v>
      </c>
      <c r="L203" s="3">
        <f>1174.4+(468.1-935.2)+(2.99472+(1.193655-2.38476))+0-5-0.0127499999999993</f>
        <v>704.09086500000012</v>
      </c>
      <c r="M203" s="3">
        <f>1170.2+(402.8-828.1)+(0.596802+(0.205428-0.422331))+0-5-0.00254999999999949</f>
        <v>740.27734900000007</v>
      </c>
      <c r="N203" s="3">
        <f>1181.3+(481.3-840.3)+(1.204926+(0.490926-0.857106))+0-5-0.0051000000000008</f>
        <v>818.133646</v>
      </c>
      <c r="O203" s="3">
        <f>1176.3+(453.6-777.1)+(1.799739+(0.694008-1.188963))+0-5-0.00765000000000029</f>
        <v>849.09713399999998</v>
      </c>
      <c r="P203" s="3">
        <f>1166+(393.4-699)+(0.59466+(0.200634-0.35649))+0-5-0.00254999999999949</f>
        <v>855.83625399999994</v>
      </c>
      <c r="Q203" s="3">
        <f>1159.2+(396.7-674.7)+(0+(0-0))+0-5-0</f>
        <v>876.2</v>
      </c>
      <c r="R203" s="3">
        <f>1152.4+(449.8-731)+(-0.587724+(-0.229398--0.37281))+0-6--0.00305999999999939</f>
        <v>864.75874800000008</v>
      </c>
      <c r="S203" s="3">
        <f>1149.8+(496.6-770.3)+(1.759194+(0.759798-1.178559))+0-6-0.00918000000000035</f>
        <v>871.43125299999997</v>
      </c>
      <c r="T203" s="3">
        <f>1145.2+(503.8-784.3)+(0.584052+(0.256938-0.399993))+0-6-0.00305999999999939</f>
        <v>859.13793700000008</v>
      </c>
      <c r="U203" s="3">
        <f>1153.3+(481.5-772)+(-3.529098+(-1.47339--2.36232))+0-6--0.0183600000000007</f>
        <v>854.17819199999997</v>
      </c>
      <c r="V203" s="3">
        <f>1182.5+(459-771.2)+(-2.4123+(-0.93636--1.573248))+0-6--0.0122399999999997</f>
        <v>862.53682800000001</v>
      </c>
      <c r="W203" s="3">
        <f>1190.3+(433-714.7)+(0+(0-0))+0-6-0</f>
        <v>902.59999999999991</v>
      </c>
      <c r="X203" s="3">
        <f>1189.5+(532.4-694.6)+(-0.606645+(-0.271524--0.354246))+0-6--0.00305999999999939</f>
        <v>1020.779137</v>
      </c>
      <c r="Y203" s="3">
        <f>1192.5+(588.7-724.3)+(-0.608175+(-0.300237--0.369393))+0-6--0.00305999999999939</f>
        <v>1050.364041</v>
      </c>
      <c r="Z203" s="3">
        <f>1197.4+(614.4-777.7)+(-1.221348+(-0.626688--0.793254))+0-6--0.00612000000000096</f>
        <v>1027.051338</v>
      </c>
      <c r="AA203" s="3">
        <f>1202.7+(643.7-851.5)+(-2.453508+(-1.313148--1.73706))+0-6--0.0122399999999997</f>
        <v>986.88264400000014</v>
      </c>
      <c r="AB203" s="3">
        <f>1215.1+(577.5-856.2)+(1.239402+(0.58905-0.873324))+0-6-0.00612000000000096</f>
        <v>931.3490079999998</v>
      </c>
      <c r="AC203" s="3">
        <f>1219.7+(585.7-945.7)+(-0.622047+(-0.298707--0.482307))+0-6--0.00305999999999939</f>
        <v>853.26461300000005</v>
      </c>
      <c r="AD203" s="2">
        <v>1044.6999999999998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1227.9+(537-972.7)+(-1.878687+(-0.82161--1.488231))+0-7--0.0107100000000004</f>
        <v>783.99864400000001</v>
      </c>
      <c r="G204" s="3">
        <f>1227+(525.1-996.3)+(-3.12885+(-1.339005--2.540565))+0-7--0.017849999999999</f>
        <v>746.89056000000005</v>
      </c>
      <c r="H204" s="3">
        <f>1231.9+(511.7-1003.7)+(-3.141345+(-1.304835--2.559435))+0-7--0.017849999999999</f>
        <v>731.03110500000003</v>
      </c>
      <c r="I204" s="3">
        <f>1232.9+(540.9-1038)+(-1.886337+(-0.827577--1.58814))+0-6--0.00918000000000035</f>
        <v>728.6834060000001</v>
      </c>
      <c r="J204" s="3">
        <f>1227.1+(515.3-1026.6)+(-1.251642+(-0.525606--1.047132))+0-6--0.00612000000000096</f>
        <v>709.07600400000001</v>
      </c>
      <c r="K204" s="3">
        <f>1226.5+(497.2-1001)+(-1.876545+(-0.760716--1.53153))+0-6--0.00918000000000035</f>
        <v>715.60344900000007</v>
      </c>
      <c r="L204" s="3">
        <f>1236.4+(418.9-927.6)+(-1.261128+(-0.427278--0.946152))+0-5--0.0051000000000008</f>
        <v>721.96284600000001</v>
      </c>
      <c r="M204" s="3">
        <f>1233.6+(313-787.6)+(-0.629136+(-0.15963--0.401676))+0-5--0.00254999999999949</f>
        <v>753.61545999999998</v>
      </c>
      <c r="N204" s="3">
        <f>1212.2+(316-713)+(-0.618222+(-0.16116--0.36363))+0-5--0.00254999999999949</f>
        <v>809.78679800000009</v>
      </c>
      <c r="O204" s="3">
        <f>1201.4+(335.1-684.2)+(0+(0-0))+0-5-0</f>
        <v>847.30000000000007</v>
      </c>
      <c r="P204" s="3">
        <f>1191.3+(342.6-651.9)+(1.215126+(0.349452-0.664938))+0-5-0.0051000000000008</f>
        <v>877.89454000000001</v>
      </c>
      <c r="Q204" s="3">
        <f>1183.4+(368.4-683.4)+(-0.603534+(-0.187884--0.348534))+0-5--0.00254999999999949</f>
        <v>862.95966600000008</v>
      </c>
      <c r="R204" s="3">
        <f>1174.2+(431.1-739)+(0.598842+(0.219861-0.37689))+0-5-0.00254999999999949</f>
        <v>861.73926300000005</v>
      </c>
      <c r="S204" s="3">
        <f>1172.8+(479.5-802)+(-1.794384+(-0.733635--1.22706))+0-5--0.00765000000000029</f>
        <v>844.00669099999993</v>
      </c>
      <c r="T204" s="3">
        <f>1171+(471.2-794.1)+(-0.59721+(-0.240312--0.404991))+0-5--0.00254999999999949</f>
        <v>842.67001899999991</v>
      </c>
      <c r="U204" s="3">
        <f>1167.7+(459.6-795.6)+(-2.977635+(-1.17198--2.02878))+0-5--0.0127499999999993</f>
        <v>824.59191499999997</v>
      </c>
      <c r="V204" s="3">
        <f>1174.7+(457-785)+(-1.797291+(-0.69921--1.20105))+0-5--0.00765000000000029</f>
        <v>840.4121990000001</v>
      </c>
      <c r="W204" s="3">
        <f>1176.3+(442.8-753.8)+(-0.599913+(-0.225828--0.384438))+0-5--0.00254999999999949</f>
        <v>859.86124700000005</v>
      </c>
      <c r="X204" s="3">
        <f>1189.2+(485.8-654.4)+(-3.03246+(-1.23879--1.66872))+0-6--0.0152999999999991</f>
        <v>1012.0127700000002</v>
      </c>
      <c r="Y204" s="3">
        <f>1180.4+(493.7-627.7)+(-2.408016+(-1.007148--1.280508))+0-6--0.0122399999999997</f>
        <v>1038.2775840000002</v>
      </c>
      <c r="Z204" s="3">
        <f>1181.5+(489.6-655.1)+(-1.20513+(-0.499392--0.668202))+0-6--0.00612000000000096</f>
        <v>1008.9698</v>
      </c>
      <c r="AA204" s="3">
        <f>1213.9+(582.8-803.3)+(-1.857267+(-0.891684--1.229049))+0-6--0.00918000000000035</f>
        <v>985.8892780000001</v>
      </c>
      <c r="AB204" s="3">
        <f>1211.9+(572.2-850)+(-2.472276+(-1.167288--1.734))+0-6--0.0122399999999997</f>
        <v>926.20667600000013</v>
      </c>
      <c r="AC204" s="3">
        <f>1208.7+(579.7-920.5)+(-3.082185+(-1.478235--2.347275))+0-6--0.0152999999999991</f>
        <v>859.70215500000006</v>
      </c>
      <c r="AD204" s="2">
        <v>1037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1210.5+(548.7-969.2)+(-2.46942+(-1.119348--1.977168))+0-6--0.0122399999999997</f>
        <v>782.40064000000007</v>
      </c>
      <c r="G205" s="3">
        <f>1214.5+(594.1-1041.4)+(-1.858185+(-0.908973--1.593342))+0-6--0.00918000000000035</f>
        <v>760.03536399999996</v>
      </c>
      <c r="H205" s="3">
        <f>1221.6+(506.1-1003)+(-1.246032+(-0.516222--1.02306))+0-6--0.00612000000000096</f>
        <v>717.96692599999994</v>
      </c>
      <c r="I205" s="3">
        <f>1235.4+(478.3-996.3)+(0.630054+(0.243933-0.508113))+0-6-0.00305999999999939</f>
        <v>711.76281400000005</v>
      </c>
      <c r="J205" s="3">
        <f>1239+(456-980.1)+(0+(0-0))+0-6-0</f>
        <v>708.9</v>
      </c>
      <c r="K205" s="3">
        <f>1242.5+(412.2-953.2)+(-0.633675+(-0.210222--0.486132))+0-6--0.00305999999999939</f>
        <v>695.14529500000003</v>
      </c>
      <c r="L205" s="3">
        <f>1121.2+(414.6-834.7)+(-0.571812+(-0.211446--0.425697))+0-6--0.00305999999999939</f>
        <v>694.745499</v>
      </c>
      <c r="M205" s="3">
        <f>1119.6+(328.3-727)+(0.570996+(0.167433-0.37077))+0-6-0.00305999999999939</f>
        <v>715.26459899999986</v>
      </c>
      <c r="N205" s="3">
        <f>1139.5+(334.8-679.8)+(-0.581145+(-0.170748--0.346698))+0-6--0.00305999999999939</f>
        <v>788.09786499999996</v>
      </c>
      <c r="O205" s="3">
        <f>1165.8+(331.9-667.5)+(0+(0-0))+0-6-0</f>
        <v>824.19999999999993</v>
      </c>
      <c r="P205" s="3">
        <f>1164.1+(318.2-649)+(0.593691+(0.162282-0.33099))+0-6-0.00305999999999939</f>
        <v>827.72192299999995</v>
      </c>
      <c r="Q205" s="3">
        <f>1169.6+(331.1-622.8)+(1.192992+(0.337722-0.635256))+0-6-0.00612000000000096</f>
        <v>872.78933799999993</v>
      </c>
      <c r="R205" s="3">
        <f>1162.6+(355.8-668.9)+(-0.592926+(-0.181458--0.341139))+0-5--0.00254999999999949</f>
        <v>844.06930499999999</v>
      </c>
      <c r="S205" s="3">
        <f>1144.5+(415-748.2)+(-3.50217+(-1.2699--2.289492))+0-5--0.0153000000000006</f>
        <v>803.83272199999999</v>
      </c>
      <c r="T205" s="3">
        <f>1136.7+(471.4-774.7)+(-1.739151+(-0.721242--1.185291))+0-5--0.00765000000000029</f>
        <v>827.13254800000004</v>
      </c>
      <c r="U205" s="3">
        <f>1153+(488.2-804)+(-1.76409+(-0.746946--1.23012))+0-5--0.00765000000000029</f>
        <v>830.92673400000001</v>
      </c>
      <c r="V205" s="3">
        <f>1149.6+(453.9-786)+(-1.758888+(-0.694467--1.20258))+0-5--0.00765000000000029</f>
        <v>811.25687499999992</v>
      </c>
      <c r="W205" s="3">
        <f>1164.4+(531.7-826.5)+(0+(0-0))+0-5-0</f>
        <v>864.60000000000014</v>
      </c>
      <c r="X205" s="3">
        <f>1197.2+(479.1-655)+(-2.442288+(-0.977364--1.3362))+0-5--0.0101999999999998</f>
        <v>1014.2267480000002</v>
      </c>
      <c r="Y205" s="3">
        <f>1206.6+(522.1-683.6)+(-3.07683+(-1.331355--1.74318))+0-5--0.0127499999999993</f>
        <v>1037.4477449999999</v>
      </c>
      <c r="Z205" s="3">
        <f>1167.8+(569.6-726.4)+(-2.97789+(-1.45248--1.85232))+0-5--0.0127499999999993</f>
        <v>1003.4347</v>
      </c>
      <c r="AA205" s="3">
        <f>1153.7+(539.4-717.1)+(-1.176774+(-0.550188--0.731442))+0-5--0.0051000000000008</f>
        <v>970.00957999999991</v>
      </c>
      <c r="AB205" s="3">
        <f>1158.6+(495.5-728)+(-1.181772+(-0.50541--0.74256))+0-5--0.0051000000000008</f>
        <v>920.1604779999999</v>
      </c>
      <c r="AC205" s="3">
        <f>1161.2+(481.2-776.9)+(-1.776636+(-0.736236--1.188657))+0-5--0.00765000000000029</f>
        <v>859.18343500000003</v>
      </c>
      <c r="AD205" s="2">
        <v>1037.5999999999999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1164+(553.9-912.1)+(0+(0-0))+0-5-0</f>
        <v>800.8</v>
      </c>
      <c r="G206" s="3">
        <f>1164.5+(588.3-981.3)+(-1.781685+(-0.900099--1.501389))+0-5--0.00765000000000029</f>
        <v>765.32725500000004</v>
      </c>
      <c r="H206" s="3">
        <f>1167.8+(615.3-1030.6)+(-1.786734+(-0.941409--1.576818))+0-5--0.00765000000000029</f>
        <v>746.35632499999997</v>
      </c>
      <c r="I206" s="3">
        <f>1171.3+(582.2-1020.7)+(0+(0-0))+0-5-0</f>
        <v>727.8</v>
      </c>
      <c r="J206" s="3">
        <f>1173.8+(562.3-1007.2)+(1.197276+(0.573546-1.027344))+0-5-0.0051000000000008</f>
        <v>724.63837799999988</v>
      </c>
      <c r="K206" s="3">
        <f>1172.9+(537.4-984.8)+(1.196358+(0.548148-1.004496))+0-5-0.0051000000000008</f>
        <v>721.23491000000013</v>
      </c>
      <c r="L206" s="3">
        <f>1021.7+(568.1-894.7)+(1.042134+(0.579462-0.912594))+0-6-0.00612000000000096</f>
        <v>689.80288200000007</v>
      </c>
      <c r="M206" s="3">
        <f>1173.9+(394.5-837.7)+(0+(0-0))+0-6-0</f>
        <v>724.7</v>
      </c>
      <c r="N206" s="3">
        <f>1219.3+(304.5-733.8)+(0+(0-0))+0-6-0</f>
        <v>784</v>
      </c>
      <c r="O206" s="3">
        <f>1194.7+(323.4-687.6)+(0+(0-0))+0-6-0</f>
        <v>824.5</v>
      </c>
      <c r="P206" s="3">
        <f>1186.4+(341.6-663)+(0+(0-0))+0-7-0</f>
        <v>858.00000000000011</v>
      </c>
      <c r="Q206" s="3">
        <f>1181.7+(387.6-678.7)+(0+(0-0))+0-7-0</f>
        <v>883.6</v>
      </c>
      <c r="R206" s="3">
        <f>1162+(445.5-738.4)+(0+(0-0))+0-6-0</f>
        <v>863.1</v>
      </c>
      <c r="S206" s="3">
        <f>1157.7+(487.5-793.5)+(0+(0-0))+0-6-0</f>
        <v>845.7</v>
      </c>
      <c r="T206" s="3">
        <f>1152.1+(508.9-814.1)+(1.175142+(0.519078-0.830382))+0-6-0.00612000000000096</f>
        <v>841.75771799999984</v>
      </c>
      <c r="U206" s="3">
        <f>1136+(500-791.6)+(-2.31744+(-1.02--1.614864))+0-6--0.0122399999999997</f>
        <v>836.68966399999999</v>
      </c>
      <c r="V206" s="3">
        <f>1141.7+(376.9-680.9)+(0+(0-0))+0-6-0</f>
        <v>831.7</v>
      </c>
      <c r="W206" s="3">
        <f>1156.6+(427.5-706)+(0.589866+(0.218025-0.36006))+0-6-0.00305999999999939</f>
        <v>872.54477099999986</v>
      </c>
      <c r="X206" s="3">
        <f>1156.8+(532.9-682)+(-2.94984+(-1.358895--1.7391))+0-6--0.0152999999999991</f>
        <v>999.14566500000001</v>
      </c>
      <c r="Y206" s="3">
        <f>1178.4+(586.6-749.2)+(-3.00492+(-1.49583--1.91046))+0-6--0.0152999999999991</f>
        <v>1007.2250100000001</v>
      </c>
      <c r="Z206" s="3">
        <f>1191.3+(550.7-740.8)+(-0.607563+(-0.280857--0.377808))+0-6--0.00305999999999939</f>
        <v>994.69244800000001</v>
      </c>
      <c r="AA206" s="3">
        <f>1201.2+(555.6-793.1)+(-0.612612+(-0.283356--0.404481))+0-6--0.00305999999999939</f>
        <v>957.21157300000004</v>
      </c>
      <c r="AB206" s="3">
        <f>1226.7+(518.1-806.9)+(0+(0-0))+0-6-0</f>
        <v>931.90000000000009</v>
      </c>
      <c r="AC206" s="3">
        <f>1233.5+(518.8-889.9)+(-1.887255+(-0.793764--1.361547))+0-6--0.00918000000000035</f>
        <v>855.08970799999997</v>
      </c>
      <c r="AD206" s="2">
        <v>1021.9000000000001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1280.8+(586.3-1043.7)+(-2.612832+(-1.196052--2.129148))+0-5--0.0101999999999998</f>
        <v>816.73046399999987</v>
      </c>
      <c r="G207" s="3">
        <f>1212.3+(571-1003.2)+(-2.473092+(-1.16484--2.046528))+0-5--0.0101999999999998</f>
        <v>773.51879599999995</v>
      </c>
      <c r="H207" s="3">
        <f>1082.3+(567.5-905.6)+(-1.655919+(-0.868275--1.385568))+0-5--0.00765000000000029</f>
        <v>738.0690239999999</v>
      </c>
      <c r="I207" s="3">
        <f>1100.2+(481.7-865.2)+(-0.561102+(-0.245667--0.441252))+0-5--0.00254999999999949</f>
        <v>711.33703300000013</v>
      </c>
      <c r="J207" s="3">
        <f>1119.8+(464.3-883.9)+(1.142196+(0.473586-0.901578))+0-5-0.0051000000000008</f>
        <v>695.90910400000007</v>
      </c>
      <c r="K207" s="3">
        <f>1055.9+(480.4-835.8)+(-2.154036+(-0.980016--1.705032))+0-5--0.0101999999999998</f>
        <v>694.08118000000013</v>
      </c>
      <c r="L207" s="3">
        <f>994+(494.8-820.9)+(0.50694+(0.252348-0.418659))+0-5-0.00254999999999949</f>
        <v>663.23807900000008</v>
      </c>
      <c r="M207" s="3">
        <f>1075.1+(401.2-791.3)+(0+(0-0))+0-6-0</f>
        <v>679</v>
      </c>
      <c r="N207" s="3">
        <f>1099.1+(326.9-681.5)+(-0.560541+(-0.166719--0.347565))+0-6--0.00305999999999939</f>
        <v>738.12336499999992</v>
      </c>
      <c r="O207" s="3">
        <f>1116.1+(276.9-615.5)+(0.569211+(0.141219-0.313905))+0-6-0.00305999999999939</f>
        <v>771.89346499999988</v>
      </c>
      <c r="P207" s="3">
        <f>1334.3+(222.1-742.2)+(0+(0-0))+0-6-0</f>
        <v>808.19999999999993</v>
      </c>
      <c r="Q207" s="3">
        <f>1411.6+(221.5-798.5)+(0.719916+(0.112965-0.407235))+0-6-0.00305999999999939</f>
        <v>829.02258599999993</v>
      </c>
      <c r="R207" s="3">
        <f>1415.7+(275.4-876.9)+(0+(0-0))+0-6-0</f>
        <v>808.2</v>
      </c>
      <c r="S207" s="3">
        <f>1400.8+(344.5-943.5)+(-2.857632+(-0.70278--1.92474))+0-6--0.0122399999999997</f>
        <v>794.17656799999997</v>
      </c>
      <c r="T207" s="3">
        <f>1310.1+(383.4-886.3)+(-2.672604+(-0.782136--1.808052))+0-6--0.0122399999999997</f>
        <v>799.56555199999991</v>
      </c>
      <c r="U207" s="3">
        <f>1271.8+(362.6-832.4)+(-2.594472+(-0.739704--1.698096))+0-6--0.0122399999999997</f>
        <v>794.37616000000003</v>
      </c>
      <c r="V207" s="3">
        <f>1255.5+(362.3-821.7)+(-1.920915+(-0.554319--1.257201))+0-6--0.00918000000000035</f>
        <v>788.89114699999993</v>
      </c>
      <c r="W207" s="3">
        <f>1302.3+(287.2-763.5)+(0.664173+(0.146472-0.389385))+0-6-0.00305999999999939</f>
        <v>820.41819999999996</v>
      </c>
      <c r="X207" s="3">
        <f>1424.9+(288.8-740.2)+(-2.180097+(-0.441864--1.132506))+0-6--0.00918000000000035</f>
        <v>966.01972499999999</v>
      </c>
      <c r="Y207" s="3">
        <f>1594.3+(232.9-826.4)+(-4.065465+(-0.593895--2.10732))+0-5--0.0127499999999993</f>
        <v>993.2607099999999</v>
      </c>
      <c r="Z207" s="3">
        <f>1626.8+(251.7-891.6)+(-2.489004+(-0.385101--1.364148))+0-5--0.00765000000000029</f>
        <v>980.39769299999989</v>
      </c>
      <c r="AA207" s="3">
        <f>1626.9+(273.9-929.4)+(-3.318876+(-0.558756--1.895976))+0-5--0.0101999999999998</f>
        <v>964.4285440000001</v>
      </c>
      <c r="AB207" s="3">
        <f>1503.6+(354.6-933.4)+(-3.067344+(-0.723384--1.904136))+0-5--0.0101999999999998</f>
        <v>917.92360800000006</v>
      </c>
      <c r="AC207" s="3">
        <f>1388+(462.6-984.9)+(-3.5394+(-1.17963--2.511495))+0-5--0.0127499999999993</f>
        <v>858.50521500000002</v>
      </c>
      <c r="AD207" s="2">
        <v>1019.5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1283.3+(475.5-971.4)+(-1.963449+(-0.727515--1.486242))+0-5--0.00765000000000029</f>
        <v>781.20292800000004</v>
      </c>
      <c r="G208" s="3">
        <f>1287.8+(549.1-1074.9)+(-1.970334+(-0.840123--1.644597))+0-5--0.00765000000000029</f>
        <v>755.84178999999995</v>
      </c>
      <c r="H208" s="3">
        <f>1249.4+(585.6-1095.7)+(-3.18597+(-1.49328--2.794035))+0-5--0.0127499999999993</f>
        <v>732.42753500000003</v>
      </c>
      <c r="I208" s="3">
        <f>1255.5+(566.2-1085.7)+(-0.640305+(-0.288762--0.553707))+0-5--0.00254999999999949</f>
        <v>730.62719000000004</v>
      </c>
      <c r="J208" s="3">
        <f>1256.2+(526.3-1063.5)+(-0.640662+(-0.268413--0.542385))+0-5--0.00254999999999949</f>
        <v>713.63586000000009</v>
      </c>
      <c r="K208" s="3">
        <f>1256.7+(494.6-1024.5)+(-1.281834+(-0.504492--1.04499))+0-5--0.0051000000000008</f>
        <v>721.06376399999999</v>
      </c>
      <c r="L208" s="3">
        <f>1179.8+(494.9-947.9)+(-0.601698+(-0.252399--0.483429))+0-6--0.00305999999999939</f>
        <v>720.43239199999994</v>
      </c>
      <c r="M208" s="3">
        <f>1171.8+(512-949.7)+(1.195236+(0.52224-0.968694))+0-6-0.00612000000000096</f>
        <v>728.8426619999999</v>
      </c>
      <c r="N208" s="3">
        <f>1280.3+(413.8-863.8)+(-1.958859+(-0.633114--1.321614))+0-6--0.00918000000000035</f>
        <v>823.03882099999998</v>
      </c>
      <c r="O208" s="3">
        <f>1002.8+(370.1-524.6)+(0+(0-0))+0-6-0</f>
        <v>842.3</v>
      </c>
      <c r="P208" s="3">
        <f>1044.5+(361.3-534.3)+(0+(0-0))+0-6-0</f>
        <v>865.5</v>
      </c>
      <c r="Q208" s="3">
        <f>1064.1+(315.6-509.1)+(0+(0-0))+0-6-0</f>
        <v>864.59999999999991</v>
      </c>
      <c r="R208" s="3">
        <f>1071.2+(344.3-569.2)+(0+(0-0))+0-6-0</f>
        <v>840.3</v>
      </c>
      <c r="S208" s="3">
        <f>1073.9+(467.5-735.8)+(0+(0-0))+0-6-0</f>
        <v>799.60000000000014</v>
      </c>
      <c r="T208" s="3">
        <f>1336.9+(443.2-923.2)+(0+(0-0))+0-6-0</f>
        <v>850.90000000000009</v>
      </c>
      <c r="U208" s="3">
        <f>1342.4+(424.1-903.3)+(0+(0-0))+0-6-0</f>
        <v>857.20000000000016</v>
      </c>
      <c r="V208" s="3">
        <f>1339+(380.6-864.8)+(0+(0-0))+0-6-0</f>
        <v>848.80000000000007</v>
      </c>
      <c r="W208" s="3">
        <f>1344.8+(293.2-770.5)+(0+(0-0))+0-6-0</f>
        <v>861.5</v>
      </c>
      <c r="X208" s="3">
        <f>1342.8+(356.2-686.2)+(0+(0-0))+0-6-0</f>
        <v>1006.8</v>
      </c>
      <c r="Y208" s="3">
        <f>1350+(349.2-680.5)+(0+(0-0))+0-6-0</f>
        <v>1012.7</v>
      </c>
      <c r="Z208" s="3">
        <f>1352.1+(367.9-727.2)+(0+(0-0))+0-6-0</f>
        <v>986.79999999999984</v>
      </c>
      <c r="AA208" s="3">
        <f>1369.8+(348.9-749)+(0+(0-0))+0-6-0</f>
        <v>963.69999999999993</v>
      </c>
      <c r="AB208" s="3">
        <f>1355.7+(402.4-806.3)+(0+(0-0))+0-6-0</f>
        <v>945.80000000000007</v>
      </c>
      <c r="AC208" s="3">
        <f>1257.1+(343.9-747.3)+(0+(0-0))+0-6-0</f>
        <v>847.69999999999993</v>
      </c>
      <c r="AD208" s="2">
        <v>1034.4000000000001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1261.6+(413.3-899.1)+(-1.930248+(-0.632349--1.375623))+0-6--0.00918000000000035</f>
        <v>768.62220600000001</v>
      </c>
      <c r="G209" s="3">
        <f>1266.8+(456.2-978.1)+(0.646068+(0.232662-0.498831))+0-6-0.00305999999999939</f>
        <v>739.27683899999988</v>
      </c>
      <c r="H209" s="3">
        <f>1174.3+(480-940.3)+(-1.197786+(-0.4896--0.959106))+0-6--0.00612000000000096</f>
        <v>707.27783999999997</v>
      </c>
      <c r="I209" s="3">
        <f>1194.5+(429.3-929.2)+(-0.609195+(-0.218943--0.473892))+0-6--0.00305999999999939</f>
        <v>688.24881399999992</v>
      </c>
      <c r="J209" s="3">
        <f>1242.9+(407-955.7)+(-1.901637+(-0.62271--1.462221))+0-6--0.00918000000000035</f>
        <v>687.14705400000003</v>
      </c>
      <c r="K209" s="3">
        <f>1243.6+(403.7-930.5)+(-0.634236+(-0.205887--0.474555))+0-6--0.00305999999999939</f>
        <v>710.43749199999991</v>
      </c>
      <c r="L209" s="3">
        <f>1020.9+(425-751.4)+(0+(0-0))+0-6-0</f>
        <v>688.5</v>
      </c>
      <c r="M209" s="3">
        <f>916.8+(434.3-650.8)+(0.935136+(0.442986-0.663816))+0-6-0.00612000000000096</f>
        <v>695.00818599999991</v>
      </c>
      <c r="N209" s="3">
        <f>941.3+(456.6-626.6)+(0.960126+(0.465732-0.639132))+0-6-0.00612000000000096</f>
        <v>766.08060599999999</v>
      </c>
      <c r="O209" s="3">
        <f>1062.5+(375.5-635.6)+(-0.541875+(-0.191505--0.324156))+0-6--0.00305999999999939</f>
        <v>795.99383599999999</v>
      </c>
      <c r="P209" s="3">
        <f>1172.1+(312.3-642.7)+(0+(0-0))+0-6-0</f>
        <v>835.69999999999982</v>
      </c>
      <c r="Q209" s="3">
        <f>1195.2+(284.5-621.8)+(-1.828656+(-0.435285--0.951354))+0-6--0.00918000000000035</f>
        <v>850.5965930000001</v>
      </c>
      <c r="R209" s="3">
        <f>1204.7+(321.8-694)+(0+(0-0))+0-6-0</f>
        <v>826.5</v>
      </c>
      <c r="S209" s="3">
        <f>1196.9+(346.2-707.7)+(0+(0-0))+0-6-0</f>
        <v>829.40000000000009</v>
      </c>
      <c r="T209" s="3">
        <f>1196.4+(363.5-722.1)+(0+(0-0))+0-5-0</f>
        <v>832.80000000000007</v>
      </c>
      <c r="U209" s="3">
        <f>1179.5+(370.1-708.8)+(0+(0-0))+0-5-0</f>
        <v>835.80000000000007</v>
      </c>
      <c r="V209" s="3">
        <f>1181.7+(340.9-686.1)+(0+(0-0))+0-6-0</f>
        <v>830.5</v>
      </c>
      <c r="W209" s="3">
        <f>1259.3+(249.3-665.5)+(0+(0-0))+0-6-0</f>
        <v>837.09999999999991</v>
      </c>
      <c r="X209" s="3">
        <f>1274.3+(328.3-612.6)+(0+(0-0))+0-6-0</f>
        <v>984</v>
      </c>
      <c r="Y209" s="3">
        <f>1278.3+(319.7-587.7)+(0+(0-0))+0-6-0</f>
        <v>1004.3</v>
      </c>
      <c r="Z209" s="3">
        <f>1279.3+(301.4-607)+(0+(0-0))+0-6-0</f>
        <v>967.69999999999993</v>
      </c>
      <c r="AA209" s="3">
        <f>1260.3+(323-601.5)+(0+(0-0))+0-6-0</f>
        <v>975.8</v>
      </c>
      <c r="AB209" s="3">
        <f>1200.8+(335.1-637.2)+(0+(0-0))+0-6-0</f>
        <v>892.69999999999993</v>
      </c>
      <c r="AC209" s="3">
        <f>1189.1+(323-675.8)+(0+(0-0))+0-6-0</f>
        <v>830.3</v>
      </c>
      <c r="AD209" s="2">
        <v>1028.5999999999999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1184.5+(343.7-770.3)+(-3.020475+(-0.876435--1.964265))+0-6--0.0152999999999991</f>
        <v>749.98265500000014</v>
      </c>
      <c r="G210" s="3">
        <f>1070.7+(413.8-766.3)+(-2.730285+(-1.05519--1.954065))+0-6--0.0152999999999991</f>
        <v>710.38389000000006</v>
      </c>
      <c r="H210" s="3">
        <f>952.2+(434.3-690.1)+(-0.485622+(-0.221493--0.351951))+0-6--0.00305999999999939</f>
        <v>690.04789600000015</v>
      </c>
      <c r="I210" s="3">
        <f>949.5+(446-715.9)+(-1.452735+(-0.68238--1.095327))+0-6--0.00918000000000035</f>
        <v>672.56939199999999</v>
      </c>
      <c r="J210" s="3">
        <f>955+(447.7-721.1)+(-1.46115+(-0.684981--1.103283))+0-6--0.00918000000000035</f>
        <v>674.56633199999987</v>
      </c>
      <c r="K210" s="3">
        <f>957.7+(411-677.1)+(-0.976854+(-0.41922--0.690642))+0-6--0.00612000000000096</f>
        <v>684.90068800000006</v>
      </c>
      <c r="L210" s="3">
        <f>925.9+(420.9-650.1)+(0+(0-0))+0-6-0</f>
        <v>690.69999999999993</v>
      </c>
      <c r="M210" s="3">
        <f>893.8+(449.1-641.3)+(0+(0-0))+0-6-0</f>
        <v>695.6</v>
      </c>
      <c r="N210" s="3">
        <f>898+(478-606.4)+(0+(0-0))+0-6-0</f>
        <v>763.6</v>
      </c>
      <c r="O210" s="3">
        <f>1046.4+(369.8-601.7)+(0+(0-0))+0-6-0</f>
        <v>808.5</v>
      </c>
      <c r="P210" s="3">
        <f>1070.7+(348.1-574.4)+(0+(0-0))+0-6-0</f>
        <v>838.40000000000009</v>
      </c>
      <c r="Q210" s="3">
        <f>1049.7+(368.3-562.4)+(0+(0-0))+0-6-0</f>
        <v>849.60000000000014</v>
      </c>
      <c r="R210" s="3">
        <f>1046.7+(333.8-560.3)+(0+(0-0))+0-6-0</f>
        <v>814.2</v>
      </c>
      <c r="S210" s="3">
        <f>1031.8+(367.6-569.4)+(-1.052436+(-0.374952--0.580788))+0-6--0.00612000000000096</f>
        <v>823.15952000000004</v>
      </c>
      <c r="T210" s="3">
        <f>1028.1+(417.4-611.6)+(-0.524331+(-0.212874--0.311916))+0-6--0.00305999999999939</f>
        <v>827.47777099999985</v>
      </c>
      <c r="U210" s="3">
        <f>1012.3+(421.3-598.4)+(-2.065092+(-0.859452--1.220736))+0-6--0.0122399999999997</f>
        <v>827.50843200000008</v>
      </c>
      <c r="V210" s="3">
        <f>1028.4+(363.8-561.9)+(-1.048968+(-0.371076--0.573138))+0-6--0.00612000000000096</f>
        <v>823.4592140000002</v>
      </c>
      <c r="W210" s="3">
        <f>1028.4+(391.7-560)+(-1.048968+(-0.399534--0.5712))+0-6--0.00612000000000096</f>
        <v>853.22881800000016</v>
      </c>
      <c r="X210" s="3">
        <f>1082.5+(493.5-570.4)+(-1.656225+(-0.755055--0.872712))+0-6--0.00918000000000035</f>
        <v>998.07061199999998</v>
      </c>
      <c r="Y210" s="3">
        <f>1066+(515.2-571.5)+(-1.63098+(-0.788256--0.874395))+0-6--0.00918000000000035</f>
        <v>1002.164339</v>
      </c>
      <c r="Z210" s="3">
        <f>1040.7+(504.3-569.9)+(-1.592271+(-0.771579--0.871947))+0-6--0.00918000000000035</f>
        <v>967.61727700000017</v>
      </c>
      <c r="AA210" s="3">
        <f>1064.2+(439.7-563.7)+(-2.170968+(-0.896988--1.149948))+0-6--0.0122399999999997</f>
        <v>932.29423200000008</v>
      </c>
      <c r="AB210" s="3">
        <f>1136.2+(360.3-587.4)+(-0.579462+(-0.183753--0.299574))+0-6--0.00305999999999939</f>
        <v>902.63941900000009</v>
      </c>
      <c r="AC210" s="3">
        <f>1019.5+(404.5-583.5)+(-1.559835+(-0.618885--0.892755))+0-6--0.00918000000000035</f>
        <v>833.22321499999998</v>
      </c>
      <c r="AD210" s="2">
        <v>1023.0999999999999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1054.3+(402.8-703.9)+(-0.537693+(-0.205428--0.358989))+0-6--0.00305999999999939</f>
        <v>746.81892800000003</v>
      </c>
      <c r="G211" s="3">
        <f>1057.9+(432.6-783.2)+(0+(0-0))+0-6-0</f>
        <v>701.30000000000007</v>
      </c>
      <c r="H211" s="3">
        <f>1059.7+(457.7-822.5)+(0.540447+(0.233427-0.419475))+0-6-0.00305999999999939</f>
        <v>689.25133900000003</v>
      </c>
      <c r="I211" s="3">
        <f>1057.2+(472.1-828.3)+(1.078344+(0.481542-0.844866))+0-6-0.00612000000000096</f>
        <v>695.70890000000009</v>
      </c>
      <c r="J211" s="3">
        <f>931.9+(494.2-747.6)+(0.950538+(0.504084-0.762552))+0-6-0.00612000000000096</f>
        <v>673.18594999999993</v>
      </c>
      <c r="K211" s="3">
        <f>904.8+(486.9-710.2)+(0+(0-0))+0-6-0</f>
        <v>675.49999999999989</v>
      </c>
      <c r="L211" s="3">
        <f>742.9+(484.8-583.2)+(1.515516+(0.988992-1.189728))+0-6-0.0122399999999997</f>
        <v>639.80254000000002</v>
      </c>
      <c r="M211" s="3">
        <f>797.7+(499.3-570.7)+(-0.813654+(-0.509286--0.582114))+0-6--0.00612000000000096</f>
        <v>719.56529399999999</v>
      </c>
      <c r="N211" s="3">
        <f>1075.4+(316.1-611.4)+(-2.193816+(-0.644844--1.247256))+0-6--0.0122399999999997</f>
        <v>772.52083600000014</v>
      </c>
      <c r="O211" s="3">
        <f>1082.3+(334.4-587.1)+(-1.655919+(-0.511632--0.898263))+0-6--0.00918000000000035</f>
        <v>822.33989199999996</v>
      </c>
      <c r="P211" s="3">
        <f>1076.1+(336.5-562.3)+(-2.744055+(-0.858075--1.433865))+0-6--0.0152999999999991</f>
        <v>842.14703499999996</v>
      </c>
      <c r="Q211" s="3">
        <f>1072.4+(355.9-566.3)+(-1.640772+(-0.544527--0.866439))+0-6--0.00918000000000035</f>
        <v>854.69032000000016</v>
      </c>
      <c r="R211" s="3">
        <f>1037+(342.1-562.6)+(-2.11548+(-0.697884--1.147704))+0-6--0.0122399999999997</f>
        <v>808.84658000000002</v>
      </c>
      <c r="S211" s="3">
        <f>1039.1+(391.5-612.8)+(0.529941+(0.199665-0.312528))+0-6-0.00305999999999939</f>
        <v>812.2140179999999</v>
      </c>
      <c r="T211" s="3">
        <f>1042.8+(368.9-592.3)+(-1.063656+(-0.376278--0.604146))+0-6--0.00612000000000096</f>
        <v>812.57033200000001</v>
      </c>
      <c r="U211" s="3">
        <f>1130.6+(325-637.9)+(-2.88303+(-0.82875--1.626645))+0-6--0.0152999999999991</f>
        <v>809.63016499999992</v>
      </c>
      <c r="V211" s="3">
        <f>1210.6+(229-653.9)+(-1.852218+(-0.35037--1.000467))+0-6--0.00918000000000035</f>
        <v>778.50705899999991</v>
      </c>
      <c r="W211" s="3">
        <f>1171.1+(120-428.6)+(0.597261+(0.0612-0.218586))+0-6-0.00305999999999939</f>
        <v>856.93681499999991</v>
      </c>
      <c r="X211" s="3">
        <f>1049.9+(213.2-263.1)+(-1.606347+(-0.326196--0.402543))+0-6--0.00918000000000035</f>
        <v>992.47918000000004</v>
      </c>
      <c r="Y211" s="3">
        <f>1040.6+(210.4-246.4)+(-2.122824+(-0.429216--0.502656))+0-6--0.0122399999999997</f>
        <v>996.5628559999999</v>
      </c>
      <c r="Z211" s="3">
        <f>1046.7+(214.7-284.3)+(-2.135268+(-0.437988--0.579972))+0-6--0.0122399999999997</f>
        <v>969.11895600000003</v>
      </c>
      <c r="AA211" s="3">
        <f>1041.6+(209.9-309.6)+(-2.65608+(-0.535245--0.78948))+0-6--0.0152999999999991</f>
        <v>933.51345499999991</v>
      </c>
      <c r="AB211" s="3">
        <f>1040.3+(214.8-356.3)+(-2.652765+(-0.54774--0.908565))+0-6--0.0152999999999991</f>
        <v>890.52336000000003</v>
      </c>
      <c r="AC211" s="3">
        <f>1105.1+(254.4-525.8)+(-1.690803+(-0.389232--0.804474))+0-6--0.00918000000000035</f>
        <v>826.43361899999991</v>
      </c>
      <c r="AD211" s="2">
        <v>999.7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1074.5+(379.8-659.2)+(-1.643985+(-0.581094--1.008576))+0-6--0.00918000000000035</f>
        <v>787.89267699999994</v>
      </c>
      <c r="G212" s="3">
        <f>1056.2+(437.6-734.3)+(-1.615986+(-0.669528--1.123479))+0-6--0.00918000000000035</f>
        <v>752.34714500000018</v>
      </c>
      <c r="H212" s="3">
        <f>995.9+(448.9-702.2)+(-1.015818+(-0.457878--0.716244))+0-6--0.00612000000000096</f>
        <v>735.84866799999998</v>
      </c>
      <c r="I212" s="3">
        <f>985.6+(453.3-712.4)+(-0.502656+(-0.231183--0.363324))+0-6--0.00305999999999939</f>
        <v>720.13254500000005</v>
      </c>
      <c r="J212" s="3">
        <f>894.5+(374.6-588.3)+(0.456195+(0.191046-0.300033))+0-6-0.00305999999999939</f>
        <v>675.14414800000009</v>
      </c>
      <c r="K212" s="3">
        <f>765.8+(354.7-429.4)+(0.390558+(0.180897-0.218994))+0-6-0.00305999999999939</f>
        <v>685.44940099999985</v>
      </c>
      <c r="L212" s="3">
        <f>731.7+(221-315)+(-0.373167+(-0.11271--0.16065))+0-6--0.00305999999999939</f>
        <v>631.37783300000001</v>
      </c>
      <c r="M212" s="3">
        <f>779+(188.7-244.2)+(0+(0-0))+0-6-0</f>
        <v>717.5</v>
      </c>
      <c r="N212" s="3">
        <f>874.4+(174.2-271.8)+(-1.337832+(-0.266526--0.415854))+0-6--0.00918000000000035</f>
        <v>769.620676</v>
      </c>
      <c r="O212" s="3">
        <f>1018.9+(143.7-356.9)+(-0.519639+(-0.073287--0.182019))+0-6--0.00305999999999939</f>
        <v>799.2921530000001</v>
      </c>
      <c r="P212" s="3">
        <f>1053.7+(127-348.1)+(-1.074774+(-0.12954--0.355062))+0-6--0.00612000000000096</f>
        <v>825.75686800000005</v>
      </c>
      <c r="Q212" s="3">
        <f>1148.8+(91.5-399.4)+(-1.171776+(-0.09333--0.407388))+0-6--0.00612000000000096</f>
        <v>834.04840200000001</v>
      </c>
      <c r="R212" s="3">
        <f>1178.4+(100.2-461.1)+(-0.600984+(-0.051102--0.235161))+0-6--0.00305999999999939</f>
        <v>811.08613500000001</v>
      </c>
      <c r="S212" s="3">
        <f>1178.5+(155.6-530.3)+(-1.803105+(-0.238068--0.811359))+0-6--0.00918000000000035</f>
        <v>796.57936600000005</v>
      </c>
      <c r="T212" s="3">
        <f>1184.8+(229.5-590.7)+(-1.812744+(-0.351135--0.903771))+0-6--0.00918000000000035</f>
        <v>816.34907199999998</v>
      </c>
      <c r="U212" s="3">
        <f>1204.1+(313.9-660.5)+(-1.842273+(-0.480267--1.010565))+0-6--0.00918000000000035</f>
        <v>850.19720499999994</v>
      </c>
      <c r="V212" s="3">
        <f>1160.7+(314.7-584.2)+(1.183914+(0.320994-0.595884))+0-6-0.00612000000000096</f>
        <v>886.10290400000008</v>
      </c>
      <c r="W212" s="3">
        <f>1227.9+(266.5-592.5)+(0.626229+(0.135915-0.302175))+0-6-0.00305999999999939</f>
        <v>896.35690900000009</v>
      </c>
      <c r="X212" s="3">
        <f>1337.1+(279.1-594)+(-2.045763+(-0.427023--0.90882))+0-6--0.00918000000000035</f>
        <v>1014.6452139999999</v>
      </c>
      <c r="Y212" s="3">
        <f>1237.9+(341.9-570.6)+(-1.262658+(-0.348738--0.582012))+0-6--0.00612000000000096</f>
        <v>1002.176736</v>
      </c>
      <c r="Z212" s="3">
        <f>1232.4+(302.8-567.3)+(-1.257048+(-0.308856--0.578646))+0-6--0.00612000000000096</f>
        <v>960.9188620000001</v>
      </c>
      <c r="AA212" s="3">
        <f>1231.3+(285.6-586.1)+(-1.255926+(-0.291312--0.597822))+0-6--0.00612000000000096</f>
        <v>923.85670399999992</v>
      </c>
      <c r="AB212" s="3">
        <f>1233.4+(276.2-625.6)+(-3.14517+(-0.70431--1.59528))+0-6--0.0152999999999991</f>
        <v>875.76110000000006</v>
      </c>
      <c r="AC212" s="3">
        <f>1224.9+(282-690.4)+(-3.748194+(-0.86292--2.112624))+0-6--0.0183600000000007</f>
        <v>808.0198700000002</v>
      </c>
      <c r="AD212" s="2">
        <v>1006.0999999999999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1249.1+(319.5-810.6)+(1.274082+(0.32589-0.826812))+0-5-0.0051000000000008</f>
        <v>753.76805999999988</v>
      </c>
      <c r="G213" s="3">
        <f>1246.9+(351.1-887.8)+(0.635919+(0.179061-0.452778))+0-5-0.00254999999999949</f>
        <v>705.55965200000014</v>
      </c>
      <c r="H213" s="3">
        <f>1251+(333.5-894.6)+(1.27602+(0.34017-0.912492))+0-5-0.0051000000000008</f>
        <v>685.59859800000004</v>
      </c>
      <c r="I213" s="3">
        <f>1242.4+(318.3-879)+(-0.633624+(-0.162333--0.44829))+0-5--0.00254999999999949</f>
        <v>676.35488300000009</v>
      </c>
      <c r="J213" s="3">
        <f>1243.1+(314.8-882.1)+(0+(0-0))+0-5-0</f>
        <v>670.8</v>
      </c>
      <c r="K213" s="3">
        <f>1232.9+(300.5-848.4)+(-2.515116+(-0.61302--1.730736))+0-5--0.0101999999999998</f>
        <v>678.61280000000022</v>
      </c>
      <c r="L213" s="3">
        <f>1249.8+(307.6-889.3)+(1.274796+(0.313752-0.907086))+0-6-0.00612000000000096</f>
        <v>662.77534200000002</v>
      </c>
      <c r="M213" s="3">
        <f>1246.5+(263.4-804)+(0+(0-0))+0-6-0</f>
        <v>699.9</v>
      </c>
      <c r="N213" s="3">
        <f>1247.2+(280.4-740.4)+(0+(0-0))+0-6-0</f>
        <v>781.2</v>
      </c>
      <c r="O213" s="3">
        <f>1210.7+(245.4-634.5)+(0+(0-0))+0-7-0</f>
        <v>814.6</v>
      </c>
      <c r="P213" s="3">
        <f>1268.4+(196.2-623.9)+(-1.940652+(-0.300186--0.954567))+0-7--0.0107100000000004</f>
        <v>832.42443900000001</v>
      </c>
      <c r="Q213" s="3">
        <f>1268.8+(240.9-655.8)+(0+(0-0))+0-7-0</f>
        <v>846.9</v>
      </c>
      <c r="R213" s="3">
        <f>1261.2+(267.5-703.2)+(-1.929636+(-0.409275--1.075896))+0-7--0.0107100000000004</f>
        <v>817.24769500000002</v>
      </c>
      <c r="S213" s="3">
        <f>1252.4+(339.8-761.9)+(0+(0-0))+0-7-0</f>
        <v>823.30000000000018</v>
      </c>
      <c r="T213" s="3">
        <f>1239.6+(375.8-799.3)+(0+(0-0))+0-7-0</f>
        <v>809.09999999999991</v>
      </c>
      <c r="U213" s="3">
        <f>1213.1+(397.3-803.6)+(-2.474724+(-0.810492--1.639344))+0-7--0.0142799999999997</f>
        <v>798.16840799999989</v>
      </c>
      <c r="V213" s="3">
        <f>1216.7+(387.3-802.6)+(-1.861551+(-0.592569--1.227978))+0-7--0.0107100000000004</f>
        <v>793.18456800000013</v>
      </c>
      <c r="W213" s="3">
        <f>1284+(358.7-785.4)+(-0.65484+(-0.182937--0.400554))+0-7--0.00356999999999929</f>
        <v>849.86634699999991</v>
      </c>
      <c r="X213" s="3">
        <f>1250.5+(394-659.9)+(-1.913265+(-0.60282--1.009647))+0-7--0.0107100000000004</f>
        <v>976.10427200000004</v>
      </c>
      <c r="Y213" s="3">
        <f>1271.8+(319.5-613.6)+(-0.648618+(-0.162945--0.312936))+0-7--0.00356999999999929</f>
        <v>970.20494299999984</v>
      </c>
      <c r="Z213" s="3">
        <f>1222.6+(296.2-569.8)+(1.247052+(0.302124-0.581196))+0-7-0.00714000000000112</f>
        <v>942.96083999999996</v>
      </c>
      <c r="AA213" s="3">
        <f>1212.9+(316.4-609.4)+(0.618579+(0.161364-0.310794))+0-7-0.00356999999999929</f>
        <v>913.36557900000014</v>
      </c>
      <c r="AB213" s="3">
        <f>1190.3+(248.9-576.4)+(-1.214106+(-0.253878--0.587928))+0-7--0.00714000000000112</f>
        <v>854.92708400000004</v>
      </c>
      <c r="AC213" s="3">
        <f>1125.3+(294.7-596.2)+(-1.721709+(-0.450891--0.912186))+0-7--0.0107100000000004</f>
        <v>815.550296</v>
      </c>
      <c r="AD213" s="2">
        <v>984.8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1125.1+(272.8-649.3)+(-0.573801+(-0.139128--0.331143))+0-7--0.00356999999999929</f>
        <v>741.22178399999984</v>
      </c>
      <c r="G214" s="3">
        <f>1143.2+(283.2-733.9)+(-1.166064+(-0.288864--0.748578))+0-7--0.00714000000000112</f>
        <v>684.80079000000001</v>
      </c>
      <c r="H214" s="3">
        <f>1233.7+(244.6-788.6)+(-1.887561+(-0.374238--1.206558))+0-7--0.0107100000000004</f>
        <v>681.65546900000004</v>
      </c>
      <c r="I214" s="3">
        <f>1254.5+(231.4-799.8)+(-2.55918+(-0.472056--1.631592))+0-7--0.0142799999999997</f>
        <v>677.71463600000004</v>
      </c>
      <c r="J214" s="3">
        <f>1207+(277.2-786.7)+(0+(0-0))+0-7-0</f>
        <v>690.5</v>
      </c>
      <c r="K214" s="3">
        <f>1120.8+(289.1-727.9)+(-1.714824+(-0.442323--1.113687))+0-7--0.0107100000000004</f>
        <v>673.96725000000004</v>
      </c>
      <c r="L214" s="3">
        <f>1126.3+(297.6-765.5)+(-1.723239+(-0.455328--1.171215))+0-7--0.0107100000000004</f>
        <v>650.40335800000003</v>
      </c>
      <c r="M214" s="3">
        <f>1136.7+(276.5-747.4)+(0.579717+(0.141015-0.381174))+0-7-0.00356999999999929</f>
        <v>659.13598800000011</v>
      </c>
      <c r="N214" s="3">
        <f>1188.6+(271.2-750.3)+(0.606186+(0.138312-0.382653))+0-7-0.00356999999999929</f>
        <v>702.85827500000005</v>
      </c>
      <c r="O214" s="3">
        <f>1234.2+(270.8-756.8)+(-2.517768+(-0.552432--1.543872))+0-7--0.0142799999999997</f>
        <v>739.687952</v>
      </c>
      <c r="P214" s="3">
        <f>1331.2+(225-768)+(0.678912+(0.11475-0.39168))+0-7-0.00356999999999929</f>
        <v>781.59841200000005</v>
      </c>
      <c r="Q214" s="3">
        <f>1318.4+(255.6-774.8)+(-2.017152+(-0.391068--1.185444))+0-7--0.0107100000000004</f>
        <v>790.98793400000022</v>
      </c>
      <c r="R214" s="3">
        <f>1324.7+(276.9-821.2)+(0.675597+(0.141219-0.418812))+0-5-0.00254999999999949</f>
        <v>775.79545399999995</v>
      </c>
      <c r="S214" s="3">
        <f>1313+(296.2-846.4)+(-1.33926+(-0.302124--0.863328))+0-5--0.0051000000000008</f>
        <v>757.02704399999993</v>
      </c>
      <c r="T214" s="3">
        <f>1312+(296.5-874)+(-2.67648+(-0.60486--1.78296))+0-5--0.0101999999999998</f>
        <v>728.01182000000006</v>
      </c>
      <c r="U214" s="3">
        <f>1334+(316.5-892.9)+(-2.72136+(-0.64566--1.821516))+0-5--0.0101999999999998</f>
        <v>751.06469600000003</v>
      </c>
      <c r="V214" s="3">
        <f>1356.5+(253.2-849.8)+(1.38363+(0.258264-0.866796))+0-5-0.0051000000000008</f>
        <v>755.66999800000008</v>
      </c>
      <c r="W214" s="3">
        <f>1347.9+(182.3-719)+(-0.687429+(-0.092973--0.36669))+0-5--0.00254999999999949</f>
        <v>805.78883800000006</v>
      </c>
      <c r="X214" s="3">
        <f>1380.3+(291.3-752.4)+(1.407906+(0.297126-0.767448))+0-4-0.00408000000000064</f>
        <v>916.13350400000002</v>
      </c>
      <c r="Y214" s="3">
        <f>1372.4+(301.8-743.5)+(-2.099772+(-0.461754--1.137555))+0-4--0.00612000000000023</f>
        <v>925.282149</v>
      </c>
      <c r="Z214" s="3">
        <f>1373.4+(248.1-706.8)+(-2.801736+(-0.506124--1.441872))+0-4--0.00815999999999983</f>
        <v>908.84217200000012</v>
      </c>
      <c r="AA214" s="3">
        <f>1376.2+(220.7-704)+(-1.403724+(-0.225114--0.71808))+0-4--0.00408000000000064</f>
        <v>887.99332200000015</v>
      </c>
      <c r="AB214" s="3">
        <f>1376.9+(198.3-722.6)+(-1.404438+(-0.202266--0.737052))+0-4--0.00408000000000064</f>
        <v>847.73442800000021</v>
      </c>
      <c r="AC214" s="3">
        <f>1377.3+(192-784.3)+(-1.404846+(-0.19584--0.799986))+0-4--0.00408000000000064</f>
        <v>780.20338000000004</v>
      </c>
      <c r="AD214" s="2">
        <v>916.6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1373.5+(254-901.3)+(-2.80194+(-0.51816--1.838652))+0-4--0.00815999999999983</f>
        <v>720.72671200000002</v>
      </c>
      <c r="G215" s="3">
        <f>1379.1+(289.2-964.6)+(-0.703341+(-0.147492--0.491946))+0-4--0.00203999999999959</f>
        <v>699.3431529999998</v>
      </c>
      <c r="H215" s="3">
        <f>1377.5+(286.5-984.9)+(-2.107575+(-0.438345--1.506897))+0-4--0.00612000000000023</f>
        <v>674.06709699999999</v>
      </c>
      <c r="I215" s="3">
        <f>1380.8+(274.8-974.2)+(-2.112624+(-0.420444--1.490526))+0-4--0.00612000000000023</f>
        <v>676.36357799999985</v>
      </c>
      <c r="J215" s="3">
        <f>1385.9+(251.5-961.7)+(-1.413618+(-0.25653--0.980934))+0-4--0.00408000000000064</f>
        <v>671.0148660000001</v>
      </c>
      <c r="K215" s="3">
        <f>1391.7+(236.4-952.1)+(0+(0-0))+0-4-0</f>
        <v>672</v>
      </c>
      <c r="L215" s="3">
        <f>1385.4+(179.8-903.3)+(-0.706554+(-0.091698--0.460683))+0-4--0.00203999999999959</f>
        <v>657.56447100000003</v>
      </c>
      <c r="M215" s="3">
        <f>1388.3+(146.6-845.2)+(-0.708033+(-0.074766--0.431052))+0-4--0.00203999999999959</f>
        <v>685.35029299999985</v>
      </c>
      <c r="N215" s="3">
        <f>1388.2+(253.8-868.2)+(0+(0-0))+0-4-0</f>
        <v>769.8</v>
      </c>
      <c r="O215" s="3">
        <f>1380.5+(217.9-783.1)+(-2.81622+(-0.444516--1.597524))+0-4--0.00815999999999983</f>
        <v>809.64494799999989</v>
      </c>
      <c r="P215" s="3">
        <f>1388.2+(204.6-761)+(-0.707982+(-0.104346--0.38811))+0-4--0.00203999999999959</f>
        <v>827.37782200000004</v>
      </c>
      <c r="Q215" s="3">
        <f>1389.7+(209.3-761.4)+(-1.417494+(-0.213486--0.776628))+0-4--0.00408000000000064</f>
        <v>832.74972800000023</v>
      </c>
      <c r="R215" s="3">
        <f>1384+(176-760)+(-2.11752+(-0.26928--1.1628))+0-7--0.0107100000000004</f>
        <v>791.78670999999997</v>
      </c>
      <c r="S215" s="3">
        <f>1381.7+(205.6-791.3)+(-2.114001+(-0.314568--1.210689))+0-7--0.0107100000000004</f>
        <v>787.79283000000009</v>
      </c>
      <c r="T215" s="3">
        <f>1382.7+(172.8-754.5)+(0.705177+(0.088128-0.384795))+0-7-0.00356999999999929</f>
        <v>794.40494000000001</v>
      </c>
      <c r="U215" s="3">
        <f>1337.5+(194.6-734.3)+(-4.09275+(-0.595476--2.246958))+0-7--0.0214200000000008</f>
        <v>788.38015200000007</v>
      </c>
      <c r="V215" s="3">
        <f>1365.1+(196.3-751.8)+(-1.392402+(-0.200226--0.766836))+0-7--0.00714000000000112</f>
        <v>801.78134799999998</v>
      </c>
      <c r="W215" s="3">
        <f>1327.8+(260.6-726.6)+(0+(0-0))+0-7-0</f>
        <v>854.8</v>
      </c>
      <c r="X215" s="3">
        <f>1311.3+(349-675.3)+(-2.675052+(-0.71196--1.377612))+0-7--0.0142799999999997</f>
        <v>976.00487999999996</v>
      </c>
      <c r="Y215" s="3">
        <f>1297.7+(377.2-695.4)+(-5.294616+(-1.538976--2.837232))+0-7--0.0285599999999994</f>
        <v>968.53219999999999</v>
      </c>
      <c r="Z215" s="3">
        <f>1328+(314.1-712.7)+(-3.3864+(-0.800955--1.817385))+0-7--0.017849999999999</f>
        <v>920.04787999999996</v>
      </c>
      <c r="AA215" s="3">
        <f>1325.1+(248.6-683.4)+(-3.379005+(-0.63393--1.74267))+0-7--0.017849999999999</f>
        <v>881.04758499999991</v>
      </c>
      <c r="AB215" s="3">
        <f>1319.3+(234.9-717.3)+(-2.018529+(-0.359397--1.097469))+0-7--0.0107100000000004</f>
        <v>828.63025300000004</v>
      </c>
      <c r="AC215" s="3">
        <f>1328.6+(184.4-747)+(-0.677586+(-0.094044--0.38097))+0-7--0.00356999999999929</f>
        <v>758.61290999999983</v>
      </c>
      <c r="AD215" s="2">
        <v>982.90000000000009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1333+(196.6-838.8)+(0.67983+(0.100266-0.427788))+0-7-0.00356999999999929</f>
        <v>684.14873800000009</v>
      </c>
      <c r="G216" s="3">
        <f>1324.2+(234.3-899.4)+(-2.701368+(-0.477972--1.834776))+0-7--0.0142799999999997</f>
        <v>650.76971600000013</v>
      </c>
      <c r="H216" s="3">
        <f>1318.7+(251-921.2)+(-2.690148+(-0.51204--1.879248))+0-7--0.0142799999999997</f>
        <v>640.19133999999997</v>
      </c>
      <c r="I216" s="3">
        <f>1339.5+(262-960)+(2.73258+(0.53448-1.9584))+0-7-0.0142799999999997</f>
        <v>635.79438000000005</v>
      </c>
      <c r="J216" s="3">
        <f>1342.5+(248.4-949.9)+(3.423375+(0.63342-2.422245))+0-7-0.017849999999999</f>
        <v>635.61670000000004</v>
      </c>
      <c r="K216" s="3">
        <f>1336.8+(236.3-915.3)+(2.045304+(0.361539-1.400409))+0-7-0.0107100000000004</f>
        <v>651.79572399999995</v>
      </c>
      <c r="L216" s="3">
        <f>1312.7+(209.7-863.8)+(2.677908+(0.427788-1.762152))+0-7-0.0142799999999997</f>
        <v>652.9292640000001</v>
      </c>
      <c r="M216" s="3">
        <f>1342.7+(160.2-823.3)+(0+(0-0))+0-7-0</f>
        <v>672.60000000000014</v>
      </c>
      <c r="N216" s="3">
        <f>1426.7+(133.6-810.3)+(1.455234+(0.136272-0.826506))+0-7-0.00714000000000112</f>
        <v>743.75786000000005</v>
      </c>
      <c r="O216" s="3">
        <f>1539.9+(114.3-863.3)+(-2.356047+(-0.174879--1.320849))+0-7--0.0107100000000004</f>
        <v>782.70063300000015</v>
      </c>
      <c r="P216" s="3">
        <f>1524.1+(180.4-880.7)+(0+(0-0))+0-7-0</f>
        <v>816.79999999999984</v>
      </c>
      <c r="Q216" s="3">
        <f>1516.3+(196.5-879.5)+(-1.546626+(-0.20043--0.89709))+0-7--0.00714000000000112</f>
        <v>825.45717400000001</v>
      </c>
      <c r="R216" s="3">
        <f>1502.8+(196.2-892.5)+(-3.065712+(-0.400248--1.8207))+0-5--0.0101999999999998</f>
        <v>799.86494000000005</v>
      </c>
      <c r="S216" s="3">
        <f>1429.7+(258.1-867.8)+(-1.458294+(-0.263262--0.885156))+0-5--0.0051000000000008</f>
        <v>814.16870000000006</v>
      </c>
      <c r="T216" s="3">
        <f>1401.7+(249.3-851.7)+(-3.574335+(-0.635715--2.171835))+0-5--0.0127499999999993</f>
        <v>792.2745349999999</v>
      </c>
      <c r="U216" s="3">
        <f>1414.3+(222.2-817.8)+(-0.721293+(-0.113322--0.417078))+0-5--0.00254999999999949</f>
        <v>813.28501300000005</v>
      </c>
      <c r="V216" s="3">
        <f>1418.6+(182.5-765.4)+(0+(0-0))+0-5-0</f>
        <v>830.69999999999993</v>
      </c>
      <c r="W216" s="3">
        <f>1568+(105.5-767.8)+(0+(0-0))+0-5-0</f>
        <v>900.7</v>
      </c>
      <c r="X216" s="3">
        <f>1691.5+(89.2-776.2)+(-1.72533+(-0.090984--0.791724))+0-6--0.00612000000000096</f>
        <v>997.48153000000002</v>
      </c>
      <c r="Y216" s="3">
        <f>1799.1+(69.7-863.9)+(-1.835082+(-0.071094--0.881178))+0-6--0.00612000000000096</f>
        <v>997.881122</v>
      </c>
      <c r="Z216" s="3">
        <f>1848.5+(58.4-922.9)+(1.88547+(0.059568-0.941358))+0-6-0.00612000000000096</f>
        <v>978.99756000000002</v>
      </c>
      <c r="AA216" s="3">
        <f>1781.4+(63.3-889)+(1.817028+(0.064566-0.90678))+0-6-0.00612000000000096</f>
        <v>950.66869400000007</v>
      </c>
      <c r="AB216" s="3">
        <f>1600.1+(93.9-792.3)+(-2.448153+(-0.143667--1.212219))+0-6--0.00918000000000035</f>
        <v>894.32957899999997</v>
      </c>
      <c r="AC216" s="3">
        <f>1435.9+(166.1-790.4)+(-2.929236+(-0.338844--1.612416))+0-6--0.0122399999999997</f>
        <v>803.95657600000015</v>
      </c>
      <c r="AD216" s="2">
        <v>1014.7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1432.6+(210.7-892.1)+(-0.730626+(-0.107457--0.454971))+0-5--0.00254999999999949</f>
        <v>745.81943799999988</v>
      </c>
      <c r="G217" s="3">
        <f>1354+(235.4-869.6)+(-2.07162+(-0.360162--1.330488))+0-5--0.00765000000000029</f>
        <v>713.70635599999991</v>
      </c>
      <c r="H217" s="3">
        <f>1249.7+(247.4-772.4)+(-2.549388+(-0.504696--1.575696))+0-5--0.0101999999999998</f>
        <v>718.2318120000001</v>
      </c>
      <c r="I217" s="3">
        <f>1192.6+(176.9-643.8)+(-1.216452+(-0.180438--0.656676))+0-5--0.0051000000000008</f>
        <v>719.96488599999986</v>
      </c>
      <c r="J217" s="3">
        <f>1155.4+(161.8-592.4)+(1.767762+(0.247554-0.906372))+0-5-0.00765000000000029</f>
        <v>720.90129400000012</v>
      </c>
      <c r="K217" s="3">
        <f>1141.1+(127.2-565.6)+(-2.327844+(-0.259488--1.153824))+0-5--0.0101999999999998</f>
        <v>696.27669199999991</v>
      </c>
      <c r="L217" s="3">
        <f>1148.2+(87.3-546.2)+(0+(0-0))+0-5-0</f>
        <v>684.3</v>
      </c>
      <c r="M217" s="3">
        <f>1146.6+(49.3-485.3)+(0+(0-0))+0-5-0</f>
        <v>705.59999999999991</v>
      </c>
      <c r="N217" s="3">
        <f>1145.8+(55.4-443.1)+(1.168716+(0.056508-0.451962))+0-5-0.0051000000000008</f>
        <v>753.86816199999998</v>
      </c>
      <c r="O217" s="3">
        <f>1146.3+(41.4-384.7)+(0.584613+(0.021114-0.196197))+0-5-0.00254999999999949</f>
        <v>798.40697999999998</v>
      </c>
      <c r="P217" s="3">
        <f>1141.5+(47-365.6)+(-1.16433+(-0.04794--0.372912))+0-5--0.0051000000000008</f>
        <v>817.065742</v>
      </c>
      <c r="Q217" s="3">
        <f>1137.9+(40-369.7)+(-1.740987+(-0.0612--0.565641))+0-5--0.00765000000000029</f>
        <v>801.97110400000008</v>
      </c>
      <c r="R217" s="3">
        <f>1133.6+(107.9-470.3)+(-3.468816+(-0.330174--1.439118))+0-5--0.0153000000000006</f>
        <v>763.85542799999996</v>
      </c>
      <c r="S217" s="3">
        <f>1142.9+(124-512.7)+(0+(0-0))+0-5-0</f>
        <v>749.2</v>
      </c>
      <c r="T217" s="3">
        <f>1195.8+(160.7-591)+(-0.609858+(-0.081957--0.30141))+0-5--0.00254999999999949</f>
        <v>760.11214500000006</v>
      </c>
      <c r="U217" s="3">
        <f>1233.2+(259.1-700.1)+(0+(0-0))+0-5-0</f>
        <v>787.2</v>
      </c>
      <c r="V217" s="3">
        <f>1208.9+(304.4-702.5)+(-2.466156+(-0.620976--1.4331))+0-5--0.0101999999999998</f>
        <v>804.15616800000009</v>
      </c>
      <c r="W217" s="3">
        <f>1303.1+(253.9-682.9)+(-1.329162+(-0.258978--0.696558))+0-5--0.0051000000000008</f>
        <v>868.21351799999991</v>
      </c>
      <c r="X217" s="3">
        <f>1374.1+(279.8-666.5)+(-0.700791+(-0.142698--0.339915))+0-5--0.00254999999999949</f>
        <v>981.89897599999995</v>
      </c>
      <c r="Y217" s="3">
        <f>1328.4+(308.1-653.7)+(-1.354968+(-0.314262--0.666774))+0-5--0.0051000000000008</f>
        <v>976.80264399999999</v>
      </c>
      <c r="Z217" s="3">
        <f>1304.5+(308-664.1)+(-3.326475+(-0.7854--1.693455))+0-5--0.0127499999999993</f>
        <v>940.99432999999999</v>
      </c>
      <c r="AA217" s="3">
        <f>1305.4+(278.9-662.7)+(-2.663016+(-0.568956--1.351908))+0-5--0.0101999999999998</f>
        <v>914.73013600000013</v>
      </c>
      <c r="AB217" s="3">
        <f>1336.6+(306.6-780.1)+(-2.044998+(-0.469098--1.193553))+0-5--0.00765000000000029</f>
        <v>856.78710699999988</v>
      </c>
      <c r="AC217" s="3">
        <f>1357+(398.5-935.1)+(-1.38414+(-0.40647--0.953802))+0-5--0.0051000000000008</f>
        <v>814.56829199999993</v>
      </c>
      <c r="AD217" s="2">
        <v>1042.5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1366.7+(358.3-970.9)+(-0.697017+(-0.182733--0.495159))+0-6--0.00305999999999939</f>
        <v>747.71846900000014</v>
      </c>
      <c r="G218" s="3">
        <f>1367.6+(367.2-1015.1)+(0.697476+(0.187272-0.517701))+0-6-0.00305999999999939</f>
        <v>714.06398699999977</v>
      </c>
      <c r="H218" s="3">
        <f>1294+(400.7-989.6)+(0+(0-0))+0-6-0</f>
        <v>699.09999999999991</v>
      </c>
      <c r="I218" s="3">
        <f>1199.6+(413-928.3)+(2.447184+(0.84252-1.893732))+0-6-0.0122399999999997</f>
        <v>679.68373199999996</v>
      </c>
      <c r="J218" s="3">
        <f>1191.4+(427.7-905.4)+(0.607614+(0.218127-0.461754))+0-6-0.00305999999999939</f>
        <v>708.06092699999999</v>
      </c>
      <c r="K218" s="3">
        <f>1215.7+(407.1-906.4)+(1.240014+(0.415242-0.924528))+0-6-0.00612000000000096</f>
        <v>711.12460800000008</v>
      </c>
      <c r="L218" s="3">
        <f>1258.7+(343.1-900.2)+(-1.283874+(-0.349962--0.918204))+0-6--0.00612000000000096</f>
        <v>694.890488</v>
      </c>
      <c r="M218" s="3">
        <f>1384.3+(232.3-889.9)+(3.529965+(0.592365-2.269245))+0-6-0.0152999999999991</f>
        <v>722.53778499999999</v>
      </c>
      <c r="N218" s="3">
        <f>1657+(144.6-986.3)+(-1.69014+(-0.147492--1.006026))+0-6--0.00612000000000096</f>
        <v>808.47451400000011</v>
      </c>
      <c r="O218" s="3">
        <f>1697.8+(176.4-1002.4)+(-0.865878+(-0.089964--0.511224))+0-6--0.00305999999999939</f>
        <v>865.35844199999997</v>
      </c>
      <c r="P218" s="3">
        <f>1669.2+(164.8-948.5)+(0+(0-0))+0-6-0</f>
        <v>879.5</v>
      </c>
      <c r="Q218" s="3">
        <f>1661.9+(163-939.6)+(0.847569+(0.08313-0.479196))+0-6-0.00305999999999939</f>
        <v>879.74844300000007</v>
      </c>
      <c r="R218" s="3">
        <f>1606.9+(110.4-908)+(-1.639038+(-0.112608--0.92616))+0-6--0.00612000000000096</f>
        <v>802.48063400000012</v>
      </c>
      <c r="S218" s="3">
        <f>1597.5+(123.6-950.9)+(-1.62945+(-0.126072--0.969918))+0-6--0.00612000000000096</f>
        <v>763.42051600000002</v>
      </c>
      <c r="T218" s="3">
        <f>1591.9+(123.7-950.9)+(1.623738+(0.126174-0.969918))+0-6-0.00612000000000096</f>
        <v>759.47387400000014</v>
      </c>
      <c r="U218" s="3">
        <f>1581.1+(124.2-941.4)+(-2.419083+(-0.190026--1.440342))+0-6--0.00918000000000035</f>
        <v>756.74041299999999</v>
      </c>
      <c r="V218" s="3">
        <f>1559.7+(115.3-903.1)+(-1.590894+(-0.117606--0.921162))+0-7--0.00714000000000112</f>
        <v>764.11980200000005</v>
      </c>
      <c r="W218" s="3">
        <f>1653.3+(95.2-900.7)+(0+(0-0))+0-7-0</f>
        <v>840.8</v>
      </c>
      <c r="X218" s="3">
        <f>1677.2+(155.4-851)+(-3.421488+(-0.317016--1.73604))+0-7--0.0142799999999997</f>
        <v>972.61181599999998</v>
      </c>
      <c r="Y218" s="3">
        <f>1675.8+(173.2-873.7)+(-4.27329+(-0.44166--2.227935))+0-7--0.017849999999999</f>
        <v>965.83083499999987</v>
      </c>
      <c r="Z218" s="3">
        <f>1705+(173.8-922.1)+(-0.86955+(-0.088638--0.470271))+0-7--0.00356999999999929</f>
        <v>949.21565299999997</v>
      </c>
      <c r="AA218" s="3">
        <f>1698.9+(170.6-936.8)+(-3.465756+(-0.348024--1.911072))+0-7--0.0142799999999997</f>
        <v>923.81157200000018</v>
      </c>
      <c r="AB218" s="3">
        <f>1714.8+(140.9-961.9)+(-0.874548+(-0.071859--0.490569))+0-7--0.00356999999999929</f>
        <v>886.34773199999995</v>
      </c>
      <c r="AC218" s="3">
        <f>1663+(190.8-1006.3)+(-5.08878+(-0.583848--3.079278))+0-7--0.0214200000000008</f>
        <v>837.92807000000005</v>
      </c>
      <c r="AD218" s="2">
        <v>975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1609.4+(219-1042.9)+(-1.641588+(-0.22338--1.063758))+0-7--0.00714000000000112</f>
        <v>777.70593000000008</v>
      </c>
      <c r="G219" s="3">
        <f>1553.9+(248.3-1069)+(-0.792489+(-0.126633--0.54519))+0-7--0.00356999999999929</f>
        <v>725.82963800000005</v>
      </c>
      <c r="H219" s="3">
        <f>1426.7+(271.5-986.7)+(0+(0-0))+0-7-0</f>
        <v>704.5</v>
      </c>
      <c r="I219" s="3">
        <f>1264.7+(307.1-896.9)+(1.934991+(0.469863-1.372257))+0-7-0.0107100000000004</f>
        <v>668.92188700000008</v>
      </c>
      <c r="J219" s="3">
        <f>1238+(304.7-876.3)+(-1.26276+(-0.310794--0.893826))+0-7--0.00714000000000112</f>
        <v>658.72741200000019</v>
      </c>
      <c r="K219" s="3">
        <f>1238.9+(282.1-864.7)+(-0.631839+(-0.143871--0.440997))+0-7--0.00356999999999929</f>
        <v>648.96885700000007</v>
      </c>
      <c r="L219" s="3">
        <f>1230.9+(261.9-838.1)+(-1.883277+(-0.400707--1.282293))+0-6--0.00918000000000035</f>
        <v>647.70748900000001</v>
      </c>
      <c r="M219" s="3">
        <f>1323.3+(202.2-870.5)+(1.349766+(0.206244-0.88791))+0-6-0.00612000000000096</f>
        <v>649.66197999999997</v>
      </c>
      <c r="N219" s="3">
        <f>1654.6+(104.3-992.6)+(0+(0-0))+0-6-0</f>
        <v>760.29999999999984</v>
      </c>
      <c r="O219" s="3">
        <f>1662.6+(78.6-932.8)+(-1.695852+(-0.080172--0.951456))+0-6--0.00612000000000096</f>
        <v>801.58155199999999</v>
      </c>
      <c r="P219" s="3">
        <f>1654.3+(72.5-923)+(0+(0-0))+0-6-0</f>
        <v>797.8</v>
      </c>
      <c r="Q219" s="3">
        <f>1630.1+(73-877.8)+(-2.494053+(-0.11169--1.343034))+0-6--0.00918000000000035</f>
        <v>818.046471</v>
      </c>
      <c r="R219" s="3">
        <f>1651.4+(65.9-925.6)+(-3.368856+(-0.134436--1.888224))+0-5--0.0101999999999998</f>
        <v>785.09513200000015</v>
      </c>
      <c r="S219" s="3">
        <f>1673.2+(92.6-980.3)+(1.706664+(0.094452-0.999906))+0-6-0.00612000000000096</f>
        <v>780.29509000000007</v>
      </c>
      <c r="T219" s="3">
        <f>1687.8+(79.7-968.8)+(-0.860778+(-0.040647--0.494088))+0-7--0.00356999999999929</f>
        <v>791.29623300000003</v>
      </c>
      <c r="U219" s="3">
        <f>1662.2+(80.2-937.4)+(-1.695444+(-0.081804--0.956148))+0-7--0.00714000000000112</f>
        <v>797.18604000000016</v>
      </c>
      <c r="V219" s="3">
        <f>1596.5+(121.3-879.9)+(0+(0-0))+0-7-0</f>
        <v>830.9</v>
      </c>
      <c r="W219" s="3">
        <f>1544.4+(126.2-789.8)+(-1.575288+(-0.128724--0.805596))+0-7--0.00714000000000112</f>
        <v>872.90872400000023</v>
      </c>
      <c r="X219" s="3">
        <f>1546.1+(214.6-754.8)+(-3.154044+(-0.437784--1.539792))+0-6--0.0122399999999997</f>
        <v>997.86020399999995</v>
      </c>
      <c r="Y219" s="3">
        <f>1529.4+(216-744.3)+(0+(0-0))+0-6-0</f>
        <v>995.10000000000014</v>
      </c>
      <c r="Z219" s="3">
        <f>1416.5+(274.5-708.2)+(-1.44483+(-0.27999--0.722364))+0-6--0.00612000000000096</f>
        <v>975.80366399999991</v>
      </c>
      <c r="AA219" s="3">
        <f>1232+(328.8-660.8)+(-1.88496+(-0.503064--1.011024))+0-6--0.00918000000000035</f>
        <v>892.63218000000006</v>
      </c>
      <c r="AB219" s="3">
        <f>1349+(301.2-754.9)+(-3.43995+(-0.76806--1.924995))+0-6--0.0152999999999991</f>
        <v>887.032285</v>
      </c>
      <c r="AC219" s="3">
        <f>1382.5+(289-849.9)+(-1.41015+(-0.29478--0.866898))+0-6--0.00612000000000096</f>
        <v>814.76808800000003</v>
      </c>
      <c r="AD219" s="2">
        <v>997.10000000000014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1380.6+(339.7-952.7)+(-2.816424+(-0.692988--1.943508))+0-6--0.0122399999999997</f>
        <v>760.04633599999988</v>
      </c>
      <c r="G220" s="3">
        <f>1379.4+(355.2-1010.8)+(-1.406988+(-0.362304--1.031016))+0-7--0.00714000000000112</f>
        <v>716.06886400000019</v>
      </c>
      <c r="H220" s="3">
        <f>1393.2+(350.9-1033.9)+(1.421064+(0.357918-1.054578))+0-6-0.00612000000000096</f>
        <v>704.91828399999997</v>
      </c>
      <c r="I220" s="3">
        <f>1371.3+(296.6-953.1)+(-3.496815+(-0.75633--2.430405))+0-6--0.0152999999999991</f>
        <v>706.99256000000003</v>
      </c>
      <c r="J220" s="3">
        <f>1365.8+(179.5-815.3)+(-3.48279+(-0.457725--2.079015))+0-7--0.017849999999999</f>
        <v>721.15634999999997</v>
      </c>
      <c r="K220" s="3">
        <f>1292.1+(161.5-739.1)+(-1.976913+(-0.247095--1.130823))+0-7--0.0107100000000004</f>
        <v>706.41752499999996</v>
      </c>
      <c r="L220" s="3">
        <f>1291.2+(125.3-711)+(-1.975536+(-0.191709--1.08783))+0-5--0.00765000000000029</f>
        <v>699.42823499999997</v>
      </c>
      <c r="M220" s="3">
        <f>1307.6+(91-681)+(2.000628+(0.13923-1.04193))+0-5-0.00765000000000029</f>
        <v>713.69027799999992</v>
      </c>
      <c r="N220" s="3">
        <f>1298.5+(130.7-654.1)+(-0.662235+(-0.066657--0.333591))+0-5--0.00254999999999949</f>
        <v>769.70724899999993</v>
      </c>
      <c r="O220" s="3">
        <f>1301+(75.9-582.6)+(-1.32702+(-0.077418--0.594252))+0-5--0.0051000000000008</f>
        <v>788.49491399999988</v>
      </c>
      <c r="P220" s="3">
        <f>1348.9+(47-604.3)+(-0.687939+(-0.02397--0.308193))+0-5--0.00254999999999949</f>
        <v>786.19883400000015</v>
      </c>
      <c r="Q220" s="3">
        <f>1434.4+(54.3-673.9)+(-2.194632+(-0.083079--1.031067))+0-5--0.00765000000000029</f>
        <v>808.56100600000013</v>
      </c>
      <c r="R220" s="3">
        <f>1449.9+(54-702.9)+(-2.957796+(-0.11016--1.433916))+0-5--0.0101999999999998</f>
        <v>794.37616000000014</v>
      </c>
      <c r="S220" s="3">
        <f>1395.9+(93.2-722)+(-0.711909+(-0.047532--0.36822))+0-5--0.00254999999999949</f>
        <v>761.71132900000021</v>
      </c>
      <c r="T220" s="3">
        <f>1423.5+(155.6-823)+(-2.177955+(-0.238068--1.25919))+0-5--0.00765000000000029</f>
        <v>749.95081700000003</v>
      </c>
      <c r="U220" s="3">
        <f>1431.6+(184.6-862)+(-1.460232+(-0.188292--0.87924))+0-5--0.0051000000000008</f>
        <v>748.43581599999993</v>
      </c>
      <c r="V220" s="3">
        <f>1387.9+(201.3-808.9)+(0+(0-0))+0-5-0</f>
        <v>775.30000000000018</v>
      </c>
      <c r="W220" s="3">
        <f>1501.3+(144.1-771.4)+(-1.531326+(-0.146982--0.786828))+0-5--0.0051000000000008</f>
        <v>868.11361999999997</v>
      </c>
      <c r="X220" s="3">
        <f>1563.6+(174.8-776.1)+(-0.797436+(-0.089148--0.395811))+0-5--0.00254999999999949</f>
        <v>956.81177700000001</v>
      </c>
      <c r="Y220" s="3">
        <f>1555.8+(201.5-800.6)+(-3.173832+(-0.41106--1.633224))+0-5--0.0101999999999998</f>
        <v>949.75853199999995</v>
      </c>
      <c r="Z220" s="3">
        <f>1559.2+(225.6-860.5)+(-1.590384+(-0.230112--0.87771))+0-5--0.0051000000000008</f>
        <v>918.36231400000008</v>
      </c>
      <c r="AA220" s="3">
        <f>1558+(242.8-897.9)+(-2.38374+(-0.371484--1.373787))+0-5--0.00765000000000029</f>
        <v>896.5262130000001</v>
      </c>
      <c r="AB220" s="3">
        <f>1557.6+(236.1-921.8)+(-2.383128+(-0.361233--1.410354))+0-5--0.00765000000000029</f>
        <v>865.57364299999995</v>
      </c>
      <c r="AC220" s="3">
        <f>1465+(246.4-895.7)+(-2.9886+(-0.502656--1.827228))+0-5--0.0101999999999998</f>
        <v>809.04617199999996</v>
      </c>
      <c r="AD220" s="2">
        <v>949.6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1455.4+(298.1-988.9)+(-2.226762+(-0.456093--1.513017))+0-5--0.00765000000000029</f>
        <v>758.43781200000012</v>
      </c>
      <c r="G221" s="3">
        <f>1445.6+(293-1058.3)+(-3.68628+(-0.74715--2.698665))+0-5--0.0127499999999993</f>
        <v>673.5779849999999</v>
      </c>
      <c r="H221" s="3">
        <f>1459.9+(320.3-1057.4)+(0+(0-0))+0-5-0</f>
        <v>717.8</v>
      </c>
      <c r="I221" s="3">
        <f>1445.2+(295.5-1030.7)+(-3.68526+(-0.753525--2.628285))+0-5--0.0127499999999993</f>
        <v>703.20224999999994</v>
      </c>
      <c r="J221" s="3">
        <f>1461.1+(287.2-1045)+(0.745161+(0.146472-0.53295))+0-5-0.00254999999999949</f>
        <v>698.65613299999995</v>
      </c>
      <c r="K221" s="3">
        <f>1459.7+(251.7-1019.5)+(0+(0-0))+0-5-0</f>
        <v>686.90000000000009</v>
      </c>
      <c r="L221" s="3">
        <f>1452.1+(240.5-1028.6)+(-1.481142+(-0.24531--1.049172))+0-5--0.0051000000000008</f>
        <v>658.32781999999997</v>
      </c>
      <c r="M221" s="3">
        <f>1425.2+(240.9-1007.1)+(-1.453704+(-0.245718--1.027242))+0-5--0.0051000000000008</f>
        <v>653.33291999999994</v>
      </c>
      <c r="N221" s="3">
        <f>1501.5+(191.4-1027.5)+(1.53153+(0.195228-1.04805))+0-5-0.0051000000000008</f>
        <v>661.07360800000004</v>
      </c>
      <c r="O221" s="3">
        <f>1546.5+(179.7-1037.5)+(0.788715+(0.091647-0.529125))+0-5-0.00254999999999949</f>
        <v>684.04868699999997</v>
      </c>
      <c r="P221" s="3">
        <f>1553.7+(219.5-1069.1)+(-3.169548+(-0.44778--2.180964))+0-5--0.0101999999999998</f>
        <v>697.67383600000016</v>
      </c>
      <c r="Q221" s="3">
        <f>1562.8+(234.8-1078.3)+(-0.797028+(-0.119748--0.549933))+0-5--0.00254999999999949</f>
        <v>713.93570699999998</v>
      </c>
      <c r="R221" s="3">
        <f>1551.3+(199.2-1059.1)+(-2.373489+(-0.304776--1.620423))+0-7--0.0107100000000004</f>
        <v>683.35286800000006</v>
      </c>
      <c r="S221" s="3">
        <f>1550.6+(201.4-1060.6)+(-3.163224+(-0.410856--2.163624))+0-7--0.0142799999999997</f>
        <v>683.00382400000001</v>
      </c>
      <c r="T221" s="3">
        <f>1551.5+(189.6-1047.7)+(-3.16506+(-0.386784--2.137308))+0-7--0.0142799999999997</f>
        <v>684.99974399999996</v>
      </c>
      <c r="U221" s="3">
        <f>1563.8+(168.2-1036.6)+(-1.595076+(-0.171564--1.057332))+0-7--0.00714000000000112</f>
        <v>687.69783200000018</v>
      </c>
      <c r="V221" s="3">
        <f>1565.8+(92.6-971)+(-0.798558+(-0.047226--0.49521))+0-7--0.00356999999999929</f>
        <v>680.05299599999989</v>
      </c>
      <c r="W221" s="3">
        <f>1563.3+(105.3-901.3)+(-2.391849+(-0.161109--1.378989))+0-7--0.0107100000000004</f>
        <v>759.13674099999992</v>
      </c>
      <c r="X221" s="3">
        <f>1574.7+(181.8-864.8)+(-0.803097+(-0.092718--0.441048))+0-7--0.00356999999999929</f>
        <v>884.24880300000007</v>
      </c>
      <c r="Y221" s="3">
        <f>1568.1+(175.4-847.7)+(-3.198924+(-0.357816--1.729308))+0-7--0.0142799999999997</f>
        <v>886.98684799999978</v>
      </c>
      <c r="Z221" s="3">
        <f>1510+(213.2-836.5)+(0+(0-0))+0-7-0</f>
        <v>879.7</v>
      </c>
      <c r="AA221" s="3">
        <f>1444.4+(253.6-831.6)+(0+(0-0))+0-7-0</f>
        <v>859.40000000000009</v>
      </c>
      <c r="AB221" s="3">
        <f>1386.9+(268.9-815.3)+(-0.707319+(-0.137139--0.415803))+0-7--0.00356999999999929</f>
        <v>833.07491500000003</v>
      </c>
      <c r="AC221" s="3">
        <f>1269.4+(303.3-811.8)+(-1.942182+(-0.464049--1.242054))+0-7--0.0107100000000004</f>
        <v>752.74653300000011</v>
      </c>
      <c r="AD221" s="2">
        <v>890.40000000000009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1278.7+(294.3-862.2)+(-1.304274+(-0.300186--0.879444))+0-7--0.00714000000000112</f>
        <v>703.08212400000002</v>
      </c>
      <c r="G222" s="3">
        <f>1282+(245.1-842.8)+(-1.30764+(-0.250002--0.859656))+0-7--0.00714000000000112</f>
        <v>676.6091540000001</v>
      </c>
      <c r="H222" s="3">
        <f>1293.4+(206.2-820.4)+(0.659634+(0.105162-0.418404))+0-7-0.00356999999999929</f>
        <v>672.54282200000011</v>
      </c>
      <c r="I222" s="3">
        <f>1270.8+(210.3-807.1)+(-1.944324+(-0.321759--1.234863))+0-7--0.0107100000000004</f>
        <v>665.97949000000006</v>
      </c>
      <c r="J222" s="3">
        <f>1247.2+(212.9-795)+(-0.636072+(-0.108579--0.40545))+0-7--0.00356999999999929</f>
        <v>657.76436899999999</v>
      </c>
      <c r="K222" s="3">
        <f>1237.9+(178.1-769.3)+(-2.525316+(-0.363324--1.569372))+0-7--0.0142799999999997</f>
        <v>638.39501200000018</v>
      </c>
      <c r="L222" s="3">
        <f>1244+(127.4-733.5)+(-0.63444+(-0.064974--0.374085))+0-7--0.00356999999999929</f>
        <v>630.57824099999993</v>
      </c>
      <c r="M222" s="3">
        <f>1245.8+(149.9-716.8)+(0+(0-0))+0-7-0</f>
        <v>671.9</v>
      </c>
      <c r="N222" s="3">
        <f>1243.3+(203-696.3)+(0+(0-0))+0-7-0</f>
        <v>743</v>
      </c>
      <c r="O222" s="3">
        <f>1234.2+(222.8-696.7)+(-2.517768+(-0.454512--1.421268))+0-7--0.0142799999999997</f>
        <v>751.76326799999993</v>
      </c>
      <c r="P222" s="3">
        <f>1250.3+(270.4-734.2)+(2.550612+(0.551616-1.497768))+3.8-7-0.0142799999999997</f>
        <v>784.89017999999987</v>
      </c>
      <c r="Q222" s="3">
        <f>1245.9+(268.6-719.8)+(0.635409+(0.136986-0.367098))+0-7-0.00356999999999929</f>
        <v>788.10172700000021</v>
      </c>
      <c r="R222" s="3">
        <f>1232.5+(280.7-754.2)+(-3.142875+(-0.715785--1.92321))+0-7--0.017849999999999</f>
        <v>750.08240000000001</v>
      </c>
      <c r="S222" s="3">
        <f>1141.6+(311.5-732.6)+(1.164432+(0.31773-0.747252))+0-7-0.00714000000000112</f>
        <v>714.22776999999985</v>
      </c>
      <c r="T222" s="3">
        <f>1133.1+(325.4-742.6)+(0+(0-0))+0-7-0</f>
        <v>708.89999999999986</v>
      </c>
      <c r="U222" s="3">
        <f>1236.7+(306-811.2)+(-1.261434+(-0.31212--0.827424))+0-7--0.00714000000000112</f>
        <v>723.76101000000006</v>
      </c>
      <c r="V222" s="3">
        <f>1201.5+(279.7-746)+(1.22553+(0.285294-0.76092))+0-7-0.00714000000000112</f>
        <v>728.94276400000001</v>
      </c>
      <c r="W222" s="3">
        <f>1236.7+(307.6-726.3)+(-1.892151+(-0.470628--1.111239))+0-7--0.0107100000000004</f>
        <v>809.75917000000015</v>
      </c>
      <c r="X222" s="3">
        <f>1229+(420.8-705.4)+(-3.13395+(-1.07304--1.79877))+0-7--0.017849999999999</f>
        <v>935.00963000000002</v>
      </c>
      <c r="Y222" s="3">
        <f>1230.3+(407-700.5)+(-3.137265+(-1.03785--1.786275))+0-7--0.017849999999999</f>
        <v>927.42900999999995</v>
      </c>
      <c r="Z222" s="3">
        <f>1235.1+(366.6-688.2)+(-1.889703+(-0.560898--1.052946))+0-7--0.0107100000000004</f>
        <v>905.11305499999992</v>
      </c>
      <c r="AA222" s="3">
        <f>1236.9+(332-674.1)+(-1.892457+(-0.50796--1.031373))+0-7--0.0107100000000004</f>
        <v>886.44166600000005</v>
      </c>
      <c r="AB222" s="3">
        <f>1237.9+(311.6-714.1)+(-1.262658+(-0.317832--0.728382))+0.3-7--0.00714000000000112</f>
        <v>827.85503200000005</v>
      </c>
      <c r="AC222" s="3">
        <f>1209.6+(192-642)+(-1.233792+(-0.19584--0.65484))+2-7--0.00714000000000112</f>
        <v>753.83234799999991</v>
      </c>
      <c r="AD222" s="2">
        <v>939.10000000000014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1171.6+(186-663.1)+(0+(0-0))+0.6-7-0</f>
        <v>688.09999999999991</v>
      </c>
      <c r="G223" s="3">
        <f>1176.9+(217.3-732.5)+(-1.800657+(-0.332469--1.120725))+0-7--0.0107100000000004</f>
        <v>653.69830900000011</v>
      </c>
      <c r="H223" s="3">
        <f>1080.3+(220.6-670)+(-2.754765+(-0.56253--1.7085))+0-7--0.017849999999999</f>
        <v>622.30905499999994</v>
      </c>
      <c r="I223" s="3">
        <f>1072.7+(219-667.8)+(0.547077+(0.11169-0.340578))+0-7-0.00356999999999929</f>
        <v>617.21461900000008</v>
      </c>
      <c r="J223" s="3">
        <f>962.5+(219.1-570.2)+(0+(0-0))+0-7-0</f>
        <v>604.4</v>
      </c>
      <c r="K223" s="3">
        <f>945.3+(177.4-507.3)+(0+(0-0))+0-7-0</f>
        <v>608.4</v>
      </c>
      <c r="L223" s="3">
        <f>940.6+(147.4-477.6)+(0+(0-0))+0-4-0</f>
        <v>606.4</v>
      </c>
      <c r="M223" s="3">
        <f>1105.6+(114.2-598.3)+(-1.127712+(-0.116484--0.610266))+0-4--0.00408000000000064</f>
        <v>616.87015000000008</v>
      </c>
      <c r="N223" s="3">
        <f>1198.4+(147.3-633)+(0.611184+(0.075123-0.32283))+0-4-0.00203999999999959</f>
        <v>709.06143700000007</v>
      </c>
      <c r="O223" s="3">
        <f>1181.9+(248.6-688.7)+(-2.411076+(-0.507144--1.404948))+0-4--0.00815999999999983</f>
        <v>736.29488800000001</v>
      </c>
      <c r="P223" s="3">
        <f>1210.6+(243.6-700.4)+(0+(0-0))+0-4-0</f>
        <v>749.8</v>
      </c>
      <c r="Q223" s="3">
        <f>1183.4+(257.9-685.5)+(-3.01767+(-0.657645--1.748025))+0-4--0.0101999999999994</f>
        <v>749.88291000000015</v>
      </c>
      <c r="R223" s="3">
        <f>1180.7+(236-696.1)+(-1.806471+(-0.36108--1.065033))+0-7--0.0107100000000004</f>
        <v>712.50819200000001</v>
      </c>
      <c r="S223" s="3">
        <f>1187.1+(232.2-716)+(0.605421+(0.118422-0.36516))+0-7-0.00356999999999929</f>
        <v>696.65511300000003</v>
      </c>
      <c r="T223" s="3">
        <f>1178.3+(245.6-725.5)+(-1.201866+(-0.250512--0.74001))+0-7--0.00714000000000112</f>
        <v>690.69477200000006</v>
      </c>
      <c r="U223" s="3">
        <f>1181.8+(229.9-707.1)+(-0.602718+(-0.117249--0.360621))+0-7--0.00356999999999929</f>
        <v>697.24422399999992</v>
      </c>
      <c r="V223" s="3">
        <f>1189.1+(268.3-726.8)+(1.212882+(0.273666-0.741336))+0-7-0.00714000000000112</f>
        <v>724.3380719999999</v>
      </c>
      <c r="W223" s="3">
        <f>1304.1+(231.2-705.1)+(0+(0-0))+0-7-0</f>
        <v>823.19999999999982</v>
      </c>
      <c r="X223" s="3">
        <f>1444+(235-732.8)+(-1.47288+(-0.2397--0.747456))+0-7--0.00714000000000112</f>
        <v>938.24201600000015</v>
      </c>
      <c r="Y223" s="3">
        <f>1572.3+(182.4-803.5)+(-2.405619+(-0.279072--1.229355))+0-7--0.0107100000000004</f>
        <v>942.75537399999996</v>
      </c>
      <c r="Z223" s="3">
        <f>1580.8+(188.1-840.6)+(-2.418624+(-0.287793--1.286118))+0-7--0.0107100000000004</f>
        <v>919.89041099999997</v>
      </c>
      <c r="AA223" s="3">
        <f>1587.2+(193.2-877.3)+(-1.618944+(-0.197064--0.894846))+0-7--0.00714000000000112</f>
        <v>895.1859780000002</v>
      </c>
      <c r="AB223" s="3">
        <f>1588.6+(140.6-876.9)+(-2.430558+(-0.215118--1.341657))+0-7--0.0107100000000004</f>
        <v>844.00669099999993</v>
      </c>
      <c r="AC223" s="3">
        <f>1597.2+(76.1-845.7)+(-4.07286+(-0.194055--2.156535))+0-7--0.017849999999999</f>
        <v>818.50747000000001</v>
      </c>
      <c r="AD223" s="2">
        <v>956.90000000000009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1608.8+(85.4-926.4)+(-0.820488+(-0.043554--0.472464))+0-7--0.00356999999999929</f>
        <v>760.41199199999994</v>
      </c>
      <c r="G224" s="3">
        <f>1613.3+(77.1-957.2)+(0+(0-0))+0-7-0</f>
        <v>726.19999999999993</v>
      </c>
      <c r="H224" s="3">
        <f>1620.8+(88.7-990.3)+(2.479824+(0.135711-1.515159))+0-7-0.0107100000000004</f>
        <v>713.28966600000001</v>
      </c>
      <c r="I224" s="3">
        <f>1621.3+(89.2-1002.1)+(1.653726+(0.090984-1.022142))+0-7-0.00714000000000112</f>
        <v>702.11542799999995</v>
      </c>
      <c r="J224" s="3">
        <f>1615+(73-984.4)+(1.6473+(0.07446-1.004088))+0-7-0.00714000000000112</f>
        <v>697.31053199999997</v>
      </c>
      <c r="K224" s="3">
        <f>1610.3+(61-970.3)+(-0.821253+(-0.03111--0.494853))+0-7--0.00356999999999929</f>
        <v>693.64605999999992</v>
      </c>
      <c r="L224" s="3">
        <f>1610.1+(37-958.5)+(-0.821151+(-0.01887--0.488835))+0-7--0.00356999999999929</f>
        <v>681.25238399999989</v>
      </c>
      <c r="M224" s="3">
        <f>1590.2+(26-923.8)+(-3.244008+(-0.05304--1.884552))+0-7--0.0142799999999997</f>
        <v>684.00178400000004</v>
      </c>
      <c r="N224" s="3">
        <f>1546.2+(104.9-929.4)+(2.365686+(0.160497-1.421982))+0-7-0.0107100000000004</f>
        <v>715.79349100000002</v>
      </c>
      <c r="O224" s="3">
        <f>1586.7+(98.8-900.8)+(-3.236868+(-0.201552--1.837632))+0-7--0.0142799999999997</f>
        <v>776.11349200000006</v>
      </c>
      <c r="P224" s="3">
        <f>1502.2+(188.3-888.3)+(0+(0-0))+0-7-0</f>
        <v>795.2</v>
      </c>
      <c r="Q224" s="3">
        <f>1498.9+(140.8-856.9)+(-0.764439+(-0.071808--0.437019))+0-7--0.00356999999999929</f>
        <v>775.40434200000016</v>
      </c>
      <c r="R224" s="3">
        <f>1487.3+(87-842.7)+(-3.034092+(-0.17748--1.719108))+0-6--0.0122399999999997</f>
        <v>724.11977599999989</v>
      </c>
      <c r="S224" s="3">
        <f>1427.5+(117.9-817.8)+(-1.45605+(-0.120258--0.834156))+0-6--0.00612000000000096</f>
        <v>720.863968</v>
      </c>
      <c r="T224" s="3">
        <f>1425.9+(110.3-810.4)+(-0.727209+(-0.056253--0.413304))+0-6--0.00305999999999939</f>
        <v>719.43290200000013</v>
      </c>
      <c r="U224" s="3">
        <f>1424.1+(110-802)+(-2.178873+(-0.1683--1.22706))+0-6--0.00918000000000035</f>
        <v>724.98906699999998</v>
      </c>
      <c r="V224" s="3">
        <f>1405.5+(133.7-795.5)+(-5.017635+(-0.477309--2.839935))+0-6--0.0214200000000001</f>
        <v>735.06641100000013</v>
      </c>
      <c r="W224" s="3">
        <f>1519.4+(128.9-804.3)+(-1.549788+(-0.131478--0.820386))+0-6--0.00612000000000096</f>
        <v>837.14524000000017</v>
      </c>
      <c r="X224" s="3">
        <f>1569.4+(199.5-783.7)+(-4.00197+(-0.508725--1.998435))+0-6--0.0152999999999991</f>
        <v>976.7030400000001</v>
      </c>
      <c r="Y224" s="3">
        <f>1576.1+(201.8-798.6)+(-0.803811+(-0.102918--0.407286))+0-6--0.00305999999999939</f>
        <v>972.80361699999992</v>
      </c>
      <c r="Z224" s="3">
        <f>1561.3+(189.5-811.7)+(-5.573841+(-0.676515--2.897769))+0-6--0.0214200000000001</f>
        <v>929.76883299999997</v>
      </c>
      <c r="AA224" s="3">
        <f>1513.5+(180.9-786.2)+(-3.08754+(-0.369036--1.603848))+0-6--0.0122399999999997</f>
        <v>900.359512</v>
      </c>
      <c r="AB224" s="3">
        <f>1496.4+(141.8-765.4)+(-3.81582+(-0.36159--1.95177))+0-6--0.0152999999999991</f>
        <v>864.58966000000021</v>
      </c>
      <c r="AC224" s="3">
        <f>1415.8+(114.8-751.2)+(-3.61029+(-0.29274--1.91556))+0-6--0.0152999999999991</f>
        <v>771.42782999999986</v>
      </c>
      <c r="AD224" s="2">
        <v>972.69999999999993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1418.2+(97.2-799.4)+(-2.893128+(-0.198288--1.630776))+0-6--0.0122399999999997</f>
        <v>708.55160000000012</v>
      </c>
      <c r="G225" s="3">
        <f>1397.8+(103.8-815.7)+(-2.851512+(-0.211752--1.664028))+0-6--0.0122399999999997</f>
        <v>678.51300399999991</v>
      </c>
      <c r="H225" s="3">
        <f>1233.4+(111.5-665.3)+(-1.258068+(-0.11373--0.678606))+0-6--0.00612000000000096</f>
        <v>672.91292800000019</v>
      </c>
      <c r="I225" s="3">
        <f>1145.9+(89.3-577)+(-1.168818+(-0.091086--0.58854))+0-6--0.00612000000000096</f>
        <v>651.53475600000002</v>
      </c>
      <c r="J225" s="3">
        <f>952+(98.5-414.3)+(0.97104+(0.10047-0.422586))+0-6-0.00612000000000096</f>
        <v>630.842804</v>
      </c>
      <c r="K225" s="3">
        <f>924+(99.9-388.3)+(0.94248+(0.101898-0.396066))+0-6-0.00612000000000096</f>
        <v>630.24219200000005</v>
      </c>
      <c r="L225" s="3">
        <f>900.8+(106.3-367.3)+(0+(0-0))+0-6-0</f>
        <v>633.79999999999995</v>
      </c>
      <c r="M225" s="3">
        <f>1062.3+(115.3-537.9)+(1.083546+(0.117606-0.548658))+0-6-0.00612000000000096</f>
        <v>634.34637400000008</v>
      </c>
      <c r="N225" s="3">
        <f>1282+(37-603.2)+(-1.96146+(-0.05661--0.922896))+0-6--0.00918000000000035</f>
        <v>708.71400599999993</v>
      </c>
      <c r="O225" s="3">
        <f>1411.4+(44.7-670.1)+(2.159442+(0.068391-1.025253))+0-6-0.00918000000000035</f>
        <v>781.19340000000011</v>
      </c>
      <c r="P225" s="3">
        <f>1435.4+(43.2-713.6)+(-0.732054+(-0.022032--0.363936))+0-6--0.00305999999999939</f>
        <v>758.61291000000017</v>
      </c>
      <c r="Q225" s="3">
        <f>1401.6+(42.6-651.7)+(0+(0-0))+0-6-0</f>
        <v>786.49999999999989</v>
      </c>
      <c r="R225" s="3">
        <f>1401.2+(44-688.7)+(-2.143836+(-0.06732--1.053711))+0-7--0.0107100000000004</f>
        <v>748.35326499999996</v>
      </c>
      <c r="S225" s="3">
        <f>1378.8+(44.5-674.7)+(0+(0-0))+0-7-0</f>
        <v>741.59999999999991</v>
      </c>
      <c r="T225" s="3">
        <f>1317.2+(44-622.8)+(-1.343544+(-0.04488--0.635256))+0-7--0.00714000000000112</f>
        <v>730.65397200000018</v>
      </c>
      <c r="U225" s="3">
        <f>1311.6+(44.1-608.8)+(-2.006748+(-0.067473--0.931464))+0-7--0.0107100000000004</f>
        <v>738.76795300000003</v>
      </c>
      <c r="V225" s="3">
        <f>1315.7+(47.4-605.2)+(-1.342014+(-0.048348--0.617304))+0-7--0.00714000000000112</f>
        <v>750.13408200000003</v>
      </c>
      <c r="W225" s="3">
        <f>1344.5+(56.6-561.7)+(1.37139+(0.057732-0.572934))+0-7-0.00714000000000112</f>
        <v>833.2490479999999</v>
      </c>
      <c r="X225" s="3">
        <f>1423.4+(228.5-684.7)+(-1.451868+(-0.23307--0.698394))+0-7--0.00714000000000112</f>
        <v>959.22059600000011</v>
      </c>
      <c r="Y225" s="3">
        <f>1489.7+(222.2-764.6)+(-3.798735+(-0.56661--1.94973))+0-7--0.017849999999999</f>
        <v>937.90223499999991</v>
      </c>
      <c r="Z225" s="3">
        <f>1519.9+(208.3-792.3)+(1.550298+(0.212466-0.808146))+0-7-0.00714000000000112</f>
        <v>929.84747800000002</v>
      </c>
      <c r="AA225" s="3">
        <f>1493.3+(210.7-785.8)+(-3.807915+(-0.537285--2.00379))+0-7--0.017849999999999</f>
        <v>908.87644</v>
      </c>
      <c r="AB225" s="3">
        <f>1460.8+(198.1-790.6)+(-0.745008+(-0.101031--0.403206))+0-7--0.00356999999999929</f>
        <v>860.86073699999997</v>
      </c>
      <c r="AC225" s="3">
        <f>1381.4+(186.5-779)+(-0.704514+(-0.095115--0.39729))+0-7--0.00356999999999929</f>
        <v>781.50123100000008</v>
      </c>
      <c r="AD225" s="2">
        <v>949.7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1356.1+(111-748.6)+(-3.458055+(-0.28305--1.90893))+0-7--0.017849999999999</f>
        <v>709.68567499999983</v>
      </c>
      <c r="G226" s="3">
        <f>1186.9+(94.4-609.8)+(-0.605319+(-0.048144--0.310998))+0-7--0.00356999999999929</f>
        <v>664.16110500000013</v>
      </c>
      <c r="H226" s="3">
        <f>1094.1+(119.8-580.5)+(-2.231964+(-0.244392--1.18422))+0-7--0.0142799999999997</f>
        <v>625.12214399999982</v>
      </c>
      <c r="I226" s="3">
        <f>1097.1+(120.7-593.1)+(-1.119042+(-0.123114--0.604962))+0-7--0.00714000000000112</f>
        <v>617.06994599999985</v>
      </c>
      <c r="J226" s="3">
        <f>1115.6+(96.9-589.9)+(2.84478+(0.247095-1.504245))+0-7-0.017849999999999</f>
        <v>617.16977999999995</v>
      </c>
      <c r="K226" s="3">
        <f>1148.2+(78.4-594.7)+(1.171164+(0.079968-0.606594))+0-7-0.00714000000000112</f>
        <v>625.53739799999994</v>
      </c>
      <c r="L226" s="3">
        <f>1188.1+(94.1-630.2)+(-0.605931+(-0.047991--0.321402))+0-7--0.00356999999999929</f>
        <v>644.67104999999981</v>
      </c>
      <c r="M226" s="3">
        <f>1215.1+(63.4-642.6)+(-1.859103+(-0.097002--0.983178))+0-6--0.00918000000000035</f>
        <v>628.93625299999985</v>
      </c>
      <c r="N226" s="3">
        <f>1438+(31.3-746.1)+(-3.6669+(-0.079815--1.902555))+0-6--0.0152999999999991</f>
        <v>715.37113999999997</v>
      </c>
      <c r="O226" s="3">
        <f>1480.6+(35.4-751.5)+(2.265318+(0.054162-1.149795))+0-6-0.00918000000000035</f>
        <v>759.66050499999983</v>
      </c>
      <c r="P226" s="3">
        <f>1486.4+(37.9-728)+(1.516128+(0.038658-0.74256))+0-6-0.00612000000000096</f>
        <v>791.10610600000007</v>
      </c>
      <c r="Q226" s="3">
        <f>1480+(33.6-722.8)+(0+(0-0))+0-6-0</f>
        <v>784.80000000000007</v>
      </c>
      <c r="R226" s="3">
        <f>1471.3+(36.4-751.9)+(-2.251089+(-0.055692--1.150407))+0-7--0.0107100000000004</f>
        <v>747.65433599999994</v>
      </c>
      <c r="S226" s="3">
        <f>1472.3+(36.7-768.7)+(-3.003492+(-0.074868--1.568148))+0-7--0.0142799999999997</f>
        <v>731.80406799999992</v>
      </c>
      <c r="T226" s="3">
        <f>1477.6+(43.8-759.7)+(-0.753576+(-0.022338--0.387447))+0-7--0.00356999999999929</f>
        <v>754.31510299999979</v>
      </c>
      <c r="U226" s="3">
        <f>1470.4+(41.4-761.8)+(-3.74952+(-0.10557--1.94259))+0-7--0.017849999999999</f>
        <v>741.10535000000004</v>
      </c>
      <c r="V226" s="3">
        <f>1475.1+(45.7-764.7)+(-3.009204+(-0.093228--1.559988))+0-7--0.0142799999999997</f>
        <v>747.57183599999985</v>
      </c>
      <c r="W226" s="3">
        <f>1537.2+(57-665.4)+(-0.783972+(-0.02907--0.339354))+0-7--0.00356999999999929</f>
        <v>921.329882</v>
      </c>
      <c r="X226" s="3">
        <f>1575.6+(112.5-768.5)+(-1.607112+(-0.11475--0.78387))+0-7--0.00714000000000112</f>
        <v>911.66914799999995</v>
      </c>
      <c r="Y226" s="3">
        <f>1570.8+(98.3-815.6)+(-4.806648+(-0.300798--2.495736))+0-7--0.0214200000000008</f>
        <v>843.9097099999999</v>
      </c>
      <c r="Z226" s="3">
        <f>1570.9+(76.9-818.9)+(-4.806954+(-0.235314--2.505834))+0-7--0.0214200000000008</f>
        <v>819.38498600000014</v>
      </c>
      <c r="AA226" s="3">
        <f>1585.1+(88.9-836.6)+(-0.808401+(-0.045339--0.426666))+0-7--0.00356999999999929</f>
        <v>829.97649599999988</v>
      </c>
      <c r="AB226" s="3">
        <f>1550.8+(147.4-806.1)+(-3.163632+(-0.300696--1.644444))+0-7--0.0142799999999997</f>
        <v>883.29439599999989</v>
      </c>
      <c r="AC226" s="3">
        <f>1410.7+(99.4-762.1)+(-2.877828+(-0.202776--1.554684))+0-7--0.0142799999999997</f>
        <v>739.48835999999994</v>
      </c>
      <c r="AD226" s="2">
        <v>903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1336.3+(124.4-684.3)+(-0.681513+(-0.063444--0.348993))+0-6--0.00305999999999939</f>
        <v>770.00709599999993</v>
      </c>
      <c r="G227" s="3">
        <f>1328.4+(128.8-710.4)+(0+(0-0))+0-6-0</f>
        <v>740.80000000000018</v>
      </c>
      <c r="H227" s="3">
        <f>1325.9+(118.5-716.2)+(1.352418+(0.12087-0.730524))+0-6-0.00612000000000096</f>
        <v>722.936644</v>
      </c>
      <c r="I227" s="3">
        <f>1178.3+(108.3-636.9)+(2.403732+(0.220932-1.299276))+0-6-0.0122399999999997</f>
        <v>645.01314799999989</v>
      </c>
      <c r="J227" s="3">
        <f>1161.9+(100-623.8)+(0+(0-0))+0-6-0</f>
        <v>632.10000000000014</v>
      </c>
      <c r="K227" s="3">
        <f>1171.3+(90.3-619)+(1.792089+(0.138159-0.94707))+0-6-0.00918000000000035</f>
        <v>637.57399799999985</v>
      </c>
      <c r="L227" s="3">
        <f>1137.6+(110.6-611.3)+(-2.90088+(-0.28203--1.558815))+0-6--0.0152999999999991</f>
        <v>629.29120499999999</v>
      </c>
      <c r="M227" s="3">
        <f>1236.7+(201.2-772.4)+(1.261434+(0.205224-0.787848))+0-6-0.00612000000000096</f>
        <v>660.17268999999999</v>
      </c>
      <c r="N227" s="3">
        <f>1256.2+(236.1-773.1)+(0+(0-0))+0-6-0</f>
        <v>713.2</v>
      </c>
      <c r="O227" s="3">
        <f>1478.9+(130.3-842.4)+(0+(0-0))+0-6-0</f>
        <v>760.80000000000018</v>
      </c>
      <c r="P227" s="3">
        <f>1539.3+(93.3-837.3)+(0.785043+(0.047583-0.427023))+0-6-0.00305999999999939</f>
        <v>789.70254299999999</v>
      </c>
      <c r="Q227" s="3">
        <f>1570.5+(84-861.6)+(-2.402865+(-0.12852--1.318248))+0-6--0.00918000000000035</f>
        <v>785.69604300000003</v>
      </c>
      <c r="R227" s="3">
        <f>1569+(101.9-905.5)+(-4.00095+(-0.259845--2.309025))+0-7--0.017849999999999</f>
        <v>756.46607999999992</v>
      </c>
      <c r="S227" s="3">
        <f>1559.8+(98.1-926.1)+(-2.386494+(-0.150093--1.416933))+0-7--0.0107100000000004</f>
        <v>723.691056</v>
      </c>
      <c r="T227" s="3">
        <f>1560.7+(108.1-943.7)+(3.183828+(0.220524-1.925148))+0-7-0.0142799999999997</f>
        <v>719.56492400000002</v>
      </c>
      <c r="U227" s="3">
        <f>1541.4+(105.8-917.1)+(-2.358342+(-0.161874--1.403163))+0-7--0.0107100000000004</f>
        <v>721.99365699999998</v>
      </c>
      <c r="V227" s="3">
        <f>1488.2+(99.6-855.9)+(2.276946+(0.152388-1.309527))+0-7-0.0107100000000004</f>
        <v>726.00909700000011</v>
      </c>
      <c r="W227" s="3">
        <f>1532.1+(132.2-824.6)+(-0.781371+(-0.067422--0.420546))+0-7--0.00356999999999929</f>
        <v>832.27532299999973</v>
      </c>
      <c r="X227" s="3">
        <f>1547+(180.1-780.9)+(-3.15588+(-0.367404--1.593036))+0-7--0.0142799999999997</f>
        <v>937.28403200000002</v>
      </c>
      <c r="Y227" s="3">
        <f>1557.1+(177.6-797.6)+(0.794121+(0.090576-0.406776))+0-7-0.00356999999999929</f>
        <v>930.57435099999998</v>
      </c>
      <c r="Z227" s="3">
        <f>1548.2+(153.9-796.1)+(-2.368746+(-0.235467--1.218033))+0-7--0.0107100000000004</f>
        <v>897.62453000000005</v>
      </c>
      <c r="AA227" s="3">
        <f>1509.9+(160.6-790.1)+(-3.080196+(-0.327624--1.611804))+0-7--0.0142799999999997</f>
        <v>871.61826400000007</v>
      </c>
      <c r="AB227" s="3">
        <f>1450.4+(173.7-788.5)+(-1.479408+(-0.177174--0.80427))+0-7--0.00714000000000112</f>
        <v>827.7548280000002</v>
      </c>
      <c r="AC227" s="3">
        <f>1456.3+(95.6-777.3)+(-2.228139+(-0.146268--1.189269))+0-7--0.0107100000000004</f>
        <v>766.42557199999999</v>
      </c>
      <c r="AD227" s="2">
        <v>934.4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1449.8+(115.9-821.5)+(-3.69699+(-0.295545--2.094825))+0-7--0.017849999999999</f>
        <v>735.32013999999992</v>
      </c>
      <c r="G228" s="3">
        <f>1233.2+(78.9-642.3)+(0+(0-0))+0-7-0</f>
        <v>662.80000000000007</v>
      </c>
      <c r="H228" s="3">
        <f>1095.1+(103.8-568.9)+(-2.792505+(-0.26469--1.450695))+0-7--0.017849999999999</f>
        <v>621.41134999999997</v>
      </c>
      <c r="I228" s="3">
        <f>1102.8+(94.7-577.4)+(-1.687284+(-0.144891--0.883422))+0-7--0.0107100000000004</f>
        <v>612.16195699999992</v>
      </c>
      <c r="J228" s="3">
        <f>1106.9+(94-590.6)+(0+(0-0))+0-7-0</f>
        <v>603.30000000000007</v>
      </c>
      <c r="K228" s="3">
        <f>1115.7+(102.7-603.1)+(1.138014+(0.104754-0.615162))+0-7-0.00714000000000112</f>
        <v>608.92046599999992</v>
      </c>
      <c r="L228" s="3">
        <f>1080.8+(114.9-585.2)+(-3.858456+(-0.410193--2.089164))+0-7--0.0249900000000001</f>
        <v>601.34550499999989</v>
      </c>
      <c r="M228" s="3">
        <f>1037.8+(151.4-561.3)+(-1.587834+(-0.231642--0.858789))+0-7--0.0107100000000004</f>
        <v>619.95002299999999</v>
      </c>
      <c r="N228" s="3">
        <f>1154.8+(215.1-710.2)+(0+(0-0))+0-7-0</f>
        <v>652.69999999999993</v>
      </c>
      <c r="O228" s="3">
        <f>1232.2+(197.6-721.1)+(1.256844+(0.201552-0.735522))+0-7-0.00714000000000112</f>
        <v>702.41573400000004</v>
      </c>
      <c r="P228" s="3">
        <f>1226.7+(222.7-717.3)+(-1.876851+(-0.340731--1.097469))+0-7--0.0107100000000004</f>
        <v>723.99059700000021</v>
      </c>
      <c r="Q228" s="3">
        <f>1258.9+(189.5-742.8)+(0.642039+(0.096645-0.378828))+0-7-0.00356999999999929</f>
        <v>698.9562860000002</v>
      </c>
      <c r="R228" s="3">
        <f>1499.1+(168.7-929)+(-2.293623+(-0.258111--1.42137))+0-6--0.00918000000000035</f>
        <v>731.67881599999998</v>
      </c>
      <c r="S228" s="3">
        <f>1404.6+(199.1-890.5)+(-0.716346+(-0.101541--0.454155))+0-6--0.00305999999999939</f>
        <v>706.83932799999991</v>
      </c>
      <c r="T228" s="3">
        <f>1394.1+(181.9-877.6)+(-2.843964+(-0.371076--1.790304))+0-6--0.0122399999999997</f>
        <v>690.98750399999983</v>
      </c>
      <c r="U228" s="3">
        <f>1394.8+(186.3-883.1)+(-1.422696+(-0.190026--0.900762))+0-6--0.00612000000000096</f>
        <v>691.29416000000003</v>
      </c>
      <c r="V228" s="3">
        <f>1407.5+(150.3-863.5)+(0+(0-0))+0-6-0</f>
        <v>688.3</v>
      </c>
      <c r="W228" s="3">
        <f>1401.8+(172.5-803.1)+(-0.714918+(-0.087975--0.409581))+0-6--0.00305999999999939</f>
        <v>764.8097479999999</v>
      </c>
      <c r="X228" s="3">
        <f>1407.4+(231.4-757.2)+(-3.58887+(-0.59007--1.93086))+0-6--0.0152999999999991</f>
        <v>873.36722000000009</v>
      </c>
      <c r="Y228" s="3">
        <f>1407.5+(218.5-756.9)+(-2.8713+(-0.44574--1.544076))+0-7--0.0142799999999997</f>
        <v>860.34131600000001</v>
      </c>
      <c r="Z228" s="3">
        <f>1415.9+(191.2-748.8)+(-1.444218+(-0.195024--0.763776))+0-7--0.00714000000000112</f>
        <v>850.43167400000027</v>
      </c>
      <c r="AA228" s="3">
        <f>1412.7+(208.5-771.1)+(-1.440954+(-0.21267--0.786522))+0-7--0.00714000000000112</f>
        <v>842.24003800000003</v>
      </c>
      <c r="AB228" s="3">
        <f>1391+(193.5-763.6)+(-3.54705+(-0.493425--1.94718))+0-7--0.017849999999999</f>
        <v>811.82455499999992</v>
      </c>
      <c r="AC228" s="3">
        <f>1331.2+(177.7-725.2)+(-4.073472+(-0.543762--2.219112))+0-7--0.0214200000000008</f>
        <v>774.32329800000014</v>
      </c>
      <c r="AD228" s="2">
        <v>879.3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1246.6+(67.9-608)+(1.907298+(0.103887-0.93024))+0-4-0.00612000000000023</f>
        <v>703.57482499999992</v>
      </c>
      <c r="G229" s="3">
        <f>1079.4+(103.3-536.9)+(-2.201976+(-0.210732--1.095276))+0-4--0.00815999999999983</f>
        <v>640.4907280000001</v>
      </c>
      <c r="H229" s="3">
        <f>1054.5+(113.8-541.1)+(0.537795+(0.058038-0.275961))+0-4-0.00203999999999959</f>
        <v>623.51783200000011</v>
      </c>
      <c r="I229" s="3">
        <f>995.8+(115.8-502.1)+(2.53929+(0.29529-1.280355))+0-4-0.0101999999999994</f>
        <v>607.04402499999992</v>
      </c>
      <c r="J229" s="3">
        <f>1034.9+(95.5-524.3)+(-0.527799+(-0.048705--0.267393))+0-3--0.0015299999999997</f>
        <v>602.79241900000011</v>
      </c>
      <c r="K229" s="3">
        <f>1035.7+(88.4-515.5)+(-0.528207+(-0.045084--0.262905))+0-3--0.0015299999999997</f>
        <v>605.29114400000003</v>
      </c>
      <c r="L229" s="3">
        <f>982.4+(98.8-480.1)+(-2.004096+(-0.201552--0.979404))+0-7--0.0142799999999997</f>
        <v>592.88803599999994</v>
      </c>
      <c r="M229" s="3">
        <f>966.6+(182-530.2)+(0.492966+(0.09282-0.270402))+0-7-0.00356999999999929</f>
        <v>611.711814</v>
      </c>
      <c r="N229" s="3">
        <f>1024.3+(315.8-677.6)+(0+(0-0))+0-7-0</f>
        <v>655.5</v>
      </c>
      <c r="O229" s="3">
        <f>1112.9+(308.7-700.8)+(-0.567579+(-0.157437--0.357408))+0-7--0.00356999999999929</f>
        <v>713.43596200000013</v>
      </c>
      <c r="P229" s="3">
        <f>1177.6+(295.1-737.1)+(-2.402304+(-0.602004--1.503684))+0-7--0.0142799999999997</f>
        <v>727.11365599999988</v>
      </c>
      <c r="Q229" s="3">
        <f>1282.9+(271.1-791.2)+(1.308558+(0.276522-0.807024))+0-7-0.00714000000000112</f>
        <v>756.57091600000001</v>
      </c>
      <c r="R229" s="3">
        <f>1259.3+(270.2-800.4)+(-1.284486+(-0.275604--0.816408))+0-7--0.00714000000000112</f>
        <v>721.36345799999992</v>
      </c>
      <c r="S229" s="3">
        <f>1230.6+(260.9-771.8)+(-1.882818+(-0.399177--1.180854))+0-7--0.0107100000000004</f>
        <v>711.60956899999996</v>
      </c>
      <c r="T229" s="3">
        <f>1193.1+(272.5-762.8)+(0.608481+(0.138975-0.389028))+0-7-0.00356999999999929</f>
        <v>696.15485799999999</v>
      </c>
      <c r="U229" s="3">
        <f>1253+(241.8-780)+(0.63903+(0.123318-0.3978))+0-7-0.00356999999999929</f>
        <v>708.160978</v>
      </c>
      <c r="V229" s="3">
        <f>1470.1+(111.3-838.9)+(-1.499502+(-0.113526--0.855678))+0-7--0.00714000000000112</f>
        <v>734.74978999999996</v>
      </c>
      <c r="W229" s="3">
        <f>1524.1+(147.3-806.9)+(-0.777291+(-0.075123--0.411519))+0-7--0.00356999999999929</f>
        <v>857.06267500000001</v>
      </c>
      <c r="X229" s="3">
        <f>1527.4+(204.6-769.3)+(-2.336922+(-0.313038--1.177029))+0-7--0.0107100000000004</f>
        <v>954.23777900000016</v>
      </c>
      <c r="Y229" s="3">
        <f>1526.6+(182.1-766)+(-1.557132+(-0.185742--0.78132))+0-7--0.00714000000000112</f>
        <v>934.745586</v>
      </c>
      <c r="Z229" s="3">
        <f>1471.1+(202.2-758.5)+(-2.250783+(-0.309366--1.160505))+0-7--0.0107100000000004</f>
        <v>906.41106600000001</v>
      </c>
      <c r="AA229" s="3">
        <f>1481.6+(180.3-766.8)+(-0.755616+(-0.091953--0.391068))+0-7--0.00356999999999929</f>
        <v>887.64706899999987</v>
      </c>
      <c r="AB229" s="3">
        <f>1479.3+(137.5-771)+(-2.263329+(-0.210375--1.17963))+0-7--0.0107100000000004</f>
        <v>837.51663599999995</v>
      </c>
      <c r="AC229" s="3">
        <f>1469.8+(106.3-784.5)+(-1.499196+(-0.108426--0.80019))+0-7--0.00714000000000112</f>
        <v>783.79970800000001</v>
      </c>
      <c r="AD229" s="2">
        <v>956.59999999999991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1315.8+(131.4-749.4)+(0+(0-0))+0-7-0</f>
        <v>690.8</v>
      </c>
      <c r="G230" s="3">
        <f>1292.1+(93.5-705.1)+(-1.317942+(-0.09537--0.719202))+0-7--0.00714000000000112</f>
        <v>672.81302999999991</v>
      </c>
      <c r="H230" s="3">
        <f>1284.6+(74.2-690.9)+(-1.310292+(-0.075684--0.704718))+0-7--0.00714000000000112</f>
        <v>660.22588200000007</v>
      </c>
      <c r="I230" s="3">
        <f>1142.2+(55.1-557)+(-1.747566+(-0.084303--0.85221))+0-7--0.0107100000000004</f>
        <v>632.33105100000012</v>
      </c>
      <c r="J230" s="3">
        <f>1152.6+(49.5-557.4)+(1.175652+(0.05049-0.568548))+0-7-0.00714000000000112</f>
        <v>638.3504539999999</v>
      </c>
      <c r="K230" s="3">
        <f>1143.3+(46.2-550.4)+(0.583083+(0.023562-0.280704))+0-7-0.00356999999999929</f>
        <v>632.42237099999988</v>
      </c>
      <c r="L230" s="3">
        <f>1164.1+(79.3-592.8)+(-1.781073+(-0.121329--0.906984))+0-5--0.00765000000000029</f>
        <v>644.61223199999995</v>
      </c>
      <c r="M230" s="3">
        <f>1257.1+(94.2-641.3)+(1.282242+(0.096084-0.654126))+0-5-0.0051000000000008</f>
        <v>705.71910000000003</v>
      </c>
      <c r="N230" s="3">
        <f>1255.2+(215.4-701)+(-0.640152+(-0.109854--0.35751))+0-4--0.00203999999999959</f>
        <v>765.20954399999994</v>
      </c>
      <c r="O230" s="3">
        <f>1257.9+(269.2-708.8)+(3.849174+(0.823752-2.168928))+0-4-0.0122400000000005</f>
        <v>816.79175800000019</v>
      </c>
      <c r="P230" s="3">
        <f>1083.2+(340.9-608.1)+(-0.552432+(-0.173859--0.310131))+0-4--0.00203999999999959</f>
        <v>811.58587999999997</v>
      </c>
      <c r="Q230" s="3">
        <f>1252.3+(223.3-645.9)+(1.277346+(0.227766-0.658818))+0-4-0.00408000000000064</f>
        <v>826.54221399999994</v>
      </c>
      <c r="R230" s="3">
        <f>1143.9+(311.3-659.1)+(-1.166778+(-0.317526--0.672282))+0-7--0.00714000000000112</f>
        <v>788.29511800000023</v>
      </c>
      <c r="S230" s="3">
        <f>1111.2+(309.8-650.4)+(-1.133424+(-0.315996--0.663408))+0-7--0.00714000000000112</f>
        <v>762.82112800000016</v>
      </c>
      <c r="T230" s="3">
        <f>1188.6+(234.4-655.3)+(0.606186+(0.119544-0.334203))+0-7-0.00356999999999929</f>
        <v>761.08795699999996</v>
      </c>
      <c r="U230" s="3">
        <f>1204.7+(204.9-637.6)+(-2.457588+(-0.417996--1.300704))+0-7--0.0142799999999997</f>
        <v>763.43939999999998</v>
      </c>
      <c r="V230" s="3">
        <f>1319.8+(152.9-695.1)+(0.673098+(0.077979-0.354501))+0-7-0.00356999999999929</f>
        <v>770.99300599999992</v>
      </c>
      <c r="W230" s="3">
        <f>1430.5+(230.8-759.3)+(0+(0-0))+0-7-0</f>
        <v>895</v>
      </c>
      <c r="X230" s="3">
        <f>1477+(265.3-757.6)+(-3.76635+(-0.676515--1.93188))+0-7--0.017849999999999</f>
        <v>975.20686499999999</v>
      </c>
      <c r="Y230" s="3">
        <f>1489.6+(244.8-761.1)+(-0.759696+(-0.124848--0.388161))+0-7--0.00356999999999929</f>
        <v>965.80718699999989</v>
      </c>
      <c r="Z230" s="3">
        <f>1497.2+(249.6-784.8)+(-3.054288+(-0.509184--1.600992))+0-7--0.0142799999999997</f>
        <v>953.05180000000007</v>
      </c>
      <c r="AA230" s="3">
        <f>1513.3+(178.8-770.9)+(-4.630698+(-0.547128--2.358954))+0-7--0.0214200000000008</f>
        <v>911.40254800000002</v>
      </c>
      <c r="AB230" s="3">
        <f>1518.9+(164.6-809.8)+(-3.873195+(-0.41973--2.06499))+0-7--0.017849999999999</f>
        <v>864.48991500000011</v>
      </c>
      <c r="AC230" s="3">
        <f>1463.3+(105-773)+(-2.985132+(-0.2142--1.57692))+0-7--0.0142799999999997</f>
        <v>786.69186799999989</v>
      </c>
      <c r="AD230" s="2">
        <v>985.8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1115.3+(172.7-552.3)+(0+(0-0))+0-7-0</f>
        <v>728.7</v>
      </c>
      <c r="G231" s="3">
        <f>838.8+(239.8-429.2)+(-1.711152+(-0.489192--0.875568))+0-7--0.0142799999999997</f>
        <v>641.08950399999992</v>
      </c>
      <c r="H231" s="3">
        <f>796.5+(154.1-307.3)+(-0.406215+(-0.078591--0.156723))+0-7--0.00356999999999929</f>
        <v>635.97548699999993</v>
      </c>
      <c r="I231" s="3">
        <f>872.3+(84.1-337.4)+(0+(0-0))+0-7-0</f>
        <v>612</v>
      </c>
      <c r="J231" s="3">
        <f>911.4+(69.3-355.4)+(0.464814+(0.035343-0.181254))+0-7-0.00356999999999929</f>
        <v>618.61533299999996</v>
      </c>
      <c r="K231" s="3">
        <f>888.4+(103.3-339.8)+(-0.453084+(-0.052683--0.173298))+0-7--0.00356999999999929</f>
        <v>644.571101</v>
      </c>
      <c r="L231" s="3">
        <f>817.8+(331.5-492.4)+(-0.417078+(-0.169065--0.251124))+0-7--0.00356999999999929</f>
        <v>649.56855099999996</v>
      </c>
      <c r="M231" s="3">
        <f>821.8+(425.6-558.2)+(0+(0-0))+0-7-0</f>
        <v>682.19999999999993</v>
      </c>
      <c r="N231" s="3">
        <f>864.7+(462.5-580)+(-0.440997+(-0.235875--0.2958))+0-7--0.00356999999999929</f>
        <v>739.822498</v>
      </c>
      <c r="O231" s="3">
        <f>969.7+(422.5-597.5)+(0.494547+(0.215475-0.304725))+0-7-0.00356999999999929</f>
        <v>788.1017270000001</v>
      </c>
      <c r="P231" s="3">
        <f>942.2+(434.7-574.9)+(0+(0-0))+0-7-0</f>
        <v>795</v>
      </c>
      <c r="Q231" s="3">
        <f>931+(401.7-577.9)+(-0.47481+(-0.204867--0.294729))+0-7--0.00356999999999929</f>
        <v>747.41862199999991</v>
      </c>
      <c r="R231" s="3">
        <f>933.6+(375.4-574.7)+(-1.904544+(-0.765816--1.172388))+0-8--0.0163199999999997</f>
        <v>724.8183479999999</v>
      </c>
      <c r="S231" s="3">
        <f>951.6+(352.1-587.2)+(-1.455948+(-0.538713--0.898416))+0-8--0.0122400000000005</f>
        <v>707.41599500000007</v>
      </c>
      <c r="T231" s="3">
        <f>1045.1+(300.7-624.1)+(-1.066002+(-0.306714--0.636582))+0-8--0.00816000000000128</f>
        <v>712.9720259999998</v>
      </c>
      <c r="U231" s="3">
        <f>1125.4+(295.9-685.9)+(-1.721862+(-0.452727--1.049427))+0-8--0.0122400000000005</f>
        <v>726.28707800000007</v>
      </c>
      <c r="V231" s="3">
        <f>1130.9+(332.8-715.5)+(1.153518+(0.339456-0.72981))+0-8-0.00816000000000128</f>
        <v>740.95500400000003</v>
      </c>
      <c r="W231" s="3">
        <f>1118.8+(437.8-696)+(-1.141176+(-0.446556--0.70992))+0-8--0.00816000000000128</f>
        <v>851.73034799999994</v>
      </c>
      <c r="X231" s="3">
        <f>1128.5+(539.4-673.8)+(-2.877675+(-1.37547--1.71819))+0-8--0.0203999999999988</f>
        <v>983.58544500000005</v>
      </c>
      <c r="Y231" s="3">
        <f>1138.9+(488.1-661.7)+(-1.161678+(-0.497862--0.674934))+0-8--0.00816000000000128</f>
        <v>956.32355400000006</v>
      </c>
      <c r="Z231" s="3">
        <f>1143.1+(484-689.9)+(0.582981+(0.24684-0.351849))+0-8-0.00407999999999919</f>
        <v>929.67389199999991</v>
      </c>
      <c r="AA231" s="3">
        <f>1134.2+(429.4-656.1)+(-1.156884+(-0.437988--0.669222))+0-8--0.00816000000000128</f>
        <v>898.58250999999996</v>
      </c>
      <c r="AB231" s="3">
        <f>1140.7+(375.1-652.7)+(-0.581757+(-0.191301--0.332877))+0-8--0.00407999999999919</f>
        <v>854.66389900000001</v>
      </c>
      <c r="AC231" s="3">
        <f>1137.1+(294.4-639.6)+(-1.739763+(-0.450432--0.978588))+0-8--0.0122400000000005</f>
        <v>782.70063299999993</v>
      </c>
      <c r="AD231" s="2">
        <v>979.09999999999991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1106+(172.7-561.5)+(-2.25624+(-0.352308--1.14546))+0-7--0.0142799999999997</f>
        <v>708.75119200000006</v>
      </c>
      <c r="G232" s="3">
        <f>942.9+(157.3-428.7)+(-1.923516+(-0.320892--0.874548))+0-7--0.0142799999999997</f>
        <v>663.14441999999997</v>
      </c>
      <c r="H232" s="3">
        <f>952.1+(169.7-471.5)+(0+(0-0))+0-7-0</f>
        <v>643.29999999999995</v>
      </c>
      <c r="I232" s="3">
        <f>950.2+(186-494.1)+(-0.484602+(-0.09486--0.251991))+0-7--0.00356999999999929</f>
        <v>634.77609900000004</v>
      </c>
      <c r="J232" s="3">
        <f>927.5+(191.9-462.3)+(0+(0-0))+0-7-0</f>
        <v>650.1</v>
      </c>
      <c r="K232" s="3">
        <f>788.3+(182.9-322.6)+(0.402033+(0.093279-0.164526))+0-7-0.00356999999999929</f>
        <v>641.92721599999993</v>
      </c>
      <c r="L232" s="3">
        <f>788.8+(196.3-318)+(-1.609152+(-0.400452--0.64872))+0-0-0</f>
        <v>665.73911599999985</v>
      </c>
      <c r="M232" s="3">
        <f>954.2+(299.8-569.2)+(-1.459926+(-0.458694--0.870876))+0-0-0</f>
        <v>683.75225599999999</v>
      </c>
      <c r="N232" s="3">
        <f>1031.9+(388.2-673.4)+(-1.578807+(-0.593946--1.030302))+0-0-0</f>
        <v>745.55754899999999</v>
      </c>
      <c r="O232" s="3">
        <f>1098.2+(394.3-700.1)+(-0.560082+(-0.201093--0.357051))+0-0-0</f>
        <v>791.99587600000007</v>
      </c>
      <c r="P232" s="3">
        <f>1114.9+(339.6-682.9)+(0+(0-0))+0-0-0</f>
        <v>771.60000000000014</v>
      </c>
      <c r="Q232" s="3">
        <f>1137.4+(337.9-672.4)+(-1.160148+(-0.344658--0.685848))+0-0-0</f>
        <v>802.08104200000014</v>
      </c>
      <c r="R232" s="3">
        <f>1134.4+(318.8-689.8)+(-0.578544+(-0.162588--0.351798))+0-8--0.00407999999999919</f>
        <v>755.01474600000017</v>
      </c>
      <c r="S232" s="3">
        <f>1022.5+(397.2-676.6)+(2.0859+(0.810288-1.380264))+0-8-0.0163199999999997</f>
        <v>736.599604</v>
      </c>
      <c r="T232" s="3">
        <f>979.4+(427.4-654.7)+(0.998988+(0.435948-0.667794))+0-8-0.00816000000000128</f>
        <v>744.85898199999997</v>
      </c>
      <c r="U232" s="3">
        <f>967.5+(424.3-633.2)+(-2.467125+(-1.081965--1.61466))+0-8--0.0203999999999988</f>
        <v>748.68596999999988</v>
      </c>
      <c r="V232" s="3">
        <f>986+(448.2-674.3)+(1.50858+(0.685746-1.031679))+0-8-0.0122400000000005</f>
        <v>753.05040700000006</v>
      </c>
      <c r="W232" s="3">
        <f>1115.5+(452.3-671.6)+(-1.13781+(-0.461346--0.685032))+0-8--0.00816000000000128</f>
        <v>887.29403600000001</v>
      </c>
      <c r="X232" s="3">
        <f>1112.9+(546-666.1)+(-2.270316+(-1.11384--1.358844))+0-8--0.0163199999999997</f>
        <v>982.79100800000003</v>
      </c>
      <c r="Y232" s="3">
        <f>1095.2+(547.5-665.3)+(-3.351312+(-1.67535--2.035818))+0-8--0.0244800000000009</f>
        <v>966.43363600000009</v>
      </c>
      <c r="Z232" s="3">
        <f>1082.7+(526.2-657.7)+(-3.313062+(-1.610172--2.012562))+0-8--0.0244800000000009</f>
        <v>940.31380800000011</v>
      </c>
      <c r="AA232" s="3">
        <f>1069.1+(493-648)+(-1.635723+(-0.75429--0.99144))+0-8--0.0122400000000005</f>
        <v>904.71366699999987</v>
      </c>
      <c r="AB232" s="3">
        <f>1072.8+(478.7-683.4)+(0+(0-0))+0-8-0</f>
        <v>860.09999999999991</v>
      </c>
      <c r="AC232" s="3">
        <f>1061.7+(395.4-665.1)+(-2.165868+(-0.806616--1.356804))+0-8--0.0163199999999997</f>
        <v>782.40063999999995</v>
      </c>
      <c r="AD232" s="2">
        <v>972.5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1019.7+(282-599.8)+(-3.640329+(-1.00674--2.141286))+0-8--0.0285600000000001</f>
        <v>691.42277700000011</v>
      </c>
      <c r="G233" s="3">
        <f>1024.2+(147.9-492.8)+(-3.134052+(-0.452574--1.507968))+0-8--0.0244800000000009</f>
        <v>669.24582200000009</v>
      </c>
      <c r="H233" s="3">
        <f>1031+(165-533.7)+(-1.05162+(-0.1683--0.544374))+0-8--0.00816000000000128</f>
        <v>653.63261399999988</v>
      </c>
      <c r="I233" s="3">
        <f>907.4+(156-424.2)+(0+(0-0))+0-8-0</f>
        <v>631.20000000000005</v>
      </c>
      <c r="J233" s="3">
        <f>853.6+(156-383.8)+(0.870672+(0.15912-0.391476))+0-8-0.00816000000000128</f>
        <v>618.43015600000001</v>
      </c>
      <c r="K233" s="3">
        <f>933.4+(144.3-436.4)+(-0.476034+(-0.073593--0.222564))+0-8--0.00407999999999919</f>
        <v>632.97701700000005</v>
      </c>
      <c r="L233" s="3">
        <f>941.8+(158.4-450.2)+(-0.960636+(-0.161568--0.459204))+0-8--0.00816000000000128</f>
        <v>641.34515999999996</v>
      </c>
      <c r="M233" s="3">
        <f>1076+(212.2-639.5)+(-1.09752+(-0.216444--0.65229))+0-8--0.00816000000000128</f>
        <v>640.04648600000007</v>
      </c>
      <c r="N233" s="3">
        <f>1445.1+(142.2-831.8)+(-1.474002+(-0.145044--0.848436))+0-8--0.00816000000000128</f>
        <v>746.73754999999994</v>
      </c>
      <c r="O233" s="3">
        <f>1470.5+(94-792.4)+(2.249865+(0.14382-1.212372))+0-8-0.0122400000000005</f>
        <v>765.26907300000005</v>
      </c>
      <c r="P233" s="3">
        <f>1445.2+(94.1-731.7)+(-2.948208+(-0.191964--1.492668))+0-7--0.0142799999999997</f>
        <v>798.96677599999998</v>
      </c>
      <c r="Q233" s="3">
        <f>1447.2+(104.2-727.4)+(-2.952288+(-0.212568--1.483896))+0-7--0.0142799999999997</f>
        <v>815.33332000000007</v>
      </c>
      <c r="R233" s="3">
        <f>1436.2+(118.3-762.4)+(-1.464924+(-0.120666--0.777648))+0-8--0.00816000000000128</f>
        <v>783.30021799999997</v>
      </c>
      <c r="S233" s="3">
        <f>1424.9+(159-783.3)+(-2.906796+(-0.32436--1.597932))+0-8--0.0163199999999997</f>
        <v>790.98309600000005</v>
      </c>
      <c r="T233" s="3">
        <f>1427+(147.9-787.3)+(-1.45554+(-0.150858--0.803046))+0-8--0.00816000000000128</f>
        <v>778.80480799999998</v>
      </c>
      <c r="U233" s="3">
        <f>1347.4+(147.6-694.8)+(-1.374348+(-0.150552--0.708696))+0-8--0.00816000000000128</f>
        <v>791.39195600000016</v>
      </c>
      <c r="V233" s="3">
        <f>1223.2+(191.2-626.1)+(0.623832+(0.097512-0.319311))+0-8-0.00407999999999919</f>
        <v>780.69795299999987</v>
      </c>
      <c r="W233" s="3">
        <f>1335.5+(299.4-732.6)+(1.36221+(0.305388-0.747252))+0-8-0.00816000000000128</f>
        <v>895.21218599999997</v>
      </c>
      <c r="X233" s="3">
        <f>1428.7+(362.7-783.8)+(-2.185911+(-0.554931--1.199214))+0-8--0.0122400000000005</f>
        <v>998.07061200000021</v>
      </c>
      <c r="Y233" s="3">
        <f>1421.5+(335.4-769.2)+(-3.624825+(-0.85527--1.96146))+0-8--0.0203999999999988</f>
        <v>977.20176499999991</v>
      </c>
      <c r="Z233" s="3">
        <f>1371.3+(285.8-716.4)+(0.699363+(0.145758-0.365364))+0-8-0.00407999999999919</f>
        <v>933.17567699999995</v>
      </c>
      <c r="AA233" s="3">
        <f>1335.4+(273.4-696)+(-0.681054+(-0.139434--0.35496))+0-8--0.00407999999999919</f>
        <v>904.33855200000016</v>
      </c>
      <c r="AB233" s="3">
        <f>1280.2+(282-690.3)+(-2.611608+(-0.57528--1.408212))+0-8--0.0163199999999997</f>
        <v>862.13764400000002</v>
      </c>
      <c r="AC233" s="3">
        <f>1282.3+(217.6-691.3)+(-1.961919+(-0.332928--1.057689))+0-8--0.0122400000000005</f>
        <v>799.37508200000002</v>
      </c>
      <c r="AD233" s="2">
        <v>992.2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1286.9+(162.3-711)+(-0.656319+(-0.082773--0.36261))+0-8--0.00407999999999919</f>
        <v>729.82759800000008</v>
      </c>
      <c r="G234" s="3">
        <f>1200.5+(108.2-604.4)+(-0.612255+(-0.055182--0.308244))+0-8--0.00407999999999919</f>
        <v>695.94488699999999</v>
      </c>
      <c r="H234" s="3">
        <f>1122.2+(105.4-560.7)+(-1.144644+(-0.107508--0.571914))+0-8--0.00816000000000128</f>
        <v>658.22792199999992</v>
      </c>
      <c r="I234" s="3">
        <f>1125.4+(95.5-568.6)+(-0.573954+(-0.048705--0.289986))+0-8--0.00407999999999919</f>
        <v>643.97140700000011</v>
      </c>
      <c r="J234" s="3">
        <f>1121+(80.6-554.3)+(-2.85855+(-0.20553--1.413465))+0-8--0.0203999999999988</f>
        <v>637.66978500000005</v>
      </c>
      <c r="K234" s="3">
        <f>1126.4+(90.8-561.4)+(1.148928+(0.092616-0.572628))+0-8-0.00816000000000128</f>
        <v>648.46075600000017</v>
      </c>
      <c r="L234" s="3">
        <f>1118.5+(87-540.8)+(-3.42261+(-0.26622--1.654848))+0-8--0.0244800000000009</f>
        <v>654.69049800000005</v>
      </c>
      <c r="M234" s="3">
        <f>1127.6+(109.2-563.8)+(0+(0-0))+0-8-0</f>
        <v>665</v>
      </c>
      <c r="N234" s="3">
        <f>1125.5+(105.5-481.9)+(-1.14801+(-0.10761--0.491538))+0-8--0.00816000000000128</f>
        <v>740.34407799999997</v>
      </c>
      <c r="O234" s="3">
        <f>1126.8+(76.9-411.2)+(0.574668+(0.039219-0.209712))+0-7-0.00356999999999929</f>
        <v>785.90060500000004</v>
      </c>
      <c r="P234" s="3">
        <f>1123.1+(74.6-384.7)+(-1.145562+(-0.076092--0.392394))+0-7--0.00714000000000112</f>
        <v>805.17787999999996</v>
      </c>
      <c r="Q234" s="3">
        <f>1169.3+(52-411.3)+(-1.192686+(-0.05304--0.419526))+0-7--0.00714000000000112</f>
        <v>802.18094000000008</v>
      </c>
      <c r="R234" s="3">
        <f>1247.4+(48.2-507.5)+(-3.18087+(-0.12291--1.294125))+0-7--0.017849999999999</f>
        <v>779.10819500000014</v>
      </c>
      <c r="S234" s="3">
        <f>1254.4+(51.2-539.5)+(-1.279488+(-0.052224--0.55029))+0-7--0.00714000000000112</f>
        <v>758.32571800000017</v>
      </c>
      <c r="T234" s="3">
        <f>1260+(50.4-546.8)+(0+(0-0))+0-7-0</f>
        <v>756.6</v>
      </c>
      <c r="U234" s="3">
        <f>1254.5+(54.2-547.8)+(-1.27959+(-0.055284--0.558756))+0-7--0.00714000000000112</f>
        <v>753.13102200000014</v>
      </c>
      <c r="V234" s="3">
        <f>1267.1+(54.5-555.6)+(0+(0-0))+0-7-0</f>
        <v>758.99999999999989</v>
      </c>
      <c r="W234" s="3">
        <f>1428.7+(77.4-620.3)+(0.728637+(0.039474-0.316353))+0-7-0.00356999999999929</f>
        <v>879.24818800000014</v>
      </c>
      <c r="X234" s="3">
        <f>1446.5+(95.9-567.6)+(-4.42629+(-0.293454--1.736856))+0-7--0.0214200000000008</f>
        <v>964.83853199999999</v>
      </c>
      <c r="Y234" s="3">
        <f>1455.6+(84.5-588.8)+(-4.454136+(-0.25857--1.801728))+0-7--0.0214200000000008</f>
        <v>941.41044199999999</v>
      </c>
      <c r="Z234" s="3">
        <f>1470.6+(64.3-614.7)+(-2.250018+(-0.098379--0.940491))+0-7--0.0107100000000004</f>
        <v>911.80280399999981</v>
      </c>
      <c r="AA234" s="3">
        <f>1474.7+(56.2-622.7)+(-2.256291+(-0.085986--0.952731))+0-7--0.0107100000000004</f>
        <v>899.82116400000007</v>
      </c>
      <c r="AB234" s="3">
        <f>1469.1+(56.6-652)+(-2.996964+(-0.115464--1.33008))+0-7--0.0142799999999997</f>
        <v>864.93193199999996</v>
      </c>
      <c r="AC234" s="3">
        <f>1480.9+(55.4-718.3)+(-0.755259+(-0.028254--0.366333))+0-7--0.00356999999999929</f>
        <v>810.58639000000005</v>
      </c>
      <c r="AD234" s="2">
        <v>956.3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1477.4+(33.9-763)+(-3.76737+(-0.086445--1.94565))+0-7--0.017849999999999</f>
        <v>739.40968499999997</v>
      </c>
      <c r="G235" s="3">
        <f>1479.6+(36.5-794.5)+(-1.509192+(-0.03723--0.81039))+0-7--0.00714000000000112</f>
        <v>713.87110799999994</v>
      </c>
      <c r="H235" s="3">
        <f>1342.2+(46-701.3)+(-2.053566+(-0.07038--1.072989))+0-7--0.0107100000000004</f>
        <v>678.85975300000007</v>
      </c>
      <c r="I235" s="3">
        <f>1224.6+(104.1-671.8)+(-0.624546+(-0.053091--0.342618))+0-7--0.00356999999999929</f>
        <v>649.56855099999996</v>
      </c>
      <c r="J235" s="3">
        <f>1186.4+(87.8-619.7)+(-0.605064+(-0.044778--0.316047))+0-7--0.00356999999999929</f>
        <v>647.16977499999996</v>
      </c>
      <c r="K235" s="3">
        <f>1163.6+(89.8-608.7)+(0.593436+(0.045798-0.310437))+0-7-0.00356999999999929</f>
        <v>638.02522699999986</v>
      </c>
      <c r="L235" s="3">
        <f>1173.7+(110.7-636.7)+(-1.197174+(-0.112914--0.649434))+0-7--0.00714000000000112</f>
        <v>640.04648600000007</v>
      </c>
      <c r="M235" s="3">
        <f>1211.5+(107.7-684.5)+(0+(0-0))+0-7-0</f>
        <v>627.70000000000005</v>
      </c>
      <c r="N235" s="3">
        <f>1310.3+(82-708)+(-0.668253+(-0.04182--0.36108))+0-7--0.00356999999999929</f>
        <v>676.95457699999997</v>
      </c>
      <c r="O235" s="3">
        <f>1443.5+(34.3-758.9)+(2.208555+(0.052479-1.161117))+0-7-0.0107100000000004</f>
        <v>712.98920699999996</v>
      </c>
      <c r="P235" s="3">
        <f>1487.4+(43.8-762.6)+(2.275722+(0.067014-1.166778))+0-7-0.0107100000000004</f>
        <v>762.76524800000004</v>
      </c>
      <c r="Q235" s="3">
        <f>1433.7+(50.1-711.2)+(-2.193561+(-0.076653--1.088136))+0-7--0.0107100000000004</f>
        <v>764.42863199999999</v>
      </c>
      <c r="R235" s="3">
        <f>1402+(44.6-701.2)+(-3.5751+(-0.11373--1.78806))+0-7--0.017849999999999</f>
        <v>736.51707999999996</v>
      </c>
      <c r="S235" s="3">
        <f>1404.6+(41.9-712.9)+(-3.58173+(-0.106845--1.817895))+0-7--0.017849999999999</f>
        <v>724.74716999999987</v>
      </c>
      <c r="T235" s="3">
        <f>1407.6+(44-728.7)+(-3.58938+(-0.1122--1.858185))+0-7--0.017849999999999</f>
        <v>714.07445499999983</v>
      </c>
      <c r="U235" s="3">
        <f>1408.9+(45.2-732.7)+(-2.874156+(-0.092208--1.494708))+0-7--0.0142799999999997</f>
        <v>712.94262400000002</v>
      </c>
      <c r="V235" s="3">
        <f>1405.9+(50.9-718.3)+(-2.151027+(-0.077877--1.098999))+0-7--0.0107100000000004</f>
        <v>730.38080500000012</v>
      </c>
      <c r="W235" s="3">
        <f>1351.8+(85.2-593.1)+(-1.378836+(-0.086904--0.604962))+0-7--0.00714000000000112</f>
        <v>836.04636199999993</v>
      </c>
      <c r="X235" s="3">
        <f>1402.9+(108.7-563.1)+(-2.861916+(-0.221748--1.148724))+0-7--0.0142799999999997</f>
        <v>939.57934</v>
      </c>
      <c r="Y235" s="3">
        <f>1414.2+(213.8-692.2)+(0+(0-0))+0-7-0</f>
        <v>928.8</v>
      </c>
      <c r="Z235" s="3">
        <f>1349.4+(259.6-685.3)+(-1.376388+(-0.264792--0.699006))+0-7--0.00714000000000112</f>
        <v>915.76496600000019</v>
      </c>
      <c r="AA235" s="3">
        <f>1321.9+(239.3-664.6)+(-1.348338+(-0.244086--0.677892))+0-7--0.00714000000000112</f>
        <v>888.69260800000018</v>
      </c>
      <c r="AB235" s="3">
        <f>1332.9+(207-681.3)+(-2.719116+(-0.42228--1.389852))+0-7--0.0142799999999997</f>
        <v>849.86273600000015</v>
      </c>
      <c r="AC235" s="3">
        <f>1262+(106.5-607.6)+(-3.2181+(-0.271575--1.54938))+0-7--0.017849999999999</f>
        <v>751.97755499999994</v>
      </c>
      <c r="AD235" s="2">
        <v>930.09999999999991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1191.3+(39.7-526.1)+(-1.215126+(-0.040494--0.536622))+0-7--0.00714000000000112</f>
        <v>697.18814199999986</v>
      </c>
      <c r="G236" s="3">
        <f>1189.9+(41.5-574.5)+(-2.427396+(-0.08466--1.17198))+0-7--0.0142799999999997</f>
        <v>648.57420400000012</v>
      </c>
      <c r="H236" s="3">
        <f>1234.6+(44.4-632.8)+(-0.629646+(-0.022644--0.322728))+0-7--0.00356999999999929</f>
        <v>638.87400799999989</v>
      </c>
      <c r="I236" s="3">
        <f>1233.9+(43.8-630.5)+(-2.517156+(-0.089352--1.28622))+0-7--0.0142799999999997</f>
        <v>638.89399200000003</v>
      </c>
      <c r="J236" s="3">
        <f>1229.5+(44.7-631)+(-3.135225+(-0.113985--1.60905))+0-7--0.017849999999999</f>
        <v>634.57768999999996</v>
      </c>
      <c r="K236" s="3">
        <f>1247.5+(37.3-635.6)+(2.5449+(0.076092-1.296624))+0-7-0.0142799999999997</f>
        <v>643.510088</v>
      </c>
      <c r="L236" s="3">
        <f>1238.7+(49-618.3)+(-1.895211+(-0.07497--0.945999))+0-7--0.0107100000000004</f>
        <v>661.38652800000011</v>
      </c>
      <c r="M236" s="3">
        <f>1243.8+(56.6-602.5)+(-1.268676+(-0.057732--0.61455))+0-7--0.00714000000000112</f>
        <v>690.19528200000002</v>
      </c>
      <c r="N236" s="3">
        <f>1342.2+(105.5-683.9)+(-2.053566+(-0.161415--1.046367))+0-7--0.0107100000000004</f>
        <v>755.64209600000004</v>
      </c>
      <c r="O236" s="3">
        <f>1390.7+(141.5-723.5)+(0+(0-0))+0-7-0</f>
        <v>801.7</v>
      </c>
      <c r="P236" s="3">
        <f>1379.4+(145.8-693.2)+(0+(0-0))+0-7-0</f>
        <v>825</v>
      </c>
      <c r="Q236" s="3">
        <f>1366.7+(168.1-703.1)+(-2.788068+(-0.342924--1.434324))+0-7--0.0142799999999997</f>
        <v>823.01761199999999</v>
      </c>
      <c r="R236" s="3">
        <f>1392.4+(156.7-768.7)+(-4.260744+(-0.479502--2.352222))+0-7--0.0214200000000008</f>
        <v>771.03339600000015</v>
      </c>
      <c r="S236" s="3">
        <f>1520+(173.6-916.3)+(-3.1008+(-0.354144--1.869252))+0-7--0.0142799999999997</f>
        <v>768.72858800000006</v>
      </c>
      <c r="T236" s="3">
        <f>1536.2+(156-907.2)+(-2.350386+(-0.23868--1.388016))+0-7--0.0107100000000004</f>
        <v>776.80966000000001</v>
      </c>
      <c r="U236" s="3">
        <f>1541.1+(152.2-889.9)+(-3.143844+(-0.310488--1.815396))+0-7--0.0142799999999997</f>
        <v>794.7753439999999</v>
      </c>
      <c r="V236" s="3">
        <f>1505.5+(143.2-829.5)+(-1.53561+(-0.146064--0.84609))+0-7--0.00714000000000112</f>
        <v>811.37155600000006</v>
      </c>
      <c r="W236" s="3">
        <f>1551.9+(181-795.7)+(-2.374407+(-0.27693--1.217421))+0-7--0.0107100000000004</f>
        <v>928.77679400000011</v>
      </c>
      <c r="X236" s="3">
        <f>1547.4+(211.4-768.9)+(-3.94587+(-0.53907--1.960695))+0-7--0.017849999999999</f>
        <v>980.39360500000009</v>
      </c>
      <c r="Y236" s="3">
        <f>1528+(224.5-783.8)+(-2.33784+(-0.343485--1.199214))+0-7--0.0107100000000004</f>
        <v>960.22859900000003</v>
      </c>
      <c r="Z236" s="3">
        <f>1521.2+(217.3-795.1)+(-1.551624+(-0.221646--0.811002))+0-7--0.00714000000000112</f>
        <v>935.44487200000015</v>
      </c>
      <c r="AA236" s="3">
        <f>1511.6+(186.9-782.1)+(-3.85458+(-0.476595--1.994355))+0-7--0.017849999999999</f>
        <v>907.08102999999983</v>
      </c>
      <c r="AB236" s="3">
        <f>1458.8+(210.6-789.2)+(0+(0-0))+0-7-0</f>
        <v>873.19999999999993</v>
      </c>
      <c r="AC236" s="3">
        <f>1422.7+(158.9-768.7)+(-3.627885+(-0.405195--1.960185))+0-7--0.017849999999999</f>
        <v>803.84495499999991</v>
      </c>
      <c r="AD236" s="2">
        <v>988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1429.9+(140.3-795.6)+(-2.187747+(-0.214659--1.217268))+0-7--0.0107100000000004</f>
        <v>766.4255720000001</v>
      </c>
      <c r="G237" s="3">
        <f>1247.8+(198.3-736.7)+(-1.272756+(-0.202266--0.751434))+0-7--0.00714000000000112</f>
        <v>701.68355199999996</v>
      </c>
      <c r="H237" s="3">
        <f>1166.8+(158.7-657)+(-0.595068+(-0.080937--0.33507))+0-7--0.00356999999999929</f>
        <v>661.16263500000002</v>
      </c>
      <c r="I237" s="3">
        <f>1140.9+(153.2-626.7)+(0.581859+(0.078132-0.319617))+0-7-0.00356999999999929</f>
        <v>660.73680400000012</v>
      </c>
      <c r="J237" s="3">
        <f>1138.3+(130.3-618.8)+(-0.580533+(-0.066453--0.315588))+0-7--0.00356999999999929</f>
        <v>642.47217199999989</v>
      </c>
      <c r="K237" s="3">
        <f>1148.9+(129.6-619)+(1.757817+(0.198288-0.94707))+0-7-0.0107100000000004</f>
        <v>653.49832500000014</v>
      </c>
      <c r="L237" s="3">
        <f>1265.9+(91.6-687.5)+(-2.582436+(-0.186864--1.4025))+0-0-0</f>
        <v>668.6332000000001</v>
      </c>
      <c r="M237" s="3">
        <f>1371.8+(116.6-810.5)+(0+(0-0))+0-0-0</f>
        <v>677.9</v>
      </c>
      <c r="N237" s="3">
        <f>1480.2+(94.2-827.7)+(0.754902+(0.048042-0.422127))+0-0-0</f>
        <v>747.08081700000002</v>
      </c>
      <c r="O237" s="3">
        <f>1496.1+(82.4-791)+(3.052044+(0.168096-1.61364))+0-0-0</f>
        <v>789.10649999999987</v>
      </c>
      <c r="P237" s="3">
        <f>1486.9+(100.3-781.5)+(-0.758319+(-0.051153--0.398565))+0-0-0</f>
        <v>805.28909300000009</v>
      </c>
      <c r="Q237" s="3">
        <f>1482.5+(109.9-778.3)+(-1.51215+(-0.112098--0.793866))+0-0-0</f>
        <v>813.26961800000004</v>
      </c>
      <c r="R237" s="3">
        <f>1422.3+(180-813.9)+(-0.725373+(-0.0918--0.415089))+0-0-0</f>
        <v>787.99791600000003</v>
      </c>
      <c r="S237" s="3">
        <f>1440.8+(155.1-844.6)+(-1.469616+(-0.158202--0.861492))+0-7--0.00714000000000112</f>
        <v>743.54081399999995</v>
      </c>
      <c r="T237" s="3">
        <f>1434.7+(146.9-830.8)+(1.463394+(0.149838-0.847416))+0-7-0.00714000000000112</f>
        <v>744.55867599999999</v>
      </c>
      <c r="U237" s="3">
        <f>1412.9+(133.6-800.5)+(-2.161737+(-0.204408--1.224765))+0-7--0.0107100000000004</f>
        <v>737.8693300000001</v>
      </c>
      <c r="V237" s="3">
        <f>1447.3+(101.9-786.7)+(-0.738123+(-0.051969--0.401217))+0-7--0.00356999999999929</f>
        <v>755.11469499999987</v>
      </c>
      <c r="W237" s="3">
        <f>1508.7+(160.8-786.4)+(-0.769437+(-0.082008--0.401064))+0-7--0.00356999999999929</f>
        <v>875.65318900000011</v>
      </c>
      <c r="X237" s="3">
        <f>1540.1+(204.8-754.4)+(-2.356353+(-0.313344--1.154232))+0-7--0.0107100000000004</f>
        <v>981.99524500000007</v>
      </c>
      <c r="Y237" s="3">
        <f>1532.4+(188.6-746.1)+(-3.90762+(-0.48093--1.902555))+0-7--0.017849999999999</f>
        <v>965.43185500000004</v>
      </c>
      <c r="Z237" s="3">
        <f>1536.9+(159.7-750.4)+(-3.135276+(-0.325788--1.530816))+0-7--0.0142799999999997</f>
        <v>937.28403200000002</v>
      </c>
      <c r="AA237" s="3">
        <f>1551.6+(137.3-773.5)+(-1.582632+(-0.140046--0.78897))+0-7--0.00714000000000112</f>
        <v>907.47343199999989</v>
      </c>
      <c r="AB237" s="3">
        <f>1546.9+(113.8-787.1)+(-3.944595+(-0.29019--2.007105))+0-7--0.017849999999999</f>
        <v>864.39017000000001</v>
      </c>
      <c r="AC237" s="3">
        <f>1537.4+(83.9-796)+(-3.92037+(-0.213945--2.0298))+0-7--0.017849999999999</f>
        <v>816.21333500000003</v>
      </c>
      <c r="AD237" s="2">
        <v>990.2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1461.5+(67.4-764.9)+(-2.98146+(-0.137496--1.560396))+0-7--0.0142799999999997</f>
        <v>755.45571999999993</v>
      </c>
      <c r="G238" s="3">
        <f>1254.6+(119.8-672.1)+(-0.639846+(-0.061098--0.342771))+0-7--0.00356999999999929</f>
        <v>694.94539699999984</v>
      </c>
      <c r="H238" s="3">
        <f>1116+(138-590.7)+(-1.13832+(-0.14076--0.602514))+0-7--0.00714000000000112</f>
        <v>655.63057400000002</v>
      </c>
      <c r="I238" s="3">
        <f>1112.3+(143-598.9)+(-1.134546+(-0.14586--0.610878))+0-7--0.00714000000000112</f>
        <v>648.73761200000001</v>
      </c>
      <c r="J238" s="3">
        <f>1107.7+(135-588.7)+(-1.694781+(-0.20655--0.900711))+0-7--0.0107100000000004</f>
        <v>646.01008999999999</v>
      </c>
      <c r="K238" s="3">
        <f>1112.7+(109.5-572.5)+(0+(0-0))+0-7-0</f>
        <v>642.70000000000005</v>
      </c>
      <c r="L238" s="3">
        <f>1113.6+(84.2-528.2)+(-0.567936+(-0.042942--0.269382))+0-7--0.00356999999999929</f>
        <v>662.26207399999987</v>
      </c>
      <c r="M238" s="3">
        <f>1139.8+(68.9-511.9)+(-0.581298+(-0.035139--0.261069))+0-7--0.00356999999999929</f>
        <v>689.44820199999992</v>
      </c>
      <c r="N238" s="3">
        <f>1439+(51.1-695)+(-1.46778+(-0.052122--0.7089))+0-7--0.00714000000000112</f>
        <v>787.29613800000004</v>
      </c>
      <c r="O238" s="3">
        <f>1484.3+(35.9-725.6)+(-0.756993+(-0.018309--0.370056))+0-7--0.00356999999999929</f>
        <v>787.19832399999984</v>
      </c>
      <c r="P238" s="3">
        <f>1445.8+(38.1-646.9)+(1.474716+(0.038862-0.659838))+0-7-0.00714000000000112</f>
        <v>830.84659999999997</v>
      </c>
      <c r="Q238" s="3">
        <f>1389.1+(106.7-664.4)+(-0.708441+(-0.054417--0.338844))+0-7--0.00356999999999929</f>
        <v>823.97955599999989</v>
      </c>
      <c r="R238" s="3">
        <f>1462.9+(140.7-805.1)+(-2.984316+(-0.287028--1.642404))+0-7--0.0142799999999997</f>
        <v>789.88533999999993</v>
      </c>
      <c r="S238" s="3">
        <f>1463.1+(87.6-783.5)+(-2.238543+(-0.134028--1.198755))+0-7--0.0107100000000004</f>
        <v>759.03689399999996</v>
      </c>
      <c r="T238" s="3">
        <f>1478.3+(74.6-786)+(0.753933+(0.038046-0.40086))+0-7-0.00356999999999929</f>
        <v>760.28754900000001</v>
      </c>
      <c r="U238" s="3">
        <f>1470.6+(99.5-806.8)+(-0.750006+(-0.050745--0.411468))+0-7--0.00356999999999929</f>
        <v>755.91428699999994</v>
      </c>
      <c r="V238" s="3">
        <f>1482+(106.4-799.9)+(2.26746+(0.162792-1.223847))+0-7-0.0107100000000004</f>
        <v>782.695695</v>
      </c>
      <c r="W238" s="3">
        <f>1464.4+(191.5-746.7)+(-1.493688+(-0.19533--0.761634))+0-7--0.00714000000000112</f>
        <v>901.27975600000013</v>
      </c>
      <c r="X238" s="3">
        <f>1439.5+(217.7-700.5)+(-2.93658+(-0.444108--1.42902))+0-7--0.0142799999999997</f>
        <v>947.76261199999999</v>
      </c>
      <c r="Y238" s="3">
        <f>1502.4+(183.2-748)+(-3.83112+(-0.46716--1.9074))+0-7--0.017849999999999</f>
        <v>928.22697000000005</v>
      </c>
      <c r="Z238" s="3">
        <f>1520.2+(144.5-766.1)+(-2.325906+(-0.221085--1.172133))+0-7--0.0107100000000004</f>
        <v>890.23585200000002</v>
      </c>
      <c r="AA238" s="3">
        <f>1515.5+(130.6-767)+(-2.318715+(-0.199818--1.17351))+0-7--0.0107100000000004</f>
        <v>870.76568700000007</v>
      </c>
      <c r="AB238" s="3">
        <f>1396+(199.8-729.2)+(-0.71196+(-0.101898--0.371892))+0-7--0.00356999999999929</f>
        <v>859.1616039999999</v>
      </c>
      <c r="AC238" s="3">
        <f>1199.7+(222.6-661.9)+(-1.835541+(-0.340578--1.012707))+0-7--0.0107100000000004</f>
        <v>752.24729800000011</v>
      </c>
      <c r="AD238" s="2">
        <v>956.1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1107.7+(133-554.5)+(-0.564927+(-0.06783--0.282795))+0-7--0.00356999999999929</f>
        <v>678.85360800000001</v>
      </c>
      <c r="G239" s="3">
        <f>1035.7+(119.1-504.8)+(-1.056414+(-0.121482--0.514896))+0-7--0.00714000000000112</f>
        <v>642.34414000000004</v>
      </c>
      <c r="H239" s="3">
        <f>1041+(118-537.8)+(0+(0-0))+0-7-0</f>
        <v>614.20000000000005</v>
      </c>
      <c r="I239" s="3">
        <f>1035.2+(115.2-536.4)+(-1.055904+(-0.117504--0.547128))+0-7--0.00714000000000112</f>
        <v>606.3808600000001</v>
      </c>
      <c r="J239" s="3">
        <f>1086.1+(114.7-581.9)+(0+(0-0))+0-7-0</f>
        <v>611.89999999999986</v>
      </c>
      <c r="K239" s="3">
        <f>1089.8+(94-576.4)+(-1.111596+(-0.09588--0.587928))+0-7--0.00714000000000112</f>
        <v>599.78759200000002</v>
      </c>
      <c r="L239" s="3">
        <f>1232.1+(68.4-675.3)+(-1.885113+(-0.104652--1.033209))+0-7--0.0107100000000004</f>
        <v>617.25415399999997</v>
      </c>
      <c r="M239" s="3">
        <f>1324.5+(103.1-792.5)+(-1.35099+(-0.105162--0.80835))+0-7--0.00714000000000112</f>
        <v>627.45933800000012</v>
      </c>
      <c r="N239" s="3">
        <f>1510.4+(94.8-892.7)+(-3.081216+(-0.193392--1.821108))+0-7--0.0142799999999997</f>
        <v>704.06078000000002</v>
      </c>
      <c r="O239" s="3">
        <f>1436.2+(73.9-735.2)+(0+(0-0))+0-7-0</f>
        <v>767.9</v>
      </c>
      <c r="P239" s="3">
        <f>1366.4+(78-673.5)+(-1.393728+(-0.07956--0.68697))+0-7--0.00714000000000112</f>
        <v>763.12082200000009</v>
      </c>
      <c r="Q239" s="3">
        <f>1367.7+(113.8-696.9)+(-0.697527+(-0.058038--0.355419))+0-7--0.00356999999999929</f>
        <v>777.20342400000004</v>
      </c>
      <c r="R239" s="3">
        <f>1354.4+(80.2-688.4)+(-3.45372+(-0.20451--1.75542))+0-7--0.017849999999999</f>
        <v>737.31504000000007</v>
      </c>
      <c r="S239" s="3">
        <f>1373.5+(119.8-759.5)+(-0.700485+(-0.061098--0.387345))+0-7--0.00356999999999929</f>
        <v>726.42933199999993</v>
      </c>
      <c r="T239" s="3">
        <f>1424.5+(160.9-865.3)+(-1.45299+(-0.164118--0.882606))+0-7--0.00714000000000112</f>
        <v>712.37263800000005</v>
      </c>
      <c r="U239" s="3">
        <f>1509+(119.1-892.7)+(-1.53918+(-0.121482--0.910554))+0-7--0.00714000000000112</f>
        <v>727.65703200000007</v>
      </c>
      <c r="V239" s="3">
        <f>1557.2+(116.2-921.1)+(-2.382516+(-0.177786--1.409283))+0.5-7--0.0107100000000004</f>
        <v>744.65969100000007</v>
      </c>
      <c r="W239" s="3">
        <f>1656.7+(160.5-938.5)+(-1.689834+(-0.16371--0.95727))+0.3-7--0.00714000000000112</f>
        <v>871.1108660000001</v>
      </c>
      <c r="X239" s="3">
        <f>1830.5+(114.9-982.5)+(-3.73422+(-0.234396--2.0043))+0-7--0.0142799999999997</f>
        <v>953.94996399999991</v>
      </c>
      <c r="Y239" s="3">
        <f>1730.2+(144.5-948.4)+(-3.529608+(-0.29478--1.934736))+0-7--0.0142799999999997</f>
        <v>917.4246280000001</v>
      </c>
      <c r="Z239" s="3">
        <f>1681.7+(171.5-947.8)+(-4.288335+(-0.437325--2.41689))+1.8-7--0.017849999999999</f>
        <v>897.90908000000002</v>
      </c>
      <c r="AA239" s="3">
        <f>1662.8+(169.4-948.8)+(-2.544084+(-0.259182--1.451664))+0-7--0.0107100000000004</f>
        <v>875.05910800000004</v>
      </c>
      <c r="AB239" s="3">
        <f>1711.7+(136-998.9)+(-4.364835+(-0.3468--2.547195))+0-7--0.017849999999999</f>
        <v>839.65341000000001</v>
      </c>
      <c r="AC239" s="3">
        <f>1751.6+(47.6-1010.5)+(-3.573264+(-0.097104--2.06142))+0-7--0.0142799999999997</f>
        <v>780.10533199999986</v>
      </c>
      <c r="AD239" s="2">
        <v>961.3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1634+(38.1-943.4)+(-2.50002+(-0.058293--1.443402))+0-7--0.0107100000000004</f>
        <v>720.59579900000006</v>
      </c>
      <c r="G240" s="3">
        <f>1530.9+(32.7-865.8)+(-2.342277+(-0.050031--1.324674))+0-7--0.0107100000000004</f>
        <v>689.7430760000002</v>
      </c>
      <c r="H240" s="3">
        <f>1343.8+(30.7-712.9)+(-0.685338+(-0.015657--0.363579))+0-7--0.00356999999999929</f>
        <v>654.26615400000003</v>
      </c>
      <c r="I240" s="3">
        <f>1287.4+(25.8-662.7)+(-0.656574+(-0.013158--0.337977))+0-7--0.00356999999999929</f>
        <v>643.17181499999992</v>
      </c>
      <c r="J240" s="3">
        <f>1304.4+(30.2-687.7)+(-1.330488+(-0.030804--0.701454))+0-7--0.00714000000000112</f>
        <v>639.2473020000001</v>
      </c>
      <c r="K240" s="3">
        <f>1363.1+(25-744.8)+(2.085543+(0.03825-1.139544))+0-7-0.0107100000000004</f>
        <v>637.27353899999991</v>
      </c>
      <c r="L240" s="3">
        <f>1363.1+(31.6-737.9)+(-0.695181+(-0.016116--0.376329))+0-7--0.00356999999999929</f>
        <v>649.46860199999992</v>
      </c>
      <c r="M240" s="3">
        <f>1366.8+(30.2-722.3)+(1.394136+(0.030804-0.736746))+0-7-0.00714000000000112</f>
        <v>668.38105399999995</v>
      </c>
      <c r="N240" s="3">
        <f>1321.2+(31.1-631.6)+(1.347624+(0.031722-0.644232))+0-7-0.00714000000000112</f>
        <v>714.42797399999995</v>
      </c>
      <c r="O240" s="3">
        <f>1340.4+(40-598.8)+(-1.367208+(-0.0408--0.610776))+0-7--0.00714000000000112</f>
        <v>773.80990800000018</v>
      </c>
      <c r="P240" s="3">
        <f>1329.9+(63.4-582.2)+(-1.356498+(-0.064668--0.593844))+0-7--0.00714000000000112</f>
        <v>803.27981800000009</v>
      </c>
      <c r="Q240" s="3">
        <f>1358.9+(41.5-609.8)+(1.386078+(0.04233-0.621996))+0-7-0.00714000000000112</f>
        <v>784.39927200000011</v>
      </c>
      <c r="R240" s="3">
        <f>1375.1+(37.9-641)+(-2.805204+(-0.077316--1.30764))+0-7--0.0142799999999997</f>
        <v>763.43939999999986</v>
      </c>
      <c r="S240" s="3">
        <f>1342.2+(47-628.2)+(0+(0-0))+0-7-0</f>
        <v>754</v>
      </c>
      <c r="T240" s="3">
        <f>1344.9+(51-609.3)+(-0.685899+(-0.02601--0.310743))+0-7--0.00356999999999929</f>
        <v>779.20240400000012</v>
      </c>
      <c r="U240" s="3">
        <f>1362.3+(51.1-662.4)+(0+(0-0))+0-7-0</f>
        <v>744</v>
      </c>
      <c r="V240" s="3">
        <f>1425.5+(106.5-757.3)+(0.727005+(0.054315-0.386223))+0-7-0.00356999999999929</f>
        <v>768.09152700000004</v>
      </c>
      <c r="W240" s="3">
        <f>1618.3+(115.9-853.2)+(0.825333+(0.059109-0.435132))+0-7-0.00356999999999929</f>
        <v>874.44573999999989</v>
      </c>
      <c r="X240" s="3">
        <f>1710.8+(91.6-844)+(-5.235048+(-0.280296--2.58264))+0-7--0.0214200000000008</f>
        <v>948.48871600000007</v>
      </c>
      <c r="Y240" s="3">
        <f>1597.2+(165.9-830.2)+(-0.814572+(-0.084609--0.423402))+0-7--0.00356999999999929</f>
        <v>925.42779099999996</v>
      </c>
      <c r="Z240" s="3">
        <f>1592.1+(131.9-824.8)+(-3.247884+(-0.269076--1.682592))+0-7--0.0142799999999997</f>
        <v>890.37991199999988</v>
      </c>
      <c r="AA240" s="3">
        <f>1593.1+(90-811)+(-2.437443+(-0.1377--1.24083))+0-7--0.0107100000000004</f>
        <v>863.77639699999997</v>
      </c>
      <c r="AB240" s="3">
        <f>1588.8+(102.3-863)+(-3.241152+(-0.208692--1.76052))+0-7--0.0142799999999997</f>
        <v>819.42495599999984</v>
      </c>
      <c r="AC240" s="3">
        <f>1436.4+(112.9-791.7)+(-2.197692+(-0.172737--1.211301))+0-7--0.0107100000000004</f>
        <v>749.45158200000003</v>
      </c>
      <c r="AD240" s="2">
        <v>966.6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1354.8+(37.9-694.8)+(-3.45474+(-0.096645--1.77174))+0-7--0.017849999999999</f>
        <v>689.13820499999997</v>
      </c>
      <c r="G241" s="3">
        <f>1125.9+(28.3-506)+(-2.871045+(-0.072165--1.2903))+0-7--0.017849999999999</f>
        <v>639.56493999999998</v>
      </c>
      <c r="H241" s="3">
        <f>1108.8+(32-500.5)+(-1.696464+(-0.04896--0.765765))+0-7--0.0107100000000004</f>
        <v>632.331051</v>
      </c>
      <c r="I241" s="3">
        <f>1072.7+(27-483.2)+(0.547077+(0.01377-0.246432))+0-7-0.00356999999999929</f>
        <v>609.81084500000009</v>
      </c>
      <c r="J241" s="3">
        <f>1095.7+(29.5-502.6)+(0+(0-0))+0-7-0</f>
        <v>615.6</v>
      </c>
      <c r="K241" s="3">
        <f>1096.4+(36.5-502.8)+(0+(0-0))+0-7-0</f>
        <v>623.10000000000014</v>
      </c>
      <c r="L241" s="3">
        <f>1085.8+(46.3-501.5)+(-2.215032+(-0.094452--1.02306))+0-7--0.0142799999999997</f>
        <v>622.32785599999988</v>
      </c>
      <c r="M241" s="3">
        <f>1090.7+(44.2-501.8)+(-1.112514+(-0.045084--0.511836))+0-7--0.00714000000000112</f>
        <v>625.46137800000008</v>
      </c>
      <c r="N241" s="3">
        <f>1087.9+(59.2-462)+(1.109658+(0.060384-0.47124))+0-7-0.00714000000000112</f>
        <v>678.79166200000009</v>
      </c>
      <c r="O241" s="3">
        <f>1320.6+(50.2-616.3)+(0+(0-0))+0-7-0</f>
        <v>747.5</v>
      </c>
      <c r="P241" s="3">
        <f>1481.1+(47.1-740.4)+(-2.266083+(-0.072063--1.132812))+0-7--0.0107100000000004</f>
        <v>779.60537599999998</v>
      </c>
      <c r="Q241" s="3">
        <f>1436.5+(52.9-700.2)+(-2.93046+(-0.107916--1.428408))+0-7--0.0142799999999997</f>
        <v>780.60431199999994</v>
      </c>
      <c r="R241" s="3">
        <f>1436.2+(42.6-725.1)+(-2.197386+(-0.065178--1.109403))+0-7--0.0107100000000004</f>
        <v>745.55754900000011</v>
      </c>
      <c r="S241" s="3">
        <f>1406.7+(41.9-722.4)+(-2.869668+(-0.085476--1.473696))+0-7--0.0142799999999997</f>
        <v>717.73283200000003</v>
      </c>
      <c r="T241" s="3">
        <f>1423.1+(35.8-743.6)+(1.451562+(0.036516-0.758472))+0-7-0.00714000000000112</f>
        <v>709.02246599999978</v>
      </c>
      <c r="U241" s="3">
        <f>1434.5+(44.5-755.1)+(-2.194785+(-0.068085--1.155303))+0-7--0.0107100000000004</f>
        <v>715.80314299999998</v>
      </c>
      <c r="V241" s="3">
        <f>1460.2+(51.7-779)+(0+(0-0))+0-7-0</f>
        <v>725.90000000000009</v>
      </c>
      <c r="W241" s="3">
        <f>1801.9+(69.6-1003.1)+(-2.756907+(-0.106488--1.534743))+0-7--0.0107100000000004</f>
        <v>860.08205800000007</v>
      </c>
      <c r="X241" s="3">
        <f>1826.8+(96.1-978.4)+(-1.863336+(-0.098022--0.997968))+0-7--0.00714000000000112</f>
        <v>936.54375000000005</v>
      </c>
      <c r="Y241" s="3">
        <f>1770.4+(140.2-978.4)+(0+(0-0))+0-7-0</f>
        <v>925.2</v>
      </c>
      <c r="Z241" s="3">
        <f>1732.7+(196.2-1019.1)+(0+(0-0))+0-7-0</f>
        <v>902.8</v>
      </c>
      <c r="AA241" s="3">
        <f>1724.9+(206.8-1034.3)+(-2.639097+(-0.316404--1.582479))+0-7--0.0107100000000004</f>
        <v>889.03768800000012</v>
      </c>
      <c r="AB241" s="3">
        <f>1681.6+(230.6-1040.4)+(0+(0-0))+0-7-0</f>
        <v>864.79999999999984</v>
      </c>
      <c r="AC241" s="3">
        <f>1454+(245.8-917.1)+(-2.96616+(-0.501432--1.870884))+0-7--0.0142799999999997</f>
        <v>774.117572</v>
      </c>
      <c r="AD241" s="2">
        <v>945.49999999999989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1372.4+(106.8-768)+(-0.699924+(-0.054468--0.39168))+0-7--0.00356999999999929</f>
        <v>703.84085800000003</v>
      </c>
      <c r="G242" s="3">
        <f>1354.7+(46.3-734.1)+(-1.381794+(-0.047226--0.748782))+0-7--0.00714000000000112</f>
        <v>659.226902</v>
      </c>
      <c r="H242" s="3">
        <f>1150+(43.3-540.5)+(-2.9325+(-0.110415--1.378275))+0-7--0.017849999999999</f>
        <v>644.15320999999994</v>
      </c>
      <c r="I242" s="3">
        <f>1096.4+(50.8-495.5)+(-1.118328+(-0.051816--0.50541))+0-7--0.00714000000000112</f>
        <v>644.04240600000014</v>
      </c>
      <c r="J242" s="3">
        <f>1049.4+(45.6-465.4)+(0+(0-0))+0-7-0</f>
        <v>622.60000000000014</v>
      </c>
      <c r="K242" s="3">
        <f>1122.6+(42.2-523.2)+(0+(0-0))+0-7-0</f>
        <v>634.59999999999991</v>
      </c>
      <c r="L242" s="3">
        <f>1103.1+(47.7-516.5)+(-2.812905+(-0.121635--1.317075))+0-7--0.017849999999999</f>
        <v>625.70038499999987</v>
      </c>
      <c r="M242" s="3">
        <f>1041.9+(68.2-500.9)+(-1.062738+(-0.069564--0.510918))+0-7--0.00714000000000112</f>
        <v>601.58575600000006</v>
      </c>
      <c r="N242" s="3">
        <f>1109.9+(200.9-693)+(1.698147+(0.307377-1.06029))+0-7-0.0107100000000004</f>
        <v>611.73452400000008</v>
      </c>
      <c r="O242" s="3">
        <f>1382.8+(118.4-804.8)+(-1.410456+(-0.120768--0.820896))+0-7--0.00714000000000112</f>
        <v>688.69681200000002</v>
      </c>
      <c r="P242" s="3">
        <f>1411.3+(171.4-856.7)+(1.439526+(0.174828-0.873834))+0-7-0.00714000000000112</f>
        <v>719.73337999999978</v>
      </c>
      <c r="Q242" s="3">
        <f>1459+(86.5-827.7)+(-3.72045+(-0.220575--2.110635))+0-7--0.017849999999999</f>
        <v>708.98745999999994</v>
      </c>
      <c r="R242" s="3">
        <f>1458.5+(90.3-830.2)+(-5.206845+(-0.322371--2.963814))+0-7--0.0249900000000001</f>
        <v>709.05958799999996</v>
      </c>
      <c r="S242" s="3">
        <f>1405.9+(70.6-790.4)+(-2.151027+(-0.108018--1.209312))+0-7--0.0107100000000004</f>
        <v>678.06097700000021</v>
      </c>
      <c r="T242" s="3">
        <f>1380.3+(61.2-770.3)+(-2.111859+(-0.093636--1.178559))+0-7--0.0107100000000004</f>
        <v>663.18377400000008</v>
      </c>
      <c r="U242" s="3">
        <f>1373.5+(74-774.7)+(0+(0-0))+0-7-0</f>
        <v>665.8</v>
      </c>
      <c r="V242" s="3">
        <f>1475.2+(74.4-865.2)+(-1.504704+(-0.075888--0.882504))+0-7--0.00714000000000112</f>
        <v>676.70905200000004</v>
      </c>
      <c r="W242" s="3">
        <f>1747.5+(63.6-987.4)+(0+(0-0))+0-7-0</f>
        <v>816.7</v>
      </c>
      <c r="X242" s="3">
        <f>1823.9+(68-966.9)+(-3.720756+(-0.13872--1.972476))+0-7--0.0142799999999997</f>
        <v>916.12728000000016</v>
      </c>
      <c r="Y242" s="3">
        <f>1836.1+(57.5-991.1)+(0+(0-0))+0-7-0</f>
        <v>895.49999999999989</v>
      </c>
      <c r="Z242" s="3">
        <f>1836.7+(59.5-1015.7)+(-2.810151+(-0.091035--1.554021))+0-7--0.0107100000000004</f>
        <v>872.163545</v>
      </c>
      <c r="AA242" s="3">
        <f>1846.9+(57.1-1044.8)+(0+(0-0))+0-7-0</f>
        <v>852.20000000000016</v>
      </c>
      <c r="AB242" s="3">
        <f>1775+(93.8-1031.8)+(-2.71575+(-0.143514--1.578654))+0-7--0.0107100000000004</f>
        <v>828.73009999999999</v>
      </c>
      <c r="AC242" s="3">
        <f>1588.4+(84-938.6)+(-3.240336+(-0.17136--1.914744))+0-7--0.0142799999999997</f>
        <v>725.31732800000009</v>
      </c>
      <c r="AD242" s="2">
        <v>904.5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1581.4+(29.6-916.8)+(-0.806514+(-0.015096--0.467568))+0-7--0.00356999999999929</f>
        <v>686.84952800000008</v>
      </c>
      <c r="G243" s="3">
        <f>1465.1+(39.1-836.8)+(-1.494402+(-0.039882--0.853536))+0-7--0.00714000000000112</f>
        <v>659.72639200000003</v>
      </c>
      <c r="H243" s="3">
        <f>1262.9+(40.2-654.3)+(-3.864474+(-0.123012--2.002158))+0-7--0.0214200000000008</f>
        <v>639.83609200000024</v>
      </c>
      <c r="I243" s="3">
        <f>1085.2+(44.3-502.2)+(1.106904+(0.045186-0.512244))+0-7-0.00714000000000112</f>
        <v>620.93270600000005</v>
      </c>
      <c r="J243" s="3">
        <f>1074.1+(39.2-492)+(-1.095582+(-0.039984--0.50184))+0-7--0.00714000000000112</f>
        <v>613.67341399999998</v>
      </c>
      <c r="K243" s="3">
        <f>1076.3+(48.1-484.1)+(-1.097826+(-0.049062--0.493782))+0-7--0.00714000000000112</f>
        <v>632.65403400000002</v>
      </c>
      <c r="L243" s="3">
        <f>1135.6+(40.7-533.2)+(-2.89578+(-0.103785--1.35966))+0-7--0.017849999999999</f>
        <v>634.47794499999986</v>
      </c>
      <c r="M243" s="3">
        <f>1338.2+(65.5-740.1)+(-1.364964+(-0.06681--0.754902))+0-7--0.00714000000000112</f>
        <v>655.93026800000007</v>
      </c>
      <c r="N243" s="3">
        <f>1494.2+(64.1-849.9)+(-2.286126+(-0.098073--1.300347))+0-7--0.0107100000000004</f>
        <v>700.32685800000013</v>
      </c>
      <c r="O243" s="3">
        <f>1694.9+(48.4-986.1)+(-3.457596+(-0.098736--2.011644))+0-7--0.0142799999999997</f>
        <v>748.66959200000008</v>
      </c>
      <c r="P243" s="3">
        <f>1751.4+(55.6-1027.8)+(-0.893214+(-0.028356--0.524178))+0-7--0.00356999999999929</f>
        <v>771.80617800000016</v>
      </c>
      <c r="Q243" s="3">
        <f>1764.9+(51.9-1034.3)+(-0.900099+(-0.026469--0.527493))+0-7--0.00356999999999929</f>
        <v>775.10449500000004</v>
      </c>
      <c r="R243" s="3">
        <f>1746.7+(51.2-1043.1)+(-4.454085+(-0.13056--2.659905))+0-7--0.017849999999999</f>
        <v>745.89311000000009</v>
      </c>
      <c r="S243" s="3">
        <f>1677.9+(52.4-1001.5)+(0+(0-0))+0-7-0</f>
        <v>721.80000000000007</v>
      </c>
      <c r="T243" s="3">
        <f>1672+(56-996.4)+(0+(0-0))+0-7-0</f>
        <v>724.6</v>
      </c>
      <c r="U243" s="3">
        <f>1667.3+(56.2-990.1)+(-0.850323+(-0.028662--0.504951))+0-7--0.00356999999999929</f>
        <v>726.02953599999989</v>
      </c>
      <c r="V243" s="3">
        <f>1750.1+(53.6-1053.7)+(0+(0-0))+0-7-0</f>
        <v>742.99999999999989</v>
      </c>
      <c r="W243" s="3">
        <f>1808.9+(124.3-1018.4)+(1.845078+(0.126786-1.038768))+0-7-0.00714000000000112</f>
        <v>908.725956</v>
      </c>
      <c r="X243" s="3">
        <f>1787.5+(214-1024.4)+(-4.558125+(-0.5457--2.61222))+0-7--0.017849999999999</f>
        <v>967.62624499999981</v>
      </c>
      <c r="Y243" s="3">
        <f>1811.3+(169.4-1015.4)+(-1.847526+(-0.172788--1.035708))+0-7--0.00714000000000112</f>
        <v>957.32253400000002</v>
      </c>
      <c r="Z243" s="3">
        <f>1807.4+(143.2-1010.1)+(-2.765322+(-0.219096--1.545453))+0-7--0.0107100000000004</f>
        <v>932.07174499999996</v>
      </c>
      <c r="AA243" s="3">
        <f>1794.5+(128.5-1013)+(-4.575975+(-0.327675--2.58315))+0-7--0.017849999999999</f>
        <v>900.69734999999991</v>
      </c>
      <c r="AB243" s="3">
        <f>1815+(99.2-1044.3)+(0.92565+(0.050592-0.532593))+0-7-0.00356999999999929</f>
        <v>863.34007900000017</v>
      </c>
      <c r="AC243" s="3">
        <f>1771.5+(37-1018.3)+(-4.517325+(-0.09435--2.596665))+0-7--0.017849999999999</f>
        <v>781.20284000000004</v>
      </c>
      <c r="AD243" s="2">
        <v>973.8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1498+(30.1-798.2)+(-2.29194+(-0.046053--1.221246))+0-7--0.0107100000000004</f>
        <v>721.79396299999996</v>
      </c>
      <c r="G244" s="3">
        <f>1333.2+(27.1-680.4)+(-3.39966+(-0.069105--1.73502))+0-7--0.017849999999999</f>
        <v>671.18410500000005</v>
      </c>
      <c r="H244" s="3">
        <f>1234+(27.9-609.7)+(1.25868+(0.028458-0.621894))+0-7-0.00714000000000112</f>
        <v>645.85810399999991</v>
      </c>
      <c r="I244" s="3">
        <f>1237.8+(26.8-617.8)+(0+(0-0))+0-7-0</f>
        <v>639.79999999999995</v>
      </c>
      <c r="J244" s="3">
        <f>1298.4+(32.4-673)+(0.662184+(0.016524-0.34323))+0-7-0.00356999999999929</f>
        <v>651.13190800000007</v>
      </c>
      <c r="K244" s="3">
        <f>1406.2+(31.2-763.2)+(-2.151486+(-0.047736--1.167696))+0-7--0.0107100000000004</f>
        <v>666.17918400000008</v>
      </c>
      <c r="L244" s="3">
        <f>1372.5+(32.5-718.1)+(-0.699975+(-0.016575--0.366231))+0-7--0.00356999999999929</f>
        <v>679.55325099999993</v>
      </c>
      <c r="M244" s="3">
        <f>1544.3+(36.6-905.1)+(-2.362779+(-0.055998--1.384803))+0-7--0.0107100000000004</f>
        <v>667.77673600000003</v>
      </c>
      <c r="N244" s="3">
        <f>1782.1+(48.7-1075.9)+(-1.817742+(-0.049674--1.097418))+0-7--0.00714000000000112</f>
        <v>747.13714199999993</v>
      </c>
      <c r="O244" s="3">
        <f>1777.5+(49.9-1032.4)+(-1.81305+(-0.050898--1.053048))+0-8--0.00816000000000128</f>
        <v>786.19725999999991</v>
      </c>
      <c r="P244" s="3">
        <f>1762.9+(48.9-1015.2)+(-4.495395+(-0.124695--2.58876))+0-8--0.0203999999999988</f>
        <v>786.58906999999999</v>
      </c>
      <c r="Q244" s="3">
        <f>1771.1+(55.3-1018.5)+(-4.516305+(-0.141015--2.597175))+0-8--0.0203999999999988</f>
        <v>797.86025499999982</v>
      </c>
      <c r="R244" s="3">
        <f>1777+(53-1045.9)+(-2.71881+(-0.08109--1.600227))+0-8--0.0122400000000005</f>
        <v>774.91256699999997</v>
      </c>
      <c r="S244" s="3">
        <f>1773+(56.6-1049.4)+(-1.80846+(-0.057732--1.070388))+0-8--0.00816000000000128</f>
        <v>771.41235599999993</v>
      </c>
      <c r="T244" s="3">
        <f>1682.6+(110.5-1006.4)+(0.858126+(0.056355-0.513264))+0-8-0.00407999999999919</f>
        <v>779.09713699999986</v>
      </c>
      <c r="U244" s="3">
        <f>1628.9+(119.9-975.1)+(1.661478+(0.122298-0.994602))+0-8-0.00816000000000128</f>
        <v>766.48101400000007</v>
      </c>
      <c r="V244" s="3">
        <f>1718.4+(120.2-1025.2)+(0+(0-0))+0-8-0</f>
        <v>805.40000000000009</v>
      </c>
      <c r="W244" s="3">
        <f>1800.7+(191.3-1057.3)+(-0.918357+(-0.097563--0.539223))+0-8--0.00407999999999919</f>
        <v>926.22738300000015</v>
      </c>
      <c r="X244" s="3">
        <f>1863+(175.3-1037.7)+(-0.95013+(-0.089403--0.529227))+0-8--0.00407999999999919</f>
        <v>992.09377399999994</v>
      </c>
      <c r="Y244" s="3">
        <f>1865.4+(104.3-982.1)+(-0.951354+(-0.053193--0.500871))+0-8--0.00407999999999919</f>
        <v>979.10040400000003</v>
      </c>
      <c r="Z244" s="3">
        <f>1801.7+(89.8-936.7)+(-1.837734+(-0.091596--0.955434))+0-8--0.00816000000000128</f>
        <v>945.83426399999996</v>
      </c>
      <c r="AA244" s="3">
        <f>1806.2+(116.9-1002.6)+(-0.921162+(-0.059619--0.511326))+0-8--0.00407999999999919</f>
        <v>912.03462500000001</v>
      </c>
      <c r="AB244" s="3">
        <f>1780.4+(80.2-984.6)+(-4.54002+(-0.20451--2.51073))+0-8--0.0203999999999988</f>
        <v>865.78660000000013</v>
      </c>
      <c r="AC244" s="3">
        <f>1728.2+(38.5-953.3)+(-2.644146+(-0.058905--1.458549))+0-8--0.0122400000000005</f>
        <v>804.1677380000001</v>
      </c>
      <c r="AD244" s="2">
        <v>994.7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1412.8+(40.9-709.2)+(-1.441056+(-0.041718--0.723384))+0-8--0.00816000000000128</f>
        <v>735.74876999999981</v>
      </c>
      <c r="G245" s="3">
        <f>1262.6+(29.9-609.1)+(-3.21963+(-0.076245--1.553205))+0-8--0.0203999999999988</f>
        <v>673.67772999999988</v>
      </c>
      <c r="H245" s="3">
        <f>1155.7+(37.8-528.7)+(0.589407+(0.019278-0.269637))+0-8-0.00407999999999919</f>
        <v>657.13496799999996</v>
      </c>
      <c r="I245" s="3">
        <f>1102+(39.5-490.7)+(-2.8101+(-0.100725--1.251285))+0-8--0.0203999999999988</f>
        <v>641.16085999999996</v>
      </c>
      <c r="J245" s="3">
        <f>1201.8+(25.5-585.7)+(-0.612918+(-0.013005--0.298707))+0-8--0.00407999999999919</f>
        <v>633.27686399999993</v>
      </c>
      <c r="K245" s="3">
        <f>1325+(23.9-699.1)+(-0.67575+(-0.012189--0.356541))+0-8--0.00407999999999919</f>
        <v>641.47268199999996</v>
      </c>
      <c r="L245" s="3">
        <f>1381.3+(29.5-733.9)+(1.408926+(0.03009-0.748578))+0-7-0.00714000000000112</f>
        <v>670.5832979999999</v>
      </c>
      <c r="M245" s="3">
        <f>1500.2+(30.1-821.6)+(0.765102+(0.015351-0.419016))+0-8-0.00407999999999919</f>
        <v>701.05735700000002</v>
      </c>
      <c r="N245" s="3">
        <f>1649.6+(36.8-896.9)+(0+(0-0))+0-8-0</f>
        <v>781.49999999999989</v>
      </c>
      <c r="O245" s="3">
        <f>1636.1+(31.2-860.3)+(-3.337644+(-0.063648--1.755012))+0-8--0.0163199999999997</f>
        <v>797.3700399999999</v>
      </c>
      <c r="P245" s="3">
        <f>1639.5+(41.4-827.8)+(-3.34458+(-0.084456--1.688712))+0-8--0.0163199999999997</f>
        <v>843.37599599999999</v>
      </c>
      <c r="Q245" s="3">
        <f>1650.2+(37.4-823.2)+(-0.841602+(-0.019074--0.419832))+0-8--0.00407999999999919</f>
        <v>855.96323600000005</v>
      </c>
      <c r="R245" s="3">
        <f>1650.9+(37-817)+(-3.367836+(-0.07548--1.66668))+0-8--0.0163199999999997</f>
        <v>861.13968399999999</v>
      </c>
      <c r="S245" s="3">
        <f>1650.9+(38-803)+(-0.841959+(-0.01938--0.40953))+0-8--0.00407999999999919</f>
        <v>877.45227100000011</v>
      </c>
      <c r="T245" s="3">
        <f>1647.8+(44-862)+(-2.521134+(-0.06732--1.31886))+0-8--0.0122400000000005</f>
        <v>820.54264599999999</v>
      </c>
      <c r="U245" s="3">
        <f>1527.5+(39.7-795.8)+(-0.779025+(-0.020247--0.405858))+0-8--0.00407999999999919</f>
        <v>763.01066600000013</v>
      </c>
      <c r="V245" s="3">
        <f>1676.8+(39.7-911.7)+(2.565504+(0.060741-1.394901))+0-7-0.0107100000000004</f>
        <v>799.02063399999997</v>
      </c>
      <c r="W245" s="3">
        <f>1827.8+(91.7-964.8)+(-4.66089+(-0.233835--2.46024))+0-7--0.017849999999999</f>
        <v>945.283365</v>
      </c>
      <c r="X245" s="3">
        <f>1797.5+(114.4-920.9)+(-3.6669+(-0.233376--1.878636))+0-7--0.0142799999999997</f>
        <v>981.99263999999994</v>
      </c>
      <c r="Y245" s="3">
        <f>1600.1+(142.3-773)+(-4.080255+(-0.362865--1.97115))+0-7--0.017849999999999</f>
        <v>959.94587999999976</v>
      </c>
      <c r="Z245" s="3">
        <f>1429.3+(197.2-695.9)+(-2.915772+(-0.402288--1.419636))+0-7--0.0142799999999997</f>
        <v>921.71585599999992</v>
      </c>
      <c r="AA245" s="3">
        <f>1389.7+(151.1-638.9)+(-0.708747+(-0.077061--0.325839))+0-7--0.00356999999999929</f>
        <v>894.44360100000006</v>
      </c>
      <c r="AB245" s="3">
        <f>1381.6+(179.4-702.8)+(-2.113848+(-0.274482--1.075284))+0-7--0.0107100000000004</f>
        <v>849.89766399999996</v>
      </c>
      <c r="AC245" s="3">
        <f>1381.7+(108.7-699.2)+(-2.818668+(-0.221748--1.426368))+0-7--0.0142799999999997</f>
        <v>782.60023200000001</v>
      </c>
      <c r="AD245" s="2">
        <v>961.09999999999991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1229.2+(73.8-578.5)+(1.253784+(0.075276-0.59007))+0-8-0.00816000000000128</f>
        <v>717.23082999999997</v>
      </c>
      <c r="G246" s="3">
        <f>1108.3+(66.4-517.6)+(-1.130466+(-0.067728--0.527952))+0-8--0.00816000000000128</f>
        <v>648.43791799999985</v>
      </c>
      <c r="H246" s="3">
        <f>1102.9+(33.8-499.9)+(-1.124958+(-0.034476--0.509898))+0-8--0.00816000000000128</f>
        <v>628.15862400000015</v>
      </c>
      <c r="I246" s="3">
        <f>1115.6+(28.7-509.9)+(1.137912+(0.029274-0.520098))+0-8-0.00816000000000128</f>
        <v>627.03892799999994</v>
      </c>
      <c r="J246" s="3">
        <f>1109.2+(34.7-505.5)+(-0.565692+(-0.017697--0.257805))+0-8--0.00407999999999919</f>
        <v>630.07849600000009</v>
      </c>
      <c r="K246" s="3">
        <f>1125.9+(34.2-516.3)+(2.871045+(0.08721-1.316565))+0-8-0.0203999999999988</f>
        <v>637.42129000000023</v>
      </c>
      <c r="L246" s="3">
        <f>1168.8+(33.1-556)+(0+(0-0))+0-7-0</f>
        <v>638.9</v>
      </c>
      <c r="M246" s="3">
        <f>1512.4+(17.8-857.5)+(1.542648+(0.018156-0.87465))+0-7-0.00714000000000112</f>
        <v>666.37901399999998</v>
      </c>
      <c r="N246" s="3">
        <f>1793.5+(20.2-1065.5)+(2.744055+(0.030906-1.630215))+0-7-0.0107100000000004</f>
        <v>742.33403600000008</v>
      </c>
      <c r="O246" s="3">
        <f>1831.8+(20.3-1056.6)+(-0.934218+(-0.010353--0.538866))+0-7--0.00356999999999929</f>
        <v>788.09786499999996</v>
      </c>
      <c r="P246" s="3">
        <f>1830.6+(22.3-1062.7)+(0+(0-0))+0-7-0</f>
        <v>783.19999999999982</v>
      </c>
      <c r="Q246" s="3">
        <f>1837.6+(24.3-1066.7)+(-0.937176+(-0.012393--0.544017))+0-7--0.00356999999999929</f>
        <v>787.79801799999984</v>
      </c>
      <c r="R246" s="3">
        <f>1646.8+(30.4-885)+(-5.879076+(-0.108528--3.15945))+0-8--0.0285600000000001</f>
        <v>781.40040599999986</v>
      </c>
      <c r="S246" s="3">
        <f>1541.8+(23.5-817.4)+(0.786318+(0.011985-0.416874))+0-8-0.00407999999999919</f>
        <v>740.27734899999996</v>
      </c>
      <c r="T246" s="3">
        <f>1549.9+(25.1-828.6)+(-2.371347+(-0.038403--1.267758))+0-8--0.0122400000000005</f>
        <v>737.27024800000015</v>
      </c>
      <c r="U246" s="3">
        <f>1591.7+(43.4-881.3)+(0.811767+(0.022134-0.449463))+0-8-0.00407999999999919</f>
        <v>746.18035800000007</v>
      </c>
      <c r="V246" s="3">
        <f>1482.1+(142.7-834.3)+(-2.267613+(-0.218331--1.276479))+0-8--0.0122400000000005</f>
        <v>781.302775</v>
      </c>
      <c r="W246" s="3">
        <f>1506.8+(173.3-770.5)+(-3.073872+(-0.353532--1.57182))+0-7--0.0142799999999997</f>
        <v>900.75869599999987</v>
      </c>
      <c r="X246" s="3">
        <f>1479.1+(255.7-757.1)+(-3.017364+(-0.521628--1.544484))+0-8--0.0163199999999997</f>
        <v>967.72181199999977</v>
      </c>
      <c r="Y246" s="3">
        <f>1435.6+(257.8-735.7)+(-3.66078+(-0.65739--1.876035))+0-8--0.0203999999999988</f>
        <v>947.27826499999981</v>
      </c>
      <c r="Z246" s="3">
        <f>1422.2+(261.2-750)+(-2.175966+(-0.399636--1.1475))+0-8--0.0122400000000005</f>
        <v>923.98413800000014</v>
      </c>
      <c r="AA246" s="3">
        <f>1457.6+(168.7-722.7)+(-1.486752+(-0.172074--0.737154))+0-8--0.00816000000000128</f>
        <v>894.68648799999994</v>
      </c>
      <c r="AB246" s="3">
        <f>1466+(137.3-735.7)+(-2.24298+(-0.210069--1.125621))+0-8--0.0122400000000005</f>
        <v>858.28481199999987</v>
      </c>
      <c r="AC246" s="3">
        <f>1456+(120.7-783.4)+(0+(0-0))+0-8-0</f>
        <v>785.30000000000007</v>
      </c>
      <c r="AD246" s="2">
        <v>970.59999999999991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1432.1+(114.9-823)+(-3.651855+(-0.292995--2.09865))+0-8--0.0203999999999988</f>
        <v>714.17419999999993</v>
      </c>
      <c r="G247" s="3">
        <f>1349.4+(109.1-803.7)+(0.688194+(0.055641-0.409887))+0-8-0.00407999999999919</f>
        <v>647.12986799999999</v>
      </c>
      <c r="H247" s="3">
        <f>1333+(108.5-810.4)+(-1.35966+(-0.11067--0.826608))+0-8--0.00816000000000128</f>
        <v>622.46443799999997</v>
      </c>
      <c r="I247" s="3">
        <f>1337.5+(116.7-816.7)+(0.682125+(0.059517-0.416517))+0-8-0.00407999999999919</f>
        <v>629.82104499999991</v>
      </c>
      <c r="J247" s="3">
        <f>1353.2+(155-852.7)+(3.45066+(0.39525-2.174385))+0-8-0.0203999999999988</f>
        <v>649.15112499999998</v>
      </c>
      <c r="K247" s="3">
        <f>1343.9+(161.9-845.3)+(1.370778+(0.165138-0.862206))+0-8-0.00816000000000128</f>
        <v>653.16555000000017</v>
      </c>
      <c r="L247" s="3">
        <f>1347.5+(185.5-857.2)+(2.061675+(0.283815-1.311516))+0-7-0.0107100000000004</f>
        <v>669.82326399999988</v>
      </c>
      <c r="M247" s="3">
        <f>1401.2+(233.7-958.4)+(2.858448+(0.476748-1.955136))+0-7-0.0142799999999997</f>
        <v>670.86577999999997</v>
      </c>
      <c r="N247" s="3">
        <f>1578+(176.9-1015)+(-0.80478+(-0.090219--0.51765))+0-7--0.00356999999999929</f>
        <v>732.52622099999996</v>
      </c>
      <c r="O247" s="3">
        <f>1605+(145.7-969)+(-1.6371+(-0.148614--0.98838))+0-8--0.00816000000000128</f>
        <v>772.91082600000004</v>
      </c>
      <c r="P247" s="3">
        <f>1625.3+(112.2-932.1)+(-2.486709+(-0.171666--1.426113))+0-8--0.0122400000000005</f>
        <v>796.17997800000001</v>
      </c>
      <c r="Q247" s="3">
        <f>1622.4+(74.9-887.3)+(-4.13712+(-0.190995--2.262615))+0-8--0.0203999999999988</f>
        <v>799.95490000000007</v>
      </c>
      <c r="R247" s="3">
        <f>1520.7+(53.6-809.5)+(-0.775557+(-0.027336--0.412845))+0-8--0.00407999999999919</f>
        <v>756.41403200000013</v>
      </c>
      <c r="S247" s="3">
        <f>1473.7+(70-809.8)+(-3.757935+(-0.1785--2.06499))+0-8--0.0203999999999988</f>
        <v>724.04895500000009</v>
      </c>
      <c r="T247" s="3">
        <f>1490.1+(64.3-833)+(0+(0-0))+0-8-0</f>
        <v>713.39999999999986</v>
      </c>
      <c r="U247" s="3">
        <f>1474.3+(75.2-814.2)+(-3.759465+(-0.19176--2.07621))+0-8--0.0203999999999988</f>
        <v>725.44538499999999</v>
      </c>
      <c r="V247" s="3">
        <f>1457.5+(108.4-794.8)+(-0.743325+(-0.055284--0.405348))+0-8--0.00407999999999919</f>
        <v>762.71081900000001</v>
      </c>
      <c r="W247" s="3">
        <f>1521.8+(177.6-793.5)+(0.776118+(0.090576-0.404685))+0-8-0.00407999999999919</f>
        <v>898.3579289999999</v>
      </c>
      <c r="X247" s="3">
        <f>1551.3+(198.8-784.5)+(-0.791163+(-0.101388--0.400095))+0-7--0.00356999999999929</f>
        <v>958.11111399999993</v>
      </c>
      <c r="Y247" s="3">
        <f>1503.2+(182.1-725.6)+(-3.066528+(-0.371484--1.480224))+0-7--0.0142799999999997</f>
        <v>950.75649199999998</v>
      </c>
      <c r="Z247" s="3">
        <f>1497.4+(167-746.6)+(-1.527348+(-0.17034--0.761532))+0-7--0.00714000000000112</f>
        <v>909.87098400000013</v>
      </c>
      <c r="AA247" s="3">
        <f>1496+(136.8-740.9)+(-1.52592+(-0.139536--0.755718))+0-7--0.00714000000000112</f>
        <v>883.99740200000019</v>
      </c>
      <c r="AB247" s="3">
        <f>1507.1+(138.6-780.5)+(-0.768621+(-0.070686--0.398055))+0-7--0.00356999999999929</f>
        <v>857.76231799999994</v>
      </c>
      <c r="AC247" s="3">
        <f>1497.8+(94.5-787.4)+(-3.055512+(-0.19278--1.606296))+0-7--0.0142799999999997</f>
        <v>796.27228400000001</v>
      </c>
      <c r="AD247" s="2">
        <v>957.10000000000014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1509+(38.6-805.2)+(0+(0-0))+0-7-0</f>
        <v>735.4</v>
      </c>
      <c r="G248" s="3">
        <f>1341.9+(20.1-662)+(-2.053107+(-0.030753--1.01286))+0-7--0.0107100000000004</f>
        <v>691.9397100000001</v>
      </c>
      <c r="H248" s="3">
        <f>1158.6+(55-535.6)+(0.590886+(0.02805-0.273156))+0-7-0.00356999999999929</f>
        <v>671.34220999999991</v>
      </c>
      <c r="I248" s="3">
        <f>989.1+(94.4-452.3)+(-0.504441+(-0.048144--0.230673))+0-7--0.00356999999999929</f>
        <v>623.88165800000002</v>
      </c>
      <c r="J248" s="3">
        <f>1005.4+(116.2-488)+(2.051016+(0.237048-0.99552))+0-7-0.0142799999999997</f>
        <v>627.87826399999994</v>
      </c>
      <c r="K248" s="3">
        <f>998+(129.9-486.2)+(0.50898+(0.066249-0.247962))+0-7-0.00356999999999929</f>
        <v>635.02369700000008</v>
      </c>
      <c r="L248" s="3">
        <f>1031+(188.7-572)+(-2.62905+(-0.481185--1.4586))+0-7--0.017849999999999</f>
        <v>639.06621499999994</v>
      </c>
      <c r="M248" s="3">
        <f>1014.5+(289.5-654.8)+(0.517395+(0.147645-0.333948))+0-7-0.00356999999999929</f>
        <v>642.52752200000009</v>
      </c>
      <c r="N248" s="3">
        <f>1223.3+(199-742.9)+(1.247766+(0.20298-0.757758))+0-7-0.00714000000000112</f>
        <v>673.08584799999994</v>
      </c>
      <c r="O248" s="3">
        <f>1424.7+(136.8-794.9)+(-1.453194+(-0.139536--0.810798))+0-7--0.00714000000000112</f>
        <v>758.8252080000002</v>
      </c>
      <c r="P248" s="3">
        <f>1423+(107.6-747.9)+(-1.45146+(-0.109752--0.762858))+0-7--0.00714000000000112</f>
        <v>774.90878600000008</v>
      </c>
      <c r="Q248" s="3">
        <f>1425.3+(96.9-745.2)+(-0.726903+(-0.049419--0.380052))+0-7--0.00356999999999929</f>
        <v>769.6072999999999</v>
      </c>
      <c r="R248" s="3">
        <f>1407.4+(98.2-765.6)+(-5.024418+(-0.350574--2.733192))+0-7--0.0249900000000001</f>
        <v>730.38319000000013</v>
      </c>
      <c r="S248" s="3">
        <f>1417.4+(73.3-794.2)+(-2.168622+(-0.112149--1.215126))+0-7--0.0107100000000004</f>
        <v>688.445065</v>
      </c>
      <c r="T248" s="3">
        <f>1417.7+(90.1-821.3)+(-2.892108+(-0.183804--1.675452))+0-7--0.0142799999999997</f>
        <v>678.11382000000015</v>
      </c>
      <c r="U248" s="3">
        <f>1422.5+(96.2-823.9)+(0+(0-0))+0-7-0</f>
        <v>687.80000000000007</v>
      </c>
      <c r="V248" s="3">
        <f>1420.9+(96.3-800.2)+(0+(0-0))+0-7-0</f>
        <v>710</v>
      </c>
      <c r="W248" s="3">
        <f>1482+(162.9-775.3)+(0.75582+(0.083079-0.395403))+0-4-0.00203999999999959</f>
        <v>866.04145600000004</v>
      </c>
      <c r="X248" s="3">
        <f>1476.3+(221-757.2)+(-2.258739+(-0.33813--1.158516))+0-7--0.0107100000000004</f>
        <v>931.67235699999992</v>
      </c>
      <c r="Y248" s="3">
        <f>1467.5+(194.4-758)+(-4.49055+(-0.594864--2.31948))+0-7--0.0214200000000008</f>
        <v>894.155486</v>
      </c>
      <c r="Z248" s="3">
        <f>1377.1+(242.7-719.3)+(-2.106963+(-0.371331--1.100529))+0-7--0.0107100000000004</f>
        <v>892.13294500000006</v>
      </c>
      <c r="AA248" s="3">
        <f>1124.4+(418.1-686.4)+(-1.146888+(-0.426462--0.700128))+0-7--0.00714000000000112</f>
        <v>848.23391800000013</v>
      </c>
      <c r="AB248" s="3">
        <f>1050.9+(414.3-655.3)+(-0.535959+(-0.211293--0.334203))+0-7--0.00356999999999929</f>
        <v>802.49052100000006</v>
      </c>
      <c r="AC248" s="3">
        <f>1008.1+(391.1-652.6)+(-1.542393+(-0.598383--0.998478))+0-7--0.0107100000000004</f>
        <v>738.46841200000006</v>
      </c>
      <c r="AD248" s="2">
        <v>914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996.9+(199.5-517.6)+(-2.542095+(-0.508725--1.31988))+0-7--0.017849999999999</f>
        <v>670.08690999999988</v>
      </c>
      <c r="G249" s="3">
        <f>999.9+(66.6-420.3)+(-1.019898+(-0.067932--0.428706))+0-7--0.00714000000000112</f>
        <v>638.54801599999996</v>
      </c>
      <c r="H249" s="3">
        <f>994.5+(40.4-405.8)+(0.507195+(0.020604-0.206958))+0-7-0.00356999999999929</f>
        <v>622.41727099999991</v>
      </c>
      <c r="I249" s="3">
        <f>978.3+(39.4-406)+(-1.496799+(-0.060282--0.62118))+0-7--0.0107100000000004</f>
        <v>603.774809</v>
      </c>
      <c r="J249" s="3">
        <f>874.9+(100-377.5)+(-0.446199+(-0.051--0.192525))+0-7--0.00356999999999929</f>
        <v>590.09889599999997</v>
      </c>
      <c r="K249" s="3">
        <f>890.1+(102.6-404.4)+(-0.453951+(-0.052326--0.206244))+0-7--0.00356999999999929</f>
        <v>581.00353700000005</v>
      </c>
      <c r="L249" s="3">
        <f>882.2+(134.5-418.3)+(-1.799688+(-0.27438--0.853332))+0-6--0.0122399999999997</f>
        <v>591.19150400000012</v>
      </c>
      <c r="M249" s="3">
        <f>888.3+(149.1-452.5)+(-0.453033+(-0.076041--0.230775))+0-6--0.00305999999999939</f>
        <v>578.60476099999994</v>
      </c>
      <c r="N249" s="3">
        <f>909.3+(180.1-472.7)+(1.391229+(0.275553-0.723231))+0-6-0.00918000000000035</f>
        <v>611.63437099999987</v>
      </c>
      <c r="O249" s="3">
        <f>943.1+(305.5-571.4)+(-0.480981+(-0.155805--0.291414))+0-6--0.00305999999999939</f>
        <v>670.85768800000005</v>
      </c>
      <c r="P249" s="3">
        <f>952.4+(377.8-622.3)+(0.485724+(0.192678-0.317373))+0-6-0.00305999999999939</f>
        <v>702.25796900000012</v>
      </c>
      <c r="Q249" s="3">
        <f>975.1+(392.2-641.1)+(-2.983806+(-1.200132--1.961766))+0-6--0.0183600000000007</f>
        <v>717.99618800000007</v>
      </c>
      <c r="R249" s="3">
        <f>887.4+(455.3-644.8)+(-0.452574+(-0.232203--0.328848))+0-6--0.00305999999999939</f>
        <v>691.54713100000015</v>
      </c>
      <c r="S249" s="3">
        <f>884.9+(431.3-631.1)+(-2.256495+(-1.099815--1.609305))+0-6--0.0152999999999991</f>
        <v>677.36829499999999</v>
      </c>
      <c r="T249" s="3">
        <f>868.2+(414.4-609.9)+(0.442782+(0.211344-0.311049))+0-6-0.00305999999999939</f>
        <v>667.04001700000003</v>
      </c>
      <c r="U249" s="3">
        <f>911.6+(340.5-588.3)+(-0.929832+(-0.34731--0.600066))+0-6--0.00612000000000096</f>
        <v>657.12904400000002</v>
      </c>
      <c r="V249" s="3">
        <f>925.6+(361.4-578.4)+(0.472056+(0.184314-0.294984))+0-6-0.00305999999999939</f>
        <v>702.95832600000006</v>
      </c>
      <c r="W249" s="3">
        <f>1031.3+(373-581.7)+(-1.051926+(-0.38046--0.593334))+0-6--0.00612000000000096</f>
        <v>815.76706799999988</v>
      </c>
      <c r="X249" s="3">
        <f>1122.4+(299.3-542.7)+(-1.144848+(-0.305286--0.553554))+0-6--0.00612000000000096</f>
        <v>872.10954000000004</v>
      </c>
      <c r="Y249" s="3">
        <f>1112.7+(293-526.6)+(-1.702431+(-0.44829--0.805698))+0-6--0.00918000000000035</f>
        <v>871.76415700000007</v>
      </c>
      <c r="Z249" s="3">
        <f>1010+(359.9-528.5)+(-0.5151+(-0.183549--0.269535))+0-6--0.00305999999999939</f>
        <v>834.97394599999996</v>
      </c>
      <c r="AA249" s="3">
        <f>1010.3+(362.7-547.4)+(0+(0-0))+0-6-0</f>
        <v>819.59999999999991</v>
      </c>
      <c r="AB249" s="3">
        <f>1006.1+(256.1-466.8)+(-1.026222+(-0.261222--0.476136))+0-6--0.00612000000000096</f>
        <v>788.59481200000005</v>
      </c>
      <c r="AC249" s="3">
        <f>1038.4+(114.7-382.3)+(-1.588752+(-0.175491--0.584919))+0-6--0.00918000000000035</f>
        <v>763.62985600000013</v>
      </c>
      <c r="AD249" s="2">
        <v>875.2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1020.3+(82.2-403.4)+(-2.081412+(-0.167688--0.822936))+0-6--0.0122399999999997</f>
        <v>691.68607599999996</v>
      </c>
      <c r="G250" s="3">
        <f>1018+(55.2-424.2)+(-3.11508+(-0.168912--1.298052))+0-6--0.0183600000000007</f>
        <v>641.03242</v>
      </c>
      <c r="H250" s="3">
        <f>1025.7+(41.1-443.7)+(-0.523107+(-0.020961--0.226287))+0-6--0.00305999999999939</f>
        <v>616.78527900000017</v>
      </c>
      <c r="I250" s="3">
        <f>1022.6+(40.2-445.2)+(-1.043052+(-0.041004--0.454104))+0-6--0.00612000000000096</f>
        <v>610.97616800000003</v>
      </c>
      <c r="J250" s="3">
        <f>899.5+(64.7-359.1)+(-0.91749+(-0.065994--0.366282))+0-6--0.00612000000000096</f>
        <v>598.4889179999999</v>
      </c>
      <c r="K250" s="3">
        <f>909.8+(102.4-416.1)+(0.463998+(0.052224-0.212211))+0-6-0.00305999999999939</f>
        <v>590.40095099999985</v>
      </c>
      <c r="L250" s="3">
        <f>964.4+(66.2-432.6)+(-1.475532+(-0.101286--0.661878))+0-6--0.00918000000000035</f>
        <v>591.09424000000001</v>
      </c>
      <c r="M250" s="3">
        <f>945.1+(118.4-478.9)+(-0.482001+(-0.060384--0.244239))+0-6--0.00305999999999939</f>
        <v>578.30491400000005</v>
      </c>
      <c r="N250" s="3">
        <f>930.1+(137.5-455.4)+(-0.948702+(-0.14025--0.464508))+0-6--0.00612000000000096</f>
        <v>605.58167600000002</v>
      </c>
      <c r="O250" s="3">
        <f>1006.6+(158.8-508.4)+(-1.026732+(-0.161976--0.518568))+0-6--0.00612000000000096</f>
        <v>650.33598000000006</v>
      </c>
      <c r="P250" s="3">
        <f>1002.7+(285.2-606.2)+(-1.534131+(-0.436356--0.927486))+0-6--0.00918000000000035</f>
        <v>674.66617900000006</v>
      </c>
      <c r="Q250" s="3">
        <f>879.5+(396.6-593)+(-0.448545+(-0.202266--0.30243))+0-6--0.00305999999999939</f>
        <v>676.75467900000001</v>
      </c>
      <c r="R250" s="3">
        <f>822.1+(440-594)+(0+(0-0))+0-6-0</f>
        <v>662.1</v>
      </c>
      <c r="S250" s="3">
        <f>837+(419.1-618.6)+(0.42687+(0.213741-0.315486))+0-6-0.00305999999999939</f>
        <v>631.82206499999995</v>
      </c>
      <c r="T250" s="3">
        <f>888.7+(384.9-627.3)+(0.453237+(0.196299-0.319923))+0-6-0.00305999999999939</f>
        <v>640.62655300000006</v>
      </c>
      <c r="U250" s="3">
        <f>841.4+(416.3-607.8)+(0.429114+(0.212313-0.309978))+0-6-0.00305999999999939</f>
        <v>644.22838900000011</v>
      </c>
      <c r="V250" s="3">
        <f>871.4+(398.1-588.5)+(0.444414+(0.203031-0.300135))+0-6-0.00305999999999939</f>
        <v>675.34424999999999</v>
      </c>
      <c r="W250" s="3">
        <f>1093.8+(344.7-637.3)+(0+(0-0))+0-6-0</f>
        <v>795.2</v>
      </c>
      <c r="X250" s="3">
        <f>1348.5+(189.5-664.8)+(0+(0-0))+0-6-0</f>
        <v>867.2</v>
      </c>
      <c r="Y250" s="3">
        <f>1374.3+(187-695.8)+(-2.803572+(-0.38148--1.419432))+0-6--0.0122399999999997</f>
        <v>857.74662000000001</v>
      </c>
      <c r="Z250" s="3">
        <f>1307.6+(191.3-647.8)+(-1.333752+(-0.195126--0.660756))+0-6--0.00612000000000096</f>
        <v>844.23799799999995</v>
      </c>
      <c r="AA250" s="3">
        <f>1239+(209.6-630.3)+(-1.89567+(-0.320688--0.964359))+0-6--0.00918000000000035</f>
        <v>811.05718100000013</v>
      </c>
      <c r="AB250" s="3">
        <f>1244.8+(256-708.4)+(0.634848+(0.13056-0.361284))+0-6-0.00305999999999939</f>
        <v>786.801064</v>
      </c>
      <c r="AC250" s="3">
        <f>1278.3+(237-735.6)+(0+(0-0))+0-6-0</f>
        <v>773.69999999999993</v>
      </c>
      <c r="AD250" s="2">
        <v>901.60000000000014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1253.4+(142-684.2)+(-4.474638+(-0.50694--2.442594))+0-6--0.0214200000000001</f>
        <v>702.68243600000005</v>
      </c>
      <c r="G251" s="3">
        <f>1046.8+(175.3-588)+(-1.067736+(-0.178806--0.59976))+0-6--0.00612000000000096</f>
        <v>627.45933799999989</v>
      </c>
      <c r="H251" s="3">
        <f>970.3+(189.5-549.8)+(-1.484559+(-0.289935--0.841194))+0-6--0.00918000000000035</f>
        <v>603.07587999999998</v>
      </c>
      <c r="I251" s="3">
        <f>911.6+(185-509)+(0.929832+(0.1887-0.51918))+0-6-0.00612000000000096</f>
        <v>582.19323199999997</v>
      </c>
      <c r="J251" s="3">
        <f>906.2+(177.3-498.3)+(-0.462162+(-0.090423--0.254133))+0-6--0.00305999999999939</f>
        <v>578.90460800000005</v>
      </c>
      <c r="K251" s="3">
        <f>913.2+(189.2-508.1)+(0.931464+(0.192984-0.518262))+0-6-0.00612000000000096</f>
        <v>588.90006599999992</v>
      </c>
      <c r="L251" s="3">
        <f>885+(228-525.8)+(-3.15945+(-0.81396--1.877106))+0-6--0.0214200000000001</f>
        <v>579.12511600000005</v>
      </c>
      <c r="M251" s="3">
        <f>833.4+(287-550.4)+(-0.425034+(-0.14637--0.280704))+0-6--0.00305999999999939</f>
        <v>563.71235999999999</v>
      </c>
      <c r="N251" s="3">
        <f>847.4+(336.1-585.1)+(1.728696+(0.685644-1.193604))+0-6-0.0122399999999997</f>
        <v>593.60849599999995</v>
      </c>
      <c r="O251" s="3">
        <f>830.5+(375-588.2)+(-0.84711+(-0.3825--0.599964))+0-6--0.00612000000000096</f>
        <v>610.67647399999998</v>
      </c>
      <c r="P251" s="3">
        <f>793.3+(397.2-584.6)+(-2.832081+(-1.418004--2.087022))+0-6--0.0214200000000001</f>
        <v>597.75835699999993</v>
      </c>
      <c r="Q251" s="3">
        <f>789.6+(390.2-579.5)+(1.208088+(0.597006-0.886635))+0-6-0.00918000000000035</f>
        <v>595.20927899999992</v>
      </c>
      <c r="R251" s="3">
        <f>804+(410.9-603.6)+(1.23012+(0.628677-0.923508))+0-6-0.00918000000000035</f>
        <v>606.22610899999995</v>
      </c>
      <c r="S251" s="3">
        <f>812.7+(406.1-615)+(0.828954+(0.414222-0.6273))+0-6-0.00612000000000096</f>
        <v>598.40975600000002</v>
      </c>
      <c r="T251" s="3">
        <f>900.3+(372.5-654.4)+(-1.836612+(-0.7599--1.334976))+0-6--0.0122399999999997</f>
        <v>611.15070400000002</v>
      </c>
      <c r="U251" s="3">
        <f>951.9+(321.9-662.6)+(1.456407+(0.492507-1.013778))+0-6-0.00918000000000035</f>
        <v>606.12595599999986</v>
      </c>
      <c r="V251" s="3">
        <f>1292.3+(101.5-712.4)+(0+(0-0))+0-6-0</f>
        <v>675.4</v>
      </c>
      <c r="W251" s="3">
        <f>1370.1+(141.1-676.3)+(0.698751+(0.071961-0.344913))+0-6-0.00305999999999939</f>
        <v>829.32273899999996</v>
      </c>
      <c r="X251" s="3">
        <f>1360.6+(161.7-638.5)+(-2.775624+(-0.329868--1.30254))+0-6--0.0122399999999997</f>
        <v>876.00928799999997</v>
      </c>
      <c r="Y251" s="3">
        <f>1327.3+(190.4-647.7)+(-2.707692+(-0.388416--1.321308))+0-6--0.0122399999999997</f>
        <v>862.23743999999988</v>
      </c>
      <c r="Z251" s="3">
        <f>1297.3+(211.1-670.6)+(1.323246+(0.215322-0.684012))+0-6-0.00612000000000096</f>
        <v>832.64843599999995</v>
      </c>
      <c r="AA251" s="3">
        <f>1295.2+(177.4-652)+(-0.660552+(-0.090474--0.33252))+0-6--0.00305999999999939</f>
        <v>814.18455400000005</v>
      </c>
      <c r="AB251" s="3">
        <f>1288.5+(144.3-640.4)+(-3.285675+(-0.367965--1.63302))+0-6--0.0152999999999991</f>
        <v>784.39468000000011</v>
      </c>
      <c r="AC251" s="3">
        <f>1308.5+(99.7-662.6)+(-2.66934+(-0.203388--1.351704))+0-6--0.0122399999999997</f>
        <v>738.09121600000003</v>
      </c>
      <c r="AD251" s="2">
        <v>882.19999999999993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1285.4+(95.4-711)+(-1.966662+(-0.145962--1.08783))+0-6--0.00918000000000035</f>
        <v>662.78438600000004</v>
      </c>
      <c r="G252" s="3">
        <f>1147.8+(119.3-629.2)+(-0.585378+(-0.060843--0.320892))+0-6--0.00305999999999939</f>
        <v>631.57773099999986</v>
      </c>
      <c r="H252" s="3">
        <f>860+(117.3-420.9)+(-0.8772+(-0.119646--0.429318))+0-6--0.00612000000000096</f>
        <v>549.83859200000006</v>
      </c>
      <c r="I252" s="3">
        <f>842.6+(90-367)+(0.429726+(0.0459-0.18717))+0-6-0.00305999999999939</f>
        <v>559.88539600000001</v>
      </c>
      <c r="J252" s="3">
        <f>840.4+(53.5-328.4)+(0.428604+(0.027285-0.167484))+0-6-0.00305999999999939</f>
        <v>559.78534500000001</v>
      </c>
      <c r="K252" s="3">
        <f>915.4+(34.8-367.7)+(1.867416+(0.070992-0.750108))+0-6-0.0122399999999997</f>
        <v>577.67606000000001</v>
      </c>
      <c r="L252" s="3">
        <f>1040.2+(125.3-556.3)+(-2.122008+(-0.255612--1.134852))+0-6--0.0122399999999997</f>
        <v>601.96947200000011</v>
      </c>
      <c r="M252" s="3">
        <f>1185.9+(173-728.9)+(2.419236+(0.35292-1.486956))+0-6-0.0122399999999997</f>
        <v>625.27296000000013</v>
      </c>
      <c r="N252" s="3">
        <f>1382.8+(94.4-767.7)+(2.115684+(0.144432-1.174581))+0-6-0.00918000000000035</f>
        <v>704.57635499999992</v>
      </c>
      <c r="O252" s="3">
        <f>1343.5+(103.8-689.7)+(0.685185+(0.052938-0.351747))+0-6-0.00305999999999939</f>
        <v>751.98331599999995</v>
      </c>
      <c r="P252" s="3">
        <f>1284+(108.8-608.6)+(0+(0-0))+0-6-0</f>
        <v>778.2</v>
      </c>
      <c r="Q252" s="3">
        <f>1297.1+(122-631.9)+(-0.661521+(-0.06222--0.322269))+0-6--0.00305999999999939</f>
        <v>780.80158799999992</v>
      </c>
      <c r="R252" s="3">
        <f>1279+(151.2-671.9)+(-4.56603+(-0.539784--2.398683))+0-7--0.0249900000000001</f>
        <v>748.61785899999995</v>
      </c>
      <c r="S252" s="3">
        <f>1350.2+(177.2-790)+(0+(0-0))+0-7-0</f>
        <v>730.40000000000009</v>
      </c>
      <c r="T252" s="3">
        <f>1351.9+(177.3-810.9)+(0+(0-0))+0-7-0</f>
        <v>711.30000000000018</v>
      </c>
      <c r="U252" s="3">
        <f>1354.5+(167-804.9)+(1.38159+(0.17034-0.820998))+0-7-0.00714000000000112</f>
        <v>710.32379200000003</v>
      </c>
      <c r="V252" s="3">
        <f>1388.4+(133.5-793.4)+(-2.124252+(-0.204255--1.213902))+0-7--0.0107100000000004</f>
        <v>720.39610500000015</v>
      </c>
      <c r="W252" s="3">
        <f>1545.3+(130.3-791.8)+(-2.364309+(-0.199359--1.211454))+0-7--0.0107100000000004</f>
        <v>875.45849599999997</v>
      </c>
      <c r="X252" s="3">
        <f>1525.9+(209-792.7)+(0+(0-0))+0-7-0</f>
        <v>935.2</v>
      </c>
      <c r="Y252" s="3">
        <f>1508.7+(199.4-781.5)+(3.077748+(0.406776-1.59426))+0-7-0.0142799999999997</f>
        <v>921.47598400000004</v>
      </c>
      <c r="Z252" s="3">
        <f>1422.2+(246.8-776.8)+(2.175966+(0.377604-1.188504))+0-7-0.0107100000000004</f>
        <v>886.55435599999998</v>
      </c>
      <c r="AA252" s="3">
        <f>1390.8+(247.2-763.3)+(2.127924+(0.378216-1.167849))+0-7-0.0107100000000004</f>
        <v>869.02758100000005</v>
      </c>
      <c r="AB252" s="3">
        <f>1369.1+(178.8-727.6)+(-1.396482+(-0.182376--0.742152))+0-7--0.00714000000000112</f>
        <v>812.47043399999995</v>
      </c>
      <c r="AC252" s="3">
        <f>1395.7+(109.3-741.6)+(-2.135421+(-0.167229--1.134648))+0-7--0.0107100000000004</f>
        <v>755.24270799999999</v>
      </c>
      <c r="AD252" s="2">
        <v>936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1433.7+(40.4-780.2)+(-1.462374+(-0.041208--0.795804))+0-7--0.00714000000000112</f>
        <v>686.19936200000006</v>
      </c>
      <c r="G253" s="3">
        <f>1294.7+(64.1-719.5)+(-4.622079+(-0.228837--2.568615))+0-7--0.0249900000000001</f>
        <v>630.04268900000011</v>
      </c>
      <c r="H253" s="3">
        <f>1206.1+(124.3-724.2)+(0.615111+(0.063393-0.369342))+0-7-0.00356999999999929</f>
        <v>599.50559199999987</v>
      </c>
      <c r="I253" s="3">
        <f>1207.9+(92-700.7)+(1.232058+(0.09384-0.714714))+0-7-0.00714000000000112</f>
        <v>592.80404399999998</v>
      </c>
      <c r="J253" s="3">
        <f>1191.2+(98.6-683)+(-0.607512+(-0.050286--0.34833))+0-7--0.00356999999999929</f>
        <v>599.494102</v>
      </c>
      <c r="K253" s="3">
        <f>1111+(174.8-681.3)+(0+(0-0))+0-7-0</f>
        <v>597.5</v>
      </c>
      <c r="L253" s="3">
        <f>1220.2+(166.4-769.4)+(-1.866906+(-0.254592--1.177182))+0-7--0.0107100000000004</f>
        <v>609.2663940000001</v>
      </c>
      <c r="M253" s="3">
        <f>1349.3+(98.9-799.9)+(-1.376286+(-0.100878--0.815898))+0-7--0.00714000000000112</f>
        <v>640.64587400000005</v>
      </c>
      <c r="N253" s="3">
        <f>1349.8+(34.8-686.6)+(0+(0-0))+0-7-0</f>
        <v>690.99999999999989</v>
      </c>
      <c r="O253" s="3">
        <f>1389.1+(41.9-684.5)+(-0.708441+(-0.021369--0.349095))+0-7--0.00356999999999929</f>
        <v>739.12285499999984</v>
      </c>
      <c r="P253" s="3">
        <f>1425.5+(41.1-694)+(-1.45401+(-0.041922--0.70788))+0-7--0.00714000000000112</f>
        <v>764.81908800000008</v>
      </c>
      <c r="Q253" s="3">
        <f>1333.2+(51-610.1)+(-2.039796+(-0.07803--0.933453))+0-7--0.0107100000000004</f>
        <v>765.92633699999999</v>
      </c>
      <c r="R253" s="3">
        <f>1306+(31.7-614)+(-0.66606+(-0.016167--0.31314))+0-7--0.00356999999999929</f>
        <v>716.33448299999998</v>
      </c>
      <c r="S253" s="3">
        <f>1302.4+(37.9-612.1)+(-1.328448+(-0.038658--0.624342))+0-7--0.00714000000000112</f>
        <v>720.46437600000013</v>
      </c>
      <c r="T253" s="3">
        <f>1314+(25.5-620.4)+(1.34028+(0.02601-0.632808))+0-7-0.00714000000000112</f>
        <v>712.82634199999995</v>
      </c>
      <c r="U253" s="3">
        <f>1344.2+(30.3-641.7)+(-2.056626+(-0.046359--0.981801))+0-7--0.0107100000000004</f>
        <v>724.689526</v>
      </c>
      <c r="V253" s="3">
        <f>1435.5+(50.8-709.4)+(-1.46421+(-0.051816--0.723588))+0-7--0.00714000000000112</f>
        <v>769.11470200000008</v>
      </c>
      <c r="W253" s="3">
        <f>1592.2+(41.9-712.6)+(-2.436066+(-0.064107--1.090278))+0-7--0.0107100000000004</f>
        <v>913.10081500000001</v>
      </c>
      <c r="X253" s="3">
        <f>1559.8+(67.2-653.1)+(-3.97749+(-0.17136--1.665405))+0-7--0.017849999999999</f>
        <v>964.43440499999997</v>
      </c>
      <c r="Y253" s="3">
        <f>1560.7+(147.4-763.4)+(0.795957+(0.075174-0.389334))+0-7-0.00356999999999929</f>
        <v>938.17822700000011</v>
      </c>
      <c r="Z253" s="3">
        <f>1557.6+(112.8-766.1)+(-2.383128+(-0.172584--1.172133))+0-7--0.0107100000000004</f>
        <v>895.9271309999998</v>
      </c>
      <c r="AA253" s="3">
        <f>1554.3+(80-740.7)+(-3.963465+(-0.204--1.888785))+0-7--0.017849999999999</f>
        <v>884.33916999999985</v>
      </c>
      <c r="AB253" s="3">
        <f>1572.2+(110.3-822.7)+(-0.801822+(-0.056253--0.419577))+0-7--0.00356999999999929</f>
        <v>852.36507199999994</v>
      </c>
      <c r="AC253" s="3">
        <f>1448.4+(130.1-784.2)+(-2.216052+(-0.199053--1.199826))+0-7--0.0107100000000004</f>
        <v>786.09543100000008</v>
      </c>
      <c r="AD253" s="2">
        <v>921.7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1300.3+(142.5-744.3)+(-2.652612+(-0.2907--1.518372))+0-7--0.0142799999999997</f>
        <v>690.08933999999999</v>
      </c>
      <c r="G254" s="3">
        <f>1283.5+(70.9-707.4)+(0+(0-0))+0-7-0</f>
        <v>640</v>
      </c>
      <c r="H254" s="3">
        <f>1272.5+(31.8-671.8)+(-2.5959+(-0.064872--1.370472))+0-7--0.0142799999999997</f>
        <v>624.22397999999998</v>
      </c>
      <c r="I254" s="3">
        <f>1279.9+(30.5-682.2)+(-0.652749+(-0.015555--0.347922))+0-7--0.00356999999999929</f>
        <v>620.88318800000002</v>
      </c>
      <c r="J254" s="3">
        <f>1293.1+(31.4-692.7)+(1.978443+(0.048042-1.059831))+0-7-0.0107100000000004</f>
        <v>625.75594399999977</v>
      </c>
      <c r="K254" s="3">
        <f>1292.1+(34-692.9)+(2.635884+(0.06936-1.413516))+0-7-0.0142799999999997</f>
        <v>627.47744799999998</v>
      </c>
      <c r="L254" s="3">
        <f>1287.1+(70.1-703.6)+(0.656421+(0.035751-0.358836))+0-7-0.00356999999999929</f>
        <v>646.92976599999997</v>
      </c>
      <c r="M254" s="3">
        <f>1306+(106.7-747)+(-1.33212+(-0.108834--0.76194))+0-7--0.00714000000000112</f>
        <v>658.02812600000004</v>
      </c>
      <c r="N254" s="3">
        <f>1493+(45.5-835.6)+(0+(0-0))+0-7-0</f>
        <v>695.9</v>
      </c>
      <c r="O254" s="3">
        <f>1566.8+(59.5-857.8)+(-3.99534+(-0.151725--2.18739))+0-7--0.017849999999999</f>
        <v>759.55817500000001</v>
      </c>
      <c r="P254" s="3">
        <f>1565.9+(104.8-858.5)+(-3.993045+(-0.26724--2.189175))+0-7--0.017849999999999</f>
        <v>803.14674000000002</v>
      </c>
      <c r="Q254" s="3">
        <f>1535.3+(123-847.2)+(-2.349009+(-0.18819--1.296216))+0-7--0.0107100000000004</f>
        <v>802.8697269999999</v>
      </c>
      <c r="R254" s="3">
        <f>1494.8+(105.2-860.4)+(-1.524696+(-0.107304--0.877608))+0-7--0.00714000000000112</f>
        <v>731.85274800000002</v>
      </c>
      <c r="S254" s="3">
        <f>1497.6+(91.7-871.7)+(-0.763776+(-0.046767--0.444567))+0-7--0.00356999999999929</f>
        <v>710.23759399999983</v>
      </c>
      <c r="T254" s="3">
        <f>1497.8+(93-862)+(-1.527756+(-0.09486--0.87924))+0-7--0.00714000000000112</f>
        <v>721.06376399999999</v>
      </c>
      <c r="U254" s="3">
        <f>1498.3+(116-899)+(-1.528266+(-0.11832--0.91698))+0-7--0.00714000000000112</f>
        <v>707.57753400000001</v>
      </c>
      <c r="V254" s="3">
        <f>1518.4+(115.3-909.1)+(0+(0-0))+0-7-0</f>
        <v>717.6</v>
      </c>
      <c r="W254" s="3">
        <f>1592.6+(240.1-946.7)+(2.436678+(0.367353-1.448451))+0-7-0.0107100000000004</f>
        <v>880.3448699999999</v>
      </c>
      <c r="X254" s="3">
        <f>1616+(226.8-883.5)+(-0.82416+(-0.115668--0.450585))+0-7--0.00356999999999929</f>
        <v>951.81432699999993</v>
      </c>
      <c r="Y254" s="3">
        <f>1621.7+(171.4-850.9)+(0+(0-0))+0-7-0</f>
        <v>935.2</v>
      </c>
      <c r="Z254" s="3">
        <f>1613.3+(119.7-804.2)+(-0.822783+(-0.061047--0.410142))+0-7--0.00356999999999929</f>
        <v>921.32988199999988</v>
      </c>
      <c r="AA254" s="3">
        <f>1515.3+(119.5-748.3)+(-1.545606+(-0.12189--0.763266))+0-7--0.00714000000000112</f>
        <v>878.60291000000007</v>
      </c>
      <c r="AB254" s="3">
        <f>1509.9+(103.3-767.9)+(-2.310147+(-0.158049--1.174887))+0-7--0.0107100000000004</f>
        <v>837.01740100000006</v>
      </c>
      <c r="AC254" s="3">
        <f>1503.9+(59.4-780.5)+(-3.834945+(-0.15147--1.990275))+0-7--0.017849999999999</f>
        <v>773.82171000000005</v>
      </c>
      <c r="AD254" s="2">
        <v>959.80000000000007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1507.6+(46.9-847)+(-3.075504+(-0.095676--1.72788))+0-7--0.0142799999999997</f>
        <v>699.07097999999985</v>
      </c>
      <c r="G255" s="3">
        <f>1396.6+(85.1-822.7)+(-0.712266+(-0.043401--0.419577))+0-7--0.00356999999999929</f>
        <v>651.66747999999984</v>
      </c>
      <c r="H255" s="3">
        <f>1341.3+(88.6-778.5)+(-2.736252+(-0.180744--1.58814))+0-7--0.0142799999999997</f>
        <v>643.08542399999999</v>
      </c>
      <c r="I255" s="3">
        <f>1271.6+(101.1-739)+(0.648516+(0.051561-0.37689))+0-7-0.00356999999999929</f>
        <v>627.01961699999993</v>
      </c>
      <c r="J255" s="3">
        <f>1379.8+(38.6-772.3)+(-2.111094+(-0.059058--1.181619))+0-7--0.0107100000000004</f>
        <v>638.12217700000008</v>
      </c>
      <c r="K255" s="3">
        <f>1362.2+(69-784.2)+(2.084166+(0.10557-1.199826))+0-7-0.0107100000000004</f>
        <v>640.97919999999999</v>
      </c>
      <c r="L255" s="3">
        <f>1392.9+(89.7-835.3)+(-0.710379+(-0.045747--0.426003))+0-7--0.00356999999999929</f>
        <v>639.97344700000019</v>
      </c>
      <c r="M255" s="3">
        <f>1519+(68.6-955.4)+(3.87345+(0.17493-2.43627))+0-7-0.017849999999999</f>
        <v>626.79426000000012</v>
      </c>
      <c r="N255" s="3">
        <f>1778.2+(33.7-1099.4)+(4.53441+(0.085935-2.80347))+0-7-0.017849999999999</f>
        <v>707.29902500000003</v>
      </c>
      <c r="O255" s="3">
        <f>1837.8+(34.9-1096.4)+(0.937278+(0.017799-0.559164))+0-7-0.00356999999999929</f>
        <v>769.69234299999994</v>
      </c>
      <c r="P255" s="3">
        <f>1911.2+(28.8-1129.6)+(0.974712+(0.014688-0.576096))+0-7-0.00356999999999929</f>
        <v>803.80973400000016</v>
      </c>
      <c r="Q255" s="3">
        <f>1841.2+(23.2-1089.7)+(-1.878024+(-0.023664--1.111494))+0-7--0.00714000000000112</f>
        <v>766.91694600000005</v>
      </c>
      <c r="R255" s="3">
        <f>1819.7+(34-1095)+(-5.568282+(-0.10404--3.3507))+0-7--0.0214200000000008</f>
        <v>749.39979800000003</v>
      </c>
      <c r="S255" s="3">
        <f>1742.5+(57-1063)+(-4.443375+(-0.14535--2.71065))+0-7--0.017849999999999</f>
        <v>727.63977499999999</v>
      </c>
      <c r="T255" s="3">
        <f>1740.3+(84-1117)+(0.887553+(0.04284-0.56967))+0-7-0.00356999999999929</f>
        <v>700.65715299999999</v>
      </c>
      <c r="U255" s="3">
        <f>1805.6+(51-1125)+(0.920856+(0.02601-0.57375))+0-7-0.00356999999999929</f>
        <v>724.96954599999992</v>
      </c>
      <c r="V255" s="3">
        <f>1797.4+(32.5-1091)+(-2.750022+(-0.049725--1.66923))+0-7--0.0107100000000004</f>
        <v>730.78019300000005</v>
      </c>
      <c r="W255" s="3">
        <f>1856.1+(44.6-1015.7)+(0.946611+(0.022746-0.518007))+0-7-0.00356999999999929</f>
        <v>878.44777999999997</v>
      </c>
      <c r="X255" s="3">
        <f>1882.5+(45.2-978.4)+(-4.800375+(-0.11526--2.49492))+0-7--0.017849999999999</f>
        <v>939.89713500000005</v>
      </c>
      <c r="Y255" s="3">
        <f>1890.5+(31-1000.5)+(-0.964155+(-0.01581--0.510255))+0-7--0.00356999999999929</f>
        <v>913.53386</v>
      </c>
      <c r="Z255" s="3">
        <f>1899.5+(35.8-1021.5)+(0+(0-0))+0-7-0</f>
        <v>906.8</v>
      </c>
      <c r="AA255" s="3">
        <f>1901.6+(37.2-1037.1)+(-0.969816+(-0.018972--0.528921))+0-7--0.00356999999999929</f>
        <v>894.24370299999998</v>
      </c>
      <c r="AB255" s="3">
        <f>1897.6+(35.3-1060.5)+(-4.83888+(-0.090015--2.704275))+0-7--0.017849999999999</f>
        <v>863.19322999999986</v>
      </c>
      <c r="AC255" s="3">
        <f>1767.4+(46.8-998.7)+(-1.802748+(-0.047736--1.018674))+0-7--0.00714000000000112</f>
        <v>807.67533000000003</v>
      </c>
      <c r="AD255" s="2">
        <v>936.8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1620.5+(124.2-979.1)+(2.479365+(0.190026-1.498023))+0-7-0.0107100000000004</f>
        <v>759.76065800000003</v>
      </c>
      <c r="G256" s="3">
        <f>1471.1+(146.9-917.1)+(0+(0-0))+0-7-0</f>
        <v>693.89999999999986</v>
      </c>
      <c r="H256" s="3">
        <f>1469.2+(151.6-946.5)+(0.749292+(0.077316-0.482715))+0-7-0.00356999999999929</f>
        <v>667.64032300000008</v>
      </c>
      <c r="I256" s="3">
        <f>1307.6+(126.7-782.7)+(-0.666876+(-0.064617--0.399177))+0-7--0.00356999999999929</f>
        <v>644.27125399999989</v>
      </c>
      <c r="J256" s="3">
        <f>1293.7+(122.9-771.6)+(0+(0-0))+0-7-0</f>
        <v>638</v>
      </c>
      <c r="K256" s="3">
        <f>1390.5+(113.6-854.6)+(1.41831+(0.115872-0.871692))+0-7-0.00714000000000112</f>
        <v>643.15535</v>
      </c>
      <c r="L256" s="3">
        <f>1324.7+(184.7-846.9)+(-6.080373+(-0.847773--3.887271))+0-7--0.0321300000000012</f>
        <v>652.49125500000002</v>
      </c>
      <c r="M256" s="3">
        <f>1361.3+(164.2-903.1)+(1.388526+(0.167484-0.921162))+0-7-0.00714000000000112</f>
        <v>616.02770799999985</v>
      </c>
      <c r="N256" s="3">
        <f>1466+(116.3-927.8)+(-1.49532+(-0.118626--0.946356))+0-7--0.00714000000000112</f>
        <v>646.83955000000003</v>
      </c>
      <c r="O256" s="3">
        <f>1436.5+(114.4-854.7)+(1.46523+(0.116688-0.871794))+0-7-0.00714000000000112</f>
        <v>689.90298399999983</v>
      </c>
      <c r="P256" s="3">
        <f>1462.2+(106.2-839.1)+(0.745722+(0.054162-0.427941))+0-7-0.00356999999999929</f>
        <v>722.66837300000009</v>
      </c>
      <c r="Q256" s="3">
        <f>1514.8+(113-893.4)+(-1.545096+(-0.11526--0.911268))+0-7--0.00714000000000112</f>
        <v>726.658052</v>
      </c>
      <c r="R256" s="3">
        <f>1510.3+(119.4-916.2)+(-3.081012+(-0.243576--1.869048))+0-7--0.0142799999999997</f>
        <v>705.05873999999983</v>
      </c>
      <c r="S256" s="3">
        <f>1491+(107.2-911.7)+(-1.52082+(-0.109344--0.929934))+0-7--0.00714000000000112</f>
        <v>678.80691000000002</v>
      </c>
      <c r="T256" s="3">
        <f>1473.9+(109.4-906.1)+(-3.006756+(-0.223176--1.848444))+0-7--0.0142799999999997</f>
        <v>668.83279200000004</v>
      </c>
      <c r="U256" s="3">
        <f>1415.7+(101.4-853.5)+(-1.444014+(-0.103428--0.87057))+0-7--0.00714000000000112</f>
        <v>655.93026800000007</v>
      </c>
      <c r="V256" s="3">
        <f>1424.7+(130.1-848.7)+(0+(0-0))+0-7-0</f>
        <v>699.1</v>
      </c>
      <c r="W256" s="3">
        <f>1552.8+(119.7-828.2)+(0+(0-0))+0-7-0</f>
        <v>837.3</v>
      </c>
      <c r="X256" s="3">
        <f>1556.9+(168.9-809)+(-3.176076+(-0.344556--1.65036))+0-7--0.0142799999999997</f>
        <v>907.94400800000005</v>
      </c>
      <c r="Y256" s="3">
        <f>1424.8+(219.2-735.7)+(2.179944+(0.335376-1.125621))+0-7-0.0107100000000004</f>
        <v>902.67898899999989</v>
      </c>
      <c r="Z256" s="3">
        <f>1383.7+(226.8-723.2)+(-2.117061+(-0.347004--1.106496))+0-7--0.0107100000000004</f>
        <v>878.95314099999996</v>
      </c>
      <c r="AA256" s="3">
        <f>1389.3+(184.1-706.5)+(-1.417086+(-0.187782--0.72063))+0-7--0.00714000000000112</f>
        <v>859.02290200000004</v>
      </c>
      <c r="AB256" s="3">
        <f>1391.3+(201.7-755.3)+(-2.128689+(-0.308601--1.155609))+0-7--0.0107100000000004</f>
        <v>829.42902900000001</v>
      </c>
      <c r="AC256" s="3">
        <f>1405.5+(107.4-748)+(-2.86722+(-0.219096--1.52592))+0-7--0.0142799999999997</f>
        <v>756.35388399999999</v>
      </c>
      <c r="AD256" s="2">
        <v>897.30000000000007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1349.9+(104.3-752.1)+(-3.442245+(-0.265965--1.917855))+0-7--0.017849999999999</f>
        <v>693.327495</v>
      </c>
      <c r="G257" s="3">
        <f>1165.3+(164.1-679.1)+(-2.377212+(-0.334764--1.385364))+0-7--0.0142799999999997</f>
        <v>641.98766799999999</v>
      </c>
      <c r="H257" s="3">
        <f>1153.6+(152.4-676.6)+(-1.176672+(-0.155448--0.690132))+0-7--0.00714000000000112</f>
        <v>621.76515199999994</v>
      </c>
      <c r="I257" s="3">
        <f>1152.2+(167.2-687.4)+(-1.762866+(-0.255816--1.051722))+0-7--0.0107100000000004</f>
        <v>624.04375000000005</v>
      </c>
      <c r="J257" s="3">
        <f>1155.5+(174.6-708.6)+(0+(0-0))+0-7-0</f>
        <v>614.5</v>
      </c>
      <c r="K257" s="3">
        <f>1183.3+(155.9-717.6)+(1.810449+(0.238527-1.097928))+0-7-0.0107100000000004</f>
        <v>615.54033799999991</v>
      </c>
      <c r="L257" s="3">
        <f>1263.9+(119.3-729.8)+(-1.289178+(-0.121686--0.744396))+0-7--0.00714000000000112</f>
        <v>645.74067200000013</v>
      </c>
      <c r="M257" s="3">
        <f>1280.5+(181.1-790.8)+(3.265275+(0.461805-2.01654))+0-7-0.017849999999999</f>
        <v>665.49269000000015</v>
      </c>
      <c r="N257" s="3">
        <f>1421.6+(183.1-860.8)+(1.450032+(0.186762-0.878016))+0-7-0.00714000000000112</f>
        <v>737.65163799999993</v>
      </c>
      <c r="O257" s="3">
        <f>1426.8+(105.6-756.8)+(1.455336+(0.107712-0.771936))+0-7-0.00714000000000112</f>
        <v>769.38397199999997</v>
      </c>
      <c r="P257" s="3">
        <f>1515.6+(79.4-800.2)+(-0.772956+(-0.040494--0.408102))+0-7--0.00356999999999929</f>
        <v>787.39822199999981</v>
      </c>
      <c r="Q257" s="3">
        <f>1593.9+(47.7-853.4)+(-1.625778+(-0.048654--0.870468))+0-7--0.00714000000000112</f>
        <v>780.40317600000026</v>
      </c>
      <c r="R257" s="3">
        <f>1628.9+(37-920.7)+(-4.153695+(-0.09435--2.347785))+0-6--0.0152999999999991</f>
        <v>737.31504000000007</v>
      </c>
      <c r="S257" s="3">
        <f>1554+(40.9-869.5)+(0.79254+(0.020859-0.443445))+0-6-0.00305999999999939</f>
        <v>719.76689399999998</v>
      </c>
      <c r="T257" s="3">
        <f>1650+(31-948.2)+(0+(0-0))+0-6-0</f>
        <v>726.8</v>
      </c>
      <c r="U257" s="3">
        <f>1639.4+(30-936.9)+(-2.508282+(-0.0459--1.433457))+0-6--0.00918000000000035</f>
        <v>725.38845500000014</v>
      </c>
      <c r="V257" s="3">
        <f>1650.6+(37.6-936.1)+(0.841806+(0.019176-0.477411))+0-6-0.00305999999999939</f>
        <v>746.48051099999986</v>
      </c>
      <c r="W257" s="3">
        <f>1643.6+(184.5-932.6)+(-1.676472+(-0.18819--0.951252))+0-6--0.00612000000000096</f>
        <v>888.5927099999999</v>
      </c>
      <c r="X257" s="3">
        <f>1651.9+(202.2-881.7)+(0.842469+(0.103122-0.449667))+0-7-0.00356999999999929</f>
        <v>965.89235400000007</v>
      </c>
      <c r="Y257" s="3">
        <f>1649.9+(150.4-841.4)+(-2.524347+(-0.230112--1.287342))+0-7--0.0107100000000004</f>
        <v>950.44359300000008</v>
      </c>
      <c r="Z257" s="3">
        <f>1639.8+(64.8-766)+(-5.017788+(-0.198288--2.34396))+0-7--0.0214200000000008</f>
        <v>928.74930399999994</v>
      </c>
      <c r="AA257" s="3">
        <f>1639.5+(54.5-775.9)+(-5.853015+(-0.194565--2.769963))+0-7--0.0249900000000001</f>
        <v>907.84737300000006</v>
      </c>
      <c r="AB257" s="3">
        <f>1644.1+(56.5-821.1)+(-4.192455+(-0.144075--2.093805))+0-7--0.017849999999999</f>
        <v>870.27512499999989</v>
      </c>
      <c r="AC257" s="3">
        <f>1523.4+(57-752.4)+(-3.88467+(-0.14535--1.91862))+0-7--0.017849999999999</f>
        <v>818.90645000000006</v>
      </c>
      <c r="AD257" s="2">
        <v>899.5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1298.5+(144.7-729)+(-0.662235+(-0.073797--0.37179))+0-7--0.00356999999999929</f>
        <v>706.83932800000002</v>
      </c>
      <c r="G258" s="3">
        <f>1183.9+(185-693.8)+(-2.415156+(-0.3774--1.415352))+0-7--0.0142799999999997</f>
        <v>666.73707600000012</v>
      </c>
      <c r="H258" s="3">
        <f>1057.4+(232.7-648.9)+(0+(0-0))+0-7-0</f>
        <v>634.20000000000005</v>
      </c>
      <c r="I258" s="3">
        <f>1064.1+(186.1-621)+(1.628073+(0.284733-0.95013))+0-7-0.0107100000000004</f>
        <v>623.1519659999999</v>
      </c>
      <c r="J258" s="3">
        <f>1097.8+(180.3-643.8)+(2.239512+(0.367812-1.313352))+0-7-0.0142799999999997</f>
        <v>628.57969200000002</v>
      </c>
      <c r="K258" s="3">
        <f>1172.7+(125.6-655.1)+(-1.196154+(-0.128112--0.668202))+0-7--0.00714000000000112</f>
        <v>635.55107600000008</v>
      </c>
      <c r="L258" s="3">
        <f>1216.6+(120.3-675.3)+(0+(0-0))+0-6-0</f>
        <v>655.59999999999991</v>
      </c>
      <c r="M258" s="3">
        <f>1221.4+(141.5-676.5)+(1.868742+(0.216495-1.035045))+0-6-0.00918000000000035</f>
        <v>681.44101200000011</v>
      </c>
      <c r="N258" s="3">
        <f>1227.7+(224.3-705.2)+(0+(0-0))+0-6-0</f>
        <v>740.8</v>
      </c>
      <c r="O258" s="3">
        <f>1275.8+(319.3-829.3)+(0+(0-0))+0-6-0</f>
        <v>759.8</v>
      </c>
      <c r="P258" s="3">
        <f>1385.9+(336.1-919.7)+(0+(0-0))+0-6-0</f>
        <v>796.30000000000007</v>
      </c>
      <c r="Q258" s="3">
        <f>1433.5+(293.9-935.2)+(-2.193255+(-0.449667--1.430856))+0-6--0.00918000000000035</f>
        <v>784.9971139999999</v>
      </c>
      <c r="R258" s="3">
        <f>1525.2+(172.5-949)+(-3.88926+(-0.439875--2.41995))+0-7--0.017849999999999</f>
        <v>739.80866500000002</v>
      </c>
      <c r="S258" s="3">
        <f>1529.8+(135.4-943.1)+(-1.560396+(-0.138108--0.961962))+0-7--0.00714000000000112</f>
        <v>714.37059799999997</v>
      </c>
      <c r="T258" s="3">
        <f>1534.2+(97.6-905.7)+(-0.782442+(-0.049776--0.461907))+0-7--0.00356999999999929</f>
        <v>718.73325899999998</v>
      </c>
      <c r="U258" s="3">
        <f>1488.2+(120.7-889.2)+(2.276946+(0.184671-1.360476))+0-7-0.0107100000000004</f>
        <v>713.79043100000001</v>
      </c>
      <c r="V258" s="3">
        <f>1531.1+(97.5-876)+(0.780861+(0.049725-0.44676))+0-7-0.00356999999999929</f>
        <v>745.98025599999994</v>
      </c>
      <c r="W258" s="3">
        <f>1569.3+(292-964.4)+(1.600686+(0.29784-0.983688))+0-7-0.00714000000000112</f>
        <v>890.80769799999996</v>
      </c>
      <c r="X258" s="3">
        <f>1611.2+(278.2-908.9)+(0+(0-0))+0-7-0</f>
        <v>973.5</v>
      </c>
      <c r="Y258" s="3">
        <f>1608.5+(190.3-825.2)+(1.64067+(0.194106-0.841704))+0-7-0.00714000000000112</f>
        <v>967.58593199999984</v>
      </c>
      <c r="Z258" s="3">
        <f>1614.7+(142.4-818.5)+(0+(0-0))+0-7-0</f>
        <v>931.6</v>
      </c>
      <c r="AA258" s="3">
        <f>1632.4+(81.8-800)+(-1.665048+(-0.083436--0.816))+0-7--0.00714000000000112</f>
        <v>906.27465600000005</v>
      </c>
      <c r="AB258" s="3">
        <f>1581.4+(110-807)+(-4.03257+(-0.2805--2.05785))+0-7--0.017849999999999</f>
        <v>875.16263000000004</v>
      </c>
      <c r="AC258" s="3">
        <f>1351.4+(149-701.8)+(-3.44607+(-0.37995--1.78959))+0-7--0.017849999999999</f>
        <v>789.58142000000009</v>
      </c>
      <c r="AD258" s="2">
        <v>967.10000000000014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1202.6+(167.2-655.1)+(-1.839978+(-0.255816--1.002303))+0-7--0.0107100000000004</f>
        <v>706.61721899999986</v>
      </c>
      <c r="G259" s="3">
        <f>1203.7+(111.5-662)+(-1.227774+(-0.11373--0.67524))+0-7--0.00714000000000112</f>
        <v>645.54087600000014</v>
      </c>
      <c r="H259" s="3">
        <f>1219.5+(115.7-682.8)+(-1.24389+(-0.118014--0.696456))+0-7--0.00714000000000112</f>
        <v>644.74169200000017</v>
      </c>
      <c r="I259" s="3">
        <f>1115.5+(178.1-647.5)+(-1.706715+(-0.272493--0.990675))+0-7--0.0107100000000004</f>
        <v>638.12217700000008</v>
      </c>
      <c r="J259" s="3">
        <f>1088.3+(190.1-637.4)+(0.555033+(0.096951-0.325074))+0-7-0.00356999999999929</f>
        <v>634.32334000000003</v>
      </c>
      <c r="K259" s="3">
        <f>1085.4+(208.6-641.3)+(0+(0-0))+0-7-0</f>
        <v>645.70000000000016</v>
      </c>
      <c r="L259" s="3">
        <f>1148.3+(216.7-690.6)+(-2.928165+(-0.552585--1.76103))+0-7--0.017849999999999</f>
        <v>665.69812999999976</v>
      </c>
      <c r="M259" s="3">
        <f>1211+(154.5-679.4)+(3.08805+(0.393975-1.73247))+0-7-0.017849999999999</f>
        <v>680.83170500000006</v>
      </c>
      <c r="N259" s="3">
        <f>1409.1+(90.6-753)+(1.437282+(0.092412-0.76806))+0-7-0.00714000000000112</f>
        <v>740.45449399999984</v>
      </c>
      <c r="O259" s="3">
        <f>1541.6+(88.7-822.4)+(2.358648+(0.135711-1.258272))+0-7-0.0107100000000004</f>
        <v>802.12537699999996</v>
      </c>
      <c r="P259" s="3">
        <f>1578.8+(81-846.3)+(-4.02594+(-0.20655--2.158065))+0-7--0.017849999999999</f>
        <v>804.44342499999993</v>
      </c>
      <c r="Q259" s="3">
        <f>1715.6+(45.3-957.2)+(-3.499824+(-0.092412--1.952688))+0-7--0.0142799999999997</f>
        <v>795.07473199999981</v>
      </c>
      <c r="R259" s="3">
        <f>1779.3+(84.9-1071.3)+(-7.259544+(-0.346392--4.370904))+0-7--0.0285599999999994</f>
        <v>782.6935279999999</v>
      </c>
      <c r="S259" s="3">
        <f>1699.1+(113-1041.5)+(-2.599623+(-0.17289--1.593495))+0-7--0.0107100000000004</f>
        <v>762.43169199999988</v>
      </c>
      <c r="T259" s="3">
        <f>1492.4+(169.3-914.9)+(-0.761124+(-0.086343--0.466599))+0-7--0.00356999999999929</f>
        <v>739.42270200000019</v>
      </c>
      <c r="U259" s="3">
        <f>1502.5+(122.4-870.5)+(-0.766275+(-0.062424--0.443955))+0-7--0.00356999999999929</f>
        <v>747.01882599999999</v>
      </c>
      <c r="V259" s="3">
        <f>1533.4+(104.2-881.5)+(0.782034+(0.053142-0.449565))+0-7-0.00356999999999929</f>
        <v>749.48204100000021</v>
      </c>
      <c r="W259" s="3">
        <f>1770.2+(55.7-895.1)+(0+(0-0))+0-7-0</f>
        <v>923.80000000000007</v>
      </c>
      <c r="X259" s="3">
        <f>1789.4+(55.2-844.3)+(-4.56297+(-0.14076--2.152965))+0-7--0.017849999999999</f>
        <v>990.76708500000018</v>
      </c>
      <c r="Y259" s="3">
        <f>1804.5+(88.8-907.9)+(-3.68118+(-0.181152--1.852116))+0-7--0.0142799999999997</f>
        <v>976.40406399999995</v>
      </c>
      <c r="Z259" s="3">
        <f>1817.6+(82.4-943.3)+(-1.853952+(-0.084048--0.962166))+0-7--0.00714000000000112</f>
        <v>948.73130600000002</v>
      </c>
      <c r="AA259" s="3">
        <f>1729.9+(93.1-890.5)+(-5.293494+(-0.284886--2.72493))+0-7--0.0214200000000008</f>
        <v>922.6679700000002</v>
      </c>
      <c r="AB259" s="3">
        <f>1659.2+(61.7-826.5)+(-4.23096+(-0.157335--2.107575))+0-7--0.017849999999999</f>
        <v>885.13713000000007</v>
      </c>
      <c r="AC259" s="3">
        <f>1370.3+(137.7-674.2)+(-2.096559+(-0.210681--1.031526))+0-7--0.0107100000000004</f>
        <v>825.53499599999998</v>
      </c>
      <c r="AD259" s="2">
        <v>988.3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1213.2+(189.8-675.7)+(0+(0-0))+0-7-0</f>
        <v>720.3</v>
      </c>
      <c r="G260" s="3">
        <f>1205.7+(121.9-647.1)+(-1.229814+(-0.124338--0.660042))+0-7--0.00714000000000112</f>
        <v>672.81303000000003</v>
      </c>
      <c r="H260" s="3">
        <f>1190.9+(142.7-665.6)+(0.607359+(0.072777-0.339456))+0-7-0.00356999999999929</f>
        <v>661.33711000000005</v>
      </c>
      <c r="I260" s="3">
        <f>1180.8+(142.6-663)+(1.806624+(0.218178-1.01439))+0-7-0.0107100000000004</f>
        <v>654.39970199999993</v>
      </c>
      <c r="J260" s="3">
        <f>1147.3+(152.1-644.1)+(0+(0-0))+0-7-0</f>
        <v>648.29999999999995</v>
      </c>
      <c r="K260" s="3">
        <f>1145.3+(187.4-673.1)+(1.168206+(0.191148-0.686562))+0-7-0.00714000000000112</f>
        <v>653.26565199999982</v>
      </c>
      <c r="L260" s="3">
        <f>1139.3+(214.8-676.4)+(-1.162086+(-0.219096--0.689928))+0-0-0</f>
        <v>677.00874600000009</v>
      </c>
      <c r="M260" s="3">
        <f>1147.8+(207.4-652.3)+(1.170756+(0.211548-0.665346))+0-0-0</f>
        <v>703.61695799999995</v>
      </c>
      <c r="N260" s="3">
        <f>1306.3+(168.7-731.9)+(1.332426+(0.172074-0.746538))+0-0-0</f>
        <v>743.85796199999993</v>
      </c>
      <c r="O260" s="3">
        <f>1463.2+(124.5-795.8)+(-4.477392+(-0.38097--2.435148))+0-0-0</f>
        <v>789.47678600000006</v>
      </c>
      <c r="P260" s="3">
        <f>1598+(175.9-970.8)+(0+(0-0))+0-0-0</f>
        <v>803.1</v>
      </c>
      <c r="Q260" s="3">
        <f>1695.4+(155.6-1034.4)+(0.864654+(0.079356-0.527544))+0-0-0</f>
        <v>817.01646600000004</v>
      </c>
      <c r="R260" s="3">
        <f>1689.9+(157.3-1061.9)+(-1.723698+(-0.160446--1.083138))+0-7--0.00714000000000112</f>
        <v>777.50613399999997</v>
      </c>
      <c r="S260" s="3">
        <f>1684.9+(104.8-1014.6)+(-2.577897+(-0.160344--1.552338))+0-7--0.0107100000000004</f>
        <v>766.92480699999999</v>
      </c>
      <c r="T260" s="3">
        <f>1706+(50.9-986.9)+(1.74012+(0.051918-1.006638))+0-7-0.00714000000000112</f>
        <v>763.77825999999993</v>
      </c>
      <c r="U260" s="3">
        <f>1707.8+(50.6-979.4)+(-1.741956+(-0.051612--0.998988))+0-7--0.00714000000000112</f>
        <v>771.21256000000005</v>
      </c>
      <c r="V260" s="3">
        <f>1727.1+(75.2-986.7)+(-0.880821+(-0.038352--0.503217))+0-7--0.00356999999999929</f>
        <v>808.18761399999983</v>
      </c>
      <c r="W260" s="3">
        <f>1793.8+(148.8-987.3)+(0.914838+(0.075888-0.503523))+0-7-0.00356999999999929</f>
        <v>948.78363300000001</v>
      </c>
      <c r="X260" s="3">
        <f>1787.8+(73.8-866.3)+(-4.55889+(-0.18819--2.209065))+0-7--0.017849999999999</f>
        <v>985.77983499999993</v>
      </c>
      <c r="Y260" s="3">
        <f>1798.8+(53.5-876.1)+(-3.669552+(-0.10914--1.787244))+0-7--0.0142799999999997</f>
        <v>967.22283199999993</v>
      </c>
      <c r="Z260" s="3">
        <f>1802.2+(50.7-911.5)+(-3.676488+(-0.103428--1.85946))+0-7--0.0142799999999997</f>
        <v>932.49382400000013</v>
      </c>
      <c r="AA260" s="3">
        <f>1804.4+(42.4-934.1)+(-2.760732+(-0.064872--1.429173))+0-7--0.0107100000000004</f>
        <v>904.31427900000006</v>
      </c>
      <c r="AB260" s="3">
        <f>1800+(45.1-968.8)+(-4.59+(-0.115005--2.47044))+0-7--0.017849999999999</f>
        <v>867.08328500000005</v>
      </c>
      <c r="AC260" s="3">
        <f>1737.8+(50-962.5)+(-3.545112+(-0.102--1.9635))+0-7--0.0142799999999997</f>
        <v>816.6306679999999</v>
      </c>
      <c r="AD260" s="2">
        <v>1003.9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1247+(157.1-648.6)+(-3.81582+(-0.480726--1.984716))+0-7--0.0214200000000008</f>
        <v>746.20959000000005</v>
      </c>
      <c r="G261" s="3">
        <f>981.7+(283.6-580.7)+(0.500667+(0.144636-0.296157))+0-7-0.00356999999999929</f>
        <v>677.94557600000007</v>
      </c>
      <c r="H261" s="3">
        <f>977.2+(269.8-583.4)+(0+(0-0))+0-7-0</f>
        <v>656.60000000000014</v>
      </c>
      <c r="I261" s="3">
        <f>978.3+(220.3-541.4)+(0+(0-0))+0-7-0</f>
        <v>650.20000000000005</v>
      </c>
      <c r="J261" s="3">
        <f>983.8+(239.4-575.2)+(2.006952+(0.488376-1.173408))+0-7-0.0142799999999997</f>
        <v>642.30763999999988</v>
      </c>
      <c r="K261" s="3">
        <f>1052.3+(203.2-601.5)+(2.146692+(0.414528-1.22706))+0-7-0.0142799999999997</f>
        <v>648.31988000000001</v>
      </c>
      <c r="L261" s="3">
        <f>1178+(214.8-702.8)+(1.20156+(0.219096-0.716856))+0-7-0.00714000000000112</f>
        <v>683.69665999999995</v>
      </c>
      <c r="M261" s="3">
        <f>1188.9+(261.3-733.5)+(-1.212678+(-0.266526--0.74817))+0-7--0.00714000000000112</f>
        <v>708.97610600000007</v>
      </c>
      <c r="N261" s="3">
        <f>1207.8+(305.5-739.4)+(1.847934+(0.467415-1.131282))+0-7-0.0107100000000004</f>
        <v>768.07335699999999</v>
      </c>
      <c r="O261" s="3">
        <f>1198.8+(386.9-773.2)+(0.611388+(0.197319-0.394332))+0-7-0.00356999999999929</f>
        <v>805.91080499999987</v>
      </c>
      <c r="P261" s="3">
        <f>1429.4+(281.6-879.1)+(-0.728994+(-0.143616--0.448341))+0-7--0.00356999999999929</f>
        <v>824.47930100000008</v>
      </c>
      <c r="Q261" s="3">
        <f>1482+(186.8-827.6)+(-3.02328+(-0.381072--1.688304))+0-7--0.0142799999999997</f>
        <v>832.49823200000003</v>
      </c>
      <c r="R261" s="3">
        <f>1552.8+(95-852.4)+(-3.95964+(-0.24225--2.17362))+0-7--0.017849999999999</f>
        <v>786.38957999999991</v>
      </c>
      <c r="S261" s="3">
        <f>1563.6+(86.3-864.2)+(-6.379488+(-0.352104--3.525936))+0-7--0.0285599999999994</f>
        <v>775.52290399999981</v>
      </c>
      <c r="T261" s="3">
        <f>1584.2+(93.7-882.2)+(0.807942+(0.047787-0.449922))+0-7-0.00356999999999929</f>
        <v>789.10223700000006</v>
      </c>
      <c r="U261" s="3">
        <f>1567.7+(102.5-864.8)+(-2.398581+(-0.156825--1.323144))+0-7--0.0107100000000004</f>
        <v>797.17844800000012</v>
      </c>
      <c r="V261" s="3">
        <f>1593.6+(78.8-850.9)+(-3.250944+(-0.160752--1.735836))+0-7--0.0142799999999997</f>
        <v>812.83841999999993</v>
      </c>
      <c r="W261" s="3">
        <f>1663.9+(136.5-853.4)+(-1.697178+(-0.13923--0.870468))+0-7--0.00714000000000112</f>
        <v>939.04120000000012</v>
      </c>
      <c r="X261" s="3">
        <f>1694.3+(133.7-842)+(-5.184558+(-0.409122--2.57652))+0-7--0.0214200000000008</f>
        <v>976.00426000000004</v>
      </c>
      <c r="Y261" s="3">
        <f>1730.6+(100.9-868.3)+(-3.530424+(-0.205836--1.771332))+0-8--0.0163199999999997</f>
        <v>953.2513919999999</v>
      </c>
      <c r="Z261" s="3">
        <f>1563+(163-788)+(-3.98565+(-0.41565--2.0094))+0-8--0.0203999999999988</f>
        <v>927.62850000000003</v>
      </c>
      <c r="AA261" s="3">
        <f>1461.9+(192-750.8)+(-2.236707+(-0.29376--1.148724))+0-8--0.0122400000000005</f>
        <v>893.73049700000013</v>
      </c>
      <c r="AB261" s="3">
        <f>1344.8+(317.2-776.7)+(-2.743392+(-0.647088--1.584468))+0-8--0.0163199999999997</f>
        <v>875.5103079999999</v>
      </c>
      <c r="AC261" s="3">
        <f>1151.9+(415.5-760.7)+(-0.587469+(-0.211905--0.387957))+0-8--0.00407999999999919</f>
        <v>798.29266300000006</v>
      </c>
      <c r="AD261" s="2">
        <v>957.19999999999993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1105.4+(323.3-708.5)+(-2.255016+(-0.659532--1.44534))+0-8--0.0163199999999997</f>
        <v>710.74711200000002</v>
      </c>
      <c r="G262" s="3">
        <f>1110.9+(260.9-699.1)+(-1.133118+(-0.266118--0.713082))+0-8--0.00816000000000128</f>
        <v>664.02200600000003</v>
      </c>
      <c r="H262" s="3">
        <f>1096.2+(200.5-651)+(-0.559062+(-0.102255--0.33201))+0-8--0.00407999999999919</f>
        <v>637.37477300000012</v>
      </c>
      <c r="I262" s="3">
        <f>1068.3+(190.8-629.9)+(0.544833+(0.097308-0.321249))+0-8-0.00407999999999919</f>
        <v>621.51681199999996</v>
      </c>
      <c r="J262" s="3">
        <f>1050.4+(193.8-610.1)+(-2.142816+(-0.395352--1.244604))+0-8--0.0163199999999997</f>
        <v>624.82275600000014</v>
      </c>
      <c r="K262" s="3">
        <f>1045.5+(208.5-624.4)+(1.06641+(0.21267-0.636888))+0-8-0.00816000000000128</f>
        <v>622.23403200000007</v>
      </c>
      <c r="L262" s="3">
        <f>1124.1+(214.6-687.7)+(-0.573291+(-0.109446--0.350727))+0-8--0.00407999999999919</f>
        <v>642.67206999999996</v>
      </c>
      <c r="M262" s="3">
        <f>1245.5+(148.3-724.8)+(-0.635205+(-0.075633--0.369648))+0-8--0.00407999999999919</f>
        <v>660.66289000000006</v>
      </c>
      <c r="N262" s="3">
        <f>1378.5+(141.5-798.6)+(2.109105+(0.216495-1.221858))+0-8-0.0122400000000005</f>
        <v>714.49150199999997</v>
      </c>
      <c r="O262" s="3">
        <f>1500.2+(192-907.7)+(0.765102+(0.09792-0.462927))+0-8-0.00407999999999919</f>
        <v>776.89601499999992</v>
      </c>
      <c r="P262" s="3">
        <f>1550.2+(132-849.3)+(3.162408+(0.26928-1.732572))+0-8-0.0163199999999997</f>
        <v>826.58279600000014</v>
      </c>
      <c r="Q262" s="3">
        <f>1570+(128.5-872.4)+(-2.4021+(-0.196605--1.334772))+0-8--0.0122400000000005</f>
        <v>816.84830700000009</v>
      </c>
      <c r="R262" s="3">
        <f>1629.9+(52.2-892.6)+(-4.987494+(-0.159732--2.731356))+0-7--0.0214200000000008</f>
        <v>780.10555000000011</v>
      </c>
      <c r="S262" s="3">
        <f>1557.8+(52.4-870.6)+(-1.588956+(-0.053448--0.888012))+0-7--0.00714000000000112</f>
        <v>731.85274799999991</v>
      </c>
      <c r="T262" s="3">
        <f>1487.5+(115.2-852.1)+(-0.758625+(-0.058752--0.434571))+0-7--0.00356999999999929</f>
        <v>743.22076400000003</v>
      </c>
      <c r="U262" s="3">
        <f>1454.5+(219.9-949.6)+(1.48359+(0.224298-0.968592))+0-7-0.00714000000000112</f>
        <v>718.53215599999987</v>
      </c>
      <c r="V262" s="3">
        <f>1444.6+(244.9-941.7)+(-2.946984+(-0.499596--1.921068))+0-7--0.0142799999999997</f>
        <v>739.28876799999978</v>
      </c>
      <c r="W262" s="3">
        <f>1661+(263.2-1030.8)+(0.84711+(0.134232-0.525708))+0-7-0.00356999999999929</f>
        <v>886.85206400000015</v>
      </c>
      <c r="X262" s="3">
        <f>1678.6+(296.2-1011.9)+(-5.136516+(-0.906372--3.096414))+0-7--0.0214200000000008</f>
        <v>952.97494599999993</v>
      </c>
      <c r="Y262" s="3">
        <f>1578.7+(278.6-914.4)+(-3.220548+(-0.568344--1.865376))+0-7--0.0142799999999997</f>
        <v>933.99076400000013</v>
      </c>
      <c r="Z262" s="3">
        <f>1570.1+(260.2-919.2)+(-3.203004+(-0.530808--1.875168))+0-7--0.0142799999999997</f>
        <v>902.25563599999987</v>
      </c>
      <c r="AA262" s="3">
        <f>1578.2+(259-946)+(-1.609764+(-0.26418--0.96492))+0-7--0.00714000000000112</f>
        <v>883.29811600000005</v>
      </c>
      <c r="AB262" s="3">
        <f>1486.7+(237.5-858.5)+(-0.758217+(-0.121125--0.437835))+0-7--0.00356999999999929</f>
        <v>858.26206300000001</v>
      </c>
      <c r="AC262" s="3">
        <f>1340.9+(201.6-730.8)+(-3.419295+(-0.51408--1.86354))+0-7--0.017849999999999</f>
        <v>802.6480150000001</v>
      </c>
      <c r="AD262" s="2">
        <v>944.69999999999993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1178.8+(250.1-698.7)+(0+(0-0))+0-7-0</f>
        <v>723.19999999999993</v>
      </c>
      <c r="G263" s="3">
        <f>1107.6+(242.7-675.8)+(-1.694628+(-0.371331--1.033974))+0-7--0.0107100000000004</f>
        <v>666.47872500000005</v>
      </c>
      <c r="H263" s="3">
        <f>1083.4+(249.2-678.2)+(0+(0-0))+0-7-0</f>
        <v>647.40000000000009</v>
      </c>
      <c r="I263" s="3">
        <f>989.5+(274.1-631)+(1.00929+(0.279582-0.64362))+0-7-0.00714000000000112</f>
        <v>626.238112</v>
      </c>
      <c r="J263" s="3">
        <f>981.1+(271.4-625.7)+(-1.501083+(-0.415242--0.957321))+0-7--0.0107100000000004</f>
        <v>618.85170599999992</v>
      </c>
      <c r="K263" s="3">
        <f>1023.8+(240.2-639)+(1.566414+(0.367506-0.97767))+0-7-0.0107100000000004</f>
        <v>618.94553999999994</v>
      </c>
      <c r="L263" s="3">
        <f>1033+(261.9-665.6)+(-1.05366+(-0.267138--0.678912))+0-7--0.00714000000000112</f>
        <v>621.665254</v>
      </c>
      <c r="M263" s="3">
        <f>1047.9+(227.6-663.9)+(-3.206574+(-0.696456--2.031534))+0-7--0.0214200000000008</f>
        <v>602.74992400000019</v>
      </c>
      <c r="N263" s="3">
        <f>1110.6+(189.1-660.4)+(-1.699218+(-0.289323--1.010412))+0-7--0.0107100000000004</f>
        <v>631.332581</v>
      </c>
      <c r="O263" s="3">
        <f>1252.2+(161.1-717.1)+(0+(0-0))+0-7-0</f>
        <v>689.2</v>
      </c>
      <c r="P263" s="3">
        <f>1351.6+(135.9-759)+(0+(0-0))+0-7-0</f>
        <v>721.49999999999989</v>
      </c>
      <c r="Q263" s="3">
        <f>1436.9+(119.5-807)+(-1.465638+(-0.12189--0.82314))+0-7--0.00714000000000112</f>
        <v>741.64275200000009</v>
      </c>
      <c r="R263" s="3">
        <f>1378.7+(182.2-826.3)+(-2.812548+(-0.371688--1.685652))+0-7--0.0142799999999997</f>
        <v>726.11569600000007</v>
      </c>
      <c r="S263" s="3">
        <f>1300.9+(182.7-791.9)+(-0.663459+(-0.093177--0.403869))+0-6--0.00305999999999939</f>
        <v>685.35029300000008</v>
      </c>
      <c r="T263" s="3">
        <f>1288.3+(190.2-793)+(-4.599231+(-0.679014--2.83101))+0-2--0.00714000000000003</f>
        <v>681.05990500000007</v>
      </c>
      <c r="U263" s="3">
        <f>1348.3+(125.6-800.7)+(0.687633+(0.064056-0.408357))+0-2-0.0010199999999998</f>
        <v>671.54231199999992</v>
      </c>
      <c r="V263" s="3">
        <f>1440.4+(87.3-828.3)+(-0.734604+(-0.044523--0.422433))+0-2--0.0010199999999998</f>
        <v>697.04432600000018</v>
      </c>
      <c r="W263" s="3">
        <f>1545.3+(137.7-805.3)+(0+(0-0))+0-3-0</f>
        <v>874.7</v>
      </c>
      <c r="X263" s="3">
        <f>1538.7+(191.6-807.2)+(-2.354211+(-0.293148--1.235016))+0-3--0.00459000000000017</f>
        <v>918.69224700000007</v>
      </c>
      <c r="Y263" s="3">
        <f>1538.2+(160.9-793.3)+(-2.353446+(-0.246177--1.213749))+0-3--0.00459000000000017</f>
        <v>901.41871600000013</v>
      </c>
      <c r="Z263" s="3">
        <f>1530.7+(149.7-787.4)+(-3.903285+(-0.381735--2.00787))+0-3--0.00764999999999957</f>
        <v>887.73050000000001</v>
      </c>
      <c r="AA263" s="3">
        <f>1517.1+(154.3-793)+(0+(0-0))+0-3-0</f>
        <v>875.39999999999986</v>
      </c>
      <c r="AB263" s="3">
        <f>1403.9+(187.8-740.5)+(-2.863956+(-0.383112--1.51062))+0-2--0.00407999999999991</f>
        <v>847.46763200000009</v>
      </c>
      <c r="AC263" s="3">
        <f>1334.6+(136.5-695.4)+(-4.764522+(-0.487305--2.482578))+0-2--0.00714000000000003</f>
        <v>770.93789100000004</v>
      </c>
      <c r="AD263" s="2">
        <v>923.69999999999993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1357.7+(77.6-754.3)+(3.462135+(0.19788-1.923465))+0-2-0.00509999999999971</f>
        <v>680.73145000000011</v>
      </c>
      <c r="G264" s="3">
        <f>1331.6+(73.5-752)+(1.358232+(0.07497-0.76704))+0-2-0.00204000000000032</f>
        <v>651.76412199999993</v>
      </c>
      <c r="H264" s="3">
        <f>1229.9+(114.1-699.2)+(-1.881747+(-0.174573--1.069776))+0-2--0.00306000000000012</f>
        <v>641.81651600000009</v>
      </c>
      <c r="I264" s="3">
        <f>1134.3+(155.3-662.7)+(0+(0-0))+0-2-0</f>
        <v>624.89999999999986</v>
      </c>
      <c r="J264" s="3">
        <f>1134.6+(164.9-674.7)+(0.578646+(0.084099-0.344097))+0-2-0.0010199999999998</f>
        <v>623.11762799999985</v>
      </c>
      <c r="K264" s="3">
        <f>1141.2+(175.6-685.3)+(2.328048+(0.358224-1.398012))+0-2-0.00407999999999991</f>
        <v>630.78418000000011</v>
      </c>
      <c r="L264" s="3">
        <f>1146.7+(236.8-721.9)+(1.754451+(0.362304-1.104507))+0-2-0.00306000000000012</f>
        <v>660.60918800000013</v>
      </c>
      <c r="M264" s="3">
        <f>1248.6+(177.9-728.6)+(-1.910358+(-0.272187--1.114758))+0-2--0.00306000000000012</f>
        <v>694.83527299999992</v>
      </c>
      <c r="N264" s="3">
        <f>1320.7+(162.4-734.8)+(0.673557+(0.082824-0.374748))+0-2-0.0010199999999998</f>
        <v>746.68061299999999</v>
      </c>
      <c r="O264" s="3">
        <f>1398.4+(153.8-732.3)+(-2.852736+(-0.313752--1.493892))+0-2--0.00407999999999991</f>
        <v>816.23148400000014</v>
      </c>
      <c r="P264" s="3">
        <f>1385.4+(200.6-746.1)+(1.413108+(0.204612-0.761022))+0-2-0.00204000000000032</f>
        <v>838.75465800000018</v>
      </c>
      <c r="Q264" s="3">
        <f>1424.6+(164.9-743.1)+(-1.453092+(-0.168198--0.757962))+0-2--0.00204000000000032</f>
        <v>843.5387119999998</v>
      </c>
      <c r="R264" s="3">
        <f>1493.1+(147.4-832.9)+(-2.284443+(-0.225522--1.274337))+0-3--0.00459000000000017</f>
        <v>803.3689619999999</v>
      </c>
      <c r="S264" s="3">
        <f>1505.8+(144.4-863)+(-0.767958+(-0.073644--0.44013))+0-3--0.0015299999999997</f>
        <v>783.80005799999992</v>
      </c>
      <c r="T264" s="3">
        <f>1531.6+(123.8-874.1)+(0.781116+(0.063138-0.445791))+0-3-0.0015299999999997</f>
        <v>778.69693299999983</v>
      </c>
      <c r="U264" s="3">
        <f>1500.8+(122.7-857.8)+(-0.765408+(-0.062577--0.437478))+0-3--0.0015299999999997</f>
        <v>762.31102300000009</v>
      </c>
      <c r="V264" s="3">
        <f>1541.8+(102-840.3)+(0.786318+(0.05202-0.428553))+0-3-0.0015299999999997</f>
        <v>800.90825500000005</v>
      </c>
      <c r="W264" s="3">
        <f>1631.4+(129.6-857.5)+(-1.664028+(-0.132192--0.87465))+0.8-3--0.00306000000000048</f>
        <v>900.3814900000001</v>
      </c>
      <c r="X264" s="3">
        <f>1611.4+(183.2-824.9)+(-1.643628+(-0.186864--0.841398))+0-3--0.00306000000000048</f>
        <v>965.71396600000003</v>
      </c>
      <c r="Y264" s="3">
        <f>1566.8+(241.5-863.4)+(-3.196272+(-0.49266--1.761336))+0-3--0.00611999999999987</f>
        <v>939.97852399999999</v>
      </c>
      <c r="Z264" s="3">
        <f>1572.2+(221.3-860.8)+(0+(0-0))+0-3-0</f>
        <v>929.7</v>
      </c>
      <c r="AA264" s="3">
        <f>1524.2+(183.3-792)+(-5.441394+(-0.654381--2.82744))+0-3--0.01071</f>
        <v>909.24237500000004</v>
      </c>
      <c r="AB264" s="3">
        <f>1404+(258.8-788.8)+(-1.43208+(-0.263976--0.804576))+0-3--0.00306000000000048</f>
        <v>870.11158</v>
      </c>
      <c r="AC264" s="3">
        <f>1313.5+(191.7-716.9)+(-2.67954+(-0.391068--1.462476))+0-3--0.00611999999999987</f>
        <v>783.69798800000001</v>
      </c>
      <c r="AD264" s="2">
        <v>965.2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1202+(217.4-701.1)+(-2.45208+(-0.443496--1.430244))+0-3--0.00611999999999987</f>
        <v>713.84078799999997</v>
      </c>
      <c r="G265" s="3">
        <f>1130.8+(212.5-684.7)+(0+(0-0))+0-3-0</f>
        <v>655.59999999999991</v>
      </c>
      <c r="H265" s="3">
        <f>1126+(208.5-694.6)+(-2.29704+(-0.42534--1.416984))+0-3--0.00611999999999987</f>
        <v>635.60072400000001</v>
      </c>
      <c r="I265" s="3">
        <f>1140+(182.3-694.3)+(2.3256+(0.371892-1.416372))+0-3-0.00611999999999987</f>
        <v>626.27499999999998</v>
      </c>
      <c r="J265" s="3">
        <f>1134.6+(197.4-713.9)+(0.578646+(0.100674-0.364089))+0-3-0.0015299999999997</f>
        <v>615.41370099999995</v>
      </c>
      <c r="K265" s="3">
        <f>1225.9+(145.4-737.2)+(0+(0-0))+0-3-0</f>
        <v>631.1</v>
      </c>
      <c r="L265" s="3">
        <f>1224.6+(166.6-728.2)+(0+(0-0))+0-3-0</f>
        <v>659.99999999999989</v>
      </c>
      <c r="M265" s="3">
        <f>1229+(191.2-735.5)+(1.25358+(0.195024-0.75021))+0-3-0.00306000000000048</f>
        <v>682.39533400000005</v>
      </c>
      <c r="N265" s="3">
        <f>1261.8+(194.2-715.2)+(-1.287036+(-0.198084--0.729504))+0-3--0.00306000000000048</f>
        <v>737.04744399999993</v>
      </c>
      <c r="O265" s="3">
        <f>1371.2+(145.5-746.4)+(2.097936+(0.222615-1.141992))+0-6-0.00918000000000035</f>
        <v>765.469379</v>
      </c>
      <c r="P265" s="3">
        <f>1484.3+(171.2-849)+(-0.756993+(-0.087312--0.43299))+0-6--0.00305999999999939</f>
        <v>800.09174500000006</v>
      </c>
      <c r="Q265" s="3">
        <f>1519.4+(190.1-897.2)+(-4.649364+(-0.581706--2.745432))+0-6--0.0183600000000007</f>
        <v>803.8327220000001</v>
      </c>
      <c r="R265" s="3">
        <f>1516.6+(147.3-892.2)+(1.546932+(0.150246-0.910044))+0-7-0.00714000000000112</f>
        <v>765.47999399999981</v>
      </c>
      <c r="S265" s="3">
        <f>1488.7+(126.7-878.9)+(0+(0-0))+0-7-0</f>
        <v>729.50000000000011</v>
      </c>
      <c r="T265" s="3">
        <f>1500.8+(118.5-883.3)+(0+(0-0))+0-7-0</f>
        <v>729</v>
      </c>
      <c r="U265" s="3">
        <f>1472.8+(139.2-862.6)+(-1.502256+(-0.141984--0.879852))+0-7--0.00714000000000112</f>
        <v>741.64275199999986</v>
      </c>
      <c r="V265" s="3">
        <f>1504.4+(105.5-830)+(0+(0-0))+0-7-0</f>
        <v>772.90000000000009</v>
      </c>
      <c r="W265" s="3">
        <f>1543+(213-826.1)+(-0.78693+(-0.10863--0.421311))+0-7--0.00356999999999929</f>
        <v>922.42932099999996</v>
      </c>
      <c r="X265" s="3">
        <f>1537.2+(237.6-791.2)+(-3.91986+(-0.60588--2.01756))+0-7--0.017849999999999</f>
        <v>974.10966999999994</v>
      </c>
      <c r="Y265" s="3">
        <f>1539.2+(199.5-776.6)+(-3.139968+(-0.40698--1.584264))+0-8--0.0163199999999997</f>
        <v>952.15363600000001</v>
      </c>
      <c r="Z265" s="3">
        <f>1487.7+(201.9-741.7)+(-1.517454+(-0.205938--0.756534))+0-8--0.00816000000000128</f>
        <v>938.94130199999995</v>
      </c>
      <c r="AA265" s="3">
        <f>1312.1+(279.5-664)+(-1.338342+(-0.28509--0.67728))+0-8--0.00816000000000128</f>
        <v>918.6620079999999</v>
      </c>
      <c r="AB265" s="3">
        <f>1217.7+(297.4-637.4)+(-1.863081+(-0.455022--0.975222))+0-8--0.0122400000000005</f>
        <v>868.36935900000003</v>
      </c>
      <c r="AC265" s="3">
        <f>1179.4+(255.6-625.7)+(-3.00747+(-0.65178--1.595535))+0-8--0.0203999999999988</f>
        <v>799.25668500000006</v>
      </c>
      <c r="AD265" s="2">
        <v>972.59999999999991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1084.1+(273.5-635.3)+(1.105782+(0.27897-0.648006))+0-8-0.00816000000000128</f>
        <v>715.02858600000002</v>
      </c>
      <c r="G266" s="3">
        <f>1055.7+(275.2-655.7)+(-1.076814+(-0.280704--0.668814))+0-8--0.00816000000000128</f>
        <v>666.51945599999999</v>
      </c>
      <c r="H266" s="3">
        <f>1055.1+(252.3-651.6)+(-1.076202+(-0.257346--0.664632))+0-8--0.00816000000000128</f>
        <v>647.13924399999996</v>
      </c>
      <c r="I266" s="3">
        <f>1062.5+(217.4-633.1)+(1.625625+(0.332622-0.968643))+0-8-0.0122400000000005</f>
        <v>639.77736399999992</v>
      </c>
      <c r="J266" s="3">
        <f>1057.1+(240.5-651.9)+(0.539121+(0.122655-0.332469))+0-8-0.00407999999999919</f>
        <v>638.02522699999986</v>
      </c>
      <c r="K266" s="3">
        <f>1094.3+(236.2-665.7)+(-1.116186+(-0.240924--0.679014))+0-8--0.00816000000000128</f>
        <v>656.13006399999995</v>
      </c>
      <c r="L266" s="3">
        <f>1055.5+(298.8-673.1)+(-0.538305+(-0.152388--0.343281))+0-7--0.00356999999999929</f>
        <v>673.85615800000005</v>
      </c>
      <c r="M266" s="3">
        <f>1075+(306.9-679)+(-0.54825+(-0.156519--0.34629))+0-7--0.00356999999999929</f>
        <v>695.54509099999996</v>
      </c>
      <c r="N266" s="3">
        <f>1194.7+(210.3-652)+(0.609297+(0.107253-0.33252))+0-7-0.00356999999999929</f>
        <v>746.38046000000008</v>
      </c>
      <c r="O266" s="3">
        <f>1225.9+(233.4-658.7)+(2.500836+(0.476136-1.343748))+0-7-0.0142799999999997</f>
        <v>795.21894400000008</v>
      </c>
      <c r="P266" s="3">
        <f>1218.8+(264.4-685.4)+(-0.621588+(-0.134844--0.349554))+0-7--0.00356999999999929</f>
        <v>790.39669199999992</v>
      </c>
      <c r="Q266" s="3">
        <f>1191.5+(296.5-700.8)+(-1.21533+(-0.30243--0.714816))+0-7--0.00714000000000112</f>
        <v>779.40419600000007</v>
      </c>
      <c r="R266" s="3">
        <f>1202.4+(229.4-660.7)+(-1.226448+(-0.233988--0.673914))+0-8--0.00816000000000128</f>
        <v>762.32163800000001</v>
      </c>
      <c r="S266" s="3">
        <f>1204.2+(201.7-653.7)+(0.614142+(0.102867-0.333387))+0-8-0.00407999999999919</f>
        <v>744.57954199999995</v>
      </c>
      <c r="T266" s="3">
        <f>1206+(214.9-673)+(1.84518+(0.328797-1.02969))+0-8-0.0122400000000005</f>
        <v>741.03204699999992</v>
      </c>
      <c r="U266" s="3">
        <f>1209+(200.3-660.5)+(0.61659+(0.102153-0.336855))+0-8-0.00407999999999919</f>
        <v>741.17780799999991</v>
      </c>
      <c r="V266" s="3">
        <f>1208.7+(254.5-674.8)+(-0.616437+(-0.129795--0.344148))+0-8--0.00407999999999919</f>
        <v>780.00199600000019</v>
      </c>
      <c r="W266" s="3">
        <f>1279.4+(360.9-711)+(-1.304988+(-0.368118--0.72522))+0-8--0.00816000000000128</f>
        <v>920.360274</v>
      </c>
      <c r="X266" s="3">
        <f>1349.4+(343.4-709.2)+(0.688194+(0.175134-0.361692))+0-8-0.00407999999999919</f>
        <v>976.09755599999994</v>
      </c>
      <c r="Y266" s="3">
        <f>1339.2+(270.9-651.1)+(-0.682992+(-0.138159--0.332061))+0-8--0.00407999999999919</f>
        <v>950.51499000000001</v>
      </c>
      <c r="Z266" s="3">
        <f>1309.9+(242.8-620.3)+(-4.676343+(-0.866796--2.214471))+0-8--0.0285600000000001</f>
        <v>921.09989200000007</v>
      </c>
      <c r="AA266" s="3">
        <f>1234.7+(278.8-614.4)+(-3.148485+(-0.71094--1.56672))+0-8--0.0203999999999988</f>
        <v>888.82769500000018</v>
      </c>
      <c r="AB266" s="3">
        <f>1160+(321-618.7)+(0+(0-0))+0-8-0</f>
        <v>854.3</v>
      </c>
      <c r="AC266" s="3">
        <f>1030.4+(352.2-578.5)+(-1.576512+(-0.538866--0.885105))+0-8--0.0122400000000005</f>
        <v>794.88196700000015</v>
      </c>
      <c r="AD266" s="2">
        <v>978.4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901.1+(402.5-594.5)+(-1.838244+(-0.8211--1.21278))+0-8--0.0163199999999997</f>
        <v>699.66975600000001</v>
      </c>
      <c r="G267" s="3">
        <f>921.7+(318.3-596.9)+(-0.940134+(-0.324666--0.608838))+0-8--0.00816000000000128</f>
        <v>634.45219800000007</v>
      </c>
      <c r="H267" s="3">
        <f>981.2+(262.4-607)+(-2.001648+(-0.535296--1.23828))+0.4-8--0.0163199999999997</f>
        <v>627.71765599999992</v>
      </c>
      <c r="I267" s="3">
        <f>932.5+(295.5-603.9)+(0.475575+(0.150705-0.307989))+0-8-0.00407999999999919</f>
        <v>616.41421100000002</v>
      </c>
      <c r="J267" s="3">
        <f>923+(310.8-602.8)+(0+(0-0))+0-8-0</f>
        <v>623</v>
      </c>
      <c r="K267" s="3">
        <f>928.9+(337.2-621.9)+(1.421217+(0.515916-0.951507))+0-8-0.0122400000000005</f>
        <v>637.17338600000005</v>
      </c>
      <c r="L267" s="3">
        <f>927.9+(369.6-635.4)+(0+(0-0))+0-7-0</f>
        <v>655.1</v>
      </c>
      <c r="M267" s="3">
        <f>1002+(330.4-635.7)+(1.02204+(0.337008-0.648414))+0-7-0.00714000000000112</f>
        <v>690.40349399999991</v>
      </c>
      <c r="N267" s="3">
        <f>1071.4+(278.6-609.8)+(1.092828+(0.284172-0.621996))+0-7-0.00714000000000112</f>
        <v>733.9478640000001</v>
      </c>
      <c r="O267" s="3">
        <f>1140.2+(332.5-676.6)+(0+(0-0))+0-7-0</f>
        <v>789.1</v>
      </c>
      <c r="P267" s="3">
        <f>1156.2+(413.8-734.8)+(0+(0-0))+0-7-0</f>
        <v>828.2</v>
      </c>
      <c r="Q267" s="3">
        <f>1164.1+(385.3-721.3)+(-1.781073+(-0.589509--1.103589))+0-7--0.0107100000000004</f>
        <v>819.84371699999997</v>
      </c>
      <c r="R267" s="3">
        <f>1231.8+(230.8-716.2)+(-0.628218+(-0.117708--0.365262))+0-7--0.00356999999999929</f>
        <v>739.02290599999981</v>
      </c>
      <c r="S267" s="3">
        <f>1437.9+(98.5-788.5)+(-2.933316+(-0.20094--1.60854))+0-7--0.0142799999999997</f>
        <v>739.38856400000009</v>
      </c>
      <c r="T267" s="3">
        <f>1459.2+(122.4-839.5)+(-0.744192+(-0.062424--0.428145))+0-7--0.00356999999999929</f>
        <v>734.725099</v>
      </c>
      <c r="U267" s="3">
        <f>1461.8+(162.2-874.6)+(1.491036+(0.165444-0.892092))+0-7-0.00714000000000112</f>
        <v>743.15724799999987</v>
      </c>
      <c r="V267" s="3">
        <f>1461.8+(224.9-916.3)+(-1.491036+(-0.229398--0.934626))+0-7--0.00714000000000112</f>
        <v>762.62133200000005</v>
      </c>
      <c r="W267" s="3">
        <f>1559.9+(267.5-909.1)+(2.386647+(0.409275-1.390923))+0-7-0.0107100000000004</f>
        <v>912.69428900000003</v>
      </c>
      <c r="X267" s="3">
        <f>1537.6+(267.6-823.9)+(-3.136704+(-0.545904--1.680756))+0-8--0.0163199999999997</f>
        <v>971.31446799999992</v>
      </c>
      <c r="Y267" s="3">
        <f>1528.1+(214.1-760.7)+(-2.337993+(-0.327573--1.163871))+0-8--0.0122400000000005</f>
        <v>972.01054499999987</v>
      </c>
      <c r="Z267" s="3">
        <f>1404.9+(317-772)+(1.432998+(0.32334-0.78744))+0-8-0.00816000000000128</f>
        <v>942.86073800000008</v>
      </c>
      <c r="AA267" s="3">
        <f>1371.8+(282.8-700.3)+(-3.49809+(-0.72114--1.785765))+0-8--0.0203999999999988</f>
        <v>943.88693499999999</v>
      </c>
      <c r="AB267" s="3">
        <f>1074.9+(441.5-635)+(-0.548199+(-0.225165--0.32385))+0-8--0.00407999999999919</f>
        <v>872.95456600000011</v>
      </c>
      <c r="AC267" s="3">
        <f>974.2+(461.9-615.7)+(-2.48421+(-1.177845--1.570035))+0-8--0.0203999999999988</f>
        <v>810.32837999999992</v>
      </c>
      <c r="AD267" s="2">
        <v>948.49999999999989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808+(510.5-603.4)+(-1.23624+(-0.781065--0.923202))+0-8--0.0122400000000005</f>
        <v>706.01813700000002</v>
      </c>
      <c r="G268" s="3">
        <f>778.3+(459.3-571.4)+(-1.190799+(-0.702729--0.874242))+0-8--0.0122400000000005</f>
        <v>657.1929540000001</v>
      </c>
      <c r="H268" s="3">
        <f>756.1+(469.3-582.9)+(0.385611+(0.239343-0.297279))+0-8-0.00407999999999919</f>
        <v>634.82359499999995</v>
      </c>
      <c r="I268" s="3">
        <f>744.2+(460.2-570.6)+(-1.89771+(-1.17351--1.45503))+0-8--0.0203999999999988</f>
        <v>624.20420999999999</v>
      </c>
      <c r="J268" s="3">
        <f>757+(453.5-571.7)+(1.54428+(0.92514-1.166268))+0-8-0.0163199999999997</f>
        <v>632.08683199999996</v>
      </c>
      <c r="K268" s="3">
        <f>784.1+(431.6-580.5)+(0.799782+(0.440232-0.59211))+0-8-0.00816000000000128</f>
        <v>627.83974400000011</v>
      </c>
      <c r="L268" s="3">
        <f>854.5+(435.3-608.4)+(0.87159+(0.444006-0.620568))+0-8-0.00816000000000128</f>
        <v>674.08686800000009</v>
      </c>
      <c r="M268" s="3">
        <f>864.3+(442.2-603.5)+(0.881586+(0.451044-0.61557))+0-8-0.00816000000000128</f>
        <v>695.70889999999997</v>
      </c>
      <c r="N268" s="3">
        <f>875.2+(487.5-641.1)+(0.892704+(0.49725-0.653922))+0-8-0.00816000000000128</f>
        <v>714.32787200000007</v>
      </c>
      <c r="O268" s="3">
        <f>904.7+(541.4-709.2)+(0.461397+(0.276114-0.361692))+0-8-0.00407999999999919</f>
        <v>729.27173899999991</v>
      </c>
      <c r="P268" s="3">
        <f>981.2+(495.3-677)+(-2.50206+(-1.263015--1.72635))+0-8--0.0203999999999988</f>
        <v>789.481675</v>
      </c>
      <c r="Q268" s="3">
        <f>1008.2+(472.2-672.4)+(-1.542546+(-0.722466--1.028772))+0-8--0.0122400000000005</f>
        <v>798.77600000000007</v>
      </c>
      <c r="R268" s="3">
        <f>1003.6+(413.8-660.5)+(-2.55918+(-1.05519--1.684275))+0-8--0.0203999999999988</f>
        <v>746.99030500000003</v>
      </c>
      <c r="S268" s="3">
        <f>1006.3+(361.8-647.8)+(-1.026426+(-0.369036--0.660756))+0-8--0.00816000000000128</f>
        <v>711.57345399999997</v>
      </c>
      <c r="T268" s="3">
        <f>1008.8+(300.4-603.7)+(-0.514488+(-0.153204--0.307887))+0-8--0.00407999999999919</f>
        <v>697.14427499999988</v>
      </c>
      <c r="U268" s="3">
        <f>1004.9+(317.5-609.8)+(-1.024998+(-0.32385--0.621996))+0-8--0.00816000000000128</f>
        <v>703.88130799999999</v>
      </c>
      <c r="V268" s="3">
        <f>1006.4+(350.1-622)+(-1.539792+(-0.535653--0.95166))+0-8--0.0122400000000005</f>
        <v>725.38845500000002</v>
      </c>
      <c r="W268" s="3">
        <f>1058.3+(448.5-624.2)+(2.158932+(0.91494-1.273368))+0-7-0.0142799999999997</f>
        <v>877.38622399999997</v>
      </c>
      <c r="X268" s="3">
        <f>1054.1+(506.7-600.8)+(-2.687955+(-1.292085--1.53204))+0-8--0.0203999999999988</f>
        <v>949.57240000000002</v>
      </c>
      <c r="Y268" s="3">
        <f>1060.6+(486.1-615.2)+(-1.081812+(-0.495822--0.627504))+0-8--0.00816000000000128</f>
        <v>922.55802999999992</v>
      </c>
      <c r="Z268" s="3">
        <f>1063.2+(460.2-616.9)+(-1.084464+(-0.469404--0.629238))+0-8--0.00816000000000128</f>
        <v>897.58353</v>
      </c>
      <c r="AA268" s="3">
        <f>1008.1+(460.3-580.9)+(-2.056524+(-0.939012--1.185036))+0-8--0.0163199999999997</f>
        <v>877.7058199999999</v>
      </c>
      <c r="AB268" s="3">
        <f>979.3+(457.6-578)+(-1.997772+(-0.933504--1.17912))+0-8--0.0163199999999997</f>
        <v>849.16416399999991</v>
      </c>
      <c r="AC268" s="3">
        <f>893.5+(459.5-556.5)+(-0.455685+(-0.234345--0.283815))+0-8--0.00407999999999919</f>
        <v>788.09786500000007</v>
      </c>
      <c r="AD268" s="2">
        <v>947.4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898+(401.9-576.4)+(-1.83192+(-0.819876--1.175856))+0-8--0.0163199999999997</f>
        <v>714.04037999999991</v>
      </c>
      <c r="G269" s="3">
        <f>839.4+(425-601.7)+(-0.856188+(-0.4335--0.613734))+0-8--0.00816000000000128</f>
        <v>654.03220599999986</v>
      </c>
      <c r="H269" s="3">
        <f>838.6+(404.8-594.6)+(-0.855372+(-0.412896--0.606492))+0-8--0.00816000000000128</f>
        <v>640.1463839999999</v>
      </c>
      <c r="I269" s="3">
        <f>748.2+(457.1-570.5)+(-1.144746+(-0.699363--0.872865))+0-8--0.0122400000000005</f>
        <v>625.84099600000013</v>
      </c>
      <c r="J269" s="3">
        <f>788.3+(424.9-580.5)+(-0.402033+(-0.216699--0.296055))+0-8--0.00407999999999919</f>
        <v>624.38140299999998</v>
      </c>
      <c r="K269" s="3">
        <f>841.1+(382.4-590.5)+(2.144805+(0.97512-1.505775))+0-8-0.0203999999999988</f>
        <v>626.59375</v>
      </c>
      <c r="L269" s="3">
        <f>860+(408.5-609.8)+(-3.5088+(-1.66668--2.487984))+0-7--0.0285599999999994</f>
        <v>649.04106400000001</v>
      </c>
      <c r="M269" s="3">
        <f>867.5+(392.5-610.8)+(0.442425+(0.200175-0.311508))+0-7-0.00356999999999929</f>
        <v>642.52752200000009</v>
      </c>
      <c r="N269" s="3">
        <f>908.3+(404.1-611.3)+(1.389699+(0.618273-0.935289))+0-7-0.0107100000000004</f>
        <v>695.16197299999999</v>
      </c>
      <c r="O269" s="3">
        <f>938.2+(500-659.9)+(1.435446+(0.765-1.009647))+0-7-0.0107100000000004</f>
        <v>772.48008900000002</v>
      </c>
      <c r="P269" s="3">
        <f>1039.3+(538.1-772.3)+(0+(0-0))+0-7-0</f>
        <v>798.1</v>
      </c>
      <c r="Q269" s="3">
        <f>1050.6+(519.7-771.3)+(0.535806+(0.265047-0.393363))+0-7-0.00356999999999929</f>
        <v>792.40392000000008</v>
      </c>
      <c r="R269" s="3">
        <f>1036.9+(500.7-781.4)+(-2.115276+(-1.021428--1.594056))+0-8--0.0163199999999997</f>
        <v>746.67367200000001</v>
      </c>
      <c r="S269" s="3">
        <f>1040.8+(459.2-785.1)+(0+(0-0))+0-8-0</f>
        <v>706.89999999999986</v>
      </c>
      <c r="T269" s="3">
        <f>1048.4+(413.6-756.6)+(1.604052+(0.632808-1.157598))+0-8-0.0122400000000005</f>
        <v>698.46702200000004</v>
      </c>
      <c r="U269" s="3">
        <f>968+(451.1-721.9)+(0.49368+(0.230061-0.368169))+0-8-0.00407999999999919</f>
        <v>689.55149200000005</v>
      </c>
      <c r="V269" s="3">
        <f>1017.1+(422.8-713.8)+(-0.518721+(-0.215628--0.364038))+0-8--0.00407999999999919</f>
        <v>717.73376900000017</v>
      </c>
      <c r="W269" s="3">
        <f>1066.7+(545.3-727.2)+(0.544017+(0.278103-0.370872))+0-8-0.00407999999999919</f>
        <v>877.24716799999987</v>
      </c>
      <c r="X269" s="3">
        <f>1062.3+(591.5-698.9)+(-1.083546+(-0.60333--0.712878))+0-8--0.00816000000000128</f>
        <v>945.9341619999999</v>
      </c>
      <c r="Y269" s="3">
        <f>1055.9+(547.6-676.1)+(-2.692545+(-1.39638--1.724055))+0-8--0.0203999999999988</f>
        <v>917.05553000000009</v>
      </c>
      <c r="Z269" s="3">
        <f>1067.7+(495.5-661.5)+(-0.544527+(-0.252705--0.337365))+0-8--0.00407999999999919</f>
        <v>893.24421300000006</v>
      </c>
      <c r="AA269" s="3">
        <f>1063.7+(477.5-658.5)+(-1.627461+(-0.730575--1.007505))+0-8--0.0122400000000005</f>
        <v>873.36170900000002</v>
      </c>
      <c r="AB269" s="3">
        <f>1065.8+(486.7-706.5)+(-1.087116+(-0.496434--0.72063))+0-8--0.00816000000000128</f>
        <v>837.14523999999994</v>
      </c>
      <c r="AC269" s="3">
        <f>1022.9+(423.8-645)+(-1.565037+(-0.648414--0.98685))+0-8--0.0122400000000005</f>
        <v>792.48563900000011</v>
      </c>
      <c r="AD269" s="2">
        <v>948.10000000000014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855.6+(436.6-560.9)+(-2.18178+(-1.11333--1.430295))+0-7--0.017849999999999</f>
        <v>722.453035</v>
      </c>
      <c r="G270" s="3">
        <f>687.4+(510.7-536.8)+(-1.051722+(-0.781371--0.821304))+0-7--0.0107100000000004</f>
        <v>653.29892099999995</v>
      </c>
      <c r="H270" s="3">
        <f>689.9+(502.4-549.3)+(-1.759245+(-1.28112--1.400715))+0-7--0.017849999999999</f>
        <v>634.37819999999999</v>
      </c>
      <c r="I270" s="3">
        <f>691.8+(488.1-547.5)+(-0.705636+(-0.497862--0.55845))+0-7--0.00714000000000112</f>
        <v>624.76209200000005</v>
      </c>
      <c r="J270" s="3">
        <f>695.5+(500.6-572.1)+(0+(0-0))+0-7-0</f>
        <v>617</v>
      </c>
      <c r="K270" s="3">
        <f>692+(500.6-559.5)+(-1.41168+(-1.021224--1.14138))+0-7--0.0142799999999997</f>
        <v>624.82275600000003</v>
      </c>
      <c r="L270" s="3">
        <f>691+(504.9-564)+(-1.76205+(-1.287495--1.4382))+0-7--0.017849999999999</f>
        <v>623.3065049999999</v>
      </c>
      <c r="M270" s="3">
        <f>736.5+(435.3-557.1)+(-0.75123+(-0.444006--0.568242))+0-7--0.00714000000000112</f>
        <v>607.08014600000013</v>
      </c>
      <c r="N270" s="3">
        <f>823.9+(410.4-591.1)+(1.260567+(0.627912-0.904383))+0-7-0.0107100000000004</f>
        <v>637.17338599999994</v>
      </c>
      <c r="O270" s="3">
        <f>823.1+(449.9-589.1)+(-0.839562+(-0.458898--0.600882))+0-7--0.00714000000000112</f>
        <v>676.20956200000001</v>
      </c>
      <c r="P270" s="3">
        <f>858.2+(417.2-562)+(-1.313046+(-0.638316--0.85986))+0-7--0.0107100000000004</f>
        <v>705.31920800000012</v>
      </c>
      <c r="Q270" s="3">
        <f>859.6+(423.5-554.8)+(-0.876792+(-0.43197--0.565896))+0-7--0.00714000000000112</f>
        <v>720.56427400000007</v>
      </c>
      <c r="R270" s="3">
        <f>853.4+(423-579.9)+(-1.305702+(-0.64719--0.887247))+0-7--0.0107100000000004</f>
        <v>688.445065</v>
      </c>
      <c r="S270" s="3">
        <f>822.3+(455.1-606)+(-2.096865+(-1.160505--1.5453))+0-7--0.017849999999999</f>
        <v>662.70577999999989</v>
      </c>
      <c r="T270" s="3">
        <f>770.4+(459.8-569.3)+(0.392904+(0.234498-0.290343))+0-7-0.00356999999999929</f>
        <v>654.23348900000008</v>
      </c>
      <c r="U270" s="3">
        <f>783.8+(454.3-592.8)+(0+(0-0))+0-7-0</f>
        <v>638.29999999999995</v>
      </c>
      <c r="V270" s="3">
        <f>852.4+(423.5-585.3)+(-0.434724+(-0.215985--0.298503))+0-7--0.00356999999999929</f>
        <v>683.25136399999997</v>
      </c>
      <c r="W270" s="3">
        <f>903.7+(517.7-581.4)+(-0.460887+(-0.264027--0.296514))+0-7--0.00356999999999929</f>
        <v>832.57517000000007</v>
      </c>
      <c r="X270" s="3">
        <f>911+(597-603.5)+(-1.39383+(-0.91341--0.923355))+0-7--0.0107100000000004</f>
        <v>896.12682500000005</v>
      </c>
      <c r="Y270" s="3">
        <f>913.4+(590.3-611.4)+(-1.863336+(-1.204212--1.247256))+0-8--0.0163199999999997</f>
        <v>882.49602799999991</v>
      </c>
      <c r="Z270" s="3">
        <f>917.9+(570.8-611.6)+(-0.468129+(-0.291108--0.311916))+0-8--0.00407999999999919</f>
        <v>868.65675899999997</v>
      </c>
      <c r="AA270" s="3">
        <f>920.5+(525.8-597.7)+(-1.408365+(-0.804474--0.914481))+0-8--0.0122400000000005</f>
        <v>839.31388199999992</v>
      </c>
      <c r="AB270" s="3">
        <f>922.2+(490-590.4)+(-2.35161+(-1.2495--1.50552))+0-8--0.0203999999999988</f>
        <v>811.72481000000005</v>
      </c>
      <c r="AC270" s="3">
        <f>923.3+(414.1-592.3)+(-1.883532+(-0.844764--1.208292))+0-8--0.0163199999999997</f>
        <v>735.596316</v>
      </c>
      <c r="AD270" s="2">
        <v>886.09999999999991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790.6+(490.4-599.2)+(-1.209618+(-0.750312--0.916776))+0-8--0.0122400000000005</f>
        <v>672.76908600000002</v>
      </c>
      <c r="G271" s="3">
        <f>711.2+(509.9-599.9)+(-0.725424+(-0.520098--0.611898))+0-8--0.00816000000000128</f>
        <v>612.57453599999997</v>
      </c>
      <c r="H271" s="3">
        <f>714.1+(511-622.1)+(0+(0-0))+0-8-0</f>
        <v>595</v>
      </c>
      <c r="I271" s="3">
        <f>716.4+(491.3-610.6)+(-0.365364+(-0.250563--0.311406))+0-8--0.00407999999999919</f>
        <v>588.79955899999993</v>
      </c>
      <c r="J271" s="3">
        <f>735.1+(463.1-609.1)+(0.374901+(0.236181-0.310641))+0-8-0.00407999999999919</f>
        <v>581.39636099999996</v>
      </c>
      <c r="K271" s="3">
        <f>807.8+(416.5-617)+(0+(0-0))+0-8-0</f>
        <v>599.29999999999995</v>
      </c>
      <c r="L271" s="3">
        <f>809.5+(451.4-633.2)+(0.412845+(0.230214-0.322932))+0-8-0.00407999999999919</f>
        <v>620.01604699999984</v>
      </c>
      <c r="M271" s="3">
        <f>832.4+(436.7-621.3)+(0.424524+(0.222717-0.316863))+0-8-0.00407999999999919</f>
        <v>640.12629799999991</v>
      </c>
      <c r="N271" s="3">
        <f>949.6+(406.5-654.1)+(1.452888+(0.621945-1.000773))+0-8-0.0122400000000005</f>
        <v>695.06182000000001</v>
      </c>
      <c r="O271" s="3">
        <f>1088.3+(362-701.7)+(0.555033+(0.18462-0.357867))+0-8-0.00407999999999919</f>
        <v>740.9777059999999</v>
      </c>
      <c r="P271" s="3">
        <f>1221.6+(306.3-752.8)+(2.492064+(0.624852-1.535712))+0-8-0.0163199999999997</f>
        <v>768.66488399999992</v>
      </c>
      <c r="Q271" s="3">
        <f>1331.5+(172.6-728.6)+(-2.037195+(-0.264078--1.114758))+0-8--0.0122400000000005</f>
        <v>766.32572500000003</v>
      </c>
      <c r="R271" s="3">
        <f>1375.6+(95.3-726.9)+(-2.806224+(-0.194412--1.482876))+0-8--0.0163199999999997</f>
        <v>734.49855999999988</v>
      </c>
      <c r="S271" s="3">
        <f>1313.9+(124.5-731.5)+(0+(0-0))+0-8-0</f>
        <v>698.90000000000009</v>
      </c>
      <c r="T271" s="3">
        <f>1355.6+(142.7-788)+(0+(0-0))+0-8-0</f>
        <v>702.3</v>
      </c>
      <c r="U271" s="3">
        <f>1370.3+(137.9-794.9)+(-0.698853+(-0.070329--0.405399))+0-8--0.00407999999999919</f>
        <v>704.94029699999999</v>
      </c>
      <c r="V271" s="3">
        <f>1363.9+(151.5-770.8)+(-2.086767+(-0.231795--1.179324))+0-8--0.0122400000000005</f>
        <v>735.47300200000018</v>
      </c>
      <c r="W271" s="3">
        <f>1382.5+(284.4-791.9)+(-1.41015+(-0.290088--0.807738))+0-8--0.00816000000000128</f>
        <v>866.11565999999993</v>
      </c>
      <c r="X271" s="3">
        <f>1394.3+(272.3-733.8)+(-2.844372+(-0.555492--1.496952))+0-8--0.0163199999999997</f>
        <v>922.91340799999989</v>
      </c>
      <c r="Y271" s="3">
        <f>1400+(278.6-757)+(-2.856+(-0.568344--1.54428))+0-8--0.0163199999999997</f>
        <v>911.73625600000003</v>
      </c>
      <c r="Z271" s="3">
        <f>1398.2+(262.2-763.1)+(0+(0-0))+0-8-0</f>
        <v>889.3</v>
      </c>
      <c r="AA271" s="3">
        <f>1241.7+(322.1-682)+(-1.266534+(-0.328542--0.69564))+0-8--0.00816000000000128</f>
        <v>872.90872400000001</v>
      </c>
      <c r="AB271" s="3">
        <f>1068.9+(377.7-603.7)+(-0.545139+(-0.192627--0.307887))+0-8--0.00407999999999919</f>
        <v>834.47420100000011</v>
      </c>
      <c r="AC271" s="3">
        <f>991.9+(362.1-591.8)+(-1.517607+(-0.554013--0.905454))+0-8--0.0122400000000005</f>
        <v>753.04607400000009</v>
      </c>
      <c r="AD271" s="2">
        <v>934.69999999999993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845.5+(416-578.5)+(-0.86241+(-0.42432--0.59007))+0-8--0.00816000000000128</f>
        <v>674.31150000000002</v>
      </c>
      <c r="G272" s="3">
        <f>783+(422.3-577.9)+(-1.99665+(-1.076865--1.473645))+0-8--0.0203999999999988</f>
        <v>617.82053000000008</v>
      </c>
      <c r="H272" s="3">
        <f>752.8+(466.4-601.1)+(0.767856+(0.475728-0.613122))+0-8-0.00816000000000128</f>
        <v>610.7223019999999</v>
      </c>
      <c r="I272" s="3">
        <f>816+(410.9-627.9)+(0+(0-0))+0-8-0</f>
        <v>591</v>
      </c>
      <c r="J272" s="3">
        <f>864.8+(361.4-620.2)+(0.882096+(0.368628-0.632604))+0-8-0.00816000000000128</f>
        <v>598.60995999999989</v>
      </c>
      <c r="K272" s="3">
        <f>870.8+(371.6-621.4)+(-1.776432+(-0.758064--1.267656))+0-8--0.0163199999999997</f>
        <v>611.74947999999995</v>
      </c>
      <c r="L272" s="3">
        <f>893.5+(397.8-642.7)+(0+(0-0))+0-8-0</f>
        <v>640.59999999999991</v>
      </c>
      <c r="M272" s="3">
        <f>906.4+(407.2-644.7)+(-0.924528+(-0.415344--0.657594))+0-8--0.00816000000000128</f>
        <v>660.22588199999984</v>
      </c>
      <c r="N272" s="3">
        <f>925.6+(407.2-620.9)+(0.944112+(0.415344-0.633318))+0-7-0.00714000000000112</f>
        <v>705.61899800000003</v>
      </c>
      <c r="O272" s="3">
        <f>1046.3+(369.8-670)+(0.533613+(0.188598-0.3417))+0-7-0.00356999999999929</f>
        <v>739.4769409999999</v>
      </c>
      <c r="P272" s="3">
        <f>1198.1+(309.3-750.4)+(0+(0-0))+0-7-0</f>
        <v>750</v>
      </c>
      <c r="Q272" s="3">
        <f>1193.8+(366.3-770.7)+(-1.826514+(-0.560439--1.179171))+0-7--0.0107100000000004</f>
        <v>781.20292799999993</v>
      </c>
      <c r="R272" s="3">
        <f>1185.8+(340.7-774.5)+(-3.628548+(-1.042542--2.36997))+0-7--0.0214200000000008</f>
        <v>742.72030000000007</v>
      </c>
      <c r="S272" s="3">
        <f>1192.7+(275.8-764.7)+(-1.824831+(-0.421974--1.169991))+0-7--0.0107100000000004</f>
        <v>695.73389599999996</v>
      </c>
      <c r="T272" s="3">
        <f>1213.2+(247.7-709.8)+(2.474928+(0.505308-1.447992))+0-7-0.0142799999999997</f>
        <v>745.61796400000014</v>
      </c>
      <c r="U272" s="3">
        <f>1194.6+(291.3-764.6)+(-1.827738+(-0.445689--1.169838))+0-7--0.0107100000000004</f>
        <v>713.20712099999992</v>
      </c>
      <c r="V272" s="3">
        <f>1286.7+(226-779.2)+(0.656217+(0.11526-0.397392))+0-7-0.00356999999999929</f>
        <v>726.87051500000007</v>
      </c>
      <c r="W272" s="3">
        <f>1532.8+(96-744.4)+(-3.126912+(-0.19584--1.518576))+0-7--0.0142799999999997</f>
        <v>875.61010399999998</v>
      </c>
      <c r="X272" s="3">
        <f>1550.9+(175.7-768.5)+(-1.581918+(-0.179214--0.78387))+0-8--0.00816000000000128</f>
        <v>949.13089800000012</v>
      </c>
      <c r="Y272" s="3">
        <f>1542.5+(168.7-773.8)+(-3.1467+(-0.344148--1.578552))+0-8--0.0163199999999997</f>
        <v>927.50402400000007</v>
      </c>
      <c r="Z272" s="3">
        <f>1399.1+(230.4-712.4)+(0.713541+(0.117504-0.363324))+0-8-0.00407999999999919</f>
        <v>909.56364099999985</v>
      </c>
      <c r="AA272" s="3">
        <f>1209.3+(362.3-664.2)+(-2.466972+(-0.739092--1.354968))+0-8--0.0163199999999997</f>
        <v>897.56522399999983</v>
      </c>
      <c r="AB272" s="3">
        <f>955.1+(505.4-601.8)+(-1.461303+(-0.773262--0.920754))+0-8--0.0122400000000005</f>
        <v>849.39842900000008</v>
      </c>
      <c r="AC272" s="3">
        <f>923.9+(434.6-582.2)+(0.471189+(0.221646-0.296922))+0-8-0.00407999999999919</f>
        <v>768.69183299999986</v>
      </c>
      <c r="AD272" s="2">
        <v>902.40000000000009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882.8+(403.9-578.3)+(-2.25114+(-1.029945--1.474665))+0-8--0.0203999999999988</f>
        <v>698.61397999999997</v>
      </c>
      <c r="G273" s="3">
        <f>770.3+(462.8-580.9)+(0+(0-0))+0-8-0</f>
        <v>644.20000000000005</v>
      </c>
      <c r="H273" s="3">
        <f>731.3+(491.2-590.8)+(-0.372963+(-0.250512--0.301308))+0-8--0.00407999999999919</f>
        <v>623.38191300000005</v>
      </c>
      <c r="I273" s="3">
        <f>732.8+(464.5-580.8)+(0.747456+(0.47379-0.592416))+0-8-0.00816000000000128</f>
        <v>609.12067000000002</v>
      </c>
      <c r="J273" s="3">
        <f>788.6+(406.1-578.5)+(0.402186+(0.207111-0.295035))+0-8-0.00407999999999919</f>
        <v>608.51018199999999</v>
      </c>
      <c r="K273" s="3">
        <f>862.7+(349.7-582.2)+(1.759908+(0.713388-1.187688))+0-8-0.0163199999999997</f>
        <v>623.46928800000012</v>
      </c>
      <c r="L273" s="3">
        <f>744.1+(491.9-591.6)+(-1.138473+(-0.752607--0.905148))+0-8--0.0122400000000005</f>
        <v>635.42630799999995</v>
      </c>
      <c r="M273" s="3">
        <f>820.7+(449.7-598)+(0+(0-0))+0-8-0</f>
        <v>664.40000000000009</v>
      </c>
      <c r="N273" s="3">
        <f>985.4+(388.4-611)+(1.507662+(0.594252-0.93483))+0-8-0.0122400000000005</f>
        <v>755.95484399999998</v>
      </c>
      <c r="O273" s="3">
        <f>1053+(368.7-661.9)+(1.61109+(0.564111-1.012707))+0-8-0.0122400000000005</f>
        <v>752.95025399999997</v>
      </c>
      <c r="P273" s="3">
        <f>1237.1+(340.1-694.5)+(0+(0-0))+0-8-0</f>
        <v>874.69999999999993</v>
      </c>
      <c r="Q273" s="3">
        <f>1276.8+(342.9-755.6)+(0.651168+(0.174879-0.385356))+0-8-0.00407999999999919</f>
        <v>856.53661099999988</v>
      </c>
      <c r="R273" s="3">
        <f>1268.3+(339.4-780.6)+(-3.234165+(-0.86547--1.99053))+0-7--0.017849999999999</f>
        <v>818.00874499999986</v>
      </c>
      <c r="S273" s="3">
        <f>1272.2+(248.6-757.4)+(-1.297644+(-0.253572--0.772548))+0-8--0.00816000000000128</f>
        <v>754.62949200000003</v>
      </c>
      <c r="T273" s="3">
        <f>1272+(229-753)+(0+(0-0))+0-8-0</f>
        <v>740</v>
      </c>
      <c r="U273" s="3">
        <f>1265.6+(273.7-780.4)+(-2.581824+(-0.558348--1.592016))+0-8--0.0163199999999997</f>
        <v>749.36816399999987</v>
      </c>
      <c r="V273" s="3">
        <f>1316.6+(211.8-788.8)+(1.342932+(0.216036-0.804576))+0-8-0.00816000000000128</f>
        <v>732.34623199999999</v>
      </c>
      <c r="W273" s="3">
        <f>1497.4+(309.6-888.3)+(0+(0-0))+0-8-0</f>
        <v>910.70000000000016</v>
      </c>
      <c r="X273" s="3">
        <f>1527.6+(311.3-826.9)+(-4.674456+(-0.952578--2.530314))+0-8--0.0244800000000009</f>
        <v>1000.92776</v>
      </c>
      <c r="Y273" s="3">
        <f>1537.3+(240-788.6)+(-2.352069+(-0.3672--1.206558))+0-8--0.0122400000000005</f>
        <v>979.19952899999998</v>
      </c>
      <c r="Z273" s="3">
        <f>1538.5+(185.3-776.3)+(-1.56927+(-0.189006--0.791826))+0-8--0.00816000000000128</f>
        <v>938.54170999999997</v>
      </c>
      <c r="AA273" s="3">
        <f>1542.1+(244.6-849.1)+(-1.572942+(-0.249492--0.866082))+0-8--0.00816000000000128</f>
        <v>928.65180799999985</v>
      </c>
      <c r="AB273" s="3">
        <f>1419+(274.4-785.2)+(-2.89476+(-0.559776--1.601808))+0-8--0.0163199999999997</f>
        <v>898.36359199999993</v>
      </c>
      <c r="AC273" s="3">
        <f>1148.3+(361.3-680.1)+(-1.171266+(-0.368526--0.693702))+0-8--0.00816000000000128</f>
        <v>820.66206999999997</v>
      </c>
      <c r="AD273" s="2">
        <v>943.49999999999989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1002+(388.6-689.4)+(-1.53306+(-0.594558--1.054782))+0-8--0.0122400000000005</f>
        <v>692.13940400000001</v>
      </c>
      <c r="G274" s="3">
        <f>951.5+(383.1-673.2)+(-2.91159+(-1.172286--2.059992))+0-8--0.0244800000000009</f>
        <v>651.40059600000006</v>
      </c>
      <c r="H274" s="3">
        <f>912.6+(380.5-664.2)+(-1.861704+(-0.77622--1.354968))+0-8--0.0163199999999997</f>
        <v>619.63336399999991</v>
      </c>
      <c r="I274" s="3">
        <f>869.8+(398.9-650.1)+(0+(0-0))+0-8-0</f>
        <v>610.59999999999991</v>
      </c>
      <c r="J274" s="3">
        <f>867.6+(415.8-659.6)+(0.884952+(0.424116-0.672792))+0-8-0.00816000000000128</f>
        <v>616.42811599999993</v>
      </c>
      <c r="K274" s="3">
        <f>884.1+(390.4-628.8)+(0+(0-0))+0-8-0</f>
        <v>637.70000000000005</v>
      </c>
      <c r="L274" s="3">
        <f>837.4+(443.4-605.3)+(-0.854148+(-0.452268--0.617406))+0-8--0.00816000000000128</f>
        <v>666.81914999999992</v>
      </c>
      <c r="M274" s="3">
        <f>842.7+(453.2-595.5)+(0.859554+(0.462264-0.60741))+0-8-0.00816000000000128</f>
        <v>693.10624800000016</v>
      </c>
      <c r="N274" s="3">
        <f>841.1+(293.7-584.5)+(0.857922+(0.299574-0.59619))+0-8-0.00816000000000128</f>
        <v>542.85314599999992</v>
      </c>
      <c r="O274" s="3">
        <f>874.4+(180.3-310.5)+(1.337832+(0.275859-0.475065))+0-8-0.0122400000000005</f>
        <v>737.32638600000007</v>
      </c>
      <c r="P274" s="3">
        <f>893.5+(204.6-338.6)+(0+(0-0))+0-8-0</f>
        <v>751.5</v>
      </c>
      <c r="Q274" s="3">
        <f>893.7+(323.4-369.6)+(0.455787+(0.164934-0.188496))+0-8-0.00407999999999919</f>
        <v>839.92814499999997</v>
      </c>
      <c r="R274" s="3">
        <f>885.6+(206.5-365.8)+(-2.709936+(-0.63189--1.119348))+0-7--0.0214200000000008</f>
        <v>717.09894199999997</v>
      </c>
      <c r="S274" s="3">
        <f>895.2+(171.3-320)+(0+(0-0))+0-7-0</f>
        <v>739.5</v>
      </c>
      <c r="T274" s="3">
        <f>896.3+(177.1-344.4)+(0+(0-0))+0-7-0</f>
        <v>722</v>
      </c>
      <c r="U274" s="3">
        <f>890.4+(155.3-312.2)+(0+(0-0))+0-7-0</f>
        <v>726.5</v>
      </c>
      <c r="V274" s="3">
        <f>1002.4+(77.8-343.5)+(0+(0-0))+0-7-0</f>
        <v>729.7</v>
      </c>
      <c r="W274" s="3">
        <f>1165.9+(100.1-375.6)+(-0.594609+(-0.051051--0.191556))+0-7--0.00356999999999929</f>
        <v>882.94946600000003</v>
      </c>
      <c r="X274" s="3">
        <f>1185.2+(131.7-350.6)+(-1.208904+(-0.134334--0.357612))+0-7--0.00714000000000112</f>
        <v>958.32151399999998</v>
      </c>
      <c r="Y274" s="3">
        <f>1188.4+(170.1-379.1)+(0+(0-0))+0-7-0</f>
        <v>972.40000000000009</v>
      </c>
      <c r="Z274" s="3">
        <f>1187.1+(337.3-607.7)+(-0.605421+(-0.172023--0.309927))+0-7--0.00356999999999929</f>
        <v>909.23605299999974</v>
      </c>
      <c r="AA274" s="3">
        <f>1193.1+(309.2-608.4)+(-1.216962+(-0.315384--0.620568))+0-7--0.00714000000000112</f>
        <v>885.99536199999989</v>
      </c>
      <c r="AB274" s="3">
        <f>1189.7+(286.1-618.9)+(0.606747+(0.145911-0.315639))+0-7-0.00356999999999929</f>
        <v>850.33344900000009</v>
      </c>
      <c r="AC274" s="3">
        <f>995+(398.2-600.7)+(-3.55215+(-1.421574--2.144499))+0-7--0.0249900000000001</f>
        <v>782.69576500000005</v>
      </c>
      <c r="AD274" s="2">
        <v>953.19999999999993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923.5+(387.6-605)+(-2.354925+(-0.98838--1.54275))+0-8--0.0203999999999988</f>
        <v>696.31984499999999</v>
      </c>
      <c r="G275" s="3">
        <f>922.6+(353.4-620.2)+(-2.35263+(-0.90117--1.58151))+0-8--0.0203999999999988</f>
        <v>646.14810999999997</v>
      </c>
      <c r="H275" s="3">
        <f>933.1+(306.9-611.5)+(0.475881+(0.156519-0.311865))+0-8-0.00407999999999919</f>
        <v>620.81645499999991</v>
      </c>
      <c r="I275" s="3">
        <f>937.5+(286.4-603)+(1.434375+(0.438192-0.92259))+0-8-0.0122400000000005</f>
        <v>613.83773699999995</v>
      </c>
      <c r="J275" s="3">
        <f>931.9+(304.2-608.1)+(0+(0-0))+0-8-0</f>
        <v>620</v>
      </c>
      <c r="K275" s="3">
        <f>943+(300.8-612.8)+(2.40465+(0.76704-1.56264))+0-8-0.0203999999999988</f>
        <v>624.58865000000003</v>
      </c>
      <c r="L275" s="3">
        <f>933.1+(343.7-615.8)+(0.951762+(0.350574-0.628116))+0-8-0.00816000000000128</f>
        <v>653.66606000000002</v>
      </c>
      <c r="M275" s="3">
        <f>924.1+(370.2-611)+(0+(0-0))+0-8-0</f>
        <v>675.3</v>
      </c>
      <c r="N275" s="3">
        <f>925.7+(391.6-627.4)+(0.944214+(0.399432-0.639948))+0-8-0.00816000000000128</f>
        <v>682.59553800000015</v>
      </c>
      <c r="O275" s="3">
        <f>924.6+(453.9-596.8)+(0.943092+(0.462978-0.608736))+0-7-0.00714000000000112</f>
        <v>775.49019399999997</v>
      </c>
      <c r="P275" s="3">
        <f>916.4+(408.7-525.8)+(-2.33682+(-1.042185--1.34079))+0-7--0.017849999999999</f>
        <v>790.27963499999987</v>
      </c>
      <c r="Q275" s="3">
        <f>924.4+(243.8-356)+(-0.471444+(-0.124338--0.18156))+0-7--0.00356999999999929</f>
        <v>804.78934800000002</v>
      </c>
      <c r="R275" s="3">
        <f>917.5+(195.9-339.6)+(-2.339625+(-0.499545--0.86598))+0-8--0.0203999999999988</f>
        <v>763.8472099999999</v>
      </c>
      <c r="S275" s="3">
        <f>912.7+(136.5-306.3)+(-0.930954+(-0.13923--0.312426))+0-8--0.00816000000000128</f>
        <v>734.1504020000001</v>
      </c>
      <c r="T275" s="3">
        <f>905.8+(135.3-306.1)+(-1.847832+(-0.276012--0.624444))+0-8--0.0163199999999997</f>
        <v>725.51691999999991</v>
      </c>
      <c r="U275" s="3">
        <f>911.4+(157.3-320)+(1.394442+(0.240669-0.4896))+0-8-0.0122400000000005</f>
        <v>741.83327100000008</v>
      </c>
      <c r="V275" s="3">
        <f>957.4+(163.2-323.2)+(0+(0-0))+0-8-0</f>
        <v>789.4</v>
      </c>
      <c r="W275" s="3">
        <f>1027.2+(216.4-316)+(-0.523872+(-0.110364--0.16116))+0-9--0.00458999999999909</f>
        <v>918.13151400000004</v>
      </c>
      <c r="X275" s="3">
        <f>1028.7+(207.3-254.2)+(-0.524637+(-0.105723--0.129642))+0-9--0.00458999999999909</f>
        <v>972.30387200000007</v>
      </c>
      <c r="Y275" s="3">
        <f>970.5+(198.8-216.6)+(-2.96973+(-0.608328--0.662796))+0-9--0.027540000000001</f>
        <v>940.81227800000011</v>
      </c>
      <c r="Z275" s="3">
        <f>926.6+(237.4-243.2)+(-0.945132+(-0.242148--0.248064))+0-9--0.00918000000000144</f>
        <v>910.8699640000001</v>
      </c>
      <c r="AA275" s="3">
        <f>897.3+(255.8-235.6)+(-2.288115+(-0.65229--0.60078))+0-9--0.0229499999999987</f>
        <v>906.18332500000008</v>
      </c>
      <c r="AB275" s="3">
        <f>870+(519.2-511.3)+(0+(0-0))+0-9-0</f>
        <v>868.90000000000009</v>
      </c>
      <c r="AC275" s="3">
        <f>867+(532.7-594)+(-1.32651+(-0.815031--0.90882))+0-9--0.0137700000000005</f>
        <v>795.4810490000001</v>
      </c>
      <c r="AD275" s="2">
        <v>960.5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792.6+(517-569.7)+(-1.212678+(-0.79101--0.871641))+0-8--0.0122400000000005</f>
        <v>730.78019300000005</v>
      </c>
      <c r="G276" s="3">
        <f>642.1+(578.4-528.8)+(0+(0-0))+0-8-0</f>
        <v>683.7</v>
      </c>
      <c r="H276" s="3">
        <f>638.9+(571.3-442.1)+(-0.325839+(-0.291363--0.225471))+0-8--0.00407999999999919</f>
        <v>759.7123489999999</v>
      </c>
      <c r="I276" s="3">
        <f>617.9+(457.8-434.4)+(0.315129+(0.233478-0.221544))+0-8-0.00407999999999919</f>
        <v>633.62298299999986</v>
      </c>
      <c r="J276" s="3">
        <f>625.5+(446.7-433.8)+(0.319005+(0.227817-0.221238))+0-8-0.00407999999999919</f>
        <v>630.72150399999998</v>
      </c>
      <c r="K276" s="3">
        <f>625.7+(438-419.5)+(0.319107+(0.22338-0.213945))+0-8-0.00407999999999919</f>
        <v>636.52446199999997</v>
      </c>
      <c r="L276" s="3">
        <f>616.2+(512.5-452.4)+(-1.257048+(-1.0455--0.922896))+0-8--0.0163199999999997</f>
        <v>666.93666800000005</v>
      </c>
      <c r="M276" s="3">
        <f>591+(576.2-485.1)+(0.90423+(0.881586-0.742203))+0-8-0.0122400000000005</f>
        <v>675.13137300000005</v>
      </c>
      <c r="N276" s="3">
        <f>639.1+(591.7-490.7)+(0.977823+(0.905301-0.750771))+0-8-0.0122400000000005</f>
        <v>733.22011300000008</v>
      </c>
      <c r="O276" s="3">
        <f>699.8+(342.3-246.1)+(0.713796+(0.349146-0.251022))+0-8-0.00816000000000128</f>
        <v>788.80376000000001</v>
      </c>
      <c r="P276" s="3">
        <f>737.5+(304.3-218.2)+(0.376125+(0.155193-0.111282))+0-8-0.00407999999999919</f>
        <v>816.01595599999996</v>
      </c>
      <c r="Q276" s="3">
        <f>735+(300.9-221.3)+(0.37485+(0.153459-0.112863))+0-8-0.00407999999999919</f>
        <v>807.01136599999984</v>
      </c>
      <c r="R276" s="3">
        <f>736.9+(216.8-185.1)+(-0.751638+(-0.221136--0.188802))+0-8--0.00816000000000128</f>
        <v>759.82418800000005</v>
      </c>
      <c r="S276" s="3">
        <f>733.2+(164-164)+(-1.86966+(-0.4182--0.4182))+0-8--0.0203999999999988</f>
        <v>723.35074000000009</v>
      </c>
      <c r="T276" s="3">
        <f>739.4+(204.3-223.5)+(1.88547+(0.520965-0.569925))+0-8-0.0203999999999988</f>
        <v>714.01611000000003</v>
      </c>
      <c r="U276" s="3">
        <f>746.5+(177.8-182)+(0+(0-0))+0-8-0</f>
        <v>734.3</v>
      </c>
      <c r="V276" s="3">
        <f>771+(192-198)+(0.39321+(0.09792-0.10098))+0-8-0.00407999999999919</f>
        <v>757.3860699999999</v>
      </c>
      <c r="W276" s="3">
        <f>828.5+(205.3-151.5)+(-0.422535+(-0.104703--0.077265))+0-8--0.00407999999999919</f>
        <v>873.854107</v>
      </c>
      <c r="X276" s="3">
        <f>890+(197.4-176.2)+(-1.3617+(-0.302022--0.269586))+0-8--0.0122400000000005</f>
        <v>901.81810400000006</v>
      </c>
      <c r="Y276" s="3">
        <f>1053+(120.4-270.2)+(-3.22218+(-0.368424--0.826812))+0-8--0.0244800000000009</f>
        <v>892.46068800000012</v>
      </c>
      <c r="Z276" s="3">
        <f>1038+(335-499.6)+(-2.11752+(-0.6834--1.019184))+0-8--0.0163199999999997</f>
        <v>863.6345839999999</v>
      </c>
      <c r="AA276" s="3">
        <f>1041.6+(321.2-508.4)+(1.593648+(0.491436-0.777852))+0-8-0.0122400000000005</f>
        <v>847.69499199999984</v>
      </c>
      <c r="AB276" s="3">
        <f>1053.9+(295.5-509.9)+(-1.074978+(-0.30141--0.520098))+0-8--0.00816000000000128</f>
        <v>830.65187000000014</v>
      </c>
      <c r="AC276" s="3">
        <f>1095+(215.3-502.2)+(-1.67535+(-0.329409--0.768366))+0-8--0.0122400000000005</f>
        <v>798.87584700000002</v>
      </c>
      <c r="AD276" s="2">
        <v>923.8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1051.7+(249.5-518.6)+(-2.145468+(-0.50898--1.057944))+0-8--0.0163199999999997</f>
        <v>773.01981599999999</v>
      </c>
      <c r="G277" s="3">
        <f>947.3+(318.4-550.7)+(0.966246+(0.324768-0.561714))+0-8-0.00816000000000128</f>
        <v>707.72113999999988</v>
      </c>
      <c r="H277" s="3">
        <f>949.3+(267.5-565.5)+(-1.452429+(-0.409275--0.865215))+0-8--0.0122400000000005</f>
        <v>642.31575099999998</v>
      </c>
      <c r="I277" s="3">
        <f>918.5+(242-526)+(-0.93687+(-0.24684--0.53652))+0-8--0.00816000000000128</f>
        <v>625.86096999999995</v>
      </c>
      <c r="J277" s="3">
        <f>874.6+(239.5-480.2)+(-0.446046+(-0.122145--0.244902))+0-8--0.00407999999999919</f>
        <v>625.58079100000009</v>
      </c>
      <c r="K277" s="3">
        <f>846.5+(267.6-483.6)+(-2.158575+(-0.68238--1.23318))+0-8--0.0203999999999988</f>
        <v>620.91262500000005</v>
      </c>
      <c r="L277" s="3">
        <f>909.3+(277.1-567.4)+(-1.854972+(-0.565284--1.157496))+0-8--0.0163199999999997</f>
        <v>609.75355999999999</v>
      </c>
      <c r="M277" s="3">
        <f>902.9+(293.2-595.5)+(-0.920958+(-0.299064--0.60741))+0-8--0.00816000000000128</f>
        <v>591.99554799999987</v>
      </c>
      <c r="N277" s="3">
        <f>939.4+(213.2-559.2)+(-0.479094+(-0.108732--0.285192))+0-8--0.00407999999999919</f>
        <v>585.1014459999999</v>
      </c>
      <c r="O277" s="3">
        <f>947.2+(91.4-372.7)+(0.966144+(0.093228-0.380154))+0-8-0.00816000000000128</f>
        <v>658.57105800000011</v>
      </c>
      <c r="P277" s="3">
        <f>925.7+(97.9-315.7)+(-0.472107+(-0.049929--0.161007))+0-8--0.00407999999999919</f>
        <v>699.5430510000001</v>
      </c>
      <c r="Q277" s="3">
        <f>948.1+(88.9-301.2)+(-1.450593+(-0.136017--0.460836))+0-8--0.0122400000000005</f>
        <v>726.68646600000011</v>
      </c>
      <c r="R277" s="3">
        <f>900.2+(67.6-261.3)+(-1.377306+(-0.103428--0.399789))+0-7--0.0107100000000004</f>
        <v>698.42976499999997</v>
      </c>
      <c r="S277" s="3">
        <f>887+(72.3-265.6)+(-1.80948+(-0.147492--0.541824))+0-7--0.0142799999999997</f>
        <v>685.29913199999999</v>
      </c>
      <c r="T277" s="3">
        <f>776.9+(141.1-249.8)+(-0.792438+(-0.143922--0.254796))+0-7--0.00714000000000112</f>
        <v>660.525576</v>
      </c>
      <c r="U277" s="3">
        <f>755.5+(164.2-250.6)+(-0.385305+(-0.083742--0.127806))+0-7--0.00356999999999929</f>
        <v>661.76232900000002</v>
      </c>
      <c r="V277" s="3">
        <f>803.8+(156.7-257.2)+(-0.819876+(-0.159834--0.262344))+0-7--0.00714000000000112</f>
        <v>695.58977400000003</v>
      </c>
      <c r="W277" s="3">
        <f>988.6+(196.6-298.5)+(1.008372+(0.200532-0.30447))+0-7-0.00714000000000112</f>
        <v>880.59729400000003</v>
      </c>
      <c r="X277" s="3">
        <f>1040.5+(136.8-296.6)+(0+(0-0))+0-7-0</f>
        <v>873.7</v>
      </c>
      <c r="Y277" s="3">
        <f>1149.8+(79.1-350.5)+(-2.345592+(-0.161364--0.71502))+0-7--0.0142799999999997</f>
        <v>869.622344</v>
      </c>
      <c r="Z277" s="3">
        <f>1148+(57.4-329.9)+(-1.17096+(-0.058548--0.336498))+0-7--0.00714000000000112</f>
        <v>867.61413000000005</v>
      </c>
      <c r="AA277" s="3">
        <f>1153.1+(202.2-490.9)+(0+(0-0))+0-7-0</f>
        <v>857.39999999999986</v>
      </c>
      <c r="AB277" s="3">
        <f>1149.1+(246.6-570.5)+(-2.344164+(-0.503064--1.16382))+0-7--0.0142799999999997</f>
        <v>816.53087199999993</v>
      </c>
      <c r="AC277" s="3">
        <f>1143.7+(173-551.7)+(-2.916435+(-0.44115--1.406835))+0-7--0.017849999999999</f>
        <v>756.06709999999998</v>
      </c>
      <c r="AD277" s="2">
        <v>878.4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1152.9+(171.5-629.5)+(1.175958+(0.17493-0.64209))+0-7-0.00714000000000112</f>
        <v>688.60165800000004</v>
      </c>
      <c r="G278" s="3">
        <f>1141.5+(136.6-630.1)+(-2.910825+(-0.34833--1.606755))+0-7--0.017849999999999</f>
        <v>639.36545000000001</v>
      </c>
      <c r="H278" s="3">
        <f>1106.1+(132.9-623.9)+(0.564111+(0.067779-0.318189))+0-7-0.00356999999999929</f>
        <v>608.41013099999998</v>
      </c>
      <c r="I278" s="3">
        <f>1123.8+(138.6-646.5)+(-0.573138+(-0.070686--0.329715))+0-7--0.00356999999999929</f>
        <v>608.58946099999991</v>
      </c>
      <c r="J278" s="3">
        <f>1070.1+(141.7-602.4)+(-0.545751+(-0.072267--0.307224))+0-7--0.00356999999999929</f>
        <v>602.09277599999984</v>
      </c>
      <c r="K278" s="3">
        <f>1068.5+(174.5-629.8)+(2.17974+(0.35598-1.284792))+0-7-0.0142799999999997</f>
        <v>607.4366480000001</v>
      </c>
      <c r="L278" s="3">
        <f>1122.5+(160.8-634.3)+(-1.14495+(-0.164016--0.646986))+0-7--0.00714000000000112</f>
        <v>641.34516000000008</v>
      </c>
      <c r="M278" s="3">
        <f>1195.4+(163.4-688.6)+(0.609654+(0.083334-0.351186))+0-7-0.00356999999999929</f>
        <v>663.53823200000011</v>
      </c>
      <c r="N278" s="3">
        <f>1249.3+(93.6-650.3)+(0+(0-0))+0-7-0</f>
        <v>685.6</v>
      </c>
      <c r="O278" s="3">
        <f>1250.9+(58-547.7)+(0+(0-0))+0-7-0</f>
        <v>754.2</v>
      </c>
      <c r="P278" s="3">
        <f>1263.6+(56.1-532.2)+(-2.577744+(-0.114444--1.085688))+0-7--0.0142799999999997</f>
        <v>778.90777999999989</v>
      </c>
      <c r="Q278" s="3">
        <f>1287.1+(45.3-545)+(-2.625684+(-0.092412--1.1118))+0-7--0.0142799999999997</f>
        <v>778.80798399999981</v>
      </c>
      <c r="R278" s="3">
        <f>1327.9+(37.9-616)+(-2.031687+(-0.057987--0.94248))+0-7--0.0107100000000004</f>
        <v>741.66351600000007</v>
      </c>
      <c r="S278" s="3">
        <f>1369.1+(39.8-671.3)+(-1.396482+(-0.040596--0.684726))+0-7--0.00714000000000112</f>
        <v>729.85478799999999</v>
      </c>
      <c r="T278" s="3">
        <f>1478.8+(29.7-783.8)+(-1.508376+(-0.030294--0.799476))+0-7--0.00714000000000112</f>
        <v>716.9679460000001</v>
      </c>
      <c r="U278" s="3">
        <f>1546.4+(31.5-828.6)+(0+(0-0))+0-7-0</f>
        <v>742.30000000000007</v>
      </c>
      <c r="V278" s="3">
        <f>1525+(34.7-797.4)+(-3.111+(-0.070788--1.626696))+0-7--0.0142799999999997</f>
        <v>753.75918800000011</v>
      </c>
      <c r="W278" s="3">
        <f>1549.3+(40.5-694.1)+(1.580286+(0.04131-0.707982))+0-7-0.00714000000000112</f>
        <v>889.60647399999993</v>
      </c>
      <c r="X278" s="3">
        <f>1528.8+(33-583.6)+(-4.678128+(-0.10098--1.785816))+0-7--0.0214200000000008</f>
        <v>968.22812799999997</v>
      </c>
      <c r="Y278" s="3">
        <f>1545.1+(29.2-615.5)+(0.788001+(0.014892-0.313905))+0-7-0.00356999999999929</f>
        <v>952.28541799999994</v>
      </c>
      <c r="Z278" s="3">
        <f>1536.1+(76.2-669.7)+(-3.133644+(-0.155448--1.366188))+0-7--0.0142799999999997</f>
        <v>933.69137599999988</v>
      </c>
      <c r="AA278" s="3">
        <f>1515.1+(144.2-738)+(-2.318103+(-0.220626--1.12914))+0-7--0.0107100000000004</f>
        <v>912.90112099999999</v>
      </c>
      <c r="AB278" s="3">
        <f>1327.8+(213-652.6)+(-0.677178+(-0.10863--0.332826))+0-7--0.00356999999999929</f>
        <v>880.75058799999988</v>
      </c>
      <c r="AC278" s="3">
        <f>1158+(264.3-614.5)+(-3.54348+(-0.808758--1.88037))+0-7--0.0214200000000008</f>
        <v>798.34955200000002</v>
      </c>
      <c r="AD278" s="2">
        <v>957.5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1102.3+(241.5-606.1)+(-1.124346+(-0.24633--0.618222))+0-7--0.00714000000000112</f>
        <v>729.95468600000004</v>
      </c>
      <c r="G279" s="3">
        <f>1047.2+(228.1-600.5)+(0.534072+(0.116331-0.306255))+0-7-0.00356999999999929</f>
        <v>668.14057800000012</v>
      </c>
      <c r="H279" s="3">
        <f>1048.9+(233.8-634.3)+(-0.534939+(-0.119238--0.323493))+0-7--0.00356999999999929</f>
        <v>641.07288600000004</v>
      </c>
      <c r="I279" s="3">
        <f>1050.1+(214.5-620.5)+(0.535551+(0.109395-0.316455))+0-7-0.00356999999999929</f>
        <v>637.42492099999993</v>
      </c>
      <c r="J279" s="3">
        <f>1048.1+(211-612.9)+(-0.534531+(-0.10761--0.312579))+0-7--0.00356999999999929</f>
        <v>638.87400799999989</v>
      </c>
      <c r="K279" s="3">
        <f>1125.4+(200.1-674.9)+(0+(0-0))+0-7-0</f>
        <v>643.60000000000014</v>
      </c>
      <c r="L279" s="3">
        <f>1169.5+(210.2-713.3)+(-2.38578+(-0.428808--1.455132))+0-7--0.0142799999999997</f>
        <v>658.05482400000005</v>
      </c>
      <c r="M279" s="3">
        <f>1271.7+(309.2-894.6)+(-2.594268+(-0.630768--1.824984))+0-7--0.0142799999999997</f>
        <v>677.91422799999998</v>
      </c>
      <c r="N279" s="3">
        <f>1386.2+(262.2-922.2)+(2.120886+(0.401166-1.410966))+0-7-0.0107100000000004</f>
        <v>720.30037600000003</v>
      </c>
      <c r="O279" s="3">
        <f>1517+(135.1-875.1)+(-2.32101+(-0.206703--1.338903))+0-7--0.0107100000000004</f>
        <v>768.82190000000003</v>
      </c>
      <c r="P279" s="3">
        <f>1595.2+(84.5-875.5)+(0+(0-0))+0-7-0</f>
        <v>797.2</v>
      </c>
      <c r="Q279" s="3">
        <f>1674+(47.9-927.5)+(-4.2687+(-0.122145--2.365125))+0-6--0.0152999999999991</f>
        <v>786.38958000000002</v>
      </c>
      <c r="R279" s="3">
        <f>1685.9+(93.3-1002.4)+(-4.299045+(-0.237915--2.55612))+0-7--0.017849999999999</f>
        <v>767.83701000000008</v>
      </c>
      <c r="S279" s="3">
        <f>1490.5+(165.4-902.2)+(-2.280465+(-0.253062--1.380366))+0-7--0.0107100000000004</f>
        <v>745.55754899999999</v>
      </c>
      <c r="T279" s="3">
        <f>1468.8+(148-882.8)+(-0.749088+(-0.07548--0.450228))+0-7--0.00356999999999929</f>
        <v>726.62923000000001</v>
      </c>
      <c r="U279" s="3">
        <f>1466.9+(116.2-851.9)+(-0.748119+(-0.059262--0.434469))+0-7--0.00356999999999929</f>
        <v>723.83065800000008</v>
      </c>
      <c r="V279" s="3">
        <f>1455.2+(88.5-784.4)+(-0.742152+(-0.045135--0.400044))+0-7--0.00356999999999929</f>
        <v>751.91632700000002</v>
      </c>
      <c r="W279" s="3">
        <f>1538.7+(96-776.8)+(-1.569474+(-0.09792--0.792336))+0-7--0.00714000000000112</f>
        <v>850.03208200000017</v>
      </c>
      <c r="X279" s="3">
        <f>1622.6+(123.4-768.4)+(-3.310104+(-0.251736--1.567536))+0-7--0.0142799999999997</f>
        <v>968.61997599999984</v>
      </c>
      <c r="Y279" s="3">
        <f>1618.5+(149.8-806)+(-2.476305+(-0.229194--1.23318))+0-7--0.0107100000000004</f>
        <v>953.838391</v>
      </c>
      <c r="Z279" s="3">
        <f>1623.7+(91.6-783.2)+(-2.484261+(-0.140148--1.198296))+0-7--0.0107100000000004</f>
        <v>923.68459700000005</v>
      </c>
      <c r="AA279" s="3">
        <f>1434.9+(152.4-646.9)+(-1.463598+(-0.155448--0.659838))+0-7--0.00714000000000112</f>
        <v>932.44793200000015</v>
      </c>
      <c r="AB279" s="3">
        <f>1170+(304.8-594.7)+(-2.9835+(-0.77724--1.516485))+0-7--0.017849999999999</f>
        <v>870.87359499999991</v>
      </c>
      <c r="AC279" s="3">
        <f>1163.7+(235.5-607.8)+(-3.560922+(-0.72063--1.859868))+0-7--0.0214200000000008</f>
        <v>781.9997360000001</v>
      </c>
      <c r="AD279" s="2">
        <v>897.3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1174.5+(197.3-662.5)+(-2.39598+(-0.402492--1.3515))+0-7--0.0142799999999997</f>
        <v>700.86730799999998</v>
      </c>
      <c r="G280" s="3">
        <f>1174.3+(223.3-733.8)+(-0.598893+(-0.113883--0.374238))+0-7--0.00356999999999929</f>
        <v>656.46503199999995</v>
      </c>
      <c r="H280" s="3">
        <f>1051.3+(243.1-652.7)+(-2.680815+(-0.619905--1.664385))+0-7--0.017849999999999</f>
        <v>633.08151499999985</v>
      </c>
      <c r="I280" s="3">
        <f>1048.3+(266.1-671.5)+(0.534633+(0.135711-0.342465))+0-7-0.00356999999999929</f>
        <v>636.22430900000006</v>
      </c>
      <c r="J280" s="3">
        <f>1039.3+(284.7-679)+(-0.530043+(-0.145197--0.34629))+0-7--0.00356999999999929</f>
        <v>637.67462</v>
      </c>
      <c r="K280" s="3">
        <f>1077.2+(291.1-718.1)+(0.549372+(0.148461-0.366231))+0-7-0.00356999999999929</f>
        <v>643.52803200000005</v>
      </c>
      <c r="L280" s="3">
        <f>1167.2+(308.1-791.6)+(-1.190544+(-0.314262--0.807432))+0-7--0.00714000000000112</f>
        <v>676.00976600000013</v>
      </c>
      <c r="M280" s="3">
        <f>1184.1+(233-718.4)+(1.207782+(0.23766-0.732768))+0-7-0.00714000000000112</f>
        <v>692.40553399999988</v>
      </c>
      <c r="N280" s="3">
        <f>1210.9+(267.2-746)+(-2.470236+(-0.545088--1.52184))+0-7--0.0142799999999997</f>
        <v>723.62079600000015</v>
      </c>
      <c r="O280" s="3">
        <f>1315.7+(195.6-740.1)+(0.671007+(0.099756-0.377451))+0-7-0.00356999999999929</f>
        <v>764.58974200000011</v>
      </c>
      <c r="P280" s="3">
        <f>1389.4+(190.7-781.6)+(-2.834376+(-0.389028--1.594464))+0-7--0.0142799999999997</f>
        <v>789.88534000000004</v>
      </c>
      <c r="Q280" s="3">
        <f>1509.3+(150.3-840.5)+(-3.078972+(-0.306612--1.71462))+0-7--0.0142799999999997</f>
        <v>810.44331599999987</v>
      </c>
      <c r="R280" s="3">
        <f>1477.6+(68.7-746.6)+(-2.260728+(-0.105111--1.142298))+0-7--0.0107100000000004</f>
        <v>791.48716899999999</v>
      </c>
      <c r="S280" s="3">
        <f>1471.7+(64.9-751.7)+(0.750567+(0.033099-0.383367))+0-7-0.00356999999999929</f>
        <v>778.29672900000003</v>
      </c>
      <c r="T280" s="3">
        <f>1457.9+(44.6-721.5)+(-0.743529+(-0.022746--0.367965))+0-7--0.00356999999999929</f>
        <v>773.60526000000004</v>
      </c>
      <c r="U280" s="3">
        <f>1464.9+(27-713.8)+(-0.747099+(-0.01377--0.364038))+0-8--0.00407999999999919</f>
        <v>769.70724900000016</v>
      </c>
      <c r="V280" s="3">
        <f>1517.6+(29.4-743.7)+(-2.321928+(-0.044982--1.137861))+0-9--0.0137700000000005</f>
        <v>793.08472099999983</v>
      </c>
      <c r="W280" s="3">
        <f>1546.5+(27.1-656.5)+(-1.57743+(-0.027642--0.66963))+0-9--0.00918000000000144</f>
        <v>907.17373800000007</v>
      </c>
      <c r="X280" s="3">
        <f>1545.7+(27.9-587.9)+(-3.153228+(-0.056916--1.199316))+0-9--0.0183599999999996</f>
        <v>974.70753200000013</v>
      </c>
      <c r="Y280" s="3">
        <f>1557+(24.6-615.8)+(0+(0-0))+0-9-0</f>
        <v>956.80000000000007</v>
      </c>
      <c r="Z280" s="3">
        <f>1283.2+(56.5-409.2)+(1.308864+(0.05763-0.417384))+0-9-0.00918000000000144</f>
        <v>922.43993</v>
      </c>
      <c r="AA280" s="3">
        <f>1192.9+(152.2-427.6)+(-1.825137+(-0.232866--0.654228))+0-9--0.0137700000000005</f>
        <v>907.10999500000003</v>
      </c>
      <c r="AB280" s="3">
        <f>1178.8+(321.8-615.6)+(-0.601188+(-0.164118--0.313956))+0-9--0.00458999999999909</f>
        <v>875.55323999999996</v>
      </c>
      <c r="AC280" s="3">
        <f>1111.4+(309.9-603.2)+(-2.83407+(-0.790245--1.53816))+0-9--0.0229499999999987</f>
        <v>807.0367950000001</v>
      </c>
      <c r="AD280" s="2">
        <v>976.9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1038.1+(282.3-588.5)+(-2.117724+(-0.575892--1.20054))+0-9--0.0183599999999996</f>
        <v>721.42528399999992</v>
      </c>
      <c r="G281" s="3">
        <f>990+(262.5-574.2)+(-1.5147+(-0.401625--0.878526))+0-9--0.0137700000000005</f>
        <v>668.27597100000003</v>
      </c>
      <c r="H281" s="3">
        <f>938.1+(285.2-576.3)+(-0.956862+(-0.290904--0.587826))+0-9--0.00918000000000144</f>
        <v>637.34924000000001</v>
      </c>
      <c r="I281" s="3">
        <f>939.8+(281.8-572.8)+(0+(0-0))+0-9-0</f>
        <v>639.79999999999995</v>
      </c>
      <c r="J281" s="3">
        <f>873.7+(324.6-562.3)+(0+(0-0))+0-9-0</f>
        <v>627.00000000000011</v>
      </c>
      <c r="K281" s="3">
        <f>873.6+(332.3-554.9)+(0+(0-0))+0-9-0</f>
        <v>642</v>
      </c>
      <c r="L281" s="3">
        <f>872.7+(386.6-596.6)+(-0.890154+(-0.394332--0.608532))+0-9--0.00918000000000144</f>
        <v>653.03322600000001</v>
      </c>
      <c r="M281" s="3">
        <f>1028.5+(305.4-639.6)+(-0.524535+(-0.155754--0.326196))+0-10--0.00509999999999899</f>
        <v>683.95100699999989</v>
      </c>
      <c r="N281" s="3">
        <f>1085.9+(246.5-573.8)+(1.107618+(0.25143-0.585276))+0-11-0.0112200000000018</f>
        <v>748.36255200000016</v>
      </c>
      <c r="O281" s="3">
        <f>1055.6+(182.7-457.6)+(1.076712+(0.186354-0.466752))+0-10-0.0102000000000016</f>
        <v>771.48611399999982</v>
      </c>
      <c r="P281" s="3">
        <f>1037.1+(133.3-333.6)+(1.586763+(0.203949-0.510408))+0-11-0.0168300000000006</f>
        <v>827.06347399999993</v>
      </c>
      <c r="Q281" s="3">
        <f>1047.2+(229.7-451.9)+(0.534072+(0.117147-0.230469))+0-11-0.00560999999999888</f>
        <v>814.41513999999995</v>
      </c>
      <c r="R281" s="3">
        <f>1051.2+(265.1-517.7)+(-1.608336+(-0.405603--0.792081))+0-8--0.0122400000000005</f>
        <v>789.39038200000005</v>
      </c>
      <c r="S281" s="3">
        <f>1128.5+(125.6-476)+(-1.15107+(-0.128112--0.48552))+0-8--0.00816000000000128</f>
        <v>769.31449799999996</v>
      </c>
      <c r="T281" s="3">
        <f>1124.5+(104.9-444.6)+(-2.867475+(-0.267495--1.13373))+0-8--0.0203999999999988</f>
        <v>774.8191599999999</v>
      </c>
      <c r="U281" s="3">
        <f>1160.4+(110.1-482.9)+(0.591804+(0.056151-0.246279))+0-8-0.00407999999999919</f>
        <v>779.99759600000004</v>
      </c>
      <c r="V281" s="3">
        <f>1254.1+(83.3-515.2)+(-1.918773+(-0.127449--0.788256))+0-8--0.0122400000000005</f>
        <v>812.95427399999983</v>
      </c>
      <c r="W281" s="3">
        <f>1249.2+(211.4-510.1)+(-0.637092+(-0.107814--0.260151))+0-8--0.00407999999999919</f>
        <v>942.01932500000009</v>
      </c>
      <c r="X281" s="3">
        <f>1241+(235.3-478.1)+(-2.53164+(-0.480012--0.975324))+0-8--0.0163199999999997</f>
        <v>988.17999199999997</v>
      </c>
      <c r="Y281" s="3">
        <f>1246+(106.5-390.6)+(-1.27092+(-0.10863--0.398412))+0-8--0.00816000000000128</f>
        <v>952.92702199999997</v>
      </c>
      <c r="Z281" s="3">
        <f>1193.5+(90-348.7)+(0+(0-0))+0-8-0</f>
        <v>926.8</v>
      </c>
      <c r="AA281" s="3">
        <f>1126.2+(92.7-317.1)+(-1.723086+(-0.141831--0.485163))+0-8--0.0122400000000005</f>
        <v>892.43248599999993</v>
      </c>
      <c r="AB281" s="3">
        <f>1055.1+(105.9-281)+(-2.152404+(-0.216036--0.57324))+0-8--0.0163199999999997</f>
        <v>870.22111999999981</v>
      </c>
      <c r="AC281" s="3">
        <f>945.8+(118.8-252.3)+(-2.41179+(-0.30294--0.643365))+0-8--0.0203999999999988</f>
        <v>802.24903499999994</v>
      </c>
      <c r="AD281" s="2">
        <v>977.19999999999993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916+(94.6-285.4)+(-1.40148+(-0.144738--0.436662))+0-8--0.0122400000000005</f>
        <v>716.10268400000007</v>
      </c>
      <c r="G282" s="3">
        <f>829.1+(104.6-259)+(-1.268523+(-0.160038--0.39627))+0-8--0.0122400000000005</f>
        <v>665.67994900000008</v>
      </c>
      <c r="H282" s="3">
        <f>844.2+(125.3-299.6)+(-1.722168+(-0.255612--0.611184))+0-8--0.0163199999999997</f>
        <v>660.54972400000008</v>
      </c>
      <c r="I282" s="3">
        <f>884.2+(121.2-331.3)+(0+(0-0))+0-11-0</f>
        <v>663.1</v>
      </c>
      <c r="J282" s="3">
        <f>736+(104.3-195.1)+(0.75072+(0.106386-0.199002))+0-11-0.0112200000000018</f>
        <v>634.84688400000005</v>
      </c>
      <c r="K282" s="3">
        <f>734.2+(114.9-206.8)+(0+(0-0))+0-11-0</f>
        <v>631.30000000000007</v>
      </c>
      <c r="L282" s="3">
        <f>737+(132-196.4)+(0+(0-0))+0-12-0</f>
        <v>660.6</v>
      </c>
      <c r="M282" s="3">
        <f>782.1+(142.3-227.5)+(0+(0-0))+0-12-0</f>
        <v>684.90000000000009</v>
      </c>
      <c r="N282" s="3">
        <f>833+(194.3-269.7)+(-0.42483+(-0.099093--0.137547))+0-12--0.00611999999999878</f>
        <v>745.21974399999999</v>
      </c>
      <c r="O282" s="3">
        <f>938.7+(237-365.3)+(0.957474+(0.24174-0.372606))+0-12-0.0122400000000019</f>
        <v>799.21436800000004</v>
      </c>
      <c r="P282" s="3">
        <f>991.6+(317.2-472.1)+(0.505716+(0.161772-0.240771))+0-12-0.00611999999999878</f>
        <v>825.12059700000009</v>
      </c>
      <c r="Q282" s="3">
        <f>999.5+(357.1-522)+(-2.03898+(-0.728484--1.06488))+0-12--0.0244799999999995</f>
        <v>820.92189600000006</v>
      </c>
      <c r="R282" s="3">
        <f>1008.4+(307.2-510.7)+(0.514284+(0.156672-0.260457))+0-12-0.00611999999999878</f>
        <v>793.30437899999993</v>
      </c>
      <c r="S282" s="3">
        <f>1005.9+(327.4-538.1)+(0.513009+(0.166974-0.274431))+0-12-0.00611999999999878</f>
        <v>783.59943199999987</v>
      </c>
      <c r="T282" s="3">
        <f>1007.3+(328.3-553.7)+(0.513723+(0.167433-0.282387))+0-12-0.00611999999999878</f>
        <v>770.29264899999987</v>
      </c>
      <c r="U282" s="3">
        <f>1003+(247.7-463.4)+(-2.04612+(-0.505308--0.945336))+0-12--0.0244799999999995</f>
        <v>773.718388</v>
      </c>
      <c r="V282" s="3">
        <f>1038.8+(231.2-461.1)+(-2.119152+(-0.471648--0.940644))+0-12--0.0244799999999995</f>
        <v>795.27432399999987</v>
      </c>
      <c r="W282" s="3">
        <f>1093.2+(302.7-472.8)+(-1.672596+(-0.463131--0.723384))+0-12--0.0183600000000007</f>
        <v>909.70601700000009</v>
      </c>
      <c r="X282" s="3">
        <f>1047.9+(525.1-577.9)+(0+(0-0))+0-12-0</f>
        <v>983.10000000000014</v>
      </c>
      <c r="Y282" s="3">
        <f>1035.8+(517.9-586.9)+(-0.528258+(-0.264129--0.299319))+0-12--0.00611999999999878</f>
        <v>954.31305199999997</v>
      </c>
      <c r="Z282" s="3">
        <f>1015+(478.4-547.4)+(-1.55295+(-0.731952--0.837522))+0-12--0.0183600000000007</f>
        <v>932.57098000000008</v>
      </c>
      <c r="AA282" s="3">
        <f>930.6+(540-537)+(-2.847636+(-1.6524--1.64322))+0-12--0.0367200000000014</f>
        <v>918.77990399999999</v>
      </c>
      <c r="AB282" s="3">
        <f>824.3+(609.2-549.2)+(-0.420393+(-0.310692--0.280092))+0-12--0.00611999999999878</f>
        <v>871.85512699999992</v>
      </c>
      <c r="AC282" s="3">
        <f>810.2+(570.3-550.1)+(-1.652808+(-1.163412--1.122204))+0-12--0.0244799999999995</f>
        <v>816.73046399999998</v>
      </c>
      <c r="AD282" s="2">
        <v>962.69999999999993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802.2+(488.3-558.6)+(-1.227366+(-0.747099--0.854658))+0-12--0.0183600000000007</f>
        <v>718.79855300000008</v>
      </c>
      <c r="G283" s="3">
        <f>830.2+(404.5-549.1)+(-1.270206+(-0.618885--0.840123))+0-12--0.0183600000000007</f>
        <v>672.56939200000011</v>
      </c>
      <c r="H283" s="3">
        <f>715.7+(475.5-537.6)+(-1.460028+(-0.97002--1.096704))+0-12--0.0244799999999995</f>
        <v>640.29113600000005</v>
      </c>
      <c r="I283" s="3">
        <f>713.2+(462.7-533.2)+(-0.363732+(-0.235977--0.271932))+0-12--0.00611999999999878</f>
        <v>630.37834300000009</v>
      </c>
      <c r="J283" s="3">
        <f>713.8+(456-529.3)+(-0.728076+(-0.46512--0.539886))+0-12--0.0122400000000019</f>
        <v>627.85892999999999</v>
      </c>
      <c r="K283" s="3">
        <f>714.6+(466.9-541.6)+(0.728892+(0.476238-0.552432))+0-9-0.00918000000000144</f>
        <v>631.54351799999995</v>
      </c>
      <c r="L283" s="3">
        <f>715.3+(509.5-578.1)+(-1.094409+(-0.779535--0.884493))+0-8--0.0122400000000005</f>
        <v>637.72278899999992</v>
      </c>
      <c r="M283" s="3">
        <f>791.3+(446.8-584.1)+(0+(0-0))+0-8-0</f>
        <v>646</v>
      </c>
      <c r="N283" s="3">
        <f>875.6+(419.8-583.8)+(0.893112+(0.428196-0.595476))+0-8-0.00816000000000128</f>
        <v>704.31767200000013</v>
      </c>
      <c r="O283" s="3">
        <f>870.9+(492.7-579)+(-1.332477+(-0.753831--0.88587))+0-8--0.0122400000000005</f>
        <v>775.41180199999997</v>
      </c>
      <c r="P283" s="3">
        <f>870.3+(541.7-598.7)+(-0.887706+(-0.552534--0.610674))+0-8--0.00816000000000128</f>
        <v>804.47859399999993</v>
      </c>
      <c r="Q283" s="3">
        <f>871.8+(576-624)+(0.889236+(0.58752-0.63648))+0-8-0.00816000000000128</f>
        <v>816.632116</v>
      </c>
      <c r="R283" s="3">
        <f>866.3+(480-564.8)+(-3.092691+(-1.7136--2.016336))+0-9--0.0321300000000001</f>
        <v>769.74217500000009</v>
      </c>
      <c r="S283" s="3">
        <f>872+(419.6-544.8)+(0+(0-0))+0-9-0</f>
        <v>737.80000000000007</v>
      </c>
      <c r="T283" s="3">
        <f>872+(418.4-550.9)+(-1.33416+(-0.640152--0.842877))+0-9--0.0137700000000005</f>
        <v>729.38233500000001</v>
      </c>
      <c r="U283" s="3">
        <f>870.7+(437.2-579.6)+(-0.888114+(-0.445944--0.591192))+0-9--0.00918000000000144</f>
        <v>718.56631399999992</v>
      </c>
      <c r="V283" s="3">
        <f>844.2+(477.2-573.3)+(-0.430542+(-0.243372--0.292383))+0-9--0.00458999999999909</f>
        <v>738.72305900000015</v>
      </c>
      <c r="W283" s="3">
        <f>845.3+(614-597.4)+(1.293309+(0.93942-0.914022))+0-10-0.0153000000000006</f>
        <v>853.20340699999997</v>
      </c>
      <c r="X283" s="3">
        <f>887.5+(659.1-600.1)+(-1.357875+(-1.008423--0.918153))+0-9--0.0137700000000005</f>
        <v>936.06562500000007</v>
      </c>
      <c r="Y283" s="3">
        <f>888.9+(622.1-586.4)+(0+(0-0))+0-9-0</f>
        <v>915.6</v>
      </c>
      <c r="Z283" s="3">
        <f>892.3+(600.6-595.1)+(-1.820292+(-1.225224--1.214004))+0-9--0.0183599999999996</f>
        <v>886.98684800000001</v>
      </c>
      <c r="AA283" s="3">
        <f>891.4+(559.5-556.7)+(-0.909228+(-0.57069--0.567834))+0-9--0.00918000000000144</f>
        <v>884.2970959999999</v>
      </c>
      <c r="AB283" s="3">
        <f>893+(533-558.4)+(-1.36629+(-0.81549--0.854352))+0-9--0.0137700000000005</f>
        <v>857.28634199999999</v>
      </c>
      <c r="AC283" s="3">
        <f>892.5+(467-548)+(0.455175+(0.23817-0.27948))+0-9-0.00458999999999909</f>
        <v>802.90927499999998</v>
      </c>
      <c r="AD283" s="2">
        <v>929.9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893.2+(415-564.3)+(-1.366596+(-0.63495--0.863379))+0-10--0.0153000000000006</f>
        <v>732.77713300000016</v>
      </c>
      <c r="G284" s="3">
        <f>893.8+(337.1-543.5)+(-0.911676+(-0.343842--0.55437))+0-10--0.0102000000000016</f>
        <v>676.70905200000004</v>
      </c>
      <c r="H284" s="3">
        <f>833.7+(374.2-545.6)+(-0.425187+(-0.190842--0.278256))+0-10--0.00509999999999899</f>
        <v>651.96732699999995</v>
      </c>
      <c r="I284" s="3">
        <f>781+(415.6-544.5)+(-2.78817+(-1.483692--1.943865))+0-10--0.0357000000000001</f>
        <v>639.80770300000006</v>
      </c>
      <c r="J284" s="3">
        <f>713.5+(475.6-552.3)+(0.363885+(0.242556-0.281673))+0-10-0.00509999999999899</f>
        <v>627.11966800000005</v>
      </c>
      <c r="K284" s="3">
        <f>763.2+(419.5-545.3)+(-1.167696+(-0.641835--0.834309))+0-10--0.0153000000000006</f>
        <v>626.44007800000009</v>
      </c>
      <c r="L284" s="3">
        <f>849.4+(383.4-565.6)+(-2.16597+(-0.97767--1.44228))+0-13--0.0331499999999981</f>
        <v>652.53178999999989</v>
      </c>
      <c r="M284" s="3">
        <f>715.6+(492.8-573.1)+(0+(0-0))+0-13-0</f>
        <v>622.29999999999995</v>
      </c>
      <c r="N284" s="3">
        <f>821.3+(426.8-587.5)+(0.418863+(0.217668-0.299625))+0-13-0.00662999999999868</f>
        <v>647.93027599999994</v>
      </c>
      <c r="O284" s="3">
        <f>785.5+(482.6-585.1)+(0.400605+(0.246126-0.298401))+0-13-0.00662999999999868</f>
        <v>670.34170000000006</v>
      </c>
      <c r="P284" s="3">
        <f>881.1+(428.1-580.4)+(-0.898722+(-0.436662--0.592008))+0-13--0.0132600000000021</f>
        <v>715.069884</v>
      </c>
      <c r="Q284" s="3">
        <f>824.5+(468.9-551.1)+(0+(0-0))+0-13-0</f>
        <v>729.3</v>
      </c>
      <c r="R284" s="3">
        <f>818.2+(445.6-556.5)+(-1.669128+(-0.909024--1.13526))+0-8--0.0163199999999997</f>
        <v>697.87342799999999</v>
      </c>
      <c r="S284" s="3">
        <f>821+(435.6-558.2)+(-0.83742+(-0.444312--0.569364))+0-8--0.00816000000000128</f>
        <v>689.69579199999998</v>
      </c>
      <c r="T284" s="3">
        <f>820.6+(428.6-568.5)+(-1.674024+(-0.874344--1.15974))+0-8--0.0163199999999997</f>
        <v>671.32769199999996</v>
      </c>
      <c r="U284" s="3">
        <f>750.4+(490.2-570.6)+(0.382704+(0.250002-0.291006))+0-9-0.00458999999999909</f>
        <v>661.33710999999994</v>
      </c>
      <c r="V284" s="3">
        <f>655.9+(584.1-548.4)+(-1.003527+(-0.893673--0.839052))+0-9--0.0137700000000005</f>
        <v>681.55562200000008</v>
      </c>
      <c r="W284" s="3">
        <f>707.9+(672.5-553.8)+(0.722058+(0.68595-0.564876))+0-8-0.00816000000000128</f>
        <v>819.43497200000002</v>
      </c>
      <c r="X284" s="3">
        <f>738.1+(764.7-578.9)+(-0.752862+(-0.779994--0.590478))+0-9--0.00918000000000144</f>
        <v>913.96680200000014</v>
      </c>
      <c r="Y284" s="3">
        <f>713.1+(795.6-589.7)+(1.091043+(1.217268-0.902241))+0-9-0.0137700000000005</f>
        <v>911.39229999999998</v>
      </c>
      <c r="Z284" s="3">
        <f>701.5+(786.2-589.7)+(1.073295+(1.202886-0.902241))+0-9-0.0137700000000005</f>
        <v>890.36016999999993</v>
      </c>
      <c r="AA284" s="3">
        <f>701.3+(772.9-582.9)+(0.715326+(0.788358-0.594558))+0-9-0.00918000000000144</f>
        <v>883.19994599999995</v>
      </c>
      <c r="AB284" s="3">
        <f>673.5+(787.1-587.8)+(-1.37394+(-1.605684--1.199112))+0-8--0.0163199999999997</f>
        <v>863.03580799999997</v>
      </c>
      <c r="AC284" s="3">
        <f>547.6+(810.1-566.6)+(-1.675656+(-2.478906--1.733796))+0-8--0.0244800000000009</f>
        <v>780.7037140000001</v>
      </c>
      <c r="AD284" s="2">
        <v>920.3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479.5+(781.7-554.8)+(0+(0-0))+0-8-0</f>
        <v>698.40000000000009</v>
      </c>
      <c r="G285" s="3">
        <f>382.3+(844.1-562.7)+(0+(0-0))+0-8-0</f>
        <v>655.7</v>
      </c>
      <c r="H285" s="3">
        <f>344.3+(857.1-560.5)+(-0.175593+(-0.437121--0.285855))+0-8--0.00407999999999919</f>
        <v>632.57722100000012</v>
      </c>
      <c r="I285" s="3">
        <f>338.9+(859.7-569.7)+(0.518517+(1.315341-0.871641))+0-8-0.0122400000000005</f>
        <v>621.84997699999997</v>
      </c>
      <c r="J285" s="3">
        <f>340+(848.3-569.4)+(0.6936+(1.730532-1.161576))+0-8-0.0163199999999997</f>
        <v>612.14623600000004</v>
      </c>
      <c r="K285" s="3">
        <f>395.7+(794.9-568.4)+(1.009035+(2.026995-1.44942))+0-8-0.0203999999999988</f>
        <v>615.76621</v>
      </c>
      <c r="L285" s="3">
        <f>437.6+(812.4-589.3)+(-0.223176+(-0.414324--0.300543))+0-11--0.00560999999999888</f>
        <v>649.36865300000011</v>
      </c>
      <c r="M285" s="3">
        <f>448.2+(807.5-580.3)+(0.457164+(0.82365-0.591906))+0-11-0.0112200000000018</f>
        <v>665.07768800000008</v>
      </c>
      <c r="N285" s="3">
        <f>463.3+(827.4-582.5)+(0.945132+(1.687896-1.1883))+0-11-0.0224399999999995</f>
        <v>698.62228800000014</v>
      </c>
      <c r="O285" s="3">
        <f>480.5+(820.3-573.6)+(0.245055+(0.418353-0.292536))+0-11-0.00560999999999888</f>
        <v>716.56526199999985</v>
      </c>
      <c r="P285" s="3">
        <f>501.2+(823.1-564.2)+(0.511224+(0.839562-0.575484))+0-11-0.0112200000000018</f>
        <v>749.86408199999994</v>
      </c>
      <c r="Q285" s="3">
        <f>637.6+(626.1-546.8)+(-1.300704+(-1.277244--1.115472))+0-11--0.0224399999999995</f>
        <v>704.45996400000001</v>
      </c>
      <c r="R285" s="3">
        <f>688.1+(625.3-563.5)+(-1.052793+(-0.956709--0.862155))+0-12--0.0183600000000007</f>
        <v>736.77101300000004</v>
      </c>
      <c r="S285" s="3">
        <f>675.8+(620.1-585.5)+(0.689316+(0.632502-0.59721))+0-12-0.0122400000000019</f>
        <v>699.11236799999995</v>
      </c>
      <c r="T285" s="3">
        <f>708.6+(576.6-566.9)+(0+(0-0))+0-12-0</f>
        <v>706.30000000000007</v>
      </c>
      <c r="U285" s="3">
        <f>649.6+(604.9-568.1)+(0+(0-0))+0-12-0</f>
        <v>674.4</v>
      </c>
      <c r="V285" s="3">
        <f>728.6+(560.1-566.5)+(0.371586+(0.285651-0.288915))+0-12-0.00611999999999878</f>
        <v>710.56220200000007</v>
      </c>
      <c r="W285" s="3">
        <f>807.1+(640.5-591)+(0.823242+(0.65331-0.60282))+0-12-0.0122400000000019</f>
        <v>845.46149200000002</v>
      </c>
      <c r="X285" s="3">
        <f>812.2+(733.9-596.4)+(-0.414222+(-0.374289--0.304164))+0-8--0.00407999999999919</f>
        <v>941.21973300000013</v>
      </c>
      <c r="Y285" s="3">
        <f>812.4+(715.7-603.1)+(-2.485944+(-2.190042--1.845486))+0-8--0.0244800000000009</f>
        <v>914.19398000000001</v>
      </c>
      <c r="Z285" s="3">
        <f>820.4+(680.3-596.5)+(-0.836808+(-0.693906--0.60843))+0-13--0.0132600000000021</f>
        <v>890.29097599999989</v>
      </c>
      <c r="AA285" s="3">
        <f>816.3+(663.7-589.9)+(-0.832626+(-0.676974--0.601698))+0-13--0.0132600000000021</f>
        <v>876.20535799999993</v>
      </c>
      <c r="AB285" s="3">
        <f>742.6+(686-564)+(-0.757452+(-0.69972--0.57528))+0-13--0.0132600000000021</f>
        <v>850.73136799999997</v>
      </c>
      <c r="AC285" s="3">
        <f>690.5+(637.4-528)+(-2.11293+(-1.950444--1.61568))+0-14--0.0428400000000016</f>
        <v>783.49514599999998</v>
      </c>
      <c r="AD285" s="2">
        <v>657.5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704+(586.5-564.7)+(1.07712+(0.897345-0.863991))+0-13-0.0198900000000008</f>
        <v>713.89058399999988</v>
      </c>
      <c r="G286" s="3">
        <f>709.4+(546.2-580.1)+(1.80897+(1.39281-1.479255))+0-13-0.0331499999999981</f>
        <v>664.18937500000004</v>
      </c>
      <c r="H286" s="3">
        <f>711.1+(497-555.3)+(1.450644+(1.01388-1.132812))+0-13-0.0265199999999994</f>
        <v>641.1051920000001</v>
      </c>
      <c r="I286" s="3">
        <f>718+(462.9-533)+(1.8309+(1.180395-1.35915))+0-13-0.0331499999999981</f>
        <v>636.51899500000002</v>
      </c>
      <c r="J286" s="3">
        <f>702.7+(498.7-550.7)+(0+(0-0))+0-13-0</f>
        <v>637.70000000000005</v>
      </c>
      <c r="K286" s="3">
        <f>638.1+(544.5-552.6)+(0.650862+(0.55539-0.563652))+0-13-0.0132600000000021</f>
        <v>617.62934000000007</v>
      </c>
      <c r="L286" s="3">
        <f>655.3+(569.7-569)+(-0.334203+(-0.290547--0.29019))+0-11--0.00560999999999888</f>
        <v>644.67105000000004</v>
      </c>
      <c r="M286" s="3">
        <f>667.3+(599.9-584.2)+(0.340323+(0.305949-0.297942))+0-11-0.00560999999999888</f>
        <v>672.34271999999987</v>
      </c>
      <c r="N286" s="3">
        <f>714.4+(593.7-586.1)+(-1.093032+(-0.908361--0.896733))+0-11--0.0168300000000006</f>
        <v>709.91217000000006</v>
      </c>
      <c r="O286" s="3">
        <f>763+(584.4-593)+(-1.94565+(-1.49022--1.51215))+0-11--0.0280499999999984</f>
        <v>741.50432999999998</v>
      </c>
      <c r="P286" s="3">
        <f>928.1+(454-595.6)+(-1.893324+(-0.92616--1.215024))+0-11--0.0224399999999995</f>
        <v>773.91797999999994</v>
      </c>
      <c r="Q286" s="3">
        <f>1039+(351.4-607.8)+(-2.64945+(-0.89607--1.54989))+0-11--0.0280499999999984</f>
        <v>769.63242000000002</v>
      </c>
      <c r="R286" s="3">
        <f>1026.2+(352.8-611.5)+(-1.570086+(-0.539784--0.935595))+0-10--0.0153000000000006</f>
        <v>756.34102500000006</v>
      </c>
      <c r="S286" s="3">
        <f>1016.5+(358.6-638.7)+(0+(0-0))+0-12-0</f>
        <v>724.4</v>
      </c>
      <c r="T286" s="3">
        <f>1014.2+(348.5-627.8)+(0.517242+(0.177735-0.320178))+0-13-0.00662999999999868</f>
        <v>722.26816900000017</v>
      </c>
      <c r="U286" s="3">
        <f>1015.3+(335.9-614.2)+(1.035606+(0.342618-0.626484))+0-13-0.0132600000000021</f>
        <v>724.73847999999998</v>
      </c>
      <c r="V286" s="3">
        <f>1037.1+(340.9-624.8)+(1.057842+(0.347718-0.637296))+0-12-0.0122400000000019</f>
        <v>741.95602399999996</v>
      </c>
      <c r="W286" s="3">
        <f>1084.6+(409.2-614.4)+(1.106292+(0.417384-0.626688))+0-13-0.0132600000000021</f>
        <v>867.28372799999988</v>
      </c>
      <c r="X286" s="3">
        <f>1083.4+(488.2-602.5)+(-1.657602+(-0.746946--0.921825))+0-13--0.0198900000000008</f>
        <v>954.6371670000002</v>
      </c>
      <c r="Y286" s="3">
        <f>1087.2+(459.7-593.6)+(-0.554472+(-0.234447--0.302736))+0-9--0.00458999999999909</f>
        <v>943.81840699999998</v>
      </c>
      <c r="Z286" s="3">
        <f>1087+(441-597.4)+(-1.10874+(-0.44982--0.609348))+0-9--0.00918000000000144</f>
        <v>920.65996800000005</v>
      </c>
      <c r="AA286" s="3">
        <f>1083.3+(438.9-610)+(-0.552483+(-0.223839--0.3111))+0-13--0.00662999999999868</f>
        <v>898.74140799999986</v>
      </c>
      <c r="AB286" s="3">
        <f>1058.4+(419.2-589.7)+(-0.539784+(-0.213792--0.300747))+0-13--0.00662999999999868</f>
        <v>874.45380100000011</v>
      </c>
      <c r="AC286" s="3">
        <f>947.7+(422.8-552.9)+(-0.966654+(-0.431256--0.563958))+0-13--0.0132600000000021</f>
        <v>803.77930800000013</v>
      </c>
      <c r="AD286" s="2">
        <v>845.8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888.8+(423.9-585.5)+(0+(0-0))+0-13-0</f>
        <v>714.19999999999993</v>
      </c>
      <c r="G287" s="3">
        <f>796.2+(427.5-556.8)+(1.218186+(0.654075-0.851904))+0-13-0.0198900000000008</f>
        <v>654.90046700000005</v>
      </c>
      <c r="H287" s="3">
        <f>780.7+(455.3-583.8)+(1.592628+(0.928812-1.190952))+0-13-0.0265199999999994</f>
        <v>640.50396799999999</v>
      </c>
      <c r="I287" s="3">
        <f>773.4+(458.4-592.1)+(0+(0-0))+0-13-0</f>
        <v>626.69999999999993</v>
      </c>
      <c r="J287" s="3">
        <f>770.8+(470.2-592.5)+(-0.786216+(-0.479604--0.60435))+0-13--0.0132600000000021</f>
        <v>634.85178999999994</v>
      </c>
      <c r="K287" s="3">
        <f>803.2+(431.5-604.2)+(0.819264+(0.44013-0.616284))+0-12-0.0122400000000019</f>
        <v>619.13086999999996</v>
      </c>
      <c r="L287" s="3">
        <f>844.8+(470.6-649.4)+(-2.15424+(-1.20003--1.65597))+0-12--0.0305999999999983</f>
        <v>652.33230000000003</v>
      </c>
      <c r="M287" s="3">
        <f>869.7+(469.1-656.4)+(-0.887094+(-0.478482--0.669528))+0-12--0.0122400000000019</f>
        <v>669.71619200000009</v>
      </c>
      <c r="N287" s="3">
        <f>976.3+(385.2-641.7)+(-0.995826+(-0.392904--0.654534))+0-12--0.0122400000000019</f>
        <v>707.07804399999998</v>
      </c>
      <c r="O287" s="3">
        <f>1051.6+(383.8-677.1)+(2.145264+(0.782952-1.381284))+0-12-0.0244799999999995</f>
        <v>747.82245199999988</v>
      </c>
      <c r="P287" s="3">
        <f>1098.2+(345.9-674.7)+(0.560082+(0.176409-0.344097))+0-12-0.00611999999999878</f>
        <v>757.78627399999993</v>
      </c>
      <c r="Q287" s="3">
        <f>1159.1+(316.7-708.2)+(-2.955705+(-0.807585--1.80591))+0-12--0.0305999999999983</f>
        <v>753.67322000000001</v>
      </c>
      <c r="R287" s="3">
        <f>1209.8+(282.5-750.9)+(-2.467992+(-0.5763--1.531836))+0-12--0.0244799999999995</f>
        <v>727.91202399999997</v>
      </c>
      <c r="S287" s="3">
        <f>1215.3+(268.8-763.4)+(0.619803+(0.137088-0.389334))+0-12-0.00611999999999878</f>
        <v>709.06143700000007</v>
      </c>
      <c r="T287" s="3">
        <f>1212.1+(275.5-783.2)+(0+(0-0))+0-12-0</f>
        <v>692.39999999999986</v>
      </c>
      <c r="U287" s="3">
        <f>1207.3+(270.2-777.3)+(-2.462892+(-0.551208--1.585692))+0-12--0.0244799999999995</f>
        <v>686.79607200000009</v>
      </c>
      <c r="V287" s="3">
        <f>1273+(241.7-795.8)+(1.29846+(0.246534-0.811716))+0-12-0.0122400000000019</f>
        <v>707.62103800000011</v>
      </c>
      <c r="W287" s="3">
        <f>1333.6+(209.8-699.1)+(2.040408+(0.320994-1.069623))+0-11-0.0168300000000006</f>
        <v>834.57494899999995</v>
      </c>
      <c r="X287" s="3">
        <f>1378.3+(199.8-642.6)+(-2.811732+(-0.407592--1.310904))+0-13--0.0265199999999994</f>
        <v>920.61810000000003</v>
      </c>
      <c r="Y287" s="3">
        <f>1442.3+(189.6-716.1)+(1.471146+(0.193392-0.730422))+0-13-0.0132600000000021</f>
        <v>903.72085600000003</v>
      </c>
      <c r="Z287" s="3">
        <f>1320.7+(267.1-679)+(0+(0-0))+0-13-0</f>
        <v>895.80000000000007</v>
      </c>
      <c r="AA287" s="3">
        <f>1180.6+(315.4-596.1)+(-1.204212+(-0.321708--0.608022))+0-12--0.0122400000000019</f>
        <v>886.99434199999985</v>
      </c>
      <c r="AB287" s="3">
        <f>1048.7+(384.9-583)+(-1.069674+(-0.392598--0.59466))+0-12--0.0122400000000019</f>
        <v>837.74462800000003</v>
      </c>
      <c r="AC287" s="3">
        <f>982.5+(389.4-574)+(-1.503225+(-0.595782--0.87822))+0-12--0.0183600000000007</f>
        <v>784.69757300000003</v>
      </c>
      <c r="AD287" s="2">
        <v>893.3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815.6+(449-559.1)+(-0.415956+(-0.22899--0.285141))+0-12--0.00611999999999878</f>
        <v>693.14631499999996</v>
      </c>
      <c r="G288" s="3">
        <f>768.1+(457.6-552.5)+(-1.566924+(-0.933504--1.1271))+0-12--0.0244799999999995</f>
        <v>659.85115200000007</v>
      </c>
      <c r="H288" s="3">
        <f>773.7+(449.8-580.8)+(0+(0-0))+0-12-0</f>
        <v>630.70000000000005</v>
      </c>
      <c r="I288" s="3">
        <f>785.9+(432.1-576.6)+(-0.400809+(-0.220371--0.294066))+0-12--0.00611999999999878</f>
        <v>629.07900599999994</v>
      </c>
      <c r="J288" s="3">
        <f>780.9+(428.6-583.8)+(-0.398259+(-0.218586--0.297738))+0-12--0.00611999999999878</f>
        <v>613.38701300000002</v>
      </c>
      <c r="K288" s="3">
        <f>790.9+(401.2-567.1)+(-1.210077+(-0.613836--0.867663))+0-12--0.0183600000000007</f>
        <v>612.06211000000008</v>
      </c>
      <c r="L288" s="3">
        <f>786.9+(398.2-568.1)+(-1.203957+(-0.609246--0.869193))+0-12--0.0183600000000007</f>
        <v>604.07434999999998</v>
      </c>
      <c r="M288" s="3">
        <f>841.7+(419.9-615.8)+(-0.429267+(-0.214149--0.314058))+0-12--0.00611999999999878</f>
        <v>633.47676200000012</v>
      </c>
      <c r="N288" s="3">
        <f>864.8+(437.8-633.8)+(0+(0-0))+0-13-0</f>
        <v>655.8</v>
      </c>
      <c r="O288" s="3">
        <f>1199.7+(320.9-685.6)+(-1.223694+(-0.327318--0.699312))+0-13--0.0132600000000021</f>
        <v>821.16155999999989</v>
      </c>
      <c r="P288" s="3">
        <f>1503.4+(185.3-888.2)+(-1.533468+(-0.189006--0.905964))+0-13--0.0132600000000021</f>
        <v>786.69674999999995</v>
      </c>
      <c r="Q288" s="3">
        <f>1587.6+(143.8-917.3)+(4.04838+(0.36669-2.339115))+0-13-0.0331499999999981</f>
        <v>803.14280499999995</v>
      </c>
      <c r="R288" s="3">
        <f>1556.6+(121.5-916)+(-5.557062+(-0.433755--3.27012))+0-12--0.0428400000000002</f>
        <v>747.42214299999989</v>
      </c>
      <c r="S288" s="3">
        <f>1561.4+(158.1-974.9)+(-3.185256+(-0.322524--1.988796))+0-12--0.0244799999999995</f>
        <v>731.10549600000013</v>
      </c>
      <c r="T288" s="3">
        <f>1563.4+(176.2-996)+(0.797334+(0.089862-0.50796))+0-12-0.00611999999999878</f>
        <v>731.97311600000012</v>
      </c>
      <c r="U288" s="3">
        <f>1554.1+(129.3-945.4)+(-0.792591+(-0.065943--0.482154))+0-12--0.00611999999999878</f>
        <v>725.62973999999997</v>
      </c>
      <c r="V288" s="3">
        <f>1527.8+(156.2-923.1)+(0+(0-0))+0-12-0</f>
        <v>748.89999999999986</v>
      </c>
      <c r="W288" s="3">
        <f>1498.3+(137-762)+(2.292399+(0.20961-1.16586))+0-12-0.0183600000000007</f>
        <v>862.6177889999999</v>
      </c>
      <c r="X288" s="3">
        <f>1613.7+(163.3-805.3)+(-3.291948+(-0.333132--1.642812))+0-12--0.0244799999999995</f>
        <v>957.74221200000011</v>
      </c>
      <c r="Y288" s="3">
        <f>1622.7+(137.9-815.8)+(-1.655154+(-0.140658--0.832116))+0-12--0.0122400000000019</f>
        <v>931.84854400000006</v>
      </c>
      <c r="Z288" s="3">
        <f>1493.9+(176-706.2)+(-1.523778+(-0.17952--0.720324))+0-12--0.0122400000000019</f>
        <v>950.72926600000005</v>
      </c>
      <c r="AA288" s="3">
        <f>1169.9+(332-603.9)+(0+(0-0))+0-12-0</f>
        <v>886.00000000000011</v>
      </c>
      <c r="AB288" s="3">
        <f>1158.7+(319.9-609.6)+(-1.772811+(-0.489447--0.932688))+0-12--0.0183600000000007</f>
        <v>855.68879000000004</v>
      </c>
      <c r="AC288" s="3">
        <f>1131.5+(268.7-592.4)+(-0.577065+(-0.137037--0.302124))+0-12--0.00611999999999878</f>
        <v>795.39414199999999</v>
      </c>
      <c r="AD288" s="2">
        <v>956.3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1080.2+(228-594.3)+(-1.652706+(-0.34884--0.909279))+0-12--0.0183600000000007</f>
        <v>700.82609300000013</v>
      </c>
      <c r="G289" s="3">
        <f>1143.2+(237.7-709.4)+(0+(0-0))+0-12-0</f>
        <v>659.5</v>
      </c>
      <c r="H289" s="3">
        <f>1152.2+(238.4-730.7)+(0.587622+(0.121584-0.372657))+0-12-0.00611999999999878</f>
        <v>648.23042899999996</v>
      </c>
      <c r="I289" s="3">
        <f>1112.8+(254.8-738)+(1.135056+(0.259896-0.75276))+0-12-0.0122400000000019</f>
        <v>618.22995199999991</v>
      </c>
      <c r="J289" s="3">
        <f>1158.8+(223.9-750.6)+(2.363952+(0.456756-1.531224))+0-12-0.0244799999999995</f>
        <v>621.36500399999989</v>
      </c>
      <c r="K289" s="3">
        <f>1169.4+(249.6-773.2)+(1.192788+(0.254592-0.788664))+0-12-0.0122400000000019</f>
        <v>634.44647600000008</v>
      </c>
      <c r="L289" s="3">
        <f>1178+(297.9-808.3)+(0+(0-0))+0-11-0</f>
        <v>656.6</v>
      </c>
      <c r="M289" s="3">
        <f>1243.5+(277.2-820.3)+(-1.26837+(-0.282744--0.836706))+0-11--0.0112200000000018</f>
        <v>688.69681200000002</v>
      </c>
      <c r="N289" s="3">
        <f>1307+(195.2-775.6)+(1.33314+(0.199104-0.791112))+0-11-0.0112200000000018</f>
        <v>716.32991199999992</v>
      </c>
      <c r="O289" s="3">
        <f>1481.3+(113.4-809.7)+(-0.755463+(-0.057834--0.412947))+0-11--0.00560999999999888</f>
        <v>773.60525999999993</v>
      </c>
      <c r="P289" s="3">
        <f>1575.4+(95.1-854.7)+(-1.606908+(-0.097002--0.871794))+0-11--0.0112200000000018</f>
        <v>803.97910400000001</v>
      </c>
      <c r="Q289" s="3">
        <f>1587.4+(64-839.6)+(-0.809574+(-0.03264--0.428196))+0-11--0.00560999999999888</f>
        <v>800.39159200000006</v>
      </c>
      <c r="R289" s="3">
        <f>1576.5+(82.3-872.3)+(0+(0-0))+0-11-0</f>
        <v>775.5</v>
      </c>
      <c r="S289" s="3">
        <f>1560.3+(135.1-935)+(-1.591506+(-0.137802--0.9537))+0-11--0.0112200000000018</f>
        <v>748.63561199999992</v>
      </c>
      <c r="T289" s="3">
        <f>1550.1+(158.7-956.9)+(-0.790551+(-0.080937--0.488019))+0-11--0.00560999999999888</f>
        <v>740.52214099999992</v>
      </c>
      <c r="U289" s="3">
        <f>1547.9+(157.8-949.7)+(0.789429+(0.080478-0.484347))+0-11-0.00560999999999888</f>
        <v>745.37995000000001</v>
      </c>
      <c r="V289" s="3">
        <f>1527.6+(156.2-912.2)+(-4.674456+(-0.477972--2.791332))+0-11--0.0336600000000013</f>
        <v>758.27256399999999</v>
      </c>
      <c r="W289" s="3">
        <f>1547.9+(128.1-802.9)+(1.578858+(0.130662-0.818958))+0-11-0.0112200000000018</f>
        <v>862.9793420000002</v>
      </c>
      <c r="X289" s="3">
        <f>1543.9+(182.4-766.4)+(-2.362167+(-0.279072--1.172592))+0-11--0.0168300000000006</f>
        <v>947.44818300000009</v>
      </c>
      <c r="Y289" s="3">
        <f>1551.7+(171.4-776.2)+(-3.165468+(-0.349656--1.583448))+0-11--0.0224399999999995</f>
        <v>933.9907639999999</v>
      </c>
      <c r="Z289" s="3">
        <f>1576.9+(135-793.2)+(-2.412657+(-0.20655--1.213596))+0-11--0.0168300000000006</f>
        <v>906.31121900000005</v>
      </c>
      <c r="AA289" s="3">
        <f>1576.1+(135.5-812.5)+(-2.411433+(-0.207315--1.243125))+0-11--0.0168300000000006</f>
        <v>886.74120699999992</v>
      </c>
      <c r="AB289" s="3">
        <f>1580.6+(133.3-838)+(0+(0-0))+0-11-0</f>
        <v>864.89999999999986</v>
      </c>
      <c r="AC289" s="3">
        <f>1575.3+(136.6-889)+(-3.213612+(-0.278664--1.81356))+0-11--0.0224399999999995</f>
        <v>810.24372399999993</v>
      </c>
      <c r="AD289" s="2">
        <v>936.2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1590.4+(103.8-946.3)+(0+(0-0))+0-12-0</f>
        <v>735.90000000000009</v>
      </c>
      <c r="G290" s="3">
        <f>1411.5+(162.5-891.1)+(2.159595+(0.248625-1.363383))+0-12-0.0183600000000007</f>
        <v>671.92647699999998</v>
      </c>
      <c r="H290" s="3">
        <f>1392.4+(160.4-892)+(0.710124+(0.081804-0.45492))+0-12-0.00611999999999878</f>
        <v>649.13088800000003</v>
      </c>
      <c r="I290" s="3">
        <f>1393.6+(149.4-899.3)+(2.132208+(0.228582-1.375929))+0-12-0.0183600000000007</f>
        <v>632.66650099999993</v>
      </c>
      <c r="J290" s="3">
        <f>1391.8+(154.2-908.4)+(1.419636+(0.157284-0.926568))+0-12-0.0122400000000019</f>
        <v>626.23811199999989</v>
      </c>
      <c r="K290" s="3">
        <f>1394.9+(150.4-907.5)+(1.422798+(0.153408-0.92565))+0-12-0.0122400000000019</f>
        <v>626.4383160000001</v>
      </c>
      <c r="L290" s="3">
        <f>1343.6+(161.7-858.5)+(-5.481888+(-0.659736--3.50268))+0-11--0.044879999999999</f>
        <v>633.20593599999995</v>
      </c>
      <c r="M290" s="3">
        <f>1307.2+(235.4-897)+(4.000032+(0.720324-2.74482))+0-11-0.0336600000000013</f>
        <v>636.541876</v>
      </c>
      <c r="N290" s="3">
        <f>1329.3+(258.4-913.7)+(2.711772+(0.527136-1.863948))+0-11-0.0224399999999995</f>
        <v>664.35251999999991</v>
      </c>
      <c r="O290" s="3">
        <f>1441.1+(164.1-881.1)+(2.204883+(0.251073-1.348083))+0-11-0.0168300000000006</f>
        <v>714.19104299999992</v>
      </c>
      <c r="P290" s="3">
        <f>1454.1+(115.3-816.3)+(-2.966364+(-0.235212--1.665252))+0-11--0.0224399999999995</f>
        <v>740.58611599999983</v>
      </c>
      <c r="Q290" s="3">
        <f>1460.8+(92.4-804.9)+(-2.235024+(-0.141372--1.231497))+0-11--0.0168300000000006</f>
        <v>736.17193099999997</v>
      </c>
      <c r="R290" s="3">
        <f>1462.1+(96.8-852)+(-1.491342+(-0.098736--0.86904))+0-11--0.0112200000000018</f>
        <v>695.19018199999982</v>
      </c>
      <c r="S290" s="3">
        <f>1447.6+(130.5-895.2)+(-0.738276+(-0.066555--0.456552))+0-11--0.00560999999999888</f>
        <v>671.55733099999986</v>
      </c>
      <c r="T290" s="3">
        <f>1430.8+(136.8-889.8)+(-0.729708+(-0.069768--0.453798))+0-11--0.00560999999999888</f>
        <v>666.45993199999998</v>
      </c>
      <c r="U290" s="3">
        <f>1337.8+(129.7-792)+(-2.729112+(-0.264588--1.61568))+0-11--0.0224399999999995</f>
        <v>663.14441999999997</v>
      </c>
      <c r="V290" s="3">
        <f>1335+(174.9-808)+(0.68085+(0.089199-0.41208))+0-11-0.00560999999999888</f>
        <v>691.25235899999996</v>
      </c>
      <c r="W290" s="3">
        <f>1466.7+(133.8-774.9)+(-0.748017+(-0.068238--0.395199))+0-12--0.00611999999999878</f>
        <v>813.18506400000012</v>
      </c>
      <c r="X290" s="3">
        <f>1569.2+(155.8-811)+(-0.800292+(-0.079458--0.41361))+0-12--0.00611999999999878</f>
        <v>901.53998000000001</v>
      </c>
      <c r="Y290" s="3">
        <f>1572.6+(112.1-786)+(-0.802026+(-0.057171--0.40086))+0-11--0.00560999999999888</f>
        <v>887.24727299999995</v>
      </c>
      <c r="Z290" s="3">
        <f>1582.6+(103.5-823.9)+(-0.807126+(-0.052785--0.420189))+0-11--0.00560999999999888</f>
        <v>850.76588800000002</v>
      </c>
      <c r="AA290" s="3">
        <f>1593.8+(102.9-827.6)+(2.438514+(0.157437-1.266228))+0-11-0.0168300000000006</f>
        <v>859.41289299999983</v>
      </c>
      <c r="AB290" s="3">
        <f>1595.2+(154-889.3)+(0+(0-0))+0-11-0</f>
        <v>848.90000000000009</v>
      </c>
      <c r="AC290" s="3">
        <f>1529.2+(153.4-881.5)+(-1.559784+(-0.156468--0.89913))+0-11--0.0112200000000018</f>
        <v>789.29409799999996</v>
      </c>
      <c r="AD290" s="2">
        <v>886.30000000000007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1457.4+(73.2-813.9)+(-2.229822+(-0.111996--1.245267))+0-11--0.0168300000000006</f>
        <v>704.62027900000021</v>
      </c>
      <c r="G291" s="3">
        <f>1428.7+(93.7-867.3)+(0+(0-0))+0-11-0</f>
        <v>644.10000000000014</v>
      </c>
      <c r="H291" s="3">
        <f>1432.7+(125.7-915.5)+(0.730677+(0.064107-0.466905))+0-11-0.00560999999999888</f>
        <v>632.2222690000001</v>
      </c>
      <c r="I291" s="3">
        <f>1323.6+(125.9-827.7)+(0.675036+(0.064209-0.422127))+0-11-0.00560999999999888</f>
        <v>611.11150799999984</v>
      </c>
      <c r="J291" s="3">
        <f>1283.1+(183.9-852.7)+(-0.654381+(-0.093789--0.434877))+0-11--0.00560999999999888</f>
        <v>602.99231699999984</v>
      </c>
      <c r="K291" s="3">
        <f>1266.7+(207.2-853.7)+(1.938051+(0.317016-1.306161))+0-11-0.0168300000000006</f>
        <v>610.13207599999998</v>
      </c>
      <c r="L291" s="3">
        <f>1302.1+(194.1-879.1)+(1.992213+(0.296973-1.345023))+0-11-0.0168300000000006</f>
        <v>607.02733299999989</v>
      </c>
      <c r="M291" s="3">
        <f>1350+(221.9-962.7)+(-0.6885+(-0.113169--0.490977))+0-11--0.00560999999999888</f>
        <v>597.89491799999996</v>
      </c>
      <c r="N291" s="3">
        <f>1353.9+(212.9-952.2)+(0.690489+(0.108579-0.485622))+0-11-0.00560999999999888</f>
        <v>603.90783599999997</v>
      </c>
      <c r="O291" s="3">
        <f>1409.4+(158.5-914.9)+(0.718794+(0.080835-0.466599))+0-11-0.00560999999999888</f>
        <v>642.32742000000007</v>
      </c>
      <c r="P291" s="3">
        <f>1562.6+(97.9-952)+(-0.796926+(-0.049929--0.48552))+0-11--0.00560999999999888</f>
        <v>697.14427499999988</v>
      </c>
      <c r="Q291" s="3">
        <f>1549.4+(78.5-909.8)+(-2.370582+(-0.120105--1.391994))+0-11--0.0168300000000006</f>
        <v>706.01813700000014</v>
      </c>
      <c r="R291" s="3">
        <f>1546.3+(81.2-934.7)+(-1.577226+(-0.082824--0.953394))+0-11--0.0112200000000018</f>
        <v>681.10456399999998</v>
      </c>
      <c r="S291" s="3">
        <f>1541.8+(104.4-971.2)+(-1.572636+(-0.106488--0.990624))+0-11--0.0112200000000018</f>
        <v>663.32271999999989</v>
      </c>
      <c r="T291" s="3">
        <f>1533.3+(114.6-984.1)+(-3.127932+(-0.233784--2.007564))+0-11--0.0224399999999995</f>
        <v>651.46828799999992</v>
      </c>
      <c r="U291" s="3">
        <f>1511.7+(141.9-991.7)+(3.854835+(0.361845-2.528835))+0-11-0.0280499999999984</f>
        <v>652.55979500000001</v>
      </c>
      <c r="V291" s="3">
        <f>1544.7+(117.3-972.2)+(0+(0-0))+0-11-0</f>
        <v>678.8</v>
      </c>
      <c r="W291" s="3">
        <f>1552.4+(117-853.9)+(1.583448+(0.11934-0.870978))+0-11-0.0112200000000018</f>
        <v>805.32059000000015</v>
      </c>
      <c r="X291" s="3">
        <f>1549+(130.3-773.1)+(-2.36997+(-0.199359--1.182843))+0-11--0.0168300000000006</f>
        <v>893.83034400000008</v>
      </c>
      <c r="Y291" s="3">
        <f>1571.8+(139.5-805.5)+(0.801618+(0.071145-0.410805))+0-11-0.00560999999999888</f>
        <v>895.25634799999989</v>
      </c>
      <c r="Z291" s="3">
        <f>1578.1+(142.7-828.6)+(0.804831+(0.072777-0.422586))+0-11-0.00560999999999888</f>
        <v>881.64941199999976</v>
      </c>
      <c r="AA291" s="3">
        <f>1576.9+(139-846.7)+(1.608438+(0.14178-0.863634))+0-11-0.0112200000000018</f>
        <v>859.07536400000004</v>
      </c>
      <c r="AB291" s="3">
        <f>1564+(161.3-879.1)+(-1.59528+(-0.164526--0.896682))+0-11--0.0112200000000018</f>
        <v>834.34809600000006</v>
      </c>
      <c r="AC291" s="3">
        <f>1567.9+(74.2-872.2)+(-3.998145+(-0.18921--2.22411))+0-11--0.0280499999999984</f>
        <v>756.96480500000007</v>
      </c>
      <c r="AD291" s="2">
        <v>889.40000000000009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1422.6+(187.5-889.2)+(-2.176578+(-0.286875--1.360476))+0-11--0.0168300000000006</f>
        <v>708.81385299999988</v>
      </c>
      <c r="G292" s="3">
        <f>1146.5+(219.5-724.4)+(0+(0-0))+0-11-0</f>
        <v>630.6</v>
      </c>
      <c r="H292" s="3">
        <f>1095.2+(252.6-731.2)+(0.558552+(0.128826-0.372912))+0-11-0.00560999999999888</f>
        <v>605.90885600000001</v>
      </c>
      <c r="I292" s="3">
        <f>1042.1+(247.9-685.5)+(1.594413+(0.379287-1.048815))+0-11-0.0168300000000006</f>
        <v>594.40805499999988</v>
      </c>
      <c r="J292" s="3">
        <f>1121.4+(201-720.3)+(2.85957+(0.51255-1.836765))+0-11-0.0280499999999984</f>
        <v>592.60730500000011</v>
      </c>
      <c r="K292" s="3">
        <f>1150+(191-726.8)+(1.173+(0.19482-0.741336))+0-11-0.0112200000000018</f>
        <v>603.81526400000007</v>
      </c>
      <c r="L292" s="3">
        <f>1267.6+(210.8-825.8)+(-3.878856+(-0.645048--2.526948))+0-11--0.0336600000000013</f>
        <v>639.63670400000001</v>
      </c>
      <c r="M292" s="3">
        <f>1349.5+(164.9-831.9)+(2.064735+(0.252297-1.272807))+0-12-0.0183600000000007</f>
        <v>671.52586499999995</v>
      </c>
      <c r="N292" s="3">
        <f>1509.5+(132.1-941.9)+(0+(0-0))+0-12-0</f>
        <v>687.7</v>
      </c>
      <c r="O292" s="3">
        <f>1550.4+(28-805.7)+(-3.162816+(-0.05712--1.643628))+0-12--0.0244799999999995</f>
        <v>759.14817200000005</v>
      </c>
      <c r="P292" s="3">
        <f>1565.5+(34-805.9)+(1.59681+(0.03468-0.822018))+0-12-0.0122400000000019</f>
        <v>782.39723200000003</v>
      </c>
      <c r="Q292" s="3">
        <f>1559.7+(46-802.7)+(0+(0-0))+0-12-0</f>
        <v>791</v>
      </c>
      <c r="R292" s="3">
        <f>1551.4+(38-826.3)+(-2.373642+(-0.05814--1.264239))+0-11--0.0168300000000006</f>
        <v>750.94928700000014</v>
      </c>
      <c r="S292" s="3">
        <f>1558.2+(29-830.1)+(-1.589364+(-0.02958--0.846702))+0-11--0.0112200000000018</f>
        <v>745.338978</v>
      </c>
      <c r="T292" s="3">
        <f>1556.8+(25-827.2)+(0.793968+(0.01275-0.421872))+0-11-0.00560999999999888</f>
        <v>743.9792359999999</v>
      </c>
      <c r="U292" s="3">
        <f>1559.3+(21.9-827.8)+(2.385729+(0.033507-1.266534))+0-11-0.0168300000000006</f>
        <v>743.53587199999993</v>
      </c>
      <c r="V292" s="3">
        <f>1552.7+(28-792.8)+(0.791877+(0.01428-0.404328))+0-11-0.00560999999999888</f>
        <v>777.29621900000006</v>
      </c>
      <c r="W292" s="3">
        <f>1553.3+(58.5-713.2)+(0+(0-0))+0-11-0</f>
        <v>887.59999999999991</v>
      </c>
      <c r="X292" s="3">
        <f>1553.4+(54.1-626.4)+(-0.792234+(-0.027591--0.319464))+0-11--0.00560999999999888</f>
        <v>969.60524900000019</v>
      </c>
      <c r="Y292" s="3">
        <f>1552.7+(61.5-632.5)+(-3.167508+(-0.12546--1.2903))+0-11--0.0224399999999995</f>
        <v>968.71977200000003</v>
      </c>
      <c r="Z292" s="3">
        <f>1571.2+(118.7-763.7)+(-0.801312+(-0.060537--0.389487))+0-11--0.00560999999999888</f>
        <v>914.73324800000012</v>
      </c>
      <c r="AA292" s="3">
        <f>1573.2+(122.3-787.9)+(0+(0-0))+0-11-0</f>
        <v>896.6</v>
      </c>
      <c r="AB292" s="3">
        <f>1558.8+(142.1-826.7)+(-2.384964+(-0.217413--1.264851))+0-11--0.0168300000000006</f>
        <v>861.87930399999993</v>
      </c>
      <c r="AC292" s="3">
        <f>1564+(88.7-849.6)+(-0.79764+(-0.045237--0.433296))+0-11--0.00560999999999888</f>
        <v>791.69602900000007</v>
      </c>
      <c r="AD292" s="2">
        <v>963.6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1444.7+(110.3-785.4)+(-1.473594+(-0.112506--0.801108))+0-11--0.0112200000000018</f>
        <v>757.82622800000001</v>
      </c>
      <c r="G293" s="3">
        <f>1394.5+(142-815.7)+(0.711195+(0.07242-0.416007))+0-11-0.00560999999999888</f>
        <v>710.16199799999993</v>
      </c>
      <c r="H293" s="3">
        <f>1319.1+(157.6-776.5)+(-1.345482+(-0.160752--0.79203))+0-11--0.0112200000000018</f>
        <v>688.49701599999992</v>
      </c>
      <c r="I293" s="3">
        <f>1253+(157-746.1)+(0.63903+(0.08007-0.380511))+0-11-0.00560999999999888</f>
        <v>653.23297899999989</v>
      </c>
      <c r="J293" s="3">
        <f>1326.3+(156.9-809.2)+(2.705652+(0.320076-1.650768))+0-9-0.0183599999999996</f>
        <v>666.35659999999984</v>
      </c>
      <c r="K293" s="3">
        <f>1398.2+(151.9-863.7)+(1.426164+(0.154938-0.880974))+0-9-0.00918000000000144</f>
        <v>678.09094799999991</v>
      </c>
      <c r="L293" s="3">
        <f>1427.4+(186.9-933.2)+(1.455948+(0.190638-0.951864))+0-9-0.00918000000000144</f>
        <v>672.78554199999996</v>
      </c>
      <c r="M293" s="3">
        <f>1429+(147.1-880.8)+(-1.45758+(-0.150042--0.898416))+0-9--0.00918000000000144</f>
        <v>685.59997400000009</v>
      </c>
      <c r="N293" s="3">
        <f>1545.3+(92.6-885.6)+(1.576206+(0.094452-0.903312))+0-9-0.00918000000000144</f>
        <v>744.05816599999991</v>
      </c>
      <c r="O293" s="3">
        <f>1566.4+(37-844.7)+(1.597728+(0.03774-0.861594))+0-9-0.00918000000000144</f>
        <v>750.46469400000001</v>
      </c>
      <c r="P293" s="3">
        <f>1554.1+(32.8-777.5)+(0.792591+(0.016728-0.396525))+0-9-0.00458999999999909</f>
        <v>800.80820399999982</v>
      </c>
      <c r="Q293" s="3">
        <f>1554.2+(33.7-780.3)+(-0.792642+(-0.017187--0.397953))+0-9--0.00458999999999909</f>
        <v>798.19271400000014</v>
      </c>
      <c r="R293" s="3">
        <f>1545.7+(33.8-798.4)+(-3.153228+(-0.068952--1.628736))+0-13--0.0265199999999994</f>
        <v>766.53307600000005</v>
      </c>
      <c r="S293" s="3">
        <f>1547+(35.8-817.5)+(-2.36691+(-0.054774--1.250775))+0-13--0.0198900000000008</f>
        <v>751.14898099999994</v>
      </c>
      <c r="T293" s="3">
        <f>1536.1+(23.1-804.4)+(-4.700466+(-0.070686--2.461464))+0-13--0.0397800000000015</f>
        <v>739.53009199999985</v>
      </c>
      <c r="U293" s="3">
        <f>1536.7+(26.9-814.6)+(2.351151+(0.041157-1.246338))+0-13-0.0198900000000008</f>
        <v>737.12608</v>
      </c>
      <c r="V293" s="3">
        <f>1529.7+(35.1-784.9)+(0+(0-0))+0-13-0</f>
        <v>766.90000000000009</v>
      </c>
      <c r="W293" s="3">
        <f>1554.4+(60.5-714.6)+(0.792744+(0.030855-0.364446))+0-12-0.00611999999999878</f>
        <v>888.75303300000007</v>
      </c>
      <c r="X293" s="3">
        <f>1549.7+(49.9-621.5)+(-3.951735+(-0.127245--1.584825))+0-13--0.0331499999999981</f>
        <v>962.63899500000002</v>
      </c>
      <c r="Y293" s="3">
        <f>1561+(46.9-649.1)+(-1.59222+(-0.047838--0.662082))+0-13--0.0132600000000021</f>
        <v>944.83528399999989</v>
      </c>
      <c r="Z293" s="3">
        <f>1569.5+(53.6-674.1)+(-0.800445+(-0.027336--0.343791))+0-13--0.00662999999999868</f>
        <v>935.52264000000002</v>
      </c>
      <c r="AA293" s="3">
        <f>1563+(130.8-767.2)+(-3.18852+(-0.266832--1.565088))+0-13--0.0265199999999994</f>
        <v>911.73625599999991</v>
      </c>
      <c r="AB293" s="3">
        <f>1569.1+(159-842.8)+(-0.800241+(-0.08109--0.429828))+0-13--0.00662999999999868</f>
        <v>871.85512699999992</v>
      </c>
      <c r="AC293" s="3">
        <f>1561.1+(100.5-838.6)+(-3.980805+(-0.256275--2.13843))+0-13--0.0331499999999981</f>
        <v>807.93449999999984</v>
      </c>
      <c r="AD293" s="2">
        <v>964.6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1557.5+(59.5-882.3)+(-3.971625+(-0.151725--2.249865))+0-13--0.0331499999999981</f>
        <v>719.85966500000006</v>
      </c>
      <c r="G294" s="3">
        <f>1374.9+(104.4-785.2)+(-3.505995+(-0.26622--2.00226))+0-13--0.0331499999999981</f>
        <v>679.36319500000002</v>
      </c>
      <c r="H294" s="3">
        <f>1282+(119.9-739.5)+(1.30764+(0.122298-0.75429))+0-13-0.0132600000000021</f>
        <v>650.06238800000006</v>
      </c>
      <c r="I294" s="3">
        <f>1278.5+(115.7-747.9)+(0.652035+(0.059007-0.381429))+0-13-0.00662999999999868</f>
        <v>633.62298300000009</v>
      </c>
      <c r="J294" s="3">
        <f>1272.5+(136.8-764.5)+(-1.29795+(-0.139536--0.77979))+0-13--0.0132600000000021</f>
        <v>631.15556399999991</v>
      </c>
      <c r="K294" s="3">
        <f>1298.8+(116.2-775)+(1.324776+(0.118524-0.7905))+0-13-0.0132600000000021</f>
        <v>627.63954000000001</v>
      </c>
      <c r="L294" s="3">
        <f>1391.1+(124.3-839.9)+(2.837844+(0.253572-1.713396))+0-13-0.0265199999999994</f>
        <v>663.85149999999987</v>
      </c>
      <c r="M294" s="3">
        <f>1390.4+(106.2-783.2)+(-1.418208+(-0.108324--0.798864))+0-13--0.0132600000000021</f>
        <v>699.68559200000004</v>
      </c>
      <c r="N294" s="3">
        <f>1513.3+(78.5-846.1)+(-0.771783+(-0.040035--0.431511))+0-13--0.00662999999999868</f>
        <v>732.32632299999989</v>
      </c>
      <c r="O294" s="3">
        <f>1557.3+(39.5-831.1)+(-1.588446+(-0.04029--0.847722))+0-13--0.0132600000000021</f>
        <v>751.93224599999985</v>
      </c>
      <c r="P294" s="3">
        <f>1542.7+(41.1-770.5)+(-1.573554+(-0.041922--0.78591))+0-13--0.0132600000000021</f>
        <v>799.48369400000001</v>
      </c>
      <c r="Q294" s="3">
        <f>1558+(34.7-771.7)+(-1.58916+(-0.035394--0.787134))+0-13--0.0132600000000021</f>
        <v>807.17583999999999</v>
      </c>
      <c r="R294" s="3">
        <f>1511.2+(27.6-758.7)+(-3.082848+(-0.056304--1.547748))+0-12--0.0244799999999995</f>
        <v>766.53307600000005</v>
      </c>
      <c r="S294" s="3">
        <f>1513+(30.2-784.6)+(0.77163+(0.015402-0.400146))+0-12-0.00611999999999878</f>
        <v>746.98076600000002</v>
      </c>
      <c r="T294" s="3">
        <f>1522.1+(27.2-803.2)+(-0.776271+(-0.013872--0.409632))+0-12--0.00611999999999878</f>
        <v>733.72560899999996</v>
      </c>
      <c r="U294" s="3">
        <f>1512+(31.4-769.8)+(-1.54224+(-0.032028--0.785196))+0-12--0.0122400000000019</f>
        <v>760.82316800000001</v>
      </c>
      <c r="V294" s="3">
        <f>1516.8+(31.6-746.8)+(-1.547136+(-0.032232--0.761736))+0-12--0.0122400000000019</f>
        <v>788.79460800000004</v>
      </c>
      <c r="W294" s="3">
        <f>1582.3+(49-708.5)+(0.806973+(0.02499-0.361335))+0-12-0.00611999999999878</f>
        <v>911.26450799999998</v>
      </c>
      <c r="X294" s="3">
        <f>1605.5+(54.6-655.9)+(-2.456415+(-0.083538--1.003527))+0-12--0.0183600000000007</f>
        <v>990.68193400000007</v>
      </c>
      <c r="Y294" s="3">
        <f>1577.3+(49.8-646.2)+(0.804423+(0.025398-0.329562))+0-12-0.00611999999999878</f>
        <v>969.39413899999988</v>
      </c>
      <c r="Z294" s="3">
        <f>1574.8+(98-702.7)+(-0.803148+(-0.04998--0.358377))+0-12--0.00611999999999878</f>
        <v>957.61136899999997</v>
      </c>
      <c r="AA294" s="3">
        <f>1574.4+(165.4-822.1)+(-1.605888+(-0.168708--0.838542))+0-12--0.0122400000000019</f>
        <v>904.77618600000005</v>
      </c>
      <c r="AB294" s="3">
        <f>1570.1+(115.3-785.9)+(-3.203004+(-0.235212--1.603236))+0-12--0.0244799999999995</f>
        <v>885.68949999999995</v>
      </c>
      <c r="AC294" s="3">
        <f>1550.1+(88.5-804.7)+(-3.952755+(-0.225675--2.051985))+0-12--0.0305999999999983</f>
        <v>819.80415499999992</v>
      </c>
      <c r="AD294" s="2">
        <v>990.5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1454.9+(71.5-794.7)+(-0.741999+(-0.036465--0.405297))+0-12--0.00611999999999878</f>
        <v>719.33295300000009</v>
      </c>
      <c r="G295" s="3">
        <f>1381.1+(83.1-796)+(-2.817444+(-0.169524--1.62384))+0-12--0.0244799999999995</f>
        <v>654.86135200000001</v>
      </c>
      <c r="H295" s="3">
        <f>1390.3+(46.1-796)+(0.709053+(0.023511-0.40596))+0-12-0.00611999999999878</f>
        <v>628.72048399999994</v>
      </c>
      <c r="I295" s="3">
        <f>1364.2+(70.6-792.3)+(-2.087226+(-0.108018--1.212219))+0-12--0.0183600000000007</f>
        <v>629.53533500000015</v>
      </c>
      <c r="J295" s="3">
        <f>1304.2+(106.2-774.3)+(0.665142+(0.054162-0.394893))+0-12-0.00611999999999878</f>
        <v>624.41829100000018</v>
      </c>
      <c r="K295" s="3">
        <f>1386.7+(56.4-803.3)+(0.707217+(0.028764-0.409683))+0-12-0.00611999999999878</f>
        <v>628.12017800000001</v>
      </c>
      <c r="L295" s="3">
        <f>1455.3+(83-864.7)+(-3.711015+(-0.21165--2.204985))+0-12--0.0305999999999983</f>
        <v>659.91291999999999</v>
      </c>
      <c r="M295" s="3">
        <f>1408.7+(130.5-843.4)+(-2.155311+(-0.199665--1.290402))+0-12--0.0183600000000007</f>
        <v>682.7537860000001</v>
      </c>
      <c r="N295" s="3">
        <f>1539.6+(106.1-916.9)+(1.570392+(0.108222-0.935238))+0-12-0.0122400000000019</f>
        <v>717.53113599999995</v>
      </c>
      <c r="O295" s="3">
        <f>1563.6+(34-792.5)+(-0.797436+(-0.01734--0.404175))+0-12--0.00611999999999878</f>
        <v>792.69551899999988</v>
      </c>
      <c r="P295" s="3">
        <f>1573.4+(42.4-792.5)+(2.407302+(0.064872-1.212525))+0-12-0.0183600000000007</f>
        <v>812.54128900000001</v>
      </c>
      <c r="Q295" s="3">
        <f>1559.6+(55.2-777)+(0+(0-0))+0-12-0</f>
        <v>825.8</v>
      </c>
      <c r="R295" s="3">
        <f>1555.5+(43.6-811.9)+(-0.793305+(-0.022236--0.414069))+0-12--0.00611999999999878</f>
        <v>774.80464800000004</v>
      </c>
      <c r="S295" s="3">
        <f>1549.6+(29.5-822.6)+(-0.790296+(-0.015045--0.419526))+0-12--0.00611999999999878</f>
        <v>744.12030499999992</v>
      </c>
      <c r="T295" s="3">
        <f>1552.8+(31.5-835.5)+(-0.791928+(-0.016065--0.426105))+0-12--0.00611999999999878</f>
        <v>736.42423199999996</v>
      </c>
      <c r="U295" s="3">
        <f>1558.1+(29.4-824.9)+(0+(0-0))+0-12-0</f>
        <v>750.59999999999991</v>
      </c>
      <c r="V295" s="3">
        <f>1556.7+(31.2-800.6)+(-0.793917+(-0.015912--0.408306))+0-12--0.00611999999999878</f>
        <v>774.90459700000008</v>
      </c>
      <c r="W295" s="3">
        <f>1583.4+(84.3-767.8)+(0.807534+(0.042993-0.391578))+0-12-0.00611999999999878</f>
        <v>888.35282900000004</v>
      </c>
      <c r="X295" s="3">
        <f>1613.1+(110.1-729.4)+(-3.290724+(-0.224604--1.487976))+0-12--0.0244799999999995</f>
        <v>979.79712800000004</v>
      </c>
      <c r="Y295" s="3">
        <f>1576.7+(163.9-749.8)+(-0.804117+(-0.083589--0.382398))+0-12--0.00611999999999878</f>
        <v>978.30081200000006</v>
      </c>
      <c r="Z295" s="3">
        <f>1572.5+(217.6-853.3)+(-1.60395+(-0.221952--0.870366))+0-12--0.0122400000000019</f>
        <v>923.85670400000004</v>
      </c>
      <c r="AA295" s="3">
        <f>1576.7+(219.5-877.7)+(0+(0-0))+0-12-0</f>
        <v>906.5</v>
      </c>
      <c r="AB295" s="3">
        <f>1569.7+(232-913.7)+(-2.401641+(-0.35496--1.397961))+0-13--0.0198900000000008</f>
        <v>873.66125</v>
      </c>
      <c r="AC295" s="3">
        <f>1569.8+(133.5-891.7)+(-1.601196+(-0.13617--0.909534))+0-12--0.0122400000000019</f>
        <v>798.78440799999998</v>
      </c>
      <c r="AD295" s="2">
        <v>963.70000000000016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1435.2+(101.6-803.3)+(-3.65976+(-0.25908--2.048415))+0-10--0.0254999999999985</f>
        <v>721.65507500000012</v>
      </c>
      <c r="G296" s="3">
        <f>1178.4+(194.8-710.5)+(0+(0-0))+0-10-0</f>
        <v>652.70000000000005</v>
      </c>
      <c r="H296" s="3">
        <f>1154.9+(217.9-735.4)+(-1.177998+(-0.222258--0.750108))+0-10--0.0102000000000016</f>
        <v>626.7600520000002</v>
      </c>
      <c r="I296" s="3">
        <f>1154.7+(197.7-725)+(-1.177794+(-0.201654--0.7395))+0-10--0.0102000000000016</f>
        <v>616.77025200000014</v>
      </c>
      <c r="J296" s="3">
        <f>1159.8+(198-730.3)+(0+(0-0))+0-10-0</f>
        <v>617.5</v>
      </c>
      <c r="K296" s="3">
        <f>1199.8+(176.9-733.1)+(-0.611898+(-0.090219--0.373881))+0-10--0.00509999999999899</f>
        <v>633.27686399999993</v>
      </c>
      <c r="L296" s="3">
        <f>1262+(202-794.8)+(0+(0-0))+0-11-0</f>
        <v>658.2</v>
      </c>
      <c r="M296" s="3">
        <f>1335+(171.6-813.8)+(1.3617+(0.175032-0.830076))+0-11-0.0112200000000018</f>
        <v>682.49543600000004</v>
      </c>
      <c r="N296" s="3">
        <f>1546.9+(68.6-878.6)+(1.577838+(0.069972-0.896172))+0-11-0.0112200000000018</f>
        <v>726.64041800000007</v>
      </c>
      <c r="O296" s="3">
        <f>1568.1+(169.4-907)+(0+(0-0))+0-11-0</f>
        <v>819.49999999999989</v>
      </c>
      <c r="P296" s="3">
        <f>1573+(126.3-854)+(2.40669+(0.193239-1.30662))+0-11-0.0168300000000006</f>
        <v>835.57647899999995</v>
      </c>
      <c r="Q296" s="3">
        <f>1559+(64.3-755)+(-1.59018+(-0.065586--0.7701))+0-11--0.0112200000000018</f>
        <v>856.42555399999992</v>
      </c>
      <c r="R296" s="3">
        <f>1549.5+(29.9-763)+(-3.951225+(-0.076245--1.94565))+0-12--0.0305999999999983</f>
        <v>802.34878000000003</v>
      </c>
      <c r="S296" s="3">
        <f>1560.9+(26.8-801.7)+(-0.796059+(-0.013668--0.408867))+0-11--0.00560999999999888</f>
        <v>774.60475000000008</v>
      </c>
      <c r="T296" s="3">
        <f>1562.8+(26.1-820)+(-0.797028+(-0.013311--0.4182))+0-11--0.00560999999999888</f>
        <v>757.51347099999998</v>
      </c>
      <c r="U296" s="3">
        <f>1569.6+(28.9-809.3)+(0.800496+(0.014739-0.412743))+0-12-0.00611999999999878</f>
        <v>777.59637199999997</v>
      </c>
      <c r="V296" s="3">
        <f>1569.5+(65.2-786.2)+(0+(0-0))+0-12-0</f>
        <v>836.5</v>
      </c>
      <c r="W296" s="3">
        <f>1573.5+(162.9-816.5)+(0.802485+(0.083079-0.416415))+0-11-0.00560999999999888</f>
        <v>909.36353899999995</v>
      </c>
      <c r="X296" s="3">
        <f>1568.1+(198.3-804.2)+(-3.998655+(-0.505665--2.05071))+0-11--0.0280499999999984</f>
        <v>948.7744399999998</v>
      </c>
      <c r="Y296" s="3">
        <f>1568.8+(122.4-750.3)+(-3.200352+(-0.249696--1.530612))+0-11--0.0224399999999995</f>
        <v>928.00300399999992</v>
      </c>
      <c r="Z296" s="3">
        <f>1562+(154.2-778.4)+(-3.9831+(-0.39321--1.98492))+0-11--0.0280499999999984</f>
        <v>924.43665999999996</v>
      </c>
      <c r="AA296" s="3">
        <f>1572.2+(260.4-922.4)+(-1.603644+(-0.265608--0.940848))+0-11--0.0112200000000018</f>
        <v>898.28281600000003</v>
      </c>
      <c r="AB296" s="3">
        <f>1478+(294-890.7)+(-2.26134+(-0.44982--1.362771))+0-12--0.0183600000000007</f>
        <v>867.96997099999999</v>
      </c>
      <c r="AC296" s="3">
        <f>1292+(312.3-806.5)+(-1.31784+(-0.318546--0.82263))+0-12--0.0122400000000019</f>
        <v>784.99848399999996</v>
      </c>
      <c r="AD296" s="2">
        <v>965.4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1264.1+(221.5-760.6)+(-0.644691+(-0.112965--0.387906))+0-12--0.00611999999999878</f>
        <v>712.63636999999994</v>
      </c>
      <c r="G297" s="3">
        <f>1200.2+(252.4-768.5)+(1.836306+(0.386172-1.175805))+0-12-0.0183600000000007</f>
        <v>673.12831300000005</v>
      </c>
      <c r="H297" s="3">
        <f>1089.6+(275.7-730.3)+(-0.555696+(-0.140607--0.372453))+0-12--0.00611999999999878</f>
        <v>622.68227000000002</v>
      </c>
      <c r="I297" s="3">
        <f>1094.6+(259.3-727.9)+(1.674738+(0.396729-1.113687))+0-12-0.0183600000000007</f>
        <v>614.93941999999993</v>
      </c>
      <c r="J297" s="3">
        <f>1091.4+(261.2-730.5)+(0+(0-0))+0-12-0</f>
        <v>610.10000000000014</v>
      </c>
      <c r="K297" s="3">
        <f>1099.1+(233.4-723.1)+(2.242164+(0.476136-1.475124))+0-12-0.0244799999999995</f>
        <v>598.61869599999977</v>
      </c>
      <c r="L297" s="3">
        <f>1070.6+(279.8-724.3)+(-2.184024+(-0.570792--1.477572))+0-12--0.0244799999999995</f>
        <v>612.84723599999995</v>
      </c>
      <c r="M297" s="3">
        <f>1081.5+(148.6-634.3)+(-0.551565+(-0.075786--0.323493))+0-11--0.00560999999999888</f>
        <v>584.50175200000012</v>
      </c>
      <c r="N297" s="3">
        <f>1179.2+(46.8-569.2)+(-0.601392+(-0.023868--0.290292))+0-11--0.00560999999999888</f>
        <v>645.470642</v>
      </c>
      <c r="O297" s="3">
        <f>1265.8+(82.1-630.6)+(1.291116+(0.083742-0.643212))+0-11-0.0112200000000018</f>
        <v>707.02042599999993</v>
      </c>
      <c r="P297" s="3">
        <f>1259.5+(130.7-628.3)+(-0.642345+(-0.066657--0.320433))+0-11--0.00560999999999888</f>
        <v>750.51704100000018</v>
      </c>
      <c r="Q297" s="3">
        <f>1265.5+(199.1-690.9)+(0+(0-0))+0-11-0</f>
        <v>762.7</v>
      </c>
      <c r="R297" s="3">
        <f>1240.1+(184-684.5)+(-1.897353+(-0.28152--1.047285))+0-12--0.0183600000000007</f>
        <v>726.48677199999997</v>
      </c>
      <c r="S297" s="3">
        <f>1211.8+(99-619.4)+(0+(0-0))+0-12-0</f>
        <v>679.4</v>
      </c>
      <c r="T297" s="3">
        <f>1202.7+(73.2-597.5)+(-3.066885+(-0.18666--1.523625))+0-12--0.0305999999999983</f>
        <v>664.70068000000015</v>
      </c>
      <c r="U297" s="3">
        <f>1171+(85.4-579.5)+(-1.79163+(-0.130662--0.886635))+0-12--0.0183600000000007</f>
        <v>663.88270299999999</v>
      </c>
      <c r="V297" s="3">
        <f>1228.3+(95.8-610.3)+(-1.879299+(-0.146574--0.933759))+0-12--0.0183600000000007</f>
        <v>700.72624599999995</v>
      </c>
      <c r="W297" s="3">
        <f>1238.1+(267.4-688.6)+(0.631431+(0.136374-0.351186))+0-12-0.00611999999999878</f>
        <v>805.31049899999982</v>
      </c>
      <c r="X297" s="3">
        <f>1235.1+(247.1-573.3)+(-1.259802+(-0.252042--0.584766))+0-12--0.0122400000000019</f>
        <v>895.98516199999995</v>
      </c>
      <c r="Y297" s="3">
        <f>1233.2+(154.5-497)+(-1.257864+(-0.15759--0.50694))+0-12--0.0122400000000019</f>
        <v>877.8037260000001</v>
      </c>
      <c r="Z297" s="3">
        <f>1212.9+(106.4-447.8)+(-3.092895+(-0.27132--1.14189))+0-12--0.0305999999999983</f>
        <v>857.30827500000021</v>
      </c>
      <c r="AA297" s="3">
        <f>1210.9+(127.1-482.3)+(0+(0-0))+0-12-0</f>
        <v>843.7</v>
      </c>
      <c r="AB297" s="3">
        <f>1189.5+(181.9-550.6)+(-3.033225+(-0.463845--1.40403))+0-12--0.0305999999999983</f>
        <v>806.73756000000003</v>
      </c>
      <c r="AC297" s="3">
        <f>1200+(170.3-604.9)+(-1.224+(-0.173706--0.616998))+0-12--0.0122400000000019</f>
        <v>752.63153200000011</v>
      </c>
      <c r="AD297" s="2">
        <v>884.6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1194.2+(56.7-554.6)+(-1.218084+(-0.057834--0.565692))+0-12--0.0122400000000019</f>
        <v>683.60201399999994</v>
      </c>
      <c r="G298" s="3">
        <f>1171.8+(55.5-572.2)+(0+(0-0))+0-12-0</f>
        <v>643.09999999999991</v>
      </c>
      <c r="H298" s="3">
        <f>1038.1+(289.7-700.9)+(-0.529431+(-0.147747--0.357459))+0-12--0.00611999999999878</f>
        <v>614.58640099999991</v>
      </c>
      <c r="I298" s="3">
        <f>963.1+(408.5-763.5)+(1.473543+(0.625005-1.168155))+0-12-0.0183600000000007</f>
        <v>597.01203299999997</v>
      </c>
      <c r="J298" s="3">
        <f>944+(408.5-766.1)+(-2.4072+(-1.041675--1.953555))+0-12--0.0305999999999983</f>
        <v>572.93528000000003</v>
      </c>
      <c r="K298" s="3">
        <f>1058.7+(312.7-766.2)+(0.539937+(0.159477-0.390762))+0-12-0.00611999999999878</f>
        <v>593.50253200000009</v>
      </c>
      <c r="L298" s="3">
        <f>1102.7+(280.9-766.3)+(-2.811885+(-0.716295--1.954065))+0-12--0.0305999999999983</f>
        <v>603.75648500000011</v>
      </c>
      <c r="M298" s="3">
        <f>1091.8+(236.7-738.4)+(-4.454544+(-0.965736--3.012672))+0-12--0.0489599999999989</f>
        <v>575.74135199999989</v>
      </c>
      <c r="N298" s="3">
        <f>1142.1+(212.1-774.1)+(-0.582471+(-0.108171--0.394791))+0-12--0.00611999999999878</f>
        <v>567.81026899999995</v>
      </c>
      <c r="O298" s="3">
        <f>1359.2+(141.7-844.2)+(-1.386384+(-0.144534--0.861084))+0-12--0.0122400000000019</f>
        <v>644.04240600000003</v>
      </c>
      <c r="P298" s="3">
        <f>1412.3+(135.2-837.1)+(2.160819+(0.206856-1.280763))+0-12-0.0183600000000007</f>
        <v>699.46855199999982</v>
      </c>
      <c r="Q298" s="3">
        <f>1250.7+(222.9-771)+(-3.189285+(-0.568395--1.96605))+0-12--0.0305999999999983</f>
        <v>688.83897000000002</v>
      </c>
      <c r="R298" s="3">
        <f>1244+(218.2-769.8)+(-3.1722+(-0.55641--1.96299))+0-12--0.0305999999999983</f>
        <v>678.66498000000013</v>
      </c>
      <c r="S298" s="3">
        <f>1238.5+(247.3-816.5)+(0+(0-0))+0-12-0</f>
        <v>657.3</v>
      </c>
      <c r="T298" s="3">
        <f>1240+(228.1-802.4)+(-1.2648+(-0.232662--0.818448))+0-12--0.0122400000000019</f>
        <v>653.03322600000001</v>
      </c>
      <c r="U298" s="3">
        <f>1286.1+(156.3-789.1)+(0+(0-0))+0-12-0</f>
        <v>641.29999999999995</v>
      </c>
      <c r="V298" s="3">
        <f>1380.5+(140.1-835.4)+(0.704055+(0.071451-0.426054))+0-12-0.00611999999999878</f>
        <v>673.54333200000008</v>
      </c>
      <c r="W298" s="3">
        <f>1455.7+(212-882.2)+(-0.742407+(-0.10812--0.449922))+0-12--0.00611999999999878</f>
        <v>773.10551499999997</v>
      </c>
      <c r="X298" s="3">
        <f>1524.9+(251-878.9)+(-0.777699+(-0.12801--0.448239))+0-12--0.00611999999999878</f>
        <v>884.54865000000018</v>
      </c>
      <c r="Y298" s="3">
        <f>1527.7+(266.2-907.6)+(0+(0-0))+0-12-0</f>
        <v>874.3</v>
      </c>
      <c r="Z298" s="3">
        <f>1472.1+(311.1-906.9)+(0.750771+(0.158661-0.462519))+0-12-0.00611999999999878</f>
        <v>864.74079299999994</v>
      </c>
      <c r="AA298" s="3">
        <f>1449.7+(308.8-886.5)+(2.957388+(0.629952-1.80846))+0-12-0.0244799999999995</f>
        <v>861.75439999999992</v>
      </c>
      <c r="AB298" s="3">
        <f>1443.4+(318.2-908.1)+(0+(0-0))+0-12-0</f>
        <v>841.5</v>
      </c>
      <c r="AC298" s="3">
        <f>1421.7+(205.8-835.5)+(-5.075469+(-0.734706--2.982735))+0-12--0.0428400000000002</f>
        <v>777.21539999999993</v>
      </c>
      <c r="AD298" s="2">
        <v>888.1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1426.1+(145.8-835.6)+(-2.909244+(-0.297432--1.704624))+0-12--0.0244799999999995</f>
        <v>722.82242799999995</v>
      </c>
      <c r="G299" s="3">
        <f>1333.1+(140.8-798.1)+(-2.719524+(-0.287232--1.628124))+0-12--0.0244799999999995</f>
        <v>662.44584799999996</v>
      </c>
      <c r="H299" s="3">
        <f>1266.5+(172.2-790.3)+(-1.937745+(-0.263466--1.209159))+0-12--0.0183600000000007</f>
        <v>635.42630800000018</v>
      </c>
      <c r="I299" s="3">
        <f>1161.9+(235.5-730.9)+(-1.777707+(-0.360315--1.118277))+0-12--0.0183600000000007</f>
        <v>653.4986150000002</v>
      </c>
      <c r="J299" s="3">
        <f>1129.3+(253-682)+(1.151886+(0.25806-0.69564))+0-12-0.0122400000000019</f>
        <v>689.0020659999999</v>
      </c>
      <c r="K299" s="3">
        <f>1099+(244.5-672)+(2.24196+(0.49878-1.37088))+0-12-0.0244799999999995</f>
        <v>660.84537999999998</v>
      </c>
      <c r="L299" s="3">
        <f>1084.2+(286.1-675)+(-2.211768+(-0.583644--1.377))+0-9--0.0183599999999996</f>
        <v>684.89994800000011</v>
      </c>
      <c r="M299" s="3">
        <f>1088.3+(287.5-680.5)+(0.555033+(0.146625-0.347055))+0-9-0.00458999999999909</f>
        <v>686.65001299999994</v>
      </c>
      <c r="N299" s="3">
        <f>1094.1+(275.1-740.8)+(-1.673973+(-0.420903--1.133424))+0-9--0.0137700000000005</f>
        <v>618.45231799999999</v>
      </c>
      <c r="O299" s="3">
        <f>1285.2+(173.1-808.9)+(-0.655452+(-0.088281--0.412539))+0-9--0.00458999999999909</f>
        <v>640.07339600000012</v>
      </c>
      <c r="P299" s="3">
        <f>1491.5+(106.5-868.3)+(-3.04266+(-0.21726--1.771332))+0-9--0.0183599999999996</f>
        <v>719.22977200000003</v>
      </c>
      <c r="Q299" s="3">
        <f>1468.1+(162.9-881.1)+(-0.748731+(-0.083079--0.449361))+0-9--0.00458999999999909</f>
        <v>740.52214099999992</v>
      </c>
      <c r="R299" s="3">
        <f>1526.5+(100.8-897.1)+(-5.449605+(-0.359856--3.202647))+0-12--0.0428400000000002</f>
        <v>715.6360259999999</v>
      </c>
      <c r="S299" s="3">
        <f>1415.7+(107.7-809.6)+(0+(0-0))+0-12-0</f>
        <v>701.80000000000007</v>
      </c>
      <c r="T299" s="3">
        <f>1316.7+(155.5-792.5)+(-1.343034+(-0.15861--0.80835))+0-12--0.0122400000000019</f>
        <v>667.01894600000003</v>
      </c>
      <c r="U299" s="3">
        <f>1317+(150.7-778.5)+(0+(0-0))+0-12-0</f>
        <v>677.2</v>
      </c>
      <c r="V299" s="3">
        <f>1320+(161.9-757.8)+(-0.6732+(-0.082569--0.386478))+0-12--0.00611999999999878</f>
        <v>711.73682900000006</v>
      </c>
      <c r="W299" s="3">
        <f>1499.9+(132.4-794)+(0.764949+(0.067524-0.40494))+0-12-0.00611999999999878</f>
        <v>826.7214130000001</v>
      </c>
      <c r="X299" s="3">
        <f>1572.8+(178.5-793.4)+(-2.406384+(-0.273105--1.213902))+0-12--0.0183600000000007</f>
        <v>944.45277299999998</v>
      </c>
      <c r="Y299" s="3">
        <f>1520.8+(217.3-804.7)+(-2.326824+(-0.332469--1.231191))+0-12--0.0183600000000007</f>
        <v>919.99025799999993</v>
      </c>
      <c r="Z299" s="3">
        <f>1514.3+(306.8-902.2)+(-0.772293+(-0.156468--0.460122))+0-12--0.00611999999999878</f>
        <v>906.43748099999982</v>
      </c>
      <c r="AA299" s="3">
        <f>1523.1+(328.6-932.7)+(-0.776781+(-0.167586--0.475677))+0-12--0.00611999999999878</f>
        <v>906.53742999999986</v>
      </c>
      <c r="AB299" s="3">
        <f>1517.4+(250.8-870.5)+(-3.095496+(-0.511632--1.77582))+0-13--0.0265199999999994</f>
        <v>882.89521200000001</v>
      </c>
      <c r="AC299" s="3">
        <f>1496.3+(146-810.2)+(-2.289339+(-0.22338--1.239606))+0-13--0.0198900000000008</f>
        <v>817.84677699999997</v>
      </c>
      <c r="AD299" s="2">
        <v>936.4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1373.9+(169.9-804.3)+(0.700689+(0.086649-0.410193))+0-12-0.00611999999999878</f>
        <v>727.87102500000015</v>
      </c>
      <c r="G300" s="3">
        <f>1372.8+(151.3-845.3)+(1.400256+(0.154326-0.862206))+0-12-0.0122400000000019</f>
        <v>667.4801359999999</v>
      </c>
      <c r="H300" s="3">
        <f>1375.2+(154.6-863)+(0.701352+(0.078846-0.44013))+0-12-0.00611999999999878</f>
        <v>655.13394800000003</v>
      </c>
      <c r="I300" s="3">
        <f>1289+(168.8-805.8)+(1.97217+(0.258264-1.232874))+0-12-0.0183600000000007</f>
        <v>640.97919999999999</v>
      </c>
      <c r="J300" s="3">
        <f>1293.5+(190.7-832.3)+(2.63874+(0.389028-1.697892))+0-12-0.0244799999999995</f>
        <v>641.20539600000006</v>
      </c>
      <c r="K300" s="3">
        <f>1301+(226.7-881.3)+(0+(0-0))+0-12-0</f>
        <v>634.40000000000009</v>
      </c>
      <c r="L300" s="3">
        <f>1412.7+(227.1-968.6)+(1.440954+(0.231642-0.987972))+0-12-0.0122400000000019</f>
        <v>659.87238400000001</v>
      </c>
      <c r="M300" s="3">
        <f>1545.2+(144.6-1006.4)+(2.364156+(0.221238-1.539792))+0-12-0.0183600000000007</f>
        <v>672.42724200000009</v>
      </c>
      <c r="N300" s="3">
        <f>1590+(58.3-927.9)+(2.4327+(0.089199-1.419687))+0-12-0.0183600000000007</f>
        <v>709.48385199999996</v>
      </c>
      <c r="O300" s="3">
        <f>1628.9+(75.2-913.3)+(4.153695+(0.19176-2.328915))+0-12-0.0305999999999983</f>
        <v>780.7859400000001</v>
      </c>
      <c r="P300" s="3">
        <f>1615.2+(169.2-959.6)+(1.647504+(0.172584-0.978792))+0-12-0.0122400000000019</f>
        <v>813.62905599999999</v>
      </c>
      <c r="Q300" s="3">
        <f>1608.3+(247.1-1025.5)+(3.280932+(0.504084-2.09202))+0-12-0.0244799999999995</f>
        <v>819.56851599999993</v>
      </c>
      <c r="R300" s="3">
        <f>1610.7+(120.5-938.2)+(-1.642914+(-0.12291--0.956964))+0-12--0.0122400000000019</f>
        <v>780.20338000000004</v>
      </c>
      <c r="S300" s="3">
        <f>1609+(70.1-901.9)+(0.82059+(0.035751-0.459969))+0-12-0.00611999999999878</f>
        <v>765.59025200000008</v>
      </c>
      <c r="T300" s="3">
        <f>1592.6+(76.6-906.3)+(0+(0-0))+0-12-0</f>
        <v>750.9</v>
      </c>
      <c r="U300" s="3">
        <f>1562.2+(106.4-895.1)+(-1.593444+(-0.108528--0.913002))+0-12--0.0122400000000019</f>
        <v>760.72327000000007</v>
      </c>
      <c r="V300" s="3">
        <f>1567.7+(114.1-891.7)+(0+(0-0))+0-13-0</f>
        <v>777.1</v>
      </c>
      <c r="W300" s="3">
        <f>1603+(137.7-855.3)+(0+(0-0))+0-13-0</f>
        <v>872.40000000000009</v>
      </c>
      <c r="X300" s="3">
        <f>1644.4+(173.3-821.3)+(-2.515932+(-0.265149--1.256589))+0-13--0.0198900000000008</f>
        <v>981.89539800000011</v>
      </c>
      <c r="Y300" s="3">
        <f>1608.6+(233.9-858.3)+(-1.640772+(-0.238578--0.875466))+0-13--0.0132600000000021</f>
        <v>970.20937599999991</v>
      </c>
      <c r="Z300" s="3">
        <f>1595.7+(245.3-884.9)+(-1.627614+(-0.250206--0.902598))+0-13--0.0132600000000021</f>
        <v>942.13803800000005</v>
      </c>
      <c r="AA300" s="3">
        <f>1593.4+(147.5-809.4)+(-0.812634+(-0.075225--0.412794))+0-13--0.00662999999999868</f>
        <v>918.03156500000011</v>
      </c>
      <c r="AB300" s="3">
        <f>1581.2+(133.4-813.9)+(-2.419236+(-0.204102--1.245267))+0-13--0.0198900000000008</f>
        <v>886.3418190000001</v>
      </c>
      <c r="AC300" s="3">
        <f>1591.8+(143.9-901.6)+(-3.247272+(-0.293556--1.839264))+0-13--0.0265199999999994</f>
        <v>819.42495599999995</v>
      </c>
      <c r="AD300" s="2">
        <v>994.2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1585.6+(119.9-945.4)+(-4.04328+(-0.305745--2.41077))+0-13--0.0331499999999981</f>
        <v>745.19489499999986</v>
      </c>
      <c r="G301" s="3">
        <f>1484.5+(164.3-937.8)+(-3.785475+(-0.418965--2.39139))+0-13--0.0331499999999981</f>
        <v>696.2201</v>
      </c>
      <c r="H301" s="3">
        <f>1357.5+(201.8-883)+(-2.7693+(-0.411672--1.80132))+0-13--0.0265199999999994</f>
        <v>661.94686799999999</v>
      </c>
      <c r="I301" s="3">
        <f>1366.5+(188-890)+(-0.696915+(-0.09588--0.4539))+0-13--0.00662999999999868</f>
        <v>651.16773499999999</v>
      </c>
      <c r="J301" s="3">
        <f>1356.5+(198.4-888)+(-2.76726+(-0.404736--1.81152))+0-13--0.0265199999999994</f>
        <v>652.56604400000003</v>
      </c>
      <c r="K301" s="3">
        <f>1382.3+(201.4-908.8)+(3.524865+(0.51357-2.31744))+0-13-0.0331499999999981</f>
        <v>663.58784500000002</v>
      </c>
      <c r="L301" s="3">
        <f>1412.6+(182-925.8)+(0+(0-0))+0-13-0</f>
        <v>655.8</v>
      </c>
      <c r="M301" s="3">
        <f>1607.2+(126-1019.6)+(-0.819672+(-0.06426--0.519996))+0-13--0.00662999999999868</f>
        <v>700.24269400000003</v>
      </c>
      <c r="N301" s="3">
        <f>1610.8+(35-916)+(-1.643016+(-0.0357--0.93432))+0-13--0.0132600000000021</f>
        <v>716.06886399999985</v>
      </c>
      <c r="O301" s="3">
        <f>1615+(32.6-865.8)+(0.82365+(0.016626-0.441558))+0-13-0.00662999999999868</f>
        <v>769.19208800000013</v>
      </c>
      <c r="P301" s="3">
        <f>1592.4+(40.2-814.2)+(-0.812124+(-0.020502--0.415242))+0-13--0.00662999999999868</f>
        <v>804.98924600000009</v>
      </c>
      <c r="Q301" s="3">
        <f>1588.3+(41.6-812.1)+(-2.430099+(-0.063648--1.242513))+0-13--0.0198900000000008</f>
        <v>803.56865600000003</v>
      </c>
      <c r="R301" s="3">
        <f>1600.3+(28-841.2)+(-4.080765+(-0.0714--2.14506))+0-12--0.0305999999999983</f>
        <v>773.12349499999993</v>
      </c>
      <c r="S301" s="3">
        <f>1605.3+(27.4-861.9)+(-0.818703+(-0.013974--0.439569))+0-12--0.00611999999999878</f>
        <v>758.41301199999998</v>
      </c>
      <c r="T301" s="3">
        <f>1594.3+(30.7-860.3)+(0.813093+(0.015657-0.438753))+0-12-0.00611999999999878</f>
        <v>753.08387700000003</v>
      </c>
      <c r="U301" s="3">
        <f>1590.5+(29.7-850.6)+(0.811155+(0.015147-0.433806))+0-12-0.00611999999999878</f>
        <v>757.98637600000006</v>
      </c>
      <c r="V301" s="3">
        <f>1619.9+(32.3-854.8)+(0.826149+(0.016473-0.435948))+0-12-0.00611999999999878</f>
        <v>785.80055400000003</v>
      </c>
      <c r="W301" s="3">
        <f>1651.6+(42.8-812.3)+(0.842316+(0.021828-0.414273))+0-12-0.00611999999999878</f>
        <v>870.54375099999993</v>
      </c>
      <c r="X301" s="3">
        <f>1658.4+(261.7-912.1)+(-1.691568+(-0.266934--0.930342))+0-12--0.0122400000000019</f>
        <v>994.98408000000006</v>
      </c>
      <c r="Y301" s="3">
        <f>1661.6+(257.5-931.3)+(-1.694832+(-0.26265--0.949926))+0-12--0.0122400000000019</f>
        <v>974.80468399999995</v>
      </c>
      <c r="Z301" s="3">
        <f>1655.1+(227.7-924.3)+(0.844101+(0.116127-0.471393))+0-12-0.00611999999999878</f>
        <v>946.98271499999998</v>
      </c>
      <c r="AA301" s="3">
        <f>1656+(142.6-866.9)+(0.84456+(0.072726-0.442119))+0-12-0.00611999999999878</f>
        <v>920.16904700000009</v>
      </c>
      <c r="AB301" s="3">
        <f>1658+(96.4-858.7)+(-0.84558+(-0.049164--0.437937))+0-12--0.00611999999999878</f>
        <v>883.24931299999992</v>
      </c>
      <c r="AC301" s="3">
        <f>1651.5+(62.8-884.4)+(-0.842265+(-0.032028--0.451044))+0-12--0.00611999999999878</f>
        <v>817.48287099999993</v>
      </c>
      <c r="AD301" s="2">
        <v>988.7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1557.1+(144.6-953.9)+(-1.588242+(-0.147492--0.972978))+0-12--0.0122400000000019</f>
        <v>735.04948400000001</v>
      </c>
      <c r="G302" s="3">
        <f>1561.5+(163.7-1028.1)+(-0.796365+(-0.083487--0.524331))+0-12--0.00611999999999878</f>
        <v>684.75059900000019</v>
      </c>
      <c r="H302" s="3">
        <f>1506.6+(164.8-1001.6)+(1.536732+(0.168096-1.021632))+0-12-0.0122400000000019</f>
        <v>658.47095599999989</v>
      </c>
      <c r="I302" s="3">
        <f>1418+(186.8-937.1)+(-2.16954+(-0.285804--1.433763))+0-12--0.0183600000000007</f>
        <v>654.69677900000011</v>
      </c>
      <c r="J302" s="3">
        <f>1356.2+(168.3-883.1)+(0+(0-0))+0-12-0</f>
        <v>629.40000000000009</v>
      </c>
      <c r="K302" s="3">
        <f>1495.5+(186.9-1035.3)+(0.762705+(0.095319-0.528003))+0-12-0.00611999999999878</f>
        <v>635.423901</v>
      </c>
      <c r="L302" s="3">
        <f>1611.1+(146.2-1069.9)+(-0.821661+(-0.074562--0.545649))+0-12--0.00611999999999878</f>
        <v>675.05554599999982</v>
      </c>
      <c r="M302" s="3">
        <f>1616.1+(99.1-1018.8)+(0.824211+(0.050541-0.519588))+0-12-0.00611999999999878</f>
        <v>684.74904399999991</v>
      </c>
      <c r="N302" s="3">
        <f>1608.8+(71.6-950.8)+(0+(0-0))+0-12-0</f>
        <v>717.6</v>
      </c>
      <c r="O302" s="3">
        <f>1581.4+(121.9-947.6)+(0.806514+(0.062169-0.483276))+0-12-0.00611999999999878</f>
        <v>744.07928700000002</v>
      </c>
      <c r="P302" s="3">
        <f>1605.3+(203.2-985)+(0+(0-0))+0-12-0</f>
        <v>811.5</v>
      </c>
      <c r="Q302" s="3">
        <f>1599.6+(238.9-1002.7)+(-2.447388+(-0.365517--1.534131))+0-12--0.0183600000000007</f>
        <v>822.53958599999987</v>
      </c>
      <c r="R302" s="3">
        <f>1595.6+(188.4-984)+(0.813756+(0.096084-0.50184))+0-11-0.00560999999999888</f>
        <v>789.40238999999985</v>
      </c>
      <c r="S302" s="3">
        <f>1591.7+(148.6-963.1)+(1.623534+(0.151572-0.982362))+0-11-0.0112200000000018</f>
        <v>766.98152400000004</v>
      </c>
      <c r="T302" s="3">
        <f>1584.6+(108.6-922.4)+(0+(0-0))+0-11-0</f>
        <v>759.8</v>
      </c>
      <c r="U302" s="3">
        <f>1575.4+(54-854.8)+(-3.213816+(-0.11016--1.743792))+0-11--0.0224399999999995</f>
        <v>762.04225600000007</v>
      </c>
      <c r="V302" s="3">
        <f>1565.5+(76.4-857.8)+(-2.395215+(-0.116892--1.312434))+0-11--0.0168300000000006</f>
        <v>771.91715700000009</v>
      </c>
      <c r="W302" s="3">
        <f>1587+(221.4-935.6)+(4.04685+(0.56457-2.38578))+0-11-0.0280499999999984</f>
        <v>863.99758999999995</v>
      </c>
      <c r="X302" s="3">
        <f>1577.4+(336.4-928.6)+(-2.413422+(-0.514692--1.420758))+0-11--0.0168300000000006</f>
        <v>972.70947400000011</v>
      </c>
      <c r="Y302" s="3">
        <f>1576.9+(261.3-867.7)+(-2.412657+(-0.399789--1.327581))+0-11--0.0168300000000006</f>
        <v>958.03196500000001</v>
      </c>
      <c r="Z302" s="3">
        <f>1589.1+(182.3-831.7)+(-1.620882+(-0.185946--0.848334))+0-11--0.0112200000000018</f>
        <v>927.75272599999983</v>
      </c>
      <c r="AA302" s="3">
        <f>1542.1+(150.1-773.6)+(0.786471+(0.076551-0.394536))+0-11-0.00560999999999888</f>
        <v>908.06287599999985</v>
      </c>
      <c r="AB302" s="3">
        <f>1541.3+(141.7-799.2)+(0+(0-0))+0-11-0</f>
        <v>872.8</v>
      </c>
      <c r="AC302" s="3">
        <f>1526.6+(134.5-841.4)+(0.778566+(0.068595-0.429114))+0-12-0.00611999999999878</f>
        <v>808.11192699999992</v>
      </c>
      <c r="AD302" s="2">
        <v>974.40000000000009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1461.8+(207.1-911.2)+(-0.745518+(-0.105621--0.464712))+0-12--0.00611999999999878</f>
        <v>745.31969299999992</v>
      </c>
      <c r="G303" s="3">
        <f>1377.4+(217.5-903.3)+(-2.107422+(-0.332775--1.382049))+0-12--0.0183600000000007</f>
        <v>678.56021200000021</v>
      </c>
      <c r="H303" s="3">
        <f>1375.1+(210.2-924.3)+(-2.103903+(-0.321606--1.414179))+0-12--0.0183600000000007</f>
        <v>648.00702999999999</v>
      </c>
      <c r="I303" s="3">
        <f>1386.5+(230.7-926.1)+(0.707115+(0.117657-0.472311))+0-12-0.00611999999999878</f>
        <v>679.44634099999985</v>
      </c>
      <c r="J303" s="3">
        <f>1422.4+(222.5-947.1)+(0+(0-0))+0-12-0</f>
        <v>685.80000000000007</v>
      </c>
      <c r="K303" s="3">
        <f>1446.7+(137.7-937.6)+(0+(0-0))+0-12-0</f>
        <v>634.79999999999995</v>
      </c>
      <c r="L303" s="3">
        <f>1563.1+(161.4-1044.4)+(-1.594362+(-0.164628--1.065288))+0-12--0.0122400000000019</f>
        <v>667.41853799999978</v>
      </c>
      <c r="M303" s="3">
        <f>1635+(129.8-1057.4)+(0.83385+(0.066198-0.539274))+0-12-0.00611999999999878</f>
        <v>695.75465399999985</v>
      </c>
      <c r="N303" s="3">
        <f>1644.2+(121.8-1017.2)+(1.677084+(0.124236-1.037544))+0-12-0.0122400000000019</f>
        <v>737.55153599999994</v>
      </c>
      <c r="O303" s="3">
        <f>1644.5+(98.5-945.9)+(2.516085+(0.150705-1.447227))+0-12-0.0183600000000007</f>
        <v>786.30120299999999</v>
      </c>
      <c r="P303" s="3">
        <f>1623.6+(179.5-970.8)+(-1.656072+(-0.18309--0.990216))+0-12--0.0122400000000019</f>
        <v>819.46329400000002</v>
      </c>
      <c r="Q303" s="3">
        <f>1622.5+(195.1-979.5)+(1.65495+(0.199002-0.99909))+0-12-0.0122400000000019</f>
        <v>826.94262200000003</v>
      </c>
      <c r="R303" s="3">
        <f>1608.4+(178-990.5)+(-2.460852+(-0.27234--1.515465))+0-11--0.0168300000000006</f>
        <v>783.69910300000015</v>
      </c>
      <c r="S303" s="3">
        <f>1608.8+(112.3-946.5)+(0.820488+(0.057273-0.482715))+0-11-0.00560999999999888</f>
        <v>763.98943599999984</v>
      </c>
      <c r="T303" s="3">
        <f>1596.2+(113.5-932)+(-2.442186+(-0.173655--1.42596))+0-11--0.0168300000000006</f>
        <v>765.52694900000006</v>
      </c>
      <c r="U303" s="3">
        <f>1568.3+(133.1-930.8)+(-1.599666+(-0.135762--0.949416))+0-11--0.0112200000000018</f>
        <v>758.82520799999998</v>
      </c>
      <c r="V303" s="3">
        <f>1583.8+(94.8-882.1)+(-0.807738+(-0.048348--0.449871))+0-11--0.00560999999999888</f>
        <v>785.09939499999996</v>
      </c>
      <c r="W303" s="3">
        <f>1588.4+(155-855)+(0+(0-0))+0-11-0</f>
        <v>877.40000000000009</v>
      </c>
      <c r="X303" s="3">
        <f>1584.9+(244.1-838.2)+(-2.424897+(-0.373473--1.282446))+0-11--0.0168300000000006</f>
        <v>978.30090600000005</v>
      </c>
      <c r="Y303" s="3">
        <f>1567.1+(185.6-760.6)+(-2.397663+(-0.283968--1.163718))+0-11--0.0168300000000006</f>
        <v>979.59891699999991</v>
      </c>
      <c r="Z303" s="3">
        <f>1415.9+(188-656)+(-1.444218+(-0.19176--0.66912))+0-11--0.0112200000000018</f>
        <v>935.94436200000007</v>
      </c>
      <c r="AA303" s="3">
        <f>1416.5+(194.5-691.8)+(-1.44483+(-0.19839--0.705636))+0-11--0.0112200000000018</f>
        <v>907.27363600000001</v>
      </c>
      <c r="AB303" s="3">
        <f>1417.8+(177.4-705.8)+(-2.169234+(-0.271422--1.079874))+0-11--0.0168300000000006</f>
        <v>877.05604800000003</v>
      </c>
      <c r="AC303" s="3">
        <f>1420.4+(131.5-726.4)+(-2.173212+(-0.201195--1.111392))+0-11--0.0168300000000006</f>
        <v>813.25381500000015</v>
      </c>
      <c r="AD303" s="2">
        <v>986.2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1375.2+(158.4-764.3)+(-2.805408+(-0.323136--1.559172))+0-11--0.0224399999999995</f>
        <v>756.75306799999998</v>
      </c>
      <c r="G304" s="3">
        <f>1346.8+(164.9-808.6)+(0+(0-0))+0-11-0</f>
        <v>692.09999999999991</v>
      </c>
      <c r="H304" s="3">
        <f>1336.4+(199.8-853.3)+(-3.40782+(-0.50949--2.175915))+0-11--0.0280499999999984</f>
        <v>670.18665500000009</v>
      </c>
      <c r="I304" s="3">
        <f>1298.7+(218.6-844.6)+(-1.987011+(-0.334458--1.292238))+0-11--0.0168300000000006</f>
        <v>660.68759900000009</v>
      </c>
      <c r="J304" s="3">
        <f>1270.7+(267.8-869.6)+(0.648057+(0.136578-0.443496))+0-11-0.00560999999999888</f>
        <v>658.23552900000004</v>
      </c>
      <c r="K304" s="3">
        <f>1276.2+(265.9-867.8)+(2.603448+(0.542436-1.770312))+0-11-0.0224399999999995</f>
        <v>664.65313200000014</v>
      </c>
      <c r="L304" s="3">
        <f>1406.8+(188.9-905.1)+(-1.434936+(-0.192678--0.923202))+0-11--0.0112200000000018</f>
        <v>678.90680799999984</v>
      </c>
      <c r="M304" s="3">
        <f>1340.5+(192.8-845.9)+(-0.683655+(-0.098328--0.431409))+0-11--0.00560999999999888</f>
        <v>676.05503600000009</v>
      </c>
      <c r="N304" s="3">
        <f>1454.9+(141.9-888)+(0+(0-0))+0-11-0</f>
        <v>697.80000000000007</v>
      </c>
      <c r="O304" s="3">
        <f>1624.5+(91.2-928.7)+(0.828495+(0.046512-0.473637))+0-11-0.00560999999999888</f>
        <v>776.39576</v>
      </c>
      <c r="P304" s="3">
        <f>1621+(166.8-963.9)+(2.48013+(0.255204-1.474767))+0-11-0.0168300000000006</f>
        <v>814.1437370000001</v>
      </c>
      <c r="Q304" s="3">
        <f>1603+(193.5-959.3)+(-1.63506+(-0.19737--0.978486))+0-11--0.0112200000000018</f>
        <v>825.35727600000007</v>
      </c>
      <c r="R304" s="3">
        <f>1602+(135.9-928.6)+(-1.63404+(-0.138618--0.947172))+0-12--0.0122400000000019</f>
        <v>796.48675400000002</v>
      </c>
      <c r="S304" s="3">
        <f>1552.4+(67.7-856)+(-0.791724+(-0.034527--0.43656))+0-12--0.00611999999999878</f>
        <v>751.71642900000018</v>
      </c>
      <c r="T304" s="3">
        <f>1504.5+(87.7-839.8)+(0+(0-0))+0-12-0</f>
        <v>740.40000000000009</v>
      </c>
      <c r="U304" s="3">
        <f>1499+(99.5-843.8)+(-1.52898+(-0.10149--0.860676))+0-12--0.0122400000000019</f>
        <v>741.94244600000002</v>
      </c>
      <c r="V304" s="3">
        <f>1503.9+(91.7-809.7)+(0+(0-0))+0-12-0</f>
        <v>773.90000000000009</v>
      </c>
      <c r="W304" s="3">
        <f>1565.2+(168.3-846.9)+(-0.798252+(-0.085833--0.431919))+0-12--0.00611999999999878</f>
        <v>874.15395400000011</v>
      </c>
      <c r="X304" s="3">
        <f>1555.1+(281.9-859.2)+(-2.379303+(-0.431307--1.314576))+0-12--0.0183600000000007</f>
        <v>964.32232599999986</v>
      </c>
      <c r="Y304" s="3">
        <f>1454.7+(262.1-766.8)+(-1.483794+(-0.267342--0.782136))+0-12--0.0122400000000019</f>
        <v>937.04324000000008</v>
      </c>
      <c r="Z304" s="3">
        <f>1459.1+(283.8-805.4)+(0.744141+(0.144738-0.410754))+0-11-0.00560999999999888</f>
        <v>926.97251499999993</v>
      </c>
      <c r="AA304" s="3">
        <f>1436.2+(235.6-751.6)+(-0.732462+(-0.120156--0.383316))+0-11--0.00560999999999888</f>
        <v>908.73630800000012</v>
      </c>
      <c r="AB304" s="3">
        <f>1426.6+(182.4-726.5)+(-3.63783+(-0.46512--1.852575))+0-11--0.0280499999999984</f>
        <v>869.27767499999993</v>
      </c>
      <c r="AC304" s="3">
        <f>1427.3+(131.1-724.9)+(-3.639615+(-0.334305--1.848495))+0-11--0.0280499999999984</f>
        <v>820.40262500000006</v>
      </c>
      <c r="AD304" s="2">
        <v>954.2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1420.7+(97.7-757)+(-2.898228+(-0.199308--1.54428))+0-11--0.0224399999999995</f>
        <v>748.86918400000002</v>
      </c>
      <c r="G305" s="3">
        <f>1422.2+(86.3-805.1)+(-3.62661+(-0.220065--2.053005))+0-11--0.0280499999999984</f>
        <v>690.63437999999996</v>
      </c>
      <c r="H305" s="3">
        <f>1429.4+(97.8-856.2)+(-2.915976+(-0.199512--1.746648))+0-11--0.0224399999999995</f>
        <v>658.65359999999998</v>
      </c>
      <c r="I305" s="3">
        <f>1354.1+(139.1-833.7)+(0.690591+(0.070941-0.425187))+0-11-0.00560999999999888</f>
        <v>648.83073499999989</v>
      </c>
      <c r="J305" s="3">
        <f>1333.7+(150.8-834.2)+(-0.680187+(-0.076908--0.425442))+0-11--0.00560999999999888</f>
        <v>638.97395700000004</v>
      </c>
      <c r="K305" s="3">
        <f>1378.8+(141.9-876.2)+(1.406376+(0.144738-0.893724))+0-11-0.0112200000000018</f>
        <v>634.14616999999987</v>
      </c>
      <c r="L305" s="3">
        <f>1408.5+(124.2-870.8)+(-1.43667+(-0.126684--0.888216))+0-11--0.0112200000000018</f>
        <v>650.23608200000012</v>
      </c>
      <c r="M305" s="3">
        <f>1372.2+(137.1-860.4)+(-2.099466+(-0.209763--1.316412))+0-11--0.0168300000000006</f>
        <v>636.92401300000017</v>
      </c>
      <c r="N305" s="3">
        <f>1404.5+(146.9-880.5)+(-0.716295+(-0.074919--0.449055))+0-11--0.00560999999999888</f>
        <v>659.56345099999999</v>
      </c>
      <c r="O305" s="3">
        <f>1441.4+(80.8-815.4)+(1.470228+(0.082416-0.831708))+0-11-0.0112200000000018</f>
        <v>696.50971600000014</v>
      </c>
      <c r="P305" s="3">
        <f>1441.9+(124.2-807.9)+(0+(0-0))+0-11-0</f>
        <v>747.20000000000016</v>
      </c>
      <c r="Q305" s="3">
        <f>1398.1+(132.3-769.7)+(-2.139093+(-0.202419--1.177641))+0-11--0.0168300000000006</f>
        <v>748.55295899999987</v>
      </c>
      <c r="R305" s="3">
        <f>1403.1+(95.5-753.9)+(0+(0-0))+0-12-0</f>
        <v>732.69999999999993</v>
      </c>
      <c r="S305" s="3">
        <f>1397.4+(89.4-778.6)+(-0.712674+(-0.045594--0.397086))+0-12--0.00611999999999878</f>
        <v>695.84493800000007</v>
      </c>
      <c r="T305" s="3">
        <f>1396.6+(98.4-799.6)+(1.424532+(0.100368-0.815592))+0-12-0.0122400000000019</f>
        <v>684.09706799999981</v>
      </c>
      <c r="U305" s="3">
        <f>1359.8+(116.5-774)+(-1.386996+(-0.11883--0.78948))+0-12--0.0122400000000019</f>
        <v>689.59589399999993</v>
      </c>
      <c r="V305" s="3">
        <f>1370.3+(120.6-768.6)+(-0.698853+(-0.061506--0.391986))+0-12--0.00611999999999878</f>
        <v>709.93774699999994</v>
      </c>
      <c r="W305" s="3">
        <f>1404.2+(192-771.9)+(0.716142+(0.09792-0.393669))+0-12-0.00611999999999878</f>
        <v>812.71427300000005</v>
      </c>
      <c r="X305" s="3">
        <f>1408.7+(359.5-809.3)+(-1.436874+(-0.36669--0.825486))+0-12--0.0122400000000019</f>
        <v>945.93416200000013</v>
      </c>
      <c r="Y305" s="3">
        <f>1412.7+(391.8-838.6)+(0+(0-0))+0-12-0</f>
        <v>953.90000000000009</v>
      </c>
      <c r="Z305" s="3">
        <f>1404.8+(360.8-837.3)+(-1.432896+(-0.368016--0.854046))+0-12--0.0122400000000019</f>
        <v>915.36537399999997</v>
      </c>
      <c r="AA305" s="3">
        <f>1368.9+(407.5-867.1)+(0.698139+(0.207825-0.442221))+0-12-0.00611999999999878</f>
        <v>897.75762300000008</v>
      </c>
      <c r="AB305" s="3">
        <f>1370.3+(302.7-795.8)+(1.397706+(0.308754-0.811716))+0-8-0.00816000000000128</f>
        <v>870.08658400000002</v>
      </c>
      <c r="AC305" s="3">
        <f>1364.3+(169.8-725.1)+(-1.391586+(-0.173196--0.739602))+0-11--0.0112200000000018</f>
        <v>797.18603999999993</v>
      </c>
      <c r="AD305" s="2">
        <v>944.99999999999989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1366.6+(159.8-783.4)+(0+(0-0))+0-11-0</f>
        <v>732</v>
      </c>
      <c r="G306" s="3">
        <f>1375.7+(121.1-817.4)+(0.701607+(0.061761-0.416874))+0-11-0.00560999999999888</f>
        <v>668.74088400000005</v>
      </c>
      <c r="H306" s="3">
        <f>1333.7+(142.6-815.5)+(-2.040561+(-0.218178--1.247715))+0-11--0.0168300000000006</f>
        <v>648.80580600000008</v>
      </c>
      <c r="I306" s="3">
        <f>1315.8+(159.8-820.6)+(1.342116+(0.162996-0.837012))+0-11-0.0112200000000018</f>
        <v>644.65688</v>
      </c>
      <c r="J306" s="3">
        <f>1316.9+(163.5-823.7)+(1.343238+(0.16677-0.840174))+0-11-0.0112200000000018</f>
        <v>646.3586140000001</v>
      </c>
      <c r="K306" s="3">
        <f>1346.4+(153.5-843.3)+(1.373328+(0.15657-0.860166))+0-11-0.0112200000000018</f>
        <v>646.25851200000011</v>
      </c>
      <c r="L306" s="3">
        <f>1425.2+(207.1-952.9)+(0+(0-0))+0-11-0</f>
        <v>668.40000000000009</v>
      </c>
      <c r="M306" s="3">
        <f>1510.8+(169.7-961.8)+(-0.770508+(-0.086547--0.490518))+0-12--0.00611999999999878</f>
        <v>706.33958300000006</v>
      </c>
      <c r="N306" s="3">
        <f>1514.7+(193.9-941.2)+(0.772497+(0.098889-0.480012))+0-11-0.00560999999999888</f>
        <v>756.78576399999997</v>
      </c>
      <c r="O306" s="3">
        <f>1514.9+(135.8-845.2)+(0+(0-0))+0-11-0</f>
        <v>794.5</v>
      </c>
      <c r="P306" s="3">
        <f>1510.6+(130.4-814.7)+(0+(0-0))+0-12-0</f>
        <v>814.29999999999984</v>
      </c>
      <c r="Q306" s="3">
        <f>1506.5+(131.6-803.9)+(-0.768315+(-0.067116--0.409989))+0-12--0.00611999999999878</f>
        <v>821.78067800000008</v>
      </c>
      <c r="R306" s="3">
        <f>1496.4+(100.7-798.8)+(-2.289492+(-0.154071--1.222164))+0-12--0.0183600000000007</f>
        <v>785.09696100000019</v>
      </c>
      <c r="S306" s="3">
        <f>1499.7+(147.1-865.1)+(-0.764847+(-0.075021--0.441201))+0-12--0.00611999999999878</f>
        <v>769.30745300000001</v>
      </c>
      <c r="T306" s="3">
        <f>1493.9+(149.1-874.9)+(-1.523778+(-0.152082--0.892398))+0-12--0.0122400000000019</f>
        <v>755.32877800000017</v>
      </c>
      <c r="U306" s="3">
        <f>1503+(117.6-848.1)+(1.53306+(0.119952-0.865062))+0-12-0.0122400000000019</f>
        <v>761.27571</v>
      </c>
      <c r="V306" s="3">
        <f>1496.8+(152.7-858.1)+(-0.763368+(-0.077877--0.437631))+0-12--0.00611999999999878</f>
        <v>779.00250599999993</v>
      </c>
      <c r="W306" s="3">
        <f>1495.7+(171.1-791.5)+(0+(0-0))+0-12-0</f>
        <v>863.30000000000007</v>
      </c>
      <c r="X306" s="3">
        <f>1503.8+(275.3-774)+(-0.766938+(-0.140403--0.39474))+0-12--0.00611999999999878</f>
        <v>992.5935189999999</v>
      </c>
      <c r="Y306" s="3">
        <f>1496.3+(212.9-726.1)+(-2.289339+(-0.325737--1.110933))+0-12--0.0183600000000007</f>
        <v>969.61421699999994</v>
      </c>
      <c r="Z306" s="3">
        <f>1505.2+(168.5-718)+(0+(0-0))+0-12-0</f>
        <v>943.7</v>
      </c>
      <c r="AA306" s="3">
        <f>1506.2+(156.2-723.9)+(0+(0-0))+0-12-0</f>
        <v>926.5</v>
      </c>
      <c r="AB306" s="3">
        <f>1497.6+(145.3-751.7)+(-3.055104+(-0.296412--1.533468))+0-12--0.0244799999999995</f>
        <v>877.40643199999988</v>
      </c>
      <c r="AC306" s="3">
        <f>1457.4+(120.8-759.8)+(-3.71637+(-0.30804--1.93749))+0-12--0.0305999999999983</f>
        <v>804.34368000000018</v>
      </c>
      <c r="AD306" s="2">
        <v>1009.5999999999998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1406.5+(125.2-775.3)+(0+(0-0))+0-11-0</f>
        <v>745.40000000000009</v>
      </c>
      <c r="G307" s="3">
        <f>1317.4+(137.6-768.6)+(0.671874+(0.070176-0.391986))+0-11-0.00560999999999888</f>
        <v>675.74445400000002</v>
      </c>
      <c r="H307" s="3">
        <f>1303.5+(143.1-788.3)+(0+(0-0))+0-11-0</f>
        <v>647.30000000000007</v>
      </c>
      <c r="I307" s="3">
        <f>1298.1+(158.6-804.2)+(-1.986093+(-0.242658--1.230426))+0-11--0.0168300000000006</f>
        <v>640.51850499999989</v>
      </c>
      <c r="J307" s="3">
        <f>1296.4+(155.7-801)+(-2.644656+(-0.317628--1.63404))+0-11--0.0224399999999995</f>
        <v>638.79419600000006</v>
      </c>
      <c r="K307" s="3">
        <f>1314.5+(176.3-838.8)+(2.68158+(0.359652-1.711152))+0-11-0.0224399999999995</f>
        <v>642.30763999999999</v>
      </c>
      <c r="L307" s="3">
        <f>1353+(203.5-871.3)+(-0.69003+(-0.103785--0.444363))+0-11--0.00560999999999888</f>
        <v>673.85615800000005</v>
      </c>
      <c r="M307" s="3">
        <f>1470.4+(165.3-926.8)+(-1.499808+(-0.168606--0.945336))+0-11--0.0112200000000018</f>
        <v>697.18814200000008</v>
      </c>
      <c r="N307" s="3">
        <f>1576.7+(139.2-962.3)+(-0.804117+(-0.070992--0.490773))+0-11--0.00560999999999888</f>
        <v>742.22127400000022</v>
      </c>
      <c r="O307" s="3">
        <f>1574.9+(98.2-871.6)+(2.409597+(0.150246-1.333548))+0-11-0.0168300000000006</f>
        <v>791.70946500000014</v>
      </c>
      <c r="P307" s="3">
        <f>1537.2+(169.6-870.8)+(1.567944+(0.172992-0.888216))+0-11-0.0112200000000018</f>
        <v>825.84150000000011</v>
      </c>
      <c r="Q307" s="3">
        <f>1518.4+(195.1-872.4)+(-1.548768+(-0.199002--0.889848))+0-11--0.0112200000000018</f>
        <v>829.25329800000009</v>
      </c>
      <c r="R307" s="3">
        <f>1511.4+(135.8-860)+(-3.083256+(-0.277032--1.7544))+0-11--0.0224399999999995</f>
        <v>774.61655199999996</v>
      </c>
      <c r="S307" s="3">
        <f>1514.7+(81.6-832.5)+(1.544994+(0.083232-0.84915))+0-11-0.0112200000000018</f>
        <v>753.56785600000012</v>
      </c>
      <c r="T307" s="3">
        <f>1494.4+(61.1-795.7)+(0.762144+(0.031161-0.405807))+0-11-0.00560999999999888</f>
        <v>749.18188800000007</v>
      </c>
      <c r="U307" s="3">
        <f>1495.9+(74.2-814.7)+(-3.814545+(-0.18921--2.077485))+0-11--0.0280499999999984</f>
        <v>742.50178000000005</v>
      </c>
      <c r="V307" s="3">
        <f>1507.5+(104.8-828.1)+(0.768825+(0.053448-0.422331))+0-11-0.00560999999999888</f>
        <v>773.59433199999989</v>
      </c>
      <c r="W307" s="3">
        <f>1516.8+(290.8-929.7)+(2.320704+(0.444924-1.422441))+0-11-0.0168300000000006</f>
        <v>868.22635699999978</v>
      </c>
      <c r="X307" s="3">
        <f>1514.7+(317.2-829)+(-0.772497+(-0.161772--0.42279))+0-8--0.00407999999999919</f>
        <v>994.39260100000013</v>
      </c>
      <c r="Y307" s="3">
        <f>1433+(295.8-723.2)+(-2.19249+(-0.452574--1.106496))+0-8--0.0122400000000005</f>
        <v>996.07367199999987</v>
      </c>
      <c r="Z307" s="3">
        <f>1328.9+(304.1-678.7)+(-2.033217+(-0.465273--1.038411))+0-8--0.0122400000000005</f>
        <v>944.85216100000014</v>
      </c>
      <c r="AA307" s="3">
        <f>1339.9+(275.2-674.2)+(-2.733396+(-0.561408--1.375368))+0-8--0.0163199999999997</f>
        <v>930.99688400000002</v>
      </c>
      <c r="AB307" s="3">
        <f>1353.1+(239.3-679)+(-2.070243+(-0.366129--1.03887))+0-8--0.0122400000000005</f>
        <v>904.01473799999985</v>
      </c>
      <c r="AC307" s="3">
        <f>1386+(163.9-713.2)+(-0.70686+(-0.083589--0.363732))+0-8--0.00407999999999919</f>
        <v>828.27736299999992</v>
      </c>
      <c r="AD307" s="2">
        <v>1001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1404.1+(133.7-778.3)+(0+(0-0))+0-8-0</f>
        <v>751.5</v>
      </c>
      <c r="G308" s="3">
        <f>1320.6+(159.1-774.4)+(-2.694024+(-0.324564--1.579776))+0-8--0.0163199999999997</f>
        <v>695.87750799999992</v>
      </c>
      <c r="H308" s="3">
        <f>1329.7+(161.7-814.3)+(1.356294+(0.164934-0.830586))+0-8-0.00816000000000128</f>
        <v>669.78248200000019</v>
      </c>
      <c r="I308" s="3">
        <f>1328.7+(184.3-837.1)+(0.677637+(0.093993-0.426921))+0-8-0.00407999999999919</f>
        <v>668.24062900000001</v>
      </c>
      <c r="J308" s="3">
        <f>1388.8+(156.3-873.4)+(-0.708288+(-0.079713--0.445434))+0-12--0.00611999999999878</f>
        <v>659.36355300000002</v>
      </c>
      <c r="K308" s="3">
        <f>1466.9+(142.8-924.5)+(0.748119+(0.072828-0.471495))+0-12-0.00611999999999878</f>
        <v>673.54333200000008</v>
      </c>
      <c r="L308" s="3">
        <f>1497.8+(141.2-925.1)+(0+(0-0))+0-12-0</f>
        <v>701.89999999999986</v>
      </c>
      <c r="M308" s="3">
        <f>1514.1+(145.4-915.6)+(3.088764+(0.296616-1.867824))+0-12-0.0244799999999995</f>
        <v>733.39307599999984</v>
      </c>
      <c r="N308" s="3">
        <f>1510.1+(104.3-837.9)+(1.540302+(0.106386-0.854658))+0-12-0.0122400000000019</f>
        <v>765.27978999999982</v>
      </c>
      <c r="O308" s="3">
        <f>1498+(166.9-845.1)+(-1.52796+(-0.170238--0.862002))+0-12--0.0122400000000019</f>
        <v>806.976044</v>
      </c>
      <c r="P308" s="3">
        <f>1493.1+(236.8-887.5)+(0.761481+(0.120768-0.452625))+0-12-0.00611999999999878</f>
        <v>830.82350399999984</v>
      </c>
      <c r="Q308" s="3">
        <f>1486.1+(260-907.6)+(-0.757911+(-0.1326--0.462876))+0-12--0.00611999999999878</f>
        <v>826.07848499999989</v>
      </c>
      <c r="R308" s="3">
        <f>1470.6+(180.1-850.4)+(-3.000024+(-0.367404--1.734816))+0-12--0.0244799999999995</f>
        <v>786.691868</v>
      </c>
      <c r="S308" s="3">
        <f>1423.4+(178.7-831.7)+(-2.903736+(-0.364548--1.696668))+0-12--0.0244799999999995</f>
        <v>756.85286400000018</v>
      </c>
      <c r="T308" s="3">
        <f>1427.3+(184.2-846.2)+(-1.455846+(-0.187884--0.863124))+0-12--0.0122400000000019</f>
        <v>752.53163399999994</v>
      </c>
      <c r="U308" s="3">
        <f>1430.3+(165.1-832.5)+(-1.458906+(-0.168402--0.84915))+0-12--0.0122400000000019</f>
        <v>750.13408200000003</v>
      </c>
      <c r="V308" s="3">
        <f>1441.1+(149.1-818.1)+(0+(0-0))+0-12-0</f>
        <v>760.09999999999991</v>
      </c>
      <c r="W308" s="3">
        <f>1479.5+(320.3-932.3)+(1.50909+(0.326706-0.950946))+0-12-0.0122400000000019</f>
        <v>856.37261000000001</v>
      </c>
      <c r="X308" s="3">
        <f>1505.4+(396.2-884.4)+(0+(0-0))+0-12-0</f>
        <v>1005.2</v>
      </c>
      <c r="Y308" s="3">
        <f>1461.6+(366-816)+(-1.490832+(-0.37332--0.83232))+0-12--0.0122400000000019</f>
        <v>998.58040799999992</v>
      </c>
      <c r="Z308" s="3">
        <f>1459.7+(296.2-779.8)+(-3.722235+(-0.75531--1.98849))+0-12--0.0305999999999983</f>
        <v>961.64154500000018</v>
      </c>
      <c r="AA308" s="3">
        <f>1514.4+(240.9-793.4)+(-0.772344+(-0.122859--0.404634))+0-12--0.00611999999999878</f>
        <v>949.41555100000005</v>
      </c>
      <c r="AB308" s="3">
        <f>1509.4+(222.9-806.8)+(-2.309382+(-0.341037--1.234404))+0-12--0.0183600000000007</f>
        <v>912.10234500000013</v>
      </c>
      <c r="AC308" s="3">
        <f>1514.1+(155.8-816.4)+(-1.544382+(-0.158916--0.832728))+0-12--0.0122400000000019</f>
        <v>840.64166999999998</v>
      </c>
      <c r="AD308" s="2">
        <v>967.80000000000018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1449.5+(164.4-838)+(-2.95698+(-0.335376--1.70952))+0-12--0.0244799999999995</f>
        <v>762.34164399999997</v>
      </c>
      <c r="G309" s="3">
        <f>1418.1+(164.1-866.7)+(-2.169693+(-0.251073--1.326051))+0-12--0.0183600000000007</f>
        <v>702.42364499999996</v>
      </c>
      <c r="H309" s="3">
        <f>1426.8+(160.3-888.6)+(-0.727668+(-0.081753--0.453186))+0-12--0.00611999999999878</f>
        <v>686.14988500000004</v>
      </c>
      <c r="I309" s="3">
        <f>1430.5+(151.7-893)+(-0.729555+(-0.077367--0.45543))+0-12--0.00611999999999878</f>
        <v>676.85462800000005</v>
      </c>
      <c r="J309" s="3">
        <f>1414.7+(140.8-878.2)+(-1.442994+(-0.143616--0.895764))+0-12--0.0122400000000019</f>
        <v>664.62139400000001</v>
      </c>
      <c r="K309" s="3">
        <f>1450.2+(139.4-907.1)+(1.479204+(0.142188-0.925242))+0-12-0.0122400000000019</f>
        <v>671.18390999999997</v>
      </c>
      <c r="L309" s="3">
        <f>1493.7+(168.5-952.2)+(-1.523574+(-0.17187--0.971244))+0-12--0.0122400000000019</f>
        <v>697.28804000000002</v>
      </c>
      <c r="M309" s="3">
        <f>1522.4+(176.7-951.5)+(2.329272+(0.270351-1.455795))+0-9-0.0137700000000005</f>
        <v>739.7300580000001</v>
      </c>
      <c r="N309" s="3">
        <f>1524.2+(157.7-913.7)+(2.332026+(0.241281-1.397961))+0-12-0.0183600000000007</f>
        <v>757.35698600000001</v>
      </c>
      <c r="O309" s="3">
        <f>1523.3+(151.5-856.9)+(0.776883+(0.077265-0.437019))+0-12-0.00611999999999878</f>
        <v>806.31100900000001</v>
      </c>
      <c r="P309" s="3">
        <f>1503.3+(208.9-876.6)+(0.766683+(0.106539-0.447066))+0-12-0.00611999999999878</f>
        <v>824.02003599999989</v>
      </c>
      <c r="Q309" s="3">
        <f>1493.2+(159.2-803.1)+(-5.330724+(-0.568344--2.867067))+0-12--0.0428400000000002</f>
        <v>834.31083899999987</v>
      </c>
      <c r="R309" s="3">
        <f>1500.3+(171.5-866.2)+(-2.295459+(-0.262395--1.325286))+0-12--0.0183600000000007</f>
        <v>792.38579199999992</v>
      </c>
      <c r="S309" s="3">
        <f>1446.4+(183.7-860.8)+(-4.425984+(-0.562122--2.634048))+0-12--0.0367200000000014</f>
        <v>754.98266200000012</v>
      </c>
      <c r="T309" s="3">
        <f>1469.3+(148.1-859.4)+(0+(0-0))+0-12-0</f>
        <v>746</v>
      </c>
      <c r="U309" s="3">
        <f>1496+(158.7-888.5)+(-1.52592+(-0.161874--0.90627))+0-12--0.0122400000000019</f>
        <v>753.43071600000007</v>
      </c>
      <c r="V309" s="3">
        <f>1534.4+(139.9-891.9)+(0+(0-0))+0-12-0</f>
        <v>770.40000000000009</v>
      </c>
      <c r="W309" s="3">
        <f>1603.5+(180.8-929.3)+(0.817785+(0.092208-0.473943))+0-13-0.00662999999999868</f>
        <v>842.42942000000005</v>
      </c>
      <c r="X309" s="3">
        <f>1653.8+(211.5-870.2)+(0+(0-0))+0-13-0</f>
        <v>982.09999999999991</v>
      </c>
      <c r="Y309" s="3">
        <f>1660.9+(239.9-908)+(-3.388236+(-0.489396--1.85232))+0-13--0.0265199999999994</f>
        <v>977.80120800000009</v>
      </c>
      <c r="Z309" s="3">
        <f>1666.8+(229.4-934.7)+(-1.700136+(-0.233988--0.953394))+0-13--0.0132600000000021</f>
        <v>947.53252999999984</v>
      </c>
      <c r="AA309" s="3">
        <f>1672.9+(172-904.2)+(-5.119074+(-0.52632--2.766852))+0-13--0.0397800000000015</f>
        <v>924.86123799999996</v>
      </c>
      <c r="AB309" s="3">
        <f>1676.4+(163.5-929.1)+(-3.419856+(-0.33354--1.895364))+0-13--0.0265199999999994</f>
        <v>895.96848800000009</v>
      </c>
      <c r="AC309" s="3">
        <f>1679.9+(126.9-950.8)+(-4.283745+(-0.323595--2.42454))+0-13--0.0331499999999981</f>
        <v>840.85035000000005</v>
      </c>
      <c r="AD309" s="2">
        <v>986.5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1540.8+(113.5-871.7)+(-3.92904+(-0.289425--2.222835))+0-13--0.0331499999999981</f>
        <v>767.63751999999988</v>
      </c>
      <c r="G310" s="3">
        <f>1407.5+(54.3-741)+(-1.43565+(-0.055386--0.75582))+0-13--0.0132600000000021</f>
        <v>707.07804399999986</v>
      </c>
      <c r="H310" s="3">
        <f>1375.8+(68.9-743.3)+(-3.50829+(-0.175695--1.895415))+0-13--0.0331499999999981</f>
        <v>686.64457999999991</v>
      </c>
      <c r="I310" s="3">
        <f>1257.1+(112.5-687)+(1.923363+(0.172125-1.05111))+0-13-0.0198900000000008</f>
        <v>670.62448799999993</v>
      </c>
      <c r="J310" s="3">
        <f>1244.2+(108.4-676)+(1.903626+(0.165852-1.03428))+0-13-0.0198900000000008</f>
        <v>664.61530800000003</v>
      </c>
      <c r="K310" s="3">
        <f>1334.5+(91.5-738.8)+(0+(0-0))+0-13-0</f>
        <v>674.2</v>
      </c>
      <c r="L310" s="3">
        <f>1366.2+(209.6-857.5)+(0+(0-0))+0-13-0</f>
        <v>705.30000000000007</v>
      </c>
      <c r="M310" s="3">
        <f>1389.7+(230.4-875.4)+(-0.708747+(-0.117504--0.446454))+0-13--0.00662999999999868</f>
        <v>731.32683299999997</v>
      </c>
      <c r="N310" s="3">
        <f>1561.4+(140.9-910)+(-0.796314+(-0.071859--0.4641))+0-14--0.00713999999999858</f>
        <v>777.90306700000008</v>
      </c>
      <c r="O310" s="3">
        <f>1578.9+(107-858.4)+(-0.805239+(-0.05457--0.437784))+0-14--0.00713999999999858</f>
        <v>813.0851150000002</v>
      </c>
      <c r="P310" s="3">
        <f>1586.3+(83.3-813.6)+(1.618026+(0.084966-0.829872))+0-14-0.0142800000000022</f>
        <v>842.85883999999987</v>
      </c>
      <c r="Q310" s="3">
        <f>1578.9+(115.5-840.1)+(-0.805239+(-0.058905--0.428451))+0-14--0.00713999999999858</f>
        <v>839.8714470000001</v>
      </c>
      <c r="R310" s="3">
        <f>1564.5+(103.3-862.7)+(-3.19158+(-0.210732--1.759908))+0-13--0.0265199999999994</f>
        <v>790.48411599999986</v>
      </c>
      <c r="S310" s="3">
        <f>1537.5+(95.3-848.7)+(0+(0-0))+0-13-0</f>
        <v>771.09999999999991</v>
      </c>
      <c r="T310" s="3">
        <f>1530+(104.6-852.2)+(0.7803+(0.053346-0.434622))+0-13-0.00662999999999868</f>
        <v>769.79239400000006</v>
      </c>
      <c r="U310" s="3">
        <f>1495.5+(128.8-847.5)+(-3.813525+(-0.32844--2.161125))+0-13--0.0331499999999981</f>
        <v>761.85230999999999</v>
      </c>
      <c r="V310" s="3">
        <f>1425.2+(141.3-773.7)+(-1.453704+(-0.144126--0.789174))+0-13--0.0132600000000021</f>
        <v>779.00460399999986</v>
      </c>
      <c r="W310" s="3">
        <f>1471.7+(170.5-800.2)+(2.251701+(0.260865-1.224306))+0-13-0.0198900000000008</f>
        <v>830.26837</v>
      </c>
      <c r="X310" s="3">
        <f>1599.6+(188.2-798.8)+(-0.815796+(-0.095982--0.407388))+0-13--0.00662999999999868</f>
        <v>975.50224000000003</v>
      </c>
      <c r="Y310" s="3">
        <f>1609.6+(200.7-836.7)+(-0.820896+(-0.102357--0.426717))+0-13--0.00662999999999868</f>
        <v>960.11009399999989</v>
      </c>
      <c r="Z310" s="3">
        <f>1612.4+(203.1-876)+(-0.822324+(-0.103581--0.44676))+0-14--0.00713999999999858</f>
        <v>925.02799500000015</v>
      </c>
      <c r="AA310" s="3">
        <f>1543.8+(218.9-848.9)+(-2.362014+(-0.334917--1.298817))+0-14--0.0214200000000008</f>
        <v>898.42330600000003</v>
      </c>
      <c r="AB310" s="3">
        <f>1530.9+(211.9-858.3)+(-3.903795+(-0.540345--2.188665))+0-14--0.035699999999998</f>
        <v>868.28022500000009</v>
      </c>
      <c r="AC310" s="3">
        <f>1609.4+(155-928.2)+(-4.10397+(-0.39525--2.36691))+0-14--0.035699999999998</f>
        <v>820.1033900000001</v>
      </c>
      <c r="AD310" s="2">
        <v>967.70000000000016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1558.8+(111.2-909.9)+(-0.794988+(-0.056712--0.464049))+0-13--0.00662999999999868</f>
        <v>746.71897899999999</v>
      </c>
      <c r="G311" s="3">
        <f>1481.4+(161.4-936.2)+(-3.022056+(-0.329256--1.909848))+0-13--0.0265199999999994</f>
        <v>692.18505600000003</v>
      </c>
      <c r="H311" s="3">
        <f>1343.6+(177.9-844.5)+(0+(0-0))+0-13-0</f>
        <v>663.99999999999989</v>
      </c>
      <c r="I311" s="3">
        <f>1327.4+(176.1-838.3)+(-2.030922+(-0.269433--1.282599))+0-13--0.0198900000000008</f>
        <v>651.20213400000023</v>
      </c>
      <c r="J311" s="3">
        <f>1333.6+(167-835.8)+(0.680136+(0.08517-0.426258))+0-13-0.00662999999999868</f>
        <v>652.13241800000003</v>
      </c>
      <c r="K311" s="3">
        <f>1332.3+(182.3-844.6)+(1.358946+(0.185946-0.861492))+0-13-0.0132600000000021</f>
        <v>657.67014000000006</v>
      </c>
      <c r="L311" s="3">
        <f>1325.5+(197.5-834.8)+(0+(0-0))+0-13-0</f>
        <v>675.2</v>
      </c>
      <c r="M311" s="3">
        <f>1331.1+(249.8-882.5)+(1.357722+(0.254796-0.90015))+0-13-0.0132600000000021</f>
        <v>686.09910799999989</v>
      </c>
      <c r="N311" s="3">
        <f>1454.1+(191.2-899.6)+(0.741591+(0.097512-0.458796))+0-13-0.00662999999999868</f>
        <v>733.07367699999986</v>
      </c>
      <c r="O311" s="3">
        <f>1555.3+(129.5-885.4)+(0+(0-0))+0-13-0</f>
        <v>786.4</v>
      </c>
      <c r="P311" s="3">
        <f>1618+(154.1-929.1)+(0.82518+(0.078591-0.473841))+0-13-0.00662999999999868</f>
        <v>830.42330000000004</v>
      </c>
      <c r="Q311" s="3">
        <f>1603.1+(168.9-937.5)+(-2.452743+(-0.258417--1.434375))+0-13--0.0198900000000008</f>
        <v>820.2431049999999</v>
      </c>
      <c r="R311" s="3">
        <f>1567.7+(147.2-931.2)+(-3.198108+(-0.300288--1.899648))+0-13--0.0265199999999994</f>
        <v>769.12777200000005</v>
      </c>
      <c r="S311" s="3">
        <f>1566.3+(131.4-949.6)+(-0.798813+(-0.067014--0.484296))+0-13--0.00662999999999868</f>
        <v>734.72509899999989</v>
      </c>
      <c r="T311" s="3">
        <f>1560.2+(130.4-952)+(-3.182808+(-0.266016--1.94208))+0-13--0.0265199999999994</f>
        <v>724.119776</v>
      </c>
      <c r="U311" s="3">
        <f>1551.2+(137.1-957.7)+(-4.746672+(-0.419526--2.930562))+0-13--0.0397800000000015</f>
        <v>715.40414399999997</v>
      </c>
      <c r="V311" s="3">
        <f>1576.6+(125.9-955.6)+(0.804066+(0.064209-0.487356))+0-13-0.00662999999999868</f>
        <v>734.27428899999984</v>
      </c>
      <c r="W311" s="3">
        <f>1570.8+(134.1-896.5)+(1.602216+(0.136782-0.91443))+0-13-0.0132600000000021</f>
        <v>796.21130800000003</v>
      </c>
      <c r="X311" s="3">
        <f>1592+(323-951.1)+(0.81192+(0.16473-0.485061))+0-13-0.00662999999999868</f>
        <v>951.38495899999998</v>
      </c>
      <c r="Y311" s="3">
        <f>1587.5+(291.4-930.2)+(-4.048125+(-0.74307--2.37201))+0-13--0.0331499999999981</f>
        <v>933.31396499999994</v>
      </c>
      <c r="Z311" s="3">
        <f>1493.8+(283.3-853.1)+(-3.047352+(-0.577932--1.740324))+0-13--0.0265199999999994</f>
        <v>909.14156000000003</v>
      </c>
      <c r="AA311" s="3">
        <f>1348.9+(355.1-817)+(1.375878+(0.362202-0.83334))+0-13-0.0132600000000021</f>
        <v>874.89148000000012</v>
      </c>
      <c r="AB311" s="3">
        <f>1304.2+(350.2-804)+(-1.995426+(-0.535806--1.23012))+0-13--0.0198900000000008</f>
        <v>836.11877800000013</v>
      </c>
      <c r="AC311" s="3">
        <f>1298+(308.1-780.6)+(0+(0-0))+0-13-0</f>
        <v>812.5</v>
      </c>
      <c r="AD311" s="2">
        <v>939.19999999999993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1179.5+(284.8-717.6)+(-1.20309+(-0.290496--0.731952))+0-12--0.0122400000000019</f>
        <v>733.95060600000011</v>
      </c>
      <c r="G312" s="3">
        <f>1123.3+(260.8-696.1)+(-2.291532+(-0.532032--1.420044))+0-12--0.0244799999999995</f>
        <v>674.62096000000008</v>
      </c>
      <c r="H312" s="3">
        <f>1114.9+(242.6-698.7)+(-2.274396+(-0.494904--1.425348))+0-12--0.0244799999999995</f>
        <v>645.48052800000016</v>
      </c>
      <c r="I312" s="3">
        <f>1114.5+(230.1-690.8)+(-0.568395+(-0.117351--0.352308))+0-12--0.00611999999999878</f>
        <v>641.47268200000008</v>
      </c>
      <c r="J312" s="3">
        <f>1072.7+(250.2-683.4)+(0+(0-0))+0-12-0</f>
        <v>627.5</v>
      </c>
      <c r="K312" s="3">
        <f>1104.2+(229.9-693.4)+(1.689426+(0.351747-1.060902))+0-12-0.0183600000000007</f>
        <v>629.66191100000003</v>
      </c>
      <c r="L312" s="3">
        <f>1140+(231.1-723.5)+(-2.907+(-0.589305--1.844925))+0-12--0.0305999999999983</f>
        <v>633.97922000000005</v>
      </c>
      <c r="M312" s="3">
        <f>1111.5+(268.5-750.3)+(-2.834325+(-0.684675--1.913265))+0-12--0.0305999999999983</f>
        <v>616.12486500000011</v>
      </c>
      <c r="N312" s="3">
        <f>1140.3+(260-740.9)+(0.581553+(0.1326-0.377859))+0-12-0.00611999999999878</f>
        <v>647.73017399999992</v>
      </c>
      <c r="O312" s="3">
        <f>1181.6+(275.9-749.4)+(-1.807848+(-0.422127--1.146582))+0-12--0.0183600000000007</f>
        <v>695.03496699999994</v>
      </c>
      <c r="P312" s="3">
        <f>1188+(326.1-769.4)+(0+(0-0))+0-12-0</f>
        <v>732.7</v>
      </c>
      <c r="Q312" s="3">
        <f>1184.7+(330.5-766.3)+(-0.604197+(-0.168555--0.390813))+0-12--0.00611999999999878</f>
        <v>736.52418100000011</v>
      </c>
      <c r="R312" s="3">
        <f>1181.1+(311.2-768.3)+(-1.204722+(-0.317424--0.783666))+0-14--0.0142800000000022</f>
        <v>709.2758</v>
      </c>
      <c r="S312" s="3">
        <f>1181.9+(277.5-759.2)+(-1.205538+(-0.28305--0.774384))+0-14--0.0142800000000022</f>
        <v>685.50007600000004</v>
      </c>
      <c r="T312" s="3">
        <f>1186.4+(253.3-734.9)+(-0.605064+(-0.129183--0.374799))+0-14--0.00713999999999858</f>
        <v>690.44769200000019</v>
      </c>
      <c r="U312" s="3">
        <f>1179.8+(261.5-735.6)+(-1.805094+(-0.400095--1.125468))+0-14--0.0214200000000008</f>
        <v>690.64169900000002</v>
      </c>
      <c r="V312" s="3">
        <f>1184.3+(268.9-717.8)+(-0.603993+(-0.137139--0.366078))+0-14--0.00713999999999858</f>
        <v>721.03208600000005</v>
      </c>
      <c r="W312" s="3">
        <f>1186.9+(332.8-694.5)+(0+(0-0))+0-14-0</f>
        <v>811.2</v>
      </c>
      <c r="X312" s="3">
        <f>1188.3+(422.1-688)+(-1.212066+(-0.430542--0.70176))+0-14--0.0142800000000022</f>
        <v>907.473432</v>
      </c>
      <c r="Y312" s="3">
        <f>1177.4+(420.5-689.2)+(-3.602844+(-1.28673--2.108952))+0-14--0.0428400000000016</f>
        <v>891.96221800000001</v>
      </c>
      <c r="Z312" s="3">
        <f>1185.9+(397-688.3)+(-3.024045+(-1.01235--1.755165))+0-14--0.035699999999998</f>
        <v>878.35447000000011</v>
      </c>
      <c r="AA312" s="3">
        <f>1184.5+(382.6-683.8)+(-2.41638+(-0.780504--1.394952))+0-14--0.0285599999999994</f>
        <v>867.52662800000007</v>
      </c>
      <c r="AB312" s="3">
        <f>1123.6+(405.3-676.7)+(-1.146072+(-0.413406--0.690234))+0-14--0.0142800000000022</f>
        <v>837.34503599999982</v>
      </c>
      <c r="AC312" s="3">
        <f>1071.1+(393.5-669.3)+(-2.185044+(-0.80274--1.365372))+0-14--0.0285599999999994</f>
        <v>779.70614799999987</v>
      </c>
      <c r="AD312" s="2">
        <v>891.7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1065.8+(329.2-691.6)+(-0.543558+(-0.167892--0.352716))+0-13--0.00662999999999868</f>
        <v>690.04789599999981</v>
      </c>
      <c r="G313" s="3">
        <f>1058.7+(300.7-704.1)+(-1.619811+(-0.460071--1.077273))+0-13--0.0198900000000008</f>
        <v>641.31728099999998</v>
      </c>
      <c r="H313" s="3">
        <f>1061.4+(291.1-715)+(-1.082628+(-0.296922--0.7293))+0-13--0.0132600000000021</f>
        <v>623.86301000000003</v>
      </c>
      <c r="I313" s="3">
        <f>1058.6+(273.4-701.6)+(-2.159544+(-0.557736--1.431264))+0-13--0.0265199999999994</f>
        <v>616.14050399999985</v>
      </c>
      <c r="J313" s="3">
        <f>1064.4+(282.4-721.1)+(-0.542844+(-0.144024--0.367761))+0-13--0.00662999999999868</f>
        <v>612.38752299999999</v>
      </c>
      <c r="K313" s="3">
        <f>1179.7+(239.2-784.2)+(2.406588+(0.487968-1.599768))+0-13-0.0265199999999994</f>
        <v>622.96826800000008</v>
      </c>
      <c r="L313" s="3">
        <f>1202.1+(273.2-808.5)+(0+(0-0))+0-13-0</f>
        <v>653.79999999999995</v>
      </c>
      <c r="M313" s="3">
        <f>1196.1+(313-808.7)+(-0.610011+(-0.15963--0.412437))+0-13--0.00662999999999868</f>
        <v>687.04942599999981</v>
      </c>
      <c r="N313" s="3">
        <f>1239.6+(307.9-800.2)+(-0.632196+(-0.157029--0.408102))+0-13--0.00662999999999868</f>
        <v>733.92550699999981</v>
      </c>
      <c r="O313" s="3">
        <f>1362.6+(227.8-796.3)+(0+(0-0))+0-13-0</f>
        <v>781.09999999999991</v>
      </c>
      <c r="P313" s="3">
        <f>1479.9+(138.6-791.9)+(0.754749+(0.070686-0.403869))+0-13-0.00662999999999868</f>
        <v>814.01493600000015</v>
      </c>
      <c r="Q313" s="3">
        <f>1493+(152.2-805.8)+(-1.52286+(-0.155244--0.821916))+0-13--0.0132600000000021</f>
        <v>825.55707200000006</v>
      </c>
      <c r="R313" s="3">
        <f>1487.4+(101.4-783.1)+(-4.551444+(-0.310284--2.396286))+0-13--0.0397800000000015</f>
        <v>790.27433799999994</v>
      </c>
      <c r="S313" s="3">
        <f>1483+(125.7-828.7)+(-3.78165+(-0.320535--2.113185))+0-13--0.0331499999999981</f>
        <v>765.04414999999995</v>
      </c>
      <c r="T313" s="3">
        <f>1495.8+(140.6-868.4)+(0+(0-0))+0-13-0</f>
        <v>755</v>
      </c>
      <c r="U313" s="3">
        <f>1483.7+(149-862.5)+(-2.270061+(-0.22797--1.319625))+0-13--0.0198900000000008</f>
        <v>756.04148400000008</v>
      </c>
      <c r="V313" s="3">
        <f>1480.1+(157.4-854.7)+(2.264553+(0.240822-1.307691))+0-13-0.0198900000000008</f>
        <v>770.97779399999979</v>
      </c>
      <c r="W313" s="3">
        <f>1543.2+(174.8-853.5)+(3.148128+(0.356592-1.74114))+0-13-0.0265199999999994</f>
        <v>853.23706000000004</v>
      </c>
      <c r="X313" s="3">
        <f>1537.3+(254.8-807.1)+(-2.352069+(-0.389844--1.234863))+0-13--0.0198900000000008</f>
        <v>970.51283999999998</v>
      </c>
      <c r="Y313" s="3">
        <f>1559.1+(231.6-809.5)+(0+(0-0))+0-13-0</f>
        <v>968.19999999999993</v>
      </c>
      <c r="Z313" s="3">
        <f>1558.5+(217.6-821)+(-1.58967+(-0.221952--0.83742))+0-13--0.0132600000000021</f>
        <v>941.13905799999998</v>
      </c>
      <c r="AA313" s="3">
        <f>1488.9+(220.3-768.9)+(-2.278017+(-0.337059--1.176417))+0-13--0.0198900000000008</f>
        <v>925.88123100000018</v>
      </c>
      <c r="AB313" s="3">
        <f>1454.9+(196.5-755.6)+(-1.483998+(-0.20043--0.770712))+0-13--0.0132600000000021</f>
        <v>881.89954399999999</v>
      </c>
      <c r="AC313" s="3">
        <f>1450.4+(130.6-755.6)+(-2.958816+(-0.266424--1.541424))+0-13--0.0265199999999994</f>
        <v>810.74270400000012</v>
      </c>
      <c r="AD313" s="2">
        <v>949.9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1395.1+(162.5-800.1)+(-2.846004+(-0.3315--1.632204))+0-9--0.0183599999999996</f>
        <v>746.97305999999992</v>
      </c>
      <c r="G314" s="3">
        <f>1352.7+(181-836.1)+(-1.379754+(-0.18462--0.852822))+0-9--0.00918000000000144</f>
        <v>687.89762800000005</v>
      </c>
      <c r="H314" s="3">
        <f>1403.2+(171-894.2)+(-0.715632+(-0.08721--0.456042))+0-9--0.00458999999999909</f>
        <v>670.65778999999998</v>
      </c>
      <c r="I314" s="3">
        <f>1342.7+(184.4-868.3)+(1.369554+(0.188088-0.885666))+0-9-0.00918000000000144</f>
        <v>650.46279600000003</v>
      </c>
      <c r="J314" s="3">
        <f>1327+(183.6-853)+(-3.38385+(-0.46818--2.17515))+0-9--0.0229499999999987</f>
        <v>646.94607000000008</v>
      </c>
      <c r="K314" s="3">
        <f>1421.2+(159.8-924.4)+(3.62406+(0.40749-2.35722))+0-9-0.0229499999999987</f>
        <v>649.25138000000015</v>
      </c>
      <c r="L314" s="3">
        <f>1428.8+(176.6-925.9)+(0+(0-0))+0-9-0</f>
        <v>670.5</v>
      </c>
      <c r="M314" s="3">
        <f>1387.7+(246.8-925.5)+(-2.123181+(-0.377604--1.416015))+0-9--0.0137700000000005</f>
        <v>698.92899999999997</v>
      </c>
      <c r="N314" s="3">
        <f>1482.5+(183.5-899.2)+(-1.51215+(-0.18717--0.917184))+0-9--0.00918000000000144</f>
        <v>757.02704399999993</v>
      </c>
      <c r="O314" s="3">
        <f>1481.7+(152.2-846)+(-2.267001+(-0.232866--1.29438))+0-9--0.0137700000000005</f>
        <v>777.70828300000016</v>
      </c>
      <c r="P314" s="3">
        <f>1482.4+(121.6-799.2)+(-1.512048+(-0.124032--0.815184))+0-9--0.00918000000000144</f>
        <v>794.98828400000014</v>
      </c>
      <c r="Q314" s="3">
        <f>1474.4+(67.4-729.7)+(-3.75972+(-0.17187--1.860735))+0-9--0.0229499999999987</f>
        <v>801.05209500000001</v>
      </c>
      <c r="R314" s="3">
        <f>1472.8+(64.6-726.1)+(-3.004512+(-0.131784--1.481244))+0-9--0.0183599999999996</f>
        <v>800.66330800000003</v>
      </c>
      <c r="S314" s="3">
        <f>1476+(57.4-730.7)+(-3.01104+(-0.117096--1.490628))+0-9--0.0183599999999996</f>
        <v>792.08085199999994</v>
      </c>
      <c r="T314" s="3">
        <f>1480.9+(53.5-713.4)+(-1.510518+(-0.05457--0.727668))+0-9--0.00918000000000144</f>
        <v>811.17176000000018</v>
      </c>
      <c r="U314" s="3">
        <f>1490.3+(87.3-746.9)+(1.520106+(0.089046-0.761838))+0-9-0.00918000000000144</f>
        <v>822.5381339999999</v>
      </c>
      <c r="V314" s="3">
        <f>1583.1+(95.9-802.9)+(0.807381+(0.048909-0.409479))+0-9-0.00458999999999909</f>
        <v>867.54222099999993</v>
      </c>
      <c r="W314" s="3">
        <f>1591.9+(121.5-773.7)+(1.623738+(0.12393-0.789174))+0-9-0.00918000000000144</f>
        <v>931.649314</v>
      </c>
      <c r="X314" s="3">
        <f>1588.6+(178.3-743.6)+(-4.861116+(-0.545598--2.275416))+0-9--0.027540000000001</f>
        <v>1011.196242</v>
      </c>
      <c r="Y314" s="3">
        <f>1588.7+(164.6-737.3)+(-4.051185+(-0.41973--1.880115))+0-9--0.0229499999999987</f>
        <v>1004.4321500000002</v>
      </c>
      <c r="Z314" s="3">
        <f>1590.6+(181.1-773.8)+(-2.433618+(-0.277083--1.183914))+0-9--0.0137700000000005</f>
        <v>987.38698299999999</v>
      </c>
      <c r="AA314" s="3">
        <f>1528.4+(195.7-765.6)+(-0.779484+(-0.099807--0.390456))+0-9--0.00458999999999909</f>
        <v>949.01575500000001</v>
      </c>
      <c r="AB314" s="3">
        <f>1509.6+(183.8-770.7)+(-1.539792+(-0.187476--0.786114))+0-9--0.00918000000000144</f>
        <v>912.76802599999985</v>
      </c>
      <c r="AC314" s="3">
        <f>1451.1+(148-734.3)+(-3.700305+(-0.3774--1.872465))+0-9--0.0229499999999987</f>
        <v>853.61770999999999</v>
      </c>
      <c r="AD314" s="2">
        <v>968.39999999999986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1470.3+(114.6-839)+(-1.499706+(-0.116892--0.85578))+0-7--0.00714000000000112</f>
        <v>738.14632200000005</v>
      </c>
      <c r="G315" s="3">
        <f>1431.6+(124.1-863.4)+(-2.190348+(-0.189873--1.321002))+0-7--0.0107100000000004</f>
        <v>684.25149099999999</v>
      </c>
      <c r="H315" s="3">
        <f>1182.2+(226.3-761.1)+(0+(0-0))+0-7-0</f>
        <v>640.40000000000009</v>
      </c>
      <c r="I315" s="3">
        <f>1138.9+(250.6-749.7)+(-1.161678+(-0.255612--0.764694))+0-7--0.00714000000000112</f>
        <v>632.1545440000001</v>
      </c>
      <c r="J315" s="3">
        <f>1140.8+(262.4-770.6)+(0.581808+(0.133824-0.393006))+0-7-0.00356999999999929</f>
        <v>625.91905599999996</v>
      </c>
      <c r="K315" s="3">
        <f>1149.8+(252.5-773.8)+(-0.586398+(-0.128775--0.394638))+0-7--0.00356999999999929</f>
        <v>621.18303500000002</v>
      </c>
      <c r="L315" s="3">
        <f>1305.7+(204.8-841.2)+(-0.665907+(-0.104448--0.429012))+0-7--0.00356999999999929</f>
        <v>661.96222699999987</v>
      </c>
      <c r="M315" s="3">
        <f>1379+(221.9-893.7)+(0+(0-0))+0-7-0</f>
        <v>700.19999999999993</v>
      </c>
      <c r="N315" s="3">
        <f>1536.5+(150.8-921.2)+(0+(0-0))+0-7-0</f>
        <v>759.09999999999991</v>
      </c>
      <c r="O315" s="3">
        <f>1595.4+(103-886.8)+(-1.627308+(-0.10506--0.904536))+0-7--0.00714000000000112</f>
        <v>803.77930800000024</v>
      </c>
      <c r="P315" s="3">
        <f>1607.2+(63.6-827.7)+(0+(0-0))+0-7-0</f>
        <v>836.1</v>
      </c>
      <c r="Q315" s="3">
        <f>1603.5+(118.3-869)+(-0.817785+(-0.060333--0.44319))+0-7--0.00356999999999929</f>
        <v>845.36864199999991</v>
      </c>
      <c r="R315" s="3">
        <f>1583+(90.7-869.2)+(-4.03665+(-0.231285--2.21646))+0-10--0.0254999999999985</f>
        <v>792.47402499999998</v>
      </c>
      <c r="S315" s="3">
        <f>1603.2+(84.1-906.4)+(0+(0-0))+0-10-0</f>
        <v>770.90000000000009</v>
      </c>
      <c r="T315" s="3">
        <f>1596.2+(83.5-904.9)+(-0.814062+(-0.042585--0.461499))+0-11--0.00560999999999888</f>
        <v>763.41046200000017</v>
      </c>
      <c r="U315" s="3">
        <f>1591.2+(104.3-914.8)+(-1.623024+(-0.106386--0.933096))+0-10--0.0102000000000016</f>
        <v>769.91388600000005</v>
      </c>
      <c r="V315" s="3">
        <f>1607.4+(117.1-917.8)+(0.819774+(0.059721-0.468078))+0-11-0.00560999999999888</f>
        <v>796.10580700000014</v>
      </c>
      <c r="W315" s="3">
        <f>1630+(105.5-854.6)+(0.8313+(0.053805-0.435846))+0-13-0.00662999999999868</f>
        <v>868.34262899999999</v>
      </c>
      <c r="X315" s="3">
        <f>1632.7+(147.7-802.5)+(-3.330708+(-0.301308--1.6371))+0-13--0.0265199999999994</f>
        <v>962.93160400000011</v>
      </c>
      <c r="Y315" s="3">
        <f>1632+(133.8-795.1)+(-3.32928+(-0.272952--1.622004))+0-9--0.0183599999999996</f>
        <v>959.73813200000006</v>
      </c>
      <c r="Z315" s="3">
        <f>1635.2+(118.2-817.1)+(-1.667904+(-0.120564--0.833442))+0-9--0.00918000000000144</f>
        <v>926.35415400000011</v>
      </c>
      <c r="AA315" s="3">
        <f>1598.3+(128.9-814.3)+(-1.630266+(-0.131478--0.830586))+0-9--0.00918000000000144</f>
        <v>902.97802200000001</v>
      </c>
      <c r="AB315" s="3">
        <f>1579.9+(139.5-822.8)+(-2.417247+(-0.213435--1.258884))+0-9--0.0137700000000005</f>
        <v>886.24197200000015</v>
      </c>
      <c r="AC315" s="3">
        <f>1471.4+(197.9-833.9)+(-1.500828+(-0.201858--0.850578))+0-9--0.00918000000000144</f>
        <v>825.55707200000006</v>
      </c>
      <c r="AD315" s="2">
        <v>969.00000000000011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1429+(150.4-744.7)+(-3.64395+(-0.38352--1.898985))+0-13--0.0331499999999981</f>
        <v>819.60466499999995</v>
      </c>
      <c r="G316" s="3">
        <f>1181.9+(191.2-627.4)+(0+(0-0))+0-13-0</f>
        <v>732.7</v>
      </c>
      <c r="H316" s="3">
        <f>1143.6+(175.8-604.1)+(-2.91618+(-0.44829--1.540455))+0-13--0.0331499999999981</f>
        <v>700.5091349999999</v>
      </c>
      <c r="I316" s="3">
        <f>1148.9+(187.9-641.4)+(-0.585939+(-0.095829--0.327114))+0-13--0.00662999999999868</f>
        <v>682.05197600000008</v>
      </c>
      <c r="J316" s="3">
        <f>1158.9+(181.5-650.7)+(1.182078+(0.18513-0.663714))+0-13-0.0132600000000021</f>
        <v>677.39023400000008</v>
      </c>
      <c r="K316" s="3">
        <f>1186.5+(177.7-672)+(1.21023+(0.181254-0.68544))+0-13-0.0132600000000021</f>
        <v>679.89278400000012</v>
      </c>
      <c r="L316" s="3">
        <f>1227.8+(138.5-726.5)+(-1.878534+(-0.211905--1.111545))+0-13--0.0198900000000008</f>
        <v>625.84099600000002</v>
      </c>
      <c r="M316" s="3">
        <f>1199.1+(150.4-718)+(-1.223082+(-0.153408--0.73236))+0-10--0.0102000000000016</f>
        <v>620.86606999999992</v>
      </c>
      <c r="N316" s="3">
        <f>1381.7+(171.2-871.7)+(-0.704667+(-0.087312--0.444567))+0-10--0.00509999999999899</f>
        <v>670.85768800000005</v>
      </c>
      <c r="O316" s="3">
        <f>1416.6+(151.2-825.8)+(2.167398+(0.231336-1.263474))+0-13-0.0198900000000008</f>
        <v>730.11536999999998</v>
      </c>
      <c r="P316" s="3">
        <f>1624.1+(90.9-898.9)+(3.313164+(0.185436-1.833756))+0-13-0.0265199999999994</f>
        <v>804.73832399999992</v>
      </c>
      <c r="Q316" s="3">
        <f>1614.7+(65.7-843)+(-0.823497+(-0.033507--0.42993))+0-13--0.00662999999999868</f>
        <v>823.97955600000012</v>
      </c>
      <c r="R316" s="3">
        <f>1604+(78.9-859.7)+(-3.27216+(-0.160956--1.753788))+0-13--0.0265199999999994</f>
        <v>808.54719199999988</v>
      </c>
      <c r="S316" s="3">
        <f>1604+(96.5-919.3)+(-3.27216+(-0.19686--1.875372))+0-13--0.0265199999999994</f>
        <v>766.63287200000002</v>
      </c>
      <c r="T316" s="3">
        <f>1623.8+(118.5-976.3)+(0+(0-0))+0-13-0</f>
        <v>753</v>
      </c>
      <c r="U316" s="3">
        <f>1608.1+(118.3-956.7)+(-4.920786+(-0.361998--2.927502))+0-13--0.0397800000000015</f>
        <v>754.38449799999978</v>
      </c>
      <c r="V316" s="3">
        <f>1613.8+(115.5-942.2)+(0+(0-0))+0-13-0</f>
        <v>774.09999999999991</v>
      </c>
      <c r="W316" s="3">
        <f>1623.7+(99.2-911.3)+(0+(0-0))+0-13-0</f>
        <v>798.60000000000014</v>
      </c>
      <c r="X316" s="3">
        <f>1617+(143.3-848.7)+(-4.12335+(-0.365415--2.164185))+0-13--0.0331499999999981</f>
        <v>896.30856999999992</v>
      </c>
      <c r="Y316" s="3">
        <f>1614.6+(131.1-837)+(-4.11723+(-0.334305--2.13435))+0-13--0.0331499999999981</f>
        <v>893.41596499999991</v>
      </c>
      <c r="Z316" s="3">
        <f>1626.2+(127-835.4)+(-1.658724+(-0.12954--0.852108))+0-13--0.0132600000000021</f>
        <v>903.87710400000003</v>
      </c>
      <c r="AA316" s="3">
        <f>1616.2+(124.4-839.7)+(-3.297048+(-0.253776--1.712988))+0-13--0.0265199999999994</f>
        <v>886.08868399999994</v>
      </c>
      <c r="AB316" s="3">
        <f>1605.3+(141-862.5)+(-0.818703+(-0.07191--0.439875))+0-13--0.00662999999999868</f>
        <v>870.35589199999993</v>
      </c>
      <c r="AC316" s="3">
        <f>1527+(142.7-840)+(-3.11508+(-0.291108--1.7136))+0-13--0.0265199999999994</f>
        <v>815.03393200000005</v>
      </c>
      <c r="AD316" s="2">
        <v>915.59999999999991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1294+(224.5-777.4)+(-0.65994+(-0.114495--0.396474))+0-13--0.00662999999999868</f>
        <v>727.72866899999997</v>
      </c>
      <c r="G317" s="3">
        <f>1126.1+(282.5-741.6)+(-0.574311+(-0.144075--0.378216))+0-13--0.00662999999999868</f>
        <v>653.66645999999992</v>
      </c>
      <c r="H317" s="3">
        <f>1047+(334.3-732.7)+(0+(0-0))+0-13-0</f>
        <v>635.59999999999991</v>
      </c>
      <c r="I317" s="3">
        <f>1012.4+(325.5-703.9)+(-0.516324+(-0.166005--0.358989))+0-13--0.00662999999999868</f>
        <v>620.68328999999994</v>
      </c>
      <c r="J317" s="3">
        <f>1012.2+(331.4-711.3)+(-1.548666+(-0.507042--1.088289))+0-13--0.0198900000000008</f>
        <v>618.35247100000015</v>
      </c>
      <c r="K317" s="3">
        <f>1016.9+(351.6-731.1)+(0.518619+(0.179316-0.372861))+0-13-0.00662999999999868</f>
        <v>624.71844399999998</v>
      </c>
      <c r="L317" s="3">
        <f>1014.2+(388.6-742.5)+(-1.034484+(-0.396372--0.75735))+0-13--0.0132600000000021</f>
        <v>646.63975400000004</v>
      </c>
      <c r="M317" s="3">
        <f>1198.6+(254.3-787.1)+(-1.833858+(-0.389079--1.204263))+0-13--0.0198900000000008</f>
        <v>651.80121599999995</v>
      </c>
      <c r="N317" s="3">
        <f>1556+(181.8-996.9)+(-1.58712+(-0.185436--1.016838))+0-13--0.0132600000000021</f>
        <v>727.15754200000003</v>
      </c>
      <c r="O317" s="3">
        <f>1590.2+(176.9-977)+(-0.811002+(-0.090219--0.49827))+0-13--0.00662999999999868</f>
        <v>776.70367899999997</v>
      </c>
      <c r="P317" s="3">
        <f>1646.1+(133.8-958)+(-2.518533+(-0.204714--1.46574))+0-13--0.0198900000000008</f>
        <v>807.66238299999986</v>
      </c>
      <c r="Q317" s="3">
        <f>1657.7+(115.5-954.6)+(0+(0-0))+0-13-0</f>
        <v>805.6</v>
      </c>
      <c r="R317" s="3">
        <f>1636+(121.5-974.3)+(-3.33744+(-0.24786--1.987572))+0-12--0.0244799999999995</f>
        <v>769.62675200000012</v>
      </c>
      <c r="S317" s="3">
        <f>1551.3+(169.7-966.7)+(-3.164652+(-0.346188--1.972068))+0-12--0.0244799999999995</f>
        <v>740.785708</v>
      </c>
      <c r="T317" s="3">
        <f>1561.9+(159.3-977.5)+(0.796569+(0.081243-0.498525))+0-12-0.00611999999999878</f>
        <v>732.07316700000001</v>
      </c>
      <c r="U317" s="3">
        <f>1604.4+(138.8-993.6)+(-3.272976+(-0.283152--2.026944))+0-12--0.0244799999999995</f>
        <v>736.09529600000019</v>
      </c>
      <c r="V317" s="3">
        <f>1610.9+(151.5-1005.2)+(-0.821559+(-0.077265--0.512652))+0-12--0.00611999999999878</f>
        <v>744.81994800000007</v>
      </c>
      <c r="W317" s="3">
        <f>1623.2+(148.4-945.4)+(1.655664+(0.151368-0.964308))+0-12-0.0122400000000019</f>
        <v>815.030484</v>
      </c>
      <c r="X317" s="3">
        <f>1618.8+(182.5-838.8)+(-0.825588+(-0.093075--0.427788))+0-12--0.00611999999999878</f>
        <v>950.01524500000005</v>
      </c>
      <c r="Y317" s="3">
        <f>1615.6+(195.1-854.1)+(-2.471868+(-0.298503--1.306773))+0-12--0.0183600000000007</f>
        <v>943.15476199999989</v>
      </c>
      <c r="Z317" s="3">
        <f>1627.2+(174.2-873.6)+(0.829872+(0.088842-0.445536))+0-12-0.00611999999999878</f>
        <v>916.26705799999991</v>
      </c>
      <c r="AA317" s="3">
        <f>1618.5+(169.8-876.8)+(-2.476305+(-0.259794--1.341504))+0-12--0.0183600000000007</f>
        <v>898.12376500000005</v>
      </c>
      <c r="AB317" s="3">
        <f>1599.9+(143-854.6)+(-4.079745+(-0.36465--2.17923))+0-12--0.0305999999999983</f>
        <v>874.06543500000009</v>
      </c>
      <c r="AC317" s="3">
        <f>1539.1+(111.9-815.7)+(-1.569882+(-0.114138--0.832014))+0-12--0.0122400000000019</f>
        <v>822.4602339999999</v>
      </c>
      <c r="AD317" s="2">
        <v>963.7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1307.3+(164.2-700.9)+(-2.666892+(-0.334968--1.429836))+0-12--0.0244799999999995</f>
        <v>757.05245599999989</v>
      </c>
      <c r="G318" s="3">
        <f>1150.9+(232.8-692.3)+(-1.173918+(-0.237456--0.706146))+0-12--0.0122400000000019</f>
        <v>678.70701200000008</v>
      </c>
      <c r="H318" s="3">
        <f>1158.3+(206.4-705.2)+(0+(0-0))+0-12-0</f>
        <v>647.49999999999989</v>
      </c>
      <c r="I318" s="3">
        <f>1099.3+(213.9-662.4)+(-0.560643+(-0.109089--0.337824))+0-12--0.00611999999999878</f>
        <v>638.47421199999997</v>
      </c>
      <c r="J318" s="3">
        <f>1068.7+(245.2-669.4)+(0+(0-0))+0-12-0</f>
        <v>632.5</v>
      </c>
      <c r="K318" s="3">
        <f>1070.8+(243.5-671)+(0.546108+(0.124185-0.34221))+0-12-0.00611999999999878</f>
        <v>631.62196299999994</v>
      </c>
      <c r="L318" s="3">
        <f>1109.7+(253.5-703.6)+(-1.131894+(-0.25857--0.717672))+0-13--0.0132600000000021</f>
        <v>645.94046800000001</v>
      </c>
      <c r="M318" s="3">
        <f>1250+(206.8-782.4)+(1.9125+(0.316404-1.197072))+0-13-0.0198900000000008</f>
        <v>662.41194200000007</v>
      </c>
      <c r="N318" s="3">
        <f>1386.3+(208.3-872.6)+(0+(0-0))+0-13-0</f>
        <v>709</v>
      </c>
      <c r="O318" s="3">
        <f>1498.3+(173.3-886.7)+(0.764133+(0.088383-0.452217))+0-13-0.00662999999999868</f>
        <v>772.29366899999991</v>
      </c>
      <c r="P318" s="3">
        <f>1525.4+(114.4-816.7)+(0+(0-0))+0-13-0</f>
        <v>810.1</v>
      </c>
      <c r="Q318" s="3">
        <f>1549.8+(68.8-783.1)+(-1.580796+(-0.070176--0.798762))+0-13--0.0132600000000021</f>
        <v>821.66104999999982</v>
      </c>
      <c r="R318" s="3">
        <f>1511+(74.3-788.8)+(-3.08244+(-0.151572--1.609152))+0-13--0.0265199999999994</f>
        <v>781.90165999999999</v>
      </c>
      <c r="S318" s="3">
        <f>1519.2+(137-894.4)+(1.549584+(0.13974-0.912288))+0-13-0.0132600000000021</f>
        <v>749.56377600000008</v>
      </c>
      <c r="T318" s="3">
        <f>1517.6+(143.1-904)+(-1.547952+(-0.145962--0.92208))+0-13--0.0132600000000021</f>
        <v>742.94142599999986</v>
      </c>
      <c r="U318" s="3">
        <f>1497+(141-880.4)+(3.05388+(0.28764-1.796016))+0-13-0.0265199999999994</f>
        <v>746.11898400000007</v>
      </c>
      <c r="V318" s="3">
        <f>1489.2+(109.7-791.9)+(0+(0-0))+0-13-0</f>
        <v>794.00000000000011</v>
      </c>
      <c r="W318" s="3">
        <f>1563+(124.5-819.8)+(-0.79713+(-0.063495--0.418098))+0-13--0.00662999999999868</f>
        <v>854.26410299999998</v>
      </c>
      <c r="X318" s="3">
        <f>1616+(114.4-768.1)+(-1.64832+(-0.116688--0.783462))+0-13--0.0132600000000021</f>
        <v>948.33171399999992</v>
      </c>
      <c r="Y318" s="3">
        <f>1609.7+(150.2-817.5)+(-4.925682+(-0.459612--2.50155))+0-13--0.0397800000000015</f>
        <v>926.55603600000006</v>
      </c>
      <c r="Z318" s="3">
        <f>1612.3+(124.4-835.4)+(1.644546+(0.126888-0.852108))+0-13-0.0132600000000021</f>
        <v>889.20606599999996</v>
      </c>
      <c r="AA318" s="3">
        <f>1529.3+(195.5-831.4)+(-3.899715+(-0.498525--2.12007))+0-13--0.0331499999999981</f>
        <v>878.15497999999991</v>
      </c>
      <c r="AB318" s="3">
        <f>1531.7+(172.3-843.4)+(-3.124668+(-0.351492--1.720536))+0-13--0.0265199999999994</f>
        <v>845.87089600000013</v>
      </c>
      <c r="AC318" s="3">
        <f>1400.1+(223.6-783)+(-2.856204+(-0.456144--1.59732))+0-13--0.0265199999999994</f>
        <v>826.01149199999998</v>
      </c>
      <c r="AD318" s="2">
        <v>947.4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1229.4+(255.8-748.3)+(-1.880982+(-0.391374--1.144899))+0-12.5--0.0191250000000007</f>
        <v>723.29166800000007</v>
      </c>
      <c r="G319" s="3">
        <f>1242.5+(173.1-731.4)+(-3.168375+(-0.441405--1.86507))+0-12.5--0.0318749999999982</f>
        <v>669.987165</v>
      </c>
      <c r="H319" s="3">
        <f>1138.5+(260-740.7)+(1.16127+(0.2652-0.755514))+0-12.5-0.012750000000002</f>
        <v>645.95820600000002</v>
      </c>
      <c r="I319" s="3">
        <f>1123.9+(237-720.5)+(-0.573189+(-0.12087--0.367455))+0-12.5--0.00637499999999873</f>
        <v>627.57977100000016</v>
      </c>
      <c r="J319" s="3">
        <f>1126.3+(250.8-737)+(-0.574413+(-0.127908--0.37587))+0-12.5--0.00637499999999873</f>
        <v>627.27992399999994</v>
      </c>
      <c r="K319" s="3">
        <f>1130.5+(248-740.5)+(1.15311+(0.25296-0.75531))+0-12.5-0.012750000000002</f>
        <v>626.13801000000001</v>
      </c>
      <c r="L319" s="3">
        <f>1128.6+(263-751.4)+(-1.151172+(-0.26826--0.766428))+0-12.5--0.012750000000002</f>
        <v>627.0597459999999</v>
      </c>
      <c r="M319" s="3">
        <f>1196.1+(224.4-794.4)+(0+(0-0))+0-12.5-0</f>
        <v>613.59999999999991</v>
      </c>
      <c r="N319" s="3">
        <f>1201.9+(225.2-792.4)+(0.612969+(0.114852-0.404124))+0-12.5-0.00637499999999873</f>
        <v>622.51732200000004</v>
      </c>
      <c r="O319" s="3">
        <f>1319.4+(170.1-820.6)+(0.672894+(0.086751-0.418506))+0-12.5-0.00637499999999873</f>
        <v>656.73476400000004</v>
      </c>
      <c r="P319" s="3">
        <f>1388+(176-831.3)+(-2.12364+(-0.26928--1.271889))+0-12.5--0.0191250000000007</f>
        <v>719.09809400000006</v>
      </c>
      <c r="Q319" s="3">
        <f>1299.7+(263.8-809.1)+(-2.651388+(-0.538152--1.650564))+0-12.5--0.0254999999999995</f>
        <v>740.38652400000001</v>
      </c>
      <c r="R319" s="3">
        <f>1172.4+(274.1-731.5)+(-0.597924+(-0.139791--0.373065))+0-13--0.00662999999999868</f>
        <v>701.6419800000001</v>
      </c>
      <c r="S319" s="3">
        <f>1165.5+(256.4-738.6)+(-2.37762+(-0.523056--1.506744))+0-13--0.0265199999999994</f>
        <v>668.93258800000001</v>
      </c>
      <c r="T319" s="3">
        <f>1165.6+(206.4-693.5)+(-1.783368+(-0.315792--1.061055))+0-13--0.0198900000000008</f>
        <v>664.48178499999995</v>
      </c>
      <c r="U319" s="3">
        <f>1190.4+(244-754.4)+(1.821312+(0.37332-1.154232))+0-13-0.0198900000000008</f>
        <v>668.02051000000006</v>
      </c>
      <c r="V319" s="3">
        <f>1212.6+(213.3-725.1)+(-1.236852+(-0.217566--0.739602))+0-13--0.0132600000000021</f>
        <v>687.09844399999986</v>
      </c>
      <c r="W319" s="3">
        <f>1325.8+(154.8-700.4)+(-3.38079+(-0.39474--1.78602))+0-13--0.0331499999999981</f>
        <v>765.24364000000003</v>
      </c>
      <c r="X319" s="3">
        <f>1462.6+(189.9-744.4)+(-2.237778+(-0.290547--1.138932))+0-13--0.0198900000000008</f>
        <v>893.7304969999999</v>
      </c>
      <c r="Y319" s="3">
        <f>1483.5+(206.3-764.6)+(-0.756585+(-0.105213--0.389946))+0-13--0.00662999999999868</f>
        <v>911.73477800000001</v>
      </c>
      <c r="Z319" s="3">
        <f>1411.2+(244-739.3)+(-0.719712+(-0.12444--0.377043))+0-13--0.00662999999999868</f>
        <v>902.43952100000001</v>
      </c>
      <c r="AA319" s="3">
        <f>1320+(248.3-697)+(0.6732+(0.126633-0.35547))+0-13-0.00662999999999868</f>
        <v>858.73773299999993</v>
      </c>
      <c r="AB319" s="3">
        <f>1314+(227.8-684.2)+(-2.01042+(-0.348534--1.046826))+0-13--0.0198900000000008</f>
        <v>843.30776199999991</v>
      </c>
      <c r="AC319" s="3">
        <f>1311+(209.2-701.9)+(-2.67444+(-0.426768--1.431876))+0-13--0.0265199999999994</f>
        <v>803.65718799999991</v>
      </c>
      <c r="AD319" s="2">
        <v>902.30000000000007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1306.1+(112.5-638.6)+(-2.664444+(-0.2295--1.302744))+0-13--0.0265199999999994</f>
        <v>765.43531999999993</v>
      </c>
      <c r="G320" s="3">
        <f>1320.3+(124.8-720)+(-0.673353+(-0.063648--0.3672))+0-13--0.00662999999999868</f>
        <v>711.73682899999983</v>
      </c>
      <c r="H320" s="3">
        <f>1326.7+(146.6-764.3)+(-2.706468+(-0.299064--1.559172))+0-13--0.0265199999999994</f>
        <v>694.58016000000009</v>
      </c>
      <c r="I320" s="3">
        <f>1226.2+(171.6-707.2)+(-0.625362+(-0.087516--0.360672))+0-13--0.00662999999999868</f>
        <v>677.25442399999997</v>
      </c>
      <c r="J320" s="3">
        <f>1202.6+(189.9-710.2)+(3.06663+(0.484245-1.81101))+0-13-0.0331499999999981</f>
        <v>671.00671499999987</v>
      </c>
      <c r="K320" s="3">
        <f>1256+(144.4-728.3)+(1.92168+(0.220932-1.114299))+0-13-0.0198900000000008</f>
        <v>660.10842300000002</v>
      </c>
      <c r="L320" s="3">
        <f>1289.6+(146.4-773.8)+(1.973088+(0.223992-1.183914))+0-13-0.0198900000000008</f>
        <v>650.19327599999986</v>
      </c>
      <c r="M320" s="3">
        <f>1338.9+(122.5-775.8)+(-2.048517+(-0.187425--1.186974))+0-13--0.0198900000000008</f>
        <v>671.57092200000022</v>
      </c>
      <c r="N320" s="3">
        <f>1351.2+(120.5-752)+(1.378224+(0.12291-0.76704))+0-13-0.0132600000000021</f>
        <v>707.42083400000013</v>
      </c>
      <c r="O320" s="3">
        <f>1440+(137.1-817.1)+(0+(0-0))+0-12-0</f>
        <v>748</v>
      </c>
      <c r="P320" s="3">
        <f>1580.2+(160.6-924.1)+(1.611804+(0.163812-0.942582))+0-12-0.0122400000000019</f>
        <v>805.52079400000002</v>
      </c>
      <c r="Q320" s="3">
        <f>1572.4+(216.1-953.1)+(-1.603848+(-0.220422--0.972162))+0-12--0.0122400000000019</f>
        <v>822.56013200000007</v>
      </c>
      <c r="R320" s="3">
        <f>1563.8+(185.8-948.5)+(-3.98769+(-0.47379--2.418675))+0-13--0.0331499999999981</f>
        <v>786.09034499999984</v>
      </c>
      <c r="S320" s="3">
        <f>1573.2+(116-926.4)+(-0.802332+(-0.05916--0.472464))+0-13--0.00662999999999868</f>
        <v>749.41760199999999</v>
      </c>
      <c r="T320" s="3">
        <f>1568.3+(91.3-899.2)+(-3.999165+(-0.232815--2.29296))+0-13--0.0331499999999981</f>
        <v>745.49412999999981</v>
      </c>
      <c r="U320" s="3">
        <f>1482.2+(130.5-861.8)+(-1.511844+(-0.13311--0.879036))+0-13--0.0132600000000021</f>
        <v>737.14734199999998</v>
      </c>
      <c r="V320" s="3">
        <f>1405.9+(156.4-813)+(0.717009+(0.079764-0.41463))+0-13-0.00662999999999868</f>
        <v>736.67551300000014</v>
      </c>
      <c r="W320" s="3">
        <f>1574.9+(153.9-885.6)+(0+(0-0))+0-13-0</f>
        <v>830.2</v>
      </c>
      <c r="X320" s="3">
        <f>1576.9+(311.1-926)+(-0.804219+(-0.158661--0.47226))+0-12--0.00611999999999878</f>
        <v>949.51550000000009</v>
      </c>
      <c r="Y320" s="3">
        <f>1566.1+(288-892.2)+(-4.792266+(-0.88128--2.730132))+0-12--0.0367200000000014</f>
        <v>946.99330599999985</v>
      </c>
      <c r="Z320" s="3">
        <f>1553.1+(250.9-851.9)+(-3.168324+(-0.511836--1.737876))+0-12--0.0244799999999995</f>
        <v>938.18219599999998</v>
      </c>
      <c r="AA320" s="3">
        <f>1389.4+(333.9-808.7)+(-0.708594+(-0.170289--0.412437))+0-12--0.00611999999999878</f>
        <v>902.13967400000001</v>
      </c>
      <c r="AB320" s="3">
        <f>1384.6+(276.9-798.4)+(-2.824584+(-0.564876--1.628736))+0-12--0.0244799999999995</f>
        <v>849.36375599999997</v>
      </c>
      <c r="AC320" s="3">
        <f>1383.8+(169.5-753.4)+(-2.117214+(-0.259335--1.152702))+0-12--0.0183600000000007</f>
        <v>786.69451300000003</v>
      </c>
      <c r="AD320" s="2">
        <v>939.19999999999993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1258.9+(185.3-723.3)+(-2.568156+(-0.378012--1.475532))+0-12--0.0244799999999995</f>
        <v>707.45384400000012</v>
      </c>
      <c r="G321" s="3">
        <f>1245.3+(189.3-762.3)+(-1.905309+(-0.289629--1.166319))+0-12--0.0183600000000007</f>
        <v>659.28974099999994</v>
      </c>
      <c r="H321" s="3">
        <f>1148.9+(226.8-736.9)+(0+(0-0))+0-12-0</f>
        <v>626.80000000000018</v>
      </c>
      <c r="I321" s="3">
        <f>1155.9+(217.8-740.8)+(-0.589509+(-0.111078--0.377808))+0-12--0.00611999999999878</f>
        <v>620.58334100000013</v>
      </c>
      <c r="J321" s="3">
        <f>1181.6+(211.5-766.7)+(0.602616+(0.107865-0.391017))+0-12-0.00611999999999878</f>
        <v>614.71334399999989</v>
      </c>
      <c r="K321" s="3">
        <f>1227.3+(210.8-800.8)+(1.251846+(0.215016-0.816816))+0-12-0.0122400000000019</f>
        <v>625.93780599999991</v>
      </c>
      <c r="L321" s="3">
        <f>1305+(227.7-858)+(1.3311+(0.232254-0.87516))+0-12-0.0122400000000019</f>
        <v>663.37595399999998</v>
      </c>
      <c r="M321" s="3">
        <f>1374+(228.6-918.2)+(0.70074+(0.116586-0.468282))+0-12-0.00611999999999878</f>
        <v>672.74292400000002</v>
      </c>
      <c r="N321" s="3">
        <f>1551+(160.5-974.8)+(-3.16404+(-0.32742--1.988592))+0-12--0.0244799999999995</f>
        <v>723.22161200000005</v>
      </c>
      <c r="O321" s="3">
        <f>1510.8+(129-855.3)+(2.311524+(0.19737-1.308609))+0-12-0.0183600000000007</f>
        <v>773.68192499999998</v>
      </c>
      <c r="P321" s="3">
        <f>1437.4+(161.6-787.6)+(-1.466148+(-0.164832--0.803352))+0-12--0.0122400000000019</f>
        <v>798.58461200000011</v>
      </c>
      <c r="Q321" s="3">
        <f>1442.2+(166.5-799.1)+(-2.942088+(-0.33966--1.630164))+0-12--0.0244799999999995</f>
        <v>795.97289600000011</v>
      </c>
      <c r="R321" s="3">
        <f>1409.8+(163.4-797.4)+(-3.59499+(-0.41667--2.03337))+0-12--0.0305999999999983</f>
        <v>761.85230999999999</v>
      </c>
      <c r="S321" s="3">
        <f>1361.3+(198.8-820.5)+(0.694263+(0.101388-0.418455))+0-12-0.00611999999999878</f>
        <v>727.97107599999993</v>
      </c>
      <c r="T321" s="3">
        <f>1365.4+(203.6-843.3)+(-1.392708+(-0.207672--0.860166))+0-12--0.0122400000000019</f>
        <v>712.97202600000014</v>
      </c>
      <c r="U321" s="3">
        <f>1366.9+(201.7-847.9)+(-0.697119+(-0.102867--0.432429))+0-12--0.00611999999999878</f>
        <v>708.33856300000002</v>
      </c>
      <c r="V321" s="3">
        <f>1369.2+(189.4-821.5)+(0+(0-0))+0-12-0</f>
        <v>725.1</v>
      </c>
      <c r="W321" s="3">
        <f>1409.8+(218.1-838.4)+(0+(0-0))+0-12-0</f>
        <v>777.5</v>
      </c>
      <c r="X321" s="3">
        <f>1458+(373.8-884)+(0.74358+(0.190638-0.45084))+0-12-0.00611999999999878</f>
        <v>936.27725799999996</v>
      </c>
      <c r="Y321" s="3">
        <f>1450.7+(371.4-866)+(-2.219571+(-0.568242--1.32498))+0-12--0.0183600000000007</f>
        <v>942.65552700000001</v>
      </c>
      <c r="Z321" s="3">
        <f>1438+(303.2-812.3)+(-1.46676+(-0.309264--0.828546))+0-12--0.0122400000000019</f>
        <v>915.96476200000006</v>
      </c>
      <c r="AA321" s="3">
        <f>1367.3+(337.1-784.9)+(-2.091969+(-0.515763--1.200897))+0-12--0.0183600000000007</f>
        <v>906.11152500000003</v>
      </c>
      <c r="AB321" s="3">
        <f>1304.1+(363.3-761.3)+(-1.330182+(-0.370566--0.776526))+0-13--0.0132600000000021</f>
        <v>892.18903799999987</v>
      </c>
      <c r="AC321" s="3">
        <f>1134.5+(400.5-716.1)+(-2.892975+(-1.021275--1.826055))+0-13--0.0331499999999981</f>
        <v>803.84495499999991</v>
      </c>
      <c r="AD321" s="2">
        <v>923.7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1089.9+(362.6-732.8)+(-0.555849+(-0.184926--0.373728))+0-12--0.00611999999999878</f>
        <v>707.33907300000021</v>
      </c>
      <c r="G322" s="3">
        <f>1093.7+(306.9-732.7)+(0+(0-0))+0-12-0</f>
        <v>655.9</v>
      </c>
      <c r="H322" s="3">
        <f>1089.9+(316.9-764.2)+(0+(0-0))+0-12-0</f>
        <v>630.6</v>
      </c>
      <c r="I322" s="3">
        <f>1079+(291.7-739.7)+(0+(0-0))+0-12-0</f>
        <v>619</v>
      </c>
      <c r="J322" s="3">
        <f>1080+(278.5-725)+(2.2032+(0.56814-1.479))+0-12-0.0244799999999995</f>
        <v>622.76785999999993</v>
      </c>
      <c r="K322" s="3">
        <f>1080.6+(286.6-727.3)+(1.653318+(0.438498-1.112769))+0-12-0.0183600000000007</f>
        <v>628.86068699999998</v>
      </c>
      <c r="L322" s="3">
        <f>1075.9+(330.4-740.4)+(1.097418+(0.337008-0.755208))+0-12-0.0122400000000019</f>
        <v>654.56697800000006</v>
      </c>
      <c r="M322" s="3">
        <f>1078.5+(358.7-753.5)+(-1.10007+(-0.365874--0.76857))+0-12--0.0122400000000019</f>
        <v>671.0148660000001</v>
      </c>
      <c r="N322" s="3">
        <f>1263.6+(258.1-785.5)+(-1.933308+(-0.394893--1.201815))+0-12--0.0183600000000007</f>
        <v>723.09197399999994</v>
      </c>
      <c r="O322" s="3">
        <f>1288.3+(288.9-815.5)+(0.657033+(0.147339-0.415905))+0-12-0.00611999999999878</f>
        <v>750.08234699999991</v>
      </c>
      <c r="P322" s="3">
        <f>1290.7+(323.7-808.1)+(0+(0-0))+0-12-0</f>
        <v>794.3</v>
      </c>
      <c r="Q322" s="3">
        <f>1288.9+(388.3-869.4)+(0.657339+(0.198033-0.443394))+0-12-0.00611999999999878</f>
        <v>796.20585800000015</v>
      </c>
      <c r="R322" s="3">
        <f>1273.1+(330.6-842.7)+(-3.246405+(-0.84303--2.148885))+0-13--0.0331499999999981</f>
        <v>746.09259999999983</v>
      </c>
      <c r="S322" s="3">
        <f>1281.9+(277.7-832.4)+(0+(0-0))+0-13-0</f>
        <v>714.2</v>
      </c>
      <c r="T322" s="3">
        <f>1271.3+(265-823.4)+(-0.648363+(-0.13515--0.419934))+0-13--0.00662999999999868</f>
        <v>699.54305099999999</v>
      </c>
      <c r="U322" s="3">
        <f>1210+(293.9-795.1)+(-3.0855+(-0.749445--2.027505))+0-13--0.0331499999999981</f>
        <v>694.02570999999989</v>
      </c>
      <c r="V322" s="3">
        <f>1193.6+(341.9-825.2)+(-1.826208+(-0.523107--1.262556))+0-13--0.0198900000000008</f>
        <v>696.23313099999984</v>
      </c>
      <c r="W322" s="3">
        <f>1228.9+(360.3-819)+(-0.626739+(-0.183753--0.41769))+0-13--0.00662999999999868</f>
        <v>756.81382800000006</v>
      </c>
      <c r="X322" s="3">
        <f>1266.4+(529.7-849.5)+(-1.937592+(-0.810441--1.299735))+0-13--0.0198900000000008</f>
        <v>932.17159200000015</v>
      </c>
      <c r="Y322" s="3">
        <f>1266.6+(513.7-817)+(-3.875796+(-1.571922--2.50002))+0-13--0.0397800000000015</f>
        <v>947.39208199999996</v>
      </c>
      <c r="Z322" s="3">
        <f>1220.8+(560.9-857.8)+(-1.867824+(-0.858177--1.312434))+0-13--0.0198900000000008</f>
        <v>909.50632300000007</v>
      </c>
      <c r="AA322" s="3">
        <f>1192.7+(511.1-806.7)+(-2.433108+(-1.042644--1.645668))+0-13--0.0265199999999994</f>
        <v>882.29643599999997</v>
      </c>
      <c r="AB322" s="3">
        <f>1193.3+(448.6-781.1)+(-3.042915+(-1.14393--1.991805))+0-13--0.0331499999999981</f>
        <v>845.63810999999998</v>
      </c>
      <c r="AC322" s="3">
        <f>1137.2+(402.3-740.6)+(-1.159944+(-0.410346--0.755412))+0-13--0.0132600000000021</f>
        <v>785.09838200000002</v>
      </c>
      <c r="AD322" s="2">
        <v>960.1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1099.8+(328.6-718.5)+(-2.243592+(-0.670344--1.46574))+0-12--0.0244799999999995</f>
        <v>696.47628399999996</v>
      </c>
      <c r="G323" s="3">
        <f>1109.7+(279.9-722.1)+(-0.565947+(-0.142749--0.368271))+0-12--0.00611999999999878</f>
        <v>655.16569500000003</v>
      </c>
      <c r="H323" s="3">
        <f>1059.4+(339.4-760.5)+(0+(0-0))+0-12-0</f>
        <v>626.30000000000007</v>
      </c>
      <c r="I323" s="3">
        <f>1000.9+(353.1-726)+(0+(0-0))+0-12-0</f>
        <v>616</v>
      </c>
      <c r="J323" s="3">
        <f>1005+(335.8-713.8)+(1.53765+(0.513774-1.092114))+0-12-0.0183600000000007</f>
        <v>615.94094999999993</v>
      </c>
      <c r="K323" s="3">
        <f>1057.6+(290.4-718.2)+(-1.618128+(-0.444312--1.098846))+0-12--0.0183600000000007</f>
        <v>616.85476599999993</v>
      </c>
      <c r="L323" s="3">
        <f>1100.9+(271.9-720.7)+(0+(0-0))+0-12-0</f>
        <v>640.1</v>
      </c>
      <c r="M323" s="3">
        <f>1109.8+(286.9-722)+(0+(0-0))+0-9-0</f>
        <v>665.69999999999993</v>
      </c>
      <c r="N323" s="3">
        <f>1164.9+(296.9-756.3)+(0+(0-0))+0-9-0</f>
        <v>696.50000000000011</v>
      </c>
      <c r="O323" s="3">
        <f>1273.1+(291.4-798.3)+(0+(0-0))+0-10-0</f>
        <v>756.19999999999993</v>
      </c>
      <c r="P323" s="3">
        <f>1271.3+(356.3-832.8)+(-1.945089+(-0.545139--1.274184))+0-12--0.0183600000000007</f>
        <v>781.60231599999997</v>
      </c>
      <c r="Q323" s="3">
        <f>1273.2+(361.3-835.2)+(-1.298664+(-0.368526--0.851904))+0-13--0.0132600000000021</f>
        <v>785.49797399999989</v>
      </c>
      <c r="R323" s="3">
        <f>1266.9+(362.6-878.8)+(-1.938357+(-0.554778--1.344564))+0-13--0.0198900000000008</f>
        <v>736.57131900000024</v>
      </c>
      <c r="S323" s="3">
        <f>1263.4+(273.9-818.9)+(-1.933002+(-0.419067--1.252917))+0-13--0.0198900000000008</f>
        <v>704.32073800000012</v>
      </c>
      <c r="T323" s="3">
        <f>1250.8+(255.8-802.6)+(-0.637908+(-0.130458--0.409326))+0-13--0.00662999999999868</f>
        <v>690.64758999999992</v>
      </c>
      <c r="U323" s="3">
        <f>1178.9+(313-796.1)+(-1.202478+(-0.31926--0.812022))+0-13--0.0132600000000021</f>
        <v>682.10354400000006</v>
      </c>
      <c r="V323" s="3">
        <f>1173.3+(343.8-802.7)+(-1.795149+(-0.526014--1.228131))+0-13--0.0198900000000008</f>
        <v>700.3268579999999</v>
      </c>
      <c r="W323" s="3">
        <f>1212+(375.8-798.4)+(0+(0-0))+0-13-0</f>
        <v>776.40000000000009</v>
      </c>
      <c r="X323" s="3">
        <f>1247+(557-860.1)+(0+(0-0))+0-13-0</f>
        <v>930.9</v>
      </c>
      <c r="Y323" s="3">
        <f>1238.2+(539.2-819)+(-3.788892+(-1.649952--2.50614))+0-13--0.0397800000000015</f>
        <v>942.5070760000001</v>
      </c>
      <c r="Z323" s="3">
        <f>1258.4+(531.4-852)+(0+(0-0))+0-13-0</f>
        <v>924.80000000000007</v>
      </c>
      <c r="AA323" s="3">
        <f>1134.5+(560.1-782.9)+(-0.578595+(-0.285651--0.399279))+0-13--0.00662999999999868</f>
        <v>898.24166300000002</v>
      </c>
      <c r="AB323" s="3">
        <f>1149+(431.7-711.9)+(-1.17198+(-0.440334--0.726138))+0-13--0.0132600000000021</f>
        <v>854.92708399999992</v>
      </c>
      <c r="AC323" s="3">
        <f>1153.3+(329.6-678.3)+(-1.764549+(-0.504288--1.037799))+0-13--0.0198900000000008</f>
        <v>790.38885200000004</v>
      </c>
      <c r="AD323" s="2">
        <v>904.9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1122.5+(298.5-702.8)+(-2.862375+(-0.761175--1.79214))+0-13--0.0331499999999981</f>
        <v>703.40174000000002</v>
      </c>
      <c r="G324" s="3">
        <f>1224.6+(161.8-707.6)+(-2.498184+(-0.330072--1.443504))+0-13--0.0265199999999994</f>
        <v>664.44176799999991</v>
      </c>
      <c r="H324" s="3">
        <f>1160.4+(196.3-706.9)+(-0.591804+(-0.100113--0.360519))+0-13--0.00662999999999868</f>
        <v>636.47523200000012</v>
      </c>
      <c r="I324" s="3">
        <f>1155.5+(201.3-715.4)+(0+(0-0))+0-13-0</f>
        <v>628.40000000000009</v>
      </c>
      <c r="J324" s="3">
        <f>1158.3+(185.8-704.4)+(0+(0-0))+0-13-0</f>
        <v>626.70000000000005</v>
      </c>
      <c r="K324" s="3">
        <f>1224+(153.5-725.9)+(1.87272+(0.234855-1.110627))+0-13-0.0198900000000008</f>
        <v>639.57705799999997</v>
      </c>
      <c r="L324" s="3">
        <f>1342.7+(175.9-834.3)+(0+(0-0))+0-13-0</f>
        <v>671.30000000000007</v>
      </c>
      <c r="M324" s="3">
        <f>1454.5+(143.9-887.8)+(2.96718+(0.293556-1.811112))+0-13-0.0265199999999994</f>
        <v>699.02310399999999</v>
      </c>
      <c r="N324" s="3">
        <f>1465.5+(136.4-846.9)+(0+(0-0))+0-13-0</f>
        <v>742</v>
      </c>
      <c r="O324" s="3">
        <f>1515.4+(214.7-912.5)+(0+(0-0))+0-13-0</f>
        <v>804.60000000000014</v>
      </c>
      <c r="P324" s="3">
        <f>1512.2+(274.9-948.5)+(-1.542444+(-0.280398--0.96747))+0-13--0.0132600000000021</f>
        <v>824.75788799999998</v>
      </c>
      <c r="Q324" s="3">
        <f>1510.5+(288.2-948.9)+(-1.54071+(-0.293964--0.967878))+0-13--0.0132600000000021</f>
        <v>835.94646399999988</v>
      </c>
      <c r="R324" s="3">
        <f>1497.2+(269.3-953.8)+(-4.581432+(-0.824058--2.918628))+0-13--0.0397800000000015</f>
        <v>797.25291800000002</v>
      </c>
      <c r="S324" s="3">
        <f>1425.3+(294.2-940)+(-2.180709+(-0.450126--1.4382))+0-13--0.0198900000000008</f>
        <v>765.32725500000004</v>
      </c>
      <c r="T324" s="3">
        <f>1403.2+(242.5-878)+(-3.57816+(-0.618375--2.2389))+0-13--0.0331499999999981</f>
        <v>752.77551500000004</v>
      </c>
      <c r="U324" s="3">
        <f>1349+(297.9-872.7)+(-0.68799+(-0.151929--0.445077))+0-13--0.00662999999999868</f>
        <v>760.81178799999986</v>
      </c>
      <c r="V324" s="3">
        <f>1345.4+(335.3-895.3)+(-0.686154+(-0.171003--0.456603))+0-13--0.00662999999999868</f>
        <v>772.00607600000001</v>
      </c>
      <c r="W324" s="3">
        <f>1461.5+(383.7-999.5)+(-2.236095+(-0.587061--1.529235))+0-13--0.0198900000000008</f>
        <v>831.42596900000012</v>
      </c>
      <c r="X324" s="3">
        <f>1534.2+(469.3-1014.5)+(-3.129768+(-0.957372--2.06958))+0-13--0.0265199999999994</f>
        <v>974.00896</v>
      </c>
      <c r="Y324" s="3">
        <f>1485.2+(518.1-1008.4)+(-2.272356+(-0.792693--1.542852))+0-13--0.0198900000000008</f>
        <v>980.39769300000012</v>
      </c>
      <c r="Z324" s="3">
        <f>1393.6+(561.6-1013.6)+(-1.421472+(-0.572832--1.033872))+0-13--0.0132600000000021</f>
        <v>927.65282799999989</v>
      </c>
      <c r="AA324" s="3">
        <f>1390.5+(296.5-763.4)+(-1.41831+(-0.30243--0.778668))+0-13--0.0132600000000021</f>
        <v>909.67118799999992</v>
      </c>
      <c r="AB324" s="3">
        <f>1386.6+(214.5-708.7)+(-2.121498+(-0.328185--1.084311))+0-13--0.0198900000000008</f>
        <v>878.05451799999992</v>
      </c>
      <c r="AC324" s="3">
        <f>1389.8+(68.5-626.8)+(-2.835192+(-0.13974--1.278672))+0-13--0.0265199999999994</f>
        <v>816.83025999999995</v>
      </c>
      <c r="AD324" s="2">
        <v>942.89999999999986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1389.7+(30.2-658.7)+(-2.126241+(-0.046206--1.007811))+0-13--0.0198900000000008</f>
        <v>747.0552540000001</v>
      </c>
      <c r="G325" s="3">
        <f>1377.9+(20.4-696.4)+(-3.513645+(-0.05202--1.77582))+0-13--0.0331499999999981</f>
        <v>687.14330500000005</v>
      </c>
      <c r="H325" s="3">
        <f>1304.3+(20.5-656.1)+(-1.995579+(-0.031365--1.003833))+0-13--0.0198900000000008</f>
        <v>654.69677899999999</v>
      </c>
      <c r="I325" s="3">
        <f>1301.1+(28.3-654.6)+(-1.990683+(-0.043299--1.001538))+0-13--0.0198900000000008</f>
        <v>660.78744599999982</v>
      </c>
      <c r="J325" s="3">
        <f>1301.5+(29.1-651.7)+(-0.663765+(-0.014841--0.332367))+0-13--0.00662999999999868</f>
        <v>665.56039099999998</v>
      </c>
      <c r="K325" s="3">
        <f>1367.5+(34.5-709.3)+(1.39485+(0.03519-0.723486))+0-13-0.0132600000000021</f>
        <v>680.39329400000008</v>
      </c>
      <c r="L325" s="3">
        <f>1388.9+(30-719.6)+(-2.125017+(-0.0459--1.100988))+0-13--0.0198900000000008</f>
        <v>685.2499610000001</v>
      </c>
      <c r="M325" s="3">
        <f>1394.2+(32-725.1)+(-0.711042+(-0.01632--0.369801))+0-13--0.00662999999999868</f>
        <v>687.74906899999996</v>
      </c>
      <c r="N325" s="3">
        <f>1449.6+(25.2-749)+(0+(0-0))+0-13-0</f>
        <v>712.8</v>
      </c>
      <c r="O325" s="3">
        <f>1559.3+(37-790.1)+(1.590486+(0.03774-0.805902))+0-13-0.0132600000000021</f>
        <v>794.00906399999997</v>
      </c>
      <c r="P325" s="3">
        <f>1579.5+(62.4-785.7)+(0.805545+(0.031824-0.400707))+0-13-0.00662999999999868</f>
        <v>843.63003199999991</v>
      </c>
      <c r="Q325" s="3">
        <f>1574.1+(129.3-835.9)+(-1.605582+(-0.131886--0.852618))+0-13--0.0132600000000021</f>
        <v>853.62840999999992</v>
      </c>
      <c r="R325" s="3">
        <f>1565.4+(79.3-847.8)+(-4.790124+(-0.242658--2.594268))+0-13--0.0397800000000015</f>
        <v>781.50126599999999</v>
      </c>
      <c r="S325" s="3">
        <f>1566.2+(64.2-830.5)+(-3.195048+(-0.130968--1.69422))+0-13--0.0265199999999994</f>
        <v>785.29472400000009</v>
      </c>
      <c r="T325" s="3">
        <f>1562+(62.5-835.1)+(0+(0-0))+0-13-0</f>
        <v>776.4</v>
      </c>
      <c r="U325" s="3">
        <f>1547.7+(61.7-816.3)+(-2.367981+(-0.094401--1.248939))+0-13--0.0198900000000008</f>
        <v>778.90644700000018</v>
      </c>
      <c r="V325" s="3">
        <f>1549.4+(69.5-815)+(-1.580388+(-0.07089--0.8313))+0-13--0.0132600000000021</f>
        <v>790.09328200000004</v>
      </c>
      <c r="W325" s="3">
        <f>1556.8+(190.9-870.3)+(2.381904+(0.292077-1.331559))+0-12-0.0183600000000007</f>
        <v>866.724062</v>
      </c>
      <c r="X325" s="3">
        <f>1551.1+(410.1-943.3)+(-1.582122+(-0.418302--0.962166))+0-12--0.0122400000000019</f>
        <v>1004.873982</v>
      </c>
      <c r="Y325" s="3">
        <f>1551.1+(419.6-942.4)+(-1.582122+(-0.427992--0.961248))+0-12--0.0122400000000019</f>
        <v>1015.2633739999999</v>
      </c>
      <c r="Z325" s="3">
        <f>1553.7+(363.9-916.1)+(-2.377161+(-0.556767--1.401633))+0-12--0.0183600000000007</f>
        <v>987.98606500000005</v>
      </c>
      <c r="AA325" s="3">
        <f>1549.6+(283.6-864.6)+(-2.370888+(-0.433908--1.322838))+0-12--0.0183600000000007</f>
        <v>955.13640199999998</v>
      </c>
      <c r="AB325" s="3">
        <f>1536.2+(270.8-873.6)+(0.783462+(0.138108-0.445536))+0-12-0.00611999999999878</f>
        <v>921.86991400000011</v>
      </c>
      <c r="AC325" s="3">
        <f>1460.8+(248.7-831.7)+(-1.490016+(-0.253674--0.848334))+0-12--0.0122400000000019</f>
        <v>864.91688399999998</v>
      </c>
      <c r="AD325" s="2">
        <v>935.90000000000009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1460.6+(113.6-818.4)+(-0.744906+(-0.057936--0.417384))+0-12--0.00611999999999878</f>
        <v>743.42066199999999</v>
      </c>
      <c r="G326" s="3">
        <f>1437.1+(113.5-839.6)+(-0.732921+(-0.057885--0.428196))+0-12--0.00611999999999878</f>
        <v>698.64350999999988</v>
      </c>
      <c r="H326" s="3">
        <f>1374.4+(149.4-850.6)+(-0.700944+(-0.076194--0.433806))+0-12--0.00611999999999878</f>
        <v>660.86278800000002</v>
      </c>
      <c r="I326" s="3">
        <f>1374.5+(132.9-837.6)+(0.700995+(0.067779-0.427176))+0-12-0.00611999999999878</f>
        <v>658.13547799999992</v>
      </c>
      <c r="J326" s="3">
        <f>1367.1+(110.2-817.9)+(-2.091663+(-0.168606--1.251387))+0-12--0.0183600000000007</f>
        <v>646.40947800000004</v>
      </c>
      <c r="K326" s="3">
        <f>1406.1+(112.2-864.7)+(0+(0-0))+0-12-0</f>
        <v>641.59999999999991</v>
      </c>
      <c r="L326" s="3">
        <f>1398.3+(176.2-908.2)+(-4.278798+(-0.539172--2.779092))+0-12--0.0367200000000014</f>
        <v>652.29784199999995</v>
      </c>
      <c r="M326" s="3">
        <f>1367.1+(207.6-933.2)+(-1.394442+(-0.211752--0.951864))+0-12--0.0122400000000019</f>
        <v>628.85790999999995</v>
      </c>
      <c r="N326" s="3">
        <f>1495.7+(195.7-1019.3)+(1.525614+(0.199614-1.039686))+0-12-0.0122400000000019</f>
        <v>660.77330200000017</v>
      </c>
      <c r="O326" s="3">
        <f>1482.9+(168.8-933.6)+(3.781395+(0.43044-2.38068))+0-12-0.0305999999999983</f>
        <v>707.90055500000005</v>
      </c>
      <c r="P326" s="3">
        <f>1508.3+(100.1-865.5)+(1.538466+(0.102102-0.88281))+0-10-0.0102000000000016</f>
        <v>733.64755799999989</v>
      </c>
      <c r="Q326" s="3">
        <f>1490.6+(107.3-855.4)+(-3.040824+(-0.218892--1.745016))+0-10--0.0203999999999996</f>
        <v>731.00569999999993</v>
      </c>
      <c r="R326" s="3">
        <f>1491.3+(69.9-839.1)+(0+(0-0))+0-9-0</f>
        <v>713.09999999999991</v>
      </c>
      <c r="S326" s="3">
        <f>1471.4+(101-870.1)+(-1.500828+(-0.10302--0.887502))+0-9--0.00918000000000144</f>
        <v>692.59283400000004</v>
      </c>
      <c r="T326" s="3">
        <f>1473.4+(126-907.9)+(2.254302+(0.19278-1.389087))+0-9-0.0137700000000005</f>
        <v>683.5442250000001</v>
      </c>
      <c r="U326" s="3">
        <f>1461.4+(114.3-888.4)+(-1.490628+(-0.116586--0.906168))+0-9--0.00918000000000144</f>
        <v>677.60813400000006</v>
      </c>
      <c r="V326" s="3">
        <f>1444.7+(123.7-875.6)+(0.736797+(0.063087-0.446556))+0-9-0.00458999999999909</f>
        <v>684.14873800000009</v>
      </c>
      <c r="W326" s="3">
        <f>1459.8+(111.3-853)+(-1.488996+(-0.113526--0.87006))+0-14--0.0142800000000022</f>
        <v>703.38181799999984</v>
      </c>
      <c r="X326" s="3">
        <f>1571+(190.6-857.2)+(1.60242+(0.194412-0.874344))+0-14-0.0142800000000022</f>
        <v>891.30820800000004</v>
      </c>
      <c r="Y326" s="3">
        <f>1565.9+(208.3-849.3)+(-2.395827+(-0.318699--1.299429))+0-9--0.0137700000000005</f>
        <v>914.49867300000017</v>
      </c>
      <c r="Z326" s="3">
        <f>1566.8+(164-828.8)+(-2.397204+(-0.25092--1.268064))+0-11--0.0168300000000006</f>
        <v>889.63677000000007</v>
      </c>
      <c r="AA326" s="3">
        <f>1544+(168.5-818.1)+(-3.9372+(-0.429675--2.086155))+0-11--0.0280499999999984</f>
        <v>881.14733000000001</v>
      </c>
      <c r="AB326" s="3">
        <f>1509.1+(166.6-814.2)+(-0.769641+(-0.084966--0.415242))+0-13--0.00662999999999868</f>
        <v>848.06726499999991</v>
      </c>
      <c r="AC326" s="3">
        <f>1500.3+(134.7-815.2)+(-3.825765+(-0.343485--2.07876))+0-10--0.0254999999999985</f>
        <v>807.73500999999987</v>
      </c>
      <c r="AD326" s="2">
        <v>917.90000000000009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1503.1+(158.1-893.8)+(-2.299743+(-0.241893--1.367514))+0-5--0.00765000000000029</f>
        <v>761.23352799999998</v>
      </c>
      <c r="G327" s="3">
        <f>1449.6+(125.6-881.8)+(-3.69648+(-0.32028--2.24859))+0-5--0.0127499999999993</f>
        <v>686.64457999999991</v>
      </c>
      <c r="H327" s="3">
        <f>1419.8+(133.1-886.1)+(-0.724098+(-0.067881--0.451911))+0-5--0.00254999999999949</f>
        <v>661.46248200000002</v>
      </c>
      <c r="I327" s="3">
        <f>1422.9+(121.6-888.9)+(-0.725679+(-0.062016--0.453339))+0-5--0.00254999999999949</f>
        <v>650.26819400000022</v>
      </c>
      <c r="J327" s="3">
        <f>1416.9+(108.4-875.5)+(-1.445238+(-0.110568--0.89301))+0-5--0.0051000000000008</f>
        <v>644.14230400000008</v>
      </c>
      <c r="K327" s="3">
        <f>1494.5+(104.6-941.5)+(3.04878+(0.213384-1.92066))+0-5-0.0101999999999998</f>
        <v>653.93130399999995</v>
      </c>
      <c r="L327" s="3">
        <f>1501.4+(143.3-959.6)+(-0.765714+(-0.073083--0.489396))+0-5--0.00254999999999949</f>
        <v>679.75314900000023</v>
      </c>
      <c r="M327" s="3">
        <f>1456.4+(183.9-940.2)+(0.742764+(0.093789-0.479502))+0-5-0.00254999999999949</f>
        <v>695.45450099999994</v>
      </c>
      <c r="N327" s="3">
        <f>1530.6+(143.1-920.4)+(-1.561212+(-0.145962--0.938808))+0-5--0.0051000000000008</f>
        <v>747.53673399999991</v>
      </c>
      <c r="O327" s="3">
        <f>1501+(135.9-838.3)+(1.53102+(0.138618-0.855066))+0-5-0.0051000000000008</f>
        <v>794.40947200000005</v>
      </c>
      <c r="P327" s="3">
        <f>1513.7+(167-925.3)+(-3.859935+(-0.42585--2.359515))+0-5--0.0127499999999993</f>
        <v>748.48648000000003</v>
      </c>
      <c r="Q327" s="3">
        <f>1558.5+(190.9-943.2)+(0.794835+(0.097359-0.481032))+0-5-0.00254999999999949</f>
        <v>801.60861199999988</v>
      </c>
      <c r="R327" s="3">
        <f>1563.8+(219.5-998)+(-0.797538+(-0.111945--0.50898))+0-9--0.00458999999999909</f>
        <v>775.904087</v>
      </c>
      <c r="S327" s="3">
        <f>1524.8+(239.7-1007.9)+(0.777648+(0.122247-0.514029))+0-9-0.00458999999999909</f>
        <v>747.98127599999987</v>
      </c>
      <c r="T327" s="3">
        <f>1570.7+(166.9-1022.9)+(0+(0-0))+0-10-0</f>
        <v>704.7</v>
      </c>
      <c r="U327" s="3">
        <f>1588+(172.5-1007.7)+(0+(0-0))+0-13-0</f>
        <v>739.8</v>
      </c>
      <c r="V327" s="3">
        <f>1587.4+(102.9-927.2)+(-0.809574+(-0.052479--0.472872))+0-13--0.00662999999999868</f>
        <v>749.71744899999999</v>
      </c>
      <c r="W327" s="3">
        <f>1602.9+(176-965.2)+(2.452437+(0.26928-1.476756))+0-13-0.0198900000000008</f>
        <v>801.925071</v>
      </c>
      <c r="X327" s="3">
        <f>1592.4+(345.8-969.3)+(-2.436372+(-0.529074--1.483029))+0-13--0.0198900000000008</f>
        <v>954.43747300000007</v>
      </c>
      <c r="Y327" s="3">
        <f>1589.3+(307.1-917.1)+(-3.242172+(-0.626484--1.870884))+0-13--0.0265199999999994</f>
        <v>964.32874799999991</v>
      </c>
      <c r="Z327" s="3">
        <f>1599.5+(253.1-897.5)+(-1.63149+(-0.258162--0.91545))+0-13--0.0132600000000021</f>
        <v>941.13905799999998</v>
      </c>
      <c r="AA327" s="3">
        <f>1605.9+(168.4-846.4)+(-1.638018+(-0.171768--0.863328))+0-13--0.0132600000000021</f>
        <v>913.96680200000003</v>
      </c>
      <c r="AB327" s="3">
        <f>1604.6+(138.4-841.8)+(-0.818346+(-0.070584--0.429318))+0-13--0.00662999999999868</f>
        <v>887.74701799999991</v>
      </c>
      <c r="AC327" s="3">
        <f>1606.3+(80.7-839.5)+(-4.096065+(-0.205785--2.140725))+0-13--0.0331499999999981</f>
        <v>832.37202500000001</v>
      </c>
      <c r="AD327" s="2">
        <v>919.1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1576.7+(61.1-869.5)+(-3.216468+(-0.124644--1.77378))+0-13--0.0265199999999994</f>
        <v>753.75918800000011</v>
      </c>
      <c r="G328" s="3">
        <f>1456.8+(62.2-815.1)+(1.485936+(0.063444-0.831402))+0-13-0.0132600000000021</f>
        <v>691.60471800000005</v>
      </c>
      <c r="H328" s="3">
        <f>1450.8+(63.7-846.9)+(-0.739908+(-0.032487--0.431919))+0-13--0.00662999999999868</f>
        <v>654.26615400000003</v>
      </c>
      <c r="I328" s="3">
        <f>1455.6+(57.9-857.3)+(0.742356+(0.029529-0.437223))+0-13-0.00662999999999868</f>
        <v>643.52803199999994</v>
      </c>
      <c r="J328" s="3">
        <f>1450.8+(55.6-857.8)+(-0.739908+(-0.028356--0.437478))+0-13--0.00662999999999868</f>
        <v>635.27584400000001</v>
      </c>
      <c r="K328" s="3">
        <f>1458+(57.1-864.4)+(2.23074+(0.087363-1.322532))+0-13-0.0198900000000008</f>
        <v>638.67568100000005</v>
      </c>
      <c r="L328" s="3">
        <f>1454.1+(96.1-890)+(0+(0-0))+0-13-0</f>
        <v>647.19999999999993</v>
      </c>
      <c r="M328" s="3">
        <f>1458.9+(120.9-933.8)+(0.744039+(0.061659-0.476238))+0-9-0.00458999999999909</f>
        <v>637.32487000000015</v>
      </c>
      <c r="N328" s="3">
        <f>1560.5+(109-986.7)+(0.795855+(0.05559-0.503217))+0-9-0.00458999999999909</f>
        <v>674.1436379999999</v>
      </c>
      <c r="O328" s="3">
        <f>1567.6+(112.2-950.5)+(0+(0-0))+0-10-0</f>
        <v>719.3</v>
      </c>
      <c r="P328" s="3">
        <f>1560.5+(63.7-853.4)+(-0.795855+(-0.032487--0.435234))+0-13--0.00662999999999868</f>
        <v>757.41352200000006</v>
      </c>
      <c r="Q328" s="3">
        <f>1557.3+(67.9-851.2)+(-0.794223+(-0.034629--0.434112))+0-13--0.00662999999999868</f>
        <v>760.6118899999999</v>
      </c>
      <c r="R328" s="3">
        <f>1505.1+(83.6-858.2)+(-0.767601+(-0.042636--0.437682))+0-13--0.00662999999999868</f>
        <v>717.13407499999983</v>
      </c>
      <c r="S328" s="3">
        <f>1520.5+(75.1-878.2)+(0.775455+(0.038301-0.447882))+0-13-0.00662999999999868</f>
        <v>704.75924399999997</v>
      </c>
      <c r="T328" s="3">
        <f>1501.4+(81-870.9)+(0.765714+(0.04131-0.444159))+0-13-0.00662999999999868</f>
        <v>698.8562350000002</v>
      </c>
      <c r="U328" s="3">
        <f>1501.1+(78.4-869)+(-3.062244+(-0.159936--1.77276))+0-13--0.0265199999999994</f>
        <v>696.07709999999986</v>
      </c>
      <c r="V328" s="3">
        <f>1514.7+(82.9-873.4)+(2.317491+(0.126837-1.336302))+0-13-0.0198900000000008</f>
        <v>712.28813600000001</v>
      </c>
      <c r="W328" s="3">
        <f>1509.4+(130.6-851.3)+(0.769794+(0.066606-0.434163))+0-13-0.00662999999999868</f>
        <v>776.0956070000002</v>
      </c>
      <c r="X328" s="3">
        <f>1507.2+(309.7-873.9)+(0+(0-0))+0-13-0</f>
        <v>930</v>
      </c>
      <c r="Y328" s="3">
        <f>1502.3+(333.1-869.7)+(-2.298519+(-0.509643--1.330641))+0-13--0.0198900000000008</f>
        <v>951.24236899999994</v>
      </c>
      <c r="Z328" s="3">
        <f>1499.3+(287.5-850.8)+(-3.058572+(-0.5865--1.735632))+0-13--0.0265199999999994</f>
        <v>921.11707999999999</v>
      </c>
      <c r="AA328" s="3">
        <f>1494.7+(251.4-826.1)+(-3.811485+(-0.64107--2.106555))+0-14--0.035699999999998</f>
        <v>903.68970000000002</v>
      </c>
      <c r="AB328" s="3">
        <f>1500.6+(274.4-879.3)+(-0.765306+(-0.139944--0.448443))+0-14--0.00713999999999858</f>
        <v>881.25033299999996</v>
      </c>
      <c r="AC328" s="3">
        <f>1503.8+(261.8-934.4)+(-2.300814+(-0.400554--1.429632))+0-14--0.0214200000000008</f>
        <v>815.94968400000005</v>
      </c>
      <c r="AD328" s="2">
        <v>942.5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1373+(181.6-809.5)+(0+(0-0))+0-14-0</f>
        <v>731.1</v>
      </c>
      <c r="G329" s="3">
        <f>1309.1+(165.9-795.6)+(-0.667641+(-0.084609--0.405756))+0-14--0.00713999999999858</f>
        <v>665.06064599999991</v>
      </c>
      <c r="H329" s="3">
        <f>1310.5+(145.2-792.3)+(0+(0-0))+0-14-0</f>
        <v>649.40000000000009</v>
      </c>
      <c r="I329" s="3">
        <f>1304.5+(129.8-781.6)+(-0.665295+(-0.066198--0.398616))+0-14--0.00713999999999858</f>
        <v>638.37426300000004</v>
      </c>
      <c r="J329" s="3">
        <f>1375+(115-842.6)+(0+(0-0))+0-14-0</f>
        <v>633.4</v>
      </c>
      <c r="K329" s="3">
        <f>1559.5+(81.1-971.7)+(1.59069+(0.082722-0.991134))+0-14-0.0142800000000022</f>
        <v>655.56799799999999</v>
      </c>
      <c r="L329" s="3">
        <f>1569.2+(111.2-980.9)+(-1.600584+(-0.113424--1.000518))+0-14--0.0142800000000022</f>
        <v>684.80079000000012</v>
      </c>
      <c r="M329" s="3">
        <f>1570+(126.3-976.4)+(-0.8007+(-0.064413--0.497964))+0-14--0.00713999999999858</f>
        <v>705.53999099999999</v>
      </c>
      <c r="N329" s="3">
        <f>1568.6+(99.9-898.5)+(-1.599972+(-0.101898--0.91647))+0-14--0.0142800000000022</f>
        <v>755.22887999999989</v>
      </c>
      <c r="O329" s="3">
        <f>1557.9+(129.7-882)+(-3.972645+(-0.330735--2.2491))+0-14--0.035699999999998</f>
        <v>789.58142000000021</v>
      </c>
      <c r="P329" s="3">
        <f>1556.1+(154.8-893.4)+(-2.380833+(-0.236844--1.366902))+0-14--0.0214200000000008</f>
        <v>802.27064500000006</v>
      </c>
      <c r="Q329" s="3">
        <f>1540.7+(222.8-944)+(-3.928785+(-0.56814--2.4072))+0-14--0.035699999999998</f>
        <v>803.44597499999998</v>
      </c>
      <c r="R329" s="3">
        <f>1545.1+(169.2-930.4)+(-1.576002+(-0.172584--0.949008))+0-14--0.0142800000000022</f>
        <v>769.11470199999985</v>
      </c>
      <c r="S329" s="3">
        <f>1538.7+(117.5-897)+(-3.923685+(-0.299625--2.28735))+0-14--0.035699999999998</f>
        <v>743.29974000000004</v>
      </c>
      <c r="T329" s="3">
        <f>1548.3+(107.3-899.9)+(-0.789633+(-0.054723--0.458949))+0-14--0.00713999999999858</f>
        <v>741.32173299999999</v>
      </c>
      <c r="U329" s="3">
        <f>1547.2+(100.3-897.1)+(0.789072+(0.051153-0.457521))+0-14-0.00713999999999858</f>
        <v>736.77556399999992</v>
      </c>
      <c r="V329" s="3">
        <f>1544+(110.8-906.5)+(-1.57488+(-0.113016--0.92463))+0-14--0.0142800000000022</f>
        <v>733.5510139999999</v>
      </c>
      <c r="W329" s="3">
        <f>1542.1+(220.5-955.1)+(-0.786471+(-0.112455--0.487101))+0-14--0.00713999999999858</f>
        <v>793.09531499999991</v>
      </c>
      <c r="X329" s="3">
        <f>1554.1+(432.5-1019.6)+(0+(0-0))+0-14-0</f>
        <v>952.99999999999989</v>
      </c>
      <c r="Y329" s="3">
        <f>1527.2+(486.7-1023.3)+(-0.778872+(-0.248217--0.521883))+0-14--0.00713999999999858</f>
        <v>976.10193400000014</v>
      </c>
      <c r="Z329" s="3">
        <f>1521.8+(509.2-1065.1)+(0+(0-0))+0-14-0</f>
        <v>951.90000000000009</v>
      </c>
      <c r="AA329" s="3">
        <f>1511.5+(414.8-983.9)+(-2.312595+(-0.634644--1.505367))+0-14--0.0214200000000008</f>
        <v>926.97954800000014</v>
      </c>
      <c r="AB329" s="3">
        <f>1497.7+(314.1-905.7)+(-3.055308+(-0.640764--1.847628))+0-14--0.0285599999999994</f>
        <v>890.28011600000002</v>
      </c>
      <c r="AC329" s="3">
        <f>1485.7+(215.4-862)+(-3.788535+(-0.54927--2.1981))+0-14--0.035699999999998</f>
        <v>822.99599499999999</v>
      </c>
      <c r="AD329" s="2">
        <v>949.8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1398.8+(187.2-823)+(-0.713388+(-0.095472--0.41973))+0-14--0.00713999999999858</f>
        <v>748.61801000000003</v>
      </c>
      <c r="G330" s="3">
        <f>1127.8+(243.8-692.6)+(-1.150356+(-0.248676--0.706452))+0-14--0.0142800000000022</f>
        <v>664.32169999999996</v>
      </c>
      <c r="H330" s="3">
        <f>1113.8+(183.7-648)+(0.568038+(0.093687-0.33048))+0-14-0.00713999999999858</f>
        <v>635.82410499999992</v>
      </c>
      <c r="I330" s="3">
        <f>1131+(143.1-630.3)+(-1.15362+(-0.145962--0.642906))+0-14--0.0142800000000022</f>
        <v>629.15760400000011</v>
      </c>
      <c r="J330" s="3">
        <f>1183.7+(113.9-654.4)+(-1.207374+(-0.116178--0.667488))+0-14--0.0142800000000022</f>
        <v>628.55821600000002</v>
      </c>
      <c r="K330" s="3">
        <f>1333.7+(114.7-792.7)+(-2.040561+(-0.175491--1.212831))+0-14--0.0214200000000008</f>
        <v>640.71819900000003</v>
      </c>
      <c r="L330" s="3">
        <f>1481.3+(137-925.8)+(-2.266389+(-0.20961--1.416474))+0-14--0.0214200000000008</f>
        <v>677.46189500000003</v>
      </c>
      <c r="M330" s="3">
        <f>1511.2+(148.4-950.1)+(-2.312136+(-0.227052--1.453653))+0-14--0.0214200000000008</f>
        <v>694.43588499999998</v>
      </c>
      <c r="N330" s="3">
        <f>1552.3+(86.8-879.9)+(0+(0-0))+0-14-0</f>
        <v>745.19999999999993</v>
      </c>
      <c r="O330" s="3">
        <f>1537.3+(173.1-919)+(-1.568046+(-0.176562--0.93738))+0-14--0.0142800000000022</f>
        <v>776.60705199999995</v>
      </c>
      <c r="P330" s="3">
        <f>1542.6+(236.2-968.5)+(-0.786726+(-0.120462--0.493935))+0-14--0.00713999999999858</f>
        <v>795.89388699999995</v>
      </c>
      <c r="Q330" s="3">
        <f>1549.8+(284.8-1012.4)+(-1.580796+(-0.290496--1.032648))+0-14--0.0142800000000022</f>
        <v>807.37563599999999</v>
      </c>
      <c r="R330" s="3">
        <f>1543.4+(253-1007.8)+(-3.148536+(-0.51612--2.055912))+0-14--0.0285599999999994</f>
        <v>773.01981600000011</v>
      </c>
      <c r="S330" s="3">
        <f>1556+(204.7-999.8)+(0+(0-0))+0-14-0</f>
        <v>746.90000000000009</v>
      </c>
      <c r="T330" s="3">
        <f>1551.8+(207-1001.3)+(1.582836+(0.21114-1.021326))+0-14-0.0142800000000022</f>
        <v>744.25837000000001</v>
      </c>
      <c r="U330" s="3">
        <f>1545.5+(196.5-991.7)+(-0.788205+(-0.100215--0.505767))+0-14--0.00713999999999858</f>
        <v>735.924487</v>
      </c>
      <c r="V330" s="3">
        <f>1591.1+(208.7-1036.2)+(-1.622922+(-0.212874--1.056924))+0-14--0.0142800000000022</f>
        <v>748.83540799999992</v>
      </c>
      <c r="W330" s="3">
        <f>1614.1+(199.5-983.8)+(2.469573+(0.305235-1.505214))+0-14-0.0214200000000008</f>
        <v>817.0481739999999</v>
      </c>
      <c r="X330" s="3">
        <f>1640.7+(356-1036.2)+(-1.673514+(-0.36312--1.056924))+0-14--0.0142800000000022</f>
        <v>945.53457000000003</v>
      </c>
      <c r="Y330" s="3">
        <f>1618.6+(328.8-962.7)+(-0.825486+(-0.167688--0.490977))+0-14--0.00713999999999858</f>
        <v>970.20494299999984</v>
      </c>
      <c r="Z330" s="3">
        <f>1624.5+(327.2-998.3)+(0+(0-0))+0-14-0</f>
        <v>939.40000000000009</v>
      </c>
      <c r="AA330" s="3">
        <f>1623.5+(299.9-989.4)+(0+(0-0))+0-14-0</f>
        <v>920</v>
      </c>
      <c r="AB330" s="3">
        <f>1549.2+(324.3-986.2)+(-5.530644+(-1.157751--3.520734))+0-14--0.0499800000000002</f>
        <v>870.18231900000001</v>
      </c>
      <c r="AC330" s="3">
        <f>1551.1+(195.2-919.3)+(-5.537427+(-0.696864--3.281901))+0-14--0.0499800000000002</f>
        <v>810.09758999999997</v>
      </c>
      <c r="AD330" s="2">
        <v>967.2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1566.5+(62.2-879.3)+(0+(0-0))+0-14-0</f>
        <v>735.40000000000009</v>
      </c>
      <c r="G331" s="3">
        <f>1461.7+(54.4-851.6)+(0+(0-0))+0-14-0</f>
        <v>650.5</v>
      </c>
      <c r="H331" s="3">
        <f>1334.7+(46.8-714.4)+(0.680697+(0.023868-0.364344))+0-14-0.00713999999999858</f>
        <v>653.43308100000002</v>
      </c>
      <c r="I331" s="3">
        <f>1318.6+(51-697.7)+(0+(0-0))+0-14-0</f>
        <v>657.89999999999986</v>
      </c>
      <c r="J331" s="3">
        <f>1162.4+(46.3-557.8)+(0+(0-0))+0-14-0</f>
        <v>636.90000000000009</v>
      </c>
      <c r="K331" s="3">
        <f>1165+(71.1-566.2)+(1.1883+(0.072522-0.577524))+0-14-0.0142800000000022</f>
        <v>656.56901800000003</v>
      </c>
      <c r="L331" s="3">
        <f>1259.9+(180.8-697.5)+(0+(0-0))+0-14-0</f>
        <v>729.2</v>
      </c>
      <c r="M331" s="3">
        <f>1342.5+(189.5-756.3)+(-1.36935+(-0.19329--0.771426))+0-14--0.0142800000000022</f>
        <v>760.92306600000006</v>
      </c>
      <c r="N331" s="3">
        <f>1358.2+(148.9-768.1)+(1.385364+(0.151878-0.783462))+0-14-0.0142800000000022</f>
        <v>725.73950000000002</v>
      </c>
      <c r="O331" s="3">
        <f>1402.3+(201.4-810.4)+(-3.575865+(-0.51357--2.06652))+0-14--0.035699999999998</f>
        <v>777.31278499999996</v>
      </c>
      <c r="P331" s="3">
        <f>1467.6+(223.2-864.5)+(-0.748476+(-0.113832--0.440895))+0-14--0.00713999999999858</f>
        <v>811.88572699999997</v>
      </c>
      <c r="Q331" s="3">
        <f>1601.6+(181.6-946.7)+(-2.450448+(-0.277848--1.448451))+0-14--0.0214200000000008</f>
        <v>821.2415749999999</v>
      </c>
      <c r="R331" s="3">
        <f>1630.3+(186.7-1050.3)+(-0.831453+(-0.095217--0.535653))+0-14--0.00713999999999858</f>
        <v>752.31612300000006</v>
      </c>
      <c r="S331" s="3">
        <f>1573.2+(187.5-988.7)+(-1.604664+(-0.19125--1.008474))+0-14--0.0142800000000022</f>
        <v>757.22684000000004</v>
      </c>
      <c r="T331" s="3">
        <f>1584.1+(185.2-1029.3)+(1.615782+(0.188904-1.049886))+0-14-0.0142800000000022</f>
        <v>726.74052000000006</v>
      </c>
      <c r="U331" s="3">
        <f>1574.5+(180.9-986.6)+(-0.802995+(-0.092259--0.503166))+0-14--0.00713999999999858</f>
        <v>754.41505200000006</v>
      </c>
      <c r="V331" s="3">
        <f>1524+(171.5-920.7)+(-3.8862+(-0.437325--2.347785))+0-14--0.035699999999998</f>
        <v>758.85996</v>
      </c>
      <c r="W331" s="3">
        <f>1515.8+(183.3-886.2)+(2.319174+(0.280449-1.355886))+0-14-0.0214200000000008</f>
        <v>800.12231699999984</v>
      </c>
      <c r="X331" s="3">
        <f>1576.3+(243.3-854.9)+(0+(0-0))+0-14-0</f>
        <v>950.7</v>
      </c>
      <c r="Y331" s="3">
        <f>1571.6+(242.4-825.7)+(-3.206064+(-0.494496--1.684428))+0-14--0.0285599999999994</f>
        <v>972.31242799999984</v>
      </c>
      <c r="Z331" s="3">
        <f>1574.1+(251.4-872)+(-3.211164+(-0.512856--1.77888))+0-14--0.0285599999999994</f>
        <v>937.58341999999982</v>
      </c>
      <c r="AA331" s="3">
        <f>1581.7+(251.3-902)+(-0.806667+(-0.128163--0.46002))+0-14--0.00713999999999858</f>
        <v>916.53233</v>
      </c>
      <c r="AB331" s="3">
        <f>1553.2+(210.8-859.2)+(-3.168528+(-0.430032--1.752768))+0-14--0.0285599999999994</f>
        <v>888.98276799999996</v>
      </c>
      <c r="AC331" s="3">
        <f>1431.3+(174.6-762.5)+(-2.919852+(-0.356184--1.5555))+0-14--0.0285599999999994</f>
        <v>827.70802399999991</v>
      </c>
      <c r="AD331" s="2">
        <v>957.99999999999977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1347.2+(134.8-719.6)+(-2.748288+(-0.274992--1.467984))+0-14--0.0285599999999994</f>
        <v>746.87326400000006</v>
      </c>
      <c r="G332" s="3">
        <f>1326.4+(116.5-753.5)+(-0.676464+(-0.059415--0.384285))+0-14--0.00713999999999858</f>
        <v>675.05554600000016</v>
      </c>
      <c r="H332" s="3">
        <f>1242.6+(79.2-658.5)+(-1.267452+(-0.080784--0.67167))+0-14--0.0142800000000022</f>
        <v>648.63771399999996</v>
      </c>
      <c r="I332" s="3">
        <f>1234.1+(74.9-654.8)+(-1.258782+(-0.076398--0.667896))+0-14--0.0142800000000022</f>
        <v>639.54699599999992</v>
      </c>
      <c r="J332" s="3">
        <f>1239.7+(76.1-670)+(0.632247+(0.038811-0.3417))+0-14-0.00713999999999858</f>
        <v>632.12221799999998</v>
      </c>
      <c r="K332" s="3">
        <f>1237.4+(88.6-665.5)+(-0.631074+(-0.045186--0.339405))+0-14--0.00713999999999858</f>
        <v>646.17028500000015</v>
      </c>
      <c r="L332" s="3">
        <f>1232.8+(185.9-741.5)+(-2.514912+(-0.379236--1.51266))+0-14--0.0285599999999994</f>
        <v>661.84707199999991</v>
      </c>
      <c r="M332" s="3">
        <f>1240.9+(195.8-751.9)+(1.265718+(0.199716-0.766938))+0-13-0.0132600000000021</f>
        <v>672.48523600000021</v>
      </c>
      <c r="N332" s="3">
        <f>1236.3+(225.8-722.5)+(-1.261026+(-0.230316--0.73695))+0-13--0.0132600000000021</f>
        <v>725.8588679999998</v>
      </c>
      <c r="O332" s="3">
        <f>1250.6+(296-751.7)+(3.18903+(0.7548-1.916835))+0-13-0.0331499999999981</f>
        <v>783.89384499999994</v>
      </c>
      <c r="P332" s="3">
        <f>1330.8+(370.2-874.8)+(-2.036124+(-0.566406--1.338444))+0-13--0.0198900000000008</f>
        <v>811.95580400000006</v>
      </c>
      <c r="Q332" s="3">
        <f>1343.3+(381.6-893.8)+(-1.370166+(-0.389232--0.911676))+0-13--0.0132600000000021</f>
        <v>817.26553799999999</v>
      </c>
      <c r="R332" s="3">
        <f>1338.2+(272.2-834.3)+(-4.777374+(-0.971754--2.978451))+0-13--0.0464100000000002</f>
        <v>760.3757330000002</v>
      </c>
      <c r="S332" s="3">
        <f>1337.9+(217.8-814.9)+(-0.682329+(-0.111078--0.415599))+0-13--0.00662999999999868</f>
        <v>727.4288220000002</v>
      </c>
      <c r="T332" s="3">
        <f>1330.6+(226-822)+(-0.678606+(-0.11526--0.41922))+0-11--0.00560999999999888</f>
        <v>723.23096399999997</v>
      </c>
      <c r="U332" s="3">
        <f>1323.9+(193.7-788.1)+(-1.350378+(-0.197574--0.803862))+0-13--0.0132600000000021</f>
        <v>715.76916999999992</v>
      </c>
      <c r="V332" s="3">
        <f>1332.8+(161.4-767.3)+(1.359456+(0.164628-0.782646))+0-14-0.0142800000000022</f>
        <v>713.62715800000001</v>
      </c>
      <c r="W332" s="3">
        <f>1334.8+(234.6-785.3)+(1.361496+(0.239292-0.801006))+0-14-0.0142800000000022</f>
        <v>770.88550200000009</v>
      </c>
      <c r="X332" s="3">
        <f>1332.5+(411.9-804.8)+(-2.038725+(-0.630207--1.231344))+0-14--0.0214200000000008</f>
        <v>924.18383200000005</v>
      </c>
      <c r="Y332" s="3">
        <f>1341.3+(427.3-800.6)+(0.684063+(0.217923-0.408306))+0-14-0.00713999999999858</f>
        <v>954.48653999999999</v>
      </c>
      <c r="Z332" s="3">
        <f>1336.7+(380.4-776.8)+(-1.363434+(-0.388008--0.792336))+0-14--0.0142800000000022</f>
        <v>925.35517400000003</v>
      </c>
      <c r="AA332" s="3">
        <f>1342.2+(363.5-783.1)+(0+(0-0))+0-14-0</f>
        <v>908.6</v>
      </c>
      <c r="AB332" s="3">
        <f>1333.4+(306.7-755.4)+(-1.360068+(-0.312834--0.770508))+0-14--0.0142800000000022</f>
        <v>869.81188600000007</v>
      </c>
      <c r="AC332" s="3">
        <f>1333.6+(258-751.2)+(0.680136+(0.13158-0.383112))+0-14-0.00713999999999858</f>
        <v>826.82146399999976</v>
      </c>
      <c r="AD332" s="2">
        <v>935.19999999999993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1236.7+(221.9-695.6)+(0.630717+(0.113169-0.354756))+0-14-0.00713999999999858</f>
        <v>749.38198999999997</v>
      </c>
      <c r="G333" s="3">
        <f>1233.6+(157-689.6)+(0.629136+(0.08007-0.351696))+0-14-0.00713999999999858</f>
        <v>687.35036999999988</v>
      </c>
      <c r="H333" s="3">
        <f>1230.6+(141.9-702.2)+(0+(0-0))+0-14-0</f>
        <v>656.29999999999984</v>
      </c>
      <c r="I333" s="3">
        <f>1231+(103.6-677.1)+(-0.62781+(-0.052836--0.345321))+0-14--0.00713999999999858</f>
        <v>643.17181500000004</v>
      </c>
      <c r="J333" s="3">
        <f>1230.5+(90.9-673.9)+(-1.25511+(-0.092718--0.687378))+0-14--0.0142800000000022</f>
        <v>632.85383000000002</v>
      </c>
      <c r="K333" s="3">
        <f>1236.3+(84.6-671.2)+(1.891539+(0.129438-1.026936))+0-14-0.0214200000000008</f>
        <v>636.67262099999994</v>
      </c>
      <c r="L333" s="3">
        <f>1231.2+(116.9-688.5)+(-0.627912+(-0.059619--0.351135))+0-14--0.00713999999999858</f>
        <v>645.27074400000004</v>
      </c>
      <c r="M333" s="3">
        <f>1233.5+(216.1-811.1)+(1.25817+(0.220422-0.827322))+0-14-0.0142800000000022</f>
        <v>625.13698999999997</v>
      </c>
      <c r="N333" s="3">
        <f>1256.9+(262.7-835.3)+(-0.641019+(-0.133977--0.426003))+0-14--0.00713999999999858</f>
        <v>669.95814700000028</v>
      </c>
      <c r="O333" s="3">
        <f>1269.8+(236.2-744.4)+(-0.647598+(-0.120462--0.379644))+0-14--0.00713999999999858</f>
        <v>747.21872399999995</v>
      </c>
      <c r="P333" s="3">
        <f>1264.2+(197.4-716.4)+(-2.578968+(-0.402696--1.461456))+0-14--0.0285599999999994</f>
        <v>729.70835199999999</v>
      </c>
      <c r="Q333" s="3">
        <f>1264.5+(208.6-724)+(-1.934685+(-0.319158--1.10772))+0-14--0.0214200000000008</f>
        <v>733.97529700000007</v>
      </c>
      <c r="R333" s="3">
        <f>1261.2+(207.1-731.6)+(-4.502484+(-0.739347--2.611812))+0-13--0.0464100000000002</f>
        <v>721.11639100000014</v>
      </c>
      <c r="S333" s="3">
        <f>1267.4+(194.1-753)+(-1.292748+(-0.197982--0.76806))+0-13--0.0132600000000021</f>
        <v>694.79059000000007</v>
      </c>
      <c r="T333" s="3">
        <f>1268+(190.9-765.9)+(-0.64668+(-0.097359--0.390609))+0-9--0.00458999999999909</f>
        <v>683.65116</v>
      </c>
      <c r="U333" s="3">
        <f>1275.2+(183.7-769.6)+(0.650352+(0.093687-0.392496))+0-9-0.00458999999999909</f>
        <v>680.64695299999994</v>
      </c>
      <c r="V333" s="3">
        <f>1273+(176.2-744)+(0+(0-0))+0-9-0</f>
        <v>696.2</v>
      </c>
      <c r="W333" s="3">
        <f>1302.4+(189.2-736.7)+(0+(0-0))+0-9-0</f>
        <v>745.90000000000009</v>
      </c>
      <c r="X333" s="3">
        <f>1319.6+(330.3-740.9)+(-0.672996+(-0.168453--0.377859))+0-9--0.00458999999999909</f>
        <v>899.54100000000005</v>
      </c>
      <c r="Y333" s="3">
        <f>1315.3+(394.6-776.1)+(-2.683212+(-0.804984--1.583244))+0-9--0.0183599999999996</f>
        <v>922.913408</v>
      </c>
      <c r="Z333" s="3">
        <f>1322.1+(358.8-761.8)+(-0.674271+(-0.182988--0.388518))+0-9--0.00458999999999909</f>
        <v>909.63584899999989</v>
      </c>
      <c r="AA333" s="3">
        <f>1316.2+(377.8-796.8)+(-2.685048+(-0.770712--1.625472))+0-10--0.0203999999999996</f>
        <v>885.39011200000004</v>
      </c>
      <c r="AB333" s="3">
        <f>1313.6+(377.4-831.7)+(-3.34968+(-0.96237--2.120835))+0-10--0.0254999999999985</f>
        <v>847.13428499999975</v>
      </c>
      <c r="AC333" s="3">
        <f>1402.3+(242.4-847.9)+(-5.006211+(-0.865368--3.027003))+0-10--0.0357000000000001</f>
        <v>783.99112400000001</v>
      </c>
      <c r="AD333" s="2">
        <v>896.9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1414.3+(88.2-768.4)+(-3.606465+(-0.22491--1.95942))+0-9--0.0229499999999987</f>
        <v>723.2509950000001</v>
      </c>
      <c r="G334" s="3">
        <f>1387.9+(110.8-843.8)+(-3.539145+(-0.28254--2.15169))+0-9--0.0229499999999987</f>
        <v>644.25295500000016</v>
      </c>
      <c r="H334" s="3">
        <f>1311.6+(101.7-791.4)+(-2.675664+(-0.207468--1.614456))+0-12--0.0244799999999995</f>
        <v>608.65580399999999</v>
      </c>
      <c r="I334" s="3">
        <f>1300.9+(64.9-751.1)+(0.663459+(0.033099-0.383061))+0-12-0.00611999999999878</f>
        <v>603.00737700000002</v>
      </c>
      <c r="J334" s="3">
        <f>1308.9+(55-736)+(-0.667539+(-0.02805--0.37536))+0-12--0.00611999999999878</f>
        <v>615.58589100000006</v>
      </c>
      <c r="K334" s="3">
        <f>1372+(58.8-797.5)+(-1.39944+(-0.059976--0.81345))+0-12--0.0122400000000019</f>
        <v>620.66627399999993</v>
      </c>
      <c r="L334" s="3">
        <f>1421.4+(123.4-868.9)+(-2.899656+(-0.251736--1.772556))+0-12--0.0244799999999995</f>
        <v>662.54564400000015</v>
      </c>
      <c r="M334" s="3">
        <f>1481.1+(142.5-924.7)+(-0.755361+(-0.072675--0.471597))+0-13--0.00662999999999868</f>
        <v>685.55019099999981</v>
      </c>
      <c r="N334" s="3">
        <f>1551+(124.6-907.9)+(0.79101+(0.063546-0.463029))+0-13-0.00662999999999868</f>
        <v>755.08489700000007</v>
      </c>
      <c r="O334" s="3">
        <f>1588.4+(85.1-859.1)+(3.240336+(0.173604-1.752564))+0-13-0.0265199999999994</f>
        <v>803.0348560000001</v>
      </c>
      <c r="P334" s="3">
        <f>1580.1+(84.8-824.8)+(-1.611702+(-0.086496--0.841296))+0-13--0.0132600000000021</f>
        <v>826.25635799999986</v>
      </c>
      <c r="Q334" s="3">
        <f>1581.1+(92.1-836.5)+(0+(0-0))+0-13-0</f>
        <v>823.69999999999993</v>
      </c>
      <c r="R334" s="3">
        <f>1569.9+(92.2-860.7)+(-4.003245+(-0.23511--2.194785))+0-13--0.0331499999999981</f>
        <v>786.38958000000002</v>
      </c>
      <c r="S334" s="3">
        <f>1579+(65.8-874.7)+(0.80529+(0.033558-0.446097))+0-13-0.00662999999999868</f>
        <v>757.48612099999991</v>
      </c>
      <c r="T334" s="3">
        <f>1573.8+(65.2-875.6)+(0+(0-0))+0-13-0</f>
        <v>750.4</v>
      </c>
      <c r="U334" s="3">
        <f>1571+(61.6-875.8)+(0+(0-0))+0-13-0</f>
        <v>743.80000000000007</v>
      </c>
      <c r="V334" s="3">
        <f>1577+(64.5-867.3)+(2.41281+(0.098685-1.326969))+0-13-0.0198900000000008</f>
        <v>762.36463600000002</v>
      </c>
      <c r="W334" s="3">
        <f>1514.3+(191.1-903.6)+(2.316879+(0.292383-1.382508))+0-13-0.0198900000000008</f>
        <v>790.00686399999995</v>
      </c>
      <c r="X334" s="3">
        <f>1532.1+(341.7-920.6)+(2.344113+(0.522801-1.408518))+0-14-0.0214200000000008</f>
        <v>940.63697599999978</v>
      </c>
      <c r="Y334" s="3">
        <f>1540.1+(364.8-918.1)+(-2.356353+(-0.558144--1.404693))+0-13--0.0198900000000008</f>
        <v>972.31008599999996</v>
      </c>
      <c r="Z334" s="3">
        <f>1543.9+(302.9-886.7)+(-1.574778+(-0.308958--0.904434))+0-13--0.0132600000000021</f>
        <v>946.13395800000001</v>
      </c>
      <c r="AA334" s="3">
        <f>1544.9+(189.7-800.2)+(-1.575798+(-0.193494--0.816204))+0-13--0.0132600000000021</f>
        <v>920.46017200000006</v>
      </c>
      <c r="AB334" s="3">
        <f>1536.1+(95.1-736.2)+(-5.483877+(-0.339507--2.628234))+0-13--0.0464100000000002</f>
        <v>878.85125999999991</v>
      </c>
      <c r="AC334" s="3">
        <f>1536.8+(80.6-776.2)+(-3.135072+(-0.164424--1.583448))+0-13--0.0265199999999994</f>
        <v>826.51047199999994</v>
      </c>
      <c r="AD334" s="2">
        <v>959.09999999999991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1545.5+(66.4-846.9)+(-1.57641+(-0.067728--0.863838))+0-13--0.0132600000000021</f>
        <v>751.23295999999993</v>
      </c>
      <c r="G335" s="3">
        <f>1492.6+(61.1-846)+(-3.044904+(-0.124644--1.72584))+0-13--0.0265199999999994</f>
        <v>693.28281199999992</v>
      </c>
      <c r="H335" s="3">
        <f>1391.4+(109.1-824.7)+(0+(0-0))+0-13-0</f>
        <v>662.80000000000007</v>
      </c>
      <c r="I335" s="3">
        <f>1391.8+(90.7-819.1)+(-2.129454+(-0.138771--1.253223))+0-13--0.0198900000000008</f>
        <v>649.40488800000003</v>
      </c>
      <c r="J335" s="3">
        <f>1520.3+(61.1-914.4)+(0.775353+(0.031161-0.466344))+0-13-0.00662999999999868</f>
        <v>654.33353999999997</v>
      </c>
      <c r="K335" s="3">
        <f>1552.2+(59.1-940.3)+(0+(0-0))+0-13-0</f>
        <v>658.00000000000011</v>
      </c>
      <c r="L335" s="3">
        <f>1547.2+(126.6-987.8)+(-1.578144+(-0.129132--1.007556))+0-13--0.0132600000000021</f>
        <v>672.3135400000001</v>
      </c>
      <c r="M335" s="3">
        <f>1557+(103.8-963.9)+(0+(0-0))+0-13-0</f>
        <v>683.9</v>
      </c>
      <c r="N335" s="3">
        <f>1560.8+(63.9-871.4)+(-0.796008+(-0.032589--0.444414))+0-13--0.00662999999999868</f>
        <v>739.92244699999992</v>
      </c>
      <c r="O335" s="3">
        <f>1570.6+(142.3-919.6)+(2.403018+(0.217719-1.406988))+0-13-0.0198900000000008</f>
        <v>781.49385899999993</v>
      </c>
      <c r="P335" s="3">
        <f>1568.7+(203.5-983.6)+(1.600074+(0.20757-1.003272))+0-13-0.0132600000000021</f>
        <v>776.39111200000002</v>
      </c>
      <c r="Q335" s="3">
        <f>1560.1+(210.2-996)+(-0.795651+(-0.107202--0.50796))+0-13--0.00662999999999868</f>
        <v>760.9117369999999</v>
      </c>
      <c r="R335" s="3">
        <f>1560.1+(180.2-972.2)+(0+(0-0))+0-14-0</f>
        <v>754.09999999999991</v>
      </c>
      <c r="S335" s="3">
        <f>1549.2+(151.2-944.5)+(-3.160368+(-0.308448--1.92678))+0-14--0.0285599999999994</f>
        <v>740.38652400000001</v>
      </c>
      <c r="T335" s="3">
        <f>1553+(153.5-959)+(-0.79203+(-0.078285--0.48909))+0-14--0.00713999999999858</f>
        <v>733.12591500000008</v>
      </c>
      <c r="U335" s="3">
        <f>1527.6+(193.3-966.8)+(-1.558152+(-0.197166--0.986136))+0-14--0.0142800000000022</f>
        <v>739.34509799999989</v>
      </c>
      <c r="V335" s="3">
        <f>1478.8+(254.7-993.2)+(-0.754188+(-0.129897--0.506532))+0-15--0.00764999999999848</f>
        <v>724.93009699999993</v>
      </c>
      <c r="W335" s="3">
        <f>1529.1+(256.9-990.5)+(0.779841+(0.131019-0.505155))+0-14-0.00713999999999858</f>
        <v>781.89856499999985</v>
      </c>
      <c r="X335" s="3">
        <f>1555.5+(416.1-1013)+(0.793305+(0.212211-0.51663))+0-14-0.00713999999999858</f>
        <v>945.08174599999995</v>
      </c>
      <c r="Y335" s="3">
        <f>1548.7+(358.4-911.2)+(-3.159348+(-0.731136--1.858848))+0-14--0.0285599999999994</f>
        <v>979.8969239999999</v>
      </c>
      <c r="Z335" s="3">
        <f>1556.6+(261.2-859.6)+(-1.587732+(-0.266424--0.876792))+0-15--0.0153000000000024</f>
        <v>942.23793599999988</v>
      </c>
      <c r="AA335" s="3">
        <f>1564.3+(178.4-814.2)+(0+(0-0))+0-10-0</f>
        <v>918.49999999999989</v>
      </c>
      <c r="AB335" s="3">
        <f>1563.6+(155.5-828)+(0+(0-0))+0-14-0</f>
        <v>877.09999999999991</v>
      </c>
      <c r="AC335" s="3">
        <f>1531.3+(134.1-824.3)+(-3.904815+(-0.341955--2.101965))+0-14--0.035699999999998</f>
        <v>824.99089500000002</v>
      </c>
      <c r="AD335" s="2">
        <v>941.7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1406.2+(156.4-810.7)+(-1.434324+(-0.159528--0.826914))+0-13--0.0132600000000021</f>
        <v>738.14632199999994</v>
      </c>
      <c r="G336" s="3">
        <f>1352.4+(122.6-795.1)+(2.069172+(0.187578-1.216503))+0-13-0.0198900000000008</f>
        <v>667.92035700000008</v>
      </c>
      <c r="H336" s="3">
        <f>1315+(139.1-791.5)+(0+(0-0))+0-13-0</f>
        <v>649.6</v>
      </c>
      <c r="I336" s="3">
        <f>1316.7+(123.9-778.4)+(0+(0-0))+0-13-0</f>
        <v>649.20000000000005</v>
      </c>
      <c r="J336" s="3">
        <f>1317.7+(99.9-754.7)+(0+(0-0))+0-13-0</f>
        <v>649.9</v>
      </c>
      <c r="K336" s="3">
        <f>1324.4+(106.1-768)+(2.701776+(0.216444-1.56672))+0-13-0.0265199999999994</f>
        <v>650.8249800000001</v>
      </c>
      <c r="L336" s="3">
        <f>1341.3+(167-811.9)+(-3.420315+(-0.42585--2.070345))+0-14--0.035699999999998</f>
        <v>680.65988000000004</v>
      </c>
      <c r="M336" s="3">
        <f>1482.5+(180.3-951.8)+(0.756075+(0.091953-0.485418))+0-14-0.00713999999999858</f>
        <v>697.35546999999997</v>
      </c>
      <c r="N336" s="3">
        <f>1574.7+(120.4-927.6)+(-0.803097+(-0.061404--0.473076))+0-14--0.00713999999999858</f>
        <v>753.11571500000002</v>
      </c>
      <c r="O336" s="3">
        <f>1580.4+(141.4-911.1)+(2.418012+(0.216342-1.393983))+0-14-0.0214200000000008</f>
        <v>797.91895099999999</v>
      </c>
      <c r="P336" s="3">
        <f>1571.5+(224.1-962.5)+(-0.801465+(-0.114291--0.490875))+0-14--0.00713999999999858</f>
        <v>818.68225900000004</v>
      </c>
      <c r="Q336" s="3">
        <f>1575+(248.5-988.9)+(2.40975+(0.380205-1.513017))+0-14-0.0214200000000008</f>
        <v>821.85551799999996</v>
      </c>
      <c r="R336" s="3">
        <f>1558.3+(206.1-983.2)+(-4.768398+(-0.630666--3.008592))+0-14--0.0428400000000016</f>
        <v>764.85236799999984</v>
      </c>
      <c r="S336" s="3">
        <f>1559.5+(168.6-963.5)+(-2.386035+(-0.257958--1.474155))+0-14--0.0214200000000008</f>
        <v>749.45158200000003</v>
      </c>
      <c r="T336" s="3">
        <f>1563.6+(152.2-946.1)+(0.797436+(0.077622-0.482511))+0-13-0.00662999999999868</f>
        <v>757.08591699999988</v>
      </c>
      <c r="U336" s="3">
        <f>1555.4+(176.7-929.4)+(0+(0-0))+0-13-0</f>
        <v>789.7</v>
      </c>
      <c r="V336" s="3">
        <f>1550.7+(196.3-928.4)+(-1.581714+(-0.200226--0.946968))+0-13--0.0132600000000021</f>
        <v>804.77828800000009</v>
      </c>
      <c r="W336" s="3">
        <f>1548.2+(196.6-883.3)+(-3.158328+(-0.401064--1.801932))+0-13--0.0265199999999994</f>
        <v>846.76906000000008</v>
      </c>
      <c r="X336" s="3">
        <f>1562.9+(260.7-874.4)+(-0.797079+(-0.132957--0.445944))+0-13--0.00662999999999868</f>
        <v>935.72253799999999</v>
      </c>
      <c r="Y336" s="3">
        <f>1564+(308.9-888.2)+(-2.39292+(-0.472617--1.358946))+0-13--0.0198900000000008</f>
        <v>970.21329900000001</v>
      </c>
      <c r="Z336" s="3">
        <f>1524.6+(351.3-920.6)+(-2.332638+(-0.537489--1.408518))+0-13--0.0198900000000008</f>
        <v>940.85828100000003</v>
      </c>
      <c r="AA336" s="3">
        <f>1520.1+(330.7-918.3)+(-3.876255+(-0.843285--2.341665))+0-13--0.0331499999999981</f>
        <v>917.15527499999996</v>
      </c>
      <c r="AB336" s="3">
        <f>1413.5+(319-831.6)+(-2.162655+(-0.48807--1.272348))+0-13--0.0198900000000008</f>
        <v>886.54151300000001</v>
      </c>
      <c r="AC336" s="3">
        <f>1370.9+(274.9-804.2)+(-3.495795+(-0.700995--2.05071))+0-13--0.0331499999999981</f>
        <v>826.48707000000002</v>
      </c>
      <c r="AD336" s="2">
        <v>973.89999999999986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1306.8+(117.2-713)+(-1.332936+(-0.119544--0.72726))+0-13--0.0132600000000021</f>
        <v>697.28803999999991</v>
      </c>
      <c r="G337" s="3">
        <f>1304.9+(32-643.1)+(0.665499+(0.01632-0.327981))+0-13-0.00662999999999868</f>
        <v>681.14720800000009</v>
      </c>
      <c r="H337" s="3">
        <f>1304.3+(38.7-657.4)+(2.660772+(0.078948-1.341096))+0-13-0.0265199999999994</f>
        <v>673.97210400000006</v>
      </c>
      <c r="I337" s="3">
        <f>1296.4+(39.6-668)+(0+(0-0))+0-13-0</f>
        <v>655.00000000000011</v>
      </c>
      <c r="J337" s="3">
        <f>1291.6+(33.9-660.4)+(-0.658716+(-0.017289--0.336804))+0-13--0.00662999999999868</f>
        <v>651.76742899999988</v>
      </c>
      <c r="K337" s="3">
        <f>1287.6+(53.4-666.1)+(-3.28338+(-0.13617--1.698555))+0-13--0.0331499999999981</f>
        <v>660.21215499999983</v>
      </c>
      <c r="L337" s="3">
        <f>1290.3+(77.4-673.8)+(-1.316106+(-0.078948--0.687276))+0-10--0.0102000000000016</f>
        <v>683.20242200000007</v>
      </c>
      <c r="M337" s="3">
        <f>1294.9+(40.8-643.2)+(-0.660399+(-0.020808--0.328032))+0-10--0.00509999999999899</f>
        <v>682.15192500000001</v>
      </c>
      <c r="N337" s="3">
        <f>1349+(50.9-656.4)+(0+(0-0))+0-10-0</f>
        <v>733.5</v>
      </c>
      <c r="O337" s="3">
        <f>1484.9+(52.9-736.9)+(0+(0-0))+0-10-0</f>
        <v>790.90000000000009</v>
      </c>
      <c r="P337" s="3">
        <f>1466.5+(62.2-710.2)+(0+(0-0))+0-10-0</f>
        <v>808.5</v>
      </c>
      <c r="Q337" s="3">
        <f>1456.2+(55-706)+(-2.227986+(-0.08415--1.08018))+0-10--0.0153000000000006</f>
        <v>793.9833440000001</v>
      </c>
      <c r="R337" s="3">
        <f>1422.7+(62-679.1)+(-1.451154+(-0.06324--0.692682))+0-10--0.0102000000000016</f>
        <v>794.78848800000003</v>
      </c>
      <c r="S337" s="3">
        <f>1408+(57.2-684.8)+(1.43616+(0.058344-0.698496))+0-10-0.0102000000000016</f>
        <v>771.18580800000007</v>
      </c>
      <c r="T337" s="3">
        <f>1413.6+(57.8-727.7)+(0.720936+(0.029478-0.371127))+0-10-0.00509999999999899</f>
        <v>734.07418699999982</v>
      </c>
      <c r="U337" s="3">
        <f>1413.6+(59.8-710.1)+(-0.720936+(-0.030498--0.362151))+0-11--0.00560999999999888</f>
        <v>751.91632699999991</v>
      </c>
      <c r="V337" s="3">
        <f>1415.8+(119.8-826.7)+(0+(0-0))+0-13-0</f>
        <v>695.89999999999986</v>
      </c>
      <c r="W337" s="3">
        <f>1438.7+(152.8-811.7)+(2.201211+(0.233784-1.241901))+0-14-0.0214200000000008</f>
        <v>766.97167399999989</v>
      </c>
      <c r="X337" s="3">
        <f>1562.6+(188.2-884.5)+(-1.593852+(-0.191964--0.90219))+0-13--0.0132600000000021</f>
        <v>852.42963399999985</v>
      </c>
      <c r="Y337" s="3">
        <f>1564.3+(382.4-913.6)+(1.595586+(0.390048-0.931872))+0-15-0.0153000000000024</f>
        <v>1019.1384619999999</v>
      </c>
      <c r="Z337" s="3">
        <f>1564.4+(434.2-921.9)+(0+(0-0))+0-14-0</f>
        <v>1062.7</v>
      </c>
      <c r="AA337" s="3">
        <f>1566.2+(368.6-879.4)+(-0.798762+(-0.187986--0.448494))+0-14--0.00713999999999858</f>
        <v>1040.868886</v>
      </c>
      <c r="AB337" s="3">
        <f>1561.5+(321.8-871.9)+(-3.981825+(-0.82059--2.223345))+0-14--0.035699999999998</f>
        <v>994.85663000000011</v>
      </c>
      <c r="AC337" s="3">
        <f>1559.4+(221.7-859.7)+(-2.385882+(-0.339201--1.315341))+0-14--0.0214200000000008</f>
        <v>906.01167800000007</v>
      </c>
      <c r="AD337" s="2">
        <v>863.2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1355+(193.4-808.8)+(-1.3821+(-0.197268--0.824976))+0-13--0.0132600000000021</f>
        <v>725.85886799999992</v>
      </c>
      <c r="G338" s="3">
        <f>1272.6+(204.7-781.1)+(-2.596104+(-0.417588--1.593444))+0-13--0.0265199999999994</f>
        <v>681.80627199999981</v>
      </c>
      <c r="H338" s="3">
        <f>1274.6+(199.5-802.4)+(0+(0-0))+0-13-0</f>
        <v>658.69999999999993</v>
      </c>
      <c r="I338" s="3">
        <f>1279.3+(196.3-811.8)+(0+(0-0))+0-13-0</f>
        <v>650.79999999999995</v>
      </c>
      <c r="J338" s="3">
        <f>1280.7+(173.9-789.1)+(0.653157+(0.088689-0.402441))+0-13-0.00662999999999868</f>
        <v>652.83277500000008</v>
      </c>
      <c r="K338" s="3">
        <f>1282.8+(176.9-792.5)+(1.308456+(0.180438-0.80835))+0-13-0.0132600000000021</f>
        <v>654.86728400000004</v>
      </c>
      <c r="L338" s="3">
        <f>1329.1+(189.3-827.1)+(0.677841+(0.096543-0.421821))+0-14-0.00713999999999858</f>
        <v>677.64542299999994</v>
      </c>
      <c r="M338" s="3">
        <f>1449.3+(126.3-859.9)+(0+(0-0))+0-14-0</f>
        <v>701.69999999999993</v>
      </c>
      <c r="N338" s="3">
        <f>1549+(138.9-926.7)+(-0.78999+(-0.070839--0.472617))+0-14--0.00713999999999858</f>
        <v>746.81892800000003</v>
      </c>
      <c r="O338" s="3">
        <f>1551+(174-937.8)+(1.58202+(0.17748-0.956556))+0-14-0.0142800000000022</f>
        <v>773.98866400000009</v>
      </c>
      <c r="P338" s="3">
        <f>1571.1+(295.1-1034.6)+(0+(0-0))+0-14-0</f>
        <v>817.6</v>
      </c>
      <c r="Q338" s="3">
        <f>1568.7+(325.3-1055.4)+(-2.400111+(-0.497709--1.614762))+0-14--0.0214200000000008</f>
        <v>823.33836199999996</v>
      </c>
      <c r="R338" s="3">
        <f>1565.9+(292.3-1049.3)+(-3.194436+(-0.596292--2.140572))+0-14--0.0285599999999994</f>
        <v>793.27840400000002</v>
      </c>
      <c r="S338" s="3">
        <f>1564.3+(215.8-1002)+(1.595586+(0.220116-1.02204))+0-14-0.0142800000000022</f>
        <v>764.87938199999996</v>
      </c>
      <c r="T338" s="3">
        <f>1528.4+(216.9-966)+(-0.779484+(-0.110619--0.49266))+0-14--0.00713999999999858</f>
        <v>764.90969700000016</v>
      </c>
      <c r="U338" s="3">
        <f>1428.1+(250.1-906)+(1.456662+(0.255102-0.92412))+0-15-0.0153000000000024</f>
        <v>757.97234399999991</v>
      </c>
      <c r="V338" s="3">
        <f>1415.5+(279.9-911.7)+(-0.721905+(-0.142749--0.464967))+0-15--0.00764999999999848</f>
        <v>768.30796299999997</v>
      </c>
      <c r="W338" s="3">
        <f>1411.5+(223.1-829.2)+(-2.159595+(-0.341343--1.268676))+0-15--0.0229500000000009</f>
        <v>789.19068800000002</v>
      </c>
      <c r="X338" s="3">
        <f>1546.2+(240.7-830.8)+(0.788562+(0.122757-0.423708))+0-16-0.00815999999999838</f>
        <v>940.57945100000018</v>
      </c>
      <c r="Y338" s="3">
        <f>1552.8+(299.4-862.4)+(-3.95964+(-0.76347--2.19912))+0-16--0.0407999999999977</f>
        <v>971.31680999999992</v>
      </c>
      <c r="Z338" s="3">
        <f>1563.3+(264.5-875.3)+(-0.797283+(-0.134895--0.446403))+0-16--0.00815999999999838</f>
        <v>936.02238499999999</v>
      </c>
      <c r="AA338" s="3">
        <f>1534.5+(316.6-919.5)+(-2.347785+(-0.484398--1.406835))+0-16--0.0244800000000009</f>
        <v>914.19913200000008</v>
      </c>
      <c r="AB338" s="3">
        <f>1418.2+(385.6-880)+(-2.169846+(-0.589968--1.3464))+0-16--0.0244800000000009</f>
        <v>906.41106600000012</v>
      </c>
      <c r="AC338" s="3">
        <f>1232+(399.3-777.8)+(-3.1416+(-1.018215--1.98339))+0-16--0.0407999999999977</f>
        <v>835.364375</v>
      </c>
      <c r="AD338" s="2">
        <v>978.40000000000009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1156.1+(288.1-666.1)+(-1.768833+(-0.440793--1.019133))+0-16--0.0244800000000009</f>
        <v>760.933987</v>
      </c>
      <c r="G339" s="3">
        <f>1136.2+(235.5-654.2)+(0+(0-0))+0-15-0</f>
        <v>702.5</v>
      </c>
      <c r="H339" s="3">
        <f>1120.8+(202.1-651.1)+(1.714824+(0.309213-0.996183))+0-15-0.0229500000000009</f>
        <v>657.80490399999996</v>
      </c>
      <c r="I339" s="3">
        <f>1116.2+(172.7-624.2)+(-1.138524+(-0.176154--0.636684))+0-15--0.0153000000000024</f>
        <v>649.03730600000006</v>
      </c>
      <c r="J339" s="3">
        <f>1141.8+(177.5-633.3)+(1.746954+(0.271575-0.968949))+0-15-0.0229500000000009</f>
        <v>672.02662999999995</v>
      </c>
      <c r="K339" s="3">
        <f>1138.9+(213.6-653.5)+(0+(0-0))+0-15-0</f>
        <v>684.00000000000011</v>
      </c>
      <c r="L339" s="3">
        <f>1196.8+(256.8-740.7)+(-2.441472+(-0.523872--1.511028))+0-15--0.0305999999999993</f>
        <v>696.47628399999996</v>
      </c>
      <c r="M339" s="3">
        <f>1238.6+(228.7-740.3)+(0.631686+(0.116637-0.377553))+0-15-0.00764999999999848</f>
        <v>712.36311999999998</v>
      </c>
      <c r="N339" s="3">
        <f>1238.4+(223-706.6)+(1.263168+(0.22746-0.720732))+0-15-0.0153000000000024</f>
        <v>740.55459600000006</v>
      </c>
      <c r="O339" s="3">
        <f>1248.1+(264.7-740)+(1.909593+(0.404991-1.1322))+0-15-0.0229500000000009</f>
        <v>758.95943399999987</v>
      </c>
      <c r="P339" s="3">
        <f>1291.6+(341.6-823.3)+(0+(0-0))+0-16-0</f>
        <v>793.9</v>
      </c>
      <c r="Q339" s="3">
        <f>1276.9+(394.7-845.6)+(0+(0-0))+0-16-0</f>
        <v>810</v>
      </c>
      <c r="R339" s="3">
        <f>1220.7+(429.3-832.7)+(-1.245114+(-0.437886--0.849354))+0-15--0.0153000000000024</f>
        <v>801.48165399999993</v>
      </c>
      <c r="S339" s="3">
        <f>1221.9+(280.4-737.5)+(0.623169+(0.143004-0.376125))+0-15-0.00764999999999848</f>
        <v>750.18239800000003</v>
      </c>
      <c r="T339" s="3">
        <f>1220.5+(250.5-716.3)+(-1.24491+(-0.25551--0.730626))+0-15--0.0153000000000024</f>
        <v>738.94550600000002</v>
      </c>
      <c r="U339" s="3">
        <f>1219.4+(220.7-686.4)+(-1.243788+(-0.225114--0.700128))+0-15--0.0153000000000024</f>
        <v>737.94652600000006</v>
      </c>
      <c r="V339" s="3">
        <f>1226.8+(209.4-673.6)+(1.877004+(0.320382-1.030608))+0-15-0.0229500000000009</f>
        <v>748.74382799999989</v>
      </c>
      <c r="W339" s="3">
        <f>1232.6+(206.6-655.8)+(-1.885878+(-0.316098--1.003374))+0-15--0.0229500000000009</f>
        <v>767.22434799999996</v>
      </c>
      <c r="X339" s="3">
        <f>1304.6+(294.9-703.2)+(0+(0-0))+0-15-0</f>
        <v>881.29999999999984</v>
      </c>
      <c r="Y339" s="3">
        <f>1300.3+(368-733.1)+(-3.978918+(-1.12608--2.243286))+0-15--0.0459000000000017</f>
        <v>917.38418799999988</v>
      </c>
      <c r="Z339" s="3">
        <f>1305.1+(407-805)+(1.331202+(0.41514-0.8211))+0-15-0.0153000000000024</f>
        <v>893.00994199999991</v>
      </c>
      <c r="AA339" s="3">
        <f>1296.4+(335.7-736.6)+(-0.661164+(-0.171207--0.375666))+0-15--0.00764999999999848</f>
        <v>880.05094499999996</v>
      </c>
      <c r="AB339" s="3">
        <f>1123+(360.7-639.4)+(0+(0-0))+0-15-0</f>
        <v>829.3</v>
      </c>
      <c r="AC339" s="3">
        <f>1116.9+(310.6-649)+(-1.708857+(-0.475218--0.99297))+0-15--0.0229500000000009</f>
        <v>762.33184500000016</v>
      </c>
      <c r="AD339" s="2">
        <v>949.3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1168.1+(239.6-645.8)+(-1.787193+(-0.366588--0.988074))+0-15--0.0229500000000009</f>
        <v>745.75724300000002</v>
      </c>
      <c r="G340" s="3">
        <f>1069+(239-600.5)+(-2.72595+(-0.60945--1.531275))+0-15--0.0382499999999978</f>
        <v>690.73412499999995</v>
      </c>
      <c r="H340" s="3">
        <f>1011.3+(244.1-579.4)+(-0.515763+(-0.124491--0.295494))+0-15--0.00764999999999848</f>
        <v>660.66289000000006</v>
      </c>
      <c r="I340" s="3">
        <f>1059.8+(182.8-565.4)+(0.540498+(0.093228-0.288354))+0-15-0.00764999999999848</f>
        <v>662.53772200000003</v>
      </c>
      <c r="J340" s="3">
        <f>1007.1+(199-570.4)+(0.513621+(0.10149-0.290904))+0-15-0.00764999999999848</f>
        <v>621.01655700000003</v>
      </c>
      <c r="K340" s="3">
        <f>1012.9+(246.3-580.1)+(2.066316+(0.502452-1.183404))+0-15-0.0305999999999993</f>
        <v>665.45476399999984</v>
      </c>
      <c r="L340" s="3">
        <f>1008.5+(282.5-608)+(-1.02867+(-0.28815--0.62016))+0-15--0.0153000000000024</f>
        <v>667.31864000000007</v>
      </c>
      <c r="M340" s="3">
        <f>1167.7+(305.6-713.1)+(-0.595527+(-0.155856--0.363681))+0-15--0.00764999999999848</f>
        <v>744.81994800000007</v>
      </c>
      <c r="N340" s="3">
        <f>1091.2+(275.3-708.2)+(-1.113024+(-0.280806--0.722364))+0-15--0.0153000000000024</f>
        <v>642.64383399999997</v>
      </c>
      <c r="O340" s="3">
        <f>1100.9+(302.2-669.5)+(1.122918+(0.308244-0.68289))+0-15-0.0153000000000024</f>
        <v>719.33297200000015</v>
      </c>
      <c r="P340" s="3">
        <f>1169.9+(234.8-623)+(0+(0-0))+0-15-0</f>
        <v>766.7</v>
      </c>
      <c r="Q340" s="3">
        <f>1223+(223.1-671.7)+(0+(0-0))+0-15-0</f>
        <v>759.4</v>
      </c>
      <c r="R340" s="3">
        <f>1221.9+(224-698)+(-1.869507+(-0.34272--1.06794))+0-14--0.0214200000000008</f>
        <v>732.77713300000016</v>
      </c>
      <c r="S340" s="3">
        <f>1224.2+(200.6-708.2)+(-0.624342+(-0.102306--0.361182))+0-14--0.00713999999999858</f>
        <v>702.2416740000001</v>
      </c>
      <c r="T340" s="3">
        <f>1213.5+(212.4-708.3)+(-1.23777+(-0.216648--0.722466))+0-14--0.0142800000000022</f>
        <v>702.88232800000003</v>
      </c>
      <c r="U340" s="3">
        <f>1207.8+(181.6-688.2)+(-1.231956+(-0.185232--0.701964))+0-14--0.0142800000000022</f>
        <v>686.49905599999988</v>
      </c>
      <c r="V340" s="3">
        <f>1203.8+(174.5-662.7)+(0+(0-0))+0-14-0</f>
        <v>701.59999999999991</v>
      </c>
      <c r="W340" s="3">
        <f>1202.1+(184.4-629.3)+(-0.613071+(-0.094044--0.320943))+0-14--0.00713999999999858</f>
        <v>742.82096799999999</v>
      </c>
      <c r="X340" s="3">
        <f>1209.4+(337-636.7)+(-0.616794+(-0.17187--0.324717))+0-14--0.00713999999999858</f>
        <v>895.24319300000013</v>
      </c>
      <c r="Y340" s="3">
        <f>1219.1+(421.1-672.5)+(0+(0-0))+0-14-0</f>
        <v>953.69999999999993</v>
      </c>
      <c r="Z340" s="3">
        <f>1226.9+(396-692)+(-1.251438+(-0.40392--0.70584))+0-14--0.0142800000000022</f>
        <v>915.96476200000006</v>
      </c>
      <c r="AA340" s="3">
        <f>1231.4+(371.9-671)+(-0.628014+(-0.189669--0.34221))+0-14--0.00713999999999858</f>
        <v>917.83166700000015</v>
      </c>
      <c r="AB340" s="3">
        <f>1168.6+(369-642.4)+(-2.97993+(-0.94095--1.63812))+0-14--0.035699999999998</f>
        <v>878.9529399999999</v>
      </c>
      <c r="AC340" s="3">
        <f>1144.2+(338.7-657.9)+(-2.91771+(-0.863685--1.677645))+0-14--0.035699999999998</f>
        <v>808.93195000000003</v>
      </c>
      <c r="AD340" s="2">
        <v>918.69999999999993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1166.9+(249.1-648.4)+(-1.190238+(-0.254082--0.661368))+0-15--0.0153000000000024</f>
        <v>751.83234800000014</v>
      </c>
      <c r="G341" s="3">
        <f>1152.9+(201.6-659)+(1.175958+(0.205632-0.67218))+0-15-0.0153000000000024</f>
        <v>681.19411000000014</v>
      </c>
      <c r="H341" s="3">
        <f>1118.6+(197.7-642.3)+(1.140972+(0.201654-0.655146))+0-15-0.0153000000000024</f>
        <v>659.67218000000003</v>
      </c>
      <c r="I341" s="3">
        <f>1112.4+(168.8-617.7)+(0.567324+(0.086088-0.315027))+0-14-0.00713999999999858</f>
        <v>649.83124499999997</v>
      </c>
      <c r="J341" s="3">
        <f>1112.8+(160.8-608.6)+(-0.567528+(-0.082008--0.310386))+0-14--0.00713999999999858</f>
        <v>650.66799000000003</v>
      </c>
      <c r="K341" s="3">
        <f>1131.9+(151.8-614.1)+(1.154538+(0.154836-0.626382))+0-14-0.0142800000000022</f>
        <v>656.26871200000016</v>
      </c>
      <c r="L341" s="3">
        <f>1146.1+(193.1-639.3)+(0.584511+(0.098481-0.326043))+0-14-0.00713999999999858</f>
        <v>686.24980899999991</v>
      </c>
      <c r="M341" s="3">
        <f>1208.4+(186.1-663)+(0.616284+(0.094911-0.33813))+0-14-0.00713999999999858</f>
        <v>717.86592500000006</v>
      </c>
      <c r="N341" s="3">
        <f>1225.7+(257.6-699.7)+(1.250214+(0.262752-0.713694))+0-14-0.0142800000000022</f>
        <v>770.38499200000001</v>
      </c>
      <c r="O341" s="3">
        <f>1227.3+(332.5-730.6)+(2.503692+(0.6783-1.490424))+0-13-0.0265199999999994</f>
        <v>817.86504799999989</v>
      </c>
      <c r="P341" s="3">
        <f>1222.7+(416.7-785.6)+(0+(0-0))+0-14-0</f>
        <v>839.8</v>
      </c>
      <c r="Q341" s="3">
        <f>1223.4+(446.3-805)+(0+(0-0))+0-14-0</f>
        <v>850.7</v>
      </c>
      <c r="R341" s="3">
        <f>1221.7+(412.3-801.8)+(-1.246134+(-0.420546--0.817836))+0-14--0.0142800000000022</f>
        <v>817.36543600000005</v>
      </c>
      <c r="S341" s="3">
        <f>1227.4+(341-760.8)+(-2.503896+(-0.69564--1.552032))+0-14--0.0285599999999994</f>
        <v>791.98105600000008</v>
      </c>
      <c r="T341" s="3">
        <f>1235+(326.5-753.1)+(0+(0-0))+0-14-0</f>
        <v>794.4</v>
      </c>
      <c r="U341" s="3">
        <f>1235.8+(316.1-741.8)+(0.630258+(0.161211-0.378318))+0-14-0.00713999999999858</f>
        <v>796.50601099999994</v>
      </c>
      <c r="V341" s="3">
        <f>1233.1+(276.9-695.9)+(0+(0-0))+0-14-0</f>
        <v>800.09999999999991</v>
      </c>
      <c r="W341" s="3">
        <f>1229.5+(288.1-639.7)+(-1.25409+(-0.293862--0.652494))+0-14--0.0142800000000022</f>
        <v>863.018822</v>
      </c>
      <c r="X341" s="3">
        <f>1232.4+(459.2-719)+(-1.885572+(-0.702576--1.10007))+0-14--0.0214200000000008</f>
        <v>957.1333420000002</v>
      </c>
      <c r="Y341" s="3">
        <f>1230.7+(473.2-703.8)+(-1.255314+(-0.482664--0.717876))+0-14--0.0142800000000022</f>
        <v>985.09417800000017</v>
      </c>
      <c r="Z341" s="3">
        <f>1204.5+(522.3-746.5)+(0.614295+(0.266373-0.380715))+0-14-0.00713999999999858</f>
        <v>966.79281299999991</v>
      </c>
      <c r="AA341" s="3">
        <f>1180.7+(515.1-732)+(-1.204314+(-0.525402--0.74664))+0-13--0.0132600000000021</f>
        <v>949.83018400000003</v>
      </c>
      <c r="AB341" s="3">
        <f>1144.8+(483.1-711.4)+(-1.167696+(-0.492762--0.725628))+0-13--0.0132600000000021</f>
        <v>902.57842999999991</v>
      </c>
      <c r="AC341" s="3">
        <f>1103.1+(397.2-669.5)+(-0.562581+(-0.202572--0.341445))+0-13--0.00662999999999868</f>
        <v>817.38292199999989</v>
      </c>
      <c r="AD341" s="2">
        <v>949.50000000000011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1098.6+(273.5-618)+(-2.80143+(-0.697425--1.5759))+0-13--0.0331499999999981</f>
        <v>739.21019499999989</v>
      </c>
      <c r="G342" s="3">
        <f>1103.7+(285.3-675.4)+(-0.562887+(-0.145503--0.344454))+0-13--0.00662999999999868</f>
        <v>700.24269400000014</v>
      </c>
      <c r="H342" s="3">
        <f>1102.9+(206.8-619.9)+(-1.124958+(-0.210936--0.632298))+0-13--0.0132600000000021</f>
        <v>676.10966400000018</v>
      </c>
      <c r="I342" s="3">
        <f>1093.8+(189.1-599.1)+(-1.673514+(-0.289323--0.916623))+0-13--0.0198900000000008</f>
        <v>669.77367600000002</v>
      </c>
      <c r="J342" s="3">
        <f>1049+(208.9-591.4)+(0.53499+(0.106539-0.301614))+0-13-0.00662999999999868</f>
        <v>653.83328500000005</v>
      </c>
      <c r="K342" s="3">
        <f>1048+(232.8-601.9)+(-0.53448+(-0.118728--0.306969))+0-13--0.00662999999999868</f>
        <v>665.5603910000001</v>
      </c>
      <c r="L342" s="3">
        <f>1080.1+(256.3-644)+(-0.550851+(-0.130713--0.32844))+0-13--0.00662999999999868</f>
        <v>679.05350599999986</v>
      </c>
      <c r="M342" s="3">
        <f>1108.3+(292.8-679.7)+(0.565233+(0.149328-0.346647))+0-13-0.00662999999999868</f>
        <v>708.76128399999993</v>
      </c>
      <c r="N342" s="3">
        <f>1107+(355.1-675.1)+(0.56457+(0.181101-0.344301))+0-14-0.00713999999999858</f>
        <v>773.39422999999999</v>
      </c>
      <c r="O342" s="3">
        <f>1123.2+(440.6-729.8)+(0+(0-0))+0-13-0</f>
        <v>821.00000000000011</v>
      </c>
      <c r="P342" s="3">
        <f>1159.5+(431.9-744.3)+(0+(0-0))+0-13-0</f>
        <v>834.1</v>
      </c>
      <c r="Q342" s="3">
        <f>1159+(474-778.4)+(-0.59109+(-0.24174--0.396984))+0-13--0.00662999999999868</f>
        <v>841.17078400000003</v>
      </c>
      <c r="R342" s="3">
        <f>1155+(438.6-783.6)+(-2.3562+(-0.894744--1.598544))+0-14--0.0285599999999994</f>
        <v>794.37616000000003</v>
      </c>
      <c r="S342" s="3">
        <f>1163.1+(367-753.5)+(1.186362+(0.37434-0.76857))+0-14-0.0142800000000022</f>
        <v>763.37785199999996</v>
      </c>
      <c r="T342" s="3">
        <f>1165+(368.3-764.1)+(0.59415+(0.187833-0.389691))+0-14-0.00713999999999858</f>
        <v>755.58515199999999</v>
      </c>
      <c r="U342" s="3">
        <f>1165.7+(356.5-744.5)+(1.189014+(0.36363-0.75939))+0-14-0.0142800000000022</f>
        <v>764.47897400000011</v>
      </c>
      <c r="V342" s="3">
        <f>1163.7+(373.4-752.4)+(1.186974+(0.380868-0.767448))+0-14-0.0142800000000022</f>
        <v>771.48611400000004</v>
      </c>
      <c r="W342" s="3">
        <f>1193.5+(340.4-705.6)+(-2.43474+(-0.694416--1.439424))+0-14--0.0285599999999994</f>
        <v>812.63882799999988</v>
      </c>
      <c r="X342" s="3">
        <f>1228.6+(411.9-684.9)+(-0.626586+(-0.210069--0.349299))+0-14--0.00713999999999858</f>
        <v>941.11978399999998</v>
      </c>
      <c r="Y342" s="3">
        <f>1226.7+(415.8-641.6)+(-2.502468+(-0.848232--1.308864))+0-14--0.0285599999999994</f>
        <v>984.88672400000007</v>
      </c>
      <c r="Z342" s="3">
        <f>1223+(460.2-703.3)+(-3.11865+(-1.17351--1.793415))+0-14--0.035699999999998</f>
        <v>963.43695500000013</v>
      </c>
      <c r="AA342" s="3">
        <f>1233.1+(411.6-682.2)+(0+(0-0))+0-14-0</f>
        <v>948.49999999999989</v>
      </c>
      <c r="AB342" s="3">
        <f>1173.3+(389.6-635.6)+(-0.598383+(-0.198696--0.324156))+0-14--0.00713999999999858</f>
        <v>912.83421699999997</v>
      </c>
      <c r="AC342" s="3">
        <f>1083.9+(395.2-638.5)+(-1.658367+(-0.604656--0.976905))+0-14--0.0214200000000008</f>
        <v>825.33530200000018</v>
      </c>
      <c r="AD342" s="2">
        <v>949.69999999999982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1077.5+(315.4-631.6)+(-1.09905+(-0.321708--0.644232))+0-13--0.0132600000000021</f>
        <v>747.53673399999991</v>
      </c>
      <c r="G343" s="3">
        <f>1081.3+(269.1-642)+(0.551463+(0.137241-0.32742))+0-13-0.00662999999999868</f>
        <v>695.75465399999996</v>
      </c>
      <c r="H343" s="3">
        <f>1077.6+(193.3-590.7)+(-1.099152+(-0.197166--0.602514))+0-13--0.0132600000000021</f>
        <v>666.51945599999976</v>
      </c>
      <c r="I343" s="3">
        <f>1050.5+(197.9-569.5)+(0.535755+(0.100929-0.290445))+0-13-0.00662999999999868</f>
        <v>666.23960899999997</v>
      </c>
      <c r="J343" s="3">
        <f>1000.3+(237.8-561.5)+(0+(0-0))+0-13-0</f>
        <v>663.59999999999991</v>
      </c>
      <c r="K343" s="3">
        <f>994.9+(252.7-561.9)+(-1.522197+(-0.386631--0.859707))+0-13--0.0198900000000008</f>
        <v>671.67076900000006</v>
      </c>
      <c r="L343" s="3">
        <f>1021.2+(293.5-624)+(0+(0-0))+0-14-0</f>
        <v>676.7</v>
      </c>
      <c r="M343" s="3">
        <f>1132.6+(249.4-663)+(0.577626+(0.127194-0.33813))+0-13-0.00662999999999868</f>
        <v>706.36005999999986</v>
      </c>
      <c r="N343" s="3">
        <f>1180.3+(250.3-648)+(-0.601953+(-0.127653--0.33048))+0-13--0.00662999999999868</f>
        <v>769.20750399999986</v>
      </c>
      <c r="O343" s="3">
        <f>1215.3+(249.1-635.1)+(-1.859409+(-0.381123--0.971703))+0-13--0.0198900000000008</f>
        <v>815.051061</v>
      </c>
      <c r="P343" s="3">
        <f>1218.5+(257-635.1)+(-1.864305+(-0.39321--0.971703))+0-13--0.0198900000000008</f>
        <v>826.13407800000004</v>
      </c>
      <c r="Q343" s="3">
        <f>1221.1+(262.3-650.7)+(-2.491044+(-0.535092--1.327428))+0-13--0.0265199999999994</f>
        <v>818.02781199999981</v>
      </c>
      <c r="R343" s="3">
        <f>1172.5+(266.6-633)+(0+(0-0))+0-13-0</f>
        <v>793.1</v>
      </c>
      <c r="S343" s="3">
        <f>1092.8+(328.7-643.3)+(-1.671984+(-0.502911--0.984249))+0-13--0.0198900000000008</f>
        <v>764.02924400000006</v>
      </c>
      <c r="T343" s="3">
        <f>1074.1+(352.3-666.2)+(1.095582+(0.359346-0.679524))+0-13-0.0132600000000021</f>
        <v>747.96214399999985</v>
      </c>
      <c r="U343" s="3">
        <f>1071.6+(334.5-684.3)+(-0.546516+(-0.170595--0.348993))+0-12--0.00611999999999878</f>
        <v>709.43800199999998</v>
      </c>
      <c r="V343" s="3">
        <f>1073.5+(477.8-777.1)+(0+(0-0))+0-13-0</f>
        <v>761.2</v>
      </c>
      <c r="W343" s="3">
        <f>1182.7+(346.5-736.2)+(-1.206354+(-0.35343--0.750924))+0-13--0.0132600000000021</f>
        <v>779.20439999999996</v>
      </c>
      <c r="X343" s="3">
        <f>1233.3+(418.7-705.9)+(-0.628983+(-0.213537--0.360009))+0-13--0.00662999999999868</f>
        <v>932.62411899999984</v>
      </c>
      <c r="Y343" s="3">
        <f>1260.1+(495.1-748.1)+(-3.213255+(-1.262505--1.907655))+0-13--0.0331499999999981</f>
        <v>991.56504499999994</v>
      </c>
      <c r="Z343" s="3">
        <f>1217.7+(467-698)+(0+(0-0))+0-14-0</f>
        <v>972.7</v>
      </c>
      <c r="AA343" s="3">
        <f>1164.3+(502.4-705.4)+(-1.187586+(-0.512448--0.719508))+0-14--0.0142800000000022</f>
        <v>946.33375399999989</v>
      </c>
      <c r="AB343" s="3">
        <f>1113.4+(479.7-677.3)+(-1.135668+(-0.489294--0.690846))+0-14--0.0142800000000022</f>
        <v>900.88016400000015</v>
      </c>
      <c r="AC343" s="3">
        <f>1110.1+(397.1-667.5)+(-2.830755+(-1.012605--1.702125))+0-14--0.035699999999998</f>
        <v>823.5944649999999</v>
      </c>
      <c r="AD343" s="2">
        <v>967.99999999999989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1049.7+(318.2-521.1)+(-1.606041+(-0.486846--0.797283))+0-13--0.0198900000000008</f>
        <v>832.52428599999996</v>
      </c>
      <c r="G344" s="3">
        <f>914.4+(363.9-518.7)+(-1.399032+(-0.556767--0.793611))+0-13--0.0198900000000008</f>
        <v>745.45770199999993</v>
      </c>
      <c r="H344" s="3">
        <f>913.7+(311.6-495.4)+(-0.465987+(-0.158916--0.252654))+0-13--0.00662999999999868</f>
        <v>716.53438100000005</v>
      </c>
      <c r="I344" s="3">
        <f>913.7+(289.1-481.1)+(-0.931974+(-0.294882--0.490722))+0-13--0.0132600000000021</f>
        <v>707.977126</v>
      </c>
      <c r="J344" s="3">
        <f>915.4+(277.4-477.9)+(0.466854+(0.141474-0.243729))+0-13-0.00662999999999868</f>
        <v>702.257969</v>
      </c>
      <c r="K344" s="3">
        <f>923.6+(306.9-494.8)+(1.884144+(0.626076-1.009392))+0-13-0.0265199999999994</f>
        <v>724.174308</v>
      </c>
      <c r="L344" s="3">
        <f>975.2+(318.6-550)+(-0.497352+(-0.162486--0.2805))+0-13--0.00662999999999868</f>
        <v>730.42729200000008</v>
      </c>
      <c r="M344" s="3">
        <f>1116.2+(244.9-566.7)+(-0.569262+(-0.124899--0.289017))+0-14--0.00713999999999858</f>
        <v>780.00199600000008</v>
      </c>
      <c r="N344" s="3">
        <f>1147.2+(271.3-569.9)+(-0.585072+(-0.138363--0.290649))+0-14--0.00713999999999858</f>
        <v>834.17435400000022</v>
      </c>
      <c r="O344" s="3">
        <f>1180.9+(361.4-633.4)+(-2.409036+(-0.737256--1.292136))+0-8--0.0163199999999997</f>
        <v>899.06216400000005</v>
      </c>
      <c r="P344" s="3">
        <f>1181.4+(404.5-672.8)+(-0.602514+(-0.206295--0.343128))+0-8--0.00407999999999919</f>
        <v>904.63839900000016</v>
      </c>
      <c r="Q344" s="3">
        <f>1183.2+(462.4-713.6)+(-1.206864+(-0.471648--0.727872))+0-8--0.00816000000000128</f>
        <v>923.05751999999995</v>
      </c>
      <c r="R344" s="3">
        <f>1065.7+(547.9-735)+(-2.174028+(-1.117716--1.4994))+0-10--0.0203999999999996</f>
        <v>866.82805600000006</v>
      </c>
      <c r="S344" s="3">
        <f>1050.2+(516.4-704.3)+(-1.606806+(-0.790092--1.077579))+0-10--0.0153000000000006</f>
        <v>850.99598100000014</v>
      </c>
      <c r="T344" s="3">
        <f>1053.7+(513.8-736.9)+(0.537387+(0.262038-0.375819))+0-10-0.00509999999999899</f>
        <v>821.018506</v>
      </c>
      <c r="U344" s="3">
        <f>1066.9+(497.4-721.7)+(1.088238+(0.507348-0.736134))+0-11-0.0112200000000018</f>
        <v>832.44823200000008</v>
      </c>
      <c r="V344" s="3">
        <f>1094.7+(425.7-702.5)+(0.558297+(0.217107-0.358275))+0-15-0.00764999999999848</f>
        <v>803.30947900000012</v>
      </c>
      <c r="W344" s="3">
        <f>1113.1+(337.3-704.3)+(0.567681+(0.172023-0.359193))+0-14-0.00713999999999858</f>
        <v>732.47337099999982</v>
      </c>
      <c r="X344" s="3">
        <f>1219.8+(413.6-621.3)+(0+(0-0))+0-14-0</f>
        <v>998.1</v>
      </c>
      <c r="Y344" s="3">
        <f>1219.2+(494.2-603.9)+(0+(0-0))+0-14-0</f>
        <v>1095.5</v>
      </c>
      <c r="Z344" s="3">
        <f>1223.2+(424.3-576.6)+(-0.623832+(-0.216393--0.294066))+0-14--0.00713999999999858</f>
        <v>1056.360981</v>
      </c>
      <c r="AA344" s="3">
        <f>1228.2+(366.1-556.5)+(0+(0-0))+0-14-0</f>
        <v>1023.8000000000002</v>
      </c>
      <c r="AB344" s="3">
        <f>1220.8+(320.5-537.3)+(-2.490432+(-0.65382--1.096092))+0-14--0.0285599999999994</f>
        <v>987.98039999999992</v>
      </c>
      <c r="AC344" s="3">
        <f>1222.7+(308-600.7)+(-0.623577+(-0.15708--0.306357))+0-14--0.00713999999999858</f>
        <v>915.53284000000008</v>
      </c>
      <c r="AD344" s="2">
        <v>999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1187.7+(229.6-668.1)+(-3.028635+(-0.58548--1.703655))+0-14--0.035699999999998</f>
        <v>733.32524000000012</v>
      </c>
      <c r="G345" s="3">
        <f>1151.2+(225.8-652.5)+(-1.761336+(-0.345474--0.998325))+0-14--0.0214200000000008</f>
        <v>709.41293500000006</v>
      </c>
      <c r="H345" s="3">
        <f>871.2+(390.3-594)+(0+(0-0))+0-13-0</f>
        <v>654.5</v>
      </c>
      <c r="I345" s="3">
        <f>862.2+(368.6-574.1)+(0.439722+(0.187986-0.292791))+0-13-0.00662999999999868</f>
        <v>644.02828700000009</v>
      </c>
      <c r="J345" s="3">
        <f>848.6+(366.1-565.4)+(-1.731144+(-0.746844--1.153416))+0-13--0.0265199999999994</f>
        <v>635.00194800000008</v>
      </c>
      <c r="K345" s="3">
        <f>856.2+(394.3-602.9)+(0.436662+(0.201093-0.307479))+0-13-0.00662999999999868</f>
        <v>634.92364600000019</v>
      </c>
      <c r="L345" s="3">
        <f>853.2+(459.8-640)+(0.435132+(0.234498-0.3264))+0-14-0.00713999999999858</f>
        <v>659.3360899999999</v>
      </c>
      <c r="M345" s="3">
        <f>898+(465-666.7)+(-0.45798+(-0.23715--0.340017))+0-14--0.00713999999999858</f>
        <v>681.95202700000004</v>
      </c>
      <c r="N345" s="3">
        <f>1189.3+(327.3-736.5)+(0+(0-0))+0-14-0</f>
        <v>766.09999999999991</v>
      </c>
      <c r="O345" s="3">
        <f>1227.6+(414-779)+(-0.626076+(-0.21114--0.39729))+0-14--0.00713999999999858</f>
        <v>848.16721399999994</v>
      </c>
      <c r="P345" s="3">
        <f>1217+(433.5-798.6)+(-1.86201+(-0.663255--1.221858))+0-14--0.0214200000000008</f>
        <v>836.61801300000002</v>
      </c>
      <c r="Q345" s="3">
        <f>1215.1+(460.8-835)+(-0.619701+(-0.235008--0.42585))+0-13--0.00662999999999868</f>
        <v>827.47777099999985</v>
      </c>
      <c r="R345" s="3">
        <f>1208.3+(434.2-839.1)+(-0.616233+(-0.221442--0.427941))+0-14--0.00713999999999858</f>
        <v>788.99740599999996</v>
      </c>
      <c r="S345" s="3">
        <f>1209.7+(449.1-859.8)+(1.850841+(0.687123-1.315494))+0-14-0.0214200000000008</f>
        <v>786.20105000000012</v>
      </c>
      <c r="T345" s="3">
        <f>1207.4+(437.4-850.5)+(1.231548+(0.446148-0.86751))+0-14-0.0142800000000022</f>
        <v>781.09590600000013</v>
      </c>
      <c r="U345" s="3">
        <f>1200.8+(410.2-828.1)+(-1.224816+(-0.418404--0.844662))+0-14--0.0142800000000022</f>
        <v>768.11572199999989</v>
      </c>
      <c r="V345" s="3">
        <f>1200.1+(379.4-806.2)+(0.612051+(0.193494-0.411162))+0-14-0.00713999999999858</f>
        <v>759.68724299999974</v>
      </c>
      <c r="W345" s="3">
        <f>1203.8+(346.2-737)+(0.613938+(0.176562-0.37587))+0-14-0.00713999999999858</f>
        <v>799.40748999999994</v>
      </c>
      <c r="X345" s="3">
        <f>1204.4+(430.2-684.8)+(-0.614244+(-0.219402--0.349248))+0-14--0.00713999999999858</f>
        <v>935.32274200000018</v>
      </c>
      <c r="Y345" s="3">
        <f>1208.6+(504.4-698.2)+(-3.08193+(-1.28622--1.78041))+0-14--0.035699999999998</f>
        <v>998.24795999999981</v>
      </c>
      <c r="Z345" s="3">
        <f>1217.2+(465.9-700)+(-2.483088+(-0.950436--1.428))+0-14--0.0285599999999994</f>
        <v>967.12303599999996</v>
      </c>
      <c r="AA345" s="3">
        <f>1179.3+(480.3-699.5)+(-3.007215+(-1.224765--1.783725))+0-14--0.035699999999998</f>
        <v>943.68744499999991</v>
      </c>
      <c r="AB345" s="3">
        <f>1158.8+(461.1-710)+(-0.590988+(-0.235161--0.3621))+0-14--0.00713999999999858</f>
        <v>895.44309099999998</v>
      </c>
      <c r="AC345" s="3">
        <f>1129.8+(427.8-697.5)+(-1.728594+(-0.654534--1.067175))+0-14--0.0214200000000008</f>
        <v>844.80546699999991</v>
      </c>
      <c r="AD345" s="2">
        <v>1003.4999999999999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1088.2+(379.7-671.9)+(-0.554982+(-0.193647--0.342669))+0-13--0.00662999999999868</f>
        <v>782.60066999999992</v>
      </c>
      <c r="G346" s="3">
        <f>1073.8+(241.1-612.5)+(-0.547638+(-0.122961--0.312375))+0-13--0.00662999999999868</f>
        <v>689.048406</v>
      </c>
      <c r="H346" s="3">
        <f>1043.6+(193.9-560.7)+(0.532236+(0.098889-0.285957))+0-13-0.00662999999999868</f>
        <v>664.13853799999981</v>
      </c>
      <c r="I346" s="3">
        <f>1032.9+(178.7-535.1)+(-1.053558+(-0.182274--0.545802))+0-13--0.0132600000000021</f>
        <v>662.82322999999997</v>
      </c>
      <c r="J346" s="3">
        <f>997.5+(203.8-531)+(1.01745+(0.207876-0.54162))+0-13-0.0132600000000021</f>
        <v>657.97044600000004</v>
      </c>
      <c r="K346" s="3">
        <f>997.6+(228.3-546.9)+(0.508776+(0.116433-0.278919))+0-13-0.00662999999999868</f>
        <v>666.33965999999998</v>
      </c>
      <c r="L346" s="3">
        <f>1039.1+(236.6-591.7)+(-3.179646+(-0.723996--1.810602))+0-13--0.0397800000000015</f>
        <v>668.94673999999986</v>
      </c>
      <c r="M346" s="3">
        <f>1082.2+(262.8-639.9)+(0.551922+(0.134028-0.326349))+0-13-0.00662999999999868</f>
        <v>692.45297100000016</v>
      </c>
      <c r="N346" s="3">
        <f>1200.1+(370-798.6)+(0+(0-0))+0-13-0</f>
        <v>758.49999999999989</v>
      </c>
      <c r="O346" s="3">
        <f>1230.8+(482.5-884)+(-1.255416+(-0.49215--0.90168))+0-13--0.0132600000000021</f>
        <v>815.46737399999995</v>
      </c>
      <c r="P346" s="3">
        <f>1224.5+(492.1-867.3)+(0.624495+(0.250971-0.442323))+0-13-0.00662999999999868</f>
        <v>836.72651300000007</v>
      </c>
      <c r="Q346" s="3">
        <f>1210+(499.4-877.8)+(-2.4684+(-1.018776--1.790712))+0-13--0.0265199999999994</f>
        <v>816.93005600000004</v>
      </c>
      <c r="R346" s="3">
        <f>1209.8+(410.8-817.7)+(-1.233996+(-0.419016--0.834054))+0-14--0.0142800000000022</f>
        <v>788.0953219999999</v>
      </c>
      <c r="S346" s="3">
        <f>1199.5+(351.3-782.6)+(-3.058725+(-0.895815--1.99563))+0-13--0.0331499999999981</f>
        <v>753.27424000000008</v>
      </c>
      <c r="T346" s="3">
        <f>1198.6+(316.7-762.9)+(-1.222572+(-0.323034--0.778158))+0-13--0.0132600000000021</f>
        <v>738.64581199999986</v>
      </c>
      <c r="U346" s="3">
        <f>1190.8+(262.7-697.6)+(-3.643848+(-0.803862--2.134656))+0-14--0.0428400000000016</f>
        <v>739.62978599999985</v>
      </c>
      <c r="V346" s="3">
        <f>1194.9+(231.8-682.1)+(0+(0-0))+0-14-0</f>
        <v>730.60000000000014</v>
      </c>
      <c r="W346" s="3">
        <f>1193.4+(260.1-680)+(-1.217268+(-0.265302--0.6936))+0-13--0.0132600000000021</f>
        <v>759.72429000000011</v>
      </c>
      <c r="X346" s="3">
        <f>1208.1+(382.1-662.5)+(1.232262+(0.389742-0.67575))+0-13-0.0132600000000021</f>
        <v>915.63299399999994</v>
      </c>
      <c r="Y346" s="3">
        <f>1202.8+(437.5-678.3)+(-1.840284+(-0.669375--1.037799))+0-14--0.0214200000000008</f>
        <v>946.54956000000004</v>
      </c>
      <c r="Z346" s="3">
        <f>1201.9+(443.1-708.4)+(-2.451876+(-0.903924--1.445136))+0-14--0.0285599999999994</f>
        <v>920.71789600000011</v>
      </c>
      <c r="AA346" s="3">
        <f>1205.6+(371.7-676.4)+(-0.614856+(-0.189567--0.344964))+0-14--0.00713999999999858</f>
        <v>886.44768099999987</v>
      </c>
      <c r="AB346" s="3">
        <f>1208.5+(399.7-718.4)+(-1.23267+(-0.407694--0.732768))+0-14--0.0142800000000022</f>
        <v>874.90668399999993</v>
      </c>
      <c r="AC346" s="3">
        <f>1208.2+(311.4-651.4)+(-0.616182+(-0.158814--0.332214))+0-14--0.00713999999999858</f>
        <v>853.76435800000013</v>
      </c>
      <c r="AD346" s="2">
        <v>956.30000000000007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1040.9+(309.4-591.3)+(-1.061718+(-0.315588--0.603126))+0-14--0.0142800000000022</f>
        <v>744.2401000000001</v>
      </c>
      <c r="G347" s="3">
        <f>915.6+(187.2-421.8)+(-0.466956+(-0.095472--0.215118))+0-14--0.00713999999999858</f>
        <v>666.65983000000006</v>
      </c>
      <c r="H347" s="3">
        <f>833.9+(211.3-332.5)+(-0.850578+(-0.215526--0.33915))+0-14--0.0142800000000022</f>
        <v>697.98732600000005</v>
      </c>
      <c r="I347" s="3">
        <f>771.9+(201.2-338.6)+(0.393669+(0.102612-0.172686))+0-14-0.00713999999999858</f>
        <v>620.81645499999991</v>
      </c>
      <c r="J347" s="3">
        <f>765.3+(201-334.6)+(-1.561212+(-0.41004--0.682584))+0-14--0.0285599999999994</f>
        <v>616.43989199999987</v>
      </c>
      <c r="K347" s="3">
        <f>772.6+(209.8-346.7)+(0.394026+(0.106998-0.176817))+0-14-0.00713999999999858</f>
        <v>622.017067</v>
      </c>
      <c r="L347" s="3">
        <f>762.2+(246.1-363.9)+(-2.332332+(-0.753066--1.113534))+0-14--0.0428400000000016</f>
        <v>628.47097600000006</v>
      </c>
      <c r="M347" s="3">
        <f>767.8+(448.2-575.6)+(-1.174734+(-0.685746--0.880668))+0-14--0.0214200000000008</f>
        <v>625.44160799999986</v>
      </c>
      <c r="N347" s="3">
        <f>772.3+(525.2-621.6)+(-0.393873+(-0.267852--0.317016))+0-14--0.00713999999999858</f>
        <v>661.56243100000006</v>
      </c>
      <c r="O347" s="3">
        <f>813.1+(536.7-631.1)+(-0.414681+(-0.273717--0.321861))+0-14--0.00713999999999858</f>
        <v>704.3406030000001</v>
      </c>
      <c r="P347" s="3">
        <f>852.7+(453-554.3)+(-0.434877+(-0.23103--0.282693))+0-14--0.00713999999999858</f>
        <v>737.02392600000019</v>
      </c>
      <c r="Q347" s="3">
        <f>922.3+(456.4-621.7)+(0+(0-0))+0-14-0</f>
        <v>742.99999999999989</v>
      </c>
      <c r="R347" s="3">
        <f>912.5+(462.7-645.6)+(-1.396125+(-0.707931--0.987768))+0-13--0.0198900000000008</f>
        <v>715.50360199999989</v>
      </c>
      <c r="S347" s="3">
        <f>916.2+(456.8-675.6)+(0.934524+(0.465936-0.689112))+0-13-0.0132600000000021</f>
        <v>685.09808800000019</v>
      </c>
      <c r="T347" s="3">
        <f>915.3+(421.7-652.9)+(0+(0-0))+0-13-0</f>
        <v>671.09999999999991</v>
      </c>
      <c r="U347" s="3">
        <f>910.5+(380.1-611.2)+(-1.393065+(-0.581553--0.935136))+0-13--0.0198900000000008</f>
        <v>665.38040799999999</v>
      </c>
      <c r="V347" s="3">
        <f>911.4+(390.8-620.4)+(0.929628+(0.398616-0.632808))+0-13-0.0132600000000021</f>
        <v>669.48217599999998</v>
      </c>
      <c r="W347" s="3">
        <f>912.3+(419.6-602.8)+(0.465273+(0.213996-0.307428))+0-13-0.00662999999999868</f>
        <v>716.46521100000007</v>
      </c>
      <c r="X347" s="3">
        <f>920.5+(549.5-595.7)+(0+(0-0))+0-13-0</f>
        <v>861.3</v>
      </c>
      <c r="Y347" s="3">
        <f>923.1+(617.6-624.6)+(-0.470781+(-0.314976--0.318546))+0-13--0.00662999999999868</f>
        <v>902.63941899999998</v>
      </c>
      <c r="Z347" s="3">
        <f>920.8+(568.7-596.1)+(-0.469608+(-0.290037--0.304011))+0-13--0.00662999999999868</f>
        <v>879.95099599999992</v>
      </c>
      <c r="AA347" s="3">
        <f>919.6+(529.5-577.2)+(-0.468996+(-0.270045--0.294372))+0-13--0.00662999999999868</f>
        <v>858.46196099999997</v>
      </c>
      <c r="AB347" s="3">
        <f>912.3+(522.6-586.6)+(-0.930546+(-0.533052--0.598332))+0-13--0.0132600000000021</f>
        <v>834.44799399999988</v>
      </c>
      <c r="AC347" s="3">
        <f>918.1+(444.6-583.8)+(0.468231+(0.226746-0.297738))+0-13-0.00662999999999868</f>
        <v>766.29060900000013</v>
      </c>
      <c r="AD347" s="2">
        <v>907.49999999999989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903.5+(319.9-533.2)+(-2.303925+(-0.815745--1.35966))+0-14--0.035699999999998</f>
        <v>674.47568999999999</v>
      </c>
      <c r="G348" s="3">
        <f>727.5+(238.1-338.6)+(0.74205+(0.242862-0.345372))+0-14-0.0142800000000022</f>
        <v>613.62526000000003</v>
      </c>
      <c r="H348" s="3">
        <f>695.9+(234.9-317.6)+(-1.419636+(-0.479196--0.647904))+0-14--0.0285599999999994</f>
        <v>597.97763199999986</v>
      </c>
      <c r="I348" s="3">
        <f>667.6+(255-316.2)+(-0.680952+(-0.2601--0.322524))+0-14--0.0142800000000022</f>
        <v>591.79575200000011</v>
      </c>
      <c r="J348" s="3">
        <f>725.8+(217.3-321.4)+(0.370158+(0.110823-0.163914))+0-14-0.00713999999999858</f>
        <v>608.00992699999995</v>
      </c>
      <c r="K348" s="3">
        <f>744.7+(219.2-330.4)+(0+(0-0))+0-14-0</f>
        <v>619.5</v>
      </c>
      <c r="L348" s="3">
        <f>784+(241.3-359.5)+(-0.39984+(-0.123063--0.183345))+0-14--0.00713999999999858</f>
        <v>651.46758199999999</v>
      </c>
      <c r="M348" s="3">
        <f>799+(265.6-389.5)+(0.81498+(0.270912-0.39729))+0-14-0.0142800000000022</f>
        <v>661.77432199999998</v>
      </c>
      <c r="N348" s="3">
        <f>916.4+(461.1-632.8)+(0+(0-0))+0-14-0</f>
        <v>730.7</v>
      </c>
      <c r="O348" s="3">
        <f>950.5+(530.2-685)+(1.454265+(0.811206-1.04805))+0-14-0.0214200000000008</f>
        <v>782.89600099999996</v>
      </c>
      <c r="P348" s="3">
        <f>962.2+(594.1-734.7)+(0.490722+(0.302991-0.374697))+0-14-0.00713999999999858</f>
        <v>808.01187600000003</v>
      </c>
      <c r="Q348" s="3">
        <f>956.2+(545.5-685.4)+(0+(0-0))+0-14-0</f>
        <v>802.30000000000007</v>
      </c>
      <c r="R348" s="3">
        <f>952.5+(503.2-669.3)+(-0.485775+(-0.256632--0.341343))+0-14--0.00713999999999858</f>
        <v>772.00607600000012</v>
      </c>
      <c r="S348" s="3">
        <f>853.5+(522.1-617.6)+(-0.87057+(-0.532542--0.629952))+0-14--0.0142800000000022</f>
        <v>743.24112000000002</v>
      </c>
      <c r="T348" s="3">
        <f>801.2+(595.1-607.1)+(-0.817224+(-0.607002--0.619242))+0-15--0.0153000000000024</f>
        <v>773.41031600000008</v>
      </c>
      <c r="U348" s="3">
        <f>801.2+(555.7-602.8)+(-0.408612+(-0.283407--0.307428))+0-14--0.00713999999999858</f>
        <v>739.72254900000019</v>
      </c>
      <c r="V348" s="3">
        <f>817.3+(530.1-585)+(-0.416823+(-0.270351--0.29835))+0-15--0.00764999999999848</f>
        <v>747.01882599999999</v>
      </c>
      <c r="W348" s="3">
        <f>837.8+(536.8-584.4)+(-0.427278+(-0.273768--0.298044))+0-15--0.00764999999999848</f>
        <v>774.80464799999993</v>
      </c>
      <c r="X348" s="3">
        <f>875.3+(654.4-580.2)+(0.892806+(0.667488-0.591804))+0-15-0.0153000000000024</f>
        <v>935.45318999999984</v>
      </c>
      <c r="Y348" s="3">
        <f>863.8+(774.1-635)+(-2.20269+(-1.973955--1.61925))+0-16--0.0407999999999977</f>
        <v>984.38340499999993</v>
      </c>
      <c r="Z348" s="3">
        <f>869.9+(751.9-665)+(-0.887298+(-0.766938--0.6783))+0-16--0.0163200000000026</f>
        <v>939.84038399999986</v>
      </c>
      <c r="AA348" s="3">
        <f>866.3+(728.3-631.8)+(-2.209065+(-1.857165--1.61109))+0-16--0.0407999999999977</f>
        <v>944.38565999999992</v>
      </c>
      <c r="AB348" s="3">
        <f>861.7+(621.6-606.6)+(-2.197335+(-1.58508--1.54683))+0-15--0.0382499999999978</f>
        <v>859.50266499999998</v>
      </c>
      <c r="AC348" s="3">
        <f>860.1+(622.2-678.8)+(-0.438651+(-0.317322--0.346188))+0-15--0.00764999999999848</f>
        <v>788.09786500000007</v>
      </c>
      <c r="AD348" s="2">
        <v>978.90000000000009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855+(478.9-626.7)+(-1.7442+(-0.976956--1.278468))+0-13--0.0265199999999994</f>
        <v>692.78383199999996</v>
      </c>
      <c r="G349" s="3">
        <f>831.8+(219-390.8)+(-0.848436+(-0.22338--0.398616))+0-13--0.0132600000000021</f>
        <v>646.34005999999999</v>
      </c>
      <c r="H349" s="3">
        <f>749+(249.8-363.2)+(-1.14597+(-0.382194--0.555696))+0-13--0.0198900000000008</f>
        <v>621.64742200000001</v>
      </c>
      <c r="I349" s="3">
        <f>746.9+(240.7-357.8)+(-1.523676+(-0.491028--0.729912))+0-13--0.0265199999999994</f>
        <v>615.54172799999992</v>
      </c>
      <c r="J349" s="3">
        <f>750.1+(242.9-368.1)+(0.382551+(0.123879-0.187731))+0-13-0.00662999999999868</f>
        <v>612.21206900000004</v>
      </c>
      <c r="K349" s="3">
        <f>803.5+(231-405.6)+(1.229355+(0.35343-0.620568))+0-13-0.0198900000000008</f>
        <v>616.84232699999995</v>
      </c>
      <c r="L349" s="3">
        <f>810.9+(249.4-421.3)+(1.240677+(0.381582-0.644589))+0-14-0.0214200000000008</f>
        <v>625.95624999999995</v>
      </c>
      <c r="M349" s="3">
        <f>950+(275.2-543.3)+(0.969+(0.280704-0.554166))+0-14-0.0142800000000022</f>
        <v>668.58125800000016</v>
      </c>
      <c r="N349" s="3">
        <f>947.8+(314-538)+(0+(0-0))+0-14-0</f>
        <v>709.8</v>
      </c>
      <c r="O349" s="3">
        <f>938.3+(406.8-588.6)+(-1.435599+(-0.622404--0.900558))+0-14--0.0214200000000008</f>
        <v>741.36397499999998</v>
      </c>
      <c r="P349" s="3">
        <f>973.3+(385.5-549.8)+(0+(0-0))+0-14-0</f>
        <v>795</v>
      </c>
      <c r="Q349" s="3">
        <f>963.6+(491.2-640.2)+(-2.45718+(-1.25256--1.63251))+0-14--0.035699999999998</f>
        <v>798.55846999999994</v>
      </c>
      <c r="R349" s="3">
        <f>879.4+(490.7-590.2)+(-0.896988+(-0.500514--0.602004))+0-14--0.0142800000000022</f>
        <v>765.1187819999999</v>
      </c>
      <c r="S349" s="3">
        <f>842.5+(494.3-587.8)+(0.85935+(0.504186-0.599556))+0-14-0.0142800000000022</f>
        <v>735.74969999999996</v>
      </c>
      <c r="T349" s="3">
        <f>870.8+(490.1-616.3)+(-1.776432+(-0.999804--1.257252))+0-14--0.0285599999999994</f>
        <v>729.10957599999995</v>
      </c>
      <c r="U349" s="3">
        <f>863.8+(515.2-605.8)+(0+(0-0))+0-14-0</f>
        <v>759.2</v>
      </c>
      <c r="V349" s="3">
        <f>856.3+(491-603.5)+(-0.436713+(-0.25041--0.307785))+0-14--0.00713999999999858</f>
        <v>729.42780200000004</v>
      </c>
      <c r="W349" s="3">
        <f>856+(507.5-592.8)+(0+(0-0))+0-14-0</f>
        <v>756.7</v>
      </c>
      <c r="X349" s="3">
        <f>917.4+(637.3-638.8)+(0+(0-0))+0-14-0</f>
        <v>901.9</v>
      </c>
      <c r="Y349" s="3">
        <f>938.7+(775.5-728.9)+(-0.478737+(-0.395505--0.371739))+0-13--0.00662999999999868</f>
        <v>971.80412699999999</v>
      </c>
      <c r="Z349" s="3">
        <f>908.9+(760.9-703.8)+(-2.317695+(-1.940295--1.79469))+0-13--0.0331499999999981</f>
        <v>950.56984999999997</v>
      </c>
      <c r="AA349" s="3">
        <f>900.7+(712-678.3)+(0+(0-0))+0-13-0</f>
        <v>921.40000000000009</v>
      </c>
      <c r="AB349" s="3">
        <f>887.9+(637.1-640.8)+(-2.264145+(-1.624605--1.63404))+0-14--0.035699999999998</f>
        <v>867.98099000000002</v>
      </c>
      <c r="AC349" s="3">
        <f>850.2+(626.9-657.4)+(-2.16801+(-1.598595--1.67637))+0-14--0.035699999999998</f>
        <v>803.64546500000006</v>
      </c>
      <c r="AD349" s="2">
        <v>957.59999999999991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792.6+(443.4-532)+(-0.808452+(-0.452268--0.54264))+0-14--0.0142800000000022</f>
        <v>689.2962</v>
      </c>
      <c r="G350" s="3">
        <f>748.8+(279.5-346.9)+(0.381888+(0.142545-0.176919))+0-14-0.00713999999999858</f>
        <v>667.74037399999997</v>
      </c>
      <c r="H350" s="3">
        <f>677.6+(306.3-327.4)+(0+(0-0))+0-14-0</f>
        <v>642.5</v>
      </c>
      <c r="I350" s="3">
        <f>671+(295.1-316)+(-1.02663+(-0.451503--0.48348))+0-14--0.0214200000000008</f>
        <v>635.12676700000009</v>
      </c>
      <c r="J350" s="3">
        <f>679.4+(277.3-314.5)+(0.692988+(0.282846-0.32079))+0-14-0.0142800000000022</f>
        <v>628.84076400000004</v>
      </c>
      <c r="K350" s="3">
        <f>723.5+(250.9-323.3)+(-0.73797+(-0.255918--0.329766))+0-14--0.0142800000000022</f>
        <v>636.45015799999999</v>
      </c>
      <c r="L350" s="3">
        <f>728.1+(276.5-350.7)+(-0.742662+(-0.28203--0.357714))+0-14--0.0142800000000022</f>
        <v>639.2473020000001</v>
      </c>
      <c r="M350" s="3">
        <f>844.8+(260.4-411.3)+(0.861696+(0.265608-0.419526))+0-14-0.0142800000000022</f>
        <v>680.59349799999984</v>
      </c>
      <c r="N350" s="3">
        <f>878.9+(490-611.8)+(0+(0-0))+0-14-0</f>
        <v>743.1</v>
      </c>
      <c r="O350" s="3">
        <f>876.5+(548.4-599.3)+(0+(0-0))+0-14-0</f>
        <v>811.6</v>
      </c>
      <c r="P350" s="3">
        <f>878.7+(472.3-532)+(0.448137+(0.240873-0.27132))+0-14-0.00713999999999858</f>
        <v>805.41054999999994</v>
      </c>
      <c r="Q350" s="3">
        <f>937+(444.4-537.2)+(1.43361+(0.679932-0.821916))+0-14-0.0214200000000008</f>
        <v>831.47020599999985</v>
      </c>
      <c r="R350" s="3">
        <f>932.3+(405.1-545.4)+(-1.901892+(-0.826404--1.112616))+0-13--0.0265199999999994</f>
        <v>777.41084000000001</v>
      </c>
      <c r="S350" s="3">
        <f>932.9+(394.5-574.7)+(-0.951558+(-0.40239--0.586194))+0-13--0.0132600000000021</f>
        <v>738.94550599999991</v>
      </c>
      <c r="T350" s="3">
        <f>934.1+(430.2-609.8)+(0+(0-0))+0-13-0</f>
        <v>741.5</v>
      </c>
      <c r="U350" s="3">
        <f>929+(435.4-611.6)+(0.47379+(0.222054-0.311916))+0-13-0.00662999999999868</f>
        <v>740.17729799999995</v>
      </c>
      <c r="V350" s="3">
        <f>879.2+(476.6-578.7)+(-0.448392+(-0.243066--0.295137))+0-13--0.00662999999999868</f>
        <v>763.71030900000005</v>
      </c>
      <c r="W350" s="3">
        <f>930.4+(480.3-588.2)+(-0.474504+(-0.244953--0.299982))+0-13--0.00662999999999868</f>
        <v>809.08715499999994</v>
      </c>
      <c r="X350" s="3">
        <f>928.6+(630.4-618.6)+(-0.947172+(-0.643008--0.630972))+0-13--0.0132600000000021</f>
        <v>926.45405199999993</v>
      </c>
      <c r="Y350" s="3">
        <f>872.5+(760.8-670)+(-1.334925+(-1.164024--1.0251))+0-14--0.0214200000000008</f>
        <v>947.84757100000002</v>
      </c>
      <c r="Z350" s="3">
        <f>824.3+(798.8-692.4)+(0+(0-0))+0-14-0</f>
        <v>916.69999999999993</v>
      </c>
      <c r="AA350" s="3">
        <f>811+(750.9-652.1)+(0+(0-0))+0-14-0</f>
        <v>895.8</v>
      </c>
      <c r="AB350" s="3">
        <f>799+(732.4-672)+(-2.03745+(-1.86762--1.7136))+0-14--0.035699999999998</f>
        <v>843.24423000000002</v>
      </c>
      <c r="AC350" s="3">
        <f>791.8+(608.5-620.2)+(-3.230544+(-2.48268--2.530416))+0-14--0.0571199999999988</f>
        <v>762.97431199999994</v>
      </c>
      <c r="AD350" s="2">
        <v>955.30000000000007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793.2+(419.3-538)+(-1.618128+(-0.855372--1.09752))+0-13--0.0265199999999994</f>
        <v>660.15053999999998</v>
      </c>
      <c r="G351" s="3">
        <f>787.3+(181.7-321)+(-1.204569+(-0.278001--0.49113))+0-13--0.0198900000000008</f>
        <v>634.02845000000002</v>
      </c>
      <c r="H351" s="3">
        <f>702.2+(229.9-308.2)+(-1.432488+(-0.468996--0.628728))+0-13--0.0265199999999994</f>
        <v>609.65376400000014</v>
      </c>
      <c r="I351" s="3">
        <f>677.9+(233.2-299.5)+(-0.691458+(-0.237864--0.30549))+0-13--0.0132600000000021</f>
        <v>597.98942799999986</v>
      </c>
      <c r="J351" s="3">
        <f>683.3+(230.8-300.5)+(1.393932+(0.470832-0.61302))+0-13-0.0265199999999994</f>
        <v>601.82522399999993</v>
      </c>
      <c r="K351" s="3">
        <f>680.2+(261-313.8)+(0+(0-0))+0-13-0</f>
        <v>614.40000000000009</v>
      </c>
      <c r="L351" s="3">
        <f>684.9+(289-349)+(1.047897+(0.44217-0.53397))+0-13-0.0198900000000008</f>
        <v>612.83620699999994</v>
      </c>
      <c r="M351" s="3">
        <f>864.9+(383.5-579.7)+(0.441099+(0.195585-0.295647))+0-13-0.00662999999999868</f>
        <v>656.03440699999999</v>
      </c>
      <c r="N351" s="3">
        <f>922.5+(504.7-714.7)+(0.470475+(0.257397-0.364497))+0-13-0.00662999999999868</f>
        <v>699.85674500000005</v>
      </c>
      <c r="O351" s="3">
        <f>936.1+(639.2-786.4)+(0.954822+(0.651984-0.802128))+0-13-0.0132600000000021</f>
        <v>776.69141800000011</v>
      </c>
      <c r="P351" s="3">
        <f>928.8+(667.4-791.6)+(0+(0-0))+0-13-0</f>
        <v>791.59999999999991</v>
      </c>
      <c r="Q351" s="3">
        <f>958.8+(619.9-757.8)+(-1.466964+(-0.948447--1.159434))+0-13--0.0198900000000008</f>
        <v>806.66391299999998</v>
      </c>
      <c r="R351" s="3">
        <f>962.2+(535.2-721.9)+(-2.944332+(-1.637712--2.209014))+0-13--0.0397800000000015</f>
        <v>760.16675000000009</v>
      </c>
      <c r="S351" s="3">
        <f>962.3+(452.3-665.4)+(0.981546+(0.461346-0.678708))+0-13-0.0132600000000021</f>
        <v>736.9509240000001</v>
      </c>
      <c r="T351" s="3">
        <f>962.1+(520.2-739.6)+(0+(0-0))+0-13-0</f>
        <v>729.7</v>
      </c>
      <c r="U351" s="3">
        <f>970.8+(519.1-747)+(-0.495108+(-0.264741--0.38097))+0-13--0.00662999999999868</f>
        <v>729.52775099999997</v>
      </c>
      <c r="V351" s="3">
        <f>970.9+(554.7-771.6)+(-0.495159+(-0.282897--0.393516))+0-13--0.00662999999999868</f>
        <v>740.62208999999996</v>
      </c>
      <c r="W351" s="3">
        <f>974.1+(583.3-757.2)+(-0.496791+(-0.297483--0.386172))+0-13--0.00662999999999868</f>
        <v>786.79852799999992</v>
      </c>
      <c r="X351" s="3">
        <f>978.7+(664.7-724.6)+(-0.499137+(-0.338997--0.369546))+0-13--0.00662999999999868</f>
        <v>905.33804200000009</v>
      </c>
      <c r="Y351" s="3">
        <f>983.9+(697.3-716.8)+(-0.501789+(-0.355623--0.365568))+0-13--0.00662999999999868</f>
        <v>950.91478599999994</v>
      </c>
      <c r="Z351" s="3">
        <f>986.9+(665.5-716.1)+(-1.509957+(-1.018215--1.095633))+0-13--0.0198900000000008</f>
        <v>921.88735099999997</v>
      </c>
      <c r="AA351" s="3">
        <f>987.2+(594.5-656.1)+(-2.013888+(-1.21278--1.338444))+0-12--0.0244799999999995</f>
        <v>911.73625600000003</v>
      </c>
      <c r="AB351" s="3">
        <f>981+(528.9-624.7)+(-2.50155+(-1.348695--1.592985))+0-12--0.0305999999999983</f>
        <v>870.97334000000001</v>
      </c>
      <c r="AC351" s="3">
        <f>866.1+(503.5-558.6)+(-1.325133+(-0.770355--0.854658))+0-12--0.0183600000000007</f>
        <v>797.77753000000007</v>
      </c>
      <c r="AD351" s="2">
        <v>939.40000000000009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737.5+(377-377)+(-0.75225+(-0.38454--0.38454))+0-13--0.0132600000000021</f>
        <v>723.76100999999994</v>
      </c>
      <c r="G352" s="3">
        <f>631.6+(327-304.1)+(-1.288464+(-0.66708--0.620364))+0-13--0.0265199999999994</f>
        <v>640.19133999999997</v>
      </c>
      <c r="H352" s="3">
        <f>637.7+(292.7-295.7)+(0.975681+(0.447831-0.452421))+0-13-0.0198900000000008</f>
        <v>622.65120100000001</v>
      </c>
      <c r="I352" s="3">
        <f>634.4+(273.3-282.6)+(0.323544+(0.139383-0.144126))+0-13-0.00662999999999868</f>
        <v>612.41217099999994</v>
      </c>
      <c r="J352" s="3">
        <f>638.3+(265.5-282.8)+(1.302132+(0.54162-0.576912))+0-13-0.0265199999999994</f>
        <v>609.24032</v>
      </c>
      <c r="K352" s="3">
        <f>629.3+(300.6-297.7)+(-1.604715+(-0.76653--0.759135))+0-13--0.0331499999999981</f>
        <v>617.62103999999999</v>
      </c>
      <c r="L352" s="3">
        <f>631.6+(312.3-385.2)+(0+(0-0))+0-12-0</f>
        <v>546.70000000000005</v>
      </c>
      <c r="M352" s="3">
        <f>638.2+(523.3-628.9)+(0+(0-0))+0-12-0</f>
        <v>520.6</v>
      </c>
      <c r="N352" s="3">
        <f>780.4+(498.9-718.5)+(1.194012+(0.763317-1.099305))+0-12-0.0183600000000007</f>
        <v>549.63966399999993</v>
      </c>
      <c r="O352" s="3">
        <f>823.5+(678.8-916.7)+(1.259955+(1.038564-1.402551))+0-12-0.0183600000000007</f>
        <v>574.47760799999992</v>
      </c>
      <c r="P352" s="3">
        <f>840+(688.1-905.2)+(0.4284+(0.350931-0.461652))+0-10-0.00509999999999899</f>
        <v>613.21257900000001</v>
      </c>
      <c r="Q352" s="3">
        <f>927.5+(600.8-891.5)+(-1.419075+(-0.919224--1.363995))+0-10--0.0153000000000006</f>
        <v>625.84099600000002</v>
      </c>
      <c r="R352" s="3">
        <f>964.2+(541.7-884.7)+(-1.475226+(-0.828801--1.353591))+0-14--0.0214200000000008</f>
        <v>606.27098400000011</v>
      </c>
      <c r="S352" s="3">
        <f>944.3+(458.4-802)+(-1.444779+(-0.701352--1.22706))+0-14--0.0214200000000008</f>
        <v>585.80234899999994</v>
      </c>
      <c r="T352" s="3">
        <f>963.5+(439.2-806)+(-0.491385+(-0.223992--0.41106))+0-14--0.00713999999999858</f>
        <v>582.40282300000013</v>
      </c>
      <c r="U352" s="3">
        <f>962.4+(421.6-784.4)+(-0.981648+(-0.430032--0.800088))+0-14--0.0142800000000022</f>
        <v>585.00268800000003</v>
      </c>
      <c r="V352" s="3">
        <f>963.9+(431.2-781.5)+(0+(0-0))+0-14-0</f>
        <v>599.59999999999991</v>
      </c>
      <c r="W352" s="3">
        <f>966.3+(437.7-770.3)+(0+(0-0))+0-14-0</f>
        <v>619.70000000000005</v>
      </c>
      <c r="X352" s="3">
        <f>981.4+(520.9-769.5)+(-1.001028+(-0.531318--0.78489))+0-14--0.0142800000000022</f>
        <v>718.06682399999988</v>
      </c>
      <c r="Y352" s="3">
        <f>957.4+(627-786.5)+(-3.417918+(-2.23839--2.807805))+0-14--0.0499800000000002</f>
        <v>781.10147699999993</v>
      </c>
      <c r="Z352" s="3">
        <f>941.7+(560.4-718)+(0+(0-0))+0-14-0</f>
        <v>770.1</v>
      </c>
      <c r="AA352" s="3">
        <f>1044.5+(486.7-766.8)+(-3.19617+(-1.489302--2.346408))+0-14--0.0428400000000016</f>
        <v>748.10377600000004</v>
      </c>
      <c r="AB352" s="3">
        <f>1033.9+(559.1-885.1)+(-4.218312+(-2.281128--3.611208))+0-14--0.0571199999999988</f>
        <v>691.06888800000013</v>
      </c>
      <c r="AC352" s="3">
        <f>792.5+(619.7-766.3)+(-1.6167+(-1.264188--1.563252))+0-14--0.0285599999999994</f>
        <v>630.61092400000007</v>
      </c>
      <c r="AD352" s="2">
        <v>931.79999999999984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785.8+(493.7-696)+(-0.400758+(-0.251787--0.35496))+0-14--0.00713999999999858</f>
        <v>569.20955500000002</v>
      </c>
      <c r="G353" s="3">
        <f>765.7+(235.1-427)+(-0.781014+(-0.239802--0.43554))+0-14--0.0142800000000022</f>
        <v>559.22900400000003</v>
      </c>
      <c r="H353" s="3">
        <f>713.3+(237.7-400.2)+(0.363783+(0.121227-0.204102))+0-14-0.00713999999999858</f>
        <v>537.07376799999986</v>
      </c>
      <c r="I353" s="3">
        <f>691.1+(238.7-388.6)+(0.352461+(0.121737-0.198186))+0-14-0.00713999999999858</f>
        <v>527.46887200000003</v>
      </c>
      <c r="J353" s="3">
        <f>684.3+(231.8-373.2)+(1.046979+(0.354654-0.570996))+0-14-0.0214200000000008</f>
        <v>529.70921699999997</v>
      </c>
      <c r="K353" s="3">
        <f>679.2+(240.3-373.9)+(-1.039176+(-0.367659--0.572067))+0-14--0.0214200000000008</f>
        <v>530.78665200000012</v>
      </c>
      <c r="L353" s="3">
        <f>680.7+(382.4-543.6)+(-0.347157+(-0.195024--0.277236))+0-13--0.00662999999999868</f>
        <v>506.24168499999996</v>
      </c>
      <c r="M353" s="3">
        <f>823.4+(403.8-700.8)+(0.839868+(0.411876-0.714816))+0-13-0.0132600000000021</f>
        <v>513.92366800000013</v>
      </c>
      <c r="N353" s="3">
        <f>948.2+(356.5-712.6)+(0.483582+(0.181815-0.363426))+0-13-0.00662999999999868</f>
        <v>579.39534100000003</v>
      </c>
      <c r="O353" s="3">
        <f>946.9+(454.8-774.4)+(0+(0-0))+0-13-0</f>
        <v>614.29999999999995</v>
      </c>
      <c r="P353" s="3">
        <f>949.3+(586.8-885.7)+(0+(0-0))+0-14-0</f>
        <v>636.39999999999986</v>
      </c>
      <c r="Q353" s="3">
        <f>1020.5+(536.1-882.5)+(-0.520455+(-0.273411--0.450075))+0-14--0.00713999999999858</f>
        <v>659.76334900000006</v>
      </c>
      <c r="R353" s="3">
        <f>1032.4+(480.5-860.7)+(-2.106096+(-0.98022--1.755828))+0-13--0.0265199999999994</f>
        <v>637.8960320000001</v>
      </c>
      <c r="S353" s="3">
        <f>1072.5+(382.4-829.5)+(-0.546975+(-0.195024--0.423045))+0-13--0.00662999999999868</f>
        <v>612.08767599999999</v>
      </c>
      <c r="T353" s="3">
        <f>1024.1+(358.9-775.3)+(0.522291+(0.183039-0.395403))+0-13-0.00662999999999868</f>
        <v>595.00329699999998</v>
      </c>
      <c r="U353" s="3">
        <f>896.1+(435.5-746.7)+(0.914022+(0.44421-0.761634))+0-13-0.0132600000000021</f>
        <v>572.483338</v>
      </c>
      <c r="V353" s="3">
        <f>889.5+(462.9-759.2)+(-1.360935+(-0.708237--1.161576))+0-13--0.0198900000000008</f>
        <v>579.31229399999995</v>
      </c>
      <c r="W353" s="3">
        <f>930+(445.2-762.5)+(1.8972+(0.908208-1.5555))+0-13-0.0265199999999994</f>
        <v>600.92338800000005</v>
      </c>
      <c r="X353" s="3">
        <f>1075.3+(449.7-806.6)+(-1.096806+(-0.458694--0.822732))+0-14--0.0142800000000022</f>
        <v>703.68151199999988</v>
      </c>
      <c r="Y353" s="3">
        <f>1044.5+(589.3-835.4)+(-2.13078+(-1.202172--1.704216))+0-13--0.0265199999999994</f>
        <v>783.79778399999998</v>
      </c>
      <c r="Z353" s="3">
        <f>1011.5+(630.8-859.9)+(-2.06346+(-1.286832--1.754196))+0-13--0.0265199999999994</f>
        <v>767.83042399999999</v>
      </c>
      <c r="AA353" s="3">
        <f>986.3+(585.5-842.8)+(1.509039+(0.895815-1.289484))+0-13-0.0198900000000008</f>
        <v>717.09547999999995</v>
      </c>
      <c r="AB353" s="3">
        <f>965.1+(579.5-851.5)+(-2.461005+(-1.477725--2.171325))+0-13--0.0331499999999981</f>
        <v>678.36574499999995</v>
      </c>
      <c r="AC353" s="3">
        <f>940.6+(507.1-777.7)+(0+(0-0))+0-13-0</f>
        <v>657</v>
      </c>
      <c r="AD353" s="2">
        <v>934.49999999999977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909.8+(426.3-717.1)+(-0.927996+(-0.434826--0.731442))+0-13--0.0132600000000021</f>
        <v>605.38187999999991</v>
      </c>
      <c r="G354" s="3">
        <f>867.1+(338.8-647.9)+(0+(0-0))+0-13-0</f>
        <v>545</v>
      </c>
      <c r="H354" s="3">
        <f>762+(191.1-385.8)+(0+(0-0))+0-13-0</f>
        <v>554.29999999999995</v>
      </c>
      <c r="I354" s="3">
        <f>726.2+(199.1-359.6)+(-1.85181+(-0.507705--0.91698))+0-13--0.0331499999999981</f>
        <v>551.290615</v>
      </c>
      <c r="J354" s="3">
        <f>733.6+(174.6-358.4)+(-0.374136+(-0.089046--0.182784))+0-13--0.00662999999999868</f>
        <v>536.52623200000005</v>
      </c>
      <c r="K354" s="3">
        <f>738.6+(181.6-371.1)+(0+(0-0))+0-13-0</f>
        <v>536.1</v>
      </c>
      <c r="L354" s="3">
        <f>734.5+(198.7-386)+(-0.74919+(-0.202674--0.39372))+0-13--0.0132600000000021</f>
        <v>533.65511600000002</v>
      </c>
      <c r="M354" s="3">
        <f>732.9+(324-526.6)+(0.373779+(0.16524-0.268566))+0-13-0.00662999999999868</f>
        <v>517.56382299999996</v>
      </c>
      <c r="N354" s="3">
        <f>827+(357-638.2)+(-1.26531+(-0.54621--0.976446))+0-13--0.0198900000000008</f>
        <v>531.98481600000002</v>
      </c>
      <c r="O354" s="3">
        <f>811.5+(444.3-687.5)+(1.241595+(0.679779-1.051875))+0-13-0.0198900000000008</f>
        <v>556.14960899999994</v>
      </c>
      <c r="P354" s="3">
        <f>947.5+(371.5-705.3)+(0+(0-0))+0-13-0</f>
        <v>600.70000000000005</v>
      </c>
      <c r="Q354" s="3">
        <f>964.7+(375.9-717.5)+(0.983994+(0.383418-0.73185))+0-13-0.0132600000000021</f>
        <v>610.72230200000013</v>
      </c>
      <c r="R354" s="3">
        <f>959+(357.5-719.7)+(-0.48909+(-0.182325--0.367047))+0-14--0.00713999999999858</f>
        <v>582.50277200000005</v>
      </c>
      <c r="S354" s="3">
        <f>795.2+(454.6-688.8)+(-1.622208+(-0.927384--1.405152))+0-14--0.0285599999999994</f>
        <v>545.88412000000005</v>
      </c>
      <c r="T354" s="3">
        <f>623.4+(595.2-666.2)+(-0.635868+(-0.607104--0.679524))+0-14--0.0142800000000022</f>
        <v>537.85083199999997</v>
      </c>
      <c r="U354" s="3">
        <f>623.6+(593.1-664.7)+(-0.318036+(-0.302481--0.338997))+0-14--0.00713999999999858</f>
        <v>537.72562000000005</v>
      </c>
      <c r="V354" s="3">
        <f>622.4+(604.1-662.3)+(-0.634848+(-0.616182--0.675546))+0-14--0.0142800000000022</f>
        <v>549.63879600000007</v>
      </c>
      <c r="W354" s="3">
        <f>647.2+(596.3-651.7)+(-0.990216+(-0.912339--0.997101))+0-14--0.0214200000000008</f>
        <v>576.91596600000003</v>
      </c>
      <c r="X354" s="3">
        <f>825.5+(590.1-737.9)+(1.263015+(0.902853-1.128987))+0-13-0.0198900000000008</f>
        <v>665.71699100000001</v>
      </c>
      <c r="Y354" s="3">
        <f>828.4+(750.5-819.6)+(-0.844968+(-0.76551--0.835992))+0-14--0.0142800000000022</f>
        <v>744.53979399999992</v>
      </c>
      <c r="Z354" s="3">
        <f>839.9+(715.3-807.2)+(-1.713396+(-1.459212--1.646688))+0-14--0.0285599999999994</f>
        <v>732.50263999999981</v>
      </c>
      <c r="AA354" s="3">
        <f>764.6+(717.9-758.9)+(-1.559784+(-1.464516--1.548156))+0-14--0.0285599999999994</f>
        <v>708.15241600000002</v>
      </c>
      <c r="AB354" s="3">
        <f>758.9+(657-723.9)+(-2.322234+(-2.01042--2.215134))+0-14--0.0428400000000016</f>
        <v>675.92531999999994</v>
      </c>
      <c r="AC354" s="3">
        <f>760.8+(569.6-682.6)+(-1.552032+(-1.161984--1.392504))+0-14--0.0285599999999994</f>
        <v>632.50704799999994</v>
      </c>
      <c r="AD354" s="2">
        <v>912.69999999999993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762.3+(510.1-569.3)+(-1.166319+(-0.780453--0.871029))+0-14--0.0214200000000008</f>
        <v>688.04567700000007</v>
      </c>
      <c r="G355" s="3">
        <f>766.3+(409.8-522.7)+(0+(0-0))+0-14-0</f>
        <v>639.39999999999986</v>
      </c>
      <c r="H355" s="3">
        <f>762.7+(360.3-483.2)+(-1.166931+(-0.551259--0.739296))+0-14--0.0214200000000008</f>
        <v>624.84252600000013</v>
      </c>
      <c r="I355" s="3">
        <f>733.5+(348.1-451)+(0.374085+(0.177531-0.23001))+0-14-0.00713999999999858</f>
        <v>616.91446599999995</v>
      </c>
      <c r="J355" s="3">
        <f>699.6+(362.2-442.6)+(1.78398+(0.92361-1.12863))+0-14-0.035699999999998</f>
        <v>606.74326000000008</v>
      </c>
      <c r="K355" s="3">
        <f>726.2+(367.7-465.1)+(1.111086+(0.562581-0.711603))+0-14-0.0214200000000008</f>
        <v>615.74064399999997</v>
      </c>
      <c r="L355" s="3">
        <f>722.6+(417.9-498.7)+(-0.368526+(-0.213129--0.254337))+0-13--0.00662999999999868</f>
        <v>628.47931199999994</v>
      </c>
      <c r="M355" s="3">
        <f>747.5+(468.8-534.6)+(0.76245+(0.478176-0.545292))+0-13-0.0132600000000021</f>
        <v>669.3820740000001</v>
      </c>
      <c r="N355" s="3">
        <f>822.1+(518.9-580.5)+(0.419271+(0.264639-0.296055))+0-13-0.00662999999999868</f>
        <v>747.88122499999997</v>
      </c>
      <c r="O355" s="3">
        <f>821.9+(693.4-695.3)+(1.257507+(1.060902-1.063809))+0-13-0.0198900000000008</f>
        <v>808.23470999999995</v>
      </c>
      <c r="P355" s="3">
        <f>820.3+(783.2-757.7)+(1.255059+(1.198296-1.159281))+0-13-0.0198900000000008</f>
        <v>834.07418399999995</v>
      </c>
      <c r="Q355" s="3">
        <f>862.4+(704-732.5)+(-2.19912+(-1.7952--1.867875))+0-13--0.0331499999999981</f>
        <v>818.80670499999997</v>
      </c>
      <c r="R355" s="3">
        <f>963.8+(505.3-652.6)+(0+(0-0))+0-13-0</f>
        <v>803.5</v>
      </c>
      <c r="S355" s="3">
        <f>962.2+(516.1-687.6)+(0+(0-0))+0-13-0</f>
        <v>777.7</v>
      </c>
      <c r="T355" s="3">
        <f>957.8+(550.8-725.2)+(0+(0-0))+0-13-0</f>
        <v>770.39999999999986</v>
      </c>
      <c r="U355" s="3">
        <f>953.3+(522.9-689.9)+(0.972366+(0.533358-0.703698))+0-13-0.0132600000000021</f>
        <v>774.08876599999996</v>
      </c>
      <c r="V355" s="3">
        <f>958.4+(505.7-671.9)+(1.466352+(0.773721-1.028007))+0-13-0.0198900000000008</f>
        <v>780.39217600000006</v>
      </c>
      <c r="W355" s="3">
        <f>954.3+(532-670.2)+(0.973386+(0.54264-0.683604))+0-13-0.0132600000000021</f>
        <v>803.91916199999991</v>
      </c>
      <c r="X355" s="3">
        <f>959.8+(625-651.5)+(0.978996+(0.6375-0.66453))+0-13-0.0132600000000021</f>
        <v>921.23870599999998</v>
      </c>
      <c r="Y355" s="3">
        <f>959.2+(616.4-603.2)+(0+(0-0))+0-14-0</f>
        <v>958.4</v>
      </c>
      <c r="Z355" s="3">
        <f>966.4+(470.3-497.4)+(0+(0-0))+0-13-0</f>
        <v>926.3</v>
      </c>
      <c r="AA355" s="3">
        <f>920.5+(481.8-480.4)+(0.469455+(0.245718-0.245004))+0-14-0.00713999999999858</f>
        <v>908.3630290000001</v>
      </c>
      <c r="AB355" s="3">
        <f>839.7+(481-461.2)+(-1.284741+(-0.73593--0.705636))+0-13--0.0198900000000008</f>
        <v>845.20485500000007</v>
      </c>
      <c r="AC355" s="3">
        <f>839.8+(366.6-401.9)+(1.284894+(0.560898-0.614907))+0-14-0.0214200000000008</f>
        <v>791.70946499999991</v>
      </c>
      <c r="AD355" s="2">
        <v>970.5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839.7+(270.3-388.4)+(-1.712988+(-0.551412--0.792336))+0-13--0.0265199999999994</f>
        <v>707.1544560000001</v>
      </c>
      <c r="G356" s="3">
        <f>839.9+(247.4-411.7)+(-1.713396+(-0.504696--0.839868))+0-13--0.0265199999999994</f>
        <v>661.24829599999998</v>
      </c>
      <c r="H356" s="3">
        <f>840.7+(126.4-310.6)+(-1.286271+(-0.193392--0.475218))+0-13--0.0198900000000008</f>
        <v>642.515445</v>
      </c>
      <c r="I356" s="3">
        <f>841.2+(118.1-311.2)+(-0.858024+(-0.120462--0.317424))+0-13--0.0132600000000021</f>
        <v>634.45219799999995</v>
      </c>
      <c r="J356" s="3">
        <f>847.6+(213.7-409.7)+(-0.432276+(-0.108987--0.208947))+0-13--0.00662999999999868</f>
        <v>638.274314</v>
      </c>
      <c r="K356" s="3">
        <f>819.9+(298.9-474.2)+(-0.836298+(-0.304878--0.483684))+0-13--0.0132600000000021</f>
        <v>630.95576799999981</v>
      </c>
      <c r="L356" s="3">
        <f>824.7+(362.7-532.9)+(-0.841194+(-0.369954--0.543558))+0-13--0.0132600000000021</f>
        <v>640.84566999999993</v>
      </c>
      <c r="M356" s="3">
        <f>828.6+(432.9-566.9)+(0+(0-0))+0-13-0</f>
        <v>681.6</v>
      </c>
      <c r="N356" s="3">
        <f>832.8+(545.7-574.2)+(2.12364+(1.391535-1.46421))+0-13-0.0331499999999981</f>
        <v>793.317815</v>
      </c>
      <c r="O356" s="3">
        <f>834.9+(553.8-589.1)+(0+(0-0))+0-13-0</f>
        <v>786.59999999999991</v>
      </c>
      <c r="P356" s="3">
        <f>864.5+(538.4-565.9)+(0+(0-0))+0-13-0</f>
        <v>824</v>
      </c>
      <c r="Q356" s="3">
        <f>863.6+(542.2-561.8)+(-0.440436+(-0.276522--0.286518))+0-13--0.00662999999999868</f>
        <v>830.57619000000011</v>
      </c>
      <c r="R356" s="3">
        <f>853.9+(522-606.1)+(-2.612934+(-1.59732--1.854666))+0-10--0.0306000000000012</f>
        <v>757.47501199999999</v>
      </c>
      <c r="S356" s="3">
        <f>875+(481.5-604.7)+(-0.44625+(-0.245565--0.308397))+0-13--0.00662999999999868</f>
        <v>738.42321199999992</v>
      </c>
      <c r="T356" s="3">
        <f>874.4+(443.2-573.7)+(-2.675664+(-1.356192--1.755522))+0-13--0.0397800000000015</f>
        <v>728.66344599999979</v>
      </c>
      <c r="U356" s="3">
        <f>882.5+(418.3-556.1)+(0.450075+(0.213333-0.283611))+0-14-0.00713999999999858</f>
        <v>731.07265700000005</v>
      </c>
      <c r="V356" s="3">
        <f>888.3+(418.6-547.9)+(0.906066+(0.426972-0.558858))+0-14-0.0142800000000022</f>
        <v>745.75990000000002</v>
      </c>
      <c r="W356" s="3">
        <f>893.4+(493.9-579.3)+(0.911268+(0.503778-0.590886))+0-14-0.0142800000000022</f>
        <v>794.80988000000002</v>
      </c>
      <c r="X356" s="3">
        <f>892+(680.3-640.4)+(0+(0-0))+0-14-0</f>
        <v>917.9</v>
      </c>
      <c r="Y356" s="3">
        <f>895.6+(788.1-687)+(0+(0-0))+0-13-0</f>
        <v>983.7</v>
      </c>
      <c r="Z356" s="3">
        <f>890.5+(750-681.6)+(-1.81662+(-1.53--1.390464))+0-13--0.0265199999999994</f>
        <v>943.97036400000002</v>
      </c>
      <c r="AA356" s="3">
        <f>908.8+(688.3-654.8)+(-1.390464+(-1.053099--1.001844))+0-13--0.0198900000000008</f>
        <v>927.87817099999995</v>
      </c>
      <c r="AB356" s="3">
        <f>854.6+(715.4-675.5)+(-0.871692+(-0.729708--0.68901))+0-13--0.0132600000000021</f>
        <v>880.60086999999999</v>
      </c>
      <c r="AC356" s="3">
        <f>852.1+(570.2-597.9)+(-2.172855+(-1.45401--1.524645))+0-13--0.0331499999999981</f>
        <v>809.33093000000008</v>
      </c>
      <c r="AD356" s="2">
        <v>970.8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854.5+(460-573.7)+(-0.87159+(-0.4692--0.585174))+0-13--0.0132600000000021</f>
        <v>727.05764399999987</v>
      </c>
      <c r="G357" s="3">
        <f>855.2+(366-540.4)+(-0.872304+(-0.37332--0.551208))+0-13--0.0132600000000021</f>
        <v>667.11884399999997</v>
      </c>
      <c r="H357" s="3">
        <f>865.1+(297.9-506)+(0+(0-0))+0-13-0</f>
        <v>644</v>
      </c>
      <c r="I357" s="3">
        <f>877.3+(262.3-493.2)+(1.342269+(0.401319-0.754596))+0-13-0.0198900000000008</f>
        <v>634.369102</v>
      </c>
      <c r="J357" s="3">
        <f>884.3+(261.7-493.5)+(-0.450993+(-0.133467--0.251685))+0-13--0.00662999999999868</f>
        <v>639.173855</v>
      </c>
      <c r="K357" s="3">
        <f>860.2+(320.5-522.3)+(0.438702+(0.163455-0.266373))+0-13-0.00662999999999868</f>
        <v>645.72915400000011</v>
      </c>
      <c r="L357" s="3">
        <f>838.2+(392.8-558.1)+(0+(0-0))+0-13-0</f>
        <v>659.90000000000009</v>
      </c>
      <c r="M357" s="3">
        <f>839.6+(444.7-588.1)+(0.856392+(0.453594-0.599862))+0-7-0.00714000000000112</f>
        <v>689.90298399999995</v>
      </c>
      <c r="N357" s="3">
        <f>839.9+(527.3-606.1)+(0.428349+(0.268923-0.309111))+0-7-0.00356999999999929</f>
        <v>754.48459099999991</v>
      </c>
      <c r="O357" s="3">
        <f>730.3+(721.5-643.6)+(0.744906+(0.73593-0.656472))+0-7-0.00714000000000112</f>
        <v>802.01722399999983</v>
      </c>
      <c r="P357" s="3">
        <f>609.5+(851.5-645.3)+(-0.310845+(-0.434265--0.329103))+0-7--0.00356999999999929</f>
        <v>808.28756299999998</v>
      </c>
      <c r="Q357" s="3">
        <f>749.9+(769.6-697.3)+(-1.912245+(-1.96248--1.778115))+0-7--0.017849999999999</f>
        <v>813.12123999999994</v>
      </c>
      <c r="R357" s="3">
        <f>720.3+(735.7-670.7)+(-1.469412+(-1.500828--1.368228))+0-6--0.0122399999999997</f>
        <v>777.71022800000003</v>
      </c>
      <c r="S357" s="3">
        <f>752.4+(638.6-644.8)+(0+(0-0))+0-6-0</f>
        <v>740.2</v>
      </c>
      <c r="T357" s="3">
        <f>834.1+(556.4-634.3)+(-0.425391+(-0.283764--0.323493))+0-6--0.00305999999999939</f>
        <v>749.81739800000003</v>
      </c>
      <c r="U357" s="3">
        <f>833.4+(533.6-617.7)+(0+(0-0))+0-6-0</f>
        <v>743.3</v>
      </c>
      <c r="V357" s="3">
        <f>824.1+(539.9-601.3)+(-1.681164+(-1.101396--1.226652))+0-5--0.0101999999999998</f>
        <v>756.15429200000005</v>
      </c>
      <c r="W357" s="3">
        <f>835.3+(530.3-621.1)+(0+(0-0))+0-5-0</f>
        <v>739.49999999999989</v>
      </c>
      <c r="X357" s="3">
        <f>895.4+(616.6-628.8)+(-0.456654+(-0.314466--0.320688))+0-5--0.00254999999999949</f>
        <v>877.75211800000011</v>
      </c>
      <c r="Y357" s="3">
        <f>901.7+(769.5-690.9)+(-0.919734+(-0.78489--0.704718))+0-5--0.0051000000000008</f>
        <v>974.30519400000003</v>
      </c>
      <c r="Z357" s="3">
        <f>905.4+(713.8-676.2)+(-0.923508+(-0.728076--0.689724))+0-5--0.0051000000000008</f>
        <v>937.04323999999986</v>
      </c>
      <c r="AA357" s="3">
        <f>913.6+(663-649.8)+(-2.32968+(-1.69065--1.65699))+0-5--0.0127499999999993</f>
        <v>919.44941000000006</v>
      </c>
      <c r="AB357" s="3">
        <f>877.3+(656.7-623.7)+(-1.342269+(-1.004751--0.954261))+0-5--0.00765000000000029</f>
        <v>903.91489100000001</v>
      </c>
      <c r="AC357" s="3">
        <f>836+(608.9-642.1)+(-1.27908+(-0.931617--0.982413))+0-5--0.00765000000000029</f>
        <v>796.57936599999994</v>
      </c>
      <c r="AD357" s="2">
        <v>953.4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840.2+(497.7-596.1)+(0.428502+(0.253827-0.304011))+0-5-0.00254999999999949</f>
        <v>737.17576799999995</v>
      </c>
      <c r="G358" s="3">
        <f>793.1+(350.9-520.6)+(-1.213443+(-0.536877--0.796518))+0-5--0.00765000000000029</f>
        <v>617.45384799999999</v>
      </c>
      <c r="H358" s="3">
        <f>704.4+(239.3-306.7)+(0+(0-0))+0-5-0</f>
        <v>632</v>
      </c>
      <c r="I358" s="3">
        <f>702.6+(226.7-299.3)+(-1.79163+(-0.578085--0.763215))+0-5--0.0127499999999993</f>
        <v>623.40625</v>
      </c>
      <c r="J358" s="3">
        <f>704.6+(217.6-294)+(0+(0-0))+0-5-0</f>
        <v>623.20000000000005</v>
      </c>
      <c r="K358" s="3">
        <f>706.8+(226.1-307.9)+(0.720936+(0.230622-0.314058))+0-5-0.0051000000000008</f>
        <v>620.63240000000008</v>
      </c>
      <c r="L358" s="3">
        <f>703.4+(337.9-522.7)+(-0.717468+(-0.344658--0.533154))+0-5--0.0051000000000008</f>
        <v>513.07612799999993</v>
      </c>
      <c r="M358" s="3">
        <f>748.3+(503-612.3)+(0.763266+(0.51306-0.624546))+0-5-0.0051000000000008</f>
        <v>634.64668000000006</v>
      </c>
      <c r="N358" s="3">
        <f>817+(555.3-604.3)+(-0.41667+(-0.283203--0.308193))+0-5--0.00254999999999949</f>
        <v>762.61087000000009</v>
      </c>
      <c r="O358" s="3">
        <f>799.1+(680.3-680.8)+(0.407541+(0.346953-0.347208))+0-5-0.00254999999999949</f>
        <v>794.00473599999998</v>
      </c>
      <c r="P358" s="3">
        <f>812+(688.2-673)+(-1.24236+(-1.052946--1.02969))+0-5--0.00765000000000029</f>
        <v>820.94203400000004</v>
      </c>
      <c r="Q358" s="3">
        <f>818.2+(738.5-743.6)+(0+(0-0))+0-5-0</f>
        <v>808.1</v>
      </c>
      <c r="R358" s="3">
        <f>806.5+(690.3-737.4)+(-0.82263+(-0.704106--0.752148))+0-6--0.00612000000000096</f>
        <v>752.63153199999999</v>
      </c>
      <c r="S358" s="3">
        <f>778.7+(671.4-703.7)+(-0.794274+(-0.684828--0.717774))+0-6--0.00612000000000096</f>
        <v>739.64479199999994</v>
      </c>
      <c r="T358" s="3">
        <f>782.4+(628.9-675.6)+(0.798048+(0.641478-0.689112))+0-6-0.00612000000000096</f>
        <v>730.4442939999999</v>
      </c>
      <c r="U358" s="3">
        <f>783.1+(613.1-652.5)+(0.399381+(0.312681-0.332775))+0-6-0.00305999999999939</f>
        <v>738.07622700000002</v>
      </c>
      <c r="V358" s="3">
        <f>774.2+(616.1-642.4)+(0+(0-0))+0-6-0</f>
        <v>741.90000000000009</v>
      </c>
      <c r="W358" s="3">
        <f>774.8+(589.2-593.3)+(0.395148+(0.300492-0.302583))+0-6-0.00305999999999939</f>
        <v>765.08999700000004</v>
      </c>
      <c r="X358" s="3">
        <f>823.3+(718.2-644.7)+(0+(0-0))+0-6-0</f>
        <v>890.8</v>
      </c>
      <c r="Y358" s="3">
        <f>855.1+(818.4-688.8)+(-2.616606+(-2.504304--2.107728))+0-6--0.0183600000000007</f>
        <v>975.70517800000005</v>
      </c>
      <c r="Z358" s="3">
        <f>858.1+(750.1-655)+(-0.875262+(-0.765102--0.6681))+0-6--0.00612000000000096</f>
        <v>946.23385600000006</v>
      </c>
      <c r="AA358" s="3">
        <f>853.6+(691.8-622.9)+(-1.741344+(-1.411272--1.270716))+0-6--0.0122399999999997</f>
        <v>914.63034000000005</v>
      </c>
      <c r="AB358" s="3">
        <f>848.4+(667-623)+(-1.730736+(-1.36068--1.27092))+0-6--0.0122399999999997</f>
        <v>884.59174399999995</v>
      </c>
      <c r="AC358" s="3">
        <f>778.9+(664-619)+(-1.986195+(-1.6932--1.57845))+0-6--0.0152999999999991</f>
        <v>815.81435499999998</v>
      </c>
      <c r="AD358" s="2">
        <v>977.6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802+(536.3-619.6)+(-2.0451+(-1.367565--1.57998))+0-6--0.0152999999999991</f>
        <v>710.88261499999999</v>
      </c>
      <c r="G359" s="3">
        <f>834.8+(397.4-558.7)+(-2.12874+(-1.01337--1.424685))+0-6--0.0152999999999991</f>
        <v>665.79787499999986</v>
      </c>
      <c r="H359" s="3">
        <f>837.8+(202.3-385.5)+(-0.427278+(-0.103173--0.196605))+0-6--0.00305999999999939</f>
        <v>648.26921399999992</v>
      </c>
      <c r="I359" s="3">
        <f>837.3+(153.8-351.6)+(-0.427023+(-0.078438--0.179316))+0-6--0.00305999999999939</f>
        <v>633.17691500000001</v>
      </c>
      <c r="J359" s="3">
        <f>817.6+(142.9-332.3)+(-2.08488+(-0.364395--0.847365))+0-6--0.0152999999999991</f>
        <v>620.61339000000009</v>
      </c>
      <c r="K359" s="3">
        <f>833.7+(134.3-339)+(-0.425187+(-0.068493--0.17289))+0-6--0.00305999999999939</f>
        <v>622.68227000000002</v>
      </c>
      <c r="L359" s="3">
        <f>854.4+(235.2-447.6)+(-1.307232+(-0.359856--0.684828))+0-6--0.00918000000000035</f>
        <v>635.02692000000002</v>
      </c>
      <c r="M359" s="3">
        <f>936.1+(342.8-604.9)+(0+(0-0))+0-9-0</f>
        <v>665</v>
      </c>
      <c r="N359" s="3">
        <f>936.7+(442-626.1)+(0.477717+(0.22542-0.319311))+0-10-0.00509999999999899</f>
        <v>742.97872600000005</v>
      </c>
      <c r="O359" s="3">
        <f>935.6+(554.2-682.6)+(-1.908624+(-1.130568--1.392504))+0-13--0.0265199999999994</f>
        <v>792.57983200000001</v>
      </c>
      <c r="P359" s="3">
        <f>929.6+(654.8-743.7)+(-0.948192+(-0.667896--0.758574))+0-13--0.0132600000000021</f>
        <v>826.85574599999984</v>
      </c>
      <c r="Q359" s="3">
        <f>937.8+(636.4-738)+(0+(0-0))+0-14-0</f>
        <v>822.19999999999993</v>
      </c>
      <c r="R359" s="3">
        <f>926+(564.5-706.5)+(-1.88904+(-1.15158--1.44126))+0-13--0.0265199999999994</f>
        <v>769.42715999999996</v>
      </c>
      <c r="S359" s="3">
        <f>878.1+(527.2-655.4)+(-0.447831+(-0.268872--0.334254))+0-13--0.00662999999999868</f>
        <v>736.52418100000011</v>
      </c>
      <c r="T359" s="3">
        <f>875.3+(496.3-628.6)+(0+(0-0))+0-13-0</f>
        <v>730</v>
      </c>
      <c r="U359" s="3">
        <f>877.7+(507.1-637.5)+(0.895254+(0.517242-0.65025))+0-13-0.0132600000000021</f>
        <v>735.04898600000013</v>
      </c>
      <c r="V359" s="3">
        <f>869.1+(450.1-575.2)+(-2.216205+(-1.147755--1.46676))+0-13--0.0331499999999981</f>
        <v>729.13594999999998</v>
      </c>
      <c r="W359" s="3">
        <f>890+(427.2-552.4)+(0+(0-0))+0-13-0</f>
        <v>751.8</v>
      </c>
      <c r="X359" s="3">
        <f>919.3+(593-642.5)+(-0.937686+(-0.60486--0.65535))+0-13--0.0132600000000021</f>
        <v>855.92606399999988</v>
      </c>
      <c r="Y359" s="3">
        <f>945.8+(700.7-679.3)+(-2.41179+(-1.786785--1.732215))+0-13--0.0331499999999981</f>
        <v>951.76679000000001</v>
      </c>
      <c r="Z359" s="3">
        <f>952.9+(643.6-658.7)+(-1.943916+(-1.312944--1.343748))+0-13--0.0265199999999994</f>
        <v>922.913408</v>
      </c>
      <c r="AA359" s="3">
        <f>949.9+(573-619.1)+(-3.391143+(-2.04561--2.210187))+0-13--0.0464100000000002</f>
        <v>887.61984399999994</v>
      </c>
      <c r="AB359" s="3">
        <f>896.1+(584.8-600.2)+(-1.828044+(-1.192992--1.224408))+0-14--0.0285599999999994</f>
        <v>864.93193199999985</v>
      </c>
      <c r="AC359" s="3">
        <f>890.5+(496.9-571.8)+(-0.90831+(-0.506838--0.583236))+0-14--0.0142800000000022</f>
        <v>800.78236800000002</v>
      </c>
      <c r="AD359" s="2">
        <v>944.49999999999989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879.3+(357.5-526.3)+(-2.690658+(-1.09395--1.610478))+0-14--0.0428400000000016</f>
        <v>694.36870999999996</v>
      </c>
      <c r="G360" s="3">
        <f>818.6+(132.3-284.3)+(-1.252458+(-0.202419--0.434979))+0-14--0.0214200000000008</f>
        <v>651.60152200000005</v>
      </c>
      <c r="H360" s="3">
        <f>814+(120.8-282.6)+(-1.24542+(-0.184824--0.432378))+0-14--0.0214200000000008</f>
        <v>637.22355400000004</v>
      </c>
      <c r="I360" s="3">
        <f>770.5+(130.3-260.1)+(-0.392955+(-0.066453--0.132651))+0-14--0.00713999999999858</f>
        <v>626.38038300000005</v>
      </c>
      <c r="J360" s="3">
        <f>724.6+(166-253.7)+(-0.739092+(-0.16932--0.258774))+0-14--0.0142800000000022</f>
        <v>622.26464200000009</v>
      </c>
      <c r="K360" s="3">
        <f>725.8+(203.1-290.4)+(0.740316+(0.207162-0.296208))+0-14-0.0142800000000022</f>
        <v>625.13698999999997</v>
      </c>
      <c r="L360" s="3">
        <f>722.3+(266.4-337.9)+(-1.473492+(-0.543456--0.689316))+0-14--0.0285599999999994</f>
        <v>635.50092799999993</v>
      </c>
      <c r="M360" s="3">
        <f>787.2+(451.7-578.6)+(0.401472+(0.230367-0.295086))+0-14-0.00713999999999858</f>
        <v>646.62961299999995</v>
      </c>
      <c r="N360" s="3">
        <f>896.1+(425.4-596.6)+(0.457011+(0.216954-0.304266))+0-14-0.00713999999999858</f>
        <v>711.2625589999999</v>
      </c>
      <c r="O360" s="3">
        <f>932.3+(499.5-654.4)+(1.901892+(1.01898-1.334976))+0-14-0.0285599999999994</f>
        <v>764.95733600000005</v>
      </c>
      <c r="P360" s="3">
        <f>919.8+(502.5-632.6)+(-0.938196+(-0.51255--0.645252))+0-14--0.0142800000000022</f>
        <v>774.90878599999996</v>
      </c>
      <c r="Q360" s="3">
        <f>914+(461.2-590.2)+(-2.3307+(-1.17606--1.50501))+0-14--0.035699999999998</f>
        <v>769.03395</v>
      </c>
      <c r="R360" s="3">
        <f>910.4+(387.9-670.2)+(-2.32152+(-0.989145--1.70901))+0-14--0.035699999999998</f>
        <v>612.53404499999988</v>
      </c>
      <c r="S360" s="3">
        <f>906.7+(342.3-652)+(-1.849668+(-0.698292--1.33008))+0-14--0.0285599999999994</f>
        <v>581.81067999999993</v>
      </c>
      <c r="T360" s="3">
        <f>911.6+(322.8-648.8)+(0.929832+(0.329256-0.661776))+0-14-0.0142800000000022</f>
        <v>572.18303200000014</v>
      </c>
      <c r="U360" s="3">
        <f>911.6+(336-633)+(0+(0-0))+0-14-0</f>
        <v>600.6</v>
      </c>
      <c r="V360" s="3">
        <f>858.3+(374.2-624.6)+(-1.313199+(-0.572526--0.955638))+0-14--0.0214200000000008</f>
        <v>592.99133299999994</v>
      </c>
      <c r="W360" s="3">
        <f>859.2+(403.9-633)+(0.876384+(0.411978-0.64566))+0-14-0.0142800000000022</f>
        <v>616.72842200000002</v>
      </c>
      <c r="X360" s="3">
        <f>905.7+(461.4-670.1)+(0.923814+(0.470628-0.683502))+0-14-0.0142800000000022</f>
        <v>683.69666000000007</v>
      </c>
      <c r="Y360" s="3">
        <f>921.8+(584-709.1)+(-1.410354+(-0.89352--1.084923))+0-14--0.0214200000000008</f>
        <v>781.50246900000002</v>
      </c>
      <c r="Z360" s="3">
        <f>931+(538.8-693)+(-1.42443+(-0.824364--1.06029))+0-14--0.0214200000000008</f>
        <v>761.63291600000002</v>
      </c>
      <c r="AA360" s="3">
        <f>928.5+(491.9-651)+(-0.473535+(-0.250869--0.33201))+0-14--0.00713999999999858</f>
        <v>755.01474600000006</v>
      </c>
      <c r="AB360" s="3">
        <f>926.1+(443.2-631.5)+(-2.361555+(-1.13016--1.610325))+0-14--0.035699999999998</f>
        <v>721.95430999999996</v>
      </c>
      <c r="AC360" s="3">
        <f>924.1+(409-631.5)+(-1.413873+(-0.62577--0.966195))+0-14--0.0214200000000008</f>
        <v>686.54797200000007</v>
      </c>
      <c r="AD360" s="2">
        <v>929.99999999999977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895.9+(179.9-368.1)+(-1.827636+(-0.366996--0.750924))+0-14--0.0285599999999994</f>
        <v>692.28485199999989</v>
      </c>
      <c r="G361" s="3">
        <f>862.1+(165.5-364.3)+(-1.758684+(-0.33762--0.743172))+0-14--0.0285599999999994</f>
        <v>647.97542799999997</v>
      </c>
      <c r="H361" s="3">
        <f>839.1+(141.6-333.3)+(-0.855882+(-0.144432--0.339966))+0-14--0.0142800000000022</f>
        <v>632.75393199999996</v>
      </c>
      <c r="I361" s="3">
        <f>806.8+(137.2-317.2)+(1.234404+(0.209916-0.485316))+0-14-0.0214200000000008</f>
        <v>613.73758399999997</v>
      </c>
      <c r="J361" s="3">
        <f>800.1+(153.3-335.1)+(-1.632204+(-0.312732--0.683604))+0-14--0.0285599999999994</f>
        <v>603.06722799999989</v>
      </c>
      <c r="K361" s="3">
        <f>802.1+(181.4-360.8)+(-0.818142+(-0.185028--0.368016))+0-14--0.0142800000000022</f>
        <v>608.07912599999997</v>
      </c>
      <c r="L361" s="3">
        <f>801.4+(217.2-410)+(-0.408714+(-0.110772--0.2091))+0-14--0.00713999999999858</f>
        <v>594.29675399999996</v>
      </c>
      <c r="M361" s="3">
        <f>839.7+(220.9-454.5)+(0.428247+(0.112659-0.231795))+0-14-0.00713999999999858</f>
        <v>592.401971</v>
      </c>
      <c r="N361" s="3">
        <f>942.5+(198.5-456.1)+(-0.480675+(-0.101235--0.232611))+0-14--0.00713999999999858</f>
        <v>670.55784100000005</v>
      </c>
      <c r="O361" s="3">
        <f>949.6+(383.8-598.8)+(-0.484296+(-0.195738--0.305388))+0-14--0.00713999999999858</f>
        <v>720.2324940000002</v>
      </c>
      <c r="P361" s="3">
        <f>940.6+(391.9-602.8)+(1.439118+(0.599607-0.922284))+0-14-0.0214200000000008</f>
        <v>716.79502100000002</v>
      </c>
      <c r="Q361" s="3">
        <f>920.9+(410.3-601.5)+(-1.878636+(-0.837012--1.22706))+0-14--0.0285599999999994</f>
        <v>714.23997199999997</v>
      </c>
      <c r="R361" s="3">
        <f>912+(356.8-641.9)+(-0.93024+(-0.363936--0.654738))+0-9--0.00918000000000144</f>
        <v>617.26974200000006</v>
      </c>
      <c r="S361" s="3">
        <f>904.9+(336.1-627.1)+(-1.845996+(-0.685644--1.279284))+0-9--0.0183599999999996</f>
        <v>603.66600400000004</v>
      </c>
      <c r="T361" s="3">
        <f>899.2+(322.8-619.9)+(0.917184+(0.329256-0.632298))+0-9-0.00918000000000144</f>
        <v>593.70496200000014</v>
      </c>
      <c r="U361" s="3">
        <f>899.2+(325.6-627.5)+(0.458592+(0.166056-0.320025))+0-9-0.00458999999999909</f>
        <v>588.60003300000005</v>
      </c>
      <c r="V361" s="3">
        <f>886.9+(336.7-611)+(0.904638+(0.343434-0.62322))+0-9-0.00918000000000144</f>
        <v>604.21567199999993</v>
      </c>
      <c r="W361" s="3">
        <f>876.4+(342.3-606.7)+(0+(0-0))+0-9-0</f>
        <v>603</v>
      </c>
      <c r="X361" s="3">
        <f>924.6+(405.4-645)+(0.943092+(0.413508-0.6579))+0-10-0.0102000000000016</f>
        <v>675.68849999999998</v>
      </c>
      <c r="Y361" s="3">
        <f>929.7+(528.4-670.5)+(-0.474147+(-0.269484--0.341955))+0-11--0.00560999999999888</f>
        <v>776.20393400000012</v>
      </c>
      <c r="Z361" s="3">
        <f>934.5+(478.6-622.5)+(-0.95319+(-0.488172--0.63495))+0-10--0.0102000000000016</f>
        <v>779.80378800000005</v>
      </c>
      <c r="AA361" s="3">
        <f>932.2+(456.2-616.8)+(-0.950844+(-0.465324--0.629136))+0-14--0.0142800000000022</f>
        <v>756.82724800000017</v>
      </c>
      <c r="AB361" s="3">
        <f>932.9+(409.6-598.6)+(-2.378895+(-1.04448--1.52643))+0-14--0.035699999999998</f>
        <v>728.03875500000004</v>
      </c>
      <c r="AC361" s="3">
        <f>938.7+(357.1-582.2)+(-1.436211+(-0.546363--0.890766))+0-14--0.0214200000000008</f>
        <v>698.52961200000004</v>
      </c>
      <c r="AD361" s="2">
        <v>898.8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936+(191.7-420.7)+(-2.86416+(-0.586602--1.287342))+0-14--0.0428400000000016</f>
        <v>690.87941999999998</v>
      </c>
      <c r="G362" s="3">
        <f>887+(242.7-473.4)+(-2.26185+(-0.618885--1.20717))+0-14--0.035699999999998</f>
        <v>640.66213499999992</v>
      </c>
      <c r="H362" s="3">
        <f>857.4+(272.4-497.2)+(-1.749096+(-0.555696--1.014288))+0-14--0.0285599999999994</f>
        <v>617.33805599999982</v>
      </c>
      <c r="I362" s="3">
        <f>862.3+(183.3-425.8)+(0+(0-0))+0-14-0</f>
        <v>605.79999999999995</v>
      </c>
      <c r="J362" s="3">
        <f>862.8+(184.1-433.2)+(1.320084+(0.281673-0.662796))+0-14-0.0214200000000008</f>
        <v>600.61754099999985</v>
      </c>
      <c r="K362" s="3">
        <f>861.2+(183.6-424.2)+(0+(0-0))+0-14-0</f>
        <v>606.6</v>
      </c>
      <c r="L362" s="3">
        <f>859+(198.4-432.1)+(-0.43809+(-0.101184--0.220371))+0-14--0.00713999999999858</f>
        <v>610.98823700000003</v>
      </c>
      <c r="M362" s="3">
        <f>859.1+(235.1-448.7)+(0+(0-0))+0-10-0</f>
        <v>635.5</v>
      </c>
      <c r="N362" s="3">
        <f>919.5+(278.4-470)+(-0.468945+(-0.141984--0.2397))+0-10--0.00509999999999899</f>
        <v>717.53387099999998</v>
      </c>
      <c r="O362" s="3">
        <f>916.8+(501.3-644)+(-0.467568+(-0.255663--0.32844))+0-10--0.00509999999999899</f>
        <v>763.71030899999982</v>
      </c>
      <c r="P362" s="3">
        <f>932+(478.2-612.8)+(0.47532+(0.243882-0.312528))+0-11-0.00560999999999888</f>
        <v>786.801064</v>
      </c>
      <c r="Q362" s="3">
        <f>927.2+(477.6-608.3)+(0+(0-0))+0-11-0</f>
        <v>785.50000000000011</v>
      </c>
      <c r="R362" s="3">
        <f>913+(469.6-618.5)+(-1.39689+(-0.718488--0.946305))+0-11--0.0168300000000006</f>
        <v>751.94775700000002</v>
      </c>
      <c r="S362" s="3">
        <f>908.3+(454.7-618.3)+(0.463233+(0.231897-0.315333))+0-14-0.00713999999999858</f>
        <v>731.07265700000005</v>
      </c>
      <c r="T362" s="3">
        <f>902.5+(452.7-614)+(-0.92055+(-0.461754--0.62628))+0-14--0.0142800000000022</f>
        <v>726.45825600000001</v>
      </c>
      <c r="U362" s="3">
        <f>897.1+(430.6-590.1)+(-1.830084+(-0.878424--1.203804))+0-14--0.0285599999999994</f>
        <v>722.12385600000005</v>
      </c>
      <c r="V362" s="3">
        <f>897.4+(443-588.4)+(-2.746044+(-1.35558--1.800504))+0-15--0.0459000000000017</f>
        <v>734.74477999999999</v>
      </c>
      <c r="W362" s="3">
        <f>896.7+(460.6-582.1)+(-3.658536+(-1.879248--2.374968))+0-15--0.0611999999999987</f>
        <v>757.09838400000001</v>
      </c>
      <c r="X362" s="3">
        <f>917.7+(542.7-575.7)+(0+(0-0))+0-15-0</f>
        <v>869.7</v>
      </c>
      <c r="Y362" s="3">
        <f>926.6+(623.3-584.9)+(-2.36283+(-1.589415--1.491495))+0-15--0.0382499999999978</f>
        <v>947.57749999999999</v>
      </c>
      <c r="Z362" s="3">
        <f>928.1+(607.9-590.8)+(-2.366655+(-1.550145--1.50654))+0-15--0.0382499999999978</f>
        <v>927.82799</v>
      </c>
      <c r="AA362" s="3">
        <f>929.6+(589.6-584.2)+(-1.896384+(-1.202784--1.191768))+0-15--0.0305999999999993</f>
        <v>918.1232</v>
      </c>
      <c r="AB362" s="3">
        <f>927.3+(547-580.7)+(-0.472923+(-0.27897--0.296157))+0-15--0.00764999999999848</f>
        <v>878.15191399999992</v>
      </c>
      <c r="AC362" s="3">
        <f>924.2+(468.2-561.1)+(-2.35671+(-1.19391--1.430805))+0-15--0.0382499999999978</f>
        <v>814.21843499999989</v>
      </c>
      <c r="AD362" s="2">
        <v>943.50000000000023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891.4+(239.6-371.6)+(-2.727684+(-0.733176--1.137096))+0-15--0.0459000000000017</f>
        <v>742.12213599999995</v>
      </c>
      <c r="G363" s="3">
        <f>783.9+(268-365.5)+(-1.998945+(-0.6834--0.932025))+0-15--0.0382499999999978</f>
        <v>669.68792999999994</v>
      </c>
      <c r="H363" s="3">
        <f>736.7+(306.2-389.7)+(-1.502868+(-0.624648--0.794988))+0-14--0.0285599999999994</f>
        <v>637.89603199999999</v>
      </c>
      <c r="I363" s="3">
        <f>737.2+(299.6-398)+(-2.255832+(-0.916776--1.21788))+0-14--0.0428400000000016</f>
        <v>622.88811199999998</v>
      </c>
      <c r="J363" s="3">
        <f>737.9+(300.1-401.9)+(-1.128987+(-0.459153--0.614907))+0-14--0.0214200000000008</f>
        <v>621.14818700000001</v>
      </c>
      <c r="K363" s="3">
        <f>744+(249.4-352.3)+(-0.37944+(-0.127194--0.179673))+0-14--0.00713999999999858</f>
        <v>626.78017900000009</v>
      </c>
      <c r="L363" s="3">
        <f>741.9+(278.8-380.6)+(0+(0-0))+0-14-0</f>
        <v>626.09999999999991</v>
      </c>
      <c r="M363" s="3">
        <f>807.5+(297-428)+(0.82365+(0.30294-0.43656))+0-14-0.0142800000000022</f>
        <v>663.17574999999999</v>
      </c>
      <c r="N363" s="3">
        <f>892.3+(434.1-580)+(-0.455073+(-0.221391--0.2958))+0-14--0.00713999999999858</f>
        <v>732.026476</v>
      </c>
      <c r="O363" s="3">
        <f>920+(461.7-577.6)+(0+(0-0))+0-14-0</f>
        <v>790.09999999999991</v>
      </c>
      <c r="P363" s="3">
        <f>914.5+(460.1-568.2)+(-2.331975+(-1.173255--1.44891))+0-14--0.035699999999998</f>
        <v>790.37937999999997</v>
      </c>
      <c r="Q363" s="3">
        <f>917.2+(460.4-579.3)+(-0.467772+(-0.234804--0.295443))+0-14--0.00713999999999858</f>
        <v>783.90000700000007</v>
      </c>
      <c r="R363" s="3">
        <f>911.5+(380.8-614.8)+(-2.78919+(-1.165248--1.881288))+0-14--0.0428400000000016</f>
        <v>661.4696899999999</v>
      </c>
      <c r="S363" s="3">
        <f>907.9+(359-611.7)+(0.463029+(0.18309-0.311967))+0-14-0.00713999999999858</f>
        <v>641.5270119999999</v>
      </c>
      <c r="T363" s="3">
        <f>901.3+(365.8-613.6)+(-1.838652+(-0.746232--1.251744))+0-14--0.0285599999999994</f>
        <v>638.19542000000001</v>
      </c>
      <c r="U363" s="3">
        <f>902.8+(356.9-602.4)+(-1.381284+(-0.546057--0.921672))+0-14--0.0214200000000008</f>
        <v>642.31575099999998</v>
      </c>
      <c r="V363" s="3">
        <f>904.1+(376.1-610.1)+(0+(0-0))+0-14-0</f>
        <v>656.1</v>
      </c>
      <c r="W363" s="3">
        <f>906.9+(402-613)+(0+(0-0))+0-14-0</f>
        <v>681.9</v>
      </c>
      <c r="X363" s="3">
        <f>909.7+(552-660)+(0.463947+(0.28152-0.3366))+0-14-0.00713999999999858</f>
        <v>788.10172699999998</v>
      </c>
      <c r="Y363" s="3">
        <f>913.9+(524-646)+(-0.466089+(-0.26724--0.32946))+0-14--0.00713999999999858</f>
        <v>777.50327100000004</v>
      </c>
      <c r="Z363" s="3">
        <f>925.8+(542.7-649.7)+(-0.472158+(-0.276777--0.331347))+0-14--0.00713999999999858</f>
        <v>804.38955199999998</v>
      </c>
      <c r="AA363" s="3">
        <f>926.5+(485.7-616.3)+(-0.472515+(-0.247707--0.314313))+0-14--0.00713999999999858</f>
        <v>781.50123100000019</v>
      </c>
      <c r="AB363" s="3">
        <f>921.7+(469.1-625.6)+(-2.350335+(-1.196205--1.59528))+0-14--0.035699999999998</f>
        <v>749.28444000000002</v>
      </c>
      <c r="AC363" s="3">
        <f>920.6+(392.9-607.9)+(-1.878024+(-0.801516--1.240116))+0-15--0.0305999999999993</f>
        <v>689.19117600000004</v>
      </c>
      <c r="AD363" s="2">
        <v>810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922.7+(200-435.1)+(-1.882308+(-0.408--0.887604))+0-14--0.0285599999999994</f>
        <v>672.22585600000002</v>
      </c>
      <c r="G364" s="3">
        <f>921.7+(211.4-480.5)+(-1.410201+(-0.323442--0.735165))+0-14--0.0214200000000008</f>
        <v>637.62294200000008</v>
      </c>
      <c r="H364" s="3">
        <f>883.7+(252-491.9)+(-2.253435+(-0.6426--1.254345))+0-14--0.035699999999998</f>
        <v>628.19401000000005</v>
      </c>
      <c r="I364" s="3">
        <f>777.6+(274.5-431.2)+(0.396576+(0.139995-0.219912))+0-14-0.00713999999999858</f>
        <v>607.209519</v>
      </c>
      <c r="J364" s="3">
        <f>773.3+(275.3-433)+(-1.577532+(-0.561612--0.88332))+0-14--0.0285599999999994</f>
        <v>600.37273599999992</v>
      </c>
      <c r="K364" s="3">
        <f>782.1+(264.7-439.1)+(-0.797742+(-0.269994--0.447882))+0-14--0.0142800000000022</f>
        <v>593.094426</v>
      </c>
      <c r="L364" s="3">
        <f>784.3+(306.6-468.7)+(0+(0-0))+0-14-0</f>
        <v>608.20000000000005</v>
      </c>
      <c r="M364" s="3">
        <f>924.3+(327.3-625.1)+(-1.414179+(-0.500769--0.956403))+0-14--0.0214200000000008</f>
        <v>611.56287500000008</v>
      </c>
      <c r="N364" s="3">
        <f>940.9+(386.7-598.9)+(-0.479859+(-0.197217--0.305439))+0-14--0.00713999999999858</f>
        <v>714.33550300000013</v>
      </c>
      <c r="O364" s="3">
        <f>937.6+(421.6-569.2)+(-2.39088+(-1.07508--1.45146))+0-14--0.035699999999998</f>
        <v>774.02120000000002</v>
      </c>
      <c r="P364" s="3">
        <f>944.3+(417-550.2)+(0.481593+(0.21267-0.280602))+0-14-0.00713999999999858</f>
        <v>797.50652099999991</v>
      </c>
      <c r="Q364" s="3">
        <f>944.8+(420.8-557.7)+(0.481848+(0.214608-0.284427))+0-14-0.00713999999999858</f>
        <v>794.30488899999978</v>
      </c>
      <c r="R364" s="3">
        <f>938.3+(418.6-588.4)+(-2.871198+(-1.280916--1.800504))+0-14--0.0428400000000016</f>
        <v>752.1912299999999</v>
      </c>
      <c r="S364" s="3">
        <f>940.2+(412.4-604.5)+(-1.918008+(-0.841296--1.23318))+0-14--0.0285599999999994</f>
        <v>732.60243600000001</v>
      </c>
      <c r="T364" s="3">
        <f>901.9+(444.9-602.8)+(-0.919938+(-0.453798--0.614856))+0-14--0.0142800000000022</f>
        <v>729.25540000000001</v>
      </c>
      <c r="U364" s="3">
        <f>872.7+(459.6-604.4)+(-0.445077+(-0.234396--0.308244))+0-13--0.00662999999999868</f>
        <v>714.53540100000009</v>
      </c>
      <c r="V364" s="3">
        <f>899.1+(445.5-599.5)+(-1.375623+(-0.681615--0.917235))+0-13--0.0198900000000008</f>
        <v>730.97988700000008</v>
      </c>
      <c r="W364" s="3">
        <f>917.1+(464.6-609.3)+(0.935442+(0.473892-0.621486))+0-14-0.0142800000000022</f>
        <v>759.17356800000016</v>
      </c>
      <c r="X364" s="3">
        <f>997.9+(494.1-610.6)+(1.017858+(0.503982-0.622812))+0-14-0.0142800000000022</f>
        <v>868.28474800000004</v>
      </c>
      <c r="Y364" s="3">
        <f>1035.1+(538.4-610.6)+(-0.527901+(-0.274584--0.311406))+0-14--0.00713999999999858</f>
        <v>948.4160609999999</v>
      </c>
      <c r="Z364" s="3">
        <f>1066+(485.3-600.6)+(-2.7183+(-1.237515--1.53153))+0-14--0.035699999999998</f>
        <v>934.31141500000001</v>
      </c>
      <c r="AA364" s="3">
        <f>1030.9+(490.7-599.2)+(0+(0-0))+0-14-0</f>
        <v>908.40000000000009</v>
      </c>
      <c r="AB364" s="3">
        <f>1027+(473.3-611.4)+(-2.09508+(-0.965532--1.247256))+0-14--0.0285599999999994</f>
        <v>873.11520400000006</v>
      </c>
      <c r="AC364" s="3">
        <f>993.2+(448.4-591.8)+(-2.53266+(-1.14342--1.50909))+0-14--0.035699999999998</f>
        <v>833.66871000000003</v>
      </c>
      <c r="AD364" s="2">
        <v>959.8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951+(376.7-583.9)+(0+(0-0))+0-14-0</f>
        <v>729.8</v>
      </c>
      <c r="G365" s="3">
        <f>945.9+(287.4-549.8)+(-1.929636+(-0.586296--1.121592))+0-14--0.0285599999999994</f>
        <v>668.13421999999991</v>
      </c>
      <c r="H365" s="3">
        <f>947.6+(189.9-481.3)+(-2.899656+(-0.581094--1.472778))+0-14--0.0428400000000016</f>
        <v>640.23486800000001</v>
      </c>
      <c r="I365" s="3">
        <f>936+(164.9-459.3)+(-0.95472+(-0.168198--0.468486))+0-14--0.0142800000000022</f>
        <v>626.95984799999997</v>
      </c>
      <c r="J365" s="3">
        <f>884.1+(143-390.4)+(-0.901782+(-0.14586--0.398208))+0-14--0.0142800000000022</f>
        <v>622.06484599999999</v>
      </c>
      <c r="K365" s="3">
        <f>898.8+(178.8-437.8)+(0.916776+(0.182376-0.446556))+0-14-0.0142800000000022</f>
        <v>626.43831599999999</v>
      </c>
      <c r="L365" s="3">
        <f>829.1+(244.5-445.3)+(-0.845682+(-0.24939--0.454206))+0-13--0.0132600000000021</f>
        <v>614.67239399999994</v>
      </c>
      <c r="M365" s="3">
        <f>899.6+(292.8-552.8)+(0.917592+(0.298656-0.563856))+0-13-0.0132600000000021</f>
        <v>627.23913200000015</v>
      </c>
      <c r="N365" s="3">
        <f>938.8+(386.5-606.8)+(-0.478788+(-0.197115--0.309468))+0-13--0.00662999999999868</f>
        <v>705.14019499999995</v>
      </c>
      <c r="O365" s="3">
        <f>956.6+(422.2-604.6)+(0+(0-0))+0-13-0</f>
        <v>761.2</v>
      </c>
      <c r="P365" s="3">
        <f>952.4+(425.5-587.7)+(-0.485724+(-0.217005--0.299727))+0-13--0.00662999999999868</f>
        <v>776.80362799999989</v>
      </c>
      <c r="Q365" s="3">
        <f>854.2+(514.7-593.2)+(1.742568+(1.049988-1.210128))+0-13-0.0265199999999994</f>
        <v>764.25590800000009</v>
      </c>
      <c r="R365" s="3">
        <f>828.6+(513.6-608.5)+(-1.690344+(-1.047744--1.24134))+0-14--0.0285599999999994</f>
        <v>718.23181199999999</v>
      </c>
      <c r="S365" s="3">
        <f>870.8+(454.1-630.3)+(-0.888216+(-0.463182--0.642906))+0-14--0.0142800000000022</f>
        <v>679.90578800000003</v>
      </c>
      <c r="T365" s="3">
        <f>877.4+(453-627.6)+(-1.789896+(-0.92412--1.280304))+0-14--0.0285599999999994</f>
        <v>687.39484799999991</v>
      </c>
      <c r="U365" s="3">
        <f>877.5+(450.2-627.8)+(-1.342575+(-0.688806--0.960534))+0-14--0.0214200000000008</f>
        <v>684.85057300000017</v>
      </c>
      <c r="V365" s="3">
        <f>886.2+(462.9-638.7)+(1.807848+(0.944316-1.302948))+0-14-0.0285599999999994</f>
        <v>697.82065599999999</v>
      </c>
      <c r="W365" s="3">
        <f>878+(469.1-615.4)+(-1.79112+(-0.956964--1.255416))+0-14--0.0285599999999994</f>
        <v>716.23589200000004</v>
      </c>
      <c r="X365" s="3">
        <f>989.1+(454.2-598.4)+(1.008882+(0.463284-0.610368))+0-14-0.0142800000000022</f>
        <v>831.74751800000013</v>
      </c>
      <c r="Y365" s="3">
        <f>1110.7+(480-671.4)+(-1.699371+(-0.7344--1.027242))+0-14--0.0214200000000008</f>
        <v>903.91489100000013</v>
      </c>
      <c r="Z365" s="3">
        <f>1125.6+(500-704.9)+(1.148112+(0.51-0.718998))+0-14-0.0142800000000022</f>
        <v>907.62483399999996</v>
      </c>
      <c r="AA365" s="3">
        <f>1129.3+(526.7-751.8)+(1.151886+(0.537234-0.766836))+0-14-0.0142800000000022</f>
        <v>891.10800400000005</v>
      </c>
      <c r="AB365" s="3">
        <f>1127+(470.5-716.1)+(-1.72431+(-0.719865--1.095633))+0-14--0.0214200000000008</f>
        <v>866.07287800000006</v>
      </c>
      <c r="AC365" s="3">
        <f>1128.8+(389.7-693)+(-1.151376+(-0.397494--0.70686))+0-14--0.0142800000000022</f>
        <v>810.67227000000003</v>
      </c>
      <c r="AD365" s="2">
        <v>918.3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680.09130399999992</v>
      </c>
      <c r="G366" s="1">
        <v>651.04054399999995</v>
      </c>
      <c r="H366" s="1">
        <v>612.28043400000001</v>
      </c>
      <c r="I366" s="1">
        <v>605.13438399999984</v>
      </c>
      <c r="J366" s="1">
        <v>631.52905199999998</v>
      </c>
      <c r="K366" s="1">
        <v>616.77813900000012</v>
      </c>
      <c r="L366" s="1">
        <v>610.16270400000008</v>
      </c>
      <c r="M366" s="1">
        <v>645.10000000000014</v>
      </c>
      <c r="N366" s="1">
        <v>695.6</v>
      </c>
      <c r="O366" s="1">
        <v>737.10000000000014</v>
      </c>
      <c r="P366" s="1">
        <v>765.90000000000009</v>
      </c>
      <c r="Q366" s="1">
        <v>742.28346899999985</v>
      </c>
      <c r="R366" s="1">
        <v>707.49595199999976</v>
      </c>
      <c r="S366" s="1">
        <v>679.88362799999993</v>
      </c>
      <c r="T366" s="1">
        <v>676.13820499999997</v>
      </c>
      <c r="U366" s="1">
        <v>649.20705499999985</v>
      </c>
      <c r="V366" s="1">
        <v>648.58622200000013</v>
      </c>
      <c r="W366" s="1">
        <v>682.13481400000001</v>
      </c>
      <c r="X366" s="1">
        <v>761.30490300000008</v>
      </c>
      <c r="Y366" s="1">
        <v>868.04992499999992</v>
      </c>
      <c r="Z366" s="1">
        <v>848.19578000000001</v>
      </c>
      <c r="AA366" s="1">
        <v>829.64321000000007</v>
      </c>
      <c r="AB366" s="1">
        <v>803.51002000000005</v>
      </c>
      <c r="AC366" s="1">
        <v>765.50552899999991</v>
      </c>
      <c r="AD366" s="1">
        <v>855.60000000000014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1781.7+(793.2-152.6)+(-1.817334+(-0.809064--0.155652))+0-827--0.843540000000132</f>
        <v>1593.6727940000003</v>
      </c>
      <c r="G1" s="3">
        <f>1744.1+(622.2-158.4)+(-3.557964+(-1.269288--0.323136))+0-737--1.50347999999997</f>
        <v>1467.8993640000001</v>
      </c>
      <c r="H1" s="3">
        <f>1695.1+(644.2-123.7)+(-4.322505+(-1.64271--0.315435))+0-817.1--2.08360499999988</f>
        <v>1394.9338249999996</v>
      </c>
      <c r="I1" s="3">
        <f>1695.7+(570.2-136.9)+(-2.594421+(-0.872406--0.209457))+0-777.4--1.18942200000004</f>
        <v>1349.5320520000002</v>
      </c>
      <c r="J1" s="3">
        <f>1696.8+(582.1-126.1)+(-0.865368+(-0.296871--0.064311))+0-809.6--0.412895999999918</f>
        <v>1342.514968</v>
      </c>
      <c r="K1" s="3">
        <f>1698.6+(554.1-143)+(0+(0-0))+0-773.7-0</f>
        <v>1335.9999999999998</v>
      </c>
      <c r="L1" s="3">
        <f>1701.1+(535.9-173.1)+(-0.867561+(-0.273309--0.088281))+0-770.5--0.392954999999922</f>
        <v>1292.7403659999998</v>
      </c>
      <c r="M1" s="3">
        <f>1714.1+(544.9-213.7)+(0+(0-0))+0-695.7-0</f>
        <v>1349.6</v>
      </c>
      <c r="N1" s="3">
        <f>1778.1+(514.8-177.7)+(-1.813662+(-0.525096--0.181254))+0-703.5--0.717570000000112</f>
        <v>1410.2600660000001</v>
      </c>
      <c r="O1" s="3">
        <f>1770.2+(533.5-183.7)+(-2.708406+(-0.816255--0.281061))+0-764.9--1.17029700000004</f>
        <v>1353.0266970000002</v>
      </c>
      <c r="P1" s="3">
        <f>1706.4+(541-175.1)+(-2.610792+(-0.82773--0.267903))+0-758.4--1.16035200000004</f>
        <v>1311.8897330000002</v>
      </c>
      <c r="Q1" s="3">
        <f>1675.2+(439.7-124.4)+(-0.854352+(-0.224247--0.063444))+0-716.1--0.365210999999927</f>
        <v>1273.7500559999999</v>
      </c>
      <c r="R1" s="3">
        <f>1685.1+(363.4-150.1)+(0+(0-0))+0-637.5-0</f>
        <v>1260.8999999999999</v>
      </c>
      <c r="S1" s="3">
        <f>1565+(494.6-113.6)+(0.79815+(0.252246-0.057936))+0-735.2-0.374951999999925</f>
        <v>1211.417508</v>
      </c>
      <c r="T1" s="3">
        <f>1563.4+(376-114.9)+(-3.98667+(-0.9588--0.292995))+0-646--1.64729999999991</f>
        <v>1175.4948249999998</v>
      </c>
      <c r="U1" s="3">
        <f>1563.3+(467-113.7)+(-2.391849+(-0.71451--0.173961))+0-730.6--1.11781800000004</f>
        <v>1184.18542</v>
      </c>
      <c r="V1" s="3">
        <f>1560.3+(355.8-118.6)+(-2.387259+(-0.544374--0.181458))+0-609.2--0.932076000000035</f>
        <v>1186.4819010000001</v>
      </c>
      <c r="W1" s="3">
        <f>1573.2+(448.3-127.9)+(-1.604664+(-0.457266--0.130458))+0-637.2--0.649944000000102</f>
        <v>1255.1184719999999</v>
      </c>
      <c r="X1" s="3">
        <f>1603+(862.5-270.2)+(-1.63506+(-0.87975--0.275604))+0-708.2--0.722364000000113</f>
        <v>1485.5831580000001</v>
      </c>
      <c r="Y1" s="3">
        <f>1661.5+(930.9-356.6)+(-1.69473+(-0.949518--0.363732))+0-628.3--0.6408660000001</f>
        <v>1605.8603500000006</v>
      </c>
      <c r="Z1" s="3">
        <f>1666.4+(1098.6-353.2)+(-2.549592+(-1.680858--0.540396))+0-808.9--1.23761700000005</f>
        <v>1600.4475629999999</v>
      </c>
      <c r="AA1" s="3">
        <f>1664.3+(1082.5-463.5)+(-2.546379+(-1.656225--0.709155))+0-723.1--1.10634300000004</f>
        <v>1557.8128940000004</v>
      </c>
      <c r="AB1" s="3">
        <f>1662.1+(1158-604.2)+(-2.543013+(-1.77174--0.924426))+0-674.9--1.03259700000004</f>
        <v>1538.6422699999996</v>
      </c>
      <c r="AC1" s="3">
        <f>1665.3+(1030.8-447.5)+(-5.945121+(-3.679956--1.597575))+0-788.7--2.81565900000001</f>
        <v>1454.688157</v>
      </c>
      <c r="AD1" s="2">
        <v>1593.4000000000003</v>
      </c>
      <c r="AE1" s="3">
        <f>1656+(1083.3-356.6)+(0+(0-0))+0-789.3-0</f>
        <v>1593.3999999999999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1382.3440785</v>
      </c>
      <c r="G2" s="3">
        <f>1506+(650-43)+(0+(0-0))+0-803-0</f>
        <v>1310</v>
      </c>
      <c r="H2" s="3">
        <f>1499+(681.2-39.1)+(-2.29347+(-1.042236--0.059823))+0-807.1--1.23486300000005</f>
        <v>1331.9589800000003</v>
      </c>
      <c r="I2" s="3">
        <f>1476.7+(624.2-46.3)+(-2.259351+(-0.955026--0.070839))+0-800.6--1.22491800000005</f>
        <v>1252.0813800000008</v>
      </c>
      <c r="J2" s="3">
        <f>1478+(579.4-47.3)+(-2.26134+(-0.886482--0.072369))+0-805.1--1.23180300000005</f>
        <v>1203.1563500000002</v>
      </c>
      <c r="K2" s="3">
        <f>1479+(538.8-54.2)+(2.26287+(0.824364-0.082926))+0-754.1-1.15377300000004</f>
        <v>1211.350535</v>
      </c>
      <c r="L2" s="3">
        <f>1479.3+(578.2-52.8)+(-2.263329+(-0.884646--0.080784))+0-745.1--1.14000300000004</f>
        <v>1257.6728119999998</v>
      </c>
      <c r="M2" s="3">
        <f>1480.5+(617-149.1)+(0.755055+(0.31467-0.076041))+0-752.7-0.383876999999924</f>
        <v>1196.3098070000001</v>
      </c>
      <c r="N2" s="3">
        <f>1479+(599.9-109.6)+(0.75429+(0.305949-0.055896))+0-738.4-0.376583999999925</f>
        <v>1231.5277590000003</v>
      </c>
      <c r="O2" s="3">
        <f>1480.3+(742.2-150.4)+(0.754953+(0.378522-0.076704))+0-759.1-0.387140999999923</f>
        <v>1313.6696300000001</v>
      </c>
      <c r="P2" s="3">
        <f>1550.6+(769.4-139.8)+(0+(0-0))+0-810.1-0</f>
        <v>1370.1</v>
      </c>
      <c r="Q2" s="3">
        <f>1782.5+(328.2-213.2)+(-1.81815+(-0.334764--0.217464))+0-554.5--0.565590000000088</f>
        <v>1341.6301400000002</v>
      </c>
      <c r="R2" s="3">
        <f>1822.3+(410.9-247.4)+(0+(0-0))+0-601.8-0</f>
        <v>1384</v>
      </c>
      <c r="S2" s="3">
        <f>1824+(588.4-446.4)+(0+(0-0))+0-627.8-0</f>
        <v>1338.2</v>
      </c>
      <c r="T2" s="3">
        <f>1813+(630.6-423.1)+(-1.84926+(-0.643212--0.431562))+0-716.5--0.730830000000114</f>
        <v>1302.6699200000003</v>
      </c>
      <c r="U2" s="3">
        <f>1813.1+(543.4-385.1)+(-3.698724+(-1.108536--0.785604))+0-689.8--1.40719199999997</f>
        <v>1278.9855359999999</v>
      </c>
      <c r="V2" s="3">
        <f>1808.5+(454.2-232.3)+(1.84467+(0.463284-0.236946))+0-738-0.752760000000118</f>
        <v>1293.7182479999999</v>
      </c>
      <c r="W2" s="3">
        <f>1815.4+(409-266.8)+(-1.851708+(-0.41718--0.272136))+0-606.5--0.618630000000097</f>
        <v>1349.7218780000003</v>
      </c>
      <c r="X2" s="3">
        <f>1750.6+(540.5-252.8)+(-1.785612+(-0.55131--0.257856))+0-634.8--0.647496000000101</f>
        <v>1402.06843</v>
      </c>
      <c r="Y2" s="3">
        <f>1669.8+(875.4-187.1)+(0+(0-0))+0-764.5-0</f>
        <v>1593.6</v>
      </c>
      <c r="Z2" s="3">
        <f>1664.9+(1000.1-390.3)+(-2.547297+(-1.530153--0.597159))+0-609.6--0.932688000000035</f>
        <v>1662.5523970000002</v>
      </c>
      <c r="AA2" s="3">
        <f>1667.1+(1008.4-432.4)+(-1.700442+(-1.028568--0.441048))+0-598.7--0.610674000000096</f>
        <v>1642.722712</v>
      </c>
      <c r="AB2" s="3">
        <f>1671.4+(993.5-686.8)+(1.704828+(1.01337-0.700536))+0-371.1-0.378522000000059</f>
        <v>1608.6391400000002</v>
      </c>
      <c r="AC2" s="3">
        <f>1673.3+(1104.4-660)+(-0.853383+(-0.563244--0.3366))+0-547.5--0.279224999999944</f>
        <v>1569.3991979999998</v>
      </c>
      <c r="AD2" s="2">
        <v>1610.1000000000001</v>
      </c>
      <c r="AE2" s="3">
        <f>1656+(1062.9-388.5)+(0+(0-0))+0-720.3-0</f>
        <v>1610.1000000000001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1667.8+(1022.5-536.4)+(-2.551734+(-1.564425--0.820692))+0-660.8--1.01102400000004</f>
        <v>1490.8155570000004</v>
      </c>
      <c r="G3" s="3">
        <f>1615+(810.5-293.8)+(-0.82365+(-0.413355--0.149838))+0-745.2--0.380051999999924</f>
        <v>1385.7928849999996</v>
      </c>
      <c r="H3" s="3">
        <f>1453.7+(591.4-104.1)+(-0.741387+(-0.301614--0.053091))+0-647.6--0.330275999999934</f>
        <v>1292.7403659999998</v>
      </c>
      <c r="I3" s="3">
        <f>1450.6+(675.8-51.1)+(2.959224+(1.378632-0.104244))+0-814.4-1.66137599999996</f>
        <v>1263.4722359999996</v>
      </c>
      <c r="J3" s="3">
        <f>1453.4+(565.8-85.7)+(0+(0-0))+0-682.8-0</f>
        <v>1250.7</v>
      </c>
      <c r="K3" s="3">
        <f>1455.7+(702.5-73.2)+(0.742407+(0.358275-0.037332))+0-840.3-0.428552999999915</f>
        <v>1245.334797</v>
      </c>
      <c r="L3" s="3">
        <f>1458.2+(636.6-76.6)+(0.743682+(0.324666-0.039066))+0-757.6-0.386375999999923</f>
        <v>1261.2429059999999</v>
      </c>
      <c r="M3" s="3">
        <f>1431.7+(550.4-149.5)+(-2.920668+(-1.122816--0.30498))+0-628.9--1.28295599999997</f>
        <v>1201.2444519999999</v>
      </c>
      <c r="N3" s="3">
        <f>1370.2+(693.1-69.7)+(-0.698802+(-0.353481--0.035547))+0-731.1--0.372860999999926</f>
        <v>1261.8561249999998</v>
      </c>
      <c r="O3" s="3">
        <f>1431.3+(686.6-94.1)+(0.729963+(0.350166-0.047991))+0-665.4-0.339353999999932</f>
        <v>1359.0927840000002</v>
      </c>
      <c r="P3" s="3">
        <f>1522.4+(652.5-121.4)+(-0.776424+(-0.332775--0.061914))+0-664--0.338639999999933</f>
        <v>1388.7913549999998</v>
      </c>
      <c r="Q3" s="3">
        <f>1633.2+(716-157)+(0+(0-0))+0-760.5-0</f>
        <v>1431.6999999999998</v>
      </c>
      <c r="R3" s="3">
        <f>1729.5+(519.8-194.8)+(-4.410225+(-1.32549--0.49674))+0-627.8--1.60088999999991</f>
        <v>1423.0619149999998</v>
      </c>
      <c r="S3" s="3">
        <f>1673+(661.7-200.1)+(1.70646+(0.674934-0.204102))+0-788-0.803760000000126</f>
        <v>1347.9735319999995</v>
      </c>
      <c r="T3" s="3">
        <f>1684.4+(547.3-237.7)+(-1.718088+(-0.558246--0.242454))+0-660.4--0.673608000000105</f>
        <v>1332.239728</v>
      </c>
      <c r="U3" s="3">
        <f>1676+(567.6-233.2)+(-3.41904+(-1.157904--0.475728))+0-690.6--1.40882399999997</f>
        <v>1317.107608</v>
      </c>
      <c r="V3" s="3">
        <f>1676.4+(509.9-288.9)+(0+(0-0))+0-568.9-0</f>
        <v>1328.5</v>
      </c>
      <c r="W3" s="3">
        <f>1676.8+(503.6-252.2)+(0.855168+(0.256836-0.128622))+0-652-0.332519999999934</f>
        <v>1276.850862</v>
      </c>
      <c r="X3" s="3">
        <f>1677.5+(525.2-254.2)+(-2.566575+(-0.803556--0.388926))+0-567.6--0.868428000000033</f>
        <v>1378.787223</v>
      </c>
      <c r="Y3" s="3">
        <f>1737.4+(671.6-413.8)+(0+(0-0))+0-425.5-0</f>
        <v>1569.7</v>
      </c>
      <c r="Z3" s="3">
        <f>1846.7+(698.4-500.7)+(-5.650902+(-2.137104--1.532142))+0-383.3--1.17289800000004</f>
        <v>1656.0170340000002</v>
      </c>
      <c r="AA3" s="3">
        <f>1834.7+(635.1-616.4)+(-0.935697+(-0.323901--0.314364))+0-226.7--0.115616999999977</f>
        <v>1625.8703829999999</v>
      </c>
      <c r="AB3" s="3">
        <f>1803.9+(796.1-628)+(-1.839978+(-0.812022--0.64056))+0-360.3--0.367506000000057</f>
        <v>1610.0560660000001</v>
      </c>
      <c r="AC3" s="3">
        <f>1753.8+(992.1-545.5)+(-2.683314+(-1.517913--0.834615))+0-596.8--0.913104000000034</f>
        <v>1601.1464920000003</v>
      </c>
      <c r="AD3" s="2">
        <v>1672.6000000000001</v>
      </c>
      <c r="AE3" s="3">
        <f>1844+(714.8-499)+(0+(0-0))+0-387.2-0</f>
        <v>1672.6000000000001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1777.9+(884.1-360.6)+(-1.813458+(-0.901782--0.367812))+0-781--0.796620000000125</f>
        <v>1518.8491920000001</v>
      </c>
      <c r="G4" s="3">
        <f>1759.6+(726.4-261.2)+(-2.692188+(-1.111392--0.399636))+0-809.7--1.23884100000005</f>
        <v>1412.9348969999996</v>
      </c>
      <c r="H4" s="3">
        <f>1548.6+(713.5-173.7)+(-0.789786+(-0.363885--0.088587))+0-738.6--0.376685999999925</f>
        <v>1349.1116019999997</v>
      </c>
      <c r="I4" s="3">
        <f>1508.8+(729.4-108.2)+(0+(0-0))+0-825.4-0</f>
        <v>1304.5999999999999</v>
      </c>
      <c r="J4" s="3">
        <f>1499.2+(648.2-112.2)+(-2.293776+(-0.991746--0.171666))+0-746.5--1.14214500000004</f>
        <v>1286.7282890000001</v>
      </c>
      <c r="K4" s="3">
        <f>1465.9+(729.2-111.6)+(-0.747609+(-0.371892--0.056916))+0-791.7--0.40376699999992</f>
        <v>1291.1411819999998</v>
      </c>
      <c r="L4" s="3">
        <f>1461.5+(661.2-99.9)+(-2.98146+(-1.348848--0.203796))+0-751.2--1.53244799999997</f>
        <v>1269.005936</v>
      </c>
      <c r="M4" s="3">
        <f>1463.9+(504-147.5)+(-4.479534+(-1.54224--0.45135))+0-618--1.89108000000007</f>
        <v>1198.7206560000002</v>
      </c>
      <c r="N4" s="3">
        <f>1464.1+(526.6-130.2)+(1.493382+(0.537132-0.132804))+0-604.9-0.616998000000096</f>
        <v>1256.8807119999999</v>
      </c>
      <c r="O4" s="3">
        <f>1702.4+(463-229.6)+(0.868224+(0.23613-0.117096))+0-632.7-0.322676999999936</f>
        <v>1303.7645810000004</v>
      </c>
      <c r="P4" s="3">
        <f>1853.7+(600.6-293.4)+(1.890774+(0.612612-0.299268))+0-734.3-0.748986000000117</f>
        <v>1428.0551320000002</v>
      </c>
      <c r="Q4" s="3">
        <f>1844.3+(599.4-370.1)+(0+(0-0))+0-619-0</f>
        <v>1454.6</v>
      </c>
      <c r="R4" s="3">
        <f>1846.2+(593.9-285)+(-4.70781+(-1.514445--0.72675))+0-770.8--1.96553999999989</f>
        <v>1380.770035</v>
      </c>
      <c r="S4" s="3">
        <f>1797.2+(533.5-324.1)+(-3.666288+(-1.08834--0.661164))+0-562.1--1.14668399999998</f>
        <v>1441.55322</v>
      </c>
      <c r="T4" s="3">
        <f>1738.3+(542.7-210.5)+(-1.773066+(-0.553554--0.21471))+0-691.5--0.70533000000011</f>
        <v>1377.5934199999999</v>
      </c>
      <c r="U4" s="3">
        <f>1689+(561.4-184.7)+(-2.58417+(-0.858942--0.282591))+0-689.6--1.05508800000004</f>
        <v>1373.9945670000002</v>
      </c>
      <c r="V4" s="3">
        <f>1678.6+(593-188.9)+(0.856086+(0.30243-0.096339))+0-774.1-0.394790999999922</f>
        <v>1309.2673859999998</v>
      </c>
      <c r="W4" s="3">
        <f>1677.7+(536.4-314.3)+(3.422508+(1.094256-0.641172))+0-508.2-1.03672799999998</f>
        <v>1394.438864</v>
      </c>
      <c r="X4" s="3">
        <f>1724.1+(548.6-321.4)+(-0.879291+(-0.279786--0.163914))+0-556.3--0.283712999999944</f>
        <v>1394.28855</v>
      </c>
      <c r="Y4" s="3">
        <f>1864.3+(531.2-401.2)+(0+(0-0))+0-404.9-0</f>
        <v>1589.4</v>
      </c>
      <c r="Z4" s="3">
        <f>1961.1+(762.5-703.3)+(-5.000805+(-1.944375--1.793415))+0-335.8--0.856289999999951</f>
        <v>1680.2045249999999</v>
      </c>
      <c r="AA4" s="3">
        <f>1963.5+(945.3-912.8)+(-4.00554+(-1.928412--1.862112))+0-324.4--0.661775999999986</f>
        <v>1668.1899359999998</v>
      </c>
      <c r="AB4" s="3">
        <f>1936.6+(897.2-838.4)+(0+(0-0))+0-361.8-0</f>
        <v>1633.6000000000001</v>
      </c>
      <c r="AC4" s="3">
        <f>1853.5+(916.7-488.6)+(0.945285+(0.467517-0.249186))+0-667.4-0.340373999999932</f>
        <v>1615.0232419999998</v>
      </c>
      <c r="AD4" s="2">
        <v>1719.8</v>
      </c>
      <c r="AE4" s="3">
        <f>1966+(856.9-712.9)+(0+(0-0))+0-390.2-0</f>
        <v>1719.8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1844+(710.6-356.9)+(-4.7022+(-1.81203--0.910095))+0-662.5--1.6893749999999</f>
        <v>1531.2852399999997</v>
      </c>
      <c r="G5" s="3">
        <f>1639.8+(504.7-384.7)+(-3.345192+(-1.029588--0.784788))+0-413.2--0.842927999999982</f>
        <v>1343.852936</v>
      </c>
      <c r="H5" s="3">
        <f>1568.8+(674.8-199.5)+(0.800088+(0.344148-0.101745))+0-785.2-0.40045199999992</f>
        <v>1259.5420389999999</v>
      </c>
      <c r="I5" s="3">
        <f>1569.6+(487.2-195.5)+(-4.802976+(-1.490832--0.59823))+0-626.3--1.91647800000007</f>
        <v>1231.2209</v>
      </c>
      <c r="J5" s="3">
        <f>1490.2+(646.8-153.4)+(-1.520004+(-0.659736--0.156468))+0-778.9--0.794478000000124</f>
        <v>1203.4712059999999</v>
      </c>
      <c r="K5" s="3">
        <f>1488.7+(628.3-158.3)+(1.518474+(0.640866-0.161466))+0-756-0.771120000000121</f>
        <v>1203.9267539999998</v>
      </c>
      <c r="L5" s="3">
        <f>1490.1+(553.7-189.7)+(-2.279853+(-0.847161--0.290241))+0-633.1--0.968643000000037</f>
        <v>1219.1318699999999</v>
      </c>
      <c r="M5" s="3">
        <f>1489.6+(638.2-225.3)+(-0.759696+(-0.325482--0.114903))+0-719.8--0.367097999999927</f>
        <v>1182.0968230000001</v>
      </c>
      <c r="N5" s="3">
        <f>1486.4+(666.9-287.1)+(0.758064+(0.340119-0.146421))+0-612.9-0.312578999999938</f>
        <v>1253.939183</v>
      </c>
      <c r="O5" s="3">
        <f>1777.1+(761.5-305)+(0.906321+(0.388365-0.15555))+0-763.9-0.389588999999922</f>
        <v>1470.4495469999997</v>
      </c>
      <c r="P5" s="3">
        <f>1846.2+(747.6-347.1)+(0+(0-0))+0-615.8-0</f>
        <v>1630.8999999999999</v>
      </c>
      <c r="Q5" s="3">
        <f>1850.2+(915.6-398.7)+(0.943602+(0.466956-0.203337))+0-674.5-0.343994999999932</f>
        <v>1693.4632260000005</v>
      </c>
      <c r="R5" s="3">
        <f>1863.9+(844.7-400.1)+(-3.802356+(-1.723188--0.816204))+0-674.6--1.37618399999997</f>
        <v>1630.5668440000002</v>
      </c>
      <c r="S5" s="3">
        <f>1891.7+(616.5-339.9)+(-2.894301+(-0.943245--0.520047))+0-577.1--0.882963000000033</f>
        <v>1588.7654640000001</v>
      </c>
      <c r="T5" s="3">
        <f>1886+(614.1-340.7)+(-0.96186+(-0.313191--0.173757))+0-594.5--0.30319499999994</f>
        <v>1564.101901</v>
      </c>
      <c r="U5" s="3">
        <f>1872.2+(601.6-282.9)+(-4.77411+(-1.53408--0.721395))+0-693.9--1.7694449999999</f>
        <v>1493.1826499999997</v>
      </c>
      <c r="V5" s="3">
        <f>1754.2+(658.2-322.2)+(0+(0-0))+0-598.2-0</f>
        <v>1492.0000000000002</v>
      </c>
      <c r="W5" s="3">
        <f>1739.6+(754.3-348.1)+(0.887196+(0.384693-0.177531))+0-643.5-0.328184999999935</f>
        <v>1503.0661729999997</v>
      </c>
      <c r="X5" s="3">
        <f>1741.3+(866.8-311.5)+(0+(0-0))+0-721.3-0</f>
        <v>1575.3</v>
      </c>
      <c r="Y5" s="3">
        <f>1911.9+(987.9-526.8)+(1.950138+(1.007658-0.537336))+0-608.3-0.620466000000097</f>
        <v>1766.4999939999998</v>
      </c>
      <c r="Z5" s="3">
        <f>2154.8+(1119.6-824.7)+(-2.197896+(-1.141992--0.841194))+0-569.3--0.580686000000091</f>
        <v>1878.481992</v>
      </c>
      <c r="AA5" s="3">
        <f>2087.1+(1025.2-655.9)+(-3.193263+(-1.568556--1.003527))+0-647.3--0.990369000000037</f>
        <v>1806.3320770000003</v>
      </c>
      <c r="AB5" s="3">
        <f>2170.1+(956.3-763.4)+(1.106751+(0.487713-0.389334))+0-591.8-0.30181799999994</f>
        <v>1772.103312</v>
      </c>
      <c r="AC5" s="3">
        <f>2038+(940.8-530.9)+(-4.15752+(-1.919232--1.083036))+0-716.6--1.46186399999997</f>
        <v>1727.7681480000001</v>
      </c>
      <c r="AD5" s="2">
        <v>1868.9</v>
      </c>
      <c r="AE5" s="3">
        <f>2207+(1138.6-921.8)+(0+(0-0))+0-554.9-0</f>
        <v>1868.9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1946+(916.2-564.7)+(-2.97738+(-1.401786--0.863991))+0-667.5--1.02127500000004</f>
        <v>1627.5061000000001</v>
      </c>
      <c r="G6" s="3">
        <f>1697.1+(848.6-319.7)+(-4.327605+(-2.16393--0.815235))+0-708.3--1.8061649999999</f>
        <v>1513.8298649999999</v>
      </c>
      <c r="H6" s="3">
        <f>1615.5+(648.8-247.9)+(-2.471715+(-0.992664--0.379287))+0-574.2--0.878526000000033</f>
        <v>1439.993434</v>
      </c>
      <c r="I6" s="3">
        <f>1618.4+(891.7-245.3)+(0+(0-0))+0-841.5-0</f>
        <v>1423.3000000000002</v>
      </c>
      <c r="J6" s="3">
        <f>1618.4+(675.2-231.8)+(0+(0-0))+0-671.8-0</f>
        <v>1390.0000000000002</v>
      </c>
      <c r="K6" s="3">
        <f>1616.1+(678.2-243.8)+(0.824211+(0.345882-0.124338))+0-642.9-0.327878999999935</f>
        <v>1408.3178760000001</v>
      </c>
      <c r="L6" s="3">
        <f>1698.9+(686.2-272.2)+(-0.866439+(-0.349962--0.138822))+0-648--0.330479999999934</f>
        <v>1464.1529010000002</v>
      </c>
      <c r="M6" s="3">
        <f>1771.2+(723.4-399)+(0+(0-0))+0-666.6-0</f>
        <v>1429</v>
      </c>
      <c r="N6" s="3">
        <f>1873.1+(646.7-377.6)+(0+(0-0))+0-635.8-0</f>
        <v>1506.3999999999999</v>
      </c>
      <c r="O6" s="3">
        <f>1887.8+(714.1-380.8)+(3.851112+(1.456764-0.776832))+0-550.5-1.12301999999998</f>
        <v>1674.0080239999998</v>
      </c>
      <c r="P6" s="3">
        <f>1888.7+(816.7-396.7)+(1.926474+(0.833034-0.404634))+0-625.2-0.6377040000001</f>
        <v>1685.2171700000001</v>
      </c>
      <c r="Q6" s="3">
        <f>1947.9+(818.2-366.4)+(-3.973716+(-1.669128--0.747456))+0-548.3--1.11853199999998</f>
        <v>1847.6231440000004</v>
      </c>
      <c r="R6" s="3">
        <f>1960.4+(857.5-387.9)+(-1.999608+(-0.87465--0.395658))+0-625.7--0.6382140000001</f>
        <v>1802.4596140000001</v>
      </c>
      <c r="S6" s="3">
        <f>1905+(614.2-331.6)+(-3.8862+(-1.252968--0.676464))+0-537.9--1.09731599999998</f>
        <v>1646.3346119999999</v>
      </c>
      <c r="T6" s="3">
        <f>1887.5+(731-347.3)+(0.962625+(0.37281-0.177123))+0-634.7-0.323696999999936</f>
        <v>1637.3346149999998</v>
      </c>
      <c r="U6" s="3">
        <f>1885.4+(577.1-400.9)+(-2.884662+(-0.882963--0.613377))+0-422.2--0.645966000000024</f>
        <v>1636.8917180000005</v>
      </c>
      <c r="V6" s="3">
        <f>1883.5+(720.6-423.1)+(-1.92117+(-0.735012--0.431562))+0-560.2--0.571404000000089</f>
        <v>1619.146784</v>
      </c>
      <c r="W6" s="3">
        <f>1885.8+(538.6-453.8)+(-6.732306+(-1.922802--1.620066))+0-350--1.2495</f>
        <v>1614.8144579999998</v>
      </c>
      <c r="X6" s="3">
        <f>1888.5+(500.2-431.6)+(-0.963135+(-0.255102--0.220116))+0-328.1--0.167330999999967</f>
        <v>1628.1692099999998</v>
      </c>
      <c r="Y6" s="3">
        <f>1945+(666.4-561)+(1.9839+(0.679728-0.57222))+0-239.5-0.244290000000038</f>
        <v>1812.7471179999998</v>
      </c>
      <c r="Z6" s="3">
        <f>2203.3+(1113.4-917.3)+(-3.371049+(-1.703502--1.403469))+0-370.7--0.567171000000021</f>
        <v>2025.5960890000006</v>
      </c>
      <c r="AA6" s="3">
        <f>2112.1+(1218.6-719.5)+(-2.154342+(-1.242972--0.73389))+0-676.1--0.689622000000108</f>
        <v>1933.1261980000002</v>
      </c>
      <c r="AB6" s="3">
        <f>2020.7+(1146-595.3)+(-1.030557+(-0.58446--0.303603))+0-708.1--0.361130999999928</f>
        <v>1862.3497170000003</v>
      </c>
      <c r="AC6" s="3">
        <f>1951.7+(894.3-334.9)+(0+(0-0))+0-700.2-0</f>
        <v>1810.8999999999999</v>
      </c>
      <c r="AD6" s="2">
        <v>1897.8999999999999</v>
      </c>
      <c r="AE6" s="3">
        <f>2199+(1139.2-1074.1)+(0+(0-0))+0-366.2-0</f>
        <v>1897.9000000000003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1904+(953.3-411.5)+(-1.94208+(-0.972366--0.41973))+0-760.7--0.775914000000121</f>
        <v>1683.381198</v>
      </c>
      <c r="G7" s="3">
        <f>1707.2+(974.7-407.7)+(-1.741344+(-0.994194--0.415854))+0-703.5--0.717570000000112</f>
        <v>1569.0978859999998</v>
      </c>
      <c r="H7" s="3">
        <f>1654.2+(852.9-286.8)+(-1.687284+(-0.869958--0.292536))+0-723.2--0.737664000000115</f>
        <v>1495.5729580000004</v>
      </c>
      <c r="I7" s="3">
        <f>1653.7+(736.5-200.7)+(0.843387+(0.375615-0.102357))+0-733.2-0.373931999999926</f>
        <v>1457.042713</v>
      </c>
      <c r="J7" s="3">
        <f>1653+(608.2-172.2)+(-1.68606+(-0.620364--0.175644))+0-659--0.672180000000105</f>
        <v>1428.5414000000001</v>
      </c>
      <c r="K7" s="3">
        <f>1651.2+(710.1-129.9)+(4.21056+(1.810755-0.331245))+0-805.4-2.05376999999988</f>
        <v>1429.6363000000001</v>
      </c>
      <c r="L7" s="3">
        <f>1656+(527.7-166.3)+(0.84456+(0.269127-0.084813))+0-590.6-0.30120599999994</f>
        <v>1427.5276680000004</v>
      </c>
      <c r="M7" s="3">
        <f>1654.1+(529.7-160.3)+(0+(0-0))+0-589.7-0</f>
        <v>1433.8</v>
      </c>
      <c r="N7" s="3">
        <f>1785.7+(515.2-163.1)+(-2.732121+(-0.788256--0.249543))+0-561.2--0.858636000000032</f>
        <v>1574.1878020000001</v>
      </c>
      <c r="O7" s="3">
        <f>1892.8+(550.1-180.3)+(-1.930656+(-0.561102--0.183906))+0-549.6--0.560592000000088</f>
        <v>1711.2527400000001</v>
      </c>
      <c r="P7" s="3">
        <f>1886.6+(757.3-303.8)+(1.924332+(0.772446-0.309876))+0-597.9-0.609858000000095</f>
        <v>1743.977044</v>
      </c>
      <c r="Q7" s="3">
        <f>1881.1+(972.3-455.5)+(-3.837444+(-1.983492--0.92922))+0-529--1.07915999999998</f>
        <v>1865.0874439999996</v>
      </c>
      <c r="R7" s="3">
        <f>1851+(1011.3-408.7)+(-2.83203+(-1.547289--0.625311))+0-620.5--0.949365000000036</f>
        <v>1830.295357</v>
      </c>
      <c r="S7" s="3">
        <f>1771.8+(929.2-457.2)+(-3.614472+(-1.895568--0.932688))+0-578.8--1.18075199999997</f>
        <v>1661.6034000000004</v>
      </c>
      <c r="T7" s="3">
        <f>1726.7+(892.7-457.5)+(-3.522468+(-1.821108--0.9333))+0-504.6--1.02938399999998</f>
        <v>1653.9191080000001</v>
      </c>
      <c r="U7" s="3">
        <f>1723.1+(705.7-346.6)+(0+(0-0))+0-434.9-0</f>
        <v>1647.2999999999997</v>
      </c>
      <c r="V7" s="3">
        <f>1725.9+(691-364.6)+(-2.640627+(-1.05723--0.557838))+0-399.1--0.610623000000023</f>
        <v>1650.6706040000004</v>
      </c>
      <c r="W7" s="3">
        <f>1749.3+(709.4-266.4)+(1.784286+(0.723588-0.271728))+0-530.7-0.541314000000085</f>
        <v>1663.2948320000003</v>
      </c>
      <c r="X7" s="3">
        <f>1853.3+(781.1-326.6)+(-4.725915+(-1.991805--0.83283))+0-605.9--1.54504499999991</f>
        <v>1697.5601550000001</v>
      </c>
      <c r="Y7" s="3">
        <f>2134.1+(1040.8-717.8)+(1.088391+(0.530808-0.366078))+0-492.8-0.25132799999995</f>
        <v>1965.3017930000001</v>
      </c>
      <c r="Z7" s="3">
        <f>2217.1+(1293.1-944.3)+(-2.261442+(-1.318962--0.963186))+0-506--0.516120000000081</f>
        <v>2057.798902</v>
      </c>
      <c r="AA7" s="3">
        <f>2196.7+(1250.4-909.3)+(-5.601585+(-3.18852--2.318715))+0-557.3--1.42111499999992</f>
        <v>1975.4497249999999</v>
      </c>
      <c r="AB7" s="3">
        <f>2104.2+(1142-781.7)+(-5.36571+(-2.9121--1.993335))+0-562.7--1.43488499999992</f>
        <v>1896.9504099999999</v>
      </c>
      <c r="AC7" s="3">
        <f>1879+(1448-619.9)+(1.91658+(1.47696-0.632298))+0-749.1-0.76408200000012</f>
        <v>1959.9971599999999</v>
      </c>
      <c r="AD7" s="2">
        <v>1895.6000000000001</v>
      </c>
      <c r="AE7" s="3">
        <f>2192+(1355.6-1025.3)+(0+(0-0))+0-626.7-0</f>
        <v>1895.6000000000001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1701.6+(1199.1-466.9)+(-3.471264+(-2.446164--0.952476))+0-651.1--1.32824399999997</f>
        <v>1779.063292</v>
      </c>
      <c r="G8" s="3">
        <f>1541+(1026.9-252.9)+(-3.14364+(-2.094876--0.515916))+0-775.6--1.58222399999997</f>
        <v>1536.259624</v>
      </c>
      <c r="H8" s="3">
        <f>1377.1+(861.6-172.6)+(2.809284+(1.757664-0.352104))+0-570.1-1.16300399999998</f>
        <v>1499.0518400000001</v>
      </c>
      <c r="I8" s="3">
        <f>1376+(894.3-73.4)+(1.40352+(0.912186-0.074868))+0-755.9-0.771018000000121</f>
        <v>1442.46982</v>
      </c>
      <c r="J8" s="3">
        <f>1378+(774.7-31.4)+(-3.5139+(-1.975485--0.08007))+0-696.8--1.7768399999999</f>
        <v>1420.8675250000003</v>
      </c>
      <c r="K8" s="3">
        <f>1375.7+(860.8-24.7)+(-1.403214+(-0.878016--0.025194))+0-781.9--0.797538000000125</f>
        <v>1428.4415019999999</v>
      </c>
      <c r="L8" s="3">
        <f>1377.4+(715-51.1)+(3.51237+(1.82325-0.130305))+0-594.2-1.51520999999991</f>
        <v>1450.7901050000003</v>
      </c>
      <c r="M8" s="3">
        <f>1468+(615.8-97)+(-2.24604+(-0.942174--0.14841))+0-544.5--0.833085000000031</f>
        <v>1440.0932809999999</v>
      </c>
      <c r="N8" s="3">
        <f>1644.8+(589.9-98)+(1.677696+(0.601698-0.09996))+0-520.9-0.531318000000083</f>
        <v>1617.4481159999998</v>
      </c>
      <c r="O8" s="3">
        <f>1775.2+(748.6-126.7)+(1.810704+(0.763572-0.129234))+0-644.5-0.657390000000103</f>
        <v>1754.3876519999997</v>
      </c>
      <c r="P8" s="3">
        <f>1765.9+(758.8-160.7)+(1.801218+(0.773976-0.163914))+0-539.9-0.550698000000086</f>
        <v>1825.9605819999997</v>
      </c>
      <c r="Q8" s="3">
        <f>1761.8+(837.9-261.6)+(0.898518+(0.427329-0.133416))+0-470.3-0.239852999999952</f>
        <v>1868.7525779999999</v>
      </c>
      <c r="R8" s="3">
        <f>1750.4+(871.3-321.6)+(0+(0-0))+0-459.4-0</f>
        <v>1840.6999999999998</v>
      </c>
      <c r="S8" s="3">
        <f>1737+(723.4-331)+(-3.54348+(-1.475736--0.67524))+0-458.6--0.93554399999998</f>
        <v>1667.391568</v>
      </c>
      <c r="T8" s="3">
        <f>1734.6+(670.8-200.4)+(-2.653938+(-1.026324--0.306612))+0-536.3--0.820539000000031</f>
        <v>1666.1468890000001</v>
      </c>
      <c r="U8" s="3">
        <f>1724.6+(592.8-177)+(-1.759092+(-0.604656--0.18054))+0-452.8--0.461856000000072</f>
        <v>1685.8786479999999</v>
      </c>
      <c r="V8" s="3">
        <f>1731.3+(634.1-176.4)+(-2.648889+(-0.970173--0.269892))+0-498.3--0.762399000000029</f>
        <v>1688.113229</v>
      </c>
      <c r="W8" s="3">
        <f>1740.9+(689.7-178.3)+(-1.775718+(-0.703494--0.181866))+0-546.2--0.557124000000087</f>
        <v>1704.3597780000005</v>
      </c>
      <c r="X8" s="3">
        <f>1749.6+(828.1-260.3)+(0.892296+(0.422331-0.132753))+0-540.7-0.275756999999945</f>
        <v>1777.6061169999996</v>
      </c>
      <c r="Y8" s="3">
        <f>1755.9+(1271.5-527.2)+(1.791018+(1.29693-0.537744))+0-561.5-0.57273000000009</f>
        <v>1940.6774739999998</v>
      </c>
      <c r="Z8" s="3">
        <f>1762.1+(1516.5-649.7)+(-2.696013+(-2.320245--0.994041))+0-641.8--0.981954000000037</f>
        <v>1984.0597369999996</v>
      </c>
      <c r="AA8" s="3">
        <f>1772.3+(1293.8-541.5)+(-0.903873+(-0.659838--0.276165))+0-626.7--0.319616999999936</f>
        <v>1896.9320709999997</v>
      </c>
      <c r="AB8" s="3">
        <f>1774.7+(1166.6-371.6)+(0+(0-0))+0-726.3-0</f>
        <v>1843.3999999999999</v>
      </c>
      <c r="AC8" s="3">
        <f>1777.4+(903.4-230.5)+(-0.906474+(-0.460734--0.117555))+0-640--0.326399999999935</f>
        <v>1809.3767470000003</v>
      </c>
      <c r="AD8" s="2">
        <v>1998.3000000000004</v>
      </c>
      <c r="AE8" s="3">
        <f>1762+(1622.9-683.8)+(0+(0-0))+0-702.8-0</f>
        <v>1998.3000000000004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1773+(842.7-149.7)+(-1.80846+(-0.859554--0.152694))+0-752.9--0.76795800000012</f>
        <v>1711.3526380000001</v>
      </c>
      <c r="G9" s="3">
        <f>1700.5+(717.2-169.4)+(-2.601765+(-1.097316--0.259182))+0-672.3--1.02861900000004</f>
        <v>1573.5887200000002</v>
      </c>
      <c r="H9" s="3">
        <f>1635.7+(743.3-131.8)+(-0.834207+(-0.379083--0.067218))+0-745.3--0.380102999999924</f>
        <v>1501.1340309999998</v>
      </c>
      <c r="I9" s="3">
        <f>1578.4+(663.1-119.1)+(-1.609968+(-0.676362--0.121482))+0-641.8--0.654636000000102</f>
        <v>1479.0897880000005</v>
      </c>
      <c r="J9" s="3">
        <f>1550+(728-86.3)+(-1.581+(-0.74256--0.088026))+0-739--0.753780000000118</f>
        <v>1451.2182459999999</v>
      </c>
      <c r="K9" s="3">
        <f>1552.2+(626.8-110.1)+(0.791622+(0.319668-0.056151))+0-632.6-0.322625999999936</f>
        <v>1437.0325130000003</v>
      </c>
      <c r="L9" s="3">
        <f>1552.3+(695.2-124.8)+(1.583346+(0.709104-0.127296))+0-668.1-0.681462000000107</f>
        <v>1456.0836919999997</v>
      </c>
      <c r="M9" s="3">
        <f>1554.1+(479.4-165.5)+(-0.792591+(-0.244494--0.084405))+0-442.2--0.225521999999955</f>
        <v>1425.0728419999998</v>
      </c>
      <c r="N9" s="3">
        <f>1547.2+(683.3-144.5)+(-0.789072+(-0.348483--0.073695))+0-504--0.257039999999949</f>
        <v>1581.1931799999998</v>
      </c>
      <c r="O9" s="3">
        <f>1608.9+(889.4-266.6)+(-0.820539+(-0.453594--0.135966))+0-505.9--0.258008999999949</f>
        <v>1724.9198419999996</v>
      </c>
      <c r="P9" s="3">
        <f>1757.4+(899.8-474.6)+(0+(0-0))+0-442.4-0</f>
        <v>1740.1999999999998</v>
      </c>
      <c r="Q9" s="3">
        <f>1880.8+(1064.2-448.9)+(1.918416+(1.085484-0.457878))+0-630.6-0.643212000000101</f>
        <v>1867.4028099999998</v>
      </c>
      <c r="R9" s="3">
        <f>1646.5+(1091-459.8)+(0+(0-0))+0-576.1-0</f>
        <v>1701.6</v>
      </c>
      <c r="S9" s="3">
        <f>1699.7+(877-476.5)+(-4.334235+(-2.23635--1.215075))+0-500.7--1.27678499999993</f>
        <v>1595.4212749999999</v>
      </c>
      <c r="T9" s="3">
        <f>1750.3+(904.3-401.6)+(-1.785306+(-0.922386--0.409632))+0-622.1--0.634542000000099</f>
        <v>1629.236482</v>
      </c>
      <c r="U9" s="3">
        <f>1715.7+(667-360.3)+(-2.625021+(-1.02051--0.551259))+0-390.7--0.597771000000023</f>
        <v>1629.203499</v>
      </c>
      <c r="V9" s="3">
        <f>1708.4+(685.2-273.4)+(0+(0-0))+0-512.9-0</f>
        <v>1607.3000000000002</v>
      </c>
      <c r="W9" s="3">
        <f>1753.3+(684.7-318.7)+(4.470915+(1.745985-0.812685))+0-502.2-1.28060999999993</f>
        <v>1621.2236050000001</v>
      </c>
      <c r="X9" s="3">
        <f>1776.4+(713.2-308.8)+(3.623856+(1.454928-0.629952))+0-539.6-1.10078399999998</f>
        <v>1644.5480480000003</v>
      </c>
      <c r="Y9" s="3">
        <f>1930.4+(950.1-548)+(1.969008+(0.969102-0.55896))+0-516.9-0.527238000000082</f>
        <v>1817.451912</v>
      </c>
      <c r="Z9" s="3">
        <f>1971.8+(1396.7-887.6)+(1.005618+(0.712317-0.452676))+0-553.5-0.282284999999944</f>
        <v>1928.3829739999999</v>
      </c>
      <c r="AA9" s="3">
        <f>1975.6+(1290.7-772.2)+(0+(0-0))+0-626.4-0</f>
        <v>1867.6999999999998</v>
      </c>
      <c r="AB9" s="3">
        <f>1978.6+(1021.5-602.6)+(-3.027258+(-1.562895--0.921978))+0-563.8--0.862614000000033</f>
        <v>1830.8944390000004</v>
      </c>
      <c r="AC9" s="3">
        <f>1979.7+(985.7-431.4)+(-1.009647+(-0.502707--0.220014))+0-716.5--0.365414999999927</f>
        <v>1816.573075</v>
      </c>
      <c r="AD9" s="2">
        <v>1955.5</v>
      </c>
      <c r="AE9" s="3">
        <f>1975+(1442-895.1)+(0+(0-0))+0-566.4-0</f>
        <v>1955.5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1979.9+(701.8-261.8)+(-3.029247+(-1.073754--0.400554))+0-754.1--1.15377300000004</f>
        <v>1663.2513260000001</v>
      </c>
      <c r="G10" s="3">
        <f>1980.5+(584.2-341.7)+(0+(0-0))+0-628-0</f>
        <v>1595</v>
      </c>
      <c r="H10" s="3">
        <f>1973.8+(498.8-329.3)+(-3.019914+(-0.763164--0.503829))+0-583.7--0.893061000000034</f>
        <v>1557.213812</v>
      </c>
      <c r="I10" s="3">
        <f>1896.9+(457.3-311.7)+(-2.902257+(-0.699669--0.476901))+0-574.9--0.879597000000033</f>
        <v>1465.3545720000002</v>
      </c>
      <c r="J10" s="3">
        <f>1806+(388.5-283.8)+(-2.76318+(-0.594405--0.434214))+0-437.2--0.668916000000025</f>
        <v>1471.245545</v>
      </c>
      <c r="K10" s="3">
        <f>1771.4+(513.4-258)+(0+(0-0))+0-514.6-0</f>
        <v>1512.2000000000003</v>
      </c>
      <c r="L10" s="3">
        <f>1771.4+(569-208.3)+(0+(0-0))+0-668.2-0</f>
        <v>1463.8999999999999</v>
      </c>
      <c r="M10" s="3">
        <f>1781.8+(494-228.2)+(-0.908718+(-0.25194--0.116382))+0-597.3--0.304622999999939</f>
        <v>1449.5603469999999</v>
      </c>
      <c r="N10" s="3">
        <f>1841.3+(661.8-195.8)+(0+(0-0))+0-698.6-0</f>
        <v>1608.6999999999998</v>
      </c>
      <c r="O10" s="3">
        <f>1854.5+(773-237.5)+(-1.89159+(-0.78846--0.24225))+0-636.7--0.649434000000102</f>
        <v>1751.511634</v>
      </c>
      <c r="P10" s="3">
        <f>1892.6+(902.8-341.3)+(-0.965226+(-0.460428--0.174063))+0-624.5--0.318494999999937</f>
        <v>1828.6669039999997</v>
      </c>
      <c r="Q10" s="3">
        <f>1949.7+(1169.2-501.2)+(-1.988694+(-1.192584--0.511224))+0-764.8--0.780096000000122</f>
        <v>1851.0100419999999</v>
      </c>
      <c r="R10" s="3">
        <f>1942.9+(1075.8-514.8)+(-0.990879+(-0.548658--0.262548))+0-673.2--0.343331999999932</f>
        <v>1829.766343</v>
      </c>
      <c r="S10" s="3">
        <f>1858.8+(937.6-528.7)+(-3.791952+(-1.912704--1.078548))+0-603.2--1.23052799999997</f>
        <v>1661.1044199999999</v>
      </c>
      <c r="T10" s="3">
        <f>1789+(1065.7-439.8)+(0.91239+(0.543507-0.224298))+0-760.1-0.387650999999923</f>
        <v>1655.6439480000004</v>
      </c>
      <c r="U10" s="3">
        <f>1778.6+(742.1-437.8)+(-1.814172+(-0.756942--0.446556))+0-441.7--0.45053400000007</f>
        <v>1639.5259760000001</v>
      </c>
      <c r="V10" s="3">
        <f>1893.3+(621-325.5)+(-0.965583+(-0.31671--0.166005))+0-551.6--0.281315999999944</f>
        <v>1636.3650279999999</v>
      </c>
      <c r="W10" s="3">
        <f>1920.5+(572.8-282.5)+(-2.938365+(-0.876384--0.432225))+0-570.9--0.873477000000033</f>
        <v>1637.3909530000001</v>
      </c>
      <c r="X10" s="3">
        <f>1935.9+(612.7-272.7)+(-1.974618+(-0.624954--0.278154))+0-619.9--0.632298000000099</f>
        <v>1654.31088</v>
      </c>
      <c r="Y10" s="3">
        <f>1980.3+(1016.8-564.3)+(2.019906+(1.037136-0.575586))+0-599.6-0.611592000000096</f>
        <v>1835.0698640000001</v>
      </c>
      <c r="Z10" s="3">
        <f>2073+(1398.8-874.9)+(-6.34338+(-4.280328--2.677194))+0-640--1.95840000000007</f>
        <v>1950.9118859999999</v>
      </c>
      <c r="AA10" s="3">
        <f>2165.4+(1036.6-609.2)+(0+(0-0))+0-696.3-0</f>
        <v>1896.5000000000002</v>
      </c>
      <c r="AB10" s="3">
        <f>2175+(834.8-486.4)+(-1.10925+(-0.425748--0.248064))+0-679.3--0.346442999999931</f>
        <v>1843.1595089999998</v>
      </c>
      <c r="AC10" s="3">
        <f>2170.4+(719.7-405.3)+(-4.427616+(-1.468188--0.826812))+0-668.3--1.36333199999997</f>
        <v>1812.7943400000001</v>
      </c>
      <c r="AD10" s="2">
        <v>1922.8</v>
      </c>
      <c r="AE10" s="3">
        <f>2040+(1435.5-895.9)+(0+(0-0))+0-656.8-0</f>
        <v>1922.8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2173.3+(691.2-373.8)+(-2.216766+(-0.705024--0.381276))+0-764.3--0.779586000000122</f>
        <v>1724.6390720000006</v>
      </c>
      <c r="G11" s="3">
        <f>2121.1+(661.2-440.1)+(-3.245283+(-1.011636--0.673353))+0-719.9--1.10144700000004</f>
        <v>1619.8178809999999</v>
      </c>
      <c r="H11" s="3">
        <f>1913.4+(736.4-421.6)+(-2.927502+(-1.126692--0.645048))+0-708.7--1.08431100000004</f>
        <v>1517.1751649999999</v>
      </c>
      <c r="I11" s="3">
        <f>1831+(701.8-290.6)+(-0.93381+(-0.357918--0.148206))+0-749.1--0.382040999999924</f>
        <v>1492.3385189999999</v>
      </c>
      <c r="J11" s="3">
        <f>1804+(604.1-255)+(1.84008+(0.616182-0.2601))+0-685.1-0.698802000000109</f>
        <v>1469.4973600000001</v>
      </c>
      <c r="K11" s="3">
        <f>1792+(639.6-229)+(0+(0-0))+0-738.5-0</f>
        <v>1464.1</v>
      </c>
      <c r="L11" s="3">
        <f>1794.3+(544.6-213)+(-3.660372+(-1.110984--0.43452))+0-670.3--1.36741199999997</f>
        <v>1452.6305760000002</v>
      </c>
      <c r="M11" s="3">
        <f>1806.4+(464.2-211.9)+(-0.921264+(-0.236742--0.108069))+0-664.6--0.338945999999933</f>
        <v>1393.389009</v>
      </c>
      <c r="N11" s="3">
        <f>1810+(523.5-211.2)+(-1.8462+(-0.53397--0.215424))+0-674.3--0.687786000000107</f>
        <v>1446.5230400000005</v>
      </c>
      <c r="O11" s="3">
        <f>1976.9+(435.1-258.1)+(-1.008219+(-0.221901--0.131631))+0-610.1--0.311150999999938</f>
        <v>1543.0126620000001</v>
      </c>
      <c r="P11" s="3">
        <f>2116.7+(513.2-319.6)+(-2.159034+(-0.523464--0.325992))+0-716.2--0.730524000000114</f>
        <v>1592.4740179999997</v>
      </c>
      <c r="Q11" s="3">
        <f>2118.3+(569.1-463.9)+(-3.240999+(-0.870723--0.709767))+0-567.8--0.868734000000033</f>
        <v>1653.1667790000004</v>
      </c>
      <c r="R11" s="3">
        <f>2129.6+(836.6-551.2)+(-2.172192+(-0.853332--0.562224))+0-766--0.781320000000122</f>
        <v>1647.3180200000002</v>
      </c>
      <c r="S11" s="3">
        <f>2050.8+(742.7-628.8)+(-3.137724+(-1.136331--0.962064))+0-565.9--0.865827000000033</f>
        <v>1596.3538360000002</v>
      </c>
      <c r="T11" s="3">
        <f>2030.4+(715.2-576.6)+(-3.106512+(-1.094256--0.882198))+0-609.7--0.932841000000035</f>
        <v>1556.9142710000001</v>
      </c>
      <c r="U11" s="3">
        <f>2121.1+(344.4-436.2)+(-3.245283+(-0.526932--0.667386))+0-498.7--0.763011000000029</f>
        <v>1528.2581819999998</v>
      </c>
      <c r="V11" s="3">
        <f>2165.1+(248.5-418.6)+(-6.625206+(-0.76041--1.280916))+0-435.1--1.33140600000005</f>
        <v>1555.1267059999998</v>
      </c>
      <c r="W11" s="3">
        <f>2169.1+(323.3-363.5)+(-2.212482+(-0.329766--0.37077))+0-593.4--0.605268000000095</f>
        <v>1533.9337899999998</v>
      </c>
      <c r="X11" s="3">
        <f>2168.7+(400.3-494.1)+(1.106037+(0.204153-0.251991))+0-523.1-0.266780999999947</f>
        <v>1552.5914179999997</v>
      </c>
      <c r="Y11" s="3">
        <f>2199.5+(844.6-666.6)+(0+(0-0))+0-664.7-0</f>
        <v>1712.8</v>
      </c>
      <c r="Z11" s="3">
        <f>2312.4+(1135.4-1063.4)+(-4.717296+(-2.316216--2.169336))+0-535.2--1.09180799999998</f>
        <v>1845.4276319999999</v>
      </c>
      <c r="AA11" s="3">
        <f>2182.1+(1053.1-890.9)+(-2.225742+(-1.074162--0.908718))+0-603.3--0.615366000000096</f>
        <v>1739.2241799999999</v>
      </c>
      <c r="AB11" s="3">
        <f>2023.8+(1018-745.1)+(-1.032138+(-0.51918--0.380001))+0-578.9--0.295238999999941</f>
        <v>1716.9239219999999</v>
      </c>
      <c r="AC11" s="3">
        <f>1817+(1208.2-641.1)+(-2.78001+(-1.848546--0.980883))+0-712.2--1.08966600000004</f>
        <v>1669.341993</v>
      </c>
      <c r="AD11" s="2">
        <v>1714.3</v>
      </c>
      <c r="AE11" s="3">
        <f>2309+(1199-1062.5)+(0+(0-0))+0-731.2-0</f>
        <v>1714.3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1822.6+(1005.1-576.9)+(-2.788578+(-1.537803--0.882657))+0-651.3--0.996489000000038</f>
        <v>1597.0527650000001</v>
      </c>
      <c r="G12" s="3">
        <f>1821.4+(673-362.8)+(-1.857828+(-0.68646--0.370056))+0-649.6--0.662592000000104</f>
        <v>1480.4883600000003</v>
      </c>
      <c r="H12" s="3">
        <f>1765.4+(621.7-260.7)+(1.800708+(0.634134-0.265914))+0-738.5-0.753270000000118</f>
        <v>1389.315658</v>
      </c>
      <c r="I12" s="3">
        <f>1709+(550-201.4)+(2.61477+(0.8415-0.308142))+0-689.6-1.05508800000004</f>
        <v>1370.0930399999997</v>
      </c>
      <c r="J12" s="3">
        <f>1725.5+(540.1-169.7)+(0.880005+(0.275451-0.086547))+0-754.2-0.384641999999923</f>
        <v>1342.3842670000001</v>
      </c>
      <c r="K12" s="3">
        <f>1693.4+(493.9-179.3)+(2.590902+(0.755667-0.274329))+0-659.6-1.00918800000004</f>
        <v>1350.4630520000001</v>
      </c>
      <c r="L12" s="3">
        <f>1695.9+(545.4-132)+(-2.594727+(-0.834462--0.20196))+0-783.1--1.19814300000005</f>
        <v>1324.1709140000003</v>
      </c>
      <c r="M12" s="3">
        <f>1696+(361.7-195.1)+(-1.72992+(-0.368934--0.199002))+0-593.5--0.605370000000095</f>
        <v>1267.8055179999999</v>
      </c>
      <c r="N12" s="3">
        <f>1693.7+(479.2-173.3)+(-0.863787+(-0.244392--0.088383))+0-629.6--0.321095999999936</f>
        <v>1369.3012999999999</v>
      </c>
      <c r="O12" s="3">
        <f>1715.3+(610.5-161.2)+(1.749606+(0.62271-0.164424))+0-667.4-0.680748000000106</f>
        <v>1498.7271439999997</v>
      </c>
      <c r="P12" s="3">
        <f>1822.7+(658.8-306.8)+(2.788731+(1.007964-0.469404))+0-595-0.910350000000034</f>
        <v>1582.1169409999998</v>
      </c>
      <c r="Q12" s="3">
        <f>1954.8+(766.1-502.5)+(-0.996948+(-0.390711--0.256275))+0-597.3--0.304622999999939</f>
        <v>1620.2732390000003</v>
      </c>
      <c r="R12" s="3">
        <f>2003.4+(881.4-476.1)+(-2.043468+(-0.899028--0.485622))+0-728.9--0.743478000000116</f>
        <v>1678.0866039999999</v>
      </c>
      <c r="S12" s="3">
        <f>1903.3+(728.9-495.6)+(0+(0-0))+0-591.7-0</f>
        <v>1544.8999999999999</v>
      </c>
      <c r="T12" s="3">
        <f>1801.3+(851.7-403.1)+(0.918663+(0.434367-0.205581))+0-710.8-0.362507999999928</f>
        <v>1539.8849410000003</v>
      </c>
      <c r="U12" s="3">
        <f>1791.5+(633.6-385.4)+(-0.913665+(-0.323136--0.196554))+0-517--0.263669999999948</f>
        <v>1521.9234230000002</v>
      </c>
      <c r="V12" s="3">
        <f>1794.2+(675.7-337.6)+(2.745126+(1.033821-0.516528))+0-713.2-1.09119600000004</f>
        <v>1421.2712230000002</v>
      </c>
      <c r="W12" s="3">
        <f>1797+(638.5-297.6)+(-1.83294+(-0.65127--0.303552))+0-625--0.6375000000001</f>
        <v>1511.3568419999999</v>
      </c>
      <c r="X12" s="3">
        <f>1851.5+(618.8-347)+(-0.944265+(-0.315588--0.17697))+0-572.7--0.292076999999942</f>
        <v>1549.8091939999999</v>
      </c>
      <c r="Y12" s="3">
        <f>2205.5+(773.8-666.1)+(2.24961+(0.789276-0.679422))+0-627.4-0.6399480000001</f>
        <v>1687.5195159999998</v>
      </c>
      <c r="Z12" s="3">
        <f>2385.9+(1190.3-1093.8)+(1.216809+(0.607053-0.557838))+0-602.5-0.307274999999939</f>
        <v>1880.8587490000002</v>
      </c>
      <c r="AA12" s="3">
        <f>2390.1+(1139.3-998.2)+(1.218951+(0.581043-0.509082))+0-676.2-0.344861999999931</f>
        <v>1855.9460499999998</v>
      </c>
      <c r="AB12" s="3">
        <f>2344.7+(1107-938.7)+(-2.391594+(-1.12914--0.957474))+0-699.6--0.713592000000112</f>
        <v>1811.5503320000003</v>
      </c>
      <c r="AC12" s="3">
        <f>2246.6+(799.3-704.1)+(-1.145766+(-0.407643--0.359091))+0-567.9--0.289628999999942</f>
        <v>1772.9953109999997</v>
      </c>
      <c r="AD12" s="2">
        <v>1822.9999999999998</v>
      </c>
      <c r="AE12" s="3">
        <f>2380+(1341-1145.3)+(0+(0-0))+0-752.7-0</f>
        <v>1822.9999999999998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1978.7+(625.6-363.3)+(-1.009137+(-0.319056--0.185283))+0-649.5--0.331244999999934</f>
        <v>1590.6883349999998</v>
      </c>
      <c r="G13" s="3">
        <f>1964.8+(667.4-404.2)+(-2.004096+(-0.680748--0.412284))+0-772.7--0.788154000000123</f>
        <v>1453.8155940000001</v>
      </c>
      <c r="H13" s="3">
        <f>1896.7+(678-552.3)+(-1.934634+(-0.69156--0.563346))+0-651.5--0.664530000000104</f>
        <v>1369.5016820000001</v>
      </c>
      <c r="I13" s="3">
        <f>1755.1+(667.5-373.7)+(0+(0-0))+0-654-0</f>
        <v>1394.9</v>
      </c>
      <c r="J13" s="3">
        <f>1720.3+(658.8-323.1)+(0.877353+(0.335988-0.164781))+0-700.2-0.357101999999929</f>
        <v>1356.4914580000002</v>
      </c>
      <c r="K13" s="3">
        <f>1719.8+(703.3-298)+(1.754196+(0.717366-0.30396))+0-778.7-0.794274000000124</f>
        <v>1347.7733279999998</v>
      </c>
      <c r="L13" s="3">
        <f>1713.6+(441.9-301.2)+(0+(0-0))+0-516.4-0</f>
        <v>1337.9</v>
      </c>
      <c r="M13" s="3">
        <f>1637.4+(453.5-204)+(-0.835074+(-0.231285--0.10404))+0-636.7--0.324716999999935</f>
        <v>1249.562398</v>
      </c>
      <c r="N13" s="3">
        <f>1620.4+(476.5-258.4)+(1.652808+(0.48603-0.263568))+0-551.8-0.562836000000088</f>
        <v>1288.012434</v>
      </c>
      <c r="O13" s="3">
        <f>1709.6+(632.7-311)+(-0.871896+(-0.322677--0.15861))+0-695.2--0.354551999999929</f>
        <v>1335.4185889999999</v>
      </c>
      <c r="P13" s="3">
        <f>1777.8+(614.2-391.3)+(-4.53339+(-1.56621--0.997815))+0-644--1.64219999999991</f>
        <v>1353.240415</v>
      </c>
      <c r="Q13" s="3">
        <f>1768.7+(638.4-346.9)+(-0.902037+(-0.325584--0.176919))+0-693.7--0.35378699999993</f>
        <v>1365.8030849999998</v>
      </c>
      <c r="R13" s="3">
        <f>1638.6+(785.7-421.7)+(0+(0-0))+0-653.6-0</f>
        <v>1349</v>
      </c>
      <c r="S13" s="3">
        <f>1606.4+(800.8-411.7)+(0+(0-0))+0-728.5-0</f>
        <v>1267</v>
      </c>
      <c r="T13" s="3">
        <f>1612+(670.8-383.3)+(-1.64424+(-0.684216--0.390966))+0-655.4--0.668508000000104</f>
        <v>1242.8310180000003</v>
      </c>
      <c r="U13" s="3">
        <f>1607+(510-321.8)+(-0.81957+(-0.2601--0.164118))+0-551--0.281009999999944</f>
        <v>1243.565458</v>
      </c>
      <c r="V13" s="3">
        <f>1681+(441.9-319.8)+(0.85731+(0.225369-0.163098))+0-555.8-0.283457999999944</f>
        <v>1247.9361230000002</v>
      </c>
      <c r="W13" s="3">
        <f>1818.5+(356.1-304.8)+(-0.927435+(-0.181611--0.155448))+0-596.7--0.30431699999994</f>
        <v>1272.4507189999997</v>
      </c>
      <c r="X13" s="3">
        <f>1873.1+(280.7-262.3)+(-1.910562+(-0.286314--0.267546))+0-596.7--0.608634000000095</f>
        <v>1293.4793040000002</v>
      </c>
      <c r="Y13" s="3">
        <f>1988+(543-517.3)+(1.01388+(0.27693-0.263823))+0-542.3-0.276572999999945</f>
        <v>1472.1504140000002</v>
      </c>
      <c r="Z13" s="3">
        <f>2524.8+(1346.7-1528.6)+(-2.575296+(-1.373634--1.559172))+0-666--0.679320000000106</f>
        <v>1675.1895620000009</v>
      </c>
      <c r="AA13" s="3">
        <f>2549.4+(1344.9-1552)+(-1.300194+(-0.685899--0.79152))+0-638.4--0.325583999999935</f>
        <v>1703.0310109999998</v>
      </c>
      <c r="AB13" s="3">
        <f>2419.3+(1198.7-1267.4)+(-2.467686+(-1.222674--1.292748))+0-681.5--0.695130000000109</f>
        <v>1667.3975180000002</v>
      </c>
      <c r="AC13" s="3">
        <f>2147.4+(814.6-669.6)+(-1.095174+(-0.415446--0.341496))+0-708.8--0.361487999999928</f>
        <v>1582.7923640000001</v>
      </c>
      <c r="AD13" s="2">
        <v>1649.8999999999999</v>
      </c>
      <c r="AE13" s="3">
        <f>2646+(1511.5-1676.8)+(0+(0-0))+0-830.8-0</f>
        <v>1649.8999999999999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2109.1+(374.2-322.6)+(-2.151282+(-0.381684--0.329052))+0-670--0.683400000000107</f>
        <v>1489.1794859999998</v>
      </c>
      <c r="G14" s="3">
        <f>2051.8+(334.9-288.2)+(-2.092836+(-0.341598--0.293964))+0-706.8--0.720936000000113</f>
        <v>1390.2804660000004</v>
      </c>
      <c r="H14" s="3">
        <f>2012.2+(285.7-332.7)+(-2.052444+(-0.291414--0.339354))+0-620.6--0.633012000000099</f>
        <v>1343.2285079999999</v>
      </c>
      <c r="I14" s="3">
        <f>2014.1+(317.8-343.5)+(-2.054382+(-0.324156--0.35037))+0-654.1--0.667182000000104</f>
        <v>1332.939014</v>
      </c>
      <c r="J14" s="3">
        <f>2015.8+(271.3-360)+(-2.056116+(-0.276726--0.3672))+0-593--0.604860000000095</f>
        <v>1332.7392180000002</v>
      </c>
      <c r="K14" s="3">
        <f>2019+(261-351)+(1.02969+(0.13311-0.17901))+0-594.2-0.30304199999994</f>
        <v>1335.4807479999999</v>
      </c>
      <c r="L14" s="3">
        <f>2017.1+(358.8-310.7)+(0+(0-0))+0-660.7-0</f>
        <v>1404.4999999999998</v>
      </c>
      <c r="M14" s="3">
        <f>2008+(251.2-334.4)+(1.02408+(0.128112-0.170544))+0-458.7-0.233936999999953</f>
        <v>1466.8477109999999</v>
      </c>
      <c r="N14" s="3">
        <f>2061.7+(490.2-203.6)+(-1.051467+(-0.250002--0.103836))+0-658.6--0.335885999999933</f>
        <v>1688.8382529999994</v>
      </c>
      <c r="O14" s="3">
        <f>2106.5+(669.3-335.4)+(0+(0-0))+0-562.8-0</f>
        <v>1877.6000000000001</v>
      </c>
      <c r="P14" s="3">
        <f>2174+(1090.4-557)+(0+(0-0))+0-717.3-0</f>
        <v>1990.1000000000001</v>
      </c>
      <c r="Q14" s="3">
        <f>2289.6+(1112-705.2)+(-1.167696+(-0.56712--0.359652))+0-625.6--0.319055999999937</f>
        <v>2069.7438919999995</v>
      </c>
      <c r="R14" s="3">
        <f>2399.2+(1188.9-818)+(-2.447184+(-1.212678--0.83436))+0-723--0.737460000000115</f>
        <v>2045.0119579999998</v>
      </c>
      <c r="S14" s="3">
        <f>2241.3+(836.6-621.9)+(-4.572252+(-1.706664--1.268676))+0-628.5--1.28213999999997</f>
        <v>1823.7719</v>
      </c>
      <c r="T14" s="3">
        <f>2197.6+(701.1-449.8)+(-3.362328+(-1.072683--0.688194))+0-590.3--0.903159000000034</f>
        <v>1855.7563419999999</v>
      </c>
      <c r="U14" s="3">
        <f>2201.6+(628.1-470.5)+(-2.245632+(-0.640662--0.47991))+0-483--0.492660000000077</f>
        <v>1874.286276</v>
      </c>
      <c r="V14" s="3">
        <f>2231+(519.2-377.6)+(0+(0-0))+0-513.7-0</f>
        <v>1858.8999999999999</v>
      </c>
      <c r="W14" s="3">
        <f>2190.7+(603.8-316.9)+(-1.117257+(-0.307938--0.161619))+0-608.6--0.310385999999938</f>
        <v>1868.0468100000001</v>
      </c>
      <c r="X14" s="3">
        <f>2163+(570.7-262)+(-1.10313+(-0.291057--0.13362))+0-578.6--0.295085999999941</f>
        <v>1892.134519</v>
      </c>
      <c r="Y14" s="3">
        <f>2353.8+(930.1-523)+(1.200438+(0.474351-0.26673))+0-711.5-0.362864999999928</f>
        <v>2050.4451939999999</v>
      </c>
      <c r="Z14" s="3">
        <f>2548.9+(1069-885)+(-7.799634+(-3.27114--2.7081))+0-575.6--1.76133600000007</f>
        <v>2150.6986620000002</v>
      </c>
      <c r="AA14" s="3">
        <f>2415.5+(888.6-458.4)+(-3.695715+(-1.359558--0.701352))+0-783--1.19799000000005</f>
        <v>2059.544069</v>
      </c>
      <c r="AB14" s="3">
        <f>2301+(730-406.5)+(-1.17351+(-0.3723--0.207315))+0-644.7--0.328796999999935</f>
        <v>1978.7903019999999</v>
      </c>
      <c r="AC14" s="3">
        <f>2276.3+(842.8-483.2)+(-3.482739+(-1.289484--0.739296))+0-728.4--1.11445200000004</f>
        <v>1904.5815249999998</v>
      </c>
      <c r="AD14" s="2">
        <v>2160</v>
      </c>
      <c r="AE14" s="3">
        <f>2541+(1125.5-964)+(0+(0-0))+0-542.5-0</f>
        <v>2160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2190.4+(587.7-237.1)+(-4.468416+(-1.198908--0.483684))+0-685--1.39739999999997</f>
        <v>1852.2137599999999</v>
      </c>
      <c r="G15" s="3">
        <f>2129.8+(385.1-220.4)+(-5.43099+(-0.982005--0.56202))+0-648.8--1.65443999999991</f>
        <v>1641.5034650000002</v>
      </c>
      <c r="H15" s="3">
        <f>2107.9+(492.9-212.7)+(-5.375145+(-1.256895--0.542385))+0-758.4--1.93391999999989</f>
        <v>1625.5442649999995</v>
      </c>
      <c r="I15" s="3">
        <f>2030.9+(446.9-225.3)+(-2.071518+(-0.455838--0.229806))+0-645.8--0.658716000000103</f>
        <v>1605.0611660000004</v>
      </c>
      <c r="J15" s="3">
        <f>2035.1+(522.5-193.9)+(1.037901+(0.266475-0.098889))+0-792.3-0.40407299999992</f>
        <v>1572.2014140000001</v>
      </c>
      <c r="K15" s="3">
        <f>2035.5+(396.5-228.8)+(-1.038105+(-0.202215--0.116688))+0-595.1--0.30350099999994</f>
        <v>1607.279869</v>
      </c>
      <c r="L15" s="3">
        <f>2023.5+(563.5-187.3)+(1.031985+(0.287385-0.095523))+0-763.8-0.389537999999923</f>
        <v>1636.7343090000002</v>
      </c>
      <c r="M15" s="3">
        <f>2031.7+(396-248.9)+(-1.036167+(-0.20196--0.126939))+0-478--0.243779999999952</f>
        <v>1699.9325920000003</v>
      </c>
      <c r="N15" s="3">
        <f>2179.4+(525-245.5)+(0+(0-0))+0-607.7-0</f>
        <v>1851.2</v>
      </c>
      <c r="O15" s="3">
        <f>2296.5+(556-311.6)+(-2.34243+(-0.56712--0.317832))+0-473.3--0.482766000000075</f>
        <v>2065.4910479999999</v>
      </c>
      <c r="P15" s="3">
        <f>2296.5+(910-491.9)+(-1.171215+(-0.4641--0.250869))+0-582.6--0.297125999999941</f>
        <v>2130.9126799999999</v>
      </c>
      <c r="Q15" s="3">
        <f>2295.6+(1200.4-671.6)+(-5.85378+(-3.06102--1.71258))+0-629.6--1.60547999999991</f>
        <v>2189.2032599999998</v>
      </c>
      <c r="R15" s="3">
        <f>2237+(1269-712)+(-2.28174+(-1.29438--0.72624))+0-568--0.579360000000091</f>
        <v>2223.72948</v>
      </c>
      <c r="S15" s="3">
        <f>2229+(920-588)+(-5.68395+(-2.346--1.4994))+0-548--1.39739999999992</f>
        <v>2007.8668499999999</v>
      </c>
      <c r="T15" s="3">
        <f>2161+(728-597)+(-5.51055+(-1.8564--1.52235))+0-326--0.831299999999953</f>
        <v>1960.9867000000002</v>
      </c>
      <c r="U15" s="3">
        <f>2154+(620-612)+(-2.19708+(-0.6324--0.62424))+0-158--0.161160000000025</f>
        <v>2001.9559200000003</v>
      </c>
      <c r="V15" s="3">
        <f>2155+(436-467)+(-4.3962+(-0.88944--0.95268))+0-143--0.291719999999994</f>
        <v>1976.9587599999998</v>
      </c>
      <c r="W15" s="3">
        <f>2154+(471-342)+(-1.09854+(-0.24021--0.17442))+0-317--0.161669999999968</f>
        <v>1964.9973399999999</v>
      </c>
      <c r="X15" s="3">
        <f>2219+(543-286)+(0+(0-0))+0-471-0</f>
        <v>2005</v>
      </c>
      <c r="Y15" s="3">
        <f>2438+(588-341)+(1.24338+(0.29988-0.17391))+0-532-0.271319999999946</f>
        <v>2154.0980300000001</v>
      </c>
      <c r="Z15" s="3">
        <f>2607+(892-567)+(2.65914+(0.90984-0.57834))+0-567-0.57834000000009</f>
        <v>2367.4123</v>
      </c>
      <c r="AA15" s="3">
        <f>2612+(732-459)+(-3.99636+(-1.11996--0.70227))+0-639--0.977670000000037</f>
        <v>2242.5636200000004</v>
      </c>
      <c r="AB15" s="3">
        <f>2554+(439-198)+(0+(0-0))+0-679-0</f>
        <v>2116</v>
      </c>
      <c r="AC15" s="3">
        <f>2329+(465-225)+(-2.37558+(-0.4743--0.2295))+0-534--0.544680000000085</f>
        <v>2032.9243000000004</v>
      </c>
      <c r="AD15" s="2">
        <v>2205.5</v>
      </c>
      <c r="AE15" s="3">
        <f>2592+(957.3-605.4)+(0+(0-0))+0-738.4-0</f>
        <v>2205.5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2194+(497.6-227.6)+(0+(0-0))+0-689.8-0</f>
        <v>1774.2</v>
      </c>
      <c r="G16" s="3">
        <f>2126+(474.8-242.2)+(0+(0-0))+0-710.6-0</f>
        <v>1648</v>
      </c>
      <c r="H16" s="3">
        <f>2111+(455.7-240.9)+(0+(0-0))+0-723.1-0</f>
        <v>1602.7000000000003</v>
      </c>
      <c r="I16" s="3">
        <f>2108+(453.4-242.6)+(0+(0-0))+0-772.4-0</f>
        <v>1546.4</v>
      </c>
      <c r="J16" s="3">
        <f>2044+(428.9-239)+(0+(0-0))+0-662.9-0</f>
        <v>1571</v>
      </c>
      <c r="K16" s="3">
        <f>2020+(572.2-214.5)+(0+(0-0))+0-757-0</f>
        <v>1620.6999999999998</v>
      </c>
      <c r="L16" s="3">
        <f>2014.5+(426.8-282)+(1.027395+(0.217668-0.14382))+0-463.9-0.236588999999953</f>
        <v>1696.2646540000003</v>
      </c>
      <c r="M16" s="3">
        <f>2013.8+(447.3-264.8)+(3.081114+(0.684369-0.405144))+0-412-0.630360000000024</f>
        <v>1787.0299789999999</v>
      </c>
      <c r="N16" s="3">
        <f>2062+(449.9-214.4)+(-2.10324+(-0.458898--0.218688))+0-366.9--0.374238000000058</f>
        <v>1928.6307880000002</v>
      </c>
      <c r="O16" s="3">
        <f>2194+(320.9-261.4)+(-2.23788+(-0.327318--0.266628))+0-224.9--0.229398000000036</f>
        <v>2026.5308279999999</v>
      </c>
      <c r="P16" s="3">
        <f>2231.9+(508.2-361)+(-3.414807+(-0.777546--0.55233))+0-213--0.325890000000012</f>
        <v>2162.7858670000001</v>
      </c>
      <c r="Q16" s="3">
        <f>2225.8+(698.1-440.1)+(0+(0-0))+0-231.8-0</f>
        <v>2252</v>
      </c>
      <c r="R16" s="3">
        <f>2217.1+(753.8-459.8)+(-6.784326+(-2.306628--1.406988))+0-336.9--1.03091400000004</f>
        <v>2167.5469479999997</v>
      </c>
      <c r="S16" s="3">
        <f>2101.5+(588.2-419.3)+(1.071765+(0.299982-0.213843))+0-329.5-0.168044999999967</f>
        <v>1941.8898590000003</v>
      </c>
      <c r="T16" s="3">
        <f>2078.7+(731.3-368.1)+(-2.120274+(-0.745926--0.375462))+0-491.3--0.501126000000078</f>
        <v>1948.6103879999998</v>
      </c>
      <c r="U16" s="3">
        <f>2069.3+(610.3-338.3)+(-1.055343+(-0.311253--0.172533))+0-376.2--0.191861999999962</f>
        <v>1964.0977990000001</v>
      </c>
      <c r="V16" s="3">
        <f>2056.1+(614.4-316.3)+(-2.097222+(-0.626688--0.322626))+0-417.1--0.425442000000067</f>
        <v>1935.1241579999999</v>
      </c>
      <c r="W16" s="3">
        <f>2064.8+(737.2-281.5)+(0+(0-0))+0-567-0</f>
        <v>1953.5</v>
      </c>
      <c r="X16" s="3">
        <f>2084.4+(589.3-248.9)+(-1.063044+(-0.300543--0.126939))+0-463.8--0.236537999999953</f>
        <v>1959.9998900000001</v>
      </c>
      <c r="Y16" s="3">
        <f>2175.1+(692.4-317.3)+(1.109301+(0.353124-0.161823))+0-439.2-0.223991999999955</f>
        <v>2112.0766099999996</v>
      </c>
      <c r="Z16" s="3">
        <f>2229.7+(1071.8-520.3)+(-3.411441+(-1.639854--0.796059))+0-608.5--0.931005000000035</f>
        <v>2169.3757689999998</v>
      </c>
      <c r="AA16" s="3">
        <f>2247.5+(795.9-440)+(-6.87735+(-2.435454--1.3464))+0-550.2--1.68361200000006</f>
        <v>2046.9172080000003</v>
      </c>
      <c r="AB16" s="3">
        <f>2255.7+(610.7-340.2)+(-5.752035+(-1.557285--0.86751))+0-566.6--1.44482999999992</f>
        <v>1954.60302</v>
      </c>
      <c r="AC16" s="3">
        <f>2153.3+(708.5-239)+(-4.392732+(-1.44534--0.48756))+0-719.7--1.46818799999997</f>
        <v>1899.2176760000002</v>
      </c>
      <c r="AD16" s="2">
        <v>2181.6000000000004</v>
      </c>
      <c r="AE16" s="3">
        <f>2223+(1156.3-541)+(0+(0-0))+0-656.7-0</f>
        <v>2181.6000000000004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1927.7+(514.8-209.1)+(-0.983127+(-0.262548--0.106641))+0-502.6--0.256325999999949</f>
        <v>1729.9172920000003</v>
      </c>
      <c r="G17" s="3">
        <f>1904+(681.1-200)+(-2.91312+(-1.042083--0.306))+0-643.4--0.984402000000037</f>
        <v>1739.0351989999999</v>
      </c>
      <c r="H17" s="3">
        <f>1841+(684.2-206.2)+(1.87782+(0.697884-0.210324))+0-653-0.666060000000104</f>
        <v>1667.6993200000002</v>
      </c>
      <c r="I17" s="3">
        <f>1841+(680-202.2)+(1.87782+(0.6936-0.206244))+0-692.4-0.70624800000011</f>
        <v>1628.0589279999997</v>
      </c>
      <c r="J17" s="3">
        <f>1839.5+(642.4-192.2)+(-1.87629+(-0.655248--0.196044))+0-697.2--0.711144000000111</f>
        <v>1590.87565</v>
      </c>
      <c r="K17" s="3">
        <f>1841.4+(670.6-140.7)+(0.939114+(0.342006-0.071757))+0-779.7-0.397646999999921</f>
        <v>1592.4117160000001</v>
      </c>
      <c r="L17" s="3">
        <f>1842.1+(539.2-144)+(-1.878942+(-0.549984--0.14688))+0-664--0.677280000000106</f>
        <v>1571.6952340000005</v>
      </c>
      <c r="M17" s="3">
        <f>1846.9+(568.2-147.1)+(1.883838+(0.579564-0.150042))+0-637.9-0.650658000000102</f>
        <v>1631.762702</v>
      </c>
      <c r="N17" s="3">
        <f>2020.2+(696.1-191.3)+(2.060604+(0.710022-0.195126))+0-677.1-0.690642000000108</f>
        <v>1849.784858</v>
      </c>
      <c r="O17" s="3">
        <f>2054.3+(912.2-361.2)+(3.143079+(1.395666-0.552636))+0-617.5-0.944775000000036</f>
        <v>1990.8413340000002</v>
      </c>
      <c r="P17" s="3">
        <f>2047.9+(1193.8-480.4)+(3.133287+(1.826514-0.735012))+0-697.8-1.06763400000004</f>
        <v>2066.6571549999999</v>
      </c>
      <c r="Q17" s="3">
        <f>2038.7+(1405.5-662.6)+(0+(0-0))+0-669.2-0</f>
        <v>2112.3999999999996</v>
      </c>
      <c r="R17" s="3">
        <f>2026.9+(1363.5-687.6)+(0+(0-0))+0-676.1-0</f>
        <v>2026.7000000000003</v>
      </c>
      <c r="S17" s="3">
        <f>2024+(1075.6-572.7)+(-6.19344+(-3.291336--1.752462))+0-567.9--1.73777400000007</f>
        <v>1953.0054599999999</v>
      </c>
      <c r="T17" s="3">
        <f>2019.8+(823.2-376.5)+(0+(0-0))+0-558.7-0</f>
        <v>1907.8</v>
      </c>
      <c r="U17" s="3">
        <f>2018.6+(697.3-335.8)+(0+(0-0))+0-501.1-0</f>
        <v>1879</v>
      </c>
      <c r="V17" s="3">
        <f>2018.3+(760.4-266.1)+(-2.058666+(-0.775608--0.271422))+0-598--0.609960000000095</f>
        <v>1912.6471079999999</v>
      </c>
      <c r="W17" s="3">
        <f>1966.3+(704.8-217.6)+(-3.008439+(-1.078344--0.332928))+0-611--0.934830000000035</f>
        <v>1839.6809750000002</v>
      </c>
      <c r="X17" s="3">
        <f>1906.5+(624.3-127.8)+(-0.972315+(-0.318393--0.065178))+0-590.5--0.30115499999994</f>
        <v>1811.5756249999997</v>
      </c>
      <c r="Y17" s="3">
        <f>2072.4+(732.2-314.1)+(3.170772+(1.120266-0.480573))+0-537.5-0.822375000000031</f>
        <v>1955.9880900000001</v>
      </c>
      <c r="Z17" s="3">
        <f>2279.8+(1155.9-648.6)+(0+(0-0))+0-561.8-0</f>
        <v>2225.3000000000002</v>
      </c>
      <c r="AA17" s="3">
        <f>2143.1+(966-397.4)+(-3.278943+(-1.47798--0.608022))+0-627.3--0.959769000000036</f>
        <v>2081.2108680000001</v>
      </c>
      <c r="AB17" s="3">
        <f>2050.6+(744.2-236.8)+(-4.183224+(-1.518168--0.483072))+0-584.1--1.19156399999997</f>
        <v>1969.8732440000001</v>
      </c>
      <c r="AC17" s="3">
        <f>2052.9+(869-313.7)+(-5.234895+(-2.21595--0.799935))+0-665.1--1.6960049999999</f>
        <v>1938.1450949999999</v>
      </c>
      <c r="AD17" s="2">
        <v>2347.6</v>
      </c>
      <c r="AE17" s="3">
        <f>2291+(1195.8-532.8)+(0+(0-0))+0-606.4-0</f>
        <v>2347.6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1787.7+(810.7-147.5)+(2.735181+(1.240371-0.225675))+0-693.2-1.06059600000004</f>
        <v>1760.3892810000002</v>
      </c>
      <c r="G18" s="3">
        <f>1794.7+(788.9-178.2)+(-2.745891+(-1.207017--0.272646))+0-752.3--1.15101900000004</f>
        <v>1650.5707570000004</v>
      </c>
      <c r="H18" s="3">
        <f>1828.3+(704.3-228.5)+(-0.932433+(-0.359193--0.116535))+0-702.6--0.358325999999929</f>
        <v>1600.683235</v>
      </c>
      <c r="I18" s="3">
        <f>1727.2+(639.1-186.2)+(-4.40436+(-1.629705--0.47481))+0-627--1.59884999999991</f>
        <v>1549.1395949999996</v>
      </c>
      <c r="J18" s="3">
        <f>1729.8+(763-224.4)+(3.528792+(1.55652-0.457776))+0-721.9-1.47267599999997</f>
        <v>1549.6548600000001</v>
      </c>
      <c r="K18" s="3">
        <f>1731.5+(672.3-166.5)+(-0.883065+(-0.342873--0.084915))+0-691.5--0.35266499999993</f>
        <v>1545.0116419999999</v>
      </c>
      <c r="L18" s="3">
        <f>1733.8+(607.6-144)+(-3.536952+(-1.239504--0.29376))+0-717.4--1.46349599999997</f>
        <v>1476.9808</v>
      </c>
      <c r="M18" s="3">
        <f>1674.9+(532.2-150.8)+(-2.562597+(-0.814266--0.230724))+0-624--0.954720000000036</f>
        <v>1430.1085810000002</v>
      </c>
      <c r="N18" s="3">
        <f>1638.7+(637.7-143.7)+(-0.835737+(-0.325227--0.073287))+0-639.7--0.326246999999935</f>
        <v>1492.2385700000002</v>
      </c>
      <c r="O18" s="3">
        <f>1769+(572.6-121.9)+(0+(0-0))+0-637.1-0</f>
        <v>1582.6</v>
      </c>
      <c r="P18" s="3">
        <f>1897.7+(478.9-147.6)+(0+(0-0))+0-557.5-0</f>
        <v>1671.5</v>
      </c>
      <c r="Q18" s="3">
        <f>1891.7+(751.9-185.1)+(0.964767+(0.383469-0.094401))+0-742.6-0.378725999999925</f>
        <v>1716.7751090000002</v>
      </c>
      <c r="R18" s="3">
        <f>1885.6+(714.5-304.6)+(-0.961656+(-0.364395--0.155346))+0-604.5--0.308294999999939</f>
        <v>1690.13759</v>
      </c>
      <c r="S18" s="3">
        <f>1883.2+(741.5-306.2)+(-1.920864+(-0.75633--0.312324))+0-676.3--0.689826000000108</f>
        <v>1640.5249560000002</v>
      </c>
      <c r="T18" s="3">
        <f>1883.6+(702.1-320.7)+(-0.960636+(-0.358071--0.163557))+0-661.5--0.337364999999933</f>
        <v>1602.6822149999998</v>
      </c>
      <c r="U18" s="3">
        <f>1885+(481.8-318.7)+(-4.80675+(-1.22859--0.812685))+0-467.9--1.19314499999993</f>
        <v>1576.1704899999997</v>
      </c>
      <c r="V18" s="3">
        <f>1877.7+(626.9-312.5)+(0+(0-0))+0-604.3-0</f>
        <v>1587.8</v>
      </c>
      <c r="W18" s="3">
        <f>1880.7+(568-286.6)+(-4.795785+(-1.4484--0.73083))+0-552.4--1.40861999999992</f>
        <v>1605.5952649999997</v>
      </c>
      <c r="X18" s="3">
        <f>1884+(517-195.8)+(-0.96084+(-0.26367--0.099858))+0-535.5--0.273104999999946</f>
        <v>1668.8484529999998</v>
      </c>
      <c r="Y18" s="3">
        <f>1980+(821.2-431.3)+(-1.0098+(-0.418812--0.219963))+0-537.4--0.274073999999945</f>
        <v>1831.5654249999998</v>
      </c>
      <c r="Z18" s="3">
        <f>2236.5+(1183.9-909.8)+(-3.421845+(-1.811367--1.391994))+0-543.2--0.831096000000031</f>
        <v>1964.3898780000004</v>
      </c>
      <c r="AA18" s="3">
        <f>2123.1+(1188.1-727.3)+(-4.331124+(-2.423724--1.483692))+0-633.4--1.29213599999997</f>
        <v>1946.5209799999998</v>
      </c>
      <c r="AB18" s="3">
        <f>2008.2+(1125.6-590.3)+(-1.024182+(-0.574056--0.301053))+0-642.1--0.327470999999935</f>
        <v>1900.430286</v>
      </c>
      <c r="AC18" s="3">
        <f>2079.9+(1014.1-537.7)+(1.060749+(0.517191-0.274227))+0-724.5-0.369494999999927</f>
        <v>1832.7342180000001</v>
      </c>
      <c r="AD18" s="2">
        <v>1855.5</v>
      </c>
      <c r="AE18" s="3">
        <f>2268+(1262.4-945)+(0+(0-0))+0-729.9-0</f>
        <v>1855.5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2082.7+(673.7-389.8)+(-5.310885+(-1.717935--0.99399))+0-610.3--1.55626499999991</f>
        <v>1751.8214349999998</v>
      </c>
      <c r="G19" s="3">
        <f>2001.7+(755.6-399.5)+(-5.104335+(-1.92678--1.018725))+0-754.4--1.92371999999989</f>
        <v>1599.3113300000002</v>
      </c>
      <c r="H19" s="3">
        <f>1902.1+(527.1-339.3)+(2.910213+(0.806463-0.519129))+0-538.3-0.823599000000031</f>
        <v>1553.9739480000003</v>
      </c>
      <c r="I19" s="3">
        <f>1898.9+(652.4-315.8)+(4.842195+(1.66362-0.80529))+0-713.1-1.8184049999999</f>
        <v>1526.2821200000003</v>
      </c>
      <c r="J19" s="3">
        <f>1888.3+(561.9-373.5)+(-4.815165+(-1.432845--0.952425))+0-563.7--1.43743499999992</f>
        <v>1509.1418499999997</v>
      </c>
      <c r="K19" s="3">
        <f>1808.1+(709.8-244.6)+(0+(0-0))+0-742.5-0</f>
        <v>1530.7999999999997</v>
      </c>
      <c r="L19" s="3">
        <f>1835.3+(510.2-179.4)+(-3.744012+(-1.040808--0.365976))+0-604.8--1.23379199999997</f>
        <v>1558.1149480000001</v>
      </c>
      <c r="M19" s="3">
        <f>1925.9+(537.8-185.4)+(0.982209+(0.274278-0.094554))+0-619.4-0.315893999999937</f>
        <v>1659.7460390000001</v>
      </c>
      <c r="N19" s="3">
        <f>2131.3+(631-276.3)+(2.173926+(0.64362-0.281826))+0-609.8-0.621996000000097</f>
        <v>1878.1137239999998</v>
      </c>
      <c r="O19" s="3">
        <f>2172.8+(732.1-285.4)+(0+(0-0))+0-584-0</f>
        <v>2035.5</v>
      </c>
      <c r="P19" s="3">
        <f>2190+(693.4-231)+(-1.1169+(-0.353634--0.11781))+0-627.7--0.320126999999936</f>
        <v>2023.6674030000001</v>
      </c>
      <c r="Q19" s="3">
        <f>2214.5+(864.7-325.1)+(-4.51758+(-1.763988--0.663204))+0-637.6--1.30070399999997</f>
        <v>2112.1823399999998</v>
      </c>
      <c r="R19" s="3">
        <f>2254.5+(870.6-385.3)+(2.29959+(0.888012-0.393006))+0-618.9-0.631278000000099</f>
        <v>2123.063318</v>
      </c>
      <c r="S19" s="3">
        <f>2220.2+(636.7-395.4)+(-3.396906+(-0.974151--0.604962))+0-545.8--0.835074000000032</f>
        <v>1912.7689790000002</v>
      </c>
      <c r="T19" s="3">
        <f>2126+(845.5-401.3)+(-1.08426+(-0.431205--0.204663))+0-612.1--0.312170999999938</f>
        <v>1957.101369</v>
      </c>
      <c r="U19" s="3">
        <f>2144.5+(819.7-378.7)+(-3.281085+(-1.254141--0.579411))+0-594.5--0.909585000000034</f>
        <v>1987.9537700000003</v>
      </c>
      <c r="V19" s="3">
        <f>2147.5+(865-332.4)+(1.095225+(0.44115-0.169524))+0-672.9-0.343178999999932</f>
        <v>2008.2236720000001</v>
      </c>
      <c r="W19" s="3">
        <f>2162.5+(675.6-318.4)+(-2.20575+(-0.689112--0.324768))+0-575.4--0.586908000000092</f>
        <v>1942.3168139999996</v>
      </c>
      <c r="X19" s="3">
        <f>2193+(489.4-247.1)+(-4.47372+(-0.998376--0.504084))+0-472.4--0.963695999999979</f>
        <v>1958.8956840000003</v>
      </c>
      <c r="Y19" s="3">
        <f>2226+(641-243.9)+(1.13526+(0.32691-0.124389))+0-562.7-0.286976999999943</f>
        <v>2061.4508040000001</v>
      </c>
      <c r="Z19" s="3">
        <f>2409.3+(685.4-368.5)+(-3.686229+(-1.048662--0.563805))+0-634.3--0.970479000000037</f>
        <v>2088.6993930000003</v>
      </c>
      <c r="AA19" s="3">
        <f>2355.6+(990.4-583.5)+(-6.00678+(-2.52552--1.487925))+0-692.3--1.7653649999999</f>
        <v>2064.9209900000001</v>
      </c>
      <c r="AB19" s="3">
        <f>2288.1+(870.4-539.7)+(-4.667724+(-1.775616--1.100988))+0-588.7--1.20094799999997</f>
        <v>2025.9585959999995</v>
      </c>
      <c r="AC19" s="3">
        <f>2230.4+(928.7-415.9)+(-4.550016+(-1.894548--0.848436))+0-678.8--1.38475199999997</f>
        <v>2060.1886240000003</v>
      </c>
      <c r="AD19" s="2">
        <v>2172.3999999999996</v>
      </c>
      <c r="AE19" s="3">
        <f>2416+(708.1-297.8)+(0+(0-0))+0-653.9-0</f>
        <v>2172.4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2090+(605.1-255.7)+(0+(0-0))+0-691.8-0</f>
        <v>1747.6000000000001</v>
      </c>
      <c r="G20" s="3">
        <f>2051.1+(705.3-368.9)+(-4.184244+(-1.438812--0.752556))+0-724.4--1.47777599999997</f>
        <v>1659.7072759999999</v>
      </c>
      <c r="H20" s="3">
        <f>1945.7+(602.1-306)+(-3.969228+(-1.228284--0.62424))+0-609.2--1.24276799999997</f>
        <v>1629.2694960000001</v>
      </c>
      <c r="I20" s="3">
        <f>1896.4+(734.3-230.2)+(-1.934328+(-0.748986--0.234804))+0-790.4--0.806208000000126</f>
        <v>1608.4576979999999</v>
      </c>
      <c r="J20" s="3">
        <f>1896.3+(418.3-187.4)+(-2.901339+(-0.639999--0.286722))+0-535.8--0.819774000000031</f>
        <v>1588.9651579999997</v>
      </c>
      <c r="K20" s="3">
        <f>1895.2+(454.8-151.6)+(0.966552+(0.231948-0.077316))+0-603.2-0.307631999999939</f>
        <v>1596.0135520000001</v>
      </c>
      <c r="L20" s="3">
        <f>1893.9+(417.7-158.1)+(0+(0-0))+0-551.4-0</f>
        <v>1602.1</v>
      </c>
      <c r="M20" s="3">
        <f>1971.9+(450.5-144.6)+(-1.005669+(-0.229755--0.073746))+0-584.1--0.297890999999941</f>
        <v>1692.8362130000003</v>
      </c>
      <c r="N20" s="3">
        <f>2061.7+(559.9-114.1)+(-3.154401+(-0.856647--0.174573))+0-574.9--0.879597000000033</f>
        <v>1929.6431219999999</v>
      </c>
      <c r="O20" s="3">
        <f>2154.9+(559.1-164.8)+(1.098999+(0.285141-0.084048))+0-476.5-0.243014999999952</f>
        <v>2073.7570770000002</v>
      </c>
      <c r="P20" s="3">
        <f>2288.2+(786.5-283.5)+(0+(0-0))+0-603.2-0</f>
        <v>2188</v>
      </c>
      <c r="Q20" s="3">
        <f>2393+(919.4-638.5)+(2.44086+(0.937788-0.65127))+0-487.6-0.497352000000078</f>
        <v>2188.5300260000004</v>
      </c>
      <c r="R20" s="3">
        <f>2660.6+(1018.5-883.8)+(1.356906+(0.519435-0.450738))+0-639.4-0.326093999999935</f>
        <v>2156.9995090000002</v>
      </c>
      <c r="S20" s="3">
        <f>2551.9+(562.1-795.1)+(-7.808814+(-1.720026--2.433006))+0-411.7--1.25980200000005</f>
        <v>1901.3639679999999</v>
      </c>
      <c r="T20" s="3">
        <f>2545.5+(453.3-600.9)+(-2.59641+(-0.462366--0.612918))+0-423.7--0.432174000000068</f>
        <v>1972.186316</v>
      </c>
      <c r="U20" s="3">
        <f>2567.3+(495.8-533.7)+(-3.927969+(-0.758574--0.816561))+0-519.3--0.79452900000003</f>
        <v>2007.024547</v>
      </c>
      <c r="V20" s="3">
        <f>2559.8+(456.4-542.5)+(-1.305498+(-0.232764--0.276675))+0-477--0.243269999999952</f>
        <v>1995.6816830000002</v>
      </c>
      <c r="W20" s="3">
        <f>2479.8+(477-484.1)+(1.264698+(0.24327-0.246891))+0-496.6-0.25326599999995</f>
        <v>1977.1078110000005</v>
      </c>
      <c r="X20" s="3">
        <f>2474.9+(509.7-450.1)+(-3.786597+(-0.779841--0.688653))+0-572.1--0.875313000000033</f>
        <v>1959.397528</v>
      </c>
      <c r="Y20" s="3">
        <f>2597.7+(731.8-666.5)+(-2.649654+(-0.746436--0.67983))+0-600.2--0.612204000000096</f>
        <v>2060.6959440000001</v>
      </c>
      <c r="Z20" s="3">
        <f>2828.5+(1149-1190.9)+(-7.212675+(-2.92995--3.036795))+0-571--1.45604999999992</f>
        <v>2209.9502199999997</v>
      </c>
      <c r="AA20" s="3">
        <f>2841.1+(1031.2-1233.2)+(-5.795844+(-2.103648--2.515728))+0-491.8--1.00327199999998</f>
        <v>2142.9195079999995</v>
      </c>
      <c r="AB20" s="3">
        <f>2700.2+(918.3-1266.9)+(-2.754204+(-0.936666--1.292238))+0-285.3--0.291006000000046</f>
        <v>2064.1923739999993</v>
      </c>
      <c r="AC20" s="3">
        <f>2630.9+(855.3-1024)+(-4.025277+(-1.308609--1.56672))+0-488.6--0.747558000000028</f>
        <v>1970.5803919999998</v>
      </c>
      <c r="AD20" s="2">
        <v>2248.3999999999996</v>
      </c>
      <c r="AE20" s="3">
        <f>2923+(1202.7-1288.8)+(0+(0-0))+0-588.5-0</f>
        <v>2248.4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2391.8+(709.7-547)+(-3.659454+(-1.085841--0.83691))+0-716.7--1.09655100000004</f>
        <v>1834.9881659999999</v>
      </c>
      <c r="G21" s="3">
        <f>2356.3+(643.2-695)+(-4.806852+(-1.312128--1.4178))+0-600.8--1.22563199999997</f>
        <v>1700.2244519999999</v>
      </c>
      <c r="H21" s="3">
        <f>2236.5+(448.8-536.8)+(-2.28123+(-0.457776--0.547536))+0-493--0.502860000000079</f>
        <v>1653.8113899999998</v>
      </c>
      <c r="I21" s="3">
        <f>2236.1+(347.9-515.2)+(-3.421233+(-0.532287--0.788256))+0-430.3--0.658359000000025</f>
        <v>1635.9930949999996</v>
      </c>
      <c r="J21" s="3">
        <f>2192.9+(300.3-415.6)+(-1.118379+(-0.153153--0.211956))+0-461.2--0.235211999999953</f>
        <v>1615.5756359999998</v>
      </c>
      <c r="K21" s="3">
        <f>2195.1+(391.4-369.7)+(1.119501+(0.199614-0.188547))+0-598-0.304979999999939</f>
        <v>1619.6255879999999</v>
      </c>
      <c r="L21" s="3">
        <f>2245.9+(387.7-380.6)+(-8.017863+(-1.384089--1.358742))+0-595.7--2.12664900000001</f>
        <v>1651.3834390000002</v>
      </c>
      <c r="M21" s="3">
        <f>2247.4+(344.8-339.2)+(0+(0-0))+0-505.5-0</f>
        <v>1747.5</v>
      </c>
      <c r="N21" s="3">
        <f>2413.8+(386.5-303.2)+(1.231038+(0.197115-0.154632))+0-519.3-0.264842999999947</f>
        <v>1978.8086780000006</v>
      </c>
      <c r="O21" s="3">
        <f>2521.5+(450-405.2)+(-2.57193+(-0.459--0.413304))+0-520.6--0.531012000000083</f>
        <v>2043.6133860000002</v>
      </c>
      <c r="P21" s="3">
        <f>2630.8+(885-920.7)+(1.341708+(0.45135-0.469557))+0-459.3-0.234242999999953</f>
        <v>2136.8892580000002</v>
      </c>
      <c r="Q21" s="3">
        <f>2472.3+(1661.3-1366.3)+(0+(0-0))+0-604.4-0</f>
        <v>2162.9</v>
      </c>
      <c r="R21" s="3">
        <f>2398.8+(1299-1271.2)+(0+(0-0))+0-305.4-0</f>
        <v>2121.2000000000003</v>
      </c>
      <c r="S21" s="3">
        <f>2233+(998.6-1131.9)+(-5.69415+(-2.54643--2.886345))+0-188.8--0.481439999999973</f>
        <v>1906.0272050000001</v>
      </c>
      <c r="T21" s="3">
        <f>2507.4+(904.4-998.3)+(0+(0-0))+0-380.4-0</f>
        <v>2033.1</v>
      </c>
      <c r="U21" s="3">
        <f>2734.5+(689.1-861.4)+(-2.78919+(-0.702882--0.878628))+0-517.4--0.527748000000082</f>
        <v>2042.7143039999996</v>
      </c>
      <c r="V21" s="3">
        <f>2746.7+(566.8-817.3)+(-4.202451+(-0.867204--1.250469))+0-451.6--0.690948000000026</f>
        <v>2041.4717619999997</v>
      </c>
      <c r="W21" s="3">
        <f>2731.7+(410-557.5)+(-1.393167+(-0.2091--0.284325))+0-560.7--0.285956999999943</f>
        <v>2022.4680149999997</v>
      </c>
      <c r="X21" s="3">
        <f>2636.1+(395.3-388)+(-4.033233+(-0.604809--0.59364))+0-633.7--0.969561000000037</f>
        <v>2006.6251590000002</v>
      </c>
      <c r="Y21" s="3">
        <f>2695.6+(547.2-484.1)+(-1.374756+(-0.279072--0.246891))+0-640--0.326399999999935</f>
        <v>2117.6194629999995</v>
      </c>
      <c r="Z21" s="3">
        <f>2802+(722.4-652.8)+(-2.85804+(-0.736848--0.665856))+0-613.9--0.626178000000098</f>
        <v>2255.3971459999998</v>
      </c>
      <c r="AA21" s="3">
        <f>2812.6+(614.5-590.6)+(-1.434426+(-0.313395--0.301206))+0-662.4--0.337823999999933</f>
        <v>2172.9912089999998</v>
      </c>
      <c r="AB21" s="3">
        <f>2675.3+(521.9-539.4)+(-5.457612+(-1.064676--1.100376))+0-558.1--1.13852399999998</f>
        <v>2095.4166120000004</v>
      </c>
      <c r="AC21" s="3">
        <f>2465.4+(545.1-368.3)+(1.257354+(0.278001-0.187833))+0-654.1-0.333590999999934</f>
        <v>1989.1139310000005</v>
      </c>
      <c r="AD21" s="2">
        <v>2196.3000000000002</v>
      </c>
      <c r="AE21" s="3">
        <f>2793+(755.1-690.8)+(0+(0-0))+0-661-0</f>
        <v>2196.3000000000002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2460.7+(566.3-552)+(1.254957+(0.288813-0.28152))+0-617.2-0.314771999999937</f>
        <v>1858.7474780000002</v>
      </c>
      <c r="G22" s="3">
        <f>2460.7+(596.2-631.2)+(-1.254957+(-0.304062--0.321912))+0-669.5--0.341444999999932</f>
        <v>1755.3043379999999</v>
      </c>
      <c r="H22" s="3">
        <f>2357.1+(497.6-622.6)+(-1.202121+(-0.253776--0.317526))+0-537.3--0.274022999999945</f>
        <v>1693.9356519999999</v>
      </c>
      <c r="I22" s="3">
        <f>2341.3+(549.3-497.9)+(0+(0-0))+0-734.7-0</f>
        <v>1658.0000000000002</v>
      </c>
      <c r="J22" s="3">
        <f>2280.3+(504.1-457.7)+(0+(0-0))+0-670.1-0</f>
        <v>1656.6000000000004</v>
      </c>
      <c r="K22" s="3">
        <f>2256.3+(380.2-434.3)+(-3.452139+(-0.581706--0.664479))+0-553.3--0.846549000000032</f>
        <v>1646.3771830000005</v>
      </c>
      <c r="L22" s="3">
        <f>2257.3+(258.3-495.4)+(-2.302446+(-0.263466--0.505308))+0-347.7--0.354654000000055</f>
        <v>1670.7940500000002</v>
      </c>
      <c r="M22" s="3">
        <f>2287.4+(148.5-345)+(2.333148+(0.15147-0.3519))+0-325.9-0.332418000000052</f>
        <v>1766.8002999999999</v>
      </c>
      <c r="N22" s="3">
        <f>2636.6+(390.5-531.2)+(5.378664+(0.79662-1.083648))+0-500.4-1.02081599999998</f>
        <v>1999.5708199999997</v>
      </c>
      <c r="O22" s="3">
        <f>2825+(685.5-803.5)+(-2.8815+(-0.69921--0.81957))+0-593.2--0.605064000000095</f>
        <v>2111.643924</v>
      </c>
      <c r="P22" s="3">
        <f>2929.9+(721.6-966.7)+(-1.494249+(-0.368016--0.493017))+0-474--0.241739999999952</f>
        <v>2209.6724920000001</v>
      </c>
      <c r="Q22" s="3">
        <f>2935.1+(951.1-985.7)+(2.993802+(0.970122-1.005414))+0-622.3-0.634746000000099</f>
        <v>2280.523764</v>
      </c>
      <c r="R22" s="3">
        <f>2931.8+(1134-1218.3)+(0+(0-0))+0-641.3-0</f>
        <v>2206.1999999999998</v>
      </c>
      <c r="S22" s="3">
        <f>2838.6+(1087-1325.8)+(-5.790744+(-2.21748--2.704632))+0-558.5--1.13933999999998</f>
        <v>2037.1357479999999</v>
      </c>
      <c r="T22" s="3">
        <f>2821.2+(1043.4-1227.6)+(2.877624+(1.064268-1.252152))+0-541.4-0.552228000000086</f>
        <v>2097.7375119999997</v>
      </c>
      <c r="U22" s="3">
        <f>2827.9+(1005.8-1236.6)+(2.884458+(1.025916-1.261332))+0-558.3-0.569466000000089</f>
        <v>2040.8795760000003</v>
      </c>
      <c r="V22" s="3">
        <f>2831.3+(886.1-1157.5)+(-4.331889+(-1.355733--1.770975))+0-486.6--0.744498000000028</f>
        <v>2070.1278510000002</v>
      </c>
      <c r="W22" s="3">
        <f>2481.2+(729.6-636.2)+(-1.265412+(-0.372096--0.324462))+0-538--0.274379999999945</f>
        <v>2035.5613339999995</v>
      </c>
      <c r="X22" s="3">
        <f>2462.6+(628.4-438.7)+(-6.27963+(-1.60242--1.118685))+0-583.8--1.48868999999992</f>
        <v>2063.2253250000003</v>
      </c>
      <c r="Y22" s="3">
        <f>2590.4+(928.5-750.3)+(2.642208+(0.94707-0.765306))+0-724.1-0.738582000000116</f>
        <v>2046.5853900000004</v>
      </c>
      <c r="Z22" s="3">
        <f>2763.7+(1359.1-1164.4)+(-1.409487+(-0.693141--0.593844))+0-702.6--0.358325999999929</f>
        <v>2254.6495419999997</v>
      </c>
      <c r="AA22" s="3">
        <f>2765.8+(1184.2-1034)+(-5.642232+(-2.415768--2.10936))+0-647.3--1.32049199999997</f>
        <v>2264.071852</v>
      </c>
      <c r="AB22" s="3">
        <f>2703.7+(1034.5-877.3)+(-2.757774+(-1.05519--0.894846))+0-711.9--0.726138000000114</f>
        <v>2146.8080199999995</v>
      </c>
      <c r="AC22" s="3">
        <f>2717.8+(944-811)+(-5.544312+(-1.92576--1.65444))+0-816.4--1.66545599999996</f>
        <v>2030.2498240000002</v>
      </c>
      <c r="AD22" s="2">
        <v>2246.8000000000002</v>
      </c>
      <c r="AE22" s="3">
        <f>2761+(1437.1-1168.5)+(0+(0-0))+0-782.8-0</f>
        <v>2246.8000000000002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2671.1+(747.3-860)+(-1.362261+(-0.381123--0.4386))+0-690.7--0.35225699999993</f>
        <v>1866.7474729999997</v>
      </c>
      <c r="G23" s="3">
        <f>2576.3+(831.9-841.1)+(-3.941739+(-1.272807--1.286883))+0-811.3--1.24128900000005</f>
        <v>1753.1136260000005</v>
      </c>
      <c r="H23" s="3">
        <f>2486.3+(698.9-786.4)+(0+(0-0))+0-685.2-0</f>
        <v>1713.6000000000001</v>
      </c>
      <c r="I23" s="3">
        <f>2409.4+(798-702.9)+(-6.14397+(-2.0349--1.792395))+0-819.3--2.08921499999988</f>
        <v>1680.9027400000002</v>
      </c>
      <c r="J23" s="3">
        <f>2230.5+(893.2-632.1)+(2.27511+(0.911064-0.644742))+0-821.9-0.838338000000131</f>
        <v>1671.4030939999998</v>
      </c>
      <c r="K23" s="3">
        <f>2246.2+(756.3-563.6)+(-1.145562+(-0.385713--0.287436))+0-771.3--0.393362999999922</f>
        <v>1666.7495239999994</v>
      </c>
      <c r="L23" s="3">
        <f>2260.1+(590-446.6)+(-5.763255+(-1.5045--1.13883))+0-739.4--1.88546999999989</f>
        <v>1659.8565449999999</v>
      </c>
      <c r="M23" s="3">
        <f>2259.8+(334.3-326.9)+(-1.152498+(-0.170493--0.166719))+0-459.5--0.234344999999953</f>
        <v>1806.7780729999999</v>
      </c>
      <c r="N23" s="3">
        <f>2295.5+(632.5-336.8)+(-1.170705+(-0.322575--0.171768))+0-531--0.270809999999946</f>
        <v>2059.1492979999998</v>
      </c>
      <c r="O23" s="3">
        <f>2311.1+(1125.3-798.1)+(1.178661+(0.573903-0.407031))+0-625.6-0.319055999999937</f>
        <v>2013.7264769999999</v>
      </c>
      <c r="P23" s="3">
        <f>2605.4+(1291.2-1234.3)+(2.657508+(1.317024-1.258986))+0-419.7-0.428094000000067</f>
        <v>2244.8874520000004</v>
      </c>
      <c r="Q23" s="3">
        <f>2881.3+(1291.1-1300.2)+(0+(0-0))+0-563.4-0</f>
        <v>2308.7999999999997</v>
      </c>
      <c r="R23" s="3">
        <f>2879.8+(1368.4-1391.4)+(-2.937396+(-1.395768--1.419228))+0-633--0.645660000000101</f>
        <v>2221.5317240000004</v>
      </c>
      <c r="S23" s="3">
        <f>2656.1+(1178.1-1252)+(-1.354611+(-0.600831--0.63852))+0-602.1--0.307070999999939</f>
        <v>1979.0901489999999</v>
      </c>
      <c r="T23" s="3">
        <f>2768.6+(1240.2-1475.9)+(-5.647944+(-2.530008--3.010836))+0-466.6--0.95186399999998</f>
        <v>2062.0847479999998</v>
      </c>
      <c r="U23" s="3">
        <f>2527.1+(981-1081.4)+(0+(0-0))+0-382.7-0</f>
        <v>2043.9999999999998</v>
      </c>
      <c r="V23" s="3">
        <f>2526.3+(911-670.6)+(-3.865239+(-1.39383--1.026018))+0-726.6--1.11169800000004</f>
        <v>2036.9786470000001</v>
      </c>
      <c r="W23" s="3">
        <f>2521.1+(796.3-534.2)+(-1.285761+(-0.406113--0.272442))+0-723.3--0.368882999999927</f>
        <v>2058.849451</v>
      </c>
      <c r="X23" s="3">
        <f>2526.8+(756.8-533.2)+(-5.154672+(-1.543872--1.087728))+0-722.5--1.47389999999997</f>
        <v>2023.7630840000002</v>
      </c>
      <c r="Y23" s="3">
        <f>2654.5+(998-687.5)+(1.353795+(0.50898-0.350625))+0-739.2-0.376991999999925</f>
        <v>2226.9351579999998</v>
      </c>
      <c r="Z23" s="3">
        <f>2871.2+(1391.4-1075.5)+(-1.464312+(-0.709614--0.548505))+0-783.8--0.39973799999992</f>
        <v>2402.0743169999996</v>
      </c>
      <c r="AA23" s="3">
        <f>2703.5+(1123.3-881.4)+(-2.75757+(-1.145766--0.899028))+0-715.5--0.729810000000114</f>
        <v>2227.6255020000003</v>
      </c>
      <c r="AB23" s="3">
        <f>2544.3+(1224.8-837.8)+(0+(0-0))+0-704.1-0</f>
        <v>2227.2000000000003</v>
      </c>
      <c r="AC23" s="3">
        <f>2381.4+(1192.4-782)+(-4.858056+(-2.432496--1.59528))+0-751.2--1.53244799999997</f>
        <v>2036.4371760000001</v>
      </c>
      <c r="AD23" s="2">
        <v>2276</v>
      </c>
      <c r="AE23" s="3">
        <f>2945+(1431-1213.2)+(0+(0-0))+0-886.8-0</f>
        <v>2276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2288.3+(1196.6-921.4)+(-2.334066+(-1.220532--0.939828))+0-805--0.821100000000128</f>
        <v>1756.70633</v>
      </c>
      <c r="G24" s="3">
        <f>2390.3+(1186.2-849.6)+(-2.438106+(-1.209924--0.866592))+0-830.7--0.847314000000132</f>
        <v>1894.2658760000002</v>
      </c>
      <c r="H24" s="3">
        <f>2254.7+(1090.6-824.9)+(-5.749485+(-2.78103--2.103495))+0-777.8--1.98338999999989</f>
        <v>1738.1563699999995</v>
      </c>
      <c r="I24" s="3">
        <f>2170.8+(1112.7-761.6)+(-2.214216+(-1.134954--0.776832))+0-837--0.853740000000134</f>
        <v>1683.1814020000004</v>
      </c>
      <c r="J24" s="3">
        <f>2165+(926.4-696.7)+(1.10415+(0.472464-0.355317))+0-706.6-0.360365999999928</f>
        <v>1688.9609310000001</v>
      </c>
      <c r="K24" s="3">
        <f>2169.7+(910.1-583.6)+(1.106547+(0.464151-0.297636))+0-795.1-0.405500999999919</f>
        <v>1701.9675610000002</v>
      </c>
      <c r="L24" s="3">
        <f>2177.5+(785.6-469.3)+(-2.22105+(-0.801312--0.478686))+0-778.7--0.794274000000124</f>
        <v>1713.3505980000004</v>
      </c>
      <c r="M24" s="3">
        <f>2176.5+(709.8-440.9)+(2.22003+(0.723996-0.449718))+0-559.1-0.570282000000089</f>
        <v>1888.2240259999999</v>
      </c>
      <c r="N24" s="3">
        <f>2199.2+(1074.2-445.5)+(4.486368+(2.191368-0.90882))+0-724.9-1.47879599999997</f>
        <v>2107.2901199999997</v>
      </c>
      <c r="O24" s="3">
        <f>2557.5+(1245.2-845.8)+(1.304325+(0.635052-0.431358))+0-725-0.369749999999926</f>
        <v>2233.0382690000001</v>
      </c>
      <c r="P24" s="3">
        <f>2709.7+(1413.7-1114)+(0+(0-0))+0-744.5-0</f>
        <v>2264.8999999999996</v>
      </c>
      <c r="Q24" s="3">
        <f>2792.2+(1516.1-1416.3)+(-1.424022+(-0.773211--0.722313))+0-533.9--0.272288999999946</f>
        <v>2356.8973689999998</v>
      </c>
      <c r="R24" s="3">
        <f>2565.4+(1200.4-1157.5)+(-2.616708+(-1.224408--1.18065))+0-388.1--0.395862000000062</f>
        <v>2217.9353960000003</v>
      </c>
      <c r="S24" s="3">
        <f>2531+(967.5-1024.1)+(-2.58162+(-0.98685--1.044582))+0-558.9--0.570078000000089</f>
        <v>1913.54619</v>
      </c>
      <c r="T24" s="3">
        <f>2523.2+(968.3-1015.8)+(-2.573664+(-0.987666--1.036116))+0-513.2--0.523464000000082</f>
        <v>1960.4982500000001</v>
      </c>
      <c r="U24" s="3">
        <f>2429.2+(919.3-670.4)+(-1.238892+(-0.468843--0.341904))+0-545.4--0.278153999999945</f>
        <v>2131.6123229999998</v>
      </c>
      <c r="V24" s="3">
        <f>2396.1+(685.1-527.9)+(0+(0-0))+0-559.8-0</f>
        <v>1993.5000000000002</v>
      </c>
      <c r="W24" s="3">
        <f>2399.3+(576-430)+(-2.447286+(-0.58752--0.4386))+0-569.2--0.580584000000091</f>
        <v>1974.084378</v>
      </c>
      <c r="X24" s="3">
        <f>2402.3+(609.3-367.3)+(2.450346+(0.621486-0.374646))+0-646.6-0.659532000000103</f>
        <v>1999.737654</v>
      </c>
      <c r="Y24" s="3">
        <f>2505.5+(919.1-592.1)+(0+(0-0))+0-631.4-0</f>
        <v>2201.1</v>
      </c>
      <c r="Z24" s="3">
        <f>2826.6+(1491.5-1224.5)+(-5.766264+(-3.04266--2.49798))+0-748.6--1.52714399999997</f>
        <v>2340.2162000000003</v>
      </c>
      <c r="AA24" s="3">
        <f>2815.7+(1345.4-1385.1)+(-2.872014+(-1.372308--1.412802))+0-651.4--0.664428000000104</f>
        <v>2122.4329079999998</v>
      </c>
      <c r="AB24" s="3">
        <f>2564.7+(1226.4-1023.6)+(-5.231988+(-2.501856--2.088144))+0-730.8--1.49083199999997</f>
        <v>2032.545132</v>
      </c>
      <c r="AC24" s="3">
        <f>2564.7+(937.1-962.8)+(-3.923991+(-1.433763--1.473084))+0-619.5--0.947835000000036</f>
        <v>1916.563165</v>
      </c>
      <c r="AD24" s="2">
        <v>2406.1</v>
      </c>
      <c r="AE24" s="3">
        <f>2829+(1611.8-1269.3)+(0+(0-0))+0-884.4-0</f>
        <v>2287.1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2563.2+(685.8-767.2)+(-2.614464+(-0.699516--0.782544))+0-670.6--0.684012000000107</f>
        <v>1809.3525759999998</v>
      </c>
      <c r="G25" s="3">
        <f>2559.2+(635.7-684.9)+(-3.915576+(-0.972621--1.047897))+0-760.7--1.16387100000004</f>
        <v>1746.6235710000001</v>
      </c>
      <c r="H25" s="3">
        <f>2334.4+(732.7-628)+(-2.381088+(-0.747354--0.64056))+0-711.3--0.725526000000113</f>
        <v>1726.0376440000007</v>
      </c>
      <c r="I25" s="3">
        <f>2325.8+(682.9-548.9)+(-2.372316+(-0.696558--0.559878))+0-789.1--0.804882000000126</f>
        <v>1668.9958860000004</v>
      </c>
      <c r="J25" s="3">
        <f>2328.1+(547.9-485.8)+(2.374662+(0.558858-0.495516))+0-763.7-0.778974000000122</f>
        <v>1628.1590299999998</v>
      </c>
      <c r="K25" s="3">
        <f>2325.3+(600.4-425.3)+(-1.185903+(-0.306204--0.216903))+0-868.8--0.443087999999912</f>
        <v>1630.7678840000001</v>
      </c>
      <c r="L25" s="3">
        <f>2258.8+(243.2-322.7)+(-6.911928+(-0.744192--0.987462))+0-647.9--1.98257400000007</f>
        <v>1526.7139160000002</v>
      </c>
      <c r="M25" s="3">
        <f>2156.2+(304-283)+(-1.099662+(-0.15504--0.14433))+0-664.3--0.338792999999933</f>
        <v>1512.1284209999997</v>
      </c>
      <c r="N25" s="3">
        <f>2252.6+(391.7-341.3)+(1.148826+(0.199767-0.174063))+0-702.3-0.358172999999929</f>
        <v>1601.516357</v>
      </c>
      <c r="O25" s="3">
        <f>2302.5+(432.1-394.1)+(-1.174275+(-0.220371--0.200991))+0-624.7--0.318596999999937</f>
        <v>1714.9249419999999</v>
      </c>
      <c r="P25" s="3">
        <f>2350.7+(723.4-427.5)+(1.198857+(0.368934-0.218025))+0-815.5-0.415904999999917</f>
        <v>1832.0338609999999</v>
      </c>
      <c r="Q25" s="3">
        <f>2339.7+(807.2-621.9)+(-2.386494+(-0.823344--0.634338))+0-613.4--0.625668000000098</f>
        <v>1909.6501680000001</v>
      </c>
      <c r="R25" s="3">
        <f>2444.6+(913.2-775.2)+(1.246746+(0.465732-0.395352))+0-763.6-0.389435999999923</f>
        <v>1819.92769</v>
      </c>
      <c r="S25" s="3">
        <f>2480.4+(676.2-891.8)+(1.265004+(0.344862-0.454818))+63.3-588-0.29987999999994</f>
        <v>1740.9551680000004</v>
      </c>
      <c r="T25" s="3">
        <f>2445.8+(794.7-920.2)+(1.247358+(0.405297-0.469302))+0-647.3-0.330122999999934</f>
        <v>1673.8532300000002</v>
      </c>
      <c r="U25" s="3">
        <f>2411.1+(778-893.5)+(-2.459322+(-0.79356--0.91137))+0-605--0.617100000000096</f>
        <v>1688.8755880000001</v>
      </c>
      <c r="V25" s="3">
        <f>2426.7+(739.6-907.7)+(2.475234+(0.754392-0.925854))+0-574.9-0.586398000000092</f>
        <v>1685.4173739999999</v>
      </c>
      <c r="W25" s="3">
        <f>2427.1+(832.8-899.7)+(3.713463+(1.274184-1.376541))+0-634.6-0.970938000000037</f>
        <v>1728.2401679999998</v>
      </c>
      <c r="X25" s="3">
        <f>2430.1+(700.3-863.5)+(-3.718053+(-1.071459--1.321155))+0-595--0.910350000000034</f>
        <v>1669.3419929999995</v>
      </c>
      <c r="Y25" s="3">
        <f>2452.6+(825.6-805.3)+(1.250826+(0.421056-0.410703))+0-733-0.373829999999926</f>
        <v>1740.7873490000002</v>
      </c>
      <c r="Z25" s="3">
        <f>2661.6+(1014-1061.5)+(-4.072248+(-1.55142--1.624095))+0-653.8--1.00031400000004</f>
        <v>1957.300741</v>
      </c>
      <c r="AA25" s="3">
        <f>2617.2+(1099-1049)+(-6.67386+(-2.80245--2.67495))+0-742.8--1.89413999999989</f>
        <v>1919.4927799999998</v>
      </c>
      <c r="AB25" s="3">
        <f>2528.4+(970.3-1036.7)+(-2.578968+(-0.989706--1.057434))+0-594.6--0.606492000000095</f>
        <v>1865.4952520000004</v>
      </c>
      <c r="AC25" s="3">
        <f>2631.3+(1040.6-1107.9)+(-1.341963+(-0.530706--0.565029))+0-787.2--0.40147199999992</f>
        <v>1775.893832</v>
      </c>
      <c r="AD25" s="2">
        <v>1908.5999999999997</v>
      </c>
      <c r="AE25" s="3">
        <f>2612+(1104.2-1010.8)+(0+(0-0))+0-806.8-0</f>
        <v>1898.6000000000001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2415.2+(376.6-655.2)+(-1.231752+(-0.192066--0.334152))+0-539.5--0.275144999999945</f>
        <v>1596.2854789999999</v>
      </c>
      <c r="G26" s="3">
        <f>2359.8+(331.2-552.1)+(1.203498+(0.168912-0.281571))+0-770.7-0.393056999999922</f>
        <v>1368.897782</v>
      </c>
      <c r="H26" s="3">
        <f>2272.6+(356.2-537.8)+(-1.159026+(-0.181662--0.274278))+0-627--0.319769999999936</f>
        <v>1463.2533599999999</v>
      </c>
      <c r="I26" s="3">
        <f>2181.4+(564.4-445.3)+(-2.225028+(-0.575688--0.454206))+0-758.8--0.773976000000121</f>
        <v>1540.1274660000004</v>
      </c>
      <c r="J26" s="3">
        <f>2133.7+(551.8-459.8)+(4.352748+(1.125672-0.937992))+0-695.5-1.41881999999997</f>
        <v>1533.3216079999997</v>
      </c>
      <c r="K26" s="3">
        <f>2133.6+(543.7-379.1)+(-2.176272+(-0.554574--0.386682))+0-722.8--0.737256000000115</f>
        <v>1573.7930919999999</v>
      </c>
      <c r="L26" s="3">
        <f>2137.1+(490.9-310.7)+(3.269763+(0.751077-0.475371))+0-695.9-1.06472700000004</f>
        <v>1623.8807419999998</v>
      </c>
      <c r="M26" s="3">
        <f>2137.7+(455.7-312.4)+(-1.090227+(-0.232407--0.159324))+0-644.9--0.328898999999935</f>
        <v>1635.2655889999999</v>
      </c>
      <c r="N26" s="3">
        <f>2160.2+(872.2-465.8)+(-1.101702+(-0.444822--0.237558))+0-753.5--0.384284999999924</f>
        <v>1812.1753189999997</v>
      </c>
      <c r="O26" s="3">
        <f>2315.7+(939.9-683.7)+(-2.362014+(-0.958698--0.697374))+0-646.4--0.659328000000103</f>
        <v>1923.5359899999999</v>
      </c>
      <c r="P26" s="3">
        <f>2335.4+(1157-707.6)+(-3.573162+(-1.77021--1.082628))+0-788--1.20564000000005</f>
        <v>1993.7448960000002</v>
      </c>
      <c r="Q26" s="3">
        <f>2362.3+(1180.7-878.3)+(-4.819092+(-2.408628--1.791732))+0-595.5--1.21481999999997</f>
        <v>2064.9788320000002</v>
      </c>
      <c r="R26" s="3">
        <f>2532.9+(1506.1-1011.6)+(-3.875337+(-2.304333--1.547748))+0-675.4--1.03336200000004</f>
        <v>2348.4014400000001</v>
      </c>
      <c r="S26" s="3">
        <f>2481.3+(1451.2-1081.2)+(-5.061852+(-2.960448--2.205648))+0-636.4--1.29825599999997</f>
        <v>2210.3816040000002</v>
      </c>
      <c r="T26" s="3">
        <f>2454.6+(1496.5-1096.1)+(-3.755538+(-2.289645--1.677033))+0-624.3--0.955179000000036</f>
        <v>2227.2870290000005</v>
      </c>
      <c r="U26" s="3">
        <f>2473.2+(1427.5-1149.2)+(-7.567992+(-4.36815--3.516552))+0-497.1--1.52112600000006</f>
        <v>2247.5015360000002</v>
      </c>
      <c r="V26" s="3">
        <f>2356.8+(1445.8-959.3)+(-1.201968+(-0.737358--0.489243))+0-655.1--0.334100999999934</f>
        <v>2187.084018</v>
      </c>
      <c r="W26" s="3">
        <f>2311.4+(1314.4-846)+(-5.89407+(-3.35172--2.1573))+0-550.4--1.40351999999992</f>
        <v>2223.7150299999998</v>
      </c>
      <c r="X26" s="3">
        <f>2292.2+(1152.4-821.6)+(-1.169022+(-0.587724--0.419016))+0-444.3--0.226592999999955</f>
        <v>2177.5888629999995</v>
      </c>
      <c r="Y26" s="3">
        <f>2394.4+(1286.6-1188)+(1.221144+(0.656166-0.60588))+0-471.3-0.240362999999952</f>
        <v>2022.7310669999999</v>
      </c>
      <c r="Z26" s="3">
        <f>2607.1+(1477.8-1311.6)+(-6.648105+(-3.76839--3.34458))+0-627.5--1.60012499999991</f>
        <v>2140.3282100000001</v>
      </c>
      <c r="AA26" s="3">
        <f>2575+(1425.8-1376.2)+(-6.56625+(-3.63579--3.50931))+0-557.1--1.42060499999992</f>
        <v>2062.2278749999996</v>
      </c>
      <c r="AB26" s="3">
        <f>2485.9+(1527.8-1395.4)+(-1.267809+(-0.779178--0.711654))+0-657.1--0.335120999999933</f>
        <v>1960.1997880000001</v>
      </c>
      <c r="AC26" s="3">
        <f>2696.7+(1113.8-1298.1)+(-5.501268+(-2.272152--2.648124))+0-666.8--1.36027199999997</f>
        <v>1841.8349759999994</v>
      </c>
      <c r="AD26" s="2">
        <v>2037.2000000000003</v>
      </c>
      <c r="AE26" s="3">
        <f>2611+(1515-1357.2)+(0+(0-0))+0-731.6-0</f>
        <v>2037.2000000000003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2196.1+(912.9-604.2)+(-4.480044+(-1.862316--1.232568))+0-718.7--1.46614799999997</f>
        <v>1782.4563559999995</v>
      </c>
      <c r="G27" s="3">
        <f>2011.4+(764.5-402)+(-3.077442+(-1.169685--0.61506))+0-728.1--1.11399300000004</f>
        <v>1643.2819260000001</v>
      </c>
      <c r="H27" s="3">
        <f>2025.5+(595.1-360.7)+(0+(0-0))+0-665.1-0</f>
        <v>1594.8000000000002</v>
      </c>
      <c r="I27" s="3">
        <f>2022.2+(544.5-243.8)+(-2.062644+(-0.55539--0.248676))+0-745.7--0.760614000000119</f>
        <v>1575.5912560000002</v>
      </c>
      <c r="J27" s="3">
        <f>1957.5+(551-234.8)+(0+(0-0))+0-706.6-0</f>
        <v>1567.1</v>
      </c>
      <c r="K27" s="3">
        <f>2046.6+(587.3-311.5)+(0+(0-0))+0-712-0</f>
        <v>1610.3999999999996</v>
      </c>
      <c r="L27" s="3">
        <f>1955.1+(474.7-230)+(2.991303+(0.726291-0.3519))+0-636.2-0.973386000000037</f>
        <v>1565.9923079999996</v>
      </c>
      <c r="M27" s="3">
        <f>2122+(534.5-322)+(-2.16444+(-0.54519--0.32844))+0-628.9--0.6414780000001</f>
        <v>1703.8602879999999</v>
      </c>
      <c r="N27" s="3">
        <f>2434.3+(664-468.3)+(-1.241493+(-0.33864--0.238833))+0-663.5--0.338384999999933</f>
        <v>1965.497085</v>
      </c>
      <c r="O27" s="3">
        <f>2465.1+(940.6-665.8)+(0+(0-0))+0-561.2-0</f>
        <v>2178.6999999999998</v>
      </c>
      <c r="P27" s="3">
        <f>2509.9+(1147.7-1115.6)+(-2.560098+(-1.170654--1.137912))+0-420.8--0.429216000000067</f>
        <v>2119.036376</v>
      </c>
      <c r="Q27" s="3">
        <f>2617.7+(1302.6-1190)+(-4.005081+(-1.992978--1.8207))+0-539.8--0.825894000000031</f>
        <v>2187.1485349999998</v>
      </c>
      <c r="R27" s="3">
        <f>2393+(1391.8-1159.1)+(-2.44086+(-1.419636--1.182282))+0-413.2--0.421464000000066</f>
        <v>2210.24325</v>
      </c>
      <c r="S27" s="3">
        <f>2338.1+(1266.6-1064.1)+(-4.769724+(-2.583864--2.170764))+0-577.1--1.17728399999997</f>
        <v>1959.4944599999999</v>
      </c>
      <c r="T27" s="3">
        <f>2323.8+(1275.9-1040.1)+(-1.185138+(-0.650709--0.530451))+0-542.7--0.276776999999945</f>
        <v>2015.8713810000002</v>
      </c>
      <c r="U27" s="3">
        <f>2391+(1306-1041.6)+(-6.09705+(-3.3303--2.65608))+0-614.2--1.56620999999991</f>
        <v>2035.9949399999998</v>
      </c>
      <c r="V27" s="3">
        <f>2425.5+(1144.5-1052.7)+(-7.42203+(-3.50217--3.221262))+0-488.5--1.49481000000006</f>
        <v>2022.5918720000004</v>
      </c>
      <c r="W27" s="3">
        <f>2422.1+(1040.6-1009.1)+(-3.705813+(-1.592118--1.543923))+0-434.2--0.664326000000025</f>
        <v>2016.3103180000001</v>
      </c>
      <c r="X27" s="3">
        <f>2368.8+(1146.5-915.8)+(-2.416176+(-1.16943--0.934116))+0-545.4--0.556308000000087</f>
        <v>2052.0048179999999</v>
      </c>
      <c r="Y27" s="3">
        <f>2500.6+(1297.7-1038.9)+(1.275306+(0.661827-0.529839))+0-597.7-0.304826999999939</f>
        <v>2162.8024669999995</v>
      </c>
      <c r="Z27" s="3">
        <f>2789.7+(1524.6-1360.2)+(-4.268241+(-2.332638--2.081106))+0-592.6--0.906678000000034</f>
        <v>2357.8869049999994</v>
      </c>
      <c r="AA27" s="3">
        <f>2791.5+(1429.4-1242.1)+(-4.270995+(-2.186982--1.900413))+0-693.8--1.06151400000004</f>
        <v>2281.5039500000003</v>
      </c>
      <c r="AB27" s="3">
        <f>2702.9+(1218.7-1001.5)+(-2.756958+(-1.243074--1.02153))+0-737.7--0.752454000000118</f>
        <v>2180.1739520000006</v>
      </c>
      <c r="AC27" s="3">
        <f>2722.4+(1126.4-1027.4)+(0+(0-0))+0-714.9-0</f>
        <v>2106.5</v>
      </c>
      <c r="AD27" s="2">
        <v>2169.8000000000002</v>
      </c>
      <c r="AE27" s="3">
        <f>2793+(1599.3-1556.4)+(0+(0-0))+0-666.1-0</f>
        <v>2169.7999999999997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2598.2+(860.7-909.9)+(-3.975246+(-1.316871--1.392147))+0-767.8--1.17473400000004</f>
        <v>1778.4747640000001</v>
      </c>
      <c r="G28" s="3">
        <f>2395.4+(753.8-752.9)+(-3.664962+(-1.153314--1.151937))+0-710.4--1.08691200000004</f>
        <v>1683.3205730000002</v>
      </c>
      <c r="H28" s="3">
        <f>2393.8+(682.4-630.2)+(-3.662514+(-1.044072--0.964206))+0-808.9--1.23761700000005</f>
        <v>1634.5952369999998</v>
      </c>
      <c r="I28" s="3">
        <f>2351.4+(578.3-569.2)+(0+(0-0))+0-754.4-0</f>
        <v>1606.1</v>
      </c>
      <c r="J28" s="3">
        <f>2249.1+(630.6-460.8)+(2.294082+(0.643212-0.470016))+0-821.5-0.837930000000131</f>
        <v>1599.029348</v>
      </c>
      <c r="K28" s="3">
        <f>2248.4+(447.1-401.2)+(0+(0-0))+0-694.5-0</f>
        <v>1599.8000000000002</v>
      </c>
      <c r="L28" s="3">
        <f>2309.6+(445.2-427)+(-3.533688+(-0.681156--0.65331))+0-726--1.11078000000004</f>
        <v>1599.3492459999998</v>
      </c>
      <c r="M28" s="3">
        <f>2337.1+(564.8-394.6)+(0+(0-0))+0-796.6-0</f>
        <v>1710.6999999999998</v>
      </c>
      <c r="N28" s="3">
        <f>2364.1+(593.9-385.7)+(-1.205691+(-0.302889--0.196707))+0-663.7--0.338486999999933</f>
        <v>1907.6266139999996</v>
      </c>
      <c r="O28" s="3">
        <f>2498.1+(938.2-667.1)+(-2.548062+(-0.956964--0.680442))+0-748.1--0.763062000000119</f>
        <v>2019.0384780000002</v>
      </c>
      <c r="P28" s="3">
        <f>2521.3+(1086.9-894.4)+(1.285863+(0.554319-0.456144))+0-636.7-0.324716999999935</f>
        <v>2078.1593210000005</v>
      </c>
      <c r="Q28" s="3">
        <f>2618.5+(1450.5-1197.5)+(1.335435+(0.739755-0.610725))+0-754.5-0.384794999999923</f>
        <v>2118.0796700000001</v>
      </c>
      <c r="R28" s="3">
        <f>2530+(1513.8-1227.2)+(1.2903+(0.772038-0.625872))+0-695-0.354449999999929</f>
        <v>2122.6820160000002</v>
      </c>
      <c r="S28" s="3">
        <f>2531.4+(1305.4-1212.7)+(1.291014+(0.665754-0.618477))+0-745.8-0.380357999999924</f>
        <v>1879.2579330000005</v>
      </c>
      <c r="T28" s="3">
        <f>2651.2+(1420.4-1455.7)+(4.056336+(2.173212-2.227221))+0-683.4-1.04560200000004</f>
        <v>1935.4567249999996</v>
      </c>
      <c r="U28" s="3">
        <f>2651.8+(1338.2-1344.2)+(-2.704836+(-1.364964--1.371084))+0-684.9--0.698598000000109</f>
        <v>1958.8998820000004</v>
      </c>
      <c r="V28" s="3">
        <f>2603.7+(1255.3-1231.4)+(-1.327887+(-0.640203--0.628014))+0-670.7--0.342056999999932</f>
        <v>1955.9019809999993</v>
      </c>
      <c r="W28" s="3">
        <f>2592.5+(1202.2-1097.6)+(-1.322175+(-0.613122--0.559776))+0-722.9--0.368678999999927</f>
        <v>1973.1931580000003</v>
      </c>
      <c r="X28" s="3">
        <f>2447.1+(952.5-908.5)+(-4.992084+(-1.9431--1.85334))+50-622.9--1.27071599999997</f>
        <v>1914.388872</v>
      </c>
      <c r="Y28" s="3">
        <f>2515+(1081.5-995.2)+(3.84795+(1.654695-1.522656))+75-602.2-0.921366000000035</f>
        <v>2077.1586229999998</v>
      </c>
      <c r="Z28" s="3">
        <f>2898.6+(1621.4-1679)+(-1.478286+(-0.826914--0.85629))+0-638.2--0.325481999999935</f>
        <v>2201.6765719999999</v>
      </c>
      <c r="AA28" s="3">
        <f>2933.1+(1436.8-1644.6)+(-4.487643+(-2.198304--2.516238))+0-612.4--0.936972000000035</f>
        <v>2109.6672630000003</v>
      </c>
      <c r="AB28" s="3">
        <f>2906.7+(1118.3-1383.9)+(-7.412085+(-2.851665--3.528945))+0-616.3--1.57156499999991</f>
        <v>2019.6367599999994</v>
      </c>
      <c r="AC28" s="3">
        <f>2428.2+(908.6-817.2)+(1.238382+(0.463386-0.416772))+0-607.6-0.309875999999938</f>
        <v>1912.9751199999998</v>
      </c>
      <c r="AD28" s="2">
        <v>2176.2999999999997</v>
      </c>
      <c r="AE28" s="3">
        <f>2923+(1667.4-1739.5)+(0+(0-0))+0-674.6-0</f>
        <v>2176.3000000000002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2136.1+(856.2-483.8)+(-2.178822+(-0.873324--0.493476))+0-720.8--0.735216000000115</f>
        <v>1785.8765460000002</v>
      </c>
      <c r="G29" s="3">
        <f>2041.6+(912.4-542.2)+(-4.164864+(-1.861296--1.106088))+0-736.8--1.50307199999997</f>
        <v>1671.5829999999999</v>
      </c>
      <c r="H29" s="3">
        <f>2039.3+(911.9-531.6)+(-1.040043+(-0.465069--0.271116))+0-795.3--0.405602999999919</f>
        <v>1623.4716069999999</v>
      </c>
      <c r="I29" s="3">
        <f>2039.7+(836.6-452.1)+(1.040247+(0.426666-0.230571))+0-802.3-0.409172999999919</f>
        <v>1622.727169</v>
      </c>
      <c r="J29" s="3">
        <f>2043+(618.2-317.7)+(-1.04193+(-0.315282--0.162027))+0-742.7--0.378776999999925</f>
        <v>1599.9835919999998</v>
      </c>
      <c r="K29" s="3">
        <f>2041+(552.2-254)+(1.04091+(0.281622-0.12954))+0-723.9-0.369188999999927</f>
        <v>1616.1238029999995</v>
      </c>
      <c r="L29" s="3">
        <f>2049.4+(357.5-184.5)+(-2.090388+(-0.36465--0.18819))+0-616.1--0.628422000000098</f>
        <v>1604.661574</v>
      </c>
      <c r="M29" s="3">
        <f>2053.4+(372.7-179.7)+(2.094468+(0.380154-0.183294))+0-557.3-0.568446000000089</f>
        <v>1690.8228819999999</v>
      </c>
      <c r="N29" s="3">
        <f>2271.5+(614.9-341.6)+(2.31693+(0.627198-0.348432))+0-591.8-0.603636000000094</f>
        <v>1954.99206</v>
      </c>
      <c r="O29" s="3">
        <f>2401.3+(868.7-793.9)+(2.449326+(0.886074-0.809778))+0-412.8-0.421056000000066</f>
        <v>2065.4045660000002</v>
      </c>
      <c r="P29" s="3">
        <f>2673+(1239.7-1215.3)+(2.72646+(1.264494-1.239606))+0-521.9-0.532338000000083</f>
        <v>2177.7190099999998</v>
      </c>
      <c r="Q29" s="3">
        <f>2581+(1315.5-1346.7)+(-7.89786+(-4.02543--4.120902))+0-395.9--1.21145400000005</f>
        <v>2147.3090660000003</v>
      </c>
      <c r="R29" s="3">
        <f>2375.8+(1459.4-1220.6)+(2.423316+(1.488588-1.245012))+0-530.1-0.540702000000085</f>
        <v>2086.6261900000004</v>
      </c>
      <c r="S29" s="3">
        <f>2206.7+(1465.1-1194.5)+(-2.250834+(-1.494402--1.21839))+0-602--0.614040000000096</f>
        <v>1873.3871939999997</v>
      </c>
      <c r="T29" s="3">
        <f>2234.4+(1354-1258)+(-6.837264+(-4.14324--3.84948))+0-403--1.23318000000005</f>
        <v>1921.5021560000002</v>
      </c>
      <c r="U29" s="3">
        <f>2303.5+(1249.2-1136.1)+(-4.69914+(-2.548368--2.317644))+0-450.1--0.91820399999998</f>
        <v>1962.4883400000003</v>
      </c>
      <c r="V29" s="3">
        <f>2344.2+(1202.7-1127.7)+(-1.195542+(-0.613377--0.575127))+0-451.8--0.230417999999954</f>
        <v>1966.3966259999997</v>
      </c>
      <c r="W29" s="3">
        <f>2335.3+(1319.9-1184.5)+(4.764012+(2.692596-2.41638))+0-504.7-1.02958799999998</f>
        <v>1970.0106400000002</v>
      </c>
      <c r="X29" s="3">
        <f>2523.6+(1269.5-1403)+(-2.574072+(-1.29489--1.43106))+0-446.2--0.455124000000071</f>
        <v>1941.9172219999998</v>
      </c>
      <c r="Y29" s="3">
        <f>2943.6+(1015.4-1404.9)+(-3.002472+(-1.035708--1.432998))+0-490.7--0.500514000000078</f>
        <v>2061.2953320000006</v>
      </c>
      <c r="Z29" s="3">
        <f>3045.8+(1322-1635.6)+(-4.660074+(-2.02266--2.502468))+0-438.4--0.670752000000025</f>
        <v>2290.2904860000003</v>
      </c>
      <c r="AA29" s="3">
        <f>3094.7+(1429.8-1698.1)+(-3.156594+(-1.458396--1.732062))+0-683.8--0.697476000000109</f>
        <v>2140.4145479999997</v>
      </c>
      <c r="AB29" s="3">
        <f>2948.2+(988.1-1352.1)+(-3.007164+(-1.007862--1.379142))+0-535--0.545700000000085</f>
        <v>2047.1098160000001</v>
      </c>
      <c r="AC29" s="3">
        <f>2739.6+(853.2-964.4)+(-2.794392+(-0.870264--0.983688))+0-683.8--0.697476000000109</f>
        <v>1942.6165080000001</v>
      </c>
      <c r="AD29" s="2">
        <v>2212.4000000000005</v>
      </c>
      <c r="AE29" s="3">
        <f>3034+(1288.1-1627.1)+(0+(0-0))+0-482.6-0</f>
        <v>2212.4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2444.5+(574-513)+(-3.740085+(-0.87822--0.78489))+0-722.7--1.10573100000004</f>
        <v>1780.072316</v>
      </c>
      <c r="G30" s="3">
        <f>2389.2+(540.4-604)+(-1.218492+(-0.275604--0.30804))+0-627.8--0.320177999999936</f>
        <v>1696.9341219999999</v>
      </c>
      <c r="H30" s="3">
        <f>2359.7+(644.4-578.4)+(3.610341+(0.985932-0.884952))+0-773.2-1.18299600000004</f>
        <v>1655.028325</v>
      </c>
      <c r="I30" s="3">
        <f>2361.4+(503.6-655.3)+(-2.408628+(-0.513672--0.668406))+0-548.2--0.559164000000087</f>
        <v>1659.8052700000003</v>
      </c>
      <c r="J30" s="3">
        <f>2285+(609.1-559.3)+(-2.3307+(-0.621282--0.570486))+0-687--0.70074000000011</f>
        <v>1646.1192440000004</v>
      </c>
      <c r="K30" s="3">
        <f>2217.3+(600.6-445.4)+(-4.523292+(-1.225224--0.908616))+0-728.2--1.48552799999997</f>
        <v>1640.9456279999999</v>
      </c>
      <c r="L30" s="3">
        <f>2214.5+(405.5-319.1)+(-4.51758+(-0.82722--0.650964))+0-630.3--1.28581199999997</f>
        <v>1667.1919760000003</v>
      </c>
      <c r="M30" s="3">
        <f>2178.7+(395.9-261.3)+(1.111137+(0.201909-0.133263))+0-545.9-0.278408999999945</f>
        <v>1768.3013739999997</v>
      </c>
      <c r="N30" s="3">
        <f>2385.8+(910.6-725.8)+(1.216758+(0.464406-0.370158))+0-590.8-0.30130799999994</f>
        <v>1980.8096980000005</v>
      </c>
      <c r="O30" s="3">
        <f>2613.8+(1098.5-1213.4)+(1.333038+(0.560235-0.618834))+0-422.7-0.215576999999957</f>
        <v>2077.2588620000001</v>
      </c>
      <c r="P30" s="3">
        <f>2709.6+(1436.3-1531.2)+(1.381896+(0.732513-0.780912))+0-478.4-0.243983999999951</f>
        <v>2137.3895130000001</v>
      </c>
      <c r="Q30" s="3">
        <f>2784.9+(1574-1713.1)+(-1.420299+(-0.80274--0.873681))+0-409.5--0.208844999999958</f>
        <v>2235.1594870000004</v>
      </c>
      <c r="R30" s="3">
        <f>2531.1+(1517-1473.5)+(1.290861+(0.77367-0.751485))+0-394.9-0.20139899999996</f>
        <v>2180.811647</v>
      </c>
      <c r="S30" s="3">
        <f>2402.9+(1312.8-1411.2)+(-6.127395+(-3.34764--3.59856))+0-389.7--0.993734999999943</f>
        <v>1909.9172599999999</v>
      </c>
      <c r="T30" s="3">
        <f>2369.6+(1293.8-1330)+(-1.208496+(-0.659838--0.6783))+0-354.8--0.180947999999964</f>
        <v>1977.5909139999994</v>
      </c>
      <c r="U30" s="3">
        <f>2529.9+(1187.7-1338.2)+(-5.160996+(-2.422908--2.729928))+0-489.9--0.999395999999979</f>
        <v>1885.6454200000001</v>
      </c>
      <c r="V30" s="3">
        <f>2442.5+(962.8-949.4)+(-1.245675+(-0.491028--0.484194))+0-457--0.233069999999954</f>
        <v>1997.8805610000002</v>
      </c>
      <c r="W30" s="3">
        <f>2373.8+(886.1-769.8)+(-4.842552+(-1.807644--1.570392))+0-485.4--0.990215999999979</f>
        <v>2000.6104120000002</v>
      </c>
      <c r="X30" s="3">
        <f>2373.8+(936.1-590.9)+(-3.631914+(-1.432233--0.904077))+0-693.4--1.06090200000004</f>
        <v>2022.5008319999999</v>
      </c>
      <c r="Y30" s="3">
        <f>2500+(958.3-838.1)+(-6.375+(-2.443665--2.137155))+0-474.2--1.20920999999993</f>
        <v>2140.5277000000001</v>
      </c>
      <c r="Z30" s="3">
        <f>2815+(1448.5-1361.1)+(-4.30695+(-2.216205--2.082483))+0-632.3--0.967419000000036</f>
        <v>2266.6267469999998</v>
      </c>
      <c r="AA30" s="3">
        <f>2777+(1479.4-1505.8)+(-7.08135+(-3.77247--3.83979))+0-565.6--1.44227999999992</f>
        <v>2179.4282500000004</v>
      </c>
      <c r="AB30" s="3">
        <f>2701.1+(1469.3-1438.5)+(-4.132683+(-2.248029--2.200905))+0-633.6--0.969408000000037</f>
        <v>2095.0896009999997</v>
      </c>
      <c r="AC30" s="3">
        <f>2631.1+(1298.5-1366)+(-5.367444+(-2.64894--2.78664))+0-572.7--1.16830799999998</f>
        <v>1986.8385639999997</v>
      </c>
      <c r="AD30" s="2">
        <v>2203.5</v>
      </c>
      <c r="AE30" s="3">
        <f>2814+(1436-1322.6)+(0+(0-0))+0-723.9-0</f>
        <v>2203.5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2284.8+(1059.7-725.2)+(-4.660992+(-2.161788--1.479408))+0-789.2--1.60996799999997</f>
        <v>1826.3665960000003</v>
      </c>
      <c r="G31" s="3">
        <f>2199.7+(426-369.9)+(-3.365541+(-0.65178--0.565947))+0-544.5--0.833085000000031</f>
        <v>1708.6817109999995</v>
      </c>
      <c r="H31" s="3">
        <f>2194.2+(589.5-397)+(-5.59521+(-1.503225--1.01235))+0-732.2--1.86710999999989</f>
        <v>1650.2810249999998</v>
      </c>
      <c r="I31" s="3">
        <f>2149.6+(508.9-414)+(0+(0-0))+0-591.8-0</f>
        <v>1652.7</v>
      </c>
      <c r="J31" s="3">
        <f>2045.5+(621.4-297.2)+(-1.043205+(-0.316914--0.151572))+0-741.5--0.378164999999925</f>
        <v>1627.3696179999995</v>
      </c>
      <c r="K31" s="3">
        <f>2043.9+(514.4-299.6)+(1.042389+(0.262344-0.152796))+0-622.8-0.317627999999937</f>
        <v>1636.7343089999999</v>
      </c>
      <c r="L31" s="3">
        <f>2040.9+(509.1-294.5)+(-1.040859+(-0.259641--0.150195))+0-624.4--0.318443999999937</f>
        <v>1630.2681389999998</v>
      </c>
      <c r="M31" s="3">
        <f>2160.9+(554.6-343.1)+(1.102059+(0.282846-0.174981))+0-678-0.345779999999931</f>
        <v>1695.264144</v>
      </c>
      <c r="N31" s="3">
        <f>2472.1+(603.9-681.9)+(-1.260771+(-0.307989--0.347769))+0-473--0.241229999999952</f>
        <v>1920.1202389999996</v>
      </c>
      <c r="O31" s="3">
        <f>2509.8+(1001-845.8)+(-2.559996+(-1.02102--0.862716))+0-523.7--0.534174000000084</f>
        <v>2139.1158739999996</v>
      </c>
      <c r="P31" s="3">
        <f>2514.5+(1234.5-1025.8)+(1.282395+(0.629595-0.523158))+0-529.7-0.270146999999946</f>
        <v>2194.6186849999999</v>
      </c>
      <c r="Q31" s="3">
        <f>2570.7+(1321.1-1130.4)+(-7.866342+(-4.042566--3.459024))+0-531--1.62486000000006</f>
        <v>2223.5749759999994</v>
      </c>
      <c r="R31" s="3">
        <f>2566.2+(1253.7-1225)+(-5.235048+(-2.557548--2.499))+0-487.8--0.995111999999979</f>
        <v>2102.8015159999995</v>
      </c>
      <c r="S31" s="3">
        <f>2375.3+(1126.7-1166.4)+(-6.057015+(-2.873085--2.97432))+0-411.2--1.04855999999994</f>
        <v>1919.4927800000005</v>
      </c>
      <c r="T31" s="3">
        <f>2291.6+(1185-1023.1)+(0+(0-0))+0-524.1-0</f>
        <v>1929.4</v>
      </c>
      <c r="U31" s="3">
        <f>2297.1+(1106.1-1085.8)+(-2.343042+(-1.128222--1.107516))+0-381--0.388620000000061</f>
        <v>1934.4248719999996</v>
      </c>
      <c r="V31" s="3">
        <f>2417+(1091.9-1253.4)+(-1.23267+(-0.556869--0.639234))+0-339.7--0.173246999999966</f>
        <v>1914.8229419999998</v>
      </c>
      <c r="W31" s="3">
        <f>2436.7+(1097.4-1187.8)+(-2.485434+(-1.119348--1.211556))+0-390.6--0.398412000000062</f>
        <v>1953.7051860000001</v>
      </c>
      <c r="X31" s="3">
        <f>2330.1+(880.6-923.3)+(2.376702+(0.898212-0.941766))+0-368.9-0.376278000000059</f>
        <v>1920.4568700000002</v>
      </c>
      <c r="Y31" s="3">
        <f>2467.3+(837.3-701.5)+(1.258323+(0.427023-0.357765))+0-593.4-0.30263399999994</f>
        <v>2010.7249470000004</v>
      </c>
      <c r="Z31" s="3">
        <f>2613.4+(1227.8-1006.3)+(-3.998502+(-1.878534--1.539639))+0-635.6--0.972468000000037</f>
        <v>2195.9350710000003</v>
      </c>
      <c r="AA31" s="3">
        <f>2661.1+(1077.8-961.7)+(-4.071483+(-1.649034--1.471401))+0-673.9--1.03106700000004</f>
        <v>2100.0819509999997</v>
      </c>
      <c r="AB31" s="3">
        <f>2667.1+(719.3-757.2)+(-4.080663+(-1.100529--1.158516))+0-602.2--0.921366000000035</f>
        <v>2023.8986899999998</v>
      </c>
      <c r="AC31" s="3">
        <f>2740.2+(728.8-745.6)+(-2.795004+(-0.743376--0.760512))+0-780.3--0.795906000000124</f>
        <v>1941.1180379999996</v>
      </c>
      <c r="AD31" s="2">
        <v>2155.7000000000003</v>
      </c>
      <c r="AE31" s="3">
        <f>2650+(1319-1072.7)+(0+(0-0))+0-740.6-0</f>
        <v>2155.7000000000003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2442.4+(491.7-747)+(-1.245624+(-0.250767--0.38097))+0-564.9--0.288098999999943</f>
        <v>1621.3726779999997</v>
      </c>
      <c r="G32" s="3">
        <f>2283+(639.6-613.5)+(-2.32866+(-0.652392--0.62577))+0-676.1--0.689622000000108</f>
        <v>1631.3343400000001</v>
      </c>
      <c r="H32" s="3">
        <f>2163.2+(713.7-620.8)+(-2.206464+(-0.727974--0.633216))+0-634.2--0.646884000000101</f>
        <v>1620.2456619999998</v>
      </c>
      <c r="I32" s="3">
        <f>1920.1+(677.7-320.1)+(0+(0-0))+0-706.6-0</f>
        <v>1571.1</v>
      </c>
      <c r="J32" s="3">
        <f>1842.2+(629.4-347.2)+(0+(0-0))+0-616.6-0</f>
        <v>1507.8000000000002</v>
      </c>
      <c r="K32" s="3">
        <f>1851.2+(677.8-342.1)+(-1.888224+(-0.691356--0.348942))+0-691.4--0.70522800000011</f>
        <v>1493.97459</v>
      </c>
      <c r="L32" s="3">
        <f>1850.8+(540.3-225.6)+(0+(0-0))+0-656.2-0</f>
        <v>1509.3</v>
      </c>
      <c r="M32" s="3">
        <f>1853.4+(480.9-232.5)+(0+(0-0))+0-612.7-0</f>
        <v>1489.1000000000001</v>
      </c>
      <c r="N32" s="3">
        <f>1872.7+(508.6-244.2)+(1.910154+(0.518772-0.249084))+0-558.5-0.569670000000089</f>
        <v>1580.2101719999998</v>
      </c>
      <c r="O32" s="3">
        <f>2124.2+(637.4-387.5)+(2.166684+(0.650148-0.39525))+0-695-0.708900000000111</f>
        <v>1680.8126819999998</v>
      </c>
      <c r="P32" s="3">
        <f>2197.6+(728.4-481.8)+(0+(0-0))+0-674.6-0</f>
        <v>1769.6</v>
      </c>
      <c r="Q32" s="3">
        <f>2141.1+(920.3-566.9)+(-3.275883+(-1.408059--0.867357))+0-682.5--1.04422500000004</f>
        <v>1809.2276400000001</v>
      </c>
      <c r="R32" s="3">
        <f>2108.3+(896.7-656.9)+(0+(0-0))+0-550.4-0</f>
        <v>1797.7000000000003</v>
      </c>
      <c r="S32" s="3">
        <f>2112.2+(818.4-654.8)+(-4.308888+(-1.669536--1.335792))+0-479.9--0.978995999999979</f>
        <v>1792.2363639999996</v>
      </c>
      <c r="T32" s="3">
        <f>2134+(881.2-589.9)+(0+(0-0))+0-723-0</f>
        <v>1702.3000000000002</v>
      </c>
      <c r="U32" s="3">
        <f>2140.1+(722.3-695.6)+(-6.548706+(-2.210238--2.128536))+0-529.2--1.61935200000006</f>
        <v>1632.5889439999999</v>
      </c>
      <c r="V32" s="3">
        <f>2144.7+(716.2-640.7)+(1.093797+(0.365262-0.326757))+0-548.7-0.279836999999944</f>
        <v>1672.3524649999997</v>
      </c>
      <c r="W32" s="3">
        <f>2221.4+(656.3-604)+(-1.132914+(-0.334713--0.30804))+0-584.6--0.298145999999941</f>
        <v>1688.2385589999997</v>
      </c>
      <c r="X32" s="3">
        <f>2249.5+(606.7-718.9)+(0+(0-0))+0-476.2-0</f>
        <v>1661.1000000000001</v>
      </c>
      <c r="Y32" s="3">
        <f>2395.4+(782-827.9)+(0+(0-0))+0-510-0</f>
        <v>1839.5</v>
      </c>
      <c r="Z32" s="3">
        <f>2755.7+(1040.8-1117.6)+(-2.810814+(-1.061616--1.139952))+0-648.1--0.661062000000103</f>
        <v>2028.728584</v>
      </c>
      <c r="AA32" s="3">
        <f>2866.9+(1000-1144.1)+(-4.386357+(-1.53--1.750473))+0-663--1.01439000000004</f>
        <v>2056.648506</v>
      </c>
      <c r="AB32" s="3">
        <f>2871.5+(943.6-1270.2)+(-5.85786+(-1.924944--2.591208))+0-575--1.17299999999997</f>
        <v>1965.881404</v>
      </c>
      <c r="AC32" s="3">
        <f>2743.5+(860.1-1021.2)+(-1.399185+(-0.438651--0.520812))+0-644.7--0.328796999999935</f>
        <v>1936.711773</v>
      </c>
      <c r="AD32" s="2">
        <v>1960.6</v>
      </c>
      <c r="AE32" s="3">
        <f>2863+(995.2-1229.1)+(0+(0-0))+0-668.5-0</f>
        <v>1960.6000000000004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2467.3+(593.5-621.2)+(-2.516646+(-0.60537--0.633624))+0-633.1--0.645762000000101</f>
        <v>1804.6573700000004</v>
      </c>
      <c r="G33" s="3">
        <f>2137.6+(626.4-473.8)+(-2.180352+(-0.638928--0.483276))+0-632.3--0.644946000000101</f>
        <v>1656.2089420000002</v>
      </c>
      <c r="H33" s="3">
        <f>2125.7+(429-354)+(-5.420535+(-1.09395--0.9027))+0-603.6--1.53917999999991</f>
        <v>1593.0273949999998</v>
      </c>
      <c r="I33" s="3">
        <f>2203.4+(402.2-413.6)+(2.247468+(0.410244-0.421872))+0-604.3-0.616386000000096</f>
        <v>1589.3194539999997</v>
      </c>
      <c r="J33" s="3">
        <f>2260.9+(483.2-420)+(2.306118+(0.492864-0.4284))+0-728.6-0.743172000000116</f>
        <v>1597.1274099999998</v>
      </c>
      <c r="K33" s="3">
        <f>2271.1+(497.7-389.8)+(1.158261+(0.253827-0.198798))+0-716.9-0.365618999999927</f>
        <v>1662.9476710000001</v>
      </c>
      <c r="L33" s="3">
        <f>2274.8+(419.3-335.2)+(-1.160148+(-0.213843--0.170952))+0-683.6--0.348635999999931</f>
        <v>1674.4455970000001</v>
      </c>
      <c r="M33" s="3">
        <f>2180.2+(470.6-264)+(1.111902+(0.240006-0.13464))+0-582.7-0.297176999999941</f>
        <v>1805.0200909999996</v>
      </c>
      <c r="N33" s="3">
        <f>2245.6+(776.4-495.4)+(0+(0-0))+0-577.9-0</f>
        <v>1948.6999999999998</v>
      </c>
      <c r="O33" s="3">
        <f>2403+(1174.8-796.9)+(1.22553+(0.599148-0.406419))+0-567.3-0.289322999999942</f>
        <v>2214.7289360000004</v>
      </c>
      <c r="P33" s="3">
        <f>2411.4+(1304.3-880)+(2.459628+(1.330386-0.8976))+0-547.2-0.558144000000087</f>
        <v>2290.8342699999998</v>
      </c>
      <c r="Q33" s="3">
        <f>2346.6+(1445.9-915.1)+(-1.196766+(-0.737409--0.466701))+0-497--0.25346999999995</f>
        <v>2379.1859960000002</v>
      </c>
      <c r="R33" s="3">
        <f>2265.7+(1321.1-787.7)+(-4.622028+(-2.695044--1.606908))+0-577.6--1.17830399999997</f>
        <v>2216.9681399999995</v>
      </c>
      <c r="S33" s="3">
        <f>2266.5+(974.1-605.6)+(-5.779575+(-2.483955--1.54428))+0-580.4--1.48001999999992</f>
        <v>2049.3607699999998</v>
      </c>
      <c r="T33" s="3">
        <f>2256.5+(915.2-527.4)+(-2.30163+(-0.933504--0.537948))+0-537.9--0.548658000000086</f>
        <v>2104.2514720000004</v>
      </c>
      <c r="U33" s="3">
        <f>2254.1+(953.2-525.2)+(2.299182+(0.972264-0.535704))+0-537.3-0.548046000000086</f>
        <v>2146.9876960000001</v>
      </c>
      <c r="V33" s="3">
        <f>2256.9+(1018.8-606)+(-3.453057+(-1.558764--0.92718))+0-544.8--0.833544000000031</f>
        <v>2121.6489030000002</v>
      </c>
      <c r="W33" s="3">
        <f>2401.1+(1009.5-763.2)+(-1.224561+(-0.514845--0.389232))+0-516.8--0.263567999999948</f>
        <v>2129.5133939999992</v>
      </c>
      <c r="X33" s="3">
        <f>2353.8+(1034.9-790.4)+(-6.00219+(-2.638995--2.01552))+0-464.3--1.18396499999993</f>
        <v>2128.5582999999997</v>
      </c>
      <c r="Y33" s="3">
        <f>2487.6+(1182.5-999.9)+(1.268676+(0.603075-0.509949))+0-461-0.235109999999953</f>
        <v>2210.3266919999996</v>
      </c>
      <c r="Z33" s="3">
        <f>2363.1+(1391.3-870)+(-4.820724+(-2.838252--1.7748))+0-507.5--1.03529999999998</f>
        <v>2372.0511239999996</v>
      </c>
      <c r="AA33" s="3">
        <f>2221+(1299.4-787.3)+(-5.66355+(-3.31347--2.007615))+0-458.5--1.16917499999993</f>
        <v>2268.7997700000005</v>
      </c>
      <c r="AB33" s="3">
        <f>2212.5+(1150.3-547)+(-5.641875+(-2.933265--1.39485))+0-663.6--1.6921799999999</f>
        <v>2146.7118900000005</v>
      </c>
      <c r="AC33" s="3">
        <f>2160.3+(970.5-519.9)+(-3.305259+(-1.484865--0.795447))+0-537.1--0.821763000000031</f>
        <v>2070.627086</v>
      </c>
      <c r="AD33" s="2">
        <v>2333.3000000000002</v>
      </c>
      <c r="AE33" s="3">
        <f>2215+(1451.6-770.3)+(0+(0-0))+0-563-0</f>
        <v>2333.3000000000002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2002.7+(945.2-265.2)+(-2.042754+(-0.964104--0.270504))+0-774.1--0.789582000000123</f>
        <v>1906.6532279999999</v>
      </c>
      <c r="G34" s="3">
        <f>1858.7+(736-205.5)+(-1.895874+(-0.75072--0.20961))+0-586.9--0.598638000000094</f>
        <v>1800.461654</v>
      </c>
      <c r="H34" s="3">
        <f>1826.6+(879.3-151.2)+(-1.863132+(-0.896886--0.154224))+0-812.7--0.82895400000013</f>
        <v>1740.2231599999998</v>
      </c>
      <c r="I34" s="3">
        <f>1824.4+(674.8-131.5)+(-0.930444+(-0.344148--0.067065))+0-648.7--0.330836999999934</f>
        <v>1718.1233099999997</v>
      </c>
      <c r="J34" s="3">
        <f>1823+(791.1-110.1)+(-3.71892+(-1.613844--0.224604))+0-790.8--1.61323199999997</f>
        <v>1709.7050719999997</v>
      </c>
      <c r="K34" s="3">
        <f>1818.9+(631.7-171.8)+(1.855278+(0.644334-0.175236))+0-555-0.566100000000089</f>
        <v>1725.5582760000002</v>
      </c>
      <c r="L34" s="3">
        <f>1824.6+(677.6-182.6)+(-0.930546+(-0.345576--0.093126))+0-597.1--0.304520999999939</f>
        <v>1721.621525</v>
      </c>
      <c r="M34" s="3">
        <f>1828.1+(692.7-221.7)+(2.796993+(1.059831-0.339201))+0-429.8-0.657594000000025</f>
        <v>1872.1600290000001</v>
      </c>
      <c r="N34" s="3">
        <f>1888.4+(924.8-137)+(1.926168+(0.943296-0.13974))+0-565.8-0.57711600000009</f>
        <v>2112.5526079999995</v>
      </c>
      <c r="O34" s="3">
        <f>2048+(1111.4-331.2)+(-1.04448+(-0.566814--0.168912))+0-486.7--0.248216999999951</f>
        <v>2340.3058349999997</v>
      </c>
      <c r="P34" s="3">
        <f>2065.8+(1211.5-390.9)+(-1.053558+(-0.617865--0.199359))+0-534.8--0.272747999999946</f>
        <v>2350.4006839999997</v>
      </c>
      <c r="Q34" s="3">
        <f>2020.4+(1528.2-636)+(-3.091212+(-2.338146--0.97308))+0-484.4--0.741132000000028</f>
        <v>2424.4848540000003</v>
      </c>
      <c r="R34" s="3">
        <f>1998.8+(1674.4-756.9)+(0+(0-0))+0-529-0</f>
        <v>2387.3000000000002</v>
      </c>
      <c r="S34" s="3">
        <f>1999.4+(1266.6-774.3)+(-5.09847+(-3.22983--1.974465))+0-351.9--0.897344999999949</f>
        <v>2134.3435099999997</v>
      </c>
      <c r="T34" s="3">
        <f>2043+(1453.3-812.7)+(2.08386+(1.482366-0.828954))+0-463.9-0.473178000000074</f>
        <v>2221.9640939999995</v>
      </c>
      <c r="U34" s="3">
        <f>2068.4+(1300.9-816.4)+(-3.164652+(-1.990377--1.249092))+0-350.3--0.53595900000002</f>
        <v>2199.2300219999997</v>
      </c>
      <c r="V34" s="3">
        <f>2064.3+(1301.4-657.7)+(-1.052793+(-0.663714--0.335427))+0-473.7--0.241586999999952</f>
        <v>2233.1605070000001</v>
      </c>
      <c r="W34" s="3">
        <f>2063.9+(1128.8-612.8)+(-3.157767+(-1.727064--0.937584))+0-446--0.682380000000026</f>
        <v>2130.6351330000002</v>
      </c>
      <c r="X34" s="3">
        <f>2166.5+(1266.7-677.2)+(-1.104915+(-0.646017--0.345372))+0-640.6--0.326705999999935</f>
        <v>2114.3211459999998</v>
      </c>
      <c r="Y34" s="3">
        <f>2246.8+(1280.4-744.3)+(0+(0-0))+0-592.5-0</f>
        <v>2190.4000000000005</v>
      </c>
      <c r="Z34" s="3">
        <f>2091.8+(1378.1-637.6)+(0+(0-0))+0-492.7-0</f>
        <v>2339.6000000000004</v>
      </c>
      <c r="AA34" s="3">
        <f>2077.9+(1258.1-493.9)+(-4.238916+(-2.566524--1.007556))+0-602.4--1.22889599999997</f>
        <v>2235.1310119999998</v>
      </c>
      <c r="AB34" s="3">
        <f>2083.4+(1175.3-477.5)+(-2.125068+(-1.198806--0.48705))+0-615.6--0.627912000000098</f>
        <v>2163.3910879999999</v>
      </c>
      <c r="AC34" s="3">
        <f>2073.7+(1017.4-416.3)+(-1.057587+(-0.518874--0.212313))+0-619.7--0.316046999999937</f>
        <v>2054.0518989999996</v>
      </c>
      <c r="AD34" s="2">
        <v>2311.3999999999996</v>
      </c>
      <c r="AE34" s="3">
        <f>2071+(1401.6-546.7)+(0+(0-0))+0-614.5-0</f>
        <v>2311.3999999999996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1997.9+(856.4-357)+(-4.075716+(-1.747056--0.72828))+0-584.2--1.19176799999997</f>
        <v>1909.1972759999999</v>
      </c>
      <c r="G35" s="3">
        <f>1925+(956.7-321.5)+(-0.98175+(-0.487917--0.163965))+0-753.2--0.384131999999924</f>
        <v>1806.0784299999996</v>
      </c>
      <c r="H35" s="3">
        <f>1835+(908.7-230.5)+(-0.93585+(-0.463437--0.117555))+0-759--0.387089999999923</f>
        <v>1753.3053579999998</v>
      </c>
      <c r="I35" s="3">
        <f>1907.6+(908.5-292.3)+(2.918628+(1.390005-0.447219))+0-776.2-1.18758600000004</f>
        <v>1750.2738280000001</v>
      </c>
      <c r="J35" s="3">
        <f>1834.2+(882.6-200.3)+(-2.806326+(-1.350378--0.306459))+0-775.8--1.18697400000004</f>
        <v>1738.0367289999999</v>
      </c>
      <c r="K35" s="3">
        <f>1804.3+(847.5-161.7)+(-0.920193+(-0.432225--0.082467))+0-751.6--0.383315999999924</f>
        <v>1737.6133649999997</v>
      </c>
      <c r="L35" s="3">
        <f>1809.1+(737.3-154.6)+(-3.690564+(-1.504092--0.315384))+0-701.7--1.43146799999997</f>
        <v>1686.6521959999995</v>
      </c>
      <c r="M35" s="3">
        <f>1892.2+(987.8-241.9)+(3.860088+(2.015112-0.493476))+0-692.9-1.41351599999997</f>
        <v>1949.1682079999996</v>
      </c>
      <c r="N35" s="3">
        <f>1965.9+(1032.7-377.3)+(1.002609+(0.526677-0.192423))+0-619.5-0.315944999999937</f>
        <v>2002.8209180000003</v>
      </c>
      <c r="O35" s="3">
        <f>2047.4+(1330.9-412.4)+(1.044174+(0.678759-0.210324))+0-683-0.348329999999931</f>
        <v>2284.0642790000002</v>
      </c>
      <c r="P35" s="3">
        <f>2155.6+(1434.7-652.9)+(-1.099356+(-0.731697--0.332979))+0-581--0.296309999999941</f>
        <v>2355.1982359999997</v>
      </c>
      <c r="Q35" s="3">
        <f>2192.3+(1620.5-664.5)+(2.236146+(1.65291-0.67779))+0-744.4-0.759288000000119</f>
        <v>2406.3519779999997</v>
      </c>
      <c r="R35" s="3">
        <f>2181.6+(1453.6-593.6)+(-2.225232+(-1.482672--0.605472))+0-663.8--0.677076000000106</f>
        <v>2375.3746439999995</v>
      </c>
      <c r="S35" s="3">
        <f>2107.7+(1082.8-467.6)+(2.149854+(1.104456-0.476952))+0-660.4-0.673608000000105</f>
        <v>2064.6037499999993</v>
      </c>
      <c r="T35" s="3">
        <f>2253+(1127.1-648.5)+(2.29806+(1.149642-0.66147))+0-566.1-0.57742200000009</f>
        <v>2167.7088099999996</v>
      </c>
      <c r="U35" s="3">
        <f>2189.8+(1134-543.4)+(-1.116798+(-0.57834--0.277134))+0-550.5--0.280754999999944</f>
        <v>2228.7627509999998</v>
      </c>
      <c r="V35" s="3">
        <f>2166.8+(1200.8-516.4)+(-4.420272+(-2.449632--1.053456))+0-683--1.39331999999997</f>
        <v>2163.7768720000004</v>
      </c>
      <c r="W35" s="3">
        <f>1879.4+(950.8-152)+(-4.79247+(-2.42454--0.3876))+0-506.6--1.29182999999993</f>
        <v>2166.0624200000002</v>
      </c>
      <c r="X35" s="3">
        <f>1792.7+(915.1-107.7)+(-6.399939+(-3.266907--0.384489))+0-437.8--1.56294600000001</f>
        <v>2154.5805889999997</v>
      </c>
      <c r="Y35" s="3">
        <f>1842.5+(855.3-142.4)+(0.939675+(0.436203-0.072624))+0-348.3-0.177632999999965</f>
        <v>2208.225621</v>
      </c>
      <c r="Z35" s="3">
        <f>1985.9+(1353.8-339)+(-1.012809+(-0.690438--0.17289))+0-627.3--0.319922999999936</f>
        <v>2372.189566</v>
      </c>
      <c r="AA35" s="3">
        <f>1976.1+(1152.2-387.8)+(-8.062488+(-4.700976--1.582224))+0-458.7--1.87149599999996</f>
        <v>2272.490256</v>
      </c>
      <c r="AB35" s="3">
        <f>1977.2+(1269.5-340.5)+(-5.04186+(-3.237225--0.868275))+0-715.5--1.8245249999999</f>
        <v>2185.113715</v>
      </c>
      <c r="AC35" s="3">
        <f>1978.5+(1090.1-340.9)+(-3.027105+(-1.667853--0.521577))+0-642.9--0.983637000000037</f>
        <v>2081.6102559999995</v>
      </c>
      <c r="AD35" s="2">
        <v>2332.1</v>
      </c>
      <c r="AE35" s="3">
        <f>1986+(1426.9-406.3)+(0+(0-0))+0-674.5-0</f>
        <v>2332.1000000000004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1941.6+(1007-312.8)+(-3.960864+(-2.05428--0.638112))+0-698.4--1.42473599999997</f>
        <v>1933.4477040000002</v>
      </c>
      <c r="G36" s="3">
        <f>1907.5+(948.4-252.9)+(-3.8913+(-1.934736--0.515916))+0-765.2--1.56100799999997</f>
        <v>1834.0508879999998</v>
      </c>
      <c r="H36" s="3">
        <f>1911.9+(835.4-227.1)+(-4.875345+(-2.13027--0.579105))+0-741.1--1.88980499999989</f>
        <v>1774.5632949999999</v>
      </c>
      <c r="I36" s="3">
        <f>1910+(841.9-212.7)+(1.9482+(0.858738-0.216954))+0-793.3-0.809166000000126</f>
        <v>1747.6808179999998</v>
      </c>
      <c r="J36" s="3">
        <f>1882.9+(775.8-198.2)+(-0.960279+(-0.395658--0.101082))+0-697.1--0.355520999999929</f>
        <v>1762.5006659999999</v>
      </c>
      <c r="K36" s="3">
        <f>1932.9+(969.2-277.6)+(0+(0-0))+0-865.6-0</f>
        <v>1758.9</v>
      </c>
      <c r="L36" s="3">
        <f>1915.6+(719.9-179.3)+(-0.976956+(-0.367149--0.091443))+0-680.4--0.347003999999931</f>
        <v>1774.8943419999998</v>
      </c>
      <c r="M36" s="3">
        <f>1925.7+(705.1-168.5)+(1.964214+(0.719202-0.17187))+0-568.2-0.579564000000091</f>
        <v>1896.0319820000002</v>
      </c>
      <c r="N36" s="3">
        <f>2036.9+(856.3-179.6)+(1.038819+(0.436713-0.091596))+0-567.5-0.289424999999942</f>
        <v>2147.1945110000001</v>
      </c>
      <c r="O36" s="3">
        <f>2242.4+(959.6-299.5)+(1.143624+(0.489396-0.152745))+0-605.9-0.309008999999939</f>
        <v>2297.7712659999997</v>
      </c>
      <c r="P36" s="3">
        <f>2344.4+(1002.2-345.7)+(-3.586932+(-1.533366--0.528921))+0-612.1--0.936513000000035</f>
        <v>2385.1451360000001</v>
      </c>
      <c r="Q36" s="3">
        <f>2328.6+(1009.7-381.2)+(-1.187586+(-0.514947--0.194412))+0-567.7--0.289526999999942</f>
        <v>2388.1814059999997</v>
      </c>
      <c r="R36" s="3">
        <f>2322.2+(1000-388.3)+(-4.737288+(-2.04--0.792132))+0-550.6--1.12322399999998</f>
        <v>2378.4380679999995</v>
      </c>
      <c r="S36" s="3">
        <f>2328.4+(737.9-444.9)+(-2.374968+(-0.752658--0.453798))+0-536.5--0.547230000000086</f>
        <v>2082.7734020000003</v>
      </c>
      <c r="T36" s="3">
        <f>2312.8+(790.1-507.2)+(2.359056+(0.805902-0.517344))+0-439.9-0.44869800000007</f>
        <v>2157.998916</v>
      </c>
      <c r="U36" s="3">
        <f>2318.5+(589.8-437.9)+(-3.547305+(-0.902394--0.669987))+0-290.7--0.444771000000017</f>
        <v>2176.3650590000002</v>
      </c>
      <c r="V36" s="3">
        <f>2433.3+(535.8-504.3)+(-3.722949+(-0.819774--0.771579))+0-274.3--0.419679000000016</f>
        <v>2187.1485350000003</v>
      </c>
      <c r="W36" s="3">
        <f>2327.8+(415.1-324.3)+(-7.123068+(-1.270206--0.992358))+0-218.6--0.668916000000025</f>
        <v>2193.2680000000005</v>
      </c>
      <c r="X36" s="3">
        <f>2347.5+(448.6-266.4)+(-4.7889+(-0.915144--0.543456))+0-370.2--0.755207999999984</f>
        <v>2155.0946199999998</v>
      </c>
      <c r="Y36" s="3">
        <f>2486.8+(649.1-347.7)+(0+(0-0))+0-612.8-0</f>
        <v>2175.4000000000005</v>
      </c>
      <c r="Z36" s="3">
        <f>2529.9+(884.5-418.6)+(-3.870747+(-1.353285--0.640458))+0-674.9--1.03259700000004</f>
        <v>2317.3490229999998</v>
      </c>
      <c r="AA36" s="3">
        <f>2380.2+(847.8-377.3)+(-4.855608+(-1.729512--0.769692))+0-633.7--1.29274799999997</f>
        <v>2212.47732</v>
      </c>
      <c r="AB36" s="3">
        <f>2306+(964.1-379)+(0+(0-0))+0-772.3-0</f>
        <v>2118.8000000000002</v>
      </c>
      <c r="AC36" s="3">
        <f>2459.3+(812.7-512.4)+(-2.508486+(-0.828954--0.522648))+0-702.8--0.716856000000112</f>
        <v>2054.7020640000001</v>
      </c>
      <c r="AD36" s="2">
        <v>2328.6999999999998</v>
      </c>
      <c r="AE36" s="3">
        <f>2530+(910.1-406.4)+(0+(0-0))+0-705-0</f>
        <v>2328.6999999999998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2477.1+(809.4-544.5)+(-2.526642+(-0.825588--0.55539))+0-819.6--0.835992000000131</f>
        <v>1920.4391520000001</v>
      </c>
      <c r="G37" s="3">
        <f>2299.2+(826.8-513.4)+(-2.345184+(-0.843336--0.523668))+0-804--0.820080000000128</f>
        <v>1806.7552280000002</v>
      </c>
      <c r="H37" s="3">
        <f>2284.5+(749.8-571.8)+(-2.33019+(-0.764796--0.583236))+0-727.7--0.742254000000116</f>
        <v>1733.0305039999998</v>
      </c>
      <c r="I37" s="3">
        <f>2190.9+(881.8-603.2)+(0+(0-0))+0-753.7-0</f>
        <v>1715.8</v>
      </c>
      <c r="J37" s="3">
        <f>2190.2+(808.2-552.8)+(-2.234004+(-0.824364--0.563856))+0-733.2--0.747864000000117</f>
        <v>1710.6533519999998</v>
      </c>
      <c r="K37" s="3">
        <f>2305.4+(686.1-469.6)+(-3.527262+(-1.049733--0.718488))+0-832.6--1.27387800000005</f>
        <v>1686.7153710000002</v>
      </c>
      <c r="L37" s="3">
        <f>2063.3+(741.9-487.4)+(-5.261415+(-1.891845--1.24287))+0-698.2--1.7804099999999</f>
        <v>1615.47002</v>
      </c>
      <c r="M37" s="3">
        <f>1963.3+(656.1-299.7)+(0+(0-0))+0-708-0</f>
        <v>1611.6999999999998</v>
      </c>
      <c r="N37" s="3">
        <f>1998.7+(666.4-253.5)+(0+(0-0))+0-671.4-0</f>
        <v>1740.1999999999998</v>
      </c>
      <c r="O37" s="3">
        <f>2163.3+(651.9-316.3)+(0+(0-0))+0-664.9-0</f>
        <v>1834</v>
      </c>
      <c r="P37" s="3">
        <f>2293.4+(600.5-365.7)+(-4.678536+(-1.22502--0.746028))+0-630.4--1.28601599999997</f>
        <v>1893.928488</v>
      </c>
      <c r="Q37" s="3">
        <f>2172.1+(737.9-213.2)+(1.107771+(0.376329-0.108732))+0-774.7-0.395096999999921</f>
        <v>1923.0802710000003</v>
      </c>
      <c r="R37" s="3">
        <f>2237+(726.2-340.6)+(-4.56348+(-1.481448--0.694824))+0-737.1--1.50368399999997</f>
        <v>1881.6535799999999</v>
      </c>
      <c r="S37" s="3">
        <f>2193.4+(628.1-346.5)+(0+(0-0))+0-756.7-0</f>
        <v>1718.3</v>
      </c>
      <c r="T37" s="3">
        <f>2291.2+(680.8-552.1)+(-1.168512+(-0.347208--0.281571))+0-660.9--0.337058999999933</f>
        <v>1758.1029099999996</v>
      </c>
      <c r="U37" s="3">
        <f>2180.8+(501.3-452.9)+(-4.448832+(-1.022652--0.923916))+0-449.7--0.91738799999998</f>
        <v>1775.8698200000003</v>
      </c>
      <c r="V37" s="3">
        <f>2154.6+(427-464.1)+(-1.098846+(-0.21777--0.236691))+0-330.2--0.168401999999966</f>
        <v>1786.388477</v>
      </c>
      <c r="W37" s="3">
        <f>2166.4+(335.1-405)+(-4.419456+(-0.683604--0.8262))+0-243.9--0.497555999999989</f>
        <v>1848.820696</v>
      </c>
      <c r="X37" s="3">
        <f>2174+(306-395.2)+(-4.43496+(-0.62424--0.806208))+0-229--0.46715999999999</f>
        <v>1852.0141679999999</v>
      </c>
      <c r="Y37" s="3">
        <f>2190.2+(448.1-279.4)+(-1.117002+(-0.228531--0.142494))+0-435.8--0.222257999999956</f>
        <v>1922.1192189999997</v>
      </c>
      <c r="Z37" s="3">
        <f>2257.1+(765.3-253.7)+(-3.453363+(-1.170909--0.388161))+0-711.7--1.08890100000004</f>
        <v>2053.8527899999999</v>
      </c>
      <c r="AA37" s="3">
        <f>2266.1+(525.9-350.2)+(-3.467133+(-0.804627--0.535806))+0-424.1--0.648873000000025</f>
        <v>2014.6129189999997</v>
      </c>
      <c r="AB37" s="3">
        <f>2272+(669.8-275.8)+(-1.15872+(-0.341598--0.140658))+0-697--0.355469999999929</f>
        <v>1967.9958099999999</v>
      </c>
      <c r="AC37" s="3">
        <f>2273.4+(582-401.8)+(-1.159434+(-0.29682--0.204918))+0-543.5--0.277184999999945</f>
        <v>1909.125849</v>
      </c>
      <c r="AD37" s="2">
        <v>2049.2000000000003</v>
      </c>
      <c r="AE37" s="3">
        <f>2250+(747.5-265.7)+(0+(0-0))+0-682.6-0</f>
        <v>2049.2000000000003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2237.1+(636.9-385.3)+(-1.140921+(-0.324819--0.196503))+0-692.8--0.35332799999993</f>
        <v>1794.9840909999998</v>
      </c>
      <c r="G38" s="3">
        <f>2239.3+(684.8-597.4)+(-4.568172+(-1.396992--1.218696))+0-606.6--1.23746399999997</f>
        <v>1716.5909960000006</v>
      </c>
      <c r="H38" s="3">
        <f>2317.1+(644.6-619.9)+(-1.181721+(-0.328746--0.316149))+0-670.9--0.342158999999932</f>
        <v>1670.0478410000003</v>
      </c>
      <c r="I38" s="3">
        <f>2252.7+(564.8-596.4)+(-1.148877+(-0.288048--0.304164))+0-647.7--0.330326999999934</f>
        <v>1572.5975659999999</v>
      </c>
      <c r="J38" s="3">
        <f>2256.9+(454.1-517.7)+(-2.302038+(-0.463182--0.528054))+0-633.8--0.646476000000101</f>
        <v>1557.9093100000005</v>
      </c>
      <c r="K38" s="3">
        <f>2260.5+(468.5-460)+(-2.30571+(-0.47787--0.4692))+0-690.5--0.70431000000011</f>
        <v>1576.8899300000003</v>
      </c>
      <c r="L38" s="3">
        <f>2051.9+(501.3-311)+(-4.185876+(-1.022652--0.63444))+0-621.3--1.26745199999997</f>
        <v>1617.5933640000005</v>
      </c>
      <c r="M38" s="3">
        <f>2023.1+(671.4-294.2)+(1.031781+(0.342414-0.150042))+0-668-0.340679999999932</f>
        <v>1733.1834729999998</v>
      </c>
      <c r="N38" s="3">
        <f>2168.1+(699.6-351.4)+(1.105731+(0.356796-0.179214))+0-551.2-0.281111999999944</f>
        <v>1966.1022010000002</v>
      </c>
      <c r="O38" s="3">
        <f>2436.1+(847.7-498.4)+(-1.242411+(-0.432327--0.254184))+0-664.2--0.338741999999933</f>
        <v>2120.1181880000004</v>
      </c>
      <c r="P38" s="3">
        <f>2532.7+(824.9-579.4)+(2.583354+(0.841398-0.590988))+0-583.4-0.595068000000093</f>
        <v>2197.0386959999996</v>
      </c>
      <c r="Q38" s="3">
        <f>2773.4+(998-936.8)+(0+(0-0))+0-613.8-0</f>
        <v>2220.8000000000002</v>
      </c>
      <c r="R38" s="3">
        <f>2464.5+(930-620.5)+(-2.51379+(-0.9486--0.63291))+0-585.1--0.596802000000093</f>
        <v>2186.6673220000002</v>
      </c>
      <c r="S38" s="3">
        <f>2371.9+(840.5-618.1)+(-1.209669+(-0.428655--0.315231))+0-654.4--0.333743999999934</f>
        <v>1938.9106510000001</v>
      </c>
      <c r="T38" s="3">
        <f>2348.7+(767.4-608.3)+(-2.395674+(-0.782748--0.620466))+0-563.8--0.57507600000009</f>
        <v>1942.0171199999997</v>
      </c>
      <c r="U38" s="3">
        <f>2343.3+(803.9-570.3)+(-3.585249+(-1.229967--0.872559))+0-608.9--0.931617000000035</f>
        <v>1964.9889599999999</v>
      </c>
      <c r="V38" s="3">
        <f>2130.9+(731-354.4)+(0+(0-0))+0-546.7-0</f>
        <v>1960.8</v>
      </c>
      <c r="W38" s="3">
        <f>2135.4+(783-279.8)+(-1.089054+(-0.39933--0.142698))+0-692.4--0.35312399999993</f>
        <v>1945.2074379999997</v>
      </c>
      <c r="X38" s="3">
        <f>2140.3+(555.8-318.3)+(-3.274659+(-0.850374--0.486999))+0-450--0.688500000000026</f>
        <v>1924.8504660000001</v>
      </c>
      <c r="Y38" s="3">
        <f>2147+(648.9-189.4)+(-1.09497+(-0.330939--0.096594))+0-624.2--0.318341999999937</f>
        <v>1981.289027</v>
      </c>
      <c r="Z38" s="3">
        <f>2271.5+(868.4-377.5)+(-2.31693+(-0.885768--0.38505))+0-611.4--0.623628000000097</f>
        <v>2148.8059800000001</v>
      </c>
      <c r="AA38" s="3">
        <f>2210.7+(741.6-273.6)+(-3.382371+(-1.134648--0.418608))+0-601.2--0.919836000000035</f>
        <v>2074.3214250000001</v>
      </c>
      <c r="AB38" s="3">
        <f>2166.5+(678.7-297.3)+(-2.20983+(-0.692274--0.303246))+0-536.4--0.547128000000086</f>
        <v>2009.4482700000003</v>
      </c>
      <c r="AC38" s="3">
        <f>2221.4+(726.7-345.3)+(3.398742+(1.111851-0.528309))+0-661.2-1.01163600000004</f>
        <v>1944.5706480000003</v>
      </c>
      <c r="AD38" s="2">
        <v>2157.3000000000002</v>
      </c>
      <c r="AE38" s="3">
        <f>2211+(924.8-364.4)+(0+(0-0))+0-614.1-0</f>
        <v>2157.3000000000002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2179.2+(586.3-243.5)+(0+(0-0))+0-674.3-0</f>
        <v>1847.7</v>
      </c>
      <c r="G39" s="3">
        <f>2174.9+(566.7-376.8)+(-1.109199+(-0.289017--0.192168))+0-630.5--0.321554999999936</f>
        <v>1733.4155070000002</v>
      </c>
      <c r="H39" s="3">
        <f>2180.9+(593.5-378.1)+(3.336777+(0.908055-0.578493))+0-732.8-1.12118400000004</f>
        <v>1666.045155</v>
      </c>
      <c r="I39" s="3">
        <f>2181.8+(462.1-424.8)+(-4.450872+(-0.942684--0.866592))+0-574.2--1.17136799999998</f>
        <v>1641.5444040000002</v>
      </c>
      <c r="J39" s="3">
        <f>2143.9+(577.6-359.3)+(-3.280167+(-0.883728--0.549729))+0-732.5--1.12072500000004</f>
        <v>1627.2065590000004</v>
      </c>
      <c r="K39" s="3">
        <f>1956.9+(598.8-292.4)+(-1.996038+(-0.610776--0.298248))+0-669.5--0.682890000000107</f>
        <v>1592.1743240000001</v>
      </c>
      <c r="L39" s="3">
        <f>1914+(558.6-274.8)+(-6.83298+(-1.994202--0.981036))+0-659.1--2.35298700000001</f>
        <v>1533.2068410000004</v>
      </c>
      <c r="M39" s="3">
        <f>1694.5+(689.8-270.4)+(0.864195+(0.351798-0.137904))+0-562.1-0.286670999999943</f>
        <v>1552.5914180000004</v>
      </c>
      <c r="N39" s="3">
        <f>1722.3+(745.3-217)+(0.878373+(0.380103-0.11067))+0-599.3-0.305642999999939</f>
        <v>1652.142163</v>
      </c>
      <c r="O39" s="3">
        <f>2000.5+(688.1-358.1)+(-2.04051+(-0.701862--0.365262))+0-602.6--0.614652000000096</f>
        <v>1726.1375420000004</v>
      </c>
      <c r="P39" s="3">
        <f>2034.1+(769.1-354.5)+(-3.112173+(-1.176723--0.542385))+0-637.6--0.975528000000037</f>
        <v>1808.329017</v>
      </c>
      <c r="Q39" s="3">
        <f>1931.9+(847.3-326.4)+(-3.941076+(-1.728492--0.665856))+0-614.4--1.25337599999997</f>
        <v>1834.6496639999998</v>
      </c>
      <c r="R39" s="3">
        <f>1874.1+(901.7-317)+(0+(0-0))+0-644.7-0</f>
        <v>1814.1000000000001</v>
      </c>
      <c r="S39" s="3">
        <f>1870+(860.3-447.1)+(-2.8611+(-1.316259--0.684063))+0-545.1--0.834003000000032</f>
        <v>1735.4407069999997</v>
      </c>
      <c r="T39" s="3">
        <f>1868.3+(979.1-486.3)+(-0.952833+(-0.499341--0.248013))+0-652.9--0.332978999999934</f>
        <v>1707.3288179999997</v>
      </c>
      <c r="U39" s="3">
        <f>1924.1+(743.2-448.6)+(-1.962582+(-0.758064--0.457572))+0-536.4--0.547128000000086</f>
        <v>1680.5840539999999</v>
      </c>
      <c r="V39" s="3">
        <f>1969.2+(713.9-440.2)+(-2.008584+(-0.728178--0.449004))+0-554.8--0.565896000000088</f>
        <v>1686.3781380000003</v>
      </c>
      <c r="W39" s="3">
        <f>1862.3+(690.3-239.6)+(-2.849319+(-1.056159--0.366588))+0-610.1--0.933453000000035</f>
        <v>1700.2945630000004</v>
      </c>
      <c r="X39" s="3">
        <f>1862.2+(565.9-193.2)+(-2.849166+(-0.865827--0.295596))+0-519.2--0.79437600000003</f>
        <v>1713.074979</v>
      </c>
      <c r="Y39" s="3">
        <f>2044+(592.3-187.1)+(-2.08488+(-0.604146--0.190842))+0-639.6--0.652392000000102</f>
        <v>1807.7542080000001</v>
      </c>
      <c r="Z39" s="3">
        <f>2306.2+(667.2-407.5)+(-1.176162+(-0.340272--0.207825))+0-555.1--0.283100999999944</f>
        <v>2009.7744919999996</v>
      </c>
      <c r="AA39" s="3">
        <f>2364.5+(722.1-470.5)+(-2.41179+(-0.736542--0.47991))+0-613.7--0.625974000000098</f>
        <v>2000.3575519999997</v>
      </c>
      <c r="AB39" s="3">
        <f>2229+(628.1-322.2)+(1.13679+(0.320331-0.164322))+0-592-0.30191999999994</f>
        <v>1943.890879</v>
      </c>
      <c r="AC39" s="3">
        <f>2226+(748.1-460.3)+(-3.40578+(-1.144593--0.704259))+0-646.5--0.989145000000037</f>
        <v>1864.4430310000002</v>
      </c>
      <c r="AD39" s="2">
        <v>1993.3999999999999</v>
      </c>
      <c r="AE39" s="3">
        <f>2338+(721-459.4)+(0+(0-0))+0-606.2-0</f>
        <v>1993.3999999999999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2231.6+(732.8-687.8)+(-1.138116+(-0.373728--0.350778))+0-518.6--0.264485999999947</f>
        <v>1757.1034199999999</v>
      </c>
      <c r="G40" s="3">
        <f>2235+(808.1-693.2)+(-3.41955+(-1.236393--1.060596))+0-671.2--1.02693600000004</f>
        <v>1676.1315890000001</v>
      </c>
      <c r="H40" s="3">
        <f>2232.2+(705.9-731.5)+(2.276844+(0.720018-0.74613))+0-575.3-0.586806000000092</f>
        <v>1632.9639259999999</v>
      </c>
      <c r="I40" s="3">
        <f>2173.3+(666.1-567.6)+(1.108383+(0.339711-0.289476))+0-654-0.333539999999934</f>
        <v>1618.6250780000003</v>
      </c>
      <c r="J40" s="3">
        <f>2173.2+(652.3-579.6)+(0+(0-0))+0-622.8-0</f>
        <v>1623.0999999999997</v>
      </c>
      <c r="K40" s="3">
        <f>2175.5+(603-530.8)+(-3.328515+(-0.92259--0.812124))+0-605.7--0.926721000000035</f>
        <v>1639.48774</v>
      </c>
      <c r="L40" s="3">
        <f>2061.5+(646.3-304.8)+(-1.051365+(-0.329613--0.155448))+0-738.2--0.376481999999925</f>
        <v>1663.9509519999997</v>
      </c>
      <c r="M40" s="3">
        <f>2071.2+(571-239.2)+(1.056312+(0.29121-0.121992))+0-580.4-0.296003999999941</f>
        <v>1823.529526</v>
      </c>
      <c r="N40" s="3">
        <f>2331.6+(749.3-290.5)+(1.189116+(0.382143-0.148155))+0-725.7-0.370106999999926</f>
        <v>2065.7529969999996</v>
      </c>
      <c r="O40" s="3">
        <f>2658+(432.2-413.8)+(0+(0-0))+0-448.4-0</f>
        <v>2228</v>
      </c>
      <c r="P40" s="3">
        <f>2683.1+(649.9-503.9)+(0+(0-0))+0-512.9-0</f>
        <v>2316.1999999999998</v>
      </c>
      <c r="Q40" s="3">
        <f>2684.9+(833.7-584.3)+(-4.107897+(-1.275561--0.893979))+0-566--0.865980000000033</f>
        <v>2364.6765010000004</v>
      </c>
      <c r="R40" s="3">
        <f>2883.4+(686.4-617.8)+(-5.882136+(-1.400256--1.260312))+0-605.8--1.23583199999997</f>
        <v>2341.4137519999999</v>
      </c>
      <c r="S40" s="3">
        <f>2854.3+(427.9-596.2)+(-2.911386+(-0.436458--0.608124))+0-587.4--0.599148000000094</f>
        <v>2096.4594280000001</v>
      </c>
      <c r="T40" s="3">
        <f>2833+(362-791.4)+(0+(0-0))+0-466-0</f>
        <v>1937.6</v>
      </c>
      <c r="U40" s="3">
        <f>2996.5+(391.8-703.1)+(-3.05643+(-0.399636--0.717162))+0-476.9--0.486438000000076</f>
        <v>2206.0475339999998</v>
      </c>
      <c r="V40" s="3">
        <f>2894.9+(366.4-540.8)+(-2.952798+(-0.373728--0.551616))+0-498.4--0.508368000000079</f>
        <v>2219.8334580000001</v>
      </c>
      <c r="W40" s="3">
        <f>2687.7+(364.7-282.1)+(-2.741454+(-0.371994--0.287742))+0-566--0.57732000000009</f>
        <v>2202.0516139999995</v>
      </c>
      <c r="X40" s="3">
        <f>2650.7+(393.2-307.4)+(-4.055571+(-0.601596--0.470322))+0-570.7--0.873171000000033</f>
        <v>2162.4863260000002</v>
      </c>
      <c r="Y40" s="3">
        <f>2609.8+(465.3-324.7)+(-3.992994+(-0.711909--0.496791))+0-543.5--0.831555000000031</f>
        <v>2203.5234430000005</v>
      </c>
      <c r="Z40" s="3">
        <f>2840+(688.8-539.6)+(-5.7936+(-1.405152--1.100784))+0-633.7--1.29274799999997</f>
        <v>2350.6947799999998</v>
      </c>
      <c r="AA40" s="3">
        <f>2895.7+(525.4-533.4)+(-2.953614+(-0.535908--0.544068))+0-622--0.634440000000099</f>
        <v>2263.3889859999999</v>
      </c>
      <c r="AB40" s="3">
        <f>2852.6+(351.4-442)+(-4.364478+(-0.537642--0.67626))+0-591.7--0.905301000000034</f>
        <v>2166.979441</v>
      </c>
      <c r="AC40" s="3">
        <f>2810.9+(599.1-695)+(-5.734236+(-1.222164--1.4178))+0-651.8--1.32967199999997</f>
        <v>2058.9910719999998</v>
      </c>
      <c r="AD40" s="2">
        <v>2353.4</v>
      </c>
      <c r="AE40" s="3">
        <f>2933+(760.4-702)+(0+(0-0))+0-638-0</f>
        <v>2353.4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2817.5+(615.5-854.4)+(-4.310775+(-0.941715--1.307232))+0-668.8--1.02326400000004</f>
        <v>1906.8780059999997</v>
      </c>
      <c r="G41" s="3">
        <f>2825.5+(525.8-874)+(-4.323015+(-0.804474--1.33722))+0-655.9--1.00352700000004</f>
        <v>1818.6132580000001</v>
      </c>
      <c r="H41" s="3">
        <f>2788.6+(494.2-920.3)+(1.422186+(0.252042-0.469353))+0-588-0.29987999999994</f>
        <v>1775.4049949999999</v>
      </c>
      <c r="I41" s="3">
        <f>2622+(574.9-779.9)+(2.67444+(0.586398-0.795498))+0-663.6-0.676872000000106</f>
        <v>1755.1884680000003</v>
      </c>
      <c r="J41" s="3">
        <f>2585.3+(590.6-731.3)+(-1.318503+(-0.301206--0.372963))+0-725.4--0.369953999999926</f>
        <v>1718.3232080000005</v>
      </c>
      <c r="K41" s="3">
        <f>2558.6+(581.9-683.5)+(-5.219544+(-1.187076--1.39434))+0-700.5--1.42901999999997</f>
        <v>1752.9167400000001</v>
      </c>
      <c r="L41" s="3">
        <f>2378.3+(661.8-594)+(-3.638799+(-1.012554--0.90882))+0-680.8--1.04162400000004</f>
        <v>1762.5990910000003</v>
      </c>
      <c r="M41" s="3">
        <f>2303+(577.6-385.2)+(0+(0-0))+0-581-0</f>
        <v>1914.4</v>
      </c>
      <c r="N41" s="3">
        <f>2760.1+(442.2-496)+(1.407651+(0.225522-0.25296))+0-544-0.277439999999945</f>
        <v>2163.4027729999998</v>
      </c>
      <c r="O41" s="3">
        <f>2920.4+(512.4-483.2)+(1.489404+(0.261324-0.246432))+0-638.8-0.325787999999935</f>
        <v>2311.9785080000001</v>
      </c>
      <c r="P41" s="3">
        <f>2696.7+(491.3-381)+(-1.375317+(-0.250563--0.19431))+0-507.1--0.258620999999949</f>
        <v>2298.7270509999998</v>
      </c>
      <c r="Q41" s="3">
        <f>2648.9+(598.2-217.2)+(-4.052817+(-0.915246--0.332316))+0-589.9--0.902547000000034</f>
        <v>2436.2668000000003</v>
      </c>
      <c r="R41" s="3">
        <f>2740.8+(627.5-500.3)+(-2.795616+(-0.64005--0.510306))+0-489--0.498780000000078</f>
        <v>2376.5734199999997</v>
      </c>
      <c r="S41" s="3">
        <f>2736.4+(747.2-751.3)+(-5.582256+(-1.524288--1.532652))+0-620.7--1.26622799999997</f>
        <v>2107.292336</v>
      </c>
      <c r="T41" s="3">
        <f>2910+(853.8-1006.5)+(-1.4841+(-0.435438--0.513315))+0-484.4--0.247043999999951</f>
        <v>2271.7408209999999</v>
      </c>
      <c r="U41" s="3">
        <f>3112.3+(688.6-1151)+(-6.349092+(-1.404744--2.34804))+0-380.4--0.776015999999983</f>
        <v>2264.8702199999998</v>
      </c>
      <c r="V41" s="3">
        <f>3140.5+(668.2-928)+(-3.20331+(-0.681564--0.94656))+0-569.1--0.580482000000091</f>
        <v>2309.2421680000002</v>
      </c>
      <c r="W41" s="3">
        <f>2815.1+(645.3-794.3)+(-7.178505+(-1.645515--2.025465))+0-356.1--0.908054999999948</f>
        <v>2304.1095</v>
      </c>
      <c r="X41" s="3">
        <f>2649.3+(727-554.7)+(-12.160287+(-3.33693--2.546073))+0-523.9--2.40470100000009</f>
        <v>2287.1535570000001</v>
      </c>
      <c r="Y41" s="3">
        <f>2621.6+(570.7-397)+(0+(0-0))+0-514.3-0</f>
        <v>2281</v>
      </c>
      <c r="Z41" s="3">
        <f>3049.7+(628.7-585.9)+(-1.555347+(-0.320637--0.298809))+0-685.5--0.34960499999993</f>
        <v>2405.77243</v>
      </c>
      <c r="AA41" s="3">
        <f>3139.6+(510.5-737.2)+(-9.607176+(-1.56213--2.255832))+0-600.3--1.83691800000007</f>
        <v>2305.5234439999995</v>
      </c>
      <c r="AB41" s="3">
        <f>3022.8+(634.7-832.6)+(0+(0-0))+0-615.3-0</f>
        <v>2209.6000000000004</v>
      </c>
      <c r="AC41" s="3">
        <f>2997.3+(777.4-1025.5)+(0+(0-0))+0-644.7-0</f>
        <v>2104.5</v>
      </c>
      <c r="AD41" s="2">
        <v>2362.9</v>
      </c>
      <c r="AE41" s="3">
        <f>3174+(600.1-648.1)+(0+(0-0))+0-763.1-0</f>
        <v>2362.9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2998+(793.6-1170.6)+(-3.05796+(-0.809472--1.194012))+0-679.1--0.692682000000108</f>
        <v>1939.9192620000001</v>
      </c>
      <c r="G42" s="3">
        <f>2905+(861.8-1307.3)+(-2.9631+(-0.879036--1.333446))+0-616.9--0.629238000000098</f>
        <v>1840.7205479999998</v>
      </c>
      <c r="H42" s="3">
        <f>2712.8+(917.1-1105.8)+(0+(0-0))+0-723.2-0</f>
        <v>1800.9000000000003</v>
      </c>
      <c r="I42" s="3">
        <f>2611.7+(936.7-1093.7)+(2.663934+(0.955434-1.115574))+0-668.1-0.681462000000107</f>
        <v>1788.4223320000001</v>
      </c>
      <c r="J42" s="3">
        <f>2603.7+(824.6-992.1)+(-2.655774+(-0.841092--1.011942))+0-668.6--0.681972000000107</f>
        <v>1765.7970480000001</v>
      </c>
      <c r="K42" s="3">
        <f>2553.3+(834.1-919.2)+(-1.302183+(-0.425391--0.468792))+0-685.4--0.34955399999993</f>
        <v>1781.8907720000002</v>
      </c>
      <c r="L42" s="3">
        <f>2429.6+(636.9-730.3)+(-6.19548+(-1.624095--1.862265))+0-561.6--1.43207999999992</f>
        <v>1770.0747699999999</v>
      </c>
      <c r="M42" s="3">
        <f>2310.9+(550.1-434.5)+(3.535677+(0.841653-0.664785))+0-532.2-0.814266000000031</f>
        <v>1897.1982789999997</v>
      </c>
      <c r="N42" s="3">
        <f>2521.7+(611.1-351.9)+(0+(0-0))+0-643.7-0</f>
        <v>2137.1999999999998</v>
      </c>
      <c r="O42" s="3">
        <f>2627.8+(528.5-331.6)+(1.340178+(0.269535-0.169116))+0-537.5-0.274124999999946</f>
        <v>2288.3664720000002</v>
      </c>
      <c r="P42" s="3">
        <f>2784.3+(474.9-303.6)+(-1.419993+(-0.242199--0.154836))+0-609.2--0.310691999999938</f>
        <v>2345.2033360000005</v>
      </c>
      <c r="Q42" s="3">
        <f>2925.8+(333.8-325.3)+(-7.46079+(-0.85119--0.829515))+0-546.3--1.39306499999992</f>
        <v>2381.9105999999997</v>
      </c>
      <c r="R42" s="3">
        <f>2897+(569.2-446.5)+(-5.90988+(-1.161168--0.91086))+0-658--1.34231999999997</f>
        <v>2356.8821319999997</v>
      </c>
      <c r="S42" s="3">
        <f>2883.2+(528.2-698.3)+(-4.411296+(-0.808146--1.068399))+0-608.2--0.930546000000035</f>
        <v>2101.6795029999998</v>
      </c>
      <c r="T42" s="3">
        <f>2985.8+(715.5-822.2)+(4.568274+(1.094715-1.257966))+0-682-1.04346000000004</f>
        <v>2200.4615630000003</v>
      </c>
      <c r="U42" s="3">
        <f>3019.9+(633.2-849.1)+(-7.700745+(-1.61466--2.165205))+0-577.3--1.47211499999992</f>
        <v>2221.0219149999998</v>
      </c>
      <c r="V42" s="3">
        <f>3025.8+(577.5-828.8)+(-3.086316+(-0.58905--0.845376))+0-539.3--0.550086000000086</f>
        <v>2232.9200959999998</v>
      </c>
      <c r="W42" s="3">
        <f>2877.9+(565.7-586.2)+(-7.338645+(-1.442535--1.49481))+0-612--1.56059999999991</f>
        <v>2239.6742300000001</v>
      </c>
      <c r="X42" s="3">
        <f>2877.9+(565.7-586.2)+(-7.338645+(-1.442535--1.49481))+0-612--1.56059999999991</f>
        <v>2239.6742300000001</v>
      </c>
      <c r="Y42" s="3">
        <f>2755+(427.6-325.5)+(-7.02525+(-1.09038--0.830025))+0-645.7--1.64653499999991</f>
        <v>2205.7609299999995</v>
      </c>
      <c r="Z42" s="3">
        <f>3013.2+(512.9-479.6)+(-4.610196+(-0.784737--0.733788))+0-674.1--1.03137300000004</f>
        <v>2368.7702280000003</v>
      </c>
      <c r="AA42" s="3">
        <f>3011+(592-576.2)+(-4.60683+(-0.90576--0.881586))+0-743.3--1.13724900000004</f>
        <v>2280.006245</v>
      </c>
      <c r="AB42" s="3">
        <f>2823.9+(528.9-527.5)+(4.320567+(0.809217-0.807075))+0-644.7-0.986391000000037</f>
        <v>2183.9363180000005</v>
      </c>
      <c r="AC42" s="3">
        <f>2924.5+(567.3-756.2)+(-7.457475+(-1.446615--1.92831))+0-653.2--1.66565999999991</f>
        <v>2077.08988</v>
      </c>
      <c r="AD42" s="2">
        <v>2305.8999999999996</v>
      </c>
      <c r="AE42" s="3">
        <f>3053+(587.2-560.6)+(0+(0-0))+0-773.7-0</f>
        <v>2305.8999999999996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2814.7+(636.7-795)+(-4.306491+(-0.974151--1.21635))+0-698.9--1.06931700000004</f>
        <v>1954.5050249999995</v>
      </c>
      <c r="G43" s="3">
        <f>2684.8+(817-1057.2)+(-5.476992+(-1.66668--2.156688))+0-577.6--1.17830399999997</f>
        <v>1863.1913200000004</v>
      </c>
      <c r="H43" s="3">
        <f>2670.9+(853.5-992.2)+(-4.086477+(-1.305855--1.518066))+0-729.2--1.11567600000004</f>
        <v>1800.2414100000001</v>
      </c>
      <c r="I43" s="3">
        <f>2658.3+(729.9-1073.1)+(-6.778665+(-1.861245--2.736405))+0-543.8--1.38668999999992</f>
        <v>1766.783185</v>
      </c>
      <c r="J43" s="3">
        <f>2606.3+(609.9-811)+(1.329213+(0.311049-0.41361))+0-636.7-0.324716999999935</f>
        <v>1769.4019350000001</v>
      </c>
      <c r="K43" s="3">
        <f>2610.3+(546.8-705.5)+(-5.325012+(-1.115472--1.43922))+0-672.8--1.37251199999997</f>
        <v>1775.1712480000003</v>
      </c>
      <c r="L43" s="3">
        <f>2435.1+(339.2-449.8)+(2.483802+(0.345984-0.458796))+0-679.7-0.693294000000108</f>
        <v>1646.4776959999997</v>
      </c>
      <c r="M43" s="3">
        <f>2422.1+(384.7-365.2)+(0+(0-0))+0-541-0</f>
        <v>1900.6</v>
      </c>
      <c r="N43" s="3">
        <f>2441.6+(356.7-379.6)+(2.490432+(0.363834-0.387192))+0-424.4-0.432888000000068</f>
        <v>1996.3341859999998</v>
      </c>
      <c r="O43" s="3">
        <f>2808+(409.3-534.6)+(0+(0-0))+0-442.4-0</f>
        <v>2240.2999999999997</v>
      </c>
      <c r="P43" s="3">
        <f>2811+(500-343.1)+(-1.43361+(-0.255--0.174981))+0-678--0.345779999999931</f>
        <v>2288.7321510000002</v>
      </c>
      <c r="Q43" s="3">
        <f>2794.1+(638.7-542.6)+(1.424991+(0.325737-0.276726))+0-538.6-0.274685999999945</f>
        <v>2352.7993160000001</v>
      </c>
      <c r="R43" s="3">
        <f>2790.3+(835.6-763.4)+(-5.692212+(-1.704624--1.557336))+0-527.6--1.07630399999998</f>
        <v>2330.1368040000002</v>
      </c>
      <c r="S43" s="3">
        <f>2924.1+(821.3-1111.6)+(-2.982582+(-0.837726--1.133832))+0-532.8--0.543456000000085</f>
        <v>2098.85698</v>
      </c>
      <c r="T43" s="3">
        <f>3374.9+(653.8-1366.5)+(-3.442398+(-0.666876--1.39383))+0-480.5--0.490110000000077</f>
        <v>2179.4746660000001</v>
      </c>
      <c r="U43" s="3">
        <f>3393.8+(507-1266.3)+(-10.385028+(-1.55142--3.874878))+0-453.1--1.38648600000005</f>
        <v>2174.7249160000001</v>
      </c>
      <c r="V43" s="3">
        <f>3086.6+(462.7-876.9)+(-6.296664+(-0.943908--1.788876))+0-475.1--0.969203999999979</f>
        <v>2192.8175080000001</v>
      </c>
      <c r="W43" s="3">
        <f>2831.6+(433.6-631.2)+(-4.332348+(-0.663408--0.965736))+0-456.3--0.698139000000026</f>
        <v>2174.3681189999998</v>
      </c>
      <c r="X43" s="3">
        <f>2746.6+(555.9-529.4)+(-5.603064+(-1.134036--1.079976))+0-612.5--1.24949999999997</f>
        <v>2156.192376</v>
      </c>
      <c r="Y43" s="3">
        <f>2673+(524.2-439)+(-1.36323+(-0.267342--0.22389))+0-537.1--0.273920999999946</f>
        <v>2219.9672390000001</v>
      </c>
      <c r="Z43" s="3">
        <f>2854.9+(564.3-528.7)+(-2.911998+(-0.575586--0.539274))+0-499.7--0.50969400000008</f>
        <v>2388.3613839999998</v>
      </c>
      <c r="AA43" s="3">
        <f>2931.8+(642.8-689)+(-5.980872+(-1.311312--1.40556))+0-578--1.17911999999997</f>
        <v>2302.8924959999999</v>
      </c>
      <c r="AB43" s="3">
        <f>2938.7+(780.8-831.3)+(-4.496211+(-1.194624--1.271889))+0-666.2--1.01928600000004</f>
        <v>2218.6003400000004</v>
      </c>
      <c r="AC43" s="3">
        <f>2949.4+(671.4-953.5)+(-7.52097+(-1.71207--2.431425))+0-536.7--1.36858499999992</f>
        <v>2125.1669699999998</v>
      </c>
      <c r="AD43" s="2">
        <v>2295</v>
      </c>
      <c r="AE43" s="3">
        <f>2900+(648.1-622)+(0+(0-0))+0-631.1-0</f>
        <v>2295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2944.5+(626.1-968.2)+(-3.00339+(-0.638622--0.987564))+0-647.4--0.660348000000103</f>
        <v>1953.0059000000003</v>
      </c>
      <c r="G44" s="3">
        <f>2943.6+(585.8-1086.8)+(0+(0-0))+0-598.6-0</f>
        <v>1844</v>
      </c>
      <c r="H44" s="3">
        <f>2937.9+(581.8-1073.1)+(-7.491645+(-1.48359--2.736405))+0-656.9--1.6750949999999</f>
        <v>1785.1362650000003</v>
      </c>
      <c r="I44" s="3">
        <f>2687.7+(712.3-984.8)+(0+(0-0))+0-680.5-0</f>
        <v>1734.6999999999998</v>
      </c>
      <c r="J44" s="3">
        <f>2705.2+(630.7-992.2)+(-5.518608+(-1.286628--2.024088))+0-597.6--1.21910399999997</f>
        <v>1742.5379559999999</v>
      </c>
      <c r="K44" s="3">
        <f>2700+(638.5-884)+(-6.885+(-1.628175--2.2542))+0-687.2--1.7523599999999</f>
        <v>1762.7933849999997</v>
      </c>
      <c r="L44" s="3">
        <f>2701+(638.5-884)+(-6.88755+(-1.628175--2.2542))+0-687.2--1.7523599999999</f>
        <v>1763.790835</v>
      </c>
      <c r="M44" s="3">
        <f>2438.7+(664.5-697.8)+(-8.706159+(-2.372265--2.491146))+0-537.7--1.91958900000001</f>
        <v>1861.0323109999997</v>
      </c>
      <c r="N44" s="3">
        <f>2525.9+(625.4-537.3)+(1.288209+(0.318954-0.274023))+0-585.2-0.298451999999941</f>
        <v>2029.8346880000001</v>
      </c>
      <c r="O44" s="3">
        <f>2744.3+(445.9-464.5)+(1.399593+(0.227409-0.236895))+0-551.4-0.281213999999944</f>
        <v>2175.4088930000003</v>
      </c>
      <c r="P44" s="3">
        <f>2788.8+(427.1-333.8)+(0+(0-0))+0-570.5-0</f>
        <v>2311.6000000000004</v>
      </c>
      <c r="Q44" s="3">
        <f>2843.8+(380.6-342)+(1.450338+(0.194106-0.17442))+0-478.1-0.243830999999952</f>
        <v>2405.5261930000006</v>
      </c>
      <c r="R44" s="3">
        <f>2891.9+(471.8-530.8)+(-4.424607+(-0.721854--0.812124))+0-490.2--0.750006000000028</f>
        <v>2339.1156690000007</v>
      </c>
      <c r="S44" s="3">
        <f>2788.9+(569.5-834)+(0+(0-0))+0-430.4-0</f>
        <v>2094</v>
      </c>
      <c r="T44" s="3">
        <f>2879.2+(584.9-849.6)+(-5.873568+(-1.193196--1.733184))+0-418.1--0.852923999999982</f>
        <v>2191.9193439999999</v>
      </c>
      <c r="U44" s="3">
        <f>2878.6+(631.4-779.4)+(-5.872344+(-1.288056--1.589976))+0-513--1.04651999999998</f>
        <v>2213.0760959999998</v>
      </c>
      <c r="V44" s="3">
        <f>2874.5+(592.7-758.4)+(-5.86398+(-1.209108--1.547136))+0-489.9--0.999395999999979</f>
        <v>2214.3734440000003</v>
      </c>
      <c r="W44" s="3">
        <f>2810+(456.6-561.2)+(-11.4648+(-1.862928--2.289696))+0-530.1--2.16280799999995</f>
        <v>2166.4247760000003</v>
      </c>
      <c r="X44" s="3">
        <f>2756.5+(503-600.9)+(-12.652335+(-2.30877--2.758131))+0-507.1--2.32758900000009</f>
        <v>2141.6246150000002</v>
      </c>
      <c r="Y44" s="3">
        <f>2788.3+(311.3-425.1)+(0+(0-0))+0-539.5-0</f>
        <v>2135</v>
      </c>
      <c r="Z44" s="3">
        <f>2796.3+(402.6-367)+(2.852226+(0.410652-0.37434))+0-540.3-0.551106000000086</f>
        <v>2293.9374320000006</v>
      </c>
      <c r="AA44" s="3">
        <f>2808.9+(303.8-382)+(-10.027773+(-1.084566--1.36374))+0-507.7--1.81248900000001</f>
        <v>2215.0638900000004</v>
      </c>
      <c r="AB44" s="3">
        <f>2803+(256.5-466.1)+(-2.85906+(-0.26163--0.475422))+0-452.1--0.461142000000072</f>
        <v>2139.1158740000001</v>
      </c>
      <c r="AC44" s="3">
        <f>2811.3+(411-667.5)+(-5.735052+(-0.83844--1.3617))+0-523.4--1.06773599999998</f>
        <v>2027.255944</v>
      </c>
      <c r="AD44" s="2">
        <v>2241</v>
      </c>
      <c r="AE44" s="3">
        <f>2805+(370.3-344.4)+(0+(0-0))+0-589.9-0</f>
        <v>2241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2727.7+(554.6-884.7)+(-1.391127+(-0.282846--0.451197))+0-497.6--0.25377599999995</f>
        <v>1899.0309999999999</v>
      </c>
      <c r="G45" s="3">
        <f>2727.3+(594.4-899.7)+(-2.781846+(-0.606288--0.917694))+0-632.3--0.644946000000101</f>
        <v>1787.8745060000001</v>
      </c>
      <c r="H45" s="3">
        <f>2675.3+(627.6-988.7)+(-6.822015+(-1.60038--2.521185))+0-560.5--1.42927499999992</f>
        <v>1749.2280650000002</v>
      </c>
      <c r="I45" s="3">
        <f>2445.1+(689.5-800.9)+(-1.247001+(-0.351645--0.408459))+0-610.6--0.311405999999938</f>
        <v>1722.2212189999998</v>
      </c>
      <c r="J45" s="3">
        <f>2437.2+(692.8-803.3)+(-2.485944+(-0.706656--0.819366))+0-618.1--0.630462000000099</f>
        <v>1706.8572279999998</v>
      </c>
      <c r="K45" s="3">
        <f>2436.5+(728.2-768.6)+(-4.97046+(-1.485528--1.567944))+0-687.4--1.40229599999997</f>
        <v>1705.214252</v>
      </c>
      <c r="L45" s="3">
        <f>2180.6+(650.3-519.5)+(-2.224212+(-0.663306--0.52989))+0-497.5--0.507450000000079</f>
        <v>1812.0498219999995</v>
      </c>
      <c r="M45" s="3">
        <f>2309.6+(597.8-429.2)+(-1.177896+(-0.304878--0.218892))+0-670--0.341699999999932</f>
        <v>1807.2778179999996</v>
      </c>
      <c r="N45" s="3">
        <f>2588.1+(494.1-407.5)+(0+(0-0))+0-536.2-0</f>
        <v>2138.5</v>
      </c>
      <c r="O45" s="3">
        <f>2710.7+(465.7-330.2)+(1.382457+(0.237507-0.168402))+0-540.8-0.275807999999945</f>
        <v>2306.575754</v>
      </c>
      <c r="P45" s="3">
        <f>2616.6+(674.9-246)+(4.003398+(1.032597-0.37638))+0-638.2-0.976446000000037</f>
        <v>2410.9831689999996</v>
      </c>
      <c r="Q45" s="3">
        <f>2578.9+(740-304.6)+(-1.315239+(-0.3774--0.155346))+0-577.6--0.294575999999941</f>
        <v>2435.4572830000002</v>
      </c>
      <c r="R45" s="3">
        <f>2686.5+(714-428)+(-2.74023+(-0.72828--0.43656))+0-643.7--0.656574000000103</f>
        <v>2326.4246239999998</v>
      </c>
      <c r="S45" s="3">
        <f>2567.3+(711.4-562)+(-3.927969+(-1.088442--0.85986))+0-586.7--0.897651000000034</f>
        <v>2126.7411000000002</v>
      </c>
      <c r="T45" s="3">
        <f>2541.1+(844.3-787.7)+(-3.887883+(-1.291779--1.205181))+0-592.9--0.907137000000034</f>
        <v>2001.7326559999995</v>
      </c>
      <c r="U45" s="3">
        <f>2525.2+(867-855.5)+(-2.575704+(-0.88434--0.87261))+0-502.6--0.51265200000008</f>
        <v>2032.025218</v>
      </c>
      <c r="V45" s="3">
        <f>2536.5+(841.5-737.3)+(-7.76169+(-2.57499--2.256138))+0-623.1--1.90668600000007</f>
        <v>2011.4261439999998</v>
      </c>
      <c r="W45" s="3">
        <f>2345.4+(660.9-441)+(-3.588462+(-1.011177--0.67473))+0-527--0.806310000000031</f>
        <v>2035.1814010000003</v>
      </c>
      <c r="X45" s="3">
        <f>2200+(717-260.3)+(-1.122+(-0.36567--0.132753))+0-623.5--0.317984999999937</f>
        <v>2032.1630679999996</v>
      </c>
      <c r="Y45" s="3">
        <f>2224.8+(576-245.8)+(1.134648+(0.29376-0.125358))+0-495.4-0.25265399999995</f>
        <v>2060.650396</v>
      </c>
      <c r="Z45" s="3">
        <f>2466.3+(595-420)+(-2.515626+(-0.6069--0.4284))+0-454.7--0.463794000000072</f>
        <v>2184.3696680000007</v>
      </c>
      <c r="AA45" s="3">
        <f>2542+(759.6-598.8)+(-3.88926+(-1.162188--0.916164))+0-596--0.911880000000034</f>
        <v>2103.5765960000003</v>
      </c>
      <c r="AB45" s="3">
        <f>2529.6+(822.4-719.1)+(-7.740576+(-2.516544--2.200446))+0-596.2--1.82437200000007</f>
        <v>2030.4676979999997</v>
      </c>
      <c r="AC45" s="3">
        <f>2643.3+(943-871.8)+(-2.696166+(-0.96186--0.889236))+0-752.8--0.76785600000012</f>
        <v>1959.6990660000001</v>
      </c>
      <c r="AD45" s="2">
        <v>2100.2000000000003</v>
      </c>
      <c r="AE45" s="3">
        <f>2547+(821.1-593.3)+(0+(0-0))+0-674.6-0</f>
        <v>2100.2000000000003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2603.3+(1021.9-1072.7)+(-5.310732+(-2.084676--2.188308))+0-685.8--1.39903199999997</f>
        <v>1862.891932</v>
      </c>
      <c r="G46" s="3">
        <f>2539.9+(1044.4-1072.5)+(-2.590698+(-1.065288--1.09395))+0-758.7--0.773874000000121</f>
        <v>1751.3118380000005</v>
      </c>
      <c r="H46" s="3">
        <f>2540.6+(871.9-1103.8)+(-1.295706+(-0.444669--0.562938))+0-618.6--0.315485999999937</f>
        <v>1689.238049</v>
      </c>
      <c r="I46" s="3">
        <f>2546.2+(771.9-956.6)+(5.194248+(1.574676-1.951464))+0-726.6-1.48226399999997</f>
        <v>1638.2351960000003</v>
      </c>
      <c r="J46" s="3">
        <f>2557.6+(766.4-1033.3)+(0+(0-0))+0-668-0</f>
        <v>1622.6999999999998</v>
      </c>
      <c r="K46" s="3">
        <f>2484.5+(792.9-1016.6)+(-3.801285+(-1.213137--1.555398))+0-662.2--1.01316600000004</f>
        <v>1596.1541419999999</v>
      </c>
      <c r="L46" s="3">
        <f>2121.3+(822.5-835.3)+(-2.163726+(-0.83895--0.852006))+0-591.2--0.603024000000094</f>
        <v>1515.752354</v>
      </c>
      <c r="M46" s="3">
        <f>2025.8+(731.9-690.2)+(-2.066316+(-0.746538--0.704004))+0-528.2--0.538764000000084</f>
        <v>1537.729914</v>
      </c>
      <c r="N46" s="3">
        <f>2131.2+(720.9-581.8)+(-1.086912+(-0.367659--0.296718))+0-648.8--0.330887999999934</f>
        <v>1620.6730349999996</v>
      </c>
      <c r="O46" s="3">
        <f>2179.5+(623.9-408.2)+(0+(0-0))+0-672.8-0</f>
        <v>1722.3999999999999</v>
      </c>
      <c r="P46" s="3">
        <f>2295.5+(447.2-323.9)+(0+(0-0))+0-620.2-0</f>
        <v>1798.6000000000001</v>
      </c>
      <c r="Q46" s="3">
        <f>2332.1+(542.5-453.3)+(-3.568113+(-0.830025--0.693549))+0-606.2--0.927486000000035</f>
        <v>1812.3228969999998</v>
      </c>
      <c r="R46" s="3">
        <f>2477.2+(582.5-736.1)+(-1.263372+(-0.297075--0.375411))+0-510.2--0.260201999999948</f>
        <v>1812.4751659999999</v>
      </c>
      <c r="S46" s="3">
        <f>2488+(776.5-923)+(0+(0-0))+0-600.5-0</f>
        <v>1741</v>
      </c>
      <c r="T46" s="3">
        <f>2501.6+(811.5-1081.2)+(-6.37908+(-2.069325--2.75706))+0-540.7--1.37878499999992</f>
        <v>1686.8874399999993</v>
      </c>
      <c r="U46" s="3">
        <f>2383.7+(895.6-919.3)+(-3.647061+(-1.370268--1.406529))+0-654.7--1.00169100000004</f>
        <v>1702.690891</v>
      </c>
      <c r="V46" s="3">
        <f>2375.7+(807.7-972.6)+(-6.058035+(-2.059635--2.48013))+0-549.9--1.40224499999992</f>
        <v>1656.6647049999995</v>
      </c>
      <c r="W46" s="3">
        <f>2338.2+(714-717.9)+(-2.384964+(-0.72828--0.732258))+0-623.3--0.635766000000099</f>
        <v>1709.2547799999998</v>
      </c>
      <c r="X46" s="3">
        <f>2116.1+(688.7-493.8)+(-3.237633+(-1.053711--0.755514))+0-617.1--0.944163000000036</f>
        <v>1691.3083330000004</v>
      </c>
      <c r="Y46" s="3">
        <f>2123.3+(747.9-487.6)+(-1.082883+(-0.381429--0.248676))+0-638.8--0.325787999999935</f>
        <v>1743.9101520000004</v>
      </c>
      <c r="Z46" s="3">
        <f>2379.7+(666.2-521.3)+(0+(0-0))+0-547.3-0</f>
        <v>1977.3</v>
      </c>
      <c r="AA46" s="3">
        <f>2495.6+(613.7-519.7)+(-5.091024+(-1.251948--1.060188))+0-605.3--1.23481199999997</f>
        <v>1980.2520279999999</v>
      </c>
      <c r="AB46" s="3">
        <f>2491.9+(728.3-644.7)+(-5.083476+(-1.485732--1.315188))+0-637.4--1.30029599999997</f>
        <v>1934.1462759999999</v>
      </c>
      <c r="AC46" s="3">
        <f>2485.4+(840.2-833.3)+(-3.802662+(-1.285506--1.274949))+0-614.2--0.939726000000036</f>
        <v>1875.2265070000001</v>
      </c>
      <c r="AD46" s="2">
        <v>1969.3000000000004</v>
      </c>
      <c r="AE46" s="3">
        <f>2501+(638.8-484.7)+(0+(0-0))+0-685.8-0</f>
        <v>1969.3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2577.4+(916.7-966.2)+(-1.314474+(-0.467517--0.492762))+0-764--0.389639999999922</f>
        <v>1763.000411</v>
      </c>
      <c r="G47" s="3">
        <f>2510.9+(890.4-1119.7)+(-3.841677+(-1.362312--1.713141))+0-607.7--0.929781000000035</f>
        <v>1671.338933</v>
      </c>
      <c r="H47" s="3">
        <f>2454.2+(971.1-1021)+(-2.503284+(-0.990522--1.04142))+0-781--0.796620000000125</f>
        <v>1621.6442339999999</v>
      </c>
      <c r="I47" s="3">
        <f>2453.3+(938.6-1066.8)+(-6.255915+(-2.39343--2.72034))+0-718.5--1.8321749999999</f>
        <v>1602.5031700000004</v>
      </c>
      <c r="J47" s="3">
        <f>2196.3+(945.3-871.6)+(-5.600565+(-2.410515--2.22258))+0-666--1.6982999999999</f>
        <v>1599.9097999999997</v>
      </c>
      <c r="K47" s="3">
        <f>2177.1+(992.9-757.3)+(-3.330963+(-1.519137--1.158669))+0-790.6--1.20961800000005</f>
        <v>1619.6181869999998</v>
      </c>
      <c r="L47" s="3">
        <f>2174.2+(824.4-628.8)+(-6.653052+(-2.522664--1.924128))+0-666.5--2.03949000000008</f>
        <v>1698.0879019999998</v>
      </c>
      <c r="M47" s="3">
        <f>2224.3+(699.7-423.1)+(-1.134393+(-0.356847--0.215781))+0-637.8--0.325277999999935</f>
        <v>1862.1498190000002</v>
      </c>
      <c r="N47" s="3">
        <f>2340.6+(815-420.8)+(5.96853+(2.07825-1.07304))+0-604.6-1.54172999999991</f>
        <v>2135.6320099999998</v>
      </c>
      <c r="O47" s="3">
        <f>2637.1+(732.4-430.3)+(-2.689842+(-0.747048--0.438906))+0-589.6--0.601392000000094</f>
        <v>2347.2034079999999</v>
      </c>
      <c r="P47" s="3">
        <f>2513.7+(713.8-237.3)+(-2.563974+(-0.728076--0.242046))+0-595.7--0.607614000000095</f>
        <v>2392.0576099999994</v>
      </c>
      <c r="Q47" s="3">
        <f>2479.6+(847.6-231.5)+(-5.058384+(-1.729104--0.47226))+0-606--1.23623999999997</f>
        <v>2484.6210120000001</v>
      </c>
      <c r="R47" s="3">
        <f>2570.4+(954.8-555.1)+(1.310904+(0.486948-0.283101))+0-638.1-0.325430999999935</f>
        <v>2333.1893200000004</v>
      </c>
      <c r="S47" s="3">
        <f>2483.7+(940.2-749)+(-3.800061+(-1.438506--1.14597))+0-601.9--0.920907000000035</f>
        <v>2069.8283099999999</v>
      </c>
      <c r="T47" s="3">
        <f>2569+(1031.4-891.8)+(1.31019+(0.526014-0.454818))+0-545.6-0.278255999999945</f>
        <v>2164.1031300000004</v>
      </c>
      <c r="U47" s="3">
        <f>2574.1+(1050.6-880.3)+(1.312791+(0.535806-0.448953))+0-591.8-0.30181799999994</f>
        <v>2153.6978259999996</v>
      </c>
      <c r="V47" s="3">
        <f>2686.8+(755.2-802.1)+(-5.481072+(-1.540608--1.636284))+0-471.3--0.961451999999979</f>
        <v>2164.1760559999998</v>
      </c>
      <c r="W47" s="3">
        <f>2818.6+(592.9-687.6)+(-8.624916+(-1.814274--2.104056))+0-525.5--1.60803000000006</f>
        <v>2191.6728959999996</v>
      </c>
      <c r="X47" s="3">
        <f>2625.8+(558.2-472.3)+(-9.374106+(-1.992774--1.686111))+0-522.7--1.86603900000001</f>
        <v>2181.1852700000004</v>
      </c>
      <c r="Y47" s="3">
        <f>2506.3+(690.3-370.8)+(-5.112852+(-1.408212--0.756432))+0-647.1--1.32008399999997</f>
        <v>2174.2554520000003</v>
      </c>
      <c r="Z47" s="3">
        <f>2824.5+(670.7-505.6)+(-2.88099+(-0.684114--0.515712))+0-619.5--0.631890000000099</f>
        <v>2367.6824980000001</v>
      </c>
      <c r="AA47" s="3">
        <f>2894+(730.1-685.3)+(-8.85564+(-2.234106--2.097018))+0-636.6--1.94799600000007</f>
        <v>2295.155268</v>
      </c>
      <c r="AB47" s="3">
        <f>2847.5+(892.5-912.6)+(-5.8089+(-1.8207--1.861704))+0-611--1.24643999999997</f>
        <v>2211.8785440000001</v>
      </c>
      <c r="AC47" s="3">
        <f>2702.7+(1140.2-1102.1)+(-2.756754+(-1.163004--1.124142))+0-634.9--0.647598000000101</f>
        <v>2103.7519820000002</v>
      </c>
      <c r="AD47" s="2">
        <v>2295.1999999999998</v>
      </c>
      <c r="AE47" s="3">
        <f>2996+(732.1-712)+(0+(0-0))+0-720.9-0</f>
        <v>2295.1999999999998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2463.1+(1172.2-1064.9)+(-3.768543+(-1.793466--1.629297))+0-622.4--0.952272000000036</f>
        <v>1945.0195599999997</v>
      </c>
      <c r="G48" s="3">
        <f>2463.6+(1142.4-1154.3)+(-3.769308+(-1.747872--1.766079))+0-617.6--0.944928000000036</f>
        <v>1831.2938270000002</v>
      </c>
      <c r="H48" s="3">
        <f>2425.1+(1111.3-1107.7)+(0+(0-0))+0-653.3-0</f>
        <v>1775.3999999999999</v>
      </c>
      <c r="I48" s="3">
        <f>2328.6+(1108.7-1157.1)+(-2.375172+(-1.130874--1.180242))+0-517.8--0.528156000000083</f>
        <v>1760.6023519999999</v>
      </c>
      <c r="J48" s="3">
        <f>2333.5+(1097.2-1034.8)+(-3.570255+(-1.678716--1.583244))+0-633.4--0.969102000000037</f>
        <v>1759.803375</v>
      </c>
      <c r="K48" s="3">
        <f>2334+(1010.5-993.2)+(-5.9517+(-2.576775--2.53266))+0-598.4--1.52591999999991</f>
        <v>1748.4301049999997</v>
      </c>
      <c r="L48" s="3">
        <f>2158.5+(942.8-659.4)+(0+(0-0))+0-694.3-0</f>
        <v>1747.6000000000001</v>
      </c>
      <c r="M48" s="3">
        <f>2125.5+(816.8-635.4)+(-1.084005+(-0.416568--0.324054))+0-402.5--0.205274999999959</f>
        <v>1903.428756</v>
      </c>
      <c r="N48" s="3">
        <f>2187.9+(904.3-474.2)+(0+(0-0))+0-447.8-0</f>
        <v>2170.1999999999998</v>
      </c>
      <c r="O48" s="3">
        <f>2677.8+(625.1-448.9)+(-1.365678+(-0.318801--0.228939))+0-549.7--0.280346999999944</f>
        <v>2303.1248070000001</v>
      </c>
      <c r="P48" s="3">
        <f>2726.3+(527.5-404.8)+(-1.390413+(-0.269025--0.206448))+0-508.8--0.259487999999948</f>
        <v>2339.0064979999997</v>
      </c>
      <c r="Q48" s="3">
        <f>2679.5+(519.1-355.1)+(-1.366545+(-0.264741--0.181101))+0-470.7--0.240056999999952</f>
        <v>2371.589872</v>
      </c>
      <c r="R48" s="3">
        <f>2778.3+(698.9-588.4)+(0+(0-0))+0-531.2-0</f>
        <v>2357.6000000000004</v>
      </c>
      <c r="S48" s="3">
        <f>2773.4+(630.4-772.3)+(-5.657736+(-1.286016--1.575492))+0-502.5--1.02509999999998</f>
        <v>2124.6568399999996</v>
      </c>
      <c r="T48" s="3">
        <f>2875.2+(724.3-920.5)+(-1.466352+(-0.369393--0.469455))+0-484.5--0.247094999999951</f>
        <v>2193.3808050000002</v>
      </c>
      <c r="U48" s="3">
        <f>2818.2+(671.8-794.3)+(-2.874564+(-0.685236--0.810186))+0-482.1--0.491742000000077</f>
        <v>2211.3421280000002</v>
      </c>
      <c r="V48" s="3">
        <f>2631.5+(616.1-530.3)+(-6.710325+(-1.571055--1.352265))+0-507.5--1.29412499999993</f>
        <v>2204.1650100000002</v>
      </c>
      <c r="W48" s="3">
        <f>2574.9+(771.9-520.2)+(-2.626398+(-0.787338--0.530604))+0-601.7--0.613734000000096</f>
        <v>2222.6306019999997</v>
      </c>
      <c r="X48" s="3">
        <f>2538.9+(889-716)+(-7.769034+(-2.72034--2.19096))+0-513.3--1.57069800000006</f>
        <v>2191.8722840000005</v>
      </c>
      <c r="Y48" s="3">
        <f>2521.7+(831.9-504.5)+(0+(0-0))+0-640.9-0</f>
        <v>2208.1999999999998</v>
      </c>
      <c r="Z48" s="3">
        <f>2707.6+(557.8-433.4)+(-2.761752+(-0.568956--0.442068))+0-429--0.437580000000068</f>
        <v>2400.5489400000001</v>
      </c>
      <c r="AA48" s="3">
        <f>2724.8+(545.1-415.5)+(-6.94824+(-1.390005--1.059525))+0-573.4--1.46216999999992</f>
        <v>2275.18345</v>
      </c>
      <c r="AB48" s="3">
        <f>2683.6+(582.6-474.6)+(-4.105908+(-0.891378--0.726138))+0-596.7--0.912951000000035</f>
        <v>2191.5418030000001</v>
      </c>
      <c r="AC48" s="3">
        <f>2596.8+(501.2-400.2)+(-5.297472+(-1.022448--0.816408))+0-624.1--1.27316399999997</f>
        <v>2069.4696520000007</v>
      </c>
      <c r="AD48" s="2">
        <v>2305.9000000000005</v>
      </c>
      <c r="AE48" s="3">
        <f>2741+(564.8-395.2)+(0+(0-0))+0-604.7-0</f>
        <v>2305.8999999999996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2523.4+(800.9-706.3)+(-9.008538+(-2.859213--2.521491))+0-714.2--2.54969400000001</f>
        <v>1897.0034340000002</v>
      </c>
      <c r="G49" s="3">
        <f>2540.9+(1019.3-994.6)+(-9.071013+(-3.638901--3.550722))+0-733.1--2.61716700000001</f>
        <v>1825.957975</v>
      </c>
      <c r="H49" s="3">
        <f>2548.4+(952.2-950)+(-2.599368+(-0.971244--0.969))+0-762.8--0.778056000000122</f>
        <v>1785.9764440000006</v>
      </c>
      <c r="I49" s="3">
        <f>2548.4+(884-957.3)+(-1.299684+(-0.45084--0.488223))+0-727.6--0.371075999999926</f>
        <v>1746.6087750000002</v>
      </c>
      <c r="J49" s="3">
        <f>2475.4+(826-955.8)+(-1.262454+(-0.42126--0.487458))+0-598.4--0.305183999999939</f>
        <v>1746.3089279999999</v>
      </c>
      <c r="K49" s="3">
        <f>2561.7+(783.9-867.8)+(-5.225868+(-1.599156--1.770312))+0-730.5--1.49021999999997</f>
        <v>1743.7355079999995</v>
      </c>
      <c r="L49" s="3">
        <f>2331.8+(740.2-779.5)+(-4.756872+(-1.510008--1.59018))+0-534.7--1.09078799999998</f>
        <v>1754.2140879999999</v>
      </c>
      <c r="M49" s="3">
        <f>2455.7+(486.3-655.4)+(6.262035+(1.240065-1.67127))+0-357.2-0.910859999999948</f>
        <v>1934.3199699999998</v>
      </c>
      <c r="N49" s="3">
        <f>2600.9+(566.7-582.1)+(1.326459+(0.289017-0.296871))+0-388.9-0.198338999999961</f>
        <v>2197.7202659999998</v>
      </c>
      <c r="O49" s="3">
        <f>2647.1+(590-574.5)+(-1.350021+(-0.3009--0.292995))+0-353.8--0.180437999999964</f>
        <v>2307.6225119999995</v>
      </c>
      <c r="P49" s="3">
        <f>2865.5+(553-522.3)+(-1.461405+(-0.28203--0.266373))+0-502.5--0.256274999999949</f>
        <v>2392.4792129999996</v>
      </c>
      <c r="Q49" s="3">
        <f>2960+(418.3-371.5)+(-1.5096+(-0.213333--0.189465))+0-569.6--0.290495999999942</f>
        <v>2435.9570280000003</v>
      </c>
      <c r="R49" s="3">
        <f>2844+(503.4-283.2)+(-8.70264+(-1.540404--0.866592))+0-687.4--2.10344400000008</f>
        <v>2369.5269919999996</v>
      </c>
      <c r="S49" s="3">
        <f>3230.1+(343.1-817.8)+(-4.942053+(-0.524943--1.251234))+0-579.3--0.886329000000033</f>
        <v>2172.7705670000005</v>
      </c>
      <c r="T49" s="3">
        <f>3581.9+(550.4-1417.3)+(1.826769+(0.280704-0.722823))+0-663.8-0.338537999999933</f>
        <v>2052.2461119999998</v>
      </c>
      <c r="U49" s="3">
        <f>3200.7+(498-921.4)+(-8.161785+(-1.2699--2.34957))+0-540.1--1.37725499999992</f>
        <v>2231.4951399999995</v>
      </c>
      <c r="V49" s="3">
        <f>2626.2+(428.1-281.7)+(-6.69681+(-1.091655--0.718335))+0-564.8--1.44023999999992</f>
        <v>2202.17011</v>
      </c>
      <c r="W49" s="3">
        <f>2586.8+(447.8-353.1)+(-6.59634+(-1.14189--0.900405))+0-464.2--1.18370999999993</f>
        <v>2211.6458849999999</v>
      </c>
      <c r="X49" s="3">
        <f>2553.6+(434-220.5)+(-2.604672+(-0.44268--0.22491))+0-562.6--0.57385200000009</f>
        <v>2202.2514099999999</v>
      </c>
      <c r="Y49" s="3">
        <f>2518.7+(457-166.6)+(-1.284537+(-0.23307--0.084966))+0-580--0.295799999999941</f>
        <v>2227.9631589999999</v>
      </c>
      <c r="Z49" s="3">
        <f>2734.3+(474.4-170)+(-4.183479+(-0.725832--0.2601))+0-671.7--1.02770100000004</f>
        <v>2363.3784900000001</v>
      </c>
      <c r="AA49" s="3">
        <f>2781.2+(431.2-260.5)+(-7.09206+(-1.09956--0.664275))+0-662.1--1.6883549999999</f>
        <v>2283.9610099999995</v>
      </c>
      <c r="AB49" s="3">
        <f>2742.9+(523.9-364.5)+(-4.196637+(-0.801567--0.557685))+0-695.2--1.06365600000004</f>
        <v>2203.723137</v>
      </c>
      <c r="AC49" s="3">
        <f>2620.7+(725.5-511.8)+(-4.009671+(-1.110015--0.783054))+0-735.3--1.12500900000004</f>
        <v>2095.8883769999998</v>
      </c>
      <c r="AD49" s="2">
        <v>2287</v>
      </c>
      <c r="AE49" s="3">
        <f>2775+(455.5-240.1)+(0+(0-0))+0-703.4-0</f>
        <v>2287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2604.8+(721.2-711.8)+(-6.64224+(-1.83906--1.81509))+0-616.4--1.57181999999991</f>
        <v>1992.7056100000002</v>
      </c>
      <c r="G50" s="3">
        <f>2609+(825.5-776.2)+(-3.99177+(-1.263015--1.187586))+0-761.9--1.16570700000004</f>
        <v>1893.4985080000001</v>
      </c>
      <c r="H50" s="3">
        <f>2571.7+(776-806.3)+(-6.557835+(-1.9788--2.056065))+0-706.9--1.8025949999999</f>
        <v>1829.8220249999993</v>
      </c>
      <c r="I50" s="3">
        <f>2531.5+(877.3-853.2)+(-5.16426+(-1.789692--1.740528))+0-730.6--1.49042399999997</f>
        <v>1821.277</v>
      </c>
      <c r="J50" s="3">
        <f>2491.1+(909-845.5)+(-3.811383+(-1.39077--1.293615))+0-747.1--1.14306300000004</f>
        <v>1804.7345249999998</v>
      </c>
      <c r="K50" s="3">
        <f>2493.7+(904.7-807.8)+(-2.543574+(-0.922794--0.823956))+0-768.4--0.783768000000122</f>
        <v>1820.3413559999997</v>
      </c>
      <c r="L50" s="3">
        <f>2303.2+(751.7-535.7)+(-4.698528+(-1.533468--1.092828))+0-653.1--1.33232399999997</f>
        <v>1862.2931559999997</v>
      </c>
      <c r="M50" s="3">
        <f>2314.5+(673-284.5)+(2.36079+(0.68646-0.29019))+0-683.4-0.697068000000109</f>
        <v>2021.6599919999996</v>
      </c>
      <c r="N50" s="3">
        <f>2285.8+(758.5-234.3)+(-2.331516+(-0.77367--0.238986))+0-534.9--0.545598000000085</f>
        <v>2272.7793980000001</v>
      </c>
      <c r="O50" s="3">
        <f>2583.7+(477.7-133.6)+(0+(0-0))+0-529.6-0</f>
        <v>2398.1999999999998</v>
      </c>
      <c r="P50" s="3">
        <f>2652.5+(408.3-166.7)+(0+(0-0))+0-471-0</f>
        <v>2423.1</v>
      </c>
      <c r="Q50" s="3">
        <f>2640.2+(520.9-169.8)+(0+(0-0))+0-502-0</f>
        <v>2489.2999999999997</v>
      </c>
      <c r="R50" s="3">
        <f>2928+(536-467)+(0+(0-0))+0-595-0</f>
        <v>2402</v>
      </c>
      <c r="S50" s="3">
        <f>2736.7+(614.1-643.5)+(-6.978585+(-1.565955--1.640925))+0-584.6--1.49072999999992</f>
        <v>2117.2871149999996</v>
      </c>
      <c r="T50" s="3">
        <f>2799+(790-673)+(-7.13745+(-2.0145--1.71615))+0-669--1.7059499999999</f>
        <v>2241.2701499999998</v>
      </c>
      <c r="U50" s="3">
        <f>2753.9+(741.1-687.8)+(-4.213467+(-1.133883--1.052334))+0-667.3--1.02096900000004</f>
        <v>2136.6259530000007</v>
      </c>
      <c r="V50" s="3">
        <f>2685.5+(709.1-530.1)+(-5.47842+(-1.446564--1.081404))+0-639.4--1.30437599999997</f>
        <v>2220.5607959999998</v>
      </c>
      <c r="W50" s="3">
        <f>2652.6+(539.1-386.2)+(-6.76413+(-1.374705--0.98481))+0-574.4--1.46471999999992</f>
        <v>2225.410695</v>
      </c>
      <c r="X50" s="3">
        <f>2672.9+(620.4-335.7)+(-6.815895+(-1.58202--0.856035))+0-688.3--1.7551649999999</f>
        <v>2263.5132849999995</v>
      </c>
      <c r="Y50" s="3">
        <f>2718.9+(440.5-373)+(-2.773278+(-0.44931--0.38046))+0-619.5--0.631890000000099</f>
        <v>2164.6897620000004</v>
      </c>
      <c r="Z50" s="3">
        <f>2958.1+(355.7-376.6)+(-4.525893+(-0.544221--0.576198))+0-587.6--0.899028000000034</f>
        <v>2346.0051119999998</v>
      </c>
      <c r="AA50" s="3">
        <f>2966.3+(323.2-381.3)+(-9.076878+(-0.988992--1.166778))+0-649.4--1.98716400000007</f>
        <v>2251.8880720000002</v>
      </c>
      <c r="AB50" s="3">
        <f>3109+(271.3-512.2)+(-1.58559+(-0.138363--0.261222))+0-560--0.285599999999943</f>
        <v>2306.922869</v>
      </c>
      <c r="AC50" s="3">
        <f>2974.6+(383.8-805.2)+(-4.551138+(-0.587214--1.231956))+0-634.5--0.970785000000037</f>
        <v>1915.7643889999999</v>
      </c>
      <c r="AD50" s="2">
        <v>2259.3000000000002</v>
      </c>
      <c r="AE50" s="3">
        <f>2930+(394-366)+(0+(0-0))+0-698.7-0</f>
        <v>2259.3000000000002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2758.4+(686.6-787.4)+(-7.03392+(-1.75083--2.00787))+0-736.4--1.87781999999989</f>
        <v>1916.3009400000003</v>
      </c>
      <c r="G51" s="3">
        <f>2700.3+(790.7-1005.3)+(-6.885765+(-2.016285--2.563515))+0-672.7--1.7153849999999</f>
        <v>1808.3768500000003</v>
      </c>
      <c r="H51" s="3">
        <f>2637.4+(1029-1178.3)+(-5.380296+(-2.09916--2.403732))+0-721.9--1.47267599999997</f>
        <v>1762.5969520000003</v>
      </c>
      <c r="I51" s="3">
        <f>2529.1+(1006.9-1084.8)+(-1.289841+(-0.513519--0.553248))+0-706.9--0.360518999999928</f>
        <v>1743.4104069999994</v>
      </c>
      <c r="J51" s="3">
        <f>2540.7+(875.6-981.3)+(3.887271+(1.339668-1.501389))+0-717-1.09701000000004</f>
        <v>1720.6285400000002</v>
      </c>
      <c r="K51" s="3">
        <f>2488.5+(827.5-865.2)+(-3.807405+(-1.266075--1.323756))+0-720.2--1.10190600000004</f>
        <v>1727.9521820000004</v>
      </c>
      <c r="L51" s="3">
        <f>2249.5+(811.3-610.8)+(-1.147245+(-0.413763--0.311508))+0-705.5--0.359804999999928</f>
        <v>1743.6103049999999</v>
      </c>
      <c r="M51" s="3">
        <f>2424.2+(616.8-506.1)+(-4.945368+(-1.258272--1.032444))+0-621.6--1.26806399999997</f>
        <v>1909.3968679999998</v>
      </c>
      <c r="N51" s="3">
        <f>2467.2+(695.3-357.2)+(-3.774816+(-1.063809--0.546516))+0-663.6--1.01530800000004</f>
        <v>2138.4231989999998</v>
      </c>
      <c r="O51" s="3">
        <f>2508+(578.8-174.5)+(-2.55816+(-0.590376--0.17799))+0-610--0.622200000000097</f>
        <v>2299.9516540000004</v>
      </c>
      <c r="P51" s="3">
        <f>2638.7+(459.5-232.3)+(-2.691474+(-0.46869--0.236946))+0-487.4--0.497148000000078</f>
        <v>2376.0739299999996</v>
      </c>
      <c r="Q51" s="3">
        <f>2864.2+(714.1-464.5)+(-2.921484+(-0.728382--0.47379))+0-641.8--0.654636000000102</f>
        <v>2469.4785599999996</v>
      </c>
      <c r="R51" s="3">
        <f>2825+(469.8-626.8)+(-1.44075+(-0.239598--0.319668))+0-503.1--0.256580999999949</f>
        <v>2163.7959010000004</v>
      </c>
      <c r="S51" s="3">
        <f>2947.8+(491.5-684)+(-6.013512+(-1.00266--1.39536))+0-509.3--1.03897199999998</f>
        <v>2241.4181599999997</v>
      </c>
      <c r="T51" s="3">
        <f>2947.8+(491.5-707.2)+(-6.013512+(-1.00266--1.442688))+0-509.3--1.03897199999998</f>
        <v>2218.265488</v>
      </c>
      <c r="U51" s="3">
        <f>2942.2+(453.8-680.9)+(0+(0-0))+0-423.9-0</f>
        <v>2291.1999999999998</v>
      </c>
      <c r="V51" s="3">
        <f>2920.2+(478.3-566.1)+(-5.957208+(-0.975732--1.154844))+0-556.6--1.13546399999998</f>
        <v>2271.1573679999997</v>
      </c>
      <c r="W51" s="3">
        <f>2933.5+(498.9-663.7)+(-8.97651+(-1.526634--2.030922))+0-483.5--1.47951000000006</f>
        <v>2278.2072880000001</v>
      </c>
      <c r="X51" s="3">
        <f>2803.5+(498.9-532.7)+(-8.57871+(-1.526634--1.630062))+0-483.5--1.47951000000006</f>
        <v>2279.2042280000001</v>
      </c>
      <c r="Y51" s="3">
        <f>2936.3+(684.8-721.4)+(-10.482591+(-2.444736--2.575398))+0-513.5--1.83319500000001</f>
        <v>2377.6812660000005</v>
      </c>
      <c r="Z51" s="3">
        <f>3302.4+(420.7-748.9)+(-1.684224+(-0.214557--0.381939))+0-592--0.30191999999994</f>
        <v>2380.9850780000002</v>
      </c>
      <c r="AA51" s="3">
        <f>3311.8+(404.6-997.1)+(-10.134108+(-1.238076--3.051126))+0-489.1--1.49664600000006</f>
        <v>2223.3755880000003</v>
      </c>
      <c r="AB51" s="3">
        <f>3498.3+(332.9-1069.5)+(-5.352399+(-0.509337--1.636335))+0-531.3--0.812889000000031</f>
        <v>2226.9874879999998</v>
      </c>
      <c r="AC51" s="3">
        <f>3473.7+(434.7-1215.4)+(-7.086348+(-0.886788--2.479416))+0-573.6--1.17014399999997</f>
        <v>2115.0764240000003</v>
      </c>
      <c r="AD51" s="2">
        <v>2321.0999999999995</v>
      </c>
      <c r="AE51" s="3">
        <f>3349+(396.7-807.3)+(0+(0-0))+0-617.3-0</f>
        <v>2321.1000000000004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3206.5+(620.2-1236.4)+(-8.176575+(-1.58151--3.15282))+0-627.9--1.60114499999991</f>
        <v>1957.3958799999998</v>
      </c>
      <c r="G52" s="3">
        <f>2982.4+(761.3-1290.8)+(-6.084096+(-1.553052--2.633232))+0-599.5--1.22297999999997</f>
        <v>1849.619064</v>
      </c>
      <c r="H52" s="3">
        <f>2739.8+(835.7-1110.8)+(-4.191894+(-1.278621--1.699524))+0-675.7--1.03382100000004</f>
        <v>1786.2628300000003</v>
      </c>
      <c r="I52" s="3">
        <f>2551.2+(971.1-1039)+(6.50556+(2.476305-2.64945))+0-717.1-1.8286049999999</f>
        <v>1770.7038099999997</v>
      </c>
      <c r="J52" s="3">
        <f>2547.4+(966.9-1024.9)+(-3.897522+(-1.479357--1.568097))+0-727.9--1.11368700000004</f>
        <v>1758.804905</v>
      </c>
      <c r="K52" s="3">
        <f>2404.7+(1003-1056.3)+(-1.226397+(-0.51153--0.538713))+0-591.6--0.30171599999994</f>
        <v>1758.9025019999995</v>
      </c>
      <c r="L52" s="3">
        <f>2225.8+(1070.5-760.1)+(-2.270316+(-1.09191--0.775302))+0-787.8--0.803556000000126</f>
        <v>1746.6166320000002</v>
      </c>
      <c r="M52" s="3">
        <f>2142.3+(741.7-435.8)+(1.092573+(0.378267-0.222258))+0-541.6-0.276215999999945</f>
        <v>1907.5723660000006</v>
      </c>
      <c r="N52" s="3">
        <f>2460.5+(610.3-376.7)+(0+(0-0))+0-539.6-0</f>
        <v>2154.5</v>
      </c>
      <c r="O52" s="3">
        <f>2704.2+(612.1-354.6)+(-2.758284+(-0.624342--0.361692))+0-651.5--0.664530000000104</f>
        <v>2307.8435959999997</v>
      </c>
      <c r="P52" s="3">
        <f>2711.8+(633.2-200.9)+(1.383018+(0.322932-0.102459))+0-608.9-0.310538999999938</f>
        <v>2536.4929520000001</v>
      </c>
      <c r="Q52" s="3">
        <f>2860.6+(704.2-436.5)+(-1.458906+(-0.359142--0.222615))+0-682--0.347819999999931</f>
        <v>2445.0523870000002</v>
      </c>
      <c r="R52" s="3">
        <f>3028.5+(862-706.2)+(3.08907+(0.87924-0.720324))+0-709.6-0.723792000000113</f>
        <v>2477.2241939999999</v>
      </c>
      <c r="S52" s="3">
        <f>3056.7+(603.5-890.1)+(-6.235668+(-1.23114--1.815804))+0-620.8--1.26643199999997</f>
        <v>2144.9154279999998</v>
      </c>
      <c r="T52" s="3">
        <f>3045.6+(660.5-866.8)+(1.553256+(0.336855-0.442068))+0-673.1-0.343280999999932</f>
        <v>2167.3047620000002</v>
      </c>
      <c r="U52" s="3">
        <f>3041.8+(639.5-842)+(-3.102636+(-0.65229--0.85884))+0-657.3--0.670446000000105</f>
        <v>2179.7743600000003</v>
      </c>
      <c r="V52" s="3">
        <f>2913.6+(650.8-655.3)+(-5.943744+(-1.327632--1.336812))+0-724--1.47695999999997</f>
        <v>2180.6423959999997</v>
      </c>
      <c r="W52" s="3">
        <f>2786.6+(700.2-664.8)+(1.421166+(0.357102-0.339048))+0-664.4-0.338843999999933</f>
        <v>2158.7003760000002</v>
      </c>
      <c r="X52" s="3">
        <f>2619.2+(872.4-693)+(-9.350544+(-3.114468--2.47401))+0-671.4--2.39689800000001</f>
        <v>2119.6058959999996</v>
      </c>
      <c r="Y52" s="3">
        <f>2557.3+(863.5-549.8)+(-3.912669+(-1.321155--0.841194))+0-720.5--1.10236500000004</f>
        <v>2147.2097350000004</v>
      </c>
      <c r="Z52" s="3">
        <f>2803.5+(671.5-579.6)+(-2.85957+(-0.68493--0.591192))+0-620.6--0.633012000000099</f>
        <v>2272.4797040000003</v>
      </c>
      <c r="AA52" s="3">
        <f>2894.8+(689.9-674.2)+(-8.858088+(-2.111094--2.063052))+0-707.3--2.16433800000008</f>
        <v>2196.4582080000005</v>
      </c>
      <c r="AB52" s="3">
        <f>2841.9+(863.7-946)+(0+(0-0))+0-603.9-0</f>
        <v>2155.7000000000003</v>
      </c>
      <c r="AC52" s="3">
        <f>2949.5+(1152.7-1289.4)+(-1.504245+(-0.587877--0.657594))+0-727.4--0.370973999999926</f>
        <v>2084.3364460000003</v>
      </c>
      <c r="AD52" s="2">
        <v>2415.1999999999998</v>
      </c>
      <c r="AE52" s="3">
        <f>3047+(765.5-535.5)+(0+(0-0))+0-861.8-0</f>
        <v>2415.1999999999998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2856.6+(1143.1-1383.2)+(-7.28433+(-2.914905--3.52716))+0-657.4--1.6763699999999</f>
        <v>1954.1042949999999</v>
      </c>
      <c r="G53" s="3">
        <f>2699.6+(1122.6-1205.5)+(-1.376796+(-0.572526--0.614805))+0-769.5--0.392444999999922</f>
        <v>1846.257928</v>
      </c>
      <c r="H53" s="3">
        <f>2731.7+(1062.4-1356.3)+(-4.179501+(-1.625472--2.075139))+0-655.3--1.00260900000004</f>
        <v>1779.7727750000001</v>
      </c>
      <c r="I53" s="3">
        <f>2556.4+(1101.3-1210.9)+(-5.215056+(-2.246652--2.470236))+0-700.4--1.42881599999997</f>
        <v>1742.8373439999998</v>
      </c>
      <c r="J53" s="3">
        <f>2545.4+(1068.4-1141.6)+(0+(0-0))+0-745.3-0</f>
        <v>1726.9000000000003</v>
      </c>
      <c r="K53" s="3">
        <f>2342.2+(1057.6-1072.1)+(-4.778088+(-2.157504--2.187084))+0-633.4--1.29213599999997</f>
        <v>1690.8436279999996</v>
      </c>
      <c r="L53" s="3">
        <f>2050.9+(1225.8-869)+(-4.183836+(-2.500632--1.77276))+0-796.9--1.62567599999997</f>
        <v>1607.5139679999995</v>
      </c>
      <c r="M53" s="3">
        <f>1956.8+(906.2-623.2)+(0+(0-0))+0-584-0</f>
        <v>1655.8000000000002</v>
      </c>
      <c r="N53" s="3">
        <f>2132.2+(846.8-594.7)+(-2.174844+(-0.863736--0.606594))+0-643.6--0.656472000000103</f>
        <v>1738.9244859999999</v>
      </c>
      <c r="O53" s="3">
        <f>2442.2+(597.4-576.7)+(0+(0-0))+0-629.3-0</f>
        <v>1833.5999999999997</v>
      </c>
      <c r="P53" s="3">
        <f>2706.6+(407.3-601.7)+(0+(0-0))+0-614.2-0</f>
        <v>1897.9999999999998</v>
      </c>
      <c r="Q53" s="3">
        <f>2864.8+(404.9-710.4)+(-1.461048+(-0.206499--0.362304))+0-602--0.307019999999939</f>
        <v>1956.3017770000004</v>
      </c>
      <c r="R53" s="3">
        <f>2994+(339-784.7)+(-1.52694+(-0.17289--0.400197))+0-596.7--0.30431699999994</f>
        <v>1950.6046839999999</v>
      </c>
      <c r="S53" s="3">
        <f>3207.3+(375.2-1071.4)+(-3.271446+(-0.382704--1.092828))+0-634.8--0.647496000000101</f>
        <v>1874.3861740000004</v>
      </c>
      <c r="T53" s="3">
        <f>3189.9+(569.2-1220.5)+(-4.880547+(-0.870876--1.867365))+0-668--1.02204000000004</f>
        <v>1867.7379820000003</v>
      </c>
      <c r="U53" s="3">
        <f>3030.9+(604.4-1158.5)+(-3.091518+(-0.616488--1.18167))+0-597.6--0.609552000000095</f>
        <v>1877.2832160000005</v>
      </c>
      <c r="V53" s="3">
        <f>2894.5+(551.4-979.3)+(1.476195+(0.281214-0.499443))+0-607-0.309569999999938</f>
        <v>1860.5483960000001</v>
      </c>
      <c r="W53" s="3">
        <f>2896.6+(481.1-917.4)+(-1.477266+(-0.245361--0.467874))+0-583.1--0.297380999999941</f>
        <v>1876.242628</v>
      </c>
      <c r="X53" s="3">
        <f>3006.6+(576.2-997.8)+(-7.66683+(-1.46931--2.54439))+0-715.2--1.8237599999999</f>
        <v>1865.0320099999999</v>
      </c>
      <c r="Y53" s="3">
        <f>3058.7+(440.4-1022.3)+(-4.679811+(-0.673812--1.564119))+0-535.3--0.819009000000031</f>
        <v>1938.529505</v>
      </c>
      <c r="Z53" s="3">
        <f>3245.7+(522.5-1004)+(-4.965921+(-0.799425--1.53612))+0-617--0.944010000000036</f>
        <v>2143.9147840000001</v>
      </c>
      <c r="AA53" s="3">
        <f>3294+(576.2-1162.9)+(-5.03982+(-0.881586--1.779237))+0-588.2--0.899946000000034</f>
        <v>2115.8577769999997</v>
      </c>
      <c r="AB53" s="3">
        <f>3218.6+(679.7-1127.8)+(3.282972+(0.693294-1.150356))+0-688.3-0.70206600000011</f>
        <v>2084.323844</v>
      </c>
      <c r="AC53" s="3">
        <f>3183.5+(704.4-1163.5)+(-3.24717+(-0.718488--1.18677))+0-723.5--0.737970000000115</f>
        <v>1998.8590820000004</v>
      </c>
      <c r="AD53" s="2">
        <v>2111.3000000000002</v>
      </c>
      <c r="AE53" s="3">
        <f>3286+(617.2-1099.7)+(0+(0-0))+0-692.2-0</f>
        <v>2111.3000000000002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3011.8+(843.5-1284.9)+(-1.536018+(-0.430185--0.655299))+0-686--0.34985999999993</f>
        <v>1883.4389560000002</v>
      </c>
      <c r="G54" s="3">
        <f>2903.7+(907.6-1412)+(-7.404435+(-2.31438--3.6006))+0-623.5--1.58992499999991</f>
        <v>1771.2717099999998</v>
      </c>
      <c r="H54" s="3">
        <f>2928.7+(810.4-1313.9)+(0+(0-0))+0-703.3-0</f>
        <v>1721.8999999999999</v>
      </c>
      <c r="I54" s="3">
        <f>2813.3+(858.8-1292.7)+(-4.304349+(-1.313964--1.977831))+0-675.2--1.03305600000004</f>
        <v>1701.5925740000002</v>
      </c>
      <c r="J54" s="3">
        <f>2676.3+(887.8-1150.2)+(4.094739+(1.358334-1.759806))+0-682.9-1.04483700000004</f>
        <v>1733.64843</v>
      </c>
      <c r="K54" s="3">
        <f>2683.9+(878.9-1074)+(-2.737578+(-0.896478--1.09548))+0-771.7--0.787134000000123</f>
        <v>1715.3485580000004</v>
      </c>
      <c r="L54" s="3">
        <f>2502+(815.2-847.2)+(-3.82806+(-1.247256--1.296216))+0-681.9--1.04330700000004</f>
        <v>1785.3642069999999</v>
      </c>
      <c r="M54" s="3">
        <f>2438.6+(800.5-700.7)+(1.243686+(0.408255-0.357357))+0-619.2-0.315791999999937</f>
        <v>1920.1787919999999</v>
      </c>
      <c r="N54" s="3">
        <f>2587.3+(797.3-567.2)+(5.278092+(1.626492-1.157088))+0-555.5-1.13321999999998</f>
        <v>2266.5142759999999</v>
      </c>
      <c r="O54" s="3">
        <f>2760.3+(514.6-411.8)+(-1.407753+(-0.262446--0.210018))+0-474.2--0.241841999999952</f>
        <v>2387.6816610000005</v>
      </c>
      <c r="P54" s="3">
        <f>2932.8+(511.8-320.5)+(0+(0-0))+0-627.5-0</f>
        <v>2496.6000000000004</v>
      </c>
      <c r="Q54" s="3">
        <f>3015.9+(444-452.7)+(-3.076218+(-0.45288--0.461754))+0-507.7--0.517854000000081</f>
        <v>2496.9505100000006</v>
      </c>
      <c r="R54" s="3">
        <f>3534.8+(530.2-937.4)+(-1.802748+(-0.270402--0.478074))+0-656.3--0.334712999999933</f>
        <v>2470.0396370000003</v>
      </c>
      <c r="S54" s="3">
        <f>3559.8+(314.2-1082.1)+(-3.630996+(-0.320484--1.103742))+0-577.4--0.588948000000092</f>
        <v>2212.2412100000006</v>
      </c>
      <c r="T54" s="3">
        <f>3652.1+(461.6-1157.7)+(-1.862571+(-0.235416--0.590427))+0-608.5--0.310334999999938</f>
        <v>2346.3027750000001</v>
      </c>
      <c r="U54" s="3">
        <f>3651.6+(470.7-1180.2)+(-5.586948+(-0.720171--1.805706))+0-618.8--0.946764000000036</f>
        <v>2319.7453510000005</v>
      </c>
      <c r="V54" s="3">
        <f>3419.4+(374.9-934.1)+(0+(0-0))+0-535.7-0</f>
        <v>2324.5</v>
      </c>
      <c r="W54" s="3">
        <f>3243.7+(433.9-747.6)+(-4.962861+(-0.663867--1.143828))+0-601.5--0.920295000000035</f>
        <v>2324.9373949999999</v>
      </c>
      <c r="X54" s="3">
        <f>2890.3+(701.3-675.3)+(-7.370265+(-1.788315--1.722015))+0-616.5--1.57207499999991</f>
        <v>2293.9355100000002</v>
      </c>
      <c r="Y54" s="3">
        <f>2818.4+(580.1-572.6)+(-4.312152+(-0.887553--0.876078))+0-563.4--0.862002000000033</f>
        <v>2259.0383749999996</v>
      </c>
      <c r="Z54" s="3">
        <f>3192.8+(348.5-495.3)+(-1.628328+(-0.177735--0.252603))+0-600.9--0.306458999999939</f>
        <v>2443.8529989999997</v>
      </c>
      <c r="AA54" s="3">
        <f>3275+(263.2-574.7)+(-6.681+(-0.536928--1.172388))+0-577.7--1.17850799999997</f>
        <v>2380.9329680000001</v>
      </c>
      <c r="AB54" s="3">
        <f>3218.1+(453-853.4)+(-1.641231+(-0.23103--0.435234))+0-542.5--0.276674999999945</f>
        <v>2274.0396479999999</v>
      </c>
      <c r="AC54" s="3">
        <f>3296+(732.1-1083.9)+(1.68096+(0.373371-0.552789))+0-751.3-0.383162999999924</f>
        <v>2194.0183789999996</v>
      </c>
      <c r="AD54" s="2">
        <v>2395.4</v>
      </c>
      <c r="AE54" s="3">
        <f>3318+(241.9-653.9)+(0+(0-0))+0-510.6-0</f>
        <v>2395.4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3031.4+(760.7-1150)+(-3.092028+(-0.775914--1.173))+0-606.2--0.618324000000097</f>
        <v>2033.8233820000003</v>
      </c>
      <c r="G55" s="3">
        <f>2962.6+(763.6-1077.7)+(-7.55463+(-1.94718--2.748135))+0-725.6--1.85027999999989</f>
        <v>1917.996605</v>
      </c>
      <c r="H55" s="3">
        <f>2811.4+(701-1019)+(-4.301442+(-1.07253--1.55907))+0-639.4--0.978282000000037</f>
        <v>1851.16338</v>
      </c>
      <c r="I55" s="3">
        <f>2781.8+(745.3-1078.7)+(-2.837436+(-0.760206--1.100274))+0-606.9--0.619038000000097</f>
        <v>1839.6216700000002</v>
      </c>
      <c r="J55" s="3">
        <f>2790.5+(809-992)+(-2.84631+(-0.82518--1.01184))+0-768.2--0.783564000000123</f>
        <v>1837.423914</v>
      </c>
      <c r="K55" s="3">
        <f>2698+(796.8-1038.7)+(-6.8799+(-2.03184--2.648685))+0-619--1.57844999999991</f>
        <v>1832.415395</v>
      </c>
      <c r="L55" s="3">
        <f>2544.4+(786.3-876)+(-5.190576+(-1.604052--1.78704))+0-616.5--1.25765999999997</f>
        <v>1834.4500719999999</v>
      </c>
      <c r="M55" s="3">
        <f>2524.8+(726.6-796.3)+(3.862944+(1.111698-1.218339))+0-450.8-0.689724000000026</f>
        <v>2007.3665790000005</v>
      </c>
      <c r="N55" s="3">
        <f>2749.7+(608.8-505.8)+(2.804694+(0.620976-0.515916))+0-577.6-0.589152000000092</f>
        <v>2277.4206019999997</v>
      </c>
      <c r="O55" s="3">
        <f>2839.2+(503.3-411.6)+(0+(0-0))+0-511.7-0</f>
        <v>2419.1999999999998</v>
      </c>
      <c r="P55" s="3">
        <f>3043.5+(458.4-407.9)+(0+(0-0))+0-599.2-0</f>
        <v>2494.8000000000002</v>
      </c>
      <c r="Q55" s="3">
        <f>3296.6+(560.7-800.5)+(0+(0-0))+0-505.7-0</f>
        <v>2551.1000000000004</v>
      </c>
      <c r="R55" s="3">
        <f>3558.4+(884.8-1378.4)+(-1.814784+(-0.451248--0.702984))+0-527.9--0.269228999999946</f>
        <v>2535.6061810000001</v>
      </c>
      <c r="S55" s="3">
        <f>3410.7+(487.7-1109.1)+(-3.478914+(-0.497454--1.131282))+0-532.1--0.542742000000085</f>
        <v>2254.8976560000006</v>
      </c>
      <c r="T55" s="3">
        <f>3496.3+(720.6-1278.7)+(0+(0-0))+0-591.5-0</f>
        <v>2346.7000000000003</v>
      </c>
      <c r="U55" s="3">
        <f>3400.9+(644.8-1049.8)+(-6.937836+(-1.315392--2.141592))+0-617.5--1.25969999999997</f>
        <v>2373.5480640000001</v>
      </c>
      <c r="V55" s="3">
        <f>3260+(450.2-785.9)+(-8.313+(-1.14801--2.004045))+0-566.4--1.44431999999992</f>
        <v>2351.8873550000003</v>
      </c>
      <c r="W55" s="3">
        <f>3069.3+(437.1-676)+(-10.957401+(-1.560447--2.41332))+0-475.2--1.69646400000001</f>
        <v>2346.7919360000005</v>
      </c>
      <c r="X55" s="3">
        <f>2693.3+(661.6-332.5)+(-9.615081+(-2.361912--1.187025))+0-659.4--2.35405800000001</f>
        <v>2354.5640899999999</v>
      </c>
      <c r="Y55" s="3">
        <f>2443.9+(675.1-262.4)+(-1.246389+(-0.344301--0.133824))+0-504.3--0.257192999999949</f>
        <v>2351.1003270000001</v>
      </c>
      <c r="Z55" s="3">
        <f>3093.8+(446.4-454.7)+(1.577838+(0.227664-0.231897))+0-619.1-0.315740999999937</f>
        <v>2467.6578640000002</v>
      </c>
      <c r="AA55" s="3">
        <f>3186.3+(288.2-530.9)+(-9.750078+(-0.881892--1.624554))+0-564.3--1.72675800000007</f>
        <v>2372.019342000001</v>
      </c>
      <c r="AB55" s="3">
        <f>3122.6+(343.7-494.1)+(-7.96263+(-0.876435--1.259955))+0-697.7--1.7791349999999</f>
        <v>2268.7000249999992</v>
      </c>
      <c r="AC55" s="3">
        <f>3046+(481.2-785.9)+(-7.7673+(-1.22706--2.004045))+0-566.5--1.44457499999992</f>
        <v>2169.2542600000002</v>
      </c>
      <c r="AD55" s="2">
        <v>2374.5</v>
      </c>
      <c r="AE55" s="3">
        <f>3201+(492.2-547.1)+(0+(0-0))+0-771.6-0</f>
        <v>2374.5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2893.3+(523.8-1043)+(-2.951166+(-0.534276--1.06386))+0-359.4--0.366588000000057</f>
        <v>2012.6450060000004</v>
      </c>
      <c r="G56" s="3">
        <f>2898.2+(633.7-1099.1)+(-1.478082+(-0.323187--0.560541))+0-533.4--0.272033999999946</f>
        <v>1898.4313059999997</v>
      </c>
      <c r="H56" s="3">
        <f>2869.4+(742.7-1073.3)+(-5.853576+(-1.515108--2.189532))+0-679.5--1.38617999999997</f>
        <v>1855.507028</v>
      </c>
      <c r="I56" s="3">
        <f>2720.4+(857.1-1059.5)+(-4.162212+(-1.311363--1.621035))+0-698.5--1.06870500000004</f>
        <v>1816.7161650000003</v>
      </c>
      <c r="J56" s="3">
        <f>2471.2+(988.9-997.4)+(0+(0-0))+0-644.9-0</f>
        <v>1817.7999999999997</v>
      </c>
      <c r="K56" s="3">
        <f>2393.5+(1044.1-881.1)+(-4.88274+(-2.129964--1.797444))+0-723.6--1.47614399999997</f>
        <v>1829.1608840000001</v>
      </c>
      <c r="L56" s="3">
        <f>2191.7+(1045.3-686.9)+(-1.117767+(-0.533103--0.350319))+0-710.4--0.362303999999928</f>
        <v>1838.761753</v>
      </c>
      <c r="M56" s="3">
        <f>2214.9+(1015.5-614.8)+(-1.129599+(-0.517905--0.313548))+0-616.5--0.314414999999937</f>
        <v>1998.0804590000002</v>
      </c>
      <c r="N56" s="3">
        <f>2510.1+(934.8-509.7)+(1.280151+(0.476748-0.259947))+0-682.2-0.347921999999931</f>
        <v>2254.1490299999996</v>
      </c>
      <c r="O56" s="3">
        <f>2732.6+(755.5-422.9)+(1.393626+(0.385305-0.215679))+0-669.2-0.341291999999932</f>
        <v>2397.2219599999999</v>
      </c>
      <c r="P56" s="3">
        <f>2829+(646.2-367.6)+(-2.88558+(-0.659124--0.374952))+0-616--0.628320000000098</f>
        <v>2489.0585680000004</v>
      </c>
      <c r="Q56" s="3">
        <f>3019.5+(698.4-536)+(0+(0-0))+0-652.7-0</f>
        <v>2529.1999999999998</v>
      </c>
      <c r="R56" s="3">
        <f>3185.8+(449.5-562.8)+(0+(0-0))+0-551.1-0</f>
        <v>2521.4</v>
      </c>
      <c r="S56" s="3">
        <f>3161.5+(260.1-676.3)+(-4.837095+(-0.397953--1.034739))+0-471.4--0.721242000000027</f>
        <v>2270.4209330000003</v>
      </c>
      <c r="T56" s="3">
        <f>3287.3+(392.8-790.8)+(-8.382615+(-1.00164--2.01654))+0-553.7--1.41193499999992</f>
        <v>2329.6442200000001</v>
      </c>
      <c r="U56" s="3">
        <f>3271.6+(345.7-804.8)+(-8.34258+(-0.881535--2.05224))+0-446.4--1.13831999999994</f>
        <v>2360.0664449999999</v>
      </c>
      <c r="V56" s="3">
        <f>3267.9+(394.1-740.8)+(-6.666516+(-0.803964--1.511232))+0-566.8--1.15627199999998</f>
        <v>2349.5970240000006</v>
      </c>
      <c r="W56" s="3">
        <f>3042.4+(381.5-627.6)+(-3.103248+(-0.38913--0.640152))+0-544.6--0.555492000000087</f>
        <v>2249.4032660000003</v>
      </c>
      <c r="X56" s="3">
        <f>2968.7+(601.3-664.9)+(-7.570185+(-1.533315--1.695495))+0-570.5--1.45477499999992</f>
        <v>2328.6467699999998</v>
      </c>
      <c r="Y56" s="3">
        <f>2931+(489.8-641.5)+(1.49481+(0.249798-0.327165))+0-458.9-0.234038999999953</f>
        <v>2321.583404</v>
      </c>
      <c r="Z56" s="3">
        <f>3078.3+(494.7-650.5)+(0+(0-0))+0-435.1-0</f>
        <v>2487.4</v>
      </c>
      <c r="AA56" s="3">
        <f>3155.2+(486.4-682.3)+(-9.654912+(-1.488384--2.087838))+0-531.7--1.62700200000006</f>
        <v>2420.1715439999998</v>
      </c>
      <c r="AB56" s="3">
        <f>3235+(539.4-795.5)+(-4.94955+(-0.825282--1.217115))+0-663.1--1.01454300000004</f>
        <v>2312.2568260000003</v>
      </c>
      <c r="AC56" s="3">
        <f>3245.2+(612.9-1116.4)+(-4.965156+(-0.937737--1.708092))+0-533--0.815490000000031</f>
        <v>2205.3206889999997</v>
      </c>
      <c r="AD56" s="2">
        <v>2416.8000000000002</v>
      </c>
      <c r="AE56" s="3">
        <f>3078+(572.9-595.5)+(0+(0-0))+0-638.6-0</f>
        <v>2416.8000000000002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3264.4+(816.9-1355.6)+(-3.329688+(-0.833238--1.382712))+0-645.1--0.658002000000103</f>
        <v>2078.4777880000006</v>
      </c>
      <c r="G57" s="3">
        <f>3266.1+(738.6-1380.5)+(-4.997133+(-1.130058--2.112165))+0-656.6--1.00459800000004</f>
        <v>1964.5895719999999</v>
      </c>
      <c r="H57" s="3">
        <f>3137.4+(595-1194.7)+(-1.600074+(-0.30345--0.609297))+0-593.2--0.30253199999994</f>
        <v>1943.5083049999998</v>
      </c>
      <c r="I57" s="3">
        <f>2854.5+(757-959.4)+(1.455795+(0.38607-0.489294))+0-766.4-0.390863999999922</f>
        <v>1886.6617069999998</v>
      </c>
      <c r="J57" s="3">
        <f>2768.6+(707.6-1027.5)+(0+(0-0))+0-561.6-0</f>
        <v>1887.1</v>
      </c>
      <c r="K57" s="3">
        <f>2777.5+(716.4-860.5)+(-4.249575+(-1.096092--1.316565))+0-768.1--1.17519300000004</f>
        <v>1862.4460910000003</v>
      </c>
      <c r="L57" s="3">
        <f>2668.6+(690.8-775.6)+(0+(0-0))+0-715.8-0</f>
        <v>1867.9999999999998</v>
      </c>
      <c r="M57" s="3">
        <f>2648.1+(646.7-600.2)+(0+(0-0))+0-638.7-0</f>
        <v>2055.8999999999996</v>
      </c>
      <c r="N57" s="3">
        <f>2703.8+(619.6-468.9)+(-2.757876+(-0.631992--0.478278))+0-550.8--0.561816000000088</f>
        <v>2301.350226</v>
      </c>
      <c r="O57" s="3">
        <f>2893.7+(572.8-421.5)+(-1.475787+(-0.292128--0.214965))+0-585.7--0.298706999999941</f>
        <v>2458.0457569999999</v>
      </c>
      <c r="P57" s="3">
        <f>2969.4+(447.5-405.2)+(7.57197+(1.141125-1.03326))+0-500.6-1.27652999999993</f>
        <v>2517.5033050000002</v>
      </c>
      <c r="Q57" s="3">
        <f>3108.8+(533.5-456.8)+(1.585488+(0.272085-0.232968))+0-653-0.333029999999934</f>
        <v>2533.7915750000002</v>
      </c>
      <c r="R57" s="3">
        <f>3199.4+(540.6-570.4)+(3.263388+(0.551412-0.581808))+0-620.6-0.633012000000099</f>
        <v>2551.5999800000004</v>
      </c>
      <c r="S57" s="3">
        <f>3173.8+(499.1-768.7)+(0+(0-0))+0-618.5-0</f>
        <v>2285.7000000000003</v>
      </c>
      <c r="T57" s="3">
        <f>3174.8+(482.2-786.5)+(3.238296+(0.491844-0.80223))+0-525.1-0.535602000000084</f>
        <v>2347.792308</v>
      </c>
      <c r="U57" s="3">
        <f>3179.7+(468.1-698.6)+(0+(0-0))+0-593.7-0</f>
        <v>2355.5</v>
      </c>
      <c r="V57" s="3">
        <f>3182.2+(240-757.8)+(-8.11461+(-0.612--1.93239))+0-301.7--0.769334999999956</f>
        <v>2356.6751149999996</v>
      </c>
      <c r="W57" s="3">
        <f>2935.9+(484.4-817.8)+(-4.491927+(-0.741132--1.251234))+0-258.6--0.395658000000015</f>
        <v>2340.3138330000002</v>
      </c>
      <c r="X57" s="3">
        <f>2719.6+(651-901.5)+(-9.708972+(-2.32407--3.218355))+0-156.6--0.559062000000002</f>
        <v>2304.2443749999998</v>
      </c>
      <c r="Y57" s="3">
        <f>2739.5+(477.7-696.2)+(-1.397145+(-0.243627--0.355062))+0-234.7--0.119696999999976</f>
        <v>2285.1339870000002</v>
      </c>
      <c r="Z57" s="3">
        <f>3055.1+(439.6-465)+(-3.116202+(-0.448392--0.4743))+0-552.3--0.563346000000088</f>
        <v>2474.8730519999999</v>
      </c>
      <c r="AA57" s="3">
        <f>3340.5+(415-777.6)+(-6.81462+(-0.8466--1.586304))+0-581.2--1.18564799999997</f>
        <v>2391.8107320000004</v>
      </c>
      <c r="AB57" s="3">
        <f>3340.4+(426.3-882.4)+(-10.221624+(-1.304478--2.700144))+0-574.6--1.75827600000007</f>
        <v>2302.6323180000004</v>
      </c>
      <c r="AC57" s="3">
        <f>3247.4+(658.9-1136.4)+(-6.624696+(-1.344156--2.318256))+0-579.5--1.18217999999997</f>
        <v>2185.9315839999999</v>
      </c>
      <c r="AD57" s="2">
        <v>2399.6999999999998</v>
      </c>
      <c r="AE57" s="3">
        <f>3351+(467.2-753)+(0+(0-0))+0-665.5-0</f>
        <v>2399.6999999999998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3217.2+(626.1-1169)+(-1.640772+(-0.319311--0.59619))+0-627.5--0.320024999999936</f>
        <v>2045.7561319999995</v>
      </c>
      <c r="G58" s="3">
        <f>3196.3+(560.4-1151)+(-8.150565+(-1.42902--2.93505))+0-670.1--1.7087549999999</f>
        <v>1930.6642200000003</v>
      </c>
      <c r="H58" s="3">
        <f>2975.2+(663-1070.1)+(-6.069408+(-1.35252--2.183004))+0-681--1.38923999999997</f>
        <v>1883.2503159999997</v>
      </c>
      <c r="I58" s="3">
        <f>2895.9+(750.5-1115.6)+(-4.430727+(-1.148265--1.706868))+0-656.4--1.00429200000004</f>
        <v>1871.5321680000002</v>
      </c>
      <c r="J58" s="3">
        <f>2775.3+(758.3-970.7)+(-7.077015+(-1.933665--2.475285))+0-698.4--1.7809199999999</f>
        <v>1859.745525</v>
      </c>
      <c r="K58" s="3">
        <f>2679.6+(730-900.4)+(-6.83298+(-1.8615--2.29602))+0-638.8--1.62893999999991</f>
        <v>1865.6304799999998</v>
      </c>
      <c r="L58" s="3">
        <f>2403.5+(627.3-719.4)+(1.225785+(0.319923-0.366894))+0-440.8-0.224807999999955</f>
        <v>1871.5540060000001</v>
      </c>
      <c r="M58" s="3">
        <f>2397.5+(562-447.4)+(3.668175+(0.85986-0.684522))+0-441.9-0.676107000000026</f>
        <v>2073.3674059999994</v>
      </c>
      <c r="N58" s="3">
        <f>2545.9+(537.6-321.9)+(2.596818+(0.548352-0.328338))+0-446-0.454920000000071</f>
        <v>2317.9619120000002</v>
      </c>
      <c r="O58" s="3">
        <f>2674.2+(556.6-234)+(-4.091526+(-0.851598--0.35802))+0-524.7--0.80279100000003</f>
        <v>2468.3176869999998</v>
      </c>
      <c r="P58" s="3">
        <f>2745.3+(469.3-162.2)+(-4.200309+(-0.718029--0.248166))+0-532.4--0.814572000000031</f>
        <v>2516.1444000000001</v>
      </c>
      <c r="Q58" s="3">
        <f>3004+(494.9-318.3)+(-4.59612+(-0.757197--0.486999))+0-515--0.78795000000003</f>
        <v>2661.521632</v>
      </c>
      <c r="R58" s="3">
        <f>3152.8+(533.1-578.6)+(0+(0-0))+0-578.1-0</f>
        <v>2529.2000000000003</v>
      </c>
      <c r="S58" s="3">
        <f>3231.8+(412.4-817.9)+(3.296436+(0.420648-0.834258))+0-541.3-0.552126000000086</f>
        <v>2287.3307</v>
      </c>
      <c r="T58" s="3">
        <f>3210.2+(655-857.8)+(-4.911606+(-1.00215--1.312434))+0-623.8--0.954414000000036</f>
        <v>2379.9530919999997</v>
      </c>
      <c r="U58" s="3">
        <f>3023.9+(451.7-637.1)+(3.084378+(0.460734-0.649842))+0-425.8-0.434316000000068</f>
        <v>2415.1609539999999</v>
      </c>
      <c r="V58" s="3">
        <f>3093.9+(593.7-656.2)+(-1.577889+(-0.302787--0.334662))+0-594.3--0.30309299999994</f>
        <v>2435.8570789999999</v>
      </c>
      <c r="W58" s="3">
        <f>3104.9+(321.7-631)+(-7.917495+(-0.820335--1.60905))+0-387.6--0.988379999999944</f>
        <v>2401.8595999999998</v>
      </c>
      <c r="X58" s="3">
        <f>2851.5+(470.6-527.6)+(-7.271325+(-1.20003--1.34538))+0-419.8--1.07048999999994</f>
        <v>2368.644515</v>
      </c>
      <c r="Y58" s="3">
        <f>2807.3+(467.2-466)+(-2.863446+(-0.476544--0.47532))+0-481.9--0.491538000000077</f>
        <v>2324.2268680000002</v>
      </c>
      <c r="Z58" s="3">
        <f>3162.3+(453.1-579.3)+(0+(0-0))+0-554.4-0</f>
        <v>2481.7000000000003</v>
      </c>
      <c r="AA58" s="3">
        <f>3273.6+(380.7-623.8)+(-8.34768+(-0.970785--1.59069))+0-611.8--1.56008999999991</f>
        <v>2412.5323150000004</v>
      </c>
      <c r="AB58" s="3">
        <f>3372.7+(294-816.8)+(-8.600385+(-0.7497--2.08284))+0-543.5--1.38592499999992</f>
        <v>2300.5186799999997</v>
      </c>
      <c r="AC58" s="3">
        <f>3181.3+(372-779.5)+(-1.622463+(-0.18972--0.397545))+0-585.7--0.298706999999941</f>
        <v>2186.9840690000001</v>
      </c>
      <c r="AD58" s="2">
        <v>2458.0000000000005</v>
      </c>
      <c r="AE58" s="3">
        <f>3364+(506.4-726.8)+(0+(0-0))+0-685.6-0</f>
        <v>2458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3128+(533.1-915.4)+(-11.16696+(-1.903167--3.267978))+0-705--2.51685000000001</f>
        <v>2033.4147009999997</v>
      </c>
      <c r="G59" s="3">
        <f>3089.5+(420.6-987.3)+(-1.575645+(-0.214506--0.503523))+0-589.5--0.30064499999994</f>
        <v>1932.3140170000004</v>
      </c>
      <c r="H59" s="3">
        <f>3017.6+(412.5-834.4)+(0+(0-0))+0-704.9-0</f>
        <v>1890.7999999999997</v>
      </c>
      <c r="I59" s="3">
        <f>2883.6+(451.5-877.4)+(-4.411908+(-0.690795--1.342422))+0-588.9--0.901017000000034</f>
        <v>1865.940736</v>
      </c>
      <c r="J59" s="3">
        <f>2852.6+(538.5-795.7)+(-7.27413+(-1.373175--2.029035))+0-725.6--1.85027999999989</f>
        <v>1865.0320099999997</v>
      </c>
      <c r="K59" s="3">
        <f>2650.1+(649.9-796.9)+(-5.406204+(-1.325796--1.625676))+0-634.5--1.29437999999997</f>
        <v>1864.7880560000001</v>
      </c>
      <c r="L59" s="3">
        <f>2312.3+(799.3-573.3)+(-3.537819+(-1.222929--0.877149))+0-692.1--1.05891300000004</f>
        <v>1843.3753140000006</v>
      </c>
      <c r="M59" s="3">
        <f>2173.3+(794-363.7)+(0+(0-0))+0-622.3-0</f>
        <v>1981.3000000000004</v>
      </c>
      <c r="N59" s="3">
        <f>2346.2+(825.8-297.2)+(1.196562+(0.421158-0.151572))+0-628.4-0.320483999999936</f>
        <v>2247.5456639999998</v>
      </c>
      <c r="O59" s="3">
        <f>2693.6+(633.7-268.1)+(-1.373736+(-0.323187--0.136731))+0-641.3--0.327062999999935</f>
        <v>2416.6668709999994</v>
      </c>
      <c r="P59" s="3">
        <f>2836.2+(637.1-316)+(0+(0-0))+0-678.3-0</f>
        <v>2479</v>
      </c>
      <c r="Q59" s="3">
        <f>2935.7+(628.7-373.9)+(-1.497207+(-0.320637--0.190689))+0-645.7--0.329306999999935</f>
        <v>2543.502152</v>
      </c>
      <c r="R59" s="3">
        <f>3027.2+(658.4-467.7)+(3.087744+(0.671568-0.477054))+0-696.5-0.710430000000111</f>
        <v>2523.9718279999997</v>
      </c>
      <c r="S59" s="3">
        <f>3073.2+(483.7-703.2)+(-4.701996+(-0.740061--1.075896))+0-598.1--0.915093000000035</f>
        <v>2252.1489320000001</v>
      </c>
      <c r="T59" s="3">
        <f>3058.5+(590.1-719.9)+(1.559835+(0.300951-0.367149))+0-658.5-0.335834999999933</f>
        <v>2271.357802</v>
      </c>
      <c r="U59" s="3">
        <f>3007.5+(356.7-732.3)+(-9.20295+(-1.091502--2.240838))+0-347.5--1.06335000000004</f>
        <v>2277.4097360000001</v>
      </c>
      <c r="V59" s="3">
        <f>2988.8+(450.8-686.1)+(-6.097152+(-0.919632--1.399644))+0-495.2--1.01020799999998</f>
        <v>2253.6930680000005</v>
      </c>
      <c r="W59" s="3">
        <f>2873.9+(533.5-766.1)+(-7.328445+(-1.360425--1.953555))+0-400.6--1.02152999999994</f>
        <v>2234.9862150000004</v>
      </c>
      <c r="X59" s="3">
        <f>2519+(649.7-681.8)+(-7.70814+(-1.988082--2.086308))+0-289.9--0.887094000000033</f>
        <v>2190.27718</v>
      </c>
      <c r="Y59" s="3">
        <f>2286.9+(639.4-302.5)+(2.332638+(0.652188-0.30855))+0-435.8-0.44451600000007</f>
        <v>2190.2317600000001</v>
      </c>
      <c r="Z59" s="3">
        <f>2948.6+(486.5-534.7)+(-1.503786+(-0.248115--0.272697))+0-519.8--0.265097999999947</f>
        <v>2379.3858939999991</v>
      </c>
      <c r="AA59" s="3">
        <f>3169.2+(492.2-714.9)+(-8.08146+(-1.25511--1.822995))+0-627.6--1.60037999999991</f>
        <v>2312.986805</v>
      </c>
      <c r="AB59" s="3">
        <f>3176+(398.3-780.4)+(-4.85928+(-0.609399--1.194012))+0-565.3--0.864909000000033</f>
        <v>2225.1902419999997</v>
      </c>
      <c r="AC59" s="3">
        <f>3181.3+(364.1-781.2)+(-3.244926+(-0.371382--0.796824))+0-626--0.6385200000001</f>
        <v>2136.0190360000001</v>
      </c>
      <c r="AD59" s="2">
        <v>2297.1999999999998</v>
      </c>
      <c r="AE59" s="3">
        <f>3160+(584-700)+(0+(0-0))+0-746.8-0</f>
        <v>2297.1999999999998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3172.2+(405.4-910.9)+(-3.235644+(-0.413508--0.929118))+0-658.6--0.671772000000105</f>
        <v>2006.0517380000001</v>
      </c>
      <c r="G60" s="3">
        <f>3168.5+(304.3-962.1)+(3.23187+(0.310386-0.981342))+0-615.6-0.627912000000098</f>
        <v>1897.0330019999999</v>
      </c>
      <c r="H60" s="3">
        <f>3174+(356.1-999.9)+(-1.61874+(-0.181611--0.509949))+0-693.2--0.35353199999993</f>
        <v>1836.0631299999995</v>
      </c>
      <c r="I60" s="3">
        <f>2809.1+(531.6-895.1)+(0+(0-0))+0-649.4-0</f>
        <v>1796.1999999999998</v>
      </c>
      <c r="J60" s="3">
        <f>2703.9+(677.7-911.7)+(0+(0-0))+0-691.8-0</f>
        <v>1778.1000000000001</v>
      </c>
      <c r="K60" s="3">
        <f>2712.3+(708.2-1067)+(-4.149819+(-1.083546--1.63251))+0-617.2--0.944316000000036</f>
        <v>1733.6434609999999</v>
      </c>
      <c r="L60" s="3">
        <f>2549.6+(846.1-955.5)+(-3.900888+(-1.294533--1.461915))+0-772.3--1.18161900000004</f>
        <v>1665.3481129999998</v>
      </c>
      <c r="M60" s="3">
        <f>2412.9+(740.2-810.7)+(-3.691737+(-1.132506--1.240371))+0-614.7--0.940491000000036</f>
        <v>1725.056619</v>
      </c>
      <c r="N60" s="3">
        <f>2447.1+(687.3-718.6)+(0+(0-0))+0-615-0</f>
        <v>1800.7999999999997</v>
      </c>
      <c r="O60" s="3">
        <f>2625+(652.2-731.9)+(-1.33875+(-0.332622--0.373269))+0-626.2--0.319361999999936</f>
        <v>1918.121259</v>
      </c>
      <c r="P60" s="3">
        <f>2849.7+(543-862.8)+(2.906694+(0.55386-0.880056))+0-528.3-0.538866000000084</f>
        <v>2003.6416319999994</v>
      </c>
      <c r="Q60" s="3">
        <f>3023+(521.9-826.7)+(4.62519+(0.798507-1.264851))+0-667.1-1.02066300000004</f>
        <v>2054.2381829999995</v>
      </c>
      <c r="R60" s="3">
        <f>2964.8+(481.5-849.1)+(0+(0-0))+0-551.9-0</f>
        <v>2045.3000000000002</v>
      </c>
      <c r="S60" s="3">
        <f>2955.7+(601-894.4)+(-1.507407+(-0.30651--0.456144))+0-672.6--0.343025999999932</f>
        <v>1988.6852529999996</v>
      </c>
      <c r="T60" s="3">
        <f>3010.4+(566.2-985.1)+(-3.070608+(-0.577524--1.004802))+0-632.9--0.645558000000101</f>
        <v>1956.6022280000002</v>
      </c>
      <c r="U60" s="3">
        <f>2849.8+(615.2-973.5)+(-2.906796+(-0.627504--0.99297))+0-573.3--0.584766000000091</f>
        <v>1916.2434360000002</v>
      </c>
      <c r="V60" s="3">
        <f>2844.4+(643.8-920.5)+(-5.802576+(-1.313352--1.87782))+0-639.6--1.30478399999997</f>
        <v>1924.1666759999998</v>
      </c>
      <c r="W60" s="3">
        <f>2754.2+(620.6-976.8)+(-5.618568+(-1.266024--1.992672))+0-449.7--0.91738799999998</f>
        <v>1944.325468</v>
      </c>
      <c r="X60" s="3">
        <f>2551.9+(636.7-914)+(-3.904407+(-0.974151--1.39842))+0-337.2--0.515916000000019</f>
        <v>1934.4357780000005</v>
      </c>
      <c r="Y60" s="3">
        <f>2415.5+(587.3-654.9)+(-1.231905+(-0.299523--0.333999))+0-392.7--0.20027699999996</f>
        <v>1954.2028480000001</v>
      </c>
      <c r="Z60" s="3">
        <f>2760.4+(383.5-418.7)+(0+(0-0))+0-554-0</f>
        <v>2171.2000000000003</v>
      </c>
      <c r="AA60" s="3">
        <f>3186.8+(462-840.3)+(-4.875804+(-0.70686--1.285659))+0-632.4--0.967572000000037</f>
        <v>2172.770567</v>
      </c>
      <c r="AB60" s="3">
        <f>3179.6+(398.4-875)+(-6.486384+(-0.812736--1.785))+0-585.5--1.19441999999997</f>
        <v>2113.1803</v>
      </c>
      <c r="AC60" s="3">
        <f>2992.7+(582.9-914.8)+(-6.105108+(-1.189116--1.866192))+0-618.8--1.26235199999997</f>
        <v>2037.8343199999999</v>
      </c>
      <c r="AD60" s="2">
        <v>2166.4999999999995</v>
      </c>
      <c r="AE60" s="3">
        <f>3186+(489.1-822.2)+(0+(0-0))+0-686.4-0</f>
        <v>2166.5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2805.6+(812.9-1081.4)+(-1.430856+(-0.414579--0.551514))+0-598.2--0.305081999999939</f>
        <v>1937.9111609999998</v>
      </c>
      <c r="G61" s="3">
        <f>2831.5+(923.4-1191.3)+(-7.220325+(-2.35467--3.037815))+0-726.7--1.85308499999989</f>
        <v>1832.215905</v>
      </c>
      <c r="H61" s="3">
        <f>2799.2+(979.4-1403.2)+(-5.710368+(-1.997976--2.862528))+0-580.3--1.18381199999997</f>
        <v>1791.4379959999997</v>
      </c>
      <c r="I61" s="3">
        <f>2618.7+(1122.4-1277.2)+(-5.342148+(-2.289696--2.605488))+0-685.4--1.39821599999997</f>
        <v>1774.8718599999997</v>
      </c>
      <c r="J61" s="3">
        <f>2618.4+(969.8-1209.1)+(1.335384+(0.494598-0.616641))+0-605.1-0.308600999999939</f>
        <v>1774.9047400000006</v>
      </c>
      <c r="K61" s="3">
        <f>2623+(955.9-1106)+(-5.35092+(-1.950036--2.25624))+0-689.9--1.40739599999997</f>
        <v>1779.3626800000002</v>
      </c>
      <c r="L61" s="3">
        <f>2425.3+(974.8-1009.8)+(-1.236903+(-0.497148--0.514998))+0-589.9--0.30084899999994</f>
        <v>1799.4817960000003</v>
      </c>
      <c r="M61" s="3">
        <f>2504.8+(737.4-658.3)+(2.554896+(0.752148-0.671466))+0-590.7-0.602514000000094</f>
        <v>1995.2330639999998</v>
      </c>
      <c r="N61" s="3">
        <f>2523.4+(865.8-502.9)+(0+(0-0))+0-609.5-0</f>
        <v>2276.8000000000002</v>
      </c>
      <c r="O61" s="3">
        <f>2680.7+(767.5-441.7)+(2.734314+(0.78285-0.450534))+0-561.2-0.57242400000009</f>
        <v>2447.7942059999996</v>
      </c>
      <c r="P61" s="3">
        <f>2896.4+(445.5-475.6)+(0+(0-0))+0-335-0</f>
        <v>2531.3000000000002</v>
      </c>
      <c r="Q61" s="3">
        <f>2990.5+(602-561.8)+(0+(0-0))+0-418.1-0</f>
        <v>2612.6</v>
      </c>
      <c r="R61" s="3">
        <f>3259.9+(743.6-979.8)+(-1.662549+(-0.379236--0.499698))+0-395.4--0.20165399999996</f>
        <v>2626.9595670000003</v>
      </c>
      <c r="S61" s="3">
        <f>3016.1+(609.5-998.2)+(-6.152844+(-1.24338--2.036328))+0-281.9--0.575075999999988</f>
        <v>2340.7151799999997</v>
      </c>
      <c r="T61" s="3">
        <f>3012.8+(817.3-1010.1)+(0+(0-0))+0-397.8-0</f>
        <v>2422.1999999999998</v>
      </c>
      <c r="U61" s="3">
        <f>3027.4+(913.9-971.6)+(-6.175896+(-1.864356--1.982064))+0-509.2--1.03876799999998</f>
        <v>2455.4805799999999</v>
      </c>
      <c r="V61" s="3">
        <f>3021.8+(848.9-844.2)+(-7.70559+(-2.164695--2.15271))+0-564.6--1.43972999999992</f>
        <v>2455.622155</v>
      </c>
      <c r="W61" s="3">
        <f>2999.4+(866.2-941.6)+(-4.589082+(-1.325286--1.440648))+0-474--0.725220000000027</f>
        <v>2446.2514999999999</v>
      </c>
      <c r="X61" s="3">
        <f>2600.2+(1007.4-687.2)+(-9.282714+(-3.596418--2.453304))+0-514.1--1.83533700000001</f>
        <v>2397.7095089999998</v>
      </c>
      <c r="Y61" s="3">
        <f>2539.6+(751.4-530.2)+(-6.47598+(-1.91607--1.35201))+0-388.8--0.991439999999944</f>
        <v>2365.9513999999995</v>
      </c>
      <c r="Z61" s="3">
        <f>2912.9+(725.7-602.1)+(-1.485579+(-0.370107--0.307071))+0-494--0.25193999999995</f>
        <v>2541.2033249999999</v>
      </c>
      <c r="AA61" s="3">
        <f>2980.4+(698-563.9)+(-7.60002+(-1.7799--1.437945))+0-636--1.62179999999991</f>
        <v>2472.1798249999997</v>
      </c>
      <c r="AB61" s="3">
        <f>2789.6+(731.9-581.9)+(-5.690784+(-1.493076--1.187076))+0-556.1--1.13444399999998</f>
        <v>2378.6376599999999</v>
      </c>
      <c r="AC61" s="3">
        <f>3027.9+(793.1-1008.1)+(-6.176916+(-1.617924--2.056524))+0-553.2--1.12852799999998</f>
        <v>2255.0902120000001</v>
      </c>
      <c r="AD61" s="2">
        <v>2509.1000000000004</v>
      </c>
      <c r="AE61" s="3">
        <f>3009+(758.5-585.2)+(0+(0-0))+0-673.2-0</f>
        <v>2509.1000000000004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2926.8+(967.4-1118.5)+(-7.46334+(-2.46687--2.852175))+0-677.5--1.7276249999999</f>
        <v>2092.8495900000003</v>
      </c>
      <c r="G62" s="3">
        <f>2687.3+(1005.3-1159.6)+(-6.852615+(-2.563515--2.95698))+0-551.3--1.40581499999992</f>
        <v>1976.6466649999998</v>
      </c>
      <c r="H62" s="3">
        <f>2612.3+(1204.3-1282.6)+(-3.996819+(-1.842579--1.962378))+0-613.7--0.938961000000036</f>
        <v>1917.3619410000001</v>
      </c>
      <c r="I62" s="3">
        <f>2504.7+(1259.3-1186.6)+(-1.277397+(-0.642243--0.605166))+0-704.7--0.359396999999929</f>
        <v>1871.7449229999997</v>
      </c>
      <c r="J62" s="3">
        <f>2155.6+(1383.8-992.2)+(-3.298068+(-2.117214--1.518066))+0-672.3--1.02861900000004</f>
        <v>1872.031403</v>
      </c>
      <c r="K62" s="3">
        <f>2065.7+(1398.8-970.8)+(-5.267535+(-3.56694--2.47554))+0-628.8--1.60343999999991</f>
        <v>1860.1445049999995</v>
      </c>
      <c r="L62" s="3">
        <f>1972.9+(1295.6-837.1)+(-1.006179+(-0.660756--0.426921))+0-586.3--0.299012999999941</f>
        <v>1844.158999</v>
      </c>
      <c r="M62" s="3">
        <f>2154.6+(1127.7-738.4)+(-2.197692+(-1.150254--0.753168))+0-508.6--0.518772000000081</f>
        <v>2033.2239940000002</v>
      </c>
      <c r="N62" s="3">
        <f>2401.8+(1044.2-563.5)+(1.224918+(0.532542-0.287385))+0-564.3-0.287792999999943</f>
        <v>2319.382282</v>
      </c>
      <c r="O62" s="3">
        <f>2555.9+(948.4-430.4)+(-2.607018+(-0.967368--0.439008))+0-601.5--0.613530000000096</f>
        <v>2469.8781520000002</v>
      </c>
      <c r="P62" s="3">
        <f>2545.1+(787.5-352.9)+(3.894003+(1.204875-0.539937))+0-424.5-0.649485000000025</f>
        <v>2559.1094559999997</v>
      </c>
      <c r="Q62" s="3">
        <f>2607.7+(784.1-252.1)+(3.989781+(1.199673-0.385713))+0-520.6-0.79651800000003</f>
        <v>2623.107223</v>
      </c>
      <c r="R62" s="3">
        <f>2853.5+(746.6-593.9)+(0+(0-0))+0-583.1-0</f>
        <v>2423.1</v>
      </c>
      <c r="S62" s="3">
        <f>2852.2+(811.8-789.9)+(0+(0-0))+0-509.6-0</f>
        <v>2364.5</v>
      </c>
      <c r="T62" s="3">
        <f>2924.9+(931-897.3)+(-4.475097+(-1.42443--1.372869))+0-504--0.771120000000029</f>
        <v>2450.844462</v>
      </c>
      <c r="U62" s="3">
        <f>2871.5+(805.5-807.2)+(-5.85786+(-1.64322--1.646688))+0-390.9--0.797435999999983</f>
        <v>2473.8430439999997</v>
      </c>
      <c r="V62" s="3">
        <f>2833.9+(843.3-778.7)+(-7.226445+(-2.150415--1.985685))+0-403.2--1.02815999999994</f>
        <v>2488.9369849999998</v>
      </c>
      <c r="W62" s="3">
        <f>2662.9+(1061.2-829.2)+(-1.358079+(-0.541212--0.422892))+0-385.2--0.196451999999961</f>
        <v>2508.4200530000003</v>
      </c>
      <c r="X62" s="3">
        <f>2576.1+(992.3-712.7)+(-5.255244+(-2.024292--1.453908))+0-491--1.00163999999998</f>
        <v>2359.8760119999997</v>
      </c>
      <c r="Y62" s="3">
        <f>2567.2+(785.8-488.5)+(-1.309272+(-0.400758--0.249135))+0-492--0.25091999999995</f>
        <v>2371.2900249999998</v>
      </c>
      <c r="Z62" s="3">
        <f>2910.9+(710.6-444.3)+(1.484559+(0.362406-0.226593))+0-598.3-0.305132999999939</f>
        <v>2580.2152390000001</v>
      </c>
      <c r="AA62" s="3">
        <f>3104.1+(640.4-663.8)+(-6.332364+(-1.306416--1.354152))+0-542.9--1.10751599999998</f>
        <v>2532.6228879999999</v>
      </c>
      <c r="AB62" s="3">
        <f>3108.4+(817.8-852.5)+(-4.755852+(-1.251234--1.304325))+0-641.8--0.981954000000037</f>
        <v>2428.1791929999999</v>
      </c>
      <c r="AC62" s="3">
        <f>3109+(886.9-1067.4)+(-6.34236+(-1.809276--2.177496))+0-621.5--1.26785999999997</f>
        <v>2302.2937200000001</v>
      </c>
      <c r="AD62" s="2">
        <v>2532.5</v>
      </c>
      <c r="AE62" s="3">
        <f>3112+(646.2-597)+(0+(0-0))+0-628.7-0</f>
        <v>2532.5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3085.9+(977.2-1243.6)+(-3.147618+(-0.996744--1.268472))+0-709.7--0.723894000000113</f>
        <v>2107.6480040000001</v>
      </c>
      <c r="G63" s="3">
        <f>2968.7+(974.2-1305.3)+(-7.570185+(-2.48421--3.328515))+0-641.8--1.63658999999991</f>
        <v>1990.7107099999998</v>
      </c>
      <c r="H63" s="3">
        <f>2700.8+(1197-1236.3)+(-2.754816+(-1.22094--1.261026))+0-709--0.723180000000113</f>
        <v>1950.50845</v>
      </c>
      <c r="I63" s="3">
        <f>2628.8+(1133.1-1153.9)+(-4.022064+(-1.733643--1.765467))+0-682.5--1.04422500000004</f>
        <v>1922.553985</v>
      </c>
      <c r="J63" s="3">
        <f>2482.3+(1092-977.8)+(0+(0-0))+0-704.9-0</f>
        <v>1891.6</v>
      </c>
      <c r="K63" s="3">
        <f>2320.6+(1158.5-886.5)+(-3.550518+(-1.772505--1.356345))+0-692.1--1.05891300000004</f>
        <v>1897.5922350000003</v>
      </c>
      <c r="L63" s="3">
        <f>2185.6+(1057.9-724.1)+(-2.229312+(-1.079058--0.738582))+0-667.7--0.681054000000107</f>
        <v>1849.8112660000004</v>
      </c>
      <c r="M63" s="3">
        <f>2395.2+(798.4-512)+(-3.664656+(-1.221552--0.78336))+0-630.2--0.964206000000037</f>
        <v>2048.2613579999997</v>
      </c>
      <c r="N63" s="3">
        <f>2586.3+(650.9-429.7)+(-1.319013+(-0.331959--0.219147))+0-454.7--0.231896999999954</f>
        <v>2351.6000720000002</v>
      </c>
      <c r="O63" s="3">
        <f>2714.2+(906-432.6)+(0+(0-0))+0-662.8-0</f>
        <v>2524.8000000000002</v>
      </c>
      <c r="P63" s="3">
        <f>2780.7+(784.9-394.3)+(0+(0-0))+0-559.5-0</f>
        <v>2611.7999999999997</v>
      </c>
      <c r="Q63" s="3">
        <f>3005.5+(631.9-402.9)+(1.532805+(0.322269-0.205479))+0-548.5-0.279734999999944</f>
        <v>2687.3698599999998</v>
      </c>
      <c r="R63" s="3">
        <f>3249.4+(705.1-741.2)+(-1.657194+(-0.359601--0.378012))+0-562.5--0.286874999999943</f>
        <v>2649.4480920000001</v>
      </c>
      <c r="S63" s="3">
        <f>3130.9+(749.3-850.8)+(-3.193518+(-0.764286--0.867816))+0-635.8--0.648516000000101</f>
        <v>2391.1585279999999</v>
      </c>
      <c r="T63" s="3">
        <f>3227.7+(791.4-1024.7)+(-1.646127+(-0.403614--0.522597))+0-519.7--0.265046999999947</f>
        <v>2473.4379029999991</v>
      </c>
      <c r="U63" s="3">
        <f>3188.8+(895.4-987.8)+(-3.252576+(-0.913308--1.007556))+0-563.8--0.57507600000009</f>
        <v>2530.016748</v>
      </c>
      <c r="V63" s="3">
        <f>3079.6+(748.8-783.3)+(-9.423576+(-2.291328--2.396898))+0-526.1--1.60986600000006</f>
        <v>2511.2918600000003</v>
      </c>
      <c r="W63" s="3">
        <f>3099.9+(719.8-834.2)+(-4.742847+(-1.101294--1.276326))+0-494.8--0.757044000000029</f>
        <v>2486.8892289999999</v>
      </c>
      <c r="X63" s="3">
        <f>2811.9+(971.4-641.3)+(-10.038483+(-3.467898--2.289441))+0-682.6--2.43688200000001</f>
        <v>2450.6199420000003</v>
      </c>
      <c r="Y63" s="3">
        <f>2710.1+(847.1-546.2)+(-6.910755+(-2.160105--1.39281))+0-610--1.55549999999991</f>
        <v>2394.87745</v>
      </c>
      <c r="Z63" s="3">
        <f>3000.3+(658.1-482.1)+(1.530153+(0.335631-0.245871))+0-622.9-0.317678999999937</f>
        <v>2554.7022340000003</v>
      </c>
      <c r="AA63" s="3">
        <f>3019.5+(509.3-545.7)+(-4.619835+(-0.779229--0.834921))+0-484.2--0.740826000000028</f>
        <v>2495.0766830000002</v>
      </c>
      <c r="AB63" s="3">
        <f>3036.3+(700.1-758.1)+(-6.194052+(-1.428204--1.546524))+0-575.1--1.17320399999998</f>
        <v>2398.2974720000007</v>
      </c>
      <c r="AC63" s="3">
        <f>3005.2+(876.5-944.9)+(-3.065304+(-0.89403--0.963798))+0-646.7--0.659634000000103</f>
        <v>2287.7640980000001</v>
      </c>
      <c r="AD63" s="2">
        <v>2468.9</v>
      </c>
      <c r="AE63" s="3">
        <f>3027+(658.3-562.3)+(0+(0-0))+0-654.1-0</f>
        <v>2468.9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2958.3+(992.3-1094.9)+(-4.526199+(-1.518219--1.675197))+0-719.6--1.10098800000004</f>
        <v>2132.8317670000001</v>
      </c>
      <c r="G64" s="3">
        <f>2920.1+(962.3-1138.5)+(-5.957004+(-1.963092--2.32254))+0-732.4--1.49409599999997</f>
        <v>2007.3965399999993</v>
      </c>
      <c r="H64" s="3">
        <f>2824.2+(1140.4-1312.4)+(-7.20171+(-2.90802--3.34662))+0-689.7--1.7587349999999</f>
        <v>1957.4956249999998</v>
      </c>
      <c r="I64" s="3">
        <f>2642.1+(1261.5-1243.7)+(-4.042413+(-1.930095--1.902861))+0-726.1--1.11093300000004</f>
        <v>1930.8412859999999</v>
      </c>
      <c r="J64" s="3">
        <f>2641.5+(1218.5-1318.6)+(-4.041495+(-1.864305--2.017458))+0-606.7--0.928251000000035</f>
        <v>1931.7399089999999</v>
      </c>
      <c r="K64" s="3">
        <f>2607.6+(1264.2-1184.7)+(-7.979256+(-3.868452--3.625182))+0-763.3--2.33569800000009</f>
        <v>1917.913172</v>
      </c>
      <c r="L64" s="3">
        <f>2400.4+(1086.7-952.8)+(1.224204+(0.554217-0.485928))+0-627.5-0.320024999999936</f>
        <v>1907.7724680000001</v>
      </c>
      <c r="M64" s="3">
        <f>2543.8+(912.2-795.6)+(-1.297338+(-0.465222--0.405756))+0-565.7--0.288506999999943</f>
        <v>2093.6317029999996</v>
      </c>
      <c r="N64" s="3">
        <f>2599.4+(820.4-635.4)+(1.325694+(0.418404-0.324054))+0-431.7-0.220166999999956</f>
        <v>2353.8998770000003</v>
      </c>
      <c r="O64" s="3">
        <f>2890.7+(669.9-461.8)+(0+(0-0))+0-559.4-0</f>
        <v>2539.3999999999996</v>
      </c>
      <c r="P64" s="3">
        <f>3010.9+(623.8-426)+(0+(0-0))+0-589.4-0</f>
        <v>2619.2999999999997</v>
      </c>
      <c r="Q64" s="3">
        <f>3296.5+(548.8-623.7)+(0+(0-0))+0-531.2-0</f>
        <v>2690.3999999999996</v>
      </c>
      <c r="R64" s="3">
        <f>3288.3+(716.7-812.3)+(0+(0-0))+0-572.4-0</f>
        <v>2620.3000000000002</v>
      </c>
      <c r="S64" s="3">
        <f>3220+(612.8-1046.9)+(-6.5688+(-1.250112--2.135676))+0-410--0.836399999999982</f>
        <v>2371.0531639999999</v>
      </c>
      <c r="T64" s="3">
        <f>3140.2+(717.5-976.2)+(-1.601502+(-0.365925--0.497862))+0-454.5--0.231794999999954</f>
        <v>2425.7622300000003</v>
      </c>
      <c r="U64" s="3">
        <f>3127.7+(711.2-942.8)+(-6.380508+(-1.450848--1.923312))+0-432.8--0.882911999999981</f>
        <v>2458.274868</v>
      </c>
      <c r="V64" s="3">
        <f>3145.7+(654.6-825.2)+(-11.230149+(-2.336922--2.945964))+0-500.4--1.78642800000001</f>
        <v>2465.8653209999998</v>
      </c>
      <c r="W64" s="3">
        <f>3041.2+(453.6-652.7)+(-9.306072+(-1.388016--1.997262))+0-407--1.24542000000005</f>
        <v>2427.6485940000002</v>
      </c>
      <c r="X64" s="3">
        <f>2726.4+(602.9-530.1)+(-2.780928+(-0.614958--0.540702))+0-414.8--0.423096000000066</f>
        <v>2381.9679119999996</v>
      </c>
      <c r="Y64" s="3">
        <f>2615.6+(663.9-425.3)+(0+(0-0))+0-506.1-0</f>
        <v>2348.1</v>
      </c>
      <c r="Z64" s="3">
        <f>2852.7+(609.4-497.2)+(-2.909754+(-0.621588--0.507144))+0-469.2--0.478584000000075</f>
        <v>2493.1543859999997</v>
      </c>
      <c r="AA64" s="3">
        <f>3159.1+(738.4-881.6)+(-8.055705+(-1.88292--2.24808))+0-547.4--1.39586999999992</f>
        <v>2462.2053249999994</v>
      </c>
      <c r="AB64" s="3">
        <f>3169.1+(689.8-975.1)+(-6.464964+(-1.407192--1.989204))+0-508--1.03631999999998</f>
        <v>2370.953368</v>
      </c>
      <c r="AC64" s="3">
        <f>3098.3+(842.4-1127.4)+(-11.060931+(-3.007368--4.024818))+0-549.3--1.96100100000001</f>
        <v>2255.9175200000004</v>
      </c>
      <c r="AD64" s="2">
        <v>2443.2999999999997</v>
      </c>
      <c r="AE64" s="3">
        <f>3144+(678.6-733.7)+(0+(0-0))+0-645.6-0</f>
        <v>2443.3000000000002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3033.8+(912.4-1275.8)+(-10.830666+(-3.257268--4.554606))+0-563--2.00991000000001</f>
        <v>2099.8765820000003</v>
      </c>
      <c r="G65" s="3">
        <f>2942.7+(863.9-1185.2)+(-9.004662+(-2.643534--3.626712))+0-644.6--1.97247600000007</f>
        <v>1970.750992</v>
      </c>
      <c r="H65" s="3">
        <f>2684.1+(951.4-1157.9)+(-5.475564+(-1.940856--2.362116))+0-546.2--1.11424799999998</f>
        <v>1927.4599440000002</v>
      </c>
      <c r="I65" s="3">
        <f>2612.9+(1138.4-1169.7)+(-5.330316+(-2.322336--2.386188))+0-674.2--1.37536799999997</f>
        <v>1903.5089040000005</v>
      </c>
      <c r="J65" s="3">
        <f>2422+(1031.4-1001.5)+(-4.94088+(-2.104056--2.04306))+0-553.8--1.12975199999998</f>
        <v>1894.2278760000004</v>
      </c>
      <c r="K65" s="3">
        <f>2414.6+(1035.3-796.7)+(-3.694338+(-1.584009--1.218951))+0-762.8--1.16708400000004</f>
        <v>1887.5076879999997</v>
      </c>
      <c r="L65" s="3">
        <f>2341.7+(847-711.9)+(-4.777068+(-1.72788--1.452276))+0-595.9--1.21563599999997</f>
        <v>1877.0629639999997</v>
      </c>
      <c r="M65" s="3">
        <f>2470.9+(588.9-471.2)+(1.260159+(0.300339-0.240312))+0-558.6-0.284885999999943</f>
        <v>2031.0353</v>
      </c>
      <c r="N65" s="3">
        <f>2564.1+(832.7-461.5)+(-2.615382+(-0.849354--0.47073))+0-644.2--0.657084000000103</f>
        <v>2288.7630780000004</v>
      </c>
      <c r="O65" s="3">
        <f>2592.6+(689-368.4)+(-7.933356+(-2.10834--1.127304))+0-460.2--1.40821200000005</f>
        <v>2445.4938200000001</v>
      </c>
      <c r="P65" s="3">
        <f>2585.9+(462.2-209.1)+(1.318809+(0.235722-0.106641))+0-322.3-0.164372999999967</f>
        <v>2517.9835169999997</v>
      </c>
      <c r="Q65" s="3">
        <f>2764.8+(457.7-245)+(0+(0-0))+0-398.4-0</f>
        <v>2579.1</v>
      </c>
      <c r="R65" s="3">
        <f>2767.6+(575.7-277)+(0+(0-0))+0-493.9-0</f>
        <v>2572.4</v>
      </c>
      <c r="S65" s="3">
        <f>2772.6+(672.9-501.2)+(-7.07013+(-1.715895--1.27806))+0-643.9--1.64194499999991</f>
        <v>2294.5339799999997</v>
      </c>
      <c r="T65" s="3">
        <f>2814.3+(739.5-556.4)+(-1.435293+(-0.377145--0.283764))+0-627.1--0.319820999999936</f>
        <v>2369.0911470000001</v>
      </c>
      <c r="U65" s="3">
        <f>2859.6+(640-631.7)+(-5.833584+(-1.3056--1.288668))+0-440.3--0.898211999999981</f>
        <v>2422.6476959999995</v>
      </c>
      <c r="V65" s="3">
        <f>2935.9+(625.7-456)+(-2.994618+(-0.638214--0.46512))+0-684.5--0.698190000000109</f>
        <v>2418.6304780000005</v>
      </c>
      <c r="W65" s="3">
        <f>2748.6+(738.6-494.9)+(-2.803572+(-0.753372--0.504798))+0-625.7--0.6382140000001</f>
        <v>2364.1860680000004</v>
      </c>
      <c r="X65" s="3">
        <f>2793.5+(929-636.5)+(-1.424685+(-0.47379--0.324615))+0-702.8--0.358427999999929</f>
        <v>2381.9845680000003</v>
      </c>
      <c r="Y65" s="3">
        <f>2829.4+(857.4-730.2)+(-4.328982+(-1.311822--1.117206))+0-648.1--0.991593000000037</f>
        <v>2304.967995</v>
      </c>
      <c r="Z65" s="3">
        <f>3158.9+(1054.8-1108.4)+(-3.222078+(-1.075896--1.130568))+0-596.3--0.608226000000095</f>
        <v>2506.4408200000007</v>
      </c>
      <c r="AA65" s="3">
        <f>3315.3+(988.5-1251.3)+(-3.381606+(-1.00827--1.276326))+0-591.2--0.603024000000094</f>
        <v>2458.7894740000002</v>
      </c>
      <c r="AB65" s="3">
        <f>3262.1+(817.9-1210.2)+(-8.318355+(-2.085645--3.08601))+0-530.5--1.35277499999992</f>
        <v>2333.3347849999996</v>
      </c>
      <c r="AC65" s="3">
        <f>2895.9+(862.4-874.8)+(0+(0-0))+0-630.7-0</f>
        <v>2252.8000000000002</v>
      </c>
      <c r="AD65" s="2">
        <v>2457.6999999999998</v>
      </c>
      <c r="AE65" s="3">
        <f>3296+(1041.7-1225.6)+(0+(0-0))+0-654.4-0</f>
        <v>2457.7000000000003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2905.6+(872.9-945)+(-2.963712+(-0.890358--0.9639))+0-741.7--0.756534000000118</f>
        <v>2089.6663639999997</v>
      </c>
      <c r="G66" s="3">
        <f>2809.7+(944.4-1098.6)+(-1.432947+(-0.481644--0.560286))+0-684.1--0.348890999999931</f>
        <v>1970.3945860000001</v>
      </c>
      <c r="H66" s="3">
        <f>2679.5+(1050.5-1006.7)+(4.099635+(1.607265-1.540251))+0-801.3-1.22598900000005</f>
        <v>1924.94066</v>
      </c>
      <c r="I66" s="3">
        <f>2667.1+(994.5-1053.6)+(1.360221+(0.507195-0.537336))+0-700.6-0.357305999999929</f>
        <v>1908.3727740000004</v>
      </c>
      <c r="J66" s="3">
        <f>2753.1+(909.4-1046.9)+(-4.212243+(-1.391382--1.601757))+0-719.4--1.10068200000004</f>
        <v>1893.298814</v>
      </c>
      <c r="K66" s="3">
        <f>2640.8+(944-986.7)+(-6.73404+(-2.4072--2.516085))+0-708.8--1.8074399999999</f>
        <v>1884.482285</v>
      </c>
      <c r="L66" s="3">
        <f>2428.1+(977-742.1)+(-2.476662+(-0.99654--0.756942))+0-784.9--0.800598000000125</f>
        <v>1876.1843379999998</v>
      </c>
      <c r="M66" s="3">
        <f>2365.6+(862.3-577.9)+(2.412912+(0.879546-0.589458))+0-604.6-0.616692000000096</f>
        <v>2047.486308</v>
      </c>
      <c r="N66" s="3">
        <f>2463.4+(792.4-329.5)+(-2.512668+(-0.808248--0.33609))+0-627.5--0.6400500000001</f>
        <v>2296.4552240000003</v>
      </c>
      <c r="O66" s="3">
        <f>2643.5+(658.1-117.2)+(2.69637+(0.671262-0.119544))+0-722.1-0.736542000000115</f>
        <v>2464.8115459999999</v>
      </c>
      <c r="P66" s="3">
        <f>2722.9+(618.3-226.9)+(0+(0-0))+0-584.7-0</f>
        <v>2529.6000000000004</v>
      </c>
      <c r="Q66" s="3">
        <f>3003.6+(660.8-502)+(1.531836+(0.337008-0.25602))+0-621.6-0.317015999999937</f>
        <v>2542.0958079999996</v>
      </c>
      <c r="R66" s="3">
        <f>3179.3+(646.4-698.4)+(-6.485772+(-1.318656--1.424736))+0-630.1--1.28540399999997</f>
        <v>2492.105712</v>
      </c>
      <c r="S66" s="3">
        <f>3059.7+(467.2-704.8)+(-3.120894+(-0.476544--0.718896))+0-585.7--0.597414000000093</f>
        <v>2234.1188720000005</v>
      </c>
      <c r="T66" s="3">
        <f>3113.5+(599.5-784.4)+(-1.587885+(-0.305745--0.400044))+0-670.2--0.341801999999932</f>
        <v>2257.248216</v>
      </c>
      <c r="U66" s="3">
        <f>3114.1+(525.4-811.8)+(-6.352764+(-1.071816--1.656072))+0-561.1--1.14464399999998</f>
        <v>2261.9761359999998</v>
      </c>
      <c r="V66" s="3">
        <f>3039.5+(499.8-658.4)+(-7.750725+(-1.27449--1.67892))+0-610.4--1.55651999999991</f>
        <v>2264.7102250000003</v>
      </c>
      <c r="W66" s="3">
        <f>2750.2+(650.7-536.5)+(-5.610408+(-1.327428--1.09446))+0-584.5--1.19237999999997</f>
        <v>2275.2490039999998</v>
      </c>
      <c r="X66" s="3">
        <f>2756.5+(557.8-582)+(-7.029075+(-1.42239--1.4841))+0-498.2--1.27040999999993</f>
        <v>2228.4030450000005</v>
      </c>
      <c r="Y66" s="3">
        <f>2619.6+(455.9-418.1)+(-1.335996+(-0.232509--0.213231))+0-421.8--0.215117999999957</f>
        <v>2234.4598439999995</v>
      </c>
      <c r="Z66" s="3">
        <f>2711+(522.7-233.4)+(-1.38261+(-0.266577--0.119034))+0-585.3--0.298502999999941</f>
        <v>2413.7683500000003</v>
      </c>
      <c r="AA66" s="3">
        <f>2954.1+(333.7-334.6)+(-7.532955+(-0.850935--0.85323))+0-564.8--1.44023999999992</f>
        <v>2382.3095800000001</v>
      </c>
      <c r="AB66" s="3">
        <f>2950.6+(397.1-494.3)+(-7.52403+(-1.012605--1.260465))+0-560.1--1.42825499999992</f>
        <v>2287.4520849999999</v>
      </c>
      <c r="AC66" s="3">
        <f>3021.4+(454.8-700.9)+(-1.540914+(-0.231948--0.357459))+0-562.5--0.286874999999943</f>
        <v>2211.671472</v>
      </c>
      <c r="AD66" s="2">
        <v>2392.6000000000004</v>
      </c>
      <c r="AE66" s="3">
        <f>2931+(377-288.1)+(0+(0-0))+0-627.3-0</f>
        <v>2392.6000000000004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3109.6+(590.8-829.3)+(-1.585896+(-0.301308--0.422943))+0-789.4--0.40259399999992</f>
        <v>2080.6383329999999</v>
      </c>
      <c r="G67" s="3">
        <f>3105.7+(775.6-1235.5)+(-3.167814+(-0.791112--1.26021))+0-662.6--0.675852000000106</f>
        <v>1981.177136</v>
      </c>
      <c r="H67" s="3">
        <f>2778.8+(834.9-1095.2)+(-4.251564+(-1.277397--1.675656))+0-617.7--0.945081000000036</f>
        <v>1897.8917759999999</v>
      </c>
      <c r="I67" s="3">
        <f>2782.7+(788.6-968.4)+(-2.838354+(-0.804372--0.987768))+0-787.3--0.803046000000125</f>
        <v>1813.7480879999998</v>
      </c>
      <c r="J67" s="3">
        <f>2756.1+(649.3-945.3)+(4.216833+(0.993429-1.446309))+0-669.2-1.02387600000004</f>
        <v>1793.640077</v>
      </c>
      <c r="K67" s="3">
        <f>2751.3+(660.7-914.7)+(-1.403163+(-0.336957--0.466497))+0-734--0.374339999999926</f>
        <v>1762.400717</v>
      </c>
      <c r="L67" s="3">
        <f>2388.3+(867.5-978.3)+(1.218033+(0.442425-0.498933))+0-589.1-0.30044099999994</f>
        <v>1689.2610840000002</v>
      </c>
      <c r="M67" s="3">
        <f>2269.1+(886.4-675.4)+(-1.157241+(-0.452064--0.344454))+0-730.4--0.372503999999926</f>
        <v>1748.8076529999998</v>
      </c>
      <c r="N67" s="3">
        <f>2275.4+(805.1-747.5)+(-3.481362+(-1.231803--1.143675))+0-480.6--0.735318000000028</f>
        <v>1849.5658280000002</v>
      </c>
      <c r="O67" s="3">
        <f>2648.4+(670.3-717.5)+(-2.701368+(-0.683706--0.73185))+0-655--0.668100000000104</f>
        <v>1944.2148759999998</v>
      </c>
      <c r="P67" s="3">
        <f>2775.3+(565.7-697)+(-1.415403+(-0.288507--0.35547))+0-613.9--0.313088999999938</f>
        <v>2029.0646489999997</v>
      </c>
      <c r="Q67" s="3">
        <f>2651.5+(529.9-619.9)+(-2.70453+(-0.540498--0.632298))+0-493.5--0.503370000000079</f>
        <v>2065.8906400000001</v>
      </c>
      <c r="R67" s="3">
        <f>2757.5+(723-706.1)+(1.406325+(0.36873-0.360111))+0-702.5-0.358274999999929</f>
        <v>2072.9566690000001</v>
      </c>
      <c r="S67" s="3">
        <f>2970.1+(778.8-1154.3)+(-1.514751+(-0.397188--0.588693))+0-584.7--0.298196999999941</f>
        <v>2008.8749509999998</v>
      </c>
      <c r="T67" s="3">
        <f>2950.9+(839.9-1228.6)+(-1.504959+(-0.428349--0.626586))+0-580.6--0.296105999999941</f>
        <v>1980.5893840000006</v>
      </c>
      <c r="U67" s="3">
        <f>2931.6+(880.9-1376.5)+(7.47558+(2.246295-3.510075))+0-469.2-1.19645999999993</f>
        <v>1971.8153400000001</v>
      </c>
      <c r="V67" s="3">
        <f>2902.5+(839-1089.4)+(-1.480275+(-0.42789--0.555594))+0-675.4--0.344453999999931</f>
        <v>1975.691883</v>
      </c>
      <c r="W67" s="3">
        <f>2692.8+(697.7-871.1)+(-2.746656+(-0.711654--0.888522))+0-541.2--0.552024000000086</f>
        <v>1976.1822360000003</v>
      </c>
      <c r="X67" s="3">
        <f>2666.7+(811.1-1057.1)+(-8.160102+(-2.481966--3.234726))+0-436--1.33416000000005</f>
        <v>1978.626818</v>
      </c>
      <c r="Y67" s="3">
        <f>2681.6+(677.2-994.1)+(-4.102848+(-1.036116--1.520973))+0-380.2--0.581706000000022</f>
        <v>1981.4637149999996</v>
      </c>
      <c r="Z67" s="3">
        <f>2752.6+(622.9-568.9)+(-2.807652+(-0.635358--0.580278))+0-588.1--0.599862000000094</f>
        <v>2216.23713</v>
      </c>
      <c r="AA67" s="3">
        <f>2807.1+(595.2-479.1)+(-4.294863+(-0.910656--0.733023))+0-673.3--1.03014900000004</f>
        <v>2246.4576530000004</v>
      </c>
      <c r="AB67" s="3">
        <f>2825.6+(742.8-788.8)+(-4.323168+(-1.136484--1.206864))+0-577.8--0.884034000000033</f>
        <v>2198.4312460000006</v>
      </c>
      <c r="AC67" s="3">
        <f>2829.3+(1057.1-975.3)+(-1.442943+(-0.539121--0.497403))+0-764.5--0.389894999999922</f>
        <v>2145.5052340000002</v>
      </c>
      <c r="AD67" s="2">
        <v>2257.2000000000003</v>
      </c>
      <c r="AE67" s="3">
        <f>2789+(706.4-489.1)+(0+(0-0))+0-749.1-0</f>
        <v>2257.2000000000003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2838.6+(1078.4-1250.3)+(-5.790744+(-2.199936--2.550612))+0-658.2--1.34272799999997</f>
        <v>2004.40266</v>
      </c>
      <c r="G68" s="3">
        <f>2815.4+(1018.5-1127.1)+(-7.17927+(-2.597175--2.874105))+0-811.9--2.07034499999988</f>
        <v>1890.0680049999999</v>
      </c>
      <c r="H68" s="3">
        <f>2694.5+(1068.5-1246.5)+(-5.49678+(-2.17974--2.54286))+0-673--1.37291999999997</f>
        <v>1839.7392600000001</v>
      </c>
      <c r="I68" s="3">
        <f>2669.9+(1059.2-1196.2)+(-2.723298+(-1.080384--1.220124))+0-710.2--0.724404000000113</f>
        <v>1820.8408460000003</v>
      </c>
      <c r="J68" s="3">
        <f>2511.3+(1020.8-1161.5)+(-2.561526+(-1.041216--1.18473))+0-549.7--0.560694000000088</f>
        <v>1819.0426820000002</v>
      </c>
      <c r="K68" s="3">
        <f>2455.2+(1078.7-956.1)+(-6.26076+(-2.750685--2.438055))+0-724.7--1.84798499999989</f>
        <v>1848.3745949999995</v>
      </c>
      <c r="L68" s="3">
        <f>2390.6+(948.4-913.9)+(-1.219206+(-0.483684--0.466089))+0-557.6--0.284375999999943</f>
        <v>1866.5475749999998</v>
      </c>
      <c r="M68" s="3">
        <f>2500.6+(845.8-672.9)+(2.550612+(0.862716-0.686358))+0-615.5-0.627810000000098</f>
        <v>2060.0991600000002</v>
      </c>
      <c r="N68" s="3">
        <f>2697+(577.6-519)+(1.37547+(0.294576-0.26469))+0-452.1-0.230570999999954</f>
        <v>2304.6747850000002</v>
      </c>
      <c r="O68" s="3">
        <f>3015+(448.6-389.9)+(1.53765+(0.228786-0.198849))+0-596.1-0.30401099999994</f>
        <v>2478.8635760000002</v>
      </c>
      <c r="P68" s="3">
        <f>3124.9+(363.4-499.1)+(-4.781097+(-0.556002--0.763623))+0-396.2--0.606186000000023</f>
        <v>2589.03271</v>
      </c>
      <c r="Q68" s="3">
        <f>3299.4+(419.9-565.4)+(-1.682694+(-0.214149--0.288354))+0-516.2--0.263261999999948</f>
        <v>2636.3547729999996</v>
      </c>
      <c r="R68" s="3">
        <f>3523.8+(573.7-866.9)+(3.594276+(0.585174-0.884238))+0-575-0.586500000000092</f>
        <v>2658.3087120000005</v>
      </c>
      <c r="S68" s="3">
        <f>3435.5+(350.3-955.7)+(-3.50421+(-0.357306--0.974814))+0-403.2--0.411264000000064</f>
        <v>2424.4245620000002</v>
      </c>
      <c r="T68" s="3">
        <f>3462.7+(466.1-1013.4)+(-1.765977+(-0.237711--0.516834))+0-434.5--0.221594999999956</f>
        <v>2479.6347409999994</v>
      </c>
      <c r="U68" s="3">
        <f>3497+(419.4-1067.3)+(-8.91735+(-1.06947--2.721615))+0-328.9--0.838694999999952</f>
        <v>2513.7734899999996</v>
      </c>
      <c r="V68" s="3">
        <f>3278+(373-698.4)+(-1.67178+(-0.19023--0.356184))+0-409.5--0.208844999999958</f>
        <v>2541.8030189999999</v>
      </c>
      <c r="W68" s="3">
        <f>2976.9+(302.7-455.7)+(-6.072876+(-0.617508--0.929628))+0-289--0.589559999999987</f>
        <v>2529.7288039999999</v>
      </c>
      <c r="X68" s="3">
        <f>2985.2+(698.7-851.5)+(-7.61226+(-1.781685--2.171325))+0-391.9--0.999344999999943</f>
        <v>2434.2767249999993</v>
      </c>
      <c r="Y68" s="3">
        <f>2919.2+(504.4-703.5)+(1.488792+(0.257244-0.358785))+0-332.6-0.169625999999966</f>
        <v>2388.7176250000002</v>
      </c>
      <c r="Z68" s="3">
        <f>3234.4+(564.2-640)+(-1.649544+(-0.287742--0.3264))+0-596.1--0.30401099999994</f>
        <v>2561.1931250000002</v>
      </c>
      <c r="AA68" s="3">
        <f>3484.4+(592.6-929.1)+(-5.331132+(-0.906678--1.421523))+0-632.5--0.967725000000037</f>
        <v>2511.551438</v>
      </c>
      <c r="AB68" s="3">
        <f>3301.1+(683.1-1046.6)+(-10.101366+(-2.090286--3.202596))+0-496.5--1.51929000000006</f>
        <v>2433.6302340000002</v>
      </c>
      <c r="AC68" s="3">
        <f>3207.9+(923.3-1259.5)+(-8.180145+(-2.354415--3.211725))+0-537.5--1.37062499999992</f>
        <v>2328.2477899999999</v>
      </c>
      <c r="AD68" s="2">
        <v>2472.9</v>
      </c>
      <c r="AE68" s="3">
        <f>3470+(589.8-875.3)+(0+(0-0))+0-711.6-0</f>
        <v>2472.9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3002+(1041.1-1285.4)+(0+(0-0))+0-696.1-0</f>
        <v>2061.6</v>
      </c>
      <c r="G69" s="3">
        <f>2992.1+(909.6-1376.8)+(-4.577913+(-1.391688--2.106504))+0-543.5--0.831555000000031</f>
        <v>1978.3684580000001</v>
      </c>
      <c r="H69" s="3">
        <f>2817.7+(996.7-1214.9)+(-5.748108+(-2.033268--2.478396))+0-650--1.32599999999997</f>
        <v>1945.5230200000001</v>
      </c>
      <c r="I69" s="3">
        <f>2675.5+(973.9-1164.7)+(-5.45802+(-1.986756--2.375988))+0-538.8--1.09915199999998</f>
        <v>1941.9303639999998</v>
      </c>
      <c r="J69" s="3">
        <f>2596.1+(1015.7-1157.8)+(-1.324011+(-0.518007--0.590478))+0-536.3--0.273512999999946</f>
        <v>1916.7219729999997</v>
      </c>
      <c r="K69" s="3">
        <f>2431.9+(1002.6-1122.9)+(-4.961076+(-2.045304--2.290716))+0-387.9--0.791315999999983</f>
        <v>1919.775652</v>
      </c>
      <c r="L69" s="3">
        <f>2381.1+(930.2-985.4)+(-6.071805+(-2.37201--2.51277))+0-415.7--1.06003499999994</f>
        <v>1905.3289900000002</v>
      </c>
      <c r="M69" s="3">
        <f>2506.5+(841.7-760.9)+(1.278315+(0.429267-0.388059))+0-486.4-0.248063999999951</f>
        <v>2101.9714590000003</v>
      </c>
      <c r="N69" s="3">
        <f>2821.2+(637.6-572.9)+(0+(0-0))+0-550-0</f>
        <v>2335.8999999999996</v>
      </c>
      <c r="O69" s="3">
        <f>2927.7+(565.4-496.4)+(-1.493127+(-0.288354--0.253164))+0-472.2--0.240821999999952</f>
        <v>2523.212505</v>
      </c>
      <c r="P69" s="3">
        <f>2931.6+(428-225.9)+(1.495116+(0.21828-0.115209))+0-507.9-0.259028999999948</f>
        <v>2627.139158</v>
      </c>
      <c r="Q69" s="3">
        <f>3193.6+(334.1-302.8)+(-3.257472+(-0.340782--0.308856))+0-523.7--0.534174000000084</f>
        <v>2698.4447759999998</v>
      </c>
      <c r="R69" s="3">
        <f>3503+(614.4-858.7)+(1.78653+(0.313344-0.437937))+0-562.5-0.286874999999943</f>
        <v>2697.5750619999999</v>
      </c>
      <c r="S69" s="3">
        <f>3362+(655.2-1125.8)+(-1.71462+(-0.334152--0.574158))+0-439.4--0.224093999999955</f>
        <v>2450.7494799999999</v>
      </c>
      <c r="T69" s="3">
        <f>3304.3+(814.8-1237.9)+(0+(0-0))+0-448.7-0</f>
        <v>2432.5</v>
      </c>
      <c r="U69" s="3">
        <f>3411+(922.6-1270)+(-1.73961+(-0.470526--0.6477))+0-537.5--0.274124999999946</f>
        <v>2524.8116889999997</v>
      </c>
      <c r="V69" s="3">
        <f>3239.1+(691.4-974.4)+(-6.607764+(-1.410456--1.987776))+0-387.5--0.790499999999983</f>
        <v>2563.360056</v>
      </c>
      <c r="W69" s="3">
        <f>2932.8+(588.3-489.7)+(-8.974368+(-1.800198--1.498482))+0-503.9--1.54193400000006</f>
        <v>2519.7658499999998</v>
      </c>
      <c r="X69" s="3">
        <f>2875.8+(565.8-563.6)+(-5.866632+(-1.154232--1.149744))+0-431.7--0.880667999999981</f>
        <v>2441.3095480000002</v>
      </c>
      <c r="Y69" s="3">
        <f>2783.3+(635.1-583.1)+(4.258449+(0.971703-0.892143))+0-420.8-0.643824000000024</f>
        <v>2418.1941849999998</v>
      </c>
      <c r="Z69" s="3">
        <f>3001.4+(353.2-469.1)+(0+(0-0))+0-333.5-0</f>
        <v>2552</v>
      </c>
      <c r="AA69" s="3">
        <f>3229.6+(276-553.6)+(-6.588384+(-0.56304--1.129344))+0-449.5--0.91697999999998</f>
        <v>2497.3948999999998</v>
      </c>
      <c r="AB69" s="3">
        <f>3211.8+(399.6-643.9)+(-4.914054+(-0.611388--0.985167))+0-540.8--0.827424000000031</f>
        <v>2422.9871490000005</v>
      </c>
      <c r="AC69" s="3">
        <f>3104.4+(606.5-819.4)+(-1.583244+(-0.309315--0.417894))+0-569.5--0.290444999999942</f>
        <v>2320.8157799999999</v>
      </c>
      <c r="AD69" s="2">
        <v>2477.3000000000002</v>
      </c>
      <c r="AE69" s="3">
        <f>3226+(409.1-527.5)+(0+(0-0))+0-630.3-0</f>
        <v>2477.3000000000002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3053.9+(779.9-1094)+(-4.672467+(-1.193247--1.67382))+0-586.5--0.897345000000034</f>
        <v>2150.005451</v>
      </c>
      <c r="G70" s="3">
        <f>2971.6+(1002.8-1300.6)+(0+(0-0))+0-607.7-0</f>
        <v>2066.1000000000004</v>
      </c>
      <c r="H70" s="3">
        <f>2856+(1085.1-1359.3)+(0+(0-0))+0-578-0</f>
        <v>2003.8000000000002</v>
      </c>
      <c r="I70" s="3">
        <f>2573.3+(1114.3-1157.1)+(2.624766+(1.136586-1.180242))+0-548-0.558960000000087</f>
        <v>1984.52215</v>
      </c>
      <c r="J70" s="3">
        <f>2317.7+(1164.2-903.1)+(-1.182027+(-0.593742--0.460581))+0-629.8--0.321197999999936</f>
        <v>1948.0060099999996</v>
      </c>
      <c r="K70" s="3">
        <f>2524.4+(1062.7-1049.4)+(-6.43722+(-2.709885--2.67597))+0-604.9--1.54249499999991</f>
        <v>1927.8713599999999</v>
      </c>
      <c r="L70" s="3">
        <f>2500.5+(948.5-902.2)+(-2.55051+(-0.96747--0.920244))+0-637--0.649740000000102</f>
        <v>1907.8520040000001</v>
      </c>
      <c r="M70" s="3">
        <f>2597.5+(780.3-792.6)+(2.64945+(0.795906-0.808452))+0-492-0.501840000000078</f>
        <v>2095.3350639999999</v>
      </c>
      <c r="N70" s="3">
        <f>2902.7+(718.9-720.7)+(4.441131+(1.099917-1.102671))+0-550.7-0.842571000000032</f>
        <v>2353.7958059999992</v>
      </c>
      <c r="O70" s="3">
        <f>2928.9+(592.4-480.1)+(2.987478+(0.604248-0.489702))+0-494-0.503880000000079</f>
        <v>2549.7981439999994</v>
      </c>
      <c r="P70" s="3">
        <f>2996.7+(401.2-139.6)+(4.584951+(0.613836-0.213588))+0-630.3-0.964359000000036</f>
        <v>2632.0208399999997</v>
      </c>
      <c r="Q70" s="3">
        <f>3156.7+(297.7-225.9)+(0+(0-0))+0-515-0</f>
        <v>2713.5</v>
      </c>
      <c r="R70" s="3">
        <f>3208.3+(370.3-414.6)+(-1.636233+(-0.188853--0.211446))+0-481.7--0.245666999999951</f>
        <v>2680.9320270000003</v>
      </c>
      <c r="S70" s="3">
        <f>3232.9+(401.6-684.5)+(-4.946337+(-0.614448--1.047285))+0-512.6--0.78427800000003</f>
        <v>2433.6707780000002</v>
      </c>
      <c r="T70" s="3">
        <f>3425.9+(625.9-941.3)+(5.241627+(0.957627-1.440189))+0-610-0.933300000000035</f>
        <v>2504.325765</v>
      </c>
      <c r="U70" s="3">
        <f>3490.1+(566.7-969.4)+(-3.559902+(-0.578034--0.988788))+0-545.2--0.556104000000087</f>
        <v>2539.6069560000005</v>
      </c>
      <c r="V70" s="3">
        <f>3495+(458.1-828.3)+(-8.91225+(-1.168155--2.112165))+0-584.4--1.49021999999992</f>
        <v>2533.9219800000001</v>
      </c>
      <c r="W70" s="3">
        <f>3427.6+(348.5-649.7)+(-5.244228+(-0.533205--0.994041))+0-629.2--0.962676000000036</f>
        <v>2493.3792839999996</v>
      </c>
      <c r="X70" s="3">
        <f>2984.5+(351.8-331.4)+(-7.610475+(-0.89709--0.84507))+0-559.7--1.42723499999992</f>
        <v>2438.9647400000003</v>
      </c>
      <c r="Y70" s="3">
        <f>2810.1+(477.3-322.3)+(-2.866302+(-0.486846--0.328746))+0-583.3--0.594966000000093</f>
        <v>2379.3705640000003</v>
      </c>
      <c r="Z70" s="3">
        <f>2914.3+(501.6-308.9)+(-2.972586+(-0.511632--0.315078))+0-567.3--0.57864600000009</f>
        <v>2537.1095059999998</v>
      </c>
      <c r="AA70" s="3">
        <f>3139.3+(416.4-403.3)+(-4.803129+(-0.637092--0.617049))+0-632.3--0.967419000000036</f>
        <v>2516.2442470000001</v>
      </c>
      <c r="AB70" s="3">
        <f>3134.8+(468.8-676.4)+(-7.99374+(-1.19544--1.72482))+0-507.4--1.29386999999993</f>
        <v>2413.6295100000002</v>
      </c>
      <c r="AC70" s="3">
        <f>3267.9+(620.4-968.5)+(-4.999887+(-0.949212--1.481805))+0-608.4--0.930852000000035</f>
        <v>2307.863558</v>
      </c>
      <c r="AD70" s="2">
        <v>2518.6</v>
      </c>
      <c r="AE70" s="3">
        <f>3143+(429-405.5)+(0+(0-0))+0-647.9-0</f>
        <v>2518.6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3142.2+(909.9-1269)+(-4.807566+(-1.392147--1.94157))+0-636.1--0.973233000000037</f>
        <v>2143.7150900000001</v>
      </c>
      <c r="G71" s="3">
        <f>3181.8+(885.7-1264.8)+(-1.622718+(-0.451707--0.645048))+0-764.8--0.390047999999922</f>
        <v>2036.8606710000004</v>
      </c>
      <c r="H71" s="3">
        <f>3102.1+(771.9-1289.3)+(-3.164142+(-0.787338--1.315086))+0-610.2--0.622404000000097</f>
        <v>1972.4860099999999</v>
      </c>
      <c r="I71" s="3">
        <f>3079.6+(821.1-1243.7)+(-4.711788+(-1.256283--1.902861))+0-714.1--1.09257300000004</f>
        <v>1939.927363</v>
      </c>
      <c r="J71" s="3">
        <f>2985.3+(802.5-1200)+(-6.090012+(-1.6371--2.448))+0-641.3--1.30825199999997</f>
        <v>1942.5291400000001</v>
      </c>
      <c r="K71" s="3">
        <f>2915.8+(783.6-1088.3)+(-4.461174+(-1.198908--1.665099))+0-679--1.03887000000004</f>
        <v>1929.1438870000004</v>
      </c>
      <c r="L71" s="3">
        <f>2618.2+(878.8-870.4)+(-5.341128+(-1.792752--1.775616))+0-678.5--1.38413999999997</f>
        <v>1944.1258759999998</v>
      </c>
      <c r="M71" s="3">
        <f>2555.2+(789.9-639.8)+(0+(0-0))+0-577.3-0</f>
        <v>2128</v>
      </c>
      <c r="N71" s="3">
        <f>2696.4+(818.9-422.7)+(2.750328+(0.835278-0.431154))+0-682-0.695640000000109</f>
        <v>2413.0588120000002</v>
      </c>
      <c r="O71" s="3">
        <f>2830.7+(641.9-304.7)+(5.774628+(1.309476-0.621588))+0-610-1.24439999999997</f>
        <v>2563.1181159999996</v>
      </c>
      <c r="P71" s="3">
        <f>3064.3+(389.6-133.3)+(-3.125586+(-0.397392--0.135966))+0-671.7--0.685134000000107</f>
        <v>2646.1981220000007</v>
      </c>
      <c r="Q71" s="3">
        <f>3212.7+(817-627.5)+(0+(0-0))+0-685.2-0</f>
        <v>2717</v>
      </c>
      <c r="R71" s="3">
        <f>3383.2+(860.2-869.5)+(-5.176296+(-1.316106--1.330335))+0-655.9--1.00352700000004</f>
        <v>2713.8414599999992</v>
      </c>
      <c r="S71" s="3">
        <f>3330.5+(701.8-808.7)+(3.39711+(0.715836-0.824874))+0-770-0.785400000000123</f>
        <v>2456.1026719999995</v>
      </c>
      <c r="T71" s="3">
        <f>3369+(726.4-948.5)+(3.43638+(0.740928-0.96747))+0-617.8-0.630156000000098</f>
        <v>2531.679682</v>
      </c>
      <c r="U71" s="3">
        <f>3370.6+(829.6-901.6)+(0+(0-0))+0-716.4-0</f>
        <v>2582.1999999999998</v>
      </c>
      <c r="V71" s="3">
        <f>3259.8+(582.3-754.2)+(-3.324996+(-0.593946--0.769284))+0-496.9--0.506838000000079</f>
        <v>2588.3571800000004</v>
      </c>
      <c r="W71" s="3">
        <f>3041.1+(601.7-356.9)+(-6.203844+(-1.227468--0.728076))+0-719.6--1.46798399999997</f>
        <v>2561.0647480000002</v>
      </c>
      <c r="X71" s="3">
        <f>3011.9+(734.1-762.5)+(-9.216414+(-2.246346--2.33325))+0-481.7--1.47400200000006</f>
        <v>2494.1444919999999</v>
      </c>
      <c r="Y71" s="3">
        <f>2907.5+(688.4-662.7)+(2.96565+(0.702168-0.675954))+0-504.3-0.51438600000008</f>
        <v>2431.3774779999994</v>
      </c>
      <c r="Z71" s="3">
        <f>3143.5+(525-528.5)+(-1.603185+(-0.26775--0.269535))+0-548.7--0.279836999999944</f>
        <v>2589.9784369999998</v>
      </c>
      <c r="AA71" s="3">
        <f>3279.3+(435.2-527.5)+(-3.344886+(-0.443904--0.53805))+0-614.4--0.626688000000098</f>
        <v>2569.9759480000002</v>
      </c>
      <c r="AB71" s="3">
        <f>3285.8+(576.5-865.9)+(-6.703032+(-1.17606--1.766436))+0-520.8--1.06243199999998</f>
        <v>2470.5497760000003</v>
      </c>
      <c r="AC71" s="3">
        <f>3283.1+(731.1-949.4)+(-5.023143+(-1.118583--1.452582))+0-672.6--1.02907800000004</f>
        <v>2388.5399340000004</v>
      </c>
      <c r="AD71" s="2">
        <v>2550</v>
      </c>
      <c r="AE71" s="3">
        <f>3265+(460.4-535)+(0+(0-0))+0-640.4-0</f>
        <v>2550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3199.2+(691.7-1051.8)+(-6.526368+(-1.411068--2.145672))+0-630.5--1.28621999999997</f>
        <v>2204.0944559999998</v>
      </c>
      <c r="G72" s="3">
        <f>3203.1+(674.2-1064.9)+(-6.534324+(-1.375368--2.172396))+0-733.6--1.49654399999997</f>
        <v>2074.559248</v>
      </c>
      <c r="H72" s="3">
        <f>3128.7+(682.4-1146.3)+(-4.786911+(-1.044072--1.753839))+0-656.8--1.00490400000004</f>
        <v>2004.92776</v>
      </c>
      <c r="I72" s="3">
        <f>3106.1+(727.7-1088.5)+(-9.504666+(-2.226762--3.33081))+0-769.4--2.35436400000009</f>
        <v>1969.853746</v>
      </c>
      <c r="J72" s="3">
        <f>2992.8+(830.6-1153.7)+(-6.105312+(-1.694424--2.353548))+0-684.3--1.39597199999997</f>
        <v>1981.3497840000005</v>
      </c>
      <c r="K72" s="3">
        <f>2847.7+(910.7-1100.1)+(-7.261635+(-2.322285--2.805255))+0-686.1--1.7495549999999</f>
        <v>1967.1708900000003</v>
      </c>
      <c r="L72" s="3">
        <f>2611.6+(912.3-916.4)+(-5.327664+(-1.861092--1.869456))+0-634.9--1.29519599999997</f>
        <v>1968.5758959999998</v>
      </c>
      <c r="M72" s="3">
        <f>2565.4+(813.6-724.5)+(7.850124+(2.489616-2.21697))+0-488.2-1.49389200000006</f>
        <v>2172.9288780000002</v>
      </c>
      <c r="N72" s="3">
        <f>2871+(757-629.4)+(0+(0-0))+0-575.4-0</f>
        <v>2423.1999999999998</v>
      </c>
      <c r="O72" s="3">
        <f>3173.6+(652.4-654.4)+(3.237072+(0.665448-0.667488))+0-579.1-0.590682000000092</f>
        <v>2595.14435</v>
      </c>
      <c r="P72" s="3">
        <f>3415.6+(298.6-448)+(-3.483912+(-0.304572--0.45696))+0-572.9--0.584358000000091</f>
        <v>2690.5528339999996</v>
      </c>
      <c r="Q72" s="3">
        <f>3453.1+(217.4-353.7)+(0+(0-0))+0-583.7-0</f>
        <v>2733.0999999999995</v>
      </c>
      <c r="R72" s="3">
        <f>3544.2+(412.6-745.1)+(-1.807542+(-0.210426--0.380001))+0-472.9--0.241178999999952</f>
        <v>2737.4032119999997</v>
      </c>
      <c r="S72" s="3">
        <f>3526.3+(313.5-915.7)+(-3.596826+(-0.31977--0.934014))+0-451.3--0.460326000000072</f>
        <v>2470.277744</v>
      </c>
      <c r="T72" s="3">
        <f>3507.6+(392.7-845.6)+(0+(0-0))+0-515.3-0</f>
        <v>2539.3999999999996</v>
      </c>
      <c r="U72" s="3">
        <f>3496.9+(490.7-872.8)+(-3.566838+(-0.500514--0.890256))+0-515.1--0.525402000000082</f>
        <v>2597.0483060000006</v>
      </c>
      <c r="V72" s="3">
        <f>3488.1+(374.2-794.3)+(-5.336793+(-0.572526--1.215279))+0-467.7--0.715581000000027</f>
        <v>2596.3215410000003</v>
      </c>
      <c r="W72" s="3">
        <f>3474.8+(211.1-629.6)+(-10.632888+(-0.645966--1.926576))+0-474--1.45044000000005</f>
        <v>2574.3981620000004</v>
      </c>
      <c r="X72" s="3">
        <f>3279.2+(512.4-737.3)+(-1.672392+(-0.261324--0.376023))+0-537.2--0.273971999999946</f>
        <v>2515.8162789999997</v>
      </c>
      <c r="Y72" s="3">
        <f>3157.4+(532.8-714.7)+(-3.220548+(-0.543456--0.728994))+0-532.5--0.543150000000085</f>
        <v>2440.5081399999999</v>
      </c>
      <c r="Z72" s="3">
        <f>3377.4+(308-541.2)+(1.722474+(0.15708-0.276012))+0-525.6-0.268055999999947</f>
        <v>2619.9354859999999</v>
      </c>
      <c r="AA72" s="3">
        <f>3666.4+(241.8-712.3)+(-3.739728+(-0.246636--0.726546))+0-595.3--0.607206000000095</f>
        <v>2597.947388</v>
      </c>
      <c r="AB72" s="3">
        <f>3660.3+(408.6-966.6)+(-3.733506+(-0.416772--0.985932))+0-593.3--0.605166000000095</f>
        <v>2506.4408200000007</v>
      </c>
      <c r="AC72" s="3">
        <f>3526.6+(818.5-1363.7)+(1.798566+(0.417435-0.695487))+0-592.2-0.30202199999994</f>
        <v>2390.4184919999998</v>
      </c>
      <c r="AD72" s="2">
        <v>2558.6000000000004</v>
      </c>
      <c r="AE72" s="3">
        <f>3656+(280.9-676.1)+(0+(0-0))+0-702.2-0</f>
        <v>2558.6000000000004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3551.5+(960.1-1554)+(-7.24506+(-1.958604--3.17016))+0-720.4--1.46961599999997</f>
        <v>2232.6361119999997</v>
      </c>
      <c r="G73" s="3">
        <f>3564.5+(832.7-1629.6)+(0+(0-0))+0-668.5-0</f>
        <v>2099.1000000000004</v>
      </c>
      <c r="H73" s="3">
        <f>3376.9+(815.5-1479.3)+(-1.722219+(-0.415905--0.754443))+0-675.6--0.344555999999931</f>
        <v>2036.4608750000007</v>
      </c>
      <c r="I73" s="3">
        <f>3244+(755.3-1312.7)+(4.96332+(1.155609-2.008431))+0-680.3-1.04085900000004</f>
        <v>2009.369639</v>
      </c>
      <c r="J73" s="3">
        <f>3252.1+(695.5-1325.3)+(-4.975713+(-1.064115--2.027709))+0-631.1--0.965583000000037</f>
        <v>1988.1534640000002</v>
      </c>
      <c r="K73" s="3">
        <f>3169.5+(747-1299.8)+(-8.082225+(-1.90485--3.31449))+0-637.7--1.62613499999991</f>
        <v>1973.95355</v>
      </c>
      <c r="L73" s="3">
        <f>2692+(954.2-1039)+(-2.74584+(-0.973284--1.05978))+0-629.4--0.6419880000001</f>
        <v>1975.7826439999997</v>
      </c>
      <c r="M73" s="3">
        <f>2851+(795.8-905.6)+(-1.45401+(-0.405858--0.461856))+0-578.9--0.295238999999941</f>
        <v>2161.1972269999997</v>
      </c>
      <c r="N73" s="3">
        <f>3080.1+(664.3-789.6)+(7.854255+(1.693965-2.01348))+0-548.6-1.39892999999992</f>
        <v>2412.33581</v>
      </c>
      <c r="O73" s="3">
        <f>3331.9+(447.7-642.8)+(8.496345+(1.141635-1.63914))+0-561.5-1.43182499999992</f>
        <v>2581.8670150000003</v>
      </c>
      <c r="P73" s="3">
        <f>3504.7+(152.5-503.5)+(7.149588+(0.3111-1.02714))+0-473.6-0.966143999999979</f>
        <v>2685.5674039999999</v>
      </c>
      <c r="Q73" s="3">
        <f>3695.9+(634.1-931.3)+(3.769818+(0.646782-0.949926))+0-652.8-0.665856000000104</f>
        <v>2748.7008179999998</v>
      </c>
      <c r="R73" s="3">
        <f>3610+(673.1-942.2)+(1.8411+(0.343281-0.480522))+0-616.9-0.314618999999937</f>
        <v>2725.3892400000004</v>
      </c>
      <c r="S73" s="3">
        <f>3712.1+(548.3-1200.7)+(-3.786342+(-0.559266--1.224714))+0-618.4--0.630768000000099</f>
        <v>2438.8098739999996</v>
      </c>
      <c r="T73" s="3">
        <f>3675.7+(597-1161.1)+(-1.874607+(-0.30447--0.592161))+0-625.1--0.318800999999937</f>
        <v>2485.2318849999997</v>
      </c>
      <c r="U73" s="3">
        <f>3678.2+(540.3-1156.9)+(-3.751764+(-0.551106--1.180038))+0-569.5--0.580890000000091</f>
        <v>2489.5580579999996</v>
      </c>
      <c r="V73" s="3">
        <f>3594+(481.4-933.4)+(1.83294+(0.245514-0.476034))+0-683.4-0.348533999999931</f>
        <v>2459.8538860000003</v>
      </c>
      <c r="W73" s="3">
        <f>3381.8+(280.2-651.1)+(-3.449436+(-0.285804--0.664122))+0-569.2--0.580584000000091</f>
        <v>2439.2094660000002</v>
      </c>
      <c r="X73" s="3">
        <f>3154.4+(672.2-690.5)+(-3.217488+(-0.685644--0.70431))+0-750.2--0.76520400000012</f>
        <v>2383.4663820000005</v>
      </c>
      <c r="Y73" s="3">
        <f>3013.2+(610.7-779.1)+(-3.073464+(-0.622914--0.794682))+0-517.8--0.528156000000083</f>
        <v>2324.6264600000004</v>
      </c>
      <c r="Z73" s="3">
        <f>3106.4+(706.7-640.3)+(-4.752792+(-1.081251--0.979659))+0-674.6--1.03213800000004</f>
        <v>2494.3777540000001</v>
      </c>
      <c r="AA73" s="3">
        <f>3218.3+(528.2-755)+(-6.565332+(-1.077528--1.5402))+0-493.8--1.00735199999998</f>
        <v>2492.6046919999999</v>
      </c>
      <c r="AB73" s="3">
        <f>3273.5+(769.9-953.2)+(-5.008455+(-1.177947--1.458396))+0-666.9--1.02035700000004</f>
        <v>2419.5923509999998</v>
      </c>
      <c r="AC73" s="3">
        <f>3244.5+(954.9-1236.3)+(-6.61878+(-1.947996--2.522052))+0-609.3--1.24297199999997</f>
        <v>2348.9982479999999</v>
      </c>
      <c r="AD73" s="2">
        <v>2440.7000000000003</v>
      </c>
      <c r="AE73" s="3">
        <f>3254+(544.9-742.8)+(0+(0-0))+0-615.4-0</f>
        <v>2440.6999999999998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3137.3+(996.2-1203.2)+(-4.800069+(-1.524186--1.840896))+0-669.1--1.02372300000004</f>
        <v>2257.7403640000007</v>
      </c>
      <c r="G74" s="3">
        <f>3133+(984.6-1416.3)+(-1.59783+(-0.502146--0.722313))+0-634--0.323339999999936</f>
        <v>2066.2456769999999</v>
      </c>
      <c r="H74" s="3">
        <f>3132.5+(930.2-1415.6)+(-3.19515+(-0.948804--1.443912))+0-637.4--0.650148000000102</f>
        <v>2007.6501060000005</v>
      </c>
      <c r="I74" s="3">
        <f>3152.4+(749.4-1281.4)+(-1.607724+(-0.382194--0.653514))+0-656.7--0.334916999999933</f>
        <v>1962.6985129999998</v>
      </c>
      <c r="J74" s="3">
        <f>3155.7+(681.7-1178.8)+(-11.265849+(-2.433669--4.208316))+0-734.9--2.62359300000001</f>
        <v>1916.8323909999997</v>
      </c>
      <c r="K74" s="3">
        <f>3125.7+(666.3-1219.2)+(-15.94107+(-3.39813--6.21792))+0-688.8--3.51288000000005</f>
        <v>1874.3915999999999</v>
      </c>
      <c r="L74" s="3">
        <f>2758.8+(768.9-1074)+(-2.813976+(-0.784278--1.09548))+0-676.9--0.690438000000108</f>
        <v>1774.9876640000002</v>
      </c>
      <c r="M74" s="3">
        <f>2786.1+(641-976.4)+(4.262733+(0.98073-1.493892))+0-636.2-0.973386000000037</f>
        <v>1817.2761849999995</v>
      </c>
      <c r="N74" s="3">
        <f>2866.6+(550.3-881.4)+(5.847864+(1.122612-1.798056))+0-598.2-1.22032799999997</f>
        <v>1941.2520919999999</v>
      </c>
      <c r="O74" s="3">
        <f>2990.2+(593.4-935.4)+(-1.525002+(-0.302634--0.477054))+0-615.4--0.313853999999938</f>
        <v>2031.7632719999997</v>
      </c>
      <c r="P74" s="3">
        <f>3020.2+(497.9-820.8)+(0+(0-0))+0-579.1-0</f>
        <v>2118.1999999999998</v>
      </c>
      <c r="Q74" s="3">
        <f>3047+(433.7-720.6)+(0+(0-0))+0-588-0</f>
        <v>2172.1</v>
      </c>
      <c r="R74" s="3">
        <f>3122.9+(511.7-801.2)+(4.778037+(0.782901-1.225836))+0-652.5-0.998325000000038</f>
        <v>2184.2367770000001</v>
      </c>
      <c r="S74" s="3">
        <f>3188.5+(451.7-889.9)+(-3.25227+(-0.460734--0.907698))+0-612.9--0.625158000000098</f>
        <v>2135.2198520000002</v>
      </c>
      <c r="T74" s="3">
        <f>3216.6+(596.1-1054.1)+(-3.280932+(-0.608022--1.075182))+0-655.2--0.668304000000104</f>
        <v>2101.2545320000004</v>
      </c>
      <c r="U74" s="3">
        <f>3070.7+(551.8-1061.6)+(0+(0-0))+0-474.6-0</f>
        <v>2086.2999999999997</v>
      </c>
      <c r="V74" s="3">
        <f>3061.4+(554.7-881.6)+(-1.561314+(-0.282897--0.449616))+0-637.4--0.325073999999935</f>
        <v>2096.0304789999996</v>
      </c>
      <c r="W74" s="3">
        <f>3111.9+(518.2-901.4)+(-3.174138+(-0.528564--0.919428))+0-625.6--0.6381120000001</f>
        <v>2100.9548380000006</v>
      </c>
      <c r="X74" s="3">
        <f>2857.6+(664.3-821.2)+(-7.28688+(-1.693965--2.09406))+0-631.3--1.60981499999991</f>
        <v>2064.1230299999997</v>
      </c>
      <c r="Y74" s="3">
        <f>2609.7+(638-705.8)+(-2.661894+(-0.65076--0.719916))+0-519.2--0.529584000000083</f>
        <v>2020.6368459999999</v>
      </c>
      <c r="Z74" s="3">
        <f>2741.7+(597-616.8)+(-1.398267+(-0.30447--0.314568))+0-505.1--0.257600999999949</f>
        <v>2215.6694319999997</v>
      </c>
      <c r="AA74" s="3">
        <f>3132.3+(409.5-584.4)+(-6.389892+(-0.83538--1.192176))+0-670.4--1.36761599999997</f>
        <v>2282.3345199999999</v>
      </c>
      <c r="AB74" s="3">
        <f>3235.1+(385.7-782.5)+(-1.649901+(-0.196707--0.399075))+0-581.3--0.296462999999941</f>
        <v>2255.8489299999997</v>
      </c>
      <c r="AC74" s="3">
        <f>3239.9+(637.3-1055.2)+(-8.261745+(-1.625115--2.69076))+0-633.2--1.61465999999991</f>
        <v>2183.2185599999998</v>
      </c>
      <c r="AD74" s="2">
        <v>2300.2000000000003</v>
      </c>
      <c r="AE74" s="3">
        <f>3156+(540-562.7)+(0+(0-0))+0-833.1-0</f>
        <v>2300.2000000000003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3141.2+(661.7-1071.5)+(1.602012+(0.337467-0.546465))+0-639.8-0.326297999999935</f>
        <v>2092.6667159999997</v>
      </c>
      <c r="G75" s="3">
        <f>2928.3+(835.4-1104.5)+(0+(0-0))+0-666-0</f>
        <v>1993.2000000000003</v>
      </c>
      <c r="H75" s="3">
        <f>2971.3+(883.1-1229.6)+(6.061452+(1.801524-2.508384))+0-705.5-1.43921999999997</f>
        <v>1923.2153720000003</v>
      </c>
      <c r="I75" s="3">
        <f>2992.4+(790.8-1196.2)+(-9.156744+(-2.419848--3.660372))+0-697.2--2.13343200000008</f>
        <v>1884.017212</v>
      </c>
      <c r="J75" s="3">
        <f>3000.7+(538.7-1049.9)+(-1.530357+(-0.274737--0.535449))+0-639.7--0.326246999999935</f>
        <v>1848.8566020000001</v>
      </c>
      <c r="K75" s="3">
        <f>2911.8+(547.1-1024.1)+(-8.910108+(-1.674126--3.133746))+0-575.1--1.75980600000007</f>
        <v>1854.0093180000003</v>
      </c>
      <c r="L75" s="3">
        <f>2487.6+(844.5-810.3)+(-6.34338+(-2.153475--2.066265))+0-673.1--1.7164049999999</f>
        <v>1843.9858150000002</v>
      </c>
      <c r="M75" s="3">
        <f>2417.3+(836.7-728.1)+(0+(0-0))+0-504.1-0</f>
        <v>2021.8000000000002</v>
      </c>
      <c r="N75" s="3">
        <f>2704.6+(738.8-585.3)+(0+(0-0))+0-621.9-0</f>
        <v>2236.1999999999998</v>
      </c>
      <c r="O75" s="3">
        <f>3008.7+(508-490.9)+(0+(0-0))+0-593-0</f>
        <v>2432.7999999999997</v>
      </c>
      <c r="P75" s="3">
        <f>3138.4+(415.6-351.8)+(-1.600584+(-0.211956--0.179418))+0-660.8--0.337007999999933</f>
        <v>2540.1038860000003</v>
      </c>
      <c r="Q75" s="3">
        <f>3231.1+(528.1-461.3)+(-1.647861+(-0.269331--0.235263))+0-639.1--0.325940999999935</f>
        <v>2657.4440120000004</v>
      </c>
      <c r="R75" s="3">
        <f>3424.2+(782.8-829.9)+(-1.746342+(-0.399228--0.423249))+0-696.4--0.355163999999929</f>
        <v>2679.3328429999997</v>
      </c>
      <c r="S75" s="3">
        <f>3276.6+(714.1-926.4)+(-1.671066+(-0.364191--0.472464))+0-638.6--0.325685999999935</f>
        <v>2424.4628930000003</v>
      </c>
      <c r="T75" s="3">
        <f>3311+(700.6-943.9)+(-3.37722+(-0.714612--0.962778))+0-571.3--0.582726000000091</f>
        <v>2493.8536719999997</v>
      </c>
      <c r="U75" s="3">
        <f>3442.7+(744-1146.2)+(-3.511554+(-0.75888--1.169124))+0-515.8--0.526116000000082</f>
        <v>2522.1248059999998</v>
      </c>
      <c r="V75" s="3">
        <f>3386.7+(859.8-1003.4)+(-5.181651+(-1.315494--1.535202))+0-705.3--1.07910900000004</f>
        <v>2533.9171660000002</v>
      </c>
      <c r="W75" s="3">
        <f>3069.2+(452.1-492.9)+(-4.695876+(-0.691713--0.754137))+0-505.5--0.773415000000029</f>
        <v>2519.0399629999997</v>
      </c>
      <c r="X75" s="3">
        <f>2946.8+(705.2-631.7)+(-7.51434+(-1.79826--1.610835))+0-557.8--1.42238999999992</f>
        <v>2456.2206249999999</v>
      </c>
      <c r="Y75" s="3">
        <f>2661.7+(857.9-582.7)+(-5.429868+(-1.750116--1.188708))+0-564.7--1.15198799999998</f>
        <v>2367.3607119999992</v>
      </c>
      <c r="Z75" s="3">
        <f>2723.7+(840.1-610.6)+(-2.778174+(-0.856902--0.622812))+0-442.4--0.451248000000071</f>
        <v>2508.2389839999996</v>
      </c>
      <c r="AA75" s="3">
        <f>3124.7+(683.5-760.9)+(-7.967985+(-1.742925--1.940295))+0-506.2--1.29080999999993</f>
        <v>2534.620195</v>
      </c>
      <c r="AB75" s="3">
        <f>3114.3+(738.1-796)+(-6.353172+(-1.505724--1.62384))+0-589.8--1.20319199999997</f>
        <v>2461.5681359999999</v>
      </c>
      <c r="AC75" s="3">
        <f>3051.1+(810.3-954.3)+(-1.556061+(-0.413253--0.486693))+0-537.3--0.274022999999945</f>
        <v>2368.591402</v>
      </c>
      <c r="AD75" s="2">
        <v>2521.5</v>
      </c>
      <c r="AE75" s="3">
        <f>3271+(680.5-852.6)+(0+(0-0))+0-577.4-0</f>
        <v>2521.5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3044.8+(860-1131.3)+(0+(0-0))+0-555.3-0</f>
        <v>2218.1999999999998</v>
      </c>
      <c r="G76" s="3">
        <f>2912.9+(979.7-1130.7)+(-2.971158+(-0.999294--1.153314))+0-668.4--0.681768000000107</f>
        <v>2091.36463</v>
      </c>
      <c r="H76" s="3">
        <f>2658.9+(1041.2-1024.9)+(1.356039+(0.531012-0.522699))+0-663.1-0.338180999999933</f>
        <v>2013.1261710000001</v>
      </c>
      <c r="I76" s="3">
        <f>2532.4+(957.1-936.7)+(2.583048+(0.976242-0.955434))+0-597.5-0.609450000000095</f>
        <v>1957.2944060000002</v>
      </c>
      <c r="J76" s="3">
        <f>2532.3+(1006.5-851.4)+(-2.582946+(-1.02663--0.868428))+0-741.7--0.756534000000118</f>
        <v>1943.7153860000001</v>
      </c>
      <c r="K76" s="3">
        <f>2529.8+(962.3-850.6)+(-2.580396+(-0.981546--0.867612))+0-741.7--0.756534000000118</f>
        <v>1897.8622040000002</v>
      </c>
      <c r="L76" s="3">
        <f>2350.6+(994.7-817.4)+(-7.192836+(-3.043782--2.501244))+0-685.5--2.09763000000008</f>
        <v>1836.7622560000002</v>
      </c>
      <c r="M76" s="3">
        <f>2275+(930.2-691.1)+(4.641+(1.897608-1.409844))+0-592.4-1.20849599999997</f>
        <v>1925.6202679999999</v>
      </c>
      <c r="N76" s="3">
        <f>2324.6+(837.6-406.2)+(0+(0-0))+0-651.8-0</f>
        <v>2104.1999999999998</v>
      </c>
      <c r="O76" s="3">
        <f>2374.7+(867.6-326.3)+(-1.211097+(-0.442476--0.166413))+0-659.9--0.336548999999933</f>
        <v>2254.9493889999999</v>
      </c>
      <c r="P76" s="3">
        <f>2485.2+(901.7-289.5)+(0+(0-0))+0-755.1-0</f>
        <v>2342.2999999999997</v>
      </c>
      <c r="Q76" s="3">
        <f>2672.6+(628.3-296)+(0+(0-0))+0-606.2-0</f>
        <v>2398.6999999999998</v>
      </c>
      <c r="R76" s="3">
        <f>2694.7+(710.7-318)+(0+(0-0))+0-645-0</f>
        <v>2442.3999999999996</v>
      </c>
      <c r="S76" s="3">
        <f>2884.2+(768.8-726.1)+(-5.883768+(-1.568352--1.481244))+0-630.5--1.28621999999997</f>
        <v>2291.7153439999997</v>
      </c>
      <c r="T76" s="3">
        <f>3170.4+(955.9-1158.1)+(1.616904+(0.487509-0.590631))+0-603.3-0.307682999999939</f>
        <v>2366.1060990000005</v>
      </c>
      <c r="U76" s="3">
        <f>3309.8+(937.7-1279)+(-1.687998+(-0.478227--0.65229))+0-579.4--0.295493999999941</f>
        <v>2387.8815589999999</v>
      </c>
      <c r="V76" s="3">
        <f>3110.4+(958.8-1008)+(3.172608+(0.977976-1.02816))+0-690-0.70380000000011</f>
        <v>2373.6186239999997</v>
      </c>
      <c r="W76" s="3">
        <f>2748.5+(660-487.8)+(-4.205205+(-1.0098--0.746334))+0-556.4--0.851292000000032</f>
        <v>2360.6826209999995</v>
      </c>
      <c r="X76" s="3">
        <f>2643.9+(681.6-377.5)+(-2.696778+(-0.695232--0.38505))+0-657.9--0.671058000000105</f>
        <v>2287.7640979999996</v>
      </c>
      <c r="Y76" s="3">
        <f>2653.4+(653.6-486.2)+(-2.706468+(-0.666672--0.495924))+0-596.7--0.608634000000095</f>
        <v>2221.8314180000007</v>
      </c>
      <c r="Z76" s="3">
        <f>2785.5+(702.2-402.1)+(0+(0-0))+0-705-0</f>
        <v>2380.6</v>
      </c>
      <c r="AA76" s="3">
        <f>2972+(642.4-540.5)+(-4.54716+(-0.982872--0.826965))+0-688.2--1.05294600000004</f>
        <v>2382.0498790000006</v>
      </c>
      <c r="AB76" s="3">
        <f>2937.9+(764.1-653.6)+(-2.996658+(-0.779382--0.666672))+0-717.3--0.731646000000114</f>
        <v>2328.7222780000002</v>
      </c>
      <c r="AC76" s="3">
        <f>3044.9+(725.6-751.9)+(3.105798+(0.740112-0.766938))+0-722.1-0.736542000000115</f>
        <v>2298.8424300000001</v>
      </c>
      <c r="AD76" s="2">
        <v>2375.5000000000005</v>
      </c>
      <c r="AE76" s="3">
        <f>3070+(776.3-598.7)+(0+(0-0))+0-872.1-0</f>
        <v>2375.5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3154.9+(743-1040.9)+(-3.217998+(-0.75786--1.061718))+0-674.2--0.687684000000108</f>
        <v>2180.5735440000003</v>
      </c>
      <c r="G77" s="3">
        <f>2926.7+(1010.2-1029.9)+(2.985234+(1.030404-1.050498))+0-833.2-0.849864000000133</f>
        <v>2075.9152759999993</v>
      </c>
      <c r="H77" s="3">
        <f>2711.9+(975.6-1004.8)+(-1.383069+(-0.497556--0.512448))+0-694.6--0.35424599999993</f>
        <v>1987.0860690000004</v>
      </c>
      <c r="I77" s="3">
        <f>2560.4+(974.9-818.1)+(0+(0-0))+0-772.1-0</f>
        <v>1945.1</v>
      </c>
      <c r="J77" s="3">
        <f>2558.2+(1009.3-860.3)+(-3.914046+(-1.544229--1.316259))+0-776.9--1.18865700000004</f>
        <v>1927.3466410000001</v>
      </c>
      <c r="K77" s="3">
        <f>2460+(1036.3-834.5)+(-2.5092+(-1.057026--0.85119))+0-773.1--0.788562000000123</f>
        <v>1886.7735260000004</v>
      </c>
      <c r="L77" s="3">
        <f>2292.6+(1015.4-745.1)+(-5.84613+(-2.58927--1.900005))+0-735.8--1.87628999999989</f>
        <v>1822.4408949999997</v>
      </c>
      <c r="M77" s="3">
        <f>2285+(916.6-597.7)+(3.49605+(1.402398-0.914481))+0-685.5-1.04881500000004</f>
        <v>1921.3351520000001</v>
      </c>
      <c r="N77" s="3">
        <f>2278.4+(868.1-552.3)+(1.161984+(0.442731-0.281673))+0-543.3-0.277082999999945</f>
        <v>2051.9459590000006</v>
      </c>
      <c r="O77" s="3">
        <f>2276.4+(1020.4-384.1)+(2.321928+(1.040808-0.391782))+0-743.5-0.758370000000119</f>
        <v>2171.4125839999997</v>
      </c>
      <c r="P77" s="3">
        <f>2469.1+(875.3-482.3)+(0+(0-0))+0-571.4-0</f>
        <v>2290.6999999999998</v>
      </c>
      <c r="Q77" s="3">
        <f>2694.8+(673.1-440.3)+(-4.123044+(-1.029843--0.673659))+0-577.9--0.884187000000033</f>
        <v>2346.1049590000002</v>
      </c>
      <c r="R77" s="3">
        <f>2718.8+(662.4-442.1)+(1.386588+(0.337824-0.225471))+0-561.1-0.286160999999943</f>
        <v>2379.2127800000003</v>
      </c>
      <c r="S77" s="3">
        <f>2810.6+(816.8-725.1)+(-7.16703+(-2.08284--1.849005))+0-667.6--1.7023799999999</f>
        <v>2229.0015149999995</v>
      </c>
      <c r="T77" s="3">
        <f>2880.6+(838.4-869.5)+(-7.34553+(-2.13792--2.217225))+0-586.6--1.49582999999991</f>
        <v>2257.1296050000001</v>
      </c>
      <c r="U77" s="3">
        <f>2930.4+(943.8-950.2)+(0+(0-0))+0-622.2-0</f>
        <v>2301.8000000000002</v>
      </c>
      <c r="V77" s="3">
        <f>2929.5+(905.5-851.1)+(-4.482135+(-1.385415--1.302183))+0-682--1.04346000000004</f>
        <v>2298.3780929999998</v>
      </c>
      <c r="W77" s="3">
        <f>2855.3+(745.5-605.4)+(-7.281015+(-1.901025--1.54377))+0-724.4--1.84721999999989</f>
        <v>2265.2089500000002</v>
      </c>
      <c r="X77" s="3">
        <f>2643.7+(599.7-376.4)+(-6.741435+(-1.529235--0.95982))+0-659.9--1.6827449999999</f>
        <v>2201.4718950000001</v>
      </c>
      <c r="Y77" s="3">
        <f>2353+(752.7-239.9)+(-3.60009+(-1.151631--0.367047))+0-720.8--1.10282400000004</f>
        <v>2141.7181500000002</v>
      </c>
      <c r="Z77" s="3">
        <f>2595.5+(822.2-457.8)+(2.64741+(0.838644-0.466956))+0-630.4-0.643008000000101</f>
        <v>2331.8760900000002</v>
      </c>
      <c r="AA77" s="3">
        <f>3002.4+(574.9-525.4)+(-1.531224+(-0.293199--0.267954))+0-663.3--0.338282999999933</f>
        <v>2387.3818140000003</v>
      </c>
      <c r="AB77" s="3">
        <f>3009.5+(608.1-610.9)+(-4.604535+(-0.930393--0.934677))+0-668.5--1.02280500000004</f>
        <v>2334.622554</v>
      </c>
      <c r="AC77" s="3">
        <f>2905+(733.4-761.2)+(-2.9631+(-0.748068--0.776424))+0-616.3--0.628626000000098</f>
        <v>2258.5938819999997</v>
      </c>
      <c r="AD77" s="2">
        <v>2361.1000000000004</v>
      </c>
      <c r="AE77" s="3">
        <f>2989+(626.4-554.5)+(0+(0-0))+0-699.8-0</f>
        <v>2361.1000000000004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2754.3+(882.3-667.6)+(0+(0-0))+0-822.6-0</f>
        <v>2146.4</v>
      </c>
      <c r="G78" s="3">
        <f>2766.2+(906.8-897)+(-5.643048+(-1.849872--1.82988))+0-765.4--1.56141599999997</f>
        <v>2006.498376</v>
      </c>
      <c r="H78" s="3">
        <f>2773.9+(734.1-1173.2)+(-7.073445+(-1.871955--2.99166))+0-406.8--1.03733999999994</f>
        <v>1923.0836000000002</v>
      </c>
      <c r="I78" s="3">
        <f>2729.4+(793.1-1254.1)+(-2.783988+(-0.808962--1.279182))+0-361.5--0.368730000000058</f>
        <v>1904.9549620000003</v>
      </c>
      <c r="J78" s="3">
        <f>2698.9+(1023.6-1018.9)+(-1.376439+(-0.522036--0.519639))+0-799.9--0.407948999999919</f>
        <v>1902.7291130000003</v>
      </c>
      <c r="K78" s="3">
        <f>2579.9+(1104.5-1006.6)+(-1.315749+(-0.563295--0.513366))+0-799--0.407489999999919</f>
        <v>1877.8418119999999</v>
      </c>
      <c r="L78" s="3">
        <f>2454.9+(1018.4-834.8)+(0+(0-0))+0-759.6-0</f>
        <v>1878.9</v>
      </c>
      <c r="M78" s="3">
        <f>2444.2+(1054.9-747.9)+(3.739626+(1.613997-1.144287))+0-675-1.03275000000004</f>
        <v>2079.3765859999999</v>
      </c>
      <c r="N78" s="3">
        <f>2527.2+(1077.1-560.4)+(-3.866616+(-1.647963--0.857412))+0-675.4--1.03336200000004</f>
        <v>2364.8761949999998</v>
      </c>
      <c r="O78" s="3">
        <f>2674.9+(924.7-476.5)+(0+(0-0))+0-585.8-0</f>
        <v>2537.3000000000002</v>
      </c>
      <c r="P78" s="3">
        <f>2998+(569.7-424.1)+(0+(0-0))+0-512.6-0</f>
        <v>2631</v>
      </c>
      <c r="Q78" s="3">
        <f>3380.6+(313.1-464.5)+(0+(0-0))+0-485.1-0</f>
        <v>2744.1</v>
      </c>
      <c r="R78" s="3">
        <f>3496.8+(447.3-687.9)+(3.566736+(0.456246-0.701658))+0-532.2-0.542844000000085</f>
        <v>2726.7784800000004</v>
      </c>
      <c r="S78" s="3">
        <f>3576.9+(437.4-882.8)+(-1.824219+(-0.223074--0.450228))+0-640.4--0.326603999999935</f>
        <v>2489.8295389999998</v>
      </c>
      <c r="T78" s="3">
        <f>3509.9+(562.2-871.5)+(-1.790049+(-0.286722--0.444465))+0-619.8--0.316097999999937</f>
        <v>2579.4837920000004</v>
      </c>
      <c r="U78" s="3">
        <f>3484.6+(582.3-874.1)+(0+(0-0))+0-558.8-0</f>
        <v>2634</v>
      </c>
      <c r="V78" s="3">
        <f>3475.3+(754.9-783.4)+(-7.089612+(-1.539996--1.598136))+0-809.7--1.65178799999996</f>
        <v>2631.7203159999999</v>
      </c>
      <c r="W78" s="3">
        <f>3147.7+(451.9-371.6)+(-9.631962+(-1.382814--1.137096))+0-595.2--1.82131200000007</f>
        <v>2624.7436319999997</v>
      </c>
      <c r="X78" s="3">
        <f>3249+(742.5-699)+(-14.91291+(-3.408075--3.20841))+0-640.3--2.93897700000011</f>
        <v>2640.026402</v>
      </c>
      <c r="Y78" s="3">
        <f>3039.9+(576.1-742.7)+(-7.751745+(-1.469055--1.893885))+0-428.4--1.09241999999994</f>
        <v>2438.6655049999999</v>
      </c>
      <c r="Z78" s="3">
        <f>3080.5+(431.2-574.6)+(-4.713165+(-0.659736--0.879138))+0-443.6--0.678708000000026</f>
        <v>2489.684945</v>
      </c>
      <c r="AA78" s="3">
        <f>3190.1+(325-365.6)+(-1.626951+(-0.16575--0.186456))+0-638.2--0.325481999999935</f>
        <v>2510.019237</v>
      </c>
      <c r="AB78" s="3">
        <f>3211+(393.3-560.7)+(-8.18805+(-1.002915--1.429785))+0-625.2--1.59425999999991</f>
        <v>2412.23308</v>
      </c>
      <c r="AC78" s="3">
        <f>3215.1+(615.4-862.1)+(-6.558804+(-1.255416--1.758684))+0-666--1.35863999999997</f>
        <v>2297.7031039999997</v>
      </c>
      <c r="AD78" s="2">
        <v>2646.7</v>
      </c>
      <c r="AE78" s="3">
        <f>3289+(438.4-320.4)+(0+(0-0))+0-760.3-0</f>
        <v>2646.7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3168.7+(576.3-812.4)+(-1.616037+(-0.293913--0.414324))+0-782.3--0.398972999999921</f>
        <v>2149.2033470000001</v>
      </c>
      <c r="G79" s="3">
        <f>2952.9+(987.4-1041.6)+(0+(0-0))+0-774.6-0</f>
        <v>2124.1000000000004</v>
      </c>
      <c r="H79" s="3">
        <f>2717.7+(1099.1-1092.8)+(-1.386027+(-0.560541--0.557328))+0-662.7--0.337976999999933</f>
        <v>2060.2487369999999</v>
      </c>
      <c r="I79" s="3">
        <f>2498.3+(1141.3-1040.6)+(-3.822399+(-1.746189--1.592118))+0-578.9--0.885717000000033</f>
        <v>2017.009247</v>
      </c>
      <c r="J79" s="3">
        <f>2510.5+(1226.6-924.9)+(-3.841065+(-1.876698--1.415097))+0-800.5--1.22476500000005</f>
        <v>2008.6220989999999</v>
      </c>
      <c r="K79" s="3">
        <f>2516.9+(1131.9-996.3)+(-6.418095+(-2.886345--2.540565))+0-678.3--1.7296649999999</f>
        <v>1969.1657899999998</v>
      </c>
      <c r="L79" s="3">
        <f>2513.2+(1018.9-958.2)+(-3.845196+(-1.558917--1.466046))+0-626.9--0.959157000000036</f>
        <v>1944.0210899999995</v>
      </c>
      <c r="M79" s="3">
        <f>2527.3+(869-910.2)+(3.866769+(1.32957-1.392606))+0-349.4-0.53458200000002</f>
        <v>2139.9691510000002</v>
      </c>
      <c r="N79" s="3">
        <f>2687.3+(1036-738.5)+(6.852615+(2.6418-1.883175))+0-567.8-1.44788999999992</f>
        <v>2423.1633500000003</v>
      </c>
      <c r="O79" s="3">
        <f>2938.7+(856.6-744)+(2.997474+(0.873732-0.75888))+0-492.2-0.502044000000078</f>
        <v>2561.7102819999996</v>
      </c>
      <c r="P79" s="3">
        <f>3146.7+(614.5-586.5)+(-4.814451+(-0.940185--0.897345))+0-524.3--0.80217900000003</f>
        <v>2646.3448880000005</v>
      </c>
      <c r="Q79" s="3">
        <f>3189+(431.3-228.5)+(4.87917+(0.659889-0.349605))+0-613.3-0.938349000000035</f>
        <v>2782.7511050000003</v>
      </c>
      <c r="R79" s="3">
        <f>3462.9+(423.3-616.4)+(0+(0-0))+0-473-0</f>
        <v>2796.8</v>
      </c>
      <c r="S79" s="3">
        <f>3475.1+(349.7-811.5)+(-1.772301+(-0.178347--0.413865))+0-478.9--0.244238999999951</f>
        <v>2533.1074559999997</v>
      </c>
      <c r="T79" s="3">
        <f>3456.9+(503.1-831.5)+(-1.763019+(-0.256581--0.424065))+0-495.8--0.25285799999995</f>
        <v>2631.3573229999997</v>
      </c>
      <c r="U79" s="3">
        <f>3482.4+(627.6-875.6)+(1.776024+(0.320076-0.446556))+0-545.6-0.278255999999945</f>
        <v>2690.171288</v>
      </c>
      <c r="V79" s="3">
        <f>3558.8+(631.6-1009.5)+(-3.629976+(-0.644232--1.02969))+0-531.5--0.542130000000085</f>
        <v>2646.6976120000004</v>
      </c>
      <c r="W79" s="3">
        <f>3598.9+(463.8-843.7)+(-7.341756+(-0.946152--1.721148))+0-569.8--1.16239199999998</f>
        <v>2643.7956320000003</v>
      </c>
      <c r="X79" s="3">
        <f>3625.1+(587.1-1084.8)+(-3.697602+(-0.598842--1.106496))+0-513.1--0.523362000000082</f>
        <v>2611.6334139999999</v>
      </c>
      <c r="Y79" s="3">
        <f>2968.2+(843.3-723)+(-6.055128+(-1.720332--1.47492))+0-609.3--1.24297199999997</f>
        <v>2474.1424319999996</v>
      </c>
      <c r="Z79" s="3">
        <f>3307.4+(587.4-746.4)+(-1.686774+(-0.299574--0.380664))+0-530.2--0.270401999999946</f>
        <v>2616.8647179999998</v>
      </c>
      <c r="AA79" s="3">
        <f>3688.8+(303.9-824.5)+(-5.643864+(-0.464967--1.261485))+0-550.3--0.841959000000032</f>
        <v>2613.8946129999999</v>
      </c>
      <c r="AB79" s="3">
        <f>3601.7+(556.6-936)+(0+(0-0))+0-666.5-0</f>
        <v>2555.7999999999997</v>
      </c>
      <c r="AC79" s="3">
        <f>3405.8+(873.5-1198.4)+(-5.210874+(-1.336455--1.833552))+0-641.9--0.982107000000037</f>
        <v>2435.2683299999999</v>
      </c>
      <c r="AD79" s="2">
        <v>2673.1000000000004</v>
      </c>
      <c r="AE79" s="3">
        <f>3673+(464.6-749.5)+(0+(0-0))+0-715-0</f>
        <v>2673.1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3213.4+(1011.2-1136.3)+(-3.277668+(-1.031424--1.159026))+0-811.3--0.827526000000129</f>
        <v>2274.6774599999999</v>
      </c>
      <c r="G80" s="3">
        <f>3151+(858-1204.6)+(-3.21402+(-0.87516--1.228692))+0-657.1--0.670242000000105</f>
        <v>2145.1097540000005</v>
      </c>
      <c r="H80" s="3">
        <f>3144.1+(908.9-1213.6)+(0+(0-0))+0-781.7-0</f>
        <v>2057.6999999999998</v>
      </c>
      <c r="I80" s="3">
        <f>3133.1+(801-1350.6)+(-1.597881+(-0.40851--0.688806))+0-583.7--0.297686999999941</f>
        <v>1998.7801020000002</v>
      </c>
      <c r="J80" s="3">
        <f>3071.1+(746.9-1258.1)+(-4.698783+(-1.142757--1.924893))+0-563.3--0.861849000000033</f>
        <v>1993.5452020000002</v>
      </c>
      <c r="K80" s="3">
        <f>2875.5+(870.1-1174.2)+(-2.93301+(-0.887502--1.197684))+0-604--0.616080000000096</f>
        <v>1965.3932520000001</v>
      </c>
      <c r="L80" s="3">
        <f>2663.9+(945.9-1006.3)+(-5.434356+(-1.929636--2.052852))+0-670.3--1.36741199999997</f>
        <v>1929.2562720000003</v>
      </c>
      <c r="M80" s="3">
        <f>2731.9+(806.9-837.7)+(4.179807+(1.234557-1.281681))+0-600.7-0.919071000000035</f>
        <v>2103.6136119999992</v>
      </c>
      <c r="N80" s="3">
        <f>3075.5+(670.7-831.4)+(4.705515+(1.026171-1.272042))+0-544.8-0.833544000000031</f>
        <v>2373.6261000000004</v>
      </c>
      <c r="O80" s="3">
        <f>3242.4+(514.9-544.2)+(0+(0-0))+0-647.5-0</f>
        <v>2565.6</v>
      </c>
      <c r="P80" s="3">
        <f>3277.1+(287.3-279.8)+(1.671321+(0.146523-0.142698))+0-605.2-0.308651999999939</f>
        <v>2680.766494</v>
      </c>
      <c r="Q80" s="3">
        <f>3342+(517.6-447.2)+(0+(0-0))+0-672.5-0</f>
        <v>2739.9</v>
      </c>
      <c r="R80" s="3">
        <f>3693.3+(695.7-1104.1)+(0+(0-0))+0-553.2-0</f>
        <v>2731.7000000000007</v>
      </c>
      <c r="S80" s="3">
        <f>3692.9+(610.7-1131.5)+(-5.650137+(-0.934371--1.731195))+0-647.1--0.990063000000037</f>
        <v>2521.1367500000006</v>
      </c>
      <c r="T80" s="3">
        <f>3673.5+(617.9-1147)+(-3.74697+(-0.630258--1.16994))+0-594.9--0.606798000000095</f>
        <v>2546.8995100000002</v>
      </c>
      <c r="U80" s="3">
        <f>3529.7+(479.8-906.2)+(-7.200588+(-0.978792--1.848648))+0-540.9--1.10343599999998</f>
        <v>2557.1727039999996</v>
      </c>
      <c r="V80" s="3">
        <f>3527.5+(310.5-848.8)+(1.799025+(0.158355-0.432888))+0-462.6-0.235925999999953</f>
        <v>2527.8885660000001</v>
      </c>
      <c r="W80" s="3">
        <f>3461.3+(287.5-688.3)+(0+(0-0))+0-559.7-0</f>
        <v>2500.8000000000002</v>
      </c>
      <c r="X80" s="3">
        <f>3248.7+(697.2-864.7)+(-3.313674+(-0.711144--0.881994))+0-632--0.644640000000101</f>
        <v>2446.7018159999998</v>
      </c>
      <c r="Y80" s="3">
        <f>3199.2+(520.2-837)+(-1.631592+(-0.265302--0.42687))+0-518.3--0.264332999999947</f>
        <v>2362.8943089999993</v>
      </c>
      <c r="Z80" s="3">
        <f>3309+(543.9-732.3)+(3.37518+(0.554778-0.746946))+0-606-0.618120000000097</f>
        <v>2517.1648919999998</v>
      </c>
      <c r="AA80" s="3">
        <f>3660.4+(492.1-1000)+(-5.600412+(-0.752913--1.53))+0-607.8--0.929934000000035</f>
        <v>2540.8066090000007</v>
      </c>
      <c r="AB80" s="3">
        <f>3501.3+(690.4-1134.9)+(-3.571326+(-0.704208--1.157598))+0-587.3--0.599046000000094</f>
        <v>2466.9811100000006</v>
      </c>
      <c r="AC80" s="3">
        <f>3392+(854.4-1295.4)+(1.72992+(0.435744-0.660654))+0-558.4-0.284783999999943</f>
        <v>2393.8202259999998</v>
      </c>
      <c r="AD80" s="2">
        <v>2523.5</v>
      </c>
      <c r="AE80" s="3">
        <f>3707+(702-1109.1)+(0+(0-0))+0-776.4-0</f>
        <v>2523.5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3372.8+(887.6-1275)+(-1.720128+(-0.452676--0.65025))+0-713.9--0.364088999999928</f>
        <v>2270.341535</v>
      </c>
      <c r="G81" s="3">
        <f>3329.4+(869.1-1323.3)+(-1.697994+(-0.443241--0.674883))+0-718.7--0.366536999999927</f>
        <v>2155.4001850000004</v>
      </c>
      <c r="H81" s="3">
        <f>3307+(796.5-1394.1)+(0+(0-0))+0-660.1-0</f>
        <v>2049.3000000000002</v>
      </c>
      <c r="I81" s="3">
        <f>3278.1+(748.5-1355.1)+(0+(0-0))+0-679.7-0</f>
        <v>1991.8</v>
      </c>
      <c r="J81" s="3">
        <f>3216+(652-1308)+(-6.56064+(-1.33008--2.66832))+0-603.2--1.23052799999997</f>
        <v>1952.8081279999999</v>
      </c>
      <c r="K81" s="3">
        <f>3152.9+(784-1295.8)+(-8.039895+(-1.9992--3.30429))+0-743.2--1.89515999999989</f>
        <v>1893.0603550000001</v>
      </c>
      <c r="L81" s="3">
        <f>2844.2+(812.8-1179.9)+(-7.25271+(-2.07264--3.008745))+0-670.3--1.7092649999999</f>
        <v>1802.1926599999995</v>
      </c>
      <c r="M81" s="3">
        <f>2679.3+(788.3-961.3)+(2.732886+(0.804066-0.980526))+0-649.6-0.662592000000104</f>
        <v>1858.5938340000002</v>
      </c>
      <c r="N81" s="3">
        <f>2711.6+(577-824.7)+(-1.382916+(-0.29427--0.420597))+0-536--0.273359999999946</f>
        <v>1926.9167709999995</v>
      </c>
      <c r="O81" s="3">
        <f>3001.5+(544.9-928.7)+(-3.06153+(-0.555798--0.947274))+0-582.8--0.594456000000093</f>
        <v>2032.8244019999997</v>
      </c>
      <c r="P81" s="3">
        <f>3110+(371.2-695.2)+(0+(0-0))+0-615.9-0</f>
        <v>2170.1</v>
      </c>
      <c r="Q81" s="3">
        <f>3228.2+(221.5-635.1)+(1.646382+(0.112965-0.323901))+0-569.8-0.290597999999942</f>
        <v>2245.9448479999996</v>
      </c>
      <c r="R81" s="3">
        <f>3286.4+(115.2-791.2)+(3.352128+(0.117504-0.807024))+0-325.7-0.332214000000052</f>
        <v>2287.0303940000003</v>
      </c>
      <c r="S81" s="3">
        <f>3584+(146.3-836.4)+(-1.82784+(-0.074613--0.426564))+0-647.1--0.330020999999934</f>
        <v>2245.6541320000001</v>
      </c>
      <c r="T81" s="3">
        <f>3748.8+(168-1095.2)+(0+(0-0))+0-605.2-0</f>
        <v>2216.4000000000005</v>
      </c>
      <c r="U81" s="3">
        <f>3711.9+(123.3-1063.5)+(-3.786138+(-0.125766--1.08477))+0-568.2--0.579564000000091</f>
        <v>2201.25243</v>
      </c>
      <c r="V81" s="3">
        <f>3678.1+(189.2-1019.3)+(0+(0-0))+0-639.3-0</f>
        <v>2208.6999999999998</v>
      </c>
      <c r="W81" s="3">
        <f>3539.6+(314.8-1003.2)+(-3.610392+(-0.321096--1.023264))+0-649--0.661980000000103</f>
        <v>2199.9537560000003</v>
      </c>
      <c r="X81" s="3">
        <f>3258.3+(573.1-1048.6)+(-3.323466+(-0.584562--1.069572))+0-612.6--0.624852000000098</f>
        <v>2167.9863960000002</v>
      </c>
      <c r="Y81" s="3">
        <f>3085.4+(527.3-970.6)+(-3.147108+(-0.537846--0.990012))+0-551--0.562020000000088</f>
        <v>2088.9670780000001</v>
      </c>
      <c r="Z81" s="3">
        <f>3283+(340.4-710.6)+(3.34866+(0.347208-0.724812))+0-632.2-0.644844000000101</f>
        <v>2282.9262119999999</v>
      </c>
      <c r="AA81" s="3">
        <f>3652.7+(133.4-787.4)+(-1.862877+(-0.068034--0.401574))+0-618.5--0.315434999999937</f>
        <v>2378.9860979999999</v>
      </c>
      <c r="AB81" s="3">
        <f>3524.7+(184.1-770.9)+(3.595194+(0.187782-0.786318))+0-587.5-0.599250000000094</f>
        <v>2352.7974079999995</v>
      </c>
      <c r="AC81" s="3">
        <f>3500.6+(337.4-921.9)+(-3.570612+(-0.344148--0.940338))+0-626.2--0.6387240000001</f>
        <v>2287.5643020000002</v>
      </c>
      <c r="AD81" s="2">
        <v>2385.2000000000003</v>
      </c>
      <c r="AE81" s="3">
        <f>3652+(137.9-697.8)+(0+(0-0))+0-706.9-0</f>
        <v>2385.1999999999998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3411.9+(512.3-1052.7)+(-1.740069+(-0.261273--0.536877))+0-704.7--0.359396999999929</f>
        <v>2165.6949319999999</v>
      </c>
      <c r="G82" s="3">
        <f>3315.4+(706.9-1254.9)+(-8.45427+(-1.802595--3.199995))+0-682.8--1.7411399999999</f>
        <v>2079.2842700000001</v>
      </c>
      <c r="H82" s="3">
        <f>3118.8+(842.8-1298.2)+(-3.181176+(-0.859656--1.324164))+0-682.1--0.695742000000109</f>
        <v>1979.2790740000003</v>
      </c>
      <c r="I82" s="3">
        <f>3086.8+(927.5-1338.2)+(-3.148536+(-0.94605--1.364964))+0-738.3--0.753066000000118</f>
        <v>1935.8234440000008</v>
      </c>
      <c r="J82" s="3">
        <f>3101.7+(857.8-1371.7)+(-1.581867+(-0.437478--0.699567))+0-659.9--0.336548999999933</f>
        <v>1926.9167709999995</v>
      </c>
      <c r="K82" s="3">
        <f>3037.9+(845.6-1220.3)+(-7.746645+(-2.15628--3.111765))+0-739.1--1.88470499999989</f>
        <v>1919.1935450000001</v>
      </c>
      <c r="L82" s="3">
        <f>2723+(748.1-951.1)+(-2.77746+(-0.763062--0.970122))+0-587--0.598740000000094</f>
        <v>1931.0283400000001</v>
      </c>
      <c r="M82" s="3">
        <f>2850.2+(500.6-690.6)+(-7.26801+(-1.27653--1.76103))+0-528--1.34639999999992</f>
        <v>2126.7628899999995</v>
      </c>
      <c r="N82" s="3">
        <f>3026.5+(518.4-643.1)+(-1.543515+(-0.264384--0.327981))+0-492.8--0.25132799999995</f>
        <v>2407.7714099999998</v>
      </c>
      <c r="O82" s="3">
        <f>3218.1+(564.1-679.5)+(-1.641231+(-0.287691--0.346545))+0-520.7--0.265556999999947</f>
        <v>2580.6831799999995</v>
      </c>
      <c r="P82" s="3">
        <f>3181.4+(543.3-600.8)+(-3.245028+(-0.554166--0.612816))+0-390.8--0.398616000000062</f>
        <v>2730.312238</v>
      </c>
      <c r="Q82" s="3">
        <f>3292.5+(260.9-365.7)+(0+(0-0))+0-367.5-0</f>
        <v>2820.2</v>
      </c>
      <c r="R82" s="3">
        <f>3290.5+(302.2-368.3)+(-5.034465+(-0.462366--0.563499))+0-421.2--0.644436000000024</f>
        <v>2798.9111040000003</v>
      </c>
      <c r="S82" s="3">
        <f>3502.9+(380.7-647.3)+(-7.145916+(-0.776628--1.320492))+0-625.2--1.27540799999997</f>
        <v>2605.7733560000001</v>
      </c>
      <c r="T82" s="3">
        <f>3473.3+(423.7-669.3)+(3.542766+(0.432174-0.682686))+0-533.1-0.543762000000085</f>
        <v>2697.3484920000001</v>
      </c>
      <c r="U82" s="3">
        <f>3556.3+(553.4-673.1)+(-1.813713+(-0.282234--0.343281))+0-672--0.342719999999932</f>
        <v>2763.1900540000006</v>
      </c>
      <c r="V82" s="3">
        <f>3613.1+(313-760.6)+(-5.528043+(-0.47889--1.163718))+0-422.3--0.646119000000024</f>
        <v>2739.0029039999999</v>
      </c>
      <c r="W82" s="3">
        <f>3627.1+(365.8-661.2)+(0+(0-0))+0-626.6-0</f>
        <v>2705.1</v>
      </c>
      <c r="X82" s="3">
        <f>3343.6+(622-796.5)+(-3.410472+(-0.63444--0.81243))+0-539.9--0.550698000000086</f>
        <v>2626.5182159999999</v>
      </c>
      <c r="Y82" s="3">
        <f>3083.9+(730.4-670.3)+(0+(0-0))+0-623-0</f>
        <v>2521</v>
      </c>
      <c r="Z82" s="3">
        <f>3097.4+(478.9-319.5)+(1.579674+(0.244239-0.162945))+0-612.9-0.312578999999938</f>
        <v>2645.2483890000003</v>
      </c>
      <c r="AA82" s="3">
        <f>3399+(366.5-580.3)+(-6.93396+(-0.74766--1.183812))+0-508.3--1.03693199999998</f>
        <v>2671.4391239999995</v>
      </c>
      <c r="AB82" s="3">
        <f>3443.1+(313.9-658.3)+(-8.779905+(-0.800445--1.678665))+0-442.5--1.12837499999994</f>
        <v>2649.4266899999998</v>
      </c>
      <c r="AC82" s="3">
        <f>3320.1+(448.3-675.4)+(-5.079753+(-0.685899--1.033362))+0-576.4--0.881892000000033</f>
        <v>2512.7496019999999</v>
      </c>
      <c r="AD82" s="2">
        <v>2682.5</v>
      </c>
      <c r="AE82" s="3">
        <f>3455+(427.9-614.7)+(0+(0-0))+0-585.7-0</f>
        <v>2682.5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3346.1+(604.1-1089.5)+(-8.532555+(-1.540455--2.778225))+0-520.8--1.32803999999992</f>
        <v>2333.9332549999995</v>
      </c>
      <c r="G83" s="3">
        <f>3206.8+(837.7-1197.5)+(-3.270936+(-0.854454--1.22145))+0-641.1--0.653922000000102</f>
        <v>2203.6499819999999</v>
      </c>
      <c r="H83" s="3">
        <f>3076.7+(748.4-1089.2)+(1.569117+(0.381684-0.555492))+0-638-0.325379999999935</f>
        <v>2098.9699289999999</v>
      </c>
      <c r="I83" s="3">
        <f>3020.1+(799.2-1086.6)+(6.161004+(1.630368-2.216664))+0-659.6-1.34558399999997</f>
        <v>2077.3291239999999</v>
      </c>
      <c r="J83" s="3">
        <f>3024.5+(767.7-987.8)+(-4.627485+(-1.174581--1.511334))+0-752--1.15056000000004</f>
        <v>2049.2598280000002</v>
      </c>
      <c r="K83" s="3">
        <f>2947.1+(718-964.2)+(-7.515105+(-1.8309--2.45871))+0-662.9--1.6903949999999</f>
        <v>2032.8030999999994</v>
      </c>
      <c r="L83" s="3">
        <f>2743.2+(705.4-859.8)+(-2.798064+(-0.719508--0.876996))+0-564.1--0.57538200000009</f>
        <v>2022.634806</v>
      </c>
      <c r="M83" s="3">
        <f>2741.7+(742.9-665.9)+(0+(0-0))+0-606.7-0</f>
        <v>2212</v>
      </c>
      <c r="N83" s="3">
        <f>2823.7+(829.6-615.6)+(4.320261+(1.269288-0.941868))+0-565.7-0.865521000000033</f>
        <v>2475.7821599999993</v>
      </c>
      <c r="O83" s="3">
        <f>3136.4+(695.2-606)+(0+(0-0))+0-618.5-0</f>
        <v>2607.1000000000004</v>
      </c>
      <c r="P83" s="3">
        <f>3377.4+(450.1-539.4)+(1.722474+(0.229551-0.275094))+0-567.4-0.289373999999942</f>
        <v>2722.0875570000003</v>
      </c>
      <c r="Q83" s="3">
        <f>3403.5+(303.6-250.3)+(-3.47157+(-0.309672--0.255306))+0-608.7--0.620874000000097</f>
        <v>2845.1949380000005</v>
      </c>
      <c r="R83" s="3">
        <f>3486.4+(410.4-366.8)+(-1.778064+(-0.209304--0.187068))+0-676.9--0.345218999999931</f>
        <v>2851.6449189999998</v>
      </c>
      <c r="S83" s="3">
        <f>3657.9+(383.1-838.6)+(-5.596587+(-0.586143--1.283058))+0-564.6--0.863838000000033</f>
        <v>2633.7641660000004</v>
      </c>
      <c r="T83" s="3">
        <f>3882.6+(422.4-924.3)+(-5.940378+(-0.646272--1.414179))+0-653.5--0.999855000000038</f>
        <v>2723.027384</v>
      </c>
      <c r="U83" s="3">
        <f>3837.6+(361.1-893.7)+(-9.78588+(-0.920805--2.278935))+0-538.3--1.37266499999992</f>
        <v>2759.6449149999999</v>
      </c>
      <c r="V83" s="3">
        <f>3668.7+(164.8-705.6)+(-1.871037+(-0.084048--0.359856))+0-388--0.197879999999961</f>
        <v>2738.5026509999998</v>
      </c>
      <c r="W83" s="3">
        <f>3572.5+(212.8-588.4)+(-7.2879+(-0.434112--1.200336))+0-450.8--0.91963199999998</f>
        <v>2740.4979560000002</v>
      </c>
      <c r="X83" s="3">
        <f>3316.7+(396.6-692.6)+(-8.457585+(-1.01133--1.76613))+0-388--0.989399999999944</f>
        <v>2625.9866149999998</v>
      </c>
      <c r="Y83" s="3">
        <f>3162.5+(522.4-521.1)+(-4.838625+(-0.799272--0.797283))+0-628--0.960840000000036</f>
        <v>2531.9202260000002</v>
      </c>
      <c r="Z83" s="3">
        <f>3361.1+(293.2-430.7)+(0+(0-0))+0-582.7-0</f>
        <v>2640.8999999999996</v>
      </c>
      <c r="AA83" s="3">
        <f>3823.9+(281.1-783.6)+(-5.850567+(-0.430083--1.198908))+0-652.5--0.998325000000038</f>
        <v>2664.8165830000003</v>
      </c>
      <c r="AB83" s="3">
        <f>3704.2+(271.2-830.3)+(-11.334852+(-0.829872--2.540718))+0-560.5--1.71513000000006</f>
        <v>2576.6911239999999</v>
      </c>
      <c r="AC83" s="3">
        <f>3611.3+(370.9-779.1)+(0+(0-0))+0-698.2-0</f>
        <v>2504.9000000000005</v>
      </c>
      <c r="AD83" s="2">
        <v>2648.6</v>
      </c>
      <c r="AE83" s="3">
        <f>3840+(296.2-800.1)+(0+(0-0))+0-687.5-0</f>
        <v>2648.6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3554.7+(513.3-1061.5)+(-3.625794+(-0.523566--1.08273))+0-662--0.675240000000106</f>
        <v>2342.1086100000002</v>
      </c>
      <c r="G84" s="3">
        <f>3458.2+(751.1-1343.1)+(0+(0-0))+0-646.4-0</f>
        <v>2219.7999999999997</v>
      </c>
      <c r="H84" s="3">
        <f>3407+(795.4-1265.4)+(-1.73757+(-0.405654--0.645354))+0-793.3--0.404582999999919</f>
        <v>2142.6067129999997</v>
      </c>
      <c r="I84" s="3">
        <f>3350.1+(749.2-1315.4)+(-5.125653+(-1.146276--2.012562))+0-689.7--1.05524100000004</f>
        <v>2090.9958739999993</v>
      </c>
      <c r="J84" s="3">
        <f>3202.1+(712.2-1215.6)+(-8.165355+(-1.81611--3.09978))+0-634.5--1.61797499999991</f>
        <v>2058.9362900000001</v>
      </c>
      <c r="K84" s="3">
        <f>3099.8+(815.5-1105.2)+(-7.90449+(-2.079525--2.81826))+0-742.3--1.89286499999989</f>
        <v>2062.52711</v>
      </c>
      <c r="L84" s="3">
        <f>2639.4+(926-835.7)+(-2.692188+(-0.94452--0.852414))+0-696.3--0.710226000000111</f>
        <v>2031.325932</v>
      </c>
      <c r="M84" s="3">
        <f>2793.7+(813.8-736.5)+(4.274361+(1.245114-1.126845))+0-618.2-0.945846000000036</f>
        <v>2256.2467839999995</v>
      </c>
      <c r="N84" s="3">
        <f>2897.8+(738.7-534.3)+(-1.477878+(-0.376737--0.272493))+0-618--0.315179999999937</f>
        <v>2482.9330580000005</v>
      </c>
      <c r="O84" s="3">
        <f>3099.2+(763.7-598.2)+(-3.161184+(-0.778974--0.610164))+0-546.3--0.557226000000087</f>
        <v>2715.6272319999998</v>
      </c>
      <c r="P84" s="3">
        <f>3364.7+(677.6-591.1)+(-3.431994+(-0.691152--0.602922))+0-658.4--0.671568000000105</f>
        <v>2789.9513440000001</v>
      </c>
      <c r="Q84" s="3">
        <f>3445.7+(321.3-378.7)+(3.514614+(0.327726-0.386274))+0-440.9-0.44971800000007</f>
        <v>2950.406348</v>
      </c>
      <c r="R84" s="3">
        <f>3470.2+(342.5-556.1)+(0+(0-0))+0-384.4-0</f>
        <v>2872.2</v>
      </c>
      <c r="S84" s="3">
        <f>3577.8+(376.7-803.9)+(-1.824678+(-0.192117--0.409989))+0-502.4--0.256223999999949</f>
        <v>2646.8494180000002</v>
      </c>
      <c r="T84" s="3">
        <f>3792.2+(545.3-1037.3)+(1.934022+(0.278103-0.529023))+0-578.9-0.295238999999941</f>
        <v>2722.6878629999997</v>
      </c>
      <c r="U84" s="3">
        <f>3751.3+(670.7-964.4)+(3.826326+(0.684114-0.983688))+0-693.8-0.707676000000111</f>
        <v>2766.6190760000009</v>
      </c>
      <c r="V84" s="3">
        <f>3721.2+(590.2-964.2)+(-5.693436+(-0.903006--1.475226))+0-605.9--0.927027000000035</f>
        <v>2737.1058109999999</v>
      </c>
      <c r="W84" s="3">
        <f>3718.3+(365.7-804.2)+(-11.377998+(-1.119042--2.460852))+0-569.9--1.74389400000007</f>
        <v>2701.6077060000002</v>
      </c>
      <c r="X84" s="3">
        <f>3271.3+(642.2-714.3)+(-3.336726+(-0.655044--0.728586))+0-560.8--0.572016000000089</f>
        <v>2635.7088320000003</v>
      </c>
      <c r="Y84" s="3">
        <f>3212.5+(605.1-711.1)+(-9.83025+(-1.851606--2.175966))+0-555.6--1.70013600000006</f>
        <v>2543.0942460000001</v>
      </c>
      <c r="Z84" s="3">
        <f>3279+(489.4-559)+(3.34458+(0.499188-0.57018))+0-544.1-0.554982000000087</f>
        <v>2668.0186060000001</v>
      </c>
      <c r="AA84" s="3">
        <f>3756.1+(343.4-754.3)+(-5.746833+(-0.525402--1.154079))+0-678.3--1.03779900000004</f>
        <v>2662.8196430000003</v>
      </c>
      <c r="AB84" s="3">
        <f>3450+(507.3-813.3)+(-1.7595+(-0.258723--0.414783))+0-561.3--0.286262999999943</f>
        <v>2581.3828229999999</v>
      </c>
      <c r="AC84" s="3">
        <f>3363.9+(605.1-761.4)+(-5.146767+(-0.925803--1.164942))+0-719.6--1.10098800000004</f>
        <v>2484.1933600000007</v>
      </c>
      <c r="AD84" s="2">
        <v>2664.3999999999996</v>
      </c>
      <c r="AE84" s="3">
        <f>3744+(359.9-776.6)+(0+(0-0))+0-662.9-0</f>
        <v>2664.4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3359.5+(554.4-1000.8)+(-6.85338+(-1.130976--2.041632))+0-604.2--1.23256799999997</f>
        <v>2304.189844</v>
      </c>
      <c r="G85" s="3">
        <f>3375.3+(697.3-1145.7)+(-3.442806+(-0.711246--1.168614))+0-739.5--0.754290000000118</f>
        <v>2185.1688520000002</v>
      </c>
      <c r="H85" s="3">
        <f>3385.7+(699.7-1210.7)+(-1.726707+(-0.356847--0.617457))+0-768.1--0.391730999999922</f>
        <v>2105.5256339999996</v>
      </c>
      <c r="I85" s="3">
        <f>3308.3+(769.4-1341.2)+(-5.061699+(-1.177182--2.052036))+0-660.5--1.01056500000004</f>
        <v>2072.8237199999999</v>
      </c>
      <c r="J85" s="3">
        <f>3147.7+(935.8-1218.3)+(-4.815981+(-1.431774--1.863999))+0-794.2--1.21512600000005</f>
        <v>2067.8313699999999</v>
      </c>
      <c r="K85" s="3">
        <f>3032.8+(920.1-1230.9)+(-6.186912+(-1.877004--2.511036))+0-675.6--1.37822399999997</f>
        <v>2042.225344</v>
      </c>
      <c r="L85" s="3">
        <f>2863.3+(782-985.9)+(0+(0-0))+0-643.8-0</f>
        <v>2015.6000000000001</v>
      </c>
      <c r="M85" s="3">
        <f>2931.2+(638.5-829.3)+(-4.484736+(-0.976905--1.268829))+0-557.2--0.852516000000032</f>
        <v>2179.8597039999995</v>
      </c>
      <c r="N85" s="3">
        <f>3089+(527-738)+(0+(0-0))+0-475-0</f>
        <v>2403</v>
      </c>
      <c r="O85" s="3">
        <f>3253.7+(576.3-564.6)+(3.318774+(0.587826-0.575892))+0-631.1-0.643722000000101</f>
        <v>2636.9869859999994</v>
      </c>
      <c r="P85" s="3">
        <f>3337.2+(362.8-356.5)+(5.105916+(0.555084-0.545445))+0-593.3-0.907749000000034</f>
        <v>2754.4078060000002</v>
      </c>
      <c r="Q85" s="3">
        <f>3380.8+(359.8-428.5)+(3.448416+(0.366996-0.43707))+0-452.1-0.461142000000072</f>
        <v>2862.9172000000003</v>
      </c>
      <c r="R85" s="3">
        <f>3589.3+(653.5-796.7)+(7.322172+(1.33314-1.625268))+0-604-1.23215999999997</f>
        <v>2847.8978840000004</v>
      </c>
      <c r="S85" s="3">
        <f>3657.4+(528.8-1082.3)+(1.865274+(0.269688-0.551973))+0-485-0.247349999999951</f>
        <v>2620.235639</v>
      </c>
      <c r="T85" s="3">
        <f>3778.7+(696.6-1208)+(-1.927137+(-0.355266--0.61608))+0-544--0.277439999999945</f>
        <v>2721.9111169999996</v>
      </c>
      <c r="U85" s="3">
        <f>3722.9+(583.1-1036.2)+(0+(0-0))+0-527.3-0</f>
        <v>2742.5</v>
      </c>
      <c r="V85" s="3">
        <f>3770.5+(403.8-974.4)+(0+(0-0))+0-460.6-0</f>
        <v>2739.3</v>
      </c>
      <c r="W85" s="3">
        <f>3729.8+(309.6-747.1)+(-1.902198+(-0.157896--0.381021))+0-579.6--0.295595999999941</f>
        <v>2711.3165230000004</v>
      </c>
      <c r="X85" s="3">
        <f>3303.8+(690-850.8)+(-1.684938+(-0.3519--0.433908))+0-538.1--0.274430999999945</f>
        <v>2603.5715009999999</v>
      </c>
      <c r="Y85" s="3">
        <f>3256.5+(655.1-829.6)+(-8.304075+(-1.670505--2.11548))+0-540.7--1.37878499999992</f>
        <v>2534.8196849999995</v>
      </c>
      <c r="Z85" s="3">
        <f>3386.6+(676.3-701.3)+(3.454332+(0.689826-0.715326))+0-682.1-0.695742000000109</f>
        <v>2682.2330900000002</v>
      </c>
      <c r="AA85" s="3">
        <f>3707.1+(372.5-843.4)+(-7.562484+(-0.7599--1.720536))+0-525.9--1.07283599999998</f>
        <v>2704.7709879999998</v>
      </c>
      <c r="AB85" s="3">
        <f>3654.9+(675.3-1053.4)+(-5.591997+(-1.033209--1.611702))+0-680.8--1.04162400000004</f>
        <v>2592.0281200000004</v>
      </c>
      <c r="AC85" s="3">
        <f>3578.3+(868.5-1283.1)+(-1.824933+(-0.442935--0.654381))+0-663.6--0.338435999999933</f>
        <v>2498.8249490000003</v>
      </c>
      <c r="AD85" s="2">
        <v>2776.1999999999994</v>
      </c>
      <c r="AE85" s="3">
        <f>3709+(402.4-714.3)+(0+(0-0))+0-620.9-0</f>
        <v>2776.2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3490.8+(889.6-1324.5)+(0+(0-0))+0-713.3-0</f>
        <v>2342.6000000000004</v>
      </c>
      <c r="G86" s="3">
        <f>3501.2+(742.1-1272.4)+(-7.142448+(-1.513884--2.595696))+0-753.5--1.53713999999997</f>
        <v>2212.8765039999994</v>
      </c>
      <c r="H86" s="3">
        <f>3391.6+(620.7-1214.1)+(-3.459432+(-0.633114--1.238382))+0-681.5--0.695130000000109</f>
        <v>2114.540966</v>
      </c>
      <c r="I86" s="3">
        <f>3254.2+(746-1170.2)+(4.978926+(1.14138-1.790406))+0-742.3-1.13571900000004</f>
        <v>2090.8941810000006</v>
      </c>
      <c r="J86" s="3">
        <f>3187.7+(783.9-1215.5)+(-1.625727+(-0.399789--0.619905))+0-675.9--0.344708999999931</f>
        <v>2079.1390979999996</v>
      </c>
      <c r="K86" s="3">
        <f>3056.1+(784.6-1243.5)+(-7.793055+(-2.00073--3.170925))+0-555.6--1.41677999999992</f>
        <v>2036.39392</v>
      </c>
      <c r="L86" s="3">
        <f>2861+(839.2-1101)+(-2.91822+(-0.855984--1.12302))+0-576.5--0.588030000000092</f>
        <v>2020.6368460000001</v>
      </c>
      <c r="M86" s="3">
        <f>2836.4+(676.6-921.2)+(4.339692+(1.035198-1.409436))+0-386.9-0.591957000000022</f>
        <v>2208.2734970000001</v>
      </c>
      <c r="N86" s="3">
        <f>2969.9+(724.3-768.9)+(-1.514649+(-0.369393--0.392139))+0-442--0.225419999999955</f>
        <v>2482.0335169999998</v>
      </c>
      <c r="O86" s="3">
        <f>3236.9+(669.1-675.7)+(4.952457+(1.023723-1.033821))+0-583.3-0.892449000000034</f>
        <v>2651.0499100000006</v>
      </c>
      <c r="P86" s="3">
        <f>3419.6+(375-585.6)+(1.743996+(0.19125-0.298656))+0-496.6-0.25326599999995</f>
        <v>2713.783324</v>
      </c>
      <c r="Q86" s="3">
        <f>3565+(230.2-442)+(0+(0-0))+0-493.3-0</f>
        <v>2859.8999999999996</v>
      </c>
      <c r="R86" s="3">
        <f>3776.1+(306.5-716)+(0+(0-0))+0-355.1-0</f>
        <v>3011.5</v>
      </c>
      <c r="S86" s="3">
        <f>3746.1+(139.3-919.5)+(-3.821022+(-0.142086--0.93789))+0-336.1--0.342822000000054</f>
        <v>2627.1176039999996</v>
      </c>
      <c r="T86" s="3">
        <f>3829.5+(252.1-1040.3)+(-1.953045+(-0.128571--0.530553))+0-340.1--0.173450999999966</f>
        <v>2699.8223880000005</v>
      </c>
      <c r="U86" s="3">
        <f>3876.5+(336.6-969.1)+(-1.977015+(-0.171666--0.494241))+0-471.6--0.240515999999952</f>
        <v>2770.9860760000001</v>
      </c>
      <c r="V86" s="3">
        <f>3873.8+(382.4-827.2)+(-7.902552+(-0.780096--1.687488))+0-643--1.31171999999997</f>
        <v>2780.3165600000002</v>
      </c>
      <c r="W86" s="3">
        <f>3515+(348.1-661.7)+(-3.5853+(-0.355062--0.674934))+0-483.1--0.492762000000077</f>
        <v>2715.5273339999999</v>
      </c>
      <c r="X86" s="3">
        <f>3351.8+(800.1-911.6)+(-5.128254+(-1.224153--1.394748))+0-605.1--0.925803000000035</f>
        <v>2631.1681440000002</v>
      </c>
      <c r="Y86" s="3">
        <f>3262.2+(734.3-820.9)+(-3.327444+(-0.748986--0.837318))+0-590.2--0.602004000000094</f>
        <v>2582.7628919999997</v>
      </c>
      <c r="Z86" s="3">
        <f>3472.4+(634.2-761.8)+(1.770924+(0.323442-0.388518))+0-645.2-0.329051999999935</f>
        <v>2700.9767959999999</v>
      </c>
      <c r="AA86" s="3">
        <f>3580.6+(298.3-739.8)+(-7.304424+(-0.608532--1.509192))+0-476.6--0.972263999999979</f>
        <v>2657.0684999999999</v>
      </c>
      <c r="AB86" s="3">
        <f>3579.1+(378.8-1021.6)+(0+(0-0))+0-356-0</f>
        <v>2580.3000000000002</v>
      </c>
      <c r="AC86" s="3">
        <f>3595.7+(632.9-946.4)+(-1.833807+(-0.322779--0.482664))+0-781.3--0.398462999999921</f>
        <v>2499.6245409999997</v>
      </c>
      <c r="AD86" s="2">
        <v>2630.1</v>
      </c>
      <c r="AE86" s="3">
        <f>3577+(324.8-566.8)+(0+(0-0))+0-704.9-0</f>
        <v>2630.1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3575.4+(780.4-1436.7)+(-7.293816+(-1.592016--2.930868))+0-572.1--1.16708399999998</f>
        <v>2342.2121200000001</v>
      </c>
      <c r="G87" s="3">
        <f>3542.7+(650.7-1302.1)+(0+(0-0))+0-806.2-0</f>
        <v>2085.1000000000004</v>
      </c>
      <c r="H87" s="3">
        <f>3468.5+(619.7-1252.2)+(3.53787+(0.632094-1.277244))+0-710.6-0.724812000000113</f>
        <v>2127.567908</v>
      </c>
      <c r="I87" s="3">
        <f>3284.3+(717.3-1134.2)+(0+(0-0))+0-770-0</f>
        <v>2097.4</v>
      </c>
      <c r="J87" s="3">
        <f>3231.7+(672.2-1021)+(3.296334+(0.685644-1.04142))+0-797-0.812940000000127</f>
        <v>2088.0276179999992</v>
      </c>
      <c r="K87" s="3">
        <f>3137.8+(710-1088)+(-8.00139+(-1.8105--2.7744))+0-722.6--1.8426299999999</f>
        <v>2032.00514</v>
      </c>
      <c r="L87" s="3">
        <f>2944.8+(817.4-963.1)+(-4.505544+(-1.250622--1.473543))+0-786.1--1.20273300000005</f>
        <v>2009.9201100000005</v>
      </c>
      <c r="M87" s="3">
        <f>2943.5+(540.1-787)+(4.503555+(0.826353-1.20411))+0-552.4-0.845172000000032</f>
        <v>2147.480626</v>
      </c>
      <c r="N87" s="3">
        <f>3337.8+(542.3-744.9)+(1.702278+(0.276573-0.379899))+0-726.1-0.370310999999926</f>
        <v>2410.3286410000001</v>
      </c>
      <c r="O87" s="3">
        <f>3453.8+(453.1-726.9)+(3.522876+(0.462162-0.741438))+0-608.1-0.620262000000097</f>
        <v>2574.523338</v>
      </c>
      <c r="P87" s="3">
        <f>3465.1+(315.2-421.4)+(3.534402+(0.321504-0.429828))+0-671.9-0.685338000000107</f>
        <v>2689.7407399999997</v>
      </c>
      <c r="Q87" s="3">
        <f>3851.4+(160.1-776.1)+(-5.892642+(-0.244953--1.187433))+0-451.1--0.690183000000026</f>
        <v>2780.0400210000003</v>
      </c>
      <c r="R87" s="3">
        <f>3976.2+(392.8-1036.2)+(0+(0-0))+0-554.5-0</f>
        <v>2778.2999999999997</v>
      </c>
      <c r="S87" s="3">
        <f>3781.7+(366.8-978.2)+(-11.572002+(-1.122408--2.993292))+0-610.7--1.86874200000007</f>
        <v>2551.7676239999996</v>
      </c>
      <c r="T87" s="3">
        <f>3846.7+(424.8-1052.7)+(-3.923634+(-0.433296--1.073754))+0-618.8--0.631176000000099</f>
        <v>2597.3480000000004</v>
      </c>
      <c r="U87" s="3">
        <f>3838.3+(492.1-1052.1)+(-3.915066+(-0.501942--1.073142))+0-675.7--0.689214000000108</f>
        <v>2599.9453480000002</v>
      </c>
      <c r="V87" s="3">
        <f>3428.8+(392.9-622.1)+(-5.246064+(-0.601137--0.951813))+0-631.1--0.965583000000037</f>
        <v>2564.5701950000007</v>
      </c>
      <c r="W87" s="3">
        <f>3373.1+(623.9-704.3)+(-1.720281+(-0.318189--0.359193))+0-770.6--0.393005999999922</f>
        <v>2520.8137289999995</v>
      </c>
      <c r="X87" s="3">
        <f>3380.4+(667.7-989.8)+(-6.896016+(-1.362108--2.019192))+0-619--1.26275999999997</f>
        <v>2434.323828</v>
      </c>
      <c r="Y87" s="3">
        <f>3135.3+(646.2-696.8)+(0+(0-0))+0-681.6-0</f>
        <v>2403.1000000000004</v>
      </c>
      <c r="Z87" s="3">
        <f>3088.4+(538.6-646.6)+(0+(0-0))+0-494.1-0</f>
        <v>2486.3000000000002</v>
      </c>
      <c r="AA87" s="3">
        <f>3560.6+(215.2-692.2)+(-5.447718+(-0.329256--1.059066))+0-524.9--0.80309700000003</f>
        <v>2554.7851889999997</v>
      </c>
      <c r="AB87" s="3">
        <f>3548.3+(242.5-786.3)+(-7.238532+(-0.4947--1.604052))+0-524.7--1.07038799999998</f>
        <v>2474.7412080000004</v>
      </c>
      <c r="AC87" s="3">
        <f>3438+(410.5-641.6)+(-1.75338+(-0.209355--0.327216))+0-821.5--0.418964999999917</f>
        <v>2384.183446</v>
      </c>
      <c r="AD87" s="2">
        <v>2514.5</v>
      </c>
      <c r="AE87" s="3">
        <f>3557+(222-699.8)+(0+(0-0))+0-564.7-0</f>
        <v>2514.5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3202+(453.9-797.7)+(-3.26604+(-0.462978--0.813654))+0-685.3--0.699006000000109</f>
        <v>2170.6836420000004</v>
      </c>
      <c r="G88" s="3">
        <f>3152.1+(570.5-850.5)+(-9.645426+(-1.74573--2.60253))+0-739.4--2.26256400000009</f>
        <v>2126.1739379999999</v>
      </c>
      <c r="H88" s="3">
        <f>3168.6+(745.7-1213)+(-6.463944+(-1.521228--2.47452))+0-658.5--1.34333999999997</f>
        <v>2038.6326880000001</v>
      </c>
      <c r="I88" s="3">
        <f>3175.4+(846.8-1279.1)+(-8.09727+(-2.15934--3.261705))+0-740.8--1.88903999999989</f>
        <v>1997.1941350000002</v>
      </c>
      <c r="J88" s="3">
        <f>3122.1+(754.6-1252.7)+(0+(0-0))+0-653.1-0</f>
        <v>1970.9</v>
      </c>
      <c r="K88" s="3">
        <f>2878.3+(929.9-1152.9)+(-4.403799+(-1.422747--1.763937))+0-746.6--1.14229800000004</f>
        <v>1905.7796890000002</v>
      </c>
      <c r="L88" s="3">
        <f>2669.9+(983.9-1066.7)+(1.361649+(0.501789-0.544017))+0-775.9-0.395708999999921</f>
        <v>1812.1237120000001</v>
      </c>
      <c r="M88" s="3">
        <f>2732.9+(808.2-1056.8)+(1.393779+(0.412182-0.538968))+0-647.4-0.330173999999934</f>
        <v>1837.8368190000003</v>
      </c>
      <c r="N88" s="3">
        <f>2857.6+(736.5-931.5)+(0+(0-0))+0-734.9-0</f>
        <v>1927.6999999999998</v>
      </c>
      <c r="O88" s="3">
        <f>2957.9+(740-999.4)+(1.508529+(0.3774-0.509694))+0-633.1-0.322880999999936</f>
        <v>2066.4533540000002</v>
      </c>
      <c r="P88" s="3">
        <f>3099.3+(718.1-946.3)+(1.580643+(0.366231-0.482613))+0-715.8-0.365057999999927</f>
        <v>2156.3992030000004</v>
      </c>
      <c r="Q88" s="3">
        <f>3104.8+(368.6-724.5)+(4.750344+(0.563958-1.108485))+0-598.1-0.915093000000035</f>
        <v>2154.0907240000001</v>
      </c>
      <c r="R88" s="3">
        <f>3213.7+(268.2-625.7)+(9.833922+(0.820692-1.914642))+0-626.1-1.91586600000007</f>
        <v>2236.9241059999995</v>
      </c>
      <c r="S88" s="3">
        <f>3301+(252.1-629.6)+(3.36702+(0.257142-0.642192))+0-722.5-0.736950000000115</f>
        <v>2203.2450199999998</v>
      </c>
      <c r="T88" s="3">
        <f>3409.8+(332-908.3)+(5.216994+(0.50796-1.389699))+0-674.6-1.03213800000004</f>
        <v>2162.203117</v>
      </c>
      <c r="U88" s="3">
        <f>3539.1+(345.2-1028.6)+(1.804941+(0.176052-0.524586))+0-699.8-0.356897999999929</f>
        <v>2156.9995090000002</v>
      </c>
      <c r="V88" s="3">
        <f>3508.8+(172.2-1018.3)+(1.789488+(0.087822-0.519333))+0-503.8-0.256937999999949</f>
        <v>2160.0010390000002</v>
      </c>
      <c r="W88" s="3">
        <f>3545.8+(192.2-895.4)+(0+(0-0))+0-676.6-0</f>
        <v>2166.0000000000005</v>
      </c>
      <c r="X88" s="3">
        <f>3291.2+(461.8-1063.1)+(-3.357024+(-0.471036--1.084362))+0-558.1--0.569262000000089</f>
        <v>2129.6255639999995</v>
      </c>
      <c r="Y88" s="3">
        <f>3127.3+(629.9-936.1)+(0+(0-0))+0-719-0</f>
        <v>2102.1000000000004</v>
      </c>
      <c r="Z88" s="3">
        <f>3408.4+(551.7-1050.3)+(5.214852+(0.844101-1.606959))+0-633.7-0.969561000000037</f>
        <v>2279.5824330000005</v>
      </c>
      <c r="AA88" s="3">
        <f>3753.2+(196.7-846.3)+(7.656528+(0.401268-1.726452))+0-741.6-1.51286399999997</f>
        <v>2366.8184800000004</v>
      </c>
      <c r="AB88" s="3">
        <f>3771+(178.4-977.7)+(-1.92321+(-0.090984--0.498627))+0-647--0.329969999999934</f>
        <v>2323.5144029999997</v>
      </c>
      <c r="AC88" s="3">
        <f>3768.6+(428.6-1172.9)+(1.921986+(0.218586-0.598179))+0-763.3-0.389282999999923</f>
        <v>2262.1531099999997</v>
      </c>
      <c r="AD88" s="2">
        <v>2357.6000000000004</v>
      </c>
      <c r="AE88" s="3">
        <f>3742+(188.8-865)+(0+(0-0))+0-708.2-0</f>
        <v>2357.6000000000004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3721.6+(559.7-1356.8)+(-3.796032+(-0.570894--1.383936))+0-757.1--0.772242000000121</f>
        <v>2165.1892520000001</v>
      </c>
      <c r="G89" s="3">
        <f>3387.8+(637.7-1246.3)+(-10.366668+(-1.951362--3.813678))+0-740.1--2.26470600000009</f>
        <v>2032.8603540000006</v>
      </c>
      <c r="H89" s="3">
        <f>3171.7+(1072.6-1455.4)+(-3.235134+(-1.094052--1.484508))+0-814.8--0.83109600000013</f>
        <v>1972.0864179999999</v>
      </c>
      <c r="I89" s="3">
        <f>3092.1+(979.5-1286.9)+(3.153942+(0.99909-1.312638))+0-844.4-0.861288000000135</f>
        <v>1942.2791059999995</v>
      </c>
      <c r="J89" s="3">
        <f>2904.9+(917.4-1239.7)+(5.925996+(1.871496-2.528988))+0-661.4-1.34925599999997</f>
        <v>1925.119248</v>
      </c>
      <c r="K89" s="3">
        <f>2840.7+(1011.3-1141.3)+(-2.897514+(-1.031526--1.164126))+0-799--0.814980000000127</f>
        <v>1909.7500660000001</v>
      </c>
      <c r="L89" s="3">
        <f>2647.2+(891.5-878.4)+(6.75036+(2.273325-2.23992))+0-738.1-1.88215499999989</f>
        <v>1927.1016100000002</v>
      </c>
      <c r="M89" s="3">
        <f>2631.8+(825.6-667.5)+(4.026654+(1.263168-1.021275))+0-662.8-1.01408400000004</f>
        <v>2130.3544630000001</v>
      </c>
      <c r="N89" s="3">
        <f>2808.5+(871.3-591.6)+(7.161675+(2.221815-1.50858))+0-664.5-1.6944749999999</f>
        <v>2429.880435</v>
      </c>
      <c r="O89" s="3">
        <f>3054.8+(812.4-526.8)+(7.78974+(2.07162-1.34334))+0-740.6-1.88852999999989</f>
        <v>2606.4294900000004</v>
      </c>
      <c r="P89" s="3">
        <f>3373.8+(418.3-435.8)+(3.441276+(0.426666-0.444516))+0-648.8-0.661776000000103</f>
        <v>2710.2616500000004</v>
      </c>
      <c r="Q89" s="3">
        <f>3361.3+(421.7-210.4)+(8.571315+(1.075335-0.53652))+0-768.7-1.96018499999989</f>
        <v>2811.0499450000007</v>
      </c>
      <c r="R89" s="3">
        <f>3492.5+(427.2-437.1)+(3.56235+(0.435744-0.445842))+0-694.3-0.708186000000111</f>
        <v>2791.1440659999994</v>
      </c>
      <c r="S89" s="3">
        <f>3580.6+(405.1-614.2)+(-1.826106+(-0.206601--0.313242))+0-785.2--0.40045199999992</f>
        <v>2584.9809869999999</v>
      </c>
      <c r="T89" s="3">
        <f>3606.4+(433.3-657.1)+(1.839264+(0.220983-0.335121))+0-716.7-0.365516999999927</f>
        <v>2667.2596090000002</v>
      </c>
      <c r="U89" s="3">
        <f>3528.9+(427.7-569.9)+(0+(0-0))+0-675.8-0</f>
        <v>2710.9000000000005</v>
      </c>
      <c r="V89" s="3">
        <f>3512.9+(434.2-607.6)+(-1.791579+(-0.221442--0.309876))+0-630.4--0.321503999999936</f>
        <v>2707.718359</v>
      </c>
      <c r="W89" s="3">
        <f>3497.5+(347.2-652.6)+(-10.70235+(-1.062432--1.996956))+0-515.8--1.57834800000006</f>
        <v>2668.1105219999999</v>
      </c>
      <c r="X89" s="3">
        <f>3386.1+(611.9-816.7)+(-6.907644+(-1.248276--1.666068))+0-582.1--1.18748399999997</f>
        <v>2593.8976319999997</v>
      </c>
      <c r="Y89" s="3">
        <f>3285.2+(611.4-804.4)+(-8.37726+(-1.55907--2.05122))+0-593.3--1.51291499999991</f>
        <v>2492.5278049999993</v>
      </c>
      <c r="Z89" s="3">
        <f>3512.3+(341.2-715.1)+(0+(0-0))+0-539.6-0</f>
        <v>2598.8000000000002</v>
      </c>
      <c r="AA89" s="3">
        <f>4027.1+(230-993.6)+(-6.161463+(-0.3519--1.520208))+0-624.8--0.955944000000036</f>
        <v>2634.6627889999995</v>
      </c>
      <c r="AB89" s="3">
        <f>3990.7+(343.3-1099.4)+(0+(0-0))+0-665.6-0</f>
        <v>2568.9999999999995</v>
      </c>
      <c r="AC89" s="3">
        <f>3887.4+(610.2-1344.7)+(-7.930296+(-1.244808--2.743188))+0-680.9--1.38903599999997</f>
        <v>2466.95712</v>
      </c>
      <c r="AD89" s="2">
        <v>2597.5</v>
      </c>
      <c r="AE89" s="3">
        <f>4027+(222-1006.3)+(0+(0-0))+0-645.2-0</f>
        <v>2597.5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3638.6+(629.7-1263.2)+(-7.422744+(-1.284588--2.576928))+0-691.2--1.41004799999997</f>
        <v>2309.1796440000003</v>
      </c>
      <c r="G90" s="3">
        <f>3593.1+(560.9-1201.4)+(-1.832481+(-0.286059--0.612714))+0-775.5--0.395504999999921</f>
        <v>2175.9896789999998</v>
      </c>
      <c r="H90" s="3">
        <f>3614.5+(565.3-1360.2)+(-5.530185+(-0.864909--2.081106))+0-716.2--1.09578600000004</f>
        <v>2100.1817979999996</v>
      </c>
      <c r="I90" s="3">
        <f>3497.1+(769.7-1395.6)+(-8.917605+(-1.962735--3.55878))+0-818.9--2.08819499999988</f>
        <v>2047.0666349999997</v>
      </c>
      <c r="J90" s="3">
        <f>3451+(744.9-1420.2)+(-1.76001+(-0.379899--0.724302))+0-739.6--0.377195999999925</f>
        <v>2035.0615889999999</v>
      </c>
      <c r="K90" s="3">
        <f>3318.7+(874.4-1407.2)+(-8.462685+(-2.22972--3.58836))+0-771--1.96604999999989</f>
        <v>2009.7620049999996</v>
      </c>
      <c r="L90" s="3">
        <f>2958.8+(908.5-1094.4)+(1.508988+(0.463335-0.558144))+0-794.9-0.405398999999919</f>
        <v>1979.0087799999999</v>
      </c>
      <c r="M90" s="3">
        <f>3051.1+(668.7-1016.1)+(4.668183+(1.023111-1.554633))+0-552.1-0.844713000000032</f>
        <v>2154.891948</v>
      </c>
      <c r="N90" s="3">
        <f>3316.9+(724.6-895.8)+(5.074857+(1.108638-1.370574))+0-716.9-1.09685700000004</f>
        <v>2432.5160640000004</v>
      </c>
      <c r="O90" s="3">
        <f>3422.5+(616.2-900.6)+(-1.745475+(-0.314262--0.459306))+0-525.9--0.268208999999947</f>
        <v>2610.8677779999998</v>
      </c>
      <c r="P90" s="3">
        <f>3531.5+(558.5-784.5)+(0+(0-0))+0-574.6-0</f>
        <v>2730.9</v>
      </c>
      <c r="Q90" s="3">
        <f>3585.3+(364.2-597.5)+(0+(0-0))+0-533.6-0</f>
        <v>2818.4</v>
      </c>
      <c r="R90" s="3">
        <f>3733.6+(225-648.7)+(3.808272+(0.2295-0.661674))+0-499.8-0.50979600000008</f>
        <v>2812.9663019999994</v>
      </c>
      <c r="S90" s="3">
        <f>3753+(231.6-775.7)+(-5.74209+(-0.354348--1.186821))+0-594.1--0.908973000000034</f>
        <v>2610.7993560000004</v>
      </c>
      <c r="T90" s="3">
        <f>3788.9+(222.8-761.9)+(-5.797017+(-0.340884--1.165707))+0-535.9--0.819927000000031</f>
        <v>2709.7477330000002</v>
      </c>
      <c r="U90" s="3">
        <f>3846.9+(288.6-922.5)+(-3.923838+(-0.294372--0.94095))+0-504.9--0.51499800000008</f>
        <v>2705.3377380000002</v>
      </c>
      <c r="V90" s="3">
        <f>3950.8+(293.2-857.5)+(2.014908+(0.149532-0.437325))+0-663.6-0.338435999999933</f>
        <v>2724.2886790000002</v>
      </c>
      <c r="W90" s="3">
        <f>3881.5+(413.6-945)+(-5.938695+(-0.632808--1.44585))+0-672--1.02816000000004</f>
        <v>2674.0025069999997</v>
      </c>
      <c r="X90" s="3">
        <f>3471+(922.6-1087.1)+(-1.77021+(-0.470526--0.554421))+0-680.6--0.347105999999931</f>
        <v>2624.5607909999999</v>
      </c>
      <c r="Y90" s="3">
        <f>3343.8+(718.6-967.6)+(-1.705338+(-0.366486--0.493476))+0-589.5--0.30064499999994</f>
        <v>2504.022297</v>
      </c>
      <c r="Z90" s="3">
        <f>3401.3+(605.2-640.4)+(-1.734663+(-0.308652--0.326604))+0-711.1--0.362660999999928</f>
        <v>2653.6459500000005</v>
      </c>
      <c r="AA90" s="3">
        <f>3646.4+(371.4-819.4)+(-13.017648+(-1.325898--2.925258))+0-547--1.95279000000001</f>
        <v>2641.9345020000001</v>
      </c>
      <c r="AB90" s="3">
        <f>3640.2+(324.6-863.9)+(-1.856502+(-0.165546--0.440589))+0-519--0.264689999999947</f>
        <v>2580.5832309999996</v>
      </c>
      <c r="AC90" s="3">
        <f>3649.1+(369.5-790.2)+(-1.861041+(-0.188445--0.403002))+0-744.7--0.379796999999925</f>
        <v>2482.433313</v>
      </c>
      <c r="AD90" s="2">
        <v>2673.1000000000004</v>
      </c>
      <c r="AE90" s="3">
        <f>3621+(374.9-771)+(0+(0-0))+0-551.8-0</f>
        <v>2673.1000000000004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3634.3+(412.8-1189.1)+(0+(0-0))+0-570.7-0</f>
        <v>2287.3000000000002</v>
      </c>
      <c r="G91" s="3">
        <f>3542.4+(501.6-1211.6)+(-9.03312+(-1.27908--3.08958))+0-658.8--1.6799399999999</f>
        <v>2168.0573199999999</v>
      </c>
      <c r="H91" s="3">
        <f>3456.2+(491.7-1121.2)+(-1.762662+(-0.250767--0.571812))+0-717--0.365669999999927</f>
        <v>2108.624053</v>
      </c>
      <c r="I91" s="3">
        <f>3436.8+(470.5-1297.4)+(0+(0-0))+0-566.2-0</f>
        <v>2043.7</v>
      </c>
      <c r="J91" s="3">
        <f>3354.4+(605.2-1190.9)+(-3.421488+(-0.617304--1.214718))+0-720.7--0.735114000000115</f>
        <v>2045.9110399999997</v>
      </c>
      <c r="K91" s="3">
        <f>3151.5+(819.4-1241.8)+(-8.036325+(-2.08947--3.16659))+0-719.3--1.8342149999999</f>
        <v>2004.6750099999997</v>
      </c>
      <c r="L91" s="3">
        <f>2910.6+(866.4-1174.5)+(-2.968812+(-0.883728--1.19799))+0-651--0.664020000000104</f>
        <v>1949.50947</v>
      </c>
      <c r="M91" s="3">
        <f>2854.7+(924-1171)+(0+(0-0))+0-590.8-0</f>
        <v>2016.8999999999999</v>
      </c>
      <c r="N91" s="3">
        <f>3056.1+(718.7-1067.1)+(-3.117222+(-0.733074--1.088442))+0-548.4--0.559368000000087</f>
        <v>2157.097514</v>
      </c>
      <c r="O91" s="3">
        <f>3297.5+(491.1-1005.3)+(3.36345+(0.500922-1.025406))+0-494-0.503880000000079</f>
        <v>2291.6350859999998</v>
      </c>
      <c r="P91" s="3">
        <f>3357.2+(372.6-635.4)+(1.712172+(0.190026-0.324054))+0-678.8-0.346187999999931</f>
        <v>2416.8319559999995</v>
      </c>
      <c r="Q91" s="3">
        <f>3482.7+(194.4-557.6)+(3.552354+(0.198288-0.568752))+0-627.9-0.6404580000001</f>
        <v>2494.1414319999994</v>
      </c>
      <c r="R91" s="3">
        <f>3539.3+(359.1-704.3)+(1.805043+(0.183141-0.359193))+0-700.1-0.357050999999929</f>
        <v>2495.2719400000005</v>
      </c>
      <c r="S91" s="3">
        <f>3580.3+(329-888.1)+(-3.651906+(-0.33558--0.905862))+0-664.8--0.678096000000106</f>
        <v>2353.9964720000003</v>
      </c>
      <c r="T91" s="3">
        <f>3701.8+(413.8-1069.4)+(-5.663754+(-0.633114--1.636182))+0-649.7--0.994041000000038</f>
        <v>2392.8333549999998</v>
      </c>
      <c r="U91" s="3">
        <f>3465.1+(445-931)+(-1.767201+(-0.22695--0.47481))+0-562.6--0.286925999999943</f>
        <v>2415.2675849999996</v>
      </c>
      <c r="V91" s="3">
        <f>3416.3+(591.9-997.9)+(3.484626+(0.603738-1.017858))+0-630.2-0.642804000000101</f>
        <v>2382.5277020000003</v>
      </c>
      <c r="W91" s="3">
        <f>3629.3+(692.7-1290)+(-3.701886+(-0.706554--1.3158))+0-649.3--0.662286000000104</f>
        <v>2380.2696460000002</v>
      </c>
      <c r="X91" s="3">
        <f>3070.3+(1078.2-1178)+(-6.263412+(-2.199528--2.40312))+0-637.6--1.30070399999997</f>
        <v>2328.1408839999999</v>
      </c>
      <c r="Y91" s="3">
        <f>2744+(1003.2-954.4)+(-2.79888+(-1.023264--0.973488))+0-500.3--0.51030600000008</f>
        <v>2290.16165</v>
      </c>
      <c r="Z91" s="3">
        <f>3011.4+(850.5-820.1)+(0+(0-0))+0-622.1-0</f>
        <v>2419.7000000000003</v>
      </c>
      <c r="AA91" s="3">
        <f>3217+(677.9-748.7)+(-6.56268+(-1.382916--1.527348))+0-624.4--1.27377599999997</f>
        <v>2516.6555279999998</v>
      </c>
      <c r="AB91" s="3">
        <f>3232.5+(598-696.1)+(-6.5943+(-1.21992--1.420044))+0-661.3--1.34905199999997</f>
        <v>2468.0548760000006</v>
      </c>
      <c r="AC91" s="3">
        <f>3231.1+(702-785.5)+(-1.647861+(-0.35802--0.400605))+0-724.1--0.369290999999927</f>
        <v>2422.2640150000002</v>
      </c>
      <c r="AD91" s="2">
        <v>2546.3000000000002</v>
      </c>
      <c r="AE91" s="3">
        <f>3219+(598-525.2)+(0+(0-0))+0-745.5-0</f>
        <v>2546.3000000000002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3218+(712.2-961.2)+(-3.28236+(-0.726444--0.980424))+0-686.3--0.700026000000109</f>
        <v>2280.3716460000001</v>
      </c>
      <c r="G92" s="3">
        <f>3232.5+(855-1146.2)+(-6.5943+(-1.7442--2.338248))+0-788.1--1.60772399999997</f>
        <v>2148.8074720000004</v>
      </c>
      <c r="H92" s="3">
        <f>3249.5+(1033.1-1442.9)+(-4.971735+(-1.580643--2.207637))+0-755.9--1.15652700000004</f>
        <v>2080.6117859999999</v>
      </c>
      <c r="I92" s="3">
        <f>3191.6+(1017.9-1405.1)+(-6.510864+(-2.076516--2.866404))+0-743--1.51571999999997</f>
        <v>2057.1947439999999</v>
      </c>
      <c r="J92" s="3">
        <f>3181.1+(952.8-1394.9)+(1.622361+(0.485928-0.711399))+0-699.9-0.356948999999929</f>
        <v>2040.1399409999999</v>
      </c>
      <c r="K92" s="3">
        <f>3088.2+(924.4-1300.8)+(-6.299928+(-1.885776--2.653632))+0-699.9--1.42779599999997</f>
        <v>2007.7957239999996</v>
      </c>
      <c r="L92" s="3">
        <f>2842.4+(1033.6-1148.4)+(5.798496+(2.108544-2.342736))+0-731.1-1.49144399999997</f>
        <v>2000.57286</v>
      </c>
      <c r="M92" s="3">
        <f>2864.4+(893.3-988)+(0+(0-0))+0-592.4-0</f>
        <v>2177.2999999999997</v>
      </c>
      <c r="N92" s="3">
        <f>3144+(923-983.5)+(3.20688+(0.94146-1.00317))+0-626.3-0.6388260000001</f>
        <v>2459.7063439999997</v>
      </c>
      <c r="O92" s="3">
        <f>3360.7+(805.3-938.2)+(0+(0-0))+0-517.6-0</f>
        <v>2710.2</v>
      </c>
      <c r="P92" s="3">
        <f>3552.6+(780.5-886.2)+(3.623652+(0.79611-0.903924))+0-677.8-0.691356000000108</f>
        <v>2771.9244819999994</v>
      </c>
      <c r="Q92" s="3">
        <f>3563.9+(502.9-669.5)+(1.817589+(0.256479-0.341445))+0-498.4-0.254183999999949</f>
        <v>2900.3784390000001</v>
      </c>
      <c r="R92" s="3">
        <f>3855.2+(476.1-828.1)+(1.966152+(0.242811-0.422331))+0-681.9-0.347768999999931</f>
        <v>2822.7388629999996</v>
      </c>
      <c r="S92" s="3">
        <f>3749.6+(306.9-923.6)+(-9.56148+(-0.782595--2.35518))+0-533.2--1.35965999999992</f>
        <v>2593.0707649999995</v>
      </c>
      <c r="T92" s="3">
        <f>3804.8+(497.2-934.3)+(-3.880896+(-0.507144--0.952986))+0-681.5--0.695130000000109</f>
        <v>2683.4600760000003</v>
      </c>
      <c r="U92" s="3">
        <f>3722.3+(384.6-866.2)+(-9.491865+(-0.98073--2.20881))+0-508.8--1.29743999999993</f>
        <v>2724.9336549999998</v>
      </c>
      <c r="V92" s="3">
        <f>3704.7+(376.8-818.9)+(-3.778794+(-0.384336--0.835278))+0-532.3--0.542946000000085</f>
        <v>2727.5150939999999</v>
      </c>
      <c r="W92" s="3">
        <f>3330+(451.2-421.3)+(-8.4915+(-1.15056--1.074315))+0-651.7--1.66183499999991</f>
        <v>2701.2940900000003</v>
      </c>
      <c r="X92" s="3">
        <f>3154.7+(746.7-665.7)+(-8.044485+(-1.904085--1.697535))+0-641.7--1.63633499999991</f>
        <v>2587.3852999999995</v>
      </c>
      <c r="Y92" s="3">
        <f>3028.8+(800.8-790.2)+(-6.178752+(-1.633632--1.612008))+0-541.2--1.10404799999998</f>
        <v>2493.1036720000002</v>
      </c>
      <c r="Z92" s="3">
        <f>3130.1+(597.1-475.5)+(0+(0-0))+0-617.6-0</f>
        <v>2634.1</v>
      </c>
      <c r="AA92" s="3">
        <f>3206.7+(426.6-437.7)+(-9.812502+(-1.305396--1.339362))+0-620.5--1.89873000000007</f>
        <v>2567.220194</v>
      </c>
      <c r="AB92" s="3">
        <f>3325.3+(448.7-653.5)+(-6.783612+(-0.915348--1.33314))+0-647.4--1.32069599999997</f>
        <v>2468.0548759999997</v>
      </c>
      <c r="AC92" s="3">
        <f>3275.1+(584.4-762.3)+(-3.340602+(-0.596088--0.777546))+0-686.7--0.70043400000011</f>
        <v>2408.0412900000001</v>
      </c>
      <c r="AD92" s="2">
        <v>2509.2999999999997</v>
      </c>
      <c r="AE92" s="3">
        <f>3362+(437.6-575.7)+(0+(0-0))+0-714.6-0</f>
        <v>2509.3000000000002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3097+(640.2-818.2)+(-4.73841+(-0.979506--1.251846))+0-669.9--1.02494700000004</f>
        <v>2245.6588769999998</v>
      </c>
      <c r="G93" s="3">
        <f>2967.3+(875.8-907.9)+(-6.053292+(-1.786632--1.852116))+0-803.5--1.63913999999996</f>
        <v>2127.3513320000002</v>
      </c>
      <c r="H93" s="3">
        <f>2972.9+(1006.1-1189.1)+(-4.548537+(-1.539333--1.819323))+0-715.2--1.09425600000004</f>
        <v>2071.525709</v>
      </c>
      <c r="I93" s="3">
        <f>2978+(1025.7-1181.3)+(-1.51878+(-0.523107--0.602463))+0-774.9--0.395198999999921</f>
        <v>2046.4557749999997</v>
      </c>
      <c r="J93" s="3">
        <f>2916+(1026.9-1238.9)+(-2.97432+(-1.047438--1.263678))+0-647.2--0.660144000000103</f>
        <v>2054.7020639999996</v>
      </c>
      <c r="K93" s="3">
        <f>2895.4+(1041.3-1138)+(-2.953308+(-1.062126--1.16076))+0-771.5--0.786930000000123</f>
        <v>2025.1322559999999</v>
      </c>
      <c r="L93" s="3">
        <f>2898.1+(965.3-1240.3)+(0+(0-0))+0-608.9-0</f>
        <v>2014.1999999999998</v>
      </c>
      <c r="M93" s="3">
        <f>2903.1+(854.8-1025.5)+(1.480581+(0.435948-0.523005))+0-539-0.274889999999945</f>
        <v>2194.5186339999996</v>
      </c>
      <c r="N93" s="3">
        <f>2891.5+(956.3-850.5)+(2.94933+(0.975426-0.86751))+0-554.5-0.565590000000088</f>
        <v>2445.2916559999999</v>
      </c>
      <c r="O93" s="3">
        <f>2914.3+(948.4-807.4)+(2.972586+(0.967368-0.823548))+0-455.2-0.464304000000073</f>
        <v>2602.7521020000004</v>
      </c>
      <c r="P93" s="3">
        <f>3232.7+(716.2-825.9)+(0+(0-0))+0-503.9-0</f>
        <v>2619.1</v>
      </c>
      <c r="Q93" s="3">
        <f>3483.3+(503.3-838.2)+(0+(0-0))+0-422.4-0</f>
        <v>2726</v>
      </c>
      <c r="R93" s="3">
        <f>3944.9+(275.8-1083.8)+(-10.059495+(-0.70329--2.76369))+0-412.8--1.05263999999994</f>
        <v>2717.1535449999997</v>
      </c>
      <c r="S93" s="3">
        <f>3785.4+(285-1206.3)+(-9.65277+(-0.72675--3.076065))+0-433.8--1.10618999999994</f>
        <v>2424.1027349999999</v>
      </c>
      <c r="T93" s="3">
        <f>3732.3+(245.4-1135.5)+(-1.903473+(-0.125154--0.579105))+0-388.7--0.198236999999961</f>
        <v>2452.2487150000006</v>
      </c>
      <c r="U93" s="3">
        <f>3710.7+(213.4-976.9)+(-7.569828+(-0.435336--1.992876))+0-427.6--0.872303999999981</f>
        <v>2514.460016</v>
      </c>
      <c r="V93" s="3">
        <f>3657.2+(358.1-903)+(-7.460688+(-0.730524--1.84212))+0-519.9--1.06059599999998</f>
        <v>2587.1115039999995</v>
      </c>
      <c r="W93" s="3">
        <f>3445.6+(282.8-850.3)+(-8.78628+(-0.72114--2.168265))+0-402.8--1.02713999999994</f>
        <v>2468.9879849999998</v>
      </c>
      <c r="X93" s="3">
        <f>3260.8+(311.5-695.4)+(-8.31504+(-0.794325--1.77327))+0-435.3--1.11001499999994</f>
        <v>2435.3739199999995</v>
      </c>
      <c r="Y93" s="3">
        <f>3232.1+(209.1-765.1)+(-1.648371+(-0.106641--0.390201))+0-272.7--0.139076999999972</f>
        <v>2402.174266</v>
      </c>
      <c r="Z93" s="3">
        <f>3284.8+(216.8-653.7)+(0+(0-0))+0-319.1-0</f>
        <v>2528.8000000000002</v>
      </c>
      <c r="AA93" s="3">
        <f>3360.7+(351.1-544.6)+(-6.855828+(-0.716244--1.110984))+0-623.4--1.27173599999997</f>
        <v>2538.6106479999999</v>
      </c>
      <c r="AB93" s="3">
        <f>3349.1+(371.4-695.8)+(-5.124123+(-0.568242--1.064574))+0-557.1--0.852363000000032</f>
        <v>2463.824572</v>
      </c>
      <c r="AC93" s="3">
        <f>3327.9+(542.1-791.7)+(-3.394458+(-0.552942--0.807534))+0-730.6--0.745212000000117</f>
        <v>2345.3053460000006</v>
      </c>
      <c r="AD93" s="2">
        <v>2450.6999999999998</v>
      </c>
      <c r="AE93" s="3">
        <f>3365+(450.7-551)+(0+(0-0))+0-814-0</f>
        <v>2450.6999999999998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3307.9+(605.7-1169.5)+(-3.374058+(-0.617814--1.19289))+0-547.8--0.558756000000087</f>
        <v>2194.0597740000007</v>
      </c>
      <c r="G94" s="3">
        <f>3241.8+(724.4-1197.6)+(-3.306636+(-0.738888--1.221552))+0-679.4--0.692988000000108</f>
        <v>2087.0690160000004</v>
      </c>
      <c r="H94" s="3">
        <f>3240.7+(836-1448.4)+(3.305514+(0.85272-1.477368))+0-611.5-0.623730000000097</f>
        <v>2018.8571359999999</v>
      </c>
      <c r="I94" s="3">
        <f>3236.5+(974.8-1587.6)+(-3.30123+(-0.994296--1.619352))+0-613.9--0.626178000000098</f>
        <v>2007.7500039999998</v>
      </c>
      <c r="J94" s="3">
        <f>3243.5+(1123.8-1637.3)+(4.962555+(1.719414-2.505069))+0-726.8-1.11200400000004</f>
        <v>2006.2648959999999</v>
      </c>
      <c r="K94" s="3">
        <f>3165.7+(1046.7-1518)+(-8.072535+(-2.669085--3.8709))+0-694.5--1.7709749999999</f>
        <v>1994.8002549999997</v>
      </c>
      <c r="L94" s="3">
        <f>2829.9+(1052.5-1223.9)+(-1.443249+(-0.536775--0.624189))+0-695.9--0.354908999999929</f>
        <v>1961.599074</v>
      </c>
      <c r="M94" s="3">
        <f>2849.3+(938-1190)+(2.906286+(0.95676-1.2138))+0-455.2-0.464304000000073</f>
        <v>2144.2849420000002</v>
      </c>
      <c r="N94" s="3">
        <f>2939.7+(960.3-983.3)+(2.998494+(0.979506-1.002966))+0-574.8-0.586296000000092</f>
        <v>2344.2887379999997</v>
      </c>
      <c r="O94" s="3">
        <f>3232.3+(873.7-978.3)+(1.648473+(0.445587-0.498933))+0-603.2-0.307631999999939</f>
        <v>2525.7874950000005</v>
      </c>
      <c r="P94" s="3">
        <f>2836.7+(780.7-430.5)+(0+(0-0))+0-590.3-0</f>
        <v>2596.5999999999995</v>
      </c>
      <c r="Q94" s="3">
        <f>3088.3+(631.2-514.3)+(4.725099+(0.965736-0.786879))+0-562.8-0.861084000000032</f>
        <v>2646.4428720000005</v>
      </c>
      <c r="R94" s="3">
        <f>3284.8+(712.6-743.3)+(3.350496+(0.726852-0.758166))+0-600.9-0.612918000000096</f>
        <v>2655.9062640000002</v>
      </c>
      <c r="S94" s="3">
        <f>3277.9+(613-894.9)+(-6.686916+(-1.25052--1.825596))+0-633.1--1.29152399999997</f>
        <v>2358.0796839999998</v>
      </c>
      <c r="T94" s="3">
        <f>3261.4+(555.6-960.2)+(-6.653256+(-1.133424--1.958808))+0-480.4--0.980015999999979</f>
        <v>2371.5521440000002</v>
      </c>
      <c r="U94" s="3">
        <f>3298.9+(757.3-997.4)+(-1.682439+(-0.386223--0.508674))+0-665.3--0.339302999999932</f>
        <v>2392.2793149999998</v>
      </c>
      <c r="V94" s="3">
        <f>3332+(513.1-782.3)+(-5.09796+(-0.785043--1.196919))+0-614.8--0.940644000000035</f>
        <v>2444.2545600000003</v>
      </c>
      <c r="W94" s="3">
        <f>3285.2+(616.9-969.3)+(-8.37726+(-1.573095--2.471715))+0-538.2--1.37240999999992</f>
        <v>2388.49377</v>
      </c>
      <c r="X94" s="3">
        <f>3187.4+(874.3-1113.4)+(-8.12787+(-2.229465--2.83917))+0-603.7--1.53943499999991</f>
        <v>2338.6212699999996</v>
      </c>
      <c r="Y94" s="3">
        <f>3168+(717.9-885.1)+(-1.61568+(-0.366129--0.451401))+0-719.4--0.366893999999927</f>
        <v>2280.2364859999998</v>
      </c>
      <c r="Z94" s="3">
        <f>3328.9+(548-796.4)+(5.093217+(0.83844-1.218492))+0-650.9-0.995877000000038</f>
        <v>2433.3172880000002</v>
      </c>
      <c r="AA94" s="3">
        <f>3478.4+(332-640.8)+(-5.321952+(-0.50796--0.980424))+0-695--1.06335000000004</f>
        <v>2470.8138620000004</v>
      </c>
      <c r="AB94" s="3">
        <f>3484.9+(356.8-819.5)+(-8.886495+(-0.90984--2.089725))+0-636.9--1.62409499999991</f>
        <v>2379.2174850000001</v>
      </c>
      <c r="AC94" s="3">
        <f>3426.1+(514.8-889.3)+(-5.241933+(-0.787644--1.360629))+0-750.4--1.14811200000004</f>
        <v>2297.6791639999997</v>
      </c>
      <c r="AD94" s="2">
        <v>2476.4</v>
      </c>
      <c r="AE94" s="3">
        <f>3468+(332-559.1)+(0+(0-0))+0-764.5-0</f>
        <v>2476.4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3267.8+(698.4-1056.1)+(-3.333156+(-0.712368--1.077222))+0-730.6--0.745212000000117</f>
        <v>2177.2769100000005</v>
      </c>
      <c r="G95" s="3">
        <f>3271.8+(596.4-1092.5)+(-6.674472+(-1.216656--2.2287))+0-700.8--1.42963199999997</f>
        <v>2070.6672039999999</v>
      </c>
      <c r="H95" s="3">
        <f>3277.7+(578.4-1049.3)+(-3.343254+(-0.589968--1.070286))+0-824.3--0.840786000000131</f>
        <v>1980.47785</v>
      </c>
      <c r="I95" s="3">
        <f>3279.7+(718.9-1386.9)+(0+(0-0))+0-682.4-0</f>
        <v>1929.2999999999997</v>
      </c>
      <c r="J95" s="3">
        <f>3281.7+(780-1422.2)+(-6.694668+(-1.5912--2.901288))+0-735.9--1.50123599999997</f>
        <v>1899.7166560000001</v>
      </c>
      <c r="K95" s="3">
        <f>3048.8+(933.6-1402.1)+(-7.77444+(-2.38068--3.575355))+0-709.3--1.8087149999999</f>
        <v>1866.2289500000002</v>
      </c>
      <c r="L95" s="3">
        <f>2689.1+(1049.1-1236.4)+(-6.857205+(-2.675205--3.15282))+0-728.8--1.85843999999989</f>
        <v>1768.4788499999997</v>
      </c>
      <c r="M95" s="3">
        <f>2642.9+(908.9-1149)+(-4.043637+(-1.390617--1.75797))+0-604.2--0.924426000000035</f>
        <v>1795.8481420000001</v>
      </c>
      <c r="N95" s="3">
        <f>2741.1+(832.9-1036.8)+(-1.397961+(-0.424779--0.528768))+0-652.4--0.332723999999934</f>
        <v>1883.8387519999997</v>
      </c>
      <c r="O95" s="3">
        <f>3129.1+(758.7-1234.3)+(-3.191682+(-0.773874--1.258986))+0-643--0.655860000000102</f>
        <v>2008.4492900000002</v>
      </c>
      <c r="P95" s="3">
        <f>3139.1+(664-1091)+(1.600941+(0.33864-0.55641))+0-589.9-0.30084899999994</f>
        <v>2123.282322</v>
      </c>
      <c r="Q95" s="3">
        <f>3159.3+(829.4-1129.5)+(-1.611243+(-0.422994--0.576045))+0-684.4--0.349043999999931</f>
        <v>2173.6908520000002</v>
      </c>
      <c r="R95" s="3">
        <f>3437.3+(603.1-1239.5)+(-5.259069+(-0.922743--1.896435))+0-601.4--0.920142000000035</f>
        <v>2196.1347649999998</v>
      </c>
      <c r="S95" s="3">
        <f>3510.4+(475.5-1224.7)+(-5.370912+(-0.727515--1.873791))+0-605.5--0.926415000000035</f>
        <v>2152.4017789999998</v>
      </c>
      <c r="T95" s="3">
        <f>3451.4+(599.4-1238.3)+(-1.760214+(-0.305694--0.631533))+0-689.8--0.35179799999993</f>
        <v>2121.6174230000001</v>
      </c>
      <c r="U95" s="3">
        <f>3198.3+(567.7-1086.8)+(-3.262266+(-0.579054--1.108536))+0-574.8--0.586296000000092</f>
        <v>2102.2535120000007</v>
      </c>
      <c r="V95" s="3">
        <f>3167.7+(528.8-1049.9)+(-4.846581+(-0.809064--1.606347))+0-532.5--0.814725000000031</f>
        <v>2110.8654269999997</v>
      </c>
      <c r="W95" s="3">
        <f>3188.5+(488.8-1036.6)+(-6.50454+(-0.997152--2.114664))+0-528.8--1.07875199999998</f>
        <v>2107.5917239999994</v>
      </c>
      <c r="X95" s="3">
        <f>3157.2+(688.5-1216.8)+(-4.830516+(-1.053405--1.861704))+0-553.5--0.846855000000032</f>
        <v>2072.2246379999997</v>
      </c>
      <c r="Y95" s="3">
        <f>2984.4+(710.2-1109.7)+(-6.088176+(-1.448808--2.263788))+0-531.3--1.08385199999998</f>
        <v>2049.4106560000005</v>
      </c>
      <c r="Z95" s="3">
        <f>3110.9+(792.4-1004.6)+(0+(0-0))+0-642.2-0</f>
        <v>2256.5</v>
      </c>
      <c r="AA95" s="3">
        <f>3355.9+(617.7-1012.2)+(1.711509+(0.315027-0.516222))+0-635.6-0.324155999999936</f>
        <v>2326.9861580000002</v>
      </c>
      <c r="AB95" s="3">
        <f>3306.3+(566.4-947.4)+(-6.744852+(-1.155456--1.932696))+0-637.4--1.30029599999997</f>
        <v>2283.2326840000001</v>
      </c>
      <c r="AC95" s="3">
        <f>3221.3+(685-1018.3)+(-4.928589+(-1.04805--1.557999))+0-646--0.988380000000037</f>
        <v>2238.5697400000004</v>
      </c>
      <c r="AD95" s="2">
        <v>2221.8999999999996</v>
      </c>
      <c r="AE95" s="3">
        <f>3345+(565.6-942)+(0+(0-0))+0-746.7-0</f>
        <v>2221.8999999999996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3333.4+(772-1361.8)+(-3.400068+(-0.78744--1.389036))+0-604.3--0.616386000000096</f>
        <v>2137.1179140000008</v>
      </c>
      <c r="G96" s="3">
        <f>3278.7+(670.4-1487)+(-1.672137+(-0.341904--0.75837))+0-441.6--0.225215999999955</f>
        <v>2019.4695450000002</v>
      </c>
      <c r="H96" s="3">
        <f>3264.7+(767.6-1488.9)+(-3.329994+(-0.782952--1.518678))+0-594.7--0.606594000000095</f>
        <v>1946.7123259999998</v>
      </c>
      <c r="I96" s="3">
        <f>3234.3+(795.7-1377.8)+(-3.298986+(-0.811614--1.405356))+0-731.8--0.746436000000117</f>
        <v>1918.4411920000002</v>
      </c>
      <c r="J96" s="3">
        <f>3066.6+(903.7-1323.4)+(-4.691898+(-1.382661--2.024802))+0-731.4--1.11904200000004</f>
        <v>1912.5692849999998</v>
      </c>
      <c r="K96" s="3">
        <f>2923.7+(990.1-1319.9)+(-7.455435+(-2.524755--3.365745))+0-729.6--1.86047999999989</f>
        <v>1859.5460349999994</v>
      </c>
      <c r="L96" s="3">
        <f>2673.4+(1038.2-1131.4)+(2.726868+(1.058964-1.154028))+0-691.4-0.70522800000011</f>
        <v>1890.7265759999998</v>
      </c>
      <c r="M96" s="3">
        <f>2727.5+(962.2-1013.4)+(0+(0-0))+0-589.5-0</f>
        <v>2086.8000000000002</v>
      </c>
      <c r="N96" s="3">
        <f>2949.6+(807.4-852.1)+(3.008592+(0.823548-0.869142))+0-525-0.535500000000084</f>
        <v>2382.3274979999997</v>
      </c>
      <c r="O96" s="3">
        <f>3112.3+(608.5-573.8)+(0+(0-0))+0-580-0</f>
        <v>2567</v>
      </c>
      <c r="P96" s="3">
        <f>3219.4+(432.9-446.8)+(1.641894+(0.220779-0.227868))+0-519-0.264689999999947</f>
        <v>2687.8701150000002</v>
      </c>
      <c r="Q96" s="3">
        <f>3305.8+(592.6-632.9)+(3.371916+(0.604452-0.645558))+0-499.1-0.50908200000008</f>
        <v>2769.221728</v>
      </c>
      <c r="R96" s="3">
        <f>3414.2+(732.1-694.8)+(0+(0-0))+0-670.9-0</f>
        <v>2780.6</v>
      </c>
      <c r="S96" s="3">
        <f>3407.2+(501.3-752.2)+(-1.737672+(-0.255663--0.383622))+0-583.9--0.297788999999941</f>
        <v>2571.0880759999995</v>
      </c>
      <c r="T96" s="3">
        <f>3519.4+(657-915.9)+(-3.589788+(-0.67014--0.934218))+0-587.4--0.599148000000094</f>
        <v>2670.3734380000001</v>
      </c>
      <c r="U96" s="3">
        <f>3529.7+(778.4-1036.1)+(3.600294+(0.793968-1.056822))+0-558.3-0.569466000000089</f>
        <v>2716.4679740000001</v>
      </c>
      <c r="V96" s="3">
        <f>3388.4+(619.7-902.6)+(-5.184252+(-0.948141--1.380978))+0-385.4--0.589662000000022</f>
        <v>2715.9382469999996</v>
      </c>
      <c r="W96" s="3">
        <f>3081.7+(371.6-395.3)+(-7.858335+(-0.94758--1.008015))+0-366.4--0.934319999999947</f>
        <v>2684.7364199999997</v>
      </c>
      <c r="X96" s="3">
        <f>3085.8+(492.2-575.1)+(-6.295032+(-1.004088--1.173204))+0-452.7--0.92350799999998</f>
        <v>2544.9975920000002</v>
      </c>
      <c r="Y96" s="3">
        <f>3040.1+(596.7-860.8)+(-6.201804+(-1.217268--1.756032))+0-294.1--0.599963999999987</f>
        <v>2476.8369240000002</v>
      </c>
      <c r="Z96" s="3">
        <f>3238.7+(385.6-520.1)+(3.303474+(0.393312-0.530502))+0-507.7-0.517854000000081</f>
        <v>2599.1484299999997</v>
      </c>
      <c r="AA96" s="3">
        <f>3544.2+(326.5-655.1)+(-5.422626+(-0.499545--1.002303))+0-555.3--0.849609000000032</f>
        <v>2656.2297410000001</v>
      </c>
      <c r="AB96" s="3">
        <f>3413.9+(281.9-524)+(1.741089+(0.143769-0.26724))+0-579.7-0.295646999999941</f>
        <v>2593.4219710000007</v>
      </c>
      <c r="AC96" s="3">
        <f>3405.1+(543.7-748.6)+(1.736601+(0.277287-0.381786))+0-687.8-0.35077799999993</f>
        <v>2513.6813240000001</v>
      </c>
      <c r="AD96" s="2">
        <v>2630.7</v>
      </c>
      <c r="AE96" s="3">
        <f>3538+(298.8-685.3)+(0+(0-0))+0-520.8-0</f>
        <v>2630.7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3389.5+(769.4-1118.5)+(-6.91458+(-1.569576--2.28174))+0-660.5--1.34741999999997</f>
        <v>2375.0450040000001</v>
      </c>
      <c r="G97" s="3">
        <f>3294.5+(928.3-1298.5)+(-5.040585+(-1.420299--1.986705))+0-685.8--1.04927400000004</f>
        <v>2235.0750950000001</v>
      </c>
      <c r="H97" s="3">
        <f>3264.5+(1051.5-1388.2)+(1.664895+(0.536265-0.707982))+0-761.6-0.388415999999923</f>
        <v>2167.3047620000007</v>
      </c>
      <c r="I97" s="3">
        <f>3186.9+(1065.7-1508.7)+(6.501276+(2.174028-3.077748))+0-631.6-1.28846399999997</f>
        <v>2116.6090920000006</v>
      </c>
      <c r="J97" s="3">
        <f>3206.1+(1085.1-1489.6)+(-8.175555+(-2.767005--3.79848))+0-700--1.7849999999999</f>
        <v>2096.2409199999997</v>
      </c>
      <c r="K97" s="3">
        <f>3021.4+(1176.5-1409.8)+(-7.70457+(-3.000075--3.59499))+0-709.9--1.8102449999999</f>
        <v>2072.9005900000002</v>
      </c>
      <c r="L97" s="3">
        <f>2895.7+(915.9-1254.7)+(-4.430421+(-1.401327--1.919691))+0-509.9--0.780147000000029</f>
        <v>2043.8680899999995</v>
      </c>
      <c r="M97" s="3">
        <f>2886+(911.3-980.9)+(4.41558+(1.394289-1.500777))+0-589-0.901170000000034</f>
        <v>2230.807922</v>
      </c>
      <c r="N97" s="3">
        <f>3047.3+(1015.6-1062.7)+(1.554123+(0.517956-0.541977))+0-525.3-0.267902999999947</f>
        <v>2476.1621990000003</v>
      </c>
      <c r="O97" s="3">
        <f>3294.9+(675.3-956.7)+(1.680399+(0.344403-0.487917))+0-352.1-0.179570999999964</f>
        <v>2662.757314</v>
      </c>
      <c r="P97" s="3">
        <f>3533+(388.9-706.4)+(5.40549+(0.595017-1.080792))+0-425.6-0.651168000000025</f>
        <v>2794.1685470000002</v>
      </c>
      <c r="Q97" s="3">
        <f>3752.6+(485.3-752.9)+(0+(0-0))+0-618.4-0</f>
        <v>2866.6</v>
      </c>
      <c r="R97" s="3">
        <f>3806.6+(542-902.3)+(-7.765464+(-1.10568--1.840692))+0-567--1.15667999999998</f>
        <v>2873.4262280000003</v>
      </c>
      <c r="S97" s="3">
        <f>3789.8+(434.3-1100)+(-7.731192+(-0.885972--2.244))+0-490.8--1.00123199999998</f>
        <v>2627.9280680000002</v>
      </c>
      <c r="T97" s="3">
        <f>3688.5+(518.1-948.7)+(0+(0-0))+0-523.9-0</f>
        <v>2734</v>
      </c>
      <c r="U97" s="3">
        <f>3672.6+(603.5-960.6)+(-1.873026+(-0.307785--0.489906))+0-524.6--0.267545999999947</f>
        <v>2789.4766410000002</v>
      </c>
      <c r="V97" s="3">
        <f>3575.8+(494.4-816.4)+(-5.470974+(-0.756432--1.249092))+0-459.3--0.702729000000027</f>
        <v>2790.2244150000001</v>
      </c>
      <c r="W97" s="3">
        <f>3315.9+(317.2-624.2)+(-8.455545+(-0.80886--1.59171))+0-266.5--0.679574999999961</f>
        <v>2735.40688</v>
      </c>
      <c r="X97" s="3">
        <f>3283.2+(604.9-1002.8)+(-6.697728+(-1.233996--2.045712))+0-227.9--0.46491599999999</f>
        <v>2651.9789039999996</v>
      </c>
      <c r="Y97" s="3">
        <f>3238.9+(709.7-903.1)+(-6.607356+(-1.447788--1.842324))+0-485.6--0.990623999999979</f>
        <v>2554.6778039999999</v>
      </c>
      <c r="Z97" s="3">
        <f>3413+(517.2-704.5)+(1.74063+(0.263772-0.359295))+0-572.4-0.291923999999942</f>
        <v>2654.6531829999994</v>
      </c>
      <c r="AA97" s="3">
        <f>3758.4+(426.8-872.2)+(-1.916784+(-0.217668--0.444822))+0-616.1--0.314210999999938</f>
        <v>2695.5245810000001</v>
      </c>
      <c r="AB97" s="3">
        <f>3815.5+(540.5-1013.7)+(-9.729525+(-1.378275--2.584935))+0-700.8--1.7870399999999</f>
        <v>2634.7641749999998</v>
      </c>
      <c r="AC97" s="3">
        <f>3815.7+(587.5-1181.3)+(-3.892014+(-0.59925--1.204926))+0-676.3--0.689826000000108</f>
        <v>2543.0034879999998</v>
      </c>
      <c r="AD97" s="2">
        <v>2636.1000000000004</v>
      </c>
      <c r="AE97" s="3">
        <f>3771+(505.1-861.7)+(0+(0-0))+0-778.3-0</f>
        <v>2636.1000000000004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3748+(636.4-1281.1)+(-7.64592+(-1.298256--2.613444))+0-707.3--1.44289199999997</f>
        <v>2391.1121600000006</v>
      </c>
      <c r="G98" s="3">
        <f>3389.2+(884.8-1313.4)+(-5.185476+(-1.353744--2.009502))+0-707.6--1.08262800000004</f>
        <v>2249.5529099999999</v>
      </c>
      <c r="H98" s="3">
        <f>3094.3+(1134.2-1420.4)+(-6.312372+(-2.313768--2.897616))+0-674--1.37495999999997</f>
        <v>2129.7464360000004</v>
      </c>
      <c r="I98" s="3">
        <f>2920.9+(1203.7-1344.8)+(-1.489659+(-0.613887--0.685848))+0-689--0.35138999999993</f>
        <v>2089.7336919999998</v>
      </c>
      <c r="J98" s="3">
        <f>2903.4+(1049.1-1229)+(-5.922936+(-2.140164--2.50716))+0-653--1.33211999999997</f>
        <v>2066.2761799999998</v>
      </c>
      <c r="K98" s="3">
        <f>2853.9+(1125.8-1206.6)+(-7.277445+(-2.87079--3.07683))+0-727.2--1.85435999999989</f>
        <v>2040.682955</v>
      </c>
      <c r="L98" s="3">
        <f>2705.4+(1043.1-1043)+(-4.139262+(-1.595943--1.59579))+0-658.7--1.00781100000004</f>
        <v>2043.6683959999998</v>
      </c>
      <c r="M98" s="3">
        <f>2713.5+(1047.6-917.2)+(2.76777+(1.068552-0.935544))+0-617.1-0.629442000000098</f>
        <v>2229.071336</v>
      </c>
      <c r="N98" s="3">
        <f>2918.9+(956.6-716.4)+(2.977278+(0.975732-0.730728))+0-718.1-0.732462000000115</f>
        <v>2443.4898200000007</v>
      </c>
      <c r="O98" s="3">
        <f>3212.6+(809.6-618.4)+(0+(0-0))+0-684-0</f>
        <v>2719.8</v>
      </c>
      <c r="P98" s="3">
        <f>3281.7+(613-497.8)+(0+(0-0))+0-600.2-0</f>
        <v>2796.7</v>
      </c>
      <c r="Q98" s="3">
        <f>3274.7+(443.3-273.4)+(3.340194+(0.452166-0.278868))+0-567.5-0.57885000000009</f>
        <v>2880.0346420000001</v>
      </c>
      <c r="R98" s="3">
        <f>3516+(500-515.8)+(5.37948+(0.765-0.789174))+0-644.8-0.986544000000037</f>
        <v>2859.7687620000002</v>
      </c>
      <c r="S98" s="3">
        <f>3746.6+(411.9-991.6)+(-7.643064+(-0.840276--2.022864))+0-528.8--1.07875199999998</f>
        <v>2632.7182759999992</v>
      </c>
      <c r="T98" s="3">
        <f>3545.3+(725-961.2)+(1.808103+(0.36975-0.490212))+0-594.1-0.30299099999994</f>
        <v>2716.3846500000004</v>
      </c>
      <c r="U98" s="3">
        <f>3328.1+(924.6-1007.5)+(-8.486655+(-2.35773--2.569125))+0-475.4--1.21226999999993</f>
        <v>2762.7370099999998</v>
      </c>
      <c r="V98" s="3">
        <f>3309.7+(995-911.2)+(-6.751788+(-2.0298--1.858848))+0-625--1.27499999999997</f>
        <v>2762.8522600000001</v>
      </c>
      <c r="W98" s="3">
        <f>3423.1+(511.7-786)+(-10.474686+(-1.565802--2.40516))+0-429.5--1.31427000000005</f>
        <v>2710.9789419999997</v>
      </c>
      <c r="X98" s="3">
        <f>3548.2+(623-992.1)+(-10.857492+(-1.90638--3.035826))+0-511.6--1.56549600000006</f>
        <v>2659.33745</v>
      </c>
      <c r="Y98" s="3">
        <f>3407.5+(650.3-938.1)+(-8.689125+(-1.658265--2.392155))+0-553.1--1.41040499999992</f>
        <v>2560.0551700000001</v>
      </c>
      <c r="Z98" s="3">
        <f>3468.4+(447.8-634)+(-1.768884+(-0.228378--0.32334))+0-615.1--0.313700999999938</f>
        <v>2665.7397790000005</v>
      </c>
      <c r="AA98" s="3">
        <f>3545.7+(292.6-649.5)+(-3.616614+(-0.298452--0.66249))+0-487.7--0.497454000000078</f>
        <v>2698.3448780000003</v>
      </c>
      <c r="AB98" s="3">
        <f>3541.2+(296.9-523.7)+(-1.806012+(-0.151419--0.267087))+0-701.4--0.357713999999929</f>
        <v>2611.6673699999992</v>
      </c>
      <c r="AC98" s="3">
        <f>3538.9+(251.8-785)+(-3.609678+(-0.256836--0.8007))+0-492.6--0.502452000000079</f>
        <v>2510.536638</v>
      </c>
      <c r="AD98" s="2">
        <v>2609.1999999999998</v>
      </c>
      <c r="AE98" s="3">
        <f>3529+(370.6-508.3)+(0+(0-0))+0-782.1-0</f>
        <v>2609.2000000000003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3416.8+(534.9-989.3)+(-6.970272+(-1.091196--2.018172))+0-605.8--1.23583199999997</f>
        <v>2351.7925360000004</v>
      </c>
      <c r="G99" s="3">
        <f>3214.5+(850.1-1136)+(-3.27879+(-0.867102--1.15872))+0-685.8--0.699516000000109</f>
        <v>2240.5123440000002</v>
      </c>
      <c r="H99" s="3">
        <f>3032.1+(986.7-1260.8)+(-6.185484+(-2.012868--2.572032))+0-603.4--1.23093599999997</f>
        <v>2150.204616</v>
      </c>
      <c r="I99" s="3">
        <f>3026+(992.8-1341.2)+(-7.7163+(-2.53164--3.42006))+0-565.1--1.44100499999992</f>
        <v>2107.1131250000003</v>
      </c>
      <c r="J99" s="3">
        <f>2960.3+(978.4-1239.6)+(3.019506+(0.997968-1.264392))+0-600.5-0.612510000000096</f>
        <v>2100.7405720000006</v>
      </c>
      <c r="K99" s="3">
        <f>2936.2+(1021.4-1276.3)+(-7.48731+(-2.60457--3.254565))+0-612.3--1.56136499999991</f>
        <v>2063.7240499999994</v>
      </c>
      <c r="L99" s="3">
        <f>2820.8+(914.6-1086.9)+(-7.19304+(-2.33223--2.771595))+0-606.5--1.54657499999991</f>
        <v>2036.7928999999999</v>
      </c>
      <c r="M99" s="3">
        <f>2848.3+(828.7-928.4)+(2.905266+(0.845274-0.946968))+0-536.8-0.547536000000086</f>
        <v>2214.0560359999999</v>
      </c>
      <c r="N99" s="3">
        <f>3073.6+(615.1-840.3)+(1.567536+(0.313701-0.428553))+0-360.4-0.183803999999963</f>
        <v>2489.2688800000001</v>
      </c>
      <c r="O99" s="3">
        <f>3284.9+(612.9-631.6)+(-1.675299+(-0.312579--0.322116))+0-590.8--0.30130799999994</f>
        <v>2674.0355460000001</v>
      </c>
      <c r="P99" s="3">
        <f>3346.7+(493.8-582.3)+(1.706817+(0.251838-0.296973))+0-479.3-0.244442999999951</f>
        <v>2780.3172389999995</v>
      </c>
      <c r="Q99" s="3">
        <f>3541.7+(272.3-476.8)+(-5.418801+(-0.416619--0.729504))+0-503--0.769590000000029</f>
        <v>2829.8636739999997</v>
      </c>
      <c r="R99" s="3">
        <f>3864.8+(368.8-884.8)+(-3.942096+(-0.376176--0.902496))+0-488.6--0.498372000000078</f>
        <v>2857.2825960000005</v>
      </c>
      <c r="S99" s="3">
        <f>3866+(221.9-1038.7)+(-13.80162+(-0.792183--3.708159))+0-424.7--1.51617900000001</f>
        <v>2615.1305350000002</v>
      </c>
      <c r="T99" s="3">
        <f>3854.7+(225-1109.2)+(-1.965897+(-0.11475--0.565692))+0-257.2--0.131171999999974</f>
        <v>2711.916217</v>
      </c>
      <c r="U99" s="3">
        <f>3853.2+(351.9-985.6)+(0+(0-0))+0-451.8-0</f>
        <v>2767.7</v>
      </c>
      <c r="V99" s="3">
        <f>3839.3+(347-986.9)+(-5.874129+(-0.53091--1.509957))+0-438.2--0.670446000000025</f>
        <v>2756.9753640000004</v>
      </c>
      <c r="W99" s="3">
        <f>3739.8+(408.5-774.7)+(-7.629192+(-0.83334--1.580388))+0-643--1.31171999999997</f>
        <v>2725.0295760000004</v>
      </c>
      <c r="X99" s="3">
        <f>3245.9+(635.5-810.8)+(-4.966227+(-0.972315--1.240524))+0-415.3--0.635409000000024</f>
        <v>2651.2373910000001</v>
      </c>
      <c r="Y99" s="3">
        <f>3121.6+(694.5-777.4)+(-3.184032+(-0.70839--0.792948))+0-511.4--0.521628000000081</f>
        <v>2524.7221539999996</v>
      </c>
      <c r="Z99" s="3">
        <f>3184.5+(489.9-470.1)+(-1.624095+(-0.249849--0.239751))+0-580.2--0.295901999999941</f>
        <v>2622.7617090000003</v>
      </c>
      <c r="AA99" s="3">
        <f>3464.1+(366.8-587)+(-5.300073+(-0.561204--0.89811))+0-593--0.907290000000034</f>
        <v>2646.8441230000003</v>
      </c>
      <c r="AB99" s="3">
        <f>3430.1+(418.4-770.5)+(-6.997404+(-0.853536--1.57182))+0-482.6--0.984503999999979</f>
        <v>2590.105384</v>
      </c>
      <c r="AC99" s="3">
        <f>3446.6+(774.8-1078.1)+(-3.515532+(-0.790296--1.099662))+0-630.5--0.643110000000101</f>
        <v>2510.2369440000002</v>
      </c>
      <c r="AD99" s="2">
        <v>2621.1999999999998</v>
      </c>
      <c r="AE99" s="3">
        <f>3459+(401.2-542.9)+(0+(0-0))+0-696.1-0</f>
        <v>2621.2000000000003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3380.9+(925.9-1378.8)+(-1.724259+(-0.472209--0.703188))+0-577.6--0.294575999999941</f>
        <v>2349.2012959999997</v>
      </c>
      <c r="G100" s="3">
        <f>3475+(816.3-1439.2)+(-5.31675+(-1.248939--2.201976))+0-625.5--0.957015000000036</f>
        <v>2223.1933019999997</v>
      </c>
      <c r="H100" s="3">
        <f>3453.7+(634.7-1271)+(-5.284161+(-0.971091--1.94463))+0-677.8--1.03703400000004</f>
        <v>2136.3264119999994</v>
      </c>
      <c r="I100" s="3">
        <f>3453.7+(608-1300.1)+(0+(0-0))+0-670.6-0</f>
        <v>2091</v>
      </c>
      <c r="J100" s="3">
        <f>3346.4+(639.4-1204.2)+(-8.53332+(-1.63047--3.07071))+0-697.5--1.7786249999999</f>
        <v>2078.7855449999997</v>
      </c>
      <c r="K100" s="3">
        <f>3149.9+(653-1245)+(-6.425796+(-1.33212--2.5398))+0-507.3--1.03489199999998</f>
        <v>2046.416776</v>
      </c>
      <c r="L100" s="3">
        <f>2934+(756.2-1029)+(-4.48902+(-1.156986--1.57437))+0-628.2--0.961146000000036</f>
        <v>2029.8895099999997</v>
      </c>
      <c r="M100" s="3">
        <f>2944.5+(674.9-932.9)+(3.00339+(0.688398-0.951558))+0-473.8-0.483276000000076</f>
        <v>2214.9569539999998</v>
      </c>
      <c r="N100" s="3">
        <f>3175.1+(569.5-669.7)+(3.238602+(0.58089-0.683094))+0-587.2-0.598944000000094</f>
        <v>2490.2374539999992</v>
      </c>
      <c r="O100" s="3">
        <f>3336.2+(467.6-626.6)+(-3.402924+(-0.476952--0.639132))+0-498.6--0.50857200000008</f>
        <v>2675.8678279999999</v>
      </c>
      <c r="P100" s="3">
        <f>3416.4+(433.6-452.3)+(0+(0-0))+0-582.5-0</f>
        <v>2815.2000000000003</v>
      </c>
      <c r="Q100" s="3">
        <f>3574.7+(473.2-611.1)+(5.469291+(0.723996-0.934983))+0-535.9-0.819927000000031</f>
        <v>2905.3383769999996</v>
      </c>
      <c r="R100" s="3">
        <f>3737.9+(567.3-873.7)+(-1.906329+(-0.289323--0.445587))+0-556.6--0.283865999999944</f>
        <v>2873.4338009999997</v>
      </c>
      <c r="S100" s="3">
        <f>3703.6+(278.7-753.6)+(-3.777672+(-0.284274--0.768672))+0-575.6--0.587112000000092</f>
        <v>2650.393838</v>
      </c>
      <c r="T100" s="3">
        <f>3670.7+(382.5-790.5)+(-1.872057+(-0.195075--0.403155))+0-543--0.276929999999945</f>
        <v>2718.3129529999997</v>
      </c>
      <c r="U100" s="3">
        <f>3639.6+(534.8-814.1)+(5.568588+(0.818244-1.245573))+0-583.6-0.892908000000034</f>
        <v>2780.948351</v>
      </c>
      <c r="V100" s="3">
        <f>3468+(534-787.7)+(-3.53736+(-0.54468--0.803454))+0-457.9--0.467058000000073</f>
        <v>2753.5884720000004</v>
      </c>
      <c r="W100" s="3">
        <f>3486.8+(443.4-654.9)+(-5.334804+(-0.678402--1.001997))+0-553.1--0.846243000000032</f>
        <v>2718.0350340000005</v>
      </c>
      <c r="X100" s="3">
        <f>3399+(558.2-787.4)+(-10.40094+(-1.708092--2.409444))+0-493.3--1.50949800000006</f>
        <v>2668.3099099999999</v>
      </c>
      <c r="Y100" s="3">
        <f>3136.6+(676.6-893.7)+(-6.398664+(-1.380264--1.823148))+0-377.4--0.769895999999983</f>
        <v>2536.9141159999999</v>
      </c>
      <c r="Z100" s="3">
        <f>3286.3+(635.5-785.2)+(3.352026+(0.64821-0.800904))+0-510.5-0.520710000000081</f>
        <v>2628.7786220000003</v>
      </c>
      <c r="AA100" s="3">
        <f>3713.2+(357.3-861.6)+(-3.787464+(-0.364446--0.878832))+0-521.5--0.531930000000083</f>
        <v>2684.6588519999996</v>
      </c>
      <c r="AB100" s="3">
        <f>3720.6+(409.7-933.7)+(1.897506+(0.208947-0.476187))+0-572.4-0.291923999999942</f>
        <v>2625.5383419999998</v>
      </c>
      <c r="AC100" s="3">
        <f>3723.9+(575.4-1015.8)+(0+(0-0))+0-747.3-0</f>
        <v>2536.1999999999998</v>
      </c>
      <c r="AD100" s="2">
        <v>2610.1000000000004</v>
      </c>
      <c r="AE100" s="3">
        <f>3717+(458.3-843.5)+(0+(0-0))+0-721.7-0</f>
        <v>2610.1000000000004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3694.5+(620.9-1341.5)+(1.884195+(0.316659-0.684165))+0-579.2-0.295391999999941</f>
        <v>2395.9212969999999</v>
      </c>
      <c r="G101" s="3">
        <f>3626.5+(557.7-1159.8)+(3.69903+(0.568854-1.182996))+0-768.8-0.784176000000123</f>
        <v>2257.9007119999997</v>
      </c>
      <c r="H101" s="3">
        <f>3134.6+(695.4-1133.8)+(0+(0-0))+0-556.5-0</f>
        <v>2139.6999999999998</v>
      </c>
      <c r="I101" s="3">
        <f>2878.3+(907.4-1004.4)+(1.467933+(0.462774-0.512244))+0-690.2-0.35200199999993</f>
        <v>2092.1664610000003</v>
      </c>
      <c r="J101" s="3">
        <f>2853.3+(1032.8-1172.2)+(1.455183+(0.526728-0.597822))+0-640.7-0.326756999999935</f>
        <v>2074.2573320000001</v>
      </c>
      <c r="K101" s="3">
        <f>2939.5+(1100.9-1200)+(-2.99829+(-1.122918--1.224))+0-793.6--0.809472000000127</f>
        <v>2044.7122640000005</v>
      </c>
      <c r="L101" s="3">
        <f>2826.9+(884.4-1061.4)+(-2.883438+(-0.902088--1.082628))+0-644.3--0.657186000000103</f>
        <v>2003.5542880000003</v>
      </c>
      <c r="M101" s="3">
        <f>2709.3+(751.3-776.6)+(4.145229+(1.149489-1.188198))+0-516.4-0.79009200000003</f>
        <v>2170.9164279999995</v>
      </c>
      <c r="N101" s="3">
        <f>2804+(938.4-622.6)+(7.1502+(2.39292-1.58763))+0-661.2-1.6860599999999</f>
        <v>2464.8694299999997</v>
      </c>
      <c r="O101" s="3">
        <f>2923.4+(704.4-596.7)+(5.963736+(1.436976-1.217268))+0-396.8-0.809471999999983</f>
        <v>2639.6739719999996</v>
      </c>
      <c r="P101" s="3">
        <f>3171.7+(615.8-481.2)+(6.470268+(1.256232-0.981648))+0-546.3-1.11445199999998</f>
        <v>2765.6304</v>
      </c>
      <c r="Q101" s="3">
        <f>3328.5+(709.5-580)+(5.092605+(1.085535-0.8874))+0-629.6-0.963288000000036</f>
        <v>2832.7274520000001</v>
      </c>
      <c r="R101" s="3">
        <f>3380.6+(765.9-645.1)+(6.896424+(1.562436-1.316004))+0-666.3-1.35925199999997</f>
        <v>2840.8836039999997</v>
      </c>
      <c r="S101" s="3">
        <f>3299.5+(455.8-600.4)+(-8.413725+(-1.16229--1.53102))+0-571.7--1.45783499999992</f>
        <v>2576.6128399999993</v>
      </c>
      <c r="T101" s="3">
        <f>3220.8+(294.5-688.1)+(0+(0-0))+0-233.9-0</f>
        <v>2593.3000000000002</v>
      </c>
      <c r="U101" s="3">
        <f>3217.6+(385.4-665.5)+(0+(0-0))+0-333-0</f>
        <v>2604.5</v>
      </c>
      <c r="V101" s="3">
        <f>3223.9+(420.9-685.2)+(0+(0-0))+0-397-0</f>
        <v>2562.6</v>
      </c>
      <c r="W101" s="3">
        <f>3215.5+(560.4-866.5)+(-6.55962+(-1.143216--1.76766))+0-385.1--0.785603999999983</f>
        <v>2519.1504280000004</v>
      </c>
      <c r="X101" s="3">
        <f>3053.6+(949.9-1087.2)+(-9.344016+(-2.906694--3.326832))+0-451.1--1.38036600000005</f>
        <v>2457.6564879999996</v>
      </c>
      <c r="Y101" s="3">
        <f>3048.8+(695.6-910.7)+(-6.219552+(-1.419024--1.857828))+0-409.2--0.834767999999982</f>
        <v>2419.5540200000005</v>
      </c>
      <c r="Z101" s="3">
        <f>3158.2+(690.6-781.9)+(3.221364+(0.704412-0.797538))+0-511.4-0.521628000000081</f>
        <v>2558.1066099999994</v>
      </c>
      <c r="AA101" s="3">
        <f>3383.9+(440-721.7)+(-12.080523+(-1.5708--2.576469))+0-507.3--1.81106100000001</f>
        <v>2585.6362069999996</v>
      </c>
      <c r="AB101" s="3">
        <f>3356.5+(499.5-693.6)+(-5.135445+(-0.764235--1.061208))+0-644.3--0.985779000000037</f>
        <v>2514.2473070000001</v>
      </c>
      <c r="AC101" s="3">
        <f>3201.8+(731.4-840.9)+(-6.531672+(-1.492056--1.715436))+0-644.6--1.31498399999997</f>
        <v>2442.7066920000002</v>
      </c>
      <c r="AD101" s="2">
        <v>2475.3000000000002</v>
      </c>
      <c r="AE101" s="3">
        <f>3332+(422.9-606.9)+(0+(0-0))+0-672.7-0</f>
        <v>2475.3000000000002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3127+(702.5-843.4)+(3.18954+(0.71655-0.860268))+0-637.9-0.650658000000102</f>
        <v>2350.5951639999998</v>
      </c>
      <c r="G102" s="3">
        <f>3037.7+(770-896.5)+(-6.196908+(-1.5708--1.82886))+0-681.6--1.39046399999997</f>
        <v>2225.0516160000002</v>
      </c>
      <c r="H102" s="3">
        <f>2795.7+(984.6-937.1)+(-4.277421+(-1.506438--1.433763))+0-731.1--1.11858300000004</f>
        <v>2108.8684869999997</v>
      </c>
      <c r="I102" s="3">
        <f>2776.4+(1034.8-997)+(-2.831928+(-1.055496--1.01694))+0-752.6--0.76765200000012</f>
        <v>2059.4971679999999</v>
      </c>
      <c r="J102" s="3">
        <f>2785.6+(1122.7-1222.8)+(-2.841312+(-1.145154--1.247256))+0-650.1--0.663102000000104</f>
        <v>2033.3238920000001</v>
      </c>
      <c r="K102" s="3">
        <f>2791.8+(1178.9-1219.2)+(-4.271454+(-1.803717--1.865376))+0-762.7--1.16693100000004</f>
        <v>1985.7571359999997</v>
      </c>
      <c r="L102" s="3">
        <f>2729.4+(1055.7-1185.9)+(-6.95997+(-2.692035--3.024045))+0-724.3--1.84696499999989</f>
        <v>1870.119005</v>
      </c>
      <c r="M102" s="3">
        <f>2417.5+(983.6-1042.5)+(-1.232925+(-0.501636--0.531675))+0-454.4--0.231743999999954</f>
        <v>1903.2288579999997</v>
      </c>
      <c r="N102" s="3">
        <f>2321.5+(1128.1-909.4)+(-2.36793+(-1.150662--0.927588))+0-504.3--0.51438600000008</f>
        <v>2033.823382</v>
      </c>
      <c r="O102" s="3">
        <f>2325.5+(1057.1-745.7)+(-3.558015+(-1.617363--1.140921))+0-495.1--0.757503000000029</f>
        <v>2138.5230459999993</v>
      </c>
      <c r="P102" s="3">
        <f>2574.8+(921-603.6)+(0+(0-0))+0-647.6-0</f>
        <v>2244.6000000000004</v>
      </c>
      <c r="Q102" s="3">
        <f>2846.2+(682-597.6)+(2.903124+(0.69564-0.609552))+0-617.5-0.629850000000099</f>
        <v>2315.4593619999996</v>
      </c>
      <c r="R102" s="3">
        <f>2876.8+(685.5-573.1)+(1.467168+(0.349605-0.292281))+0-644.3-0.328592999999935</f>
        <v>2346.0958990000004</v>
      </c>
      <c r="S102" s="3">
        <f>2841+(789.4-718.4)+(1.44891+(0.402594-0.366384))+0-603.3-0.307682999999939</f>
        <v>2309.8774370000001</v>
      </c>
      <c r="T102" s="3">
        <f>2960.1+(893.4-947.6)+(-1.509651+(-0.455634--0.483276))+0-609.1--0.310640999999938</f>
        <v>2295.6286319999999</v>
      </c>
      <c r="U102" s="3">
        <f>3059.2+(973.1-1149.4)+(-1.560192+(-0.496281--0.586194))+0-602.5--0.307274999999939</f>
        <v>2279.2369959999996</v>
      </c>
      <c r="V102" s="3">
        <f>3047.2+(886.1-1201.5)+(1.554072+(0.451911-0.612765))+0-461.6-0.235415999999953</f>
        <v>2271.357802</v>
      </c>
      <c r="W102" s="3">
        <f>2872+(800.2-891.5)+(-7.3236+(-2.04051--2.273325))+0-549.2--1.40045999999992</f>
        <v>2225.8096749999995</v>
      </c>
      <c r="X102" s="3">
        <f>2574.3+(1049.2-1023.5)+(-6.564465+(-2.67546--2.609925))+0-392.2--1.00010999999994</f>
        <v>2202.17011</v>
      </c>
      <c r="Y102" s="3">
        <f>2501.3+(912.7-889.2)+(-1.275663+(-0.465477--0.453492))+0-372.8--0.190127999999962</f>
        <v>2150.9024800000002</v>
      </c>
      <c r="Z102" s="3">
        <f>2605.1+(755.4-485.1)+(-2.657202+(-0.770508--0.494802))+0-564.9--0.57619800000009</f>
        <v>2308.1432899999995</v>
      </c>
      <c r="AA102" s="3">
        <f>2827.5+(477-456.4)+(-7.210125+(-1.21635--1.16382))+0-434.9--1.10899499999994</f>
        <v>2407.0463399999999</v>
      </c>
      <c r="AB102" s="3">
        <f>2823.2+(715.4-490.1)+(-1.439832+(-0.364854--0.249951))+0-663.2--0.338231999999933</f>
        <v>2384.0834969999996</v>
      </c>
      <c r="AC102" s="3">
        <f>3064.1+(823.1-872.4)+(-4.688073+(-1.259343--1.334772))+0-626.5--0.958545000000036</f>
        <v>2384.6459010000003</v>
      </c>
      <c r="AD102" s="2">
        <v>2374.3999999999996</v>
      </c>
      <c r="AE102" s="3">
        <f>2830+(683.4-482.3)+(0+(0-0))+0-656.7-0</f>
        <v>2374.3999999999996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3096.3+(1002.7-1236.8)+(0+(0-0))+0-573.1-0</f>
        <v>2289.1000000000004</v>
      </c>
      <c r="G103" s="3">
        <f>3028.2+(992.6-1191.2)+(-1.544382+(-0.506226--0.607512))+0-661.5--0.337364999999933</f>
        <v>2166.9942689999998</v>
      </c>
      <c r="H103" s="3">
        <f>2615.9+(1092.4-884.2)+(1.334109+(0.557124-0.450942))+0-718.3-0.366332999999927</f>
        <v>2106.8739580000001</v>
      </c>
      <c r="I103" s="3">
        <f>2623.5+(1080-984.6)+(0+(0-0))+0-645.9-0</f>
        <v>2073</v>
      </c>
      <c r="J103" s="3">
        <f>2631.3+(1163-1051.9)+(-2.683926+(-1.18626--1.072938))+0-673.5--0.686970000000107</f>
        <v>2066.7897220000004</v>
      </c>
      <c r="K103" s="3">
        <f>2626.2+(1142.9-1082.3)+(-6.69681+(-2.914395--2.759865))+0-656.1--1.6730549999999</f>
        <v>2025.5217150000001</v>
      </c>
      <c r="L103" s="3">
        <f>2515.6+(1181.3-1050.8)+(0+(0-0))+0-622.7-0</f>
        <v>2023.3999999999999</v>
      </c>
      <c r="M103" s="3">
        <f>2524.6+(1158.5-844.3)+(2.575092+(1.18167-0.861186))+0-606.9-0.619038000000097</f>
        <v>2234.1765379999997</v>
      </c>
      <c r="N103" s="3">
        <f>2845.6+(974-852.4)+(2.902512+(0.99348-0.869448))+0-436.6-0.44533200000007</f>
        <v>2533.1812119999995</v>
      </c>
      <c r="O103" s="3">
        <f>2970.4+(1030.1-620.2)+(0+(0-0))+0-657.2-0</f>
        <v>2723.1000000000004</v>
      </c>
      <c r="P103" s="3">
        <f>2951.6+(944.9-497.1)+(4.515948+(1.445697-0.760563))+0-539.3-0.825129000000031</f>
        <v>2864.4759530000001</v>
      </c>
      <c r="Q103" s="3">
        <f>2929.9+(860.1-197.3)+(0+(0-0))+0-608.5-0</f>
        <v>2984.2</v>
      </c>
      <c r="R103" s="3">
        <f>2954.5+(705-269.9)+(-1.506795+(-0.35955--0.137649))+0-412.5--0.210374999999958</f>
        <v>2975.5816789999999</v>
      </c>
      <c r="S103" s="3">
        <f>3012.7+(811.5-565.7)+(1.536477+(0.413865-0.288507))+0-537.7-0.274226999999945</f>
        <v>2722.1876080000002</v>
      </c>
      <c r="T103" s="3">
        <f>3314.3+(939.8-972.1)+(-3.380586+(-0.958596--0.991542))+0-447.9--0.456858000000071</f>
        <v>2831.209218</v>
      </c>
      <c r="U103" s="3">
        <f>3263.3+(966.6-810.4)+(-3.328566+(-0.985932--0.826608))+0-552.6--0.563652000000088</f>
        <v>2863.9757620000005</v>
      </c>
      <c r="V103" s="3">
        <f>3169.6+(935.5-679.7)+(-1.616496+(-0.477105--0.346647))+0-626.6--0.319565999999936</f>
        <v>2797.3726119999997</v>
      </c>
      <c r="W103" s="3">
        <f>3039.9+(722.1-448.2)+(-6.201396+(-1.473084--0.914328))+0-582.8--1.18891199999997</f>
        <v>2725.4287600000002</v>
      </c>
      <c r="X103" s="3">
        <f>3100.1+(988.7-779.5)+(-4.743153+(-1.512711--1.192635))+0-639.4--0.978282000000037</f>
        <v>2665.8150530000003</v>
      </c>
      <c r="Y103" s="3">
        <f>3052.8+(932.9-847)+(-3.113856+(-0.951558--0.86394))+0-559.5--0.570690000000089</f>
        <v>2576.5692160000003</v>
      </c>
      <c r="Z103" s="3">
        <f>3082.9+(1000.7-723)+(3.144558+(1.020714-0.73746))+0-634.5-0.647190000000101</f>
        <v>2728.8806220000001</v>
      </c>
      <c r="AA103" s="3">
        <f>3204.5+(880.1-719)+(-6.53718+(-1.795404--1.46676))+0-584.5--1.19237999999997</f>
        <v>2775.4265559999999</v>
      </c>
      <c r="AB103" s="3">
        <f>3209.9+(950.3-841.6)+(-8.185245+(-2.423265--2.14608))+0-603.8--1.53968999999991</f>
        <v>2707.8772599999998</v>
      </c>
      <c r="AC103" s="3">
        <f>3205.5+(964.3-949.6)+(-6.53922+(-1.967172--1.937184))+0-591--1.20563999999997</f>
        <v>2623.8364320000001</v>
      </c>
      <c r="AD103" s="2">
        <v>2826.7000000000007</v>
      </c>
      <c r="AE103" s="3">
        <f>3204+(946.6-746.1)+(0+(0-0))+0-577.8-0</f>
        <v>2826.7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3163.4+(865.9-928.5)+(0+(0-0))+0-641-0</f>
        <v>2459.8000000000002</v>
      </c>
      <c r="G104" s="3">
        <f>3178.3+(830.1-984.8)+(-9.725598+(-2.540106--3.013488))+0-704.6--2.15607600000008</f>
        <v>2311.9038600000008</v>
      </c>
      <c r="H104" s="3">
        <f>3186.5+(748.2-1031.7)+(-6.50046+(-1.526328--2.104668))+0-656.3--1.33885199999997</f>
        <v>2242.1167319999995</v>
      </c>
      <c r="I104" s="3">
        <f>3064.5+(832.5-1063.5)+(-7.814475+(-2.122875--2.711925))+0-634--1.61669999999991</f>
        <v>2193.891275</v>
      </c>
      <c r="J104" s="3">
        <f>2965.2+(923.1-1035.4)+(-9.073512+(-2.824686--3.168324))+0-674.4--2.06366400000008</f>
        <v>2171.8337899999997</v>
      </c>
      <c r="K104" s="3">
        <f>2814.1+(1008.9-1014.7)+(-5.740764+(-2.058156--2.069988))+0-666--1.35863999999997</f>
        <v>2137.9297079999997</v>
      </c>
      <c r="L104" s="3">
        <f>2588.3+(1095-927.9)+(-6.600165+(-2.79225--2.366145))+0-654.7--1.66948499999991</f>
        <v>2095.3432150000003</v>
      </c>
      <c r="M104" s="3">
        <f>2668.8+(1004.6-768.5)+(4.083264+(1.537038-1.175805))+0-616.9-0.943857000000036</f>
        <v>2291.5006399999997</v>
      </c>
      <c r="N104" s="3">
        <f>3106.6+(818.4-840.5)+(4.753098+(1.252152-1.285965))+0-529.4-0.809982000000031</f>
        <v>2559.0093029999998</v>
      </c>
      <c r="O104" s="3">
        <f>3204.7+(894.8-779.8)+(3.268794+(0.912696-0.795396))+0-566.9-0.57823800000009</f>
        <v>2755.6078559999996</v>
      </c>
      <c r="P104" s="3">
        <f>3269.6+(942.7-768.3)+(0+(0-0))+0-559.9-0</f>
        <v>2884.1</v>
      </c>
      <c r="Q104" s="3">
        <f>3249+(759.4-397.4)+(8.28495+(1.93647-1.01337))+0-619.1-1.57870499999991</f>
        <v>2999.5293450000004</v>
      </c>
      <c r="R104" s="3">
        <f>3228.3+(725.8-410.3)+(1.646433+(0.370158-0.209253))+0-590.7-0.30125699999994</f>
        <v>2954.6060809999999</v>
      </c>
      <c r="S104" s="3">
        <f>3204.5+(667.5-626.5)+(-3.26859+(-0.68085--0.63903))+0-512.1--0.522342000000082</f>
        <v>2730.6119320000003</v>
      </c>
      <c r="T104" s="3">
        <f>3355.4+(688.4-804.1)+(-3.422508+(-0.702168--0.820182))+0-402.2--0.410244000000064</f>
        <v>2834.6057500000002</v>
      </c>
      <c r="U104" s="3">
        <f>3423.4+(751.5-840.4)+(-8.72967+(-1.916325--2.14302))+0-453.2--1.15565999999993</f>
        <v>2873.9526850000002</v>
      </c>
      <c r="V104" s="3">
        <f>3307.8+(772.6-768)+(-1.686978+(-0.394026--0.39168))+0-455--0.232049999999954</f>
        <v>2855.9427260000002</v>
      </c>
      <c r="W104" s="3">
        <f>3260.9+(899.9-789.2)+(-6.652236+(-1.835796--1.609968))+0-554.9--1.13199599999998</f>
        <v>2810.9539319999999</v>
      </c>
      <c r="X104" s="3">
        <f>3067.1+(949.5-799.2)+(-4.692663+(-1.452735--1.222776))+0-491.7--0.752301000000028</f>
        <v>2721.5296789999998</v>
      </c>
      <c r="Y104" s="3">
        <f>3000.5+(1026.3-783.7)+(-7.651275+(-2.617065--1.998435))+0-613--1.56314999999991</f>
        <v>2623.3932449999998</v>
      </c>
      <c r="Z104" s="3">
        <f>2973.6+(1021-622.8)+(0+(0-0))+0-634.4-0</f>
        <v>2737.4</v>
      </c>
      <c r="AA104" s="3">
        <f>2954.8+(831-488.3)+(-7.53474+(-2.11905--1.245165))+0-494.3--1.26046499999993</f>
        <v>2796.0518399999996</v>
      </c>
      <c r="AB104" s="3">
        <f>2954.2+(771.6-430.6)+(-3.013284+(-0.787032--0.439212))+0-570.8--0.582216000000091</f>
        <v>2721.6211120000003</v>
      </c>
      <c r="AC104" s="3">
        <f>3025+(881.4-616.5)+(-3.0855+(-0.899028--0.62883))+0-646.9--0.659838000000103</f>
        <v>2640.3041400000002</v>
      </c>
      <c r="AD104" s="2">
        <v>2827.9999999999995</v>
      </c>
      <c r="AE104" s="3">
        <f>2948+(822.7-424.8)+(0+(0-0))+0-517.9-0</f>
        <v>2828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2997.1+(920.6-719.1)+(-7.642605+(-2.34753--1.833705))+0-684.2--1.7447099999999</f>
        <v>2507.9882799999996</v>
      </c>
      <c r="G105" s="3">
        <f>3005.8+(895.9-765.7)+(-6.131832+(-1.827636--1.562028))+0-785.6--1.60262399999997</f>
        <v>2345.605184</v>
      </c>
      <c r="H105" s="3">
        <f>3001+(1029.7-1034.3)+(-4.59153+(-1.575441--1.582479))+0-746.6--1.14229800000004</f>
        <v>2246.3578060000004</v>
      </c>
      <c r="I105" s="3">
        <f>2993.1+(1096.3-1113.2)+(-6.105924+(-2.236452--2.270928))+0-773.4--1.57773599999997</f>
        <v>2198.3062879999998</v>
      </c>
      <c r="J105" s="3">
        <f>2919.8+(1042.2-1134.9)+(-7.44549+(-2.65761--2.893995))+0-639.3--1.63021499999991</f>
        <v>2182.2211100000004</v>
      </c>
      <c r="K105" s="3">
        <f>2860.9+(1069.1-1121.3)+(-7.295295+(-2.726205--2.859315))+0-675.4--1.7222699999999</f>
        <v>2127.8600849999993</v>
      </c>
      <c r="L105" s="3">
        <f>2537.5+(1138-1040.4)+(-1.294125+(-0.58038--0.530604))+0-537.4--0.274073999999945</f>
        <v>2096.6301729999996</v>
      </c>
      <c r="M105" s="3">
        <f>2648.6+(894.6-837.7)+(2.701572+(0.912492-0.854454))+0-461.8-0.471036000000074</f>
        <v>2245.988574</v>
      </c>
      <c r="N105" s="3">
        <f>2889.9+(861.2-692.6)+(0+(0-0))+0-531.9-0</f>
        <v>2526.6</v>
      </c>
      <c r="O105" s="3">
        <f>3000.8+(882.5-701.4)+(-7.65204+(-2.250375--1.78857))+0-442.8--1.12913999999994</f>
        <v>2732.1152950000001</v>
      </c>
      <c r="P105" s="3">
        <f>3149.5+(944-697.8)+(0+(0-0))+0-514.3-0</f>
        <v>2881.3999999999996</v>
      </c>
      <c r="Q105" s="3">
        <f>3280.6+(1006.7-920.6)+(-3.346212+(-1.026834--0.939012))+0-383.7--0.391374000000061</f>
        <v>2979.9573400000004</v>
      </c>
      <c r="R105" s="3">
        <f>3339.9+(998.8-714.3)+(0+(0-0))+0-611.8-0</f>
        <v>3012.6000000000004</v>
      </c>
      <c r="S105" s="3">
        <f>3353.9+(937.7-970.8)+(-3.420978+(-0.956454--0.990216))+0-535.2--0.545904000000085</f>
        <v>2782.7586880000003</v>
      </c>
      <c r="T105" s="3">
        <f>3352.1+(869.7-949)+(-5.128713+(-1.330641--1.45197))+0-390.5--0.597465000000023</f>
        <v>2877.890081</v>
      </c>
      <c r="U105" s="3">
        <f>3375.6+(944.4-893.9)+(3.443112+(0.963288-0.911778))+0-506-0.516120000000081</f>
        <v>2923.0785019999998</v>
      </c>
      <c r="V105" s="3">
        <f>3356.6+(771.2-772.7)+(-1.711866+(-0.393312--0.394077))+0-455.4--0.232253999999954</f>
        <v>2898.221153</v>
      </c>
      <c r="W105" s="3">
        <f>3360.5+(758-775.4)+(-11.996985+(-2.70606--2.768178))+0-468.7--1.67325900000001</f>
        <v>2864.1383920000003</v>
      </c>
      <c r="X105" s="3">
        <f>3360.6+(941.2-852.9)+(-11.997342+(-3.360084--3.044853))+0-652.4--2.32906800000001</f>
        <v>2786.5164949999998</v>
      </c>
      <c r="Y105" s="3">
        <f>3355.8+(623.3-885)+(-3.422916+(-0.635766--0.9027))+0-442.8--0.451656000000071</f>
        <v>2648.5956740000001</v>
      </c>
      <c r="Z105" s="3">
        <f>3355+(490.7-499.5)+(0+(0-0))+0-571.9-0</f>
        <v>2774.2999999999997</v>
      </c>
      <c r="AA105" s="3">
        <f>3292.1+(593.6-579.4)+(-3.357942+(-0.605472--0.590988))+0-486.2--0.495924000000078</f>
        <v>2817.2234980000007</v>
      </c>
      <c r="AB105" s="3">
        <f>3147.3+(415.4-292.5)+(-3.210246+(-0.423708--0.29835))+0-540.4--0.551208000000086</f>
        <v>2727.0156040000002</v>
      </c>
      <c r="AC105" s="3">
        <f>3134.4+(359.3-417.2)+(0+(0-0))+0-427.4-0</f>
        <v>2649.1</v>
      </c>
      <c r="AD105" s="2">
        <v>2763.0999999999995</v>
      </c>
      <c r="AE105" s="3">
        <f>3148+(443.7-305.8)+(0+(0-0))+0-522.8-0</f>
        <v>2763.1000000000004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3124.9+(550.9-418.8)+(1.593699+(0.280959-0.213588))+0-774.8-0.395147999999921</f>
        <v>2483.4659219999999</v>
      </c>
      <c r="G106" s="3">
        <f>3147+(866.6-1096.2)+(0+(0-0))+0-573.3-0</f>
        <v>2344.1000000000004</v>
      </c>
      <c r="H106" s="3">
        <f>3144.2+(1054.7-1206)+(0+(0-0))+0-733.2-0</f>
        <v>2259.6999999999998</v>
      </c>
      <c r="I106" s="3">
        <f>3163.8+(1073.1-1325.9)+(0+(0-0))+0-711.7-0</f>
        <v>2199.3000000000002</v>
      </c>
      <c r="J106" s="3">
        <f>3175.5+(975.8-1264.8)+(-4.858515+(-1.492974--1.935144))+0-706.1--1.08033300000004</f>
        <v>2177.0639879999999</v>
      </c>
      <c r="K106" s="3">
        <f>3094.6+(905.5-1199.5)+(-3.156492+(-0.92361--1.22349))+0-652.3--0.665346000000104</f>
        <v>2146.1087339999999</v>
      </c>
      <c r="L106" s="3">
        <f>3003.1+(885.4-1076.6)+(-6.126324+(-1.806216--2.196264))+0-698.2--1.42432799999997</f>
        <v>2109.3880520000002</v>
      </c>
      <c r="M106" s="3">
        <f>3023+(877.5-1004)+(0+(0-0))+0-623.6-0</f>
        <v>2272.9</v>
      </c>
      <c r="N106" s="3">
        <f>3099.6+(910.6-750.4)+(3.161592+(0.928812-0.765408))+0-647.7-0.660654000000103</f>
        <v>2614.7643419999995</v>
      </c>
      <c r="O106" s="3">
        <f>3130.5+(824.8-741.6)+(-6.38622+(-1.682592--1.512864))+0-426.9--0.870875999999981</f>
        <v>2781.1149279999995</v>
      </c>
      <c r="P106" s="3">
        <f>3145.1+(676.5-267.6)+(-1.604001+(-0.345015--0.136476))+0-652.6--0.332825999999934</f>
        <v>2899.920286</v>
      </c>
      <c r="Q106" s="3">
        <f>3157.3+(603.3-186)+(-1.610223+(-0.307683--0.09486))+0-596.6--0.304265999999939</f>
        <v>2976.4812200000006</v>
      </c>
      <c r="R106" s="3">
        <f>3440.3+(787.4-640.3)+(0+(0-0))+0-592.4-0</f>
        <v>2995</v>
      </c>
      <c r="S106" s="3">
        <f>3370.3+(676.6-766.7)+(-6.875412+(-1.380264--1.564068))+0-485.4--0.990215999999979</f>
        <v>2789.0986080000002</v>
      </c>
      <c r="T106" s="3">
        <f>3363.3+(842.7-756.6)+(-3.430566+(-0.859554--0.771732))+0-602.4--0.614448000000096</f>
        <v>2844.0960600000003</v>
      </c>
      <c r="U106" s="3">
        <f>3451.2+(1057.6-877.3)+(-1.760112+(-0.539376--0.447423))+0-703.8--0.358937999999929</f>
        <v>2926.2068729999996</v>
      </c>
      <c r="V106" s="3">
        <f>3232.4+(910.3-661)+(-1.648524+(-0.464253--0.33711))+0-561.5--0.286364999999943</f>
        <v>2918.7106979999999</v>
      </c>
      <c r="W106" s="3">
        <f>3065.8+(884.8-454.4)+(4.690674+(1.353744-0.695232))+0-646-0.988380000000037</f>
        <v>2854.560806</v>
      </c>
      <c r="X106" s="3">
        <f>3056.2+(1080.9-815.1)+(-4.675986+(-1.653777--1.247103))+0-540--0.826200000000031</f>
        <v>2777.7435399999999</v>
      </c>
      <c r="Y106" s="3">
        <f>2971.5+(1072.9-755.6)+(3.03093+(1.094358-0.770712))+0-628.2-0.6407640000001</f>
        <v>2663.3138119999999</v>
      </c>
      <c r="Z106" s="3">
        <f>3069+(1051.9-613.5)+(-1.56519+(-0.536469--0.312885))+0-721--0.367709999999927</f>
        <v>2784.978936</v>
      </c>
      <c r="AA106" s="3">
        <f>3155.4+(1008.9-686.1)+(-6.437016+(-2.058156--1.399644))+0-638.8--1.30315199999997</f>
        <v>2833.6076239999998</v>
      </c>
      <c r="AB106" s="3">
        <f>3149.1+(1044-738.6)+(-1.606041+(-0.53244--0.376686))+0-668.6--0.340985999999932</f>
        <v>2784.4791910000004</v>
      </c>
      <c r="AC106" s="3">
        <f>3134.8+(1143.8-850.1)+(-3.197496+(-1.166676--0.867102))+0-718.2--0.732564000000115</f>
        <v>2707.5354939999997</v>
      </c>
      <c r="AD106" s="2">
        <v>2808.7999999999993</v>
      </c>
      <c r="AE106" s="3">
        <f>3155+(1116.4-585.3)+(0+(0-0))+0-877.3-0</f>
        <v>2808.8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3126+(1111.6-1089.7)+(-7.9713+(-2.83458--2.778735))+0-597.3--1.52311499999991</f>
        <v>2544.0959699999994</v>
      </c>
      <c r="G107" s="3">
        <f>3121.8+(994.9-958.3)+(3.184236+(1.014798-0.977466))+0-756.7-0.771834000000121</f>
        <v>2404.1497339999996</v>
      </c>
      <c r="H107" s="3">
        <f>3070.2+(984.2-1106.1)+(-3.131604+(-1.003884--1.128222))+0-648.7--0.661674000000103</f>
        <v>2297.2544079999998</v>
      </c>
      <c r="I107" s="3">
        <f>3027.5+(1132.9-1200.5)+(1.544025+(0.577779-0.612255))+0-711.7-0.362966999999928</f>
        <v>2249.3465820000001</v>
      </c>
      <c r="J107" s="3">
        <f>3025.1+(1097.7-1195.9)+(-4.628403+(-1.679481--1.829727))+0-696.4--1.06549200000004</f>
        <v>2227.0873349999997</v>
      </c>
      <c r="K107" s="3">
        <f>2925.6+(1108-1212.7)+(-4.476168+(-1.69524--1.855431))+0-641.9--0.982107000000037</f>
        <v>2175.6661299999992</v>
      </c>
      <c r="L107" s="3">
        <f>2843.3+(1000.4-971.3)+(-4.350249+(-1.530612--1.486089))+0-746.3--1.14183900000004</f>
        <v>2122.8470669999997</v>
      </c>
      <c r="M107" s="3">
        <f>2859.2+(822.1-842.4)+(2.916384+(0.838542-0.859248))+0-544.2-0.555084000000087</f>
        <v>2297.0405939999996</v>
      </c>
      <c r="N107" s="3">
        <f>3041.4+(896-721.4)+(0+(0-0))+0-630.7-0</f>
        <v>2585.3000000000002</v>
      </c>
      <c r="O107" s="3">
        <f>3097.9+(836.8-437.3)+(-4.739787+(-1.280304--0.669069))+0-645.5--0.987615000000037</f>
        <v>2847.5365930000003</v>
      </c>
      <c r="P107" s="3">
        <f>3203+(597.4-336.4)+(-4.90059+(-0.914022--0.514692))+0-588--0.899640000000034</f>
        <v>2871.5997200000002</v>
      </c>
      <c r="Q107" s="3">
        <f>3263.9+(661.6-412)+(0+(0-0))+0-539.9-0</f>
        <v>2973.6</v>
      </c>
      <c r="R107" s="3">
        <f>3499+(994.5-798.9)+(3.56898+(1.01439-0.814878))+0-680.5-0.694110000000108</f>
        <v>3017.1743820000002</v>
      </c>
      <c r="S107" s="3">
        <f>3385.4+(911.8-837.7)+(-10.359324+(-2.790108--2.563362))+0-649.7--1.98808200000008</f>
        <v>2801.2020120000002</v>
      </c>
      <c r="T107" s="3">
        <f>3400+(1001.1-833.9)+(-1.734+(-0.510561--0.425289))+0-673.1--0.343280999999932</f>
        <v>2892.6240089999997</v>
      </c>
      <c r="U107" s="3">
        <f>3548.4+(925-959.3)+(-3.619368+(-0.9435--0.978486))+0-627.3--0.6398460000001</f>
        <v>2883.8554640000002</v>
      </c>
      <c r="V107" s="3">
        <f>3474.8+(826.6-926.4)+(-5.316444+(-1.264698--1.417392))+0-525.7--0.80432100000003</f>
        <v>2844.9405709999996</v>
      </c>
      <c r="W107" s="3">
        <f>3524.3+(610.2-974.8)+(-7.189572+(-1.244808--1.988592))+0-407.5--0.831299999999982</f>
        <v>2746.5855120000001</v>
      </c>
      <c r="X107" s="3">
        <f>3432.5+(791.6-1313.4)+(-14.0046+(-3.229728--5.358672))+0-284.4--1.16035199999998</f>
        <v>2615.5846959999994</v>
      </c>
      <c r="Y107" s="3">
        <f>3286+(732.4-1111.2)+(-5.02758+(-1.120572--1.700136))+0-387.7--0.593181000000022</f>
        <v>2515.6451650000004</v>
      </c>
      <c r="Z107" s="3">
        <f>3243.4+(882.9-1093.6)+(-1.654134+(-0.450279--0.557736))+0-415.3--0.211802999999958</f>
        <v>2616.0651260000004</v>
      </c>
      <c r="AA107" s="3">
        <f>3346.8+(997.7-1170)+(-10.241208+(-3.052962--3.5802))+0-499.3--1.52785800000006</f>
        <v>2667.013888</v>
      </c>
      <c r="AB107" s="3">
        <f>3270.9+(783.4-997.1)+(-6.672636+(-1.598136--2.034084))+0-425.3--0.867611999999982</f>
        <v>2626.5309239999997</v>
      </c>
      <c r="AC107" s="3">
        <f>3246.9+(637.1-921.7)+(-4.967757+(-0.974763--1.410201))+0-382.9--0.585837000000022</f>
        <v>2575.4535180000003</v>
      </c>
      <c r="AD107" s="2">
        <v>2670.1000000000004</v>
      </c>
      <c r="AE107" s="3">
        <f>3325+(1035.6-1132.3)+(0+(0-0))+0-558.2-0</f>
        <v>2670.1000000000004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3220+(631.2-901.6)+(-1.6422+(-0.321912--0.459816))+0-458.6--0.233885999999953</f>
        <v>2489.7295899999999</v>
      </c>
      <c r="G108" s="3">
        <f>3234.7+(493.1-917)+(1.649697+(0.251481-0.46767))+0-459.5-0.234344999999953</f>
        <v>2352.499163</v>
      </c>
      <c r="H108" s="3">
        <f>3250.1+(415-898.9)+(-4.972653+(-0.63495--1.375317))+0-516.8--0.79070400000003</f>
        <v>2245.9584180000002</v>
      </c>
      <c r="I108" s="3">
        <f>3226+(345.2-909.5)+(0+(0-0))+0-483.5-0</f>
        <v>2178.1999999999998</v>
      </c>
      <c r="J108" s="3">
        <f>3258.7+(453.5-1042.9)+(0+(0-0))+0-529.3-0</f>
        <v>2140</v>
      </c>
      <c r="K108" s="3">
        <f>3268.5+(532.3-1265.3)+(-8.334675+(-1.357365--3.226515))+0-425.2--1.08425999999994</f>
        <v>2104.9187350000002</v>
      </c>
      <c r="L108" s="3">
        <f>3110.3+(642-1144.8)+(-11.103771+(-2.29194--4.086936))+0-538.8--1.92351600000001</f>
        <v>2061.3147410000001</v>
      </c>
      <c r="M108" s="3">
        <f>2679.3+(681.7-1005.5)+(0+(0-0))+0-334.6-0</f>
        <v>2020.9</v>
      </c>
      <c r="N108" s="3">
        <f>2657.9+(816.2-868.2)+(0+(0-0))+0-440.2-0</f>
        <v>2165.7000000000003</v>
      </c>
      <c r="O108" s="3">
        <f>2686.9+(769.4-760.7)+(1.370319+(0.392394-0.387957))+0-400-0.203999999999959</f>
        <v>2296.7707559999999</v>
      </c>
      <c r="P108" s="3">
        <f>2776.3+(809.5-787)+(0+(0-0))+0-387.1-0</f>
        <v>2411.7000000000003</v>
      </c>
      <c r="Q108" s="3">
        <f>2830.6+(642.1-531.4)+(2.887212+(0.654942-0.542028))+0-449.1-0.458082000000072</f>
        <v>2494.7420440000001</v>
      </c>
      <c r="R108" s="3">
        <f>2941.4+(472-575.6)+(-1.500114+(-0.24072--0.293556))+0-335.5--0.171104999999966</f>
        <v>2501.023827</v>
      </c>
      <c r="S108" s="3">
        <f>3193.1+(501-798.5)+(-1.628481+(-0.25551--0.407235))+0-475.5--0.242504999999952</f>
        <v>2418.8657490000001</v>
      </c>
      <c r="T108" s="3">
        <f>3276.5+(434-904.7)+(-3.34203+(-0.44268--0.922794))+0-377.4--0.38494800000006</f>
        <v>2425.9230320000001</v>
      </c>
      <c r="U108" s="3">
        <f>3110.8+(427.7-735.3)+(0+(0-0))+0-380.2-0</f>
        <v>2423.0000000000005</v>
      </c>
      <c r="V108" s="3">
        <f>2981+(440-561.8)+(1.52031+(0.2244-0.286518))+0-379.3-0.193442999999962</f>
        <v>2481.1647489999996</v>
      </c>
      <c r="W108" s="3">
        <f>2983.9+(426.7-664.7)+(-9.130734+(-1.305702--2.033982))+0-381--1.16586000000004</f>
        <v>2357.6634060000001</v>
      </c>
      <c r="X108" s="3">
        <f>2942.8+(537.2-827.7)+(-7.50414+(-1.36986--2.110635))+0-349.4--0.890969999999949</f>
        <v>2297.0276050000002</v>
      </c>
      <c r="Y108" s="3">
        <f>2610.3+(657.7-621.5)+(-1.331253+(-0.335427--0.316965))+0-396.5--0.20221499999996</f>
        <v>2248.8525</v>
      </c>
      <c r="Z108" s="3">
        <f>2604.3+(553.3-383.7)+(1.328193+(0.282183-0.195687))+0-377.1-0.192320999999962</f>
        <v>2398.0223680000004</v>
      </c>
      <c r="AA108" s="3">
        <f>2798.3+(472.6-308.5)+(-4.281399+(-0.723078--0.472005))+0-480.1--0.734553000000028</f>
        <v>2478.5020810000005</v>
      </c>
      <c r="AB108" s="3">
        <f>2824.2+(362.7-368.3)+(-1.440342+(-0.184977--0.187833))+0-367.2--0.187271999999963</f>
        <v>2450.1497860000004</v>
      </c>
      <c r="AC108" s="3">
        <f>2819.9+(393.6-386.4)+(1.438149+(0.200736-0.197064))+0-418.7-0.213536999999958</f>
        <v>2409.6282840000003</v>
      </c>
      <c r="AD108" s="2">
        <v>2471.9</v>
      </c>
      <c r="AE108" s="3">
        <f>2840+(477.6-306.2)+(0+(0-0))+0-539.5-0</f>
        <v>2471.9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2807.4+(315.4-453.3)+(2.863548+(0.321708-0.462366))+0-336.4-0.343128000000054</f>
        <v>2335.4797619999999</v>
      </c>
      <c r="G109" s="3">
        <f>2798.7+(336.4-439)+(1.427337+(0.171564-0.22389))+0-472.6-0.241025999999952</f>
        <v>2224.6339849999999</v>
      </c>
      <c r="H109" s="3">
        <f>2696.4+(417.2-534.2)+(4.125492+(0.638316-0.817326))+0-448.6-0.686358000000026</f>
        <v>2134.0601240000001</v>
      </c>
      <c r="I109" s="3">
        <f>2631.6+(552.2-697.5)+(0+(0-0))+0-424-0</f>
        <v>2062.3000000000002</v>
      </c>
      <c r="J109" s="3">
        <f>2666.7+(702.2-812.8)+(-2.720034+(-0.716244--0.829056))+0-538.3--0.549066000000086</f>
        <v>2015.7418439999999</v>
      </c>
      <c r="K109" s="3">
        <f>2648.6+(878.9-1100.1)+(-9.455502+(-3.137673--3.927357))+0-452.3--1.61471100000001</f>
        <v>1968.0488930000001</v>
      </c>
      <c r="L109" s="3">
        <f>2468.7+(1106-1176.6)+(-3.777111+(-1.69218--1.800198))+0-527.4--0.80692200000003</f>
        <v>1867.8378289999998</v>
      </c>
      <c r="M109" s="3">
        <f>2464.9+(965.9-1173.7)+(1.257099+(0.492609-0.598587))+0-328.8-0.167687999999967</f>
        <v>1929.2834329999998</v>
      </c>
      <c r="N109" s="3">
        <f>2479.7+(871.4-1049.6)+(-1.264647+(-0.444414--0.535296))+0-342--0.174419999999965</f>
        <v>1958.5006550000001</v>
      </c>
      <c r="O109" s="3">
        <f>2626.7+(745.7-888.8)+(4.018851+(1.140921-1.359864))+0-338.7-0.51821100000002</f>
        <v>2148.181697</v>
      </c>
      <c r="P109" s="3">
        <f>2785.4+(679.8-786.8)+(1.420554+(0.346698-0.401268))+0-414-0.211139999999958</f>
        <v>2265.5548440000002</v>
      </c>
      <c r="Q109" s="3">
        <f>2838.5+(590.3-589.9)+(1.447635+(0.301053-0.300849))+0-482.9-0.246278999999951</f>
        <v>2357.20156</v>
      </c>
      <c r="R109" s="3">
        <f>2878.4+(494.2-512.7)+(2.935968+(0.504084-0.522954))+0-499.1-0.50908200000008</f>
        <v>2363.208016</v>
      </c>
      <c r="S109" s="3">
        <f>2956.2+(424.8-628.8)+(6.030648+(0.866592-1.282752))+0-496.5-1.01285999999998</f>
        <v>2260.3016280000002</v>
      </c>
      <c r="T109" s="3">
        <f>3044.9+(453.5-692.8)+(4.658697+(0.693855-1.059984))+0-531.3-0.812889000000031</f>
        <v>2277.7796790000002</v>
      </c>
      <c r="U109" s="3">
        <f>3028.4+(465.7-699.2)+(3.088968+(0.475014-0.713184))+0-584.4-0.596088000000093</f>
        <v>2212.7547099999997</v>
      </c>
      <c r="V109" s="3">
        <f>3013.2+(503-656.9)+(1.536732+(0.25653-0.335019))+0-552.5-0.281774999999944</f>
        <v>2307.9764679999998</v>
      </c>
      <c r="W109" s="3">
        <f>3009.2+(409.8-635.1)+(-1.534692+(-0.208998--0.323901))+0-587.8--0.29977799999994</f>
        <v>2194.9799889999999</v>
      </c>
      <c r="X109" s="3">
        <f>3000.1+(632.7-872.8)+(-6.120204+(-1.290708--1.780512))+0-531.2--1.08364799999998</f>
        <v>2224.253248</v>
      </c>
      <c r="Y109" s="3">
        <f>2770+(708.7-797.9)+(1.4127+(0.361437-0.406929))+0-488.3-0.24903299999995</f>
        <v>2193.6181750000001</v>
      </c>
      <c r="Z109" s="3">
        <f>2861+(489.7-428.2)+(-1.45911+(-0.249747--0.218382))+0-546.4--0.278663999999945</f>
        <v>2374.8881889999998</v>
      </c>
      <c r="AA109" s="3">
        <f>3289.9+(337.5-527.1)+(-3.355698+(-0.34425--0.537642))+0-613.6--0.625872000000098</f>
        <v>2484.1635660000002</v>
      </c>
      <c r="AB109" s="3">
        <f>3218.4+(259.2-452.2)+(-3.282768+(-0.264384--0.461244))+0-558.1--0.569262000000089</f>
        <v>2464.7833540000001</v>
      </c>
      <c r="AC109" s="3">
        <f>3096.2+(355.7-464.4)+(-1.579062+(-0.181407--0.236844))+0-549.2--0.280091999999944</f>
        <v>2437.0564670000003</v>
      </c>
      <c r="AD109" s="2">
        <v>2429.6999999999998</v>
      </c>
      <c r="AE109" s="3">
        <f>3334+(297-587.4)+(0+(0-0))+0-613.9-0</f>
        <v>2429.6999999999998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2850.7+(651.2-565.9)+(-1.453857+(-0.332112--0.288609))+0-607--0.309569999999938</f>
        <v>2327.8122100000001</v>
      </c>
      <c r="G110" s="3">
        <f>2865.9+(770.3-834.5)+(0+(0-0))+0-575.3-0</f>
        <v>2226.3999999999996</v>
      </c>
      <c r="H110" s="3">
        <f>2875.4+(837.1-1012.2)+(-1.466454+(-0.426921--0.516222))+0-556.3--0.283712999999944</f>
        <v>2142.9065600000004</v>
      </c>
      <c r="I110" s="3">
        <f>2892.7+(937.8-1216.8)+(-1.475277+(-0.478278--0.620568))+0-504.4--0.257243999999949</f>
        <v>2108.2242569999999</v>
      </c>
      <c r="J110" s="3">
        <f>2815.4+(1005.4-1138.4)+(-2.871708+(-1.025508--1.161168))+0-600--0.612000000000096</f>
        <v>2080.275952</v>
      </c>
      <c r="K110" s="3">
        <f>2820.2+(916.7-1177.6)+(-7.19151+(-2.337585--3.00288))+0-508.6--1.29692999999993</f>
        <v>2045.4707150000004</v>
      </c>
      <c r="L110" s="3">
        <f>2661.2+(960.3-980.8)+(-2.714424+(-0.979506--1.000416))+0-613.2--0.625464000000098</f>
        <v>2025.4319499999999</v>
      </c>
      <c r="M110" s="3">
        <f>2631.5+(963.8-830.8)+(4.026195+(1.474614-1.271124))+0-532.6-0.814878000000031</f>
        <v>2235.3148069999997</v>
      </c>
      <c r="N110" s="3">
        <f>2869+(955.7-704.7)+(0+(0-0))+0-596.8-0</f>
        <v>2523.1999999999998</v>
      </c>
      <c r="O110" s="3">
        <f>2900.3+(871.3-603.1)+(2.958306+(0.888726-0.615162))+0-436.7-0.44543400000007</f>
        <v>2734.586436</v>
      </c>
      <c r="P110" s="3">
        <f>2876.5+(744.8-417.7)+(4.401045+(1.139544-0.639081))+0-329.4-0.503982000000019</f>
        <v>2878.5975259999996</v>
      </c>
      <c r="Q110" s="3">
        <f>2912.2+(684.8-257.6)+(4.455666+(1.047744-0.394128))+0-338.7-0.51821100000002</f>
        <v>3005.2910709999996</v>
      </c>
      <c r="R110" s="3">
        <f>3191.9+(694.4-535.7)+(6.511476+(1.416576-1.092828))+0-345.4-0.704615999999985</f>
        <v>3011.3306079999998</v>
      </c>
      <c r="S110" s="3">
        <f>3294.7+(584.7-784.8)+(1.680297+(0.298197-0.400248))+0-328.3-0.167432999999967</f>
        <v>2767.7108129999997</v>
      </c>
      <c r="T110" s="3">
        <f>3483.5+(691.3-896.3)+(-1.776585+(-0.352563--0.457113))+0-302.7--0.154376999999969</f>
        <v>2974.282342</v>
      </c>
      <c r="U110" s="3">
        <f>3405+(778.1-941.1)+(0+(0-0))+0-320.6-0</f>
        <v>2921.4</v>
      </c>
      <c r="V110" s="3">
        <f>3511+(697.4-1039.7)+(-3.58122+(-0.711348--1.060494))+0-244.1--0.248982000000039</f>
        <v>2921.616908</v>
      </c>
      <c r="W110" s="3">
        <f>3508.3+(578-904.8)+(-5.367699+(-0.88434--1.384344))+0-259.4--0.396882000000015</f>
        <v>2917.629187</v>
      </c>
      <c r="X110" s="3">
        <f>3201.4+(726.7-805.5)+(-8.16357+(-1.853085--2.054025))+0-288.6--0.735929999999958</f>
        <v>2826.7733000000003</v>
      </c>
      <c r="Y110" s="3">
        <f>2998.8+(823.8-824.2)+(-4.588164+(-1.260414--1.261026))+0-330.6--0.505818000000019</f>
        <v>2663.7182660000003</v>
      </c>
      <c r="Z110" s="3">
        <f>3011.3+(783-736)+(3.071526+(0.79866-0.75072))+0-262-0.267240000000042</f>
        <v>2799.1522260000002</v>
      </c>
      <c r="AA110" s="3">
        <f>3102+(517-441)+(-4.74606+(-0.79101--0.67473))+0-222.4--0.340272000000013</f>
        <v>2951.0779319999997</v>
      </c>
      <c r="AB110" s="3">
        <f>3134.9+(635.6-700.1)+(-4.796397+(-0.972468--1.071153))+0-290.4--0.444312000000017</f>
        <v>2775.7465999999999</v>
      </c>
      <c r="AC110" s="3">
        <f>3131.9+(905.2-1058.5)+(-3.194538+(-0.923304--1.07967))+0-277.3--0.282846000000044</f>
        <v>2698.5446740000002</v>
      </c>
      <c r="AD110" s="2">
        <v>2835.9</v>
      </c>
      <c r="AE110" s="3">
        <f>3087+(487.4-404.5)+(0+(0-0))+0-334-0</f>
        <v>2835.9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3107.3+(949.7-1213.6)+(-3.169446+(-0.968694--1.237872))+0-295.8--0.301716000000047</f>
        <v>2545.0014480000004</v>
      </c>
      <c r="G111" s="3">
        <f>3112.5+(921.5-1333.8)+(-3.17475+(-0.93993--1.360476))+0-308.2--0.314364000000049</f>
        <v>2389.56016</v>
      </c>
      <c r="H111" s="3">
        <f>3046.9+(953.4-1380.7)+(-4.661757+(-1.458702--2.112471))+0-315.4--0.482562000000018</f>
        <v>2300.6745740000001</v>
      </c>
      <c r="I111" s="3">
        <f>3043.6+(807.9-1364)+(-9.313416+(-2.472174--4.17384))+0-243.5--0.745110000000028</f>
        <v>2237.1333599999998</v>
      </c>
      <c r="J111" s="3">
        <f>3067+(779.4-1304.6)+(-7.82085+(-1.98747--3.32673))+0-306.1--0.780554999999956</f>
        <v>2229.9989650000002</v>
      </c>
      <c r="K111" s="3">
        <f>3027.4+(815.9-1364.9)+(-13.895766+(-3.744981--6.264891))+0-275--1.26225000000005</f>
        <v>2193.2863940000002</v>
      </c>
      <c r="L111" s="3">
        <f>2687.3+(918-1231.8)+(0+(0-0))+0-224.3-0</f>
        <v>2149.1999999999998</v>
      </c>
      <c r="M111" s="3">
        <f>2567+(921.3-880.3)+(1.30917+(0.469863-0.448953))+0-288.3-0.147032999999971</f>
        <v>2320.8830469999998</v>
      </c>
      <c r="N111" s="3">
        <f>2783.4+(864.7-758.2)+(2.839068+(0.881994-0.773364))+0-287.9-0.293658000000046</f>
        <v>2604.6540399999999</v>
      </c>
      <c r="O111" s="3">
        <f>2899.7+(788-582.3)+(1.478847+(0.40188-0.296973))+0-302.9-0.154478999999969</f>
        <v>2803.929275</v>
      </c>
      <c r="P111" s="3">
        <f>3031.9+(634-411.9)+(1.546269+(0.32334-0.210069))+0-315.1-0.160700999999968</f>
        <v>2940.3988390000004</v>
      </c>
      <c r="Q111" s="3">
        <f>3169.7+(470.7-332.2)+(1.616547+(0.240057-0.169422))+0-270.2-0.137801999999973</f>
        <v>3039.5493799999999</v>
      </c>
      <c r="R111" s="3">
        <f>3302.5+(588.1-537.1)+(0+(0-0))+0-305.1-0</f>
        <v>3048.4</v>
      </c>
      <c r="S111" s="3">
        <f>3185.9+(497.1-522.7)+(-1.624809+(-0.253521--0.266577))+0-339.6--0.173195999999966</f>
        <v>2819.2614430000003</v>
      </c>
      <c r="T111" s="3">
        <f>3250.1+(652.1-627.8)+(3.315102+(0.665142-0.640356))+0-337.4-0.344148000000054</f>
        <v>2939.9957399999998</v>
      </c>
      <c r="U111" s="3">
        <f>3241.6+(721.7-656.1)+(0+(0-0))+0-319.5-0</f>
        <v>2987.7</v>
      </c>
      <c r="V111" s="3">
        <f>3241.4+(813.9-638.2)+(0+(0-0))+0-466.9-0</f>
        <v>2950.2</v>
      </c>
      <c r="W111" s="3">
        <f>3245.1+(888.9-541.3)+(-9.930006+(-2.720034--1.656378))+0-673.6--2.06121600000008</f>
        <v>2910.1675540000001</v>
      </c>
      <c r="X111" s="3">
        <f>3065.3+(835.4-396.4)+(-14.069727+(-3.834486--1.819476))+0-665.4--3.05418600000012</f>
        <v>2825.8694490000003</v>
      </c>
      <c r="Y111" s="3">
        <f>2940.2+(806.9-380.5)+(-2.999004+(-0.823038--0.38811))+0-688.3--0.70206600000011</f>
        <v>2675.5681340000006</v>
      </c>
      <c r="Z111" s="3">
        <f>2966.5+(549.2-162.2)+(0+(0-0))+0-566.6-0</f>
        <v>2786.9</v>
      </c>
      <c r="AA111" s="3">
        <f>3010.6+(546.6-162.6)+(-3.070812+(-0.557532--0.165852))+0-560--0.571200000000089</f>
        <v>2831.7087079999997</v>
      </c>
      <c r="AB111" s="3">
        <f>3030.1+(463.1-346.7)+(-6.181404+(-0.944724--0.707268))+0-363.5--0.741539999999984</f>
        <v>2777.3226799999998</v>
      </c>
      <c r="AC111" s="3">
        <f>3047.9+(758.6-580.2)+(-3.108858+(-0.773772--0.591804))+0-521.1--0.531522000000083</f>
        <v>2702.4406960000006</v>
      </c>
      <c r="AD111" s="2">
        <v>2876.5</v>
      </c>
      <c r="AE111" s="3">
        <f>3030+(636.5-119.2)+(0+(0-0))+0-670.8-0</f>
        <v>2876.5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3072.1+(781.1-873.5)+(-3.133542+(-0.796722--0.89097))+0-431.9--0.440538000000069</f>
        <v>2545.2012439999999</v>
      </c>
      <c r="G112" s="3">
        <f>3020.4+(976.7-1177.2)+(-4.621212+(-1.494351--1.801116))+0-409.2--0.626076000000024</f>
        <v>2407.0116290000001</v>
      </c>
      <c r="H112" s="3">
        <f>3022.9+(1030.7-1220.5)+(-7.708395+(-2.628285--3.112275))+0-525.4--1.33976999999992</f>
        <v>2301.8153650000004</v>
      </c>
      <c r="I112" s="3">
        <f>3043.9+(965.5-1215.2)+(1.552389+(0.492405-0.619752))+0-543.2-0.277031999999945</f>
        <v>2252.1480099999999</v>
      </c>
      <c r="J112" s="3">
        <f>3074.3+(801.9-1047.3)+(-1.567893+(-0.408969--0.534123))+0-611.3--0.311762999999938</f>
        <v>2216.4690240000004</v>
      </c>
      <c r="K112" s="3">
        <f>2956.5+(914.1-985.4)+(-4.523445+(-1.398573--1.507662))+0-693.6--1.06120800000004</f>
        <v>2188.2468519999998</v>
      </c>
      <c r="L112" s="3">
        <f>2585.9+(964.2-813.6)+(0+(0-0))+0-575.6-0</f>
        <v>2160.9</v>
      </c>
      <c r="M112" s="3">
        <f>2714.3+(884.1-638.8)+(-1.384293+(-0.450891--0.325788))+0-640.2--0.326501999999935</f>
        <v>2318.2171060000001</v>
      </c>
      <c r="N112" s="3">
        <f>3015.8+(773.2-561.4)+(6.152232+(1.577328-1.145256))+0-628-1.28111999999997</f>
        <v>2604.9031840000002</v>
      </c>
      <c r="O112" s="3">
        <f>3042.6+(693.3-368.2)+(-3.103452+(-0.707166--0.375564))+0-572.9--0.584358000000091</f>
        <v>2791.9493039999998</v>
      </c>
      <c r="P112" s="3">
        <f>3122.2+(581.1-205.7)+(-1.592322+(-0.296361--0.104907))+0-573.7--0.292586999999942</f>
        <v>2922.4088109999993</v>
      </c>
      <c r="Q112" s="3">
        <f>3152+(638.9-104.8)+(6.43008+(1.303356-0.213792))+0-700.1-1.42820399999997</f>
        <v>2992.0914400000001</v>
      </c>
      <c r="R112" s="3">
        <f>3534.5+(692-629.7)+(3.60519+(0.70584-0.642294))+0-577.7-0.589254000000092</f>
        <v>3022.179482</v>
      </c>
      <c r="S112" s="3">
        <f>3499.4+(631.3-537.9)+(1.784694+(0.321963-0.274329))+0-798.2-0.407081999999919</f>
        <v>2796.0252460000002</v>
      </c>
      <c r="T112" s="3">
        <f>3684.1+(729-836.9)+(-1.878891+(-0.37179--0.426819))+0-678.7--0.346136999999931</f>
        <v>2896.0222749999998</v>
      </c>
      <c r="U112" s="3">
        <f>3571.7+(769-703.5)+(0+(0-0))+0-676-0</f>
        <v>2961.2</v>
      </c>
      <c r="V112" s="3">
        <f>3467.1+(842-680.3)+(1.768221+(0.42942-0.346953))+0-673.2-0.343331999999932</f>
        <v>2957.107356</v>
      </c>
      <c r="W112" s="3">
        <f>3080.5+(742.6-197.9)+(0+(0-0))+0-721.5-0</f>
        <v>2903.7</v>
      </c>
      <c r="X112" s="3">
        <f>3051.1+(864.4-552.8)+(-3.112122+(-0.881688--0.563856))+0-562.5--0.57375000000009</f>
        <v>2797.3437959999997</v>
      </c>
      <c r="Y112" s="3">
        <f>3058.4+(786.1-547.2)+(6.239136+(1.603644-1.116288))+0-638.7-1.30294799999997</f>
        <v>2664.0235440000001</v>
      </c>
      <c r="Z112" s="3">
        <f>3166.2+(749.3-516.4)+(4.844286+(1.146429-0.790092))+0-617.6-0.944928000000036</f>
        <v>2785.7556950000003</v>
      </c>
      <c r="AA112" s="3">
        <f>3257+(479.3-239.2)+(-6.64428+(-0.977772--0.487968))+0-669.4--1.36557599999997</f>
        <v>2821.9314920000002</v>
      </c>
      <c r="AB112" s="3">
        <f>3233.7+(566.1-330.5)+(-4.947561+(-0.866133--0.505665))+0-710.6--1.08721800000004</f>
        <v>2754.4791890000001</v>
      </c>
      <c r="AC112" s="3">
        <f>3088+(666.8-525.5)+(-1.57488+(-0.340068--0.268005))+0-570--0.290699999999942</f>
        <v>2657.943757</v>
      </c>
      <c r="AD112" s="2">
        <v>2809.8999999999996</v>
      </c>
      <c r="AE112" s="3">
        <f>3242+(499.1-238.4)+(0+(0-0))+0-692.8-0</f>
        <v>2809.8999999999996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2967.2+(819.6-631.2)+(-4.539816+(-1.253988--0.965736))+0-643.5--0.984555000000037</f>
        <v>2508.2564870000001</v>
      </c>
      <c r="G113" s="3">
        <f>2980.1+(981.5-857.6)+(-7.599255+(-2.502825--2.18688))+0-706.6--1.8018299999999</f>
        <v>2391.2866300000001</v>
      </c>
      <c r="H113" s="3">
        <f>2990.6+(865.3-933.9)+(-6.100824+(-1.765212--1.905156))+0-611.8--1.24807199999997</f>
        <v>2305.4871920000001</v>
      </c>
      <c r="I113" s="3">
        <f>2972.6+(956.3-994)+(-7.58013+(-2.438565--2.5347))+0-691--1.7620499999999</f>
        <v>2238.1780549999994</v>
      </c>
      <c r="J113" s="3">
        <f>2825.2+(1030.7-980.9)+(-1.440852+(-0.525657--0.500259))+0-665--0.339149999999933</f>
        <v>2208.8728999999998</v>
      </c>
      <c r="K113" s="3">
        <f>2725.9+(1113.8-970.2)+(0+(0-0))+0-672.1-0</f>
        <v>2197.4</v>
      </c>
      <c r="L113" s="3">
        <f>2504.9+(1096.2-747.7)+(-3.832497+(-1.677186--1.143981))+0-717.1--1.09716300000004</f>
        <v>2133.031461</v>
      </c>
      <c r="M113" s="3">
        <f>2503.4+(896.7-580.5)+(3.830202+(1.371951-0.888165))+0-551.4-0.843642000000032</f>
        <v>2271.6703460000003</v>
      </c>
      <c r="N113" s="3">
        <f>2656.5+(1109.4-553.7)+(0+(0-0))+0-641.9-0</f>
        <v>2570.2999999999997</v>
      </c>
      <c r="O113" s="3">
        <f>3005.3+(751.4-418.3)+(0+(0-0))+0-557.8-0</f>
        <v>2780.6000000000004</v>
      </c>
      <c r="P113" s="3">
        <f>3093+(543.8-115)+(0+(0-0))+0-614.2-0</f>
        <v>2907.6000000000004</v>
      </c>
      <c r="Q113" s="3">
        <f>3080.5+(603.7-61.7)+(3.14211+(0.615774-0.062934))+0-588.8-0.600576000000094</f>
        <v>3036.7943739999996</v>
      </c>
      <c r="R113" s="3">
        <f>3070.8+(754.6-160.1)+(3.132216+(0.769692-0.163302))+0-625.2-0.6377040000001</f>
        <v>3043.200902</v>
      </c>
      <c r="S113" s="3">
        <f>3096.1+(607.7-281.1)+(-4.737033+(-0.929781--0.430083))+0-616.3--0.942939000000036</f>
        <v>2802.1062079999997</v>
      </c>
      <c r="T113" s="3">
        <f>3359.2+(633.5-634.6)+(-3.426384+(-0.64617--0.647292))+0-468.5--0.477870000000075</f>
        <v>2886.6526079999999</v>
      </c>
      <c r="U113" s="3">
        <f>3479.6+(689.3-629.9)+(-7.098384+(-1.406172--1.284996))+0-564.3--1.15117199999998</f>
        <v>2968.6316120000001</v>
      </c>
      <c r="V113" s="3">
        <f>3413.2+(777.5-542.3)+(-1.740732+(-0.396525--0.276573))+0-695.3--0.354602999999929</f>
        <v>2951.593918999999</v>
      </c>
      <c r="W113" s="3">
        <f>3412+(667.8-520.9)+(-5.22036+(-1.021734--0.796977))+0-663.9--1.01576700000004</f>
        <v>2890.5706499999997</v>
      </c>
      <c r="X113" s="3">
        <f>3208.1+(771.5-530.5)+(-8.180655+(-1.967325--1.352775))+0-632--1.61159999999991</f>
        <v>2809.9163949999997</v>
      </c>
      <c r="Y113" s="3">
        <f>3060.2+(685.9-545.8)+(0+(0-0))+0-506.6-0</f>
        <v>2693.7</v>
      </c>
      <c r="Z113" s="3">
        <f>3163.4+(737.9-452.9)+(0+(0-0))+0-645.1-0</f>
        <v>2803.3</v>
      </c>
      <c r="AA113" s="3">
        <f>3267.4+(475.4-272.9)+(-4.999122+(-0.727362--0.417537))+0-613.1--0.938043000000035</f>
        <v>2852.4290960000003</v>
      </c>
      <c r="AB113" s="3">
        <f>3262+(482.6-283.9)+(-4.99086+(-0.738378--0.434367))+0-678.4--1.03795200000004</f>
        <v>2778.0430809999998</v>
      </c>
      <c r="AC113" s="3">
        <f>3146.5+(579-395.5)+(-3.20943+(-0.59058--0.40341))+0-645.9--0.658818000000103</f>
        <v>2681.3622179999998</v>
      </c>
      <c r="AD113" s="2">
        <v>2794.7000000000003</v>
      </c>
      <c r="AE113" s="3">
        <f>3255+(454.3-270.5)+(0+(0-0))+0-644.1-0</f>
        <v>2794.7000000000003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3145.4+(639.2-606.6)+(-1.604154+(-0.325992--0.309366))+0-659.5--0.336344999999933</f>
        <v>2517.2155649999995</v>
      </c>
      <c r="G114" s="3">
        <f>3118.1+(940.7-1013.4)+(-6.360924+(-1.919028--2.067336))+0-649.7--1.32538799999997</f>
        <v>2390.8127719999998</v>
      </c>
      <c r="H114" s="3">
        <f>3131.1+(902.3-1114.3)+(-1.596861+(-0.460173--0.568293))+0-614.2--0.313241999999938</f>
        <v>2303.7245009999992</v>
      </c>
      <c r="I114" s="3">
        <f>3142.9+(935.4-1042.5)+(-4.808637+(-1.431162--1.595025))+0-776.4--1.18789200000004</f>
        <v>2255.9431180000001</v>
      </c>
      <c r="J114" s="3">
        <f>3152.1+(722.4-1004.2)+(-3.215142+(-0.736848--1.024284))+0-630.5--0.643110000000101</f>
        <v>2237.5154039999998</v>
      </c>
      <c r="K114" s="3">
        <f>3095.3+(784.4-982.8)+(-9.471618+(-2.400264--3.007368))+0-697--2.13282000000008</f>
        <v>2193.1683060000005</v>
      </c>
      <c r="L114" s="3">
        <f>2544.2+(1009.3-762.5)+(0+(0-0))+0-670.1-0</f>
        <v>2120.9</v>
      </c>
      <c r="M114" s="3">
        <f>2617.1+(894.2-654.5)+(1.334721+(0.456042-0.333795))+0-542.2-0.276521999999945</f>
        <v>2315.7804459999998</v>
      </c>
      <c r="N114" s="3">
        <f>3035.5+(574.2-502.3)+(3.09621+(0.585684-0.512346))+0-502.2-0.51224400000008</f>
        <v>2607.8573040000001</v>
      </c>
      <c r="O114" s="3">
        <f>3109.8+(855.8-481.1)+(0+(0-0))+0-744.7-0</f>
        <v>2739.8</v>
      </c>
      <c r="P114" s="3">
        <f>3103.5+(737.5-318.4)+(4.748355+(1.128375-0.487152))+0-594.6-0.909738000000034</f>
        <v>2932.47984</v>
      </c>
      <c r="Q114" s="3">
        <f>3094.4+(715.2-94)+(-3.156288+(-0.729504--0.09588))+0-654.1--0.667182000000104</f>
        <v>3058.3772700000004</v>
      </c>
      <c r="R114" s="3">
        <f>3047.8+(870.1-165.1)+(1.554378+(0.443751-0.084201))+0-682.6-0.348125999999931</f>
        <v>3071.7658020000003</v>
      </c>
      <c r="S114" s="3">
        <f>3156.5+(718.9-426.1)+(-8.049075+(-1.833195--1.086555))+0-587.9--1.49914499999991</f>
        <v>2854.1034299999997</v>
      </c>
      <c r="T114" s="3">
        <f>3291.6+(641.8-535.8)+(-3.357432+(-0.654636--0.546516))+0-434--0.442680000000069</f>
        <v>2960.5771279999999</v>
      </c>
      <c r="U114" s="3">
        <f>3416.6+(777.1-631)+(-1.742466+(-0.396321--0.32181))+0-567.5--0.289424999999942</f>
        <v>2993.6724479999998</v>
      </c>
      <c r="V114" s="3">
        <f>3407+(712.5-561.2)+(1.73757+(0.363375-0.286212))+0-601.1-0.306560999999939</f>
        <v>2958.7081720000006</v>
      </c>
      <c r="W114" s="3">
        <f>3402.1+(515.8-435.2)+(-1.735071+(-0.263058--0.221952))+0-557.8--0.284477999999943</f>
        <v>2923.4083009999999</v>
      </c>
      <c r="X114" s="3">
        <f>3272.2+(794.4-696.7)+(-3.337644+(-0.810288--0.710634))+0-526.7--0.537234000000084</f>
        <v>2840.2999359999999</v>
      </c>
      <c r="Y114" s="3">
        <f>3020+(849.2-620.8)+(-6.1608+(-1.732368--1.266432))+0-534.3--1.08997199999998</f>
        <v>2708.563236</v>
      </c>
      <c r="Z114" s="3">
        <f>3028.9+(941.2-427.5)+(6.178956+(1.920048-0.8721))+0-716.2-1.46104799999997</f>
        <v>2832.1658560000005</v>
      </c>
      <c r="AA114" s="3">
        <f>3095.8+(665.6-254.4)+(-3.157716+(-0.678912--0.259488))+0-615.8--0.628116000000098</f>
        <v>2888.2509760000007</v>
      </c>
      <c r="AB114" s="3">
        <f>3107.8+(678.3-405.9)+(-6.339912+(-1.383732--0.828036))+0-564.5--1.15157999999998</f>
        <v>2809.9559720000007</v>
      </c>
      <c r="AC114" s="3">
        <f>3114.2+(891.9-557.7)+(1.588242+(0.454869-0.284427))+0-691.3-0.35256299999993</f>
        <v>2758.5061209999999</v>
      </c>
      <c r="AD114" s="2">
        <v>2824.3</v>
      </c>
      <c r="AE114" s="3">
        <f>3113+(665.2-178.2)+(0+(0-0))+0-775.7-0</f>
        <v>2824.3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3077.4+(895.9-640.7)+(-1.569474+(-0.456909--0.326757))+0-739.5--0.377144999999925</f>
        <v>2591.7775189999998</v>
      </c>
      <c r="G115" s="3">
        <f>3069.4+(886.5-972.4)+(-1.565394+(-0.452115--0.495924))+0-529.4--0.269993999999946</f>
        <v>2452.8484089999997</v>
      </c>
      <c r="H115" s="3">
        <f>3075.2+(993.3-1054.5)+(-3.136704+(-1.013166--1.07559))+0-638.8--0.651576000000102</f>
        <v>2372.7772960000002</v>
      </c>
      <c r="I115" s="3">
        <f>3079.2+(1085.2-1131.2)+(-4.711176+(-1.660356--1.730736))+0-707.1--1.08186300000004</f>
        <v>2322.5410669999997</v>
      </c>
      <c r="J115" s="3">
        <f>3098.2+(935.1-1191.4)+(-3.160164+(-0.953802--1.215228))+0-557.8--0.568956000000089</f>
        <v>2281.7702179999997</v>
      </c>
      <c r="K115" s="3">
        <f>2953.2+(1117.3-1212.3)+(-3.012264+(-1.139646--1.236546))+0-607.9--0.620058000000097</f>
        <v>2248.0046939999997</v>
      </c>
      <c r="L115" s="3">
        <f>2868.8+(956.5-1122.6)+(1.463088+(0.487815-0.572526))+0-513.7-0.261986999999948</f>
        <v>2190.1163900000001</v>
      </c>
      <c r="M115" s="3">
        <f>2878.2+(845.2-842.2)+(4.403646+(1.293156-1.288566))+0-555.2-0.849456000000032</f>
        <v>2329.5587800000003</v>
      </c>
      <c r="N115" s="3">
        <f>2899.5+(956.2-668)+(-1.478745+(-0.487662--0.34068))+0-577.7--0.294626999999941</f>
        <v>2608.6688999999992</v>
      </c>
      <c r="O115" s="3">
        <f>3077.9+(884.6-661.1)+(6.278916+(1.804584-1.348644))+0-489.8-0.999191999999979</f>
        <v>2817.3356640000002</v>
      </c>
      <c r="P115" s="3">
        <f>3083.7+(547.5-189.9)+(0+(0-0))+0-502.8-0</f>
        <v>2938.4999999999995</v>
      </c>
      <c r="Q115" s="3">
        <f>3175+(564.8-246.3)+(6.477+(1.152192-0.502452))+0-447.6-0.91310399999998</f>
        <v>3052.113636</v>
      </c>
      <c r="R115" s="3">
        <f>3410.8+(899.8-679.4)+(-1.739508+(-0.458898--0.346494))+0-610.9--0.311558999999938</f>
        <v>3018.7596469999999</v>
      </c>
      <c r="S115" s="3">
        <f>3504.9+(658.8-910.8)+(-3.574998+(-0.671976--0.929016))+0-373.9--0.38137800000006</f>
        <v>2876.06342</v>
      </c>
      <c r="T115" s="3">
        <f>3486.6+(844.5-839.5)+(3.556332+(0.86139-0.85629))+0-511.1-0.521322000000082</f>
        <v>2983.5401099999999</v>
      </c>
      <c r="U115" s="3">
        <f>3291.8+(885.5-765.6)+(-1.678818+(-0.451605--0.390456))+0-498.2--0.254081999999949</f>
        <v>2912.0141150000004</v>
      </c>
      <c r="V115" s="3">
        <f>3438.7+(915.1-976.5)+(-3.507474+(-0.933402--0.99603))+8.3-556.3--0.567426000000089</f>
        <v>2826.4225799999999</v>
      </c>
      <c r="W115" s="3">
        <f>3464.7+(856.9-960.3)+(1.766997+(0.437019-0.489753))+9-614.1-0.313190999999938</f>
        <v>2757.6010719999999</v>
      </c>
      <c r="X115" s="3">
        <f>3198.8+(887.3-843.3)+(-4.894164+(-1.357569--1.290249))+9-635.9--0.972927000000037</f>
        <v>2611.9114430000004</v>
      </c>
      <c r="Y115" s="3">
        <f>2967.7+(1102.9-865.6)+(-6.054108+(-2.249916--1.765824))+9-621.8--1.26847199999997</f>
        <v>2586.9302719999996</v>
      </c>
      <c r="Z115" s="3">
        <f>3032.4+(964.7-611)+(1.546524+(0.491997-0.31161))+8.7-648.2-0.330581999999934</f>
        <v>2747.9963290000001</v>
      </c>
      <c r="AA115" s="3">
        <f>3316.5+(822-692.1)+(-5.074245+(-1.25766--1.058913))+0-647.5--0.990675000000037</f>
        <v>2794.6176829999999</v>
      </c>
      <c r="AB115" s="3">
        <f>3168.3+(956.2-827.9)+(-3.231666+(-0.975324--0.844458))+0-574.3--0.585786000000092</f>
        <v>2719.5232540000002</v>
      </c>
      <c r="AC115" s="3">
        <f>3193.8+(1074.2-983.5)+(-4.886514+(-1.643526--1.504755))+0-627.6--0.960228000000036</f>
        <v>2652.8349429999998</v>
      </c>
      <c r="AD115" s="2">
        <v>2747.7999999999997</v>
      </c>
      <c r="AE115" s="3">
        <f>3330+(832.5-747.8)+(0+(0-0))+0-666.9-0</f>
        <v>2747.7999999999997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3168.8+(1057.1-1036)+(4.848264+(1.617363-1.58508))+0-613.9-0.939267000000035</f>
        <v>2579.94128</v>
      </c>
      <c r="G116" s="3">
        <f>3067.6+(950.8-893.2)+(0+(0-0))+0-665.7-0</f>
        <v>2459.5</v>
      </c>
      <c r="H116" s="3">
        <f>3056.2+(932.1-974)+(3.117324+(0.950742-0.99348))+0-645-0.657900000000103</f>
        <v>2371.7166859999998</v>
      </c>
      <c r="I116" s="3">
        <f>3100.3+(948.1-980)+(-3.162306+(-0.967062--0.9996))+0-774.3--0.789786000000123</f>
        <v>2291.7600180000009</v>
      </c>
      <c r="J116" s="3">
        <f>3108.3+(937.2-1212.8)+(-1.585233+(-0.477972--0.618528))+0-568.2--0.289781999999942</f>
        <v>2263.3451050000003</v>
      </c>
      <c r="K116" s="3">
        <f>3103.6+(975-1201.6)+(-7.91418+(-2.48625--3.06408))+0-665.3--1.6965149999999</f>
        <v>2206.0601650000003</v>
      </c>
      <c r="L116" s="3">
        <f>2944.4+(1075.6-1240.4)+(-6.006576+(-2.194224--2.530416))+0-729.1--1.48736399999997</f>
        <v>2046.3169800000001</v>
      </c>
      <c r="M116" s="3">
        <f>2669.6+(1068.2-1126.2)+(-1.361496+(-0.544782--0.574362))+0-537.2--0.273971999999946</f>
        <v>2073.3420559999995</v>
      </c>
      <c r="N116" s="3">
        <f>2643.1+(1055.3-877)+(-2.695962+(-1.076406--0.89454))+0-653.8--0.666876000000104</f>
        <v>2165.389048</v>
      </c>
      <c r="O116" s="3">
        <f>2744.7+(1032.6-986.8)+(-2.799594+(-1.053252--1.006536))+0-482--0.491640000000077</f>
        <v>2306.1453300000003</v>
      </c>
      <c r="P116" s="3">
        <f>3016.2+(912.9-979.4)+(-1.538262+(-0.465579--0.499494))+0-517.2--0.263771999999948</f>
        <v>2431.2594249999997</v>
      </c>
      <c r="Q116" s="3">
        <f>3040.6+(840.1-802.2)+(-1.550706+(-0.428451--0.409122))+0-545--0.277949999999945</f>
        <v>2532.207915</v>
      </c>
      <c r="R116" s="3">
        <f>3005.6+(742.1-705.8)+(0+(0-0))+0-489.7-0</f>
        <v>2552.2000000000003</v>
      </c>
      <c r="S116" s="3">
        <f>2990.9+(750.6-578.4)+(-3.050718+(-0.765612--0.589968))+0-658.6--0.671772000000105</f>
        <v>2501.9454100000007</v>
      </c>
      <c r="T116" s="3">
        <f>2933.4+(715.7-616.3)+(2.992068+(0.730014-0.628626))+0-511-0.521220000000082</f>
        <v>2524.3722360000002</v>
      </c>
      <c r="U116" s="3">
        <f>2822.7+(706.8-530.9)+(-2.879154+(-0.720936--0.541518))+0-585.6--0.597312000000093</f>
        <v>2410.53874</v>
      </c>
      <c r="V116" s="3">
        <f>2824.6+(659.4-429.8)+(-5.762184+(-1.345176--0.876792))+0-651.5--1.32905999999997</f>
        <v>2397.7984919999999</v>
      </c>
      <c r="W116" s="3">
        <f>2765.5+(730-415)+(-2.82081+(-0.7446--0.4233))+0-659.7--0.672894000000105</f>
        <v>2418.3307840000007</v>
      </c>
      <c r="X116" s="3">
        <f>2718+(1036.2-758.1)+(-4.15854+(-1.585386--1.159893))+0-589.8--0.902394000000034</f>
        <v>2402.6183610000003</v>
      </c>
      <c r="Y116" s="3">
        <f>2668.5+(953.6-729.5)+(-1.360935+(-0.486336--0.372045))+0-550.1--0.280550999999944</f>
        <v>2341.3053249999998</v>
      </c>
      <c r="Z116" s="3">
        <f>2708.2+(1003.9-483.5)+(0+(0-0))+0-720.6-0</f>
        <v>2508</v>
      </c>
      <c r="AA116" s="3">
        <f>2733.8+(903.1-481.8)+(4.182714+(1.381743-0.737154))+0-574.6-0.879138000000033</f>
        <v>2584.4481650000002</v>
      </c>
      <c r="AB116" s="3">
        <f>2738.5+(974.7-423.5)+(-4.189905+(-1.491291--0.647955))+0-739.2--1.13097600000004</f>
        <v>2546.5977349999998</v>
      </c>
      <c r="AC116" s="3">
        <f>2793.6+(1053.9-679.4)+(-4.274208+(-1.612467--1.039482))+0-682.1--1.04361300000004</f>
        <v>2482.1964199999998</v>
      </c>
      <c r="AD116" s="2">
        <v>2553.8000000000002</v>
      </c>
      <c r="AE116" s="3">
        <f>2763+(958.9-446.8)+(0+(0-0))+0-721.3-0</f>
        <v>2553.8000000000002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2891.6+(1050.4-703.8)+(-1.474716+(-0.535704--0.358938))+0-714.7--0.364496999999928</f>
        <v>2522.2130149999998</v>
      </c>
      <c r="G117" s="3">
        <f>2895.4+(1012.8-773.2)+(-4.429962+(-1.549584--1.182996))+0-722.4--1.10527200000004</f>
        <v>2408.9087220000001</v>
      </c>
      <c r="H117" s="3">
        <f>2914.1+(1059.2-883.1)+(-2.972382+(-1.080384--0.900762))+0-743.8--0.758676000000119</f>
        <v>2344.006672</v>
      </c>
      <c r="I117" s="3">
        <f>2913.1+(1053.3-1053.9)+(-2.971362+(-1.074366--1.074978))+0-614.5--0.626790000000098</f>
        <v>2295.6560400000003</v>
      </c>
      <c r="J117" s="3">
        <f>2928.3+(1098.9-1063.7)+(-2.986866+(-1.120878--1.084974))+0-690.6--0.70441200000011</f>
        <v>2270.5816420000001</v>
      </c>
      <c r="K117" s="3">
        <f>2876.7+(1130.3-1037)+(-5.868468+(-2.305812--2.11548))+0-733--1.49531999999997</f>
        <v>2232.4365200000002</v>
      </c>
      <c r="L117" s="3">
        <f>2816.1+(1017.7-992.2)+(0+(0-0))+0-654.3-0</f>
        <v>2187.3000000000002</v>
      </c>
      <c r="M117" s="3">
        <f>2854.9+(973-764.8)+(-1.455999+(-0.49623--0.390048))+0-696.1--0.355010999999929</f>
        <v>2365.7928300000008</v>
      </c>
      <c r="N117" s="3">
        <f>2960.9+(1007.7-729.4)+(3.020118+(1.027854-0.743988))+9.2-577.5-0.589050000000092</f>
        <v>2673.6149340000002</v>
      </c>
      <c r="O117" s="3">
        <f>3074.1+(979.4-513.8)+(-1.567791+(-0.499494--0.262038))+0.9-654.7--0.333896999999934</f>
        <v>2884.4286500000003</v>
      </c>
      <c r="P117" s="3">
        <f>3080.9+(882.4-292.2)+(3.142518+(0.900048-0.298044))+0-672.2-0.685644000000107</f>
        <v>3001.9588780000004</v>
      </c>
      <c r="Q117" s="3">
        <f>3179.4+(847.3-230.5)+(1.621494+(0.432123-0.117555))+0-641.6-0.327215999999935</f>
        <v>3156.208846</v>
      </c>
      <c r="R117" s="3">
        <f>3309.6+(996.5-422.7)+(1.687896+(0.508215-0.215577))+0-709.9-0.362048999999928</f>
        <v>3175.1184849999995</v>
      </c>
      <c r="S117" s="3">
        <f>3320.7+(840.8-537)+(-1.693557+(-0.428808--0.27387))+0-698.5--0.356234999999929</f>
        <v>2924.5077399999996</v>
      </c>
      <c r="T117" s="3">
        <f>3452.8+(752.1-577.1)+(-5.282784+(-1.150713--0.882963))+0-697.7--1.06748100000004</f>
        <v>2925.6169470000004</v>
      </c>
      <c r="U117" s="3">
        <f>3507.6+(756.8-534.7)+(-7.155504+(-1.543872--1.090788))+0-710.7--1.44982799999997</f>
        <v>3012.8412399999997</v>
      </c>
      <c r="V117" s="3">
        <f>3483.9+(737.5-507.5)+(-7.107156+(-1.5045--1.0353))+0-754.5--1.53917999999997</f>
        <v>2953.3628239999998</v>
      </c>
      <c r="W117" s="3">
        <f>3192.7+(656.1-241.1)+(-4.884831+(-1.003833--0.368883))+0-710.4--1.08691200000004</f>
        <v>2892.867131</v>
      </c>
      <c r="X117" s="3">
        <f>2970.1+(990.6-324.8)+(-10.603257+(-3.536442--1.159536))+0-708.2--2.52827400000001</f>
        <v>2917.2481109999994</v>
      </c>
      <c r="Y117" s="3">
        <f>2976.8+(1146.4-609.1)+(-7.59084+(-2.92332--1.553205))+0-729.9--1.86124499999989</f>
        <v>2777.1002900000003</v>
      </c>
      <c r="Z117" s="3">
        <f>2985.8+(947.1-429.1)+(6.091032+(1.932084-0.875364))+0-714.4-1.45737599999997</f>
        <v>2795.0903760000001</v>
      </c>
      <c r="AA117" s="3">
        <f>3015.4+(762.3-196.4)+(-1.537854+(-0.388773--0.100164))+0-755.2--0.385151999999923</f>
        <v>2824.6586889999999</v>
      </c>
      <c r="AB117" s="3">
        <f>3005.8+(651.4-377.3)+(-9.197748+(-1.993284--1.154538))+0-524.8--1.60588800000006</f>
        <v>2746.6693940000005</v>
      </c>
      <c r="AC117" s="3">
        <f>3003.5+(1003.3-654.3)+(1.531785+(0.511683-0.333693))+0-645.8-0.329357999999934</f>
        <v>2708.0804170000001</v>
      </c>
      <c r="AD117" s="2">
        <v>2887.3</v>
      </c>
      <c r="AE117" s="3">
        <f>3132+(795.7-202.2)+(0+(0-0))+0-838.2-0</f>
        <v>2887.3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2968.4+(1104.7-798.5)+(-4.541652+(-1.690191--1.221705))+0-661.8--1.01255400000004</f>
        <v>2608.8024160000004</v>
      </c>
      <c r="G118" s="3">
        <f>2978.6+(1260.4-1170.9)+(1.519086+(0.642804-0.597159))+0-652-0.332519999999934</f>
        <v>2417.3322109999999</v>
      </c>
      <c r="H118" s="3">
        <f>2970.5+(1368-1273.1)+(-1.514955+(-0.69768--0.649281))+0-714.3--0.364292999999928</f>
        <v>2349.9009390000006</v>
      </c>
      <c r="I118" s="3">
        <f>2911.5+(1282.4-1230.6)+(-2.96973+(-1.308048--1.255212))+0-702.8--0.716856000000112</f>
        <v>2258.1942900000004</v>
      </c>
      <c r="J118" s="3">
        <f>2904.3+(1200-1192.7)+(-5.924772+(-2.448--2.433108))+0-657.7--1.34170799999997</f>
        <v>2249.302044</v>
      </c>
      <c r="K118" s="3">
        <f>3038.5+(991.2-980.6)+(-4.648905+(-1.516536--1.500318))+0-728.6--1.11475800000004</f>
        <v>2316.9496349999999</v>
      </c>
      <c r="L118" s="3">
        <f>2704.3+(1112.9-954.9)+(-6.895965+(-2.837895--2.434995))+0-607.5--1.54912499999991</f>
        <v>2249.05026</v>
      </c>
      <c r="M118" s="3">
        <f>2596.1+(972.6-777.2)+(5.296044+(1.984104-1.585488))+0-374.6-0.764183999999984</f>
        <v>2421.8304760000001</v>
      </c>
      <c r="N118" s="3">
        <f>3016.1+(1028.3-691.2)+(0+(0-0))+0-639-0</f>
        <v>2714.2</v>
      </c>
      <c r="O118" s="3">
        <f>3114+(887.5-598.2)+(3.17628+(0.90525-0.610164))+0-510.5-0.520710000000081</f>
        <v>2895.7506560000002</v>
      </c>
      <c r="P118" s="3">
        <f>3133.6+(775.2-319)+(3.196272+(0.790704-0.32538))+0-549-0.559980000000088</f>
        <v>3043.9016160000001</v>
      </c>
      <c r="Q118" s="3">
        <f>3168.3+(668-191.4)+(0+(0-0))+0-512.4-0</f>
        <v>3132.5</v>
      </c>
      <c r="R118" s="3">
        <f>3316.9+(767.7-440.1)+(1.691619+(0.391527-0.224451))+0-479.1-0.244340999999951</f>
        <v>3167.0143539999999</v>
      </c>
      <c r="S118" s="3">
        <f>3301.7+(609.7-566)+(-3.367734+(-0.621894--0.57732))+0-446.9--0.455838000000071</f>
        <v>2895.5435299999995</v>
      </c>
      <c r="T118" s="3">
        <f>3656.4+(593.7-681.2)+(-7.459056+(-1.211148--1.389648))+0-513--1.04651999999998</f>
        <v>3049.6659639999998</v>
      </c>
      <c r="U118" s="3">
        <f>3465.1+(878.3-658.8)+(1.767201+(0.447933-0.335988))+0-627.9-0.320228999999936</f>
        <v>3058.2589170000001</v>
      </c>
      <c r="V118" s="3">
        <f>3220.7+(915.9-536.6)+(-6.570228+(-1.868436--1.094664))+0-556.1--1.13444399999998</f>
        <v>3037.6904439999998</v>
      </c>
      <c r="W118" s="3">
        <f>3134+(924.3-489.3)+(-3.19668+(-0.942786--0.499086))+0-582.6--0.594252000000093</f>
        <v>2983.3538720000001</v>
      </c>
      <c r="X118" s="3">
        <f>3013.9+(1114.4-752.6)+(-3.074178+(-1.136688--0.767652))+0-497.6--0.507552000000079</f>
        <v>2875.1643380000005</v>
      </c>
      <c r="Y118" s="3">
        <f>2891.5+(1061.8-705.3)+(0+(0-0))+0-487.3-0</f>
        <v>2760.7</v>
      </c>
      <c r="Z118" s="3">
        <f>3066.9+(957.9-567.6)+(0+(0-0))+0-566.8-0</f>
        <v>2890.3999999999996</v>
      </c>
      <c r="AA118" s="3">
        <f>3211+(825.3-462.8)+(-6.55044+(-1.683612--0.944112))+0-629.8--1.28479199999997</f>
        <v>2937.6948520000001</v>
      </c>
      <c r="AB118" s="3">
        <f>3214.9+(891-593.2)+(-6.558396+(-1.81764--1.210128))+0-628.1--1.28132399999997</f>
        <v>2878.715416</v>
      </c>
      <c r="AC118" s="3">
        <f>3099.4+(1083.4-624.3)+(-7.90347+(-2.76267--1.591965))+0-748.7--1.90918499999989</f>
        <v>2802.6350099999995</v>
      </c>
      <c r="AD118" s="2">
        <v>2965.2999999999997</v>
      </c>
      <c r="AE118" s="3">
        <f>3203+(926.2-428.4)+(0+(0-0))+0-735.5-0</f>
        <v>2965.3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2870.3+(1134.8-733)+(-7.319265+(-2.89374--1.86915))+0-609.8--1.55498999999991</f>
        <v>2655.5111350000002</v>
      </c>
      <c r="G119" s="3">
        <f>2796.8+(1326.2-845.4)+(-4.279104+(-2.029086--1.293462))+0-749.2--1.14627600000004</f>
        <v>2524.5315480000004</v>
      </c>
      <c r="H119" s="3">
        <f>2806.5+(1328.8-982)+(-1.431315+(-0.677688--0.50082))+0-703.4--0.358733999999929</f>
        <v>2448.6505510000002</v>
      </c>
      <c r="I119" s="3">
        <f>2818.3+(1310.8-1104.9)+(-7.186665+(-3.34254--2.817495))+0-633.1--1.61440499999991</f>
        <v>2385.0026949999997</v>
      </c>
      <c r="J119" s="3">
        <f>2830.6+(1197.7-1123.4)+(-5.774424+(-2.443308--2.291736))+0-545.7--1.11322799999998</f>
        <v>2354.387232</v>
      </c>
      <c r="K119" s="3">
        <f>2841.2+(1233.7-1009.9)+(-2.898024+(-1.258374--1.030098))+0-747.7--0.762654000000119</f>
        <v>2314.9363540000004</v>
      </c>
      <c r="L119" s="3">
        <f>2709.9+(1067.4-981.6)+(-6.910245+(-2.72187--2.50308))+0-544.1--1.38745499999992</f>
        <v>2245.8584200000005</v>
      </c>
      <c r="M119" s="3">
        <f>2604.4+(1096.1-813)+(5.312976+(2.236044-1.65852))+0-500.8-1.02163199999998</f>
        <v>2391.5688679999998</v>
      </c>
      <c r="N119" s="3">
        <f>2597.6+(1292.6-792.3)+(6.62388+(3.29613-2.020365))+0-448.5-1.14367499999993</f>
        <v>2656.1559699999998</v>
      </c>
      <c r="O119" s="3">
        <f>2715.3+(1167.3-662.3)+(2.769606+(1.190646-0.675546))+0-370.2-0.377604000000059</f>
        <v>2853.007102</v>
      </c>
      <c r="P119" s="3">
        <f>2823.3+(1079.3-513.6)+(4.319649+(1.651329-0.785808))+0-412-0.630360000000024</f>
        <v>2981.5548100000001</v>
      </c>
      <c r="Q119" s="3">
        <f>2911+(924.4-279.5)+(5.93844+(1.885776-0.57018))+0-479.2-0.977567999999979</f>
        <v>3082.9764680000003</v>
      </c>
      <c r="R119" s="3">
        <f>2919.2+(913-333.5)+(4.466376+(1.39689-0.510255))+0-446.3-0.682839000000026</f>
        <v>3057.0701719999997</v>
      </c>
      <c r="S119" s="3">
        <f>3016+(956.2-600)+(-1.53816+(-0.487662--0.306))+0-539.4--0.275093999999945</f>
        <v>2831.3552719999998</v>
      </c>
      <c r="T119" s="3">
        <f>3093.2+(1024.4-680.2)+(0+(0-0))+0-500.7-0</f>
        <v>2936.7</v>
      </c>
      <c r="U119" s="3">
        <f>3130.7+(1131.4-720)+(-7.983285+(-2.88507--1.836))+0-557.3--1.42111499999992</f>
        <v>2977.18876</v>
      </c>
      <c r="V119" s="3">
        <f>3127.9+(1104.6-735.9)+(1.595229+(0.563346-0.375309))+0-525.1-0.267800999999947</f>
        <v>2973.0154649999999</v>
      </c>
      <c r="W119" s="3">
        <f>3046.3+(1023.9-567.1)+(-4.660839+(-1.566567--0.867663))+0-600.9--0.919377000000035</f>
        <v>2897.7596340000005</v>
      </c>
      <c r="X119" s="3">
        <f>2871.8+(1229.2-823.7)+(-8.787708+(-3.761352--2.520522))+0-462--1.41372000000005</f>
        <v>2806.6851820000002</v>
      </c>
      <c r="Y119" s="3">
        <f>2708.6+(1118.3-663.8)+(0+(0-0))+0-459.3-0</f>
        <v>2703.7999999999997</v>
      </c>
      <c r="Z119" s="3">
        <f>2841.7+(1056.4-483.6)+(-4.347801+(-1.616292--0.739908))+0-618.1--0.945693000000036</f>
        <v>2792.1215080000002</v>
      </c>
      <c r="AA119" s="3">
        <f>2954.7+(718.3-335.5)+(-4.520691+(-1.098999--0.513315))+0-560--0.856800000000032</f>
        <v>2773.2504250000002</v>
      </c>
      <c r="AB119" s="3">
        <f>2870.7+(696.9-323.5)+(-8.784342+(-2.132514--0.98991))+0-554.3--1.69615800000006</f>
        <v>2681.5692119999999</v>
      </c>
      <c r="AC119" s="3">
        <f>2880.5+(872.4-494.1)+(-4.407165+(-1.334772--0.755973))+0-641.7--0.981801000000037</f>
        <v>2613.0958369999998</v>
      </c>
      <c r="AD119" s="2">
        <v>2842.3</v>
      </c>
      <c r="AE119" s="3">
        <f>2982+(793.9-258.3)+(0+(0-0))+0-675.3-0</f>
        <v>2842.3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2863.3+(960.5-683.2)+(-10.221981+(-3.428985--2.439024))+0-641.6--2.29051200000001</f>
        <v>2490.0785700000006</v>
      </c>
      <c r="G120" s="3">
        <f>2863.5+(1019.5-715.7)+(-7.301925+(-2.599725--1.825035))+0-785.1--2.00200499999989</f>
        <v>2376.1253900000002</v>
      </c>
      <c r="H120" s="3">
        <f>2865.6+(993.7-847.3)+(-5.845824+(-2.027148--1.728492))+0-709.2--1.44676799999997</f>
        <v>2298.102288</v>
      </c>
      <c r="I120" s="3">
        <f>2864.9+(1122.6-1014)+(-5.844396+(-2.290104--2.06856))+0-712.5--1.45349999999997</f>
        <v>2256.3875600000001</v>
      </c>
      <c r="J120" s="3">
        <f>2867+(1089.7-996.5)+(0+(0-0))+0-715.3-0</f>
        <v>2244.8999999999996</v>
      </c>
      <c r="K120" s="3">
        <f>2867.2+(1193.7-1069.7)+(-5.849088+(-2.435148--2.182188))+0-767.5--1.56569999999997</f>
        <v>2219.1636519999997</v>
      </c>
      <c r="L120" s="3">
        <f>2780.3+(1209.3-1114.3)+(0+(0-0))+0-709.5-0</f>
        <v>2165.8000000000002</v>
      </c>
      <c r="M120" s="3">
        <f>2747.7+(1205.2-1005.3)+(4.203981+(1.843956-1.538109))+0-617.3-0.944469000000036</f>
        <v>2333.8653590000004</v>
      </c>
      <c r="N120" s="3">
        <f>2855.9+(1113.1-843.4)+(1.456509+(0.567681-0.430134))+0-543.5-0.277184999999945</f>
        <v>2583.4168709999999</v>
      </c>
      <c r="O120" s="3">
        <f>2997.1+(1035.1-659.6)+(1.528521+(0.527901-0.336396))+0-573.6-0.292535999999942</f>
        <v>2800.42749</v>
      </c>
      <c r="P120" s="3">
        <f>2960.4+(848.6-327.3)+(6.039216+(1.731144-0.667692))+0-581.1-1.18544399999997</f>
        <v>2906.5172239999997</v>
      </c>
      <c r="Q120" s="3">
        <f>2977.5+(975.2-218.3)+(4.555575+(1.492056-0.333999))+0-731.2-1.11873600000004</f>
        <v>3007.7948959999999</v>
      </c>
      <c r="R120" s="3">
        <f>3229.1+(937.3-497.5)+(-1.646841+(-0.478023--0.253725))+0-660.5--0.336854999999933</f>
        <v>3006.8657159999998</v>
      </c>
      <c r="S120" s="3">
        <f>3157.7+(889.4-559.9)+(-4.831281+(-1.360782--0.856647))+0-687.6--1.05202800000004</f>
        <v>2795.3166120000001</v>
      </c>
      <c r="T120" s="3">
        <f>3205.2+(879.8-570.4)+(-1.634652+(-0.448698--0.290904))+0-631.6--0.322115999999936</f>
        <v>2881.5296699999999</v>
      </c>
      <c r="U120" s="3">
        <f>3319.2+(841.7-679.9)+(6.771168+(1.717068-1.386996))+0-558-1.13831999999998</f>
        <v>2928.9629199999999</v>
      </c>
      <c r="V120" s="3">
        <f>3341.1+(714.5-712.6)+(0+(0-0))+0-440.8-0</f>
        <v>2902.2</v>
      </c>
      <c r="W120" s="3">
        <f>3317.6+(783.4-634.1)+(-8.45988+(-1.99767--1.616955))+0-602.4--1.53611999999991</f>
        <v>2857.1955249999992</v>
      </c>
      <c r="X120" s="3">
        <f>3134.2+(1015.8-974.4)+(-4.795326+(-1.554174--1.490832))+0-386--0.590580000000022</f>
        <v>2785.3319120000001</v>
      </c>
      <c r="Y120" s="3">
        <f>3113.3+(1010.8-1006.6)+(-1.587783+(-0.515508--0.513366))+0-440.8--0.224807999999955</f>
        <v>2675.3348829999995</v>
      </c>
      <c r="Z120" s="3">
        <f>3236.5+(906.4-724.2)+(3.30123+(0.924528-0.738684))+0-596-0.607920000000095</f>
        <v>2825.579154</v>
      </c>
      <c r="AA120" s="3">
        <f>3485+(669.5-639.4)+(-3.5547+(-0.68289--0.652188))+0-658.4--0.671568000000105</f>
        <v>2853.7861659999999</v>
      </c>
      <c r="AB120" s="3">
        <f>3454.7+(752.9-666.6)+(-3.523794+(-0.767958--0.679932))+0-760.6--0.775812000000121</f>
        <v>2777.5639920000003</v>
      </c>
      <c r="AC120" s="3">
        <f>3459.2+(880.7-897.1)+(-3.528384+(-0.898314--0.915042))+0-741.8--0.756636000000118</f>
        <v>2698.2449799999995</v>
      </c>
      <c r="AD120" s="2">
        <v>2876.3</v>
      </c>
      <c r="AE120" s="3">
        <f>3555+(760.3-686.9)+(0+(0-0))+0-752.1-0</f>
        <v>2876.3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3313.8+(874.2-889.9)+(-5.070114+(-1.337526--1.361547))+0-762.9--1.16723700000004</f>
        <v>2531.3211440000005</v>
      </c>
      <c r="G121" s="3">
        <f>3307+(732.4-890.2)+(-1.68657+(-0.373524--0.454002))+0-728.2--0.371381999999926</f>
        <v>2419.7652899999998</v>
      </c>
      <c r="H121" s="3">
        <f>3319.8+(1024.5-1168)+(-5.079294+(-1.567485--1.78704))+0-829.7--1.26944100000005</f>
        <v>2343.0097019999998</v>
      </c>
      <c r="I121" s="3">
        <f>3295.5+(1025.5-1218)+(-3.36141+(-1.04601--1.24236))+0-796.5--0.812430000000127</f>
        <v>2304.1473700000001</v>
      </c>
      <c r="J121" s="3">
        <f>3216+(1037.8-1225.2)+(-8.2008+(-2.64639--3.12426))+0-739.8--1.88648999999989</f>
        <v>2282.9635600000001</v>
      </c>
      <c r="K121" s="3">
        <f>3027.2+(1008.3-1271.7)+(-7.71936+(-2.571165--3.242835))+0-511.8--1.30508999999993</f>
        <v>2246.2573999999995</v>
      </c>
      <c r="L121" s="3">
        <f>2667.7+(1185.9-1189.4)+(2.721054+(1.209618-1.213188))+0-471.2-0.480624000000075</f>
        <v>2195.2368599999995</v>
      </c>
      <c r="M121" s="3">
        <f>2679.5+(1175.7-789.9)+(-1.366545+(-0.599607--0.402849))+0-688.7--0.35123699999993</f>
        <v>2375.3879340000003</v>
      </c>
      <c r="N121" s="3">
        <f>2854.2+(1135.3-835.9)+(4.366926+(1.737009-1.278927))+0-529.2-0.809676000000031</f>
        <v>2628.4153319999996</v>
      </c>
      <c r="O121" s="3">
        <f>3143.1+(1112.5-787.7)+(0+(0-0))+0-672.2-0</f>
        <v>2795.7</v>
      </c>
      <c r="P121" s="3">
        <f>3138.4+(889.5-430.7)+(3.201168+(0.90729-0.439314))+0-652.3-0.665346000000104</f>
        <v>2947.9037979999998</v>
      </c>
      <c r="Q121" s="3">
        <f>3230.6+(826.8-288.1)+(4.942818+(1.265004-0.440793))+0-703.9-1.07696700000004</f>
        <v>3070.0900619999998</v>
      </c>
      <c r="R121" s="3">
        <f>3354.6+(753.2-478.3)+(5.132538+(1.152396-0.731799))+0-564.4-0.863532000000033</f>
        <v>3069.7896030000002</v>
      </c>
      <c r="S121" s="3">
        <f>3225.7+(805.1-624.3)+(-6.580428+(-1.642404--1.273572))+0-658.2--1.34272799999997</f>
        <v>2742.6934679999999</v>
      </c>
      <c r="T121" s="3">
        <f>3070.3+(958.8-534.2)+(0+(0-0))+0-594.6-0</f>
        <v>2900.3</v>
      </c>
      <c r="U121" s="3">
        <f>3099.9+(966.8-509.6)+(-4.742847+(-1.479204--0.779688))+0-631.2--0.965736000000037</f>
        <v>2921.4233729999996</v>
      </c>
      <c r="V121" s="3">
        <f>3311.2+(759.2-510)+(1.688712+(0.387192-0.2601))+0-679-0.346289999999931</f>
        <v>2882.8695139999995</v>
      </c>
      <c r="W121" s="3">
        <f>3362+(624-394.8)+(-5.14386+(-0.95472--0.604044))+0-730--1.11690000000004</f>
        <v>2856.8223639999997</v>
      </c>
      <c r="X121" s="3">
        <f>3090.2+(1047.3-803.1)+(-6.304008+(-2.136492--1.638324))+0-540.2--1.10200799999998</f>
        <v>2788.4998319999995</v>
      </c>
      <c r="Y121" s="3">
        <f>3087.1+(1173.2-833.2)+(-1.574421+(-0.598332--0.424932))+0-739.8--0.377297999999925</f>
        <v>2685.9294770000001</v>
      </c>
      <c r="Z121" s="3">
        <f>3114.4+(882.2-599)+(7.94172+(2.24961-1.52745))+0-574.7-1.46548499999992</f>
        <v>2830.0983950000009</v>
      </c>
      <c r="AA121" s="3">
        <f>3147.2+(675.8-375.4)+(1.605072+(0.344658-0.191454))+0-595.1-0.30350099999994</f>
        <v>2853.9547750000002</v>
      </c>
      <c r="AB121" s="3">
        <f>3135.9+(577.6-463)+(3.198618+(0.589152-0.47226))+0-463.8-0.473076000000074</f>
        <v>2789.5424339999995</v>
      </c>
      <c r="AC121" s="3">
        <f>3138.7+(752.6-550.7)+(1.600737+(0.383826-0.280857))+0-644-0.328439999999935</f>
        <v>2697.9752659999999</v>
      </c>
      <c r="AD121" s="2">
        <v>2867.8999999999996</v>
      </c>
      <c r="AE121" s="3">
        <f>3132+(816.9-316.3)+(0+(0-0))+0-764.7-0</f>
        <v>2867.8999999999996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2956.7+(809.5-576.9)+(-4.523751+(-1.238535--0.882657))+0-613.5--0.938655000000035</f>
        <v>2571.8590259999996</v>
      </c>
      <c r="G122" s="3">
        <f>2909.1+(773.4-622.9)+(-2.967282+(-0.788868--0.635358))+0-615.3--0.627606000000098</f>
        <v>2441.8068139999996</v>
      </c>
      <c r="H122" s="3">
        <f>2923.9+(988-837.3)+(-2.982378+(-1.00776--0.854046))+0-709.5--0.723690000000113</f>
        <v>2362.6875980000004</v>
      </c>
      <c r="I122" s="3">
        <f>2919.2+(1054.9-981.5)+(0+(0-0))+0-678.7-0</f>
        <v>2313.8999999999996</v>
      </c>
      <c r="J122" s="3">
        <f>2916.9+(1076.9-1099.4)+(-1.487619+(-0.549219--0.560694))+0-604.8--0.308447999999939</f>
        <v>2288.4323039999999</v>
      </c>
      <c r="K122" s="3">
        <f>2929.1+(1215.3-1163.9)+(-2.987682+(-1.239606--1.187178))+0-723.4--0.737868000000115</f>
        <v>2254.7977580000002</v>
      </c>
      <c r="L122" s="3">
        <f>2810.2+(1280.7-1060.3)+(0+(0-0))+0-832.8-0</f>
        <v>2197.8000000000002</v>
      </c>
      <c r="M122" s="3">
        <f>2762.4+(1167.6-1068)+(2.817648+(1.190952-1.08936))+0-520.9-0.531318000000083</f>
        <v>2343.4879219999998</v>
      </c>
      <c r="N122" s="3">
        <f>2903.3+(1330.7-874.4)+(7.403415+(3.393285-2.22972))+0-771.8-1.96808999999989</f>
        <v>2594.3988900000008</v>
      </c>
      <c r="O122" s="3">
        <f>3020.5+(973.8-619.8)+(4.621365+(1.489914-0.948294))+0-613-0.937890000000035</f>
        <v>2765.7250949999998</v>
      </c>
      <c r="P122" s="3">
        <f>3063.6+(818.6-233.8)+(3.124872+(0.834972-0.238476))+0-773.1-0.788562000000123</f>
        <v>2878.2328059999995</v>
      </c>
      <c r="Q122" s="3">
        <f>3273.1+(910.2-498.1)+(5.007843+(1.392606-0.762093))+0-726.2-1.11108600000004</f>
        <v>2963.5272699999996</v>
      </c>
      <c r="R122" s="3">
        <f>3436.5+(906.8-878.5)+(-1.752615+(-0.462468--0.448035))+0-549.8--0.280397999999944</f>
        <v>2913.5133500000002</v>
      </c>
      <c r="S122" s="3">
        <f>3448.1+(652.4-1065.9)+(-8.792655+(-1.66362--2.718045))+0-358.1--0.913154999999948</f>
        <v>2669.6749249999998</v>
      </c>
      <c r="T122" s="3">
        <f>3432.1+(777.1-1109.3)+(0+(0-0))+0-334.8-0</f>
        <v>2765.1</v>
      </c>
      <c r="U122" s="3">
        <f>3440.7+(792.7-1091.3)+(-5.264271+(-1.212831--1.669689))+0-336.4--0.514692000000019</f>
        <v>2801.407279</v>
      </c>
      <c r="V122" s="3">
        <f>3348+(810.2-910.8)+(-5.12244+(-1.239606--1.393524))+0-506.3--0.774639000000029</f>
        <v>2736.906117</v>
      </c>
      <c r="W122" s="3">
        <f>3121.8+(840.5-583.2)+(-3.184236+(-0.85731--0.594864))+0-661.2--0.674424000000105</f>
        <v>2715.127742000001</v>
      </c>
      <c r="X122" s="3">
        <f>3069.2+(1009.5-901.7)+(-3.130584+(-1.02969--0.919734))+0-548.3--0.559266000000087</f>
        <v>2626.0187260000002</v>
      </c>
      <c r="Y122" s="3">
        <f>3127.8+(1093.4-1120.9)+(4.785534+(1.672902-1.714977))+0-547.2-0.837216000000032</f>
        <v>2557.0062429999998</v>
      </c>
      <c r="Z122" s="3">
        <f>3561.1+(885.4-1126.7)+(3.632322+(0.903108-1.149234))+0-604.9-0.616998000000096</f>
        <v>2717.6691979999996</v>
      </c>
      <c r="AA122" s="3">
        <f>3745+(713.1-1068.9)+(-7.6398+(-1.454724--2.180556))+0-616.2--1.25704799999997</f>
        <v>2767.3430800000001</v>
      </c>
      <c r="AB122" s="3">
        <f>3761.5+(745.9-1183.7)+(-3.83673+(-0.760818--1.207374))+0-622.3--0.634746000000099</f>
        <v>2698.6445719999997</v>
      </c>
      <c r="AC122" s="3">
        <f>3751.9+(798.4-1243.4)+(-1.913469+(-0.407184--0.634134))+0-680.1--0.346850999999931</f>
        <v>2625.4603320000001</v>
      </c>
      <c r="AD122" s="2">
        <v>2804.3999999999996</v>
      </c>
      <c r="AE122" s="3">
        <f>3718+(832.9-1055.2)+(0+(0-0))+0-691.3-0</f>
        <v>2804.3999999999996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3620.3+(718.6-1139.3)+(0+(0-0))+0-699.6-0</f>
        <v>2500.0000000000005</v>
      </c>
      <c r="G123" s="3">
        <f>3433+(726.4-1089.4)+(-3.50166+(-0.740928--1.111188))+0-696.1--0.710022000000111</f>
        <v>2371.4786220000001</v>
      </c>
      <c r="H123" s="3">
        <f>3062.4+(1065.3-1007.9)+(0+(0-0))+0-820.7-0</f>
        <v>2299.1000000000004</v>
      </c>
      <c r="I123" s="3">
        <f>2855.1+(988.4-914.4)+(-2.912202+(-1.008168--0.932688))+0-675.2--0.688704000000108</f>
        <v>2251.6010219999998</v>
      </c>
      <c r="J123" s="3">
        <f>2874.9+(1075.2-1142.2)+(-4.398597+(-1.645056--1.747566))+0-577.9--0.884187000000033</f>
        <v>2226.5880999999999</v>
      </c>
      <c r="K123" s="3">
        <f>2895.9+(1136.4-1268.9)+(-5.907636+(-2.318256--2.588556))+0-595.3--1.21441199999997</f>
        <v>2163.6770760000004</v>
      </c>
      <c r="L123" s="3">
        <f>2749+(1118.5-1153.1)+(-4.20597+(-1.711305--1.764243))+0-690.9--1.05707700000004</f>
        <v>2020.4040449999998</v>
      </c>
      <c r="M123" s="3">
        <f>2304.8+(1320-935.1)+(3.526344+(2.0196-1.430703))+0-680.2-1.04070600000004</f>
        <v>2012.5745350000002</v>
      </c>
      <c r="N123" s="3">
        <f>2401.8+(1233.5-984.8)+(2.449836+(1.25817-1.004496))+0-540.6-0.551412000000086</f>
        <v>2112.0520979999997</v>
      </c>
      <c r="O123" s="3">
        <f>2723.9+(1229.4-1017)+(1.389189+(0.626994-0.51867))+0-701.6-0.357815999999929</f>
        <v>2235.8396970000003</v>
      </c>
      <c r="P123" s="3">
        <f>2849.4+(1086.2-912.3)+(4.359582+(1.661886-1.395819))+0-675.7-1.03382100000004</f>
        <v>2351.191828</v>
      </c>
      <c r="Q123" s="3">
        <f>2823.4+(943.9-937.4)+(2.879868+(0.962778-0.956148))+0-408.9-0.417078000000065</f>
        <v>2423.4694199999999</v>
      </c>
      <c r="R123" s="3">
        <f>2802.2+(944.4-724.3)+(2.858244+(0.963288-0.738786))+0-558.4-0.569568000000089</f>
        <v>2466.4131779999998</v>
      </c>
      <c r="S123" s="3">
        <f>2793+(952.5-789.2)+(2.84886+(0.97155-0.804984))+0-576.5-0.588030000000092</f>
        <v>2382.2273960000002</v>
      </c>
      <c r="T123" s="3">
        <f>2783.4+(969.9-1045.3)+(0+(0-0))+0-248.1-0</f>
        <v>2459.9</v>
      </c>
      <c r="U123" s="3">
        <f>2775+(1050.3-978.3)+(0+(0-0))+0-428.6-0</f>
        <v>2418.4</v>
      </c>
      <c r="V123" s="3">
        <f>2784.9+(1071.5-1034.1)+(0+(0-0))+0-427.8-0</f>
        <v>2394.5</v>
      </c>
      <c r="W123" s="3">
        <f>2777.5+(1067.3-969.4)+(0+(0-0))+0-468.5-0</f>
        <v>2406.9</v>
      </c>
      <c r="X123" s="3">
        <f>2773.8+(1166.5-874.9)+(-4.243914+(-1.784745--1.338597))+0-738.8--1.13036400000004</f>
        <v>2323.0403019999999</v>
      </c>
      <c r="Y123" s="3">
        <f>2806.7+(1140.2-1079.4)+(-5.725668+(-2.326008--2.201976))+0-602.9--1.22991599999997</f>
        <v>2259.9802159999995</v>
      </c>
      <c r="Z123" s="3">
        <f>2959.5+(790.1-739.5)+(0+(0-0))+0-566.5-0</f>
        <v>2443.6</v>
      </c>
      <c r="AA123" s="3">
        <f>3006.4+(869.6-696.4)+(-7.66632+(-2.21748--1.77582))+0-577.9--1.47364499999992</f>
        <v>2595.0656650000001</v>
      </c>
      <c r="AB123" s="3">
        <f>2967.8+(790.6-725.7)+(1.513578+(0.403206-0.370107))+0-436-0.222359999999956</f>
        <v>2598.0243170000003</v>
      </c>
      <c r="AC123" s="3">
        <f>2978.6+(926.5-814.9)+(-1.519086+(-0.472515--0.415599))+0-512.8--0.261527999999948</f>
        <v>2576.0855259999998</v>
      </c>
      <c r="AD123" s="2">
        <v>2535</v>
      </c>
      <c r="AE123" s="3">
        <f>2945+(889.2-696.9)+(0+(0-0))+0-602.3-0</f>
        <v>2535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2955.2+(860.4-933.8)+(-3.014304+(-0.877608--0.952476))+0-410.2--0.418404000000065</f>
        <v>2469.0789679999998</v>
      </c>
      <c r="G124" s="3">
        <f>2969.4+(994.6-1233.5)+(-1.514394+(-0.507246--0.629085))+0-368--0.187679999999963</f>
        <v>2361.2951250000001</v>
      </c>
      <c r="H124" s="3">
        <f>2982.1+(1188-1163.3)+(1.520871+(0.60588-0.593283))+0-732.9-0.373778999999926</f>
        <v>2275.0596890000002</v>
      </c>
      <c r="I124" s="3">
        <f>2953.5+(1066.5-1051.4)+(1.506285+(0.543915-0.536214))+0-714.9-0.364598999999927</f>
        <v>2254.8493869999998</v>
      </c>
      <c r="J124" s="3">
        <f>2947.4+(1069.8-1037.7)+(-4.509522+(-1.636794--1.587681))+0-695.9--1.06472700000004</f>
        <v>2280.106092</v>
      </c>
      <c r="K124" s="3">
        <f>2936.1+(1315.9-1264.6)+(-2.994822+(-1.342218--1.289892))+0-750.6--0.76561200000012</f>
        <v>2234.5184640000002</v>
      </c>
      <c r="L124" s="3">
        <f>2823.3+(1417.5-1348.5)+(-2.879766+(-1.44585--1.37547))+0-683.1--0.696762000000109</f>
        <v>2206.9466160000002</v>
      </c>
      <c r="M124" s="3">
        <f>2859.4+(1325.5-1274.5)+(1.458294+(0.676005-0.649995))+0-547.8-0.279377999999944</f>
        <v>2363.8049260000003</v>
      </c>
      <c r="N124" s="3">
        <f>3073.1+(1209.3-1038.7)+(6.269124+(2.466972-2.118948))+0-622.9-1.27071599999997</f>
        <v>2626.1464319999995</v>
      </c>
      <c r="O124" s="3">
        <f>3061.2+(1194.8-776.7)+(3.122424+(1.218696-0.792234))+0-691.6-0.70543200000011</f>
        <v>2790.5434539999997</v>
      </c>
      <c r="P124" s="3">
        <f>2833.9+(1537.6-797.2)+(1.445289+(0.784176-0.406572))+0-656.4-0.334763999999933</f>
        <v>2919.3881290000004</v>
      </c>
      <c r="Q124" s="3">
        <f>2881.1+(1773.5-920.6)+(1.469361+(0.904485-0.469506))+0-726.2-0.370361999999926</f>
        <v>3009.3339780000001</v>
      </c>
      <c r="R124" s="3">
        <f>3230.7+(1540.9-1180.9)+(3.295314+(1.571718-1.204518))+0-589.7-0.601494000000094</f>
        <v>3004.0610199999996</v>
      </c>
      <c r="S124" s="3">
        <f>3424.4+(1332.3-1192.3)+(-5.239332+(-2.038419--1.824219))+0-725.4--1.10986200000004</f>
        <v>2834.6563300000003</v>
      </c>
      <c r="T124" s="3">
        <f>3541.4+(1114.7-1227.5)+(-1.806114+(-0.568497--0.626025))+0-567.7--0.289526999999942</f>
        <v>2859.4409409999998</v>
      </c>
      <c r="U124" s="3">
        <f>3555.8+(1314.4-1324.6)+(1.813458+(0.670344-0.675546))+0-709.2-0.361691999999928</f>
        <v>2837.8465639999999</v>
      </c>
      <c r="V124" s="3">
        <f>3563.4+(1312.9-1421)+(5.452002+(2.008737-2.17413))+0-646.6-0.989298000000037</f>
        <v>2812.9973110000005</v>
      </c>
      <c r="W124" s="3">
        <f>3531.3+(1269.8-1396.5)+(1.800963+(0.647598-0.712215))+0-599.4-0.305693999999939</f>
        <v>2806.6306520000003</v>
      </c>
      <c r="X124" s="3">
        <f>3426.7+(1144.3-1155.1)+(-5.242851+(-1.750779--1.767303))+0-608--0.930240000000035</f>
        <v>2803.6039129999999</v>
      </c>
      <c r="Y124" s="3">
        <f>3191.6+(1020.2-1226.4)+(0+(0-0))+0-321.2-0</f>
        <v>2664.2</v>
      </c>
      <c r="Z124" s="3">
        <f>3542+(931-1311.7)+(3.61284+(0.94962-1.337934))+0-334.9-0.341598000000053</f>
        <v>2829.2829280000001</v>
      </c>
      <c r="AA124" s="3">
        <f>3704.1+(962.7-1361.3)+(-9.445455+(-2.454885--3.471315))+0-422.5--1.07737499999994</f>
        <v>2875.6483499999999</v>
      </c>
      <c r="AB124" s="3">
        <f>3465.8+(1215.1-1093.7)+(1.767558+(0.619701-0.557787))+0-706.5-0.360314999999928</f>
        <v>2882.1691569999998</v>
      </c>
      <c r="AC124" s="3">
        <f>3374.7+(1153.4-1099)+(-3.442194+(-1.176468--1.12098))+0-656.8--0.669936000000105</f>
        <v>2769.4722540000002</v>
      </c>
      <c r="AD124" s="2">
        <v>2916.4</v>
      </c>
      <c r="AE124" s="3">
        <f>3758+(992.6-1406.9)+(0+(0-0))+0-427.3-0</f>
        <v>2916.3999999999996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3333.1+(1179.5-1089.2)+(-1.699881+(-0.601545--0.555492))+0-792.2--0.40402199999992</f>
        <v>2629.858087999999</v>
      </c>
      <c r="G125" s="3">
        <f>3424.6+(1068.6-1215.8)+(0+(0-0))+0-781.4-0</f>
        <v>2495.9999999999995</v>
      </c>
      <c r="H125" s="3">
        <f>3507+(1058.7-1396.7)+(3.57714+(1.079874-1.424634))+0-754.2-0.76928400000012</f>
        <v>2417.2630959999997</v>
      </c>
      <c r="I125" s="3">
        <f>3622.7+(965.4-1456.1)+(5.542731+(1.477062-2.227833))+0-768-1.17504000000004</f>
        <v>2367.6169199999999</v>
      </c>
      <c r="J125" s="3">
        <f>3719.9+(1012.9-1585.7)+(-3.794298+(-1.033158--1.617414))+0-757.9--0.773058000000121</f>
        <v>2386.7630159999999</v>
      </c>
      <c r="K125" s="3">
        <f>3150.9+(1347.8-1372.3)+(-6.427836+(-2.749512--2.799492))+0-753.1--1.53632399999997</f>
        <v>2368.4584680000003</v>
      </c>
      <c r="L125" s="3">
        <f>3027.4+(1293.3-1378.3)+(-7.71987+(-3.297915--3.514665))+0-622.2--1.58660999999991</f>
        <v>2314.2834900000003</v>
      </c>
      <c r="M125" s="3">
        <f>3079.2+(1216.9-1174.1)+(4.711176+(1.861857-1.796373))+0-698.4-1.06855200000004</f>
        <v>2427.3081079999997</v>
      </c>
      <c r="N125" s="3">
        <f>3287.5+(1201.5-1294)+(5.029875+(1.838295-1.97982))+0-561.3-0.858789000000032</f>
        <v>2637.7295610000001</v>
      </c>
      <c r="O125" s="3">
        <f>3511.3+(1132.8-1180.1)+(7.163052+(2.310912-2.407404))+0-638.7-1.30294799999997</f>
        <v>2831.0636120000004</v>
      </c>
      <c r="P125" s="3">
        <f>3648.6+(912-1157.2)+(1.860786+(0.46512-0.590172))+0-471.8-0.240617999999952</f>
        <v>2933.0951159999995</v>
      </c>
      <c r="Q125" s="3">
        <f>3695.3+(1107.7-1220.6)+(3.769206+(1.129854-1.245012))+0-578.4-0.589968000000092</f>
        <v>3007.0640800000001</v>
      </c>
      <c r="R125" s="3">
        <f>3697+(1263.6-1290.8)+(5.65641+(1.933308-1.974924))+0-678-1.03734000000004</f>
        <v>2996.3774540000004</v>
      </c>
      <c r="S125" s="3">
        <f>3748+(1034.2-1375.6)+(-1.91148+(-0.527442--0.701556))+0-465.9--0.237608999999953</f>
        <v>2939.2002430000002</v>
      </c>
      <c r="T125" s="3">
        <f>3779+(1104.3-1330.1)+(3.85458+(1.126386-1.356702))+0-636.9-0.649638000000102</f>
        <v>2919.2746259999994</v>
      </c>
      <c r="U125" s="3">
        <f>3800.9+(913.2-1347.7)+(-1.938459+(-0.465732--0.687327))+0-522.5--0.266474999999947</f>
        <v>2842.449611</v>
      </c>
      <c r="V125" s="3">
        <f>3802.8+(1056.6-1412.7)+(3.878856+(1.077732-1.440954))+0-674.9-0.688398000000108</f>
        <v>2774.6272359999994</v>
      </c>
      <c r="W125" s="3">
        <f>3830.8+(963.3-1391.2)+(-7.814832+(-1.965132--2.838048))+0-609.5--1.24337999999997</f>
        <v>2787.7014639999998</v>
      </c>
      <c r="X125" s="3">
        <f>3842.2+(1007.6-1336.6)+(-5.878566+(-1.541628--2.044998))+0-775.6--1.18666800000004</f>
        <v>2733.4114719999998</v>
      </c>
      <c r="Y125" s="3">
        <f>3784.5+(643.8-1225.9)+(3.86019+(0.656676-1.250418))+0-523.1-0.533562000000083</f>
        <v>2682.0328859999995</v>
      </c>
      <c r="Z125" s="3">
        <f>3885.7+(883.7-1272)+(9.908535+(2.253435-3.2436))+0-654.7-1.66948499999991</f>
        <v>2849.9488849999993</v>
      </c>
      <c r="AA125" s="3">
        <f>3923.3+(942-1328.9)+(-2.000883+(-0.48042--0.677739))+0-649.2--0.331091999999934</f>
        <v>2885.7275279999999</v>
      </c>
      <c r="AB125" s="3">
        <f>3935.3+(979.6-1356.8)+(-6.021009+(-1.498788--2.075904))+0-696.8--1.06610400000004</f>
        <v>2856.9222110000005</v>
      </c>
      <c r="AC125" s="3">
        <f>3766.4+(938.1-1249.8)+(-5.762592+(-1.435293--1.912194))+0-613.9--0.939267000000035</f>
        <v>2836.4535760000003</v>
      </c>
      <c r="AD125" s="2">
        <v>2875.5</v>
      </c>
      <c r="AE125" s="3">
        <f>3901+(1041.3-1319.5)+(0+(0-0))+0-747.3-0</f>
        <v>2875.5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3368.2+(849.1-907.3)+(3.435564+(0.866082-0.925446))+0-645.2-0.658104000000103</f>
        <v>2667.5180959999998</v>
      </c>
      <c r="G126" s="3">
        <f>3592.4+(791.9-1196)+(0+(0-0))+0-643.2-0</f>
        <v>2545.1000000000004</v>
      </c>
      <c r="H126" s="3">
        <f>3665.4+(1044.1-1603.2)+(3.738708+(1.064982-1.635264))+0-631.8-0.644436000000101</f>
        <v>2477.0239900000001</v>
      </c>
      <c r="I126" s="3">
        <f>3700.6+(948.4-1671.9)+(1.887306+(0.483684-0.852669))+0-568.5-0.289934999999942</f>
        <v>2409.8283860000001</v>
      </c>
      <c r="J126" s="3">
        <f>3708.2+(891.9-1652.3)+(-1.891182+(-0.454869--0.842673))+0-517.5--0.263924999999948</f>
        <v>2429.0605469999996</v>
      </c>
      <c r="K126" s="3">
        <f>3428.6+(1138.1-1542.9)+(-6.994344+(-2.321724--3.147516))+0-603.4--1.23093599999997</f>
        <v>2415.4623839999995</v>
      </c>
      <c r="L126" s="3">
        <f>3101.1+(1178.3-1302.2)+(0+(0-0))+0-613.6-0</f>
        <v>2363.6</v>
      </c>
      <c r="M126" s="3">
        <f>3081.4+(1169.8-1254.9)+(1.571514+(0.596598-0.639999))+0-522.7-0.266576999999947</f>
        <v>2474.8615359999999</v>
      </c>
      <c r="N126" s="3">
        <f>3273+(1075.4-1261.8)+(1.66923+(0.548454-0.643518))+0-445.4-0.227153999999955</f>
        <v>2642.547012</v>
      </c>
      <c r="O126" s="3">
        <f>3500+(1011.4-1167.9)+(1.785+(0.515814-0.595629))+0-512.8-0.261527999999948</f>
        <v>2832.1436569999996</v>
      </c>
      <c r="P126" s="3">
        <f>3812.1+(744.4-1162.6)+(-1.944171+(-0.379644--0.592926))+0-470.8--0.240107999999952</f>
        <v>2921.6092189999999</v>
      </c>
      <c r="Q126" s="3">
        <f>3729.3+(999.7-1185)+(5.705829+(1.529541-1.81305))+0-545.2-0.834156000000032</f>
        <v>3003.388164</v>
      </c>
      <c r="R126" s="3">
        <f>3705.6+(1079.1-1256)+(-5.669568+(-1.651023--1.92168))+0-544.7--0.833391000000032</f>
        <v>2979.4344799999999</v>
      </c>
      <c r="S126" s="3">
        <f>3700.5+(984.8-1343.2)+(-1.887255+(-0.502248--0.685032))+0-541.4--0.276113999999945</f>
        <v>2799.2716429999996</v>
      </c>
      <c r="T126" s="3">
        <f>3690.8+(1013.1-1359.2)+(-5.646924+(-1.550043--2.079576))+0-527.5--0.807075000000031</f>
        <v>2812.8896840000002</v>
      </c>
      <c r="U126" s="3">
        <f>3671.6+(1004.1-1382.3)+(-3.745032+(-1.024182--1.409946))+0-485.3--0.495006000000077</f>
        <v>2805.2357379999999</v>
      </c>
      <c r="V126" s="3">
        <f>3666.8+(1013.3-1331)+(1.870068+(0.516783-0.67881))+0-568-0.289679999999942</f>
        <v>2782.5183610000004</v>
      </c>
      <c r="W126" s="3">
        <f>3667.3+(1050.3-1297.4)+(-1.870323+(-0.535653--0.661674))+0-634.7--0.323696999999936</f>
        <v>2784.0793949999997</v>
      </c>
      <c r="X126" s="3">
        <f>3672.2+(1043-1411.5)+(-5.618466+(-1.59579--2.159595))+0-571.8--0.874854000000033</f>
        <v>2727.7201929999997</v>
      </c>
      <c r="Y126" s="3">
        <f>3571.6+(1001.8-1224.5)+(-1.821516+(-0.510918--0.624495))+0-551.5--0.281264999999944</f>
        <v>2795.9733259999998</v>
      </c>
      <c r="Z126" s="3">
        <f>3726.1+(967.1-1254.6)+(3.800622+(0.986442-1.279692))+0-635.4-0.648108000000101</f>
        <v>2806.0592639999995</v>
      </c>
      <c r="AA126" s="3">
        <f>3758.7+(909.4-1188.9)+(1.916937+(0.463794-0.606339))+0-633.1-0.322880999999936</f>
        <v>2847.5515109999997</v>
      </c>
      <c r="AB126" s="3">
        <f>3767+(894.8-1241.9)+(-7.68468+(-1.825392--2.533476))+0-601.5--1.22705999999997</f>
        <v>2812.6504639999998</v>
      </c>
      <c r="AC126" s="3">
        <f>3628.3+(894.2-1201.7)+(1.850433+(0.456042-0.612867))+0-559.2-0.285191999999943</f>
        <v>2763.0084160000001</v>
      </c>
      <c r="AD126" s="2">
        <v>2922.4000000000005</v>
      </c>
      <c r="AE126" s="3">
        <f>3736+(918.8-1182.6)+(0+(0-0))+0-549.8-0</f>
        <v>2922.3999999999996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3493.7+(910.1-1086.1)+(1.781787+(0.464151-0.553911))+0-688.9-0.35133899999993</f>
        <v>2630.140688</v>
      </c>
      <c r="G127" s="3">
        <f>3375.8+(833.6-1110.7)+(1.721658+(0.425136-0.566457))+0-625.8-0.319157999999936</f>
        <v>2474.1611790000002</v>
      </c>
      <c r="H127" s="3">
        <f>3380.2+(988.6-1237.5)+(1.723902+(0.504186-0.631125))+0-714.6-0.364445999999927</f>
        <v>2417.9325169999997</v>
      </c>
      <c r="I127" s="3">
        <f>3447.5+(900.4-1325)+(3.51645+(0.918408-1.3515))+0-665.7-0.679014000000106</f>
        <v>2359.6043439999994</v>
      </c>
      <c r="J127" s="3">
        <f>3536+(940.2-1397.1)+(1.80336+(0.479502-0.712521))+0-713.6-0.363935999999928</f>
        <v>2366.7064050000008</v>
      </c>
      <c r="K127" s="3">
        <f>3407.9+(1183.3-1513.7)+(-6.952116+(-2.413932--3.087948))+0-715.4--1.45941599999997</f>
        <v>2357.2813160000001</v>
      </c>
      <c r="L127" s="3">
        <f>3105.6+(1245.6-1489.1)+(-1.583856+(-0.635256--0.759441))+0-556.4--0.283763999999944</f>
        <v>2304.5240929999995</v>
      </c>
      <c r="M127" s="3">
        <f>3036.7+(1198.6-1305.8)+(3.097434+(1.222572-1.331916))+0-534.8-0.545496000000085</f>
        <v>2397.1425939999995</v>
      </c>
      <c r="N127" s="3">
        <f>3425+(1101.6-1405.6)+(1.74675+(0.561816-0.716856))+0-497.8-0.25387799999995</f>
        <v>2624.537832</v>
      </c>
      <c r="O127" s="3">
        <f>3748.2+(972.2-1434.6)+(-3.823164+(-0.991644--1.463292))+0-506.6--0.516732000000081</f>
        <v>2776.3652160000001</v>
      </c>
      <c r="P127" s="3">
        <f>3773.6+(879.4-1180.4)+(7.698144+(1.793976-2.408016))+0-609.3-1.24297199999997</f>
        <v>2869.1411319999997</v>
      </c>
      <c r="Q127" s="3">
        <f>3755.1+(842.9-1092)+(1.915101+(0.429879-0.55692))+0-572.7-0.292076999999942</f>
        <v>2934.795983</v>
      </c>
      <c r="R127" s="3">
        <f>3714.6+(854.8-1117.1)+(3.788892+(0.871896-1.139442))+0-515.7-0.526014000000082</f>
        <v>2939.5953319999999</v>
      </c>
      <c r="S127" s="3">
        <f>3701.3+(737.7-1190.3)+(-5.662989+(-1.128681--1.821159))+0-504.1--0.771273000000029</f>
        <v>2740.4007620000002</v>
      </c>
      <c r="T127" s="3">
        <f>3729.1+(802.3-1169.6)+(-7.607364+(-1.636692--2.385984))+0-579.1--1.18136399999997</f>
        <v>2777.0232920000003</v>
      </c>
      <c r="U127" s="3">
        <f>3801.8+(614.7-1255.2)+(-7.755672+(-1.253988--2.560608))+0-381.7--0.778667999999983</f>
        <v>2773.9296160000004</v>
      </c>
      <c r="V127" s="3">
        <f>3594.2+(812.3-1099.9)+(-3.666084+(-0.828546--1.121898))+0-567.5--0.57885000000009</f>
        <v>2736.3061179999995</v>
      </c>
      <c r="W127" s="3">
        <f>3439.2+(780.1-862.2)+(-1.753992+(-0.397851--0.439722))+0-493.4--0.25163399999995</f>
        <v>2862.2395129999995</v>
      </c>
      <c r="X127" s="3">
        <f>3398.4+(669.9-883)+(-8.66592+(-1.708245--2.25165))+0-429.1--1.09420499999994</f>
        <v>2749.1716900000001</v>
      </c>
      <c r="Y127" s="3">
        <f>3435.6+(751.4-980.4)+(-10.512936+(-2.299284--3.000024))+0-595.2--1.82131200000007</f>
        <v>2603.4091159999998</v>
      </c>
      <c r="Z127" s="3">
        <f>3727.1+(653.2-1071)+(3.801642+(0.666264-1.09242))+0-531.8-0.542436000000085</f>
        <v>2780.3330499999997</v>
      </c>
      <c r="AA127" s="3">
        <f>3936.7+(710.4-1212)+(-6.023151+(-1.086912--1.85436))+0-624.9--0.956097000000036</f>
        <v>2805.9003940000002</v>
      </c>
      <c r="AB127" s="3">
        <f>3979.8+(790-1275.8)+(-10.14849+(-2.0145--3.25329))+0-675.5--1.7225249999999</f>
        <v>2811.3128249999995</v>
      </c>
      <c r="AC127" s="3">
        <f>3945.7+(862.2-1347.2)+(-8.049228+(-1.758888--2.748288))+0-704--1.43615999999997</f>
        <v>2751.0763319999996</v>
      </c>
      <c r="AD127" s="2">
        <v>2833.7999999999997</v>
      </c>
      <c r="AE127" s="3">
        <f>3900+(836-1195.8)+(0+(0-0))+0-706.4-0</f>
        <v>2833.7999999999997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3896.8+(776.1-1268.6)+(-1.987368+(-0.395811--0.646986))+0-786.7--0.40121699999992</f>
        <v>2616.2650239999998</v>
      </c>
      <c r="G128" s="3">
        <f>3768.3+(516.1-1179.3)+(-3.843666+(-0.526422--1.202886))+0-648.8--0.661776000000103</f>
        <v>2453.7945740000005</v>
      </c>
      <c r="H128" s="3">
        <f>3523.9+(539.5-896.8)+(1.797189+(0.275145-0.457368))+0-788.8-0.40228799999992</f>
        <v>2379.0126780000005</v>
      </c>
      <c r="I128" s="3">
        <f>3454.1+(540.8-984.7)+(0+(0-0))+0-678.3-0</f>
        <v>2331.8999999999996</v>
      </c>
      <c r="J128" s="3">
        <f>3447.5+(595.7-1026.4)+(-7.0329+(-1.215228--2.093856))+0-662.8--1.35211199999997</f>
        <v>2349.1978400000003</v>
      </c>
      <c r="K128" s="3">
        <f>3239.4+(1015.8-1210.6)+(-8.26047+(-2.59029--3.08703))+0-708.1--1.8056549999999</f>
        <v>2330.5419250000004</v>
      </c>
      <c r="L128" s="3">
        <f>3183.5+(1168.7-1320.5)+(-8.117925+(-2.980185--3.367275))+0-734.2--1.87220999999989</f>
        <v>2291.6413749999997</v>
      </c>
      <c r="M128" s="3">
        <f>3107.5+(1105-1182.2)+(1.584825+(0.56355-0.602922))+0-643.1-0.327980999999935</f>
        <v>2388.4174720000005</v>
      </c>
      <c r="N128" s="3">
        <f>3512.4+(849-1185.2)+(3.582648+(0.86598-1.208904))+0-582.2-0.593844000000093</f>
        <v>2596.64588</v>
      </c>
      <c r="O128" s="3">
        <f>3571.2+(788.2-972.9)+(5.463936+(1.205946-1.488537))+0-618.3-0.945999000000036</f>
        <v>2772.4353459999998</v>
      </c>
      <c r="P128" s="3">
        <f>3565.5+(886.1-983.9)+(3.63681+(0.903822-1.003578))+0-614.1-0.626382000000098</f>
        <v>2856.5106719999999</v>
      </c>
      <c r="Q128" s="3">
        <f>3530.5+(689.2-757.6)+(5.401665+(1.054476-1.159128))+0-522.8-0.79988400000003</f>
        <v>2943.7971289999996</v>
      </c>
      <c r="R128" s="3">
        <f>3801.7+(625.4-1022.1)+(-5.816601+(-0.956862--1.563813))+0-482.8--0.738684000000028</f>
        <v>2917.729034</v>
      </c>
      <c r="S128" s="3">
        <f>3642.8+(542.9-865.6)+(-3.715656+(-0.553758--0.882912))+0-590.8--0.602616000000094</f>
        <v>2726.5161140000009</v>
      </c>
      <c r="T128" s="3">
        <f>3894.7+(705.6-1210.9)+(-3.972594+(-0.719712--1.235118))+0-635.7--0.648414000000101</f>
        <v>2750.8912259999997</v>
      </c>
      <c r="U128" s="3">
        <f>3881.9+(812.1-1288.5)+(-5.939307+(-1.242513--1.971405))+0-654.2--1.00092600000004</f>
        <v>2747.0905109999999</v>
      </c>
      <c r="V128" s="3">
        <f>3851.6+(748-1324.3)+(-5.892948+(-1.14444--2.026179))+0-560.2--0.857106000000032</f>
        <v>2710.9458970000001</v>
      </c>
      <c r="W128" s="3">
        <f>3602.5+(668.6-1099.1)+(-9.186375+(-1.70493--2.802705))+0-556.8--1.41983999999992</f>
        <v>2608.5312399999998</v>
      </c>
      <c r="X128" s="3">
        <f>3449.7+(459.1-730.5)+(-3.518694+(-0.468282--0.74511))+0-534.4--0.545088000000085</f>
        <v>2641.2032220000001</v>
      </c>
      <c r="Y128" s="3">
        <f>3326.3+(588.4-663.7)+(-1.696413+(-0.300084--0.338487))+0-640.4--0.326603999999935</f>
        <v>2609.2685939999997</v>
      </c>
      <c r="Z128" s="3">
        <f>3564.5+(732.2-880.1)+(3.63579+(0.746844-0.897702))+0-672-0.685440000000107</f>
        <v>2747.3994919999996</v>
      </c>
      <c r="AA128" s="3">
        <f>3897.6+(651.6-1192.1)+(-7.951104+(-1.329264--2.431884))+0-562.2--1.14688799999998</f>
        <v>2789.1984039999993</v>
      </c>
      <c r="AB128" s="3">
        <f>3851.2+(711.1-1141.9)+(-1.964112+(-0.362661--0.582369))+0-657.8--0.335477999999933</f>
        <v>2761.1910739999994</v>
      </c>
      <c r="AC128" s="3">
        <f>3842.9+(633.7-1139.9)+(-5.879637+(-0.969561--1.744047))+0-642.3--0.982719000000037</f>
        <v>2690.277568</v>
      </c>
      <c r="AD128" s="2">
        <v>2771.9000000000005</v>
      </c>
      <c r="AE128" s="3">
        <f>3833+(731.6-1143.9)+(0+(0-0))+0-648.8-0</f>
        <v>2771.8999999999996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3823.4+(708.6-1181.3)+(0+(0-0))+0-788.8-0</f>
        <v>2561.9000000000005</v>
      </c>
      <c r="G129" s="3">
        <f>3703.4+(780.9-1356.5)+(1.888734+(0.398259-0.691815))+0-708.4-0.361283999999928</f>
        <v>2420.6338940000001</v>
      </c>
      <c r="H129" s="3">
        <f>3654.6+(909.1-1337.5)+(-3.727692+(-0.927282--1.36425))+0-774.3--0.789786000000123</f>
        <v>2449.3990620000004</v>
      </c>
      <c r="I129" s="3">
        <f>3483.8+(970.1-1325.8)+(-1.776738+(-0.494751--0.676158))+0-755.4--0.385253999999923</f>
        <v>2371.4899230000001</v>
      </c>
      <c r="J129" s="3">
        <f>3352+(1001.7-1289.6)+(-5.12856+(-1.532601--1.973088))+0-709.9--1.08614700000004</f>
        <v>2350.5980740000005</v>
      </c>
      <c r="K129" s="3">
        <f>3213.6+(1097.4-1217.9)+(-4.916808+(-1.679022--1.863387))+0-772.4--1.18177200000004</f>
        <v>2317.1493289999999</v>
      </c>
      <c r="L129" s="3">
        <f>3049.3+(1213.5-1148)+(0+(0-0))+0-743.4-0</f>
        <v>2371.4</v>
      </c>
      <c r="M129" s="3">
        <f>3079+(1052.8-988.5)+(9.42174+(3.221568-3.02481))+0-717.3-2.19493800000008</f>
        <v>2433.4235599999997</v>
      </c>
      <c r="N129" s="3">
        <f>3251.1+(854.4-875.6)+(8.290305+(2.17872-2.23278))+0-704.7-1.7969849999999</f>
        <v>2531.6392599999999</v>
      </c>
      <c r="O129" s="3">
        <f>3370.3+(690.1-703)+(10.313118+(2.111706-2.15118))+0-700.1-2.14230600000008</f>
        <v>2665.4313379999999</v>
      </c>
      <c r="P129" s="3">
        <f>3575.4+(475.8-700.9)+(0+(0-0))+0-586.9-0</f>
        <v>2763.4</v>
      </c>
      <c r="Q129" s="3">
        <f>3547.4+(763.9-780.4)+(5.427522+(1.168767-1.194012))+0-702.4-1.07467200000004</f>
        <v>2832.8276049999999</v>
      </c>
      <c r="R129" s="3">
        <f>3529.2+(746.7-806.7)+(0+(0-0))+0-649.1-0</f>
        <v>2820.1</v>
      </c>
      <c r="S129" s="3">
        <f>3513.4+(619.1-880.5)+(-10.751004+(-1.894446--2.69433))+0-622.2--1.90393200000007</f>
        <v>2621.7528119999997</v>
      </c>
      <c r="T129" s="3">
        <f>3485.7+(665.4-870.1)+(-1.777707+(-0.339354--0.443751))+0-654.4--0.333743999999934</f>
        <v>2625.2604339999998</v>
      </c>
      <c r="U129" s="3">
        <f>3471.3+(612-931.8)+(-1.770363+(-0.31212--0.475218))+0-534.6--0.272645999999946</f>
        <v>2615.5653809999999</v>
      </c>
      <c r="V129" s="3">
        <f>3306.7+(649.6-939.9)+(-1.686417+(-0.331296--0.479349))+0-433.1--0.220880999999956</f>
        <v>2581.9825169999995</v>
      </c>
      <c r="W129" s="3">
        <f>3219.7+(785.5-869)+(3.284094+(0.80121-0.88638))+0-570.6-0.582012000000091</f>
        <v>2568.2169119999994</v>
      </c>
      <c r="X129" s="3">
        <f>3104+(989.8-1169.8)+(1.58304+(0.504798-0.596598))+0-520.1-0.265250999999947</f>
        <v>2405.1259890000001</v>
      </c>
      <c r="Y129" s="3">
        <f>3134.1+(1148.7-1177.3)+(0+(0-0))+0-651.4-0</f>
        <v>2454.1</v>
      </c>
      <c r="Z129" s="3">
        <f>3167.1+(827.6-853.3)+(-4.845663+(-1.266228--1.305549))+0-491.8--0.752454000000028</f>
        <v>2645.546112</v>
      </c>
      <c r="AA129" s="3">
        <f>3182.5+(818.4-629.1)+(-1.623075+(-0.417384--0.320841))+0-679.2--0.346391999999931</f>
        <v>2691.2267740000002</v>
      </c>
      <c r="AB129" s="3">
        <f>3198.3+(693.2-704)+(-3.262266+(-0.707064--0.71808))+0-568.9--0.580278000000091</f>
        <v>2615.929028</v>
      </c>
      <c r="AC129" s="3">
        <f>3181.8+(898.3-952.3)+(-6.490872+(-1.832532--1.942692))+0-569.2--1.16116799999998</f>
        <v>2553.3804560000003</v>
      </c>
      <c r="AD129" s="2">
        <v>2712.2</v>
      </c>
      <c r="AE129" s="3">
        <f>3163+(821.7-550.4)+(0+(0-0))+0-722.1-0</f>
        <v>2712.2000000000003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3157.7+(939.4-944.5)+(-1.610427+(-0.479094--0.481695))+0-674--0.343739999999932</f>
        <v>2477.3359139999998</v>
      </c>
      <c r="G130" s="3">
        <f>3140.6+(919.3-931.3)+(-1.601706+(-0.468843--0.474963))+0-757.1--0.386120999999923</f>
        <v>2370.2905350000001</v>
      </c>
      <c r="H130" s="3">
        <f>3006.5+(1034.1-1124.8)+(0+(0-0))+0-618.4-0</f>
        <v>2297.4</v>
      </c>
      <c r="I130" s="3">
        <f>3015.3+(955.7-932.3)+(-7.689015+(-2.437035--2.377365))+0-805.8--2.05478999999988</f>
        <v>2227.2061049999998</v>
      </c>
      <c r="J130" s="3">
        <f>3026.6+(967.7-1058.1)+(-3.087132+(-0.987054--1.079262))+0-689--0.70278000000011</f>
        <v>2244.9078559999998</v>
      </c>
      <c r="K130" s="3">
        <f>3126.3+(1016.9-1174.9)+(-11.160891+(-3.630333--4.194393))+0-823.3--2.93918100000001</f>
        <v>2137.3423500000004</v>
      </c>
      <c r="L130" s="3">
        <f>2966.6+(1077.5-1308.6)+(-10.590762+(-3.846675--4.671702))+0-735.2--2.62466400000001</f>
        <v>1993.1589289999999</v>
      </c>
      <c r="M130" s="3">
        <f>2808.9+(1147.2-1318.1)+(1.432539+(0.585072-0.672231))+0-639.2-0.325991999999935</f>
        <v>1999.8193880000001</v>
      </c>
      <c r="N130" s="3">
        <f>2801+(1043-1282.2)+(-1.42851+(-0.53193--0.653922))+0-525.8--0.268157999999947</f>
        <v>2034.9616400000002</v>
      </c>
      <c r="O130" s="3">
        <f>2776.7+(1105.1-1070.6)+(4.248351+(1.690803-1.638018))+0-679.1-1.03902300000004</f>
        <v>2135.3621130000001</v>
      </c>
      <c r="P130" s="3">
        <f>2947.2+(999.4-1123.5)+(0+(0-0))+0-593.6-0</f>
        <v>2229.5</v>
      </c>
      <c r="Q130" s="3">
        <f>3015.4+(891.9-1038.7)+(4.613562+(1.364607-1.589211))+0-568.3-0.869499000000033</f>
        <v>2303.8194589999998</v>
      </c>
      <c r="R130" s="3">
        <f>3259.1+(799.9-1056.2)+(3.324282+(0.815898-1.077324))+0-671.5-0.684930000000107</f>
        <v>2333.6779259999998</v>
      </c>
      <c r="S130" s="3">
        <f>3254.8+(716.5-927.8)+(6.639792+(1.46166-1.892712))+0-749.5-1.52897999999997</f>
        <v>2298.67976</v>
      </c>
      <c r="T130" s="3">
        <f>3258.1+(643-895.2)+(6.646524+(1.31172-1.826208))+0-697.5-1.42289999999997</f>
        <v>2313.1091359999996</v>
      </c>
      <c r="U130" s="3">
        <f>3251.2+(701.2-926.3)+(3.316224+(0.715224-0.944826))+0-714.4-0.728688000000114</f>
        <v>2314.0579339999995</v>
      </c>
      <c r="V130" s="3">
        <f>3252.3+(666.9-940.2)+(-1.658673+(-0.340119--0.479502))+0-678.6--0.346085999999931</f>
        <v>2299.2267959999999</v>
      </c>
      <c r="W130" s="3">
        <f>3242.8+(599.8-989.7)+(3.307656+(0.611796-1.009494))+0-543.5-0.554370000000087</f>
        <v>2311.755588</v>
      </c>
      <c r="X130" s="3">
        <f>3205.8+(795.2-1064.8)+(-1.634958+(-0.405552--0.543048))+0-652.9--0.332978999999934</f>
        <v>2282.1355170000002</v>
      </c>
      <c r="Y130" s="3">
        <f>3127+(880-1162.2)+(-6.37908+(-1.7952--2.370888))+0-611.4--1.24725599999997</f>
        <v>2228.8438640000004</v>
      </c>
      <c r="Z130" s="3">
        <f>3277.2+(651.2-828.3)+(0+(0-0))+0-652.7-0</f>
        <v>2447.3999999999996</v>
      </c>
      <c r="AA130" s="3">
        <f>3428+(474.6-755.3)+(-8.7414+(-1.21023--1.926015))+0-624.5--1.59247499999991</f>
        <v>2516.3668600000001</v>
      </c>
      <c r="AB130" s="3">
        <f>3362.3+(635-919.8)+(0+(0-0))+0-566.5-0</f>
        <v>2511</v>
      </c>
      <c r="AC130" s="3">
        <f>3293.1+(817.7-891.2)+(5.038443+(1.251081-1.363536))+0-754.5-1.15438500000004</f>
        <v>2468.8716030000001</v>
      </c>
      <c r="AD130" s="2">
        <v>2535.1999999999998</v>
      </c>
      <c r="AE130" s="3">
        <f>3414+(598.7-799.9)+(0+(0-0))+0-677.6-0</f>
        <v>2535.2000000000003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3256.4+(784.9-1146.1)+(-6.643056+(-1.601196--2.338044))+0-521.9--1.06467599999998</f>
        <v>2368.4584680000003</v>
      </c>
      <c r="G131" s="3">
        <f>3165.5+(1049.1-1294.2)+(-8.072025+(-2.675205--3.30021))+0-651.7--1.66183499999991</f>
        <v>2262.9148149999992</v>
      </c>
      <c r="H131" s="3">
        <f>3047.2+(990.5-1218.3)+(-10.878504+(-3.536085--4.349331))+0-647.1--2.31014700000001</f>
        <v>2164.5448889999998</v>
      </c>
      <c r="I131" s="3">
        <f>3051.6+(911.2-1028.2)+(0+(0-0))+0-793.5-0</f>
        <v>2141.1</v>
      </c>
      <c r="J131" s="3">
        <f>3080.7+(833.9-1086.6)+(-7.855785+(-2.126445--2.77083))+0-652.4--1.66361999999991</f>
        <v>2170.0522199999996</v>
      </c>
      <c r="K131" s="3">
        <f>2858.5+(1133.7-1022.7)+(-8.74701+(-3.469122--3.129462))+0-791.7--2.42260200000009</f>
        <v>2171.1359319999997</v>
      </c>
      <c r="L131" s="3">
        <f>2708.4+(1099.9-1051)+(0+(0-0))+0-627.4-0</f>
        <v>2129.9</v>
      </c>
      <c r="M131" s="3">
        <f>2766.4+(1056.5-769.8)+(0+(0-0))+0-815.3-0</f>
        <v>2237.8000000000002</v>
      </c>
      <c r="N131" s="3">
        <f>3132.5+(825.7-839.9)+(-1.597575+(-0.421107--0.428349))+0-622.4--0.317423999999937</f>
        <v>2494.6270909999998</v>
      </c>
      <c r="O131" s="3">
        <f>3589.4+(546.2-814.2)+(-5.491782+(-0.835686--1.245726))+0-609.3--0.932229000000035</f>
        <v>2707.9504870000001</v>
      </c>
      <c r="P131" s="3">
        <f>3601.5+(460-619.3)+(0+(0-0))+0-696.7-0</f>
        <v>2745.5</v>
      </c>
      <c r="Q131" s="3">
        <f>3731.3+(675.6-812.7)+(5.708889+(1.033668-1.243431))+0-702.4-1.07467200000004</f>
        <v>2896.2244540000002</v>
      </c>
      <c r="R131" s="3">
        <f>3857.3+(748.4-1157.6)+(3.934446+(0.763368-1.180752))+0-551.5-0.562530000000088</f>
        <v>2899.5545320000001</v>
      </c>
      <c r="S131" s="3">
        <f>3864.3+(706.4-1210.2)+(0+(0-0))+0-673.7-0</f>
        <v>2686.8</v>
      </c>
      <c r="T131" s="3">
        <f>3943.6+(763.5-1317.4)+(2.011236+(0.389385-0.671874))+0-623-0.317729999999937</f>
        <v>2768.1110170000002</v>
      </c>
      <c r="U131" s="3">
        <f>3800.8+(649.8-1187.5)+(0+(0-0))+0-507.1-0</f>
        <v>2756.0000000000005</v>
      </c>
      <c r="V131" s="3">
        <f>3547.7+(520.1-882.4)+(1.809327+(0.265251-0.450024))+0-467.3-0.238322999999953</f>
        <v>2719.4862309999994</v>
      </c>
      <c r="W131" s="3">
        <f>3556.8+(576.2-821.1)+(1.813968+(0.293862-0.418761))+0-611.1-0.311660999999938</f>
        <v>2702.1774080000005</v>
      </c>
      <c r="X131" s="3">
        <f>3182.5+(817.1-897.7)+(1.623075+(0.416721-0.457827))+0-449.9-0.229448999999954</f>
        <v>2653.3525199999999</v>
      </c>
      <c r="Y131" s="3">
        <f>3045.2+(887.1-791.7)+(3.106104+(0.904842-0.807534))+0-535.6-0.546312000000085</f>
        <v>2607.6570999999999</v>
      </c>
      <c r="Z131" s="3">
        <f>3248.9+(648.5-559.2)+(0+(0-0))+0-551.4-0</f>
        <v>2786.7999999999997</v>
      </c>
      <c r="AA131" s="3">
        <f>3365.7+(530.8-477.2)+(-6.866028+(-1.082832--0.973488))+0-624.8--1.27459199999997</f>
        <v>2788.7992199999999</v>
      </c>
      <c r="AB131" s="3">
        <f>3277.7+(647.5-498.8)+(0+(0-0))+0-650-0</f>
        <v>2776.3999999999996</v>
      </c>
      <c r="AC131" s="3">
        <f>3298.4+(507-395.3)+(1.682184+(0.25857-0.201603))+0-686.2-0.34996199999993</f>
        <v>2725.2891890000005</v>
      </c>
      <c r="AD131" s="2">
        <v>2756.3999999999996</v>
      </c>
      <c r="AE131" s="3">
        <f>3402+(587.9-530.7)+(0+(0-0))+0-702.8-0</f>
        <v>2756.3999999999996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3259.5+(568.1-515.5)+(3.32469+(0.579462-0.52581))+0-732.8-0.747456000000117</f>
        <v>2581.9308860000001</v>
      </c>
      <c r="G132" s="3">
        <f>3159.1+(799.3-735.6)+(-4.833423+(-1.222929--1.125468))+0-777.8--1.19003400000004</f>
        <v>2441.2591499999999</v>
      </c>
      <c r="H132" s="3">
        <f>3179.9+(929-1097.8)+(0+(0-0))+0-636.3-0</f>
        <v>2374.8000000000002</v>
      </c>
      <c r="I132" s="3">
        <f>3188.6+(1013.5-1099.9)+(-3.252372+(-1.03377--1.121898))+0-783.9--0.799578000000125</f>
        <v>2315.9353339999998</v>
      </c>
      <c r="J132" s="3">
        <f>3181.5+(1056.6-1233.6)+(-6.49026+(-2.155464--2.516544))+0-664.3--1.35517199999997</f>
        <v>2335.425992</v>
      </c>
      <c r="K132" s="3">
        <f>3113.5+(1055.6-1144.4)+(-7.939425+(-2.69178--2.91822))+0-710.4--1.8115199999999</f>
        <v>2308.3985349999994</v>
      </c>
      <c r="L132" s="3">
        <f>3037.1+(1005-1153.9)+(-3.097842+(-1.0251--1.176978))+0-624.4--0.636888000000099</f>
        <v>2261.4909239999997</v>
      </c>
      <c r="M132" s="3">
        <f>2993.2+(859.5-1098.2)+(1.526532+(0.438345-0.560082))+0-398.8-0.20338799999996</f>
        <v>2356.9014069999998</v>
      </c>
      <c r="N132" s="3">
        <f>2982.1+(899.6-967.8)+(3.041742+(0.917592-0.987156))+0-366.7-0.374034000000058</f>
        <v>2549.7981440000003</v>
      </c>
      <c r="O132" s="3">
        <f>3154.4+(760.6-923)+(4.826232+(1.163718-1.41219))+0-285.1-0.436203000000016</f>
        <v>2711.041557</v>
      </c>
      <c r="P132" s="3">
        <f>3199.1+(538-689.6)+(3.263082+(0.54876-0.703392))+0-206.8-0.210936000000033</f>
        <v>2843.597514</v>
      </c>
      <c r="Q132" s="3">
        <f>3275.5+(698.8-371.7)+(6.68202+(1.425552-0.758268))+0-675.2-1.37740799999997</f>
        <v>2933.3718960000001</v>
      </c>
      <c r="R132" s="3">
        <f>3375.4+(663.7-669.6)+(5.164362+(1.015461-1.024488))+0-464.7-0.710991000000027</f>
        <v>2909.2443440000002</v>
      </c>
      <c r="S132" s="3">
        <f>3480.9+(574.9-748.2)+(5.325777+(0.879597-1.144746))+0-561.8-0.859554000000032</f>
        <v>2750.0010740000002</v>
      </c>
      <c r="T132" s="3">
        <f>3737.1+(777.7-1059.3)+(-3.811842+(-0.793254--1.080486))+0-679.9--0.693498000000108</f>
        <v>2772.7688880000001</v>
      </c>
      <c r="U132" s="3">
        <f>3700.2+(632.8-1051.7)+(3.774204+(0.645456-1.072734))+0-500.8-0.51081600000008</f>
        <v>2783.3361099999997</v>
      </c>
      <c r="V132" s="3">
        <f>3611.8+(562.8-902.2)+(0+(0-0))+0-532.7-0</f>
        <v>2739.7</v>
      </c>
      <c r="W132" s="3">
        <f>3349.4+(499.4-450.8)+(0+(0-0))+0-677.6-0</f>
        <v>2720.4</v>
      </c>
      <c r="X132" s="3">
        <f>3232.5+(788.9-844.2)+(1.648575+(0.402339-0.430542))+0-519.4-0.264893999999947</f>
        <v>2659.1554779999997</v>
      </c>
      <c r="Y132" s="3">
        <f>3263.7+(867.2-938.3)+(4.993461+(1.326816-1.435599))+0-569.1-0.870723000000033</f>
        <v>2627.5139549999999</v>
      </c>
      <c r="Z132" s="3">
        <f>3557.3+(565.3-690.1)+(0+(0-0))+0-644.8-0</f>
        <v>2787.7</v>
      </c>
      <c r="AA132" s="3">
        <f>3793.9+(534.9-859.7)+(-13.544223+(-1.909593--3.069129))+0-626.3--2.23589100000001</f>
        <v>2832.6512039999993</v>
      </c>
      <c r="AB132" s="3">
        <f>3669.8+(497.6-774.2)+(-5.614794+(-0.761328--1.184526))+0-590.2--0.903006000000034</f>
        <v>2798.7114100000003</v>
      </c>
      <c r="AC132" s="3">
        <f>3646.1+(505.3-719.9)+(1.859511+(0.257703-0.367149))+0-680.6-0.347105999999931</f>
        <v>2752.3029590000006</v>
      </c>
      <c r="AD132" s="2">
        <v>2886.8</v>
      </c>
      <c r="AE132" s="3">
        <f>3768+(553.1-856.6)+(0+(0-0))+0-577.7-0</f>
        <v>2886.8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3556.3+(463.6-679.6)+(-3.627426+(-0.472872--0.693192))+0-680.4--0.694008000000108</f>
        <v>2657.1869019999999</v>
      </c>
      <c r="G133" s="3">
        <f>3394.3+(716.8-925.6)+(-6.924372+(-1.462272--1.888224))+0-698.8--1.42555199999997</f>
        <v>2481.6271320000001</v>
      </c>
      <c r="H133" s="3">
        <f>3244.7+(904.9-989.2)+(-4.964391+(-1.384497--1.513476))+0-758--1.15974000000004</f>
        <v>2398.7243279999998</v>
      </c>
      <c r="I133" s="3">
        <f>3037.5+(1023.6-1073.9)+(-1.549125+(-0.522036--0.547689))+0-650.6--0.331805999999934</f>
        <v>2335.4083340000002</v>
      </c>
      <c r="J133" s="3">
        <f>3037.2+(993.6-1086.9)+(-6.195888+(-2.026944--2.217276))+0-635.6--1.29662399999997</f>
        <v>2303.5910679999997</v>
      </c>
      <c r="K133" s="3">
        <f>2970.7+(1086-1118.2)+(-4.545171+(-1.66158--1.710846))+0-601.8--0.920754000000035</f>
        <v>2333.1248490000003</v>
      </c>
      <c r="L133" s="3">
        <f>2757.4+(1053.5-971.3)+(0+(0-0))+0-540.7-0</f>
        <v>2298.9000000000005</v>
      </c>
      <c r="M133" s="3">
        <f>2630.8+(1050.8-853.2)+(4.025124+(1.607724-1.305396))+0-419.9-0.642447000000024</f>
        <v>2412.1850049999998</v>
      </c>
      <c r="N133" s="3">
        <f>2996.9+(964.7-910.2)+(1.528419+(0.491997-0.464202))+0-441.2-0.225011999999955</f>
        <v>2611.5312020000006</v>
      </c>
      <c r="O133" s="3">
        <f>3107.6+(953.3-818)+(1.584876+(0.486183-0.41718))+0-507.4-0.258773999999948</f>
        <v>2736.8951049999996</v>
      </c>
      <c r="P133" s="3">
        <f>3153.8+(835-527.2)+(6.433752+(1.7034-1.075488))+0-574.5-1.17197999999997</f>
        <v>2892.9896840000001</v>
      </c>
      <c r="Q133" s="3">
        <f>3213.8+(414.2-369.4)+(4.917114+(0.633726-0.565182))+0-336.9-0.515457000000019</f>
        <v>2926.1702010000004</v>
      </c>
      <c r="R133" s="3">
        <f>3596+(648.3-825)+(-7.33584+(-1.322532--1.683))+0-503.6--1.02734399999998</f>
        <v>2909.7519720000005</v>
      </c>
      <c r="S133" s="3">
        <f>3420.7+(527.2-636.4)+(-5.233671+(-0.806616--0.973692))+0-535.1--0.818703000000031</f>
        <v>2772.1521080000002</v>
      </c>
      <c r="T133" s="3">
        <f>3407.7+(501-630.2)+(5.213781+(0.76653-0.964206))+0-511.7-0.78290100000003</f>
        <v>2771.0332040000003</v>
      </c>
      <c r="U133" s="3">
        <f>3582.2+(582.9-827.8)+(3.653844+(0.594558-0.844356))+0-536.7-0.547434000000086</f>
        <v>2803.456612</v>
      </c>
      <c r="V133" s="3">
        <f>3760.4+(562.1-1074.2)+(1.917804+(0.286671-0.547842))+0-485.5-0.247604999999951</f>
        <v>2764.2090280000002</v>
      </c>
      <c r="W133" s="3">
        <f>3820.2+(337.5-1137.2)+(-1.948302+(-0.172125--0.579972))+0-285.4--0.145553999999971</f>
        <v>2733.7050990000002</v>
      </c>
      <c r="X133" s="3">
        <f>3660.1+(609-1432.7)+(3.733302+(0.62118-1.461354))+0-151.1-0.154122000000024</f>
        <v>2688.039006</v>
      </c>
      <c r="Y133" s="3">
        <f>3286+(781-1116.6)+(6.70344+(1.59324-2.277864))+0-299.9-0.611795999999987</f>
        <v>2655.9070199999996</v>
      </c>
      <c r="Z133" s="3">
        <f>3525.5+(598.1-884.6)+(1.798005+(0.305031-0.451146))+0-429.4-0.218993999999956</f>
        <v>2811.0328960000002</v>
      </c>
      <c r="AA133" s="3">
        <f>3499.4+(566.5-607.9)+(-7.138776+(-1.15566--1.240116))+0-633.7--1.29274799999997</f>
        <v>2818.5384279999998</v>
      </c>
      <c r="AB133" s="3">
        <f>3496.7+(435.1-548.1)+(3.566634+(0.443802-0.559062))+0-589.2-0.600984000000094</f>
        <v>2797.3503900000001</v>
      </c>
      <c r="AC133" s="3">
        <f>3474.7+(484.4-564.4)+(0+(0-0))+0-640.9-0</f>
        <v>2753.7999999999997</v>
      </c>
      <c r="AD133" s="2">
        <v>2786.2999999999997</v>
      </c>
      <c r="AE133" s="3">
        <f>3475+(638.7-564.3)+(0+(0-0))+0-763.1-0</f>
        <v>2786.3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3332.2+(613-685.6)+(-5.098266+(-0.93789--1.048968))+0-612.3--0.936819000000035</f>
        <v>2643.2496310000001</v>
      </c>
      <c r="G134" s="3">
        <f>3220.2+(657.2-770.9)+(-3.284604+(-0.670344--0.786318))+0-610.6--0.622812000000097</f>
        <v>2493.354182</v>
      </c>
      <c r="H134" s="3">
        <f>3144.9+(800.3-891.4)+(-1.603899+(-0.408153--0.454614))+0-652.6--0.332825999999934</f>
        <v>2399.9753880000003</v>
      </c>
      <c r="I134" s="3">
        <f>3149.9+(785.8-918.4)+(-3.212898+(-0.801516--0.936768))+0-673.7--0.687174000000107</f>
        <v>2341.2095279999999</v>
      </c>
      <c r="J134" s="3">
        <f>3114.3+(943.4-1008.6)+(3.176586+(0.962268-1.028772))+0-686.2-0.699924000000109</f>
        <v>2365.3101580000007</v>
      </c>
      <c r="K134" s="3">
        <f>2938.9+(1101.4-1028.4)+(1.498839+(0.561714-0.524484))+0-671-0.342209999999932</f>
        <v>2342.0938590000005</v>
      </c>
      <c r="L134" s="3">
        <f>2957.1+(1051.1-1004)+(-4.524363+(-1.608183--1.53612))+0-696.6--1.06579800000004</f>
        <v>2304.0693719999999</v>
      </c>
      <c r="M134" s="3">
        <f>3021.8+(838.7-923.3)+(1.541118+(0.427737-0.470883))+0-506.8-0.258467999999949</f>
        <v>2431.6395040000002</v>
      </c>
      <c r="N134" s="3">
        <f>3064.2+(910.9-878.8)+(3.125484+(0.929118-0.896376))+0-481.4-0.491028000000077</f>
        <v>2617.5671979999997</v>
      </c>
      <c r="O134" s="3">
        <f>3103.9+(962.9-691.9)+(3.165978+(0.982158-0.705738))+0-576.9-0.588438000000092</f>
        <v>2800.8539599999999</v>
      </c>
      <c r="P134" s="3">
        <f>3151+(856.3-624.6)+(1.60701+(0.436713-0.318546))+0-482.4-0.246023999999951</f>
        <v>2901.7791529999995</v>
      </c>
      <c r="Q134" s="3">
        <f>3207.4+(742.7-333.6)+(3.271548+(0.757554-0.340272))+0-647.3-0.660246000000103</f>
        <v>2972.228584</v>
      </c>
      <c r="R134" s="3">
        <f>3456+(651.5-741.8)+(1.76256+(0.332265-0.378318))+0-381.6-0.194615999999961</f>
        <v>2985.6218910000002</v>
      </c>
      <c r="S134" s="3">
        <f>3466.9+(714.8-760)+(1.768119+(0.364548-0.3876))+0-624.5-0.318494999999937</f>
        <v>2798.6265719999997</v>
      </c>
      <c r="T134" s="3">
        <f>3617.6+(701.1-995.3)+(1.844976+(0.357561-0.507603))+0-495-0.25244999999995</f>
        <v>2829.8424840000002</v>
      </c>
      <c r="U134" s="3">
        <f>3676.3+(743.4-1027.7)+(-5.624739+(-1.137402--1.572381))+0-597.3--0.913869000000034</f>
        <v>2790.4241089999996</v>
      </c>
      <c r="V134" s="3">
        <f>3454.6+(488.4-772.2)+(1.761846+(0.249084-0.393822))+0-408.2-0.208181999999959</f>
        <v>2764.008926</v>
      </c>
      <c r="W134" s="3">
        <f>3293.4+(439-644.1)+(-3.359268+(-0.44778--0.656982))+0-331.1--0.337722000000053</f>
        <v>2754.3876560000003</v>
      </c>
      <c r="X134" s="3">
        <f>3305.3+(707.3-1075.6)+(-5.057109+(-1.082169--1.645668))+0-226.2--0.346086000000013</f>
        <v>2706.6524760000002</v>
      </c>
      <c r="Y134" s="3">
        <f>3433.7+(696.9-955.4)+(3.502374+(0.710838-0.974508))+0-507.2-0.517344000000081</f>
        <v>2670.72136</v>
      </c>
      <c r="Z134" s="3">
        <f>3398.9+(516.6-533.7)+(3.466878+(0.526932-0.544374))+0-558.7-0.569874000000089</f>
        <v>2825.979562</v>
      </c>
      <c r="AA134" s="3">
        <f>3410.5+(507.6-555.5)+(-3.47871+(-0.517752--0.56661))+0-511.7--0.521934000000082</f>
        <v>2847.9920819999998</v>
      </c>
      <c r="AB134" s="3">
        <f>3373.9+(545.6-519.8)+(1.720689+(0.278256-0.265098))+0-574.1-0.292790999999942</f>
        <v>2827.0410560000005</v>
      </c>
      <c r="AC134" s="3">
        <f>3368.6+(619-519.9)+(8.58993+(1.57845-1.325745))+0-685.7-1.7485349999999</f>
        <v>2789.0941000000003</v>
      </c>
      <c r="AD134" s="2">
        <v>2920.2</v>
      </c>
      <c r="AE134" s="3">
        <f>3376+(640.6-465.6)+(0+(0-0))+0-630.8-0</f>
        <v>2920.2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3358+(508.3-537.6)+(5.13774+(0.777699-0.822528))+0-660.5-1.01056500000004</f>
        <v>2672.282346</v>
      </c>
      <c r="G135" s="3">
        <f>3320.4+(790.5-1033.7)+(-1.693404+(-0.403155--0.527187))+0-562--0.286619999999943</f>
        <v>2513.9172479999997</v>
      </c>
      <c r="H135" s="3">
        <f>3274.8+(1051.9-1238.1)+(3.340296+(1.072938-1.262862))+0-640.1-0.652902000000102</f>
        <v>2450.9974700000002</v>
      </c>
      <c r="I135" s="3">
        <f>3170.7+(1128.8-1277.3)+(3.234114+(1.151376-1.302846))+0-638.4-0.651168000000102</f>
        <v>2386.2314759999995</v>
      </c>
      <c r="J135" s="3">
        <f>3159.9+(1146-1286.6)+(6.446196+(2.33784-2.624664))+0-612-1.24847999999997</f>
        <v>2412.2108920000005</v>
      </c>
      <c r="K135" s="3">
        <f>3032.5+(1153.2-1272.7)+(-9.27945+(-3.528792--3.894462))+0-527.1--1.61292600000006</f>
        <v>2378.5991460000005</v>
      </c>
      <c r="L135" s="3">
        <f>2892.3+(1138.2-1104.6)+(-7.375365+(-2.90241--2.81673))+0-567.8--1.44788999999992</f>
        <v>2352.0868450000003</v>
      </c>
      <c r="M135" s="3">
        <f>2883.7+(1034-914.5)+(0+(0-0))+0-560.2-0</f>
        <v>2443</v>
      </c>
      <c r="N135" s="3">
        <f>3080.4+(907.3-799.6)+(-1.571004+(-0.462723--0.407796))+0-559.2--0.285191999999943</f>
        <v>2627.5592609999999</v>
      </c>
      <c r="O135" s="3">
        <f>3215+(881.6-720)+(0+(0-0))+0-565.8-0</f>
        <v>2810.8</v>
      </c>
      <c r="P135" s="3">
        <f>3244.2+(642.1-455.2)+(4.963626+(0.982413-0.696456))+0-502-0.768060000000029</f>
        <v>2933.5815229999998</v>
      </c>
      <c r="Q135" s="3">
        <f>3398.8+(644.4-547.6)+(5.200164+(0.985932-0.837828))+0-493.4-0.754902000000028</f>
        <v>3006.7933660000003</v>
      </c>
      <c r="R135" s="3">
        <f>3600.8+(736.1-831.4)+(-3.672816+(-0.750822--0.848028))+0-473.4--0.482868000000075</f>
        <v>3029.0072580000001</v>
      </c>
      <c r="S135" s="3">
        <f>3586.6+(656.1-887.6)+(-1.829166+(-0.334611--0.452676))+0-527.7--0.269126999999946</f>
        <v>2825.9580259999998</v>
      </c>
      <c r="T135" s="3">
        <f>3648.2+(817.5-1133.2)+(-7.442328+(-1.6677--2.311728))+0-452.1--0.92228399999998</f>
        <v>2874.5239839999999</v>
      </c>
      <c r="U135" s="3">
        <f>3630.1+(761.6-1066.2)+(-5.554053+(-1.165248--1.631286))+0-479.9--0.734247000000028</f>
        <v>2841.246232</v>
      </c>
      <c r="V135" s="3">
        <f>3539.5+(645.4-970.4)+(0+(0-0))+0-392.4-0</f>
        <v>2822.1</v>
      </c>
      <c r="W135" s="3">
        <f>3498.6+(483.1-850.3)+(5.352858+(0.739143-1.300959))+0-336.1-0.514233000000019</f>
        <v>2799.5768090000001</v>
      </c>
      <c r="X135" s="3">
        <f>3321.1+(635-952.5)+(5.081283+(0.97155-1.457325))+0-259-0.396270000000015</f>
        <v>2748.7992379999996</v>
      </c>
      <c r="Y135" s="3">
        <f>3061.4+(915.3-736.6)+(6.245256+(1.867212-1.502664))+0-499.5-1.01897999999998</f>
        <v>2746.1908240000002</v>
      </c>
      <c r="Z135" s="3">
        <f>3365.2+(561.8-511.7)+(3.432504+(0.573036-0.521934))+0-526-0.536520000000084</f>
        <v>2892.2470859999994</v>
      </c>
      <c r="AA135" s="3">
        <f>3408.4+(579.9-470)+(-6.953136+(-1.182996--0.9588))+0-609.9--1.24419599999997</f>
        <v>2902.466864</v>
      </c>
      <c r="AB135" s="3">
        <f>3207.5+(695.1-452)+(-1.635825+(-0.354501--0.23052))+0-576.9--0.294218999999941</f>
        <v>2872.2344129999997</v>
      </c>
      <c r="AC135" s="3">
        <f>3269.7+(835.6-675.2)+(-1.667547+(-0.426156--0.344352))+0-625.8--0.319157999999936</f>
        <v>2802.8698069999996</v>
      </c>
      <c r="AD135" s="2">
        <v>2914.1</v>
      </c>
      <c r="AE135" s="3">
        <f>3448+(693.2-554)+(0+(0-0))+0-673.1-0</f>
        <v>2914.1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3207.9+(1041.7-970.6)+(1.636029+(0.531267-0.495006))+0-598-0.304979999999939</f>
        <v>2682.3673100000001</v>
      </c>
      <c r="G136" s="3">
        <f>3213+(1038.6-1138.5)+(4.91589+(1.589058-1.741905))+0-561-0.858330000000032</f>
        <v>2556.0047129999998</v>
      </c>
      <c r="H136" s="3">
        <f>3152.9+(907.2-998.1)+(1.607979+(0.462672-0.509031))+0-606.9-0.309518999999938</f>
        <v>2456.3521009999999</v>
      </c>
      <c r="I136" s="3">
        <f>3113.4+(906.5-990)+(3.175668+(0.92463-1.0098))+0-625.8-0.6383160000001</f>
        <v>2406.5521819999999</v>
      </c>
      <c r="J136" s="3">
        <f>3132.5+(947-981.4)+(-3.19515+(-0.96594--1.001028))+0-673.3--0.686766000000107</f>
        <v>2422.3267040000005</v>
      </c>
      <c r="K136" s="3">
        <f>3159.6+(990-1094.1)+(-6.445584+(-2.0196--2.231964))+0-649.9--1.32579599999997</f>
        <v>2400.6925759999999</v>
      </c>
      <c r="L136" s="3">
        <f>2851.1+(1087-1059.9)+(-8.724366+(-3.32622--3.243294))+0-563.5--1.72431000000007</f>
        <v>2307.6170179999999</v>
      </c>
      <c r="M136" s="3">
        <f>2787.5+(1190-955.1)+(5.6865+(2.4276-1.948404))+0-604.8-1.23379199999997</f>
        <v>2422.5319040000004</v>
      </c>
      <c r="N136" s="3">
        <f>2965.2+(927.8-832)+(9.073512+(2.839068-2.54592))+0-488.6-1.49511600000006</f>
        <v>2580.2715440000002</v>
      </c>
      <c r="O136" s="3">
        <f>3168.2+(750.5-567.1)+(4.847346+(1.148265-0.867663))+0-608.3-0.930699000000035</f>
        <v>2747.4972489999996</v>
      </c>
      <c r="P136" s="3">
        <f>3368.8+(642.4-556.4)+(3.436176+(0.655248-0.567528))+0-593.1-0.604962000000095</f>
        <v>2864.6189340000005</v>
      </c>
      <c r="Q136" s="3">
        <f>3513.5+(874.5-828)+(1.791885+(0.445995-0.42228))+0-603.1-0.307580999999939</f>
        <v>2958.408019</v>
      </c>
      <c r="R136" s="3">
        <f>3593.3+(952.7-1052)+(1.832583+(0.485877-0.53652))+0-552.2-0.281621999999944</f>
        <v>2943.3003180000001</v>
      </c>
      <c r="S136" s="3">
        <f>3458.5+(762.4-828.3)+(-10.58301+(-2.332944--2.534598))+0-616.8--1.88740800000007</f>
        <v>2767.3060520000004</v>
      </c>
      <c r="T136" s="3">
        <f>3424.2+(703.3-867.9)+(-8.73171+(-1.793415--2.213145))+0-494.6--1.26122999999993</f>
        <v>2757.9492500000001</v>
      </c>
      <c r="U136" s="3">
        <f>3391.2+(711.9-881.9)+(-1.729512+(-0.363069--0.449769))+0-497.4--0.25367399999995</f>
        <v>2722.4108619999997</v>
      </c>
      <c r="V136" s="3">
        <f>3387.5+(554.1-937.2)+(-5.182875+(-0.847773--1.433916))+0-401.7--0.614601000000023</f>
        <v>2598.7178690000005</v>
      </c>
      <c r="W136" s="3">
        <f>3130.9+(615.9-889.5)+(-7.983795+(-1.570545--2.268225))+0-260.2--0.663509999999962</f>
        <v>2590.4773950000003</v>
      </c>
      <c r="X136" s="3">
        <f>3028.8+(937-1048)+(-4.634064+(-1.43361--1.60344))+0-322.3--0.493119000000019</f>
        <v>2591.5288850000002</v>
      </c>
      <c r="Y136" s="3">
        <f>3033.3+(968.5-1053.4)+(0+(0-0))+0-377.9-0</f>
        <v>2570.5</v>
      </c>
      <c r="Z136" s="3">
        <f>3075.2+(609.6-449.4)+(3.136704+(0.621792-0.458388))+0-500.6-0.51061200000008</f>
        <v>2737.5894959999996</v>
      </c>
      <c r="AA136" s="3">
        <f>3124.3+(628.5-409.9)+(-3.186786+(-0.64107--0.418098))+0-581.3--0.592926000000093</f>
        <v>2758.7831680000008</v>
      </c>
      <c r="AB136" s="3">
        <f>3121.8+(668.8-528)+(-4.776354+(-1.023264--0.80784))+0-546.6--0.836298000000032</f>
        <v>2711.8445200000006</v>
      </c>
      <c r="AC136" s="3">
        <f>3118.7+(948.8-831.8)+(-4.771611+(-1.451664--1.272654))+0-560.2--0.857106000000032</f>
        <v>2671.406485</v>
      </c>
      <c r="AD136" s="2">
        <v>2770.3</v>
      </c>
      <c r="AE136" s="3">
        <f>3126+(742.2-394.1)+(0+(0-0))+0-703.8-0</f>
        <v>2770.3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3048.3+(938.6-800.9)+(-4.663899+(-1.436058--1.225377))+0-612.3--0.936819000000035</f>
        <v>2569.7622390000001</v>
      </c>
      <c r="G137" s="3">
        <f>3052.5+(774.3-808.2)+(1.556775+(0.394893-0.412182))+0-570.8-0.291107999999942</f>
        <v>2449.048378</v>
      </c>
      <c r="H137" s="3">
        <f>2943.2+(831.5-838.8)+(0+(0-0))+0-599.1-0</f>
        <v>2336.7999999999997</v>
      </c>
      <c r="I137" s="3">
        <f>2864.6+(996.4-950.8)+(-2.921892+(-1.016328--0.969816))+0-631.1--0.643722000000101</f>
        <v>2276.775318</v>
      </c>
      <c r="J137" s="3">
        <f>2851.4+(1057-1035.5)+(-4.362642+(-1.61721--1.584315))+0-581.7--0.890001000000034</f>
        <v>2287.6944640000006</v>
      </c>
      <c r="K137" s="3">
        <f>2861.2+(1060-1087.2)+(-5.836848+(-2.1624--2.217888))+0-628.5--1.28213999999997</f>
        <v>2201.0007799999998</v>
      </c>
      <c r="L137" s="3">
        <f>2717.9+(1000.2-1052.1)+(-6.930645+(-2.55051--2.682855))+0-619.6--1.57997999999991</f>
        <v>2041.1816800000001</v>
      </c>
      <c r="M137" s="3">
        <f>2550.7+(1063.5-1093.5)+(-2.601714+(-1.08477--1.11537))+0-508.7--0.518874000000081</f>
        <v>2009.94776</v>
      </c>
      <c r="N137" s="3">
        <f>2551.7+(1154.3-1139.7)+(-3.904101+(-1.766079--1.743741))+0-502--0.768060000000029</f>
        <v>2061.1416209999998</v>
      </c>
      <c r="O137" s="3">
        <f>2725.5+(1051.8-1095.9)+(0+(0-0))+0-501.8-0</f>
        <v>2179.5999999999995</v>
      </c>
      <c r="P137" s="3">
        <f>2689+(1110-848.1)+(4.11417+(1.6983-1.297593))+0-634.1-0.970173000000037</f>
        <v>2320.3447040000001</v>
      </c>
      <c r="Q137" s="3">
        <f>2813.6+(875.4-757.9)+(-2.869872+(-0.892908--0.773058))+0-551.8--0.562836000000088</f>
        <v>2376.873114</v>
      </c>
      <c r="R137" s="3">
        <f>3040.1+(877.5-927.5)+(1.550451+(0.447525-0.473025))+0-596.6-0.304265999999939</f>
        <v>2394.7206849999998</v>
      </c>
      <c r="S137" s="3">
        <f>3153.6+(874.2-984.9)+(-1.608336+(-0.445842--0.502299))+0-652.3--0.332672999999934</f>
        <v>2389.3807939999997</v>
      </c>
      <c r="T137" s="3">
        <f>3097.6+(726.1-842.3)+(1.579776+(0.370311-0.429573))+0-590.7-0.30125699999994</f>
        <v>2391.9192569999996</v>
      </c>
      <c r="U137" s="3">
        <f>2984.3+(705.7-707.4)+(1.521993+(0.359907-0.360774))+0-575.1-0.293300999999942</f>
        <v>2408.7278250000004</v>
      </c>
      <c r="V137" s="3">
        <f>2990.5+(687-740.6)+(1.525155+(0.35037-0.377706))+0-536.1-0.273410999999946</f>
        <v>2402.0244080000002</v>
      </c>
      <c r="W137" s="3">
        <f>2865.6+(556.6-544.1)+(-1.461456+(-0.283866--0.277491))+0-500.9--0.255458999999949</f>
        <v>2375.9876279999999</v>
      </c>
      <c r="X137" s="3">
        <f>2766.4+(769.9-681.6)+(0+(0-0))+0-501.8-0</f>
        <v>2352.8999999999996</v>
      </c>
      <c r="Y137" s="3">
        <f>2664+(893.1-686.2)+(-1.35864+(-0.455481--0.349962))+0-549.9--0.280448999999944</f>
        <v>2319.8162899999998</v>
      </c>
      <c r="Z137" s="3">
        <f>2803.9+(687-407.6)+(1.429989+(0.35037-0.207876))+0-553-0.282029999999944</f>
        <v>2531.5904530000003</v>
      </c>
      <c r="AA137" s="3">
        <f>2844.6+(550.3-344.9)+(-2.901492+(-0.561306--0.351798))+0-496.4--0.506328000000079</f>
        <v>2550.995328</v>
      </c>
      <c r="AB137" s="3">
        <f>2850.7+(670.6-357.3)+(1.453857+(0.342006-0.182223))+0-603.2-0.307631999999939</f>
        <v>2562.1060079999997</v>
      </c>
      <c r="AC137" s="3">
        <f>2858.9+(757.3-402.2)+(-1.458039+(-0.386223--0.205122))+0-653.4--0.333233999999934</f>
        <v>2559.2940939999994</v>
      </c>
      <c r="AD137" s="2">
        <v>2579.8000000000002</v>
      </c>
      <c r="AE137" s="3">
        <f>2836+(557.3-316.6)+(0+(0-0))+0-496.9-0</f>
        <v>2579.7999999999997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2841+(689.3-426.6)+(-1.44891+(-0.351543--0.217566))+0-620--0.316199999999937</f>
        <v>2482.4333129999995</v>
      </c>
      <c r="G138" s="3">
        <f>2864.9+(648.1-523.7)+(-4.383297+(-0.991593--0.801261))+0-636.1--0.973233000000037</f>
        <v>2349.5996040000005</v>
      </c>
      <c r="H138" s="3">
        <f>2878+(726.7-639.9)+(0+(0-0))+0-686.4-0</f>
        <v>2278.4</v>
      </c>
      <c r="I138" s="3">
        <f>2961.9+(588.4-627.3)+(1.510569+(0.300084-0.319923))+0-699.4-0.356693999999929</f>
        <v>2224.7340359999998</v>
      </c>
      <c r="J138" s="3">
        <f>3005+(563.3-724.9)+(-6.1302+(-1.149132--1.478796))+0-590.7--1.20502799999997</f>
        <v>2248.1044919999999</v>
      </c>
      <c r="K138" s="3">
        <f>3097.5+(890.4-996.3)+(-7.898625+(-2.27052--2.540565))+0-741.1--1.88980499999989</f>
        <v>2244.7612249999997</v>
      </c>
      <c r="L138" s="3">
        <f>2999.8+(917.7-1136.2)+(-3.059796+(-0.936054--1.158924))+0-557.4--0.568548000000089</f>
        <v>2221.6316220000003</v>
      </c>
      <c r="M138" s="3">
        <f>2934.4+(896.6-991.5)+(0+(0-0))+0-478.3-0</f>
        <v>2361.1999999999998</v>
      </c>
      <c r="N138" s="3">
        <f>3058.6+(939.9-832.8)+(1.559886+(0.479349-0.424728))+0-578.6-0.295085999999941</f>
        <v>2588.4194209999996</v>
      </c>
      <c r="O138" s="3">
        <f>3385.9+(727.7-842.4)+(0+(0-0))+0-519.7-0</f>
        <v>2751.5</v>
      </c>
      <c r="P138" s="3">
        <f>3648.5+(580.4-880.5)+(5.582205+(0.888012-1.347165))+0-485.6-0.742968000000028</f>
        <v>2867.1800840000001</v>
      </c>
      <c r="Q138" s="3">
        <f>3767.1+(945.1-1099.3)+(-1.921221+(-0.482001--0.560643))+0-672.2--0.342821999999932</f>
        <v>2939.2002429999998</v>
      </c>
      <c r="R138" s="3">
        <f>3756.1+(822.9-1176.8)+(0+(0-0))+0-434.1-0</f>
        <v>2968.1</v>
      </c>
      <c r="S138" s="3">
        <f>3740.3+(892.6-1162)+(-1.907553+(-0.455226--0.59262))+0-636.7--0.324716999999935</f>
        <v>2832.7545580000001</v>
      </c>
      <c r="T138" s="3">
        <f>3732.6+(819.9-1333.6)+(1.903626+(0.418149-0.680136))+0-356.1-0.181610999999964</f>
        <v>2864.2600280000001</v>
      </c>
      <c r="U138" s="3">
        <f>3730.8+(955.4-1242.6)+(1.902708+(0.487254-0.633726))+0-575.1-0.293300999999942</f>
        <v>2869.9629350000005</v>
      </c>
      <c r="V138" s="3">
        <f>3799.1+(747.7-1253.6)+(-7.750164+(-1.525308--2.557344))+0-490.1--0.999803999999979</f>
        <v>2797.381676</v>
      </c>
      <c r="W138" s="3">
        <f>3839.8+(613.7-1109)+(-7.833192+(-1.251948--2.26236))+0-579.8--1.18279199999997</f>
        <v>2759.0600120000004</v>
      </c>
      <c r="X138" s="3">
        <f>3846+(532.2-1103.7)+(-9.8073+(-1.35711--2.814435))+0-584.6--1.49072999999992</f>
        <v>2683.040755</v>
      </c>
      <c r="Y138" s="3">
        <f>3863.6+(732.5-1420)+(0+(0-0))+0-562.4-0</f>
        <v>2613.6999999999998</v>
      </c>
      <c r="Z138" s="3">
        <f>3894.4+(453.4-1008.9)+(5.958432+(0.693702-1.543617))+0-567-0.867510000000033</f>
        <v>2776.1410070000002</v>
      </c>
      <c r="AA138" s="3">
        <f>3942+(381.4-1103.4)+(-12.06252+(-1.167084--3.376404))+0-488.2--1.49389200000006</f>
        <v>2723.4406920000001</v>
      </c>
      <c r="AB138" s="3">
        <f>3951.1+(399.8-1106.6)+(-4.030122+(-0.407796--1.128732))+0-453.2--0.462264000000072</f>
        <v>2788.2530780000006</v>
      </c>
      <c r="AC138" s="3">
        <f>3906+(564.6-1154.1)+(1.99206+(0.287946-0.588591))+0-591.8-0.30181799999994</f>
        <v>2726.0895970000001</v>
      </c>
      <c r="AD138" s="2">
        <v>2764.5</v>
      </c>
      <c r="AE138" s="3">
        <f>3915+(549.5-1074.6)+(0+(0-0))+0-625.4-0</f>
        <v>2764.5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3728.4+(547.8-1165.8)+(0+(0-0))+0-524.2-0</f>
        <v>2586.1999999999998</v>
      </c>
      <c r="G139" s="3">
        <f>3488.9+(711.7-1070.4)+(-1.779339+(-0.362967--0.545904))+0-673.2--0.343331999999932</f>
        <v>2455.7469299999998</v>
      </c>
      <c r="H139" s="3">
        <f>3355.9+(919.9-1414.6)+(-3.423018+(-0.938298--1.442892))+0-513.1--0.523362000000082</f>
        <v>2345.7049380000003</v>
      </c>
      <c r="I139" s="3">
        <f>3364.8+(1064.9-1451.2)+(-1.716048+(-0.543099--0.740112))+0-713.8--0.364037999999928</f>
        <v>2263.5450030000002</v>
      </c>
      <c r="J139" s="3">
        <f>3283.5+(1005.4-1500.1)+(-6.69834+(-2.051016--3.060204))+0-504.4--1.02897599999998</f>
        <v>2279.7398240000002</v>
      </c>
      <c r="K139" s="3">
        <f>3129.6+(1208.7-1354.5)+(-3.192192+(-1.232874--1.38159))+0-705.5--0.719610000000112</f>
        <v>2275.9761340000005</v>
      </c>
      <c r="L139" s="3">
        <f>2949.8+(1120.3-1333.8)+(-3.008796+(-1.142706--1.360476))+0-528.1--0.538662000000084</f>
        <v>2205.9476360000003</v>
      </c>
      <c r="M139" s="3">
        <f>2972.5+(1065.3-1131.9)+(1.515975+(0.543303-0.577269))+0-564.5-0.287894999999943</f>
        <v>2342.5941139999995</v>
      </c>
      <c r="N139" s="3">
        <f>3048.9+(1008.4-1111.3)+(1.554939+(0.514284-0.566763))+0-404.6-0.206345999999959</f>
        <v>2542.6961140000003</v>
      </c>
      <c r="O139" s="3">
        <f>3157.7+(1049.5-902.5)+(-1.610427+(-0.535245--0.460275))+0-583.2--0.297431999999941</f>
        <v>2720.1120349999997</v>
      </c>
      <c r="P139" s="3">
        <f>3362.7+(640.5-714.4)+(-3.429954+(-0.65331--0.728688))+0-455.8--0.464916000000073</f>
        <v>2830.1103399999993</v>
      </c>
      <c r="Q139" s="3">
        <f>3599.1+(790.7-919.2)+(5.506623+(1.209771-1.406376))+0-582.6-0.891378000000034</f>
        <v>2892.4186399999999</v>
      </c>
      <c r="R139" s="3">
        <f>3628.4+(847.8-1121)+(-3.700968+(-0.864756--1.14342))+0-465.1--0.474402000000074</f>
        <v>2887.152098</v>
      </c>
      <c r="S139" s="3">
        <f>3555.7+(803.6-1146)+(-5.440221+(-1.229508--1.75338))+0-459.4--0.702882000000027</f>
        <v>2749.6865329999996</v>
      </c>
      <c r="T139" s="3">
        <f>3555.8+(925.8-1241.2)+(-5.440374+(-1.416474--1.899036))+0-458.4--0.701352000000027</f>
        <v>2777.7435399999999</v>
      </c>
      <c r="U139" s="3">
        <f>3584.7+(897.6-1345.8)+(-3.656394+(-0.915552--1.372716))+0-379.7--0.387294000000061</f>
        <v>2753.9880640000001</v>
      </c>
      <c r="V139" s="3">
        <f>3619.3+(887.4-1334.2)+(-1.845843+(-0.452574--0.680442))+0-420.9--0.214658999999957</f>
        <v>2750.1966839999995</v>
      </c>
      <c r="W139" s="3">
        <f>3441.4+(624.2-1004.1)+(-7.020456+(-1.273368--2.048364))+0-360.3--0.735011999999984</f>
        <v>2695.6895519999998</v>
      </c>
      <c r="X139" s="3">
        <f>3274+(569.9-617.3)+(-10.01844+(-1.743894--1.888938))+0-500.9--1.53275400000006</f>
        <v>2717.3593579999997</v>
      </c>
      <c r="Y139" s="3">
        <f>3271.3+(347.5-720.5)+(6.673452+(0.7089-1.46982))+0-317.5-0.647699999999986</f>
        <v>2586.064832</v>
      </c>
      <c r="Z139" s="3">
        <f>3687.3+(628.1-1087.5)+(7.522092+(1.281324-2.2185))+0-465.5-0.94961999999998</f>
        <v>2768.035296</v>
      </c>
      <c r="AA139" s="3">
        <f>3770.5+(677.8-1197)+(-7.69182+(-1.382712--2.44188))+0-464.6--0.94778399999998</f>
        <v>2781.0151320000004</v>
      </c>
      <c r="AB139" s="3">
        <f>3782+(579.3-1218)+(0+(0-0))+0-379.1-0</f>
        <v>2764.2000000000003</v>
      </c>
      <c r="AC139" s="3">
        <f>3765.6+(601.4-1136.8)+(-3.840912+(-0.613428--1.159536))+0-522.2--0.532644000000083</f>
        <v>2705.2378399999998</v>
      </c>
      <c r="AD139" s="2">
        <v>2799.5</v>
      </c>
      <c r="AE139" s="3">
        <f>3767+(798.3-1160)+(0+(0-0))+0-605.8-0</f>
        <v>2799.5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3584.5+(726.8-1188.9)+(0+(0-0))+0-563.6-0</f>
        <v>2558.7999999999997</v>
      </c>
      <c r="G140" s="3">
        <f>3433.3+(888.3-1357.8)+(0+(0-0))+0-525.4-0</f>
        <v>2438.4</v>
      </c>
      <c r="H140" s="3">
        <f>3311.6+(1035-1412.1)+(3.377832+(1.0557-1.440342))+0-578.6-0.590172000000092</f>
        <v>2358.3030180000001</v>
      </c>
      <c r="I140" s="3">
        <f>3156.3+(1056.9-1375)+(-3.219426+(-1.078038--1.4025))+0-539.6--0.550392000000086</f>
        <v>2296.2554280000004</v>
      </c>
      <c r="J140" s="3">
        <f>3022.7+(1043.5-1321.5)+(-7.707885+(-2.660925--3.369825))+0-465.5--1.18702499999993</f>
        <v>2273.3880399999994</v>
      </c>
      <c r="K140" s="3">
        <f>2721.9+(1295.1-1238.8)+(-6.940845+(-3.302505--3.15894))+0-472.5--1.20487499999993</f>
        <v>2299.8204649999998</v>
      </c>
      <c r="L140" s="3">
        <f>2601+(1163-1046.8)+(-1.32651+(-0.59313--0.533868))+0-475--0.242249999999952</f>
        <v>2241.0564779999995</v>
      </c>
      <c r="M140" s="3">
        <f>2607.4+(1092.3-862)+(3.989322+(1.671219-1.31886))+0-487-0.745110000000028</f>
        <v>2354.2965709999999</v>
      </c>
      <c r="N140" s="3">
        <f>2793.6+(935.9-695.6)+(5.698944+(1.909236-1.419024))+0-484.3-0.987971999999979</f>
        <v>2554.8011839999995</v>
      </c>
      <c r="O140" s="3">
        <f>2818.9+(789.7-405.9)+(0+(0-0))+0-483.9-0</f>
        <v>2718.8</v>
      </c>
      <c r="P140" s="3">
        <f>2964+(775.5-332.9)+(4.53492+(1.186515-0.509337))+0-581.7-0.890001000000034</f>
        <v>2829.2220969999994</v>
      </c>
      <c r="Q140" s="3">
        <f>3342.7+(803.4-814.7)+(0+(0-0))+0-423.9-0</f>
        <v>2907.4999999999995</v>
      </c>
      <c r="R140" s="3">
        <f>3537.9+(1135.4-1106.5)+(-1.804329+(-0.579054--0.564315))+0-620.6--0.316505999999937</f>
        <v>2944.6974380000006</v>
      </c>
      <c r="S140" s="3">
        <f>3294.9+(873.6-930.2)+(-5.041197+(-1.336608--1.423206))+0-502.2--0.768366000000029</f>
        <v>2731.9137670000005</v>
      </c>
      <c r="T140" s="3">
        <f>3374.6+(980.9-1151.1)+(0+(0-0))+0-427.8-0</f>
        <v>2776.6</v>
      </c>
      <c r="U140" s="3">
        <f>3673+(1001.1-1514.3)+(-3.74646+(-1.021122--1.544586))+0-385.8--0.393516000000062</f>
        <v>2771.1705200000001</v>
      </c>
      <c r="V140" s="3">
        <f>3705.6+(844.8-1268)+(-9.44928+(-2.15424--3.2334))+0-530.3--1.35226499999992</f>
        <v>2745.0821449999999</v>
      </c>
      <c r="W140" s="3">
        <f>3684+(665.7-1114.2)+(0+(0-0))+0-506.8-0</f>
        <v>2728.7</v>
      </c>
      <c r="X140" s="3">
        <f>3676.2+(593.1-1046.9)+(-7.499448+(-1.209924--2.135676))+0-560.8--1.14403199999998</f>
        <v>2656.1703360000001</v>
      </c>
      <c r="Y140" s="3">
        <f>3476.2+(652.2-1211.2)+(0+(0-0))+0-312.3-0</f>
        <v>2604.8999999999996</v>
      </c>
      <c r="Z140" s="3">
        <f>3717.6+(626.2-1045.1)+(-1.895976+(-0.319362--0.533001))+0-540.7--0.275756999999945</f>
        <v>2756.5934199999997</v>
      </c>
      <c r="AA140" s="3">
        <f>3504.3+(522.7-860)+(-10.723158+(-1.599462--2.6316))+0-407.6--1.24725600000005</f>
        <v>2750.956236</v>
      </c>
      <c r="AB140" s="3">
        <f>3711.3+(560.6-1066.7)+(3.785526+(0.571812-1.088034))+0-450.8-0.459816000000072</f>
        <v>2757.209488</v>
      </c>
      <c r="AC140" s="3">
        <f>3745+(743.5-1170.7)+(0+(0-0))+0-609.3-0</f>
        <v>2708.5</v>
      </c>
      <c r="AD140" s="2">
        <v>2748.2</v>
      </c>
      <c r="AE140" s="3">
        <f>3721+(734.7-1121.2)+(0+(0-0))+0-586.3-0</f>
        <v>2748.2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3595.4+(697.7-1215.6)+(5.500962+(1.067481-1.859868))+0-480.6-0.735318000000028</f>
        <v>2600.8732570000002</v>
      </c>
      <c r="G141" s="3">
        <f>3466.8+(918.4-1249.5)+(-5.304204+(-1.405152--1.911735))+0-690.4--1.05631200000004</f>
        <v>2441.5586910000002</v>
      </c>
      <c r="H141" s="3">
        <f>3237.1+(1045.9-1314.7)+(0+(0-0))+0-607.4-0</f>
        <v>2360.9</v>
      </c>
      <c r="I141" s="3">
        <f>3107.4+(1166.9-1324.9)+(-1.584774+(-0.595119--0.675699))+0-634.9--0.323798999999936</f>
        <v>2313.3196049999997</v>
      </c>
      <c r="J141" s="3">
        <f>2854.9+(1344.3-1229.2)+(4.367997+(2.056779-1.880676))+0-646-0.988380000000037</f>
        <v>2327.5557199999998</v>
      </c>
      <c r="K141" s="3">
        <f>2817.8+(1327.6-1332.3)+(-7.18539+(-3.38538--3.397365))+0-498--1.26989999999993</f>
        <v>2309.1964950000001</v>
      </c>
      <c r="L141" s="3">
        <f>2767.6+(1353.6-1142.4)+(-7.05738+(-3.45168--2.91312))+0-690.9--1.7617949999999</f>
        <v>2282.0658549999994</v>
      </c>
      <c r="M141" s="3">
        <f>2788.6+(960.6-978.1)+(0+(0-0))+0-414.9-0</f>
        <v>2356.1999999999998</v>
      </c>
      <c r="N141" s="3">
        <f>2916.2+(979.9-919.8)+(4.461786+(1.499247-1.407294))+0-435.6-0.666468000000025</f>
        <v>2544.5872709999999</v>
      </c>
      <c r="O141" s="3">
        <f>2994.6+(846.5-660.5)+(7.63623+(2.158575-1.684275))+0-451.1-1.15030499999993</f>
        <v>2736.4602249999998</v>
      </c>
      <c r="P141" s="3">
        <f>2969.1+(535-339.8)+(4.542723+(0.81855-0.519894))+0-384.1-0.587673000000022</f>
        <v>2784.4537059999998</v>
      </c>
      <c r="Q141" s="3">
        <f>3404.4+(647.7-734.8)+(1.736244+(0.330327-0.374748))+0-455.9-0.232508999999954</f>
        <v>2862.8593140000003</v>
      </c>
      <c r="R141" s="3">
        <f>3659.3+(781.3-1093.8)+(-1.866243+(-0.398463--0.557838))+0-454.9--0.231998999999954</f>
        <v>2890.425131</v>
      </c>
      <c r="S141" s="3">
        <f>3591.2+(716.3-1092.9)+(0+(0-0))+0-479.5-0</f>
        <v>2735.0999999999995</v>
      </c>
      <c r="T141" s="3">
        <f>3631.1+(989.2-1382.8)+(-5.555583+(-1.513476--2.115684))+0-479.8--0.734094000000028</f>
        <v>2753.4807189999997</v>
      </c>
      <c r="U141" s="3">
        <f>3619.9+(888-1229.6)+(3.692298+(0.90576-1.254192))+0-518.6-0.528972000000083</f>
        <v>2762.5148940000004</v>
      </c>
      <c r="V141" s="3">
        <f>3630.6+(851.1-1148.7)+(1.851606+(0.434061-0.585837))+0-589.1-0.30044099999994</f>
        <v>2745.2993890000002</v>
      </c>
      <c r="W141" s="3">
        <f>3586.6+(694.6-1083.1)+(1.829166+(0.354246-0.552381))+0-493.5-0.25168499999995</f>
        <v>2705.9793460000001</v>
      </c>
      <c r="X141" s="3">
        <f>3331.4+(716.5-839.6)+(3.398028+(0.73083-0.856392))+0-581.2-0.592824000000093</f>
        <v>2629.7796419999995</v>
      </c>
      <c r="Y141" s="3">
        <f>3211+(919.6-905)+(4.91283+(1.406988-1.38465))+0-613.8-0.939114000000035</f>
        <v>2615.7960539999999</v>
      </c>
      <c r="Z141" s="3">
        <f>3597.1+(530.1-759.4)+(0+(0-0))+0-598.5-0</f>
        <v>2769.3</v>
      </c>
      <c r="AA141" s="3">
        <f>3582.2+(525.8-808.3)+(-3.653844+(-0.536316--0.824466))+0-516.9--0.527238000000082</f>
        <v>2779.9615439999998</v>
      </c>
      <c r="AB141" s="3">
        <f>3664.8+(585.3-947.5)+(1.869048+(0.298503-0.483225))+0-554.9-0.282998999999944</f>
        <v>2749.1013270000003</v>
      </c>
      <c r="AC141" s="3">
        <f>3664.8+(643.6-1011.5)+(-1.869048+(-0.328236--0.515865))+0-599.4--0.305693999999939</f>
        <v>2696.1242750000001</v>
      </c>
      <c r="AD141" s="2">
        <v>2733.5999999999995</v>
      </c>
      <c r="AE141" s="3">
        <f>3526+(575.2-798.9)+(0+(0-0))+0-568.7-0</f>
        <v>2733.6000000000004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3520+(668.7-1062.9)+(0+(0-0))+0-536.1-0</f>
        <v>2589.7000000000003</v>
      </c>
      <c r="G142" s="3">
        <f>3527.4+(710.2-1255.6)+(-5.396922+(-1.086606--1.921068))+0-536.3--0.820539000000031</f>
        <v>2441.9580789999995</v>
      </c>
      <c r="H142" s="3">
        <f>3448.8+(754.5-1213.5)+(-3.517776+(-0.76959--1.23777))+0-615.2--0.627504000000098</f>
        <v>2372.1779080000006</v>
      </c>
      <c r="I142" s="3">
        <f>3328.2+(942.3-1369.5)+(-5.092146+(-1.441719--2.095335))+0-596.7--0.912951000000035</f>
        <v>2300.7744210000001</v>
      </c>
      <c r="J142" s="3">
        <f>3181.5+(1054-1276.1)+(4.867695+(1.61262-1.952433))+0-659.9-1.00964700000004</f>
        <v>2303.018235</v>
      </c>
      <c r="K142" s="3">
        <f>3095.4+(1038.9-1325.6)+(-3.157308+(-1.059678--1.352112))+0-544.2--0.555084000000087</f>
        <v>2262.1902100000002</v>
      </c>
      <c r="L142" s="3">
        <f>2964+(1093.9-1328.1)+(0+(0-0))+0-515.4-0</f>
        <v>2214.4</v>
      </c>
      <c r="M142" s="3">
        <f>2963.2+(1103.4-1157.1)+(3.022464+(1.125468-1.180242))+0-640.5-0.653310000000102</f>
        <v>2271.3143799999998</v>
      </c>
      <c r="N142" s="3">
        <f>2995.3+(1053.7-1110.4)+(3.055206+(1.074774-1.132608))+0-505.9-0.516018000000081</f>
        <v>2435.1813539999998</v>
      </c>
      <c r="O142" s="3">
        <f>3164.2+(900.2-917.5)+(3.227484+(0.918204-0.93585))+0-510.6-0.520812000000081</f>
        <v>2638.9890259999997</v>
      </c>
      <c r="P142" s="3">
        <f>3133.2+(686-447.7)+(7.98966+(1.7493-1.141635))+0-607-1.54784999999991</f>
        <v>2771.5494750000003</v>
      </c>
      <c r="Q142" s="3">
        <f>3232.3+(439.5-385.6)+(4.945419+(0.672435-0.589968))+0-449.4-0.687582000000026</f>
        <v>2841.140304</v>
      </c>
      <c r="R142" s="3">
        <f>3582.7+(689.1-873)+(0+(0-0))+0-532.7-0</f>
        <v>2866.0999999999995</v>
      </c>
      <c r="S142" s="3">
        <f>3755.7+(676.7-1232.1)+(1.915407+(0.345117-0.628371))+0-488.5-0.24913499999995</f>
        <v>2713.1830180000002</v>
      </c>
      <c r="T142" s="3">
        <f>3821.5+(935.8-1477.9)+(-7.79586+(-1.909032--3.014916))+0-521.6--1.06406399999998</f>
        <v>2752.1740879999998</v>
      </c>
      <c r="U142" s="3">
        <f>3831.8+(870.8-1418.4)+(-5.862654+(-1.332324--2.170152))+0-506.9--0.775557000000029</f>
        <v>2773.0507309999998</v>
      </c>
      <c r="V142" s="3">
        <f>3838.3+(552.4-1212.3)+(0+(0-0))+0-416.2-0</f>
        <v>2762.2000000000003</v>
      </c>
      <c r="W142" s="3">
        <f>3832+(561.5-1118.9)+(0+(0-0))+0-553.1-0</f>
        <v>2721.5</v>
      </c>
      <c r="X142" s="3">
        <f>3686.6+(654-1197.4)+(-3.760332+(-0.66708--1.221348))+0-507.5--0.517650000000081</f>
        <v>2633.0115860000001</v>
      </c>
      <c r="Y142" s="3">
        <f>3635.7+(638.2-1153.7)+(5.562621+(0.976446-1.765161))+0-523.4-0.80080200000003</f>
        <v>2600.7731039999994</v>
      </c>
      <c r="Z142" s="3">
        <f>3806.6+(438.6-1018.2)+(0+(0-0))+0-475.9-0</f>
        <v>2751.1</v>
      </c>
      <c r="AA142" s="3">
        <f>3850.9+(641.7-1057.5)+(-5.891877+(-0.981801--1.617975))+0-669.6--1.02448800000004</f>
        <v>2761.2687850000007</v>
      </c>
      <c r="AB142" s="3">
        <f>3726.9+(571.9-915.1)+(-3.801438+(-0.583338--0.933402))+0-648.1--0.661062000000103</f>
        <v>2732.8096879999998</v>
      </c>
      <c r="AC142" s="3">
        <f>3526.3+(672.5-856.2)+(1.798413+(0.342975-0.436662))+0-665.8-0.339557999999932</f>
        <v>2678.165168</v>
      </c>
      <c r="AD142" s="2">
        <v>2742.2</v>
      </c>
      <c r="AE142" s="3">
        <f>3876+(650-1127)+(0+(0-0))+0-656.8-0</f>
        <v>2742.2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3612.8+(707.9-1070.9)+(1.842528+(0.361029-0.546159))+0-664.9-0.339098999999933</f>
        <v>2586.2182990000001</v>
      </c>
      <c r="G143" s="3">
        <f>3534.1+(834.1-1185.7)+(-1.802391+(-0.425391--0.604707))+0-729.2--0.371891999999926</f>
        <v>2452.0488169999999</v>
      </c>
      <c r="H143" s="3">
        <f>3391.3+(918.2-1215.8)+(6.918252+(1.873128-2.480232))+0-728.3-1.48573199999997</f>
        <v>2370.2254160000002</v>
      </c>
      <c r="I143" s="3">
        <f>3222.8+(905.7-1140.7)+(-8.21814+(-2.309535--2.908785))+0-673--1.7161499999999</f>
        <v>2308.8972599999997</v>
      </c>
      <c r="J143" s="3">
        <f>3196.4+(1003-1100.6)+(-4.890492+(-1.53459--1.683918))+0-762.3--1.16631900000004</f>
        <v>2332.9251549999999</v>
      </c>
      <c r="K143" s="3">
        <f>2860.3+(1129.7-1005)+(-4.376259+(-1.728441--1.53765))+0-678.5--1.03810500000004</f>
        <v>2302.971055</v>
      </c>
      <c r="L143" s="3">
        <f>2837+(1211.5-1025.5)+(-5.78748+(-2.47146--2.09202))+0-774.4--1.57977599999997</f>
        <v>2244.0128559999998</v>
      </c>
      <c r="M143" s="3">
        <f>2846.7+(1042.8-1012.3)+(0+(0-0))+0-535-0</f>
        <v>2342.1999999999998</v>
      </c>
      <c r="N143" s="3">
        <f>3088.1+(851.8-777.1)+(3.149862+(0.868836-0.792642))+0-658.2-0.671364000000105</f>
        <v>2507.1546919999996</v>
      </c>
      <c r="O143" s="3">
        <f>3060.7+(879.9-828.8)+(1.560957+(0.448749-0.422688))+0-429.2-0.218891999999956</f>
        <v>2683.9681260000002</v>
      </c>
      <c r="P143" s="3">
        <f>3276.2+(610.9-540)+(3.341724+(0.623118-0.5508))+0-568.9-0.580278000000091</f>
        <v>2781.0337639999998</v>
      </c>
      <c r="Q143" s="3">
        <f>3596.7+(442.3-682.9)+(3.668634+(0.451146-0.696558))+0-503.3-0.51336600000008</f>
        <v>2855.7098559999995</v>
      </c>
      <c r="R143" s="3">
        <f>3786.5+(642.7-1009.7)+(1.931115+(0.327777-0.514947))+0-573.9-0.292688999999942</f>
        <v>2847.0512560000002</v>
      </c>
      <c r="S143" s="3">
        <f>3808.9+(624.8-1189.2)+(-1.942539+(-0.318648--0.606492))+0-569--0.290189999999942</f>
        <v>2674.135495</v>
      </c>
      <c r="T143" s="3">
        <f>3791+(836.5-1344.3)+(1.93341+(0.426615-0.685593))+0-615.2-0.313751999999938</f>
        <v>2669.3606799999998</v>
      </c>
      <c r="U143" s="3">
        <f>3727.2+(934.2-1372.4)+(-1.900872+(-0.476442--0.699924))+0-635.3--0.324002999999936</f>
        <v>2652.3466129999997</v>
      </c>
      <c r="V143" s="3">
        <f>3390.6+(597.6-895.5)+(1.729206+(0.304776-0.456705))+0-497.9-0.25392899999995</f>
        <v>2596.1233479999996</v>
      </c>
      <c r="W143" s="3">
        <f>3366.1+(517.8-712.2)+(-1.716711+(-0.264078--0.363222))+0-622.2--0.317321999999937</f>
        <v>2548.1997549999996</v>
      </c>
      <c r="X143" s="3">
        <f>3363.6+(564-782.7)+(-5.146308+(-0.86292--1.197531))+0-677.5--1.03657500000004</f>
        <v>2463.6248779999996</v>
      </c>
      <c r="Y143" s="3">
        <f>3385.9+(635.1-911.8)+(-8.634045+(-1.619505--2.32509))+0-683.3--1.7424149999999</f>
        <v>2419.7139550000002</v>
      </c>
      <c r="Z143" s="3">
        <f>3426.2+(622.1-757)+(0+(0-0))+0-700.9-0</f>
        <v>2590.3999999999996</v>
      </c>
      <c r="AA143" s="3">
        <f>3423.5+(538.7-839.3)+(-12.221895+(-1.923159--2.996301))+0-546.8--1.95207600000001</f>
        <v>2566.903323</v>
      </c>
      <c r="AB143" s="3">
        <f>3141.2+(678.7-598.8)+(0+(0-0))+0-703.7-0</f>
        <v>2517.3999999999996</v>
      </c>
      <c r="AC143" s="3">
        <f>3122+(831.5-845)+(1.59222+(0.424065-0.43095))+0-662.6-0.337925999999933</f>
        <v>2447.1474090000002</v>
      </c>
      <c r="AD143" s="2">
        <v>2579.4</v>
      </c>
      <c r="AE143" s="3">
        <f>3418+(474.2-662.2)+(0+(0-0))+0-650.6-0</f>
        <v>2579.4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2949.7+(1044.3-933.5)+(6.017388+(2.130372-1.90434))+0-723.9-1.47675599999997</f>
        <v>2341.3666639999997</v>
      </c>
      <c r="G144" s="3">
        <f>2940.7+(1080.8-992)+(2.999514+(1.102416-1.01184))+0-776-0.791520000000124</f>
        <v>2255.7985699999999</v>
      </c>
      <c r="H144" s="3">
        <f>2884.3+(1067-1046.9)+(-2.941986+(-1.08834--1.067838))+0-727.8--0.742356000000116</f>
        <v>2174.3798680000004</v>
      </c>
      <c r="I144" s="3">
        <f>2826.6+(1048-1152.1)+(-1.441566+(-0.53448--0.587571))+0-602.2--0.307121999999939</f>
        <v>2119.2186469999997</v>
      </c>
      <c r="J144" s="3">
        <f>2835.9+(898.9-1189.1)+(-5.785236+(-1.833756--2.425764))+0-417.2--0.851087999999982</f>
        <v>2124.1578600000003</v>
      </c>
      <c r="K144" s="3">
        <f>2799.6+(1098-1216.1)+(-2.855592+(-1.11996--1.240422))+0-682.4--0.696048000000109</f>
        <v>1997.0609179999999</v>
      </c>
      <c r="L144" s="3">
        <f>2691.9+(1033.8-1116.5)+(-2.745738+(-1.054476--1.13883))+0-755.1--0.77020200000012</f>
        <v>1852.2088180000001</v>
      </c>
      <c r="M144" s="3">
        <f>2595.6+(1091.6-1269.9)+(0+(0-0))+0-616.7-0</f>
        <v>1800.5999999999997</v>
      </c>
      <c r="N144" s="3">
        <f>2528.8+(1137.5-1104.9)+(0+(0-0))+0-711.7-0</f>
        <v>1849.7</v>
      </c>
      <c r="O144" s="3">
        <f>2693.1+(957.3-1123.8)+(-1.373481+(-0.488223--0.573138))+0-625.3--0.318902999999937</f>
        <v>1900.3303369999996</v>
      </c>
      <c r="P144" s="3">
        <f>2819.3+(982.6-1173.4)+(1.437843+(0.501126-0.598434))+0-639.7-0.326246999999935</f>
        <v>1989.8142879999998</v>
      </c>
      <c r="Q144" s="3">
        <f>2802.6+(1068.1-1127.9)+(2.858652+(1.089462-1.150458))+0-663.3-0.676566000000106</f>
        <v>2081.6210899999996</v>
      </c>
      <c r="R144" s="3">
        <f>2770.1+(1118-1012.9)+(1.412751+(0.57018-0.516579))+0-719.6-0.366995999999927</f>
        <v>2156.6993560000001</v>
      </c>
      <c r="S144" s="3">
        <f>2774.8+(902.5-708.9)+(4.245444+(1.380825-1.084617))+0-747.1-1.14306300000004</f>
        <v>2224.6985890000001</v>
      </c>
      <c r="T144" s="3">
        <f>2754.3+(577.6-628.1)+(-2.809386+(-0.589152--0.640662))+0-562.7--0.57395400000009</f>
        <v>2138.9160779999997</v>
      </c>
      <c r="U144" s="3">
        <f>2757.1+(633.7-589.3)+(2.812242+(0.646374-0.601086))+0-635.5-0.648210000000101</f>
        <v>2168.2093199999999</v>
      </c>
      <c r="V144" s="3">
        <f>2766.6+(730.1-631.5)+(1.410966+(0.372351-0.322065))+0-678.7-0.346136999999931</f>
        <v>2187.6151150000001</v>
      </c>
      <c r="W144" s="3">
        <f>2786.4+(722.3-565.3)+(-2.842128+(-0.736746--0.576606))+0-706.7--0.720834000000113</f>
        <v>2234.4185659999998</v>
      </c>
      <c r="X144" s="3">
        <f>2784.5+(1019.2-877.7)+(-5.68038+(-2.079168--1.790508))+0-703.6--1.43534399999997</f>
        <v>2217.8663040000001</v>
      </c>
      <c r="Y144" s="3">
        <f>2836.9+(881.5-822)+(-1.446819+(-0.449565--0.41922))+0-661.6--0.337415999999933</f>
        <v>2233.6602520000001</v>
      </c>
      <c r="Z144" s="3">
        <f>3197.5+(724.1-678.1)+(0+(0-0))+0-789.9-0</f>
        <v>2453.6</v>
      </c>
      <c r="AA144" s="3">
        <f>3416.3+(679.4-875.3)+(-6.969252+(-1.385976--1.785612))+0-734.8--1.49899199999997</f>
        <v>2480.5293759999995</v>
      </c>
      <c r="AB144" s="3">
        <f>3427.7+(698.1-927.4)+(-1.748127+(-0.356031--0.472974))+0-723.6--0.369035999999927</f>
        <v>2473.5378519999999</v>
      </c>
      <c r="AC144" s="3">
        <f>3418.9+(708.4-955.3)+(-1.743639+(-0.361284--0.487203))+0-707.3--0.360722999999928</f>
        <v>2463.4430029999994</v>
      </c>
      <c r="AD144" s="2">
        <v>2441.0999999999995</v>
      </c>
      <c r="AE144" s="3">
        <f>3395+(846.9-845.5)+(0+(0-0))+0-955.3-0</f>
        <v>2441.1000000000004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3409.1+(783.1-1071.5)+(-5.215923+(-1.198143--1.639395))+0-727.9--1.11368700000004</f>
        <v>2389.1390159999996</v>
      </c>
      <c r="G145" s="3">
        <f>3042+(1086.7-1078.5)+(-6.20568+(-2.216868--2.20014))+0-766.2--1.56304799999997</f>
        <v>2279.3406399999994</v>
      </c>
      <c r="H145" s="3">
        <f>2939.3+(1142.5-1141.3)+(-7.495215+(-2.913375--2.910315))+0-729.1--1.85920499999989</f>
        <v>2205.7609299999999</v>
      </c>
      <c r="I145" s="3">
        <f>2967.4+(1071.1-1172.5)+(-4.540122+(-1.638783--1.793925))+0-703.5--1.07635500000004</f>
        <v>2159.1913750000003</v>
      </c>
      <c r="J145" s="3">
        <f>2981.1+(1001.3-1162.1)+(-4.561083+(-1.531989--1.778013))+0-638.3--0.976599000000037</f>
        <v>2178.6615400000005</v>
      </c>
      <c r="K145" s="3">
        <f>2931+(1168-1172.7)+(-7.47405+(-2.9784--2.990385))+0-731.8--1.86608999999989</f>
        <v>2188.9040250000003</v>
      </c>
      <c r="L145" s="3">
        <f>2764.1+(1104.7-1060.3)+(-1.409691+(-0.563397--0.540753))+0-642.3--0.327572999999935</f>
        <v>2165.0952380000003</v>
      </c>
      <c r="M145" s="3">
        <f>2754.6+(1107.7-930.7)+(1.404846+(0.564927-0.474657))+0-654.6-0.333845999999934</f>
        <v>2278.1612700000001</v>
      </c>
      <c r="N145" s="3">
        <f>2938.5+(1090.3-872.3)+(2.99727+(1.112106-0.889746))+0-638.3-0.651066000000102</f>
        <v>2520.7685640000004</v>
      </c>
      <c r="O145" s="3">
        <f>3200.1+(900.5-802.2)+(3.264102+(0.91851-0.818244))+0-605.3-0.617406000000096</f>
        <v>2695.8469619999996</v>
      </c>
      <c r="P145" s="3">
        <f>3581.1+(872.5-1056)+(1.826361+(0.444975-0.53856))+0-602.2-0.307121999999939</f>
        <v>2796.8256539999993</v>
      </c>
      <c r="Q145" s="3">
        <f>3632.3+(884.8-1085.9)+(0+(0-0))+0-534.4-0</f>
        <v>2896.7999999999997</v>
      </c>
      <c r="R145" s="3">
        <f>3614.6+(1010.9-1029.5)+(0+(0-0))+0-671.8-0</f>
        <v>2924.2</v>
      </c>
      <c r="S145" s="3">
        <f>3601.8+(834-1136.9)+(-5.510754+(-1.27602--1.739457))+0-537.2--0.821916000000031</f>
        <v>2757.4745990000001</v>
      </c>
      <c r="T145" s="3">
        <f>3643.6+(1045.2-1343.8)+(-7.432944+(-2.132208--2.741352))+0-561.5--1.14545999999998</f>
        <v>2777.8216600000001</v>
      </c>
      <c r="U145" s="3">
        <f>3584.8+(1035.8-1227.3)+(-1.828248+(-0.528258--0.625923))+0-583.9--0.297788999999941</f>
        <v>2807.9672059999998</v>
      </c>
      <c r="V145" s="3">
        <f>3355.8+(926.7-774.9)+(-5.134374+(-1.417851--1.185597))+0-742.4--1.13587200000004</f>
        <v>2760.9692439999999</v>
      </c>
      <c r="W145" s="3">
        <f>3422.7+(748.1-810.8)+(-1.745577+(-0.381531--0.413508))+0-627.1--0.319820999999936</f>
        <v>2731.5062210000001</v>
      </c>
      <c r="X145" s="3">
        <f>3482.3+(531.7-698)+(-1.775973+(-0.271167--0.35598))+0-715.3--0.364802999999927</f>
        <v>2599.3736430000004</v>
      </c>
      <c r="Y145" s="3">
        <f>3381.5+(596-723.6)+(1.724565+(0.30396-0.369036))+0-598.7-0.305336999999939</f>
        <v>2656.5541520000006</v>
      </c>
      <c r="Z145" s="3">
        <f>3792.1+(746.7-1092.7)+(-3.867942+(-0.761634--1.114554))+0-642.9--0.655758000000103</f>
        <v>2800.3407359999997</v>
      </c>
      <c r="AA145" s="3">
        <f>3837.3+(732.8-1056.5)+(-5.871069+(-1.121184--1.616445))+0-719.9--1.10144700000004</f>
        <v>2789.4256390000005</v>
      </c>
      <c r="AB145" s="3">
        <f>3774.5+(512.4-974.9)+(-1.924995+(-0.261324--0.497199))+0-551.3--0.281162999999944</f>
        <v>2759.2920429999999</v>
      </c>
      <c r="AC145" s="3">
        <f>3775.3+(555.7-960.9)+(0+(0-0))+0-672.2-0</f>
        <v>2697.9000000000005</v>
      </c>
      <c r="AD145" s="2">
        <v>2777.3999999999996</v>
      </c>
      <c r="AE145" s="3">
        <f>3828+(805.9-1058.8)+(0+(0-0))+0-797.7-0</f>
        <v>2777.3999999999996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3643.7+(458.4-896.3)+(-3.716574+(-0.467568--0.914226))+0-677.6--0.691152000000108</f>
        <v>2525.621236</v>
      </c>
      <c r="G146" s="3">
        <f>3420.4+(640.1-1019.7)+(-10.466424+(-1.958706--3.120282))+0-632.8--1.93636800000007</f>
        <v>2400.6315200000004</v>
      </c>
      <c r="H146" s="3">
        <f>3376.6+(678.8-1055.5)+(-3.444132+(-0.692376--1.07661))+0-596--0.607920000000095</f>
        <v>2401.4480219999996</v>
      </c>
      <c r="I146" s="3">
        <f>3363.1+(671.4-1047.5)+(3.430362+(0.684828-1.06845))+0-672.3-0.685746000000107</f>
        <v>2317.0609940000004</v>
      </c>
      <c r="J146" s="3">
        <f>3330.3+(713.1-1072.3)+(-6.793812+(-1.454724--2.187492))+0-649.4--1.32477599999997</f>
        <v>2316.9637320000002</v>
      </c>
      <c r="K146" s="3">
        <f>3022.5+(990.4-1103.5)+(-1.541475+(-0.505104--0.562785))+0-623--0.317729999999937</f>
        <v>2285.2339359999996</v>
      </c>
      <c r="L146" s="3">
        <f>2884.9+(1098-1157.4)+(0+(0-0))+0-561.2-0</f>
        <v>2264.3000000000002</v>
      </c>
      <c r="M146" s="3">
        <f>2789.1+(1096.4-958.5)+(2.844882+(1.118328-0.97767))+0-608.2-0.620364000000097</f>
        <v>2321.165176</v>
      </c>
      <c r="N146" s="3">
        <f>2897.2+(759.4-808.7)+(5.910288+(1.549176-1.649748))+0-370-0.754799999999984</f>
        <v>2482.9549159999997</v>
      </c>
      <c r="O146" s="3">
        <f>3072.6+(826.2-576.6)+(4.701078+(1.264086-0.882198))+0-634.1-0.970173000000037</f>
        <v>2692.2127929999997</v>
      </c>
      <c r="P146" s="3">
        <f>3308.7+(715.8-667.6)+(3.374874+(0.730116-0.680952))+0-558.7-0.569874000000089</f>
        <v>2801.0541639999997</v>
      </c>
      <c r="Q146" s="3">
        <f>3628.5+(622.1-774.7)+(1.850535+(0.317271-0.395097))+0-594.7-0.30329699999994</f>
        <v>2882.6694119999997</v>
      </c>
      <c r="R146" s="3">
        <f>3794.9+(759.6-1058.3)+(-1.935399+(-0.387396--0.539733))+0-573.2--0.292331999999942</f>
        <v>2921.5092700000005</v>
      </c>
      <c r="S146" s="3">
        <f>3726.6+(605.8-1040.1)+(0+(0-0))+0-525.2-0</f>
        <v>2767.1000000000004</v>
      </c>
      <c r="T146" s="3">
        <f>3788.3+(787.3-1170.3)+(0+(0-0))+0-547.8-0</f>
        <v>2857.5</v>
      </c>
      <c r="U146" s="3">
        <f>3572.2+(639.4-927.7)+(-1.821822+(-0.326094--0.473127))+0-411.1--0.209660999999958</f>
        <v>2871.3348719999995</v>
      </c>
      <c r="V146" s="3">
        <f>3664+(737.2-1023.4)+(0+(0-0))+0-544.8-0</f>
        <v>2833</v>
      </c>
      <c r="W146" s="3">
        <f>3653.5+(592.8-900.5)+(-3.72657+(-0.604656--0.91851))+0-592.4--0.604248000000094</f>
        <v>2750.5915320000004</v>
      </c>
      <c r="X146" s="3">
        <f>3577.6+(576.7-849.2)+(-5.473728+(-0.882351--1.299276))+0-619.6--0.947988000000036</f>
        <v>2681.391185</v>
      </c>
      <c r="Y146" s="3">
        <f>3349.6+(701.5-791.8)+(-1.708296+(-0.357765--0.403818))+0-585.5--0.298604999999941</f>
        <v>2672.4363619999999</v>
      </c>
      <c r="Z146" s="3">
        <f>3782.2+(660-975.5)+(-1.928922+(-0.3366--0.497505))+0-633.4--0.323033999999936</f>
        <v>2831.8550169999999</v>
      </c>
      <c r="AA146" s="3">
        <f>3758.3+(655.7-1003.3)+(-7.666932+(-1.337628--2.046732))+0-607.5--1.23929999999997</f>
        <v>2797.4814720000004</v>
      </c>
      <c r="AB146" s="3">
        <f>3834.3+(662.6-1020.1)+(-3.910986+(-0.675852--1.040502))+0-698--0.711960000000111</f>
        <v>2775.9656240000004</v>
      </c>
      <c r="AC146" s="3">
        <f>3890.5+(581.7-1104.4)+(3.96831+(0.593334-1.126488))+0-657.9-0.671058000000105</f>
        <v>2712.6640980000002</v>
      </c>
      <c r="AD146" s="2">
        <v>2793.6000000000004</v>
      </c>
      <c r="AE146" s="3">
        <f>3735+(691.1-1005.3)+(0+(0-0))+0-627.2-0</f>
        <v>2793.6000000000004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3877.8+(526-1109.1)+(3.955356+(0.53652-1.131282))+0-689.4-0.70318800000011</f>
        <v>2607.9574060000004</v>
      </c>
      <c r="G147" s="3">
        <f>3898.5+(491.3-1149.8)+(1.988235+(0.250563-0.586398))+0-760-0.387599999999923</f>
        <v>2481.2647999999999</v>
      </c>
      <c r="H147" s="3">
        <f>3793.5+(721.3-1413.6)+(0+(0-0))+0-724.9-0</f>
        <v>2376.2999999999997</v>
      </c>
      <c r="I147" s="3">
        <f>3367.3+(1015.6-1393.3)+(6.869292+(2.071824-2.842332))+0-652.6-1.33130399999997</f>
        <v>2341.7674800000004</v>
      </c>
      <c r="J147" s="3">
        <f>3374.5+(1027.8-1363.2)+(-1.720995+(-0.524178--0.695232))+0-705.6--0.359855999999928</f>
        <v>2332.3099149999998</v>
      </c>
      <c r="K147" s="3">
        <f>3019.4+(1212.7-1220.1)+(-7.69947+(-3.092385--3.111255))+0-669.1--1.7062049999999</f>
        <v>2336.9256049999999</v>
      </c>
      <c r="L147" s="3">
        <f>2868.8+(1092.3-1101.1)+(-7.31544+(-2.785365--2.807805))+0-544.8--1.38923999999992</f>
        <v>2309.2962400000001</v>
      </c>
      <c r="M147" s="3">
        <f>2760.1+(1060.6-932.8)+(4.222953+(1.622718-1.427184))+0-481.5-0.736695000000028</f>
        <v>2410.0817919999995</v>
      </c>
      <c r="N147" s="3">
        <f>2815.1+(1118.8-865.5)+(1.435701+(0.570588-0.441405))+0-495.3-0.25260299999995</f>
        <v>2574.4122809999994</v>
      </c>
      <c r="O147" s="3">
        <f>3134.4+(818.2-661.9)+(1.598544+(0.417282-0.337569))+0-540.6-0.275705999999945</f>
        <v>2751.5025510000005</v>
      </c>
      <c r="P147" s="3">
        <f>3262.3+(643.3-586.2)+(4.991319+(0.984249-0.896886))+0-459.6-0.703188000000027</f>
        <v>2864.1754940000001</v>
      </c>
      <c r="Q147" s="3">
        <f>3792.2+(631-977.3)+(5.802066+(0.96543-1.495269))+0-515.9-0.78932700000003</f>
        <v>2934.4828999999995</v>
      </c>
      <c r="R147" s="3">
        <f>3839.2+(826.7-1175.5)+(0+(0-0))+0-548.4-0</f>
        <v>2941.9999999999995</v>
      </c>
      <c r="S147" s="3">
        <f>3812.8+(783.9-1232)+(-5.833584+(-1.199367--1.88496))+0-565.3--0.864909000000033</f>
        <v>2795.1169180000006</v>
      </c>
      <c r="T147" s="3">
        <f>3790.4+(868.7-1293)+(1.933104+(0.443037-0.65943))+0-514.6-0.262445999999948</f>
        <v>2852.9542650000008</v>
      </c>
      <c r="U147" s="3">
        <f>3780.4+(794.5-1264.6)+(-1.928004+(-0.405195--0.644946))+0-516.5--0.263414999999948</f>
        <v>2792.3751620000003</v>
      </c>
      <c r="V147" s="3">
        <f>3793.3+(717.6-1182.5)+(-7.738332+(-1.463904--2.4123))+0-504.8--1.02979199999998</f>
        <v>2817.8398559999996</v>
      </c>
      <c r="W147" s="3">
        <f>3491.4+(538.6-719.4)+(-12.464298+(-1.922802--2.568258))+0-520.8--1.85925600000001</f>
        <v>2779.8404140000007</v>
      </c>
      <c r="X147" s="3">
        <f>3379.5+(524-716.1)+(-3.44709+(-0.53448--0.730422))+0-486.9--0.496638000000078</f>
        <v>2697.7454900000002</v>
      </c>
      <c r="Y147" s="3">
        <f>3453.1+(489.1-749.1)+(1.761081+(0.249441-0.382041))+0-514.6-0.262445999999948</f>
        <v>2679.8660350000005</v>
      </c>
      <c r="Z147" s="3">
        <f>3837.3+(592.6-1078)+(3.914046+(0.604452-1.09956))+0-517.6-0.527952000000083</f>
        <v>2837.1909860000001</v>
      </c>
      <c r="AA147" s="3">
        <f>3895.8+(661.1-1111.4)+(-7.947432+(-1.348644--2.267256))+0-631.3--1.28785199999997</f>
        <v>2808.4590320000002</v>
      </c>
      <c r="AB147" s="3">
        <f>3906.2+(574.2-1148.4)+(-7.968648+(-1.171368--2.342736))+0-569.6--1.16198399999998</f>
        <v>2756.7647040000002</v>
      </c>
      <c r="AC147" s="3">
        <f>3889.8+(633.3-1150.2)+(1.983798+(0.322983-0.586602))+0-661.8-0.337517999999933</f>
        <v>2712.4826610000005</v>
      </c>
      <c r="AD147" s="2">
        <v>2847.4000000000005</v>
      </c>
      <c r="AE147" s="3">
        <f>3854+(716.1-1137.9)+(0+(0-0))+0-584.8-0</f>
        <v>2847.3999999999996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3783.7+(550.7-1158.6)+(1.929687+(0.280857-0.590886))+0-594.9-0.30339899999994</f>
        <v>2582.2162590000003</v>
      </c>
      <c r="G148" s="3">
        <f>3710.6+(720.1-1300)+(0+(0-0))+0-687.2-0</f>
        <v>2443.5</v>
      </c>
      <c r="H148" s="3">
        <f>3435.6+(921.6-1339.9)+(-3.504312+(-0.940032--1.366698))+0-640--0.652800000000102</f>
        <v>2374.8751539999998</v>
      </c>
      <c r="I148" s="3">
        <f>3409.7+(1091.5-1445)+(0+(0-0))+0-739.2-0</f>
        <v>2317</v>
      </c>
      <c r="J148" s="3">
        <f>3434.7+(990.3-1496.6)+(-5.255091+(-1.515159--2.289798))+0-614.7--0.940491000000036</f>
        <v>2310.1600389999999</v>
      </c>
      <c r="K148" s="3">
        <f>3266.7+(1053-1226.7)+(-9.996102+(-3.22218--3.753702))+0-776.9--2.37731400000009</f>
        <v>2309.0127340000004</v>
      </c>
      <c r="L148" s="3">
        <f>3251.4+(1026-1363.6)+(-3.316428+(-1.04652--1.390872))+0-592.1--0.603942000000094</f>
        <v>2319.3318660000004</v>
      </c>
      <c r="M148" s="3">
        <f>3078.2+(1059.9-1178)+(0+(0-0))+0-594.4-0</f>
        <v>2365.6999999999998</v>
      </c>
      <c r="N148" s="3">
        <f>3074.8+(1063.7-904.7)+(0+(0-0))+0-676.2-0</f>
        <v>2557.6000000000004</v>
      </c>
      <c r="O148" s="3">
        <f>3406.1+(893.5-1007.4)+(3.474222+(0.91137-1.027548))+0-619.5-0.631890000000099</f>
        <v>2675.4261539999998</v>
      </c>
      <c r="P148" s="3">
        <f>3683.2+(797.1-964.6)+(3.756864+(0.813042-0.983892))+0-650.7-0.663714000000104</f>
        <v>2867.9222999999993</v>
      </c>
      <c r="Q148" s="3">
        <f>3648.2+(862.2-989.6)+(0+(0-0))+0-600.6-0</f>
        <v>2920.2</v>
      </c>
      <c r="R148" s="3">
        <f>3695+(978.7-1142.8)+(1.88445+(0.499137-0.582828))+0-602.3-0.307172999999939</f>
        <v>2930.093586</v>
      </c>
      <c r="S148" s="3">
        <f>3701+(841.6-1210.4)+(-5.66253+(-1.287648--1.851912))+0-557.7--0.853281000000032</f>
        <v>2770.2550150000002</v>
      </c>
      <c r="T148" s="3">
        <f>3731.9+(1093.6-1372)+(-1.903269+(-0.557736--0.69972))+0-648.7--0.330836999999934</f>
        <v>2803.3695519999997</v>
      </c>
      <c r="U148" s="3">
        <f>3784+(1057.9-1405.7)+(-5.78952+(-1.618587--2.150721))+0-635.4--0.972162000000037</f>
        <v>2796.5147759999995</v>
      </c>
      <c r="V148" s="3">
        <f>3799.7+(905.7-1276.9)+(-5.813541+(-1.385721--1.953657))+0-677.6--1.03672800000004</f>
        <v>2746.6911230000001</v>
      </c>
      <c r="W148" s="3">
        <f>3798.9+(666.6-1102.3)+(-9.687195+(-1.69983--2.810865))+0-630.7--1.60828499999991</f>
        <v>2725.5321250000002</v>
      </c>
      <c r="X148" s="3">
        <f>3755.7+(455.6-956.2)+(-13.407849+(-1.626492--3.413634))+0-577.3--2.06096100000001</f>
        <v>2668.2402540000003</v>
      </c>
      <c r="Y148" s="3">
        <f>3743.2+(521.5-1020.8)+(0+(0-0))+0-598.4-0</f>
        <v>2645.4999999999995</v>
      </c>
      <c r="Z148" s="3">
        <f>3847.6+(757-1157.6)+(1.962276+(0.38607-0.590376))+0-643.1-0.327980999999935</f>
        <v>2805.3299890000003</v>
      </c>
      <c r="AA148" s="3">
        <f>3891.5+(763.3-1252.6)+(-11.90799+(-2.335698--3.832956))+0-639.9--1.95809400000007</f>
        <v>2753.847362</v>
      </c>
      <c r="AB148" s="3">
        <f>3804.7+(565.9-1056)+(-11.642382+(-1.731654--3.23136))+0-593--1.81458000000007</f>
        <v>2713.2719040000002</v>
      </c>
      <c r="AC148" s="3">
        <f>3616+(564.3-845.9)+(3.68832+(0.575586-0.862818))+0-668.9-0.682278000000107</f>
        <v>2668.2188099999998</v>
      </c>
      <c r="AD148" s="2">
        <v>2796.8</v>
      </c>
      <c r="AE148" s="3">
        <f>3867+(973.6-1357.4)+(0+(0-0))+0-686.4-0</f>
        <v>2796.7999999999997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3572.5+(474.4-1102.3)+(0+(0-0))+0-594.7-0</f>
        <v>2349.8999999999996</v>
      </c>
      <c r="G149" s="3">
        <f>3465+(763.8-1399.1)+(1.76715+(0.389538-0.713541))+0-656.2-0.334661999999933</f>
        <v>2174.6084850000002</v>
      </c>
      <c r="H149" s="3">
        <f>3304.1+(881.9-1308.4)+(0+(0-0))+0-664.2-0</f>
        <v>2213.3999999999996</v>
      </c>
      <c r="I149" s="3">
        <f>3149.3+(857.5-1154.5)+(-3.212286+(-0.87465--1.17759))+0-585.4--0.597108000000093</f>
        <v>2264.5877620000001</v>
      </c>
      <c r="J149" s="3">
        <f>3040.8+(861.4-968.5)+(7.75404+(2.19657-2.469675))+0-655-1.6702499999999</f>
        <v>2284.5106850000002</v>
      </c>
      <c r="K149" s="3">
        <f>2980.9+(911.2-1015.8)+(-7.601295+(-2.32356--2.59029))+0-583.1--1.48690499999992</f>
        <v>2287.3523399999999</v>
      </c>
      <c r="L149" s="3">
        <f>2972.4+(999.4-1054.9)+(-9.095544+(-3.058164--3.227994))+0-674.7--2.06458200000008</f>
        <v>2235.3388679999998</v>
      </c>
      <c r="M149" s="3">
        <f>2982.5+(883.3-953.8)+(4.563225+(1.351449-1.459314))+0-571.7-0.874701000000033</f>
        <v>2343.8806589999999</v>
      </c>
      <c r="N149" s="3">
        <f>3032.1+(866.8-689.6)+(1.546371+(0.442068-0.351696))+0-665.4-0.339353999999932</f>
        <v>2545.1973889999999</v>
      </c>
      <c r="O149" s="3">
        <f>3399.1+(718-787.1)+(1.733541+(0.36618-0.401421))+0-622.6-0.317525999999937</f>
        <v>2708.7807740000003</v>
      </c>
      <c r="P149" s="3">
        <f>3768.7+(581.5-868.9)+(5.766111+(0.889695-1.329417))+0-666.4-1.01959200000004</f>
        <v>2819.2067969999994</v>
      </c>
      <c r="Q149" s="3">
        <f>3755.6+(654.4-935.3)+(0+(0-0))+0-583.8-0</f>
        <v>2890.8999999999996</v>
      </c>
      <c r="R149" s="3">
        <f>3738.7+(814.6-1020.8)+(-3.813474+(-0.830892--1.041216))+0-641.8--0.654636000000102</f>
        <v>2887.7514860000001</v>
      </c>
      <c r="S149" s="3">
        <f>3677.2+(801.8-1053.8)+(0+(0-0))+0-685.9-0</f>
        <v>2739.2999999999997</v>
      </c>
      <c r="T149" s="3">
        <f>3727.3+(1056.3-1375)+(-1.900923+(-0.538713--0.70125))+0-636.6--0.324665999999935</f>
        <v>2770.5862800000004</v>
      </c>
      <c r="U149" s="3">
        <f>3747.1+(1059.5-1498.3)+(-3.822042+(-1.08069--1.528266))+0-553.9--0.564978000000088</f>
        <v>2751.5905119999998</v>
      </c>
      <c r="V149" s="3">
        <f>3347.4+(820.4-965)+(-3.414348+(-0.836808--0.9843))+0-478.4--0.487968000000076</f>
        <v>2721.6211119999998</v>
      </c>
      <c r="W149" s="3">
        <f>3185+(721.5-546.4)+(-1.62435+(-0.367965--0.278664))+0-656.1--0.334610999999933</f>
        <v>2702.6209599999997</v>
      </c>
      <c r="X149" s="3">
        <f>3228.2+(588.7-494.9)+(-6.585528+(-1.200948--1.009596))+0-663.9--1.35435599999997</f>
        <v>2652.6774759999998</v>
      </c>
      <c r="Y149" s="3">
        <f>3344.3+(435.4-611.5)+(-3.411186+(-0.444108--0.62373))+0-520.9--0.531318000000083</f>
        <v>2644.5997540000003</v>
      </c>
      <c r="Z149" s="3">
        <f>3770.8+(555.2-947.5)+(-1.923108+(-0.283152--0.483225))+0-594.6--0.30324599999994</f>
        <v>2782.4802110000001</v>
      </c>
      <c r="AA149" s="3">
        <f>3847+(513.2-1076.6)+(-1.96197+(-0.261732--0.549066))+0-535.4--0.273053999999946</f>
        <v>2746.7984179999999</v>
      </c>
      <c r="AB149" s="3">
        <f>3894+(550.9-1092.9)+(-9.9297+(-1.404795--2.786895))+0-629.3--1.60471499999991</f>
        <v>2715.7571149999999</v>
      </c>
      <c r="AC149" s="3">
        <f>3558.6+(337.2-756.4)+(-1.814886+(-0.171972--0.385764))+0-477.2--0.243371999999952</f>
        <v>2660.8422780000001</v>
      </c>
      <c r="AD149" s="2">
        <v>2753.9</v>
      </c>
      <c r="AE149" s="3">
        <f>3914+(546.3-1141)+(0+(0-0))+0-565.4-0</f>
        <v>2753.9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3323+(502.5-607.7)+(0+(0-0))+0-657.4-0</f>
        <v>2560.4</v>
      </c>
      <c r="G150" s="3">
        <f>3365.8+(312-690.4)+(-6.866232+(-0.63648--1.408416))+0-580.7--1.18462799999997</f>
        <v>2401.7903319999996</v>
      </c>
      <c r="H150" s="3">
        <f>3316.5+(355.8-803.3)+(-5.074245+(-0.544374--1.229049))+0-550.1--0.841653000000032</f>
        <v>2315.3520830000002</v>
      </c>
      <c r="I150" s="3">
        <f>3320.3+(379.9-948.5)+(-8.466765+(-0.968745--2.418675))+0-499.3--1.27321499999993</f>
        <v>2246.6563799999999</v>
      </c>
      <c r="J150" s="3">
        <f>3326.2+(523.8-1056.2)+(3.392724+(0.534276-1.077324))+0-547.4-0.558348000000087</f>
        <v>2248.6913279999994</v>
      </c>
      <c r="K150" s="3">
        <f>3127.8+(803.3-1051)+(-7.97589+(-2.048415--2.68005))+0-625--1.59374999999991</f>
        <v>2249.3494950000004</v>
      </c>
      <c r="L150" s="3">
        <f>2817.7+(890.9-931)+(-7.185135+(-2.271795--2.37405))+0-552.4--1.40861999999992</f>
        <v>2219.5257399999996</v>
      </c>
      <c r="M150" s="3">
        <f>2718.2+(943.1-895.6)+(1.386282+(0.480981-0.456756))+0-489.7-0.24974699999995</f>
        <v>2277.1607600000002</v>
      </c>
      <c r="N150" s="3">
        <f>2678.7+(918.1-678.7)+(2.732274+(0.936462-0.692274))+0-465.1-0.474402000000074</f>
        <v>2455.5020599999998</v>
      </c>
      <c r="O150" s="3">
        <f>2836.6+(892.5-568.2)+(4.339998+(1.365525-0.869346))+0-547.2-0.837216000000032</f>
        <v>2617.6989610000001</v>
      </c>
      <c r="P150" s="3">
        <f>2914.9+(614.5-336.2)+(-1.486599+(-0.313395--0.171462))+0-443--0.225929999999955</f>
        <v>2748.7973980000002</v>
      </c>
      <c r="Q150" s="3">
        <f>3393.1+(595.9-630.8)+(3.460962+(0.607818-0.643416))+0-538.9-0.549678000000086</f>
        <v>2822.1756859999996</v>
      </c>
      <c r="R150" s="3">
        <f>3679.9+(725.1-1062.6)+(-3.753498+(-0.739602--1.083852))+0-531.5--0.542130000000085</f>
        <v>2808.0328820000004</v>
      </c>
      <c r="S150" s="3">
        <f>3682.5+(697.8-1152.5)+(1.878075+(0.355878-0.587775))+0-592.8-0.30232799999994</f>
        <v>2636.3438500000002</v>
      </c>
      <c r="T150" s="3">
        <f>3681.2+(947.8-1355.1)+(0+(0-0))+0-629.8-0</f>
        <v>2644.0999999999995</v>
      </c>
      <c r="U150" s="3">
        <f>3678.1+(819.9-1342.2)+(-5.627493+(-1.254447--2.053566))+0-519.8--0.79529400000003</f>
        <v>2631.9669199999994</v>
      </c>
      <c r="V150" s="3">
        <f>3685.5+(604.7-1132.2)+(-5.638815+(-0.925191--1.732266))+0-554.2--0.847926000000032</f>
        <v>2599.8161859999996</v>
      </c>
      <c r="W150" s="3">
        <f>3499.1+(380.6-724.4)+(-8.922705+(-0.97053--1.84722))+0-581.8--1.48358999999992</f>
        <v>2566.9375749999999</v>
      </c>
      <c r="X150" s="3">
        <f>3282.1+(730-924.2)+(-5.021613+(-1.1169--1.414026))+0-542.1--0.829413000000031</f>
        <v>2541.9049259999997</v>
      </c>
      <c r="Y150" s="3">
        <f>3307.6+(789.6-927.4)+(3.373752+(0.805392-0.945948))+0-622-0.634440000000099</f>
        <v>2550.398756</v>
      </c>
      <c r="Z150" s="3">
        <f>3723.7+(641.7-997)+(0+(0-0))+0-661-0</f>
        <v>2707.3999999999996</v>
      </c>
      <c r="AA150" s="3">
        <f>3738.3+(531.5-1028)+(-1.906533+(-0.271065--0.52428))+0-582.5--0.297074999999941</f>
        <v>2657.943757</v>
      </c>
      <c r="AB150" s="3">
        <f>3646.2+(556-911.4)+(-3.719124+(-0.56712--0.929628))+0-676.4--0.689928000000108</f>
        <v>2611.7333119999998</v>
      </c>
      <c r="AC150" s="3">
        <f>3611.2+(565-996.7)+(-7.366848+(-1.1526--2.033268))+0-609--1.24235999999997</f>
        <v>2565.2561800000003</v>
      </c>
      <c r="AD150" s="2">
        <v>2690.8999999999996</v>
      </c>
      <c r="AE150" s="3">
        <f>3759+(755.5-1046.9)+(0+(0-0))+0-776.7-0</f>
        <v>2690.8999999999996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3211.4+(879.4-916.4)+(-4.913442+(-1.345482--1.402092))+0-705.7--1.07972100000004</f>
        <v>2464.9228890000004</v>
      </c>
      <c r="G151" s="3">
        <f>2941.4+(1058-963.4)+(0+(0-0))+0-694-0</f>
        <v>2342</v>
      </c>
      <c r="H151" s="3">
        <f>2879.4+(1011.7-967)+(-7.34247+(-2.579835--2.46585))+0-666.6--1.6998299999999</f>
        <v>2251.7433750000005</v>
      </c>
      <c r="I151" s="3">
        <f>2871.1+(1014.4-1069.2)+(-5.857044+(-2.069376--2.181168))+0-625.4--1.27581599999997</f>
        <v>2186.4305639999993</v>
      </c>
      <c r="J151" s="3">
        <f>2873.6+(1020.1-1053.3)+(-2.931072+(-1.040502--1.074366))+0-665.9--0.679218000000106</f>
        <v>2172.2820100000004</v>
      </c>
      <c r="K151" s="3">
        <f>2850.7+(980.7-1005)+(-7.269285+(-2.500785--2.56275))+0-667.1--1.7011049999999</f>
        <v>2153.7937849999998</v>
      </c>
      <c r="L151" s="3">
        <f>2666.6+(1083.9-1122)+(-4.079898+(-1.658367--1.71666))+0-608.3--0.930699000000035</f>
        <v>2017.1090940000001</v>
      </c>
      <c r="M151" s="3">
        <f>2628.7+(1002.2-1052.7)+(-2.681274+(-1.022244--1.073754))+0-565.5--0.57681000000009</f>
        <v>2010.647046</v>
      </c>
      <c r="N151" s="3">
        <f>2621+(778.7-835.1)+(0+(0-0))+0-504.9-0</f>
        <v>2059.6999999999998</v>
      </c>
      <c r="O151" s="3">
        <f>2684.7+(845.2-762.7)+(-2.738394+(-0.862104--0.777954))+0-598.1--0.610062000000095</f>
        <v>2166.887518</v>
      </c>
      <c r="P151" s="3">
        <f>2692.1+(890.9-701)+(1.372971+(0.454359-0.35751))+0-618.2-0.315281999999937</f>
        <v>2264.9545379999995</v>
      </c>
      <c r="Q151" s="3">
        <f>2753.9+(733.7-502.6)+(1.404489+(0.374187-0.256326))+0-647.4-0.330173999999934</f>
        <v>2338.7921760000004</v>
      </c>
      <c r="R151" s="3">
        <f>2749+(669.9-354)+(-1.40199+(-0.341649--0.18054))+0-720.4--0.367403999999927</f>
        <v>2343.3043050000001</v>
      </c>
      <c r="S151" s="3">
        <f>2941.9+(683.2-567.4)+(-3.000738+(-0.696864--0.578748))+0-736.4--0.751128000000117</f>
        <v>2318.9322740000007</v>
      </c>
      <c r="T151" s="3">
        <f>3185.9+(583.8-792.2)+(-6.499236+(-1.190952--1.616088))+0-722.5--1.47389999999997</f>
        <v>2250.3998000000001</v>
      </c>
      <c r="U151" s="3">
        <f>3201.8+(591.5-755.1)+(-3.265836+(-0.60333--0.770202))+0-597.4--0.609348000000095</f>
        <v>2438.3103840000003</v>
      </c>
      <c r="V151" s="3">
        <f>3222.8+(500.6-813.1)+(-1.643628+(-0.255306--0.414681))+0-595.3--0.30360299999994</f>
        <v>2313.8193500000002</v>
      </c>
      <c r="W151" s="3">
        <f>3230.9+(669.3-836.9)+(-6.591036+(-1.365372--1.707276))+0-746.6--1.52306399999997</f>
        <v>2311.9739320000003</v>
      </c>
      <c r="X151" s="3">
        <f>3085.4+(969.4-1100.7)+(-6.294216+(-1.977576--2.245428))+0-657.7--1.34170799999997</f>
        <v>2291.7153440000002</v>
      </c>
      <c r="Y151" s="3">
        <f>2868.7+(941-766.2)+(-2.926074+(-0.95982--0.781524))+0-751.3--0.76632600000012</f>
        <v>2289.8619559999997</v>
      </c>
      <c r="Z151" s="3">
        <f>3247.6+(605.1-624.7)+(0+(0-0))+0-701.1-0</f>
        <v>2526.9</v>
      </c>
      <c r="AA151" s="3">
        <f>2904.8+(516.6-438.8)+(-4.444344+(-0.790398--0.671364))+0-587.4--0.898722000000034</f>
        <v>2391.5353440000004</v>
      </c>
      <c r="AB151" s="3">
        <f>2897.7+(775.1-423)+(0+(0-0))+0-777.8-0</f>
        <v>2472</v>
      </c>
      <c r="AC151" s="3">
        <f>2890.7+(671.1-420.6)+(1.474257+(0.342261-0.214506))+0-699.4-0.356693999999929</f>
        <v>2443.0453179999995</v>
      </c>
      <c r="AD151" s="2">
        <v>2508.4</v>
      </c>
      <c r="AE151" s="3">
        <f>3285+(696.3-711.3)+(0+(0-0))+0-761.6-0</f>
        <v>2508.4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2972.8+(738.6-570.5)+(-1.516128+(-0.376686--0.290955))+0-768.9--0.392138999999922</f>
        <v>2370.7902800000002</v>
      </c>
      <c r="G152" s="3">
        <f>3169.8+(809.2-1060.3)+(-4.849794+(-1.238076--1.622259))+0-670.2--1.02540600000004</f>
        <v>2245.0597950000006</v>
      </c>
      <c r="H152" s="3">
        <f>3180+(1039.4-1275.3)+(-1.6218+(-0.530094--0.650403))+0-769.2--0.392291999999922</f>
        <v>2173.7908010000006</v>
      </c>
      <c r="I152" s="3">
        <f>3003.9+(1077-1189.6)+(-6.127956+(-2.19708--2.426784))+0-770.6--1.57202399999997</f>
        <v>2116.3737720000004</v>
      </c>
      <c r="J152" s="3">
        <f>2816+(1042.2-1057.6)+(1.43616+(0.531522-0.539376))+0-660.8-0.337007999999933</f>
        <v>2140.891298</v>
      </c>
      <c r="K152" s="3">
        <f>2693+(1149.3-1026.1)+(-1.37343+(-0.586143--0.523311))+0-687.2--0.35047199999993</f>
        <v>2127.9142099999999</v>
      </c>
      <c r="L152" s="3">
        <f>2616+(1123.7-962.9)+(-1.33416+(-0.573087--0.491079))+0-684.2--0.348941999999931</f>
        <v>2091.5327739999998</v>
      </c>
      <c r="M152" s="3">
        <f>2625.9+(1004.7-841)+(0+(0-0))+0-641.1-0</f>
        <v>2148.5000000000005</v>
      </c>
      <c r="N152" s="3">
        <f>2690.2+(826.3-564.4)+(1.372002+(0.421413-0.287844))+0-649.7-0.331346999999934</f>
        <v>2303.5742240000004</v>
      </c>
      <c r="O152" s="3">
        <f>2735.6+(942.7-520.5)+(1.395156+(0.480777-0.265455))+0-675.7-0.344606999999932</f>
        <v>2483.365871</v>
      </c>
      <c r="P152" s="3">
        <f>2792.3+(1051.3-508.2)+(1.424073+(0.536163-0.259182))+0-723.5-0.368984999999927</f>
        <v>2613.2320690000001</v>
      </c>
      <c r="Q152" s="3">
        <f>2840.8+(956.4-463.7)+(4.346424+(1.463292-0.709461))+0-648.3-0.991899000000037</f>
        <v>2689.308356</v>
      </c>
      <c r="R152" s="3">
        <f>2942+(731.7-239.6)+(1.50042+(0.373167-0.122196))+0-733.1-0.373880999999926</f>
        <v>2702.3775099999998</v>
      </c>
      <c r="S152" s="3">
        <f>3163.7+(503.3-443)+(-3.226974+(-0.513366--0.45186))+0-667.1--0.680442000000106</f>
        <v>2554.2919620000002</v>
      </c>
      <c r="T152" s="3">
        <f>3254.2+(564.4-615.7)+(-1.659642+(-0.287844--0.314007))+0-605.4--0.308753999999939</f>
        <v>2596.1752749999996</v>
      </c>
      <c r="U152" s="3">
        <f>2964.6+(560.3-372.2)+(1.511946+(0.285753-0.189822))+0-693.1-0.35348099999993</f>
        <v>2460.8543959999997</v>
      </c>
      <c r="V152" s="3">
        <f>2847.2+(606.9-208.2)+(-1.452072+(-0.309519--0.106182))+0-844.3--0.430592999999914</f>
        <v>2400.3751839999995</v>
      </c>
      <c r="W152" s="3">
        <f>2869.3+(696.9-455.1)+(-1.463343+(-0.355419--0.232101))+0-586.2--0.298961999999941</f>
        <v>2523.6123010000001</v>
      </c>
      <c r="X152" s="3">
        <f>2837.7+(1075.5-739.4)+(-4.341681+(-1.645515--1.131282))+0-703.7--1.07666100000004</f>
        <v>2466.3207469999998</v>
      </c>
      <c r="Y152" s="3">
        <f>2916.7+(925.7-652)+(2.975034+(0.944214-0.66504))+0-690-0.70380000000011</f>
        <v>2502.9504079999992</v>
      </c>
      <c r="Z152" s="3">
        <f>3103.8+(619.9-418.1)+(1.582938+(0.316149-0.213231))+0-633-0.322829999999936</f>
        <v>2673.9630260000004</v>
      </c>
      <c r="AA152" s="3">
        <f>3182.5+(659.6-389.6)+(-6.4923+(-1.345584--0.794784))+0-808--1.64831999999996</f>
        <v>2639.1052199999999</v>
      </c>
      <c r="AB152" s="3">
        <f>3183.2+(874.2-836.2)+(-3.246864+(-0.891684--0.852924))+0-640--0.652800000000102</f>
        <v>2578.567176</v>
      </c>
      <c r="AC152" s="3">
        <f>3097.9+(886.5-806.6)+(0+(0-0))+0-639.5-0</f>
        <v>2538.3000000000002</v>
      </c>
      <c r="AD152" s="2">
        <v>2610.3999999999996</v>
      </c>
      <c r="AE152" s="3">
        <f>3138+(531.1-427.8)+(0+(0-0))+0-630.9-0</f>
        <v>2610.4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2998.9+(828.3-766.1)+(-3.058878+(-0.844866--0.781422))+0-626.7--0.6392340000001</f>
        <v>2431.9169119999997</v>
      </c>
      <c r="G153" s="3">
        <f>2839.1+(1112.9-878.7)+(-5.791764+(-2.270316--1.792548))+0-777.5--1.58609999999997</f>
        <v>2291.1165680000004</v>
      </c>
      <c r="H153" s="3">
        <f>2832.4+(1036.4-1002.7)+(-1.444524+(-0.528564--0.511377))+0-680.7--0.347156999999931</f>
        <v>2184.2854460000008</v>
      </c>
      <c r="I153" s="3">
        <f>2837.6+(1011.5-922.9)+(0+(0-0))+0-816.3-0</f>
        <v>2109.8999999999996</v>
      </c>
      <c r="J153" s="3">
        <f>2760+(1010.6-903.8)+(-4.2228+(-1.546218--1.382814))+0-803.2--1.22889600000005</f>
        <v>2060.4426920000001</v>
      </c>
      <c r="K153" s="3">
        <f>2606.6+(1048.7-920.5)+(-5.317464+(-2.139348--1.87782))+0-695.5--1.41881999999997</f>
        <v>2035.1398279999999</v>
      </c>
      <c r="L153" s="3">
        <f>2528.5+(1081.9-932.5)+(-10.31628+(-4.414152--3.8046))+0-756.8--3.08774399999993</f>
        <v>1913.2619120000002</v>
      </c>
      <c r="M153" s="3">
        <f>2307.9+(880.4-779.3)+(0+(0-0))+0-564.8-0</f>
        <v>1844.2</v>
      </c>
      <c r="N153" s="3">
        <f>2371.6+(857.1-683.5)+(2.419032+(0.874242-0.69717))+0-655.5-0.668610000000105</f>
        <v>1891.6274939999998</v>
      </c>
      <c r="O153" s="3">
        <f>2468.3+(770.2-739.6)+(-1.258833+(-0.392802--0.377196))+0-519--0.264689999999947</f>
        <v>1978.8902510000003</v>
      </c>
      <c r="P153" s="3">
        <f>2470.3+(837.9-813.7)+(-1.259853+(-0.427329--0.414987))+0-452.7--0.230876999999954</f>
        <v>2040.7586819999999</v>
      </c>
      <c r="Q153" s="3">
        <f>2564.4+(739.2-821.2)+(0+(0-0))+0-356-0</f>
        <v>2126.4</v>
      </c>
      <c r="R153" s="3">
        <f>2629.4+(578-798.6)+(-1.340994+(-0.29478--0.407286))+0-286.6--0.146165999999971</f>
        <v>2121.1176780000001</v>
      </c>
      <c r="S153" s="3">
        <f>2640.5+(572.4-625.3)+(-2.69331+(-0.583848--0.637806))+0-500.3--0.51030600000008</f>
        <v>2085.1709539999997</v>
      </c>
      <c r="T153" s="3">
        <f>2719.8+(588-614.8)+(-5.548392+(-1.19952--1.254192))+0-601.1--1.22624399999997</f>
        <v>2087.6325240000001</v>
      </c>
      <c r="U153" s="3">
        <f>2708.4+(681.6-658.2)+(2.762568+(0.695232-0.671364))+0-636.8-0.649536000000101</f>
        <v>2097.1369000000004</v>
      </c>
      <c r="V153" s="3">
        <f>2720.3+(651.1-634.7)+(4.162059+(0.996183-0.971091))+0-634.5-0.970785000000037</f>
        <v>2105.4163660000004</v>
      </c>
      <c r="W153" s="3">
        <f>2725+(680.3-845.7)+(-2.7795+(-0.693906--0.862614))+0-564.5--0.57579000000009</f>
        <v>1993.0649980000001</v>
      </c>
      <c r="X153" s="3">
        <f>2727.5+(841.5-923.5)+(-4.173075+(-1.287495--1.412955))+0-660.2--1.01010600000004</f>
        <v>1982.262491</v>
      </c>
      <c r="Y153" s="3">
        <f>2732.1+(558.9-653.5)+(-1.393371+(-0.285039--0.333285))+0-579.7--0.295646999999941</f>
        <v>2056.7505220000003</v>
      </c>
      <c r="Z153" s="3">
        <f>2820.4+(470.3-320.2)+(-4.315212+(-0.719559--0.489906))+0-664.9--1.01729700000004</f>
        <v>2302.0724319999999</v>
      </c>
      <c r="AA153" s="3">
        <f>2913.7+(400-400.9)+(-4.457961+(-0.612--0.613377))+0-553.8--0.847314000000032</f>
        <v>2355.3907299999996</v>
      </c>
      <c r="AB153" s="3">
        <f>2907.6+(409.8-243.8)+(-1.482876+(-0.208998--0.124338))+0-750.8--0.382907999999924</f>
        <v>2321.6153719999998</v>
      </c>
      <c r="AC153" s="3">
        <f>2914.7+(345.5-359.1)+(-1.486497+(-0.176205--0.183141))+0-622--0.317219999999937</f>
        <v>2277.9376589999997</v>
      </c>
      <c r="AD153" s="2">
        <v>2327.1000000000004</v>
      </c>
      <c r="AE153" s="3">
        <f>2880+(536.4-295.1)+(0+(0-0))+0-794.2-0</f>
        <v>2327.1000000000004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2921.7+(493.2-518.3)+(1.490067+(0.251532-0.264333))+0-694.1-0.35399099999993</f>
        <v>2203.6232749999999</v>
      </c>
      <c r="G154" s="3">
        <f>2933.3+(696.2-1023.7)+(1.495983+(0.355062-0.522087))+0-489.2-0.24949199999995</f>
        <v>2117.6794660000005</v>
      </c>
      <c r="H154" s="3">
        <f>2947.8+(766.1-1025.1)+(-1.503378+(-0.390711--0.522801))+0-646.9--0.329918999999934</f>
        <v>2040.8586310000003</v>
      </c>
      <c r="I154" s="3">
        <f>2903.2+(701.3-962.5)+(-1.480632+(-0.357663--0.490875))+0-670.6--0.342005999999932</f>
        <v>1970.3945859999999</v>
      </c>
      <c r="J154" s="3">
        <f>2874.9+(611.5-974.4)+(-4.398597+(-0.935595--1.490832))+0-567--0.867510000000033</f>
        <v>1942.0241500000002</v>
      </c>
      <c r="K154" s="3">
        <f>2884.4+(570.4-884)+(0+(0-0))+0-631.4-0</f>
        <v>1939.4</v>
      </c>
      <c r="L154" s="3">
        <f>2568.3+(749.4-844.6)+(-6.549165+(-1.91097--2.15373))+0-704--1.7951999999999</f>
        <v>1764.5887950000003</v>
      </c>
      <c r="M154" s="3">
        <f>2251.6+(702.2-696.7)+(-2.296632+(-0.716244--0.710634))+0-513.5--0.523770000000082</f>
        <v>1741.8215279999997</v>
      </c>
      <c r="N154" s="3">
        <f>2459.5+(715.5-643.3)+(2.50869+(0.72981-0.656166))+0-675.3-0.688806000000108</f>
        <v>1858.2935279999999</v>
      </c>
      <c r="O154" s="3">
        <f>2668.3+(683-818.7)+(-1.360833+(-0.34833--0.417537))+0-600.7--0.306356999999939</f>
        <v>1930.9147310000001</v>
      </c>
      <c r="P154" s="3">
        <f>2702+(678.8-725.6)+(2.75604+(0.692376-0.740112))+0-591-0.602820000000094</f>
        <v>2066.305484</v>
      </c>
      <c r="Q154" s="3">
        <f>2780.8+(811.2-644.1)+(-2.836416+(-0.827424--0.656982))+0-709.5--0.723690000000113</f>
        <v>2236.1168320000002</v>
      </c>
      <c r="R154" s="3">
        <f>2751.3+(558.3-536.5)+(-1.403163+(-0.284733--0.273615))+0-441.5--0.225164999999955</f>
        <v>2330.4108840000004</v>
      </c>
      <c r="S154" s="3">
        <f>2738+(363.2-443.2)+(-1.39638+(-0.185232--0.226032))+0-445.2--0.227051999999955</f>
        <v>2211.671472</v>
      </c>
      <c r="T154" s="3">
        <f>2739+(288.7-262.4)+(-5.58756+(-0.588948--0.535296))+0-529.4--1.07997599999998</f>
        <v>2231.3387640000001</v>
      </c>
      <c r="U154" s="3">
        <f>2728.6+(316.2-294.1)+(0+(0-0))+0-541.1-0</f>
        <v>2209.6</v>
      </c>
      <c r="V154" s="3">
        <f>2738.3+(376.2-211.8)+(-1.396533+(-0.191862--0.108018))+0-704.1--0.359090999999929</f>
        <v>2197.4787140000003</v>
      </c>
      <c r="W154" s="3">
        <f>2770.2+(499.2-412.7)+(-5.651208+(-1.018368--0.841908))+0-638.9--1.30335599999997</f>
        <v>2213.2756879999997</v>
      </c>
      <c r="X154" s="3">
        <f>2819.4+(748.3-705.1)+(-4.313682+(-1.144899--1.078803))+0-650.6--0.995418000000038</f>
        <v>2208.61564</v>
      </c>
      <c r="Y154" s="3">
        <f>2754.2+(550.3-609.5)+(-4.213926+(-0.841959--0.932535))+0-514.3--0.78687900000003</f>
        <v>2177.3635290000002</v>
      </c>
      <c r="Z154" s="3">
        <f>2883.9+(327.9-455.9)+(-5.883156+(-0.668916--0.930036))+0-302.1--0.616283999999987</f>
        <v>2448.7942480000002</v>
      </c>
      <c r="AA154" s="3">
        <f>2907.9+(383.2-371.3)+(-2.966058+(-0.390864--0.378726))+0-469.8--0.479196000000075</f>
        <v>2447.5010000000002</v>
      </c>
      <c r="AB154" s="3">
        <f>2912.2+(490.7-272.6)+(-5.940888+(-1.001028--0.556104))+0-701--1.43003999999997</f>
        <v>2424.3442279999999</v>
      </c>
      <c r="AC154" s="3">
        <f>2872.4+(591-395.3)+(0+(0-0))+0-713.3-0</f>
        <v>2354.8000000000002</v>
      </c>
      <c r="AD154" s="2">
        <v>2442.8999999999996</v>
      </c>
      <c r="AE154" s="3">
        <f>2902+(535.7-274.8)+(0+(0-0))+0-728-0</f>
        <v>2434.9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2817.2+(892.4-684.2)+(1.436772+(0.455124-0.348942))+0-763.8-0.389537999999923</f>
        <v>2262.753416</v>
      </c>
      <c r="G155" s="3">
        <f>2822+(899.1-950.6)+(1.43922+(0.458541-0.484806))+0-614-0.313139999999938</f>
        <v>2157.599815</v>
      </c>
      <c r="H155" s="3">
        <f>2857.1+(842.6-1097.6)+(0+(0-0))+0-527.3-0</f>
        <v>2074.8000000000002</v>
      </c>
      <c r="I155" s="3">
        <f>2877.7+(874.8-1004.1)+(0+(0-0))+0-729.4-0</f>
        <v>2018.9999999999995</v>
      </c>
      <c r="J155" s="3">
        <f>2898.7+(764.7-1005.8)+(-5.913348+(-1.559988--2.051832))+0-649.9--1.32579599999997</f>
        <v>2003.604292</v>
      </c>
      <c r="K155" s="3">
        <f>2901.5+(791.6-921.6)+(-5.91906+(-1.614864--1.880064))+0-743.4--1.51653599999997</f>
        <v>2023.9626759999999</v>
      </c>
      <c r="L155" s="3">
        <f>2793.6+(762.3-955.7)+(-11.397888+(-3.110184--3.899256))+0-726.3--2.96330399999994</f>
        <v>1866.2544879999998</v>
      </c>
      <c r="M155" s="3">
        <f>2659.2+(640.1-694.1)+(2.712384+(0.652902-0.707982))+0-635.6-0.648312000000101</f>
        <v>1971.6089919999997</v>
      </c>
      <c r="N155" s="3">
        <f>2725+(723.1-531.6)+(2.7795+(0.737562-0.542232))+0-653.3-0.666366000000104</f>
        <v>2265.508464</v>
      </c>
      <c r="O155" s="3">
        <f>2819.2+(592.1-491.4)+(1.437792+(0.301971-0.250614))+0-485.6-0.247655999999951</f>
        <v>2435.5414929999997</v>
      </c>
      <c r="P155" s="3">
        <f>2879.6+(707.6-317.1)+(1.468596+(0.360876-0.161721))+0-574.8-0.293147999999942</f>
        <v>2696.6746030000004</v>
      </c>
      <c r="Q155" s="3">
        <f>2928.1+(586.4-222.5)+(4.479993+(0.897192-0.340425))+0-509-0.778770000000029</f>
        <v>2787.2579900000001</v>
      </c>
      <c r="R155" s="3">
        <f>3123.1+(470.6-248.7)+(-1.592781+(-0.240006--0.126837))+0-513--0.261629999999948</f>
        <v>2830.5556799999999</v>
      </c>
      <c r="S155" s="3">
        <f>3246.2+(422-500.4)+(-3.311124+(-0.43044--0.510408))+0-533.3--0.543966000000085</f>
        <v>2631.8128100000004</v>
      </c>
      <c r="T155" s="3">
        <f>3403.8+(599.7-772.9)+(-5.207814+(-0.917541--1.182537))+0-600.6--0.918918000000035</f>
        <v>2625.9761000000003</v>
      </c>
      <c r="U155" s="3">
        <f>3325.8+(526.4-664.5)+(1.696158+(0.268464-0.338895))+0-560.6-0.285905999999943</f>
        <v>2628.4398210000004</v>
      </c>
      <c r="V155" s="3">
        <f>3376.1+(631.8-584)+(-1.721811+(-0.322218--0.29784))+0-699.3--0.356642999999929</f>
        <v>2723.210454</v>
      </c>
      <c r="W155" s="3">
        <f>3030.7+(443.2-338.5)+(-1.545657+(-0.226032--0.172635))+0-449.2--0.229091999999954</f>
        <v>2684.8300380000001</v>
      </c>
      <c r="X155" s="3">
        <f>3030.4+(991.9-717)+(-4.636512+(-1.517607--1.09701))+0-666.4--1.01959200000004</f>
        <v>2634.8624830000003</v>
      </c>
      <c r="Y155" s="3">
        <f>2931.6+(881-641.9)+(-2.990232+(-0.89862--0.654738))+0-552.7--0.563754000000088</f>
        <v>2615.3296400000004</v>
      </c>
      <c r="Z155" s="3">
        <f>3082.9+(814.8-477.1)+(1.572279+(0.415548-0.243321))+0-622-0.317219999999937</f>
        <v>2800.027286</v>
      </c>
      <c r="AA155" s="3">
        <f>3145.8+(678.8-540.3)+(-6.417432+(-1.384752--1.102212))+0-556.1--1.13444399999998</f>
        <v>2722.6344720000002</v>
      </c>
      <c r="AB155" s="3">
        <f>3128.9+(794.4-650.2)+(1.595739+(0.405144-0.331602))+0-622-0.317219999999937</f>
        <v>2652.452061</v>
      </c>
      <c r="AC155" s="3">
        <f>3132.6+(809.7-781.2)+(3.195252+(0.825894-0.796824))+0-585.7-0.597414000000093</f>
        <v>2578.0269079999994</v>
      </c>
      <c r="AD155" s="2">
        <v>2808.8999999999996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3092.8+(912.6-1004.8)+(-3.154656+(-0.930852--1.024896))+0-598.1--0.610062000000095</f>
        <v>2400.0494500000004</v>
      </c>
      <c r="G156" s="3">
        <f>3085.8+(1003.1-1185.7)+(-1.573758+(-0.511581--0.604707))+0-641.6--0.327215999999935</f>
        <v>2260.4465840000007</v>
      </c>
      <c r="H156" s="3">
        <f>2977.1+(821.5-1202.8)+(-6.073284+(-1.67586--2.453712))+0-461.4--0.94125599999998</f>
        <v>2130.0458240000003</v>
      </c>
      <c r="I156" s="3">
        <f>2941.8+(981-1106.8)+(1.500318+(0.50031-0.564468))+0-642.3-0.327572999999935</f>
        <v>2174.808587</v>
      </c>
      <c r="J156" s="3">
        <f>2935.6+(984.6-1046.3)+(8.982936+(3.012876-3.201678))+0-716.9-2.19371400000008</f>
        <v>2163.6004200000002</v>
      </c>
      <c r="K156" s="3">
        <f>2929+(967.6-1112)+(1.49379+(0.493476-0.56712))+0-618.3-0.315332999999937</f>
        <v>2167.4048129999996</v>
      </c>
      <c r="L156" s="3">
        <f>2754.9+(1099.2-1030.7)+(-5.619996+(-2.242368--2.102628))+0-684.8--1.39699199999997</f>
        <v>2134.2372560000003</v>
      </c>
      <c r="M156" s="3">
        <f>2755.3+(961.6-1015.9)+(-1.405203+(-0.490416--0.518109))+0-473.3--0.241382999999952</f>
        <v>2226.5638730000001</v>
      </c>
      <c r="N156" s="3">
        <f>2941.9+(1017.5-914.7)+(3.000738+(1.03785-0.932994))+0-573.3-0.584766000000091</f>
        <v>2473.9208280000003</v>
      </c>
      <c r="O156" s="3">
        <f>3078.8+(967.8-854.9)+(0+(0-0))+0-547.3-0</f>
        <v>2644.4000000000005</v>
      </c>
      <c r="P156" s="3">
        <f>3301.2+(689-805.4)+(0+(0-0))+0-509.8-0</f>
        <v>2674.9999999999995</v>
      </c>
      <c r="Q156" s="3">
        <f>3344.3+(615.2-544.3)+(-3.411186+(-0.627504--0.555186))+0-581.1--0.592722000000093</f>
        <v>2831.2092180000004</v>
      </c>
      <c r="R156" s="3">
        <f>3575.6+(408.7-809.6)+(-3.647112+(-0.416874--0.825792))+0-303--0.309060000000048</f>
        <v>2868.7708659999998</v>
      </c>
      <c r="S156" s="3">
        <f>3659.2+(466.3-1020.9)+(-3.732384+(-0.475626--1.041318))+0-480.5--0.490110000000077</f>
        <v>2621.4234180000003</v>
      </c>
      <c r="T156" s="3">
        <f>3649.8+(584.6-1081.4)+(0+(0-0))+0-494.7-0</f>
        <v>2658.3</v>
      </c>
      <c r="U156" s="3">
        <f>3633.7+(614.8-1076.4)+(1.853187+(0.313548-0.548964))+0-424.9-0.216698999999957</f>
        <v>2748.6010719999995</v>
      </c>
      <c r="V156" s="3">
        <f>3646.9+(590.8-993.1)+(-9.299595+(-1.50654--2.532405))+0-505.2--1.28825999999993</f>
        <v>2732.41453</v>
      </c>
      <c r="W156" s="3">
        <f>3279.8+(532.8-630.5)+(-6.690792+(-1.086912--1.28622))+0-465.7--0.95002799999998</f>
        <v>2710.8585440000006</v>
      </c>
      <c r="X156" s="3">
        <f>2964.7+(957.8-733)+(-6.047988+(-1.953912--1.49532))+0-520.1--1.06100399999998</f>
        <v>2663.954424</v>
      </c>
      <c r="Y156" s="3">
        <f>2928.6+(774.8-615.5)+(-1.493586+(-0.395148--0.313905))+0-445--0.226949999999955</f>
        <v>2641.5521209999993</v>
      </c>
      <c r="Z156" s="3">
        <f>3118.9+(564.3-492.2)+(0+(0-0))+0-385.6-0</f>
        <v>2805.4</v>
      </c>
      <c r="AA156" s="3">
        <f>3187.9+(507.4-591.2)+(-8.129145+(-1.29387--1.50756))+0-377.4--0.962369999999945</f>
        <v>2719.7469149999997</v>
      </c>
      <c r="AB156" s="3">
        <f>3029.2+(705.9-554.1)+(-6.179568+(-1.440036--1.130364))+0-518.2--1.05712799999998</f>
        <v>2657.3678880000002</v>
      </c>
      <c r="AC156" s="3">
        <f>3045.1+(854.2-634.7)+(-3.106002+(-0.871284--0.647394))+0-693.2--0.707064000000111</f>
        <v>2568.7771720000001</v>
      </c>
      <c r="AD156" s="2">
        <v>2772.9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3064.7+(791.6-720.9)+(0+(0-0))+0-706.3-0</f>
        <v>2429.0999999999995</v>
      </c>
      <c r="G157" s="3">
        <f>3098.3+(837.5-943.9)+(1.580133+(0.427125-0.481389))+0-685.7-0.34970699999993</f>
        <v>2307.376162</v>
      </c>
      <c r="H157" s="3">
        <f>3041+(840.2-943.4)+(6.20364+(1.714008-1.924536))+0-707.2-1.44268799999997</f>
        <v>2235.1504240000004</v>
      </c>
      <c r="I157" s="3">
        <f>3160.7+(974.1-1213.8)+(-1.611957+(-0.496791--0.619038))+0-736.5--0.375614999999925</f>
        <v>2183.3859050000001</v>
      </c>
      <c r="J157" s="3">
        <f>2961.7+(1023.8-1150.9)+(-3.020934+(-1.044276--1.173918))+0-676.3--0.689826000000108</f>
        <v>2156.0985340000002</v>
      </c>
      <c r="K157" s="3">
        <f>2913.4+(987.4-1083.5)+(-4.457502+(-1.510722--1.657755))+0-659.4--1.00888200000004</f>
        <v>2154.5984130000002</v>
      </c>
      <c r="L157" s="3">
        <f>2839.9+(1007.9-1192.1)+(-10.138443+(-3.598203--4.255797))+0-533.1--1.90316700000001</f>
        <v>2115.0223180000003</v>
      </c>
      <c r="M157" s="3">
        <f>2733.8+(931.3-1059.1)+(-1.394238+(-0.474963--0.540141))+0-388.5--0.198134999999961</f>
        <v>2216.3690750000001</v>
      </c>
      <c r="N157" s="3">
        <f>2897+(916.8-743)+(4.43241+(1.402704-1.13679))+0-634.2-0.970326000000037</f>
        <v>2440.3279980000002</v>
      </c>
      <c r="O157" s="3">
        <f>2930.6+(879.3-464.6)+(-2.989212+(-0.896886--0.473892))+0-727.2--0.741744000000116</f>
        <v>2615.4295379999994</v>
      </c>
      <c r="P157" s="3">
        <f>2972.3+(675.3-250.8)+(-1.515873+(-0.344403--0.127908))+0-650.5--0.331754999999934</f>
        <v>2744.8993870000004</v>
      </c>
      <c r="Q157" s="3">
        <f>3187.4+(758.1-414.6)+(1.625574+(0.386631-0.211446))+0-697-0.355469999999929</f>
        <v>2835.3452890000003</v>
      </c>
      <c r="R157" s="3">
        <f>3434.3+(713.5-698.9)+(1.751493+(0.363885-0.356439))+0-618.6-0.315485999999937</f>
        <v>2831.743453</v>
      </c>
      <c r="S157" s="3">
        <f>3424+(689.7-823.1)+(3.49248+(0.703494-0.839562))+0-700.6-0.714612000000112</f>
        <v>2592.6417999999999</v>
      </c>
      <c r="T157" s="3">
        <f>3282.5+(881-807.4)+(-6.6963+(-1.79724--1.647096))+0-733.7--1.49674799999997</f>
        <v>2617.0503039999999</v>
      </c>
      <c r="U157" s="3">
        <f>3236.7+(886.5-876.9)+(-3.301434+(-0.90423--0.894438))+0-604--0.616080000000096</f>
        <v>2639.6048540000002</v>
      </c>
      <c r="V157" s="3">
        <f>3227.3+(838.9-813.8)+(-1.645923+(-0.427839--0.415038))+0-596.8--0.304367999999939</f>
        <v>2654.2456440000005</v>
      </c>
      <c r="W157" s="3">
        <f>3071.8+(876.6-602.8)+(-4.699854+(-1.341198--0.922284))+0-702--1.07406000000004</f>
        <v>2639.5552920000005</v>
      </c>
      <c r="X157" s="3">
        <f>2970.9+(971.1-836)+(-9.090954+(-2.971566--2.55816))+0-672.3--2.05723800000008</f>
        <v>2426.2528779999998</v>
      </c>
      <c r="Y157" s="3">
        <f>2958.9+(793.7-500.2)+(0+(0-0))+0-690.3-0</f>
        <v>2562.1000000000004</v>
      </c>
      <c r="Z157" s="3">
        <f>3102.5+(761-589.9)+(1.582275+(0.38811-0.300849))+0-733.4-0.374033999999926</f>
        <v>2541.4955019999998</v>
      </c>
      <c r="AA157" s="3">
        <f>3146.9+(933.1-631.7)+(-4.814757+(-1.427643--0.966501))+0-741.7--1.13480100000004</f>
        <v>2702.4589020000003</v>
      </c>
      <c r="AB157" s="3">
        <f>3151.2+(969.2-922.2)+(-3.214224+(-0.988584--0.940644))+0-607.7--0.619854000000097</f>
        <v>2587.8576899999994</v>
      </c>
      <c r="AC157" s="3">
        <f>3149.5+(1044.6-883.2)+(-3.21249+(-1.065492--0.900864))+0-783.5--0.799170000000125</f>
        <v>2524.822052</v>
      </c>
      <c r="AD157" s="2">
        <v>2846.9999999999995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3232.6+(871.3-1072.8)+(0+(0-0))+0-543-0</f>
        <v>2488.1</v>
      </c>
      <c r="G158" s="3">
        <f>3158.5+(993.1-1049.5)+(-4.832505+(-1.519443--1.605735))+0-606.1--0.927333000000035</f>
        <v>2492.1811200000002</v>
      </c>
      <c r="H158" s="3">
        <f>2961.9+(1074.8-1112.7)+(-4.531707+(-1.644444--1.702431))+0-568.2--0.869346000000033</f>
        <v>2352.1956260000002</v>
      </c>
      <c r="I158" s="3">
        <f>2889.8+(1120.1-1059.3)+(-5.895192+(-2.285004--2.160972))+0-590.6--1.20482399999997</f>
        <v>2355.1856000000002</v>
      </c>
      <c r="J158" s="3">
        <f>2894.1+(974.6-1088.1)+(-7.379955+(-2.48523--2.774655))+0-595.5--1.51852499999991</f>
        <v>2179.5279949999999</v>
      </c>
      <c r="K158" s="3">
        <f>2862.5+(934.5-1225.2)+(-1.459875+(-0.476595--0.624852))+0-568.1--0.289730999999942</f>
        <v>2002.6781129999999</v>
      </c>
      <c r="L158" s="3">
        <f>2577.2+(1161.1-1191.6)+(0+(0-0))+0-550.6-0</f>
        <v>1996.1</v>
      </c>
      <c r="M158" s="3">
        <f>2445.1+(1255.3-1073.8)+(-3.741003+(-1.920609--1.642914))+0-644.5--0.986085000000037</f>
        <v>1979.0673870000001</v>
      </c>
      <c r="N158" s="3">
        <f>2473.4+(1237.3-996.6)+(0+(0-0))+0-653.3-0</f>
        <v>2060.8000000000002</v>
      </c>
      <c r="O158" s="3">
        <f>2570.1+(1037-815.2)+(1.310751+(0.52887-0.415752))+0-624-0.318239999999937</f>
        <v>2169.0056289999998</v>
      </c>
      <c r="P158" s="3">
        <f>2689.4+(917.1-766.6)+(-2.743188+(-0.935442--0.781932))+0-570.4--0.581808000000091</f>
        <v>2267.1851099999999</v>
      </c>
      <c r="Q158" s="3">
        <f>2780.3+(1025.8-843.6)+(-1.417953+(-0.523158--0.430236))+0-632.2--0.322421999999936</f>
        <v>2329.111547</v>
      </c>
      <c r="R158" s="3">
        <f>2759.2+(1174.6-986.6)+(-1.407192+(-0.599046--0.503166))+0-605.1--0.308600999999939</f>
        <v>2340.9055289999997</v>
      </c>
      <c r="S158" s="3">
        <f>2743.2+(1021.9-915.8)+(-2.798064+(-1.042338--0.934116))+0-534.6--0.545292000000085</f>
        <v>2312.3390060000002</v>
      </c>
      <c r="T158" s="3">
        <f>2731.5+(926.8-817.3)+(-2.78613+(-0.945336--0.833646))+0-569.7--0.581094000000091</f>
        <v>2268.9832740000002</v>
      </c>
      <c r="U158" s="3">
        <f>2714.5+(1044.2-761.4)+(6.921975+(2.66271-1.94157))+0-711-1.8130499999999</f>
        <v>2292.1300650000003</v>
      </c>
      <c r="V158" s="3">
        <f>2715.6+(1014.5-865.9)+(1.384956+(0.517395-0.441609))+0-582.1-0.296870999999941</f>
        <v>2283.2638710000001</v>
      </c>
      <c r="W158" s="3">
        <f>2731.9+(1041.3-845)+(-2.786538+(-1.062126--0.8619))+0-656.2--0.669324000000105</f>
        <v>2269.6825599999997</v>
      </c>
      <c r="X158" s="3">
        <f>2737.2+(1006.6-916.9)+(1.395972+(0.513366-0.467619))+0-535.2-0.272951999999946</f>
        <v>2292.8687669999995</v>
      </c>
      <c r="Y158" s="3">
        <f>2758.3+(816.2-723.9)+(1.406733+(0.416262-0.369189))+0-557.7-0.284426999999943</f>
        <v>2294.069379</v>
      </c>
      <c r="Z158" s="3">
        <f>2984.3+(781.7-715.3)+(0+(0-0))+0-554.3-0</f>
        <v>2496.4000000000005</v>
      </c>
      <c r="AA158" s="3">
        <f>3022.4+(766.2-742.3)+(-9.248544+(-2.344572--2.271438))+0-550.6--1.68483600000006</f>
        <v>2488.0631580000004</v>
      </c>
      <c r="AB158" s="3">
        <f>3017.7+(949.6-845.4)+(-6.156108+(-1.937184--1.724616))+0-659--1.34435999999997</f>
        <v>2457.8756839999996</v>
      </c>
      <c r="AC158" s="3">
        <f>3028.9+(1082.8-962.7)+(-1.544739+(-0.552228--0.490977))+0-718.5--0.366434999999927</f>
        <v>2429.2604449999999</v>
      </c>
      <c r="AD158" s="2">
        <v>2459.1999999999998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3003.9+(1100-1044.6)+(3.063978+(1.122-1.065492))+0-719.4-0.733788000000115</f>
        <v>2342.2866979999999</v>
      </c>
      <c r="G159" s="3">
        <f>2961.2+(1126.1-1120.9)+(-4.530636+(-1.722933--1.714977))+0-737.7--1.12868100000004</f>
        <v>2225.2900890000001</v>
      </c>
      <c r="H159" s="3">
        <f>2858.1+(1050.7-1048.2)+(0+(0-0))+0-716.9-0</f>
        <v>2143.6999999999998</v>
      </c>
      <c r="I159" s="3">
        <f>2866.3+(991.5-1061.7)+(-5.847252+(-2.02266--2.165868))+0-717.6--1.46390399999997</f>
        <v>2074.2598600000006</v>
      </c>
      <c r="J159" s="3">
        <f>2882+(940.7-1103.1)+(-5.87928+(-1.919028--2.250324))+0-645.3--1.31641199999997</f>
        <v>2070.0684280000005</v>
      </c>
      <c r="K159" s="3">
        <f>2707.1+(1074.2-1051.5)+(1.380621+(0.547842-0.536265))+0-622.2-0.317321999999937</f>
        <v>2108.674876</v>
      </c>
      <c r="L159" s="3">
        <f>2538.1+(1067.9-934.2)+(-2.588862+(-1.089258--0.952884))+0-653.6--0.666672000000104</f>
        <v>2016.1414360000001</v>
      </c>
      <c r="M159" s="3">
        <f>2496.8+(983.5-782.1)+(5.093472+(2.00634-1.595484))+0-508.1-1.03652399999998</f>
        <v>2194.5678040000003</v>
      </c>
      <c r="N159" s="3">
        <f>2706.7+(1069.2-725.1)+(1.380417+(0.545292-0.369801))+0-619.4-0.315893999999937</f>
        <v>2432.6400139999996</v>
      </c>
      <c r="O159" s="3">
        <f>2990.3+(930.7-770.5)+(3.050106+(0.949314-0.78591))+0-499-0.50898000000008</f>
        <v>2654.20453</v>
      </c>
      <c r="P159" s="3">
        <f>3001.3+(895.8-594)+(1.530663+(0.456858-0.30294))+0-494.1-0.25199099999995</f>
        <v>2810.4325900000003</v>
      </c>
      <c r="Q159" s="3">
        <f>3082.2+(800.5-337.2)+(4.715766+(1.224765-0.515916))+0-617.7-0.945081000000036</f>
        <v>2932.2795340000002</v>
      </c>
      <c r="R159" s="3">
        <f>3173.2+(589.9-306)+(-4.854996+(-0.902547--0.46818))+0-526.2--0.805086000000031</f>
        <v>2926.4157229999996</v>
      </c>
      <c r="S159" s="3">
        <f>3177.5+(620.2-453.2)+(-3.24105+(-0.632604--0.462264))+0-623.5--0.635970000000099</f>
        <v>2718.2245800000001</v>
      </c>
      <c r="T159" s="3">
        <f>3155.2+(576.1-395)+(1.609152+(0.293811-0.20145))+0-530.3-0.270452999999946</f>
        <v>2807.4310599999999</v>
      </c>
      <c r="U159" s="3">
        <f>3141.4+(662.9-351.4)+(1.602114+(0.338079-0.179214))+0-604.1-0.308090999999939</f>
        <v>2850.2528880000004</v>
      </c>
      <c r="V159" s="3">
        <f>3136.6+(622.2-362.1)+(-6.398664+(-1.269288--0.738684))+0-606--1.23623999999997</f>
        <v>2785.0069720000001</v>
      </c>
      <c r="W159" s="3">
        <f>3148.9+(804.4-540.5)+(-4.817817+(-1.230732--0.826965))+0-613.4--0.938502000000035</f>
        <v>2795.1169180000002</v>
      </c>
      <c r="X159" s="3">
        <f>3023+(1029.2-689.7)+(-4.62519+(-1.574676--1.055241))+0-646--0.988380000000037</f>
        <v>2712.3437550000003</v>
      </c>
      <c r="Y159" s="3">
        <f>2958.3+(830.3-556.2)+(-1.508733+(-0.423453--0.283662))+0-523.1--0.266780999999947</f>
        <v>2707.9182569999998</v>
      </c>
      <c r="Z159" s="3">
        <f>3051.9+(667.9-285)+(0+(0-0))+0-566.6-0</f>
        <v>2868.2000000000003</v>
      </c>
      <c r="AA159" s="3">
        <f>3066+(624.7-399.3)+(-7.8183+(-1.592985--1.018215))+0-514.2--1.31120999999993</f>
        <v>2770.1181399999996</v>
      </c>
      <c r="AB159" s="3">
        <f>2985.3+(777.2-594.9)+(-7.612515+(-1.98186--1.516995))+0-464.3--1.18396499999993</f>
        <v>2696.4065849999997</v>
      </c>
      <c r="AC159" s="3">
        <f>2942.5+(902.5-680.4)+(-7.503375+(-2.301375--1.73502))+0-386.7--0.986084999999944</f>
        <v>2770.8163549999999</v>
      </c>
      <c r="AD159" s="2">
        <v>2788.9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2784.1+(1059.5-961.1)+(-1.419891+(-0.540345--0.490161))+0-396.8--0.20236799999996</f>
        <v>2484.4322929999994</v>
      </c>
      <c r="G160" s="3">
        <f>2782.5+(1200-967.1)+(5.6763+(2.448-1.972884))+0-418.9-0.854555999999982</f>
        <v>2601.7968600000004</v>
      </c>
      <c r="H160" s="3">
        <f>2693.5+(1145.6-993.2)+(-4.121055+(-1.752768--1.519596))+0-374.5--0.572985000000022</f>
        <v>2467.6187580000001</v>
      </c>
      <c r="I160" s="3">
        <f>2608.4+(1248-947.2)+(2.660568+(1.27296-0.966144))+0-395.4-0.403308000000063</f>
        <v>2516.3640759999998</v>
      </c>
      <c r="J160" s="3">
        <f>2472.5+(1080.8-921.3)+(-5.0439+(-2.204832--1.879452))+0-409.6--0.835583999999982</f>
        <v>2217.8663040000001</v>
      </c>
      <c r="K160" s="3">
        <f>2429.9+(948.1-901.1)+(-1.239249+(-0.483531--0.459561))+0-406.2--0.207161999999959</f>
        <v>2069.6439430000005</v>
      </c>
      <c r="L160" s="3">
        <f>2390.7+(1161.1-869.4)+(-6.096285+(-2.960805--2.21697))+0-441.4--1.12556999999994</f>
        <v>2235.2854499999999</v>
      </c>
      <c r="M160" s="3">
        <f>2301.6+(1153.6-667)+(0+(0-0))+0-425.7-0</f>
        <v>2362.5</v>
      </c>
      <c r="N160" s="3">
        <f>2788.9+(1038.2-699.3)+(1.422339+(0.529482-0.356643))+0-517.5-0.263924999999948</f>
        <v>2611.6312530000005</v>
      </c>
      <c r="O160" s="3">
        <f>2986+(795.4-626.5)+(1.52286+(0.405654-0.319515))+0-431.7-0.220166999999956</f>
        <v>2724.5888320000004</v>
      </c>
      <c r="P160" s="3">
        <f>2992.4+(1007-601.9)+(-1.526124+(-0.51357--0.306969))+0-514.5--0.262394999999948</f>
        <v>2881.5296699999999</v>
      </c>
      <c r="Q160" s="3">
        <f>2975.8+(881.3-592.5)+(3.035316+(0.898926-0.60435))+0-349.1-0.356082000000056</f>
        <v>2918.4738100000004</v>
      </c>
      <c r="R160" s="3">
        <f>2959.6+(670.5-325.7)+(-1.509396+(-0.341955--0.166107))+0-369.6--0.188495999999963</f>
        <v>2933.3032520000002</v>
      </c>
      <c r="S160" s="3">
        <f>2936.5+(644.2-468.2)+(-2.99523+(-0.657084--0.477564))+0-411--0.419220000000066</f>
        <v>2698.7444700000001</v>
      </c>
      <c r="T160" s="3">
        <f>2918.7+(572.9-366.5)+(0+(0-0))+0-349.1-0</f>
        <v>2776</v>
      </c>
      <c r="U160" s="3">
        <f>2910.7+(613.7-319.7)+(1.484457+(0.312987-0.163047))+0-391.4-0.19961399999996</f>
        <v>2814.7347829999994</v>
      </c>
      <c r="V160" s="3">
        <f>2918.5+(787.8-361.3)+(-1.488435+(-0.401778--0.184263))+0-540.8--0.275807999999945</f>
        <v>2802.7698580000001</v>
      </c>
      <c r="W160" s="3">
        <f>2925.8+(1066.3-743.9)+(-2.984316+(-1.087626--0.758778))+0-458.2--0.467364000000073</f>
        <v>2787.1542000000004</v>
      </c>
      <c r="X160" s="3">
        <f>2732.4+(1201.4-638.7)+(2.787048+(1.225428-0.651474))+0-540-0.550800000000086</f>
        <v>2757.9102020000005</v>
      </c>
      <c r="Y160" s="3">
        <f>2734.6+(1127.6-488.9)+(1.394646+(0.575076-0.249339))+0-643.9-0.328388999999935</f>
        <v>2730.7919939999997</v>
      </c>
      <c r="Z160" s="3">
        <f>3005.9+(970-553.7)+(-3.066018+(-0.9894--0.564774))+0-633.5--0.646170000000101</f>
        <v>2785.8555259999998</v>
      </c>
      <c r="AA160" s="3">
        <f>2914.9+(916.4-498)+(-4.459797+(-1.402092--0.76194))+0-629--0.962370000000036</f>
        <v>2700.1624210000004</v>
      </c>
      <c r="AB160" s="3">
        <f>2811.6+(907.1-493.4)+(-4.301748+(-1.387863--0.754902))+0-600.5--0.918765000000035</f>
        <v>2620.784056</v>
      </c>
      <c r="AC160" s="3">
        <f>2806.8+(876.6-554)+(-7.15734+(-2.23533--1.4127))+0-586.1--1.49455499999992</f>
        <v>2536.8145850000001</v>
      </c>
      <c r="AD160" s="2">
        <v>2744.7999999999997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2721.5+(1165.7-771.8)+(0+(0-0))+0-582.1-0</f>
        <v>2533.3000000000002</v>
      </c>
      <c r="G161" s="3">
        <f>2694.3+(1140.5-849.9)+(-1.374093+(-0.581655--0.433449))+0-610.3--0.311252999999938</f>
        <v>2373.388954</v>
      </c>
      <c r="H161" s="3">
        <f>2620.6+(1174.4-950.3)+(0+(0-0))+0-622.3-0</f>
        <v>2222.3999999999996</v>
      </c>
      <c r="I161" s="3">
        <f>2641.5+(1168.8-944.1)+(-5.38866+(-2.384352--1.925964))+0-685.5--1.39841999999997</f>
        <v>2176.2513719999997</v>
      </c>
      <c r="J161" s="3">
        <f>2574+(945.9-925.7)+(0+(0-0))+0-448.1-0</f>
        <v>2146.1</v>
      </c>
      <c r="K161" s="3">
        <f>2528.9+(1029.5-854.5)+(-6.448695+(-2.625225--2.178975))+0-552.8--1.40963999999992</f>
        <v>2145.6146950000002</v>
      </c>
      <c r="L161" s="3">
        <f>2224.3+(1177.4-697.2)+(-5.671965+(-3.00237--1.77786))+0-425.7--1.08553499999994</f>
        <v>2272.9890600000003</v>
      </c>
      <c r="M161" s="3">
        <f>2178.6+(1049.5-589.3)+(1.111086+(0.535245-0.300543))+0-321.9-0.164168999999967</f>
        <v>2318.081619</v>
      </c>
      <c r="N161" s="3">
        <f>2389.5+(1179.9-459.9)+(0+(0-0))+0-475.9-0</f>
        <v>2633.6</v>
      </c>
      <c r="O161" s="3">
        <f>2638+(1031-467.3)+(2.69076+(1.05162-0.476646))+0-382.2-0.389844000000061</f>
        <v>2822.3758899999998</v>
      </c>
      <c r="P161" s="3">
        <f>2877.8+(951.5-508.4)+(0+(0-0))+0-381.3-0</f>
        <v>2939.6</v>
      </c>
      <c r="Q161" s="3">
        <f>2965.1+(930.1-447.9)+(1.512201+(0.474351-0.228429))+0-387-0.197369999999961</f>
        <v>3061.8607530000004</v>
      </c>
      <c r="R161" s="3">
        <f>2993.3+(615.8-146.5)+(-3.053166+(-0.628116--0.14943))+0-495--0.504900000000079</f>
        <v>2964.5730480000002</v>
      </c>
      <c r="S161" s="3">
        <f>3004.3+(512.6-315.9)+(-1.532193+(-0.261426--0.161109))+0-535.7--0.273206999999946</f>
        <v>2663.9406969999995</v>
      </c>
      <c r="T161" s="3">
        <f>3037.9+(328.7-220.9)+(-3.098658+(-0.335274--0.225318))+0-413.7--0.421974000000066</f>
        <v>2729.2133600000002</v>
      </c>
      <c r="U161" s="3">
        <f>3076.5+(394.9-181.2)+(4.707045+(0.604197-0.277236))+0-551-0.843030000000032</f>
        <v>2743.3909759999997</v>
      </c>
      <c r="V161" s="3">
        <f>3047.7+(437.3-182.7)+(0+(0-0))+0-574.5-0</f>
        <v>2727.7999999999997</v>
      </c>
      <c r="W161" s="3">
        <f>2976.4+(713.9-426.5)+(-4.553892+(-1.092267--0.652545))+0-578.1--0.884493000000033</f>
        <v>2681.5908790000003</v>
      </c>
      <c r="X161" s="3">
        <f>2894.9+(974.1-757.2)+(-10.334793+(-3.477537--2.703204))+0-573--2.04561000000001</f>
        <v>2529.7364840000005</v>
      </c>
      <c r="Y161" s="3">
        <f>2876.6+(858.8-488.5)+(0+(0-0))+0-571.2-0</f>
        <v>2675.7</v>
      </c>
      <c r="Z161" s="3">
        <f>3171+(761.7-444.4)+(1.61721+(0.388467-0.226644))+0-539.8-0.275297999999945</f>
        <v>2950.0037349999998</v>
      </c>
      <c r="AA161" s="3">
        <f>3196.5+(676-495.6)+(-6.52086+(-1.37904--1.011024))+0-494.8--1.00939199999998</f>
        <v>2876.2205159999999</v>
      </c>
      <c r="AB161" s="3">
        <f>3197.3+(847.5-838.6)+(0+(0-0))+0-531.3-0</f>
        <v>2674.9000000000005</v>
      </c>
      <c r="AC161" s="3">
        <f>3190.5+(803.5-803.1)+(-1.627155+(-0.409785--0.409581))+0-616.8--0.314567999999937</f>
        <v>2572.7872090000001</v>
      </c>
      <c r="AD161" s="2">
        <v>2790.6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3048.3+(997.2-972)+(-3.109266+(-1.017144--0.99144))+0-620.3--0.632706000000099</f>
        <v>2450.6977360000001</v>
      </c>
      <c r="G162" s="3">
        <f>3053.1+(992.8-1088.2)+(-1.557081+(-0.506328--0.554982))+0-637--0.324869999999935</f>
        <v>2319.5164429999995</v>
      </c>
      <c r="H162" s="3">
        <f>3066.1+(856.8-1057.6)+(-4.691133+(-1.310904--1.618128))+0-626.3--0.958239000000036</f>
        <v>2235.5743299999999</v>
      </c>
      <c r="I162" s="3">
        <f>3075.5+(834.5-1102.2)+(-1.568505+(-0.425595--0.562122))+0-614--0.313139999999938</f>
        <v>2192.6811619999999</v>
      </c>
      <c r="J162" s="3">
        <f>3026.1+(943.8-1135.6)+(4.629933+(1.444014-1.737468))+0-672.2-1.02846600000004</f>
        <v>2165.4080129999998</v>
      </c>
      <c r="K162" s="3">
        <f>2972.4+(879.6-1114.1)+(4.547772+(1.345788-1.704573))+0-593.4-0.907902000000034</f>
        <v>2147.7810850000001</v>
      </c>
      <c r="L162" s="3">
        <f>2837.4+(979.8-1024.4)+(2.894148+(0.999396-1.044888))+0-658.7-0.671874000000105</f>
        <v>2136.2767820000004</v>
      </c>
      <c r="M162" s="3">
        <f>2659.9+(803-612.9)+(0+(0-0))+0-600.7-0</f>
        <v>2249.3000000000002</v>
      </c>
      <c r="N162" s="3">
        <f>3153.8+(717-804)+(-4.825314+(-1.09701--1.23012))+0-574.2--0.878526000000033</f>
        <v>2488.7863220000004</v>
      </c>
      <c r="O162" s="3">
        <f>3209+(802.3-762.3)+(1.63659+(0.409173-0.388773))+0-546.1-0.278510999999945</f>
        <v>2704.2784790000001</v>
      </c>
      <c r="P162" s="3">
        <f>3163.5+(847.5-622.9)+(8.066925+(2.161125-1.588395))+0-576-1.46879999999992</f>
        <v>2819.2708549999998</v>
      </c>
      <c r="Q162" s="3">
        <f>3140.7+(606.6-328.1)+(1.601757+(0.309366-0.167331))+0-545.9-0.278408999999945</f>
        <v>2874.7653829999999</v>
      </c>
      <c r="R162" s="3">
        <f>3110.2+(531.6-114.6)+(-1.586202+(-0.271116--0.058446))+0-663--0.338129999999933</f>
        <v>2862.7392580000001</v>
      </c>
      <c r="S162" s="3">
        <f>3098.4+(376.6-316.1)+(0+(0-0))+0-516.6-0</f>
        <v>2642.3</v>
      </c>
      <c r="T162" s="3">
        <f>3082+(470.2-201.6)+(-1.57182+(-0.239802--0.102816))+0-633.5--0.323084999999936</f>
        <v>2715.7142789999998</v>
      </c>
      <c r="U162" s="3">
        <f>3085+(567.2-242)+(-1.57335+(-0.289272--0.12342))+0-636.9--0.324818999999935</f>
        <v>2771.8856169999995</v>
      </c>
      <c r="V162" s="3">
        <f>3082.7+(445.4-195.3)+(-3.144354+(-0.454308--0.199206))+0-573.2--0.584664000000091</f>
        <v>2756.7852079999993</v>
      </c>
      <c r="W162" s="3">
        <f>3096.9+(670.7-287)+(-1.579419+(-0.342057--0.14637))+0-723.1--0.368780999999927</f>
        <v>2756.0936750000005</v>
      </c>
      <c r="X162" s="3">
        <f>3025.2+(976.1-683.3)+(-4.628556+(-1.493433--1.045449))+0-630.4--0.964512000000036</f>
        <v>2683.4879719999999</v>
      </c>
      <c r="Y162" s="3">
        <f>2996.9+(960.4-610.8)+(0+(0-0))+0-634.8-0</f>
        <v>2711.7</v>
      </c>
      <c r="Z162" s="3">
        <f>3162.1+(568.6-485.9)+(-3.225342+(-0.579972--0.495618))+0-420.3--0.428706000000067</f>
        <v>2821.6190100000003</v>
      </c>
      <c r="AA162" s="3">
        <f>3180+(635.8-387.2)+(-1.6218+(-0.324258--0.197472))+0-668.9--0.341138999999932</f>
        <v>2758.2925529999998</v>
      </c>
      <c r="AB162" s="3">
        <f>3162.6+(814.5-611.8)+(-1.612926+(-0.415395--0.312018))+0-689.1--0.35144099999993</f>
        <v>2674.8351379999999</v>
      </c>
      <c r="AC162" s="3">
        <f>3172.3+(991.8-1049.4)+(-4.853619+(-1.517454--1.605582))+0-541.1--0.827883000000031</f>
        <v>2569.6623919999997</v>
      </c>
      <c r="AD162" s="2">
        <v>2813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3165.4+(902.8-1184.9)+(-3.228708+(-0.920856--1.208598))+0-466.4--0.475728000000074</f>
        <v>2414.4347619999999</v>
      </c>
      <c r="G163" s="3">
        <f>3059.6+(915-1192.5)+(-6.241584+(-1.8666--2.4327))+0-480.4--0.980015999999979</f>
        <v>2297.0045319999999</v>
      </c>
      <c r="H163" s="3">
        <f>2934.3+(1040.5-1060)+(-4.489479+(-1.591965--1.6218))+0-697.3--1.06686900000004</f>
        <v>2214.1072250000007</v>
      </c>
      <c r="I163" s="3">
        <f>2949.2+(1041.5-1185.2)+(-7.52046+(-2.655825--3.02226))+0-622.2--1.58660999999991</f>
        <v>2177.7325850000002</v>
      </c>
      <c r="J163" s="3">
        <f>2978.1+(961.6-1089.3)+(6.075324+(1.961664-2.222172))+0-695.6-1.41902399999997</f>
        <v>2159.1957920000004</v>
      </c>
      <c r="K163" s="3">
        <f>2985.6+(1049.9-1035.4)+(3.045312+(1.070898-1.056108))+0-832.2-0.848844000000133</f>
        <v>2170.1112579999999</v>
      </c>
      <c r="L163" s="3">
        <f>2904.1+(911.9-1023.2)+(-4.443273+(-1.395207--1.565496))+0-650.4--0.995112000000038</f>
        <v>2139.1221279999995</v>
      </c>
      <c r="M163" s="3">
        <f>2907.7+(800.8-851.6)+(1.482927+(0.408408-0.434316))+0-599.2-0.305591999999939</f>
        <v>2258.8514269999991</v>
      </c>
      <c r="N163" s="3">
        <f>2958.3+(971.6-857.4)+(0+(0-0))+0-570.7-0</f>
        <v>2501.8000000000002</v>
      </c>
      <c r="O163" s="3">
        <f>3072.7+(1028.1-792.5)+(1.567077+(0.524331-0.404175))+0-632.2-0.322421999999936</f>
        <v>2677.4648110000003</v>
      </c>
      <c r="P163" s="3">
        <f>3167.2+(969.1-692.1)+(1.615272+(0.494241-0.352971))+0-640.4-0.326603999999935</f>
        <v>2805.2299379999999</v>
      </c>
      <c r="Q163" s="3">
        <f>3120.1+(817.7-418.5)+(4.773753+(1.251081-0.640305))+0-628.6-0.961758000000036</f>
        <v>2895.1227710000003</v>
      </c>
      <c r="R163" s="3">
        <f>3100.7+(580-216.3)+(3.162714+(0.5916-0.220626))+0-586.3-0.598026000000093</f>
        <v>2881.0356619999998</v>
      </c>
      <c r="S163" s="3">
        <f>3094.4+(464.2-222.1)+(1.578144+(0.236742-0.113271))+0-684.1-0.348890999999931</f>
        <v>2653.7527239999999</v>
      </c>
      <c r="T163" s="3">
        <f>3074.4+(448.2-157.5)+(0+(0-0))+0-655.3-0</f>
        <v>2709.8</v>
      </c>
      <c r="U163" s="3">
        <f>3065.5+(455.5-170)+(-1.563405+(-0.232305--0.0867))+0-631.7--0.322166999999936</f>
        <v>2717.9131569999995</v>
      </c>
      <c r="V163" s="3">
        <f>3064.6+(450.2-187.6)+(-7.81473+(-1.14801--0.47838))+0-578.2--1.47440999999992</f>
        <v>2741.9900499999994</v>
      </c>
      <c r="W163" s="3">
        <f>3076.1+(589.1-302.1)+(-9.412866+(-1.802646--0.924426))+0-615.7--1.88404200000007</f>
        <v>2738.9929559999996</v>
      </c>
      <c r="X163" s="3">
        <f>3035.8+(930.1-633.6)+(-4.644774+(-1.423053--0.969408))+0-633.6--0.969408000000037</f>
        <v>2694.5709890000003</v>
      </c>
      <c r="Y163" s="3">
        <f>2951.8+(840.5-492.1)+(1.505418+(0.428655-0.250971))+0-555.1-0.283100999999944</f>
        <v>2746.5000010000003</v>
      </c>
      <c r="Z163" s="3">
        <f>3143.5+(549.9-209.7)+(-3.20637+(-0.560898--0.213894))+0-615--0.627300000000098</f>
        <v>2865.7739259999998</v>
      </c>
      <c r="AA163" s="3">
        <f>3149.5+(693.7-234.4)+(-6.42498+(-1.415148--0.478176))+0-817.6--1.66790399999996</f>
        <v>2785.505952</v>
      </c>
      <c r="AB163" s="3">
        <f>3156.6+(797.2-599.5)+(-4.829598+(-1.219716--0.917235))+0-647.9--0.991287000000037</f>
        <v>2702.2592079999999</v>
      </c>
      <c r="AC163" s="3">
        <f>3144.3+(986.6-745.1)+(4.810779+(1.509498-1.140003))+0-793.3-1.21374900000005</f>
        <v>2596.4665250000003</v>
      </c>
      <c r="AD163" s="2">
        <v>2820.7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2926.4+(1099.7-927.3)+(-2.984928+(-1.121694--0.945846))+0-652.8--0.665856000000104</f>
        <v>2443.5050800000004</v>
      </c>
      <c r="G164" s="3">
        <f>2733.1+(1085.7-702.9)+(1.393881+(0.553707-0.358479))+0-782.2-0.398921999999921</f>
        <v>2334.8901870000004</v>
      </c>
      <c r="H164" s="3">
        <f>2689.2+(1077.2-745.6)+(2.742984+(1.098744-0.760512))+0-794.1-0.809982000000127</f>
        <v>2228.9712339999996</v>
      </c>
      <c r="I164" s="3">
        <f>2705.3+(980.3-873.5)+(-2.759406+(-0.999906--0.89097))+0-629.3--0.6418860000001</f>
        <v>2180.5735440000003</v>
      </c>
      <c r="J164" s="3">
        <f>2715.9+(1016-903.1)+(8.310654+(3.10896-2.763486))+0-654-2.00124000000008</f>
        <v>2181.4548880000002</v>
      </c>
      <c r="K164" s="3">
        <f>2715.9+(1031.9-846.3)+(5.540436+(2.105076-1.726452))+0-737.1-1.50368399999997</f>
        <v>2168.8153760000005</v>
      </c>
      <c r="L164" s="3">
        <f>2589.6+(1028.2-759.2)+(2.641392+(1.048764-0.774384))+0-714.7-0.728994000000114</f>
        <v>2146.0867779999999</v>
      </c>
      <c r="M164" s="3">
        <f>2486.9+(997.1-603.4)+(7.609914+(3.051126-1.846404))+0-671.6-2.05509600000008</f>
        <v>2215.7595400000005</v>
      </c>
      <c r="N164" s="3">
        <f>2591.8+(994.4-404.2)+(3.965454+(1.521432-0.618426))+0-734.9-1.12439700000004</f>
        <v>2450.844063</v>
      </c>
      <c r="O164" s="3">
        <f>2614.2+(1150.7-424.3)+(0+(0-0))+0-701.5-0</f>
        <v>2639.1</v>
      </c>
      <c r="P164" s="3">
        <f>2752.5+(1152.2-462)+(1.403775+(0.587622-0.23562))+0-682.7-0.348176999999931</f>
        <v>2761.4075999999995</v>
      </c>
      <c r="Q164" s="3">
        <f>2864.2+(818.9-172)+(1.460742+(0.417639-0.08772))+0-674.5-0.343994999999932</f>
        <v>2838.0466660000002</v>
      </c>
      <c r="R164" s="3">
        <f>2849.1+(703.2-60.8)+(-4.359123+(-1.075896--0.093024))+0-687.6--1.05202800000004</f>
        <v>2799.6100329999999</v>
      </c>
      <c r="S164" s="3">
        <f>2835.2+(751.2-180)+(-4.337856+(-1.149336--0.2754))+0-808.9--1.23761700000005</f>
        <v>2593.5258249999997</v>
      </c>
      <c r="T164" s="3">
        <f>2819.8+(700.2-235.3)+(-1.438098+(-0.357102--0.120003))+0-673--0.343229999999932</f>
        <v>2610.3680330000002</v>
      </c>
      <c r="U164" s="3">
        <f>2810.2+(769-275.5)+(0+(0-0))+0-677.6-0</f>
        <v>2626.1</v>
      </c>
      <c r="V164" s="3">
        <f>2822.9+(784.7-396.5)+(-1.439679+(-0.400197--0.202215))+0-634.5--0.323594999999936</f>
        <v>2575.285934</v>
      </c>
      <c r="W164" s="3">
        <f>2812.2+(1113-693.2)+(0+(0-0))+0-708.7-0</f>
        <v>2523.3000000000002</v>
      </c>
      <c r="X164" s="3">
        <f>2734.7+(1176.2-751.4)+(-4.184091+(-1.799586--1.149642))+0-595.3--0.910809000000034</f>
        <v>2560.2767739999999</v>
      </c>
      <c r="Y164" s="3">
        <f>2782.9+(1033.4-526.5)+(0+(0-0))+0-572.9-0</f>
        <v>2716.9</v>
      </c>
      <c r="Z164" s="3">
        <f>2948.2+(817.3-432.6)+(0+(0-0))+0-547.1-0</f>
        <v>2785.7999999999997</v>
      </c>
      <c r="AA164" s="3">
        <f>2924.2+(821.3-330)+(-4.474026+(-1.256589--0.5049))+0-622.9--0.953037000000036</f>
        <v>2788.3273220000001</v>
      </c>
      <c r="AB164" s="3">
        <f>2776+(825.4-337.7)+(-7.0788+(-2.10477--0.861135))+0-609--1.55294999999991</f>
        <v>2647.9305149999996</v>
      </c>
      <c r="AC164" s="3">
        <f>2745.7+(890.8-426.2)+(-2.800614+(-0.908616--0.434724))+0-601.6--0.613632000000096</f>
        <v>2606.0391259999997</v>
      </c>
      <c r="AD164" s="2">
        <v>2837.4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2731.6+(881.2-542.7)+(-4.179348+(-1.348236--0.830331))+0-684.2--1.04682600000004</f>
        <v>2382.2495730000005</v>
      </c>
      <c r="G165" s="3">
        <f>2743+(862.4-515.8)+(-4.19679+(-1.319472--0.789174))+0-721.7--1.10420100000004</f>
        <v>2364.2771130000001</v>
      </c>
      <c r="H165" s="3">
        <f>2760.6+(872.4-778.5)+(-2.815812+(-0.889848--0.79407))+0-669.1--0.682482000000107</f>
        <v>2183.1708920000001</v>
      </c>
      <c r="I165" s="3">
        <f>2767.6+(1013.1-876)+(1.411476+(0.516681-0.44676))+0-793.7-0.40478699999992</f>
        <v>2112.0766099999996</v>
      </c>
      <c r="J165" s="3">
        <f>2784+(1003.5-908.5)+(-5.67936+(-2.04714--1.85334))+0-785.6--1.60262399999997</f>
        <v>2089.1294640000001</v>
      </c>
      <c r="K165" s="3">
        <f>2750.8+(985.8-863.7)+(-4.208724+(-1.508274--1.321461))+0-806.9--1.23455700000005</f>
        <v>2062.8390200000003</v>
      </c>
      <c r="L165" s="3">
        <f>2436.7+(988.9-785.6)+(-6.213585+(-2.521695--2.00328))+0-671.8--1.7130899999999</f>
        <v>1963.18109</v>
      </c>
      <c r="M165" s="3">
        <f>2219.6+(892.5-732)+(1.131996+(0.455175-0.37332))+0-495.4-0.25265399999995</f>
        <v>1885.6611969999999</v>
      </c>
      <c r="N165" s="3">
        <f>2215.4+(987.1-654.8)+(1.129854+(0.503421-0.333948))+0-569.1-0.290240999999942</f>
        <v>1979.6090860000006</v>
      </c>
      <c r="O165" s="3">
        <f>2401.3+(1011.3-662.2)+(-2.449326+(-1.031526--0.675444))+0-665.8--0.679116000000106</f>
        <v>2082.4737080000004</v>
      </c>
      <c r="P165" s="3">
        <f>2498.4+(826.9-608.8)+(0+(0-0))+0-533.1-0</f>
        <v>2183.4</v>
      </c>
      <c r="Q165" s="3">
        <f>2502.8+(837.3-582.5)+(0+(0-0))+0-502.1-0</f>
        <v>2255.5000000000005</v>
      </c>
      <c r="R165" s="3">
        <f>2562.3+(881.2-488.3)+(-1.306773+(-0.449412--0.249033))+0-673.7--0.343586999999932</f>
        <v>2280.3364349999997</v>
      </c>
      <c r="S165" s="3">
        <f>2559+(918.4-493.5)+(-3.91527+(-1.405152--0.755055))+0-721.4--1.10374200000004</f>
        <v>2259.0383750000001</v>
      </c>
      <c r="T165" s="3">
        <f>2600.9+(822.4-506)+(-5.305836+(-1.677696--1.03224))+0-689.3--1.40617199999997</f>
        <v>2223.4548800000002</v>
      </c>
      <c r="U165" s="3">
        <f>2648.4+(807.6-537.1)+(1.350684+(0.411876-0.273921))+0-690.3-0.35205299999993</f>
        <v>2229.7365860000004</v>
      </c>
      <c r="V165" s="3">
        <f>2664.2+(767-533.9)+(-6.79371+(-1.95585--1.361445))+0-673.5--1.7174249999999</f>
        <v>2218.1293099999994</v>
      </c>
      <c r="W165" s="3">
        <f>2621.6+(718.7-548.4)+(-6.68508+(-1.832685--1.39842))+0-575.1--1.46650499999992</f>
        <v>2211.14716</v>
      </c>
      <c r="X165" s="3">
        <f>2565.2+(1013.9-693.3)+(-2.616504+(-1.034178--0.707166))+0-674.3--0.687786000000107</f>
        <v>2209.2442699999997</v>
      </c>
      <c r="Y165" s="3">
        <f>2578+(939.4-557.9)+(1.31478+(0.479094-0.284529))+0-643-0.327929999999935</f>
        <v>2317.681415</v>
      </c>
      <c r="Z165" s="3">
        <f>2602.8+(918-478)+(0+(0-0))+0-674-0</f>
        <v>2368.8000000000002</v>
      </c>
      <c r="AA165" s="3">
        <f>2615.3+(835.2-265.1)+(-5.335212+(-1.703808--0.540804))+0-723.3--1.47553199999997</f>
        <v>2457.0773160000003</v>
      </c>
      <c r="AB165" s="3">
        <f>2618.5+(769.7-213.1)+(0+(0-0))+0-760-0</f>
        <v>2415.1</v>
      </c>
      <c r="AC165" s="3">
        <f>2629.7+(931.2-407.1)+(-1.341147+(-0.474912--0.207621))+0-779.2--0.397391999999921</f>
        <v>2373.3889539999991</v>
      </c>
      <c r="AD165" s="2">
        <v>2464.3000000000002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2619.9+(1038.3-632.4)+(-2.672298+(-1.059066--0.645048))+0-737--0.751740000000118</f>
        <v>2286.4654240000004</v>
      </c>
      <c r="G166" s="3">
        <f>2630.6+(1100-731.1)+(-1.341606+(-0.561--0.372861))+0-817.5--0.416924999999917</f>
        <v>2180.8871800000002</v>
      </c>
      <c r="H166" s="3">
        <f>2633+(922.4-717)+(-2.68566+(-0.940848--0.73134))+0-735.5--0.750210000000117</f>
        <v>2100.7550420000002</v>
      </c>
      <c r="I166" s="3">
        <f>2520.5+(989.1-645.2)+(3.856365+(1.513323-0.987156))+0-807.8-1.23593400000005</f>
        <v>2059.7465979999997</v>
      </c>
      <c r="J166" s="3">
        <f>2524.3+(1101.4-825.9)+(-1.287393+(-0.561714--0.421209))+0-767.1--0.391220999999922</f>
        <v>2031.6633230000002</v>
      </c>
      <c r="K166" s="3">
        <f>2544.9+(1071.1-813.3)+(-6.489495+(-2.731305--2.073915))+0-771.9--1.96834499999989</f>
        <v>2025.6214599999996</v>
      </c>
      <c r="L166" s="3">
        <f>2515.4+(1007.2-917)+(-5.131416+(-2.054688--1.87068))+0-559.7--1.14178799999998</f>
        <v>2041.7263640000003</v>
      </c>
      <c r="M166" s="3">
        <f>2493.3+(966.6-693.6)+(1.271583+(0.492966-0.353736))+0-614.6-0.313445999999938</f>
        <v>2152.7973670000001</v>
      </c>
      <c r="N166" s="3">
        <f>2662.8+(1015.7-561.3)+(0+(0-0))+0-700.2-0</f>
        <v>2417</v>
      </c>
      <c r="O166" s="3">
        <f>2722.3+(1057.5-441.5)+(0+(0-0))+0-705.1-0</f>
        <v>2633.2000000000003</v>
      </c>
      <c r="P166" s="3">
        <f>2862+(983.1-422.4)+(2.91924+(1.002762-0.430848))+0-638.4-0.651168000000102</f>
        <v>2787.1399859999992</v>
      </c>
      <c r="Q166" s="3">
        <f>2913.7+(1061.6-362)+(0+(0-0))+0-736.3-0</f>
        <v>2877</v>
      </c>
      <c r="R166" s="3">
        <f>2761.5+(957.4-318)+(0+(0-0))+0-731.2-0</f>
        <v>2669.7</v>
      </c>
      <c r="S166" s="3">
        <f>2753+(870.7-466.7)+(-5.61612+(-1.776228--0.952068))+0-743.2--1.51612799999997</f>
        <v>2408.8758480000001</v>
      </c>
      <c r="T166" s="3">
        <f>2731.2+(814.9-461.3)+(-4.178736+(-1.246797--0.705789))+0-562.2--0.860166000000033</f>
        <v>2518.7404219999994</v>
      </c>
      <c r="U166" s="3">
        <f>2765.8+(906.7-439.9)+(1.410558+(0.462417-0.224349))+0-682-0.347819999999931</f>
        <v>2551.9008060000006</v>
      </c>
      <c r="V166" s="3">
        <f>2827.8+(958.2-484)+(1.442178+(0.488682-0.24684))+0-733.7-0.374186999999926</f>
        <v>2569.609833</v>
      </c>
      <c r="W166" s="3">
        <f>2827.3+(1046.8-697.3)+(0+(0-0))+0-664.7-0</f>
        <v>2512.1000000000004</v>
      </c>
      <c r="X166" s="3">
        <f>2790.6+(1095.9-661.4)+(2.846412+(1.117818-0.674628))+0-683.6-0.697272000000109</f>
        <v>2544.0923299999999</v>
      </c>
      <c r="Y166" s="3">
        <f>2770.8+(1086.3-482.9)+(0+(0-0))+0-750.7-0</f>
        <v>2623.5</v>
      </c>
      <c r="Z166" s="3">
        <f>2913.9+(930.8-573.1)+(-1.486089+(-0.474708--0.292281))+0-649.3--0.331142999999934</f>
        <v>2620.9626269999994</v>
      </c>
      <c r="AA166" s="3">
        <f>2938.7+(968.3-594)+(-1.498737+(-0.493833--0.30294))+0-735.9--0.375308999999925</f>
        <v>2575.7856790000001</v>
      </c>
      <c r="AB166" s="3">
        <f>2951+(1007.5-516)+(-3.01002+(-1.02765--0.52632))+0-780.7--0.796314000000125</f>
        <v>2659.0849639999997</v>
      </c>
      <c r="AC166" s="3">
        <f>2969.7+(928.6-561.1)+(-3.029094+(-0.947172--0.572322))+0-763.8--0.779076000000122</f>
        <v>2570.7751320000002</v>
      </c>
      <c r="AD166" s="2">
        <v>2872.2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2964.8+(775.2-501.6)+(-4.536144+(-1.186056--0.767448))+0-816.9--1.24985700000005</f>
        <v>2417.7951050000001</v>
      </c>
      <c r="G167" s="3">
        <f>2972.6+(919.2-822.4)+(-7.58013+(-2.34396--2.09712))+0-774.8--1.97573999999989</f>
        <v>2288.7487700000001</v>
      </c>
      <c r="H167" s="3">
        <f>2904.3+(774.3-854.2)+(-2.962386+(-0.789786--0.871284))+0-614.2--0.626484000000098</f>
        <v>2207.945596</v>
      </c>
      <c r="I167" s="3">
        <f>2712.2+(834.3-788.5)+(-5.532888+(-1.701972--1.60854))+0-604.5--1.23317999999997</f>
        <v>2149.1068600000003</v>
      </c>
      <c r="J167" s="3">
        <f>2671+(839.9-793.1)+(-1.36221+(-0.428349--0.404481))+0-603.9--0.307988999999939</f>
        <v>2112.821911</v>
      </c>
      <c r="K167" s="3">
        <f>2572.1+(943.2-622.1)+(-1.311771+(-0.481032--0.317271))+0-766.8--0.391067999999922</f>
        <v>2125.3155360000001</v>
      </c>
      <c r="L167" s="3">
        <f>2417.7+(937.5-623.8)+(-8.631189+(-3.346875--2.226966))+0-627.8--2.24124600000001</f>
        <v>2096.0901479999998</v>
      </c>
      <c r="M167" s="3">
        <f>2317.2+(941.1-462.5)+(1.181772+(0.479961-0.235875))+0-598.1-0.305030999999939</f>
        <v>2198.820827</v>
      </c>
      <c r="N167" s="3">
        <f>2424.2+(938-347.9)+(-1.236342+(-0.47838--0.177429))+0-542.8--0.276827999999945</f>
        <v>2470.2395349999997</v>
      </c>
      <c r="O167" s="3">
        <f>2529.6+(970.2-324.3)+(0+(0-0))+0-526.1-0</f>
        <v>2649.4</v>
      </c>
      <c r="P167" s="3">
        <f>2626+(869.7-264.8)+(-1.33926+(-0.443547--0.135048))+0-431--0.219809999999956</f>
        <v>2798.4720510000002</v>
      </c>
      <c r="Q167" s="3">
        <f>2788.8+(811.5-262.1)+(-1.422288+(-0.413865--0.133671))+0-453.3--0.231182999999954</f>
        <v>2883.4287009999998</v>
      </c>
      <c r="R167" s="3">
        <f>2844.1+(823.2-302.7)+(-2.900982+(-0.839664--0.308754))+0-507.2--0.517344000000081</f>
        <v>2854.4854519999999</v>
      </c>
      <c r="S167" s="3">
        <f>2899.3+(780.7-399.5)+(-1.478643+(-0.398157--0.203745))+0-629.3--0.320942999999936</f>
        <v>2649.8478879999993</v>
      </c>
      <c r="T167" s="3">
        <f>2961.1+(680-353.9)+(-7.550805+(-1.734--0.902445))+0-616.3--1.57156499999991</f>
        <v>2664.0892049999998</v>
      </c>
      <c r="U167" s="3">
        <f>2959.8+(758.1-324)+(-3.018996+(-0.773262--0.33048))+0-658.3--0.671466000000105</f>
        <v>2732.8096880000007</v>
      </c>
      <c r="V167" s="3">
        <f>2965.4+(722.5-307.1)+(-1.512354+(-0.368475--0.156621))+0-641.1--0.326960999999935</f>
        <v>2738.3027529999999</v>
      </c>
      <c r="W167" s="3">
        <f>2981.9+(766.4-473.8)+(-7.603845+(-1.95432--1.20819))+0-669.8--1.7079899999999</f>
        <v>2598.0580149999996</v>
      </c>
      <c r="X167" s="3">
        <f>2952.8+(1024.4-618.3)+(-6.023712+(-2.089776--1.261332))+0-650.8--1.32763199999997</f>
        <v>2702.5754760000004</v>
      </c>
      <c r="Y167" s="3">
        <f>2891.6+(866.7-474.2)+(1.474716+(0.442017-0.241842))+0-578-0.294779999999941</f>
        <v>2707.4801110000003</v>
      </c>
      <c r="Z167" s="3">
        <f>3041.9+(880.9-509)+(0+(0-0))+0-593.5-0</f>
        <v>2820.3</v>
      </c>
      <c r="AA167" s="3">
        <f>3086+(923.3-559.6)+(-11.01702+(-3.296181--1.997772))+0-732.6--2.61538200000001</f>
        <v>2707.3999529999996</v>
      </c>
      <c r="AB167" s="3">
        <f>2976.5+(759.6-622.1)+(-4.554045+(-1.162188--0.951813))+0-498.2--0.762246000000029</f>
        <v>2611.7978260000004</v>
      </c>
      <c r="AC167" s="3">
        <f>2987.9+(1007.5-748.6)+(-4.571487+(-1.541475--1.145358))+0-725.2--1.10955600000004</f>
        <v>2517.7419519999999</v>
      </c>
      <c r="AD167" s="2">
        <v>2805.9999999999995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2939.3+(1043.8-933.3)+(-7.495215+(-2.66169--2.379915))+0-710.3--1.8112649999999</f>
        <v>2333.5342750000004</v>
      </c>
      <c r="G168" s="3">
        <f>2811.6+(1080.5-919.8)+(-8.603496+(-3.30633--2.814588))+0-724.9--2.21819400000008</f>
        <v>2240.5229560000002</v>
      </c>
      <c r="H168" s="3">
        <f>2727.3+(1035-864.9)+(-4.172769+(-1.58355--1.323297))+0-714.5--1.09318500000004</f>
        <v>2179.5601630000001</v>
      </c>
      <c r="I168" s="3">
        <f>2695.3+(994.3-800.2)+(-2.749206+(-1.014186--0.816204))+0-698.8--0.712776000000111</f>
        <v>2188.3655880000006</v>
      </c>
      <c r="J168" s="3">
        <f>2711.5+(937-748.3)+(-1.382865+(-0.47787--0.381633))+0-754.8--0.384947999999923</f>
        <v>2144.3058460000002</v>
      </c>
      <c r="K168" s="3">
        <f>2639.3+(956.9-654.2)+(-4.038129+(-1.464057--1.000926))+0-817.4--1.25062200000005</f>
        <v>2121.3493619999999</v>
      </c>
      <c r="L168" s="3">
        <f>2377+(1084.2-583.8)+(-1.21227+(-0.552942--0.297738))+0-746.4--0.380663999999924</f>
        <v>2129.9131899999998</v>
      </c>
      <c r="M168" s="3">
        <f>2321.7+(1054.4-395.3)+(1.184067+(0.537744-0.201603))+0-747.3-0.381122999999924</f>
        <v>2234.6390849999998</v>
      </c>
      <c r="N168" s="3">
        <f>2516.9+(930.7-250.4)+(1.283619+(0.474657-0.127704))+0-712.4-0.363323999999928</f>
        <v>2486.0672480000003</v>
      </c>
      <c r="O168" s="3">
        <f>2727.3+(936.9-323.6)+(-1.390923+(-0.477819--0.165036))+0-659.3--0.336242999999933</f>
        <v>2679.9325370000006</v>
      </c>
      <c r="P168" s="3">
        <f>2915.6+(851.8-370.4)+(1.486956+(0.434418-0.188904))+0-609.8-0.310997999999938</f>
        <v>2788.6214719999998</v>
      </c>
      <c r="Q168" s="3">
        <f>2923.2+(1027-439.1)+(1.490832+(0.52377-0.223941))+0-656.4-0.334763999999933</f>
        <v>2856.1558970000001</v>
      </c>
      <c r="R168" s="3">
        <f>2931.9+(924.8-373.7)+(0+(0-0))+0-642.1-0</f>
        <v>2840.9</v>
      </c>
      <c r="S168" s="3">
        <f>2906.5+(951.5-613.2)+(-1.482315+(-0.485265--0.312732))+0-635.4--0.324053999999936</f>
        <v>2608.0692060000001</v>
      </c>
      <c r="T168" s="3">
        <f>2888.1+(1005.9-663.9)+(-1.472931+(-0.513009--0.338589))+0-543.4--0.277133999999945</f>
        <v>2685.3297829999997</v>
      </c>
      <c r="U168" s="3">
        <f>2876.1+(1036.9-600.8)+(-7.334055+(-2.644095--1.53204))+0-598.7--1.52668499999991</f>
        <v>2706.580575</v>
      </c>
      <c r="V168" s="3">
        <f>2854.7+(858.5-539.3)+(-4.367691+(-1.313505--0.825129))+0-478.6--0.732258000000028</f>
        <v>2691.1761909999996</v>
      </c>
      <c r="W168" s="3">
        <f>2860.7+(929.6-518.7)+(-8.753742+(-2.844576--1.587222))+0-597.5--1.82835000000007</f>
        <v>2665.917254</v>
      </c>
      <c r="X168" s="3">
        <f>2619.8+(923.9-396.8)+(-9.352686+(-3.298323--1.416576))+0-533--1.90281000000001</f>
        <v>2604.5683770000001</v>
      </c>
      <c r="Y168" s="3">
        <f>2790.2+(814.3-324.1)+(1.423002+(0.415293-0.165291))+0-596.8-0.304367999999939</f>
        <v>2684.9686359999996</v>
      </c>
      <c r="Z168" s="3">
        <f>3149.7+(742.1-503.9)+(-1.606347+(-0.378471--0.256989))+0-630.9--0.321758999999936</f>
        <v>2755.5939299999995</v>
      </c>
      <c r="AA168" s="3">
        <f>3214+(768.6-664.6)+(-6.55656+(-1.567944--1.355784))+0-647.7--1.32130799999997</f>
        <v>2664.8525880000002</v>
      </c>
      <c r="AB168" s="3">
        <f>2959.6+(953-640.4)+(-4.528188+(-1.45809--0.979812))+0-688.6--1.05355800000004</f>
        <v>2579.6470920000002</v>
      </c>
      <c r="AC168" s="3">
        <f>2956.8+(966.2-705.1)+(-3.015936+(-0.985524--0.719202))+0-713.1--0.727362000000114</f>
        <v>2502.2451040000001</v>
      </c>
      <c r="AD168" s="2">
        <v>2763.5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2907.1+(1014.1-845.4)+(-4.447863+(-1.551573--1.293462))+0-738.4--1.12975200000004</f>
        <v>2333.8237779999999</v>
      </c>
      <c r="G169" s="3">
        <f>2716.7+(1037.3-789.8)+(-1.385517+(-0.529023--0.402798))+0-802.4--0.409223999999919</f>
        <v>2160.6974819999996</v>
      </c>
      <c r="H169" s="3">
        <f>2692.6+(954.4-843.9)+(-2.746452+(-0.973488--0.860778))+0-691.8--0.70563600000011</f>
        <v>2109.1464739999997</v>
      </c>
      <c r="I169" s="3">
        <f>2689+(918.7-843.8)+(-4.11417+(-1.405611--1.291014))+0-715.6--1.09486800000004</f>
        <v>2045.1661010000003</v>
      </c>
      <c r="J169" s="3">
        <f>2478.5+(921.8-803)+(5.05614+(1.880472-1.63812))+0-493.3-1.00633199999998</f>
        <v>2108.29216</v>
      </c>
      <c r="K169" s="3">
        <f>2453.9+(987.6-684.8)+(-3.754467+(-1.511028--1.047744))+0-638.2--0.976446000000037</f>
        <v>2115.258695</v>
      </c>
      <c r="L169" s="3">
        <f>2370.1+(1064.9-593.4)+(-6.043755+(-2.715495--1.51317))+0-714.5--1.8219749999999</f>
        <v>2121.6758949999999</v>
      </c>
      <c r="M169" s="3">
        <f>2302.1+(912.1-497.6)+(-1.174071+(-0.465171--0.253776))+0-470.5--0.239954999999952</f>
        <v>2244.9544889999997</v>
      </c>
      <c r="N169" s="3">
        <f>2443.1+(886.6-336.4)+(-1.245981+(-0.452166--0.171564))+0-516.6--0.263465999999948</f>
        <v>2475.4368830000003</v>
      </c>
      <c r="O169" s="3">
        <f>2543.8+(936.7-287.7)+(0+(0-0))+0-552.1-0</f>
        <v>2640.7000000000003</v>
      </c>
      <c r="P169" s="3">
        <f>2928.5+(776.4-405.8)+(0+(0-0))+0-539.3-0</f>
        <v>2759.8</v>
      </c>
      <c r="Q169" s="3">
        <f>2933.4+(750.2-255.5)+(0+(0-0))+0-597.2-0</f>
        <v>2830.9000000000005</v>
      </c>
      <c r="R169" s="3">
        <f>2915.2+(756-193.1)+(-4.460256+(-1.15668--0.295443))+0-672--1.02816000000004</f>
        <v>2801.8066669999998</v>
      </c>
      <c r="S169" s="3">
        <f>2888.6+(782-537)+(-2.946372+(-0.79764--0.54774))+0-600.8--0.612816000000096</f>
        <v>2530.2165440000003</v>
      </c>
      <c r="T169" s="3">
        <f>2878.8+(794.1-441.8)+(0+(0-0))+0-608-0</f>
        <v>2623.1000000000004</v>
      </c>
      <c r="U169" s="3">
        <f>2853.1+(831.2-451.2)+(4.365243+(1.271736-0.690336))+0-577.5-0.883575000000033</f>
        <v>2659.6630680000003</v>
      </c>
      <c r="V169" s="3">
        <f>2845.6+(827.7-319)+(-7.25628+(-2.110635--0.81345))+0-692.3--1.7653649999999</f>
        <v>2655.2118999999998</v>
      </c>
      <c r="W169" s="3">
        <f>2851.7+(897.1-564.2)+(-7.271835+(-2.287605--1.43871))+0-517.3--1.31911499999992</f>
        <v>2660.4983849999994</v>
      </c>
      <c r="X169" s="3">
        <f>2860.7+(954.1-604.3)+(-4.376871+(-1.459773--0.924579))+0-579.8--0.887094000000033</f>
        <v>2626.6750290000004</v>
      </c>
      <c r="Y169" s="3">
        <f>2886.7+(748.1-532.9)+(1.472217+(0.381531-0.271779))+0-394.1-0.20099099999996</f>
        <v>2709.1809779999994</v>
      </c>
      <c r="Z169" s="3">
        <f>2943.3+(801.9-458.4)+(-4.503249+(-1.226907--0.701352))+0-508.3--0.777699000000029</f>
        <v>2774.2488950000002</v>
      </c>
      <c r="AA169" s="3">
        <f>2970+(742.9-498.9)+(-9.0882+(-2.273274--1.526634))+0-514.5--1.57437000000006</f>
        <v>2691.2395300000003</v>
      </c>
      <c r="AB169" s="3">
        <f>2964.2+(914.8-704.3)+(-7.55871+(-2.33274--1.795965))+0-576.2--1.46930999999992</f>
        <v>2591.8738250000001</v>
      </c>
      <c r="AC169" s="3">
        <f>2971.2+(1004.6-830.3)+(-9.091872+(-3.074076--2.540718))+0-644.5--1.97217000000007</f>
        <v>2493.3469399999999</v>
      </c>
      <c r="AD169" s="2">
        <v>2798.3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2964.1+(837-748.7)+(-6.046764+(-1.70748--1.527348))+0-704.6--1.43738399999997</f>
        <v>2343.0104879999994</v>
      </c>
      <c r="G170" s="3">
        <f>2974.2+(515.5-602.7)+(1.516842+(0.262905-0.307377))+0-662.5-0.337874999999933</f>
        <v>2225.6344950000002</v>
      </c>
      <c r="H170" s="3">
        <f>3008.4+(487-623.3)+(1.534284+(0.24837-0.317883))+0-710.4-0.362303999999928</f>
        <v>2162.8024670000004</v>
      </c>
      <c r="I170" s="3">
        <f>3018.1+(528.8-778.7)+(-4.617693+(-0.809064--1.191411))+0-660.2--1.01010600000004</f>
        <v>2104.7747599999998</v>
      </c>
      <c r="J170" s="3">
        <f>3019.6+(740.8-903.4)+(-3.079992+(-0.755616--0.921468))+0-749.9--0.76489800000012</f>
        <v>2104.950758</v>
      </c>
      <c r="K170" s="3">
        <f>2849.9+(707.9-835.9)+(-4.360347+(-1.083087--1.278927))+0-624.7--0.955791000000036</f>
        <v>2093.9912840000002</v>
      </c>
      <c r="L170" s="3">
        <f>2629.6+(810.1-568)+(-8.046576+(-2.478906--1.73808))+0-757.2--2.31703200000009</f>
        <v>2108.02963</v>
      </c>
      <c r="M170" s="3">
        <f>2193.1+(889.6-502.9)+(1.118481+(0.453696-0.256479))+0-431.6-0.220115999999956</f>
        <v>2149.2955820000002</v>
      </c>
      <c r="N170" s="3">
        <f>2763.2+(767.8-472.9)+(-1.409232+(-0.391578--0.241179))+0-622.9--0.317678999999937</f>
        <v>2433.9580479999995</v>
      </c>
      <c r="O170" s="3">
        <f>3002.4+(727.8-591.9)+(-1.531224+(-0.371178--0.301869))+0-492.8--0.25132799999995</f>
        <v>2644.150795</v>
      </c>
      <c r="P170" s="3">
        <f>2972.6+(767.6-390)+(-4.548078+(-1.174428--0.5967))+0-617.3--0.944469000000036</f>
        <v>2728.7186629999997</v>
      </c>
      <c r="Q170" s="3">
        <f>2952.7+(706.3-254.7)+(-1.505877+(-0.360213--0.129897))+0-618.5--0.315434999999937</f>
        <v>2784.3792419999995</v>
      </c>
      <c r="R170" s="3">
        <f>2927.4+(681.3-178.7)+(-4.478922+(-1.042389--0.273411))+0-534--0.817020000000031</f>
        <v>2891.5691200000001</v>
      </c>
      <c r="S170" s="3">
        <f>2907.8+(624-412.9)+(-4.448934+(-0.95472--0.631737))+0-538--0.823140000000031</f>
        <v>2576.951223</v>
      </c>
      <c r="T170" s="3">
        <f>2905.7+(644.1-322)+(-1.481907+(-0.328491--0.16422))+0-582.8--0.297227999999941</f>
        <v>2643.6510499999999</v>
      </c>
      <c r="U170" s="3">
        <f>2930.2+(621.2-307.7)+(1.494402+(0.316812-0.156927))+0-525.7-0.268106999999947</f>
        <v>2719.3861799999995</v>
      </c>
      <c r="V170" s="3">
        <f>2926.2+(575.2-396.1)+(-2.984724+(-0.586704--0.404022))+0-559.8--0.570996000000089</f>
        <v>2542.9035899999994</v>
      </c>
      <c r="W170" s="3">
        <f>2949.5+(725.5-316.5)+(-6.01698+(-1.48002--0.64566))+0-650.8--1.32763199999997</f>
        <v>2702.1762919999996</v>
      </c>
      <c r="X170" s="3">
        <f>2925.2+(759.4-528.6)+(-2.983704+(-0.774588--0.539172))+0-580.7--0.592314000000093</f>
        <v>2572.6731939999995</v>
      </c>
      <c r="Y170" s="3">
        <f>2946.3+(824.9-400.1)+(-3.005226+(-0.841398--0.408102))+0-578.7--0.590274000000092</f>
        <v>2789.5517520000003</v>
      </c>
      <c r="Z170" s="3">
        <f>3016.9+(785.4-429.4)+(-1.538619+(-0.400554--0.218994))+0-554.6--0.282845999999944</f>
        <v>2816.8626670000003</v>
      </c>
      <c r="AA170" s="3">
        <f>3073.9+(786.9-659.2)+(-10.973823+(-2.809233--2.353344))+0-440.9--1.57401300000001</f>
        <v>2750.8443009999996</v>
      </c>
      <c r="AB170" s="3">
        <f>3019.6+(873.4-808.2)+(-6.159984+(-1.781736--1.648728))+0-607--1.23827999999997</f>
        <v>2472.7452879999996</v>
      </c>
      <c r="AC170" s="3">
        <f>2943.5+(894.9-788.3)+(0+(0-0))+0-478.8-0</f>
        <v>2571.2999999999997</v>
      </c>
      <c r="AD170" s="2">
        <v>2645.7999999999997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2794.3+(771.1-575.6)+(-2.850186+(-0.786522--0.587112))+0-704--0.718080000000112</f>
        <v>2283.4684840000004</v>
      </c>
      <c r="G171" s="3">
        <f>2777.3+(877.2-702.5)+(-4.249269+(-1.342116--1.074825))+0-718--1.09854000000004</f>
        <v>2230.5819799999999</v>
      </c>
      <c r="H171" s="3">
        <f>2785.3+(896.2-936.3)+(-5.682012+(-1.828248--1.910052))+0-719.4--1.46757599999997</f>
        <v>2021.6673680000004</v>
      </c>
      <c r="I171" s="3">
        <f>2807.2+(949.7-1007.5)+(-2.863344+(-0.968694--1.02765))+0-653.2--0.666264000000104</f>
        <v>2094.0618759999993</v>
      </c>
      <c r="J171" s="3">
        <f>2881.2+(904.5-1111.5)+(4.408236+(1.383885-1.700595))+0-649-0.992970000000038</f>
        <v>2028.298556</v>
      </c>
      <c r="K171" s="3">
        <f>2919.4+(766-1142.6)+(5.955576+(1.56264-2.330904))+0-710.3-1.44901199999997</f>
        <v>1836.2383000000002</v>
      </c>
      <c r="L171" s="3">
        <f>2755.9+(913-903)+(-1.405509+(-0.46563--0.46053))+0-699.4--0.356693999999929</f>
        <v>2065.446085</v>
      </c>
      <c r="M171" s="3">
        <f>2665.2+(845.4-726.4)+(0+(0-0))+0-582.7-0</f>
        <v>2201.5</v>
      </c>
      <c r="N171" s="3">
        <f>2763+(924.7-638.2)+(2.81826+(0.943194-0.650964))+0-611.7-0.623934000000098</f>
        <v>2440.286556</v>
      </c>
      <c r="O171" s="3">
        <f>2849+(873.6-562.8)+(1.45299+(0.445536-0.287028))+0-548-0.279479999999944</f>
        <v>2613.1320180000002</v>
      </c>
      <c r="P171" s="3">
        <f>2901.1+(878.8-338.6)+(1.479561+(0.448188-0.172686))+0-729.3-0.371942999999926</f>
        <v>2713.3831199999995</v>
      </c>
      <c r="Q171" s="3">
        <f>2827.7+(804.1-216.1)+(1.442127+(0.410091-0.110211))+0-654.8-0.333947999999934</f>
        <v>2762.3080589999995</v>
      </c>
      <c r="R171" s="3">
        <f>2838.1+(958.3-225.1)+(-1.447431+(-0.488733--0.114801))+0-663.7--0.338486999999933</f>
        <v>2906.1171239999994</v>
      </c>
      <c r="S171" s="3">
        <f>2858.2+(948.6-576)+(-2.915364+(-0.967572--0.58752))+0-715.4--0.729708000000114</f>
        <v>2512.834292</v>
      </c>
      <c r="T171" s="3">
        <f>2848.4+(970.3-594.1)+(-1.452684+(-0.494853--0.302991))+0-674.6--0.344045999999932</f>
        <v>2548.6994999999997</v>
      </c>
      <c r="U171" s="3">
        <f>2836.4+(1004.3-617.4)+(2.893128+(1.024386-0.629748))+0-663.1-0.676362000000106</f>
        <v>2562.811404</v>
      </c>
      <c r="V171" s="3">
        <f>2828.3+(900.6-615.6)+(-5.769732+(-1.837224--1.255824))+0-588.2--1.19992799999997</f>
        <v>2519.9487960000006</v>
      </c>
      <c r="W171" s="3">
        <f>2827.7+(953-520.6)+(-1.442127+(-0.48603--0.265506))+0-569.9--0.290648999999942</f>
        <v>2688.8279979999998</v>
      </c>
      <c r="X171" s="3">
        <f>2834.1+(786.3-553.2)+(-4.336173+(-1.203039--0.846396))+0-522.3--0.79911900000003</f>
        <v>2541.0063030000001</v>
      </c>
      <c r="Y171" s="3">
        <f>2852.4+(884.6-424)+(2.909448+(0.902292-0.43248))+0-529.8-0.540396000000084</f>
        <v>2786.0388640000006</v>
      </c>
      <c r="Z171" s="3">
        <f>2897.8+(940-541.6)+(-2.955756+(-0.9588--0.552432))+0-547.8--0.558756000000087</f>
        <v>2745.5966320000002</v>
      </c>
      <c r="AA171" s="3">
        <f>2911+(991.8-645.8)+(-1.48461+(-0.505818--0.329358))+0-588--0.29987999999994</f>
        <v>2667.6388099999999</v>
      </c>
      <c r="AB171" s="3">
        <f>2911.4+(1009.5-840.2)+(0+(0-0))+0-553.9-0</f>
        <v>2526.7999999999997</v>
      </c>
      <c r="AC171" s="3">
        <f>2916.2+(1036.2-922.1)+(-4.461786+(-1.585386--1.410813))+0-597--0.913410000000034</f>
        <v>2429.5770509999998</v>
      </c>
      <c r="AD171" s="2">
        <v>2877.7999999999997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2800+(986.2-726.2)+(-2.856+(-1.005924--0.740724))+0-763.5--0.778770000000122</f>
        <v>2294.1575699999999</v>
      </c>
      <c r="G172" s="3">
        <f>2754.1+(994-1012.4)+(-1.404591+(-0.50694--0.516324))+0-564.8--0.288047999999943</f>
        <v>2169.792841</v>
      </c>
      <c r="H172" s="3">
        <f>2776.1+(1120.5-1085)+(-4.247433+(-1.714365--1.66005))+0-719.6--1.10098800000004</f>
        <v>2088.7992400000003</v>
      </c>
      <c r="I172" s="3">
        <f>2777.4+(1066.9-1109.8)+(-1.416474+(-0.544119--0.565998))+0-691.6--0.35271599999993</f>
        <v>2041.8581209999998</v>
      </c>
      <c r="J172" s="3">
        <f>2756.2+(1140-1164.2)+(-7.02831+(-2.907--2.96871))+0-712.8--1.8176399999999</f>
        <v>2014.0510399999998</v>
      </c>
      <c r="K172" s="3">
        <f>2674.9+(1196-1185.5)+(4.092597+(1.82988-1.813815))+0-692.4-1.05937200000004</f>
        <v>1996.0492900000002</v>
      </c>
      <c r="L172" s="3">
        <f>2564.5+(1193.8-1188.3)+(-7.84737+(-3.653028--3.636198))+0-641.3--1.96237800000007</f>
        <v>1922.7981780000002</v>
      </c>
      <c r="M172" s="3">
        <f>2252.8+(1279.1-1012.3)+(-3.446784+(-1.957023--1.548819))+0-656.1--1.00383300000004</f>
        <v>1860.6488450000004</v>
      </c>
      <c r="N172" s="3">
        <f>2254.8+(1141.3-924.7)+(-2.299896+(-1.164126--0.943194))+0-515.2--0.525504000000082</f>
        <v>1954.2046760000001</v>
      </c>
      <c r="O172" s="3">
        <f>2393.6+(1208.6-863.6)+(-4.882944+(-2.465544--1.761744))+0-619.3--1.26337199999997</f>
        <v>2114.9766279999999</v>
      </c>
      <c r="P172" s="3">
        <f>2610.4+(978.9-784.9)+(-2.662608+(-0.998478--0.800598))+0-683.8--0.697476000000109</f>
        <v>2118.4369880000004</v>
      </c>
      <c r="Q172" s="3">
        <f>2695.4+(928.7-755)+(-1.374654+(-0.473637--0.38505))+0-747.2--0.381071999999924</f>
        <v>2120.8178310000003</v>
      </c>
      <c r="R172" s="3">
        <f>2679.1+(892.7-695.6)+(1.366341+(0.455277-0.354756))+0-692.9-0.35337899999993</f>
        <v>2184.4134829999998</v>
      </c>
      <c r="S172" s="3">
        <f>2666.6+(1010.9-850.7)+(-2.719932+(-1.031118--0.867714))+0-699.8--0.713796000000112</f>
        <v>2124.8304600000001</v>
      </c>
      <c r="T172" s="3">
        <f>2656.7+(1011-918.4)+(-5.419668+(-2.06244--1.873536))+0-623.5--1.27193999999997</f>
        <v>2121.4633679999997</v>
      </c>
      <c r="U172" s="3">
        <f>2646.4+(1053.3-879.8)+(2.699328+(1.074366-0.897396))+0-686.6-0.70033200000011</f>
        <v>2135.4759660000004</v>
      </c>
      <c r="V172" s="3">
        <f>2641.7+(955.8-820.4)+(1.347267+(0.487458-0.418404))+0-645.4-0.329153999999935</f>
        <v>2132.787167</v>
      </c>
      <c r="W172" s="3">
        <f>2642.5+(997-911.4)+(-1.347675+(-0.50847--0.464814))+0-609.6--0.310895999999938</f>
        <v>2117.4195650000001</v>
      </c>
      <c r="X172" s="3">
        <f>2633.7+(869.7-691)+(4.029561+(1.330641-1.05723))+0-739.5-1.13143500000004</f>
        <v>2076.0715369999994</v>
      </c>
      <c r="Y172" s="3">
        <f>2648.9+(747.8-522.4)+(2.701878+(0.762756-0.532848))+0-597.9-0.609858000000095</f>
        <v>2278.7219279999999</v>
      </c>
      <c r="Z172" s="3">
        <f>2715.8+(725.6-473.2)+(-2.770116+(-0.740112--0.482664))+0-569.5--0.580890000000091</f>
        <v>2396.2533260000005</v>
      </c>
      <c r="AA172" s="3">
        <f>2736.1+(693.1-459.7)+(-1.395411+(-0.353481--0.234447))+0-607.5--0.309824999999938</f>
        <v>2360.79538</v>
      </c>
      <c r="AB172" s="3">
        <f>2730.4+(591-430.9)+(1.392504+(0.30141-0.219759))+0-576.6-0.294065999999942</f>
        <v>2315.080089</v>
      </c>
      <c r="AC172" s="3">
        <f>2735.6+(684.3-457.6)+(-4.185468+(-1.046979--0.700128))+0-730.4--1.11751200000004</f>
        <v>2228.485193</v>
      </c>
      <c r="AD172" s="2">
        <v>2379.4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2749.1+(717.8-748.7)+(-2.804082+(-0.732156--0.763674))+0-592--0.603840000000094</f>
        <v>2124.0312760000002</v>
      </c>
      <c r="G173" s="3">
        <f>2763.4+(811-820.2)+(-4.228002+(-1.24083--1.254906))+0-723.5--1.10695500000004</f>
        <v>2027.5930289999999</v>
      </c>
      <c r="H173" s="3">
        <f>2775+(652-713.3)+(-4.24575+(-0.99756--1.091349))+0-735.1--1.12470300000004</f>
        <v>1975.5727419999998</v>
      </c>
      <c r="I173" s="3">
        <f>2789.7+(891.4-1066)+(-4.268241+(-1.363842--1.63098))+0-678--1.03734000000004</f>
        <v>1934.1362369999999</v>
      </c>
      <c r="J173" s="3">
        <f>2795+(796.3-1046.9)+(-5.7018+(-1.624452--2.135676))+0-620.2--1.26520799999997</f>
        <v>1920.2746319999997</v>
      </c>
      <c r="K173" s="3">
        <f>2735.9+(861.1-901.9)+(1.395309+(0.439161-0.459969))+0-755.3-0.385202999999923</f>
        <v>1940.7892980000004</v>
      </c>
      <c r="L173" s="3">
        <f>2695.8+(750.8-882.7)+(-4.124574+(-1.148724--1.350531))+0-590.7--0.903771000000034</f>
        <v>1970.181004</v>
      </c>
      <c r="M173" s="3">
        <f>2558.4+(846.8-709.6)+(-1.304784+(-0.431868--0.361896))+0-598.7--0.305336999999939</f>
        <v>2095.8305809999993</v>
      </c>
      <c r="N173" s="3">
        <f>2637.2+(958.7-568)+(2.689944+(0.977874-0.57936))+0-665.3-0.678606000000106</f>
        <v>2365.0098519999997</v>
      </c>
      <c r="O173" s="3">
        <f>2764+(1022.4-561.6)+(-1.40964+(-0.521424--0.286416))+0-656.5--0.334814999999933</f>
        <v>2566.9901669999999</v>
      </c>
      <c r="P173" s="3">
        <f>2735.6+(909.9-391.9)+(-1.395156+(-0.464049--0.199869))+0-559.6--0.285395999999943</f>
        <v>2692.6260599999996</v>
      </c>
      <c r="Q173" s="3">
        <f>2701.3+(839.9-128.9)+(4.132989+(1.285047-0.197217))+0-638.8-0.977364000000037</f>
        <v>2777.7434550000003</v>
      </c>
      <c r="R173" s="3">
        <f>2674+(751.6-113.5)+(4.09122+(1.149948-0.173655))+0-548.9-0.839817000000032</f>
        <v>2767.4276959999997</v>
      </c>
      <c r="S173" s="3">
        <f>2658+(790.3-167.6)+(-4.06674+(-1.209159--0.256428))+0-849.3--1.29942900000005</f>
        <v>2427.6799580000002</v>
      </c>
      <c r="T173" s="3">
        <f>2647.8+(753.3-215.1)+(0+(0-0))+0-872.1-0</f>
        <v>2313.9</v>
      </c>
      <c r="U173" s="3">
        <f>2644+(816.1-220)+(-6.7422+(-2.081055--0.561))+0-889.2--2.26745999999987</f>
        <v>2344.905205</v>
      </c>
      <c r="V173" s="3">
        <f>2636+(730.5-249.2)+(4.03308+(1.117665-0.381276))+0-874.8-1.33844400000005</f>
        <v>2245.9310249999999</v>
      </c>
      <c r="W173" s="3">
        <f>2645.3+(866.1-223)+(-5.396412+(-1.766844--0.45492))+0-863.1--1.76072399999996</f>
        <v>2420.3523879999998</v>
      </c>
      <c r="X173" s="3">
        <f>2653.1+(869.3-290.5)+(-8.118486+(-2.660058--0.88893))+0-894.9--2.7383940000001</f>
        <v>2329.8487799999994</v>
      </c>
      <c r="Y173" s="3">
        <f>2907.2+(777.2-282.8)+(0+(0-0))+0-865.8-0</f>
        <v>2535.8000000000002</v>
      </c>
      <c r="Z173" s="3">
        <f>3263.9+(813.7-719.7)+(1.664589+(0.414987-0.367047))+0-800.2-0.408101999999919</f>
        <v>2559.0044270000003</v>
      </c>
      <c r="AA173" s="3">
        <f>3257.5+(729.4-642.2)+(-3.32265+(-0.743988--0.655044))+0-678.5--0.692070000000108</f>
        <v>2663.4804759999997</v>
      </c>
      <c r="AB173" s="3">
        <f>3086.8+(844.9-669.6)+(0+(0-0))+0-653.6-0</f>
        <v>2608.5000000000005</v>
      </c>
      <c r="AC173" s="3">
        <f>2918.5+(876.3-730.6)+(-5.95374+(-1.787652--1.490424))+0-600.7--1.22542799999997</f>
        <v>2458.4744599999999</v>
      </c>
      <c r="AD173" s="2">
        <v>2623.8999999999996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2810.3+(929.9-676.1)+(2.866506+(0.948498-0.689622))+0-738.4-0.753168000000118</f>
        <v>2328.0722140000003</v>
      </c>
      <c r="G174" s="3">
        <f>2616.7+(1055.5-723.1)+(2.669034+(1.07661-0.737562))+0-742.3-0.757146000000118</f>
        <v>2209.0509359999996</v>
      </c>
      <c r="H174" s="3">
        <f>2522.9+(1121-779.7)+(0+(0-0))+0-723.4-0</f>
        <v>2140.7999999999997</v>
      </c>
      <c r="I174" s="3">
        <f>2460.5+(1164.1-846.2)+(1.254855+(0.593691-0.431562))+0-665.4-0.339353999999932</f>
        <v>2114.0776299999998</v>
      </c>
      <c r="J174" s="3">
        <f>2444.8+(1200-862.9)+(-4.987392+(-2.448--1.760316))+0-675.4--1.37781599999997</f>
        <v>2102.2027400000002</v>
      </c>
      <c r="K174" s="3">
        <f>2461.6+(1200.8-864.1)+(-6.27708+(-3.06204--2.203455))+0-683.3--1.7424149999999</f>
        <v>2109.6067499999999</v>
      </c>
      <c r="L174" s="3">
        <f>2373+(1298.8-932.3)+(-9.68184+(-5.299104--3.803784))+0-615.1--2.50960799999995</f>
        <v>2115.7324479999997</v>
      </c>
      <c r="M174" s="3">
        <f>2217.4+(1221.5-822.5)+(2.261748+(1.24593-0.83895))+0-532-0.542640000000085</f>
        <v>2086.5260880000001</v>
      </c>
      <c r="N174" s="3">
        <f>2468.9+(1089.4-575.4)+(2.518278+(1.111188-0.586908))+0-520-0.530400000000083</f>
        <v>2465.4121580000001</v>
      </c>
      <c r="O174" s="3">
        <f>2599.8+(909.8-446.9)+(-1.325898+(-0.463998--0.227919))+0-412.3--0.210272999999958</f>
        <v>2649.0482960000004</v>
      </c>
      <c r="P174" s="3">
        <f>2658.8+(888.5-358.9)+(4.067964+(1.359405-0.549117))+0-395.6-0.605268000000023</f>
        <v>2797.0729840000004</v>
      </c>
      <c r="Q174" s="3">
        <f>2872.8+(692.5-318.1)+(4.395384+(1.059525-0.486693))+0-421.6-0.645048000000024</f>
        <v>2829.9231680000007</v>
      </c>
      <c r="R174" s="3">
        <f>2861+(568.1-191.8)+(-1.45911+(-0.289731--0.097818))+0-374.7--0.191096999999962</f>
        <v>2861.1400740000004</v>
      </c>
      <c r="S174" s="3">
        <f>2861+(585.9-405.2)+(-5.83644+(-1.195236--0.826608))+0-572.5--1.16789999999998</f>
        <v>2464.1628319999995</v>
      </c>
      <c r="T174" s="3">
        <f>3079.2+(574.6-533.4)+(1.570392+(0.293046-0.272034))+0-449.8-0.229397999999954</f>
        <v>2671.9620059999993</v>
      </c>
      <c r="U174" s="3">
        <f>3069.6+(597.4-505.6)+(-1.565496+(-0.304674--0.257856))+0-481.4--0.245513999999951</f>
        <v>2678.6331999999993</v>
      </c>
      <c r="V174" s="3">
        <f>3067.9+(630.8-429.3)+(-3.129258+(-0.643416--0.437886))+0-554.8--0.565896000000088</f>
        <v>2711.8311080000003</v>
      </c>
      <c r="W174" s="3">
        <f>2840+(886-634.5)+(1.4484+(0.45186-0.323595))+0-603.7-0.307886999999939</f>
        <v>2489.0687779999998</v>
      </c>
      <c r="X174" s="3">
        <f>2851.8+(763.6-533)+(-10.180926+(-2.726052--1.90281))+0-452.3--1.61471100000001</f>
        <v>2620.7105430000001</v>
      </c>
      <c r="Y174" s="3">
        <f>2864.5+(695.2-265.6)+(2.92179+(0.709104-0.270912))+0-559.3-0.570486000000089</f>
        <v>2737.5894960000001</v>
      </c>
      <c r="Z174" s="3">
        <f>2902.6+(623.5-144.1)+(0+(0-0))+0-593.2-0</f>
        <v>2788.8</v>
      </c>
      <c r="AA174" s="3">
        <f>2913.1+(763.4-378.1)+(-4.457043+(-1.168002--0.578493))+0-605.8--0.926874000000035</f>
        <v>2688.4803219999999</v>
      </c>
      <c r="AB174" s="3">
        <f>2895.7+(1027.4-717.1)+(-1.476807+(-0.523974--0.365721))+0-610.4--0.311303999999938</f>
        <v>2594.2762439999997</v>
      </c>
      <c r="AC174" s="3">
        <f>2864.5+(1000.9-819.8)+(-4.382685+(-1.531377--1.254294))+0-566.4--0.866592000000033</f>
        <v>2475.4068239999997</v>
      </c>
      <c r="AD174" s="2">
        <v>2833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2818.5+(903.9-826.5)+(-1.437435+(-0.460989--0.421515))+0-578.1--0.294830999999941</f>
        <v>2316.6179220000004</v>
      </c>
      <c r="G175" s="3">
        <f>2727.1+(1016.5-901.1)+(-4.172463+(-1.555245--1.378683))+0-642.7--0.983331000000037</f>
        <v>2196.4343059999997</v>
      </c>
      <c r="H175" s="3">
        <f>2681.6+(874-872.8)+(-5.470464+(-1.78296--1.780512))+0-554.5--1.13117999999998</f>
        <v>2123.9582679999999</v>
      </c>
      <c r="I175" s="3">
        <f>2696.6+(986-905)+(-4.125798+(-1.50858--1.38465))+0-683.7--1.04606100000004</f>
        <v>2090.6963329999999</v>
      </c>
      <c r="J175" s="3">
        <f>2583.8+(954.2-906.2)+(-3.953214+(-1.459926--1.386486))+0-557.1--0.852363000000032</f>
        <v>2071.5257090000005</v>
      </c>
      <c r="K175" s="3">
        <f>2361.4+(1042-734.3)+(2.408628+(1.06284-0.748986))+0-571.6-0.583032000000091</f>
        <v>2099.6394500000006</v>
      </c>
      <c r="L175" s="3">
        <f>2348.9+(1017-675.6)+(-7.187634+(-3.11202--2.067336))+0-591.1--1.80876600000007</f>
        <v>2092.7764480000005</v>
      </c>
      <c r="M175" s="3">
        <f>2344.8+(814.5-441.1)+(-1.195848+(-0.415395--0.224961))+0-524.8--0.267647999999947</f>
        <v>2192.2813660000002</v>
      </c>
      <c r="N175" s="3">
        <f>2397.8+(732-349.6)+(0+(0-0))+0-350.5-0</f>
        <v>2429.7000000000003</v>
      </c>
      <c r="O175" s="3">
        <f>2751.8+(759.8-401.7)+(0+(0-0))+0-487.9-0</f>
        <v>2622</v>
      </c>
      <c r="P175" s="3">
        <f>2865.6+(663.5-362.9)+(0+(0-0))+0-432.9-0</f>
        <v>2733.2999999999997</v>
      </c>
      <c r="Q175" s="3">
        <f>2877.2+(651.6-272.9)+(5.869488+(1.329264-0.556716))+0-349.5-0.712979999999985</f>
        <v>2912.329056</v>
      </c>
      <c r="R175" s="3">
        <f>2852.5+(616.6-194.7)+(1.454775+(0.314466-0.099297))+0-504.2-0.257141999999949</f>
        <v>2771.6128020000006</v>
      </c>
      <c r="S175" s="3">
        <f>2838.4+(471.6-297)+(-2.895168+(-0.481032--0.30294))+0-534.6--0.545292000000085</f>
        <v>2475.8720320000002</v>
      </c>
      <c r="T175" s="3">
        <f>2831+(513-246.7)+(-1.44381+(-0.26163--0.125817))+0-533.3--0.271982999999946</f>
        <v>2562.6923600000005</v>
      </c>
      <c r="U175" s="3">
        <f>2823.7+(526.7-251)+(-1.440087+(-0.268617--0.12801))+0-514.2--0.262241999999948</f>
        <v>2583.8815479999994</v>
      </c>
      <c r="V175" s="3">
        <f>2820.1+(575.7-273.4)+(-5.753004+(-1.174428--0.557736))+0-576--1.17503999999997</f>
        <v>2541.205344</v>
      </c>
      <c r="W175" s="3">
        <f>2822.8+(694.5-562.7)+(1.439628+(0.354195-0.286977))+0-588.5-0.30013499999994</f>
        <v>2367.3067110000006</v>
      </c>
      <c r="X175" s="3">
        <f>2833.5+(851.3-555.8)+(-2.89017+(-0.868326--0.566916))+0-589.9--0.601698000000094</f>
        <v>2536.5101179999997</v>
      </c>
      <c r="Y175" s="3">
        <f>2844.5+(759.7-318.6)+(4.352085+(1.162341-0.487458))+0-613.3-0.938349000000035</f>
        <v>2676.3886190000003</v>
      </c>
      <c r="Z175" s="3">
        <f>2895.2+(696.3-210.7)+(-5.906208+(-1.420452--0.429828))+0-644.3--1.31437199999997</f>
        <v>2730.9175399999995</v>
      </c>
      <c r="AA175" s="3">
        <f>2905+(745.6-464.2)+(-10.37085+(-2.661792--1.657194))+0-618.2--2.20697400000001</f>
        <v>2559.0315260000002</v>
      </c>
      <c r="AB175" s="3">
        <f>2886.6+(1007.3-804)+(-4.416498+(-1.541169--1.23012))+0-628.8--0.962064000000036</f>
        <v>2457.3345169999998</v>
      </c>
      <c r="AC175" s="3">
        <f>2897.8+(1065.3-853.2)+(-1.477878+(-0.543303--0.435132))+0-684.6--0.349145999999931</f>
        <v>2424.0630970000002</v>
      </c>
      <c r="AD175" s="2">
        <v>2748.6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2884+(1135.4-931.2)+(2.94168+(1.158108-0.949824))+0-643.9-0.656778000000103</f>
        <v>2446.7931859999999</v>
      </c>
      <c r="G176" s="3">
        <f>2671.1+(1153.6-889.4)+(2.724522+(1.176672-0.907188))+0-719.7-0.734094000000115</f>
        <v>2217.8599119999994</v>
      </c>
      <c r="H176" s="3">
        <f>2484.7+(1262.9-823.8)+(-3.801591+(-1.932237--1.260414))+0-731.9--1.11980700000004</f>
        <v>2188.5463930000001</v>
      </c>
      <c r="I176" s="3">
        <f>2470.3+(1145.4-830.8)+(-3.779559+(-1.752462--1.271124))+0-684.5--1.04728500000004</f>
        <v>2097.1863880000005</v>
      </c>
      <c r="J176" s="3">
        <f>2407.3+(1173.3-783.9)+(-1.227723+(-0.598383--0.399789))+0-662.9--0.338078999999933</f>
        <v>2132.7117620000004</v>
      </c>
      <c r="K176" s="3">
        <f>2313.2+(1154.6-805.2)+(-4.718928+(-2.355384--1.642608))+0-542.3--1.10629199999998</f>
        <v>2115.9745879999996</v>
      </c>
      <c r="L176" s="3">
        <f>2260.7+(1177.2-805)+(-1.152957+(-0.600372--0.41055))+0-488.8--0.24928799999995</f>
        <v>2143.0065089999994</v>
      </c>
      <c r="M176" s="3">
        <f>2259.6+(1075.1-574.8)+(0+(0-0))+0-562.8-0</f>
        <v>2197.0999999999995</v>
      </c>
      <c r="N176" s="3">
        <f>2409.8+(944.1-444.8)+(1.228998+(0.481491-0.226848))+0-437-0.222869999999956</f>
        <v>2473.3607710000001</v>
      </c>
      <c r="O176" s="3">
        <f>2410.5+(1015.9-282.2)+(2.45871+(1.036218-0.287844))+0-496.7-0.506634000000079</f>
        <v>2650.2004499999998</v>
      </c>
      <c r="P176" s="3">
        <f>2474.4+(998.7-179.5)+(5.047776+(2.037348-0.36618))+0-537.3-1.09609199999998</f>
        <v>2761.9228520000006</v>
      </c>
      <c r="Q176" s="3">
        <f>2558.9+(946.4-88.1)+(-1.305039+(-0.482664--0.044931))+0-584.5--0.298094999999941</f>
        <v>2831.2553229999999</v>
      </c>
      <c r="R176" s="3">
        <f>2864.4+(519.5-162.7)+(0+(0-0))+0-406-0</f>
        <v>2815.2000000000003</v>
      </c>
      <c r="S176" s="3">
        <f>2966.8+(452.7-253.5)+(-3.026136+(-0.461754--0.25857))+0-632--0.644640000000101</f>
        <v>2531.4153200000001</v>
      </c>
      <c r="T176" s="3">
        <f>2946.7+(421.5-278.9)+(-4.508451+(-0.644895--0.426717))+0-548.6--0.839358000000032</f>
        <v>2536.8127290000002</v>
      </c>
      <c r="U176" s="3">
        <f>2951.6+(475-213.8)+(-1.505316+(-0.24225--0.109038))+0-551.1--0.281060999999944</f>
        <v>2660.342533</v>
      </c>
      <c r="V176" s="3">
        <f>2935.9+(492.4-230.7)+(-5.989236+(-1.004496--0.470628))+0-550.2--1.12240799999998</f>
        <v>2641.9993039999999</v>
      </c>
      <c r="W176" s="3">
        <f>2834.8+(743.9-325.8)+(-8.674488+(-2.276334--0.996948))+0-629.9--1.92749400000007</f>
        <v>2614.9736200000002</v>
      </c>
      <c r="X176" s="3">
        <f>2845.5+(806.5-542.8)+(-8.70723+(-2.46789--1.660968))+0-526.1--1.60986600000006</f>
        <v>2575.195714</v>
      </c>
      <c r="Y176" s="3">
        <f>3024.3+(650.3-396.8)+(-3.084786+(-0.663306--0.404736))+0-593.4--0.605268000000095</f>
        <v>2681.6619120000005</v>
      </c>
      <c r="Z176" s="3">
        <f>3148.2+(595.3-340.6)+(-4.816746+(-0.910809--0.521118))+0-623.4--0.953802000000036</f>
        <v>2775.2473649999997</v>
      </c>
      <c r="AA176" s="3">
        <f>3182.4+(578.9-418.4)+(-6.492096+(-1.180956--0.853536))+0-714.3--1.45717199999997</f>
        <v>2623.2376559999998</v>
      </c>
      <c r="AB176" s="3">
        <f>3187+(793.8-885)+(-6.50148+(-1.619352--1.8054))+0-555.7--1.13362799999998</f>
        <v>2534.9181960000001</v>
      </c>
      <c r="AC176" s="3">
        <f>3189.3+(832.8-928.7)+(6.506172+(1.698912-1.894548))+0-646.8-1.31947199999997</f>
        <v>2451.5910640000002</v>
      </c>
      <c r="AD176" s="2">
        <v>2727.1000000000004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3101.8+(821-965.9)+(-7.90959+(-2.09355--2.463045))+0-641.9--1.63684499999991</f>
        <v>2309.0967500000002</v>
      </c>
      <c r="G177" s="3">
        <f>2609.7+(919.5-647.6)+(1.330947+(0.468945-0.330276))+0-693.1-0.35348099999993</f>
        <v>2189.6161349999998</v>
      </c>
      <c r="H177" s="3">
        <f>2475.3+(904.4-626.1)+(-6.312015+(-2.30622--1.596555))+0-636.1--1.62205499999991</f>
        <v>2112.1003750000004</v>
      </c>
      <c r="I177" s="3">
        <f>2468.7+(929.9-637.2)+(0+(0-0))+0-687.9-0</f>
        <v>2073.4999999999995</v>
      </c>
      <c r="J177" s="3">
        <f>2433.7+(1023.5-703.9)+(1.241187+(0.521985-0.358989))+0-687.3-0.35052299999993</f>
        <v>2067.0536599999996</v>
      </c>
      <c r="K177" s="3">
        <f>2374.9+(991.2-562.1)+(3.633597+(1.516536-0.860013))+0-757.5-1.15897500000004</f>
        <v>2049.6311450000003</v>
      </c>
      <c r="L177" s="3">
        <f>2374.7+(988.9-649.6)+(-2.422194+(-1.008678--0.662592))+0-674.8--0.688296000000108</f>
        <v>2037.1200160000003</v>
      </c>
      <c r="M177" s="3">
        <f>2271.7+(1006.1-552)+(3.475701+(1.539333-0.84456))+0-637.6-0.975528000000037</f>
        <v>2091.3949459999999</v>
      </c>
      <c r="N177" s="3">
        <f>2090.1+(1176.2-460.2)+(-1.065951+(-0.599862--0.234702))+0-572.9--0.292178999999942</f>
        <v>2232.061068</v>
      </c>
      <c r="O177" s="3">
        <f>2202.5+(1188.5-303.2)+(1.123275+(0.606135-0.154632))+0-716.4-0.365363999999927</f>
        <v>2372.6094140000005</v>
      </c>
      <c r="P177" s="3">
        <f>2237.8+(1036.6-380.1)+(3.423834+(1.585998-0.581553))+0-529-0.809370000000031</f>
        <v>2368.9189090000004</v>
      </c>
      <c r="Q177" s="3">
        <f>2485.5+(823.6-295.6)+(0+(0-0))+0-442.6-0</f>
        <v>2570.9</v>
      </c>
      <c r="R177" s="3">
        <f>2891.1+(446.3-571.8)+(-1.474461+(-0.227613--0.291618))+0-302.4--0.154223999999969</f>
        <v>2461.9437679999996</v>
      </c>
      <c r="S177" s="3">
        <f>2986.1+(356.9-802.6)+(-4.568733+(-0.546057--1.227978))+0-279.3--0.427329000000016</f>
        <v>2257.6405169999994</v>
      </c>
      <c r="T177" s="3">
        <f>2954.2+(493.2-582.7)+(0+(0-0))+0-579.9-0</f>
        <v>2284.7999999999997</v>
      </c>
      <c r="U177" s="3">
        <f>2943.9+(493.6-487)+(0+(0-0))+0-625.8-0</f>
        <v>2324.6999999999998</v>
      </c>
      <c r="V177" s="3">
        <f>2927.9+(508.8-447.3)+(-7.466145+(-1.29744--1.140615))+0-671.7--1.7128349999999</f>
        <v>2311.7898650000002</v>
      </c>
      <c r="W177" s="3">
        <f>2870.4+(722.7-624.6)+(-7.31952+(-1.842885--1.59273))+0-641--1.63454999999991</f>
        <v>2321.5648749999996</v>
      </c>
      <c r="X177" s="3">
        <f>2780.7+(747.1-506.3)+(-8.508942+(-2.286126--1.549278))+0-696.6--2.13159600000008</f>
        <v>2317.7858060000003</v>
      </c>
      <c r="Y177" s="3">
        <f>2878.5+(529.1-344.1)+(4.404105+(0.809523-0.526473))+0-603.6-0.923508000000035</f>
        <v>2463.6636470000003</v>
      </c>
      <c r="Z177" s="3">
        <f>3009.4+(467.5-270.1)+(-4.604382+(-0.715275--0.413253))+0-656.4--1.00429200000004</f>
        <v>2546.4978880000003</v>
      </c>
      <c r="AA177" s="3">
        <f>3029.3+(591.1-371.5)+(-4.634829+(-0.904383--0.568395))+0-776--1.18728000000004</f>
        <v>2469.1164630000003</v>
      </c>
      <c r="AB177" s="3">
        <f>3018.1+(487.7-541.4)+(-9.235386+(-1.492362--1.656684))+0-553.1--1.69248600000006</f>
        <v>2403.9214219999999</v>
      </c>
      <c r="AC177" s="3">
        <f>3018.3+(648.8-537.3)+(-6.157332+(-1.323552--1.096092))+0-785.7--1.60282799999997</f>
        <v>2339.3180360000006</v>
      </c>
      <c r="AD177" s="2">
        <v>2428.6999999999998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3037.7+(573.1-778.1)+(-3.098454+(-0.584562--0.793662))+0-430.6--0.439212000000069</f>
        <v>2399.6498580000002</v>
      </c>
      <c r="G178" s="3">
        <f>3059.5+(580.4-835.5)+(-6.24138+(-1.184016--1.70442))+0-477.4--0.973895999999979</f>
        <v>2322.2529199999999</v>
      </c>
      <c r="H178" s="3">
        <f>2800.5+(614.6-861.8)+(-7.141275+(-1.56723--2.19759))+0-436.1--1.11205499999994</f>
        <v>2111.8011400000005</v>
      </c>
      <c r="I178" s="3">
        <f>2743.4+(690-771.4)+(-4.197402+(-1.0557--1.180242))+0-399.3--0.610929000000023</f>
        <v>2259.2380689999995</v>
      </c>
      <c r="J178" s="3">
        <f>2619.6+(744.2-840.7)+(2.671992+(0.759084-0.857514))+0-455.5-0.464610000000073</f>
        <v>2069.708952</v>
      </c>
      <c r="K178" s="3">
        <f>2628.6+(702.8-763.3)+(-4.021758+(-1.075284--1.167849))+0-488.4--0.747252000000028</f>
        <v>2076.518059</v>
      </c>
      <c r="L178" s="3">
        <f>2611.8+(661.4-691.9)+(-2.664036+(-0.674628--0.705738))+0-619.2--0.631584000000099</f>
        <v>1960.0986580000001</v>
      </c>
      <c r="M178" s="3">
        <f>2536.8+(550.9-531.2)+(0+(0-0))+0-528.4-0</f>
        <v>2028.1</v>
      </c>
      <c r="N178" s="3">
        <f>2833.2+(484.8-629.5)+(-1.444932+(-0.247248--0.321045))+0-477.8--0.243677999999952</f>
        <v>2209.5725429999998</v>
      </c>
      <c r="O178" s="3">
        <f>3036+(463.8-465.3)+(1.54836+(0.236538-0.237303))+0-616.1-0.314210999999938</f>
        <v>2419.6333840000002</v>
      </c>
      <c r="P178" s="3">
        <f>3183.9+(407-475)+(-1.623789+(-0.20757--0.24225))+0-541.8--0.276317999999945</f>
        <v>2572.7872089999996</v>
      </c>
      <c r="Q178" s="3">
        <f>3155.7+(401.5-302.1)+(-1.609407+(-0.204765--0.154071))+0-637.7--0.325226999999935</f>
        <v>2616.065126</v>
      </c>
      <c r="R178" s="3">
        <f>3113.8+(310.9-229.4)+(1.588038+(0.158559-0.116994))+0-607.9-0.310028999999938</f>
        <v>2588.7195740000002</v>
      </c>
      <c r="S178" s="3">
        <f>3088.2+(227.7-297)+(-4.724946+(-0.348381--0.45441))+0-651.6--0.996948000000038</f>
        <v>2363.6780309999999</v>
      </c>
      <c r="T178" s="3">
        <f>3043.6+(248.4-443.3)+(-1.552236+(-0.126684--0.226083))+0-446--0.227459999999955</f>
        <v>2401.4746230000001</v>
      </c>
      <c r="U178" s="3">
        <f>3020.7+(349.8-482.9)+(-4.621671+(-0.535194--0.738837))+0-474.4--0.725832000000027</f>
        <v>2409.5078039999999</v>
      </c>
      <c r="V178" s="3">
        <f>3012+(476.7-469.7)+(-3.07224+(-0.486234--0.479094))+0-627.5--0.6400500000001</f>
        <v>2389.0606699999998</v>
      </c>
      <c r="W178" s="3">
        <f>2974.2+(527.5-467.2)+(-3.033684+(-0.53805--0.476544))+0-665.6--0.678912000000106</f>
        <v>2366.4837220000004</v>
      </c>
      <c r="X178" s="3">
        <f>2942.8+(446.3-386.5)+(-6.003312+(-0.910452--0.78846))+0-694.1--1.41596399999997</f>
        <v>2303.7906600000001</v>
      </c>
      <c r="Y178" s="3">
        <f>3003.1+(432.8-249.2)+(0+(0-0))+0-689.1-0</f>
        <v>2497.6</v>
      </c>
      <c r="Z178" s="3">
        <f>3113.7+(317.7-309.8)+(-4.763961+(-0.486081--0.473994))+0-676--1.03428000000004</f>
        <v>2441.8582319999996</v>
      </c>
      <c r="AA178" s="3">
        <f>3131.7+(271.9-281.8)+(-6.388668+(-0.554676--0.574872))+0-664.7--1.35598799999997</f>
        <v>2452.0875159999991</v>
      </c>
      <c r="AB178" s="3">
        <f>3065.5+(240.8-282.2)+(0+(0-0))+0-611.4-0</f>
        <v>2412.6999999999998</v>
      </c>
      <c r="AC178" s="3">
        <f>2976.7+(244.9-235.2)+(-6.072468+(-0.499596--0.479808))+0-672.8--1.37251199999997</f>
        <v>2308.8802559999995</v>
      </c>
      <c r="AD178" s="2">
        <v>2500.9999999999995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2816.4+(628.4-482.9)+(-1.436364+(-0.320484--0.246279))+0-608.1--0.310130999999938</f>
        <v>2352.5995619999999</v>
      </c>
      <c r="G179" s="3">
        <f>2753.9+(835.3-706.6)+(2.808978+(0.852006-0.720732))+0-754.4-0.76948800000012</f>
        <v>2130.3707639999998</v>
      </c>
      <c r="H179" s="3">
        <f>2650.8+(735.7-718.1)+(-4.055724+(-1.125621--1.098693))+0-633.9--0.969867000000037</f>
        <v>2031.387215</v>
      </c>
      <c r="I179" s="3">
        <f>2657.8+(783.6-684.7)+(-1.355478+(-0.399636--0.349197))+0-728.4--0.371483999999926</f>
        <v>2027.2655670000001</v>
      </c>
      <c r="J179" s="3">
        <f>2606.9+(712.3-714.5)+(-1.329519+(-0.363273--0.364395))+0-632.2--0.322421999999936</f>
        <v>1971.4940249999995</v>
      </c>
      <c r="K179" s="3">
        <f>2424.2+(786.2-502.6)+(2.472684+(0.801924-0.512652))+0-794.6-0.810492000000127</f>
        <v>1915.1514639999996</v>
      </c>
      <c r="L179" s="3">
        <f>2340.3+(714.5-559.3)+(2.387106+(0.72879-0.570486))+0-635-0.647700000000101</f>
        <v>1862.39771</v>
      </c>
      <c r="M179" s="3">
        <f>2250.6+(631.4-380.9)+(2.295612+(0.644028-0.388518))+0-698.7-0.712674000000112</f>
        <v>1804.2384479999996</v>
      </c>
      <c r="N179" s="3">
        <f>2235.1+(561.6-334.7)+(2.279802+(0.572832-0.341394))+0-632.4-0.645048000000101</f>
        <v>1831.4661919999996</v>
      </c>
      <c r="O179" s="3">
        <f>2514.6+(323.5-295.3)+(1.282446+(0.164985-0.150603))+0-579.7-0.295646999999941</f>
        <v>1964.1011809999998</v>
      </c>
      <c r="P179" s="3">
        <f>2705.7+(364.6-239.5)+(0+(0-0))+0-761.1-0</f>
        <v>2069.6999999999998</v>
      </c>
      <c r="Q179" s="3">
        <f>2720+(325.2-296)+(0+(0-0))+0-613.4-0</f>
        <v>2135.7999999999997</v>
      </c>
      <c r="R179" s="3">
        <f>2779.9+(409.5-354.9)+(-1.417749+(-0.208845--0.180999))+0-629.6--0.321095999999936</f>
        <v>2203.7755010000001</v>
      </c>
      <c r="S179" s="3">
        <f>2776.7+(283.8-450.8)+(-4.248351+(-0.434214--0.689724))+0-605.3--0.926109000000035</f>
        <v>2001.3332679999996</v>
      </c>
      <c r="T179" s="3">
        <f>2750.2+(312.4-529.6)+(-2.805204+(-0.318648--0.540192))+0-546.4--0.557328000000087</f>
        <v>1984.5736680000002</v>
      </c>
      <c r="U179" s="3">
        <f>2732+(383-483.9)+(-2.78664+(-0.39066--0.493578))+0-523.3--0.533766000000083</f>
        <v>2105.6500439999995</v>
      </c>
      <c r="V179" s="3">
        <f>2667.7+(370.6-431.8)+(-2.721054+(-0.378012--0.440436))+0-583.3--0.594966000000093</f>
        <v>2021.1363360000003</v>
      </c>
      <c r="W179" s="3">
        <f>2646.8+(292.4-314.7)+(-2.699736+(-0.298248--0.320994))+0-639.2--0.651984000000102</f>
        <v>1983.2749940000001</v>
      </c>
      <c r="X179" s="3">
        <f>2453.9+(282.6-236.3)+(-1.251489+(-0.144126--0.120513))+0-447.7--0.228326999999955</f>
        <v>2051.4532250000002</v>
      </c>
      <c r="Y179" s="3">
        <f>2455.1+(441.2-120)+(-1.252101+(-0.225012--0.0612))+0-548.6--0.279785999999944</f>
        <v>2226.5638730000001</v>
      </c>
      <c r="Z179" s="3">
        <f>2559.7+(642.5-218.8)+(-2.610894+(-0.65535--0.223176))+0-667.7--0.681054000000107</f>
        <v>2313.337986</v>
      </c>
      <c r="AA179" s="3">
        <f>2560.5+(545.2-220.7)+(-3.917565+(-0.834156--0.337671))+0-592.4--0.906372000000034</f>
        <v>2289.092322</v>
      </c>
      <c r="AB179" s="3">
        <f>2401.9+(668.8-182.6)+(2.449938+(0.682176-0.186252))+0-649.2-0.662184000000104</f>
        <v>2241.1836779999999</v>
      </c>
      <c r="AC179" s="3">
        <f>2413.2+(682.5-192.2)+(-1.230732+(-0.348075--0.098022))+0-676.7--0.345116999999931</f>
        <v>2225.6643319999994</v>
      </c>
      <c r="AD179" s="2">
        <v>2487.1000000000004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2416.8+(725.3-325.3)+(0+(0-0))+0-723.6-0</f>
        <v>2093.2000000000003</v>
      </c>
      <c r="G180" s="3">
        <f>2418.2+(967.9-658)+(0+(0-0))+0-716.7-0</f>
        <v>2011.3999999999999</v>
      </c>
      <c r="H180" s="3">
        <f>2420.9+(881.2-766.2)+(0+(0-0))+0-607.1-0</f>
        <v>1928.8000000000002</v>
      </c>
      <c r="I180" s="3">
        <f>2431.1+(879.2-667.7)+(0+(0-0))+0-736.7-0</f>
        <v>1905.8999999999999</v>
      </c>
      <c r="J180" s="3">
        <f>2432.9+(724.3-615.5)+(6.203895+(1.846965-1.569525))+0-663.1-1.6909049999999</f>
        <v>1883.3904299999999</v>
      </c>
      <c r="K180" s="3">
        <f>2444.1+(667-475.8)+(2.492982+(0.68034-0.485316))+0-735.2-0.749904000000117</f>
        <v>1902.0381019999995</v>
      </c>
      <c r="L180" s="3">
        <f>2379.5+(623.9-352.3)+(1.213545+(0.318189-0.179673))+0-551.6-0.281315999999944</f>
        <v>2100.570745</v>
      </c>
      <c r="M180" s="3">
        <f>2338.5+(644.5-304.1)+(-2.38527+(-0.65739--0.310182))+0-513.4--0.523668000000082</f>
        <v>2163.2911900000004</v>
      </c>
      <c r="N180" s="3">
        <f>2386.9+(678.8-148.2)+(6.086595+(1.73094-0.37791))+0-746.8-1.90433999999989</f>
        <v>2176.2352849999997</v>
      </c>
      <c r="O180" s="3">
        <f>2501.3+(832.1-120.9)+(0+(0-0))+0-417.5-0</f>
        <v>2795</v>
      </c>
      <c r="P180" s="3">
        <f>2640.6+(839.4-109.2)+(1.346706+(0.428094-0.055692))+0-477.3-0.243422999999952</f>
        <v>2894.9756849999994</v>
      </c>
      <c r="Q180" s="3">
        <f>2788.3+(701.6-159.8)+(1.422033+(0.357816-0.081498))+0-437.1-0.222920999999956</f>
        <v>2894.4754300000004</v>
      </c>
      <c r="R180" s="3">
        <f>2934.5+(508.9-124.8)+(-2.99319+(-0.519078--0.127296))+0-538.7--0.549474000000086</f>
        <v>2777.0645019999997</v>
      </c>
      <c r="S180" s="3">
        <f>2924.6+(556.3-364)+(1.491546+(0.283713-0.18564))+0-552.8-0.281927999999944</f>
        <v>2565.4076909999999</v>
      </c>
      <c r="T180" s="3">
        <f>2915.3+(582.1-314.9)+(0+(0-0))+0-583.9-0</f>
        <v>2598.6</v>
      </c>
      <c r="U180" s="3">
        <f>2896.2+(559.8-261)+(7.38531+(1.42749-0.66555))+0-586.4-1.49531999999991</f>
        <v>2615.2519299999999</v>
      </c>
      <c r="V180" s="3">
        <f>2904.8+(665.9-289)+(-5.925792+(-1.358436--0.58956))+0-654.7--1.33558799999997</f>
        <v>2621.6409199999998</v>
      </c>
      <c r="W180" s="3">
        <f>2859.9+(870.1-531.3)+(-11.668392+(-3.550008--2.167704))+0-664.4--2.71075199999994</f>
        <v>2523.9600560000003</v>
      </c>
      <c r="X180" s="3">
        <f>2584.5+(844.1-305.5)+(-6.590475+(-2.152455--0.779025))+0-542.8--1.38413999999992</f>
        <v>2573.7202349999998</v>
      </c>
      <c r="Y180" s="3">
        <f>2635.8+(732.5-105.4)+(2.688516+(0.74715-0.107508))+0-573.1-0.584562000000091</f>
        <v>2692.543596</v>
      </c>
      <c r="Z180" s="3">
        <f>2689.7+(755.4-67.9)+(-2.743494+(-0.770508--0.069258))+0-649.9--0.662898000000104</f>
        <v>2724.5181539999999</v>
      </c>
      <c r="AA180" s="3">
        <f>2647.2+(718.1-122.6)+(-2.700144+(-0.732462--0.125052))+0-649.3--0.662286000000104</f>
        <v>2590.7547319999999</v>
      </c>
      <c r="AB180" s="3">
        <f>2620.8+(661.4-89.5)+(-2.673216+(-0.674628--0.09129))+0-670.4--0.683808000000107</f>
        <v>2519.7272540000004</v>
      </c>
      <c r="AC180" s="3">
        <f>2652.6+(681-393)+(1.352826+(0.34731-0.20043))+0-580.2-0.295901999999941</f>
        <v>2361.6038040000003</v>
      </c>
      <c r="AD180" s="2">
        <v>2745.8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2676.8+(874.7-632.6)+(-4.095504+(-1.338291--0.967878))+0-661.6--1.01224800000004</f>
        <v>2253.8463310000002</v>
      </c>
      <c r="G181" s="3">
        <f>2660+(988.5-916.5)+(-5.4264+(-2.01654--1.86966))+0-585.7--1.19482799999997</f>
        <v>2141.9215479999998</v>
      </c>
      <c r="H181" s="3">
        <f>2526.9+(1001.9-990.5)+(-3.866157+(-1.532907--1.515465))+0-511.9--0.78320700000003</f>
        <v>2023.2996080000003</v>
      </c>
      <c r="I181" s="3">
        <f>2539.6+(985.9-913)+(-1.295196+(-0.502809--0.46563))+0-581.8--0.296717999999941</f>
        <v>2029.6643429999999</v>
      </c>
      <c r="J181" s="3">
        <f>2551.2+(957.3-877.9)+(5.204448+(1.952892-1.790916))+0-607.4-1.23909599999997</f>
        <v>2027.3273279999996</v>
      </c>
      <c r="K181" s="3">
        <f>2467+(848.6-709.5)+(1.25817+(0.432786-0.361845))+0-598.5-0.305234999999939</f>
        <v>2008.6238759999999</v>
      </c>
      <c r="L181" s="3">
        <f>2419.8+(741.1-629.2)+(-4.936392+(-1.511844--1.283568))+0-521.4--1.06365599999998</f>
        <v>2006.1989880000003</v>
      </c>
      <c r="M181" s="3">
        <f>2330+(626.7-422.9)+(-1.1883+(-0.319617--0.215679))+0-427.2--0.217871999999957</f>
        <v>2105.5256340000005</v>
      </c>
      <c r="N181" s="3">
        <f>2416.3+(723.5-208.5)+(0+(0-0))+0-587.3-0</f>
        <v>2344</v>
      </c>
      <c r="O181" s="3">
        <f>2566.3+(624.8-284.2)+(-9.161691+(-2.230536--1.014594))+0-493.4--1.76143800000001</f>
        <v>2404.8838049999999</v>
      </c>
      <c r="P181" s="3">
        <f>2711.5+(652.5-148.4)+(0+(0-0))+0-345.4-0</f>
        <v>2870.2</v>
      </c>
      <c r="Q181" s="3">
        <f>2904.4+(406.1-263.6)+(2.962488+(0.414222-0.268872))+0-280.1-0.285702000000045</f>
        <v>2769.622136</v>
      </c>
      <c r="R181" s="3">
        <f>2950.1+(509.3-219.2)+(0+(0-0))+0-520.6-0</f>
        <v>2719.6</v>
      </c>
      <c r="S181" s="3">
        <f>2928.8+(586-442.3)+(-1.493688+(-0.29886--0.225573))+0-604--0.308039999999939</f>
        <v>2467.2410649999997</v>
      </c>
      <c r="T181" s="3">
        <f>2907.2+(653.6-404.2)+(-1.482672+(-0.333336--0.206142))+0-612.3--0.312272999999938</f>
        <v>2543.0024070000004</v>
      </c>
      <c r="U181" s="3">
        <f>2892.9+(768.7-357.5)+(0+(0-0))+0-706.8-0</f>
        <v>2597.3000000000002</v>
      </c>
      <c r="V181" s="3">
        <f>2887.8+(848-356)+(-4.418334+(-1.29744--0.54468))+0-791--1.21023000000005</f>
        <v>2584.8391360000005</v>
      </c>
      <c r="W181" s="3">
        <f>2900+(996.3-415)+(-1.479+(-0.508113--0.21165))+0-900.7--0.459356999999909</f>
        <v>2579.2838940000001</v>
      </c>
      <c r="X181" s="3">
        <f>2915.7+(727.4-280.5)+(1.487007+(0.370974-0.143055))+0-805.1-0.410600999999918</f>
        <v>2558.8043250000001</v>
      </c>
      <c r="Y181" s="3">
        <f>2955.4+(670.2-95.8)+(-1.507254+(-0.341802--0.048858))+0-858.1--0.437630999999913</f>
        <v>2670.3374330000001</v>
      </c>
      <c r="Z181" s="3">
        <f>2990.5+(501.3-118.3)+(-3.05031+(-0.511326--0.120666))+0-702.3--0.716346000000112</f>
        <v>2668.4753760000003</v>
      </c>
      <c r="AA181" s="3">
        <f>3002.6+(600.5-170.3)+(-3.062652+(-0.61251--0.173706))+0-855.6--0.872712000000136</f>
        <v>2574.5712560000002</v>
      </c>
      <c r="AB181" s="3">
        <f>2950.5+(495.7-158.9)+(0+(0-0))+0-802.2-0</f>
        <v>2485.1000000000004</v>
      </c>
      <c r="AC181" s="3">
        <f>2903.1+(548.5-180.4)+(-5.922324+(-1.11894--0.368016))+0-892--1.81967999999996</f>
        <v>2374.3464319999998</v>
      </c>
      <c r="AD181" s="2">
        <v>2812.7000000000003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2824.2+(680.8-559.7)+(-8.642052+(-2.083248--1.712682))+0-694--2.12364000000008</f>
        <v>2244.4110219999998</v>
      </c>
      <c r="G182" s="3">
        <f>2830.7+(938.2-895.7)+(-7.218285+(-2.39241--2.284035))+0-761.2--1.94105999999989</f>
        <v>2106.6143999999995</v>
      </c>
      <c r="H182" s="3">
        <f>2828.8+(1089.1-1041.1)+(-4.328064+(-1.666323--1.592883))+0-806.2--1.23348600000005</f>
        <v>2067.4319820000001</v>
      </c>
      <c r="I182" s="3">
        <f>2793.7+(952.8-990.1)+(-9.973509+(-3.401496--3.534657))+0-724.9--2.58789300000001</f>
        <v>2024.2475449999995</v>
      </c>
      <c r="J182" s="3">
        <f>2794.6+(968.5-1051.6)+(2.850492+(0.98787-1.072632))+0-694.9-0.708798000000111</f>
        <v>2018.6569319999999</v>
      </c>
      <c r="K182" s="3">
        <f>2797.6+(837.7-971.9)+(-4.280328+(-1.281681--1.487007))+0-627.9--0.960687000000036</f>
        <v>2032.385685</v>
      </c>
      <c r="L182" s="3">
        <f>2796.4+(745.1-725.3)+(-8.556984+(-2.280006--2.219418))+0-756.9--2.31611400000009</f>
        <v>2052.9985420000003</v>
      </c>
      <c r="M182" s="3">
        <f>2809.3+(621.9-555.5)+(2.865486+(0.634338-0.56661))+0-735.9-0.750618000000117</f>
        <v>2141.9825960000003</v>
      </c>
      <c r="N182" s="3">
        <f>2795.2+(730.9-437.4)+(2.851104+(0.745518-0.446148))+0-712.1-0.726342000000114</f>
        <v>2379.024132</v>
      </c>
      <c r="O182" s="3">
        <f>2771.6+(717.7-378.1)+(1.413516+(0.366027-0.192831))+0-559.2-0.285191999999943</f>
        <v>2553.3015199999995</v>
      </c>
      <c r="P182" s="3">
        <f>2850.1+(860.1-228.6)+(4.360653+(1.315953-0.349758))+0-820.3-1.25505900000005</f>
        <v>2665.3717889999998</v>
      </c>
      <c r="Q182" s="3">
        <f>2945.1+(589.2-175.5)+(3.004002+(0.600984-0.17901))+0-644.8-0.657696000000103</f>
        <v>2716.7682800000002</v>
      </c>
      <c r="R182" s="3">
        <f>2947.6+(459.3-109.4)+(-1.503276+(-0.234243--0.055794))+0-740.9--0.377858999999925</f>
        <v>2555.2961339999997</v>
      </c>
      <c r="S182" s="3">
        <f>2933.6+(501.4-203.9)+(-4.488408+(-0.767142--0.311967))+0-759.1--1.16142300000004</f>
        <v>2468.2178399999998</v>
      </c>
      <c r="T182" s="3">
        <f>2916.2+(445.9-176.7)+(-1.487262+(-0.227409--0.090117))+0-739.2--0.376991999999925</f>
        <v>2444.9524379999998</v>
      </c>
      <c r="U182" s="3">
        <f>2894.1+(616.2-147.1)+(1.475991+(0.314262-0.075021))+0-722.3-0.368372999999927</f>
        <v>2642.2468590000003</v>
      </c>
      <c r="V182" s="3">
        <f>2893+(493.7-168.2)+(-1.47543+(-0.251787--0.085782))+0-773.5--0.394484999999922</f>
        <v>2443.7530499999998</v>
      </c>
      <c r="W182" s="3">
        <f>2906.6+(778.9-394.3)+(-1.482366+(-0.397239--0.201093))+0-745.4--0.380153999999924</f>
        <v>2544.5016419999997</v>
      </c>
      <c r="X182" s="3">
        <f>2844+(780.9-390.9)+(-5.80176+(-1.593036--0.797436))+0-694.9--1.41759599999997</f>
        <v>2533.9202359999995</v>
      </c>
      <c r="Y182" s="3">
        <f>2926.8+(558.4-106.6)+(1.492668+(0.284784-0.054366))+0-714.7-0.364496999999928</f>
        <v>2665.2585890000005</v>
      </c>
      <c r="Z182" s="3">
        <f>2995.5+(543.3-133.5)+(-6.11082+(-1.108332--0.27234))+0-728--1.48511999999997</f>
        <v>2671.8383079999999</v>
      </c>
      <c r="AA182" s="3">
        <f>3009.8+(481.5-168)+(-9.209988+(-1.47339--0.51408))+0-729.4--2.23196400000008</f>
        <v>2585.9626660000004</v>
      </c>
      <c r="AB182" s="3">
        <f>3002.7+(529.4-406.9)+(-4.594131+(-0.809982--0.622557))+0-624.2--0.955026000000036</f>
        <v>2497.1734700000002</v>
      </c>
      <c r="AC182" s="3">
        <f>2948.7+(616-543.4)+(-1.503837+(-0.31416--0.277134))+0-639.8--0.326297999999935</f>
        <v>2380.2854349999998</v>
      </c>
      <c r="AD182" s="2">
        <v>2767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2921.2+(757.4-839.9)+(-5.959248+(-1.545096--1.713396))+0-618.2--1.26112799999997</f>
        <v>2215.9701800000003</v>
      </c>
      <c r="G183" s="3">
        <f>2752+(870.9-819.6)+(-11.22816+(-3.553272--3.343968))+0-684.9--2.79439199999994</f>
        <v>2109.7569279999998</v>
      </c>
      <c r="H183" s="3">
        <f>2591.9+(996.9-839.2)+(-3.965607+(-1.525257--1.283976))+0-720.5--1.10236500000004</f>
        <v>2025.9954769999997</v>
      </c>
      <c r="I183" s="3">
        <f>2449.7+(1047.8-783.3)+(-1.249347+(-0.534378--0.399483))+0-711.8--0.363017999999928</f>
        <v>2001.3787759999998</v>
      </c>
      <c r="J183" s="3">
        <f>2441.4+(975.6-756)+(-1.245114+(-0.497556--0.38556))+0-634.3--0.323492999999936</f>
        <v>2025.666383</v>
      </c>
      <c r="K183" s="3">
        <f>2451.2+(984.9-681)+(-1.250112+(-0.502299--0.34731))+0-733.6--0.374135999999926</f>
        <v>2020.4690350000001</v>
      </c>
      <c r="L183" s="3">
        <f>2413.3+(927.9-616)+(-1.230783+(-0.473229--0.31416))+0-682.2--0.347921999999931</f>
        <v>2041.9580700000004</v>
      </c>
      <c r="M183" s="3">
        <f>2395.8+(830-464.6)+(2.443716+(0.8466-0.473892))+0-701.7-0.715734000000112</f>
        <v>2061.6006900000002</v>
      </c>
      <c r="N183" s="3">
        <f>2392.3+(877.4-315)+(3.660219+(1.342422-0.48195))+0-637.7-0.975681000000037</f>
        <v>2320.5450100000007</v>
      </c>
      <c r="O183" s="3">
        <f>2474+(968.7-190.7)+(-2.52348+(-0.988074--0.194514))+0-710.6--0.724812000000113</f>
        <v>2538.8077720000001</v>
      </c>
      <c r="P183" s="3">
        <f>2698.5+(784.1-251.3)+(0+(0-0))+0-637.1-0</f>
        <v>2594.2000000000003</v>
      </c>
      <c r="Q183" s="3">
        <f>2764.9+(790.5-72.7)+(1.410099+(0.403155-0.037077))+0-766-0.390659999999922</f>
        <v>2718.085517</v>
      </c>
      <c r="R183" s="3">
        <f>2762.6+(708.4-30)+(1.408926+(0.361284-0.0153))+0-744.7-0.379796999999925</f>
        <v>2697.6751129999998</v>
      </c>
      <c r="S183" s="3">
        <f>2742.9+(568.2-99.8)+(-1.398879+(-0.289782--0.050898))+0-754.4--0.384743999999923</f>
        <v>2455.6469809999999</v>
      </c>
      <c r="T183" s="3">
        <f>2747.8+(678.4-110.6)+(-1.401378+(-0.345984--0.056406))+0-757.8--0.386477999999923</f>
        <v>2556.4955220000006</v>
      </c>
      <c r="U183" s="3">
        <f>2824.7+(612.7-122.6)+(-1.440597+(-0.312477--0.062526))+0-690.6--0.35220599999993</f>
        <v>2622.8616579999998</v>
      </c>
      <c r="V183" s="3">
        <f>2885.9+(444.4-215.5)+(-7.359045+(-1.13322--0.549525))+0-539--1.37444999999992</f>
        <v>2569.23171</v>
      </c>
      <c r="W183" s="3">
        <f>2894.8+(773.8-452.3)+(-5.905392+(-1.578552--0.922692))+0-645.3--1.31641199999997</f>
        <v>2565.7551600000006</v>
      </c>
      <c r="X183" s="3">
        <f>2902.3+(763.5-449.4)+(-2.960346+(-0.77877--0.458388))+0-668.7--0.682074000000107</f>
        <v>2545.1013460000004</v>
      </c>
      <c r="Y183" s="3">
        <f>2927.1+(655.9-141.9)+(1.492821+(0.334509-0.072369))+0-726.9-0.370718999999926</f>
        <v>2715.5842419999999</v>
      </c>
      <c r="Z183" s="3">
        <f>2970.1+(500.5-97.2)+(-3.029502+(-0.51051--0.099144))+0-675.6--0.689112000000108</f>
        <v>2695.0482440000001</v>
      </c>
      <c r="AA183" s="3">
        <f>2977.4+(617.4-205.8)+(-7.59237+(-1.57437--0.52479))+0-811.9--2.07034499999988</f>
        <v>2570.5283949999998</v>
      </c>
      <c r="AB183" s="3">
        <f>2949.2+(826.2-559.7)+(-6.016368+(-1.685448--1.141788))+0-720.4--1.46961599999997</f>
        <v>2490.2095879999997</v>
      </c>
      <c r="AC183" s="3">
        <f>2917.2+(958.2-806.3)+(-5.951088+(-1.954728--1.644852))+0-675.1--1.37720399999997</f>
        <v>2389.1162399999998</v>
      </c>
      <c r="AD183" s="2">
        <v>2682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2758.1+(1060.5-1010.9)+(-1.406631+(-0.540855--0.515559))+0-562.4--0.286823999999943</f>
        <v>2244.1548969999994</v>
      </c>
      <c r="G184" s="3">
        <f>2732.3+(1148.5-1067.1)+(-6.967365+(-2.928675--2.721105))+0-698.3--1.7806649999999</f>
        <v>2110.0057300000003</v>
      </c>
      <c r="H184" s="3">
        <f>2673.1+(1018.4-950.3)+(-8.179686+(-3.116304--2.907918))+0-685.9--2.09885400000008</f>
        <v>2049.0107819999998</v>
      </c>
      <c r="I184" s="3">
        <f>2646.4+(948.9-999.8)+(-9.447648+(-3.387573--3.569286))+0-576.1--2.05667700000001</f>
        <v>2012.1907420000002</v>
      </c>
      <c r="J184" s="3">
        <f>2646.6+(976.5-830.3)+(-5.399064+(-1.99206--1.693812))+0-778.8--1.58875199999997</f>
        <v>2009.8914400000003</v>
      </c>
      <c r="K184" s="3">
        <f>2654.2+(949.7-887.3)+(4.060926+(1.453041-1.357569))+0-706.3-1.08063900000004</f>
        <v>2013.375759</v>
      </c>
      <c r="L184" s="3">
        <f>2625.8+(895.5-771.4)+(-5.356632+(-1.82682--1.573656))+0-710.2--1.44880799999997</f>
        <v>2035.5390119999997</v>
      </c>
      <c r="M184" s="3">
        <f>2465.1+(863.4-610.2)+(0+(0-0))+0-608.3-0</f>
        <v>2110</v>
      </c>
      <c r="N184" s="3">
        <f>2417.9+(944.8-373.9)+(0+(0-0))+0-616.8-0</f>
        <v>2372</v>
      </c>
      <c r="O184" s="3">
        <f>2457.7+(1084.1-337.9)+(2.506854+(1.105782-0.344658))+0-670.5-0.683910000000107</f>
        <v>2535.9840679999993</v>
      </c>
      <c r="P184" s="3">
        <f>2680.7+(1038.3-387.4)+(2.734314+(1.059066-0.395148))+0-669.3-0.682686000000107</f>
        <v>2665.0155459999996</v>
      </c>
      <c r="Q184" s="3">
        <f>2665.2+(907.1-246.6)+(4.077756+(1.387863-0.377298))+0-588.4-0.900252000000034</f>
        <v>2741.488069</v>
      </c>
      <c r="R184" s="3">
        <f>2785.7+(732-82)+(4.262121+(1.11996-0.12546))+0-774.5-1.18498500000004</f>
        <v>2665.2716359999999</v>
      </c>
      <c r="S184" s="3">
        <f>2799+(470.1-278)+(-2.85498+(-0.479502--0.28356))+0-578.5--0.590070000000092</f>
        <v>2410.1391480000002</v>
      </c>
      <c r="T184" s="3">
        <f>2786.3+(530.4-154.6)+(0+(0-0))+0-698.9-0</f>
        <v>2463.2000000000003</v>
      </c>
      <c r="U184" s="3">
        <f>2778.8+(534.2-256.6)+(-2.834376+(-0.544884--0.261732))+0-557.6--0.568752000000089</f>
        <v>2496.2512240000001</v>
      </c>
      <c r="V184" s="3">
        <f>2779+(646.3-357.4)+(-5.66916+(-1.318452--0.729096))+0-581.6--1.18646399999997</f>
        <v>2481.2279480000002</v>
      </c>
      <c r="W184" s="3">
        <f>2773.5+(828.7-444)+(-7.072425+(-2.113185--1.1322))+0-658.3--1.6786649999999</f>
        <v>2493.525255</v>
      </c>
      <c r="X184" s="3">
        <f>2813.4+(909.2-506.3)+(-2.869668+(-0.927384--0.516426))+0-669.9--0.683298000000107</f>
        <v>2543.8026719999998</v>
      </c>
      <c r="Y184" s="3">
        <f>2973.2+(775.1-359.4)+(1.516332+(0.395301-0.183294))+0-665.7-0.339506999999933</f>
        <v>2724.588831999999</v>
      </c>
      <c r="Z184" s="3">
        <f>3092.4+(675.8-433.1)+(-7.88562+(-1.72329--1.104405))+0-628.6--1.60292999999991</f>
        <v>2699.5984250000001</v>
      </c>
      <c r="AA184" s="3">
        <f>3110.3+(649.6-425.9)+(-3.172506+(-0.662592--0.434418))+0-730.7--0.745314000000117</f>
        <v>2600.6446339999998</v>
      </c>
      <c r="AB184" s="3">
        <f>3089.1+(584.3-505.5)+(-4.726323+(-0.893979--0.773415))+0-666.7--1.02005100000004</f>
        <v>2497.3731639999992</v>
      </c>
      <c r="AC184" s="3">
        <f>2878.1+(605.5-567.4)+(-1.467831+(-0.308805--0.289374))+0-512.3--0.261272999999948</f>
        <v>2402.6740110000001</v>
      </c>
      <c r="AD184" s="2">
        <v>2691.0999999999995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2871.6+(514.8-866)+(-1.464516+(-0.262548--0.44166))+0-363.4--0.185333999999963</f>
        <v>2155.8999299999991</v>
      </c>
      <c r="G185" s="3">
        <f>2795.5+(933-980.8)+(0+(0-0))+0-606.4-0</f>
        <v>2141.2999999999997</v>
      </c>
      <c r="H185" s="3">
        <f>2714.5+(950.4-877.3)+(-5.53758+(-1.938816--1.789692))+0-717.5--1.46369999999997</f>
        <v>2065.8769959999995</v>
      </c>
      <c r="I185" s="3">
        <f>2263.5+(1172.8-722.7)+(-1.154385+(-0.598128--0.368577))+0-689.1--0.35144099999993</f>
        <v>2023.4675049999998</v>
      </c>
      <c r="J185" s="3">
        <f>2095.5+(1190.7-623)+(0+(0-0))+0-667.3-0</f>
        <v>1995.8999999999999</v>
      </c>
      <c r="K185" s="3">
        <f>1971.6+(1247.9-548.9)+(-4.022064+(-2.545716--1.119756))+0-671.2--1.36924799999997</f>
        <v>1995.321224</v>
      </c>
      <c r="L185" s="3">
        <f>1982.9+(1242.4-519.4)+(-5.056395+(-3.16812--1.32447))+0-694.4--1.7707199999999</f>
        <v>2006.3706750000001</v>
      </c>
      <c r="M185" s="3">
        <f>1980.9+(1128.4-404.5)+(-1.010259+(-0.575484--0.206295))+0-632.7--0.322676999999936</f>
        <v>2071.0432289999999</v>
      </c>
      <c r="N185" s="3">
        <f>2161.6+(988.8-302.6)+(2.204832+(1.008576-0.308652))+0-546.7-0.557634000000087</f>
        <v>2303.4471219999991</v>
      </c>
      <c r="O185" s="3">
        <f>2692.7+(842.3-406.4)+(0+(0-0))+0-646-0</f>
        <v>2482.6</v>
      </c>
      <c r="P185" s="3">
        <f>2878.4+(579.3-408.6)+(0+(0-0))+0-445.8-0</f>
        <v>2603.2999999999997</v>
      </c>
      <c r="Q185" s="3">
        <f>2934.1+(485.9-389)+(-2.992782+(-0.495618--0.39678))+0-351.4--0.358428000000056</f>
        <v>2676.8668079999998</v>
      </c>
      <c r="R185" s="3">
        <f>2932.6+(429.6-573.4)+(0+(0-0))+0-154.7-0</f>
        <v>2634.1000000000004</v>
      </c>
      <c r="S185" s="3">
        <f>2923.8+(483.7-537)+(0+(0-0))+0-498.6-0</f>
        <v>2371.9</v>
      </c>
      <c r="T185" s="3">
        <f>2913.7+(605-387.7)+(0+(0-0))+0-736.2-0</f>
        <v>2394.8000000000002</v>
      </c>
      <c r="U185" s="3">
        <f>2904.4+(577.3-437.4)+(0+(0-0))+0-626.4-0</f>
        <v>2417.9</v>
      </c>
      <c r="V185" s="3">
        <f>2879.7+(673.3-634.1)+(0+(0-0))+0-543-0</f>
        <v>2375.8999999999996</v>
      </c>
      <c r="W185" s="3">
        <f>2545.6+(886.8-492.5)+(0+(0-0))+0-569.8-0</f>
        <v>2370.0999999999995</v>
      </c>
      <c r="X185" s="3">
        <f>2461.4+(845.7-363.3)+(0+(0-0))+0-590.2-0</f>
        <v>2353.6000000000004</v>
      </c>
      <c r="Y185" s="3">
        <f>2737.2+(647.2-193.1)+(0+(0-0))+0-639.5-0</f>
        <v>2551.7999999999997</v>
      </c>
      <c r="Z185" s="3">
        <f>3064+(493.6-458.8)+(0+(0-0))+0-543.6-0</f>
        <v>2555.2000000000003</v>
      </c>
      <c r="AA185" s="3">
        <f>2872.1+(622.4-374.7)+(0+(0-0))+0-646-0</f>
        <v>2473.7999999999997</v>
      </c>
      <c r="AB185" s="3">
        <f>2789.9+(561.9-389.7)+(0+(0-0))+0-588.2-0</f>
        <v>2373.8999999999996</v>
      </c>
      <c r="AC185" s="3">
        <f>2736.4+(592.1-372.3)+(0+(0-0))+0-676.7-0</f>
        <v>2279.5</v>
      </c>
      <c r="AD185" s="2">
        <v>2583.4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2601+(683.9-489.5)+(-2.65302+(-0.697578--0.49929))+0-615.7--0.628014000000098</f>
        <v>2177.4767060000004</v>
      </c>
      <c r="G186" s="3">
        <f>2308.1+(833.1-466.1)+(-5.885655+(-2.124405--1.188555))+0-700.9--1.7872949999999</f>
        <v>1969.1657899999998</v>
      </c>
      <c r="H186" s="3">
        <f>2181.7+(948.1-541.2)+(-1.112667+(-0.483531--0.276012))+0-686.4--0.35006399999993</f>
        <v>1901.2298779999999</v>
      </c>
      <c r="I186" s="3">
        <f>2171.8+(1013.8-614.3)+(-2.215236+(-1.034076--0.626586))+0-697.9--0.711858000000111</f>
        <v>1871.4891320000002</v>
      </c>
      <c r="J186" s="3">
        <f>2109.3+(1067.7-611.8)+(1.075743+(0.544527-0.312018))+0-692.7-0.35327699999993</f>
        <v>1873.4549750000001</v>
      </c>
      <c r="K186" s="3">
        <f>2101.4+(954.6-701.7)+(-6.430284+(-2.921076--2.147202))+0-524--1.60344000000006</f>
        <v>1824.6992820000003</v>
      </c>
      <c r="L186" s="3">
        <f>1971.5+(811-600.8)+(-1.005465+(-0.41361--0.306408))+0-416.1--0.212210999999958</f>
        <v>1764.6995440000001</v>
      </c>
      <c r="M186" s="3">
        <f>1970.9+(1006.4-467.8)+(1.005159+(0.513264-0.238578))+0-679.2-0.346391999999931</f>
        <v>1831.2334530000001</v>
      </c>
      <c r="N186" s="3">
        <f>2098.6+(803.8-395.1)+(-3.210858+(-1.229814--0.604503))+0-592.4--0.906372000000034</f>
        <v>1911.9702029999996</v>
      </c>
      <c r="O186" s="3">
        <f>2182.8+(889.4-383.9)+(-6.679368+(-2.721564--1.174734))+0-682.9--2.08967400000008</f>
        <v>1999.2634760000003</v>
      </c>
      <c r="P186" s="3">
        <f>2234.3+(951.2-339.1)+(-4.557972+(-1.940448--0.691764))+0-739.8--1.50919199999997</f>
        <v>2102.3025359999997</v>
      </c>
      <c r="Q186" s="3">
        <f>2237.1+(832.5-331.6)+(4.563684+(1.6983-0.676464))+0-609.3-1.24297199999997</f>
        <v>2133.0425480000004</v>
      </c>
      <c r="R186" s="3">
        <f>2232+(712.4-205.3)+(1.13832+(0.363324-0.104703))+0-666.3-0.339812999999932</f>
        <v>2073.8571280000001</v>
      </c>
      <c r="S186" s="3">
        <f>2218.2+(815.4-278.3)+(1.131282+(0.415854-0.141933))+0-717.1-0.365720999999927</f>
        <v>2039.2394819999997</v>
      </c>
      <c r="T186" s="3">
        <f>2213.9+(734.7-352.8)+(-4.516356+(-1.498788--0.719712))+0-582.5--1.18829999999997</f>
        <v>2009.1928680000003</v>
      </c>
      <c r="U186" s="3">
        <f>2208.8+(883.2-400.1)+(-4.505952+(-1.801728--0.816204))+0-661.4--1.34925599999997</f>
        <v>2026.3577799999998</v>
      </c>
      <c r="V186" s="3">
        <f>2201.5+(892.8-473.5)+(-7.859355+(-3.187296--1.690395))+0-607.1--2.16734700000001</f>
        <v>2006.5110910000003</v>
      </c>
      <c r="W186" s="3">
        <f>2143.8+(804.6-272.5)+(-1.093338+(-0.410346--0.138975))+0-638.4--0.325583999999935</f>
        <v>2036.460875</v>
      </c>
      <c r="X186" s="3">
        <f>2303.3+(713.3-120.5)+(-2.349366+(-0.727566--0.12291))+0-638.5--0.651270000000102</f>
        <v>2255.2972480000008</v>
      </c>
      <c r="Y186" s="3">
        <f>2326.4+(759.7-117.1)+(-3.559392+(-1.162341--0.179163))+0-659.4--1.00888200000004</f>
        <v>2306.0663119999999</v>
      </c>
      <c r="Z186" s="3">
        <f>2344.2+(685.4-88.6)+(-4.782168+(-1.398216--0.180744))+0-662.2--1.35088799999997</f>
        <v>2274.1512480000001</v>
      </c>
      <c r="AA186" s="3">
        <f>2342.5+(581.7-121.5)+(-4.7787+(-1.186668--0.24786))+0-585.9--1.19523599999997</f>
        <v>2212.2777279999996</v>
      </c>
      <c r="AB186" s="3">
        <f>2349.6+(662.8-224.8)+(-2.396592+(-0.676056--0.229296))+0-657.8--0.670956000000105</f>
        <v>2127.6276040000002</v>
      </c>
      <c r="AC186" s="3">
        <f>2291.3+(802.5-413.9)+(-7.011378+(-2.45565--1.266534))+0-655.4--2.00552400000008</f>
        <v>2018.30503</v>
      </c>
      <c r="AD186" s="2">
        <v>2302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2207.5+(744.1-550)+(0+(0-0))+0-472.2-0</f>
        <v>1929.3999999999999</v>
      </c>
      <c r="G187" s="3">
        <f>2191.8+(1076.5-699.9)+(-3.353454+(-1.647045--1.070847))+0-685.3--1.04850900000004</f>
        <v>1880.2188570000003</v>
      </c>
      <c r="H187" s="3">
        <f>2202.4+(1102.8-778.7)+(-2.246448+(-1.124856--0.794274))+0-674.8--0.688296000000108</f>
        <v>1849.8112660000002</v>
      </c>
      <c r="I187" s="3">
        <f>2201.1+(946.5-743)+(-3.367683+(-1.448145--1.13679))+0-577.5--0.883575000000033</f>
        <v>1824.3045369999998</v>
      </c>
      <c r="J187" s="3">
        <f>2210.7+(921.5-674.8)+(0+(0-0))+0-617.5-0</f>
        <v>1839.8999999999996</v>
      </c>
      <c r="K187" s="3">
        <f>2135.6+(964.6-552.2)+(-2.178312+(-0.983892--0.563244))+0-698.1--0.712062000000111</f>
        <v>1848.0131020000003</v>
      </c>
      <c r="L187" s="3">
        <f>1786.6+(837.3-420.6)+(0+(0-0))+0-296.5-0</f>
        <v>1906.7999999999997</v>
      </c>
      <c r="M187" s="3">
        <f>1797.6+(916.8-182.7)+(-0.916776+(-0.467568--0.093177))+0-391.3--0.19956299999996</f>
        <v>2139.3083959999999</v>
      </c>
      <c r="N187" s="3">
        <f>2217.3+(923.2-360.2)+(-2.261646+(-0.941664--0.367404))+0-399.4--0.407388000000064</f>
        <v>2378.4714820000004</v>
      </c>
      <c r="O187" s="3">
        <f>2345.3+(923.8-326.6)+(2.392206+(0.942276-0.333132))+0-421.2-0.429624000000067</f>
        <v>2523.8717260000003</v>
      </c>
      <c r="P187" s="3">
        <f>2546.1+(909-243.9)+(-1.298511+(-0.46359--0.124389))+0-615.1--0.313700999999938</f>
        <v>2594.7759889999998</v>
      </c>
      <c r="Q187" s="3">
        <f>2765+(615.4-307.9)+(-1.41015+(-0.313854--0.157029))+0-417.8--0.213077999999958</f>
        <v>2653.3461029999994</v>
      </c>
      <c r="R187" s="3">
        <f>2855.5+(411.5-303.3)+(-2.91261+(-0.41973--0.309366))+0-496.2--0.506124000000079</f>
        <v>2464.98315</v>
      </c>
      <c r="S187" s="3">
        <f>2952.6+(420.3-374.7)+(-4.517478+(-0.643059--0.573291))+0-522.2--0.79896600000003</f>
        <v>2472.2117199999998</v>
      </c>
      <c r="T187" s="3">
        <f>3011+(373.5-404.4)+(-4.60683+(-0.571455--0.618732))+0-368.9--0.564417000000021</f>
        <v>2607.2048639999998</v>
      </c>
      <c r="U187" s="3">
        <f>3000.6+(474.4-425.4)+(-4.590918+(-0.725832--0.650862))+0-442.4--0.676872000000026</f>
        <v>2603.2109839999998</v>
      </c>
      <c r="V187" s="3">
        <f>2892.5+(728.8-566.1)+(-7.375875+(-1.85844--1.443555))+0-560.5--1.42927499999992</f>
        <v>2488.3385149999999</v>
      </c>
      <c r="W187" s="3">
        <f>2768.3+(732.3-459.4)+(-4.235499+(-1.120419--0.702882))+0-521.9--0.79850700000003</f>
        <v>2515.445471</v>
      </c>
      <c r="X187" s="3">
        <f>2816.3+(730.7-237.6)+(0+(0-0))+0-586.8-0</f>
        <v>2722.6000000000004</v>
      </c>
      <c r="Y187" s="3">
        <f>2849.1+(567-267.4)+(-7.265205+(-1.44585--0.68187))+0-459--1.17044999999993</f>
        <v>2682.841265</v>
      </c>
      <c r="Z187" s="3">
        <f>2864.5+(590.5-188.8)+(-5.84358+(-1.20462--0.385152))+0-670.7--1.36822799999997</f>
        <v>2590.2051799999995</v>
      </c>
      <c r="AA187" s="3">
        <f>2880.3+(605.1-479.6)+(-5.875812+(-1.234404--0.978384))+0-507.2--1.03468799999998</f>
        <v>2493.5028560000005</v>
      </c>
      <c r="AB187" s="3">
        <f>2827.1+(669.6-623.9)+(-5.767284+(-1.365984--1.272756))+0-499--1.01795999999998</f>
        <v>2368.9574480000001</v>
      </c>
      <c r="AC187" s="3">
        <f>2510.6+(944.3-780.5)+(-3.841218+(-1.444779--1.194165))+0-438.6--0.671058000000025</f>
        <v>2232.3792259999996</v>
      </c>
      <c r="AD187" s="2">
        <v>2711.7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2475.9+(1084.5-951.1)+(-1.262709+(-0.553095--0.485061))+0-512.5--0.261374999999948</f>
        <v>2095.7306320000002</v>
      </c>
      <c r="G188" s="3">
        <f>2522.8+(1267.8-1037.3)+(-5.146512+(-2.586312--2.116092))+0-708.9--1.44615599999997</f>
        <v>2040.2294240000001</v>
      </c>
      <c r="H188" s="3">
        <f>2531.7+(1102.3-984.1)+(-3.873501+(-1.686519--1.505673))+0-645.2--0.987156000000037</f>
        <v>2001.632809</v>
      </c>
      <c r="I188" s="3">
        <f>2535.2+(1074.4-916.6)+(-3.878856+(-1.643832--1.402398))+0-702.3--1.07451900000004</f>
        <v>1987.6542290000002</v>
      </c>
      <c r="J188" s="3">
        <f>2351.5+(1058.3-767)+(2.39853+(1.079466-0.78234))+0-679.4-0.692988000000108</f>
        <v>1965.4026679999999</v>
      </c>
      <c r="K188" s="3">
        <f>2283+(1089.1-795)+(-3.49299+(-1.666323--1.21635))+0-626.2--0.958086000000036</f>
        <v>1947.915123</v>
      </c>
      <c r="L188" s="3">
        <f>2285.5+(834.2-504.3)+(2.33121+(0.850884-0.514386))+0-619.7-0.632094000000099</f>
        <v>1997.7356139999999</v>
      </c>
      <c r="M188" s="3">
        <f>2395.4+(899.3-513.9)+(2.443308+(0.917286-0.524178))+0-478.1-0.487662000000076</f>
        <v>2305.0487540000004</v>
      </c>
      <c r="N188" s="3">
        <f>2735.9+(735.7-578.9)+(1.395309+(0.375207-0.295239))+0-398.9-0.20343899999996</f>
        <v>2495.0718380000003</v>
      </c>
      <c r="O188" s="3">
        <f>3062.1+(621.8-839.7)+(-1.561671+(-0.317118--0.428247))+0-334.9--0.170798999999966</f>
        <v>2508.0202569999997</v>
      </c>
      <c r="P188" s="3">
        <f>3411.2+(512.5-879.8)+(-5.219136+(-0.784125--1.346094))+0-423.5--0.647955000000024</f>
        <v>2616.3907879999997</v>
      </c>
      <c r="Q188" s="3">
        <f>3542.3+(743.3-953.9)+(-1.806573+(-0.379083--0.486489))+0-643.2--0.328031999999935</f>
        <v>2687.1288650000001</v>
      </c>
      <c r="R188" s="3">
        <f>3227.7+(468.5-759.4)+(4.938381+(0.716805-1.161882))+0-420-0.642600000000024</f>
        <v>2520.6507039999997</v>
      </c>
      <c r="S188" s="3">
        <f>3489.5+(527.3-1111.3)+(3.55929+(0.537846-1.133526))+0-427.5-0.436050000000068</f>
        <v>2480.5275599999995</v>
      </c>
      <c r="T188" s="3">
        <f>3540+(503.9-1061.1)+(-3.6108+(-0.513978--1.082322))+0-426.5--0.435030000000068</f>
        <v>2553.6925740000001</v>
      </c>
      <c r="U188" s="3">
        <f>3334.1+(406.3-856.3)+(-8.501955+(-1.036065--2.183565))+0-365.2--0.931259999999947</f>
        <v>2512.4768049999998</v>
      </c>
      <c r="V188" s="3">
        <f>2930.7+(523.7-363.8)+(-7.473285+(-1.335435--0.92769))+0-606.1--1.54555499999991</f>
        <v>2478.1645249999997</v>
      </c>
      <c r="W188" s="3">
        <f>2756.5+(692.4-428)+(-2.81163+(-0.706248--0.43656))+0-459.9--0.469098000000073</f>
        <v>2558.38778</v>
      </c>
      <c r="X188" s="3">
        <f>3005.7+(678.1-375.4)+(-1.532907+(-0.345831--0.191454))+0-506.6--0.258365999999949</f>
        <v>2800.3710819999997</v>
      </c>
      <c r="Y188" s="3">
        <f>2957.6+(463.5-283.1)+(-6.033504+(-0.94554--0.577524))+0-451.9--0.92187599999998</f>
        <v>2680.6203559999999</v>
      </c>
      <c r="Z188" s="3">
        <f>2918.1+(510.4-253.4)+(-4.464693+(-0.780912--0.387702))+0-593.3--0.907749000000034</f>
        <v>2577.8498460000001</v>
      </c>
      <c r="AA188" s="3">
        <f>2867.6+(758.2-515.2)+(-8.774856+(-2.320092--1.576512))+0-610.4--1.86782400000007</f>
        <v>2492.5493879999999</v>
      </c>
      <c r="AB188" s="3">
        <f>2802.7+(711.3-508.1)+(-4.288131+(-1.088289--0.777393))+0-627.5--0.960075000000036</f>
        <v>2374.7610479999994</v>
      </c>
      <c r="AC188" s="3">
        <f>2602.8+(816.3-689.5)+(0+(0-0))+0-512.9-0</f>
        <v>2216.7000000000003</v>
      </c>
      <c r="AD188" s="2">
        <v>2627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2372.5+(900.1-711.7)+(-1.209975+(-0.459051--0.362967))+0-484.2--0.246941999999951</f>
        <v>2075.640883</v>
      </c>
      <c r="G189" s="3">
        <f>2339+(922.5-770.9)+(-4.77156+(-1.8819--1.572636))+0-506--1.03223999999998</f>
        <v>1980.5514159999998</v>
      </c>
      <c r="H189" s="3">
        <f>2306.1+(1005.3-707.7)+(-1.176111+(-0.512703--0.360927))+0-650.7--0.331856999999934</f>
        <v>1952.0039699999998</v>
      </c>
      <c r="I189" s="3">
        <f>2217.9+(957.1-691.2)+(-2.262258+(-0.976242--0.705024))+0-560--0.571200000000089</f>
        <v>1921.8377240000002</v>
      </c>
      <c r="J189" s="3">
        <f>2218.5+(911.2-617.1)+(3.394305+(1.394136-0.944163))+0-585-0.895050000000034</f>
        <v>1930.5492279999999</v>
      </c>
      <c r="K189" s="3">
        <f>2177.7+(855.8-449.6)+(-3.331881+(-1.309374--0.687888))+0-653.8--1.00031400000004</f>
        <v>1927.1469469999997</v>
      </c>
      <c r="L189" s="3">
        <f>2008.3+(774.8-309.3)+(-1.024233+(-0.395148--0.157743))+0-500.4--0.255203999999949</f>
        <v>1972.3935659999997</v>
      </c>
      <c r="M189" s="3">
        <f>2150.2+(679.1-265.7)+(4.386408+(1.385364-0.542028))+0-368.7-0.752147999999984</f>
        <v>2199.3775960000003</v>
      </c>
      <c r="N189" s="3">
        <f>2252.4+(684.4-306.2)+(-1.148724+(-0.349044--0.156162))+0-216.2--0.110261999999978</f>
        <v>2413.1686560000003</v>
      </c>
      <c r="O189" s="3">
        <f>2485.8+(645.9-344.1)+(1.267758+(0.329409-0.175491))+0-194.6-0.0992459999999803</f>
        <v>2594.3224300000006</v>
      </c>
      <c r="P189" s="3">
        <f>2637.8+(661.5-311.6)+(0+(0-0))+0-336.9-0</f>
        <v>2650.8</v>
      </c>
      <c r="Q189" s="3">
        <f>2639.4+(655.8-259.2)+(2.692188+(0.668916-0.264384))+0-348.7-0.355674000000056</f>
        <v>2690.0410460000003</v>
      </c>
      <c r="R189" s="3">
        <f>2667+(490.2-262.7)+(-4.08051+(-0.750006--0.401931))+0-394--0.602820000000023</f>
        <v>2496.674235</v>
      </c>
      <c r="S189" s="3">
        <f>2802.6+(578.6-448.8)+(-4.287978+(-0.885258--0.686664))+0-453--0.693090000000026</f>
        <v>2475.6065180000005</v>
      </c>
      <c r="T189" s="3">
        <f>2812.7+(661.5-410.4)+(-7.172385+(-1.686825--1.04652))+0-506--1.29029999999993</f>
        <v>2551.2776099999996</v>
      </c>
      <c r="U189" s="3">
        <f>2742.4+(716.5-499.9)+(-8.391744+(-2.19249--1.529694))+0-409.9--1.25429400000005</f>
        <v>2541.2997539999997</v>
      </c>
      <c r="V189" s="3">
        <f>2741.6+(812.8-493)+(-9.787512+(-2.901696--1.76001))+0-560.8--2.00205600000001</f>
        <v>2491.6728579999995</v>
      </c>
      <c r="W189" s="3">
        <f>2708.2+(732.6-501.5)+(-2.762364+(-0.747252--0.51153))+0-414--0.422280000000066</f>
        <v>2522.7241939999999</v>
      </c>
      <c r="X189" s="3">
        <f>2885+(842-310)+(-4.41405+(-1.28826--0.4743))+0-575--0.879750000000033</f>
        <v>2837.6517400000002</v>
      </c>
      <c r="Y189" s="3">
        <f>2926.8+(701.4-335)+(-5.970672+(-1.430856--0.6834))+0-513.2--1.04692799999998</f>
        <v>2774.3288000000007</v>
      </c>
      <c r="Z189" s="3">
        <f>2939.7+(566.2-472)+(-7.496235+(-1.44381--1.2036))+0-471.1--1.20130499999993</f>
        <v>2556.2648599999998</v>
      </c>
      <c r="AA189" s="3">
        <f>2928.7+(593.8-528.2)+(-8.961822+(-1.817028--1.616292))+0-534.7--1.63618200000006</f>
        <v>2452.0736239999997</v>
      </c>
      <c r="AB189" s="3">
        <f>2851.4+(660-735.7)+(-5.816856+(-1.3464--1.500828))+0-425.9--0.868835999999981</f>
        <v>2345.0064079999997</v>
      </c>
      <c r="AC189" s="3">
        <f>2628.3+(925.5-766.1)+(-6.702165+(-2.360025--1.953555))+0-576--1.46879999999992</f>
        <v>2206.0601650000003</v>
      </c>
      <c r="AD189" s="2">
        <v>2550.3000000000002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2334.5+(1077.6-767.4)+(-1.190595+(-0.549576--0.391374))+0-568.6--0.289985999999942</f>
        <v>2075.0411889999996</v>
      </c>
      <c r="G190" s="3">
        <f>2251.3+(1057.5-714.8)+(-2.296326+(-1.07865--0.729096))+0-606.9--0.619038000000097</f>
        <v>1985.0731579999999</v>
      </c>
      <c r="H190" s="3">
        <f>2181.9+(1038.9-635.3)+(-1.112769+(-0.529839--0.324003))+0-640.5--0.326654999999935</f>
        <v>1944.0080499999999</v>
      </c>
      <c r="I190" s="3">
        <f>2180.3+(915.4-616.3)+(-5.559765+(-2.33427--1.571565))+0-552.8--1.40963999999992</f>
        <v>1921.6871699999999</v>
      </c>
      <c r="J190" s="3">
        <f>2131+(878.7-516.5)+(1.08681+(0.448137-0.263415))+0-576.8-0.294167999999941</f>
        <v>1917.3773640000002</v>
      </c>
      <c r="K190" s="3">
        <f>2084.6+(905.9-493.5)+(-5.31573+(-2.310045--1.258425))+0-589.1--1.50220499999991</f>
        <v>1903.0348550000001</v>
      </c>
      <c r="L190" s="3">
        <f>1933.1+(860-245.4)+(-0.985881+(-0.4386--0.125154))+0-627.8--0.320177999999936</f>
        <v>1918.9208509999996</v>
      </c>
      <c r="M190" s="3">
        <f>1916.4+(873.6-122.2)+(-0.977364+(-0.445536--0.062322))+0-515.7--0.263006999999948</f>
        <v>2151.0024290000006</v>
      </c>
      <c r="N190" s="3">
        <f>2088+(904.8-94.6)+(0+(0-0))+0-517.9-0</f>
        <v>2380.2999999999997</v>
      </c>
      <c r="O190" s="3">
        <f>2357.1+(889.1-117.4)+(0+(0-0))+0-617.4-0</f>
        <v>2511.4</v>
      </c>
      <c r="P190" s="3">
        <f>2357.9+(882.7-168.1)+(-2.405058+(-0.900354--0.171462))+0-484.5--0.494190000000077</f>
        <v>2585.36024</v>
      </c>
      <c r="Q190" s="3">
        <f>2512.9+(991.1-186.3)+(-1.281579+(-0.505461--0.095013))+0-683.5--0.348584999999931</f>
        <v>2632.8565579999995</v>
      </c>
      <c r="R190" s="3">
        <f>2622.1+(718.5-345.6)+(-2.674542+(-0.73287--0.352512))+0-539.4--0.550188000000086</f>
        <v>2453.095288</v>
      </c>
      <c r="S190" s="3">
        <f>2652.2+(776.7-339.5)+(-4.057866+(-1.188351--0.519435))+0-657--1.00521000000004</f>
        <v>2428.6784279999997</v>
      </c>
      <c r="T190" s="3">
        <f>2745.3+(634.7-427.2)+(-1.400103+(-0.323697--0.217872))+0-462.9--0.236078999999953</f>
        <v>2488.6301509999998</v>
      </c>
      <c r="U190" s="3">
        <f>2900.6+(758-613.4)+(-7.39653+(-1.9329--1.56417))+0-573.4--1.46216999999992</f>
        <v>2465.4969099999994</v>
      </c>
      <c r="V190" s="3">
        <f>2914.6+(801-667.9)+(-2.972892+(-0.81702--0.681258))+0-624.7--0.6371940000001</f>
        <v>2420.5285399999993</v>
      </c>
      <c r="W190" s="3">
        <f>2751+(1026.3-793.5)+(-4.20903+(-1.570239--1.214055))+0-534.8--0.818244000000031</f>
        <v>2445.2530299999999</v>
      </c>
      <c r="X190" s="3">
        <f>2971.3+(1036.6-752.8)+(-1.515363+(-0.528666--0.383928))+0-617.2--0.314771999999937</f>
        <v>2636.5546709999999</v>
      </c>
      <c r="Y190" s="3">
        <f>2987.6+(799.8-611.3)+(-9.142056+(-2.447388--1.870578))+0-586.1--1.79346600000007</f>
        <v>2582.0745999999999</v>
      </c>
      <c r="Z190" s="3">
        <f>2949.3+(667.9-542.2)+(-1.504143+(-0.340629--0.276522))+0-568.6--0.289985999999942</f>
        <v>2505.1217360000001</v>
      </c>
      <c r="AA190" s="3">
        <f>2959.1+(666.9-493)+(-1.509141+(-0.340119--0.25143))+0-720--0.367199999999927</f>
        <v>2411.76937</v>
      </c>
      <c r="AB190" s="3">
        <f>2955.6+(437.1-542.9)+(-7.53678+(-1.114605--1.384395))+0-570.3--1.45426499999992</f>
        <v>2273.6872749999998</v>
      </c>
      <c r="AC190" s="3">
        <f>2774.8+(486.4-539.9)+(-4.245444+(-0.744192--0.826047))+0-592--0.905760000000034</f>
        <v>2126.0421710000005</v>
      </c>
      <c r="AD190" s="2">
        <v>2528.8000000000002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2650.5+(607.7-665.3)+(-5.40702+(-1.239708--1.357212))+0-591.5--1.20665999999997</f>
        <v>1997.3171440000003</v>
      </c>
      <c r="G191" s="3">
        <f>2288.9+(783.5-504.6)+(-5.836695+(-1.997925--1.28673))+0-646.6--1.64882999999991</f>
        <v>1916.3009400000003</v>
      </c>
      <c r="H191" s="3">
        <f>2189.3+(934.8-534.2)+(-5.582715+(-2.38374--1.36221))+0-703.1--1.7929049999999</f>
        <v>1881.98866</v>
      </c>
      <c r="I191" s="3">
        <f>2195.6+(845.3-596.6)+(-1.119756+(-0.431103--0.304266))+0-569.1--0.290240999999942</f>
        <v>1874.2436479999999</v>
      </c>
      <c r="J191" s="3">
        <f>2026.2+(1020.9-396.9)+(-2.066724+(-1.041318--0.404838))+0-762.3--0.777546000000122</f>
        <v>1885.974342</v>
      </c>
      <c r="K191" s="3">
        <f>1827.2+(1054.1-315.8)+(-4.65936+(-2.687955--0.80529))+0-682.2--1.7396099999999</f>
        <v>1878.4975849999996</v>
      </c>
      <c r="L191" s="3">
        <f>1826.7+(698.3-179.7)+(0+(0-0))+0-428.3-0</f>
        <v>1917.0000000000002</v>
      </c>
      <c r="M191" s="3">
        <f>2126.4+(685-214)+(-1.084464+(-0.34935--0.10914))+0-469.1--0.239240999999952</f>
        <v>2127.214567</v>
      </c>
      <c r="N191" s="3">
        <f>2233.3+(827.9-202.6)+(-2.277966+(-0.844458--0.206652))+0-509.7--0.519894000000081</f>
        <v>2346.5041220000007</v>
      </c>
      <c r="O191" s="3">
        <f>2453.9+(908.5-346)+(-1.251489+(-0.463335--0.17646))+0-543.7--0.277286999999945</f>
        <v>2471.4389229999997</v>
      </c>
      <c r="P191" s="3">
        <f>2654.5+(981.2-471.4)+(2.70759+(1.000824-0.480828))+0-598.3-0.610266000000095</f>
        <v>2568.6173199999998</v>
      </c>
      <c r="Q191" s="3">
        <f>2788+(969.6-600.5)+(0+(0-0))+0-549.6-0</f>
        <v>2607.5</v>
      </c>
      <c r="R191" s="3">
        <f>2968.7+(810.1-703.3)+(1.514037+(0.413151-0.358683))+0-561.3-0.286262999999943</f>
        <v>2515.482242</v>
      </c>
      <c r="S191" s="3">
        <f>2957.7+(609-681.5)+(3.016854+(0.62118-0.69513))+0-417.2-0.425544000000067</f>
        <v>2470.5173599999998</v>
      </c>
      <c r="T191" s="3">
        <f>2918.3+(832.2-745.3)+(-2.976666+(-0.848844--0.760206))+0-466.5--0.475830000000074</f>
        <v>2536.1105259999999</v>
      </c>
      <c r="U191" s="3">
        <f>2916.2+(673.1-697.4)+(-10.410834+(-2.402967--2.489718))+0-337.6--1.205232</f>
        <v>2545.1811489999996</v>
      </c>
      <c r="V191" s="3">
        <f>2841.9+(821.2-750.3)+(-2.898738+(-0.837624--0.765306))+0-481--0.490620000000077</f>
        <v>2429.3195640000004</v>
      </c>
      <c r="W191" s="3">
        <f>2696.6+(1015.1-792.5)+(0+(0-0))+0-460.8-0</f>
        <v>2458.3999999999996</v>
      </c>
      <c r="X191" s="3">
        <f>2932+(1323.5-1070.9)+(-1.49532+(-0.674985--0.546159))+0-509.3--0.259742999999948</f>
        <v>2673.9355969999997</v>
      </c>
      <c r="Y191" s="3">
        <f>3066.7+(1035-1144.5)+(-6.256068+(-2.1114--2.33478))+0-341.8--0.697271999999985</f>
        <v>2610.0645839999997</v>
      </c>
      <c r="Z191" s="3">
        <f>2958.3+(1143.6-1003.9)+(-3.017466+(-1.166472--1.023978))+0-557.2--0.568344000000089</f>
        <v>2538.2083840000005</v>
      </c>
      <c r="AA191" s="3">
        <f>2888.8+(996.3-837.8)+(-1.473288+(-0.508113--0.427278))+0-603.2--0.307631999999939</f>
        <v>2442.8535090000005</v>
      </c>
      <c r="AB191" s="3">
        <f>2853.4+(690.9-746.2)+(-10.186638+(-2.466513--2.663934))+0-499.4--1.78285800000001</f>
        <v>2290.493641</v>
      </c>
      <c r="AC191" s="3">
        <f>2488.2+(892.6-616)+(1.268982+(0.455226-0.31416))+0-598.4-0.305183999999939</f>
        <v>2167.504864</v>
      </c>
      <c r="AD191" s="2">
        <v>2716.2000000000003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2300.6+(965.8-577.8)+(-3.519918+(-1.477674--0.884034))+0-652.7--0.998631000000038</f>
        <v>2032.7850729999998</v>
      </c>
      <c r="G192" s="3">
        <f>2339.3+(1034.7-725.6)+(-3.579129+(-1.583091--1.110168))+0-695--1.06335000000004</f>
        <v>1950.4112980000002</v>
      </c>
      <c r="H192" s="3">
        <f>2159.3+(1070.8-680.8)+(-5.506215+(-2.73054--1.73604))+0-630.8--1.60853999999991</f>
        <v>1913.607825</v>
      </c>
      <c r="I192" s="3">
        <f>2058.1+(1119.9-594.4)+(-2.099262+(-1.142298--0.606288))+0-691.7--0.70553400000011</f>
        <v>1889.970262</v>
      </c>
      <c r="J192" s="3">
        <f>2030.6+(909.2-630.2)+(0+(0-0))+0-428.2-0</f>
        <v>1881.3999999999999</v>
      </c>
      <c r="K192" s="3">
        <f>2102.4+(739-558.4)+(-3.216672+(-1.13067--0.854352))+0-407.8--0.623934000000024</f>
        <v>1872.3309439999998</v>
      </c>
      <c r="L192" s="3">
        <f>2085+(1066.7-501.6)+(1.06335+(0.544017-0.255816))+0-767.1-0.391220999999922</f>
        <v>1883.9603300000003</v>
      </c>
      <c r="M192" s="3">
        <f>2129+(969.6-450.7)+(-1.08579+(-0.494496--0.229857))+0-570.3--0.290852999999942</f>
        <v>2076.5404240000003</v>
      </c>
      <c r="N192" s="3">
        <f>2312.4+(1054.6-350.2)+(-2.358648+(-1.075692--0.357204))+0-696.4--0.710328000000111</f>
        <v>2318.0331920000003</v>
      </c>
      <c r="O192" s="3">
        <f>2483.5+(1010.3-374.9)+(-1.266585+(-0.515253--0.191199))+0-665.8--0.339557999999932</f>
        <v>2451.8489190000005</v>
      </c>
      <c r="P192" s="3">
        <f>2831.3+(919.8-575)+(2.887926+(0.938196-0.5865))+0-636.7-0.649434000000102</f>
        <v>2541.9901880000007</v>
      </c>
      <c r="Q192" s="3">
        <f>3064.6+(998.8-1034.9)+(4.688838+(1.528164-1.583397))+0-465.3-0.711909000000027</f>
        <v>2567.1216959999997</v>
      </c>
      <c r="R192" s="3">
        <f>3138.9+(878.1-1245.8)+(-4.802517+(-1.343493--1.906074))+0-380.4--0.582012000000022</f>
        <v>2387.1420760000001</v>
      </c>
      <c r="S192" s="3">
        <f>2865.2+(707-877.5)+(0+(0-0))+0-358.1-0</f>
        <v>2336.6</v>
      </c>
      <c r="T192" s="3">
        <f>2750.6+(735.7-682.8)+(-4.208418+(-1.125621--1.044684))+0-465.3--0.711909000000027</f>
        <v>2334.622554</v>
      </c>
      <c r="U192" s="3">
        <f>2738.6+(565.8-522.9)+(-8.380116+(-1.731348--1.600074))+0-492.9--1.50827400000006</f>
        <v>2281.596884</v>
      </c>
      <c r="V192" s="3">
        <f>2499.9+(616.3-343.8)+(-7.649694+(-1.885878--1.052028))+0-552.3--1.69003800000006</f>
        <v>2213.3064939999999</v>
      </c>
      <c r="W192" s="3">
        <f>2468.7+(780.7-302.7)+(-5.036148+(-1.592628--0.617508))+0-658.7--1.34374799999997</f>
        <v>2283.3324799999996</v>
      </c>
      <c r="X192" s="3">
        <f>2718.5+(1057-700.1)+(0+(0-0))+0-565.7-0</f>
        <v>2509.6999999999998</v>
      </c>
      <c r="Y192" s="3">
        <f>2892.8+(949.9-790.9)+(-13.277952+(-4.360041--3.630231))+0-568.3--2.6084970000001</f>
        <v>2472.100735</v>
      </c>
      <c r="Z192" s="3">
        <f>2725+(654.7-471.9)+(-6.94875+(-1.669485--1.203345))+0-529.9--1.35124499999992</f>
        <v>2371.8363549999999</v>
      </c>
      <c r="AA192" s="3">
        <f>2598.2+(588.9-374.5)+(-3.975246+(-0.901017--0.572985))+0-520.2--0.79590600000003</f>
        <v>2288.8926280000001</v>
      </c>
      <c r="AB192" s="3">
        <f>2631.5+(641.3-504.2)+(-4.026195+(-0.981189--0.771426))+0-560.7--0.857871000000032</f>
        <v>2204.5219129999996</v>
      </c>
      <c r="AC192" s="3">
        <f>2671.9+(678.2-743.5)+(-4.088007+(-1.037646--1.137555))+0-491.4--0.751842000000028</f>
        <v>2111.9637440000006</v>
      </c>
      <c r="AD192" s="2">
        <v>2758.6000000000004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2672.1+(793.4-812.8)+(-5.451084+(-1.618536--1.658112))+0-653.4--1.33293599999997</f>
        <v>1995.2214279999996</v>
      </c>
      <c r="G193" s="3">
        <f>2534.8+(778.6-701.9)+(1.292748+(0.397086-0.357969))+0-707.7-0.360926999999928</f>
        <v>1904.7709380000001</v>
      </c>
      <c r="H193" s="3">
        <f>2499+(750.9-725.5)+(-1.27449+(-0.382959--0.370005))+0-675.9--0.344708999999931</f>
        <v>1847.5572649999999</v>
      </c>
      <c r="I193" s="3">
        <f>2497.2+(704.7-658.4)+(-3.820716+(-1.078191--1.007352))+0-742.4--1.13587200000004</f>
        <v>1798.3443169999998</v>
      </c>
      <c r="J193" s="3">
        <f>2433+(688.8-675.3)+(-1.24083+(-0.351288--0.344403))+0-654.5--0.333794999999934</f>
        <v>1791.08608</v>
      </c>
      <c r="K193" s="3">
        <f>2334.9+(638.9-733.7)+(-5.953995+(-1.629195--1.870935))+0-477.6--1.21787999999993</f>
        <v>1758.005625</v>
      </c>
      <c r="L193" s="3">
        <f>1935.2+(859-491.4)+(0+(0-0))+0-635-0</f>
        <v>1667.8000000000002</v>
      </c>
      <c r="M193" s="3">
        <f>2121.8+(885-646.3)+(-6.492708+(-2.7081--1.977678))+0-644.4--1.97186400000007</f>
        <v>1710.8487340000001</v>
      </c>
      <c r="N193" s="3">
        <f>2106.3+(749.4-518.1)+(-1.074213+(-0.382194--0.264231))+0-524.7--0.267596999999947</f>
        <v>1811.9754210000003</v>
      </c>
      <c r="O193" s="3">
        <f>2285.1+(715-456)+(-3.496203+(-1.09395--0.69768))+0-616.6--0.943398000000036</f>
        <v>1924.5509250000002</v>
      </c>
      <c r="P193" s="3">
        <f>2282.3+(621.1-368.8)+(-3.491919+(-0.950283--0.564264))+0-525.9--0.80462700000003</f>
        <v>2005.6266890000002</v>
      </c>
      <c r="Q193" s="3">
        <f>2640.9+(563.8-492.1)+(-2.693718+(-0.575076--0.501942))+0-688.2--0.70196400000011</f>
        <v>2022.3351119999998</v>
      </c>
      <c r="R193" s="3">
        <f>2660+(664.9-661.1)+(2.7132+(0.678198-0.674322))+0-692.9-0.70675800000011</f>
        <v>1972.910318</v>
      </c>
      <c r="S193" s="3">
        <f>2654.2+(695.3-721.4)+(-4.060926+(-1.063809--1.103742))+0-686.1--1.04973300000004</f>
        <v>1939.02874</v>
      </c>
      <c r="T193" s="3">
        <f>2558.6+(731.6-710.7)+(-3.914658+(-1.119348--1.087371))+0-647.3--0.990369000000037</f>
        <v>1929.2437340000004</v>
      </c>
      <c r="U193" s="3">
        <f>2524.5+(745.3-647.6)+(-6.437475+(-1.900515--1.65138))+0-706.6--1.8018299999999</f>
        <v>1910.7152199999996</v>
      </c>
      <c r="V193" s="3">
        <f>2480.2+(639.2-574.4)+(-6.32451+(-1.62996--1.46472))+0-641.3--1.63531499999991</f>
        <v>1898.8455649999999</v>
      </c>
      <c r="W193" s="3">
        <f>2478.2+(427.4-276.4)+(-2.527764+(-0.435948--0.281928))+0-693.3--0.707166000000111</f>
        <v>1933.9253820000001</v>
      </c>
      <c r="X193" s="3">
        <f>2513.5+(456.1-176.3)+(-1.281885+(-0.232611--0.089913))+0-612.8--0.312527999999938</f>
        <v>2179.3879449999999</v>
      </c>
      <c r="Y193" s="3">
        <f>2578.1+(452.3-155.2)+(-2.629662+(-0.461346--0.158304))+0-678.5--0.692070000000108</f>
        <v>2194.459366</v>
      </c>
      <c r="Z193" s="3">
        <f>2602.2+(418.5-169)+(-6.63561+(-1.067175--0.43095))+0-700.1--1.7852549999999</f>
        <v>2146.1134199999997</v>
      </c>
      <c r="AA193" s="3">
        <f>2538.6+(517.1-304.5)+(-1.294686+(-0.263721--0.155295))+0-630--0.321299999999936</f>
        <v>2120.1181879999999</v>
      </c>
      <c r="AB193" s="3">
        <f>2545.7+(634.6-511.6)+(-6.491535+(-1.61823--1.30458))+0-615--1.56824999999991</f>
        <v>2048.4630649999995</v>
      </c>
      <c r="AC193" s="3">
        <f>2544+(799.2-814.9)+(-2.59488+(-0.815184--0.831198))+0-572.9--0.584358000000091</f>
        <v>1953.4054920000003</v>
      </c>
      <c r="AD193" s="2">
        <v>2152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2522.9+(982.4-1027.8)+(-6.433395+(-2.50512--2.62089))+0-602.1--1.53535499999991</f>
        <v>1870.6177299999999</v>
      </c>
      <c r="G194" s="3">
        <f>2383.1+(1002.3-890.9)+(-3.646143+(-1.533519--1.363077))+0-704.2--1.07742600000004</f>
        <v>1787.560841</v>
      </c>
      <c r="H194" s="3">
        <f>2317.3+(1002.4-902.1)+(-5.909115+(-2.55612--2.300355))+0-653.4--1.66616999999991</f>
        <v>1759.7012900000004</v>
      </c>
      <c r="I194" s="3">
        <f>2264+(942.2-954.4)+(-4.61856+(-1.922088--1.946976))+0-505.2--1.03060799999998</f>
        <v>1743.0369360000002</v>
      </c>
      <c r="J194" s="3">
        <f>2261.5+(915.6-924.9)+(-3.460095+(-1.400868--1.415097))+0-500.7--0.766071000000029</f>
        <v>1748.8202049999998</v>
      </c>
      <c r="K194" s="3">
        <f>2134.7+(844.2-752.4)+(-1.088697+(-0.430542--0.383724))+0-471.8--0.240617999999952</f>
        <v>1753.8051030000001</v>
      </c>
      <c r="L194" s="3">
        <f>2137.8+(791.1-604.1)+(3.270834+(1.210383-0.924273))+0-492.6-0.753678000000028</f>
        <v>1835.0032660000002</v>
      </c>
      <c r="M194" s="3">
        <f>2214.4+(735.8-480.9)+(3.388032+(1.125774-0.735777))+0-412.4-0.630972000000024</f>
        <v>2060.0470570000002</v>
      </c>
      <c r="N194" s="3">
        <f>2474.2+(718.7-506.7)+(0+(0-0))+0-415.2-0</f>
        <v>2271</v>
      </c>
      <c r="O194" s="3">
        <f>2665.4+(647.8-393.8)+(0+(0-0))+0-504.7-0</f>
        <v>2414.7000000000003</v>
      </c>
      <c r="P194" s="3">
        <f>2670+(562.1-305.7)+(0+(0-0))+0-453.5-0</f>
        <v>2472.9</v>
      </c>
      <c r="Q194" s="3">
        <f>2664.9+(521.5-312.9)+(-4.077297+(-0.797895--0.478737))+0-356.7--0.545751000000021</f>
        <v>2512.9492960000002</v>
      </c>
      <c r="R194" s="3">
        <f>2651+(437-579.3)+(-8.11206+(-1.33722--1.772658))+0-158--0.483480000000018</f>
        <v>2343.5068579999997</v>
      </c>
      <c r="S194" s="3">
        <f>2637.9+(579.4-619)+(-2.690658+(-0.590988--0.63138))+0-258.7--0.263874000000041</f>
        <v>2337.2136080000005</v>
      </c>
      <c r="T194" s="3">
        <f>2619.6+(689.3-403.8)+(-1.335996+(-0.351543--0.205938))+0-533.8--0.272237999999946</f>
        <v>2370.0906369999998</v>
      </c>
      <c r="U194" s="3">
        <f>2613.8+(677.7-284.8)+(-2.666076+(-0.691254--0.290496))+0-655.9--0.669018000000105</f>
        <v>2348.402184</v>
      </c>
      <c r="V194" s="3">
        <f>2622.9+(499.4-276.3)+(-4.013037+(-0.764082--0.422739))+0-523.4--0.80080200000003</f>
        <v>2319.0464219999999</v>
      </c>
      <c r="W194" s="3">
        <f>2647.1+(571.9-181.1)+(5.400084+(1.166676-0.369444))+0-655-1.33619999999997</f>
        <v>2387.7611159999992</v>
      </c>
      <c r="X194" s="3">
        <f>2737.6+(1002.2-560.5)+(2.792352+(1.022244-0.57171))+0-596.5-0.608430000000095</f>
        <v>2585.434456</v>
      </c>
      <c r="Y194" s="3">
        <f>2755.5+(919.5-617.3)+(2.81061+(0.93789-0.629646))+0-522.7-0.533154000000083</f>
        <v>2537.5856999999992</v>
      </c>
      <c r="Z194" s="3">
        <f>2765+(801.7-436.5)+(0+(0-0))+0-692.2-0</f>
        <v>2438</v>
      </c>
      <c r="AA194" s="3">
        <f>2767.7+(634.2-487.5)+(1.411527+(0.323442-0.248625))+0-562.6-0.286925999999943</f>
        <v>2352.9994179999999</v>
      </c>
      <c r="AB194" s="3">
        <f>2736+(484.7-294.2)+(-6.9768+(-1.235985--0.75021))+0-691.1--1.7623049999999</f>
        <v>2229.6997299999998</v>
      </c>
      <c r="AC194" s="3">
        <f>2682.9+(369.1-291.1)+(-5.473116+(-0.752964--0.593844))+0-680--1.38719999999997</f>
        <v>2076.6549640000003</v>
      </c>
      <c r="AD194" s="2">
        <v>2537.6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2657.1+(681.6-736.4)+(-5.420484+(-1.390464--1.502256))+0-630.5--1.28621999999997</f>
        <v>1967.7775280000001</v>
      </c>
      <c r="G195" s="3">
        <f>2527.6+(841.3-746.1)+(-9.023532+(-3.003441--2.663577))+0-730.5--2.60788500000001</f>
        <v>1885.5444889999994</v>
      </c>
      <c r="H195" s="3">
        <f>2388.5+(864.9-779.2)+(2.43627+(0.882198-0.794784))+0-628.5-0.6410700000001</f>
        <v>1847.5826139999995</v>
      </c>
      <c r="I195" s="3">
        <f>2385.3+(889-796.5)+(-4.866012+(-1.81356--1.62486))+0-638.7--1.30294799999997</f>
        <v>1835.348236</v>
      </c>
      <c r="J195" s="3">
        <f>2396.5+(836.6-770.6)+(2.44443+(0.853332-0.786012))+0-619.2-0.631584000000099</f>
        <v>1845.1801659999999</v>
      </c>
      <c r="K195" s="3">
        <f>2300.4+(912.3-638.8)+(-3.519612+(-1.395819--0.977364))+0-711.1--1.08798300000004</f>
        <v>1859.9499160000003</v>
      </c>
      <c r="L195" s="3">
        <f>1970.5+(785.3-357.4)+(0+(0-0))+0-503.4-0</f>
        <v>1895</v>
      </c>
      <c r="M195" s="3">
        <f>2302.5+(727.8-247.3)+(-3.522825+(-1.113534--0.378369))+0-672.1--1.02831300000004</f>
        <v>2107.6703230000003</v>
      </c>
      <c r="N195" s="3">
        <f>2395+(654.4-267.4)+(1.22145+(0.333744-0.136374))+0-457.5-0.233324999999954</f>
        <v>2325.6854949999997</v>
      </c>
      <c r="O195" s="3">
        <f>2604.4+(784.3-256.4)+(-2.656488+(-0.799986--0.261528))+0-697.1--0.711042000000111</f>
        <v>2432.7160960000001</v>
      </c>
      <c r="P195" s="3">
        <f>2658.3+(763.9-333.8)+(-1.355733+(-0.389589--0.170238))+0-573.6--0.292535999999942</f>
        <v>2513.517452</v>
      </c>
      <c r="Q195" s="3">
        <f>2683+(597.8-123.9)+(4.10499+(0.914634-0.189567))+0-633.3-0.968949000000036</f>
        <v>2527.4611080000004</v>
      </c>
      <c r="R195" s="3">
        <f>2720.4+(341-253.1)+(-5.549616+(-0.69564--0.516324))+0-486.5--0.992459999999979</f>
        <v>2317.0635280000001</v>
      </c>
      <c r="S195" s="3">
        <f>2743+(457.3-518.8)+(5.59572+(0.932892-1.058352))+0-359.1-0.732563999999984</f>
        <v>2327.1376960000002</v>
      </c>
      <c r="T195" s="3">
        <f>2747.6+(385.9-422.4)+(-1.401276+(-0.196809--0.215424))+0-351.8--0.179417999999964</f>
        <v>2358.0967569999998</v>
      </c>
      <c r="U195" s="3">
        <f>2750.9+(400.4-336.7)+(-7.014795+(-1.02102--0.858585))+0-360.4--0.919019999999948</f>
        <v>2447.9417899999999</v>
      </c>
      <c r="V195" s="3">
        <f>2508.2+(498.2-223.5)+(-8.954274+(-1.778574--0.797895))+0-337.1--1.203447</f>
        <v>2437.0684939999996</v>
      </c>
      <c r="W195" s="3">
        <f>2489.6+(669.3-350)+(-3.809088+(-1.024029--0.5355))+0-301.7--0.461601000000017</f>
        <v>2503.3639839999996</v>
      </c>
      <c r="X195" s="3">
        <f>2728+(1117-681)+(-5.56512+(-2.27868--1.38924))+0-460.7--0.93982799999998</f>
        <v>2697.7852680000001</v>
      </c>
      <c r="Y195" s="3">
        <f>2829.8+(873.7-723.8)+(-7.21599+(-2.227935--1.84569))+0-356.9--0.910094999999948</f>
        <v>2616.11186</v>
      </c>
      <c r="Z195" s="3">
        <f>2892.8+(605.8-595.2)+(-5.901312+(-1.235832--1.214208))+0-405.8--0.827831999999982</f>
        <v>2492.5048959999999</v>
      </c>
      <c r="AA195" s="3">
        <f>2851.5+(510.7-603.9)+(-7.271325+(-1.302285--1.539945))+0-355.1--0.905504999999948</f>
        <v>2397.0718400000001</v>
      </c>
      <c r="AB195" s="3">
        <f>2502.6+(555-336.1)+(1.276326+(0.28305-0.171411))+0-347.4-0.177173999999965</f>
        <v>2375.3107909999999</v>
      </c>
      <c r="AC195" s="3">
        <f>2430+(572.4-393.1)+(-6.1965+(-1.45962--1.002405))+0-403.3--1.02841499999994</f>
        <v>2200.3746999999998</v>
      </c>
      <c r="AD195" s="2">
        <v>2625.2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2311.9+(682.9-582.7)+(-1.179069+(-0.348279--0.297177))+0-423.1--0.215780999999957</f>
        <v>1987.9856099999997</v>
      </c>
      <c r="G196" s="3">
        <f>2308.2+(964.4-873.1)+(-1.177182+(-0.491844--0.445281))+0-476.3--0.242912999999952</f>
        <v>1922.2191680000003</v>
      </c>
      <c r="H196" s="3">
        <f>2271.3+(973.2-830.1)+(3.475089+(1.488996-1.270053))+0-506.2-0.774486000000029</f>
        <v>1911.1195459999999</v>
      </c>
      <c r="I196" s="3">
        <f>2261.3+(903.6-870.2)+(3.459789+(1.382508-1.331406))+0-422.6-0.646578000000024</f>
        <v>1874.9643130000002</v>
      </c>
      <c r="J196" s="3">
        <f>2267.8+(845-780.6)+(-4.626312+(-1.7238--1.592424))+0-486--0.991439999999979</f>
        <v>1842.4337520000001</v>
      </c>
      <c r="K196" s="3">
        <f>2258+(931.4-756.5)+(-3.45474+(-1.425042--1.157445))+0-536.4--0.820692000000031</f>
        <v>1893.5983549999999</v>
      </c>
      <c r="L196" s="3">
        <f>2222.1+(856.3-541.2)+(-3.399813+(-1.310139--0.828036))+0-614.2--0.939726000000036</f>
        <v>1920.05781</v>
      </c>
      <c r="M196" s="3">
        <f>2287.3+(625.5-395.2)+(5.832615+(1.595025-1.00776))+0-403.9-1.02994499999994</f>
        <v>2119.0899350000004</v>
      </c>
      <c r="N196" s="3">
        <f>2370.6+(744-306.9)+(0+(0-0))+0-465.8-0</f>
        <v>2341.8999999999996</v>
      </c>
      <c r="O196" s="3">
        <f>2498.9+(747.1-293.4)+(3.823317+(1.143063-0.448902))+0-511.1-0.78198300000003</f>
        <v>2445.2354950000008</v>
      </c>
      <c r="P196" s="3">
        <f>2649.9+(773.6-439.5)+(0+(0-0))+0-492-0</f>
        <v>2492</v>
      </c>
      <c r="Q196" s="3">
        <f>2702.7+(561.3-218.1)+(2.756754+(0.572526-0.222462))+0-481.4-0.491028000000077</f>
        <v>2567.1157899999998</v>
      </c>
      <c r="R196" s="3">
        <f>2690.2+(416.1-308.8)+(-1.372002+(-0.212211--0.157488))+0-438--0.223379999999956</f>
        <v>2358.2966550000001</v>
      </c>
      <c r="S196" s="3">
        <f>2682.4+(578.6-363.5)+(2.736048+(0.590172-0.37077))+0-544.2-0.555084000000087</f>
        <v>2355.7003659999996</v>
      </c>
      <c r="T196" s="3">
        <f>2668.3+(474.6-366)+(4.082499+(0.726138-0.55998))+0-374.4-0.572832000000022</f>
        <v>2406.1758250000003</v>
      </c>
      <c r="U196" s="3">
        <f>2728.9+(550.8-339.8)+(0+(0-0))+0-546.2-0</f>
        <v>2393.6999999999998</v>
      </c>
      <c r="V196" s="3">
        <f>2780.4+(567.8-606.4)+(-1.418004+(-0.289578--0.309264))+0-382.6--0.195125999999961</f>
        <v>2357.9968080000003</v>
      </c>
      <c r="W196" s="3">
        <f>2842.2+(584.6-523)+(4.348566+(0.894438-0.80019))+0-485.9-0.743427000000028</f>
        <v>2421.5993869999998</v>
      </c>
      <c r="X196" s="3">
        <f>2843.2+(540.9-294.8)+(-2.900064+(-0.551718--0.300696))+0-484--0.493680000000077</f>
        <v>2602.6425939999999</v>
      </c>
      <c r="Y196" s="3">
        <f>2882.3+(431.6-323.8)+(-7.349865+(-1.10058--0.82569))+0-499--1.27244999999993</f>
        <v>2484.7476950000005</v>
      </c>
      <c r="Z196" s="3">
        <f>2872.1+(410.3-416.5)+(-5.859084+(-0.837012--0.84966))+0-476.4--0.971855999999979</f>
        <v>2384.6254200000003</v>
      </c>
      <c r="AA196" s="3">
        <f>2799.7+(433-504.8)+(-4.283541+(-0.66249--0.772344))+0-420.5--0.643365000000024</f>
        <v>2303.8696779999996</v>
      </c>
      <c r="AB196" s="3">
        <f>2803.4+(437.4-558.9)+(-7.14867+(-1.11537--1.425195))+0-424.8--1.08323999999994</f>
        <v>2251.3443949999996</v>
      </c>
      <c r="AC196" s="3">
        <f>2645.4+(583.9-597.4)+(-6.74577+(-1.488945--1.52337))+0-496--1.26479999999993</f>
        <v>2130.4534549999998</v>
      </c>
      <c r="AD196" s="2">
        <v>2497.9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2552.3+(924.1-1016.2)+(-1.301673+(-0.471291--0.518262))+0-477--0.243269999999952</f>
        <v>1982.188568</v>
      </c>
      <c r="G197" s="3">
        <f>2563.1+(987.9-998.3)+(1.307181+(0.503829-0.509133))+0-629.1-0.320840999999936</f>
        <v>1924.5810359999998</v>
      </c>
      <c r="H197" s="3">
        <f>2503.1+(903.3-905.6)+(2.553162+(0.921366-0.923712))+0-607-0.619140000000097</f>
        <v>1895.7316759999997</v>
      </c>
      <c r="I197" s="3">
        <f>2453.4+(1015.6-967.8)+(-1.251234+(-0.517956--0.493578))+0-644.2--0.328541999999935</f>
        <v>1856.0529300000003</v>
      </c>
      <c r="J197" s="3">
        <f>2240.3+(934.5-909.2)+(1.142553+(0.476595-0.463692))+0-425.8-0.217157999999957</f>
        <v>1840.7382980000004</v>
      </c>
      <c r="K197" s="3">
        <f>2230.8+(1040.6-768.4)+(-3.413124+(-1.592118--1.175652))+0-630.8--0.965124000000036</f>
        <v>1869.3355340000003</v>
      </c>
      <c r="L197" s="3">
        <f>2160.8+(958.5-601.1)+(2.204016+(0.97767-0.613122))+0-628.4-0.6409680000001</f>
        <v>1891.7275960000002</v>
      </c>
      <c r="M197" s="3">
        <f>2219.1+(812.8-457.1)+(2.263482+(0.829056-0.466242))+0-540.7-0.551514000000086</f>
        <v>2036.1747819999996</v>
      </c>
      <c r="N197" s="3">
        <f>2273.8+(762.3-322.7)+(-1.159638+(-0.388773--0.164577))+0-481.7--0.245666999999951</f>
        <v>2230.5618330000002</v>
      </c>
      <c r="O197" s="3">
        <f>2555.2+(665.5-318.1)+(-1.303152+(-0.339405--0.162231))+0-538.1--0.274430999999945</f>
        <v>2363.2941049999999</v>
      </c>
      <c r="P197" s="3">
        <f>2739.2+(627.2-338)+(0+(0-0))+0-375.1-0</f>
        <v>2653.2999999999997</v>
      </c>
      <c r="Q197" s="3">
        <f>2810.9+(532.7-364.9)+(-2.867118+(-0.543354--0.372198))+0-241.5--0.246330000000039</f>
        <v>2734.4080560000002</v>
      </c>
      <c r="R197" s="3">
        <f>2865.7+(361.7-441)+(1.461507+(0.184467-0.22491))+0-228.6-0.116585999999977</f>
        <v>2559.1044779999997</v>
      </c>
      <c r="S197" s="3">
        <f>2868.3+(592-671.3)+(0+(0-0))+0-302.2-0</f>
        <v>2486.8000000000002</v>
      </c>
      <c r="T197" s="3">
        <f>2858.7+(612.1-593.5)+(2.915874+(0.624342-0.60537))+0-481-0.490620000000077</f>
        <v>2398.7442259999998</v>
      </c>
      <c r="U197" s="3">
        <f>2900.2+(671.1-657.8)+(-7.39551+(-1.711305--1.67739))+0-529.6--1.35047999999992</f>
        <v>2377.8210550000003</v>
      </c>
      <c r="V197" s="3">
        <f>2774.1+(806.1-742.1)+(-4.244373+(-1.233333--1.135413))+0-495.3--0.757809000000029</f>
        <v>2339.2155159999998</v>
      </c>
      <c r="W197" s="3">
        <f>2479.8+(726.1-361.6)+(2.529396+(0.740622-0.368832))+0-453.5-0.462570000000072</f>
        <v>2393.2386160000001</v>
      </c>
      <c r="X197" s="3">
        <f>2674.2+(543.4-161.4)+(0+(0-0))+0-503.6-0</f>
        <v>2552.6</v>
      </c>
      <c r="Y197" s="3">
        <f>2669.4+(479.5-219.7)+(-5.445576+(-0.97818--0.448188))+0-469.5--0.95777999999998</f>
        <v>2454.6822120000006</v>
      </c>
      <c r="Z197" s="3">
        <f>2636.3+(563.3-357.8)+(-2.689026+(-0.574566--0.364956))+0-486.4--0.496128000000078</f>
        <v>2352.9974920000004</v>
      </c>
      <c r="AA197" s="3">
        <f>2633.5+(597.4-413.8)+(-1.343085+(-0.304674--0.211038))+0-539--0.274889999999945</f>
        <v>2276.938169</v>
      </c>
      <c r="AB197" s="3">
        <f>2653.5+(673.8-644.3)+(-6.766425+(-1.71819--1.642965))+0-531.8--1.35608999999992</f>
        <v>2145.7144400000002</v>
      </c>
      <c r="AC197" s="3">
        <f>2664.4+(768.4-783.1)+(-6.79422+(-1.95942--1.996905))+0-579.4--1.47746999999992</f>
        <v>2065.0207349999996</v>
      </c>
      <c r="AD197" s="2">
        <v>2833.7999999999997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2668.8+(965.9-1044.1)+(-4.083264+(-1.477827--1.597473))+0-618.6--0.946458000000036</f>
        <v>1968.9828400000004</v>
      </c>
      <c r="G198" s="3">
        <f>2645.9+(844.7-990.7)+(-6.747045+(-2.153985--2.526285))+0-596.7--1.52158499999991</f>
        <v>1898.3468399999999</v>
      </c>
      <c r="H198" s="3">
        <f>2623.7+(731.1-914.5)+(-4.014261+(-1.118583--1.399185))+0-562.5--0.860625000000033</f>
        <v>1874.9269659999998</v>
      </c>
      <c r="I198" s="3">
        <f>2551.6+(782.8-847.1)+(0+(0-0))+0-633.4-0</f>
        <v>1853.8999999999996</v>
      </c>
      <c r="J198" s="3">
        <f>2497.3+(665.6-899.3)+(-1.273623+(-0.339456--0.458643))+0-444.5--0.226694999999955</f>
        <v>1818.1722590000006</v>
      </c>
      <c r="K198" s="3">
        <f>2463.3+(701.5-855.7)+(-3.768849+(-1.073295--1.309221))+0-443.3--0.678249000000026</f>
        <v>1862.9453260000003</v>
      </c>
      <c r="L198" s="3">
        <f>2214.3+(781.6-644.9)+(1.129293+(0.398616-0.328899))+0-476.3-0.242912999999952</f>
        <v>1875.6560969999998</v>
      </c>
      <c r="M198" s="3">
        <f>2213.8+(776.6-637.4)+(1.129038+(0.396066-0.325074))+0-270-0.137699999999973</f>
        <v>2084.0623300000002</v>
      </c>
      <c r="N198" s="3">
        <f>2353+(846.6-640.4)+(1.20003+(0.431766-0.326604))+0-274.5-0.139994999999972</f>
        <v>2285.8651969999996</v>
      </c>
      <c r="O198" s="3">
        <f>2461.1+(794.3-591.7)+(1.255161+(0.405093-0.301767))+0-346.8-0.176867999999965</f>
        <v>2318.0816189999996</v>
      </c>
      <c r="P198" s="3">
        <f>2438.6+(648.4-391.5)+(0+(0-0))+0-263.7-0</f>
        <v>2431.8000000000002</v>
      </c>
      <c r="Q198" s="3">
        <f>2419.7+(666.1-177)+(0+(0-0))+0-465.3-0</f>
        <v>2443.4999999999995</v>
      </c>
      <c r="R198" s="3">
        <f>2407.7+(644-386.4)+(0+(0-0))+0-368.2-0</f>
        <v>2297.1</v>
      </c>
      <c r="S198" s="3">
        <f>2401.6+(749.7-388)+(-2.449632+(-0.764694--0.39576))+0-499.9--0.50989800000008</f>
        <v>2261.0913320000004</v>
      </c>
      <c r="T198" s="3">
        <f>2526.2+(744.6-489.4)+(-1.288362+(-0.379746--0.249594))+0-440.7--0.224756999999955</f>
        <v>2339.5062429999998</v>
      </c>
      <c r="U198" s="3">
        <f>2591.1+(653.4-552.7)+(-9.250227+(-2.332638--1.973139))+0-336.3--1.200591</f>
        <v>2347.0908649999992</v>
      </c>
      <c r="V198" s="3">
        <f>2528.1+(793.9-570.2)+(1.289331+(0.404889-0.290802))+0-452.7-0.230876999999954</f>
        <v>2300.2725409999998</v>
      </c>
      <c r="W198" s="3">
        <f>2365.7+(820.9-376.4)+(-2.413014+(-0.837318--0.383928))+0-408.4--0.416568000000065</f>
        <v>2399.3501639999999</v>
      </c>
      <c r="X198" s="3">
        <f>2433.1+(848-198.7)+(-4.963524+(-1.72992--0.405348))+0-492.5--1.00469999999998</f>
        <v>2584.6166039999994</v>
      </c>
      <c r="Y198" s="3">
        <f>2460.4+(816.2-238.6)+(-5.019216+(-1.665048--0.486744))+0-509.6--1.03958399999998</f>
        <v>2523.242064</v>
      </c>
      <c r="Z198" s="3">
        <f>2447.7+(648.6-261.8)+(-2.496654+(-0.661572--0.267036))+0-461.3--0.470526000000074</f>
        <v>2370.7793360000001</v>
      </c>
      <c r="AA198" s="3">
        <f>2461.8+(630.8-286.4)+(-6.27759+(-1.60854--0.73032))+0-503.9--1.28494499999993</f>
        <v>2296.4291349999999</v>
      </c>
      <c r="AB198" s="3">
        <f>2389.7+(658-338.6)+(-4.874988+(-1.34232--0.690744))+0-512.5--1.04549999999998</f>
        <v>2192.1189360000003</v>
      </c>
      <c r="AC198" s="3">
        <f>2094.5+(1025.2-450.6)+(-1.068195+(-0.522852--0.229806))+0-643.5--0.328184999999935</f>
        <v>2024.5669439999997</v>
      </c>
      <c r="AD198" s="2">
        <v>2455.8000000000002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1830.2+(1376-881.4)+(-0.933402+(-0.70176--0.449514))+0-427.3--0.217922999999957</f>
        <v>1896.532275</v>
      </c>
      <c r="G199" s="3">
        <f>1902+(1507.3-961.9)+(-4.8501+(-3.843615--2.452845))+0-563.4--1.43666999999992</f>
        <v>1879.1957999999997</v>
      </c>
      <c r="H199" s="3">
        <f>1923.2+(1297.6-860.7)+(0+(0-0))+0-505.2-0</f>
        <v>1854.8999999999999</v>
      </c>
      <c r="I199" s="3">
        <f>1924.7+(1456.2-812.6)+(-0.981597+(-0.742662--0.414426))+0-719.7--0.367046999999927</f>
        <v>1847.6572140000003</v>
      </c>
      <c r="J199" s="3">
        <f>1803+(1357.2-753.9)+(1.83906+(1.384344-0.768978))+0-535.8-0.546516000000085</f>
        <v>1872.4079099999999</v>
      </c>
      <c r="K199" s="3">
        <f>1802+(1390.7-653.6)+(-1.83804+(-1.418514--0.666672))+0-665.9--0.679218000000106</f>
        <v>1871.2893359999998</v>
      </c>
      <c r="L199" s="3">
        <f>1752.3+(1305.3-608.3)+(0.893673+(0.665703-0.310233))+0-605-0.308549999999939</f>
        <v>1845.2405930000002</v>
      </c>
      <c r="M199" s="3">
        <f>1825.6+(1348.5-493.9)+(0+(0-0))+0-632.7-0</f>
        <v>2047.4999999999998</v>
      </c>
      <c r="N199" s="3">
        <f>2114.5+(1185.9-493.6)+(1.078395+(0.604809-0.251736))+0-541.2-0.276011999999945</f>
        <v>2266.7554560000003</v>
      </c>
      <c r="O199" s="3">
        <f>2150.1+(1038.9-323.5)+(1.096551+(0.529839-0.164985))+0-546.9-0.278918999999945</f>
        <v>2319.7824860000001</v>
      </c>
      <c r="P199" s="3">
        <f>2055.4+(1136.2-174.9)+(-3.144762+(-1.738386--0.267597))+0-561.8--0.859554000000032</f>
        <v>2451.1440030000008</v>
      </c>
      <c r="Q199" s="3">
        <f>2143.4+(888-255.5)+(0+(0-0))+0-329.7-0</f>
        <v>2446.2000000000003</v>
      </c>
      <c r="R199" s="3">
        <f>2280.1+(811.2-472.4)+(-3.488553+(-1.241136--0.722772))+0-342.9--0.52463700000002</f>
        <v>2272.5177199999998</v>
      </c>
      <c r="S199" s="3">
        <f>2271.2+(947.5-556)+(-2.316624+(-0.96645--0.56712))+0-456.3--0.465426000000073</f>
        <v>2204.1494720000001</v>
      </c>
      <c r="T199" s="3">
        <f>2284.8+(1025-522.7)+(0+(0-0))+0-662.1-0</f>
        <v>2125.0000000000005</v>
      </c>
      <c r="U199" s="3">
        <f>2371.3+(1126.2-772.3)+(-2.418726+(-1.148724--0.787746))+0-628.9--0.6414780000001</f>
        <v>2094.1617740000002</v>
      </c>
      <c r="V199" s="3">
        <f>2318.5+(1031.3-699)+(-3.547305+(-1.577889--1.06947))+0-596.7--0.912951000000035</f>
        <v>2050.9572270000008</v>
      </c>
      <c r="W199" s="3">
        <f>2250.9+(964.3-468.1)+(2.295918+(0.983586-0.477462))+0-588.5-0.600270000000094</f>
        <v>2160.8017719999998</v>
      </c>
      <c r="X199" s="3">
        <f>2514.3+(974.2-372.9)+(-6.411465+(-2.48421--0.950895))+0-737.3--1.88011499999989</f>
        <v>2372.2353350000003</v>
      </c>
      <c r="Y199" s="3">
        <f>2606.4+(808.4-402.8)+(-3.987792+(-1.236852--0.616284))+0-684.5--1.04728500000004</f>
        <v>2323.9389249999999</v>
      </c>
      <c r="Z199" s="3">
        <f>2575.6+(724.3-450.9)+(-6.56778+(-1.846965--1.149795))+0-608.4--1.55141999999991</f>
        <v>2234.8864699999995</v>
      </c>
      <c r="AA199" s="3">
        <f>2666.5+(724.2-532.6)+(-4.079745+(-1.108026--0.814878))+0-694.9--1.06319700000004</f>
        <v>2159.8903039999996</v>
      </c>
      <c r="AB199" s="3">
        <f>2601.2+(760.9-697.7)+(-2.653224+(-0.776118--0.711654))+0-596.8--0.608736000000095</f>
        <v>2065.4910479999999</v>
      </c>
      <c r="AC199" s="3">
        <f>2454.8+(1012.2-709.1)+(-1.251948+(-0.516222--0.361641))+0-788.4--0.40208399999992</f>
        <v>1968.495555</v>
      </c>
      <c r="AD199" s="2">
        <v>2347.8000000000002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2313.3+(1074.7-910.7)+(-3.539349+(-1.644291--1.393371))+0-610.3--0.933759000000035</f>
        <v>1864.1434900000002</v>
      </c>
      <c r="G200" s="3">
        <f>2216.1+(1262.2-974.9)+(-3.390633+(-1.931166--1.491597))+0-724.1--1.10787300000004</f>
        <v>1776.577671</v>
      </c>
      <c r="H200" s="3">
        <f>2199.4+(1278.3-1061.8)+(-2.243388+(-1.303866--1.083036))+0-691.8--0.70563600000011</f>
        <v>1722.3414180000002</v>
      </c>
      <c r="I200" s="3">
        <f>2203.1+(1260.5-1159)+(-3.370743+(-1.928565--1.77327))+0-606--0.927180000000035</f>
        <v>1696.0011420000001</v>
      </c>
      <c r="J200" s="3">
        <f>2209.6+(1207.1-939.6)+(3.380688+(1.846863-1.437588))+0-786.7-1.20365100000005</f>
        <v>1692.986312</v>
      </c>
      <c r="K200" s="3">
        <f>2217+(1194-1010.6)+(-5.65335+(-3.0447--2.57703))+0-742.2--1.89260999999989</f>
        <v>1653.9715899999999</v>
      </c>
      <c r="L200" s="3">
        <f>2138.8+(1090.6-1004.2)+(0+(0-0))+0-651.4-0</f>
        <v>1573.7999999999997</v>
      </c>
      <c r="M200" s="3">
        <f>2083.1+(1101.2-917.8)+(0+(0-0))+0-643.4-0</f>
        <v>1623.1</v>
      </c>
      <c r="N200" s="3">
        <f>2064.5+(995.6-864.2)+(-4.21158+(-2.031024--1.762968))+0-484.9--0.989195999999979</f>
        <v>1707.50956</v>
      </c>
      <c r="O200" s="3">
        <f>2232+(1010.4-808)+(-2.27664+(-1.030608--0.82416))+0-589.2--0.600984000000094</f>
        <v>1843.3178960000002</v>
      </c>
      <c r="P200" s="3">
        <f>2316.3+(1027.3-732.7)+(-3.543939+(-1.571769--1.121031))+0-690.9--1.05707700000004</f>
        <v>1917.0623999999998</v>
      </c>
      <c r="Q200" s="3">
        <f>2300.6+(983.4-834.3)+(-4.693224+(-2.006136--1.701972))+0-539.4--1.10037599999998</f>
        <v>1906.4029879999998</v>
      </c>
      <c r="R200" s="3">
        <f>2303.9+(976.1-860.6)+(0+(0-0))+0-559.7-0</f>
        <v>1859.7</v>
      </c>
      <c r="S200" s="3">
        <f>2303+(1081.6-997.5)+(-5.87265+(-2.75808--2.543625))+0-570.5--1.45477499999992</f>
        <v>1811.9676699999998</v>
      </c>
      <c r="T200" s="3">
        <f>2367.2+(1132.8-1107.7)+(-3.621816+(-1.733184--1.694781))+0-595.9--0.911727000000034</f>
        <v>1793.6515079999997</v>
      </c>
      <c r="U200" s="3">
        <f>2365.6+(1045.5-994.5)+(-3.619368+(-1.599615--1.521585))+0-633.1--0.968643000000037</f>
        <v>1780.7712450000001</v>
      </c>
      <c r="V200" s="3">
        <f>2305.1+(855.2-759.5)+(-2.351202+(-0.872304--0.77469))+0-613.3--0.625566000000098</f>
        <v>1785.6767500000003</v>
      </c>
      <c r="W200" s="3">
        <f>2337.6+(692.4-509.8)+(1.192176+(0.353124-0.259998))+0-631.5-0.322064999999936</f>
        <v>1889.6632369999998</v>
      </c>
      <c r="X200" s="3">
        <f>2575.4+(646.5-469.5)+(0+(0-0))+0-656.5-0</f>
        <v>2095.9</v>
      </c>
      <c r="Y200" s="3">
        <f>2852.6+(671.2-715.4)+(-4.364478+(-1.026936--1.094562))+0-713.1--1.09104300000004</f>
        <v>2092.0941910000001</v>
      </c>
      <c r="Z200" s="3">
        <f>2737.7+(614.8-666)+(-1.396227+(-0.313548--0.33966))+0-638.2--0.325481999999935</f>
        <v>2047.2553669999998</v>
      </c>
      <c r="AA200" s="3">
        <f>2693.3+(452.6-683)+(-4.120749+(-0.692478--1.04499))+0-454.8--0.695844000000026</f>
        <v>2005.027607</v>
      </c>
      <c r="AB200" s="3">
        <f>2524.7+(487.9-595.7)+(-9.013179+(-1.741803--2.126649))+0-492--1.75644000000001</f>
        <v>1918.0281069999996</v>
      </c>
      <c r="AC200" s="3">
        <f>2382.3+(800.4-690.2)+(-1.214973+(-0.408204--0.352002))+0-653.4--0.333233999999934</f>
        <v>1838.162059</v>
      </c>
      <c r="AD200" s="2">
        <v>2099.9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2435.6+(1039.7-1002.8)+(-4.968624+(-2.120988--2.045712))+0-718.2--1.46512799999997</f>
        <v>1750.7212279999999</v>
      </c>
      <c r="G201" s="3">
        <f>2387.7+(1221.7-1207.5)+(-1.217727+(-0.623067--0.615825))+0-698.8--0.356387999999929</f>
        <v>1702.2314189999997</v>
      </c>
      <c r="H201" s="3">
        <f>2346.7+(1127.3-1172.2)+(-5.984085+(-2.874615--2.98911))+0-635.4--1.62026999999991</f>
        <v>1662.1506799999997</v>
      </c>
      <c r="I201" s="3">
        <f>2348.8+(947.4-1319.9)+(-5.98944+(-2.41587--3.365745))+0-335.4--0.855269999999951</f>
        <v>1636.7157050000001</v>
      </c>
      <c r="J201" s="3">
        <f>2351.3+(864.6-1310.3)+(2.398326+(0.881892-1.336506))+0-258.1-0.263262000000041</f>
        <v>1649.1804500000003</v>
      </c>
      <c r="K201" s="3">
        <f>2356.2+(915.4-1176.8)+(1.201662+(0.466854-0.600168))+0-402.8-0.205427999999959</f>
        <v>1692.8629199999996</v>
      </c>
      <c r="L201" s="3">
        <f>2350.3+(940.9-943.1)+(2.397306+(0.959718-0.961962))+0-604.4-0.616488000000096</f>
        <v>1745.4785740000002</v>
      </c>
      <c r="M201" s="3">
        <f>2382.7+(865.1-769.1)+(1.215177+(0.441201-0.392241))+0-513.9-0.262088999999948</f>
        <v>1965.8020479999998</v>
      </c>
      <c r="N201" s="3">
        <f>2557.4+(888.3-638.5)+(0+(0-0))+0-611-0</f>
        <v>2196.1999999999998</v>
      </c>
      <c r="O201" s="3">
        <f>2645.5+(910.6-678.6)+(0+(0-0))+0-563-0</f>
        <v>2314.5</v>
      </c>
      <c r="P201" s="3">
        <f>2818.5+(828.9-647.1)+(-1.437435+(-0.422739--0.330021))+0-594.3--0.30309299999994</f>
        <v>2404.7729400000003</v>
      </c>
      <c r="Q201" s="3">
        <f>2951.6+(680.5-569.9)+(4.515948+(1.041165-0.871947))+0-645.9-0.988227000000037</f>
        <v>2419.9969390000001</v>
      </c>
      <c r="R201" s="3">
        <f>2918+(540.2-567.3)+(0+(0-0))+0-510.2-0</f>
        <v>2380.7000000000003</v>
      </c>
      <c r="S201" s="3">
        <f>2843.3+(578.8-701.3)+(1.450083+(0.295188-0.357663))+0-539-0.274889999999945</f>
        <v>2182.912718</v>
      </c>
      <c r="T201" s="3">
        <f>2846.1+(707.5-634.6)+(0+(0-0))+0-681.7-0</f>
        <v>2237.3000000000002</v>
      </c>
      <c r="U201" s="3">
        <f>2904.9+(711.3-795.9)+(-10.370493+(-2.539341--2.841363))+0-577.8--2.06274600000001</f>
        <v>2234.4942750000005</v>
      </c>
      <c r="V201" s="3">
        <f>2801.1+(795.2-895.8)+(-5.714244+(-1.622208--1.827432))+0-485.2--0.989807999999979</f>
        <v>2210.780788</v>
      </c>
      <c r="W201" s="3">
        <f>2720.5+(679.7-525)+(1.387455+(0.346647-0.26775))+0-543.7-0.277286999999945</f>
        <v>2332.6890649999996</v>
      </c>
      <c r="X201" s="3">
        <f>2879.4+(725.5-350.2)+(0+(0-0))+0-746.1-0</f>
        <v>2508.6000000000004</v>
      </c>
      <c r="Y201" s="3">
        <f>2869.8+(456.6-371.6)+(0+(0-0))+0-512-0</f>
        <v>2442.8000000000002</v>
      </c>
      <c r="Z201" s="3">
        <f>2894.6+(512.1-461.5)+(-5.904984+(-1.044684--0.94146))+0-599--1.22195999999997</f>
        <v>2341.4137519999995</v>
      </c>
      <c r="AA201" s="3">
        <f>2900.5+(577.5-605.6)+(-2.95851+(-0.58905--0.617712))+0-590.2--0.602004000000094</f>
        <v>2279.8721560000004</v>
      </c>
      <c r="AB201" s="3">
        <f>2905.5+(516.2-720)+(-4.445415+(-0.789786--1.1016))+0-532.9--0.815337000000031</f>
        <v>2165.4817359999997</v>
      </c>
      <c r="AC201" s="3">
        <f>2759+(794.1-780.2)+(-5.62836+(-1.619964--1.591608))+0-747.3--1.52449199999997</f>
        <v>2021.4677760000002</v>
      </c>
      <c r="AD201" s="2">
        <v>2484.6000000000004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2733.9+(827.6-1124.6)+(-5.577156+(-1.688304--2.294184))+0-548.1--1.11812399999998</f>
        <v>1884.946848</v>
      </c>
      <c r="G202" s="3">
        <f>2667.6+(932.2-1163.7)+(-6.80238+(-2.37711--2.967435))+0-627--1.59884999999991</f>
        <v>1804.4867949999998</v>
      </c>
      <c r="H202" s="3">
        <f>2595.4+(1018.8-1178.4)+(-3.970962+(-1.558764--1.802952))+0-652.9--0.998937000000038</f>
        <v>1780.172163</v>
      </c>
      <c r="I202" s="3">
        <f>2595.6+(1052.4-1132.2)+(-1.323756+(-0.536724--0.577422))+0-745.5--0.380204999999924</f>
        <v>1769.3971470000001</v>
      </c>
      <c r="J202" s="3">
        <f>2598.7+(919.2-1069.2)+(3.976011+(1.406376-1.635876))+0-676.8-1.03550400000004</f>
        <v>1774.6110069999997</v>
      </c>
      <c r="K202" s="3">
        <f>2651.8+(911-1050.6)+(-4.057254+(-1.39383--1.607418))+0-728.2--1.11414600000004</f>
        <v>1781.2704800000001</v>
      </c>
      <c r="L202" s="3">
        <f>2486.5+(814.1-962)+(0+(0-0))+0-519.4-0</f>
        <v>1819.1999999999998</v>
      </c>
      <c r="M202" s="3">
        <f>2576.6+(721.9-885.1)+(-2.628132+(-0.736338--0.902802))+0-401.1--0.409122000000064</f>
        <v>2010.2474539999998</v>
      </c>
      <c r="N202" s="3">
        <f>2706.7+(645.5-897)+(4.141251+(0.987615-1.37241))+0-208.4-0.318852000000012</f>
        <v>2250.2376039999999</v>
      </c>
      <c r="O202" s="3">
        <f>2944.7+(610.5-887.7)+(1.501797+(0.311355-0.452727))+0-329.4-0.167993999999967</f>
        <v>2339.2924309999999</v>
      </c>
      <c r="P202" s="3">
        <f>3107.3+(588.2-836.7)+(0+(0-0))+0-446.6-0</f>
        <v>2412.2000000000003</v>
      </c>
      <c r="Q202" s="3">
        <f>3154.6+(469.2-780.4)+(-3.217692+(-0.478584--0.796008))+0-416.1--0.424422000000066</f>
        <v>2424.8241540000004</v>
      </c>
      <c r="R202" s="3">
        <f>3065.7+(544.3-916.7)+(0+(0-0))+0-468-0</f>
        <v>2225.2999999999997</v>
      </c>
      <c r="S202" s="3">
        <f>3312.5+(553.8-1223)+(1.689375+(0.282438-0.62373))+0-432.1-0.220370999999956</f>
        <v>2212.3277120000002</v>
      </c>
      <c r="T202" s="3">
        <f>3328.8+(463.9-971.3)+(-3.395376+(-0.473178--0.990726))+0-554.6--0.565692000000088</f>
        <v>2264.4878640000002</v>
      </c>
      <c r="U202" s="3">
        <f>3332+(441.8-1162.9)+(-8.4966+(-1.12659--2.965395))+0-438.1--1.11715499999994</f>
        <v>2167.2593599999996</v>
      </c>
      <c r="V202" s="3">
        <f>3351.3+(551-1349.6)+(-3.418326+(-0.56202--1.376592))+0-426.7--0.435234000000068</f>
        <v>2123.8314800000003</v>
      </c>
      <c r="W202" s="3">
        <f>3389.7+(452.5-1008.4)+(1.728747+(0.230775-0.514284))+0-594.9-0.30339899999994</f>
        <v>2240.0418389999995</v>
      </c>
      <c r="X202" s="3">
        <f>3329.3+(373.4-612.4)+(-3.395886+(-0.380868--0.624648))+0-532.4--0.543048000000085</f>
        <v>2555.2909420000001</v>
      </c>
      <c r="Y202" s="3">
        <f>3142.4+(337.4-392.2)+(0+(0-0))+0-605-0</f>
        <v>2482.6</v>
      </c>
      <c r="Z202" s="3">
        <f>3064.9+(375.7-521.7)+(-1.563099+(-0.191607--0.266067))+0-507.9--0.259028999999948</f>
        <v>2409.7703899999997</v>
      </c>
      <c r="AA202" s="3">
        <f>2860.5+(545-585.6)+(-1.458855+(-0.27795--0.298656))+0-537.8--0.274277999999945</f>
        <v>2280.9361289999997</v>
      </c>
      <c r="AB202" s="3">
        <f>2787.3+(730.4-755.4)+(-5.686092+(-1.490016--1.541016))+0-589.2--1.20196799999997</f>
        <v>2168.6668759999998</v>
      </c>
      <c r="AC202" s="3">
        <f>2788.5+(661.3-949.7)+(0+(0-0))+0-463.9-0</f>
        <v>2036.1999999999998</v>
      </c>
      <c r="AD202" s="2">
        <v>2487.9000000000005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2779.5+(727.8-1129.3)+(0+(0-0))+0-474.7-0</f>
        <v>1903.3</v>
      </c>
      <c r="G203" s="3">
        <f>2802.2+(861.9-1148.9)+(1.429122+(0.439569-0.585939))+0-687.2-0.35047199999993</f>
        <v>1828.93228</v>
      </c>
      <c r="H203" s="3">
        <f>2806.8+(813.1-1201.7)+(1.431468+(0.414681-0.612867))+0-629.6-0.321095999999936</f>
        <v>1789.5121860000006</v>
      </c>
      <c r="I203" s="3">
        <f>2826.6+(723-1225)+(2.883132+(0.73746-1.2495))+0-544.5-0.555390000000087</f>
        <v>1781.9157019999998</v>
      </c>
      <c r="J203" s="3">
        <f>2790.6+(776.6-1045.7)+(-2.846412+(-0.792132--1.066614))+0-739--0.753780000000118</f>
        <v>1780.6818499999999</v>
      </c>
      <c r="K203" s="3">
        <f>2834.2+(704.9-1217)+(-2.890884+(-0.718998--1.24134))+0-533.1--0.543762000000085</f>
        <v>1787.1752199999999</v>
      </c>
      <c r="L203" s="3">
        <f>2684.4+(746.5-949.3)+(6.84522+(1.903575-2.420715))+0-641.5-1.63582499999991</f>
        <v>1844.7922550000008</v>
      </c>
      <c r="M203" s="3">
        <f>2813.8+(633.9-876.8)+(1.435038+(0.323289-0.447168))+0-554.3-0.282692999999944</f>
        <v>2017.6284660000001</v>
      </c>
      <c r="N203" s="3">
        <f>2986+(720.6-907.8)+(3.04572+(0.735012-0.925956))+0-548.2-0.559164000000087</f>
        <v>2252.8956120000003</v>
      </c>
      <c r="O203" s="3">
        <f>3053.1+(606.3-725)+(4.671243+(0.927639-1.10925))+0-584.4-0.894132000000034</f>
        <v>2353.5954999999994</v>
      </c>
      <c r="P203" s="3">
        <f>3152.1+(391.6-610.1)+(1.607571+(0.199716-0.311151))+0-529.8-0.270197999999946</f>
        <v>2405.0259379999998</v>
      </c>
      <c r="Q203" s="3">
        <f>3258.8+(393.4-658.3)+(0+(0-0))+0-574.7-0</f>
        <v>2419.1999999999998</v>
      </c>
      <c r="R203" s="3">
        <f>3252+(372.3-927.2)+(-1.65852+(-0.189873--0.472872))+0-484.4--0.247043999999951</f>
        <v>2211.5715229999996</v>
      </c>
      <c r="S203" s="3">
        <f>3326.9+(477.3-1010.4)+(5.090157+(0.730269-1.545912))+0-595.8-0.911574000000034</f>
        <v>2201.3629400000004</v>
      </c>
      <c r="T203" s="3">
        <f>3360.8+(458.8-1023.1)+(1.714008+(0.233988-0.521781))+0-533-0.271829999999946</f>
        <v>2264.6543849999998</v>
      </c>
      <c r="U203" s="3">
        <f>3289.8+(483.5-1089.2)+(-10.066788+(-1.47951--3.332952))+0-431.6--1.32069600000005</f>
        <v>2245.6073500000007</v>
      </c>
      <c r="V203" s="3">
        <f>3005.6+(573.4-1190.6)+(-6.131424+(-1.169736--2.428824))+0-164.7--0.335987999999993</f>
        <v>2219.1636520000002</v>
      </c>
      <c r="W203" s="3">
        <f>2981.9+(512.2-988.3)+(0+(0-0))+0-179.6-0</f>
        <v>2326.2000000000003</v>
      </c>
      <c r="X203" s="3">
        <f>3177+(364.4-800.4)+(-1.62027+(-0.185844--0.408204))+0-244.4--0.124643999999975</f>
        <v>2495.3267339999998</v>
      </c>
      <c r="Y203" s="3">
        <f>3194.4+(407.5-733.8)+(-1.629144+(-0.207825--0.374238))+0-424.5--0.216494999999957</f>
        <v>2442.3537640000004</v>
      </c>
      <c r="Z203" s="3">
        <f>2995.8+(519.3-605.4)+(-3.055716+(-0.529686--0.617508))+0-564--0.57528000000009</f>
        <v>2343.3073860000004</v>
      </c>
      <c r="AA203" s="3">
        <f>2872.6+(580-580.9)+(-5.860104+(-1.1832--1.185036))+0-603.6--1.23134399999997</f>
        <v>2263.4730759999998</v>
      </c>
      <c r="AB203" s="3">
        <f>2889.5+(647.9-743.2)+(2.94729+(0.660858-0.758064))+0-622.1-0.634542000000099</f>
        <v>2174.3155419999998</v>
      </c>
      <c r="AC203" s="3">
        <f>2887.8+(779.6-1051)+(-1.472778+(-0.397596--0.53601))+0-573.4--0.292433999999942</f>
        <v>2041.9580700000001</v>
      </c>
      <c r="AD203" s="2">
        <v>2442.5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2801.1+(656-862)+(-4.285683+(-1.00368--1.31886))+0-682.7--1.04453100000004</f>
        <v>1909.4740279999999</v>
      </c>
      <c r="G204" s="3">
        <f>2875.1+(608-955.9)+(-7.331505+(-1.5504--2.437545))+0-685--1.7467499999999</f>
        <v>1837.5023899999997</v>
      </c>
      <c r="H204" s="3">
        <f>2687.5+(649.1-948.9)+(-6.853125+(-1.655205--2.419695))+0-583.8--1.48868999999992</f>
        <v>1799.3000549999997</v>
      </c>
      <c r="I204" s="3">
        <f>2552.6+(767.9-1181.5)+(-3.905478+(-1.174887--1.807695))+0-369.5--0.565335000000021</f>
        <v>1766.7926650000002</v>
      </c>
      <c r="J204" s="3">
        <f>2506.4+(694.6-1120.9)+(-2.556528+(-0.708492--1.143318))+0-296.9--0.302838000000047</f>
        <v>1781.381136</v>
      </c>
      <c r="K204" s="3">
        <f>2523.9+(839.6-930.3)+(-3.861567+(-1.284588--1.423359))+0-641.8--0.981954000000037</f>
        <v>1788.6591580000004</v>
      </c>
      <c r="L204" s="3">
        <f>2520.3+(778.1-871.3)+(-2.570706+(-0.793662--0.888726))+0-617.5--0.629850000000099</f>
        <v>1807.7542080000005</v>
      </c>
      <c r="M204" s="3">
        <f>2592.7+(776.8-637.6)+(-1.322277+(-0.396168--0.325176))+0-722.9--0.368678999999927</f>
        <v>2007.9754099999993</v>
      </c>
      <c r="N204" s="3">
        <f>2700+(753.6-790)+(-1.377+(-0.384336--0.4029))+0-450.5--0.229754999999954</f>
        <v>2211.9713189999998</v>
      </c>
      <c r="O204" s="3">
        <f>2667.7+(911.1-637.8)+(0+(0-0))+0-624.3-0</f>
        <v>2316.6999999999998</v>
      </c>
      <c r="P204" s="3">
        <f>2645.2+(872.8-453)+(2.698104+(0.890256-0.46206))+0-678.6-0.692172000000108</f>
        <v>2388.834128</v>
      </c>
      <c r="Q204" s="3">
        <f>2619.1+(698.9-416.8)+(-1.335741+(-0.356439--0.212568))+0-489.2--0.24949199999995</f>
        <v>2410.7698799999998</v>
      </c>
      <c r="R204" s="3">
        <f>2744.5+(657.8-446.7)+(1.399695+(0.335478-0.227817))+0-716.9-0.365618999999927</f>
        <v>2239.8417369999997</v>
      </c>
      <c r="S204" s="3">
        <f>2906.6+(584.2-767.9)+(-4.447098+(-0.893826--1.174887))+0-515.4--0.78856200000003</f>
        <v>2204.1225250000002</v>
      </c>
      <c r="T204" s="3">
        <f>2898.1+(660-653.4)+(-1.478031+(-0.3366--0.333234))+0-650--0.331499999999934</f>
        <v>2253.5501029999996</v>
      </c>
      <c r="U204" s="3">
        <f>2785.1+(696.9-730.7)+(-7.102005+(-1.777095--1.863285))+0-510--1.30049999999993</f>
        <v>2235.5846849999994</v>
      </c>
      <c r="V204" s="3">
        <f>2596.2+(833.1-724.7)+(-3.972186+(-1.274643--1.108791))+0-482--0.737460000000028</f>
        <v>2219.1994219999997</v>
      </c>
      <c r="W204" s="3">
        <f>2633.3+(660.8-316.7)+(-1.342983+(-0.337008--0.161517))+0-466.2--0.237761999999953</f>
        <v>2509.9192880000001</v>
      </c>
      <c r="X204" s="3">
        <f>3030.6+(580-566.5)+(-7.72803+(-1.479--1.444575))+0-527.8--1.34588999999992</f>
        <v>2509.8834350000002</v>
      </c>
      <c r="Y204" s="3">
        <f>3120+(583.1-716.1)+(-6.3648+(-1.189524--1.460844))+0-556.2--1.13464799999998</f>
        <v>2425.8411679999999</v>
      </c>
      <c r="Z204" s="3">
        <f>3117.2+(504.1-766.9)+(-3.179544+(-0.514182--0.782238))+0-514.7--0.524994000000082</f>
        <v>2337.3135059999991</v>
      </c>
      <c r="AA204" s="3">
        <f>2868.6+(538.8-588.8)+(-4.388958+(-0.824364--0.900864))+0-556.7--0.851751000000032</f>
        <v>2258.4392930000004</v>
      </c>
      <c r="AB204" s="3">
        <f>2704.5+(650.3-575.2)+(-5.51718+(-1.326612--1.173408))+0-627.4--1.27989599999997</f>
        <v>2147.8095119999998</v>
      </c>
      <c r="AC204" s="3">
        <f>2666.6+(741.6-755.7)+(-6.79983+(-1.89108--1.927035))+0-610--1.55549999999991</f>
        <v>2037.2916249999998</v>
      </c>
      <c r="AD204" s="2">
        <v>2486.1999999999998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2725.3+(788.3-827.6)+(-5.559612+(-1.608132--1.688304))+0-773.1--1.57712399999997</f>
        <v>1908.9976839999999</v>
      </c>
      <c r="G205" s="3">
        <f>2573.9+(1018.7-1038.1)+(-3.938067+(-1.558611--1.588293))+0-722.1--1.10481300000004</f>
        <v>1829.5964280000001</v>
      </c>
      <c r="H205" s="3">
        <f>2452.5+(938.9-981.3)+(-2.50155+(-0.957678--1.000926))+0-622.2--0.634644000000099</f>
        <v>1786.0763420000001</v>
      </c>
      <c r="I205" s="3">
        <f>2458.6+(992.1-996.3)+(1.253886+(0.505971-0.508113))+0-686.1-0.34991099999993</f>
        <v>1769.2018330000003</v>
      </c>
      <c r="J205" s="3">
        <f>2465.8+(945.3-1006.7)+(0+(0-0))+0-637.5-0</f>
        <v>1766.9</v>
      </c>
      <c r="K205" s="3">
        <f>2463.3+(1011-953.8)+(-1.256283+(-0.51561--0.486438))+0-742.3--0.378572999999925</f>
        <v>1777.2931179999998</v>
      </c>
      <c r="L205" s="3">
        <f>2489+(813.1-892.2)+(-1.26939+(-0.414681--0.455022))+0-598.7--0.305336999999939</f>
        <v>1810.276288</v>
      </c>
      <c r="M205" s="3">
        <f>2553.8+(716.3-735.9)+(1.302438+(0.365313-0.375309))+0-520.9-0.265658999999947</f>
        <v>2014.3267830000002</v>
      </c>
      <c r="N205" s="3">
        <f>2542.9+(839.8-701.4)+(-1.296879+(-0.428298--0.357714))+0-462.4--0.235823999999953</f>
        <v>2217.7683609999999</v>
      </c>
      <c r="O205" s="3">
        <f>2544.8+(961.4-519.4)+(0+(0-0))+0-656.9-0</f>
        <v>2329.9</v>
      </c>
      <c r="P205" s="3">
        <f>2652+(858.2-557.9)+(1.35252+(0.437682-0.284529))+0-554.1-0.282590999999944</f>
        <v>2399.4230820000002</v>
      </c>
      <c r="Q205" s="3">
        <f>2630+(734.6-418.7)+(2.6826+(0.749292-0.427074))+0-516.7-0.527034000000082</f>
        <v>2431.677784</v>
      </c>
      <c r="R205" s="3">
        <f>2589.5+(604.7-421.8)+(-1.320645+(-0.308397--0.215118))+0-535.8--0.273257999999946</f>
        <v>2235.4593340000001</v>
      </c>
      <c r="S205" s="3">
        <f>2611.5+(537.3-751.4)+(-7.99119+(-1.644138--2.299284))+0-205.7--0.629442000000024</f>
        <v>2184.9933980000001</v>
      </c>
      <c r="T205" s="3">
        <f>2748.3+(652.9-950.1)+(-4.204899+(-0.998937--1.453653))+0-205.1--0.313803000000012</f>
        <v>2242.5636200000004</v>
      </c>
      <c r="U205" s="3">
        <f>2747+(838-879.9)+(-4.20291+(-1.28214--1.346247))+0-458.6--0.701658000000027</f>
        <v>2243.0628550000001</v>
      </c>
      <c r="V205" s="3">
        <f>2666.2+(822.3-727.3)+(-4.079286+(-1.258119--1.112769))+0-537.9--0.822987000000031</f>
        <v>2219.8983509999998</v>
      </c>
      <c r="W205" s="3">
        <f>2664.3+(628.8-405.3)+(0+(0-0))+0-509.5-0</f>
        <v>2378.3000000000002</v>
      </c>
      <c r="X205" s="3">
        <f>3079.4+(564.2-606.9)+(-6.281976+(-1.150968--1.238076))+0-534.4--1.09017599999998</f>
        <v>2497.1953080000003</v>
      </c>
      <c r="Y205" s="3">
        <f>3175.6+(541.6-744.1)+(-8.09778+(-1.38108--1.897455))+0-542.2--1.38260999999992</f>
        <v>2424.7012049999998</v>
      </c>
      <c r="Z205" s="3">
        <f>3174+(476.9-802)+(-8.0937+(-1.216095--2.0451))+0-496.1--1.26505499999993</f>
        <v>2346.8003600000002</v>
      </c>
      <c r="AA205" s="3">
        <f>3184.6+(428.5-846.7)+(-3.248292+(-0.43707--0.863634))+0-492.4--0.502248000000079</f>
        <v>2271.6805199999999</v>
      </c>
      <c r="AB205" s="3">
        <f>3213.7+(428.1-922.2)+(-3.277974+(-0.436662--0.940644))+0-566.6--0.57793200000009</f>
        <v>2150.8039400000002</v>
      </c>
      <c r="AC205" s="3">
        <f>3231.8+(369.2-913.1)+(-4.944654+(-0.564876--1.397043))+0-666.5--1.01974500000004</f>
        <v>2018.3072580000003</v>
      </c>
      <c r="AD205" s="2">
        <v>2495.6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3005.4+(570.8-1097)+(0+(0-0))+0-594.1-0</f>
        <v>1885.1</v>
      </c>
      <c r="G206" s="3">
        <f>2897.1+(822.3-1250.9)+(-4.432563+(-1.258119--1.913877))+0-650.3--0.994959000000038</f>
        <v>1815.4181540000002</v>
      </c>
      <c r="H206" s="3">
        <f>2600.1+(988.7-1161.2)+(-3.978153+(-1.512711--1.776636))+0-659.5--1.00903500000004</f>
        <v>1765.3948070000001</v>
      </c>
      <c r="I206" s="3">
        <f>2490.6+(917.6-985.8)+(0+(0-0))+0-674-0</f>
        <v>1748.4</v>
      </c>
      <c r="J206" s="3">
        <f>2452.8+(882.4-964.7)+(2.501856+(0.900048-0.983994))+0-618.7-0.631074000000099</f>
        <v>1753.5868359999999</v>
      </c>
      <c r="K206" s="3">
        <f>2429.5+(936.3-887.1)+(2.47809+(0.955026-0.904842))+0-720.1-0.734502000000115</f>
        <v>1760.3937719999997</v>
      </c>
      <c r="L206" s="3">
        <f>2198.7+(979-728)+(2.242674+(0.99858-0.74256))+0-698.4-0.712368000000111</f>
        <v>1753.0863259999994</v>
      </c>
      <c r="M206" s="3">
        <f>2299.2+(677.1-538.3)+(0+(0-0))+0-514.6-0</f>
        <v>1923.4</v>
      </c>
      <c r="N206" s="3">
        <f>2669.4+(717.2-615.7)+(0+(0-0))+0-625.8-0</f>
        <v>2145.1000000000004</v>
      </c>
      <c r="O206" s="3">
        <f>2690.9+(595.1-514.4)+(0+(0-0))+0-501.5-0</f>
        <v>2270.1000000000004</v>
      </c>
      <c r="P206" s="3">
        <f>2691.2+(564.3-240.9)+(0+(0-0))+0-675.2-0</f>
        <v>2339.3999999999996</v>
      </c>
      <c r="Q206" s="3">
        <f>2901.3+(524.6-475.1)+(0+(0-0))+0-598.6-0</f>
        <v>2352.2000000000003</v>
      </c>
      <c r="R206" s="3">
        <f>2894.4+(594.9-720.8)+(0+(0-0))+0-576.7-0</f>
        <v>2191.8000000000002</v>
      </c>
      <c r="S206" s="3">
        <f>2833.8+(644.5-888.4)+(0+(0-0))+0-503-0</f>
        <v>2086.9</v>
      </c>
      <c r="T206" s="3">
        <f>2751.4+(707.9-861.9)+(2.806428+(0.722058-0.879138))+0-504.1-0.51418200000008</f>
        <v>2095.4351660000002</v>
      </c>
      <c r="U206" s="3">
        <f>2751.4+(707.1-818.1)+(-5.612856+(-1.442484--1.668924))+0-397.4--0.810695999999983</f>
        <v>2238.4242800000002</v>
      </c>
      <c r="V206" s="3">
        <f>2699.5+(470-687.7)+(0+(0-0))+0-445.3-0</f>
        <v>2036.5000000000002</v>
      </c>
      <c r="W206" s="3">
        <f>2728.6+(448.3-332.5)+(1.391586+(0.228633-0.169575))+0-524.7-0.267596999999947</f>
        <v>2320.8830470000003</v>
      </c>
      <c r="X206" s="3">
        <f>2898.1+(367.1-393.5)+(-7.390155+(-0.936105--1.003425))+0-360.6--0.919529999999948</f>
        <v>2504.6966950000001</v>
      </c>
      <c r="Y206" s="3">
        <f>2943.5+(517.7-548.9)+(-7.505925+(-1.320135--1.399695))+0-613.8--1.56518999999991</f>
        <v>2292.6388250000005</v>
      </c>
      <c r="Z206" s="3">
        <f>2867.9+(564.7-595)+(-1.462629+(-0.287997--0.30345))+0-612.4--0.312323999999938</f>
        <v>2224.0651480000001</v>
      </c>
      <c r="AA206" s="3">
        <f>2825.9+(691.6-659.5)+(-1.441209+(-0.352716--0.336345))+0-682.8--0.348227999999931</f>
        <v>2174.0906480000003</v>
      </c>
      <c r="AB206" s="3">
        <f>2722.5+(616-732)+(0+(0-0))+0-536-0</f>
        <v>2070.5</v>
      </c>
      <c r="AC206" s="3">
        <f>2686.5+(602.5-846.5)+(-4.110345+(-0.921825--1.295145))+0-498.1--0.762093000000029</f>
        <v>1941.4250680000002</v>
      </c>
      <c r="AD206" s="2">
        <v>2354.3999999999996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2681+(782.9-976.3)+(-5.46924+(-1.597116--1.991652))+0-662.5--1.35149999999997</f>
        <v>1821.3767959999998</v>
      </c>
      <c r="G207" s="3">
        <f>2641+(812.6-1122.7)+(-5.38764+(-1.657704--2.290308))+0-583--1.18931999999997</f>
        <v>1744.334284</v>
      </c>
      <c r="H207" s="3">
        <f>2626+(855.3-1162.8)+(-4.01778+(-1.308609--1.779084))+0-622.4--0.952272000000036</f>
        <v>1693.5049669999999</v>
      </c>
      <c r="I207" s="3">
        <f>2549.2+(787.8-1051)+(-1.300092+(-0.401778--0.53601))+0-611.7--0.311966999999938</f>
        <v>1673.4461069999998</v>
      </c>
      <c r="J207" s="3">
        <f>2678+(727-1080.4)+(2.73156+(0.74154-1.102008))+0-661.5-0.674730000000106</f>
        <v>1664.7963619999996</v>
      </c>
      <c r="K207" s="3">
        <f>2692.5+(683.8-1141.8)+(-5.4927+(-1.394952--2.329272))+0-597.4--1.21869599999997</f>
        <v>1633.7603159999999</v>
      </c>
      <c r="L207" s="3">
        <f>2474.9+(820.4-1103.5)+(1.262199+(0.418404-0.562785))+0-612.8-0.312527999999938</f>
        <v>1579.8052900000005</v>
      </c>
      <c r="M207" s="3">
        <f>2265.7+(732.7-815.9)+(0+(0-0))+0-567.2-0</f>
        <v>1615.3</v>
      </c>
      <c r="N207" s="3">
        <f>2304.9+(655.6-781.3)+(-1.175499+(-0.334356--0.398463))+0-471.5--0.240464999999952</f>
        <v>1706.8290730000003</v>
      </c>
      <c r="O207" s="3">
        <f>2443.3+(635.5-615.7)+(1.246083+(0.324105-0.314007))+0-509.4-0.259793999999948</f>
        <v>1954.6963870000004</v>
      </c>
      <c r="P207" s="3">
        <f>2665.5+(500.5-766.5)+(0+(0-0))+0-516.8-0</f>
        <v>1882.7</v>
      </c>
      <c r="Q207" s="3">
        <f>2838+(418.1-783)+(1.44738+(0.213231-0.39933))+0-567.8-0.289577999999942</f>
        <v>1906.2717030000001</v>
      </c>
      <c r="R207" s="3">
        <f>2807.7+(583.6-937.4)+(0+(0-0))+0-589.7-0</f>
        <v>1864.1999999999996</v>
      </c>
      <c r="S207" s="3">
        <f>2798.7+(684.9-1135.2)+(-5.709348+(-1.397196--2.315808))+0-543--1.10771999999998</f>
        <v>1801.7169839999997</v>
      </c>
      <c r="T207" s="3">
        <f>2794.9+(735.4-1201.2)+(-5.701596+(-1.500216--2.450448))+0-571.1--1.16504399999998</f>
        <v>1754.4136799999999</v>
      </c>
      <c r="U207" s="3">
        <f>2802.2+(635.4-1174.9)+(-5.716488+(-1.296216--2.396796))+0-525.5--1.07201999999998</f>
        <v>1733.6561119999997</v>
      </c>
      <c r="V207" s="3">
        <f>2710.4+(473.3-946.5)+(-4.146912+(-0.724149--1.448145))+0-476.3--0.728739000000028</f>
        <v>1758.2058230000005</v>
      </c>
      <c r="W207" s="3">
        <f>2921.6+(276.6-603.4)+(1.490016+(0.141066-0.307734))+0-666.6-0.339965999999932</f>
        <v>1929.1833820000002</v>
      </c>
      <c r="X207" s="3">
        <f>3143.7+(264.6-729.8)+(-4.809861+(-0.404838--1.116594))+0-619.5--0.947835000000036</f>
        <v>2055.8497299999999</v>
      </c>
      <c r="Y207" s="3">
        <f>3214.8+(273.3-827.6)+(-8.19774+(-0.696915--2.11038))+0-561--1.43054999999992</f>
        <v>2094.1462750000001</v>
      </c>
      <c r="Z207" s="3">
        <f>3043.8+(319.6-614.4)+(-4.657014+(-0.488988--0.940032))+0-680.3--1.04085900000004</f>
        <v>2065.534889</v>
      </c>
      <c r="AA207" s="3">
        <f>2960.8+(288-613.6)+(-6.040032+(-0.58752--1.251744))+0-615.3--1.25521199999997</f>
        <v>2015.7794040000006</v>
      </c>
      <c r="AB207" s="3">
        <f>2894+(444.1-654.4)+(-5.90376+(-0.905964--1.334976))+0-738.6--1.50674399999997</f>
        <v>1941.1319959999998</v>
      </c>
      <c r="AC207" s="3">
        <f>2783.5+(515.2-874)+(-7.097925+(-1.31376--2.2287))+0-596--1.51979999999991</f>
        <v>1824.0368149999997</v>
      </c>
      <c r="AD207" s="2">
        <v>2067.1000000000004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2643.1+(686.9-892.2)+(-4.043943+(-1.050957--1.365066))+0-714.4--1.09303200000004</f>
        <v>1720.7631979999994</v>
      </c>
      <c r="G208" s="3">
        <f>2454.8+(965.7-1185.6)+(-3.755844+(-1.477521--1.813968))+0-577.1--0.882963000000033</f>
        <v>1655.2635660000005</v>
      </c>
      <c r="H208" s="3">
        <f>2314.2+(1115.2-1119.8)+(-5.90121+(-2.84376--2.85549))+0-692.1--1.7648549999999</f>
        <v>1613.3753750000001</v>
      </c>
      <c r="I208" s="3">
        <f>2146.4+(1083.4-965)+(-1.094664+(-0.552534--0.49215))+0-656.8--0.334967999999933</f>
        <v>1607.17992</v>
      </c>
      <c r="J208" s="3">
        <f>2059+(1031.3-802.8)+(-1.05009+(-0.525963--0.409428))+0-666.7--0.340016999999932</f>
        <v>1619.9733920000001</v>
      </c>
      <c r="K208" s="3">
        <f>2068+(1007.9-739.6)+(-2.10936+(-1.028058--0.754392))+0-696.9--0.710838000000111</f>
        <v>1637.7278120000003</v>
      </c>
      <c r="L208" s="3">
        <f>1976.2+(914.8-601.7)+(-1.007862+(-0.466548--0.306867))+0-593--0.30242999999994</f>
        <v>1695.4348870000001</v>
      </c>
      <c r="M208" s="3">
        <f>2075.4+(915.3-420.8)+(2.116908+(0.933606-0.429216))+0-647.8-0.660756000000103</f>
        <v>1924.0605420000002</v>
      </c>
      <c r="N208" s="3">
        <f>2368.9+(668.1-260)+(-3.624417+(-1.022193--0.3978))+0-622.8--0.952884000000036</f>
        <v>2150.9040739999996</v>
      </c>
      <c r="O208" s="3">
        <f>2538+(693.1-198.2)+(0+(0-0))+0-757.8-0</f>
        <v>2275.1000000000004</v>
      </c>
      <c r="P208" s="3">
        <f>2581.5+(544.9-231.3)+(0+(0-0))+0-555.1-0</f>
        <v>2340</v>
      </c>
      <c r="Q208" s="3">
        <f>2575.3+(336.3-185.1)+(0+(0-0))+0-376-0</f>
        <v>2350.5</v>
      </c>
      <c r="R208" s="3">
        <f>2589.7+(347.3-342.7)+(0+(0-0))+0-412.1-0</f>
        <v>2182.1999999999998</v>
      </c>
      <c r="S208" s="3">
        <f>2791.3+(494.2-466.1)+(0+(0-0))+0-652-0</f>
        <v>2167.4</v>
      </c>
      <c r="T208" s="3">
        <f>2888+(418.2-567.1)+(0+(0-0))+0-517.6-0</f>
        <v>2221.5</v>
      </c>
      <c r="U208" s="3">
        <f>2904.4+(406.7-411.9)+(0+(0-0))+0-678.8-0</f>
        <v>2220.4000000000005</v>
      </c>
      <c r="V208" s="3">
        <f>2827+(343.5-398.4)+(0+(0-0))+0-585.6-0</f>
        <v>2186.5</v>
      </c>
      <c r="W208" s="3">
        <f>2811.4+(419.8-315)+(0+(0-0))+0-591.7-0</f>
        <v>2324.5</v>
      </c>
      <c r="X208" s="3">
        <f>3084.6+(544.8-611)+(0+(0-0))+0-525.7-0</f>
        <v>2492.6999999999998</v>
      </c>
      <c r="Y208" s="3">
        <f>3001.9+(368-567.8)+(0+(0-0))+0-395.8-0</f>
        <v>2406.3000000000002</v>
      </c>
      <c r="Z208" s="3">
        <f>3038.5+(252.9-555.7)+(0+(0-0))+0-429.6-0</f>
        <v>2306.1</v>
      </c>
      <c r="AA208" s="3">
        <f>2940.8+(347.2-586.3)+(0+(0-0))+0-458-0</f>
        <v>2243.7000000000003</v>
      </c>
      <c r="AB208" s="3">
        <f>2731.7+(566.3-561.9)+(0+(0-0))+0-603.9-0</f>
        <v>2132.1999999999998</v>
      </c>
      <c r="AC208" s="3">
        <f>2639.2+(366.1-475.8)+(0+(0-0))+0-545.1-0</f>
        <v>1984.4</v>
      </c>
      <c r="AD208" s="2">
        <v>2521.3000000000002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2615.4+(714.2-768)+(-4.001562+(-1.092726--1.17504))+0-694.8--1.06304400000004</f>
        <v>1863.9437960000002</v>
      </c>
      <c r="G209" s="3">
        <f>2188.8+(949.7-653.5)+(1.116288+(0.484347-0.333285))+0-691.2-0.35251199999993</f>
        <v>1794.7148380000001</v>
      </c>
      <c r="H209" s="3">
        <f>2065.8+(997.7-628.6)+(-2.107116+(-1.017654--0.641172))+0-681.2--0.694824000000109</f>
        <v>1751.9112260000004</v>
      </c>
      <c r="I209" s="3">
        <f>2032.5+(967.7-579.9)+(-1.036575+(-0.493527--0.295749))+0-675.6--0.344555999999931</f>
        <v>1743.8102030000005</v>
      </c>
      <c r="J209" s="3">
        <f>2036.6+(971.9-601.9)+(-3.115998+(-1.487007--0.920907))+0-649--0.992970000000038</f>
        <v>1754.9108719999997</v>
      </c>
      <c r="K209" s="3">
        <f>2040.7+(918.6-519.2)+(-1.040757+(-0.468486--0.264792))+0-670.9--0.342158999999932</f>
        <v>1768.2977079999998</v>
      </c>
      <c r="L209" s="3">
        <f>2042.2+(859.5-499.8)+(0+(0-0))+0-632.5-0</f>
        <v>1769.4</v>
      </c>
      <c r="M209" s="3">
        <f>2034.4+(782.1-326.5)+(2.075088+(0.797742-0.33303))+0-526.8-0.537336000000084</f>
        <v>1965.202464</v>
      </c>
      <c r="N209" s="3">
        <f>2069.4+(895.8-79.2)+(2.110788+(0.913716-0.080784))+0-594.7-0.606594000000095</f>
        <v>2293.6371260000001</v>
      </c>
      <c r="O209" s="3">
        <f>2293.5+(691.7-35.5)+(-1.169685+(-0.352767--0.018105))+0-580.8--0.296207999999941</f>
        <v>2367.6918609999993</v>
      </c>
      <c r="P209" s="3">
        <f>2438.7+(547.1-127)+(0+(0-0))+0-513.2-0</f>
        <v>2345.5999999999995</v>
      </c>
      <c r="Q209" s="3">
        <f>2482.1+(474.8-102.5)+(-3.797613+(-0.726444--0.156825))+0-418.7--0.640611000000024</f>
        <v>2431.973379</v>
      </c>
      <c r="R209" s="3">
        <f>2466+(402.8-313.8)+(0+(0-0))+0-373.4-0</f>
        <v>2181.6</v>
      </c>
      <c r="S209" s="3">
        <f>2667.6+(422.4-467.4)+(0+(0-0))+0-477.6-0</f>
        <v>2145</v>
      </c>
      <c r="T209" s="3">
        <f>2682.5+(433.1-533.9)+(0+(0-0))+0-375-0</f>
        <v>2206.6999999999998</v>
      </c>
      <c r="U209" s="3">
        <f>2688.4+(528.9-539.8)+(0+(0-0))+0-461.7-0</f>
        <v>2215.8000000000002</v>
      </c>
      <c r="V209" s="3">
        <f>2650.8+(522.8-512.2)+(0+(0-0))+0-486.8-0</f>
        <v>2174.6</v>
      </c>
      <c r="W209" s="3">
        <f>2734.5+(501.9-378.7)+(0+(0-0))+0-542.4-0</f>
        <v>2315.2999999999997</v>
      </c>
      <c r="X209" s="3">
        <f>2935.2+(569.1-553.9)+(0+(0-0))+0-480.6-0</f>
        <v>2469.7999999999997</v>
      </c>
      <c r="Y209" s="3">
        <f>2949.4+(598.6-551.8)+(0+(0-0))+0-581.5-0</f>
        <v>2414.7000000000003</v>
      </c>
      <c r="Z209" s="3">
        <f>2879.5+(566.4-539.9)+(0+(0-0))+0-592.8-0</f>
        <v>2313.1999999999998</v>
      </c>
      <c r="AA209" s="3">
        <f>2817.3+(602.1-567.3)+(0+(0-0))+0-620.7-0</f>
        <v>2231.4000000000005</v>
      </c>
      <c r="AB209" s="3">
        <f>2742.8+(530.1-502.7)+(0+(0-0))+0-643.3-0</f>
        <v>2126.9000000000005</v>
      </c>
      <c r="AC209" s="3">
        <f>2694.4+(408.4-469.1)+(0+(0-0))+0-645.4-0</f>
        <v>1988.2999999999997</v>
      </c>
      <c r="AD209" s="2">
        <v>2468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2605.1+(585.7-652)+(-6.643005+(-1.493535--1.6626))+0-687.6--1.7533799999999</f>
        <v>1846.4794400000003</v>
      </c>
      <c r="G210" s="3">
        <f>2442.1+(749.6-684.1)+(-6.227355+(-1.91148--1.744455))+0-739.6--1.88597999999989</f>
        <v>1763.4915999999996</v>
      </c>
      <c r="H210" s="3">
        <f>2183.5+(755.8-566.1)+(-1.113585+(-0.385458--0.288711))+0-653.4--0.333233999999934</f>
        <v>1718.9229019999996</v>
      </c>
      <c r="I210" s="3">
        <f>2141.6+(823.1-586.3)+(-3.276648+(-1.259343--0.897039))+0-688.7--1.05371100000004</f>
        <v>1687.1147590000003</v>
      </c>
      <c r="J210" s="3">
        <f>2031.9+(879.2-489.4)+(-3.108807+(-1.345176--0.748782))+0-715--1.09395000000004</f>
        <v>1704.088749</v>
      </c>
      <c r="K210" s="3">
        <f>1918.6+(855.4-389.6)+(-1.956972+(-0.872508--0.397392))+0-675.3--0.688806000000108</f>
        <v>1707.3567179999998</v>
      </c>
      <c r="L210" s="3">
        <f>1839.4+(840.9-272.2)+(0+(0-0))+0-677.9-0</f>
        <v>1730.2000000000003</v>
      </c>
      <c r="M210" s="3">
        <f>1922+(757.7-121.2)+(0+(0-0))+0-631.8-0</f>
        <v>1926.7</v>
      </c>
      <c r="N210" s="3">
        <f>2202.5+(705.2-107.6)+(0+(0-0))+0-596.8-0</f>
        <v>2203.3000000000002</v>
      </c>
      <c r="O210" s="3">
        <f>2273.5+(640-108.5)+(0+(0-0))+0-562.9-0</f>
        <v>2242.1</v>
      </c>
      <c r="P210" s="3">
        <f>2451.7+(507.7-230.1)+(0+(0-0))+0-433.1-0</f>
        <v>2296.1999999999998</v>
      </c>
      <c r="Q210" s="3">
        <f>2535.9+(433.7-203)+(0+(0-0))+0-298.1-0</f>
        <v>2468.5</v>
      </c>
      <c r="R210" s="3">
        <f>2532.3+(377.5-246.9)+(0+(0-0))+0-494.9-0</f>
        <v>2168</v>
      </c>
      <c r="S210" s="3">
        <f>2528.9+(383.1-215.1)+(-2.579478+(-0.390762--0.219402))+0-557.2--0.568344000000089</f>
        <v>2137.5175060000001</v>
      </c>
      <c r="T210" s="3">
        <f>2540.8+(545.6-232.7)+(-1.295808+(-0.278256--0.118677))+0-645.1--0.329000999999935</f>
        <v>2207.4736140000005</v>
      </c>
      <c r="U210" s="3">
        <f>2752.6+(588.3-490.3)+(-5.615304+(-1.200132--1.000212))+0-621.1--1.26704399999997</f>
        <v>2224.9518200000002</v>
      </c>
      <c r="V210" s="3">
        <f>2524.3+(528.5-197.1)+(-2.574786+(-0.53907--0.201042))+0-672--0.685440000000107</f>
        <v>2181.4726260000007</v>
      </c>
      <c r="W210" s="3">
        <f>2747+(390.1-249.2)+(-2.80194+(-0.397902--0.254184))+0-540.9--0.551718000000086</f>
        <v>2344.6060600000001</v>
      </c>
      <c r="X210" s="3">
        <f>2943.7+(464.5-365.2)+(-4.503861+(-0.710685--0.558756))+0-546.4--0.835992000000031</f>
        <v>2492.7802019999999</v>
      </c>
      <c r="Y210" s="3">
        <f>3096+(454-506.6)+(-4.73688+(-0.69462--0.775098))+0-629.4--0.962982000000036</f>
        <v>2410.3065799999999</v>
      </c>
      <c r="Z210" s="3">
        <f>3022.9+(477.6-577.8)+(-4.625037+(-0.730728--0.884034))+0-594.5--0.909585000000034</f>
        <v>2324.6378540000001</v>
      </c>
      <c r="AA210" s="3">
        <f>2965.6+(381.4-552.9)+(-6.049824+(-0.778056--1.127916))+0-557.4--1.13709599999998</f>
        <v>2232.1371319999998</v>
      </c>
      <c r="AB210" s="3">
        <f>2880.5+(356-506)+(-1.469055+(-0.18156--0.25806))+0-594.3--0.30309299999994</f>
        <v>2135.1105380000004</v>
      </c>
      <c r="AC210" s="3">
        <f>2772.1+(398.8-613.7)+(-4.241313+(-0.610164--0.938961))+0-561.2--0.858636000000032</f>
        <v>1992.9461199999998</v>
      </c>
      <c r="AD210" s="2">
        <v>2549.7999999999997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2648.5+(672.2-830.3)+(-1.350735+(-0.342822--0.423453))+0-627.2--0.319871999999936</f>
        <v>1862.2497679999999</v>
      </c>
      <c r="G211" s="3">
        <f>2613.6+(748.7-966.5)+(0+(0-0))+0-609.5-0</f>
        <v>1786.3000000000002</v>
      </c>
      <c r="H211" s="3">
        <f>2235+(920-842.6)+(1.13985+(0.4692-0.429726))+0-563-0.287129999999943</f>
        <v>1750.2921940000003</v>
      </c>
      <c r="I211" s="3">
        <f>1868.7+(1047.8-554.1)+(1.906074+(1.068756-0.565182))+0-622.1-0.634542000000099</f>
        <v>1742.075106</v>
      </c>
      <c r="J211" s="3">
        <f>1871.9+(983-479.3)+(1.909338+(1.00266-0.488886))+0-632.7-0.645354000000101</f>
        <v>1744.6777579999998</v>
      </c>
      <c r="K211" s="3">
        <f>1872.9+(973.5-391.8)+(0+(0-0))+0-703.6-0</f>
        <v>1751.0000000000005</v>
      </c>
      <c r="L211" s="3">
        <f>1868.1+(852.4-285.7)+(3.810924+(1.738896-0.582828))+0-646.5-1.31885999999997</f>
        <v>1791.9481320000004</v>
      </c>
      <c r="M211" s="3">
        <f>2062.4+(647.2-183.9)+(-2.103648+(-0.660144--0.187578))+0-553.2--0.564264000000088</f>
        <v>1970.4880500000002</v>
      </c>
      <c r="N211" s="3">
        <f>2264.5+(762.8-251.3)+(-4.61958+(-1.556112--0.512652))+0-591.4--1.20645599999997</f>
        <v>2180.1434159999999</v>
      </c>
      <c r="O211" s="3">
        <f>2450.9+(593.7-252)+(-3.749877+(-0.908361--0.38556))+0-524.4--0.80233200000003</f>
        <v>2264.7296540000007</v>
      </c>
      <c r="P211" s="3">
        <f>2635.2+(488.1-274.8)+(-6.71976+(-1.244655--0.70074))+0-502--1.28009999999993</f>
        <v>2340.5164249999998</v>
      </c>
      <c r="Q211" s="3">
        <f>2614.8+(536.4-218.7)+(-4.000644+(-0.820692--0.334611))+0-548--0.838440000000032</f>
        <v>2380.8517149999998</v>
      </c>
      <c r="R211" s="3">
        <f>2617.5+(416.4-383.1)+(-5.3397+(-0.849456--0.781524))+0-449.5--0.91697999999998</f>
        <v>2196.8093480000002</v>
      </c>
      <c r="S211" s="3">
        <f>2655.6+(556.3-496.8)+(1.354356+(0.283713-0.253368))+0-574.2-0.292841999999942</f>
        <v>2141.9918589999997</v>
      </c>
      <c r="T211" s="3">
        <f>2604.6+(564-483.4)+(-2.656692+(-0.57528--0.493068))+0-485--0.494700000000077</f>
        <v>2197.9557960000002</v>
      </c>
      <c r="U211" s="3">
        <f>2696.4+(576.3-514.7)+(-6.87582+(-1.469565--1.312485))+0-553.4--1.41116999999992</f>
        <v>2198.9782699999996</v>
      </c>
      <c r="V211" s="3">
        <f>2727.2+(453.4-499.2)+(-4.172616+(-0.693702--0.763776))+0-510--0.78030000000003</f>
        <v>2168.0777579999994</v>
      </c>
      <c r="W211" s="3">
        <f>2719.9+(464.1-325.7)+(1.387149+(0.236691-0.166107))+0-519.9-0.265148999999947</f>
        <v>2339.5925840000004</v>
      </c>
      <c r="X211" s="3">
        <f>2854.9+(538.7-354.6)+(-4.367997+(-0.824211--0.542538))+0-563.8--0.862614000000033</f>
        <v>2471.4129440000002</v>
      </c>
      <c r="Y211" s="3">
        <f>2860.8+(443-378.7)+(-5.836032+(-0.90372--0.772548))+0-530.2--1.08160799999998</f>
        <v>2390.014404</v>
      </c>
      <c r="Z211" s="3">
        <f>2625.8+(578.6-342.4)+(-5.356632+(-1.180344--0.698496))+0-536.1--1.09364399999998</f>
        <v>2321.1551640000002</v>
      </c>
      <c r="AA211" s="3">
        <f>2503.8+(728-342.8)+(-6.38469+(-1.8564--0.87414))+0-645.2--1.64525999999991</f>
        <v>2238.0783099999994</v>
      </c>
      <c r="AB211" s="3">
        <f>2319.8+(747.6-299.8)+(-5.91549+(-1.90638--0.76449))+0-634.2--1.61720999999991</f>
        <v>2127.9598300000002</v>
      </c>
      <c r="AC211" s="3">
        <f>2114.1+(759.5-222.5)+(-3.234573+(-1.162035--0.340425))+0-638.6--0.977058000000037</f>
        <v>2009.4208749999998</v>
      </c>
      <c r="AD211" s="2">
        <v>2458.1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1959.7+(1035.7-461.6)+(-2.998341+(-1.584621--0.706248))+0-656.2--1.00398600000004</f>
        <v>1874.7272720000001</v>
      </c>
      <c r="G212" s="3">
        <f>1950.4+(1195.2-597.8)+(-2.984112+(-1.828656--0.914634))+0-729.9--1.11674700000004</f>
        <v>1815.1186130000001</v>
      </c>
      <c r="H212" s="3">
        <f>1881.1+(1147.7-553.1)+(-1.918722+(-1.170654--0.564162))+0-704.9--0.718998000000112</f>
        <v>1768.993784</v>
      </c>
      <c r="I212" s="3">
        <f>1882.3+(1166.5-659.6)+(-0.959973+(-0.594915--0.336396))+0-633.9--0.323288999999936</f>
        <v>1754.4047969999997</v>
      </c>
      <c r="J212" s="3">
        <f>1789.3+(1029.2-479.7)+(0.912543+(0.524892-0.244647))+0-589.6-0.30069599999994</f>
        <v>1750.0920920000001</v>
      </c>
      <c r="K212" s="3">
        <f>1705.8+(1009.9-322.8)+(0.869958+(0.515049-0.164628))+0-632.9-0.322778999999936</f>
        <v>1760.8975999999996</v>
      </c>
      <c r="L212" s="3">
        <f>1684+(706.8-184.7)+(-0.85884+(-0.360468--0.094197))+0-423.3--0.215882999999957</f>
        <v>1781.890772</v>
      </c>
      <c r="M212" s="3">
        <f>1680.8+(898.4-85.5)+(0+(0-0))+0-548.9-0</f>
        <v>1944.7999999999997</v>
      </c>
      <c r="N212" s="3">
        <f>1747.9+(1050.3-69)+(-2.674287+(-1.606959--0.10557))+0-564.7--0.863991000000033</f>
        <v>2161.1883150000003</v>
      </c>
      <c r="O212" s="3">
        <f>1844.8+(1005.7-63.9)+(-0.940848+(-0.512907--0.032589))+0-560--0.285599999999943</f>
        <v>2225.464434</v>
      </c>
      <c r="P212" s="3">
        <f>1984.2+(954.4-39)+(-2.023884+(-0.973488--0.03978))+0-564.7--0.57599400000009</f>
        <v>2332.5184020000002</v>
      </c>
      <c r="Q212" s="3">
        <f>2008.1+(914.1-39.2)+(-2.048262+(-0.932382--0.039984))+0-517--0.527340000000082</f>
        <v>2363.5866799999999</v>
      </c>
      <c r="R212" s="3">
        <f>2014.5+(728.3-103.8)+(-1.027395+(-0.371433--0.052938))+0-441.2--0.225011999999955</f>
        <v>2196.679122</v>
      </c>
      <c r="S212" s="3">
        <f>1951.3+(855.3-142.4)+(-2.985489+(-1.308609--0.217872))+0-526.3--0.80523900000003</f>
        <v>2134.6290129999998</v>
      </c>
      <c r="T212" s="3">
        <f>1864.3+(985-214)+(-2.852379+(-1.50705--0.32742))+0-438--0.670140000000025</f>
        <v>2193.9381310000003</v>
      </c>
      <c r="U212" s="3">
        <f>1968.1+(944.5-293.4)+(-3.011193+(-1.445085--0.448902))+0-401.4--0.614142000000023</f>
        <v>2214.4067659999996</v>
      </c>
      <c r="V212" s="3">
        <f>2406.8+(714.4-519.1)+(2.454936+(0.728688-0.529482))+0-432.3-0.440946000000069</f>
        <v>2172.0131959999999</v>
      </c>
      <c r="W212" s="3">
        <f>2495.1+(829.2-503.8)+(1.272501+(0.422892-0.256938))+0-460.6-0.234905999999953</f>
        <v>2361.1035489999999</v>
      </c>
      <c r="X212" s="3">
        <f>2609.6+(849.3-557.2)+(-3.992688+(-1.299429--0.852516))+0-421--0.644130000000024</f>
        <v>2476.9045289999999</v>
      </c>
      <c r="Y212" s="3">
        <f>2472.6+(1010.4-478.5)+(-2.522052+(-1.030608--0.48807))+0-587.7--0.599454000000094</f>
        <v>2414.3348640000004</v>
      </c>
      <c r="Z212" s="3">
        <f>2462.5+(969.8-479.5)+(-2.51175+(-0.989196--0.48909))+0-653.5--0.666570000000104</f>
        <v>2296.9547140000004</v>
      </c>
      <c r="AA212" s="3">
        <f>2357.3+(879.7-482)+(-2.404446+(-0.897294--0.49164))+0-539.9--0.550698000000086</f>
        <v>2212.8405979999998</v>
      </c>
      <c r="AB212" s="3">
        <f>2276.7+(893.8-475.9)+(-5.805585+(-2.27919--1.213545))+0-595--1.51724999999991</f>
        <v>2094.2460199999996</v>
      </c>
      <c r="AC212" s="3">
        <f>2095.7+(959.2-408.5)+(-6.412842+(-2.935152--1.25001))+0-650.5--1.99053000000008</f>
        <v>1989.7925459999997</v>
      </c>
      <c r="AD212" s="2">
        <v>2459.6000000000004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2084.7+(1070.9-562.6)+(2.126394+(1.092318-0.573852))+0-740.4-0.755208000000118</f>
        <v>1854.4896519999998</v>
      </c>
      <c r="G213" s="3">
        <f>2029.6+(1024.2-583.1)+(1.035096+(0.522342-0.297381))+0-700.2-0.357101999999929</f>
        <v>1771.4029549999998</v>
      </c>
      <c r="H213" s="3">
        <f>1907.6+(953.5-471.2)+(1.945752+(0.97257-0.480624))+0-653.7-0.666774000000104</f>
        <v>1737.9709240000002</v>
      </c>
      <c r="I213" s="3">
        <f>1922.9+(949.3-423.1)+(-0.980679+(-0.484143--0.215781))+0-732.8--0.373727999999926</f>
        <v>1715.4246869999999</v>
      </c>
      <c r="J213" s="3">
        <f>1940.5+(869-431)+(0+(0-0))+0-662.5-0</f>
        <v>1716</v>
      </c>
      <c r="K213" s="3">
        <f>1934.7+(847.7-372.9)+(-3.946788+(-1.729308--0.760716))+0-680.2--1.38760799999997</f>
        <v>1725.772228</v>
      </c>
      <c r="L213" s="3">
        <f>1900.1+(909.7-387.7)+(1.938102+(0.927894-0.395454))+0-704.9-0.718998000000112</f>
        <v>1718.9515439999998</v>
      </c>
      <c r="M213" s="3">
        <f>1900.2+(823.2-269.2)+(0+(0-0))+0-556.2-0</f>
        <v>1897.9999999999998</v>
      </c>
      <c r="N213" s="3">
        <f>2019.8+(1000-255.1)+(0+(0-0))+0-659.8-0</f>
        <v>2104.8999999999996</v>
      </c>
      <c r="O213" s="3">
        <f>2345.5+(750.6-317.5)+(0+(0-0))+0-546.9-0</f>
        <v>2231.6999999999998</v>
      </c>
      <c r="P213" s="3">
        <f>2356.5+(984.7-300.3)+(-3.605445+(-1.506591--0.459459))+0-725.6--1.11016800000004</f>
        <v>2311.7575910000005</v>
      </c>
      <c r="Q213" s="3">
        <f>2357.6+(874.9-311.6)+(0+(0-0))+0-607.8-0</f>
        <v>2313.0999999999995</v>
      </c>
      <c r="R213" s="3">
        <f>2363.2+(784.3-342.7)+(-3.615696+(-1.199979--0.524331))+0-682.5--1.04422500000004</f>
        <v>2119.0528809999996</v>
      </c>
      <c r="S213" s="3">
        <f>2229.2+(745-268.9)+(0+(0-0))+0-667.4-0</f>
        <v>2037.8999999999996</v>
      </c>
      <c r="T213" s="3">
        <f>2118.1+(819.6-218.6)+(0+(0-0))+0-690.8-0</f>
        <v>2028.3</v>
      </c>
      <c r="U213" s="3">
        <f>2131.4+(771-408.7)+(-4.348056+(-1.57284--0.833748))+0-476.2--0.971447999999979</f>
        <v>2013.3843000000002</v>
      </c>
      <c r="V213" s="3">
        <f>2137.8+(799.8-357.3)+(-3.270834+(-1.223694--0.546669))+0-601.1--0.919683000000035</f>
        <v>1976.1718240000005</v>
      </c>
      <c r="W213" s="3">
        <f>2436.9+(501.7-290.7)+(-1.242819+(-0.255867--0.148257))+0-474.2--0.241841999999952</f>
        <v>2172.5914130000001</v>
      </c>
      <c r="X213" s="3">
        <f>2638.3+(501.7-166.4)+(-4.036599+(-0.767601--0.254592))+0-661.6--1.01224800000004</f>
        <v>2308.4626400000006</v>
      </c>
      <c r="Y213" s="3">
        <f>2608+(388.1-228)+(-1.33008+(-0.197931--0.11628))+0-518.4--0.264383999999947</f>
        <v>2248.5526529999997</v>
      </c>
      <c r="Z213" s="3">
        <f>2583.3+(432.7-237.1)+(2.634966+(0.441354-0.241842))+0-614.2-0.626484000000098</f>
        <v>2166.9079940000006</v>
      </c>
      <c r="AA213" s="3">
        <f>2586.5+(329.9-199)+(1.319115+(0.168249-0.10149))+0-631.6-0.322115999999936</f>
        <v>2086.8637580000004</v>
      </c>
      <c r="AB213" s="3">
        <f>2575.4+(353.1-211.7)+(-2.626908+(-0.360162--0.215934))+0-709.1--0.723282000000113</f>
        <v>2005.6521460000006</v>
      </c>
      <c r="AC213" s="3">
        <f>2491.6+(406.1-263.4)+(-3.812148+(-0.621333--0.403002))+0-732.1--1.12011300000004</f>
        <v>1899.2896340000002</v>
      </c>
      <c r="AD213" s="2">
        <v>2323.6000000000004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2450+(393.7-434.9)+(-1.2495+(-0.200787--0.221799))+0-633.1--0.322880999999936</f>
        <v>1774.7943929999999</v>
      </c>
      <c r="G214" s="3">
        <f>2422.1+(588-464)+(-2.470542+(-0.59976--0.47328))+0-851.7--0.868734000000136</f>
        <v>1692.6717120000001</v>
      </c>
      <c r="H214" s="3">
        <f>2374.3+(574.9-620.1)+(-3.632679+(-0.879597--0.948753))+0-686.2--1.04988600000004</f>
        <v>1640.3863630000005</v>
      </c>
      <c r="I214" s="3">
        <f>2380.8+(640.5-538.9)+(-4.856832+(-1.30662--1.099356))+0-855.3--1.74481199999996</f>
        <v>1623.780716</v>
      </c>
      <c r="J214" s="3">
        <f>2337.1+(590-535.7)+(0+(0-0))+0-747.3-0</f>
        <v>1644.0999999999997</v>
      </c>
      <c r="K214" s="3">
        <f>2287.7+(648.3-516.7)+(-3.500181+(-0.991899--0.790551))+0-781.3--1.19538900000005</f>
        <v>1635.4938599999998</v>
      </c>
      <c r="L214" s="3">
        <f>2013.4+(724.7-388)+(-3.080502+(-1.108791--0.59364))+0-781.4--1.19554200000005</f>
        <v>1566.2998890000006</v>
      </c>
      <c r="M214" s="3">
        <f>2110.6+(509.6-497.7)+(1.076406+(0.259896-0.253827))+0-532.1-0.271370999999946</f>
        <v>1591.2111040000002</v>
      </c>
      <c r="N214" s="3">
        <f>2211.7+(440.2-283.5)+(1.127967+(0.224502-0.144585))+0-687.1-0.35042099999993</f>
        <v>1682.1574629999998</v>
      </c>
      <c r="O214" s="3">
        <f>2499.3+(346.9-477.6)+(-5.098572+(-0.707676--0.974304))+0-600.9--1.22583599999997</f>
        <v>1764.0938920000003</v>
      </c>
      <c r="P214" s="3">
        <f>2566.3+(372.8-380.8)+(1.308813+(0.190128-0.194208))+0-697.8-0.355877999999929</f>
        <v>1861.4488550000003</v>
      </c>
      <c r="Q214" s="3">
        <f>2562.4+(456.4-497.3)+(-3.920472+(-0.698292--0.760869))+0-650.4--0.995112000000038</f>
        <v>1868.2372169999999</v>
      </c>
      <c r="R214" s="3">
        <f>2558+(444.6-558.8)+(1.30458+(0.226746-0.284988))+0-640.6-0.326705999999935</f>
        <v>1804.1196320000004</v>
      </c>
      <c r="S214" s="3">
        <f>2552.2+(453-573.3)+(-2.603244+(-0.46206--0.584766))+0-660.7--0.673914000000105</f>
        <v>1769.393376</v>
      </c>
      <c r="T214" s="3">
        <f>2565.6+(442.7-684.6)+(-5.233824+(-0.903108--1.396584))+0-570.9--1.16463599999998</f>
        <v>1749.2242879999999</v>
      </c>
      <c r="U214" s="3">
        <f>2537+(583.8-754.6)+(-5.17548+(-1.190952--1.539384))+0-622.6--1.27010399999997</f>
        <v>1740.0430559999998</v>
      </c>
      <c r="V214" s="3">
        <f>2506+(381.5-618.9)+(2.55612+(0.38913-0.631278))+0-494.3-0.504186000000079</f>
        <v>1776.1097859999998</v>
      </c>
      <c r="W214" s="3">
        <f>2917.8+(366.5-713.1)+(-1.488078+(-0.186915--0.363681))+0-610.1--0.311150999999938</f>
        <v>1960.0998390000004</v>
      </c>
      <c r="X214" s="3">
        <f>3082.4+(646.9-1207.9)+(3.144048+(0.659838-1.232058))+0-455.6-0.464712000000073</f>
        <v>2067.9071160000003</v>
      </c>
      <c r="Y214" s="3">
        <f>3159+(570.2-1247.5)+(-4.83327+(-0.872406--1.908675))+0-432.3--0.661419000000025</f>
        <v>2046.264418</v>
      </c>
      <c r="Z214" s="3">
        <f>3164.7+(495.6-1156.8)+(-6.455988+(-1.011024--2.359872))+0-489.8--0.999191999999979</f>
        <v>2009.592052</v>
      </c>
      <c r="AA214" s="3">
        <f>3159.1+(517.1-1123.5)+(-3.222282+(-0.527442--1.14597))+0-578.4--0.589968000000092</f>
        <v>1972.2862139999995</v>
      </c>
      <c r="AB214" s="3">
        <f>3046.4+(435.7-1004.5)+(-3.107328+(-0.444414--1.02459))+0-603.8--0.615876000000096</f>
        <v>1871.8887240000004</v>
      </c>
      <c r="AC214" s="3">
        <f>2880.2+(183.6-670.7)+(-2.937804+(-0.187272--0.684114))+0-631.1--0.643722000000101</f>
        <v>1760.2027599999999</v>
      </c>
      <c r="AD214" s="2">
        <v>2115.6999999999998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2602+(246.6-613.7)+(-5.30808+(-0.503064--1.251948))+0-560.6--1.14362399999998</f>
        <v>1670.8844280000001</v>
      </c>
      <c r="G215" s="3">
        <f>2540.2+(438.6-724)+(-1.295502+(-0.223686--0.36924))+0-634.9--0.323798999999936</f>
        <v>1619.0738509999994</v>
      </c>
      <c r="H215" s="3">
        <f>2547.5+(415.7-736.2)+(-3.897675+(-0.636021--1.126386))+0-623--0.953190000000036</f>
        <v>1601.5458799999999</v>
      </c>
      <c r="I215" s="3">
        <f>2514.1+(384.2-624.6)+(-3.846573+(-0.587826--0.955638))+0-685.2--1.04835600000004</f>
        <v>1586.0695949999999</v>
      </c>
      <c r="J215" s="3">
        <f>2469.4+(389-584.8)+(-2.518788+(-0.39678--0.596496))+0-673.6--0.687072000000107</f>
        <v>1598.3680000000008</v>
      </c>
      <c r="K215" s="3">
        <f>2467.1+(397.5-558.9)+(0+(0-0))+0-683.7-0</f>
        <v>1621.9999999999998</v>
      </c>
      <c r="L215" s="3">
        <f>2470.8+(426.8-574.9)+(-1.260108+(-0.217668--0.293199))+0-625.4--0.318953999999937</f>
        <v>1696.434377</v>
      </c>
      <c r="M215" s="3">
        <f>2505.5+(403.4-527.3)+(-1.277805+(-0.205734--0.268923))+0-466.8--0.238067999999953</f>
        <v>1913.8234519999996</v>
      </c>
      <c r="N215" s="3">
        <f>2804.7+(352.5-395.4)+(0+(0-0))+0-632.8-0</f>
        <v>2129</v>
      </c>
      <c r="O215" s="3">
        <f>2831.5+(342.6-568.8)+(-5.77626+(-0.698904--1.160352))+0-428.1--0.873323999999981</f>
        <v>2172.7585120000003</v>
      </c>
      <c r="P215" s="3">
        <f>2869.8+(350.8-539.8)+(-1.463598+(-0.178908--0.275298))+0-441.4--0.225113999999955</f>
        <v>2238.2579059999998</v>
      </c>
      <c r="Q215" s="3">
        <f>3066.2+(259.5-512)+(-3.127524+(-0.26469--0.52224))+0-560.1--0.571302000000089</f>
        <v>2251.301328</v>
      </c>
      <c r="R215" s="3">
        <f>2946.6+(195.5-646.3)+(-4.508298+(-0.299115--0.988839))+0-445.8--0.682074000000026</f>
        <v>2046.8635000000004</v>
      </c>
      <c r="S215" s="3">
        <f>2836+(158.7-568.4)+(-4.33908+(-0.242811--0.869652))+0-393.3--0.601749000000023</f>
        <v>2029.8895100000002</v>
      </c>
      <c r="T215" s="3">
        <f>2838.2+(248-451.6)+(1.447482+(0.12648-0.230316))+0-562.5-0.286874999999943</f>
        <v>2073.1567709999999</v>
      </c>
      <c r="U215" s="3">
        <f>2836.9+(259.2-463.3)+(-8.680914+(-0.793152--1.417698))+0-545.7--1.66984200000006</f>
        <v>2080.7134740000001</v>
      </c>
      <c r="V215" s="3">
        <f>2831.6+(316.8-462.9)+(-2.888232+(-0.323136--0.472158))+0-585.1--0.596802000000093</f>
        <v>2098.2575919999999</v>
      </c>
      <c r="W215" s="3">
        <f>2935.9+(584.8-623.1)+(0+(0-0))+0-598.8-0</f>
        <v>2298.8000000000002</v>
      </c>
      <c r="X215" s="3">
        <f>3168.2+(765.1-933.5)+(-6.463128+(-1.560804--1.90434))+0-617.2--1.25908799999997</f>
        <v>2377.7394959999992</v>
      </c>
      <c r="Y215" s="3">
        <f>3160.6+(655.5-931.3)+(-12.895248+(-2.67444--3.799704))+0-595.3--2.42882399999995</f>
        <v>2280.1588400000005</v>
      </c>
      <c r="Z215" s="3">
        <f>2965.5+(618.3-819.3)+(-7.562025+(-1.576665--2.089215))+0-542.3--1.38286499999992</f>
        <v>2216.5333900000001</v>
      </c>
      <c r="AA215" s="3">
        <f>2998.3+(605.2-843.9)+(-7.645665+(-1.54326--2.151945))+0-630.8--1.60853999999991</f>
        <v>2123.37156</v>
      </c>
      <c r="AB215" s="3">
        <f>3097.1+(478-941.3)+(-4.738563+(-0.73134--1.440189))+0-628.1--0.960993000000036</f>
        <v>2002.6312790000006</v>
      </c>
      <c r="AC215" s="3">
        <f>3071.1+(332.7-903.9)+(-1.566261+(-0.169677--0.460989))+0-631.1--0.321860999999936</f>
        <v>1867.8469119999995</v>
      </c>
      <c r="AD215" s="2">
        <v>2382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2802.7+(190.8-424.2)+(1.429377+(0.097308-0.216342))+0-799.3-0.407642999999919</f>
        <v>1770.9026999999999</v>
      </c>
      <c r="G216" s="3">
        <f>2597.1+(225.4-422.6)+(-5.298084+(-0.459816--0.862104))+0-712.6--1.45370399999997</f>
        <v>1683.8579080000004</v>
      </c>
      <c r="H216" s="3">
        <f>2594.9+(239.5-448.3)+(-5.293596+(-0.48858--0.914532))+0-725.3--1.47961199999997</f>
        <v>1657.4119679999999</v>
      </c>
      <c r="I216" s="3">
        <f>2524.8+(249.8-447.9)+(5.150592+(0.509592-0.913716))+0-677.9-1.38291599999997</f>
        <v>1652.163552</v>
      </c>
      <c r="J216" s="3">
        <f>2426.6+(265.2-390)+(6.18783+(0.67626-0.9945))+0-645.6-1.64627999999991</f>
        <v>1660.4233099999997</v>
      </c>
      <c r="K216" s="3">
        <f>2417+(308-404.7)+(3.69801+(0.47124-0.619191))+0-642.8-0.983484000000037</f>
        <v>1680.0665750000003</v>
      </c>
      <c r="L216" s="3">
        <f>2213+(407.3-304.5)+(4.51452+(0.830892-0.62118))+0-696.5-1.42085999999997</f>
        <v>1622.6033720000003</v>
      </c>
      <c r="M216" s="3">
        <f>2342.7+(363.6-393.9)+(0+(0-0))+0-471.9-0</f>
        <v>1840.4999999999995</v>
      </c>
      <c r="N216" s="3">
        <f>2541.8+(449.5-416.1)+(2.592636+(0.45849-0.424422))+0-531-0.541620000000085</f>
        <v>2046.2850839999999</v>
      </c>
      <c r="O216" s="3">
        <f>2663.4+(388.6-432.2)+(-4.075002+(-0.594558--0.661266))+0-468.8--0.717264000000027</f>
        <v>2147.7089699999997</v>
      </c>
      <c r="P216" s="3">
        <f>2688.7+(360-405.4)+(0+(0-0))+0-456.5-0</f>
        <v>2186.7999999999997</v>
      </c>
      <c r="Q216" s="3">
        <f>2692.3+(339-364.7)+(-2.746146+(-0.34578--0.371994))+0-425.3--0.433806000000068</f>
        <v>2239.0138740000002</v>
      </c>
      <c r="R216" s="3">
        <f>2705.2+(171.5-516.5)+(-5.518608+(-0.34986--1.05366))+0-331.5--0.676259999999986</f>
        <v>2024.5614519999997</v>
      </c>
      <c r="S216" s="3">
        <f>2711.6+(193.7-546.7)+(-2.765832+(-0.197574--0.557634))+0-354.9--0.361998000000057</f>
        <v>2001.6562259999998</v>
      </c>
      <c r="T216" s="3">
        <f>2779.8+(147.3-576.5)+(-7.08849+(-0.375615--1.470075))+0-260.3--0.663764999999962</f>
        <v>2084.9697350000001</v>
      </c>
      <c r="U216" s="3">
        <f>2866.5+(177.1-476.5)+(-1.461915+(-0.090321--0.243015))+0-474.1--0.241790999999952</f>
        <v>2091.9325699999999</v>
      </c>
      <c r="V216" s="3">
        <f>2837+(205.5-477.4)+(0+(0-0))+0-497.1-0</f>
        <v>2068</v>
      </c>
      <c r="W216" s="3">
        <f>3018+(333.1-646.4)+(0+(0-0))+0-462.3-0</f>
        <v>2242.3999999999996</v>
      </c>
      <c r="X216" s="3">
        <f>3069+(393.4-607.2)+(-3.13038+(-0.401268--0.619344))+0-508.5--0.518670000000081</f>
        <v>2344.3063659999998</v>
      </c>
      <c r="Y216" s="3">
        <f>3070.7+(181.7-571.1)+(-3.132114+(-0.185334--0.582522))+0-410.3--0.418506000000065</f>
        <v>2268.6835799999994</v>
      </c>
      <c r="Z216" s="3">
        <f>3078.5+(254.2-537.6)+(3.14007+(0.259284-0.548352))+0-605.7-0.617814000000097</f>
        <v>2191.6331879999998</v>
      </c>
      <c r="AA216" s="3">
        <f>3135.2+(233.2-738.2)+(3.197904+(0.237864-0.752964))+0-518.3-0.528666000000083</f>
        <v>2114.0541379999995</v>
      </c>
      <c r="AB216" s="3">
        <f>3100.3+(151.6-695.7)+(-4.743459+(-0.231948--1.064421))+0-548.2--0.838746000000032</f>
        <v>2004.9277600000005</v>
      </c>
      <c r="AC216" s="3">
        <f>2945.9+(87.5-545.2)+(-6.009636+(-0.1785--1.112208))+0-595.6--1.21502399999997</f>
        <v>1888.7390959999996</v>
      </c>
      <c r="AD216" s="2">
        <v>2325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2711.1+(196.2-576.4)+(-1.382661+(-0.100062--0.293964))+0-558.8--0.284987999999943</f>
        <v>1771.1962289999999</v>
      </c>
      <c r="G217" s="3">
        <f>2637.8+(457.7-686.9)+(-4.035834+(-0.700281--1.050957))+0-700.3--1.07145900000004</f>
        <v>1705.6863010000006</v>
      </c>
      <c r="H217" s="3">
        <f>2499.2+(513.8-724.2)+(-5.098368+(-1.048152--1.477368))+0-623.8--1.27255199999997</f>
        <v>1661.6033999999997</v>
      </c>
      <c r="I217" s="3">
        <f>2457.7+(501.2-649)+(-2.506854+(-0.511224--0.66198))+0-652.3--0.665346000000104</f>
        <v>1655.9092479999995</v>
      </c>
      <c r="J217" s="3">
        <f>2427+(470.7-626.4)+(3.71331+(0.720171-0.958392))+0-615-0.940950000000036</f>
        <v>1658.8341390000003</v>
      </c>
      <c r="K217" s="3">
        <f>2342.2+(441.3-531.2)+(-4.778088+(-0.900252--1.083648))+0-582.1--1.18748399999997</f>
        <v>1666.7927919999997</v>
      </c>
      <c r="L217" s="3">
        <f>2169.8+(529.5-359)+(0+(0-0))+0-647.4-0</f>
        <v>1692.9</v>
      </c>
      <c r="M217" s="3">
        <f>2236.6+(406.2-327.4)+(0+(0-0))+0-461.1-0</f>
        <v>1854.3000000000002</v>
      </c>
      <c r="N217" s="3">
        <f>2681.2+(411.2-508.2)+(2.734824+(0.419424-0.518364))+0-537.5-0.548250000000086</f>
        <v>2048.7876339999993</v>
      </c>
      <c r="O217" s="3">
        <f>2693.3+(482.2-588.1)+(1.373583+(0.245922-0.299931))+0-435.9-0.222308999999956</f>
        <v>2152.5972650000003</v>
      </c>
      <c r="P217" s="3">
        <f>2723.3+(486.3-450.6)+(-2.777766+(-0.496026--0.459612))+0-558.4--0.569568000000089</f>
        <v>2198.3553879999999</v>
      </c>
      <c r="Q217" s="3">
        <f>2793.9+(439.5-586.9)+(-4.274667+(-0.672435--0.897957))+0-424.5--0.649485000000025</f>
        <v>2218.60034</v>
      </c>
      <c r="R217" s="3">
        <f>2864.8+(407.5-609.4)+(-8.766288+(-1.24695--1.864764))+0-599.4--1.83416400000007</f>
        <v>2057.1856899999998</v>
      </c>
      <c r="S217" s="3">
        <f>2846.3+(355-721.4)+(0+(0-0))+0-458.5-0</f>
        <v>2021.4</v>
      </c>
      <c r="T217" s="3">
        <f>2819.2+(422-641.6)+(-1.437792+(-0.21522--0.327216))+0-536.6--0.273665999999946</f>
        <v>2061.94787</v>
      </c>
      <c r="U217" s="3">
        <f>2788.8+(493.1-711)+(0+(0-0))+0-471.4-0</f>
        <v>2099.5</v>
      </c>
      <c r="V217" s="3">
        <f>2808.7+(494.7-739.2)+(-5.729748+(-1.009188--1.507968))+0-469.1--0.95696399999998</f>
        <v>2090.825996</v>
      </c>
      <c r="W217" s="3">
        <f>2951+(409.3-617.1)+(-3.01002+(-0.417486--0.629442))+0-419.2--0.427584000000067</f>
        <v>2321.62952</v>
      </c>
      <c r="X217" s="3">
        <f>3064+(354.1-574.1)+(-1.56264+(-0.180591--0.292791))+0-440.3--0.224552999999955</f>
        <v>2402.4741129999998</v>
      </c>
      <c r="Y217" s="3">
        <f>2912.4+(460.2-512)+(-2.970648+(-0.469404--0.52224))+0-552--0.563040000000088</f>
        <v>2306.2452279999998</v>
      </c>
      <c r="Z217" s="3">
        <f>2880.3+(324.4-497.1)+(-7.344765+(-0.82722--1.267605))+0-495.7--1.26403499999993</f>
        <v>2206.2596550000007</v>
      </c>
      <c r="AA217" s="3">
        <f>2869.6+(305.4-493.6)+(-5.853984+(-0.623016--1.006944))+0-535.3--1.09201199999998</f>
        <v>2141.7219559999994</v>
      </c>
      <c r="AB217" s="3">
        <f>2722.6+(404.9-465.4)+(-4.165578+(-0.619497--0.712062))+0-623.5--0.953955000000036</f>
        <v>2035.4809419999997</v>
      </c>
      <c r="AC217" s="3">
        <f>2616.4+(543.9-689.4)+(-2.668728+(-0.554778--0.703188))+0-577.8--0.589356000000092</f>
        <v>1891.1690380000005</v>
      </c>
      <c r="AD217" s="2">
        <v>2413.3999999999996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2613.8+(597.9-780.2)+(-1.333038+(-0.304929--0.397902))+0-639.6--0.326195999999935</f>
        <v>1790.9861310000001</v>
      </c>
      <c r="G218" s="3">
        <f>2368+(687.1-736.8)+(1.20768+(0.350421-0.375768))+0-590.4-0.30110399999994</f>
        <v>1728.7812290000004</v>
      </c>
      <c r="H218" s="3">
        <f>2079.6+(804-613.2)+(0+(0-0))+0-585.7-0</f>
        <v>1684.6999999999996</v>
      </c>
      <c r="I218" s="3">
        <f>2078+(835-525.3)+(4.23912+(1.7034-1.071612))+0-721.8-1.47247199999997</f>
        <v>1669.2984359999998</v>
      </c>
      <c r="J218" s="3">
        <f>2078.3+(830-533)+(1.059933+(0.4233-0.27183))+0-690.6-0.35220599999993</f>
        <v>1685.559197</v>
      </c>
      <c r="K218" s="3">
        <f>2076.8+(827.9-467)+(2.118336+(0.844458-0.47634))+0-736.7-0.751434000000118</f>
        <v>1702.7350200000001</v>
      </c>
      <c r="L218" s="3">
        <f>2078.5+(682.8-433.8)+(-2.12007+(-0.696456--0.442476))+0-611--0.623220000000097</f>
        <v>1714.7491700000003</v>
      </c>
      <c r="M218" s="3">
        <f>2076.5+(512.4-196)+(5.295075+(1.30662-0.4998))+0-513.4-1.30916999999993</f>
        <v>1884.2927249999998</v>
      </c>
      <c r="N218" s="3">
        <f>2502.8+(359.7-349.8)+(-2.552856+(-0.366894--0.356796))+0-461.6--0.470832000000074</f>
        <v>2049.0078780000003</v>
      </c>
      <c r="O218" s="3">
        <f>2743.6+(371.7-459.8)+(-1.399236+(-0.189567--0.234498))+0-493.6--0.25173599999995</f>
        <v>2160.7974310000004</v>
      </c>
      <c r="P218" s="3">
        <f>2938.1+(337.4-512.9)+(0+(0-0))+0-554.2-0</f>
        <v>2208.3999999999996</v>
      </c>
      <c r="Q218" s="3">
        <f>2981.8+(274.6-487.3)+(1.520718+(0.140046-0.248523))+0-533.5-0.272084999999946</f>
        <v>2236.7401560000003</v>
      </c>
      <c r="R218" s="3">
        <f>2863+(238-439.7)+(-2.92026+(-0.24276--0.448494))+0-626.7--0.6392340000001</f>
        <v>2032.5247079999999</v>
      </c>
      <c r="S218" s="3">
        <f>2834.6+(164.8-445.8)+(-2.891292+(-0.168096--0.454716))+0-527.6--0.538152000000084</f>
        <v>2023.9334800000001</v>
      </c>
      <c r="T218" s="3">
        <f>2835.7+(207.9-457.1)+(2.892414+(0.212058-0.466242))+0-507.7-0.517854000000081</f>
        <v>2080.920376</v>
      </c>
      <c r="U218" s="3">
        <f>2797.1+(323.9-447.6)+(-4.279563+(-0.495567--0.684828))+0-590.1--0.902853000000034</f>
        <v>2080.1125509999997</v>
      </c>
      <c r="V218" s="3">
        <f>2648.6+(388.1-534.1)+(-2.701572+(-0.395862--0.544782))+0-400.8--0.408816000000064</f>
        <v>2099.656164</v>
      </c>
      <c r="W218" s="3">
        <f>2909.2+(383-545.1)+(0+(0-0))+0-460.9-0</f>
        <v>2286.1999999999998</v>
      </c>
      <c r="X218" s="3">
        <f>3117.1+(338.4-612.3)+(-6.358884+(-0.690336--1.249092))+0-469.1--0.95696399999998</f>
        <v>2369.256836</v>
      </c>
      <c r="Y218" s="3">
        <f>3075+(305.2-571.4)+(-7.84125+(-0.77826--1.45707))+0-521.5--1.32982499999992</f>
        <v>2281.4673849999999</v>
      </c>
      <c r="Z218" s="3">
        <f>2853.6+(393.2-555.5)+(-1.455336+(-0.200532--0.283305))+0-502--0.256019999999949</f>
        <v>2188.1834569999996</v>
      </c>
      <c r="AA218" s="3">
        <f>2871.5+(370.5-601.5)+(-5.85786+(-0.75582--1.22706))+0-525.5--1.07201999999998</f>
        <v>2110.6853999999998</v>
      </c>
      <c r="AB218" s="3">
        <f>2865.4+(358.5-588.4)+(-1.461354+(-0.182835--0.300084))+0-623.1--0.317780999999937</f>
        <v>2011.3736759999999</v>
      </c>
      <c r="AC218" s="3">
        <f>2886.9+(485.1-865.1)+(-8.833914+(-1.484406--2.647206))+0-609.8--1.86598800000007</f>
        <v>1891.2948739999999</v>
      </c>
      <c r="AD218" s="2">
        <v>2210.8000000000002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2354.6+(673.8-625.8)+(-2.401692+(-0.687276--0.638316))+0-639.9--0.652698000000102</f>
        <v>1760.9020459999999</v>
      </c>
      <c r="G219" s="3">
        <f>2067.6+(882.9-511.3)+(-1.054476+(-0.450279--0.260763))+0-729.7--0.372146999999926</f>
        <v>1708.6281549999994</v>
      </c>
      <c r="H219" s="3">
        <f>1923.2+(844.8-492)+(0+(0-0))+0-609.9-0</f>
        <v>1666.1</v>
      </c>
      <c r="I219" s="3">
        <f>1924.9+(746.8-367.7)+(2.945097+(1.142604-0.562581))+0-663.5-1.01515500000004</f>
        <v>1643.0099649999997</v>
      </c>
      <c r="J219" s="3">
        <f>1873.2+(803.1-399.2)+(-1.910664+(-0.819162--0.407184))+0-632.8--0.645456000000101</f>
        <v>1642.6228140000001</v>
      </c>
      <c r="K219" s="3">
        <f>1762.6+(858.3-299.3)+(-0.898926+(-0.437733--0.152643))+0-673.6--0.343535999999932</f>
        <v>1647.1595199999997</v>
      </c>
      <c r="L219" s="3">
        <f>1768.5+(750-310.4)+(-2.705805+(-1.1475--0.474912))+0-553.6--0.847008000000032</f>
        <v>1651.968615</v>
      </c>
      <c r="M219" s="3">
        <f>1855.6+(651.6-223.5)+(1.892712+(0.664632-0.22797))+0-445.3-0.454206000000071</f>
        <v>1840.2751679999997</v>
      </c>
      <c r="N219" s="3">
        <f>2266.3+(539.1-310.6)+(0+(0-0))+0-465.5-0</f>
        <v>2029.3000000000002</v>
      </c>
      <c r="O219" s="3">
        <f>2565.7+(534.1-457.1)+(-2.617014+(-0.544782--0.466242))+0-510.7--0.520914000000081</f>
        <v>2129.8253600000003</v>
      </c>
      <c r="P219" s="3">
        <f>2743.2+(500.3-456.5)+(0+(0-0))+0-600-0</f>
        <v>2187</v>
      </c>
      <c r="Q219" s="3">
        <f>2838.1+(395.1-495.9)+(-4.342293+(-0.604503--0.758727))+0-534.6--0.817938000000031</f>
        <v>2199.3298690000006</v>
      </c>
      <c r="R219" s="3">
        <f>2900.7+(226.9-530.8)+(-5.917428+(-0.462876--1.082832))+0-559.4--1.14117599999998</f>
        <v>2033.2437039999995</v>
      </c>
      <c r="S219" s="3">
        <f>2907.7+(221-543.5)+(2.965854+(0.22542-0.55437))+0-559-0.570180000000089</f>
        <v>2028.2667239999996</v>
      </c>
      <c r="T219" s="3">
        <f>2938.4+(240-508.4)+(-1.498584+(-0.1224--0.259284))+0-611.5--0.311864999999938</f>
        <v>2057.4501650000002</v>
      </c>
      <c r="U219" s="3">
        <f>2938.8+(265-500.8)+(-2.997576+(-0.2703--0.510816))+0-625.3--0.6378060000001</f>
        <v>2075.5807460000001</v>
      </c>
      <c r="V219" s="3">
        <f>2944.4+(270.9-686.2)+(0+(0-0))+0-479.8-0</f>
        <v>2049.2999999999997</v>
      </c>
      <c r="W219" s="3">
        <f>3083.9+(489.4-658.4)+(-3.145578+(-0.499188--0.671568))+0-644.3--0.657186000000103</f>
        <v>2268.2839879999997</v>
      </c>
      <c r="X219" s="3">
        <f>3309+(431.6-837.6)+(-6.75036+(-0.880464--1.708704))+0-532.8--1.08691199999998</f>
        <v>2365.3647919999994</v>
      </c>
      <c r="Y219" s="3">
        <f>3201.5+(301.4-706.2)+(0+(0-0))+0-499-0</f>
        <v>2297.6999999999998</v>
      </c>
      <c r="Z219" s="3">
        <f>3207.7+(253.1-624.4)+(-3.271854+(-0.258162--0.636888))+0-647.3--0.660246000000103</f>
        <v>2186.8671179999997</v>
      </c>
      <c r="AA219" s="3">
        <f>3270.5+(207.4-724.2)+(-5.003865+(-0.317322--1.108026))+0-631.4--0.966042000000036</f>
        <v>2119.0528809999996</v>
      </c>
      <c r="AB219" s="3">
        <f>3228.4+(152.6-813.3)+(-8.23242+(-0.38913--2.073915))+0-547.5--1.39612499999992</f>
        <v>2015.0484900000004</v>
      </c>
      <c r="AC219" s="3">
        <f>3098.4+(300.6-896.1)+(-3.160368+(-0.306612--0.914022))+0-598.6--0.610572000000095</f>
        <v>1902.357614</v>
      </c>
      <c r="AD219" s="2">
        <v>2443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2718.9+(520.7-752.5)+(-5.546556+(-1.062228--1.5351))+0-722.6--1.47410399999997</f>
        <v>1760.9004200000004</v>
      </c>
      <c r="G220" s="3">
        <f>2297.6+(658-622.7)+(-2.343552+(-0.67116--0.635154))+0-647.9--0.660858000000103</f>
        <v>1683.2812999999996</v>
      </c>
      <c r="H220" s="3">
        <f>2094.8+(865.2-603.3)+(2.136696+(0.882504-0.615366))+0-708.5-0.722670000000113</f>
        <v>1649.8811640000004</v>
      </c>
      <c r="I220" s="3">
        <f>2054.1+(899-558.3)+(-5.237955+(-2.29245--1.423665))+0-758.3--1.93366499999989</f>
        <v>1632.3269249999998</v>
      </c>
      <c r="J220" s="3">
        <f>2006.3+(811.6-454.8)+(-5.116065+(-2.06958--1.15974))+0-731.9--1.86634499999989</f>
        <v>1627.0404399999998</v>
      </c>
      <c r="K220" s="3">
        <f>2000.7+(774.6-353)+(-3.061071+(-1.185138--0.54009))+0-772.2--1.18146600000004</f>
        <v>1647.5753470000002</v>
      </c>
      <c r="L220" s="3">
        <f>2026.3+(542.2-353.9)+(-3.100239+(-0.829566--0.541467))+0-581.5--0.889695000000034</f>
        <v>1630.6013569999998</v>
      </c>
      <c r="M220" s="3">
        <f>2032.2+(653.5-203.2)+(3.109266+(0.999855-0.310896))+0-678.9-1.03871700000004</f>
        <v>1806.3595079999998</v>
      </c>
      <c r="N220" s="3">
        <f>2119.1+(616.2-257.9)+(-1.080741+(-0.314262--0.131529))+0-486.8--0.248267999999951</f>
        <v>1989.5847940000003</v>
      </c>
      <c r="O220" s="3">
        <f>2178.1+(744-167.9)+(-2.221662+(-0.75888--0.171258))+0-638.7--0.651474000000102</f>
        <v>2113.3421900000003</v>
      </c>
      <c r="P220" s="3">
        <f>2401.9+(595.6-198.3)+(-1.224969+(-0.303756--0.101133))+0-643.5--0.328184999999935</f>
        <v>2154.6005930000001</v>
      </c>
      <c r="Q220" s="3">
        <f>2442.6+(538.7-203.4)+(-3.737178+(-0.824211--0.311202))+0-625.4--0.956862000000036</f>
        <v>2149.2066749999999</v>
      </c>
      <c r="R220" s="3">
        <f>2442.8+(449.6-191.3)+(-4.983312+(-0.917184--0.390252))+0-720.2--1.46920799999997</f>
        <v>1976.8589640000002</v>
      </c>
      <c r="S220" s="3">
        <f>2437.1+(333.9-248.3)+(-1.242921+(-0.170289--0.126633))+0-605.1--0.308600999999939</f>
        <v>1916.622024</v>
      </c>
      <c r="T220" s="3">
        <f>2426.6+(370.1-244.4)+(-3.712698+(-0.566253--0.373932))+0-638.8--0.977364000000037</f>
        <v>1910.572345</v>
      </c>
      <c r="U220" s="3">
        <f>2403.7+(312-288.3)+(-2.451774+(-0.31824--0.294066))+0-547.4--0.558348000000087</f>
        <v>1878.0823999999998</v>
      </c>
      <c r="V220" s="3">
        <f>2283.8+(437.4-234.7)+(0+(0-0))+0-655-0</f>
        <v>1831.5</v>
      </c>
      <c r="W220" s="3">
        <f>2666.8+(415.8-475.7)+(-2.720136+(-0.424116--0.485214))+0-531.9--0.542538000000085</f>
        <v>2072.8835000000004</v>
      </c>
      <c r="X220" s="3">
        <f>3089.6+(385.9-688)+(-1.575696+(-0.196809--0.35088))+0-576.1--0.293810999999942</f>
        <v>2210.2721860000001</v>
      </c>
      <c r="Y220" s="3">
        <f>3068.8+(343.1-627.9)+(-6.260352+(-0.699924--1.280916))+0-626.4--1.27785599999997</f>
        <v>2153.198496</v>
      </c>
      <c r="Z220" s="3">
        <f>2840.7+(319.6-453)+(-2.897514+(-0.325992--0.46206))+0-632.5--0.645150000000101</f>
        <v>2072.683704</v>
      </c>
      <c r="AA220" s="3">
        <f>2701.6+(324.9-386.8)+(-4.133448+(-0.497097--0.591804))+0-624.7--0.955791000000036</f>
        <v>2011.91705</v>
      </c>
      <c r="AB220" s="3">
        <f>2679.9+(352.3-396.4)+(-4.100247+(-0.539019--0.606492))+0-702.3--1.07451900000004</f>
        <v>1930.5417450000004</v>
      </c>
      <c r="AC220" s="3">
        <f>2585.6+(381-456.7)+(-5.274624+(-0.77724--0.931668))+0-682.7--1.39270799999997</f>
        <v>1823.4725120000001</v>
      </c>
      <c r="AD220" s="2">
        <v>2285.4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2360.1+(592.5-546.4)+(-3.610953+(-0.906525--0.835992))+0-698--1.06794000000004</f>
        <v>1705.586454</v>
      </c>
      <c r="G221" s="3">
        <f>1955.7+(961.3-507.1)+(-4.987035+(-2.451315--1.293105))+0-780.2--1.98950999999989</f>
        <v>1625.5442649999998</v>
      </c>
      <c r="H221" s="3">
        <f>1661.8+(1060.8-438.5)+(0+(0-0))+0-704.2-0</f>
        <v>1579.8999999999999</v>
      </c>
      <c r="I221" s="3">
        <f>1715.6+(973.1-413.2)+(-4.37478+(-2.481405--1.05366))+0-736.6--1.87832999999989</f>
        <v>1534.9758049999998</v>
      </c>
      <c r="J221" s="3">
        <f>1736.4+(995.4-430.9)+(0.885564+(0.507654-0.219759))+0-767.7-0.391526999999922</f>
        <v>1533.9819320000001</v>
      </c>
      <c r="K221" s="3">
        <f>1742.5+(832.9-368.5)+(0+(0-0))+0-676.7-0</f>
        <v>1530.2</v>
      </c>
      <c r="L221" s="3">
        <f>1745.1+(768.6-306.3)+(-1.780002+(-0.783972--0.312426))+0-765.4--0.780708000000122</f>
        <v>1440.52916</v>
      </c>
      <c r="M221" s="3">
        <f>1755.4+(615.3-324.6)+(-1.790508+(-0.627606--0.331092))+0-605.4--0.617508000000097</f>
        <v>1439.2304860000002</v>
      </c>
      <c r="N221" s="3">
        <f>1749.7+(689.5-286.1)+(1.784694+(0.70329-0.291822))+0-636.6-0.649332000000101</f>
        <v>1518.04683</v>
      </c>
      <c r="O221" s="3">
        <f>1801.9+(784-371.6)+(0.918969+(0.39984-0.189516))+0-648.3-0.330632999999934</f>
        <v>1566.7986600000002</v>
      </c>
      <c r="P221" s="3">
        <f>1912+(849.6-394.2)+(-3.90048+(-1.733184--0.804168))+0-719.1--1.46696399999997</f>
        <v>1644.9374680000003</v>
      </c>
      <c r="Q221" s="3">
        <f>1934.7+(807.3-418.3)+(-0.986697+(-0.411723--0.213333))+0-667--0.340169999999932</f>
        <v>1655.8550829999999</v>
      </c>
      <c r="R221" s="3">
        <f>1986.2+(776.2-507.4)+(-3.038886+(-1.187586--0.776322))+0-640.8--0.980424000000037</f>
        <v>1611.730274</v>
      </c>
      <c r="S221" s="3">
        <f>2023.3+(784.8-562.3)+(-4.127532+(-1.600992--1.147092))+0-669.3--1.36537199999997</f>
        <v>1573.2839400000003</v>
      </c>
      <c r="T221" s="3">
        <f>2061.8+(674.4-571.6)+(-4.206072+(-1.375776--1.166064))+0-574.7--1.17238799999997</f>
        <v>1586.6566040000005</v>
      </c>
      <c r="U221" s="3">
        <f>2083.3+(651.7-488.5)+(-2.124966+(-0.664734--0.49827))+0-655.4--0.668508000000104</f>
        <v>1589.4770779999999</v>
      </c>
      <c r="V221" s="3">
        <f>2089.1+(497-375.7)+(-1.065441+(-0.25347--0.191607))+0-551.1--0.281060999999944</f>
        <v>1658.453757</v>
      </c>
      <c r="W221" s="3">
        <f>2235.1+(737.2-530.1)+(-3.419703+(-1.127916--0.811053))+0-561.6--0.859248000000033</f>
        <v>1877.7226819999998</v>
      </c>
      <c r="X221" s="3">
        <f>2443.5+(692.5-557.7)+(-1.246185+(-0.353175--0.284427))+0-607.3--0.309722999999938</f>
        <v>1969.99479</v>
      </c>
      <c r="Y221" s="3">
        <f>2459.5+(621.8-590.3)+(-5.01738+(-1.268472--1.204212))+0-567.7--1.15810799999998</f>
        <v>1919.3764680000002</v>
      </c>
      <c r="Z221" s="3">
        <f>2461.4+(616.1-567.3)+(0+(0-0))+0-622.2-0</f>
        <v>1888.0000000000002</v>
      </c>
      <c r="AA221" s="3">
        <f>2455.3+(601.9-689.6)+(0+(0-0))+0-528.5-0</f>
        <v>1839.1000000000004</v>
      </c>
      <c r="AB221" s="3">
        <f>2445.9+(702.2-702.7)+(-1.247409+(-0.358122--0.358377))+0-668.5--0.340934999999932</f>
        <v>1775.9937809999999</v>
      </c>
      <c r="AC221" s="3">
        <f>2395.5+(659.9-753.8)+(-3.665115+(-1.009647--1.153314))+0-622.5--0.952425000000036</f>
        <v>1676.5309769999999</v>
      </c>
      <c r="AD221" s="2">
        <v>1957.4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2285.6+(634-687.8)+(-2.331312+(-0.64668--0.701556))+0-662.2--0.675444000000106</f>
        <v>1567.9990080000002</v>
      </c>
      <c r="G222" s="3">
        <f>2237.2+(598.3-687.1)+(-2.281944+(-0.610266--0.700842))+0-612.7--0.624954000000098</f>
        <v>1534.1335859999999</v>
      </c>
      <c r="H222" s="3">
        <f>2112.7+(724.2-515.5)+(1.077477+(0.369342-0.262905))+0-804.4-0.410243999999918</f>
        <v>1517.7736699999998</v>
      </c>
      <c r="I222" s="3">
        <f>2060.8+(659.8-535.7)+(-3.153024+(-1.009494--0.819621))+0-693.5--1.06105500000004</f>
        <v>1489.1181580000002</v>
      </c>
      <c r="J222" s="3">
        <f>1987.2+(751.1-427.4)+(-1.013472+(-0.383061--0.217974))+0-805.5--0.410804999999918</f>
        <v>1504.6322460000001</v>
      </c>
      <c r="K222" s="3">
        <f>1990.4+(625.3-343.3)+(-4.060416+(-1.275612--0.700332))+0-747.8--1.52551199999997</f>
        <v>1521.4898160000002</v>
      </c>
      <c r="L222" s="3">
        <f>2030.5+(517.5-221.5)+(-1.035555+(-0.263925--0.112965))+0-756.9--0.386018999999923</f>
        <v>1568.7995040000001</v>
      </c>
      <c r="M222" s="3">
        <f>2330.8+(307.7-389)+(0+(0-0))+0-496.5-0</f>
        <v>1753</v>
      </c>
      <c r="N222" s="3">
        <f>2522.3+(447-381.4)+(0+(0-0))+0-621.2-0</f>
        <v>1966.7</v>
      </c>
      <c r="O222" s="3">
        <f>2614.5+(424.2-326.7)+(-5.33358+(-0.865368--0.666468))+0-634.6--1.29458399999997</f>
        <v>2073.162104</v>
      </c>
      <c r="P222" s="3">
        <f>2642.5+(423.7-435.6)+(5.3907+(0.864348-0.888624))+0-486.3-0.992051999999979</f>
        <v>2148.6743719999995</v>
      </c>
      <c r="Q222" s="3">
        <f>2622.3+(532-477.1)+(1.337373+(0.27132-0.243321))+0-521.3-0.265862999999947</f>
        <v>2156.9995090000007</v>
      </c>
      <c r="R222" s="3">
        <f>2616.3+(449.3-579.2)+(-6.671565+(-1.145715--1.47696))+0-460.2--1.17350999999993</f>
        <v>2021.0331900000001</v>
      </c>
      <c r="S222" s="3">
        <f>2591.5+(670-614.6)+(2.64333+(0.6834-0.626892))+0-647.6-0.660552000000103</f>
        <v>2001.3392860000001</v>
      </c>
      <c r="T222" s="3">
        <f>2577.1+(526.4-497.1)+(0+(0-0))+0-568.6-0</f>
        <v>2037.7999999999997</v>
      </c>
      <c r="U222" s="3">
        <f>2554.2+(518.1-417)+(-2.605284+(-0.528462--0.42534))+0-593--0.604860000000095</f>
        <v>2060.1964539999994</v>
      </c>
      <c r="V222" s="3">
        <f>2590.6+(394.2-398.3)+(2.642412+(0.402084-0.406266))+0-626.4-0.6389280000001</f>
        <v>1962.0993019999999</v>
      </c>
      <c r="W222" s="3">
        <f>2821.4+(679.4-618.6)+(-4.316742+(-1.039482--0.946458))+0-667.6--1.02142800000004</f>
        <v>2211.2116619999997</v>
      </c>
      <c r="X222" s="3">
        <f>2974.2+(821.4-704.1)+(-7.58421+(-2.09457--1.795455))+0-628.7--1.60318499999991</f>
        <v>2456.5198600000003</v>
      </c>
      <c r="Y222" s="3">
        <f>2871.5+(940.8-738.6)+(-7.322325+(-2.39904--1.88343))+0-717.1--1.8286049999999</f>
        <v>2350.5906699999996</v>
      </c>
      <c r="Z222" s="3">
        <f>2734.4+(931.6-771.7)+(-4.183632+(-1.425348--1.180701))+0-665.8--1.01867400000004</f>
        <v>2225.0903950000002</v>
      </c>
      <c r="AA222" s="3">
        <f>2725.1+(822.1-737)+(-4.169403+(-1.257813--1.12761))+0-698.5--1.06870500000004</f>
        <v>2108.4690989999999</v>
      </c>
      <c r="AB222" s="3">
        <f>2723.5+(664.2-784)+(-2.77797+(-0.677484--0.79968))+0-620.6--0.633012000000099</f>
        <v>1981.0772380000001</v>
      </c>
      <c r="AC222" s="3">
        <f>2540.5+(726-612.2)+(-2.59131+(-0.74052--0.624444))+0-808.7--0.824874000000129</f>
        <v>1843.7174880000002</v>
      </c>
      <c r="AD222" s="2">
        <v>2476.3000000000002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2101.7+(625-419.6)+(0+(0-0))+0-598.3-0</f>
        <v>1708.8</v>
      </c>
      <c r="G223" s="3">
        <f>2023.8+(841.6-354.4)+(-3.096414+(-1.287648--0.542232))+0-871.7--1.33370100000005</f>
        <v>1636.7918710000001</v>
      </c>
      <c r="H223" s="3">
        <f>2029+(677.6-357.5)+(-5.17395+(-1.72788--0.911625))+0-742.8--1.89413999999989</f>
        <v>1602.2039349999998</v>
      </c>
      <c r="I223" s="3">
        <f>1880.5+(776.7-266.1)+(0.959055+(0.396117-0.135711))+0-782.9-0.399278999999921</f>
        <v>1609.020182</v>
      </c>
      <c r="J223" s="3">
        <f>1861.2+(706.3-214)+(0+(0-0))+0-740.9-0</f>
        <v>1612.6</v>
      </c>
      <c r="K223" s="3">
        <f>1861.7+(627.5-80.9)+(0+(0-0))+0-761.3-0</f>
        <v>1647.0000000000002</v>
      </c>
      <c r="L223" s="3">
        <f>1862+(553.3-18.9)+(0+(0-0))+0-734-0</f>
        <v>1662.4</v>
      </c>
      <c r="M223" s="3">
        <f>1876.8+(577.6-16.4)+(-1.914336+(-0.589152--0.016728))+0-612--0.624240000000098</f>
        <v>1824.1374800000003</v>
      </c>
      <c r="N223" s="3">
        <f>2019.9+(679.6-75.7)+(1.030149+(0.346596-0.038607))+0-582.7-0.297176999999941</f>
        <v>2042.1409610000003</v>
      </c>
      <c r="O223" s="3">
        <f>2107.2+(672.7-99.1)+(-4.298688+(-1.372308--0.202164))+0-557.6--1.13750399999998</f>
        <v>2118.8686719999996</v>
      </c>
      <c r="P223" s="3">
        <f>2329.9+(761.9-185.1)+(0+(0-0))+0-718.9-0</f>
        <v>2187.7999999999997</v>
      </c>
      <c r="Q223" s="3">
        <f>2552+(548.4-387.6)+(-6.5076+(-1.39842--0.98838))+0-505.9--1.29004499999993</f>
        <v>2201.2724049999997</v>
      </c>
      <c r="R223" s="3">
        <f>2547.8+(588-458.7)+(-3.898134+(-0.89964--0.701811))+0-657.3--1.00566900000004</f>
        <v>2016.7097060000003</v>
      </c>
      <c r="S223" s="3">
        <f>2568+(614.1-635.7)+(1.30968+(0.313191-0.324207))+0-538-0.274379999999945</f>
        <v>2009.4242840000002</v>
      </c>
      <c r="T223" s="3">
        <f>2753.5+(708.6-833.6)+(-2.80857+(-0.722772--0.850272))+0-577.2--0.588744000000092</f>
        <v>2049.2076739999998</v>
      </c>
      <c r="U223" s="3">
        <f>2683.5+(554.6-628.3)+(-1.368585+(-0.282846--0.320433))+0-565.6--0.288455999999943</f>
        <v>2043.1574580000004</v>
      </c>
      <c r="V223" s="3">
        <f>2598+(338.3-385.8)+(2.64996+(0.345066-0.393516))+0-508-0.518160000000081</f>
        <v>2044.5833499999999</v>
      </c>
      <c r="W223" s="3">
        <f>2849.4+(661-661.8)+(0+(0-0))+0-556.3-0</f>
        <v>2292.3000000000002</v>
      </c>
      <c r="X223" s="3">
        <f>2940+(759.3-855.2)+(-2.9988+(-0.774486--0.872304))+0-457.5--0.466650000000073</f>
        <v>2384.1656680000001</v>
      </c>
      <c r="Y223" s="3">
        <f>2743.3+(628.9-482.8)+(-4.197249+(-0.962217--0.738684))+0-576.8--0.882504000000033</f>
        <v>2309.0617220000004</v>
      </c>
      <c r="Z223" s="3">
        <f>2706.9+(511.2-344.4)+(-4.141557+(-0.782136--0.526932))+0-662.2--1.01316600000004</f>
        <v>2208.1164050000002</v>
      </c>
      <c r="AA223" s="3">
        <f>2700.7+(465.4-276.4)+(-2.754714+(-0.474708--0.281928))+0-760.3--0.775506000000121</f>
        <v>2127.2280119999996</v>
      </c>
      <c r="AB223" s="3">
        <f>2606.4+(309.1-289.1)+(-3.987792+(-0.472923--0.442323))+0-605.5--0.926415000000035</f>
        <v>2017.8080230000003</v>
      </c>
      <c r="AC223" s="3">
        <f>2419.4+(467.4-194.3)+(-6.16947+(-1.19187--0.495465))+0-794.9--2.02699499999988</f>
        <v>1892.7611199999999</v>
      </c>
      <c r="AD223" s="2">
        <v>2313.1000000000004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2178.3+(553.5-214.7)+(-1.110933+(-0.282285--0.109497))+0-745--0.379949999999924</f>
        <v>1771.1962290000006</v>
      </c>
      <c r="G224" s="3">
        <f>2026.3+(640.8-187)+(0+(0-0))+0-801.5-0</f>
        <v>1678.6</v>
      </c>
      <c r="H224" s="3">
        <f>1945.1+(708.6-293)+(2.976003+(1.084158-0.44829))+0-701.7-1.07360100000004</f>
        <v>1661.5382699999998</v>
      </c>
      <c r="I224" s="3">
        <f>1868.3+(900.9-298.5)+(1.905666+(0.918918-0.30447))+0-823.4-0.839868000000131</f>
        <v>1648.9802459999996</v>
      </c>
      <c r="J224" s="3">
        <f>1870.9+(816.2-269.7)+(1.908318+(0.832524-0.275094))+0-768.3-0.783666000000122</f>
        <v>1650.7820820000002</v>
      </c>
      <c r="K224" s="3">
        <f>1869.4+(761.1-168.2)+(-0.953394+(-0.388161--0.085782))+0-794.7--0.405296999999919</f>
        <v>1666.7495240000003</v>
      </c>
      <c r="L224" s="3">
        <f>1867.1+(729.2-102.7)+(-0.952221+(-0.371892--0.052377))+0-815.8--0.416057999999917</f>
        <v>1676.9443219999998</v>
      </c>
      <c r="M224" s="3">
        <f>1877+(649.8-69.4)+(-3.82908+(-1.325592--0.141576))+0-604.7--1.23358799999997</f>
        <v>1848.920492</v>
      </c>
      <c r="N224" s="3">
        <f>2041.1+(819.6-133.7)+(3.122883+(1.253988-0.204561))+0-666.6-1.01989800000004</f>
        <v>2063.552412</v>
      </c>
      <c r="O224" s="3">
        <f>2268+(836.8-162.1)+(-4.62672+(-1.707072--0.330684))+0-762.8--1.55611199999997</f>
        <v>2175.4530039999995</v>
      </c>
      <c r="P224" s="3">
        <f>2476.1+(845.1-467.9)+(0+(0-0))+0-610.1-0</f>
        <v>2243.2000000000003</v>
      </c>
      <c r="Q224" s="3">
        <f>2448.6+(934.9-436.6)+(-1.248786+(-0.476799--0.222666))+0-700.9--0.357458999999929</f>
        <v>2244.8545399999994</v>
      </c>
      <c r="R224" s="3">
        <f>2331.7+(690.5-230.9)+(-4.756668+(-1.40862--0.471036))+0-716--1.46063999999997</f>
        <v>2071.0663879999997</v>
      </c>
      <c r="S224" s="3">
        <f>2221.6+(699.3-142.9)+(-2.266032+(-0.713286--0.145758))+0-741.3--0.756126000000118</f>
        <v>2034.6225660000002</v>
      </c>
      <c r="T224" s="3">
        <f>2289.2+(736.7-226.6)+(-1.167492+(-0.375717--0.115566))+0-722.1--0.368270999999927</f>
        <v>2076.1406279999997</v>
      </c>
      <c r="U224" s="3">
        <f>2367.3+(695.3-310.9)+(-3.621969+(-1.063809--0.475677))+0-662.5--1.01362500000004</f>
        <v>2086.0035240000002</v>
      </c>
      <c r="V224" s="3">
        <f>2353.4+(761.8-353.9)+(-8.401638+(-2.719626--1.263423))+0-680.4--2.42902800000001</f>
        <v>2073.4711870000001</v>
      </c>
      <c r="W224" s="3">
        <f>2446.1+(944.9-430.4)+(-2.495022+(-0.963798--0.439008))+0-644.4--0.657288000000103</f>
        <v>2313.8374759999997</v>
      </c>
      <c r="X224" s="3">
        <f>2610.3+(987.1-503.9)+(-6.656265+(-2.517105--1.284945))+0-662.7--1.6898849999999</f>
        <v>2424.6014599999999</v>
      </c>
      <c r="Y224" s="3">
        <f>2647.1+(975.6-647.7)+(-1.350021+(-0.497556--0.330327))+0-626.3--0.319412999999936</f>
        <v>2347.5021629999997</v>
      </c>
      <c r="Z224" s="3">
        <f>2682.4+(842.6-668.4)+(-9.576168+(-3.008082--2.386188))+0-606.6--2.16556200000001</f>
        <v>2241.9675000000007</v>
      </c>
      <c r="AA224" s="3">
        <f>2615.8+(847.5-650.5)+(-5.336232+(-1.7289--1.32702))+0-635.7--1.29682799999997</f>
        <v>2172.6587160000004</v>
      </c>
      <c r="AB224" s="3">
        <f>2432.3+(772.1-439.7)+(-6.202365+(-1.968855--1.121235))+0-699.8--1.7844899999999</f>
        <v>2059.634505</v>
      </c>
      <c r="AC224" s="3">
        <f>2270.1+(743.2-339.4)+(-5.788755+(-1.89516--0.86547))+0-738.2--1.88240999999989</f>
        <v>1930.7639650000001</v>
      </c>
      <c r="AD224" s="2">
        <v>2428.6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2107.5+(587-122.1)+(-4.2993+(-1.19748--0.249084))+0-783.5--1.59833999999997</f>
        <v>1785.2506440000002</v>
      </c>
      <c r="G225" s="3">
        <f>1928.1+(676.8-99.3)+(-3.933324+(-1.380672--0.202572))+0-800.9--1.63383599999996</f>
        <v>1701.2224119999996</v>
      </c>
      <c r="H225" s="3">
        <f>1744.3+(782.4-86.9)+(-1.779186+(-0.798048--0.088638))+0-782.1--0.797742000000125</f>
        <v>1656.0091460000003</v>
      </c>
      <c r="I225" s="3">
        <f>1688.5+(803.9-78.3)+(-1.72227+(-0.819978--0.079866))+0-771.8--0.787236000000123</f>
        <v>1640.6248539999999</v>
      </c>
      <c r="J225" s="3">
        <f>1696.2+(770.9-40.2)+(1.730124+(0.786318-0.041004))+0-778.7-0.794274000000124</f>
        <v>1649.8811639999999</v>
      </c>
      <c r="K225" s="3">
        <f>1865.3+(635-91.7)+(1.902606+(0.6477-0.093534))+0-725.6-0.740112000000116</f>
        <v>1684.7166599999998</v>
      </c>
      <c r="L225" s="3">
        <f>1870.6+(683-107.5)+(0+(0-0))+0-735.3-0</f>
        <v>1710.8</v>
      </c>
      <c r="M225" s="3">
        <f>2002.3+(658.5-120.6)+(2.042346+(0.67167-0.123012))+0-659.8-0.672996000000105</f>
        <v>1882.3180079999997</v>
      </c>
      <c r="N225" s="3">
        <f>1940.8+(868.5-147)+(-2.969424+(-1.328805--0.22491))+0-573--0.876690000000033</f>
        <v>2086.1033710000002</v>
      </c>
      <c r="O225" s="3">
        <f>1951.6+(1040.5-151.1)+(2.985948+(1.591965-0.231183))+0-653.6-1.00000800000004</f>
        <v>2190.7467220000003</v>
      </c>
      <c r="P225" s="3">
        <f>2193.8+(942.5-306.8)+(-1.118838+(-0.480675--0.156468))+0-565.9--0.288608999999943</f>
        <v>2262.4455639999996</v>
      </c>
      <c r="Q225" s="3">
        <f>2190.1+(867.7-286.4)+(0+(0-0))+0-504.1-0</f>
        <v>2267.3000000000002</v>
      </c>
      <c r="R225" s="3">
        <f>2135+(776.7-231.7)+(-3.26655+(-1.188351--0.354501))+0-615.1--0.941103000000036</f>
        <v>2061.7407030000004</v>
      </c>
      <c r="S225" s="3">
        <f>2030.3+(767.4-261.3)+(0+(0-0))+0-508.7-0</f>
        <v>2027.7</v>
      </c>
      <c r="T225" s="3">
        <f>2123.3+(962.4-431.9)+(-2.165766+(-0.981648--0.440538))+0-579.3--0.590886000000092</f>
        <v>2072.3840099999998</v>
      </c>
      <c r="U225" s="3">
        <f>2151.7+(978.9-464.6)+(-3.292101+(-1.497717--0.710838))+0-464.7--0.710991000000027</f>
        <v>2197.9320110000003</v>
      </c>
      <c r="V225" s="3">
        <f>2076.1+(896.2-372.4)+(-2.117622+(-0.914124--0.379848))+0-531.7--0.542334000000085</f>
        <v>2066.090436</v>
      </c>
      <c r="W225" s="3">
        <f>2246.4+(1201.8-526.4)+(2.291328+(1.225836-0.536928))+0-590.7-0.602514000000094</f>
        <v>2333.4777219999996</v>
      </c>
      <c r="X225" s="3">
        <f>2732+(1054.2-752.2)+(-2.78664+(-1.075284--0.767244))+0-621.6--0.634032000000099</f>
        <v>2409.9393519999999</v>
      </c>
      <c r="Y225" s="3">
        <f>2748.2+(931.9-734.2)+(-7.00791+(-2.376345--1.87221))+0-612.9--1.56289499999991</f>
        <v>2327.0508499999996</v>
      </c>
      <c r="Z225" s="3">
        <f>2615.1+(980.5-752.5)+(2.667402+(1.00011-0.76755))+0-613.6-0.625872000000098</f>
        <v>2231.7740899999999</v>
      </c>
      <c r="AA225" s="3">
        <f>2501.5+(966.4-630.7)+(-6.378825+(-2.46432--1.608285))+0-688.5--1.7556749999999</f>
        <v>2143.2208149999997</v>
      </c>
      <c r="AB225" s="3">
        <f>2217.3+(902.5-593.8)+(-1.130823+(-0.460275--0.302838))+0-505.7--0.257906999999949</f>
        <v>2019.2696470000001</v>
      </c>
      <c r="AC225" s="3">
        <f>1964.3+(1006-407.6)+(-1.001793+(-0.51306--0.207876))+0-673.1--0.343280999999932</f>
        <v>1888.6363039999997</v>
      </c>
      <c r="AD225" s="2">
        <v>2406.1999999999998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1732.8+(679.8-34.8)+(-4.41864+(-1.73349--0.08874))+0-607.6--1.54937999999991</f>
        <v>1765.6859900000004</v>
      </c>
      <c r="G226" s="3">
        <f>1472.6+(887.5-55.7)+(-0.751026+(-0.452625--0.028407))+0-593.1--0.30248099999994</f>
        <v>1710.4272369999996</v>
      </c>
      <c r="H226" s="3">
        <f>1460.5+(928.4-64)+(-2.97942+(-1.893936--0.13056))+0-682.4--1.39209599999997</f>
        <v>1639.1493</v>
      </c>
      <c r="I226" s="3">
        <f>1450.5+(897.1-81.6)+(-1.47951+(-0.915042--0.083232))+0-630.3--0.6429060000001</f>
        <v>1634.0315860000003</v>
      </c>
      <c r="J226" s="3">
        <f>1453.6+(870.5-46.2)+(3.70668+(2.219775-0.11781))+0-643-1.63964999999991</f>
        <v>1639.0689949999999</v>
      </c>
      <c r="K226" s="3">
        <f>1452.9+(809.6-33.1)+(1.481958+(0.825792-0.033762))+0-580.7-0.592314000000093</f>
        <v>1650.381674</v>
      </c>
      <c r="L226" s="3">
        <f>1449.5+(897.5-25.3)+(-0.739245+(-0.457725--0.012903))+0-664--0.338639999999933</f>
        <v>1656.8545729999996</v>
      </c>
      <c r="M226" s="3">
        <f>1528.8+(671.3-16.7)+(-2.339064+(-1.027089--0.025551))+0-359.4--0.549882000000021</f>
        <v>1821.2092799999994</v>
      </c>
      <c r="N226" s="3">
        <f>1748+(623.5-36.3)+(-4.4574+(-1.589925--0.092565))+0-275.6--0.70277999999996</f>
        <v>2054.3480199999999</v>
      </c>
      <c r="O226" s="3">
        <f>1869.2+(666.2-178.7)+(2.859876+(1.019286-0.273411))+0-190.2-0.291006000000011</f>
        <v>2169.8147450000006</v>
      </c>
      <c r="P226" s="3">
        <f>1872.9+(853.7-61)+(1.910358+(0.870774-0.06222))+0-331.1-0.337722000000053</f>
        <v>2336.8811900000001</v>
      </c>
      <c r="Q226" s="3">
        <f>1868.3+(984.7-105.1)+(0+(0-0))+0-429.2-0</f>
        <v>2318.7000000000003</v>
      </c>
      <c r="R226" s="3">
        <f>1883.3+(837.7-150.6)+(-2.881449+(-1.281681--0.230418))+0-506.4--0.774792000000029</f>
        <v>2060.8420800000004</v>
      </c>
      <c r="S226" s="3">
        <f>1941.9+(846.8-154.6)+(-3.961476+(-1.727472--0.315384))+0-580--1.18319999999997</f>
        <v>2049.9096359999999</v>
      </c>
      <c r="T226" s="3">
        <f>2019.4+(931.1-288.2)+(-1.029894+(-0.474861--0.146982))+0-561.2--0.286211999999943</f>
        <v>2100.0284389999997</v>
      </c>
      <c r="U226" s="3">
        <f>2049.8+(959.1-382.9)+(-5.22699+(-2.445705--0.976395))+0-536--1.36679999999992</f>
        <v>2084.6704999999997</v>
      </c>
      <c r="V226" s="3">
        <f>2049.5+(994.6-471.9)+(-4.18098+(-2.028984--0.962676))+0-492.5--1.00469999999998</f>
        <v>2075.4574119999997</v>
      </c>
      <c r="W226" s="3">
        <f>2276.3+(1125.6-525.3)+(-1.160913+(-0.574056--0.267903))+0-533--0.271829999999946</f>
        <v>2342.4047640000003</v>
      </c>
      <c r="X226" s="3">
        <f>2568.4+(1013.4-716.2)+(-2.619768+(-1.033668--0.730524))+0-434.6--0.443292000000069</f>
        <v>2428.5203799999999</v>
      </c>
      <c r="Y226" s="3">
        <f>2497.2+(994.6-561.2)+(-7.641432+(-3.043476--1.717272))+0-579.3--1.77265800000007</f>
        <v>2344.1050219999997</v>
      </c>
      <c r="Z226" s="3">
        <f>2413.1+(866.6-527.5)+(-7.384086+(-2.651796--1.61415))+0-510.1--1.56090600000006</f>
        <v>2235.2391740000003</v>
      </c>
      <c r="AA226" s="3">
        <f>2302.5+(952.2-563.9)+(-1.174275+(-0.485622--0.287589))+0-538.9--0.274838999999945</f>
        <v>2150.8025310000003</v>
      </c>
      <c r="AB226" s="3">
        <f>2241.5+(1088.2-614.1)+(-4.57266+(-2.219928--1.252764))+0-668.2--1.36312799999997</f>
        <v>2043.2233039999999</v>
      </c>
      <c r="AC226" s="3">
        <f>2070.3+(901.7-413.5)+(-4.223412+(-1.839468--0.84354))+0-633.6--1.29254399999997</f>
        <v>1920.9732039999999</v>
      </c>
      <c r="AD226" s="2">
        <v>2446.1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1711.8+(1007.9-128.3)+(-0.873018+(-0.514029--0.065433))+0-804--0.410039999999918</f>
        <v>1786.4884259999997</v>
      </c>
      <c r="G227" s="3">
        <f>1504.6+(986.7-78.6)+(0+(0-0))+0-701.5-0</f>
        <v>1711.1999999999998</v>
      </c>
      <c r="H227" s="3">
        <f>1435.3+(1066.8-93.3)+(1.464006+(1.088136-0.095166))+0-745.9-0.760818000000119</f>
        <v>1664.5961579999998</v>
      </c>
      <c r="I227" s="3">
        <f>1389.8+(1063.9-121.2)+(2.835192+(2.170356-0.247248))+0-683.4-1.39413599999997</f>
        <v>1652.464164</v>
      </c>
      <c r="J227" s="3">
        <f>1390.6+(1102.2-87.3)+(0+(0-0))+0-758.2-0</f>
        <v>1647.3</v>
      </c>
      <c r="K227" s="3">
        <f>1392.2+(1088.4-56.9)+(2.130066+(1.665252-0.087057))+0-763.8-1.16861400000004</f>
        <v>1662.4396470000002</v>
      </c>
      <c r="L227" s="3">
        <f>1393.3+(1031.2-52.4)+(-3.552915+(-2.62956--0.13362))+0-738.8--1.88393999999989</f>
        <v>1629.1350849999999</v>
      </c>
      <c r="M227" s="3">
        <f>1448.7+(1091.9-65.8)+(1.477674+(1.113738-0.067116))+0-683.7-0.697374000000109</f>
        <v>1792.9269220000001</v>
      </c>
      <c r="N227" s="3">
        <f>1542+(1062.9-18.8)+(0+(0-0))+0-571.3-0</f>
        <v>2014.8000000000004</v>
      </c>
      <c r="O227" s="3">
        <f>1759.1+(1046.6-53.2)+(0+(0-0))+0-624.6-0</f>
        <v>2127.9</v>
      </c>
      <c r="P227" s="3">
        <f>1843.5+(865.6-111.3)+(0.940185+(0.441456-0.056763))+0-412.7-0.210476999999958</f>
        <v>2186.2144010000002</v>
      </c>
      <c r="Q227" s="3">
        <f>1937.1+(907.3-207.1)+(-2.963763+(-1.388169--0.316863))+0-434.2--0.664326000000025</f>
        <v>2199.729257</v>
      </c>
      <c r="R227" s="3">
        <f>1873.8+(913.6-201.2)+(-4.77819+(-2.32968--0.51306))+0-529.4--1.34996999999992</f>
        <v>2051.5551599999994</v>
      </c>
      <c r="S227" s="3">
        <f>1827.6+(852.7-200.4)+(-2.796228+(-1.304631--0.306612))+0-485.4--0.742662000000028</f>
        <v>1991.4484150000003</v>
      </c>
      <c r="T227" s="3">
        <f>1917.6+(825-261.4)+(3.911904+(1.683-0.533256))+0-486.9-0.993275999999979</f>
        <v>1998.3683719999997</v>
      </c>
      <c r="U227" s="3">
        <f>1965.9+(841.5-265.5)+(-3.007827+(-1.287495--0.406215))+0-578--0.884340000000033</f>
        <v>1960.8952330000002</v>
      </c>
      <c r="V227" s="3">
        <f>1931.7+(853.4-378.9)+(2.955501+(1.305702-0.579717))+0-466-0.712980000000027</f>
        <v>1943.1685059999998</v>
      </c>
      <c r="W227" s="3">
        <f>2060.5+(1026.9-430)+(-1.050855+(-0.523719--0.2193))+0-466.9--0.238118999999953</f>
        <v>2189.3828450000001</v>
      </c>
      <c r="X227" s="3">
        <f>2137+(1077-393.3)+(-4.35948+(-2.19708--0.802332))+0-574.8--1.17259199999997</f>
        <v>2241.3183639999997</v>
      </c>
      <c r="Y227" s="3">
        <f>2137.4+(1064.1-346.8)+(1.090074+(0.542691-0.176868))+0-659.1-0.336140999999933</f>
        <v>2196.719756</v>
      </c>
      <c r="Z227" s="3">
        <f>2139.7+(966.5-404.7)+(-3.273741+(-1.478745--0.619191))+0-607.9--0.930087000000035</f>
        <v>2090.396792</v>
      </c>
      <c r="AA227" s="3">
        <f>2110.6+(934-362.8)+(-4.305624+(-1.90536--0.740112))+0-648.6--1.32314399999997</f>
        <v>2029.0522720000004</v>
      </c>
      <c r="AB227" s="3">
        <f>2059.7+(866.5-359.4)+(-2.100894+(-0.88383--0.366588))+0-614--0.626280000000098</f>
        <v>1950.8081439999999</v>
      </c>
      <c r="AC227" s="3">
        <f>2012+(600.7-345.9)+(-3.07836+(-0.919071--0.529227))+0-415.7--0.636021000000024</f>
        <v>1848.2678170000004</v>
      </c>
      <c r="AD227" s="2">
        <v>2257.1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1684.3+(903.2-180.4)+(-4.294965+(-2.30316--0.46002))+0-657.9--1.6776449999999</f>
        <v>1744.7395399999998</v>
      </c>
      <c r="G228" s="3">
        <f>1438.8+(1001.5-86.3)+(0+(0-0))+0-703.5-0</f>
        <v>1650.5</v>
      </c>
      <c r="H228" s="3">
        <f>1385.7+(974.8-94)+(-3.533535+(-2.48574--0.2397))+0-663.9--1.6929449999999</f>
        <v>1598.5133699999999</v>
      </c>
      <c r="I228" s="3">
        <f>1275.2+(940.6-83)+(-1.951056+(-1.439118--0.12699))+0-553.1--0.846243000000032</f>
        <v>1577.2830590000003</v>
      </c>
      <c r="J228" s="3">
        <f>1162.3+(1115.1-66.1)+(0+(0-0))+0-642.4-0</f>
        <v>1568.9</v>
      </c>
      <c r="K228" s="3">
        <f>1162.7+(1212.4-47)+(1.185954+(1.236648-0.04794))+0-759.9-0.775098000000121</f>
        <v>1569.7995640000004</v>
      </c>
      <c r="L228" s="3">
        <f>1167.5+(1006.8-66.3)+(-4.167975+(-3.594276--0.236691))+0-608.6--2.17270200000001</f>
        <v>1494.0471420000001</v>
      </c>
      <c r="M228" s="3">
        <f>1334.5+(915.5-127.9)+(-2.041785+(-1.400715--0.195687))+0-613.2--0.938196000000036</f>
        <v>1506.5913829999997</v>
      </c>
      <c r="N228" s="3">
        <f>1566.3+(874.3-243.6)+(0+(0-0))+0-595-0</f>
        <v>1602</v>
      </c>
      <c r="O228" s="3">
        <f>1594+(987.1-222.6)+(1.62588+(1.006842-0.227052))+0-650-0.663000000000104</f>
        <v>1710.2426700000001</v>
      </c>
      <c r="P228" s="3">
        <f>1566.8+(1053.9-272.7)+(-2.397204+(-1.612467--0.417231))+0-598--0.914940000000035</f>
        <v>1747.3225000000002</v>
      </c>
      <c r="Q228" s="3">
        <f>1585.5+(1117-302.4)+(0.808605+(0.56967-0.154224))+0-647.5-0.330224999999934</f>
        <v>1753.4938260000001</v>
      </c>
      <c r="R228" s="3">
        <f>1644.6+(901.9-271.9)+(-2.516238+(-1.379907--0.416007))+0-582.6--0.891378000000034</f>
        <v>1689.4112400000001</v>
      </c>
      <c r="S228" s="3">
        <f>1565.7+(1089.5-306.1)+(-0.798507+(-0.555645--0.156111))+0-681.8--0.347717999999931</f>
        <v>1666.4496769999998</v>
      </c>
      <c r="T228" s="3">
        <f>1631.3+(991.8-390.4)+(-3.327852+(-2.023272--0.796416))+0-581.7--1.18666799999997</f>
        <v>1647.6319599999997</v>
      </c>
      <c r="U228" s="3">
        <f>1630.7+(864.6-381)+(-1.663314+(-0.881892--0.38862))+0-486.3--0.496026000000078</f>
        <v>1626.3394400000002</v>
      </c>
      <c r="V228" s="3">
        <f>1549.6+(942.2-417.9)+(0+(0-0))+0-410.1-0</f>
        <v>1663.8000000000002</v>
      </c>
      <c r="W228" s="3">
        <f>1802.1+(1048.7-429.9)+(-0.919071+(-0.534837--0.219249))+0-508.1--0.259130999999948</f>
        <v>1911.824472</v>
      </c>
      <c r="X228" s="3">
        <f>1933.5+(998.1-409.8)+(-4.930425+(-2.545155--1.04499))+0-507.3--1.29361499999993</f>
        <v>2009.3630250000001</v>
      </c>
      <c r="Y228" s="3">
        <f>1889.9+(1011.9-461.8)+(-3.855396+(-2.064276--0.942072))+0-474.3--0.967571999999979</f>
        <v>1961.6899719999999</v>
      </c>
      <c r="Z228" s="3">
        <f>1844+(1173.4-376.9)+(-1.88088+(-1.196868--0.384438))+0-728.3--0.742866000000116</f>
        <v>1910.249556</v>
      </c>
      <c r="AA228" s="3">
        <f>1841.7+(995.9-393.8)+(-1.878534+(-1.015818--0.401676))+0-571.7--0.583134000000091</f>
        <v>1870.1904580000005</v>
      </c>
      <c r="AB228" s="3">
        <f>1845.3+(982.9-347.1)+(-4.705515+(-2.506395--0.885105))+0-659.7--1.6822349999999</f>
        <v>1816.7554299999997</v>
      </c>
      <c r="AC228" s="3">
        <f>1786.2+(926.1-253.3)+(-5.465772+(-2.833866--0.775098))+0-721.7--2.20840200000008</f>
        <v>1731.983862</v>
      </c>
      <c r="AD228" s="2">
        <v>1986.8000000000002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1404.1+(930.1-62.4)+(2.148273+(1.423053-0.095472))+0-642.1-0.982413000000037</f>
        <v>1632.1934410000001</v>
      </c>
      <c r="G229" s="3">
        <f>1169.6+(1115.5-53.3)+(-2.385984+(-2.27562--0.108732))+0-689--1.40555999999997</f>
        <v>1539.6526879999999</v>
      </c>
      <c r="H229" s="3">
        <f>1168.4+(1103.3-67.8)+(0.595884+(0.562683-0.034578))+0-701.7-0.357866999999929</f>
        <v>1502.9661220000003</v>
      </c>
      <c r="I229" s="3">
        <f>1168.2+(1114.2-96)+(2.97891+(2.84121-0.2448))+0-703.7-1.7944349999999</f>
        <v>1486.4808850000002</v>
      </c>
      <c r="J229" s="3">
        <f>1177.8+(1116.2-84.9)+(-0.600678+(-0.569262--0.043299))+0-712.5--0.363374999999928</f>
        <v>1495.836734</v>
      </c>
      <c r="K229" s="3">
        <f>1177.4+(1053.4-52.9)+(-0.600474+(-0.537234--0.026979))+0-677.1--0.345320999999931</f>
        <v>1500.0345920000002</v>
      </c>
      <c r="L229" s="3">
        <f>1174.6+(953.6-35)+(-2.396184+(-1.945344--0.0714))+0-674.5--1.37597999999997</f>
        <v>1415.8058519999997</v>
      </c>
      <c r="M229" s="3">
        <f>1187.8+(864.7-63.1)+(0.605778+(0.440997-0.032181))+0-553.7-0.282386999999944</f>
        <v>1436.4322070000001</v>
      </c>
      <c r="N229" s="3">
        <f>1290.1+(1042.9-137.5)+(0+(0-0))+0-640.6-0</f>
        <v>1554.9</v>
      </c>
      <c r="O229" s="3">
        <f>1300+(1108.1-141.8)+(-0.663+(-0.565131--0.072318))+0-620.9--0.316658999999937</f>
        <v>1644.5608460000001</v>
      </c>
      <c r="P229" s="3">
        <f>1435.4+(1088.1-217.4)+(-2.928216+(-2.219724--0.443496))+0-599.3--1.22257199999997</f>
        <v>1703.3181279999999</v>
      </c>
      <c r="Q229" s="3">
        <f>1543.7+(1097.5-266.8)+(1.574574+(1.11945-0.272136))+0-663.2-0.676464000000106</f>
        <v>1712.9454239999998</v>
      </c>
      <c r="R229" s="3">
        <f>1676.7+(930.5-372)+(-1.710234+(-0.94911--0.37944))+0-594--0.605880000000095</f>
        <v>1639.5259759999999</v>
      </c>
      <c r="S229" s="3">
        <f>1744.2+(868.6-332)+(-2.668626+(-1.328958--0.50796))+0-683.3--1.04544900000004</f>
        <v>1595.0558250000004</v>
      </c>
      <c r="T229" s="3">
        <f>1469+(746.5-141.3)+(0.74919+(0.380715-0.072063))+0-478.6-0.244085999999951</f>
        <v>1596.4137560000001</v>
      </c>
      <c r="U229" s="3">
        <f>1485.4+(871.4-129.5)+(0.757554+(0.444414-0.066045))+0-646.1-0.329510999999935</f>
        <v>1582.0064120000002</v>
      </c>
      <c r="V229" s="3">
        <f>1769+(850.4-429.1)+(-1.80438+(-0.867408--0.437682))+0-562.4--0.57364800000009</f>
        <v>1626.2395420000003</v>
      </c>
      <c r="W229" s="3">
        <f>2234.2+(783.8-490.7)+(-1.139442+(-0.399738--0.250257))+0-615.2--0.313751999999938</f>
        <v>1911.1248289999996</v>
      </c>
      <c r="X229" s="3">
        <f>2366.3+(767.1-593)+(-3.620439+(-1.173663--0.90729))+0-532.8--0.815184000000031</f>
        <v>2004.528372</v>
      </c>
      <c r="Y229" s="3">
        <f>2363.7+(856.7-590.8)+(-2.410974+(-0.873834--0.602616))+0-645--0.657900000000103</f>
        <v>1982.5757079999998</v>
      </c>
      <c r="Z229" s="3">
        <f>2299.9+(666.7-510.7)+(-3.518847+(-1.020051--0.781371))+0-500.1--0.765153000000029</f>
        <v>1952.807626</v>
      </c>
      <c r="AA229" s="3">
        <f>2190.6+(731.5-376.5)+(-1.117206+(-0.373065--0.192015))+0-630.4--0.321503999999936</f>
        <v>1914.2232479999998</v>
      </c>
      <c r="AB229" s="3">
        <f>2141.3+(614.9-356.4)+(-3.276189+(-0.940797--0.545292))+0-550.6--0.842418000000032</f>
        <v>1846.3707240000001</v>
      </c>
      <c r="AC229" s="3">
        <f>1909.2+(608.9-240.7)+(-1.947384+(-0.621078--0.245514))+0-550.9--0.561918000000088</f>
        <v>1724.7389700000001</v>
      </c>
      <c r="AD229" s="2">
        <v>1989.0999999999997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1629.1+(828.7-196.9)+(0+(0-0))+0-636.5-0</f>
        <v>1624.4</v>
      </c>
      <c r="G230" s="3">
        <f>1425.8+(924-127.7)+(-1.454316+(-0.94248--0.130254))+0-655.6--0.668712000000105</f>
        <v>1564.9021700000003</v>
      </c>
      <c r="H230" s="3">
        <f>1469.2+(788.7-95)+(-1.498584+(-0.804474--0.0969))+0-630.9--0.643518000000101</f>
        <v>1530.4373600000001</v>
      </c>
      <c r="I230" s="3">
        <f>1492.7+(646.4-84.3)+(-2.283831+(-0.988992--0.128979))+0-542.1--0.829413000000031</f>
        <v>1510.385569</v>
      </c>
      <c r="J230" s="3">
        <f>1577.3+(678.6-67.4)+(1.608846+(0.692172-0.068748))+0-672-0.685440000000107</f>
        <v>1518.0468299999998</v>
      </c>
      <c r="K230" s="3">
        <f>1688.9+(592.4-44.3)+(0.861339+(0.302124-0.022593))+0-684.7-0.349196999999931</f>
        <v>1553.0916730000001</v>
      </c>
      <c r="L230" s="3">
        <f>1662.3+(695.4-58.3)+(-2.543319+(-1.063962--0.089199))+0-655.8--1.00337400000004</f>
        <v>1641.0852920000002</v>
      </c>
      <c r="M230" s="3">
        <f>1638.4+(612.9-60.3)+(1.671168+(0.625158-0.061506))+0-398.9-0.406878000000064</f>
        <v>1793.927942</v>
      </c>
      <c r="N230" s="3">
        <f>1838.8+(627.7-131.9)+(-0.937788+(-0.320127--0.067269))+0-299.3--0.15264299999997</f>
        <v>2034.2619969999998</v>
      </c>
      <c r="O230" s="3">
        <f>2033.2+(795-302.6)+(6.221592+(2.4327-0.925956))+0-392-1.19952000000005</f>
        <v>2140.1288159999999</v>
      </c>
      <c r="P230" s="3">
        <f>2420.2+(727.1-459.2)+(-1.234302+(-0.370821--0.234192))+0-478.9--0.244238999999951</f>
        <v>2208.073308</v>
      </c>
      <c r="Q230" s="3">
        <f>2483.2+(752.1-431.1)+(2.532864+(0.767142-0.439722))+0-576.4-0.587928000000092</f>
        <v>2230.0723559999997</v>
      </c>
      <c r="R230" s="3">
        <f>2336.7+(655.2-405.7)+(-2.383434+(-0.668304--0.413814))+0-516.9--0.527238000000082</f>
        <v>2067.1893139999997</v>
      </c>
      <c r="S230" s="3">
        <f>2340.5+(499.3-420.6)+(-2.38731+(-0.509286--0.429012))+0-368.4--0.375768000000059</f>
        <v>2048.7081839999996</v>
      </c>
      <c r="T230" s="3">
        <f>2350.5+(715.2-375.4)+(1.198755+(0.364752-0.191454))+0-576.8-0.294167999999941</f>
        <v>2114.5778850000002</v>
      </c>
      <c r="U230" s="3">
        <f>2345.8+(550.1-383.6)+(-4.785432+(-1.122204--0.782544))+0-420.6--0.858023999999982</f>
        <v>2087.4329320000002</v>
      </c>
      <c r="V230" s="3">
        <f>2366+(568.9-489.2)+(1.20666+(0.290139-0.249492))+0-336.5-0.171614999999966</f>
        <v>2110.2756920000002</v>
      </c>
      <c r="W230" s="3">
        <f>2583.1+(1071-689.6)+(0+(0-0))+0-578-0</f>
        <v>2386.5</v>
      </c>
      <c r="X230" s="3">
        <f>2612.4+(1040.1-736.3)+(-6.66162+(-2.652255--1.877565))+0-490.9--1.25179499999993</f>
        <v>2419.1154849999998</v>
      </c>
      <c r="Y230" s="3">
        <f>2618.5+(1072-724.2)+(-1.335435+(-0.54672--0.369342))+0-625--0.318749999999937</f>
        <v>2340.1059370000003</v>
      </c>
      <c r="Z230" s="3">
        <f>2599.7+(928.7-735.2)+(-5.303388+(-1.894548--1.499808))+0-544.2--1.11016799999998</f>
        <v>2244.4120400000002</v>
      </c>
      <c r="AA230" s="3">
        <f>2497.6+(803.6-577.5)+(-7.642656+(-2.459016--1.76715))+0-556.2--1.70197200000006</f>
        <v>2160.8674499999997</v>
      </c>
      <c r="AB230" s="3">
        <f>2395.6+(734.2-497.3)+(-6.10878+(-1.87221--1.268115))+0-565.6--1.44227999999992</f>
        <v>2061.6294049999997</v>
      </c>
      <c r="AC230" s="3">
        <f>2069.3+(885.1-375.6)+(-4.221372+(-1.805604--0.766224))+0-674.5--1.37597999999997</f>
        <v>1900.4152280000001</v>
      </c>
      <c r="AD230" s="2">
        <v>2408.2000000000003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1860.1+(758.5-136.4)+(0+(0-0))+0-712.2-0</f>
        <v>1769.9999999999998</v>
      </c>
      <c r="G231" s="3">
        <f>1793.6+(677.8-152.2)+(-3.658944+(-1.382712--0.310488))+0-631.1--1.28744399999997</f>
        <v>1684.6562760000002</v>
      </c>
      <c r="H231" s="3">
        <f>1573.8+(854-72.9)+(-0.802638+(-0.43554--0.037179))+0-696.6--0.355265999999929</f>
        <v>1657.4542670000001</v>
      </c>
      <c r="I231" s="3">
        <f>1581.4+(771.8-36.9)+(0+(0-0))+0-685.4-0</f>
        <v>1630.9</v>
      </c>
      <c r="J231" s="3">
        <f>1584+(713.8-32.8)+(0.80784+(0.364038-0.016728))+0-633.5-0.323084999999936</f>
        <v>1632.3320650000001</v>
      </c>
      <c r="K231" s="3">
        <f>1583.5+(782.6-32.4)+(-0.807585+(-0.399126--0.016524))+0-669.7--0.341546999999932</f>
        <v>1663.1513599999996</v>
      </c>
      <c r="L231" s="3">
        <f>1599.9+(760-75)+(-0.815949+(-0.3876--0.03825))+0-594.5--0.30319499999994</f>
        <v>1689.5378960000003</v>
      </c>
      <c r="M231" s="3">
        <f>1642.9+(753.1-96.4)+(0+(0-0))+0-431.2-0</f>
        <v>1868.4000000000003</v>
      </c>
      <c r="N231" s="3">
        <f>1942.2+(773.1-132.7)+(-0.990522+(-0.394281--0.067677))+0-487.5--0.248624999999951</f>
        <v>2094.0314990000006</v>
      </c>
      <c r="O231" s="3">
        <f>2236.1+(648.1-219.4)+(1.140411+(0.330531-0.111894))+0-447.5-0.228224999999955</f>
        <v>2218.4308230000001</v>
      </c>
      <c r="P231" s="3">
        <f>2408.3+(664.4-281.3)+(0+(0-0))+0-528.5-0</f>
        <v>2262.9</v>
      </c>
      <c r="Q231" s="3">
        <f>2537.3+(759.9-488.4)+(-1.294023+(-0.387549--0.249084))+0-532.6--0.271625999999946</f>
        <v>2275.0391380000001</v>
      </c>
      <c r="R231" s="3">
        <f>2517.6+(553.3-413.8)+(-5.135904+(-1.128732--0.844152))+0-541.8--1.10527199999998</f>
        <v>2110.9847879999998</v>
      </c>
      <c r="S231" s="3">
        <f>2468.7+(556.4-383.4)+(-3.777111+(-0.851292--0.586602))+0-540.3--0.826659000000031</f>
        <v>2098.1848580000001</v>
      </c>
      <c r="T231" s="3">
        <f>2533.9+(663.4-434.6)+(-2.584578+(-0.676668--0.443292))+0-610.8--0.623016000000097</f>
        <v>2149.7050619999995</v>
      </c>
      <c r="U231" s="3">
        <f>2535.6+(603.1-559.5)+(-3.879468+(-0.922743--0.856035))+0-439.7--0.672741000000025</f>
        <v>2136.2265649999999</v>
      </c>
      <c r="V231" s="3">
        <f>2525.1+(879.8-779)+(2.575602+(0.897396-0.79458))+0-458.8-0.467976000000073</f>
        <v>2169.3104419999995</v>
      </c>
      <c r="W231" s="3">
        <f>2688.9+(1257.6-1057.2)+(-2.742678+(-1.282752--1.078344))+0-454.5--0.463590000000072</f>
        <v>2432.3165040000004</v>
      </c>
      <c r="X231" s="3">
        <f>2634.8+(1124.3-753)+(-6.71874+(-2.866965--1.92015))+0-563.8--1.43768999999992</f>
        <v>2436.0721350000003</v>
      </c>
      <c r="Y231" s="3">
        <f>2631.8+(1096.9-789.8)+(-2.684436+(-1.118838--0.805596))+0-593.5--0.605370000000095</f>
        <v>2343.0076920000006</v>
      </c>
      <c r="Z231" s="3">
        <f>2627.1+(1146.9-992)+(1.339821+(0.584919-0.50592))+0-541.1-0.275960999999945</f>
        <v>2242.0428590000001</v>
      </c>
      <c r="AA231" s="3">
        <f>2538.1+(892.5-804.4)+(-2.588862+(-0.91035--0.820488))+0-475--0.484500000000076</f>
        <v>2149.005776</v>
      </c>
      <c r="AB231" s="3">
        <f>2382.7+(652.3-399.1)+(-1.215177+(-0.332673--0.203541))+0-594--0.30293999999994</f>
        <v>2040.8586309999996</v>
      </c>
      <c r="AC231" s="3">
        <f>2166.2+(593.8-187.7)+(-3.314286+(-0.908514--0.287181))+0-659.2--1.00857600000004</f>
        <v>1910.1729569999998</v>
      </c>
      <c r="AD231" s="2">
        <v>2483.5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2033.8+(589.4-173.5)+(-4.148952+(-1.202376--0.35394))+0-659.2--1.34476799999997</f>
        <v>1786.8473799999999</v>
      </c>
      <c r="G232" s="3">
        <f>1802.1+(702.4-112.3)+(-3.676284+(-1.432896--0.229092))+0-689.6--1.40678399999997</f>
        <v>1699.126696</v>
      </c>
      <c r="H232" s="3">
        <f>1555.8+(959.4-118.4)+(0+(0-0))+0-737.5-0</f>
        <v>1659.3000000000002</v>
      </c>
      <c r="I232" s="3">
        <f>1560.1+(880.1-160.8)+(-0.795651+(-0.448851--0.082008))+0-639.4--0.326093999999935</f>
        <v>1639.1635999999994</v>
      </c>
      <c r="J232" s="3">
        <f>1611+(823.5-140.3)+(0+(0-0))+0-659.7-0</f>
        <v>1634.4999999999998</v>
      </c>
      <c r="K232" s="3">
        <f>1637.2+(894.2-94.7)+(0.834972+(0.456042-0.048297))+0-768.8-0.392087999999922</f>
        <v>1668.7506290000001</v>
      </c>
      <c r="L232" s="3">
        <f>1600.9+(864.7-85.3)+(-3.265836+(-1.763988--0.174012))+0-683.9--1.39515599999997</f>
        <v>1692.9393440000003</v>
      </c>
      <c r="M232" s="3">
        <f>1692.5+(918.7-92.1)+(-2.589525+(-1.405611--0.140913))+0-654.8--1.00184400000004</f>
        <v>1861.4476210000003</v>
      </c>
      <c r="N232" s="3">
        <f>2007.1+(864.4-128.9)+(-3.070863+(-1.322532--0.197217))+0-633.3--0.968949000000036</f>
        <v>2106.0727710000001</v>
      </c>
      <c r="O232" s="3">
        <f>2172.1+(824.6-228.7)+(-1.107771+(-0.420546--0.116637))+0-573.7--0.292586999999942</f>
        <v>2193.1809069999999</v>
      </c>
      <c r="P232" s="3">
        <f>2388.8+(949.5-477.5)+(0+(0-0))+0-601.7-0</f>
        <v>2259.1000000000004</v>
      </c>
      <c r="Q232" s="3">
        <f>2457.5+(907.8-447.7)+(-2.50665+(-0.925956--0.456654))+0-628.4--0.6409680000001</f>
        <v>2286.8650160000002</v>
      </c>
      <c r="R232" s="3">
        <f>2430.7+(640.6-392)+(-1.239657+(-0.326706--0.19992))+0-563.7--0.287486999999943</f>
        <v>2114.5210439999996</v>
      </c>
      <c r="S232" s="3">
        <f>2427.2+(639.5-355.8)+(4.951488+(1.30458-0.725832))+0-626.2-1.27744799999997</f>
        <v>2088.9527879999996</v>
      </c>
      <c r="T232" s="3">
        <f>2381+(669.1-381.5)+(2.42862+(0.682482-0.38913))+0-548.4-0.559368000000087</f>
        <v>2122.3626039999995</v>
      </c>
      <c r="U232" s="3">
        <f>2347.7+(768.1-383.3)+(-5.986635+(-1.958655--0.977415))+0-629.2--1.60445999999991</f>
        <v>2097.9365849999999</v>
      </c>
      <c r="V232" s="3">
        <f>2296.9+(709.8-385.9)+(3.514257+(1.085994-0.590427))+0-504.1-0.771273000000029</f>
        <v>2119.9385510000006</v>
      </c>
      <c r="W232" s="3">
        <f>2459.3+(963.4-438.8)+(-2.508486+(-0.982668--0.447576))+0-624.5--0.6369900000001</f>
        <v>2356.9934120000003</v>
      </c>
      <c r="X232" s="3">
        <f>2621.5+(978-554.4)+(-5.34786+(-1.99512--1.130976))+0-626.7--1.27846799999997</f>
        <v>2413.4664639999996</v>
      </c>
      <c r="Y232" s="3">
        <f>2603.4+(948.1-595.2)+(-7.966404+(-2.901186--1.821312))+0-620.1--1.89750600000007</f>
        <v>2329.0512280000007</v>
      </c>
      <c r="Z232" s="3">
        <f>2545.3+(991.4-546)+(-7.788618+(-3.033684--1.67076))+0-757.5--2.31795000000009</f>
        <v>2226.3664080000003</v>
      </c>
      <c r="AA232" s="3">
        <f>2459.4+(799.2-475.5)+(-3.762882+(-1.222776--0.727515))+0-630.6--0.964818000000036</f>
        <v>2149.2066750000004</v>
      </c>
      <c r="AB232" s="3">
        <f>2365.7+(854.6-508.1)+(0+(0-0))+0-667.6-0</f>
        <v>2044.6</v>
      </c>
      <c r="AC232" s="3">
        <f>2046.7+(1020.8-364)+(-4.175268+(-2.082432--0.74256))+0-774.1--1.57916399999997</f>
        <v>1925.4640240000001</v>
      </c>
      <c r="AD232" s="2">
        <v>2418.9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1714.9+(860-188.8)+(-6.122193+(-3.0702--0.674016))+0-610.3--2.17877100000001</f>
        <v>1769.4603940000006</v>
      </c>
      <c r="G233" s="3">
        <f>1573.9+(988.2-78.4)+(-4.816134+(-3.023892--0.239904))+0-800.2--2.44861200000009</f>
        <v>1678.3484900000005</v>
      </c>
      <c r="H233" s="3">
        <f>1556.9+(840.4-107.5)+(-1.588038+(-0.857208--0.10965))+0-637.1--0.649842000000102</f>
        <v>1651.0142460000004</v>
      </c>
      <c r="I233" s="3">
        <f>1388.1+(993.6-75.7)+(0+(0-0))+0-676.7-0</f>
        <v>1629.3</v>
      </c>
      <c r="J233" s="3">
        <f>1388.5+(982.3-63.9)+(1.41627+(1.001946-0.065178))+0-660.3-0.673506000000105</f>
        <v>1648.2795320000002</v>
      </c>
      <c r="K233" s="3">
        <f>1393.2+(1120.1-52.8)+(-0.710532+(-0.571251--0.026928))+0-809.6--0.412895999999918</f>
        <v>1650.0580409999998</v>
      </c>
      <c r="L233" s="3">
        <f>1395.1+(1011.7-55.1)+(-1.423002+(-1.031934--0.056202))+0-664.9--0.678198000000106</f>
        <v>1685.0794639999999</v>
      </c>
      <c r="M233" s="3">
        <f>1512.3+(740.2-69.4)+(-1.542546+(-0.755004--0.070788))+0-327.4--0.333948000000052</f>
        <v>1853.807186</v>
      </c>
      <c r="N233" s="3">
        <f>2003.6+(654.8-120.3)+(-2.043672+(-0.667896--0.122706))+0-440.1--0.44890200000007</f>
        <v>2095.86004</v>
      </c>
      <c r="O233" s="3">
        <f>2057.3+(677.8-104.7)+(3.147669+(1.037034-0.160191))+0-444.8-0.680544000000026</f>
        <v>2188.943968</v>
      </c>
      <c r="P233" s="3">
        <f>2140.1+(664.2-133.1)+(-4.365804+(-1.354968--0.271524))+0-433.6--0.884543999999981</f>
        <v>2233.035296</v>
      </c>
      <c r="Q233" s="3">
        <f>2310.2+(837.9-304.6)+(-4.712808+(-1.709316--0.621384))+0-569.9--1.16259599999998</f>
        <v>2268.9618559999999</v>
      </c>
      <c r="R233" s="3">
        <f>2243.9+(641.1-226)+(-2.288778+(-0.653922--0.23052))+0-575.8--0.587316000000092</f>
        <v>2081.0751360000004</v>
      </c>
      <c r="S233" s="3">
        <f>2202.4+(618.9-280.9)+(-4.492896+(-1.262556--0.573036))+0-479.9--0.978995999999979</f>
        <v>2056.2965799999997</v>
      </c>
      <c r="T233" s="3">
        <f>2212.1+(661.9-282.7)+(-2.256342+(-0.675138--0.288354))+0-474.4--0.483888000000076</f>
        <v>2114.7407619999999</v>
      </c>
      <c r="U233" s="3">
        <f>2180.1+(563.6-252.6)+(-2.223702+(-0.574872--0.257652))+0-363.4--0.370668000000058</f>
        <v>2125.5297459999997</v>
      </c>
      <c r="V233" s="3">
        <f>2156.7+(709.1-301.1)+(1.099917+(0.361641-0.153561))+0-459.3-0.234242999999953</f>
        <v>2106.4737539999996</v>
      </c>
      <c r="W233" s="3">
        <f>2492.6+(1091.5-723.4)+(2.542452+(1.11333-0.737868))+0-481.9-0.491538000000077</f>
        <v>2381.2263759999996</v>
      </c>
      <c r="X233" s="3">
        <f>2649.9+(1125.2-917.2)+(-4.054347+(-1.721556--1.403316))+0-439.3--0.672129000000025</f>
        <v>2414.8995420000001</v>
      </c>
      <c r="Y233" s="3">
        <f>2558.5+(1048.8-908.1)+(-6.524175+(-2.67444--2.315655))+0-365.6--0.932279999999947</f>
        <v>2327.64932</v>
      </c>
      <c r="Z233" s="3">
        <f>2323.4+(1115.2-716.2)+(1.184934+(0.568752-0.365262))+0-497.4-0.25367399999995</f>
        <v>2226.1347500000002</v>
      </c>
      <c r="AA233" s="3">
        <f>2209.4+(976-497.3)+(-1.126794+(-0.49776--0.253623))+0-559.5--0.285344999999943</f>
        <v>2127.5144139999998</v>
      </c>
      <c r="AB233" s="3">
        <f>1948.7+(1011.9-285.7)+(-3.975348+(-2.064276--0.582828))+0-651.3--1.32865199999997</f>
        <v>2019.4718560000001</v>
      </c>
      <c r="AC233" s="3">
        <f>1854.8+(808.8-146.4)+(-2.837844+(-1.237464--0.223992))+0-621--0.950130000000036</f>
        <v>1893.2988139999995</v>
      </c>
      <c r="AD233" s="2">
        <v>2439.1999999999998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1766.3+(921.2-149.4)+(-0.900813+(-0.469812--0.076194))+0-753.5--0.384284999999924</f>
        <v>1783.689854</v>
      </c>
      <c r="G234" s="3">
        <f>1628.8+(921.5-138)+(-0.830688+(-0.469965--0.07038))+0-716--0.365159999999927</f>
        <v>1695.4348869999999</v>
      </c>
      <c r="H234" s="3">
        <f>1628.8+(861.6-128.3)+(-1.661376+(-0.878832--0.130866))+0-704.7--0.718794000000112</f>
        <v>1655.7094520000001</v>
      </c>
      <c r="I234" s="3">
        <f>1628.3+(918.7-132.2)+(-0.830433+(-0.468537--0.067422))+0-772.1--0.393770999999922</f>
        <v>1641.8622230000001</v>
      </c>
      <c r="J234" s="3">
        <f>1628+(876.3-112.5)+(-4.1514+(-2.234565--0.286875))+0-744.6--1.89872999999989</f>
        <v>1642.99964</v>
      </c>
      <c r="K234" s="3">
        <f>1623+(873.5-99.9)+(1.65546+(0.89097-0.101898))+0-738.3-0.753066000000118</f>
        <v>1659.9914659999997</v>
      </c>
      <c r="L234" s="3">
        <f>1624.4+(848.2-73.7)+(-4.970664+(-2.595492--0.225522))+0-744.5--2.27817000000009</f>
        <v>1649.337536</v>
      </c>
      <c r="M234" s="3">
        <f>1815.2+(633.9-108.8)+(0+(0-0))+0-538.6-0</f>
        <v>1801.7000000000003</v>
      </c>
      <c r="N234" s="3">
        <f>2074.9+(793.8-185)+(-2.116398+(-0.809676--0.1887))+0-747.7--0.762654000000119</f>
        <v>1934.0252800000001</v>
      </c>
      <c r="O234" s="3">
        <f>2246.2+(698.3-226)+(1.145562+(0.356133-0.11526))+0-544.7-0.277796999999945</f>
        <v>2174.9086379999999</v>
      </c>
      <c r="P234" s="3">
        <f>2456.1+(743.1-301.5)+(-2.505222+(-0.757962--0.30753))+0-667.9--0.681258000000107</f>
        <v>2227.5256039999999</v>
      </c>
      <c r="Q234" s="3">
        <f>2454.6+(904.3-448.7)+(-2.503692+(-0.922386--0.457674))+0-670.7--0.684114000000107</f>
        <v>2237.2157099999999</v>
      </c>
      <c r="R234" s="3">
        <f>2304.1+(818.3-355.3)+(-5.875455+(-2.086665--0.906015))+0-718--1.8308999999999</f>
        <v>2043.8747949999997</v>
      </c>
      <c r="S234" s="3">
        <f>2102.5+(824.5-364.8)+(-2.14455+(-0.84099--0.372096))+0-576.3--0.587826000000092</f>
        <v>1983.874382</v>
      </c>
      <c r="T234" s="3">
        <f>2329.7+(823.7-517.9)+(0+(0-0))+0-647.2-0</f>
        <v>1988.3</v>
      </c>
      <c r="U234" s="3">
        <f>2477.4+(636.2-578.6)+(-2.526948+(-0.648924--0.590172))+0-569.6--0.580992000000091</f>
        <v>1963.3952920000002</v>
      </c>
      <c r="V234" s="3">
        <f>2487.5+(639.7-586)+(0+(0-0))+0-596.1-0</f>
        <v>1945.1</v>
      </c>
      <c r="W234" s="3">
        <f>2540.7+(705.6-568.9)+(1.295757+(0.359856-0.290139))+0-454.8-0.231947999999954</f>
        <v>2223.7335259999995</v>
      </c>
      <c r="X234" s="3">
        <f>2548.8+(827.3-487.1)+(-7.799328+(-2.531538--1.490526))+0-631.2--1.93147200000007</f>
        <v>2250.8911319999997</v>
      </c>
      <c r="Y234" s="3">
        <f>2460.3+(697.3-426.5)+(-7.528518+(-2.133738--1.30509))+0-547.4--1.67504400000006</f>
        <v>2177.0178780000006</v>
      </c>
      <c r="Z234" s="3">
        <f>2497.7+(730-519.2)+(-3.821481+(-1.1169--0.794376))+0-607.3--0.929169000000035</f>
        <v>2097.9851639999997</v>
      </c>
      <c r="AA234" s="3">
        <f>2619.1+(734.2-674.4)+(-4.007223+(-1.123326--1.031832))+0-645.6--0.987768000000037</f>
        <v>2030.1890510000003</v>
      </c>
      <c r="AB234" s="3">
        <f>2534.5+(796.3-674.5)+(-5.17038+(-1.624452--1.37598))+0-712--1.45247999999997</f>
        <v>1940.3336280000003</v>
      </c>
      <c r="AC234" s="3">
        <f>2514.9+(700.5-732.4)+(-1.282599+(-0.357255--0.373524))+0-637.9--0.325328999999935</f>
        <v>1844.158999</v>
      </c>
      <c r="AD234" s="2">
        <v>2262.9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2454.5+(626.3-564)+(-6.258975+(-1.597065--1.4382))+0-790.8--2.01653999999989</f>
        <v>1721.5987</v>
      </c>
      <c r="G235" s="3">
        <f>2039.8+(441.5-181.7)+(-2.080596+(-0.45033--0.185334))+0-655.5--0.668610000000105</f>
        <v>1642.423018</v>
      </c>
      <c r="H235" s="3">
        <f>1861.5+(645.5-161.4)+(-2.848095+(-0.987615--0.246942))+0-747.1--1.14306300000004</f>
        <v>1596.0542949999999</v>
      </c>
      <c r="I235" s="3">
        <f>1803.7+(726.3-199.2)+(-0.919887+(-0.370413--0.101592))+0-763.7--0.389486999999923</f>
        <v>1566.3007789999999</v>
      </c>
      <c r="J235" s="3">
        <f>1788.4+(615.8-169.2)+(-0.912084+(-0.314058--0.086292))+0-666--0.339659999999932</f>
        <v>1568.1998099999998</v>
      </c>
      <c r="K235" s="3">
        <f>1790.9+(684.4-152.7)+(0.913359+(0.349044-0.077877))+0-764.5-0.389894999999922</f>
        <v>1558.8946310000003</v>
      </c>
      <c r="L235" s="3">
        <f>1617.5+(655.2-153.3)+(-1.64985+(-0.668304--0.156366))+0-613.5--0.625770000000098</f>
        <v>1504.3639820000003</v>
      </c>
      <c r="M235" s="3">
        <f>1553.9+(680.5-150.5)+(0+(0-0))+0-597.1-0</f>
        <v>1486.8000000000002</v>
      </c>
      <c r="N235" s="3">
        <f>1644.5+(795.8-120.5)+(-0.838695+(-0.405858--0.061455))+0-725.5--0.370004999999926</f>
        <v>1593.4869070000002</v>
      </c>
      <c r="O235" s="3">
        <f>1702.5+(693.7-119.1)+(2.604825+(1.061361-0.182223))+0-590.6-0.903618000000034</f>
        <v>1689.0803450000001</v>
      </c>
      <c r="P235" s="3">
        <f>1712.7+(845.7-86)+(2.620431+(1.293921-0.13158))+0-715.3-1.09440900000004</f>
        <v>1759.7883630000001</v>
      </c>
      <c r="Q235" s="3">
        <f>1798.7+(788.4-227.5)+(-2.752011+(-1.206252--0.348075))+0-589.9--0.902547000000034</f>
        <v>1766.9923589999999</v>
      </c>
      <c r="R235" s="3">
        <f>1904.5+(766.2-349.6)+(-4.856475+(-1.95381--0.89148))+0-610--1.55549999999991</f>
        <v>1706.7366950000001</v>
      </c>
      <c r="S235" s="3">
        <f>1897.5+(773.8-309.1)+(-4.838625+(-1.97319--0.788205))+0-701.7--1.7893349999999</f>
        <v>1656.2657249999995</v>
      </c>
      <c r="T235" s="3">
        <f>1873.4+(680.5-327.6)+(-4.77717+(-1.735275--0.83538))+0-585.5--1.49302499999992</f>
        <v>1636.6159600000003</v>
      </c>
      <c r="U235" s="3">
        <f>1827+(747.4-298.5)+(-3.72708+(-1.524696--0.60894))+0-640.7--1.30702799999997</f>
        <v>1631.864192</v>
      </c>
      <c r="V235" s="3">
        <f>2049.8+(536.3-283.3)+(-3.136194+(-0.820539--0.433449))+0-620.4--0.949212000000036</f>
        <v>1679.8259280000002</v>
      </c>
      <c r="W235" s="3">
        <f>2448.7+(419.3-368.6)+(-2.497674+(-0.427686--0.375972))+0-565.4--0.57670800000009</f>
        <v>1932.0273199999997</v>
      </c>
      <c r="X235" s="3">
        <f>2602.3+(390.1-424.8)+(-5.308692+(-0.795804--0.866592))+0-563.7--1.14994799999998</f>
        <v>1999.8120440000002</v>
      </c>
      <c r="Y235" s="3">
        <f>2612.5+(422.9-412)+(0+(0-0))+0-630-0</f>
        <v>1993.4</v>
      </c>
      <c r="Z235" s="3">
        <f>2638+(427-434.5)+(-2.69076+(-0.43554--0.44319))+0-656--0.669120000000105</f>
        <v>1972.4860100000001</v>
      </c>
      <c r="AA235" s="3">
        <f>2604.2+(450.8-455.6)+(-2.656284+(-0.459816--0.464712))+0-658.4--0.671568000000105</f>
        <v>1939.0201799999995</v>
      </c>
      <c r="AB235" s="3">
        <f>2478.4+(484.5-432.1)+(-5.055936+(-0.98838--0.881484))+0-671.7--1.37026799999997</f>
        <v>1855.3074360000001</v>
      </c>
      <c r="AC235" s="3">
        <f>2121.3+(624.9-333.2)+(-5.409315+(-1.593495--0.84966))+0-676.2--1.7243099999999</f>
        <v>1732.3711599999997</v>
      </c>
      <c r="AD235" s="2">
        <v>2036.8999999999999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2136.6+(508.7-369.7)+(-2.179332+(-0.518874--0.377094))+0-639.2--0.651984000000102</f>
        <v>1634.7308719999999</v>
      </c>
      <c r="G236" s="3">
        <f>1898.5+(633.5-185.5)+(-3.87294+(-1.29234--0.37842))+0-781--1.59323999999997</f>
        <v>1562.3063799999998</v>
      </c>
      <c r="H236" s="3">
        <f>1621.5+(666.1-115)+(-0.826965+(-0.339711--0.05865))+0-636.8--0.324767999999935</f>
        <v>1535.016742</v>
      </c>
      <c r="I236" s="3">
        <f>1623.1+(547.7-107.9)+(-3.311124+(-1.117308--0.220116))+0-543.5--1.10873999999998</f>
        <v>1516.3004239999998</v>
      </c>
      <c r="J236" s="3">
        <f>1626.6+(505.7-105.4)+(-4.14783+(-1.289535--0.26877))+0-508.8--1.29743999999993</f>
        <v>1514.2288449999996</v>
      </c>
      <c r="K236" s="3">
        <f>1630.1+(723.6-33.4)+(3.325404+(1.476144-0.068136))+0-774.6-1.58018399999997</f>
        <v>1548.8532280000004</v>
      </c>
      <c r="L236" s="3">
        <f>1631.6+(744-98.1)+(-2.496348+(-1.13832--0.150093))+0-675.3--1.03320900000004</f>
        <v>1599.748634</v>
      </c>
      <c r="M236" s="3">
        <f>1639.2+(826.2-78.5)+(-1.671984+(-0.842724--0.08007))+0-601.1--0.613122000000096</f>
        <v>1783.9784840000002</v>
      </c>
      <c r="N236" s="3">
        <f>2117.8+(737.9-252.2)+(-3.240234+(-1.128987--0.385866))+0-585.3--0.895509000000034</f>
        <v>2015.1121540000001</v>
      </c>
      <c r="O236" s="3">
        <f>2399.9+(683.6-371.6)+(0+(0-0))+0-548.2-0</f>
        <v>2163.6999999999998</v>
      </c>
      <c r="P236" s="3">
        <f>2493.8+(737.2-363.9)+(0+(0-0))+0-626.3-0</f>
        <v>2240.8000000000002</v>
      </c>
      <c r="Q236" s="3">
        <f>2490.1+(724.7-384)+(-5.079804+(-1.478388--0.78336))+0-579.9--1.18299599999997</f>
        <v>2246.308164</v>
      </c>
      <c r="R236" s="3">
        <f>2455.5+(468.2-310.4)+(-7.51383+(-1.432692--0.949824))+0-536.4--1.64138400000006</f>
        <v>2070.5446860000002</v>
      </c>
      <c r="S236" s="3">
        <f>2392+(503.7-260.8)+(-4.87968+(-1.027548--0.532032))+0-574--1.17095999999997</f>
        <v>2056.6957640000001</v>
      </c>
      <c r="T236" s="3">
        <f>2375.6+(495.5-220.2)+(-3.634668+(-0.758115--0.336906))+0-537.4--0.822222000000031</f>
        <v>2110.2663450000005</v>
      </c>
      <c r="U236" s="3">
        <f>2363.7+(487.2-222.8)+(-4.821948+(-0.993888--0.454512))+0-520.1--1.06100399999998</f>
        <v>2103.6996800000002</v>
      </c>
      <c r="V236" s="3">
        <f>2341.7+(645.9-453.1)+(-2.388534+(-0.658818--0.462162))+0-415.4--0.423708000000066</f>
        <v>2116.9385180000004</v>
      </c>
      <c r="W236" s="3">
        <f>2529.8+(979.2-519.9)+(-3.870594+(-1.498176--0.795447))+0-592.7--0.906831000000034</f>
        <v>2392.7335080000003</v>
      </c>
      <c r="X236" s="3">
        <f>2596.9+(955.6-493.7)+(-6.622095+(-2.43678--1.258935))+0-623.1--1.58890499999991</f>
        <v>2429.4889650000005</v>
      </c>
      <c r="Y236" s="3">
        <f>2592.8+(831.1-495.8)+(-3.966984+(-1.271583--0.758574))+0-572.2--0.875466000000033</f>
        <v>2352.2954730000006</v>
      </c>
      <c r="Z236" s="3">
        <f>2558+(872.2-567.1)+(-2.60916+(-0.889644--0.578442))+0-605.4--0.617508000000097</f>
        <v>2255.3971460000002</v>
      </c>
      <c r="AA236" s="3">
        <f>2521.2+(683.9-502.7)+(-6.42906+(-1.743945--1.281885))+0-533.2--1.35965999999992</f>
        <v>2163.6685399999997</v>
      </c>
      <c r="AB236" s="3">
        <f>2407.2+(788.8-482.8)+(0+(0-0))+0-639.5-0</f>
        <v>2073.6999999999998</v>
      </c>
      <c r="AC236" s="3">
        <f>2234.9+(681.8-377.5)+(-5.698995+(-1.73859--0.962625))+0-611.1--1.55830499999991</f>
        <v>1923.1833449999999</v>
      </c>
      <c r="AD236" s="2">
        <v>2534.4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1934.6+(747.1-189)+(-2.959938+(-1.143063--0.28917))+0-717--1.09701000000004</f>
        <v>1772.9831789999998</v>
      </c>
      <c r="G237" s="3">
        <f>1646.1+(971.9-191.6)+(-1.679022+(-0.991338--0.195432))+0-719.2--0.733584000000115</f>
        <v>1705.4586559999996</v>
      </c>
      <c r="H237" s="3">
        <f>1626.2+(764.7-175.9)+(-0.829362+(-0.389997--0.089709))+0-544.6--0.277745999999945</f>
        <v>1669.5480960000002</v>
      </c>
      <c r="I237" s="3">
        <f>1635.3+(904.9-142.2)+(0.834003+(0.461499-0.072522))+0-762.5-0.388874999999923</f>
        <v>1636.3341050000001</v>
      </c>
      <c r="J237" s="3">
        <f>1634+(831-130.8)+(-0.83334+(-0.42381--0.066708))+0-689.8--0.35179799999993</f>
        <v>1643.5613559999997</v>
      </c>
      <c r="K237" s="3">
        <f>1633+(767.8-115.9)+(2.49849+(1.174734-0.177327))+0-620.3-0.949059000000036</f>
        <v>1667.1468379999999</v>
      </c>
      <c r="L237" s="3">
        <f>1639.1+(741.8-86.9)+(-3.343764+(-1.513272--0.177276))+0-586.5--1.19645999999997</f>
        <v>1704.0166999999999</v>
      </c>
      <c r="M237" s="3">
        <f>1745.3+(678.8-59.5)+(0+(0-0))+0-491-0</f>
        <v>1873.6</v>
      </c>
      <c r="N237" s="3">
        <f>2072.3+(599.7-200.9)+(1.056873+(0.305847-0.102459))+0-370.5-0.188954999999962</f>
        <v>2101.6713060000002</v>
      </c>
      <c r="O237" s="3">
        <f>2080.4+(795.9-231.8)+(4.244016+(1.623636-0.472872))+0-456.9-0.93207599999998</f>
        <v>2192.0627039999999</v>
      </c>
      <c r="P237" s="3">
        <f>2343.2+(791-332.6)+(-1.195032+(-0.40341--0.169626))+0-554.4--0.282743999999944</f>
        <v>2246.0539279999998</v>
      </c>
      <c r="Q237" s="3">
        <f>2439.9+(625.8-423.4)+(-2.488698+(-0.638316--0.431868))+0-383.6--0.391272000000061</f>
        <v>2256.3961260000001</v>
      </c>
      <c r="R237" s="3">
        <f>2376.6+(699.5-432.3)+(-1.212066+(-0.356745--0.220473))+0-524.7--0.267596999999947</f>
        <v>2118.0192589999997</v>
      </c>
      <c r="S237" s="3">
        <f>2379.6+(489.4-374.5)+(-2.427192+(-0.499188--0.38199))+0-405.7--0.413814000000065</f>
        <v>2086.6694240000002</v>
      </c>
      <c r="T237" s="3">
        <f>2449.3+(672.6-394.6)+(2.498286+(0.686052-0.402492))+0-580.3-0.591906000000093</f>
        <v>2149.1899399999998</v>
      </c>
      <c r="U237" s="3">
        <f>2405.5+(548.7-415.9)+(-3.680415+(-0.839511--0.636327))+0-395.7--0.605421000000023</f>
        <v>2139.3218220000008</v>
      </c>
      <c r="V237" s="3">
        <f>2381.5+(731.9-468.5)+(-1.214565+(-0.373269--0.238935))+0-481.3--0.245462999999951</f>
        <v>2162.4965639999996</v>
      </c>
      <c r="W237" s="3">
        <f>2657.9+(842.7-750.6)+(-1.355529+(-0.429777--0.382806))+0-360.5--0.183854999999963</f>
        <v>2388.2813549999996</v>
      </c>
      <c r="X237" s="3">
        <f>2827.1+(824.5-837.1)+(-4.325463+(-1.261485--1.280763))+0-419.3--0.641529000000024</f>
        <v>2391.5353439999999</v>
      </c>
      <c r="Y237" s="3">
        <f>2782.8+(696.4-710.2)+(-7.09614+(-1.77582--1.81101))+0-453.3--1.15591499999993</f>
        <v>2309.7949649999996</v>
      </c>
      <c r="Z237" s="3">
        <f>2664.9+(553.6-582.2)+(-5.436396+(-1.129344--1.187688))+0-402--0.820079999999982</f>
        <v>2229.7420280000001</v>
      </c>
      <c r="AA237" s="3">
        <f>2601+(651.4-583)+(-2.65302+(-0.664428--0.59466))+0-514.2--0.524484000000082</f>
        <v>2153.0016959999998</v>
      </c>
      <c r="AB237" s="3">
        <f>2624.2+(632.9-578.8)+(-6.69171+(-1.613895--1.47594))+0-630--1.60649999999991</f>
        <v>2043.0768349999994</v>
      </c>
      <c r="AC237" s="3">
        <f>2346.2+(467.2-271.2)+(-5.98281+(-1.19136--0.69156))+0-629--1.60394999999991</f>
        <v>1908.3213399999997</v>
      </c>
      <c r="AD237" s="2">
        <v>2430.9999999999995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1776.9+(820.4-139.1)+(-3.624876+(-1.673616--0.283764))+0-686.7--1.40086799999997</f>
        <v>1767.8861399999996</v>
      </c>
      <c r="G238" s="3">
        <f>1593.3+(875.7-205.9)+(-0.812583+(-0.446607--0.105009))+0-577.3--0.294422999999941</f>
        <v>1684.9402420000001</v>
      </c>
      <c r="H238" s="3">
        <f>1589.1+(894.6-208.1)+(-1.620882+(-0.912492--0.212262))+0-614.6--0.626892000000098</f>
        <v>1659.3057799999999</v>
      </c>
      <c r="I238" s="3">
        <f>1587.6+(930.1-157.5)+(-1.619352+(-0.948702--0.16065))+0-712.5--0.726750000000114</f>
        <v>1646.0193459999998</v>
      </c>
      <c r="J238" s="3">
        <f>1576.7+(886-146.1)+(-2.412351+(-1.35558--0.223533))+0-672.9--1.02953700000004</f>
        <v>1641.1851389999999</v>
      </c>
      <c r="K238" s="3">
        <f>1573.9+(863.7-112.9)+(0+(0-0))+0-659.6-0</f>
        <v>1665.1000000000004</v>
      </c>
      <c r="L238" s="3">
        <f>1575.8+(897.6-61.3)+(-0.803658+(-0.457776--0.031263))+0-692.2--0.35302199999993</f>
        <v>1719.0228509999997</v>
      </c>
      <c r="M238" s="3">
        <f>1603.6+(887.8-43.4)+(-0.817836+(-0.452778--0.022134))+0-558--0.284579999999943</f>
        <v>1889.0360999999998</v>
      </c>
      <c r="N238" s="3">
        <f>2018.6+(648.7-72.3)+(-2.058972+(-0.661674--0.073746))+0-496.8--0.506736000000079</f>
        <v>2096.0598359999999</v>
      </c>
      <c r="O238" s="3">
        <f>2355.9+(491-191)+(-1.201509+(-0.25041--0.09741))+0-463.1--0.236180999999953</f>
        <v>2191.6816720000002</v>
      </c>
      <c r="P238" s="3">
        <f>2445.3+(600.6-269.3)+(2.494206+(0.612612-0.274686))+0-521.3-0.531726000000083</f>
        <v>2257.6004060000005</v>
      </c>
      <c r="Q238" s="3">
        <f>2519.2+(708.7-564.9)+(-1.284792+(-0.361437--0.288099))+0-409.5--0.208844999999958</f>
        <v>2252.350715</v>
      </c>
      <c r="R238" s="3">
        <f>2550.7+(604.1-529)+(-5.203428+(-1.232364--1.07916))+0-527.6--1.07630399999998</f>
        <v>2093.919672</v>
      </c>
      <c r="S238" s="3">
        <f>2546.6+(535.7-452.5)+(-3.896298+(-0.819621--0.692325))+0-571.6--0.874548000000033</f>
        <v>2055.0509540000007</v>
      </c>
      <c r="T238" s="3">
        <f>2555.6+(524.1-411.4)+(1.303356+(0.267291-0.209814))+0-544.7-0.277796999999945</f>
        <v>2124.6830360000004</v>
      </c>
      <c r="U238" s="3">
        <f>2550.9+(519.9-397.9)+(-1.300959+(-0.265149--0.202929))+0-559.3--0.285242999999943</f>
        <v>2112.5220640000002</v>
      </c>
      <c r="V238" s="3">
        <f>2531.2+(624.1-463.6)+(3.872736+(0.954873-0.709308))+0-505.4-0.773262000000029</f>
        <v>2189.6450389999995</v>
      </c>
      <c r="W238" s="3">
        <f>2799.4+(953.8-720.7)+(-2.855388+(-0.972876--0.735114))+0-605.6--0.617712000000097</f>
        <v>2424.4245620000002</v>
      </c>
      <c r="X238" s="3">
        <f>2641.6+(950.5-551.8)+(-5.388864+(-1.93902--1.125672))+0-636.9--1.29927599999997</f>
        <v>2398.4970640000001</v>
      </c>
      <c r="Y238" s="3">
        <f>2628.8+(879-618.6)+(-6.70344+(-2.24145--1.57743))+0-573--1.46114999999992</f>
        <v>2310.2936900000004</v>
      </c>
      <c r="Z238" s="3">
        <f>2587.5+(907.2-540.3)+(-3.958875+(-1.388016--0.826659))+0-709.5--1.08553500000004</f>
        <v>2241.4653030000004</v>
      </c>
      <c r="AA238" s="3">
        <f>2565.8+(682.1-489.8)+(-3.925674+(-1.043613--0.749394))+0-583.1--0.892143000000034</f>
        <v>2171.6722500000005</v>
      </c>
      <c r="AB238" s="3">
        <f>2621.3+(648.9-533.1)+(-1.336863+(-0.330939--0.271881))+0-673.2--0.343331999999932</f>
        <v>2062.8474110000002</v>
      </c>
      <c r="AC238" s="3">
        <f>2193.1+(832.5-451.9)+(-3.355443+(-1.273725--0.691407))+0-635.1--0.971703000000037</f>
        <v>1935.6339419999997</v>
      </c>
      <c r="AD238" s="2">
        <v>2237.6000000000004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1824+(772-140.9)+(-0.93024+(-0.39372--0.071859))+0-636.2--0.324461999999935</f>
        <v>1817.9723609999999</v>
      </c>
      <c r="G239" s="3">
        <f>1646+(836.4-120.2)+(-1.67892+(-0.853128--0.122604))+0-656.5--0.669630000000105</f>
        <v>1703.960186</v>
      </c>
      <c r="H239" s="3">
        <f>1572+(902.5-95.3)+(0+(0-0))+0-721-0</f>
        <v>1658.1999999999998</v>
      </c>
      <c r="I239" s="3">
        <f>1498.1+(863.2-66.2)+(-1.528062+(-0.880464--0.067524))+0-631.2--0.643824000000101</f>
        <v>1662.2028219999997</v>
      </c>
      <c r="J239" s="3">
        <f>1497.4+(913.6-68.5)+(0+(0-0))+0-700.5-0</f>
        <v>1642</v>
      </c>
      <c r="K239" s="3">
        <f>1491+(819.1-30.7)+(-1.52082+(-0.835482--0.031314))+0-595.8--0.607716000000095</f>
        <v>1681.8827280000003</v>
      </c>
      <c r="L239" s="3">
        <f>1490+(926.3-19.1)+(-2.2797+(-1.417239--0.029223))+0-659.2--1.00857600000004</f>
        <v>1735.3408599999998</v>
      </c>
      <c r="M239" s="3">
        <f>1647.8+(747.5-22.9)+(-1.680756+(-0.76245--0.023358))+0-455.6--0.464712000000073</f>
        <v>1914.8448640000001</v>
      </c>
      <c r="N239" s="3">
        <f>2015.1+(828.6-30.1)+(-4.110804+(-1.690344--0.061404))+0-669.3--1.36537199999997</f>
        <v>2139.9256279999995</v>
      </c>
      <c r="O239" s="3">
        <f>2185.3+(798.6-45.1)+(0+(0-0))+0-636.3-0</f>
        <v>2302.5</v>
      </c>
      <c r="P239" s="3">
        <f>2340.1+(719.4-155.4)+(-2.386902+(-0.733788--0.158508))+0-583.8--0.595476000000093</f>
        <v>2317.9332939999999</v>
      </c>
      <c r="Q239" s="3">
        <f>2411.3+(865.9-253.1)+(-1.229763+(-0.441609--0.129081))+0-718.9--0.366638999999927</f>
        <v>2304.0243479999999</v>
      </c>
      <c r="R239" s="3">
        <f>2516.5+(562.2-409.1)+(-6.417075+(-1.43361--1.043205))+0-564.5--1.43947499999992</f>
        <v>2099.7319950000001</v>
      </c>
      <c r="S239" s="3">
        <f>2559.6+(743.9-543.3)+(-1.305396+(-0.379389--0.277083))+0-673.6--0.343535999999932</f>
        <v>2085.5358339999998</v>
      </c>
      <c r="T239" s="3">
        <f>2568.3+(847.3-700)+(-2.619666+(-0.864246--0.714))+0-586.8--0.598536000000094</f>
        <v>2126.6286240000004</v>
      </c>
      <c r="U239" s="3">
        <f>2346.6+(953.6-634.7)+(-2.393532+(-0.972672--0.647394))+0-534.9--0.545598000000085</f>
        <v>2128.4267880000002</v>
      </c>
      <c r="V239" s="3">
        <f>2478.7+(993.1-730.2)+(-3.792411+(-1.519443--1.117206))+0-565--0.864450000000033</f>
        <v>2173.2698019999998</v>
      </c>
      <c r="W239" s="3">
        <f>2949+(981.5-997.9)+(-3.00798+(-1.00113--1.017858))+0-519.8--0.530196000000083</f>
        <v>2410.3389440000005</v>
      </c>
      <c r="X239" s="3">
        <f>3005+(966.9-962.6)+(-6.1302+(-1.972476--1.963704))+0-609.1--1.24256399999997</f>
        <v>2395.3035920000002</v>
      </c>
      <c r="Y239" s="3">
        <f>2992.1+(755.6-925)+(-6.103884+(-1.541424--1.887))+0-517.4--1.05549599999998</f>
        <v>2300.5971879999997</v>
      </c>
      <c r="Z239" s="3">
        <f>3011.1+(705.2-909.9)+(-7.678305+(-1.79826--2.320245))+0-597.4--1.52336999999991</f>
        <v>2203.3670499999998</v>
      </c>
      <c r="AA239" s="3">
        <f>2691.7+(733-877.4)+(-4.118301+(-1.12149--1.342422))+0-443.7--0.678861000000026</f>
        <v>2100.381492</v>
      </c>
      <c r="AB239" s="3">
        <f>2680.5+(733.4-858.9)+(-6.835275+(-1.87017--2.190195))+0-556.3--1.41856499999992</f>
        <v>1993.6033150000001</v>
      </c>
      <c r="AC239" s="3">
        <f>2303.7+(686.2-520.5)+(-4.699548+(-1.399848--1.06182))+0-598--1.21991999999997</f>
        <v>1867.5823439999995</v>
      </c>
      <c r="AD239" s="2">
        <v>2339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1856.4+(663.2-112.6)+(-2.840292+(-1.014696--0.172278))+0-660.5--1.01056500000004</f>
        <v>1743.827855</v>
      </c>
      <c r="G240" s="3">
        <f>1772.4+(653.3-56.5)+(-2.711772+(-0.999549--0.086445))+0-738.5--1.12990500000004</f>
        <v>1628.205029</v>
      </c>
      <c r="H240" s="3">
        <f>1770.4+(579.3-68.7)+(-0.902904+(-0.295443--0.035037))+0-703.6--0.358835999999929</f>
        <v>1576.5955260000001</v>
      </c>
      <c r="I240" s="3">
        <f>1758.4+(586.9-77)+(-0.896784+(-0.299319--0.03927))+0-708.6--0.361385999999928</f>
        <v>1558.9045530000003</v>
      </c>
      <c r="J240" s="3">
        <f>1707.8+(591.5-67.9)+(-1.741956+(-0.60333--0.069258))+0-692--0.70584000000011</f>
        <v>1537.8298119999999</v>
      </c>
      <c r="K240" s="3">
        <f>1675+(670.4-55)+(2.56275+(1.025712-0.08415))+0-748.3-1.14489900000004</f>
        <v>1544.459413</v>
      </c>
      <c r="L240" s="3">
        <f>1677.4+(577.2-75.5)+(-0.855474+(-0.294372--0.038505))+0-602--0.307019999999939</f>
        <v>1576.2956790000005</v>
      </c>
      <c r="M240" s="3">
        <f>1696.3+(580.4-28.1)+(1.730226+(0.592008-0.028662))+0-524.3-0.534786000000084</f>
        <v>1726.0587859999998</v>
      </c>
      <c r="N240" s="3">
        <f>2119.7+(515.3-227.7)+(2.162094+(0.525606-0.232254))+0-475.7-0.485214000000076</f>
        <v>1933.5702319999996</v>
      </c>
      <c r="O240" s="3">
        <f>2608.4+(445.3-556.2)+(-2.660568+(-0.454206--0.567324))+0-478.1--0.487662000000076</f>
        <v>2017.3402120000001</v>
      </c>
      <c r="P240" s="3">
        <f>2831.6+(545.6-787.8)+(-2.888232+(-0.556512--0.803556))+0-525.5--0.536010000000084</f>
        <v>2061.7948220000003</v>
      </c>
      <c r="Q240" s="3">
        <f>2899.5+(430-775.4)+(2.95749+(0.4386-0.790908))+0-461.4-0.470628000000074</f>
        <v>2094.8345539999996</v>
      </c>
      <c r="R240" s="3">
        <f>2886.4+(418.9-838.6)+(-5.888256+(-0.854556--1.710744))+0-525.3--1.07161199999998</f>
        <v>1937.4395439999998</v>
      </c>
      <c r="S240" s="3">
        <f>2758.1+(264.7-758.2)+(0+(0-0))+0-382.9-0</f>
        <v>1881.6999999999998</v>
      </c>
      <c r="T240" s="3">
        <f>2806.1+(417.3-773.9)+(-1.431111+(-0.212823--0.394689))+0-545.7--0.278306999999945</f>
        <v>1902.829062</v>
      </c>
      <c r="U240" s="3">
        <f>2802.6+(310.3-858.8)+(0+(0-0))+0-394.2-0</f>
        <v>1859.8999999999999</v>
      </c>
      <c r="V240" s="3">
        <f>2845.5+(466.5-814.5)+(1.451205+(0.237915-0.415395))+0-571-0.291209999999942</f>
        <v>1927.4825150000001</v>
      </c>
      <c r="W240" s="3">
        <f>2846.1+(627.3-774.2)+(1.451511+(0.319923-0.394842))+0-490.4-0.25010399999995</f>
        <v>2209.9264880000001</v>
      </c>
      <c r="X240" s="3">
        <f>2875.5+(689.7-743.8)+(-8.79903+(-2.110482--2.276028))+0-597.3--1.82773800000007</f>
        <v>2217.2942540000004</v>
      </c>
      <c r="Y240" s="3">
        <f>2883.6+(634.1-811.8)+(-1.470636+(-0.323391--0.414018))+0-542.5--0.276674999999945</f>
        <v>2162.2966660000002</v>
      </c>
      <c r="Z240" s="3">
        <f>2886.7+(473.8-768.2)+(-5.888868+(-0.966552--1.567128))+0-488.2--0.995927999999979</f>
        <v>2099.8076359999995</v>
      </c>
      <c r="AA240" s="3">
        <f>2892.3+(417-703.9)+(-4.425219+(-0.63801--1.076967))+0-576.9--0.882657000000033</f>
        <v>2025.3963950000002</v>
      </c>
      <c r="AB240" s="3">
        <f>2880.7+(425.6-758)+(-5.876628+(-0.868224--1.54632))+0-611.6--1.24766399999997</f>
        <v>1932.7491319999999</v>
      </c>
      <c r="AC240" s="3">
        <f>2559.8+(636.4-734.2)+(-3.916494+(-0.973692--1.123326))+0-669.5--1.02433500000004</f>
        <v>1789.7574749999999</v>
      </c>
      <c r="AD240" s="2">
        <v>2273.5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2257.4+(483.9-499.3)+(-5.75637+(-1.233945--1.273215))+0-577.5--1.47262499999992</f>
        <v>1660.255525</v>
      </c>
      <c r="G241" s="3">
        <f>2099.9+(391.6-180.3)+(-5.354745+(-0.99858--0.459765))+0-718.7--1.8326849999999</f>
        <v>1588.4391250000001</v>
      </c>
      <c r="H241" s="3">
        <f>1826.5+(480.8-85.3)+(-2.794545+(-0.735624--0.130509))+0-677.4--1.03642200000004</f>
        <v>1542.236762</v>
      </c>
      <c r="I241" s="3">
        <f>1819.9+(574.9-45.4)+(0.928149+(0.293199-0.023154))+0-820.3-0.418352999999917</f>
        <v>1529.8798410000002</v>
      </c>
      <c r="J241" s="3">
        <f>1820.7+(464-57.1)+(0+(0-0))+0-694.1-0</f>
        <v>1533.5</v>
      </c>
      <c r="K241" s="3">
        <f>1821.7+(571.4-108.4)+(0+(0-0))+0-731.6-0</f>
        <v>1553.1</v>
      </c>
      <c r="L241" s="3">
        <f>1823.5+(631.6-184.5)+(-3.71994+(-1.288464--0.37638))+0-709.3--1.44697199999997</f>
        <v>1558.1149479999999</v>
      </c>
      <c r="M241" s="3">
        <f>1900.5+(634.9-160.8)+(-1.93851+(-0.647598--0.164016))+0-673.8--0.687276000000107</f>
        <v>1699.0651840000003</v>
      </c>
      <c r="N241" s="3">
        <f>2207.5+(770.7-397.7)+(2.25165+(0.786114-0.405654))+0-671.4-0.684828000000107</f>
        <v>1911.0472819999998</v>
      </c>
      <c r="O241" s="3">
        <f>2461.2+(815-622.9)+(0+(0-0))+0-634.3-0</f>
        <v>2018.9999999999998</v>
      </c>
      <c r="P241" s="3">
        <f>2624.1+(737-664.9)+(-4.014873+(-1.12761--1.017297))+0-637.5--0.975375000000037</f>
        <v>2055.5501889999996</v>
      </c>
      <c r="Q241" s="3">
        <f>2813.1+(696.4-823.3)+(-5.738724+(-1.420656--1.679532))+0-632.3--1.28989199999997</f>
        <v>2049.7100439999995</v>
      </c>
      <c r="R241" s="3">
        <f>2579+(695.5-781.3)+(-3.94587+(-1.064115--1.195389))+0-589.1--0.901323000000034</f>
        <v>1901.1867269999998</v>
      </c>
      <c r="S241" s="3">
        <f>2529.1+(550.2-666.8)+(-5.159364+(-1.122408--1.360272))+0-553.7--1.12954799999998</f>
        <v>1855.0080479999999</v>
      </c>
      <c r="T241" s="3">
        <f>2544.7+(583.8-676.9)+(2.595594+(0.595476-0.690438))+0-601.1-0.613122000000096</f>
        <v>1852.38751</v>
      </c>
      <c r="U241" s="3">
        <f>2551+(570.6-807.8)+(-3.90303+(-0.873018--1.235934))+0-480.4--0.735012000000028</f>
        <v>1830.5948980000003</v>
      </c>
      <c r="V241" s="3">
        <f>2666.2+(557.6-862.5)+(0+(0-0))+0-536-0</f>
        <v>1825.2999999999997</v>
      </c>
      <c r="W241" s="3">
        <f>3057+(478.9-993.7)+(-4.67721+(-0.732717--1.520361))+0-431.2--0.659736000000025</f>
        <v>2107.7701700000002</v>
      </c>
      <c r="X241" s="3">
        <f>3219.9+(497.7-1086.3)+(-3.284298+(-0.507654--1.108026))+0-459.1--0.468282000000073</f>
        <v>2169.9843560000004</v>
      </c>
      <c r="Y241" s="3">
        <f>3133.6+(600.7-1091.8)+(0+(0-0))+0-508.6-0</f>
        <v>2133.9</v>
      </c>
      <c r="Z241" s="3">
        <f>2990.8+(668.1-1197.7)+(0+(0-0))+0-400.7-0</f>
        <v>2060.5000000000005</v>
      </c>
      <c r="AA241" s="3">
        <f>2957.8+(776.1-1189.1)+(-4.525434+(-1.187433--1.819323))+0-547.6--0.837828000000032</f>
        <v>1994.1442840000002</v>
      </c>
      <c r="AB241" s="3">
        <f>2648.4+(796-1140.7)+(0+(0-0))+0-388.3-0</f>
        <v>1915.3999999999999</v>
      </c>
      <c r="AC241" s="3">
        <f>2465.5+(1023.7-1035.5)+(-5.02962+(-2.088348--2.11242))+0-649.2--1.32436799999997</f>
        <v>1800.8188199999997</v>
      </c>
      <c r="AD241" s="2">
        <v>2131.8999999999996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2308+(608.5-655.8)+(-1.17708+(-0.310335--0.334458))+0-582.2--0.296921999999941</f>
        <v>1677.643965</v>
      </c>
      <c r="G242" s="3">
        <f>2321.1+(459.2-519.8)+(-2.367522+(-0.468384--0.530196))+0-653.1--0.666162000000104</f>
        <v>1605.7604520000002</v>
      </c>
      <c r="H242" s="3">
        <f>2337.1+(368.6-488.6)+(-5.959605+(-0.93993--1.24593))+0-654.1--1.66795499999991</f>
        <v>1559.0143499999999</v>
      </c>
      <c r="I242" s="3">
        <f>2027.9+(458.2-355.2)+(-2.068458+(-0.467364--0.362304))+0-611.3--0.623526000000097</f>
        <v>1518.0500080000002</v>
      </c>
      <c r="J242" s="3">
        <f>1978.3+(569-263.4)+(0+(0-0))+0-791.3-0</f>
        <v>1492.6000000000001</v>
      </c>
      <c r="K242" s="3">
        <f>1979.9+(447.6-272.3)+(0+(0-0))+0-651.8-0</f>
        <v>1503.4000000000003</v>
      </c>
      <c r="L242" s="3">
        <f>1982+(409.2-282.3)+(-5.0541+(-1.04346--0.719865))+0-662.4--1.6891199999999</f>
        <v>1442.8114249999999</v>
      </c>
      <c r="M242" s="3">
        <f>1995.3+(319-287.9)+(-2.035206+(-0.32538--0.293658))+0-594.7--0.606594000000095</f>
        <v>1430.2396660000002</v>
      </c>
      <c r="N242" s="3">
        <f>2088.1+(347.2-425.9)+(3.194793+(0.531216-0.651627))+0-514.9-0.78779700000003</f>
        <v>1496.7865849999998</v>
      </c>
      <c r="O242" s="3">
        <f>2308+(454-554)+(-2.35416+(-0.46308--0.56508))+0-634.9--0.647598000000101</f>
        <v>1571.4954379999999</v>
      </c>
      <c r="P242" s="3">
        <f>2340.5+(609.3-777.9)+(2.38731+(0.621486-0.793458))+0-527.1-0.537642000000084</f>
        <v>1646.4776960000002</v>
      </c>
      <c r="Q242" s="3">
        <f>2593.4+(497.2-757.1)+(-6.61317+(-1.26786--1.930605))+0-672.5--1.7148749999999</f>
        <v>1656.7644499999999</v>
      </c>
      <c r="R242" s="3">
        <f>2655+(420.1-772.4)+(-9.47835+(-1.499757--2.757468))+0-684.7--2.44437900000001</f>
        <v>1612.2237399999997</v>
      </c>
      <c r="S242" s="3">
        <f>2537.2+(325.8-652)+(-3.881916+(-0.498474--0.99756))+0-640.7--0.980271000000037</f>
        <v>1567.8974410000001</v>
      </c>
      <c r="T242" s="3">
        <f>2480.7+(322.4-560.8)+(-3.795471+(-0.493272--0.858024))+0-679.8--1.04009400000004</f>
        <v>1560.1093749999998</v>
      </c>
      <c r="U242" s="3">
        <f>2420+(175.5-632.1)+(0+(0-0))+0-418.5-0</f>
        <v>1544.9</v>
      </c>
      <c r="V242" s="3">
        <f>2476.4+(238.8-858.9)+(-2.525928+(-0.243576--0.876078))+0-234.7--0.239394000000037</f>
        <v>1619.945968</v>
      </c>
      <c r="W242" s="3">
        <f>2717.1+(617.4-929.2)+(0+(0-0))+0-503.5-0</f>
        <v>1901.7999999999997</v>
      </c>
      <c r="X242" s="3">
        <f>2846.9+(714.5-1056.9)+(-5.807676+(-1.45758--2.156076))+0-542.5--1.10669999999998</f>
        <v>1957.9975200000001</v>
      </c>
      <c r="Y242" s="3">
        <f>2799.9+(775.3-993.9)+(0+(0-0))+0-628-0</f>
        <v>1953.3000000000002</v>
      </c>
      <c r="Z242" s="3">
        <f>2721.8+(852.7-1004.2)+(-4.164354+(-1.304631--1.536426))+0-640.1--0.979353000000037</f>
        <v>1927.2467940000004</v>
      </c>
      <c r="AA242" s="3">
        <f>2549.3+(890.1-889.9)+(0+(0-0))+0-659.3-0</f>
        <v>1890.2</v>
      </c>
      <c r="AB242" s="3">
        <f>2430.1+(994.5-925.8)+(-3.718053+(-1.521585--1.416474))+0-666.5--1.01974500000004</f>
        <v>1829.4965810000003</v>
      </c>
      <c r="AC242" s="3">
        <f>2254.8+(1096.1-946)+(-4.599792+(-2.236044--1.92984))+0-697--1.42187999999997</f>
        <v>1704.415884</v>
      </c>
      <c r="AD242" s="2">
        <v>1931.5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1934.7+(879.8-497.7)+(-0.986697+(-0.448698--0.253827))+0-726.3--0.370412999999926</f>
        <v>1589.6888450000001</v>
      </c>
      <c r="G243" s="3">
        <f>1783.6+(750-200.8)+(-1.819272+(-0.765--0.204816))+0-796.5--0.812430000000127</f>
        <v>1534.7329740000002</v>
      </c>
      <c r="H243" s="3">
        <f>1687.8+(605-170.5)+(-5.164668+(-1.8513--0.52173))+0-623.9--1.90913400000007</f>
        <v>1493.8148959999999</v>
      </c>
      <c r="I243" s="3">
        <f>1798.2+(779-290.4)+(1.834164+(0.79458-0.296208))+0-790.6-0.806412000000126</f>
        <v>1497.726124</v>
      </c>
      <c r="J243" s="3">
        <f>1844.5+(630.5-345.2)+(-1.88139+(-0.64311--0.352104))+0-633.3--0.645966000000101</f>
        <v>1494.9735700000003</v>
      </c>
      <c r="K243" s="3">
        <f>1871.8+(761-351)+(-1.909236+(-0.77622--0.35802))+0-755.6--0.770712000000121</f>
        <v>1524.6432760000005</v>
      </c>
      <c r="L243" s="3">
        <f>1859.5+(837.3-365.5)+(-4.741725+(-2.135115--0.932025))+0-744.9--1.89949499999989</f>
        <v>1582.3546800000001</v>
      </c>
      <c r="M243" s="3">
        <f>1875.7+(669.5-271.8)+(-1.913214+(-0.68289--0.277236))+0-544.1--0.554982000000087</f>
        <v>1727.5361140000005</v>
      </c>
      <c r="N243" s="3">
        <f>2252.2+(734.7-478.2)+(-3.445866+(-1.124091--0.731646))+0-553.6--0.847008000000032</f>
        <v>1952.1086969999999</v>
      </c>
      <c r="O243" s="3">
        <f>2541+(745.8-613.1)+(-5.18364+(-1.521432--1.250724))+0-613.5--1.25153999999997</f>
        <v>2055.9971919999994</v>
      </c>
      <c r="P243" s="3">
        <f>2558.2+(916.8-763.8)+(-1.304682+(-0.467568--0.389538))+0-583.4--0.297533999999941</f>
        <v>2126.7148219999995</v>
      </c>
      <c r="Q243" s="3">
        <f>2640.8+(849.9-745.3)+(-1.346808+(-0.433449--0.380103))+0-596.3--0.304112999999939</f>
        <v>2148.0039590000006</v>
      </c>
      <c r="R243" s="3">
        <f>2684.5+(688-837)+(-6.845475+(-1.7544--2.13435))+0-549.2--1.40045999999992</f>
        <v>1981.2349349999997</v>
      </c>
      <c r="S243" s="3">
        <f>2513.2+(789.6-702.5)+(0+(0-0))+0-610.9-0</f>
        <v>1989.3999999999996</v>
      </c>
      <c r="T243" s="3">
        <f>2488.4+(681.3-681.3)+(0+(0-0))+0-459.7-0</f>
        <v>2028.7</v>
      </c>
      <c r="U243" s="3">
        <f>2495.2+(637.3-721.8)+(-1.272552+(-0.325023--0.368118))+0-391.7--0.19976699999996</f>
        <v>2017.9703099999999</v>
      </c>
      <c r="V243" s="3">
        <f>2698.6+(616.8-929.4)+(0+(0-0))+0-302-0</f>
        <v>2084</v>
      </c>
      <c r="W243" s="3">
        <f>3092.6+(1023.9-1315.4)+(3.154452+(1.044378-1.341708))+0-467.1-0.476442000000075</f>
        <v>2336.3806799999998</v>
      </c>
      <c r="X243" s="3">
        <f>3078.9+(1103.3-1433.5)+(-7.851195+(-2.813415--3.655425))+0-411.2--1.04855999999994</f>
        <v>2331.5393749999998</v>
      </c>
      <c r="Y243" s="3">
        <f>3057.3+(1111.7-1285.3)+(-3.118446+(-1.133934--1.311006))+0-629.7--0.642294000000101</f>
        <v>2251.7009200000002</v>
      </c>
      <c r="Z243" s="3">
        <f>2967.2+(890.1-1209.1)+(-4.539816+(-1.361853--1.849923))+0-500.9--0.766377000000029</f>
        <v>2144.0146309999996</v>
      </c>
      <c r="AA243" s="3">
        <f>2852.6+(864.9-1123.3)+(-7.27413+(-2.205495--2.864415))+0-521--1.32854999999992</f>
        <v>2067.9133399999996</v>
      </c>
      <c r="AB243" s="3">
        <f>2530.4+(830.5-887.9)+(1.290504+(0.423555-0.452829))+0-482.9-0.246278999999951</f>
        <v>1991.114951</v>
      </c>
      <c r="AC243" s="3">
        <f>2395+(823.4-775.9)+(-6.10725+(-2.09967--1.978545))+0-586.8--1.49633999999991</f>
        <v>1850.9679649999998</v>
      </c>
      <c r="AD243" s="2">
        <v>2273.1999999999998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1652.2+(900.3-283.3)+(-2.527866+(-1.377459--0.433449))+0-558.4--0.854352000000032</f>
        <v>1708.1824759999997</v>
      </c>
      <c r="G244" s="3">
        <f>1601.7+(867.5-94.3)+(-4.084335+(-2.212125--0.240465))+0-746.7--1.90408499999989</f>
        <v>1624.0480899999998</v>
      </c>
      <c r="H244" s="3">
        <f>1622.5+(756.1-161.4)+(1.65495+(0.771222-0.164628))+0-619.4-0.631788000000099</f>
        <v>1599.4297559999995</v>
      </c>
      <c r="I244" s="3">
        <f>1671.7+(717.1-130.9)+(0+(0-0))+0-681.4-0</f>
        <v>1576.5</v>
      </c>
      <c r="J244" s="3">
        <f>1600.2+(807.9-97.1)+(0.816102+(0.412029-0.049521))+0-725.5-0.370004999999926</f>
        <v>1586.3086049999999</v>
      </c>
      <c r="K244" s="3">
        <f>1600.3+(659.9-68.2)+(-2.448459+(-1.009647--0.104346))+0-583.9--0.893367000000034</f>
        <v>1605.6396070000001</v>
      </c>
      <c r="L244" s="3">
        <f>1602.2+(743.9-35.9)+(-0.817122+(-0.379389--0.018309))+0-671.8--0.342617999999932</f>
        <v>1637.5644159999997</v>
      </c>
      <c r="M244" s="3">
        <f>1756.8+(656.6-123.6)+(-2.687904+(-1.004598--0.189108))+0-500.8--0.766224000000029</f>
        <v>1786.2628300000003</v>
      </c>
      <c r="N244" s="3">
        <f>2257.3+(637.8-350.4)+(-2.302446+(-0.650556--0.357408))+0-540.9--0.551718000000086</f>
        <v>2001.7561240000005</v>
      </c>
      <c r="O244" s="3">
        <f>2389.2+(819.8-522.2)+(-2.436984+(-0.836196--0.532644))+0-581.9--0.593538000000093</f>
        <v>2102.7530019999999</v>
      </c>
      <c r="P244" s="3">
        <f>2412.2+(1021.5-680.5)+(-6.15111+(-2.604825--1.735275))+0-502--1.28009999999993</f>
        <v>2245.4594399999996</v>
      </c>
      <c r="Q244" s="3">
        <f>2497.7+(1171.4-921.8)+(-6.369135+(-2.98707--2.35059))+0-572.8--1.46063999999992</f>
        <v>2168.9550249999998</v>
      </c>
      <c r="R244" s="3">
        <f>2407.5+(1143.1-949.8)+(-3.683475+(-1.748943--1.453194))+0-596.8--0.913104000000034</f>
        <v>2000.93388</v>
      </c>
      <c r="S244" s="3">
        <f>2271.5+(1082.4-880.5)+(-2.31693+(-1.104048--0.89811))+0-488.9--0.498678000000078</f>
        <v>1982.4758100000001</v>
      </c>
      <c r="T244" s="3">
        <f>2225.6+(1169.7-957.1)+(1.135056+(0.596547-0.488121))+0-395.9-0.20190899999996</f>
        <v>2043.3415729999997</v>
      </c>
      <c r="U244" s="3">
        <f>2235.4+(1187.9-883.8)+(2.280108+(1.211658-0.901476))+0-504-0.51408000000008</f>
        <v>2037.5762099999999</v>
      </c>
      <c r="V244" s="3">
        <f>2646.4+(1160.4-1265.3)+(0+(0-0))+0-483.6-0</f>
        <v>2057.9</v>
      </c>
      <c r="W244" s="3">
        <f>2993.3+(1502.2-1592.5)+(-1.526583+(-0.766122--0.812175))+0-561--0.286109999999943</f>
        <v>2340.8055800000002</v>
      </c>
      <c r="X244" s="3">
        <f>3215.6+(1257-1585.9)+(-1.639956+(-0.64107--0.808809))+0-547--0.278969999999944</f>
        <v>2338.5067529999997</v>
      </c>
      <c r="Y244" s="3">
        <f>3225.5+(1040.6-1469.1)+(-1.645005+(-0.530706--0.749241))+0-561.8--0.286517999999943</f>
        <v>2234.0600480000003</v>
      </c>
      <c r="Z244" s="3">
        <f>3220+(917.4-1409.3)+(-3.2844+(-0.935748--1.437486))+0-577.4--0.588948000000092</f>
        <v>2148.5062859999998</v>
      </c>
      <c r="AA244" s="3">
        <f>3127.3+(998.3-1402.3)+(-1.594923+(-0.509133--0.715173))+0-657.7--0.335426999999933</f>
        <v>2064.5465439999998</v>
      </c>
      <c r="AB244" s="3">
        <f>2995.8+(926.9-1340.1)+(-7.63929+(-2.363595--3.417255))+0-595.4--1.51826999999991</f>
        <v>1982.13264</v>
      </c>
      <c r="AC244" s="3">
        <f>2838.8+(905.4-1132.5)+(-4.343364+(-1.385262--1.732725))+0-749.8--1.14719400000004</f>
        <v>1859.0512930000007</v>
      </c>
      <c r="AD244" s="2">
        <v>2376.9000000000005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2547.8+(703.4-875)+(-2.598756+(-0.717468--0.8925))+0-661.8--0.675036000000105</f>
        <v>1712.6513120000002</v>
      </c>
      <c r="G245" s="3">
        <f>2269+(579.6-510.1)+(-5.78595+(-1.47798--1.300755))+0-703.8--1.7946899999999</f>
        <v>1630.5315150000001</v>
      </c>
      <c r="H245" s="3">
        <f>2057.4+(588.3-317.3)+(1.049274+(0.300033-0.161823))+0-721.3-0.367862999999927</f>
        <v>1607.9196210000002</v>
      </c>
      <c r="I245" s="3">
        <f>2064.9+(522.1-322.4)+(-5.265495+(-1.331355--0.82212))+0-668.9--1.7056949999999</f>
        <v>1591.6309650000001</v>
      </c>
      <c r="J245" s="3">
        <f>2067.2+(539.9-387)+(-1.054272+(-0.275349--0.19737))+0-629.5--0.321044999999936</f>
        <v>1589.7887939999998</v>
      </c>
      <c r="K245" s="3">
        <f>2066.3+(633.2-329.9)+(-1.053813+(-0.322932--0.168249))+0-752.4--0.383723999999924</f>
        <v>1616.3752280000001</v>
      </c>
      <c r="L245" s="3">
        <f>2061.5+(669-393.9)+(2.10273+(0.68238-0.401778))+0-676.4-0.689928000000108</f>
        <v>1661.8934039999997</v>
      </c>
      <c r="M245" s="3">
        <f>2246.5+(656.3-379.9)+(1.145715+(0.334713-0.193749))+0-715.6-0.364955999999927</f>
        <v>1808.2217230000001</v>
      </c>
      <c r="N245" s="3">
        <f>2506.3+(649.1-546.4)+(0+(0-0))+0-574.5-0</f>
        <v>2034.5</v>
      </c>
      <c r="O245" s="3">
        <f>2709.3+(755.9-665.5)+(-5.526972+(-1.542036--1.35762))+0-657.8--1.34191199999997</f>
        <v>2137.5305239999998</v>
      </c>
      <c r="P245" s="3">
        <f>2796.4+(775.2-796.6)+(-5.704656+(-1.581408--1.625064))+0-554.2--1.13056799999998</f>
        <v>2216.2695680000002</v>
      </c>
      <c r="Q245" s="3">
        <f>3031.9+(732.7-836)+(-1.546269+(-0.373677--0.42636))+0-668.1--0.340730999999932</f>
        <v>2259.3471450000002</v>
      </c>
      <c r="R245" s="3">
        <f>3106.5+(667.8-993.3)+(-6.33726+(-1.362312--2.026332))+0-609--1.24235999999997</f>
        <v>2167.5691200000001</v>
      </c>
      <c r="S245" s="3">
        <f>2864.7+(596.7-770.2)+(-1.460997+(-0.304317--0.392802))+0-648--0.330479999999934</f>
        <v>2042.1579679999998</v>
      </c>
      <c r="T245" s="3">
        <f>2863.2+(526.3-762.9)+(-4.380696+(-0.805239--1.167237))+0-530--0.810900000000031</f>
        <v>2093.392202</v>
      </c>
      <c r="U245" s="3">
        <f>2857.9+(513.6-718.8)+(-1.457529+(-0.261936--0.366588))+0-550.4--0.280703999999944</f>
        <v>2101.2278270000002</v>
      </c>
      <c r="V245" s="3">
        <f>2916.5+(659.3-803.5)+(4.462245+(1.008729-1.229355))+0-631.2-0.965736000000037</f>
        <v>2144.3758829999997</v>
      </c>
      <c r="W245" s="3">
        <f>3354.3+(904.9-1391.3)+(-8.553465+(-2.307495--3.547815))+0-474.5--1.20997499999993</f>
        <v>2387.2968299999998</v>
      </c>
      <c r="X245" s="3">
        <f>3319.8+(799.5-1304.9)+(-6.772392+(-1.63098--2.661996))+0-466.8--0.95227199999998</f>
        <v>2342.810896</v>
      </c>
      <c r="Y245" s="3">
        <f>3238.6+(923.7-1334.8)+(-8.25843+(-2.355435--3.40374))+0-585.2--1.49225999999992</f>
        <v>2236.5821349999997</v>
      </c>
      <c r="Z245" s="3">
        <f>2873.2+(954.3-1283.5)+(-5.861328+(-1.946772--2.61834))+0-385.5--0.786419999999983</f>
        <v>2154.0966599999997</v>
      </c>
      <c r="AA245" s="3">
        <f>2691.2+(1129.7-1041.3)+(-1.372512+(-0.576147--0.531063))+0-694.4--0.35414399999993</f>
        <v>2084.1365479999999</v>
      </c>
      <c r="AB245" s="3">
        <f>2493.7+(1159.2-1056.8)+(-3.815361+(-1.773576--1.616904))+0-593.3--0.907749000000034</f>
        <v>1999.7357159999999</v>
      </c>
      <c r="AC245" s="3">
        <f>2005.2+(1349.9-819.9)+(-4.090608+(-2.753796--1.672596))+0-678.5--1.38413999999997</f>
        <v>1852.9123320000001</v>
      </c>
      <c r="AD245" s="2">
        <v>2347.3999999999996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1740.9+(1005.5-371.3)+(1.775718+(1.02561-0.378726))+0-639.9-0.652698000000102</f>
        <v>1736.9699040000003</v>
      </c>
      <c r="G246" s="3">
        <f>1737.4+(815.8-323.5)+(-1.772148+(-0.832116--0.32997))+0-571.9--0.583338000000091</f>
        <v>1656.109044</v>
      </c>
      <c r="H246" s="3">
        <f>1741.7+(626.8-231.7)+(-1.776534+(-0.639336--0.236334))+0-513.8--0.524076000000082</f>
        <v>1621.3445400000003</v>
      </c>
      <c r="I246" s="3">
        <f>1770.9+(673.5-134.5)+(1.806318+(0.68697-0.13719))+0-708.6-0.722772000000113</f>
        <v>1602.9333260000003</v>
      </c>
      <c r="J246" s="3">
        <f>1774+(663.3-181.7)+(-0.90474+(-0.338283--0.092667))+0-667--0.340169999999932</f>
        <v>1587.7898139999998</v>
      </c>
      <c r="K246" s="3">
        <f>1782.1+(721.8-113.9)+(4.544355+(1.84059-0.290445))+0-776.6-1.98032999999989</f>
        <v>1617.5141700000004</v>
      </c>
      <c r="L246" s="3">
        <f>1869.3+(546.4-140.4)+(0+(0-0))+0-615.5-0</f>
        <v>1659.8000000000002</v>
      </c>
      <c r="M246" s="3">
        <f>2258+(386.9-193.4)+(2.30316+(0.394638-0.197268))+0-603.3-0.615366000000096</f>
        <v>1850.0851639999998</v>
      </c>
      <c r="N246" s="3">
        <f>2904+(130.2-394.1)+(4.44312+(0.199206-0.602973))+0-596.5-0.912645000000034</f>
        <v>2046.7267079999999</v>
      </c>
      <c r="O246" s="3">
        <f>3111.3+(135.1-476.8)+(-1.586763+(-0.068901--0.243168))+0-636--0.324359999999935</f>
        <v>2132.5118640000005</v>
      </c>
      <c r="P246" s="3">
        <f>3116+(215-508)+(0+(0-0))+0-616.5-0</f>
        <v>2206.5</v>
      </c>
      <c r="Q246" s="3">
        <f>3109.2+(392.5-600.2)+(-1.585692+(-0.200175--0.306102))+0-698.2--0.356081999999929</f>
        <v>2202.1763169999999</v>
      </c>
      <c r="R246" s="3">
        <f>3070.4+(398.4-755.6)+(-10.961328+(-1.422288--2.697492))+0-631.2--2.25338400000001</f>
        <v>2074.5672600000003</v>
      </c>
      <c r="S246" s="3">
        <f>2960.3+(284.5-710.4)+(1.509753+(0.145095-0.362304))+0-517.2-0.263771999999948</f>
        <v>2018.2287719999999</v>
      </c>
      <c r="T246" s="3">
        <f>2959.3+(350.2-644)+(-4.527729+(-0.535806--0.98532))+0-610.6--0.934218000000035</f>
        <v>2051.756003</v>
      </c>
      <c r="U246" s="3">
        <f>2967.4+(435-635.2)+(1.513374+(0.22185-0.323952))+0-720.7-0.367556999999927</f>
        <v>2047.5437149999996</v>
      </c>
      <c r="V246" s="3">
        <f>3160.1+(408.9-996.2)+(-4.834953+(-0.625617--1.524186))+0-521.6--0.79804800000003</f>
        <v>2048.0616639999998</v>
      </c>
      <c r="W246" s="3">
        <f>3484+(482.9-1075.1)+(-7.10736+(-0.985116--2.193204))+0-619.1--1.26296399999997</f>
        <v>2268.0636920000002</v>
      </c>
      <c r="X246" s="3">
        <f>3390.1+(393.5-971.9)+(-6.915804+(-0.80274--1.982676))+0-556.2--1.13464799999998</f>
        <v>2250.8987799999995</v>
      </c>
      <c r="Y246" s="3">
        <f>3331.5+(286-847.1)+(-8.495325+(-0.7293--2.160105))+0-617.5--1.57462499999991</f>
        <v>2147.4101049999999</v>
      </c>
      <c r="Z246" s="3">
        <f>3155.2+(275.3-827.7)+(-4.827456+(-0.421209--1.266381))+0-526.9--0.80615700000003</f>
        <v>2072.7238729999995</v>
      </c>
      <c r="AA246" s="3">
        <f>3033.8+(330.8-775.8)+(-3.094476+(-0.337416--0.791316))+0-569.2--0.580584000000091</f>
        <v>2017.5400080000004</v>
      </c>
      <c r="AB246" s="3">
        <f>2912.4+(313.5-637.6)+(-4.455972+(-0.479655--0.975528))+0-654--1.00062000000004</f>
        <v>1931.3405210000003</v>
      </c>
      <c r="AC246" s="3">
        <f>2732.3+(315.1-499.6)+(0+(0-0))+0-717.3-0</f>
        <v>1830.5000000000002</v>
      </c>
      <c r="AD246" s="2">
        <v>2303.1000000000004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2495.2+(310.5-456.1)+(-6.36276+(-0.791775--1.163055))+0-652.9--1.66489499999991</f>
        <v>1692.3734149999996</v>
      </c>
      <c r="G247" s="3">
        <f>2112.6+(323.1-314.7)+(1.077426+(0.164781-0.160497))+0-607.3-0.309722999999938</f>
        <v>1514.4719870000001</v>
      </c>
      <c r="H247" s="3">
        <f>1863.3+(510.3-212.5)+(-1.900566+(-0.520506--0.21675))+0-694.7--0.708594000000111</f>
        <v>1464.904272</v>
      </c>
      <c r="I247" s="3">
        <f>1755+(509.3-198.1)+(0.89505+(0.259743-0.101031))+0-641.7-0.327266999999935</f>
        <v>1425.2264949999999</v>
      </c>
      <c r="J247" s="3">
        <f>1732.2+(624.7-242.5)+(4.41711+(1.592985-0.618375))+0-701.5-1.7888249999999</f>
        <v>1416.5028950000003</v>
      </c>
      <c r="K247" s="3">
        <f>1733.1+(522.4-254.1)+(1.767762+(0.532848-0.259182))+0-566.6-0.57793200000009</f>
        <v>1436.2634959999996</v>
      </c>
      <c r="L247" s="3">
        <f>1761.7+(412.3-259.8)+(2.695401+(0.630819-0.397494))+0-414.9-0.634797000000024</f>
        <v>1501.5939290000003</v>
      </c>
      <c r="M247" s="3">
        <f>1965.6+(456.1-341.6)+(4.009824+(0.930444-0.696864))+0-407.7-0.831707999999982</f>
        <v>1675.8116959999998</v>
      </c>
      <c r="N247" s="3">
        <f>2444.1+(308.9-328.1)+(-1.246491+(-0.157539--0.167331))+0-509.9--0.260048999999948</f>
        <v>1914.0233499999995</v>
      </c>
      <c r="O247" s="3">
        <f>2502.2+(255.9-373.6)+(-2.552244+(-0.261018--0.381072))+0-379.2--0.38678400000006</f>
        <v>2003.254594</v>
      </c>
      <c r="P247" s="3">
        <f>2500+(315.3-227.6)+(-3.825+(-0.482409--0.348228))+0-502--0.768060000000029</f>
        <v>2082.5088789999995</v>
      </c>
      <c r="Q247" s="3">
        <f>2501.4+(319.6-263.5)+(-6.37857+(-0.81498--0.671925))+0-454--1.15769999999993</f>
        <v>2098.1360749999999</v>
      </c>
      <c r="R247" s="3">
        <f>2505.5+(196.2-359.9)+(-1.277805+(-0.100062--0.183549))+0-420.7--0.214556999999957</f>
        <v>1920.1202390000003</v>
      </c>
      <c r="S247" s="3">
        <f>2444.1+(254.2-381.1)+(-6.232455+(-0.64821--0.971805))+0-367.5--0.937124999999947</f>
        <v>1944.7282649999997</v>
      </c>
      <c r="T247" s="3">
        <f>2412.1+(327.1-327.1)+(0+(0-0))+0-465.3-0</f>
        <v>1946.8</v>
      </c>
      <c r="U247" s="3">
        <f>2409.1+(368.4-362.2)+(-6.143205+(-0.93942--0.92361))+0-468.9--1.19569499999993</f>
        <v>1941.4366799999993</v>
      </c>
      <c r="V247" s="3">
        <f>2448.1+(540.1-556.6)+(-1.248531+(-0.275451--0.283866))+0-461.6--0.235415999999953</f>
        <v>1968.9953</v>
      </c>
      <c r="W247" s="3">
        <f>2777.8+(775.4-907.8)+(1.416678+(0.395454-0.462978))+0-459.4-0.234293999999953</f>
        <v>2187.1148600000001</v>
      </c>
      <c r="X247" s="3">
        <f>2838.3+(638.1-840.5)+(-1.447533+(-0.325431--0.428655))+0-451.5--0.230264999999954</f>
        <v>2183.2859560000002</v>
      </c>
      <c r="Y247" s="3">
        <f>2782.6+(351.9-608.1)+(-5.676504+(-0.717876--1.240524))+0-450.2--0.91840799999998</f>
        <v>2071.9645519999999</v>
      </c>
      <c r="Z247" s="3">
        <f>2715+(306.4-569.1)+(-2.7693+(-0.312528--0.580482))+0-450.7--0.459714000000072</f>
        <v>1999.5583680000002</v>
      </c>
      <c r="AA247" s="3">
        <f>2716+(306.4-545.8)+(-2.77032+(-0.312528--0.556716))+0-529.7--0.540294000000085</f>
        <v>1944.914162</v>
      </c>
      <c r="AB247" s="3">
        <f>2606+(458.8-509)+(-1.32906+(-0.233988--0.25959))+0-675.2--0.344351999999932</f>
        <v>1879.6408940000001</v>
      </c>
      <c r="AC247" s="3">
        <f>2373.8+(341-464.3)+(-4.842552+(-0.69564--0.947172))+0-493.4--1.00653599999998</f>
        <v>1753.5155159999999</v>
      </c>
      <c r="AD247" s="2">
        <v>2162.7000000000003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1984.8+(652.4-277.3)+(0+(0-0))+0-686.6-0</f>
        <v>1673.3000000000002</v>
      </c>
      <c r="G248" s="3">
        <f>1638.7+(635.3-90.9)+(-2.507211+(-0.972009--0.139077))+0-611.2--0.935136000000035</f>
        <v>1569.494993</v>
      </c>
      <c r="H248" s="3">
        <f>1481.6+(764.2-65.8)+(0.755616+(0.389742-0.033558))+0-658.4-0.335783999999933</f>
        <v>1522.3760160000002</v>
      </c>
      <c r="I248" s="3">
        <f>1480.8+(620.3-72.9)+(-0.755208+(-0.316353--0.037179))+0-539.7--0.275246999999945</f>
        <v>1487.7408649999998</v>
      </c>
      <c r="J248" s="3">
        <f>1477+(744.7-91.1)+(3.01308+(1.519188-0.185844))+0-644.3-1.31437199999997</f>
        <v>1489.3320519999997</v>
      </c>
      <c r="K248" s="3">
        <f>1477.7+(733.3-83.9)+(0.753627+(0.373983-0.042789))+0-628.8-0.320687999999936</f>
        <v>1499.0641329999999</v>
      </c>
      <c r="L248" s="3">
        <f>1546.8+(819.1-106.5)+(-3.94434+(-2.088705--0.271575))+0-736.7--1.87858499999989</f>
        <v>1518.8171150000001</v>
      </c>
      <c r="M248" s="3">
        <f>1863+(495.6-140.5)+(0.95013+(0.252756-0.071655))+0-624.4-0.318443999999937</f>
        <v>1594.5127869999997</v>
      </c>
      <c r="N248" s="3">
        <f>2060.1+(365.6-144.5)+(2.101302+(0.372912-0.14739))+0-518-0.528360000000083</f>
        <v>1764.998464</v>
      </c>
      <c r="O248" s="3">
        <f>1972.2+(689.8-34.9)+(-2.011644+(-0.703596--0.035598))+0-752.8--0.76785600000012</f>
        <v>1872.3882140000001</v>
      </c>
      <c r="P248" s="3">
        <f>1988.3+(565.8-135.7)+(-2.028066+(-0.577116--0.138414))+0-471.1--0.480522000000075</f>
        <v>1945.3137540000005</v>
      </c>
      <c r="Q248" s="3">
        <f>1952.3+(739.4-164.7)+(-0.995673+(-0.377094--0.083997))+0-575.7--0.293606999999942</f>
        <v>1950.3048369999997</v>
      </c>
      <c r="R248" s="3">
        <f>1893.5+(683.9-228.7)+(-6.759795+(-2.441523--0.816459))+0-563.8--2.01276600000001</f>
        <v>1778.5279070000001</v>
      </c>
      <c r="S248" s="3">
        <f>1845.2+(764.9-172.7)+(-2.823156+(-1.170297--0.264231))+0-718--1.09854000000004</f>
        <v>1716.7693180000001</v>
      </c>
      <c r="T248" s="3">
        <f>1842.9+(608.2-150)+(-3.759516+(-1.240728--0.306))+0-589--1.20155999999997</f>
        <v>1708.6073160000005</v>
      </c>
      <c r="U248" s="3">
        <f>1842.7+(601.4-121.4)+(0+(0-0))+0-644.4-0</f>
        <v>1678.2999999999997</v>
      </c>
      <c r="V248" s="3">
        <f>1864.8+(555-107.5)+(0+(0-0))+0-658.5-0</f>
        <v>1653.8000000000002</v>
      </c>
      <c r="W248" s="3">
        <f>2351.3+(702.9-581.9)+(1.199163+(0.358479-0.296769))+0-485.6-0.247655999999951</f>
        <v>1987.7132170000004</v>
      </c>
      <c r="X248" s="3">
        <f>2590.1+(814.1-751.9)+(-3.962853+(-1.245573--1.150407))+0-622.8--0.952884000000036</f>
        <v>2026.3948650000002</v>
      </c>
      <c r="Y248" s="3">
        <f>2366.2+(643.8-570.3)+(-7.240572+(-1.970028--1.745118))+0-677.6--2.07345600000008</f>
        <v>1756.7079739999999</v>
      </c>
      <c r="Z248" s="3">
        <f>2388.1+(608.2-427.3)+(-3.653793+(-0.930546--0.653769))+0-716.5--1.09624500000004</f>
        <v>1849.665675</v>
      </c>
      <c r="AA248" s="3">
        <f>2354+(549.2-502.8)+(-2.40108+(-0.560184--0.512856))+0-689.5--0.70329000000011</f>
        <v>1709.154882</v>
      </c>
      <c r="AB248" s="3">
        <f>2411.2+(529.2-518.4)+(-1.229712+(-0.269892--0.264384))+0-665.9--0.339608999999932</f>
        <v>1755.2043889999998</v>
      </c>
      <c r="AC248" s="3">
        <f>2373.1+(617.1-604.4)+(-3.630843+(-0.944163--0.924732))+0-686.6--1.05049800000004</f>
        <v>1696.6002240000003</v>
      </c>
      <c r="AD248" s="2">
        <v>1974.0999999999997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2096+(523.7-358.5)+(-5.3448+(-1.335435--0.914175))+0-669.7--1.7077349999999</f>
        <v>1587.4416749999998</v>
      </c>
      <c r="G249" s="3">
        <f>1863.4+(683.7-220)+(-1.900668+(-0.697374--0.2244))+0-826.1--0.842622000000132</f>
        <v>1499.4689800000006</v>
      </c>
      <c r="H249" s="3">
        <f>1638.2+(588.4-99.3)+(0.835482+(0.300084-0.050643))+0-683.8-0.348737999999931</f>
        <v>1444.2361850000002</v>
      </c>
      <c r="I249" s="3">
        <f>1629+(613-75.7)+(-2.49237+(-0.93789--0.115821))+0-756.2--1.15698600000004</f>
        <v>1407.9425469999999</v>
      </c>
      <c r="J249" s="3">
        <f>1624.1+(537.4-69.1)+(-0.828291+(-0.274074--0.035241))+0-688.1--0.35093099999993</f>
        <v>1403.5838069999995</v>
      </c>
      <c r="K249" s="3">
        <f>1620.3+(613.9-37)+(-0.826353+(-0.313089--0.01887))+0-787--0.40136999999992</f>
        <v>1409.4807979999998</v>
      </c>
      <c r="L249" s="3">
        <f>1618.2+(515.6-82.8)+(-3.301128+(-1.051824--0.168912))+0-695.3--1.41841199999997</f>
        <v>1352.9343719999999</v>
      </c>
      <c r="M249" s="3">
        <f>1629.6+(425.4-139.1)+(-0.831096+(-0.216954--0.070941))+0-600.2--0.306101999999939</f>
        <v>1315.0289929999999</v>
      </c>
      <c r="N249" s="3">
        <f>1647.3+(504.5-119.9)+(2.520369+(0.771885-0.183447))+0-657-1.00521000000004</f>
        <v>1377.0035970000001</v>
      </c>
      <c r="O249" s="3">
        <f>1773.8+(354.7-142.7)+(-0.904638+(-0.180897--0.072777))+0-508--0.259079999999948</f>
        <v>1477.0463219999999</v>
      </c>
      <c r="P249" s="3">
        <f>1941.7+(357.6-184.6)+(0.990267+(0.182376-0.094146))+0-588.8-0.30028799999994</f>
        <v>1526.6782090000004</v>
      </c>
      <c r="Q249" s="3">
        <f>2046.7+(357.2-214.9)+(-6.262902+(-1.093032--0.657594))+0-651.1--1.99236600000008</f>
        <v>1533.1940260000003</v>
      </c>
      <c r="R249" s="3">
        <f>2048.8+(270.1-297.2)+(-1.044888+(-0.137751--0.151572))+0-524.2--0.267341999999947</f>
        <v>1496.7362750000002</v>
      </c>
      <c r="S249" s="3">
        <f>1981.6+(394.8-212.3)+(-5.05308+(-1.00674--0.541365))+0-686.9--1.7515949999999</f>
        <v>1473.4331399999999</v>
      </c>
      <c r="T249" s="3">
        <f>1896.5+(409.9-183.1)+(0.967215+(0.209049-0.093381))+0-666.3-0.339812999999932</f>
        <v>1457.7430700000004</v>
      </c>
      <c r="U249" s="3">
        <f>1938.6+(328.2-147.7)+(-1.977372+(-0.334764--0.150654))+0-652.5--0.665550000000104</f>
        <v>1465.1040680000001</v>
      </c>
      <c r="V249" s="3">
        <f>2181.1+(284.7-285.8)+(1.112361+(0.145197-0.145758))+0-629-0.320789999999936</f>
        <v>1551.7910100000001</v>
      </c>
      <c r="W249" s="3">
        <f>2366.9+(629.7-603.8)+(-2.414238+(-0.642294--0.615876))+0-640.5--0.653310000000102</f>
        <v>1750.5126540000001</v>
      </c>
      <c r="X249" s="3">
        <f>2330.5+(512.9-527.6)+(-2.37711+(-0.523158--0.538152))+0-544.6--0.555492000000087</f>
        <v>1769.3933760000007</v>
      </c>
      <c r="Y249" s="3">
        <f>2169.9+(663-477.7)+(-3.319947+(-1.01439--0.730881))+0-607.7--0.929781000000035</f>
        <v>1744.8263250000005</v>
      </c>
      <c r="Z249" s="3">
        <f>2162.9+(652.3-482)+(-1.103079+(-0.332673--0.24582))+0-651--0.332009999999934</f>
        <v>1681.3420779999994</v>
      </c>
      <c r="AA249" s="3">
        <f>2182.6+(471.9-363.2)+(0+(0-0))+0-647.6-0</f>
        <v>1643.6999999999998</v>
      </c>
      <c r="AB249" s="3">
        <f>2080.4+(368.3-241.5)+(-2.122008+(-0.375666--0.24633))+0-606.4--0.618528000000097</f>
        <v>1599.1671840000006</v>
      </c>
      <c r="AC249" s="3">
        <f>1981.8+(349.4-152.6)+(-3.032154+(-0.534582--0.233478))+0-639--0.977670000000037</f>
        <v>1537.2444119999998</v>
      </c>
      <c r="AD249" s="2">
        <v>1785.7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1759.3+(548.9-88.4)+(-3.588972+(-1.119756--0.180336))+0-772.5--1.57589999999997</f>
        <v>1444.3475080000001</v>
      </c>
      <c r="G250" s="3">
        <f>1681.3+(458.9-81.7)+(-5.144778+(-1.404234--0.250002))+0-695.4--2.12792400000008</f>
        <v>1358.9289139999998</v>
      </c>
      <c r="H250" s="3">
        <f>1540.1+(541-75.9)+(-0.785451+(-0.27591--0.038709))+0-719.9--0.367148999999927</f>
        <v>1284.6444969999995</v>
      </c>
      <c r="I250" s="3">
        <f>1530.8+(534.6-64.2)+(-1.561416+(-0.545292--0.065484))+0-729.9--0.744498000000116</f>
        <v>1270.0032740000001</v>
      </c>
      <c r="J250" s="3">
        <f>1526.3+(453.8-63.5)+(-1.556826+(-0.462876--0.06477))+0-660--0.673200000000105</f>
        <v>1255.318268</v>
      </c>
      <c r="K250" s="3">
        <f>1524+(490.6-52.7)+(0.77724+(0.250206-0.026877))+0-707.3-0.360722999999928</f>
        <v>1255.2398460000002</v>
      </c>
      <c r="L250" s="3">
        <f>1524+(371-76.9)+(-2.33172+(-0.56763--0.117657))+0-604.5--0.924885000000035</f>
        <v>1211.7431920000001</v>
      </c>
      <c r="M250" s="3">
        <f>1539.4+(314.1-127)+(-0.785094+(-0.160191--0.06477))+0-574.7--0.293096999999942</f>
        <v>1151.2125819999999</v>
      </c>
      <c r="N250" s="3">
        <f>1565.5+(264.5-76.6)+(-1.59681+(-0.26979--0.078132))+0-587.8--0.599556000000094</f>
        <v>1164.4110880000003</v>
      </c>
      <c r="O250" s="3">
        <f>1854.5+(148.2-168.7)+(-1.89159+(-0.151164--0.172074))+0-606.4--0.618528000000097</f>
        <v>1226.3478480000001</v>
      </c>
      <c r="P250" s="3">
        <f>1983.6+(81-277.9)+(-3.034908+(-0.12393--0.425187))+0-531.6--0.813348000000031</f>
        <v>1253.179697</v>
      </c>
      <c r="Q250" s="3">
        <f>1991.1+(122.3-222.4)+(-1.015461+(-0.062373--0.113424))+0-650.6--0.331805999999934</f>
        <v>1239.767396</v>
      </c>
      <c r="R250" s="3">
        <f>1993.7+(132.9-424.2)+(0+(0-0))+0-509.7-0</f>
        <v>1192.7</v>
      </c>
      <c r="S250" s="3">
        <f>1919+(257.9-365)+(0.97869+(0.131529-0.18615))+0-665.7-0.339506999999933</f>
        <v>1146.7845620000001</v>
      </c>
      <c r="T250" s="3">
        <f>1897.5+(236.7-344.2)+(0.967725+(0.120717-0.175542))+0-644-0.328439999999935</f>
        <v>1146.58446</v>
      </c>
      <c r="U250" s="3">
        <f>1896.8+(228.6-347.8)+(0.967368+(0.116586-0.177378))+0-642.9-0.327878999999935</f>
        <v>1135.2786970000002</v>
      </c>
      <c r="V250" s="3">
        <f>1939.4+(159.8-324.9)+(0.989094+(0.081498-0.165699))+0-593.9-0.30288899999994</f>
        <v>1181.0020039999999</v>
      </c>
      <c r="W250" s="3">
        <f>2031.2+(296.7-250)+(0+(0-0))+0-617.1-0</f>
        <v>1460.8000000000002</v>
      </c>
      <c r="X250" s="3">
        <f>2091.9+(252.3-120.9)+(0+(0-0))+0-707.1-0</f>
        <v>1516.2000000000003</v>
      </c>
      <c r="Y250" s="3">
        <f>2072.9+(194.6-132.4)+(-4.228716+(-0.396984--0.270096))+0-626--1.27703999999997</f>
        <v>1506.021436</v>
      </c>
      <c r="Z250" s="3">
        <f>2003+(275.1-189.1)+(-2.04306+(-0.280602--0.192882))+0-625.4--0.6379080000001</f>
        <v>1462.1071280000001</v>
      </c>
      <c r="AA250" s="3">
        <f>1995.8+(326.9-325.1)+(-3.053574+(-0.500157--0.497403))+0-533.9--0.816867000000031</f>
        <v>1461.4605390000002</v>
      </c>
      <c r="AB250" s="3">
        <f>1998+(514.3-390.9)+(1.01898+(0.262293-0.199359))+0-672-0.342719999999932</f>
        <v>1450.1391940000001</v>
      </c>
      <c r="AC250" s="3">
        <f>1988.2+(588.9-433.6)+(0+(0-0))+0-731.6-0</f>
        <v>1411.9</v>
      </c>
      <c r="AD250" s="2">
        <v>1550.7999999999997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1676.7+(621.8-322.9)+(-5.985819+(-2.219826--1.152753))+0-675.2--2.41046400000001</f>
        <v>1295.757572</v>
      </c>
      <c r="G251" s="3">
        <f>1497.3+(743.5-248)+(-1.527246+(-0.75837--0.25296))+0-789.4--0.805188000000126</f>
        <v>1202.1725319999998</v>
      </c>
      <c r="H251" s="3">
        <f>1493.6+(546.5-207.3)+(-2.285208+(-0.836145--0.317169))+0-665.4--1.01806200000004</f>
        <v>1165.6138780000001</v>
      </c>
      <c r="I251" s="3">
        <f>1485.8+(553.1-134.2)+(1.515516+(0.564162-0.136884))+0-768.9-0.784278000000123</f>
        <v>1136.9585160000001</v>
      </c>
      <c r="J251" s="3">
        <f>1481.9+(459-162.6)+(-0.755769+(-0.23409--0.082926))+0-638.7--0.325736999999935</f>
        <v>1139.018804</v>
      </c>
      <c r="K251" s="3">
        <f>1486.3+(533.7-161.8)+(1.516026+(0.544374-0.165036))+0-711.9-0.726138000000114</f>
        <v>1147.4692259999999</v>
      </c>
      <c r="L251" s="3">
        <f>1490.1+(473.9-184.8)+(-5.319657+(-1.691823--0.659736))+0-676.3--2.41439100000001</f>
        <v>1098.9626469999998</v>
      </c>
      <c r="M251" s="3">
        <f>1510.3+(288.9-174.9)+(-0.770253+(-0.147339--0.089199))+0-595.2--0.30355199999994</f>
        <v>1028.5751589999998</v>
      </c>
      <c r="N251" s="3">
        <f>1494.9+(384.6-211.6)+(3.049596+(0.784584-0.431664))+0-615-1.25459999999997</f>
        <v>1055.0479160000002</v>
      </c>
      <c r="O251" s="3">
        <f>1491.7+(552.2-250.2)+(-1.521534+(-0.563244--0.255204))+0-726.7--0.741234000000116</f>
        <v>1065.91166</v>
      </c>
      <c r="P251" s="3">
        <f>1495.3+(428.4-245.6)+(-5.338221+(-1.529388--0.876792))+0-616.1--2.19947700000001</f>
        <v>1058.2086599999998</v>
      </c>
      <c r="Q251" s="3">
        <f>1496.3+(353.4-204.6)+(2.289339+(0.540702-0.313038))+0-595.2-0.910656000000034</f>
        <v>1051.5063469999998</v>
      </c>
      <c r="R251" s="3">
        <f>1494.5+(382.6-130.4)+(2.286585+(0.585378-0.199512))+0-728.6-1.11475800000004</f>
        <v>1019.6576929999999</v>
      </c>
      <c r="S251" s="3">
        <f>1492.4+(355.5-158.2)+(1.522248+(0.36261-0.161364))+0-668.6-0.681972000000107</f>
        <v>1022.141522</v>
      </c>
      <c r="T251" s="3">
        <f>1491.2+(427.8-167.8)+(-3.042048+(-0.872712--0.342312))+0-718.1--1.46492399999997</f>
        <v>1030.9924759999999</v>
      </c>
      <c r="U251" s="3">
        <f>1495+(354.3-212.3)+(2.28735+(0.542079-0.324819))+0-580.3-0.887859000000033</f>
        <v>1058.3167510000001</v>
      </c>
      <c r="V251" s="3">
        <f>1715.6+(261.4-209.3)+(0+(0-0))+0-639.8-0</f>
        <v>1127.8999999999999</v>
      </c>
      <c r="W251" s="3">
        <f>2206.4+(430.2-519.9)+(1.125264+(0.219402-0.265149))+0-673.1-0.343280999999932</f>
        <v>1444.3362360000006</v>
      </c>
      <c r="X251" s="3">
        <f>2435.6+(468.4-773.5)+(-4.968624+(-0.955536--1.57794))+0-609.2--1.24276799999997</f>
        <v>1518.1965480000001</v>
      </c>
      <c r="Y251" s="3">
        <f>2328.9+(541.4-663.1)+(-4.750956+(-1.104456--1.352724))+0-690.5--1.40861999999997</f>
        <v>1513.6059319999997</v>
      </c>
      <c r="Z251" s="3">
        <f>2329.9+(544.1-710.5)+(2.376498+(0.554982-0.72471))+0-653.7-0.666774000000104</f>
        <v>1511.3399959999997</v>
      </c>
      <c r="AA251" s="3">
        <f>2306+(512.5-661)+(-1.17606+(-0.261375--0.33711))+0-662.3--0.337772999999933</f>
        <v>1494.4374480000001</v>
      </c>
      <c r="AB251" s="3">
        <f>2235.3+(490.7-590.3)+(-5.700015+(-1.251285--1.505265))+0-667.2--1.7013599999999</f>
        <v>1464.7553250000001</v>
      </c>
      <c r="AC251" s="3">
        <f>1840.3+(457.3-244.1)+(-3.754212+(-0.932892--0.497964))+0-661.8--1.35007199999997</f>
        <v>1388.860932</v>
      </c>
      <c r="AD251" s="2">
        <v>1541.9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1628.2+(540.2-179.9)+(-2.491146+(-0.826506--0.275247))+0-715.3--1.09440900000004</f>
        <v>1271.2520040000002</v>
      </c>
      <c r="G252" s="3">
        <f>1485.8+(523.2-177.7)+(-0.757758+(-0.266832--0.090627))+0-609.4--0.310793999999938</f>
        <v>1221.2768310000001</v>
      </c>
      <c r="H252" s="3">
        <f>1480.4+(584.5-77.4)+(-1.510008+(-0.59619--0.078948))+0-779.7--0.795294000000124</f>
        <v>1206.5680439999999</v>
      </c>
      <c r="I252" s="3">
        <f>1488.2+(484.3-57.2)+(0.758982+(0.246993-0.029172))+0-709.6-0.361895999999928</f>
        <v>1206.3149070000004</v>
      </c>
      <c r="J252" s="3">
        <f>1489.3+(531.6-66.3)+(0.759543+(0.271116-0.033813))+0-725.2-0.369851999999926</f>
        <v>1230.0269939999998</v>
      </c>
      <c r="K252" s="3">
        <f>1497+(626.6-46.5)+(3.05388+(1.278264-0.09486))+0-797.6-1.62710399999997</f>
        <v>1282.1101799999999</v>
      </c>
      <c r="L252" s="3">
        <f>1642.2+(554.3-123.2)+(-3.350088+(-1.130772--0.251328))+0-704.8--1.43779199999997</f>
        <v>1365.7082600000003</v>
      </c>
      <c r="M252" s="3">
        <f>1798.4+(580.4-185)+(3.668736+(1.184016-0.3774))+0-685.7-1.39882799999997</f>
        <v>1511.1765240000002</v>
      </c>
      <c r="N252" s="3">
        <f>2113.7+(466.7-297)+(3.233961+(0.714051-0.45441))+0-555.4-0.849762000000032</f>
        <v>1730.6438399999995</v>
      </c>
      <c r="O252" s="3">
        <f>2158.4+(416.6-486.4)+(1.100784+(0.212466-0.248064))+0-235-0.119849999999976</f>
        <v>1854.5453360000001</v>
      </c>
      <c r="P252" s="3">
        <f>2227.5+(351.4-455.6)+(0+(0-0))+0-186.9-0</f>
        <v>1936.4</v>
      </c>
      <c r="Q252" s="3">
        <f>2347.4+(372.1-505)+(-1.197174+(-0.189771--0.25755))+0-246.3--0.125612999999975</f>
        <v>1967.196218</v>
      </c>
      <c r="R252" s="3">
        <f>2264.8+(264.7-531.3)+(-8.085336+(-0.944979--1.896741))+0-173--0.617610000000002</f>
        <v>1818.6840360000003</v>
      </c>
      <c r="S252" s="3">
        <f>2143.6+(350.6-441.2)+(0+(0-0))+0-259.8-0</f>
        <v>1793.2</v>
      </c>
      <c r="T252" s="3">
        <f>2197.5+(541.9-384.3)+(0+(0-0))+0-500.4-0</f>
        <v>1854.6999999999998</v>
      </c>
      <c r="U252" s="3">
        <f>2207.3+(723.8-303)+(2.251446+(0.738276-0.30906))+0-776-0.791520000000124</f>
        <v>1853.9891420000004</v>
      </c>
      <c r="V252" s="3">
        <f>2323.3+(487-296.5)+(-3.554649+(-0.74511--0.453645))+0-562.4--0.860472000000032</f>
        <v>1948.4143580000002</v>
      </c>
      <c r="W252" s="3">
        <f>2572.4+(702.1-366.2)+(-3.935772+(-1.074213--0.560286))+0-709.7--1.08584100000004</f>
        <v>2195.2361420000007</v>
      </c>
      <c r="X252" s="3">
        <f>2540.9+(535.7-307.3)+(0+(0-0))+0-582.4-0</f>
        <v>2186.9</v>
      </c>
      <c r="Y252" s="3">
        <f>2322.3+(621.6-149.9)+(4.737492+(1.268064-0.305796))+0-687.7-1.40290799999997</f>
        <v>2110.5968519999997</v>
      </c>
      <c r="Z252" s="3">
        <f>2173.7+(698.4-83.3)+(3.325761+(1.068552-0.127449))+0-770.9-1.17947700000004</f>
        <v>2020.9873869999997</v>
      </c>
      <c r="AA252" s="3">
        <f>2057.8+(603.1-150.6)+(3.148434+(0.922743-0.230418))+0-561.8-0.859554000000032</f>
        <v>1951.4812050000003</v>
      </c>
      <c r="AB252" s="3">
        <f>2036.1+(521.7-135.8)+(-2.076822+(-0.532134--0.138516))+0-590.4--0.602208000000094</f>
        <v>1829.7317679999999</v>
      </c>
      <c r="AC252" s="3">
        <f>1906.2+(456.3-121.3)+(-2.916486+(-0.698139--0.185589))+0-557.4--0.852822000000032</f>
        <v>1681.2237859999998</v>
      </c>
      <c r="AD252" s="2">
        <v>2200.8999999999996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1702.6+(720.8-85.7)+(-1.736652+(-0.735216--0.087414))+0-795--0.810900000000127</f>
        <v>1541.126446</v>
      </c>
      <c r="G253" s="3">
        <f>1586.5+(767.7-98.3)+(-5.663805+(-2.740689--0.350931))+0-782.9--2.79495300000001</f>
        <v>1467.7413900000001</v>
      </c>
      <c r="H253" s="3">
        <f>1457.5+(909.8-153.5)+(0.743325+(0.463998-0.078285))+0-781-0.398309999999921</f>
        <v>1433.5307280000004</v>
      </c>
      <c r="I253" s="3">
        <f>1460.3+(856-207.3)+(1.489506+(0.87312-0.211446))+0-706.1-0.720222000000113</f>
        <v>1404.3309579999998</v>
      </c>
      <c r="J253" s="3">
        <f>1460+(954.4-189.3)+(-0.7446+(-0.486744--0.096543))+0-816.4--0.416363999999917</f>
        <v>1407.9815629999996</v>
      </c>
      <c r="K253" s="3">
        <f>1460.5+(817.3-197)+(0+(0-0))+0-659-0</f>
        <v>1421.8000000000002</v>
      </c>
      <c r="L253" s="3">
        <f>1557.2+(744.4-198.7)+(-2.382516+(-1.138932--0.304011))+0-636.7--0.974151000000037</f>
        <v>1463.9567140000004</v>
      </c>
      <c r="M253" s="3">
        <f>1651.8+(747.3-219)+(-1.684836+(-0.762246--0.22338))+0-623.6--0.636072000000099</f>
        <v>1554.9123700000002</v>
      </c>
      <c r="N253" s="3">
        <f>1703.4+(836.6-296.1)+(0+(0-0))+0-522.8-0</f>
        <v>1721.1000000000001</v>
      </c>
      <c r="O253" s="3">
        <f>1737+(998.3-379)+(-0.88587+(-0.509133--0.19329))+0-555.5--0.283304999999944</f>
        <v>1799.8815920000002</v>
      </c>
      <c r="P253" s="3">
        <f>1871.9+(1109-387.4)+(-1.909338+(-1.13118--0.395148))+0-717.2--0.731544000000114</f>
        <v>1874.386174</v>
      </c>
      <c r="Q253" s="3">
        <f>1862+(1218.7-463.6)+(-2.84886+(-1.864611--0.709308))+0-710--1.08630000000004</f>
        <v>1904.1821369999998</v>
      </c>
      <c r="R253" s="3">
        <f>1779.9+(1141.8-380.4)+(-0.907749+(-0.582318--0.194004))+0-784.6--0.40014599999992</f>
        <v>1755.8040830000004</v>
      </c>
      <c r="S253" s="3">
        <f>1759.9+(948.8-292.3)+(-1.795098+(-0.967776--0.298146))+0-682.1--0.695742000000109</f>
        <v>1732.5310140000004</v>
      </c>
      <c r="T253" s="3">
        <f>1762+(1040.3-318.9)+(1.79724+(1.061106-0.325278))+0-705.3-0.719406000000112</f>
        <v>1779.9136620000002</v>
      </c>
      <c r="U253" s="3">
        <f>1770.8+(1073.8-364.7)+(-2.709324+(-1.642914--0.557991))+0-708.5--1.08400500000004</f>
        <v>1768.6897579999998</v>
      </c>
      <c r="V253" s="3">
        <f>1852+(1084.9-455.4)+(-1.88904+(-1.106598--0.464508))+0-656.9--0.670038000000105</f>
        <v>1822.7389080000003</v>
      </c>
      <c r="W253" s="3">
        <f>2338.9+(1299.4-823.5)+(-3.578517+(-1.988082--1.259955))+0-707.6--1.08262800000004</f>
        <v>2103.9759840000006</v>
      </c>
      <c r="X253" s="3">
        <f>2340.2+(1203.8-793.1)+(-5.96751+(-3.06969--2.022405))+0-646.7--1.64908499999991</f>
        <v>2098.8342899999998</v>
      </c>
      <c r="Y253" s="3">
        <f>2361.1+(1297.6-851.9)+(1.204161+(0.661776-0.434469))+0-762.5-0.388874999999923</f>
        <v>2045.3425930000001</v>
      </c>
      <c r="Z253" s="3">
        <f>2138.3+(1078.6-580)+(-3.271599+(-1.650258--0.8874))+0-658.4--1.00735200000004</f>
        <v>1975.4728949999999</v>
      </c>
      <c r="AA253" s="3">
        <f>2056.1+(1017-542.1)+(-5.243055+(-2.59335--1.382355))+0-634.4--1.61771999999991</f>
        <v>1891.76367</v>
      </c>
      <c r="AB253" s="3">
        <f>1888.1+(1187.3-519.8)+(-0.962931+(-0.605523--0.265098))+0-741--0.377909999999925</f>
        <v>1813.6745539999999</v>
      </c>
      <c r="AC253" s="3">
        <f>1675.6+(1046.5-375.6)+(-2.563668+(-1.601145--0.574668))+0-682.8--1.04468400000004</f>
        <v>1661.1545389999999</v>
      </c>
      <c r="AD253" s="2">
        <v>2039.7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1608+(929.2-285.2)+(-3.28032+(-1.895568--0.581808))+0-708.2--1.44472799999997</f>
        <v>1540.650648</v>
      </c>
      <c r="G254" s="3">
        <f>1612.9+(865.9-249.9)+(0+(0-0))+0-751-0</f>
        <v>1477.9</v>
      </c>
      <c r="H254" s="3">
        <f>1660.2+(777.5-249.5)+(-3.386808+(-1.5861--0.50898))+0-740.3--1.51021199999997</f>
        <v>1444.9462839999997</v>
      </c>
      <c r="I254" s="3">
        <f>1648.3+(841-212.5)+(-0.840633+(-0.42891--0.108375))+0-838.4--0.427583999999915</f>
        <v>1437.666416</v>
      </c>
      <c r="J254" s="3">
        <f>1640.7+(787.6-259.5)+(2.510271+(1.205028-0.397035))+0-729.6-1.11628800000004</f>
        <v>1441.4019760000003</v>
      </c>
      <c r="K254" s="3">
        <f>1640.1+(893.1-216.9)+(3.345804+(1.821924-0.442476))+0-863-1.76051999999996</f>
        <v>1456.2647320000003</v>
      </c>
      <c r="L254" s="3">
        <f>1732.7+(731.2-258.7)+(0.883677+(0.372912-0.131937))+0-711.5-0.362864999999928</f>
        <v>1494.4617870000004</v>
      </c>
      <c r="M254" s="3">
        <f>1864.1+(705.4-251)+(-1.901382+(-0.719508--0.25602))+0-721.6--0.736032000000115</f>
        <v>1595.2711620000002</v>
      </c>
      <c r="N254" s="3">
        <f>1880.8+(829-330.4)+(0+(0-0))+0-582.3-0</f>
        <v>1797.1000000000001</v>
      </c>
      <c r="O254" s="3">
        <f>1964.6+(1097.5-376)+(-5.00973+(-2.798625--0.9588))+0-777.1--1.98160499999989</f>
        <v>1904.1320500000002</v>
      </c>
      <c r="P254" s="3">
        <f>1963.5+(1169.4-461.8)+(-5.006925+(-2.98197--1.17759))+0-714.5--1.8219749999999</f>
        <v>1951.61067</v>
      </c>
      <c r="Q254" s="3">
        <f>1963.7+(1128.7-555.3)+(-3.004461+(-1.726911--0.849609))+0-560.7--0.857871000000032</f>
        <v>1973.3761080000004</v>
      </c>
      <c r="R254" s="3">
        <f>1878.4+(1131.5-536.6)+(-1.915968+(-1.15413--0.547332))+0-572--0.583440000000091</f>
        <v>1899.3606740000002</v>
      </c>
      <c r="S254" s="3">
        <f>1876.8+(1060.8-551.3)+(-0.957168+(-0.541008--0.281163))+0-586.6--0.29916599999994</f>
        <v>1798.7821530000003</v>
      </c>
      <c r="T254" s="3">
        <f>1876.4+(930.8-584.8)+(-1.913928+(-0.949416--0.596496))+0-518.5--0.528870000000083</f>
        <v>1702.162022</v>
      </c>
      <c r="U254" s="3">
        <f>1877.7+(936.5-562.5)+(-1.915254+(-0.95523--0.57375))+0-576.4--0.587928000000092</f>
        <v>1673.5911939999999</v>
      </c>
      <c r="V254" s="3">
        <f>1964.4+(1071.3-649.5)+(0+(0-0))+0-694.6-0</f>
        <v>1691.6</v>
      </c>
      <c r="W254" s="3">
        <f>2497.9+(1486.3-1179.5)+(3.821787+(2.274039-1.804635))+0-639.2-0.977976000000037</f>
        <v>2168.8132149999992</v>
      </c>
      <c r="X254" s="3">
        <f>2617+(1406.1-1177.7)+(-1.33467+(-0.717111--0.600627))+0-656.8--0.334967999999933</f>
        <v>2187.4838140000002</v>
      </c>
      <c r="Y254" s="3">
        <f>2717.5+(1244.2-1041.6)+(0+(0-0))+0-815.9-0</f>
        <v>2104.2000000000003</v>
      </c>
      <c r="Z254" s="3">
        <f>2711.9+(1036.7-997)+(-1.383069+(-0.528717--0.50847))+0-737.3--0.376022999999925</f>
        <v>2013.2727070000005</v>
      </c>
      <c r="AA254" s="3">
        <f>2531.9+(909.4-760.9)+(-2.582538+(-0.927588--0.776118))+0-738--0.752760000000118</f>
        <v>1940.4187520000003</v>
      </c>
      <c r="AB254" s="3">
        <f>2373+(810.8-612.7)+(-3.63069+(-1.240524--0.937431))+0-735.1--1.12470300000004</f>
        <v>1833.19092</v>
      </c>
      <c r="AC254" s="3">
        <f>2106.5+(806.9-450.5)+(-5.371575+(-2.057595--1.148775))+0-730.2--1.86200999999989</f>
        <v>1728.2816149999996</v>
      </c>
      <c r="AD254" s="2">
        <v>2184.3000000000002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1638.8+(940.6-192.1)+(-3.343152+(-1.918824--0.391884))+0-799.8--1.63159199999997</f>
        <v>1584.2615000000001</v>
      </c>
      <c r="G255" s="3">
        <f>1640.3+(700.8-151.9)+(-0.836553+(-0.357408--0.077469))+0-676.4--0.344963999999931</f>
        <v>1512.0284719999995</v>
      </c>
      <c r="H255" s="3">
        <f>1640.1+(763.3-156.2)+(-3.345804+(-1.557132--0.318648))+0-756.2--1.54264799999997</f>
        <v>1487.9583599999996</v>
      </c>
      <c r="I255" s="3">
        <f>1637.8+(706.9-168.1)+(0.835278+(0.360519-0.085731))+0-704.2-0.359141999999929</f>
        <v>1473.150924</v>
      </c>
      <c r="J255" s="3">
        <f>1635.7+(817.5-184.1)+(-2.502621+(-1.250775--0.281673))+0-797.5--1.22017500000005</f>
        <v>1469.348452</v>
      </c>
      <c r="K255" s="3">
        <f>1633.8+(778.2-133.5)+(2.499714+(1.190646-0.204255))+0-798.2-1.22124600000005</f>
        <v>1482.5648589999998</v>
      </c>
      <c r="L255" s="3">
        <f>1630.8+(630.1-101.1)+(-0.831708+(-0.321351--0.051561))+0-671.3--0.342362999999932</f>
        <v>1487.7408650000002</v>
      </c>
      <c r="M255" s="3">
        <f>1643.6+(734.9-107.4)+(4.19118+(1.873995-0.27387))+0-704.5-1.7964749999999</f>
        <v>1570.5948300000002</v>
      </c>
      <c r="N255" s="3">
        <f>1738.9+(891.9-202.4)+(4.434195+(2.274345-0.51612))+0-665.6-1.6972799999999</f>
        <v>1767.2951400000002</v>
      </c>
      <c r="O255" s="3">
        <f>1909+(784.5-213.3)+(0.97359+(0.400095-0.108783))+0-591.7-0.30176699999994</f>
        <v>1889.4631349999997</v>
      </c>
      <c r="P255" s="3">
        <f>2198.1+(783.3-445.7)+(1.121031+(0.399483-0.227307))+0-594.3-0.30309299999994</f>
        <v>1942.390114</v>
      </c>
      <c r="Q255" s="3">
        <f>2484.9+(974.2-758.4)+(-2.534598+(-0.993684--0.773568))+0-733.3--0.747966000000117</f>
        <v>1965.3932520000003</v>
      </c>
      <c r="R255" s="3">
        <f>2312.5+(783.7-713.7)+(-7.07625+(-2.398122--2.183922))+0-712.8--2.18116800000008</f>
        <v>1664.5907180000002</v>
      </c>
      <c r="S255" s="3">
        <f>2232.8+(706.3-500.8)+(-5.69364+(-1.801065--1.27704))+0-790--2.01449999999989</f>
        <v>1644.0968350000001</v>
      </c>
      <c r="T255" s="3">
        <f>2072.2+(623.1-325.8)+(1.056822+(0.317781-0.166158))+0-712.9-0.363578999999928</f>
        <v>1657.4448660000003</v>
      </c>
      <c r="U255" s="3">
        <f>2061.1+(573.5-243.9)+(1.051161+(0.292485-0.124389))+0-787.9-0.40182899999992</f>
        <v>1603.617428</v>
      </c>
      <c r="V255" s="3">
        <f>2138.8+(498.6-292.7)+(-3.272364+(-0.762858--0.447831))+0-619.8--0.948294000000036</f>
        <v>1722.2609030000003</v>
      </c>
      <c r="W255" s="3">
        <f>2772.1+(876.2-867.5)+(1.413771+(0.446862-0.442425))+0-748.6-0.381785999999924</f>
        <v>2033.2364220000004</v>
      </c>
      <c r="X255" s="3">
        <f>2861.5+(828.2-837.2)+(-7.296825+(-2.11191--2.13486))+0-778.2--1.98440999999989</f>
        <v>2069.0105350000003</v>
      </c>
      <c r="Y255" s="3">
        <f>2713.6+(678.9-678.2)+(-1.383936+(-0.346239--0.345882))+0-710.9--0.362558999999928</f>
        <v>2002.3782659999995</v>
      </c>
      <c r="Z255" s="3">
        <f>2634.7+(710-619.5)+(0+(0-0))+0-801.3-0</f>
        <v>1923.8999999999999</v>
      </c>
      <c r="AA255" s="3">
        <f>2457.9+(805-698.9)+(-1.253529+(-0.41055--0.356439))+0-709.6--0.361895999999928</f>
        <v>1853.454256</v>
      </c>
      <c r="AB255" s="3">
        <f>2462.6+(757.6-705.4)+(-6.27963+(-1.93188--1.79877))+0-714.2--1.8212099999999</f>
        <v>1796.0084699999998</v>
      </c>
      <c r="AC255" s="3">
        <f>2185.5+(618.6-329.9)+(-2.22921+(-0.630972--0.336498))+0-780.9--0.796518000000125</f>
        <v>1691.5728340000001</v>
      </c>
      <c r="AD255" s="2">
        <v>2107.8999999999996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2007.7+(618.5-317.8)+(3.071781+(0.946305-0.486234))+0-717-1.09701000000004</f>
        <v>1593.8348420000002</v>
      </c>
      <c r="G256" s="3">
        <f>1939.2+(635.2-258.8)+(0+(0-0))+0-805.3-0</f>
        <v>1510.3</v>
      </c>
      <c r="H256" s="3">
        <f>1715.4+(705.4-174.9)+(0.874854+(0.359754-0.089199))+0-784.7-0.40019699999992</f>
        <v>1461.9452120000003</v>
      </c>
      <c r="I256" s="3">
        <f>1704.9+(684.6-197.7)+(-0.869499+(-0.349146--0.100827))+0-764.5--0.389894999999922</f>
        <v>1426.572077</v>
      </c>
      <c r="J256" s="3">
        <f>1708.9+(645.7-200.7)+(0+(0-0))+0-730.5-0</f>
        <v>1423.4</v>
      </c>
      <c r="K256" s="3">
        <f>1751.4+(597.5-121.8)+(1.786428+(0.60945-0.124236))+0-802.4-0.818448000000128</f>
        <v>1426.1531939999998</v>
      </c>
      <c r="L256" s="3">
        <f>1786.1+(544.1-120.5)+(-8.198199+(-2.497419--0.553095))+0-823.5--3.77986500000014</f>
        <v>1379.837342</v>
      </c>
      <c r="M256" s="3">
        <f>1969.6+(256.3-402)+(2.008992+(0.261426-0.41004))+0-512.7-0.522954000000082</f>
        <v>1312.5374239999999</v>
      </c>
      <c r="N256" s="3">
        <f>2199.1+(239.1-219.7)+(-2.243082+(-0.243882--0.224094))+0-826.8--0.843336000000132</f>
        <v>1390.2804660000002</v>
      </c>
      <c r="O256" s="3">
        <f>2299.1+(341.5-487.3)+(2.345082+(0.34833-0.497046))+0-689.4-0.70318800000011</f>
        <v>1465.3931779999996</v>
      </c>
      <c r="P256" s="3">
        <f>2393.4+(382.9-480.8)+(1.220634+(0.195279-0.245208))+0-763.2-0.389231999999923</f>
        <v>1533.081473</v>
      </c>
      <c r="Q256" s="3">
        <f>2430.6+(353.4-471)+(-2.479212+(-0.360468--0.48042))+0-761.4--0.776628000000121</f>
        <v>1550.0173679999998</v>
      </c>
      <c r="R256" s="3">
        <f>2335.7+(340.2-596.5)+(-4.764828+(-0.694008--1.21686))+0-601.2--1.22644799999997</f>
        <v>1475.1844719999997</v>
      </c>
      <c r="S256" s="3">
        <f>2227.7+(408.8-547.4)+(-2.272254+(-0.416976--0.558348))+0-655.3--0.668406000000104</f>
        <v>1432.337524</v>
      </c>
      <c r="T256" s="3">
        <f>2224.9+(456.1-591.4)+(-4.538796+(-0.930444--1.206456))+0-677.5--1.38209999999997</f>
        <v>1409.2193160000004</v>
      </c>
      <c r="U256" s="3">
        <f>2224.2+(345.1-598)+(-2.268684+(-0.352002--0.60996))+0-566.2--0.57752400000009</f>
        <v>1403.6667979999997</v>
      </c>
      <c r="V256" s="3">
        <f>2388.4+(318.5-521.6)+(0+(0-0))+0-711.3-0</f>
        <v>1474.0000000000002</v>
      </c>
      <c r="W256" s="3">
        <f>2999.5+(219.1-836.4)+(0+(0-0))+0-642.2-0</f>
        <v>1739.9999999999998</v>
      </c>
      <c r="X256" s="3">
        <f>3205.2+(365-987.9)+(-6.538608+(-0.7446--2.015316))+0-783.4--1.59813599999997</f>
        <v>1795.2302439999999</v>
      </c>
      <c r="Y256" s="3">
        <f>3273.8+(313.7-1123.2)+(5.008914+(0.479961-1.718496))+0-684.9-1.04789700000004</f>
        <v>1782.122482</v>
      </c>
      <c r="Z256" s="3">
        <f>3259.9+(337.3-1062.5)+(-4.987647+(-0.516069--1.625625))+0-772--1.18116000000004</f>
        <v>1760.0030689999999</v>
      </c>
      <c r="AA256" s="3">
        <f>3169.8+(343.3-1117.8)+(-3.233196+(-0.350166--1.140156))+0-667.3--0.680646000000106</f>
        <v>1726.2374400000003</v>
      </c>
      <c r="AB256" s="3">
        <f>3046+(462.3-1092.9)+(-4.66038+(-0.707319--1.672137))+0-729--1.11537000000004</f>
        <v>1683.8198079999997</v>
      </c>
      <c r="AC256" s="3">
        <f>2817.7+(424.2-907.5)+(-5.748108+(-0.865368--1.8513))+0-756--1.54223999999997</f>
        <v>1575.1800639999994</v>
      </c>
      <c r="AD256" s="2">
        <v>1741.7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2669.7+(387-800.2)+(-6.807735+(-0.98685--2.04051))+0-773.7--1.97293499999989</f>
        <v>1479.0188599999999</v>
      </c>
      <c r="G257" s="3">
        <f>2567.8+(402.7-782.2)+(-5.238312+(-0.821508--1.595688))+0-760.8--1.55203199999997</f>
        <v>1424.5879000000002</v>
      </c>
      <c r="H257" s="3">
        <f>2222.1+(477.5-536.9)+(-2.266542+(-0.48705--0.547638))+0-764.6--0.779892000000122</f>
        <v>1396.6739379999999</v>
      </c>
      <c r="I257" s="3">
        <f>2030.9+(470.4-513.1)+(-3.107277+(-0.719712--0.785043))+0-607.8--0.929934000000035</f>
        <v>1378.287988</v>
      </c>
      <c r="J257" s="3">
        <f>1974.1+(469.4-570.8)+(0+(0-0))+0-485.7-0</f>
        <v>1386.9999999999998</v>
      </c>
      <c r="K257" s="3">
        <f>2037.2+(355.1-699.8)+(3.116916+(0.543303-1.070694))+0-288.5-0.441405000000017</f>
        <v>1406.1481200000001</v>
      </c>
      <c r="L257" s="3">
        <f>2378.9+(240.8-930.2)+(-2.426478+(-0.245616--0.948804))+0-221--0.225420000000035</f>
        <v>1467.0021300000001</v>
      </c>
      <c r="M257" s="3">
        <f>2424.6+(232.3-855.9)+(6.18273+(0.592365-2.182545))+0-205.2-0.52325999999997</f>
        <v>1599.8692900000001</v>
      </c>
      <c r="N257" s="3">
        <f>2490.9+(248.8-783.6)+(2.540718+(0.253776-0.799272))+0-174.5-0.177990000000028</f>
        <v>1783.417232</v>
      </c>
      <c r="O257" s="3">
        <f>2609.3+(286.6-829)+(2.661486+(0.292332-0.84558))+0-187.7-0.19145400000003</f>
        <v>1881.1167839999998</v>
      </c>
      <c r="P257" s="3">
        <f>2701.3+(280-853.7)+(-1.377663+(-0.1428--0.435387))+0-149.5--0.0762449999999848</f>
        <v>1977.0911690000005</v>
      </c>
      <c r="Q257" s="3">
        <f>2791.7+(306.4-792.3)+(-2.847534+(-0.312528--0.808146))+0-301.7--0.307734000000048</f>
        <v>2002.0558179999996</v>
      </c>
      <c r="R257" s="3">
        <f>2660.2+(388.6-695.6)+(-6.78351+(-0.99093--1.77378))+0-428.3--1.09216499999994</f>
        <v>1919.9915049999997</v>
      </c>
      <c r="S257" s="3">
        <f>2346+(467.4-609.7)+(1.19646+(0.238374-0.310947))+0-289.9-0.147848999999971</f>
        <v>1914.776038</v>
      </c>
      <c r="T257" s="3">
        <f>2335.1+(508.2-601)+(0+(0-0))+0-269.8-0</f>
        <v>1972.4999999999998</v>
      </c>
      <c r="U257" s="3">
        <f>2370.7+(612.2-631.9)+(-3.627171+(-0.936666--0.966807))+0-392.6--0.600678000000023</f>
        <v>1955.4036480000002</v>
      </c>
      <c r="V257" s="3">
        <f>2571.2+(560.7-774.2)+(1.311312+(0.285957-0.394842))+0-378.8-0.193187999999962</f>
        <v>1979.9092390000001</v>
      </c>
      <c r="W257" s="3">
        <f>3064.9+(1104.8-1404.8)+(-3.126198+(-1.126896--1.432896))+0-547.2--0.558144000000087</f>
        <v>2215.4379460000005</v>
      </c>
      <c r="X257" s="3">
        <f>3178.5+(1036-1516.7)+(1.621035+(0.52836-0.773517))+0-465.1-0.237200999999953</f>
        <v>2233.8386770000002</v>
      </c>
      <c r="Y257" s="3">
        <f>3177+(898.9-1384.7)+(-4.86081+(-1.375317--2.118591))+0-536.5--0.820845000000031</f>
        <v>2151.4033089999998</v>
      </c>
      <c r="Z257" s="3">
        <f>3009.4+(584.7-977.3)+(-9.208764+(-1.789182--2.990538))+0-556.3--1.70227800000006</f>
        <v>2054.1948700000007</v>
      </c>
      <c r="AA257" s="3">
        <f>2768.2+(453.1-713.5)+(-9.882474+(-1.617567--2.547195))+0-507.1--1.81034700000001</f>
        <v>1993.5575009999998</v>
      </c>
      <c r="AB257" s="3">
        <f>2658.6+(545.2-763)+(-6.77943+(-1.39026--1.94565))+0-539.4--1.37546999999992</f>
        <v>1896.55143</v>
      </c>
      <c r="AC257" s="3">
        <f>2558+(493-724.6)+(-6.5229+(-1.25715--1.84773))+0-552.1--1.40785499999992</f>
        <v>1769.7755350000002</v>
      </c>
      <c r="AD257" s="2">
        <v>2094.8000000000002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2300.9+(622.8-724.1)+(-1.173459+(-0.317628--0.369291))+0-538.9--0.274838999999945</f>
        <v>1659.8530429999998</v>
      </c>
      <c r="G258" s="3">
        <f>1925.2+(741.8-568.7)+(-3.927408+(-1.513272--1.160148))+0-522.5--1.06589999999998</f>
        <v>1572.585368</v>
      </c>
      <c r="H258" s="3">
        <f>1861.1+(846.5-558.3)+(0+(0-0))+0-610.9-0</f>
        <v>1538.4</v>
      </c>
      <c r="I258" s="3">
        <f>1849.9+(701-469.2)+(2.830347+(1.07253-0.717876))+0-562.2-0.860166000000033</f>
        <v>1521.8248350000001</v>
      </c>
      <c r="J258" s="3">
        <f>1849.9+(723.9-453.1)+(3.773796+(1.476756-0.924324))+0-602.6-1.22930399999997</f>
        <v>1521.1969239999999</v>
      </c>
      <c r="K258" s="3">
        <f>1944.4+(561.4-413.1)+(-1.983288+(-0.572628--0.421362))+0-556.2--0.567324000000089</f>
        <v>1534.9327699999997</v>
      </c>
      <c r="L258" s="3">
        <f>2192.5+(393.5-464.9)+(0+(0-0))+0-534.4-0</f>
        <v>1586.6999999999998</v>
      </c>
      <c r="M258" s="3">
        <f>2383.3+(503.8-711.4)+(3.646449+(0.770814-1.088442))+0-461-0.705330000000027</f>
        <v>1717.3234910000003</v>
      </c>
      <c r="N258" s="3">
        <f>2584.3+(656-974.8)+(0+(0-0))+0-378.8-0</f>
        <v>1886.7</v>
      </c>
      <c r="O258" s="3">
        <f>2879.9+(680.6-1092.3)+(0+(0-0))+0-474.9-0</f>
        <v>1993.3000000000002</v>
      </c>
      <c r="P258" s="3">
        <f>3080.2+(776.9-1227.9)+(0+(0-0))+0-582.1-0</f>
        <v>2047.1</v>
      </c>
      <c r="Q258" s="3">
        <f>2949+(708.3-1086.7)+(-4.51197+(-1.083699--1.662651))+0-501.1--0.766683000000029</f>
        <v>2066.3336649999997</v>
      </c>
      <c r="R258" s="3">
        <f>2784.5+(391.6-900.6)+(-7.100475+(-0.99858--2.29653))+0-370.4--0.944519999999946</f>
        <v>1900.2419949999999</v>
      </c>
      <c r="S258" s="3">
        <f>2673.5+(464.4-719.9)+(-2.72697+(-0.473688--0.734298))+0-543.7--0.554574000000087</f>
        <v>1872.3882140000001</v>
      </c>
      <c r="T258" s="3">
        <f>2664.4+(355.1-647.1)+(-1.358844+(-0.181101--0.330021))+0-450.2--0.229601999999954</f>
        <v>1921.2196780000002</v>
      </c>
      <c r="U258" s="3">
        <f>2669.2+(303.4-634.2)+(4.083876+(0.464202-0.970326))+0-439.6-0.672588000000025</f>
        <v>1901.7051639999997</v>
      </c>
      <c r="V258" s="3">
        <f>2821.3+(386.6-823.6)+(1.438863+(0.197166-0.420036))+0-432.7-0.220676999999956</f>
        <v>1952.5953159999999</v>
      </c>
      <c r="W258" s="3">
        <f>3248+(1140.6-1630.7)+(3.31296+(1.163412-1.663314))+0-489.4-0.499188000000078</f>
        <v>2270.8138699999995</v>
      </c>
      <c r="X258" s="3">
        <f>3263.4+(1185-1506)+(0+(0-0))+0-659.6-0</f>
        <v>2282.8000000000002</v>
      </c>
      <c r="Y258" s="3">
        <f>3215+(865.3-1315.8)+(3.2793+(0.882606-1.342116))+0-561.3-0.572526000000089</f>
        <v>2205.4472640000004</v>
      </c>
      <c r="Z258" s="3">
        <f>3201.2+(730.3-1083.3)+(0+(0-0))+0-736.1-0</f>
        <v>2112.1</v>
      </c>
      <c r="AA258" s="3">
        <f>3117.1+(373.6-792.8)+(-3.179442+(-0.381072--0.808656))+0-675--0.688500000000108</f>
        <v>2020.8366420000002</v>
      </c>
      <c r="AB258" s="3">
        <f>2919.5+(218.1-780.9)+(-7.444725+(-0.556155--1.991295))+0-432.9--1.10389499999994</f>
        <v>1918.8943099999999</v>
      </c>
      <c r="AC258" s="3">
        <f>2683+(231-664.4)+(-6.84165+(-0.58905--1.69422))+0-463.1--1.18090499999993</f>
        <v>1781.9444249999999</v>
      </c>
      <c r="AD258" s="2">
        <v>2296.7000000000007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2366.4+(437.1-403.1)+(-3.620592+(-0.668763--0.616743))+0-742.6--1.13617800000004</f>
        <v>1655.2635660000003</v>
      </c>
      <c r="G259" s="3">
        <f>2300.8+(369.2-320)+(-2.346816+(-0.376584--0.3264))+0-753.7--0.76877400000012</f>
        <v>1594.6717740000001</v>
      </c>
      <c r="H259" s="3">
        <f>2251+(370.3-181.8)+(-2.29602+(-0.377706--0.185436))+0-862.9--0.880158000000138</f>
        <v>1574.9918680000003</v>
      </c>
      <c r="I259" s="3">
        <f>2242+(220.7-260.4)+(-3.43026+(-0.337671--0.398412))+0-646.6--0.989298000000037</f>
        <v>1553.3197790000004</v>
      </c>
      <c r="J259" s="3">
        <f>2237.4+(308.5-182.9)+(1.141074+(0.157335-0.093279))+0-804.2-0.410141999999918</f>
        <v>1559.5949879999998</v>
      </c>
      <c r="K259" s="3">
        <f>2236.9+(184.7-324)+(0+(0-0))+0-532-0</f>
        <v>1565.6</v>
      </c>
      <c r="L259" s="3">
        <f>2299.2+(136.4-513.4)+(-5.86296+(-0.34782--1.30917))+0-279--0.71144999999996</f>
        <v>1639.0098399999999</v>
      </c>
      <c r="M259" s="3">
        <f>2366.2+(235.4-407.1)+(6.03381+(0.60027-1.038105))+0-437.9-1.11664499999994</f>
        <v>1761.0793300000003</v>
      </c>
      <c r="N259" s="3">
        <f>2529.6+(326.1-502.1)+(2.580192+(0.332622-0.512142))+0-425.5-0.434010000000068</f>
        <v>1930.066662</v>
      </c>
      <c r="O259" s="3">
        <f>2529.4+(377.3-399.6)+(3.869982+(0.577269-0.611388))+0-481.3-0.736389000000028</f>
        <v>2028.8994739999998</v>
      </c>
      <c r="P259" s="3">
        <f>2555.4+(412.3-409.5)+(-6.51627+(-1.051365--1.044225))+0-468.8--1.19543999999993</f>
        <v>2084.0720300000003</v>
      </c>
      <c r="Q259" s="3">
        <f>2550.9+(451.3-372.9)+(-5.203836+(-0.920652--0.760716))+0-535--1.09139999999998</f>
        <v>2090.0276279999998</v>
      </c>
      <c r="R259" s="3">
        <f>2558.4+(336.8-240.1)+(-10.438272+(-1.374144--0.979608))+0-719--2.93351999999994</f>
        <v>1928.2007119999998</v>
      </c>
      <c r="S259" s="3">
        <f>2504+(236.1-262.8)+(-3.83112+(-0.361233--0.402084))+0-548--0.838440000000032</f>
        <v>1926.3481710000001</v>
      </c>
      <c r="T259" s="3">
        <f>2476+(315-285.4)+(-1.26276+(-0.16065--0.145554))+0-576.4--0.293963999999941</f>
        <v>1928.2161079999996</v>
      </c>
      <c r="U259" s="3">
        <f>2472.7+(276.5-338.9)+(-1.261077+(-0.141015--0.172839))+0-482.5--0.246074999999951</f>
        <v>1926.8168219999998</v>
      </c>
      <c r="V259" s="3">
        <f>2516.9+(374.4-361.7)+(1.283619+(0.190944-0.184467))+0-577.6-0.294575999999941</f>
        <v>1952.9955200000002</v>
      </c>
      <c r="W259" s="3">
        <f>2858.3+(755.1-690.2)+(0+(0-0))+0-668.3-0</f>
        <v>2254.9000000000005</v>
      </c>
      <c r="X259" s="3">
        <f>2915+(659.7-732.9)+(-7.43325+(-1.682235--1.868895))+0-568.7--1.45018499999992</f>
        <v>2267.3035949999999</v>
      </c>
      <c r="Y259" s="3">
        <f>2817.1+(465.1-442.7)+(-5.746884+(-0.948804--0.903108))+0-636--1.29743999999997</f>
        <v>2199.00486</v>
      </c>
      <c r="Z259" s="3">
        <f>2812.1+(477.2-426)+(-2.868342+(-0.486744--0.43452))+0-746.8--0.761736000000119</f>
        <v>2114.3411700000001</v>
      </c>
      <c r="AA259" s="3">
        <f>2715.7+(368.4-330.5)+(-8.310042+(-1.127304--1.01133))+0-716.7--2.19310200000008</f>
        <v>2030.6670860000002</v>
      </c>
      <c r="AB259" s="3">
        <f>2554.1+(465.3-347.7)+(-6.512955+(-1.186515--0.886635))+0-731.9--1.86634499999989</f>
        <v>1934.8535099999995</v>
      </c>
      <c r="AC259" s="3">
        <f>2493.3+(472.6-460.1)+(-3.814749+(-0.723078--0.703953))+0-688.5--1.05340500000004</f>
        <v>1814.5195310000004</v>
      </c>
      <c r="AD259" s="2">
        <v>2296.1999999999998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2321.1+(457.1-312.2)+(0+(0-0))+0-779.1-0</f>
        <v>1686.9</v>
      </c>
      <c r="G260" s="3">
        <f>2135.7+(552.9-247.8)+(-2.178414+(-0.563958--0.252756))+0-826.3--0.842826000000132</f>
        <v>1612.85321</v>
      </c>
      <c r="H260" s="3">
        <f>1950.7+(598-194.9)+(0.994857+(0.30498-0.099399))+0-775.8-0.395657999999921</f>
        <v>1578.8047800000002</v>
      </c>
      <c r="I260" s="3">
        <f>1983.5+(596.9-161.5)+(3.034755+(0.913257-0.247095))+0-859.5-1.31503500000005</f>
        <v>1561.7858820000001</v>
      </c>
      <c r="J260" s="3">
        <f>1953.4+(548.4-193.2)+(0+(0-0))+0-762-0</f>
        <v>1546.6</v>
      </c>
      <c r="K260" s="3">
        <f>1944.4+(647.5-167.6)+(1.983288+(0.66045-0.170952))+0-848.6-0.865572000000135</f>
        <v>1577.3072139999999</v>
      </c>
      <c r="L260" s="3">
        <f>1971+(579.5-250)+(-2.01042+(-0.59109--0.255))+0-676.8--0.690336000000108</f>
        <v>1622.0438260000003</v>
      </c>
      <c r="M260" s="3">
        <f>2192.4+(769.4-432)+(2.236248+(0.784788-0.44064))+0-779.7-0.795294000000124</f>
        <v>1751.885102</v>
      </c>
      <c r="N260" s="3">
        <f>2382.5+(873.6-761.2)+(2.43015+(0.891072-0.776424))+0-568-0.579360000000091</f>
        <v>1928.8654379999998</v>
      </c>
      <c r="O260" s="3">
        <f>2519.8+(936.6-737.6)+(-7.710588+(-2.865996--2.257056))+0-669.9--2.04989400000008</f>
        <v>2042.6303660000001</v>
      </c>
      <c r="P260" s="3">
        <f>2721.4+(925.3-979.6)+(0+(0-0))+0-496.3-0</f>
        <v>2170.7999999999997</v>
      </c>
      <c r="Q260" s="3">
        <f>2684.5+(1014.7-1019.2)+(1.369095+(0.517497-0.519792))+0-510.4-0.260303999999948</f>
        <v>2170.7064959999998</v>
      </c>
      <c r="R260" s="3">
        <f>2667.7+(946.8-985.2)+(-2.721054+(-0.965736--1.004904))+0-594.5--0.606390000000095</f>
        <v>2032.724504</v>
      </c>
      <c r="S260" s="3">
        <f>2554.3+(808.9-759.9)+(-3.908079+(-1.237617--1.162647))+0-586.5--0.897345000000034</f>
        <v>2013.7142960000003</v>
      </c>
      <c r="T260" s="3">
        <f>2377.2+(727.2-488.8)+(2.424744+(0.741744-0.498576))+0-566.6-0.57793200000009</f>
        <v>2051.0899799999997</v>
      </c>
      <c r="U260" s="3">
        <f>2408+(626.5-481.6)+(-2.45616+(-0.63903--0.491232))+0-521--0.531420000000083</f>
        <v>2029.827462</v>
      </c>
      <c r="V260" s="3">
        <f>2517.9+(698.8-650)+(-1.284129+(-0.356388--0.3315))+0-513.3--0.261782999999948</f>
        <v>2052.352766</v>
      </c>
      <c r="W260" s="3">
        <f>2964.3+(1332.4-1302.7)+(1.511793+(0.679524-0.664377))+0-623.6-0.318035999999937</f>
        <v>2371.6089040000002</v>
      </c>
      <c r="X260" s="3">
        <f>2989.9+(1222.8-1261)+(-7.624245+(-3.11814--3.21555))+0-571--1.45604999999992</f>
        <v>2374.6292149999995</v>
      </c>
      <c r="Y260" s="3">
        <f>2970.6+(1107.6-1140.9)+(-6.060024+(-2.259504--2.327436))+0-636.2--1.29784799999997</f>
        <v>2296.4057560000001</v>
      </c>
      <c r="Z260" s="3">
        <f>2913.7+(828.4-934.6)+(-5.943948+(-1.689936--1.906584))+0-602.3--1.22869199999997</f>
        <v>2200.7013920000004</v>
      </c>
      <c r="AA260" s="3">
        <f>2815.5+(756.3-769.3)+(-4.307715+(-1.157139--1.177029))+0-641.8--0.981954000000037</f>
        <v>2157.3941290000002</v>
      </c>
      <c r="AB260" s="3">
        <f>2556.8+(679-555.8)+(-6.51984+(-1.73145--1.41729))+0-637--1.62434999999991</f>
        <v>2037.79035</v>
      </c>
      <c r="AC260" s="3">
        <f>2418+(660.5-519.7)+(-4.93272+(-1.34742--1.060188))+0-637.9--1.30131599999997</f>
        <v>1916.9813640000002</v>
      </c>
      <c r="AD260" s="2">
        <v>2379.8999999999996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2345.3+(629.6-532.2)+(-7.176618+(-1.926576--1.628532))+0-650--1.98900000000008</f>
        <v>1787.2143380000002</v>
      </c>
      <c r="G261" s="3">
        <f>2275+(661.2-572.1)+(1.16025+(0.337212-0.291771))+0-641.8-0.327317999999935</f>
        <v>1723.1783730000002</v>
      </c>
      <c r="H261" s="3">
        <f>2279.1+(651.1-544.1)+(0+(0-0))+0-676.5-0</f>
        <v>1709.6</v>
      </c>
      <c r="I261" s="3">
        <f>2278.1+(546.3-505.5)+(0+(0-0))+0-638-0</f>
        <v>1680.8999999999996</v>
      </c>
      <c r="J261" s="3">
        <f>2275.3+(557-496.9)+(4.641612+(1.13628-1.013676))+0-641-1.30763999999997</f>
        <v>1697.8565760000001</v>
      </c>
      <c r="K261" s="3">
        <f>2277+(581-548.8)+(4.64508+(1.18524-1.119552))+0-615.5-1.25561999999997</f>
        <v>1697.1551479999998</v>
      </c>
      <c r="L261" s="3">
        <f>2276.7+(716.1-596.8)+(2.322234+(0.730422-0.608736))+0-652.9-0.665958000000104</f>
        <v>1744.877962</v>
      </c>
      <c r="M261" s="3">
        <f>2325.2+(774.8-672.4)+(-2.371704+(-0.790296--0.685848))+0-580.5--0.592110000000093</f>
        <v>1845.2159579999998</v>
      </c>
      <c r="N261" s="3">
        <f>2460.3+(953.6-852.5)+(3.764259+(1.459008-1.304325))+0-549.5-0.840735000000032</f>
        <v>2014.9782069999999</v>
      </c>
      <c r="O261" s="3">
        <f>2810.5+(1267.1-1400.3)+(1.433355+(0.646221-0.714153))+0-568.1-0.289730999999942</f>
        <v>2110.2756920000006</v>
      </c>
      <c r="P261" s="3">
        <f>2748.4+(1289.3-1251.9)+(-1.401684+(-0.657543--0.638469))+0-578.7--0.295136999999941</f>
        <v>2205.9743790000002</v>
      </c>
      <c r="Q261" s="3">
        <f>2666.7+(1150.4-1078.9)+(-5.440068+(-2.346816--2.200956))+0-540.8--1.10323199999998</f>
        <v>2192.9173040000001</v>
      </c>
      <c r="R261" s="3">
        <f>2634.3+(918.6-855.3)+(-6.717465+(-2.34243--2.181015))+0-643.4--1.64066999999991</f>
        <v>2048.9617899999998</v>
      </c>
      <c r="S261" s="3">
        <f>2513.2+(702.9-707.8)+(-10.253856+(-2.867832--2.887824))+0-490.7--2.00205599999996</f>
        <v>2009.3681919999999</v>
      </c>
      <c r="T261" s="3">
        <f>2464.3+(885.8-705.3)+(1.256793+(0.451758-0.359703))+0-574.1-0.292790999999942</f>
        <v>2071.7560570000005</v>
      </c>
      <c r="U261" s="3">
        <f>2480.7+(771.9-623.1)+(-3.795471+(-1.181007--0.953343))+0-566.1--0.866133000000033</f>
        <v>2060.2429980000002</v>
      </c>
      <c r="V261" s="3">
        <f>2536.8+(784.5-671.7)+(-5.175072+(-1.60038--1.370268))+0-529.2--1.07956799999998</f>
        <v>2116.0743840000005</v>
      </c>
      <c r="W261" s="3">
        <f>2801.4+(1375.3-1165.3)+(-2.857428+(-1.402806--1.188606))+0-624.8--0.6372960000001</f>
        <v>2384.1656679999996</v>
      </c>
      <c r="X261" s="3">
        <f>2697.5+(1273.9-1050)+(-8.25435+(-3.898134--3.213))+0-576.8--1.76500800000007</f>
        <v>2337.4255239999998</v>
      </c>
      <c r="Y261" s="3">
        <f>2660.1+(1097-898.8)+(-5.426604+(-2.23788--1.833552))+0-592--1.20767999999997</f>
        <v>2261.6767480000003</v>
      </c>
      <c r="Z261" s="3">
        <f>2602.4+(1022.1-978.8)+(-6.63612+(-2.606355--2.49594))+0-492.1--1.25485499999993</f>
        <v>2148.1083200000003</v>
      </c>
      <c r="AA261" s="3">
        <f>2590.3+(1005-931.1)+(-3.963159+(-1.53765--1.424583))+0-556.1--0.850833000000032</f>
        <v>2104.8746070000002</v>
      </c>
      <c r="AB261" s="3">
        <f>2535.4+(1050.1-951.8)+(-5.172216+(-2.142204--1.941672))+0-610.6--1.24562399999997</f>
        <v>2018.972876</v>
      </c>
      <c r="AC261" s="3">
        <f>2502.3+(1126-1082.6)+(-1.276173+(-0.57426--0.552126))+0-620.9--0.316658999999937</f>
        <v>1923.818352</v>
      </c>
      <c r="AD261" s="2">
        <v>2421.1999999999998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2216.9+(936.5-696.2)+(-4.522476+(-1.91046--1.420248))+0-662.2--1.35088799999997</f>
        <v>1791.3381999999999</v>
      </c>
      <c r="G262" s="3">
        <f>1999.5+(1039.2-612.1)+(-2.03949+(-1.059984--0.624342))+0-704.9--0.718998000000112</f>
        <v>1719.9438659999998</v>
      </c>
      <c r="H262" s="3">
        <f>1836.1+(984.1-461.5)+(-0.936411+(-0.501891--0.235365))+0-686.5--0.35011499999993</f>
        <v>1671.3471779999998</v>
      </c>
      <c r="I262" s="3">
        <f>1823.8+(888.8-342.6)+(0.930138+(0.453288-0.174726))+0-713.1-0.363680999999928</f>
        <v>1657.7450190000004</v>
      </c>
      <c r="J262" s="3">
        <f>1820.2+(788.5-344.1)+(-3.713208+(-1.60854--0.701964))+0-605.6--1.23542399999997</f>
        <v>1655.61564</v>
      </c>
      <c r="K262" s="3">
        <f>1836.5+(856.6-311.3)+(1.87323+(0.873732-0.317526))+0-692.3-0.70614600000011</f>
        <v>1691.2232899999999</v>
      </c>
      <c r="L262" s="3">
        <f>1892.3+(838.8-342.8)+(-0.965073+(-0.427788--0.174828))+0-683.2--0.348431999999931</f>
        <v>1704.2303989999996</v>
      </c>
      <c r="M262" s="3">
        <f>2028.3+(772.2-378.5)+(-1.034433+(-0.393822--0.193035))+0-626.4--0.319463999999936</f>
        <v>1794.6842439999998</v>
      </c>
      <c r="N262" s="3">
        <f>2148.2+(867-394.7)+(3.286746+(1.32651-0.603891))+0-632.6-0.967878000000037</f>
        <v>1990.9414870000001</v>
      </c>
      <c r="O262" s="3">
        <f>2223.3+(1193.7-586.3)+(1.133883+(0.608787-0.299013))+0-719.6-0.366995999999927</f>
        <v>2112.1766610000004</v>
      </c>
      <c r="P262" s="3">
        <f>2375+(1252.5-793.5)+(4.845+(2.5551-1.61874))+0-647.7-1.32130799999997</f>
        <v>2190.7600520000001</v>
      </c>
      <c r="Q262" s="3">
        <f>2383+(1374.7-877.2)+(-3.64599+(-2.103291--1.342116))+0-700.5--1.07176500000004</f>
        <v>2176.6646000000001</v>
      </c>
      <c r="R262" s="3">
        <f>2388+(1137.4-819.9)+(-7.30728+(-3.480444--2.508894))+0-705--2.15730000000008</f>
        <v>1994.3784699999999</v>
      </c>
      <c r="S262" s="3">
        <f>2263+(1073.5-779.1)+(-2.30826+(-1.09497--0.794682))+0-632.6--0.645252000000101</f>
        <v>1922.8367040000001</v>
      </c>
      <c r="T262" s="3">
        <f>2257+(1126.5-726.8)+(-1.15107+(-0.574515--0.370668))+0-702.8--0.358427999999929</f>
        <v>1952.9035109999998</v>
      </c>
      <c r="U262" s="3">
        <f>2259+(1093.6-769.5)+(2.30418+(1.115472-0.78489))+0-682.8-0.696456000000109</f>
        <v>1902.238306</v>
      </c>
      <c r="V262" s="3">
        <f>2468+(887.3-928.6)+(-5.03472+(-1.810092--1.894344))+0-525.2--1.07140799999998</f>
        <v>1897.6209399999998</v>
      </c>
      <c r="W262" s="3">
        <f>2832+(1370.9-1368.1)+(1.44432+(0.699159-0.697731))+0-642-0.327419999999935</f>
        <v>2193.9183280000002</v>
      </c>
      <c r="X262" s="3">
        <f>2812+(1354.3-1287.7)+(-8.60472+(-4.144158--3.940362))+0-674.8--2.06488800000008</f>
        <v>2197.056372</v>
      </c>
      <c r="Y262" s="3">
        <f>2809+(1044-1192.9)+(-5.73036+(-2.12976--2.433516))+0-536--1.09343999999998</f>
        <v>2119.7668359999998</v>
      </c>
      <c r="Z262" s="3">
        <f>2753+(978.7-1074.8)+(-5.61612+(-1.996548--2.192592))+0-618.8--1.26235199999997</f>
        <v>2033.9422760000002</v>
      </c>
      <c r="AA262" s="3">
        <f>2623+(1143.5-1062.4)+(-2.67546+(-1.16637--1.083648))+0-706.7--0.720834000000113</f>
        <v>1995.362652</v>
      </c>
      <c r="AB262" s="3">
        <f>2565+(914.7-955.7)+(-1.30815+(-0.466497--0.487407))+0-639.1--0.325940999999935</f>
        <v>1883.9387009999998</v>
      </c>
      <c r="AC262" s="3">
        <f>2440+(817.6-668.7)+(-6.222+(-2.08488--1.705185))+0-742.4--1.89311999999989</f>
        <v>1841.7914250000001</v>
      </c>
      <c r="AD262" s="2">
        <v>2240.4000000000005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2096.7+(865.3-628.3)+(0+(0-0))+0-623.7-0</f>
        <v>1709.9999999999998</v>
      </c>
      <c r="G263" s="3">
        <f>1924.9+(993.1-522.5)+(-2.945097+(-1.519443--0.799425))+0-754.5--1.15438500000004</f>
        <v>1638.4892700000003</v>
      </c>
      <c r="H263" s="3">
        <f>1912.7+(874.3-550.1)+(0+(0-0))+0-654.3-0</f>
        <v>1582.6000000000001</v>
      </c>
      <c r="I263" s="3">
        <f>1911.2+(1027.9-578.3)+(1.949424+(1.048458-0.589866))+0-795.6-0.811512000000127</f>
        <v>1566.7965039999999</v>
      </c>
      <c r="J263" s="3">
        <f>1910.1+(885.5-600.6)+(-2.922453+(-1.354815--0.918918))+0-656.9--1.00505700000004</f>
        <v>1535.746707</v>
      </c>
      <c r="K263" s="3">
        <f>1910.7+(850.5-521.4)+(2.923371+(1.301265-0.797742))+0-693.9-1.06166700000004</f>
        <v>1548.2652270000003</v>
      </c>
      <c r="L263" s="3">
        <f>1911.6+(782.1-509.6)+(-1.949832+(-0.797742--0.519792))+0-671.5--0.684930000000107</f>
        <v>1511.0571480000001</v>
      </c>
      <c r="M263" s="3">
        <f>1928.1+(535.1-389.8)+(-5.899986+(-1.637406--1.192788))+0-613.3--1.87669800000007</f>
        <v>1455.6320940000003</v>
      </c>
      <c r="N263" s="3">
        <f>2039.6+(341.1-312.2)+(-3.120588+(-0.521883--0.477666))+0-557.1--0.852363000000032</f>
        <v>1509.0875580000002</v>
      </c>
      <c r="O263" s="3">
        <f>2194.3+(389.9-353.6)+(0+(0-0))+0-619.2-0</f>
        <v>1611.4000000000003</v>
      </c>
      <c r="P263" s="3">
        <f>2205.4+(452.8-400.3)+(0+(0-0))+0-576.6-0</f>
        <v>1681.3000000000002</v>
      </c>
      <c r="Q263" s="3">
        <f>2201.7+(507.1-453.5)+(-2.245734+(-0.517242--0.46257))+0-579.6--0.591192000000092</f>
        <v>1673.9907860000001</v>
      </c>
      <c r="R263" s="3">
        <f>2058.8+(680.2-479.8)+(-4.199952+(-1.387608--0.978792))+0-602.5--1.22909999999997</f>
        <v>1653.3203320000002</v>
      </c>
      <c r="S263" s="3">
        <f>2061.1+(572.2-408.9)+(-1.051161+(-0.291822--0.208539))+0-617.2--0.314771999999937</f>
        <v>1606.3803280000002</v>
      </c>
      <c r="T263" s="3">
        <f>2064.6+(475.9-370.2)+(-7.370622+(-1.698963--1.321614))+0-586.2--2.09273400000001</f>
        <v>1578.444763</v>
      </c>
      <c r="U263" s="3">
        <f>2073.6+(373.4-328.7)+(1.057536+(0.190434-0.167637))+0-537.9-0.274328999999945</f>
        <v>1581.2060039999997</v>
      </c>
      <c r="V263" s="3">
        <f>2140.9+(471.9-409.9)+(-1.091859+(-0.240669--0.209049))+0-548--0.279479999999944</f>
        <v>1654.0560010000002</v>
      </c>
      <c r="W263" s="3">
        <f>2426.1+(720-690.4)+(0+(0-0))+0-529.4-0</f>
        <v>1926.2999999999997</v>
      </c>
      <c r="X263" s="3">
        <f>2477.5+(793-691.6)+(-3.790575+(-1.21329--1.058148))+0-594.1--0.908973000000034</f>
        <v>1981.7632560000002</v>
      </c>
      <c r="Y263" s="3">
        <f>2478.6+(710.6-684.1)+(-3.792258+(-1.087218--1.046673))+0-551.2--0.843336000000032</f>
        <v>1950.9105330000002</v>
      </c>
      <c r="Z263" s="3">
        <f>2476.4+(618-624.9)+(-6.31482+(-1.5759--1.593495))+0-543--1.38464999999992</f>
        <v>1921.5874250000002</v>
      </c>
      <c r="AA263" s="3">
        <f>2475+(633-602.2)+(0+(0-0))+0-602.2-0</f>
        <v>1903.6000000000001</v>
      </c>
      <c r="AB263" s="3">
        <f>2373.7+(707.8-617.3)+(-4.842348+(-1.443912--1.259292))+0-615.1--1.25480399999997</f>
        <v>1845.3278359999997</v>
      </c>
      <c r="AC263" s="3">
        <f>2234.9+(617.7-465.1)+(-7.978593+(-2.205189--1.660407))+0-637.6--2.27623200000001</f>
        <v>1743.6528569999998</v>
      </c>
      <c r="AD263" s="2">
        <v>2004.6999999999998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1996.5+(502.6-301.9)+(5.091075+(1.28163-0.769845))+0-550.5-1.40377499999992</f>
        <v>1650.8990849999998</v>
      </c>
      <c r="G264" s="3">
        <f>1944.6+(532-268.5)+(1.983492+(0.54264-0.27387))+0-632.9-0.645558000000101</f>
        <v>1576.8067039999996</v>
      </c>
      <c r="H264" s="3">
        <f>1938.5+(522.4-243.4)+(-2.965905+(-0.799272--0.372402))+0-653.4--0.999702000000038</f>
        <v>1561.7069270000002</v>
      </c>
      <c r="I264" s="3">
        <f>1933+(533.9-279.8)+(0+(0-0))+0-631.6-0</f>
        <v>1555.5</v>
      </c>
      <c r="J264" s="3">
        <f>1928.7+(528-309.5)+(0.983637+(0.26928-0.157845))+0-603.5-0.307784999999939</f>
        <v>1544.4872869999999</v>
      </c>
      <c r="K264" s="3">
        <f>1927.4+(625-318.6)+(3.931896+(1.275-0.649944))+0-656.3-1.33885199999997</f>
        <v>1580.7181000000003</v>
      </c>
      <c r="L264" s="3">
        <f>2068.1+(447.2-326)+(3.164193+(0.684216-0.49878))+0-550.3-0.841959000000032</f>
        <v>1641.5076699999995</v>
      </c>
      <c r="M264" s="3">
        <f>2313.6+(354.1-318.9)+(-3.539808+(-0.541773--0.487917))+0-595.6--0.911268000000034</f>
        <v>1750.5176040000003</v>
      </c>
      <c r="N264" s="3">
        <f>2704.7+(310.1-568.5)+(1.379397+(0.158151-0.289935))+0-511.9-0.261068999999948</f>
        <v>1935.3865439999997</v>
      </c>
      <c r="O264" s="3">
        <f>3222.1+(356.2-816.5)+(-6.573084+(-0.726648--1.66566))+0-716.7--1.46206799999997</f>
        <v>2040.9279959999999</v>
      </c>
      <c r="P264" s="3">
        <f>3266.4+(274.5-974.7)+(3.331728+(0.27999-0.994194))+0-512.6-0.522852000000082</f>
        <v>2055.6946719999996</v>
      </c>
      <c r="Q264" s="3">
        <f>3402.8+(476.5-1040)+(-3.470856+(-0.48603--1.0608))+0-705.3--0.719406000000112</f>
        <v>2131.8233200000004</v>
      </c>
      <c r="R264" s="3">
        <f>3160.7+(273.2-943)+(-4.835871+(-0.417996--1.44279))+0-542.4--0.829872000000031</f>
        <v>1945.5187949999997</v>
      </c>
      <c r="S264" s="3">
        <f>3015.3+(341.8-741.2)+(-1.537803+(-0.174318--0.378012))+0-642.3--0.327572999999935</f>
        <v>1972.5934640000003</v>
      </c>
      <c r="T264" s="3">
        <f>2985.2+(351.5-728.8)+(1.522452+(0.179265-0.371688))+0-605.7-0.308906999999939</f>
        <v>2003.2211219999999</v>
      </c>
      <c r="U264" s="3">
        <f>2927+(376.9-688.6)+(-1.49277+(-0.192219--0.351186))+0-629.2--0.320891999999936</f>
        <v>1985.0870890000001</v>
      </c>
      <c r="V264" s="3">
        <f>3203.4+(367.3-824.1)+(1.633734+(0.187323-0.420291))+0-666.2-0.339761999999932</f>
        <v>2081.4610040000002</v>
      </c>
      <c r="W264" s="3">
        <f>3610+(698-1372.6)+(-3.6822+(-0.71196--1.400052))+0-607.2--0.619344000000097</f>
        <v>2325.8252360000001</v>
      </c>
      <c r="X264" s="3">
        <f>3707.1+(712.1-1437.3)+(-3.781242+(-0.726342--1.466046))+0-652.2--0.665244000000104</f>
        <v>2327.3237060000006</v>
      </c>
      <c r="Y264" s="3">
        <f>3793.1+(738.9-1644.9)+(-7.737924+(-1.507356--3.355596))+0-627.6--1.28030399999997</f>
        <v>2254.8906199999997</v>
      </c>
      <c r="Z264" s="3">
        <f>3610+(511.6-1367.8)+(0+(0-0))+0-612.3-0</f>
        <v>2141.5</v>
      </c>
      <c r="AA264" s="3">
        <f>3400.8+(413.5-995.1)+(-12.140856+(-1.476195--3.552507))+0-718.6--2.56540200000001</f>
        <v>2093.1008580000007</v>
      </c>
      <c r="AB264" s="3">
        <f>3179.2+(527.7-942.8)+(-3.242784+(-0.538254--0.961656))+0-731.4--0.746028000000117</f>
        <v>2030.6266459999997</v>
      </c>
      <c r="AC264" s="3">
        <f>2967.3+(339.3-780.2)+(-6.053292+(-0.692172--1.591608))+0-649.2--1.32436799999997</f>
        <v>1873.3705120000002</v>
      </c>
      <c r="AD264" s="2">
        <v>2429.3000000000002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2674.5+(405.5-673.4)+(-5.45598+(-0.82722--1.373736))+0-660.1--1.34660399999997</f>
        <v>1742.9371400000002</v>
      </c>
      <c r="G265" s="3">
        <f>2333+(454.4-527)+(0+(0-0))+0-553.4-0</f>
        <v>1707</v>
      </c>
      <c r="H265" s="3">
        <f>2292.7+(407.2-433.2)+(-4.677108+(-0.830688--0.883728))+0-584.8--1.19299199999997</f>
        <v>1678.4689239999998</v>
      </c>
      <c r="I265" s="3">
        <f>2287.9+(367.5-335.8)+(4.667316+(0.7497-0.685032))+0-642.7-1.31110799999997</f>
        <v>1680.320876</v>
      </c>
      <c r="J265" s="3">
        <f>2298.4+(335.6-437.7)+(1.172184+(0.171156-0.223227))+0-551.8-0.281417999999944</f>
        <v>1645.3386950000001</v>
      </c>
      <c r="K265" s="3">
        <f>2320.8+(472.5-382.6)+(0+(0-0))+0-715.3-0</f>
        <v>1695.4000000000003</v>
      </c>
      <c r="L265" s="3">
        <f>2502.2+(273.8-511.5)+(0+(0-0))+0-575.5-0</f>
        <v>1689</v>
      </c>
      <c r="M265" s="3">
        <f>2658.6+(250.5-450)+(2.711772+(0.25551-0.459))+0-654.8-0.667896000000104</f>
        <v>1806.1403859999996</v>
      </c>
      <c r="N265" s="3">
        <f>3220+(152.3-871.2)+(-3.2844+(-0.155346--0.888624))+0-508.3--0.518466000000081</f>
        <v>1990.7673440000001</v>
      </c>
      <c r="O265" s="3">
        <f>3255+(337.1-776.7)+(4.98015+(0.515763-1.188351))+0-665.9-1.01882700000004</f>
        <v>2152.7887350000001</v>
      </c>
      <c r="P265" s="3">
        <f>3238.6+(399.7-951.5)+(-1.651686+(-0.203847--0.485265))+0-543.5--0.277184999999945</f>
        <v>2142.206917</v>
      </c>
      <c r="Q265" s="3">
        <f>3198+(539.7-890.8)+(-9.78588+(-1.651482--2.725848))+0-663.8--2.03122800000008</f>
        <v>2176.4197140000001</v>
      </c>
      <c r="R265" s="3">
        <f>3015.2+(350.6-744.5)+(3.075504+(0.357612-0.75939))+0-616.8-0.629136000000098</f>
        <v>2006.5445899999997</v>
      </c>
      <c r="S265" s="3">
        <f>2955.5+(298.7-696)+(0+(0-0))+0-563.2-0</f>
        <v>1994.9999999999998</v>
      </c>
      <c r="T265" s="3">
        <f>2840.6+(403.1-547.1)+(0+(0-0))+0-638.6-0</f>
        <v>2058</v>
      </c>
      <c r="U265" s="3">
        <f>2886.1+(327.2-792.4)+(-2.943822+(-0.333744--0.808248))+0-403.2--0.411264000000064</f>
        <v>2015.6419460000002</v>
      </c>
      <c r="V265" s="3">
        <f>2999.1+(438-867.3)+(0+(0-0))+0-512.6-0</f>
        <v>2057.2000000000003</v>
      </c>
      <c r="W265" s="3">
        <f>3399.6+(823.7-1426.4)+(-1.733796+(-0.420087--0.727464))+0-455.9--0.232508999999954</f>
        <v>2339.8060899999996</v>
      </c>
      <c r="X265" s="3">
        <f>3481.9+(893.6-1571)+(-8.878845+(-2.27868--4.00605))+0-444.7--1.13398499999994</f>
        <v>2353.78251</v>
      </c>
      <c r="Y265" s="3">
        <f>3368+(782.8-1282.2)+(-6.87072+(-1.596912--2.615688))+0-542--1.10567999999998</f>
        <v>2321.853736</v>
      </c>
      <c r="Z265" s="3">
        <f>3200.4+(607.1-1021.7)+(-3.264408+(-0.619242--1.042134))+0-581.7--0.593334000000093</f>
        <v>2201.8518180000001</v>
      </c>
      <c r="AA265" s="3">
        <f>3079.5+(482.9-815.5)+(-3.14109+(-0.492558--0.83181))+0-630.4--0.643008000000101</f>
        <v>2114.3411700000001</v>
      </c>
      <c r="AB265" s="3">
        <f>3074.7+(417.6-800.2)+(-4.704291+(-0.638928--1.224306))+0-667.4--1.02112200000004</f>
        <v>2021.6022090000001</v>
      </c>
      <c r="AC265" s="3">
        <f>2969.5+(277.9-760.6)+(-7.572225+(-0.708645--1.93953))+0-590.3--1.50526499999991</f>
        <v>1891.6639250000003</v>
      </c>
      <c r="AD265" s="2">
        <v>2397.1999999999998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2494.2+(351.8-411.3)+(2.544084+(0.358836-0.419526))+0-635.1-0.647802000000101</f>
        <v>1801.4355919999996</v>
      </c>
      <c r="G266" s="3">
        <f>2419.7+(275.5-388.5)+(-2.468094+(-0.28101--0.39627))+0-589.5--0.601290000000094</f>
        <v>1715.4484560000001</v>
      </c>
      <c r="H266" s="3">
        <f>2420.8+(231.3-359)+(-2.469216+(-0.235926--0.36618))+0-604.4--0.616488000000096</f>
        <v>1686.9775260000006</v>
      </c>
      <c r="I266" s="3">
        <f>2408.9+(276.7-303.6)+(3.685617+(0.423351-0.464508))+0-667.8-1.02173400000004</f>
        <v>1716.8227259999999</v>
      </c>
      <c r="J266" s="3">
        <f>2409+(230.1-328.5)+(1.22859+(0.117351-0.167535))+0-610.7-0.311456999999938</f>
        <v>1700.7669489999998</v>
      </c>
      <c r="K266" s="3">
        <f>2453.3+(302.9-325.9)+(-2.502366+(-0.308958--0.332418))+0-710--0.724200000000113</f>
        <v>1718.5452940000005</v>
      </c>
      <c r="L266" s="3">
        <f>2534.1+(219.5-403.5)+(-1.292391+(-0.111945--0.205785))+0-582.2--0.296921999999941</f>
        <v>1766.9983709999999</v>
      </c>
      <c r="M266" s="3">
        <f>2866.1+(169.1-558)+(-1.461711+(-0.086241--0.28458))+0-605.9--0.309008999999939</f>
        <v>1870.3456369999997</v>
      </c>
      <c r="N266" s="3">
        <f>3098.1+(244.8-716.9)+(1.580031+(0.124848-0.365619))+0-567.6-0.289475999999942</f>
        <v>2059.4497840000004</v>
      </c>
      <c r="O266" s="3">
        <f>3153.3+(368.3-768.7)+(6.432732+(0.751332-1.568148))+0-609.7-1.24378799999997</f>
        <v>2147.5721280000007</v>
      </c>
      <c r="P266" s="3">
        <f>3144.2+(528.9-813)+(-1.603542+(-0.269739--0.41463))+0-668.1--0.340730999999932</f>
        <v>2190.8820799999999</v>
      </c>
      <c r="Q266" s="3">
        <f>3127.2+(583.2-925.3)+(-3.189744+(-0.594864--0.943806))+0-609.7--0.621894000000097</f>
        <v>2173.1810919999998</v>
      </c>
      <c r="R266" s="3">
        <f>3111.2+(465.2-854.4)+(-3.173424+(-0.474504--0.871488))+0-689.3--0.70308600000011</f>
        <v>2030.6266460000002</v>
      </c>
      <c r="S266" s="3">
        <f>3101.5+(359.7-803.1)+(1.581765+(0.183447-0.409581))+0-640.5-0.326654999999935</f>
        <v>2018.628976</v>
      </c>
      <c r="T266" s="3">
        <f>3097.3+(446.4-836.3)+(4.738869+(0.682992-1.279539))+0-654.6-1.00153800000004</f>
        <v>2055.9407840000003</v>
      </c>
      <c r="U266" s="3">
        <f>3101.1+(451.2-855.2)+(1.581561+(0.230112-0.436152))+0-657.5-0.335324999999933</f>
        <v>2040.6401959999998</v>
      </c>
      <c r="V266" s="3">
        <f>3314.3+(379.9-1076)+(-1.690293+(-0.193749--0.54876))+0-570.8--0.291107999999942</f>
        <v>2046.3558260000002</v>
      </c>
      <c r="W266" s="3">
        <f>3530.1+(1052.8-1537.2)+(-3.600702+(-1.073856--1.567944))+0-668.3--0.681666000000106</f>
        <v>2374.9750520000002</v>
      </c>
      <c r="X266" s="3">
        <f>3574.6+(1101.6-1507.9)+(1.823046+(0.561816-0.769029))+0-761.5-0.388364999999923</f>
        <v>2408.0274679999998</v>
      </c>
      <c r="Y266" s="3">
        <f>3506.9+(810.2-1362.2)+(-1.788519+(-0.413202--0.694722))+0-659.4--0.336293999999933</f>
        <v>2294.3292949999995</v>
      </c>
      <c r="Z266" s="3">
        <f>3441.4+(613.2-1198.6)+(-12.285798+(-2.189124--4.279002))+0-650--2.32050000000001</f>
        <v>2198.1245799999997</v>
      </c>
      <c r="AA266" s="3">
        <f>3195.2+(375.1-1043.3)+(-8.14776+(-0.956505--2.660415))+0-448.7--1.14418499999993</f>
        <v>2073.0003350000002</v>
      </c>
      <c r="AB266" s="3">
        <f>3111.7+(407.8-980.4)+(0+(0-0))+0-542.4-0</f>
        <v>1996.6999999999998</v>
      </c>
      <c r="AC266" s="3">
        <f>2744.2+(361.8-645)+(-4.198626+(-0.553554--0.98685))+0-553--0.846090000000032</f>
        <v>1905.0807599999998</v>
      </c>
      <c r="AD266" s="2">
        <v>2380.8000000000002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2245.1+(480.6-355.3)+(-4.580004+(-0.980424--0.724812))+0-582.3--1.18789199999997</f>
        <v>1784.4522760000002</v>
      </c>
      <c r="G267" s="3">
        <f>2230.1+(413.7-350.2)+(-2.274702+(-0.421974--0.357204))+0-563.7--0.57497400000009</f>
        <v>1728.1355019999999</v>
      </c>
      <c r="H267" s="3">
        <f>2225.7+(411.6-267.6)+(-4.540428+(-0.839664--0.545904))+0-643.2--1.31212799999997</f>
        <v>1722.97794</v>
      </c>
      <c r="I267" s="3">
        <f>2227.2+(310.8-320.3)+(1.135872+(0.158508-0.163353))+0-505.4-0.257753999999949</f>
        <v>1713.1732729999997</v>
      </c>
      <c r="J267" s="3">
        <f>2228+(346.5-236.8)+(0+(0-0))+0-609-0</f>
        <v>1728.6999999999998</v>
      </c>
      <c r="K267" s="3">
        <f>2228.1+(405.3-215.9)+(3.408993+(0.620109-0.330327))+0-666.6-1.01989800000004</f>
        <v>1753.5788769999999</v>
      </c>
      <c r="L267" s="3">
        <f>2230.7+(497.5-291.5)+(0+(0-0))+0-620-0</f>
        <v>1816.6999999999998</v>
      </c>
      <c r="M267" s="3">
        <f>2317.6+(443.5-278)+(2.363952+(0.45237-0.28356))+0-558.2-0.569364000000089</f>
        <v>1926.8633979999995</v>
      </c>
      <c r="N267" s="3">
        <f>2682.3+(579.1-498.1)+(2.735946+(0.590682-0.508062))+0-624.6-0.6370920000001</f>
        <v>2140.8814740000003</v>
      </c>
      <c r="O267" s="3">
        <f>2861+(651-813.6)+(0+(0-0))+0-508.2-0</f>
        <v>2190.2000000000003</v>
      </c>
      <c r="P267" s="3">
        <f>2932.1+(1011.6-1031.5)+(0+(0-0))+0-630-0</f>
        <v>2282.1999999999998</v>
      </c>
      <c r="Q267" s="3">
        <f>3028.5+(953.1-1143.7)+(-4.633605+(-1.458243--1.749861))+0-573.4--0.877302000000033</f>
        <v>2261.0353150000001</v>
      </c>
      <c r="R267" s="3">
        <f>2900.2+(708.9-903.4)+(-1.479102+(-0.361539--0.460734))+0-587.9--0.29982899999994</f>
        <v>2116.7199219999998</v>
      </c>
      <c r="S267" s="3">
        <f>2805.5+(438-595.7)+(-5.72322+(-0.89352--1.215228))+0-579--1.18115999999997</f>
        <v>2064.5796480000004</v>
      </c>
      <c r="T267" s="3">
        <f>2772.1+(614.1-617)+(-1.413771+(-0.313191--0.31467))+0-669.8--0.341597999999932</f>
        <v>2098.3293059999996</v>
      </c>
      <c r="U267" s="3">
        <f>2700.2+(663.6-818)+(2.754204+(0.676872-0.83436))+0-472.5-0.481950000000075</f>
        <v>2075.4147659999999</v>
      </c>
      <c r="V267" s="3">
        <f>2816.7+(962.1-1186.3)+(-2.873034+(-0.981342--1.210026))+0-508.8--0.518976000000081</f>
        <v>2081.5746260000001</v>
      </c>
      <c r="W267" s="3">
        <f>3180.5+(1246.1-1487.8)+(4.866165+(1.906533-2.276334))+0-636-0.973080000000037</f>
        <v>2306.3232840000001</v>
      </c>
      <c r="X267" s="3">
        <f>3230.4+(1227.5-1486.6)+(-6.590016+(-2.5041--3.032664))+0-664.5--1.35557999999997</f>
        <v>2302.0941280000002</v>
      </c>
      <c r="Y267" s="3">
        <f>2994.8+(920.1-1116.8)+(-4.582044+(-1.407753--1.708704))+0-590.9--0.904077000000034</f>
        <v>2203.8229840000004</v>
      </c>
      <c r="Z267" s="3">
        <f>2922+(1174.7-1408.1)+(2.98044+(1.198194-1.436262))+0-560.8-0.572016000000089</f>
        <v>2129.9703560000007</v>
      </c>
      <c r="AA267" s="3">
        <f>2751.3+(946.5-978.1)+(-7.015815+(-2.413575--2.494155))+0-654.1--1.66795499999991</f>
        <v>2060.3327200000003</v>
      </c>
      <c r="AB267" s="3">
        <f>2617.3+(1032.5-992.5)+(-1.334823+(-0.526575--0.506175))+0-685.6--0.34965599999993</f>
        <v>1970.6944330000001</v>
      </c>
      <c r="AC267" s="3">
        <f>2519.5+(869.2-979.4)+(-6.424725+(-2.21646--2.49747))+0-593--1.51214999999991</f>
        <v>1811.668435</v>
      </c>
      <c r="AD267" s="2">
        <v>2422.6000000000004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2285.8+(895.5-854.3)+(-3.497274+(-1.370115--1.307079))+0-598--0.914940000000035</f>
        <v>1726.3546300000003</v>
      </c>
      <c r="G268" s="3">
        <f>2159.6+(936.5-703.7)+(-3.304188+(-1.432845--1.076661))+0-701.8--1.07375400000004</f>
        <v>1688.0133819999999</v>
      </c>
      <c r="H268" s="3">
        <f>2071.3+(823.7-661.9)+(1.056363+(0.420087-0.337569))+0-585-0.298349999999941</f>
        <v>1648.9405310000002</v>
      </c>
      <c r="I268" s="3">
        <f>2082+(749.9-667)+(-5.3091+(-1.912245--1.70085))+0-560.8--1.43003999999992</f>
        <v>1600.0095449999999</v>
      </c>
      <c r="J268" s="3">
        <f>2077.8+(779.5-593.4)+(4.238712+(1.59018-1.210536))+0-620.3-1.26541199999997</f>
        <v>1646.9529440000001</v>
      </c>
      <c r="K268" s="3">
        <f>2077.4+(725.6-709.3)+(2.118948+(0.740112-0.723486))+0-482.9-0.492558000000077</f>
        <v>1612.4430159999999</v>
      </c>
      <c r="L268" s="3">
        <f>2243.9+(807.5-752.8)+(2.288778+(0.82365-0.767856))+0-584.8-0.596496000000093</f>
        <v>1715.5480760000003</v>
      </c>
      <c r="M268" s="3">
        <f>2504.7+(571-871)+(2.554794+(0.58242-0.88842))+0-446.5-0.455430000000071</f>
        <v>1759.9933639999999</v>
      </c>
      <c r="N268" s="3">
        <f>2921.2+(741.9-1210.3)+(2.979624+(0.756738-1.234506))+0-514.8-0.525096000000082</f>
        <v>1939.9767599999996</v>
      </c>
      <c r="O268" s="3">
        <f>3161.1+(1109.5-1682.5)+(1.612161+(0.565845-0.858075))+0-552.8-0.281927999999944</f>
        <v>2036.3380030000001</v>
      </c>
      <c r="P268" s="3">
        <f>3038.4+(1058.5-1559.4)+(-7.74792+(-2.699175--3.97647))+0-477.1--1.21660499999993</f>
        <v>2055.1459800000002</v>
      </c>
      <c r="Q268" s="3">
        <f>2955.2+(973.1-1401.5)+(-4.521456+(-1.488843--2.144295))+0-399--0.610470000000023</f>
        <v>2124.5444659999998</v>
      </c>
      <c r="R268" s="3">
        <f>2953.7+(734.9-1341.3)+(-7.531935+(-1.873995--3.420315))+0-452.9--1.15489499999993</f>
        <v>1889.5692799999995</v>
      </c>
      <c r="S268" s="3">
        <f>2841.9+(562.4-1060.6)+(-2.898738+(-0.573648--1.081812))+0-440--0.44880000000007</f>
        <v>1901.7582260000004</v>
      </c>
      <c r="T268" s="3">
        <f>2884.3+(620.9-1008.9)+(-1.470993+(-0.316659--0.514539))+0-519.2--0.264791999999947</f>
        <v>1976.0916789999999</v>
      </c>
      <c r="U268" s="3">
        <f>2889.5+(751.3-943.9)+(-2.94729+(-0.766326--0.962778))+0-699.5--0.713490000000112</f>
        <v>1995.3626520000003</v>
      </c>
      <c r="V268" s="3">
        <f>3053.3+(543.1-1197.3)+(-4.671549+(-0.830943--1.831869))+0-366.3--0.560439000000021</f>
        <v>2029.6898160000005</v>
      </c>
      <c r="W268" s="3">
        <f>3392.6+(954.4-1439.6)+(6.920904+(1.946976-2.936784))+0-595.2-1.21420799999997</f>
        <v>2316.9168880000002</v>
      </c>
      <c r="X268" s="3">
        <f>3424.2+(920.3-1478.6)+(-8.73171+(-2.346765--3.77043))+0-469.2--1.19645999999993</f>
        <v>2390.5884149999997</v>
      </c>
      <c r="Y268" s="3">
        <f>3353.6+(917.3-1390.2)+(-3.420672+(-0.935646--1.418004))+0-554.6--0.565692000000088</f>
        <v>2323.727378</v>
      </c>
      <c r="Z268" s="3">
        <f>3356.1+(751-1261.1)+(-3.423222+(-0.76602--1.286322))+0-672.5--0.685950000000107</f>
        <v>2171.2830300000001</v>
      </c>
      <c r="AA268" s="3">
        <f>3361.5+(596.3-1195.3)+(-6.85746+(-1.216452--2.438412))+0-670.1--1.36700399999997</f>
        <v>2088.1315040000004</v>
      </c>
      <c r="AB268" s="3">
        <f>3361.6+(647.5-1234.6)+(-6.857664+(-1.3209--2.518584))+0-752.2--1.53448799999997</f>
        <v>2018.1745080000001</v>
      </c>
      <c r="AC268" s="3">
        <f>3138.8+(416.4-1124.3)+(-1.600788+(-0.212364--0.573393))+0-560.7--0.285956999999943</f>
        <v>1869.246198</v>
      </c>
      <c r="AD268" s="2">
        <v>2339.3999999999996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3067.1+(316.4-848.8)+(-6.256884+(-0.645456--1.731552))+0-710.9--1.45023599999997</f>
        <v>1820.0794479999997</v>
      </c>
      <c r="G269" s="3">
        <f>2627.1+(336.5-663.2)+(-2.679642+(-0.34323--0.676464))+0-724.8--0.739296000000116</f>
        <v>1573.992888</v>
      </c>
      <c r="H269" s="3">
        <f>2518.6+(317.2-563.2)+(-2.568972+(-0.323544--0.574464))+0-677.1--0.690642000000108</f>
        <v>1593.8725899999999</v>
      </c>
      <c r="I269" s="3">
        <f>2454.3+(313.1-489.3)+(-3.755079+(-0.479043--0.748629))+0-628.5--0.961605000000036</f>
        <v>1647.0761120000002</v>
      </c>
      <c r="J269" s="3">
        <f>2432.9+(292.1-415.5)+(-1.240779+(-0.148971--0.211905))+0-653.8--0.333437999999934</f>
        <v>1654.8555929999998</v>
      </c>
      <c r="K269" s="3">
        <f>2432.2+(275.9-388)+(6.20211+(0.703545-0.9894))+0-639.9-1.63174499999991</f>
        <v>1684.48451</v>
      </c>
      <c r="L269" s="3">
        <f>2518.9+(251.7-558.1)+(-10.277112+(-1.026936--2.277048))+0-544.9--2.22319199999995</f>
        <v>1660.7961919999998</v>
      </c>
      <c r="M269" s="3">
        <f>2577.9+(266.5-632.9)+(1.314729+(0.135915-0.322779))+0-472.4-0.240923999999952</f>
        <v>1739.9869409999999</v>
      </c>
      <c r="N269" s="3">
        <f>2809.7+(376.8-723.4)+(4.298841+(0.576504-1.106802))+0-549.8-0.841194000000032</f>
        <v>1916.227349</v>
      </c>
      <c r="O269" s="3">
        <f>2949.2+(625.6-946.5)+(4.512276+(0.957168-1.448145))+0-605.7-0.926721000000035</f>
        <v>2025.6945779999996</v>
      </c>
      <c r="P269" s="3">
        <f>3080.1+(830.4-1211.7)+(0+(0-0))+0-604.6-0</f>
        <v>2094.1999999999998</v>
      </c>
      <c r="Q269" s="3">
        <f>3089.3+(783.7-1228.7)+(1.575543+(0.399687-0.626637))+0-561.6-0.286415999999943</f>
        <v>2083.7621770000005</v>
      </c>
      <c r="R269" s="3">
        <f>3058.7+(689.3-1170.2)+(-6.239748+(-1.406172--2.387208))+0-630.7--1.28662799999997</f>
        <v>1943.1279159999999</v>
      </c>
      <c r="S269" s="3">
        <f>2836+(442.5-802.7)+(0+(0-0))+0-633-0</f>
        <v>1842.8000000000002</v>
      </c>
      <c r="T269" s="3">
        <f>2833.9+(456.1-693.2)+(4.335867+(0.697833-1.060596))+0-726-1.11078000000004</f>
        <v>1873.6623240000004</v>
      </c>
      <c r="U269" s="3">
        <f>2835.7+(362.2-747.1)+(1.446207+(0.184722-0.381021))+0-634.4-0.323543999999936</f>
        <v>1817.3263639999996</v>
      </c>
      <c r="V269" s="3">
        <f>2906.9+(412.4-828.2)+(-1.482519+(-0.210324--0.422382))+0-647.1--0.330020999999934</f>
        <v>1843.0595599999999</v>
      </c>
      <c r="W269" s="3">
        <f>3196+(1034.7-1451.1)+(1.62996+(0.527697-0.740061))+0-642.2-0.327521999999935</f>
        <v>2138.4900739999998</v>
      </c>
      <c r="X269" s="3">
        <f>3297.2+(1109.1-1610.3)+(-3.363144+(-1.131282--1.642506))+0-642.2--0.655044000000102</f>
        <v>2151.6031240000002</v>
      </c>
      <c r="Y269" s="3">
        <f>3281.6+(935.8-1458.5)+(-8.36808+(-2.38629--3.719175))+0-656.5--1.6740749999999</f>
        <v>2097.0388799999996</v>
      </c>
      <c r="Z269" s="3">
        <f>3187+(564.3-1145.3)+(-1.62537+(-0.287793--0.584103))+0-595.3--0.30360299999994</f>
        <v>2009.6745429999999</v>
      </c>
      <c r="AA269" s="3">
        <f>3040.3+(435.2-909)+(-4.651659+(-0.665856--1.39077))+0-606.1--0.927333000000035</f>
        <v>1957.400588</v>
      </c>
      <c r="AB269" s="3">
        <f>2966.1+(456.6-883.6)+(-3.025422+(-0.465732--0.901272))+0-638.4--0.651168000000102</f>
        <v>1898.7612859999997</v>
      </c>
      <c r="AC269" s="3">
        <f>2888.6+(286.8-754.1)+(-4.419558+(-0.438804--1.153773))+0-604.9--0.925497000000035</f>
        <v>1813.6209079999996</v>
      </c>
      <c r="AD269" s="2">
        <v>2194.6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2824.3+(242.8-680.1)+(-7.201965+(-0.61914--1.734255))+0-673.4--1.7171699999999</f>
        <v>1709.2303199999997</v>
      </c>
      <c r="G270" s="3">
        <f>2530+(146.7-497.2)+(-3.8709+(-0.224451--0.760716))+0-533.4--0.816102000000031</f>
        <v>1643.5814669999997</v>
      </c>
      <c r="H270" s="3">
        <f>2430.7+(178.6-371.6)+(-6.198285+(-0.45543--0.94758))+0-606.8--1.54733999999991</f>
        <v>1626.7412049999998</v>
      </c>
      <c r="I270" s="3">
        <f>2434.3+(129.2-342.8)+(-2.482986+(-0.131784--0.349656))+0-594.3--0.606186000000095</f>
        <v>1624.7410720000007</v>
      </c>
      <c r="J270" s="3">
        <f>2434.5+(103.5-333.3)+(0+(0-0))+0-588.5-0</f>
        <v>1616.1999999999998</v>
      </c>
      <c r="K270" s="3">
        <f>2436.9+(139.3-322)+(-4.971276+(-0.284172--0.65688))+0-618.2--1.26112799999997</f>
        <v>1632.6625600000002</v>
      </c>
      <c r="L270" s="3">
        <f>2436.3+(96.6-358.1)+(-6.212565+(-0.24633--0.913155))+0-580.9--1.48129499999992</f>
        <v>1589.8355549999999</v>
      </c>
      <c r="M270" s="3">
        <f>2446.1+(43.9-418)+(-2.495022+(-0.044778--0.42636))+0-540.9--0.551718000000086</f>
        <v>1529.538278</v>
      </c>
      <c r="N270" s="3">
        <f>2495.4+(26.5-419.3)+(3.817962+(0.040545-0.641529))+0-533.5-0.816255000000031</f>
        <v>1571.5007229999999</v>
      </c>
      <c r="O270" s="3">
        <f>2521.5+(101.3-410.1)+(-2.57193+(-0.103326--0.418302))+0-583.8--0.595476000000093</f>
        <v>1627.2385220000001</v>
      </c>
      <c r="P270" s="3">
        <f>2767.2+(173.4-714.3)+(-4.233816+(-0.265302--1.092879))+0-547.2--0.837216000000032</f>
        <v>1676.5309769999999</v>
      </c>
      <c r="Q270" s="3">
        <f>2875.2+(196-882.4)+(-2.932704+(-0.19992--0.900048))+0-535.3--0.546006000000085</f>
        <v>1651.8134299999999</v>
      </c>
      <c r="R270" s="3">
        <f>2880.8+(195.9-890.5)+(-4.407624+(-0.299727--1.362465))+0-556.3--0.851139000000032</f>
        <v>1627.4062530000006</v>
      </c>
      <c r="S270" s="3">
        <f>2743.6+(93.8-735.3)+(-6.99618+(-0.23919--1.875015))+0-516.4--1.31681999999993</f>
        <v>1581.656465</v>
      </c>
      <c r="T270" s="3">
        <f>2609.1+(155-539.3)+(1.330641+(0.07905-0.275043))+0-628.5-0.320534999999936</f>
        <v>1597.1141130000005</v>
      </c>
      <c r="U270" s="3">
        <f>2571.7+(75.6-542.5)+(0+(0-0))+0-533-0</f>
        <v>1571.7999999999997</v>
      </c>
      <c r="V270" s="3">
        <f>2832.2+(173.3-783.9)+(-1.444422+(-0.088383--0.399789))+0-582.7--0.297176999999941</f>
        <v>1638.0641609999996</v>
      </c>
      <c r="W270" s="3">
        <f>3154.3+(514.7-1296.8)+(-1.608693+(-0.262497--0.661368))+0-492.5--0.25117499999995</f>
        <v>1878.7413530000003</v>
      </c>
      <c r="X270" s="3">
        <f>3264.9+(677.7-1345.4)+(-4.995297+(-1.036881--2.058462))+0-639.1--0.977823000000037</f>
        <v>1955.1041069999999</v>
      </c>
      <c r="Y270" s="3">
        <f>3277.2+(535-1307.7)+(-6.685488+(-1.0914--2.667708))+0-574.5--1.17197999999997</f>
        <v>1926.0628000000002</v>
      </c>
      <c r="Z270" s="3">
        <f>3156.8+(496.1-1107.8)+(-1.609968+(-0.253011--0.564978))+0-625.4--0.318953999999937</f>
        <v>1918.720953</v>
      </c>
      <c r="AA270" s="3">
        <f>3155.6+(600.7-1132.4)+(-4.828068+(-0.919071--1.732572))+0-723.6--1.10710800000004</f>
        <v>1897.3925409999997</v>
      </c>
      <c r="AB270" s="3">
        <f>3083.4+(435.2-1047.7)+(-7.86267+(-1.10976--2.671635))+0-655--1.6702499999999</f>
        <v>1811.2694549999999</v>
      </c>
      <c r="AC270" s="3">
        <f>2882.2+(365.3-841.2)+(-5.879688+(-0.745212--1.716048))+0-678.1--1.38332399999997</f>
        <v>1724.6744719999997</v>
      </c>
      <c r="AD270" s="2">
        <v>2044.3000000000004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2725+(282.5-749.6)+(-4.16925+(-0.432225--1.146888))+0-708.7--1.08431100000004</f>
        <v>1546.8297239999999</v>
      </c>
      <c r="G271" s="3">
        <f>2438.9+(363.2-554.1)+(-2.487678+(-0.370464--0.565182))+0-772.6--0.788052000000123</f>
        <v>1473.895092</v>
      </c>
      <c r="H271" s="3">
        <f>2173.3+(386.2-444.6)+(0+(0-0))+0-673.2-0</f>
        <v>1441.7</v>
      </c>
      <c r="I271" s="3">
        <f>2133.1+(509.3-356.8)+(-1.087881+(-0.259743--0.181968))+0-853.1--0.435080999999913</f>
        <v>1431.7694249999997</v>
      </c>
      <c r="J271" s="3">
        <f>2132.9+(326.8-327.8)+(1.087779+(0.166668-0.167178))+0-707.1-0.360620999999928</f>
        <v>1425.5266480000003</v>
      </c>
      <c r="K271" s="3">
        <f>2270.9+(353.7-361.3)+(0+(0-0))+0-808.6-0</f>
        <v>1454.7000000000003</v>
      </c>
      <c r="L271" s="3">
        <f>2473.8+(205.9-447.4)+(1.261638+(0.105009-0.228174))+0-688.1-0.35093099999993</f>
        <v>1544.9875420000003</v>
      </c>
      <c r="M271" s="3">
        <f>2805.6+(117.9-599.9)+(1.430856+(0.060129-0.305949))+0-617.5-0.314924999999937</f>
        <v>1706.9701109999999</v>
      </c>
      <c r="N271" s="3">
        <f>2853.8+(226.2-479.2)+(4.366314+(0.346086-0.733176))+0-718.8-1.09976400000004</f>
        <v>1884.8794600000003</v>
      </c>
      <c r="O271" s="3">
        <f>2994.4+(562.2-869.9)+(1.527144+(0.286722-0.443649))+0-726.4-0.370463999999926</f>
        <v>1961.2997530000005</v>
      </c>
      <c r="P271" s="3">
        <f>3185.7+(724.2-1161.8)+(6.498828+(1.477368-2.370072))+0-797.4-1.62669599999997</f>
        <v>1954.6794279999997</v>
      </c>
      <c r="Q271" s="3">
        <f>3130.8+(637.4-1012)+(-4.790124+(-0.975222--1.54836))+0-667.4--1.02112200000004</f>
        <v>2085.6041360000004</v>
      </c>
      <c r="R271" s="3">
        <f>3017.6+(308.9-779.6)+(-6.155904+(-0.630156--1.590384))+0-465--0.94859999999998</f>
        <v>2077.652924</v>
      </c>
      <c r="S271" s="3">
        <f>2883.3+(229.6-715.5)+(0+(0-0))+0-450.5-0</f>
        <v>1946.9</v>
      </c>
      <c r="T271" s="3">
        <f>2827.3+(258.6-552.8)+(0+(0-0))+0-491.4-0</f>
        <v>2041.7000000000003</v>
      </c>
      <c r="U271" s="3">
        <f>2831.8+(328-504.8)+(-1.444218+(-0.16728--0.257448))+0-612.6--0.312425999999938</f>
        <v>2041.3583760000001</v>
      </c>
      <c r="V271" s="3">
        <f>3072.7+(434.9-865.9)+(-4.701231+(-0.665397--1.324827))+0-552--0.844560000000032</f>
        <v>2086.502759</v>
      </c>
      <c r="W271" s="3">
        <f>3380.4+(969.9-1382.6)+(-3.448008+(-0.989298--1.410252))+0-686.3--0.700026000000109</f>
        <v>2279.0729720000004</v>
      </c>
      <c r="X271" s="3">
        <f>3432.9+(827-1353.2)+(-7.003116+(-1.68708--2.760528))+0-611.3--1.24705199999997</f>
        <v>2290.717384</v>
      </c>
      <c r="Y271" s="3">
        <f>3426.2+(680.9-1181.4)+(-6.989448+(-1.389036--2.410056))+0-746.6--1.52306399999997</f>
        <v>2174.6546359999998</v>
      </c>
      <c r="Z271" s="3">
        <f>3305.6+(475.5-1076.1)+(0+(0-0))+0-719.7-0</f>
        <v>1985.3</v>
      </c>
      <c r="AA271" s="3">
        <f>3134+(308.3-761.3)+(-3.19668+(-0.314466--0.776526))+0-635.7--0.648414000000101</f>
        <v>2043.2137939999998</v>
      </c>
      <c r="AB271" s="3">
        <f>2973.8+(251.7-526.5)+(-1.516638+(-0.128367--0.268515))+0-741.6--0.378215999999925</f>
        <v>1956.4017259999998</v>
      </c>
      <c r="AC271" s="3">
        <f>2800.8+(118.5-459.5)+(-4.285224+(-0.181305--0.703035))+0-636.2--0.973386000000037</f>
        <v>1820.8098920000004</v>
      </c>
      <c r="AD271" s="2">
        <v>2297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2723.8+(111.8-365)+(-2.778276+(-0.114036--0.3723))+0-763.4--0.778668000000122</f>
        <v>1705.4586560000005</v>
      </c>
      <c r="G272" s="3">
        <f>2585.1+(116.5-332)+(-6.592005+(-0.297075--0.8466))+0-750.9--1.91479499999989</f>
        <v>1614.5723149999997</v>
      </c>
      <c r="H272" s="3">
        <f>2376.3+(159.7-290.5)+(2.423826+(0.162894-0.29631))+0-664.7-0.677994000000106</f>
        <v>1582.4124159999999</v>
      </c>
      <c r="I272" s="3">
        <f>2238.7+(218.6-181.1)+(0+(0-0))+0-714.7-0</f>
        <v>1561.4999999999998</v>
      </c>
      <c r="J272" s="3">
        <f>2238+(313.4-172.5)+(2.28276+(0.319668-0.17595))+0-823.8-0.840276000000131</f>
        <v>1556.6862019999999</v>
      </c>
      <c r="K272" s="3">
        <f>2355.7+(116.4-300.3)+(-4.805628+(-0.237456--0.612612))+0-585.3--1.19401199999997</f>
        <v>1583.2635399999997</v>
      </c>
      <c r="L272" s="3">
        <f>2699.1+(80.6-428)+(0+(0-0))+0-700.9-0</f>
        <v>1650.7999999999997</v>
      </c>
      <c r="M272" s="3">
        <f>2750.6+(65.8-372.6)+(-2.805612+(-0.067116--0.380052))+0-655.5--0.668610000000105</f>
        <v>1786.4759340000001</v>
      </c>
      <c r="N272" s="3">
        <f>3033.9+(160.4-675.6)+(3.094578+(0.163608-0.689112))+0-546.4-0.557328000000087</f>
        <v>1974.3117459999996</v>
      </c>
      <c r="O272" s="3">
        <f>3180.8+(538.8-983.8)+(1.622208+(0.274788-0.501738))+0-682.4-0.348023999999931</f>
        <v>2054.4472340000002</v>
      </c>
      <c r="P272" s="3">
        <f>3401.2+(504.1-1293.3)+(0+(0-0))+0-502.3-0</f>
        <v>2109.6999999999998</v>
      </c>
      <c r="Q272" s="3">
        <f>3598.7+(653.6-1639.8)+(-5.506011+(-1.000008--2.508894))+0-456.9--0.699057000000026</f>
        <v>2152.3019319999999</v>
      </c>
      <c r="R272" s="3">
        <f>3565.1+(589.1-1605.4)+(-10.909206+(-1.802646--4.912524))+0-561.2--1.71727200000006</f>
        <v>1981.5179439999997</v>
      </c>
      <c r="S272" s="3">
        <f>3217.5+(271.8-1092.4)+(-4.922775+(-0.415854--1.671372))+0-484.7--0.741591000000028</f>
        <v>1909.2743339999995</v>
      </c>
      <c r="T272" s="3">
        <f>3113.9+(218.9-792.2)+(6.352356+(0.446556-1.616088))+0-587.8-1.19911199999997</f>
        <v>1956.7837119999999</v>
      </c>
      <c r="U272" s="3">
        <f>3118.8+(120.5-864.9)+(-4.771764+(-0.184365--1.323297))+0-397.2--0.607716000000023</f>
        <v>1974.1748840000002</v>
      </c>
      <c r="V272" s="3">
        <f>3246.3+(331.5-946.7)+(1.655613+(0.169065-0.482817))+0-609.7-0.310946999999938</f>
        <v>2022.4309140000003</v>
      </c>
      <c r="W272" s="3">
        <f>3536.6+(585.3-1280.9)+(-7.214664+(-1.194012--2.613036))+0-590.2--1.20400799999997</f>
        <v>2246.2083680000001</v>
      </c>
      <c r="X272" s="3">
        <f>3472.5+(399.6-1080.5)+(-3.54195+(-0.407592--1.10211))+0-556.6--0.567732000000089</f>
        <v>2232.7203</v>
      </c>
      <c r="Y272" s="3">
        <f>3473.5+(379.4-1028.6)+(-7.08594+(-0.773976--2.098344))+0-654.6--1.33538399999997</f>
        <v>2165.2738120000004</v>
      </c>
      <c r="Z272" s="3">
        <f>3409.9+(235.8-910)+(1.739049+(0.120258-0.4641))+0-656.2-0.334661999999933</f>
        <v>2080.5605449999998</v>
      </c>
      <c r="AA272" s="3">
        <f>3436.7+(142-822.4)+(-7.010868+(-0.28968--1.677696))+0-750.9--1.53183599999997</f>
        <v>2001.3089839999996</v>
      </c>
      <c r="AB272" s="3">
        <f>3326.8+(59.4-684.2)+(-5.090004+(-0.090882--1.046826))+0-785.4--1.20166200000005</f>
        <v>1913.667602</v>
      </c>
      <c r="AC272" s="3">
        <f>3229.1+(90.2-810.7)+(1.646841+(0.046002-0.413457))+0-716.7-0.365516999999927</f>
        <v>1792.8138690000001</v>
      </c>
      <c r="AD272" s="2">
        <v>2272.5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2706.3+(193.8-476.6)+(-6.901065+(-0.49419--1.21533))+0-757.5--1.93162499999989</f>
        <v>1661.7517</v>
      </c>
      <c r="G273" s="3">
        <f>2467.7+(207.5-358.1)+(0+(0-0))+0-743.4-0</f>
        <v>1573.6999999999998</v>
      </c>
      <c r="H273" s="3">
        <f>2380.6+(240.7-420.8)+(-1.214106+(-0.122757--0.214608))+0-642.8--0.327827999999935</f>
        <v>1556.9055729999998</v>
      </c>
      <c r="I273" s="3">
        <f>2307.9+(324.8-282.2)+(2.354058+(0.331296-0.287844))+0-825.3-0.841806000000132</f>
        <v>1526.7557039999997</v>
      </c>
      <c r="J273" s="3">
        <f>2353.2+(274.3-327)+(1.200132+(0.139893-0.16677))+0-765.5-0.390404999999922</f>
        <v>1535.7828500000003</v>
      </c>
      <c r="K273" s="3">
        <f>2517+(191.9-369.4)+(5.13468+(0.391476-0.753576))+0-799.5-1.63097999999997</f>
        <v>1543.1415999999999</v>
      </c>
      <c r="L273" s="3">
        <f>2684.8+(109.9-484.5)+(-4.107744+(-0.168147--0.741285))+0-695.5--1.06411500000004</f>
        <v>1612.2295090000002</v>
      </c>
      <c r="M273" s="3">
        <f>2839.7+(161.7-728.5)+(0+(0-0))+0-530.9-0</f>
        <v>1741.9999999999995</v>
      </c>
      <c r="N273" s="3">
        <f>3021.5+(309.5-755.9)+(4.622895+(0.473535-1.156527))+0-645.3-0.987309000000037</f>
        <v>1932.7525939999998</v>
      </c>
      <c r="O273" s="3">
        <f>3199.4+(550.4-1017.9)+(4.895082+(0.842112-1.557387))+0-719.8-1.10129400000004</f>
        <v>2015.1785130000001</v>
      </c>
      <c r="P273" s="3">
        <f>3255.5+(594.6-1131.2)+(0+(0-0))+0-633.1-0</f>
        <v>2085.8000000000002</v>
      </c>
      <c r="Q273" s="3">
        <f>3327.6+(683.9-1194.8)+(1.697076+(0.348789-0.609348))+0-727-0.370769999999926</f>
        <v>2090.7657469999999</v>
      </c>
      <c r="R273" s="3">
        <f>3316.6+(510-1225.5)+(-8.45733+(-1.3005--3.125025))+0-677.7--1.7281349999999</f>
        <v>1918.4953299999995</v>
      </c>
      <c r="S273" s="3">
        <f>3280.5+(362-1022)+(-3.34611+(-0.36924--1.04244))+0-725.1--0.739602000000116</f>
        <v>1893.4666920000004</v>
      </c>
      <c r="T273" s="3">
        <f>3219.2+(336.6-1006)+(0+(0-0))+0-642.1-0</f>
        <v>1907.6999999999998</v>
      </c>
      <c r="U273" s="3">
        <f>3138.8+(341.9-981)+(-6.403152+(-0.697476--2.00124))+0-607.1--1.23848399999997</f>
        <v>1888.7390960000002</v>
      </c>
      <c r="V273" s="3">
        <f>3207.1+(320.2-978.4)+(3.271242+(0.326604-0.997968))+0-606.4-0.618528000000097</f>
        <v>1944.4813499999993</v>
      </c>
      <c r="W273" s="3">
        <f>3564.9+(831.6-1668.5)+(0+(0-0))+0-486.6-0</f>
        <v>2241.4</v>
      </c>
      <c r="X273" s="3">
        <f>3575.9+(869.2-1600.1)+(-10.942254+(-2.659752--4.896306))+0-567--1.73502000000007</f>
        <v>2271.0293200000001</v>
      </c>
      <c r="Y273" s="3">
        <f>3566+(711.6-1375.1)+(-5.45598+(-1.088748--2.103903))+0-704.4--1.07773200000004</f>
        <v>2194.736907</v>
      </c>
      <c r="Z273" s="3">
        <f>3431+(361.4-1041.5)+(-3.49962+(-0.368628--1.06233))+0-634.3--0.646986000000101</f>
        <v>2114.4410680000005</v>
      </c>
      <c r="AA273" s="3">
        <f>3376.5+(354.6-922.9)+(-3.44403+(-0.361692--0.941358))+0-766.1--0.781422000000122</f>
        <v>2040.0170579999999</v>
      </c>
      <c r="AB273" s="3">
        <f>3213.9+(236.3-835.2)+(-6.556356+(-0.482052--1.703808))+0-661.2--1.34884799999997</f>
        <v>1949.8142479999997</v>
      </c>
      <c r="AC273" s="3">
        <f>3066.1+(206-710.3)+(-3.127422+(-0.21012--0.724506))+0-742.2--0.757044000000118</f>
        <v>1817.7440080000001</v>
      </c>
      <c r="AD273" s="2">
        <v>2294.0000000000005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2852.1+(273.7-700.9)+(-4.363713+(-0.418761--1.072377))+0-728.8--1.11506400000004</f>
        <v>1693.5049670000001</v>
      </c>
      <c r="G274" s="3">
        <f>2625.9+(238-516.8)+(-8.035254+(-0.72828--1.581408))+0-732.5--2.24145000000008</f>
        <v>1609.6593240000002</v>
      </c>
      <c r="H274" s="3">
        <f>2621.6+(197.1-500.8)+(-5.348064+(-0.402084--1.021632))+0-743.9--1.51755599999997</f>
        <v>1570.7890399999994</v>
      </c>
      <c r="I274" s="3">
        <f>2417.4+(198-428.3)+(0+(0-0))+0-644.1-0</f>
        <v>1543</v>
      </c>
      <c r="J274" s="3">
        <f>2344.7+(271.2-321)+(2.391594+(0.276624-0.32742))+0-760.5-0.775710000000121</f>
        <v>1535.9650879999997</v>
      </c>
      <c r="K274" s="3">
        <f>2342.4+(235.6-284.9)+(0+(0-0))+0-730.8-0</f>
        <v>1562.3</v>
      </c>
      <c r="L274" s="3">
        <f>2658.9+(174.7-434.5)+(-2.712078+(-0.178194--0.44319))+0-794.1--0.809982000000127</f>
        <v>1603.3629000000001</v>
      </c>
      <c r="M274" s="3">
        <f>2818+(195.4-563.7)+(2.87436+(0.199308-0.574974))+0-732-0.746640000000117</f>
        <v>1719.4520539999996</v>
      </c>
      <c r="N274" s="3">
        <f>3102.6+(214.1-697.7)+(3.164652+(0.218382-0.711654))+0-569.3-0.580686000000091</f>
        <v>2051.7906940000003</v>
      </c>
      <c r="O274" s="3">
        <f>3126.9+(350.1-829.4)+(4.784157+(0.535653-1.268982))+0-524.3-0.80217900000003</f>
        <v>2126.5486490000003</v>
      </c>
      <c r="P274" s="3">
        <f>3227.2+(677.2-1102.2)+(0+(0-0))+0-711.4-0</f>
        <v>2090.7999999999997</v>
      </c>
      <c r="Q274" s="3">
        <f>3378.1+(868.1-1496)+(1.722831+(0.442731-0.76296))+0-598.8-0.305387999999939</f>
        <v>2152.497214</v>
      </c>
      <c r="R274" s="3">
        <f>3246.5+(733.9-1333.1)+(-9.93429+(-2.245734--4.079286))+0.6-698.3--2.13679800000008</f>
        <v>1943.63606</v>
      </c>
      <c r="S274" s="3">
        <f>3147.6+(357.9-920.2)+(0+(0-0))+0-659.9-0</f>
        <v>1925.3999999999996</v>
      </c>
      <c r="T274" s="3">
        <f>3230.6+(393.1-971.8)+(0+(0-0))+0-690.2-0</f>
        <v>1961.7</v>
      </c>
      <c r="U274" s="3">
        <f>3238.9+(327.7-947.4)+(0+(0-0))+0-670-0</f>
        <v>1949.1999999999998</v>
      </c>
      <c r="V274" s="3">
        <f>3275.8+(303.9-918.8)+(0+(0-0))+0-690.6-0</f>
        <v>1970.3000000000002</v>
      </c>
      <c r="W274" s="3">
        <f>3684.9+(635.2-1432.5)+(-1.879299+(-0.323952--0.730575))+0-614.7--0.313496999999938</f>
        <v>2271.7408210000003</v>
      </c>
      <c r="X274" s="3">
        <f>3634.5+(655.4-1323.8)+(-3.70719+(-0.668508--1.350276))+0-665.6--0.678912000000106</f>
        <v>2298.1534900000001</v>
      </c>
      <c r="Y274" s="3">
        <f>3558+(496.9-1097.7)+(0+(0-0))+0-729.6-0</f>
        <v>2227.6</v>
      </c>
      <c r="Z274" s="3">
        <f>3431+(270.9-908.6)+(-1.74981+(-0.138159--0.463386))+0-671.5--0.342464999999932</f>
        <v>2120.7178819999999</v>
      </c>
      <c r="AA274" s="3">
        <f>3338.3+(102.6-679.2)+(-3.405066+(-0.104652--0.692784))+0-710.3--0.724506000000113</f>
        <v>2049.3075720000002</v>
      </c>
      <c r="AB274" s="3">
        <f>3322.2+(69.1-830.1)+(1.694322+(0.035241-0.423351))+0-596.1-0.30401099999994</f>
        <v>1966.1022009999999</v>
      </c>
      <c r="AC274" s="3">
        <f>3219.1+(97.2-683)+(-11.492187+(-0.347004--2.43831))+0-802.9--2.86635300000001</f>
        <v>1823.8654720000002</v>
      </c>
      <c r="AD274" s="2">
        <v>2305.5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2733+(193.4-494.6)+(-6.96915+(-0.49317--1.26123))+0-745.6--1.90127999999989</f>
        <v>1681.9001900000001</v>
      </c>
      <c r="G275" s="3">
        <f>2449.9+(241.5-361.1)+(-6.247245+(-0.615825--0.920805))+0-721--1.8385499999999</f>
        <v>1605.196285</v>
      </c>
      <c r="H275" s="3">
        <f>2401.5+(253.7-275.8)+(1.224765+(0.129387-0.140658))+0-807.8-0.411977999999918</f>
        <v>1572.4015160000004</v>
      </c>
      <c r="I275" s="3">
        <f>2407+(269.4-317)+(3.68271+(0.412182-0.48501))+0-782.8-1.19768400000005</f>
        <v>1579.0121980000004</v>
      </c>
      <c r="J275" s="3">
        <f>2407.7+(238-285.4)+(0+(0-0))+0-781-0</f>
        <v>1579.2999999999997</v>
      </c>
      <c r="K275" s="3">
        <f>2423+(213.8-315.2)+(6.17865+(0.54519-0.80376))+0-730.1-1.86175499999989</f>
        <v>1595.558325</v>
      </c>
      <c r="L275" s="3">
        <f>2900.4+(93.3-619.8)+(2.958408+(0.095166-0.632196))+0-697.9-0.711858000000111</f>
        <v>1677.7095199999999</v>
      </c>
      <c r="M275" s="3">
        <f>3172.4+(26.2-795.3)+(0+(0-0))+0-630.3-0</f>
        <v>1773.0000000000002</v>
      </c>
      <c r="N275" s="3">
        <f>3182.9+(175.2-771.8)+(3.246558+(0.178704-0.787236))+0-618.3-0.630666000000099</f>
        <v>1970.0073600000003</v>
      </c>
      <c r="O275" s="3">
        <f>3357+(367.5-1038.2)+(3.42414+(0.37485-1.058964))+0-643.2-0.656064000000103</f>
        <v>2045.1839620000001</v>
      </c>
      <c r="P275" s="3">
        <f>3426.8+(525.3-1203)+(-8.73834+(-1.339515--3.06765))+0-630.2--1.60700999999991</f>
        <v>2113.4968049999998</v>
      </c>
      <c r="Q275" s="3">
        <f>3426.6+(500.5-1194.3)+(-1.747566+(-0.255255--0.609093))+0-601--0.306509999999939</f>
        <v>2130.7127820000001</v>
      </c>
      <c r="R275" s="3">
        <f>3359.6+(353.2-1032.1)+(-8.56698+(-0.90066--2.631855))+0-709.2--1.8084599999999</f>
        <v>1966.4726749999995</v>
      </c>
      <c r="S275" s="3">
        <f>3164.6+(162-772.7)+(-3.227892+(-0.16524--0.788154))+0-626.4--0.6389280000001</f>
        <v>1925.5339499999998</v>
      </c>
      <c r="T275" s="3">
        <f>3155.9+(222.6-657.1)+(-6.438036+(-0.454104--1.340484))+0-751.3--1.53265199999997</f>
        <v>1966.0809959999999</v>
      </c>
      <c r="U275" s="3">
        <f>3161.9+(133.6-784.5)+(4.837707+(0.204408-1.200285))+0-537.4-0.822222000000031</f>
        <v>1976.6196079999997</v>
      </c>
      <c r="V275" s="3">
        <f>3164.7+(230.7-729.9)+(0+(0-0))+0-689.4-0</f>
        <v>1976.1</v>
      </c>
      <c r="W275" s="3">
        <f>3426.1+(673.4-1263.5)+(-1.747311+(-0.343434--0.644385))+0-574.8--0.293147999999942</f>
        <v>2260.0467879999997</v>
      </c>
      <c r="X275" s="3">
        <f>3416.2+(579.7-1146.8)+(-1.742262+(-0.295647--0.584868))+0-570.6--0.291005999999942</f>
        <v>2277.3379649999997</v>
      </c>
      <c r="Y275" s="3">
        <f>3412.1+(451.9-1076.5)+(-10.441026+(-1.382814--3.29409))+0-566.8--1.73440800000007</f>
        <v>2213.9046580000004</v>
      </c>
      <c r="Z275" s="3">
        <f>3466.7+(320.8-1059.7)+(-3.536034+(-0.327216--1.080894))+0-602.6--0.614652000000096</f>
        <v>2123.0322959999999</v>
      </c>
      <c r="AA275" s="3">
        <f>3463.5+(187.9-952.5)+(-8.831925+(-0.479145--2.428875))+0-632--1.61159999999991</f>
        <v>2061.6294049999997</v>
      </c>
      <c r="AB275" s="3">
        <f>3348.9+(243.8-817.8)+(0+(0-0))+0-797.8-0</f>
        <v>1977.1000000000001</v>
      </c>
      <c r="AC275" s="3">
        <f>3159.9+(113.1-678.4)+(-4.834647+(-0.173043--1.037952))+0-744.4--1.13893200000004</f>
        <v>1847.3691940000006</v>
      </c>
      <c r="AD275" s="2">
        <v>2277.4000000000005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2672.2+(192.7-404.1)+(-4.088466+(-0.294831--0.618273))+0-742.9--1.13663700000004</f>
        <v>1715.2716129999999</v>
      </c>
      <c r="G276" s="3">
        <f>2451.6+(329.6-273.7)+(0+(0-0))+0-883.1-0</f>
        <v>1624.4</v>
      </c>
      <c r="H276" s="3">
        <f>2444.5+(257.2-293.7)+(-1.246695+(-0.131172--0.149787))+0-817.5--0.416924999999917</f>
        <v>1589.6888450000001</v>
      </c>
      <c r="I276" s="3">
        <f>2422.5+(238.3-313.7)+(1.235475+(0.121533-0.159987))+0-782.2-0.398921999999921</f>
        <v>1565.698099</v>
      </c>
      <c r="J276" s="3">
        <f>2365.1+(312.5-258.4)+(1.206201+(0.159375-0.131784))+0-829.8-0.423197999999916</f>
        <v>1590.2105939999999</v>
      </c>
      <c r="K276" s="3">
        <f>2370.5+(270.7-340.5)+(1.208955+(0.138057-0.173655))+0-718.1-0.366230999999927</f>
        <v>1583.4071260000001</v>
      </c>
      <c r="L276" s="3">
        <f>2525.6+(334.3-385.2)+(-5.152224+(-0.681972--0.785808))+0-841.8--1.71727199999996</f>
        <v>1629.5688839999996</v>
      </c>
      <c r="M276" s="3">
        <f>2825.2+(164.9-635.1)+(4.322556+(0.252297-0.971703))+0-654.9-1.00199700000004</f>
        <v>1702.7011529999997</v>
      </c>
      <c r="N276" s="3">
        <f>3020.8+(97-457.5)+(4.621824+(0.14841-0.699975))+0-757.3-1.15866900000004</f>
        <v>1905.9115900000002</v>
      </c>
      <c r="O276" s="3">
        <f>3149.8+(229.5-710.9)+(3.212796+(0.23409-0.725118))+0-662.1-0.675342000000106</f>
        <v>2008.3464260000001</v>
      </c>
      <c r="P276" s="3">
        <f>3089.2+(329.9-679.4)+(1.575492+(0.168249-0.346494))+0-645.3-0.329102999999935</f>
        <v>2095.4681439999995</v>
      </c>
      <c r="Q276" s="3">
        <f>3087.1+(358-664)+(1.574421+(0.18258-0.33864))+0-647.7-0.330326999999934</f>
        <v>2134.4880339999995</v>
      </c>
      <c r="R276" s="3">
        <f>3025.3+(241.5-630)+(-3.085806+(-0.24633--0.6426))+0-728.4--0.742968000000116</f>
        <v>1906.4534320000002</v>
      </c>
      <c r="S276" s="3">
        <f>3016.8+(91.5-482.1)+(-7.69284+(-0.233325--1.229355))+0-773.3--1.97191499999989</f>
        <v>1848.1751050000003</v>
      </c>
      <c r="T276" s="3">
        <f>2943.9+(163.6-538.4)+(7.506945+(0.41718-1.37292))+0-725.5-1.85002499999989</f>
        <v>1848.3011800000006</v>
      </c>
      <c r="U276" s="3">
        <f>2944.5+(123.4-570.6)+(0+(0-0))+0-691.6-0</f>
        <v>1805.7000000000003</v>
      </c>
      <c r="V276" s="3">
        <f>3090.4+(57.8-605.2)+(1.576104+(0.029478-0.308652))+0-724.6-0.369545999999926</f>
        <v>1819.3273840000002</v>
      </c>
      <c r="W276" s="3">
        <f>3452.3+(690-1363.6)+(-1.760673+(-0.3519--0.695436))+0-676.7--0.345116999999931</f>
        <v>2100.9279800000004</v>
      </c>
      <c r="X276" s="3">
        <f>3524.9+(756.6-1389.9)+(-5.393097+(-1.157598--2.126547))+0-768.6--1.17595800000004</f>
        <v>2119.7518100000002</v>
      </c>
      <c r="Y276" s="3">
        <f>3391+(422.5-1221.7)+(-10.37646+(-1.29285--3.738402))+0-551.2--1.68667200000006</f>
        <v>2034.3557640000004</v>
      </c>
      <c r="Z276" s="3">
        <f>3260.5+(403.8-891.6)+(-6.65142+(-0.823752--1.818864))+0-840.7--1.71502799999996</f>
        <v>1928.0587199999995</v>
      </c>
      <c r="AA276" s="3">
        <f>3203.7+(239.9-906.1)+(4.901661+(0.367047-1.386333))+0-677-1.03581000000004</f>
        <v>1863.3465650000001</v>
      </c>
      <c r="AB276" s="3">
        <f>3141.8+(271.8-779.1)+(-3.204636+(-0.277236--0.794682))+0-815.5--0.83181000000013</f>
        <v>1817.14462</v>
      </c>
      <c r="AC276" s="3">
        <f>2935.8+(179.3-558.3)+(-4.491774+(-0.274329--0.854199))+0-788.3--1.20609900000005</f>
        <v>1765.7941950000002</v>
      </c>
      <c r="AD276" s="2">
        <v>2024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2701.6+(155.6-492.3)+(-5.511264+(-0.317424--1.004292))+0-685.3--1.39801199999997</f>
        <v>1676.1736159999996</v>
      </c>
      <c r="G277" s="3">
        <f>2574.7+(253.1-439.4)+(2.626194+(0.258162-0.448188))+0-797.5-0.813450000000127</f>
        <v>1592.5227179999997</v>
      </c>
      <c r="H277" s="3">
        <f>2337+(337.8-343.2)+(-3.57561+(-0.516834--0.525096))+0-817.1--1.25016300000005</f>
        <v>1512.1828150000001</v>
      </c>
      <c r="I277" s="3">
        <f>2334.2+(296.3-390.5)+(-2.380884+(-0.302226--0.39831))+0-757.4--0.772548000000121</f>
        <v>1481.0877480000001</v>
      </c>
      <c r="J277" s="3">
        <f>2265.2+(325.6-332.9)+(-1.155252+(-0.166056--0.169779))+0-787.6--0.40167599999992</f>
        <v>1469.5501469999995</v>
      </c>
      <c r="K277" s="3">
        <f>2334.1+(247-400.1)+(-5.951955+(-0.62985--1.020255))+0-709.1--1.8082049999999</f>
        <v>1468.146655</v>
      </c>
      <c r="L277" s="3">
        <f>2405.5+(287.2-456.7)+(-4.90722+(-0.585888--0.931668))+0-773.3--1.57753199999997</f>
        <v>1459.7160920000001</v>
      </c>
      <c r="M277" s="3">
        <f>2372+(248-507.2)+(-2.41944+(-0.25296--0.517344))+0-707.3--0.721446000000113</f>
        <v>1404.0663900000002</v>
      </c>
      <c r="N277" s="3">
        <f>2372.3+(306-484.7)+(-1.209873+(-0.15606--0.247197))+0-754.2--0.384641999999923</f>
        <v>1438.6659060000004</v>
      </c>
      <c r="O277" s="3">
        <f>2665.1+(128-535)+(2.718402+(0.13056-0.5457))+0-722.7-0.737154000000115</f>
        <v>1536.9661079999996</v>
      </c>
      <c r="P277" s="3">
        <f>2898.3+(32.9-655)+(-1.478133+(-0.016779--0.33405))+0-644--0.328439999999935</f>
        <v>1631.3675780000001</v>
      </c>
      <c r="Q277" s="3">
        <f>2902.3+(74.7-623.6)+(-4.440519+(-0.114291--0.954108))+0-696.9--1.06625700000004</f>
        <v>1653.9655549999998</v>
      </c>
      <c r="R277" s="3">
        <f>2907.4+(134-659.1)+(-4.448322+(-0.20502--1.008423))+0-741.9--1.13510700000004</f>
        <v>1637.8901880000003</v>
      </c>
      <c r="S277" s="3">
        <f>2847+(127.8-637.6)+(-5.80788+(-0.260712--1.300704))+0-750.7--1.53142799999997</f>
        <v>1583.2635399999999</v>
      </c>
      <c r="T277" s="3">
        <f>2777.5+(181.1-628.5)+(-2.83305+(-0.184722--0.64107))+0-814.5--0.83079000000013</f>
        <v>1514.0540880000001</v>
      </c>
      <c r="U277" s="3">
        <f>2706.7+(88.1-704.6)+(-1.380417+(-0.044931--0.359346))+0-575.8--0.293657999999942</f>
        <v>1513.6276559999999</v>
      </c>
      <c r="V277" s="3">
        <f>2782.2+(140.1-855.9)+(-2.837844+(-0.142902--0.873018))+0-511.1--0.521322000000082</f>
        <v>1553.7135939999998</v>
      </c>
      <c r="W277" s="3">
        <f>3057.3+(433.8-1229.3)+(3.118446+(0.442476-1.253886))+0-451.4-0.460428000000072</f>
        <v>1812.2466080000002</v>
      </c>
      <c r="X277" s="3">
        <f>3149.2+(614.2-1226.4)+(0+(0-0))+0-669.4-0</f>
        <v>1867.6</v>
      </c>
      <c r="Y277" s="3">
        <f>3138.2+(623.1-1199.7)+(-6.401928+(-1.271124--2.447388))+0-720.5--1.46981999999997</f>
        <v>1837.3441559999999</v>
      </c>
      <c r="Z277" s="3">
        <f>2994.8+(490.9-916.8)+(-3.054696+(-0.500718--0.935136))+0-755.3--0.77040600000012</f>
        <v>1811.7501280000004</v>
      </c>
      <c r="AA277" s="3">
        <f>2913.7+(481.6-891.6)+(0+(0-0))+0-725.9-0</f>
        <v>1777.7999999999997</v>
      </c>
      <c r="AB277" s="3">
        <f>2906.3+(353.2-757)+(-5.928852+(-0.720528--1.54428))+0-788.5--1.60853999999997</f>
        <v>1710.5034399999997</v>
      </c>
      <c r="AC277" s="3">
        <f>2891.1+(136.3-644.2)+(-7.372305+(-0.347565--1.64271))+0-754.5--1.92397499999989</f>
        <v>1624.5468149999999</v>
      </c>
      <c r="AD277" s="2">
        <v>1869.3999999999999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2761.5+(105.3-520)+(2.81673+(0.107406-0.5304))+0-807.9-0.824058000000129</f>
        <v>1540.4696779999999</v>
      </c>
      <c r="G278" s="3">
        <f>2513+(142.8-368.8)+(-6.40815+(-0.36414--0.94044))+0-811.3--2.06881499999988</f>
        <v>1471.9369649999999</v>
      </c>
      <c r="H278" s="3">
        <f>2099+(336.7-194.6)+(1.07049+(0.171717-0.099246))+0-811.2-0.413711999999918</f>
        <v>1430.6292490000001</v>
      </c>
      <c r="I278" s="3">
        <f>2043.8+(307.3-117.7)+(-1.042338+(-0.156723--0.060027))+0-828.7--0.422636999999916</f>
        <v>1403.9836030000001</v>
      </c>
      <c r="J278" s="3">
        <f>2040.7+(293.2-184.4)+(-1.040757+(-0.149532--0.094044))+0-746.9--0.380918999999924</f>
        <v>1401.8846739999997</v>
      </c>
      <c r="K278" s="3">
        <f>2047.1+(359.9-111.8)+(4.176084+(0.734196-0.228072))+0-855.8-1.74583199999996</f>
        <v>1442.336376</v>
      </c>
      <c r="L278" s="3">
        <f>2451+(171.7-289.5)+(-2.50002+(-0.175134--0.29529))+0-786.5--0.802230000000125</f>
        <v>1545.1223660000001</v>
      </c>
      <c r="M278" s="3">
        <f>2600.1+(116.7-394.3)+(1.326051+(0.059517-0.201093))+0-669.4-0.341393999999932</f>
        <v>1653.9430809999999</v>
      </c>
      <c r="N278" s="3">
        <f>2933.6+(125-523.6)+(0+(0-0))+0-664.2-0</f>
        <v>1870.8</v>
      </c>
      <c r="O278" s="3">
        <f>3085.7+(299.3-648.4)+(0+(0-0))+0-756-0</f>
        <v>1980.6</v>
      </c>
      <c r="P278" s="3">
        <f>3077+(430.6-665.9)+(-6.27708+(-0.878424--1.358436))+0-780.7--1.59262799999997</f>
        <v>2056.79556</v>
      </c>
      <c r="Q278" s="3">
        <f>3050.9+(413.4-668)+(-6.223836+(-0.843336--1.36272))+0-747.9--1.52571599999997</f>
        <v>2044.221264</v>
      </c>
      <c r="R278" s="3">
        <f>3018.9+(147.1-592.4)+(-4.618917+(-0.225063--0.906372))+0-681.5--1.04269500000004</f>
        <v>1889.2050870000003</v>
      </c>
      <c r="S278" s="3">
        <f>2988.3+(100-400.4)+(-3.048066+(-0.102--0.408408))+0-808.5--0.824670000000129</f>
        <v>1877.4830120000004</v>
      </c>
      <c r="T278" s="3">
        <f>2993.2+(85.9-477.5)+(-3.053064+(-0.087618--0.48705))+0-685.2--0.698904000000109</f>
        <v>1914.4452719999999</v>
      </c>
      <c r="U278" s="3">
        <f>3004.7+(144.2-511)+(0+(0-0))+0-717-0</f>
        <v>1920.8999999999996</v>
      </c>
      <c r="V278" s="3">
        <f>3034.2+(289.4-711)+(-6.189768+(-0.590376--1.45044))+0-673.3--1.37353199999997</f>
        <v>1935.3438279999998</v>
      </c>
      <c r="W278" s="3">
        <f>3359.3+(982.3-1318.1)+(3.426486+(1.001946-1.344462))+0-773-0.788460000000123</f>
        <v>2252.7955099999999</v>
      </c>
      <c r="X278" s="3">
        <f>3292.7+(806.5-1202.2)+(-10.075662+(-2.46789--3.678732))+0-614--1.87884000000007</f>
        <v>2276.0140200000001</v>
      </c>
      <c r="Y278" s="3">
        <f>3262.1+(567.4-976.7)+(1.663671+(0.289374-0.498117))+0-629.5-0.321044999999936</f>
        <v>2224.4338829999997</v>
      </c>
      <c r="Z278" s="3">
        <f>3289.8+(571.7-965.2)+(-6.711192+(-1.166268--1.969008))+0-766--1.56263999999997</f>
        <v>2125.9541880000002</v>
      </c>
      <c r="AA278" s="3">
        <f>3263.7+(315.5-787.9)+(-4.993461+(-0.482715--1.205487))+0-737.7--1.12868100000004</f>
        <v>2050.4579919999996</v>
      </c>
      <c r="AB278" s="3">
        <f>3298.2+(373.3-903.4)+(-1.682082+(-0.190383--0.460734))+0-789.3--0.40254299999992</f>
        <v>1977.7908119999997</v>
      </c>
      <c r="AC278" s="3">
        <f>3266.9+(172.7-837.8)+(-9.996714+(-0.528462--2.563668))+0-779.2--2.38435200000009</f>
        <v>1817.0228440000003</v>
      </c>
      <c r="AD278" s="2">
        <v>2331.7000000000007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2946.3+(61.8-513.1)+(-3.005226+(-0.063036--0.523362))+0-809.7--0.825894000000129</f>
        <v>1683.5809940000001</v>
      </c>
      <c r="G279" s="3">
        <f>2705+(94-360.7)+(1.37955+(0.04794-0.183957))+0-827.1-0.421820999999916</f>
        <v>1612.0217120000002</v>
      </c>
      <c r="H279" s="3">
        <f>2437+(186.1-241.9)+(-1.24287+(-0.094911--0.123369))+0-806.4--0.411263999999918</f>
        <v>1573.9968519999998</v>
      </c>
      <c r="I279" s="3">
        <f>2326.3+(241.2-205.8)+(1.186413+(0.123012-0.104958))+0-806.9-0.411518999999918</f>
        <v>1555.5929480000002</v>
      </c>
      <c r="J279" s="3">
        <f>2324.7+(244.9-208.7)+(-1.185597+(-0.124899--0.106437))+0-807.9--0.412028999999918</f>
        <v>1552.2079699999992</v>
      </c>
      <c r="K279" s="3">
        <f>2370.4+(243.7-222.4)+(0+(0-0))+0-813.2-0</f>
        <v>1578.5000000000002</v>
      </c>
      <c r="L279" s="3">
        <f>2590.5+(157.1-429.5)+(-5.28462+(-0.320484--0.87618))+0-649.1--1.32416399999997</f>
        <v>1665.5952399999999</v>
      </c>
      <c r="M279" s="3">
        <f>2614.3+(249.9-442)+(-5.333172+(-0.509796--0.90168))+0-659--1.34435999999997</f>
        <v>1759.6030720000003</v>
      </c>
      <c r="N279" s="3">
        <f>2831.3+(108.9-354.1)+(4.331889+(0.166617-0.541773))+0-647.9-0.991287000000037</f>
        <v>1941.1654460000002</v>
      </c>
      <c r="O279" s="3">
        <f>3155.8+(77.7-700.9)+(-4.828374+(-0.118881--1.072377))+0-508.7--0.778311000000029</f>
        <v>2020.8034330000003</v>
      </c>
      <c r="P279" s="3">
        <f>3231+(112.7-685.4)+(0+(0-0))+0-564.7-0</f>
        <v>2093.6000000000004</v>
      </c>
      <c r="Q279" s="3">
        <f>3226.7+(192.7-675.9)+(-8.228085+(-0.491385--1.723545))+0-642.8--1.63913999999991</f>
        <v>2095.3432149999994</v>
      </c>
      <c r="R279" s="3">
        <f>2998.7+(43.9-363.3)+(-7.646685+(-0.111945--0.926415))+0-749.1--1.91020499999989</f>
        <v>1925.2779899999998</v>
      </c>
      <c r="S279" s="3">
        <f>2846.2+(73.1-322.8)+(-4.354686+(-0.111843--0.493884))+0-690.1--1.05585300000004</f>
        <v>1903.4832080000003</v>
      </c>
      <c r="T279" s="3">
        <f>2905.8+(56.8-282.2)+(-1.481958+(-0.028968--0.143922))+0-720.8--0.367607999999927</f>
        <v>1958.600604</v>
      </c>
      <c r="U279" s="3">
        <f>2947.7+(57.1-281.9)+(-1.503327+(-0.029121--0.143769))+0-779.4--0.397493999999921</f>
        <v>1942.5088149999992</v>
      </c>
      <c r="V279" s="3">
        <f>3134.1+(22.7-599)+(-1.598391+(-0.011577--0.30549))+0-603.4--0.307733999999939</f>
        <v>1953.4032560000001</v>
      </c>
      <c r="W279" s="3">
        <f>3447.2+(544.6-1030.8)+(-3.516144+(-0.555492--1.051416))+0-718.7--0.733074000000115</f>
        <v>2240.0128540000001</v>
      </c>
      <c r="X279" s="3">
        <f>3506.3+(435.6-1049.5)+(-7.152852+(-0.888624--2.14098))+0-627.3--1.27969199999997</f>
        <v>2260.4791960000002</v>
      </c>
      <c r="Y279" s="3">
        <f>3507.3+(315.8-872.8)+(-5.366169+(-0.483174--1.335384))+0-741.9--1.13510700000004</f>
        <v>2205.0211480000003</v>
      </c>
      <c r="Z279" s="3">
        <f>3403.8+(251.3-819.3)+(-5.207814+(-0.384489--1.253529))+0-714.4--1.09303200000004</f>
        <v>2118.1542580000005</v>
      </c>
      <c r="AA279" s="3">
        <f>3396.8+(333.4-863.3)+(-3.464736+(-0.340068--0.880566))+0-808.4--0.824568000000129</f>
        <v>2056.4003299999999</v>
      </c>
      <c r="AB279" s="3">
        <f>3236.1+(284.1-818.8)+(-8.252055+(-0.724455--2.08794))+0-731--1.86404999999989</f>
        <v>1965.3754799999999</v>
      </c>
      <c r="AC279" s="3">
        <f>2922.4+(125.6-570.9)+(-8.942544+(-0.384336--1.746954))+0-654.5--2.00277000000008</f>
        <v>1817.0228440000005</v>
      </c>
      <c r="AD279" s="2">
        <v>2357.6999999999998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2501.3+(189.3-257)+(-5.102652+(-0.386172--0.52428))+0-768.9--1.56855599999997</f>
        <v>1661.3040120000003</v>
      </c>
      <c r="G280" s="3">
        <f>2463.9+(224.3-332.3)+(-1.256589+(-0.114393--0.169473))+0-757.5--0.386324999999923</f>
        <v>1597.584816</v>
      </c>
      <c r="H280" s="3">
        <f>2252.4+(235.5-253)+(-5.74362+(-0.600525--0.64515))+0-679.4--1.7324699999999</f>
        <v>1551.5334749999997</v>
      </c>
      <c r="I280" s="3">
        <f>2195.6+(373.5-221.9)+(1.119756+(0.190485-0.113169))+0-813-0.414629999999918</f>
        <v>1534.9824419999998</v>
      </c>
      <c r="J280" s="3">
        <f>2203.5+(376.9-258.2)+(-1.123785+(-0.192219--0.131682))+0-785.7--0.40070699999992</f>
        <v>1535.7163849999997</v>
      </c>
      <c r="K280" s="3">
        <f>2199.3+(405-317.3)+(1.121643+(0.20655-0.161823))+0-728.5-0.371534999999926</f>
        <v>1559.2948349999999</v>
      </c>
      <c r="L280" s="3">
        <f>2387.5+(393.9-320.8)+(-2.43525+(-0.401778--0.327216))+0-783.1--0.798762000000125</f>
        <v>1675.7889500000003</v>
      </c>
      <c r="M280" s="3">
        <f>2718.5+(168.5-488.3)+(2.77287+(0.17187-0.498066))+0-604.3-0.616386000000096</f>
        <v>1796.2302879999995</v>
      </c>
      <c r="N280" s="3">
        <f>2902.1+(112.4-317.4)+(-5.920284+(-0.229296--0.647496))+0-755--1.54019999999997</f>
        <v>1938.1381159999996</v>
      </c>
      <c r="O280" s="3">
        <f>3017.8+(38.4-376.9)+(1.539078+(0.019584-0.192219))+0-649.3-0.331142999999934</f>
        <v>2031.0353000000002</v>
      </c>
      <c r="P280" s="3">
        <f>3168.8+(68.1-476.9)+(-6.464352+(-0.138924--0.972876))+0-661.5--1.34945999999997</f>
        <v>2094.2190599999999</v>
      </c>
      <c r="Q280" s="3">
        <f>3176.4+(122.3-491.9)+(-6.479856+(-0.249492--1.003476))+0-678.6--1.38434399999997</f>
        <v>2123.8584720000003</v>
      </c>
      <c r="R280" s="3">
        <f>2819.7+(120.4-346.2)+(-4.314141+(-0.184212--0.529686))+0-633.1--0.968643000000037</f>
        <v>1957.7999759999996</v>
      </c>
      <c r="S280" s="3">
        <f>2715.6+(272.8-308.7)+(1.384956+(0.139128-0.157437))+0-756-0.385559999999923</f>
        <v>1924.6810869999997</v>
      </c>
      <c r="T280" s="3">
        <f>2679.3+(228.5-312.7)+(-1.366443+(-0.116535--0.159477))+0-625.1--0.318800999999937</f>
        <v>1968.9953000000005</v>
      </c>
      <c r="U280" s="3">
        <f>2637.1+(242.2-246.2)+(-1.344921+(-0.123522--0.125562))+0-687.9--0.35082899999993</f>
        <v>1944.2079479999998</v>
      </c>
      <c r="V280" s="3">
        <f>2747.4+(144.9-331.6)+(-4.203522+(-0.221697--0.507348))+0-602.5--0.921825000000035</f>
        <v>1955.2039540000003</v>
      </c>
      <c r="W280" s="3">
        <f>3403.1+(657.2-1075.2)+(-3.471162+(-0.670344--1.096704))+0-720.9--0.735318000000115</f>
        <v>2261.8905159999999</v>
      </c>
      <c r="X280" s="3">
        <f>3430.9+(622.9-1231.3)+(-6.999036+(-1.270716--2.511852))+0-519.1--1.05896399999998</f>
        <v>2298.7010639999999</v>
      </c>
      <c r="Y280" s="3">
        <f>3440.5+(522.4-1082.6)+(0+(0-0))+0-656.3-0</f>
        <v>2224</v>
      </c>
      <c r="Z280" s="3">
        <f>3445.7+(318.8-1027.4)+(3.514614+(0.325176-1.047948))+0-607.1-0.619242000000097</f>
        <v>2132.1725999999994</v>
      </c>
      <c r="AA280" s="3">
        <f>3364.6+(152.5-821.8)+(-5.147838+(-0.233325--1.257354))+0-631--0.965430000000036</f>
        <v>2061.1416210000002</v>
      </c>
      <c r="AB280" s="3">
        <f>3348+(104.1-717.8)+(-1.70748+(-0.053091--0.366078))+0-773.1--0.394280999999922</f>
        <v>1960.1997880000004</v>
      </c>
      <c r="AC280" s="3">
        <f>2994.9+(93-599)+(-7.636995+(-0.23715--1.52745))+0-645.1--1.64500499999991</f>
        <v>1839.0983099999999</v>
      </c>
      <c r="AD280" s="2">
        <v>2368.8999999999996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2698+(193-376)+(-5.50392+(-0.39372--0.76704))+0-809.7--1.65178799999996</f>
        <v>1701.8211879999999</v>
      </c>
      <c r="G281" s="3">
        <f>2412.4+(260.3-254)+(-3.690972+(-0.398259--0.38862))+0-783.8--1.19921400000005</f>
        <v>1632.3986030000001</v>
      </c>
      <c r="H281" s="3">
        <f>2384.3+(295.7-287.3)+(-2.431986+(-0.301614--0.293046))+0-809--0.825180000000129</f>
        <v>1582.0846260000005</v>
      </c>
      <c r="I281" s="3">
        <f>2377.1+(297.7-281.1)+(0+(0-0))+0-818.7-0</f>
        <v>1574.9999999999998</v>
      </c>
      <c r="J281" s="3">
        <f>2376.3+(243.6-362.5)+(0+(0-0))+0-692.5-0</f>
        <v>1564.9</v>
      </c>
      <c r="K281" s="3">
        <f>2457.5+(282.9-337)+(0+(0-0))+0-814.3-0</f>
        <v>1589.1000000000001</v>
      </c>
      <c r="L281" s="3">
        <f>2527.2+(188.9-416.7)+(-2.577744+(-0.192678--0.425034))+0-643.8--0.656676000000103</f>
        <v>1653.9112879999996</v>
      </c>
      <c r="M281" s="3">
        <f>2763.1+(141.7-489.1)+(-1.409181+(-0.072267--0.249441))+0-630.1--0.321350999999936</f>
        <v>1784.6893439999999</v>
      </c>
      <c r="N281" s="3">
        <f>3015+(39.3-480)+(3.0753+(0.040086-0.4896))+0-605.1-0.617202000000097</f>
        <v>1971.2085840000002</v>
      </c>
      <c r="O281" s="3">
        <f>3316.6+(129.1-694.7)+(3.382932+(0.131682-0.708594))+0-651.4-0.664428000000104</f>
        <v>2101.7415919999999</v>
      </c>
      <c r="P281" s="3">
        <f>3297.8+(245.5-738.6)+(5.045634+(0.375615-1.130058))+0-618.7-0.946611000000036</f>
        <v>2189.3445800000004</v>
      </c>
      <c r="Q281" s="3">
        <f>3456.2+(351.4-1056.7)+(1.762662+(0.179214-0.538917))+0-514.1-0.262190999999948</f>
        <v>2237.9407679999999</v>
      </c>
      <c r="R281" s="3">
        <f>3453.4+(221.7-1036.8)+(-5.283702+(-0.339201--1.586304))+0-549.2--0.840276000000032</f>
        <v>2085.9036770000002</v>
      </c>
      <c r="S281" s="3">
        <f>3381.3+(44.1-677.7)+(-3.448926+(-0.044982--0.691254))+0-681.9--0.695538000000109</f>
        <v>2063.692884</v>
      </c>
      <c r="T281" s="3">
        <f>3156.3+(0-570.9)+(-8.048565+(0--1.455795))+0-489--1.24694999999993</f>
        <v>2091.0541799999996</v>
      </c>
      <c r="U281" s="3">
        <f>3156.7+(2.8-481.6)+(1.609917+(0.001428-0.245616))+0-611.5-0.311864999999938</f>
        <v>2067.4538639999996</v>
      </c>
      <c r="V281" s="3">
        <f>3315.2+(47.8-729.6)+(-5.072256+(-0.073134--1.116288))+0-525.4--0.80386200000003</f>
        <v>2104.7747599999998</v>
      </c>
      <c r="W281" s="3">
        <f>3561.2+(773-1352.8)+(-1.816212+(-0.39423--0.689928))+0-665.8--0.339557999999932</f>
        <v>2314.4190439999998</v>
      </c>
      <c r="X281" s="3">
        <f>3463.4+(705.8-1164.1)+(-7.065336+(-1.439832--2.374764))+0-693.4--1.41453599999997</f>
        <v>2306.984132</v>
      </c>
      <c r="Y281" s="3">
        <f>3418.1+(531.3-893.2)+(-3.486462+(-0.541926--0.911064))+0-813.2--0.82946400000013</f>
        <v>2240.7121400000001</v>
      </c>
      <c r="Z281" s="3">
        <f>3476.8+(556.6-1198.1)+(0+(0-0))+0-705-0</f>
        <v>2130.3000000000002</v>
      </c>
      <c r="AA281" s="3">
        <f>3539.5+(560.1-1231.7)+(-5.415435+(-0.856953--1.884501))+0-809.8--1.23899400000005</f>
        <v>2054.9511070000008</v>
      </c>
      <c r="AB281" s="3">
        <f>3267.5+(292.3-932.8)+(-6.6657+(-0.596292--1.902912))+0-670.1--1.36700399999997</f>
        <v>1952.9079239999999</v>
      </c>
      <c r="AC281" s="3">
        <f>3017.5+(240.1-731.5)+(-7.694625+(-0.612255--1.865325))+0-704.5--1.7964749999999</f>
        <v>1816.9549199999999</v>
      </c>
      <c r="AD281" s="2">
        <v>2364.3000000000002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2907.7+(195.7-631)+(-4.448781+(-0.299421--0.96543))+0-759.4--1.16188200000004</f>
        <v>1710.3791099999996</v>
      </c>
      <c r="G282" s="3">
        <f>2658.9+(197.6-349.1)+(-4.068117+(-0.302328--0.534123))+0-870.8--1.33232400000005</f>
        <v>1634.096002</v>
      </c>
      <c r="H282" s="3">
        <f>2660.6+(116.4-416.6)+(-5.427624+(-0.237456--0.849864))+0-764.1--1.55876399999997</f>
        <v>1593.0435479999996</v>
      </c>
      <c r="I282" s="3">
        <f>2662.7+(149.7-424.8)+(0+(0-0))+0-808.9-0</f>
        <v>1578.6999999999998</v>
      </c>
      <c r="J282" s="3">
        <f>2660.3+(81.8-467.6)+(2.713506+(0.083436-0.476952))+0-695.6-0.709512000000111</f>
        <v>1580.5104779999999</v>
      </c>
      <c r="K282" s="3">
        <f>2659.8+(187.2-394.8)+(0+(0-0))+0-853.9-0</f>
        <v>1598.3000000000002</v>
      </c>
      <c r="L282" s="3">
        <f>2658.9+(224.9-409.5)+(0+(0-0))+0-795.6-0</f>
        <v>1678.7000000000003</v>
      </c>
      <c r="M282" s="3">
        <f>2792.9+(120-491)+(0+(0-0))+0-616.7-0</f>
        <v>1805.2</v>
      </c>
      <c r="N282" s="3">
        <f>2987.3+(74.2-601.8)+(-1.523523+(-0.037842--0.306918))+0-503--0.256529999999949</f>
        <v>1955.7020830000004</v>
      </c>
      <c r="O282" s="3">
        <f>3180.6+(119-829)+(3.244212+(0.12138-0.84558))+0-421.7-0.430134000000067</f>
        <v>2050.9898779999999</v>
      </c>
      <c r="P282" s="3">
        <f>3637.6+(591.6-1424.8)+(1.855176+(0.301716-0.726648))+0-629-0.320789999999936</f>
        <v>2176.5094540000005</v>
      </c>
      <c r="Q282" s="3">
        <f>3543.5+(744.7-1377.3)+(-7.22874+(-1.519188--2.809692))+0-796.8--1.62547199999997</f>
        <v>2109.7872360000006</v>
      </c>
      <c r="R282" s="3">
        <f>3406.2+(266.9-1173.4)+(1.737162+(0.136119-0.598434))+0-528.5-0.269534999999946</f>
        <v>1972.205312</v>
      </c>
      <c r="S282" s="3">
        <f>3498+(154.7-1046.7)+(1.78398+(0.078897-0.533817))+0-685.6-0.34965599999993</f>
        <v>1921.3794040000002</v>
      </c>
      <c r="T282" s="3">
        <f>3382.4+(88.8-859.1)+(1.725024+(0.045288-0.438141))+0-667.3-0.340322999999932</f>
        <v>1945.7918480000001</v>
      </c>
      <c r="U282" s="3">
        <f>3261.6+(13.6-759.5)+(-6.653664+(-0.027744--1.54938))+0-569--1.16075999999998</f>
        <v>1942.7287319999998</v>
      </c>
      <c r="V282" s="3">
        <f>3233.7+(152.2-743.4)+(-6.596748+(-0.310488--1.516536))+0-696.4--1.42065599999997</f>
        <v>1942.129956</v>
      </c>
      <c r="W282" s="3">
        <f>3393.6+(382.9-935.2)+(-5.192208+(-0.585837--1.430856))+0-666.7--1.02005100000004</f>
        <v>2171.2728619999993</v>
      </c>
      <c r="X282" s="3">
        <f>3530+(463.9-1141.5)+(0+(0-0))+0-655-0</f>
        <v>2197.4</v>
      </c>
      <c r="Y282" s="3">
        <f>3291.5+(217.1-749.2)+(-1.678665+(-0.110721--0.382092))+0-613.9--0.313088999999938</f>
        <v>2144.4057949999997</v>
      </c>
      <c r="Z282" s="3">
        <f>3221.4+(111.3-594.7)+(-4.928742+(-0.170289--0.909891))+0-667.1--1.02066300000004</f>
        <v>2067.7315230000004</v>
      </c>
      <c r="AA282" s="3">
        <f>3205.2+(31.6-695.3)+(-9.807912+(-0.096696--2.127618))+0-556.3--1.70227800000006</f>
        <v>1979.1252880000002</v>
      </c>
      <c r="AB282" s="3">
        <f>3201.4+(8.1-706.3)+(-1.632714+(-0.004131--0.360213))+0-601.4--0.306713999999939</f>
        <v>1900.8300819999999</v>
      </c>
      <c r="AC282" s="3">
        <f>3125.7+(86.6-675.8)+(-6.376428+(-0.176664--1.378632))+0-728.8--1.48675199999997</f>
        <v>1804.0122919999999</v>
      </c>
      <c r="AD282" s="2">
        <v>2186.3000000000002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2966.3+(96.2-610.3)+(-4.538439+(-0.147186--0.933759))+0-783.1--1.19814300000005</f>
        <v>1666.5462770000004</v>
      </c>
      <c r="G283" s="3">
        <f>2616+(119.6-473)+(-4.00248+(-0.182988--0.72369))+0-679--1.03887000000004</f>
        <v>1581.1770920000001</v>
      </c>
      <c r="H283" s="3">
        <f>2556.8+(134.5-492.5)+(-5.215872+(-0.27438--1.0047))+0-658.8--1.34395199999997</f>
        <v>1536.8584000000001</v>
      </c>
      <c r="I283" s="3">
        <f>2551.5+(163.6-411.3)+(-1.301265+(-0.083436--0.209763))+0-778.8--0.397187999999921</f>
        <v>1524.22225</v>
      </c>
      <c r="J283" s="3">
        <f>2549.6+(153.5-395.7)+(-2.600592+(-0.15657--0.403614))+0-804.6--0.820692000000128</f>
        <v>1501.2671440000004</v>
      </c>
      <c r="K283" s="3">
        <f>2548.9+(193-426.8)+(2.599878+(0.19686-0.435336))+0-784.4-0.800088000000125</f>
        <v>1532.2613139999996</v>
      </c>
      <c r="L283" s="3">
        <f>2572.2+(245.3-532.7)+(-3.935466+(-0.375309--0.815031))+0-712.9--1.09073700000004</f>
        <v>1569.4949929999998</v>
      </c>
      <c r="M283" s="3">
        <f>2760.1+(152.4-554.9)+(0+(0-0))+0-722.7-0</f>
        <v>1634.8999999999999</v>
      </c>
      <c r="N283" s="3">
        <f>3030.7+(138.5-669.1)+(3.091314+(0.14127-0.682482))+0-694.4-0.708288000000111</f>
        <v>1807.5418139999999</v>
      </c>
      <c r="O283" s="3">
        <f>3447.1+(303.9-1073.6)+(-5.274063+(-0.464967--1.642608))+0-753.2--1.15239600000004</f>
        <v>1921.2559739999999</v>
      </c>
      <c r="P283" s="3">
        <f>3517.3+(520.9-1281.3)+(-3.587646+(-0.531318--1.306926))+0-759.7--0.774894000000121</f>
        <v>1995.1628560000001</v>
      </c>
      <c r="Q283" s="3">
        <f>3535.5+(597.5-1347.9)+(3.60621+(0.60945-1.374858))+0-787.1-0.802842000000126</f>
        <v>2000.0379600000001</v>
      </c>
      <c r="R283" s="3">
        <f>3375.9+(260.5-1036.7)+(-12.051963+(-0.929985--3.701019))+0-753.8--2.69106600000001</f>
        <v>1839.3101369999999</v>
      </c>
      <c r="S283" s="3">
        <f>3150.9+(88.4-601.4)+(0+(0-0))+0-837.2-0</f>
        <v>1800.7</v>
      </c>
      <c r="T283" s="3">
        <f>3005.8+(82.1-572.6)+(-4.598874+(-0.125613--0.876078))+0-726.9--1.11215700000004</f>
        <v>1785.6637479999999</v>
      </c>
      <c r="U283" s="3">
        <f>3019.5+(96.4-682.5)+(-3.07989+(-0.098328--0.69615))+0-694.3--0.708186000000111</f>
        <v>1737.3261180000004</v>
      </c>
      <c r="V283" s="3">
        <f>3217.5+(37.1-747.3)+(-1.640925+(-0.018921--0.381123))+0-763.9--0.389588999999922</f>
        <v>1742.5108660000001</v>
      </c>
      <c r="W283" s="3">
        <f>3616.8+(476.3-1326.7)+(5.533704+(0.728739-2.029851))+0-756-1.15668000000004</f>
        <v>2013.4759119999999</v>
      </c>
      <c r="X283" s="3">
        <f>3616.5+(419.3-1218.9)+(-5.533245+(-0.641529--1.864917))+0-744--1.13832000000004</f>
        <v>2069.7284629999995</v>
      </c>
      <c r="Y283" s="3">
        <f>3535.6+(153.7-1012.5)+(0+(0-0))+0-653.6-0</f>
        <v>2023.2000000000003</v>
      </c>
      <c r="Z283" s="3">
        <f>3391.9+(49.8-797.1)+(-6.919476+(-0.101592--1.626084))+0-681.5--1.39025999999997</f>
        <v>1959.0952759999998</v>
      </c>
      <c r="AA283" s="3">
        <f>3172.3+(47.3-679.7)+(-3.235746+(-0.048246--0.693294))+0-632.9--0.645558000000101</f>
        <v>1905.0548600000002</v>
      </c>
      <c r="AB283" s="3">
        <f>2883.8+(95.7-506.4)+(-4.412214+(-0.146421--0.774792))+0-630.3--0.964359000000036</f>
        <v>1839.9805160000003</v>
      </c>
      <c r="AC283" s="3">
        <f>2679.6+(217.5-538.6)+(1.366596+(0.110925-0.274686))+0-625.4-0.318953999999937</f>
        <v>1733.9838810000001</v>
      </c>
      <c r="AD283" s="2">
        <v>2088.1999999999998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2565.9+(198.9-488.5)+(-3.925827+(-0.304317--0.747405))+0-658.2--1.00704600000004</f>
        <v>1615.624307</v>
      </c>
      <c r="G284" s="3">
        <f>2384.4+(247.6-356.5)+(-2.432088+(-0.252552--0.36363))+0-732.5--0.747150000000117</f>
        <v>1541.42614</v>
      </c>
      <c r="H284" s="3">
        <f>2400.6+(239.7-405.8)+(-1.224306+(-0.122247--0.206958))+0-744.3--0.379592999999924</f>
        <v>1489.4399979999998</v>
      </c>
      <c r="I284" s="3">
        <f>2448.1+(277.9-408)+(-8.739717+(-0.992103--1.45656))+0-850.6--3.03664200000001</f>
        <v>1462.1613820000002</v>
      </c>
      <c r="J284" s="3">
        <f>2435.4+(253.8-489.9)+(1.242054+(0.129438-0.249849))+0-736.7-0.375716999999925</f>
        <v>1463.3459260000002</v>
      </c>
      <c r="K284" s="3">
        <f>2435.1+(215-482)+(-3.725703+(-0.32895--0.73746))+0-709.6--1.08568800000004</f>
        <v>1456.2684950000003</v>
      </c>
      <c r="L284" s="3">
        <f>2453.7+(307.8-623.6)+(-6.256935+(-0.78489--1.59018))+0-692.6--1.7661299999999</f>
        <v>1441.6144849999996</v>
      </c>
      <c r="M284" s="3">
        <f>2395.4+(211-682.7)+(0+(0-0))+0-564.3-0</f>
        <v>1359.4</v>
      </c>
      <c r="N284" s="3">
        <f>2372.5+(398.6-701)+(1.209975+(0.203286-0.35751))+0-674.3-0.343892999999932</f>
        <v>1396.5118579999998</v>
      </c>
      <c r="O284" s="3">
        <f>2652.7+(205.5-743.4)+(1.352877+(0.104805-0.379134))+0-644.3-0.328592999999935</f>
        <v>1471.2499549999998</v>
      </c>
      <c r="P284" s="3">
        <f>2874.4+(242.5-780)+(-2.931888+(-0.24735--0.7956))+0-802.5--0.818550000000128</f>
        <v>1532.8349120000005</v>
      </c>
      <c r="Q284" s="3">
        <f>3056.7+(130.7-896.1)+(0+(0-0))+0-732.9-0</f>
        <v>1558.3999999999996</v>
      </c>
      <c r="R284" s="3">
        <f>3042.9+(86.3-832.5)+(-6.207516+(-0.176052--1.6983))+0-780.7--1.59262799999997</f>
        <v>1512.9073599999995</v>
      </c>
      <c r="S284" s="3">
        <f>2975.6+(49.1-835)+(-3.035112+(-0.050082--0.8517))+0-706.7--0.720834000000113</f>
        <v>1481.4873399999999</v>
      </c>
      <c r="T284" s="3">
        <f>2840.4+(87.8-711.8)+(-5.794416+(-0.179112--1.452072))+0-761.9--1.55427599999997</f>
        <v>1451.5328200000001</v>
      </c>
      <c r="U284" s="3">
        <f>2706.7+(102.8-738.6)+(1.380417+(0.052428-0.376686))+0-638-0.325379999999935</f>
        <v>1433.6307789999998</v>
      </c>
      <c r="V284" s="3">
        <f>2779.5+(129.4-695.8)+(-4.252635+(-0.197982--1.064574))+0-722.6--1.10557800000004</f>
        <v>1488.2195350000002</v>
      </c>
      <c r="W284" s="3">
        <f>3283.2+(315.3-1188.9)+(3.348864+(0.321606-1.212678))+0-643-0.655860000000102</f>
        <v>1768.4019319999995</v>
      </c>
      <c r="X284" s="3">
        <f>3549.6+(436.3-1456.2)+(-3.620592+(-0.445026--1.485324))+0-671.4--0.684828000000107</f>
        <v>1856.404534</v>
      </c>
      <c r="Y284" s="3">
        <f>3461.7+(511.2-1368.1)+(5.296401+(0.782136-2.093193))+0-748-1.14444000000004</f>
        <v>1859.6409040000003</v>
      </c>
      <c r="Z284" s="3">
        <f>3541.5+(508.1-1483.9)+(5.418495+(0.777393-2.270367))+0-740.5-1.13296500000004</f>
        <v>1827.9925559999999</v>
      </c>
      <c r="AA284" s="3">
        <f>3504.1+(355.9-1282.3)+(3.574182+(0.363018-1.307946))+0-769.6-0.784992000000123</f>
        <v>1809.9442619999998</v>
      </c>
      <c r="AB284" s="3">
        <f>3313.5+(63.1-898.9)+(-6.75954+(-0.128724--1.833756))+0-727.2--1.48348799999997</f>
        <v>1746.9289799999997</v>
      </c>
      <c r="AC284" s="3">
        <f>2956.4+(111-747.2)+(-9.046584+(-0.33966--2.286432))+0-670.4--2.05142400000008</f>
        <v>1644.7516119999998</v>
      </c>
      <c r="AD284" s="2">
        <v>1888.2000000000003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2610.2+(273.4-523)+(0+(0-0))+0-821.7-0</f>
        <v>1538.8999999999999</v>
      </c>
      <c r="G285" s="3">
        <f>2577.4+(241.8-586.4)+(0+(0-0))+0-760.4-0</f>
        <v>1472.4</v>
      </c>
      <c r="H285" s="3">
        <f>2501.6+(256.3-499.9)+(-1.275816+(-0.130713--0.254949))+0-808.6--0.412385999999918</f>
        <v>1448.6608059999999</v>
      </c>
      <c r="I285" s="3">
        <f>2373.7+(306.7-414.5)+(3.631761+(0.469251-0.634185))+0-830.5-1.27066500000005</f>
        <v>1437.5961619999998</v>
      </c>
      <c r="J285" s="3">
        <f>2341.1+(285.5-428.8)+(4.775844+(0.58242-0.874752))+0-764.9-1.56039599999997</f>
        <v>1435.8231159999993</v>
      </c>
      <c r="K285" s="3">
        <f>2343.2+(304.2-392.5)+(5.97516+(0.77571-1.000875))+0-801-2.04254999999988</f>
        <v>1457.6074449999999</v>
      </c>
      <c r="L285" s="3">
        <f>2586.3+(242.7-629.5)+(-1.319013+(-0.123777--0.321045))+0-660--0.336599999999933</f>
        <v>1538.7148549999999</v>
      </c>
      <c r="M285" s="3">
        <f>2754.4+(203.3-635.4)+(2.809488+(0.207366-0.648108))+0-655.9-0.669018000000105</f>
        <v>1668.0997280000001</v>
      </c>
      <c r="N285" s="3">
        <f>3043.4+(131.3-609.9)+(6.208536+(0.267852-1.244196))+0-716-1.46063999999997</f>
        <v>1852.5715520000001</v>
      </c>
      <c r="O285" s="3">
        <f>3455.7+(101-835.1)+(1.762407+(0.05151-0.425901))+0-730.2-0.372401999999926</f>
        <v>1992.4156139999998</v>
      </c>
      <c r="P285" s="3">
        <f>3619+(326.7-1265.7)+(3.69138+(0.333234-1.291014))+0-636.2-0.648924000000102</f>
        <v>2045.8846759999999</v>
      </c>
      <c r="Q285" s="3">
        <f>3650.6+(445.6-1223.1)+(-7.447224+(-0.909024--2.495124))+0-810.5--1.65341999999996</f>
        <v>2058.392296</v>
      </c>
      <c r="R285" s="3">
        <f>3423.9+(73.2-924.6)+(-5.238567+(-0.111996--1.414638))+0-670.4--1.02571200000004</f>
        <v>1899.1897869999998</v>
      </c>
      <c r="S285" s="3">
        <f>3399.9+(23.4-984.7)+(3.467898+(0.023868-1.004394))+0-546.3-0.557226000000087</f>
        <v>1894.2301459999999</v>
      </c>
      <c r="T285" s="3">
        <f>3241.1+(56.9-730.6)+(0+(0-0))+0-667.4-0</f>
        <v>1899.9999999999995</v>
      </c>
      <c r="U285" s="3">
        <f>3119.9+(31.6-751.8)+(0+(0-0))+0-469.4-0</f>
        <v>1930.3000000000002</v>
      </c>
      <c r="V285" s="3">
        <f>3224.5+(20.6-702.2)+(1.644495+(0.010506-0.358122))+0-614.8-0.313547999999938</f>
        <v>1929.0833310000003</v>
      </c>
      <c r="W285" s="3">
        <f>3555.8+(597.7-1307.5)+(3.626916+(0.609654-1.33365))+0-644.6-0.657492000000103</f>
        <v>2203.6454279999998</v>
      </c>
      <c r="X285" s="3">
        <f>3634.2+(789.8-1436.2)+(-1.853442+(-0.402798--0.732462))+0-747.9--0.381428999999924</f>
        <v>2238.7576509999994</v>
      </c>
      <c r="Y285" s="3">
        <f>3609.9+(474.7-1289.2)+(-11.046294+(-1.452582--3.944952))+0-641.8--1.96390800000007</f>
        <v>2147.0099840000007</v>
      </c>
      <c r="Z285" s="3">
        <f>3591.3+(158.6-1044.3)+(-3.663126+(-0.161772--1.065186))+0-634.1--0.646782000000101</f>
        <v>2069.3870700000007</v>
      </c>
      <c r="AA285" s="3">
        <f>3290.5+(0-657.1)+(-3.35631+(0--0.670242))+0-626--0.6385200000001</f>
        <v>2005.3524520000003</v>
      </c>
      <c r="AB285" s="3">
        <f>3190.4+(41.1-581.5)+(-3.254208+(-0.041922--0.59313))+0-754--0.76908000000012</f>
        <v>1894.0660800000001</v>
      </c>
      <c r="AC285" s="3">
        <f>3128.3+(49.4-605.1)+(-9.572598+(-0.151164--1.851606))+0-808.2--2.47309200000009</f>
        <v>1759.0009360000006</v>
      </c>
      <c r="AD285" s="2">
        <v>2217.2999999999997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2709.3+(274.9-571.7)+(4.145229+(0.420597-0.874701))+0-768.5-1.17580500000004</f>
        <v>1646.5153199999997</v>
      </c>
      <c r="G286" s="3">
        <f>2611.2+(415.1-601.4)+(6.65856+(1.058505-1.53357))+0-851-2.17004999999988</f>
        <v>1577.9134449999999</v>
      </c>
      <c r="H286" s="3">
        <f>2566.1+(247.8-559.2)+(5.234844+(0.505512-1.140768))+0-718.7-1.46614799999997</f>
        <v>1539.1334399999998</v>
      </c>
      <c r="I286" s="3">
        <f>2515.4+(368-607.1)+(6.41427+(0.9384-1.548105))+0-753.5-1.92142499999989</f>
        <v>1526.6831400000001</v>
      </c>
      <c r="J286" s="3">
        <f>2594.4+(333.2-627.6)+(0+(0-0))+0-772.7-0</f>
        <v>1527.3</v>
      </c>
      <c r="K286" s="3">
        <f>2639.2+(259.9-691.3)+(2.691984+(0.265098-0.705126))+0-656.2-0.669324000000105</f>
        <v>1553.1826319999996</v>
      </c>
      <c r="L286" s="3">
        <f>2768.2+(335.2-725.4)+(-1.411782+(-0.170952--0.369954))+0-767.7--0.391526999999922</f>
        <v>1609.4787470000001</v>
      </c>
      <c r="M286" s="3">
        <f>2938.4+(238.6-783.4)+(1.498584+(0.121686-0.399534))+0-680.4-0.347003999999931</f>
        <v>1714.0737320000005</v>
      </c>
      <c r="N286" s="3">
        <f>3113.2+(188.7-599.5)+(-4.763196+(-0.288711--0.917235))+0-802.5--1.22782500000005</f>
        <v>1896.9931529999994</v>
      </c>
      <c r="O286" s="3">
        <f>3144.8+(63.1-560)+(-8.01924+(-0.160905--1.428))+0-652.6--1.66412999999991</f>
        <v>1990.2119850000001</v>
      </c>
      <c r="P286" s="3">
        <f>3142.1+(89.5-554.1)+(-6.409884+(-0.18258--1.130364))+0-619--1.26275999999997</f>
        <v>2054.3006599999999</v>
      </c>
      <c r="Q286" s="3">
        <f>3146.9+(56.7-646.1)+(-8.024595+(-0.144585--1.647555))+0-493.1--1.25740499999993</f>
        <v>2059.1357800000001</v>
      </c>
      <c r="R286" s="3">
        <f>3192.6+(0-695.7)+(-4.884678+(0--1.064421))+0-575.8--0.880974000000033</f>
        <v>1918.1607169999997</v>
      </c>
      <c r="S286" s="3">
        <f>3231.2+(26.5-792.9)+(0+(0-0))+0-550.3-0</f>
        <v>1914.4999999999998</v>
      </c>
      <c r="T286" s="3">
        <f>3156.4+(29.5-740.5)+(1.609764+(0.015045-0.377655))+0-496.2-0.25306199999995</f>
        <v>1950.1940920000002</v>
      </c>
      <c r="U286" s="3">
        <f>3107.1+(40.4-574.2)+(3.169242+(0.041208-0.585684))+0-632.9-0.645558000000101</f>
        <v>1942.3792079999994</v>
      </c>
      <c r="V286" s="3">
        <f>3035.7+(56.7-364.6)+(3.096414+(0.057834-0.371892))+0-784.3-0.799986000000125</f>
        <v>1945.4823699999997</v>
      </c>
      <c r="W286" s="3">
        <f>3378.1+(553.7-940.8)+(3.445662+(0.564774-0.959616))+0-675.1-0.688602000000108</f>
        <v>2318.2622179999998</v>
      </c>
      <c r="X286" s="3">
        <f>3469.4+(734.4-1193.3)+(-5.308182+(-1.123632--1.825749))+0-750.5--1.14826500000004</f>
        <v>2256.5422000000003</v>
      </c>
      <c r="Y286" s="3">
        <f>3375.2+(427.4-948.5)+(-1.721352+(-0.217974--0.483735))+0-666.7--0.340016999999932</f>
        <v>2186.2844259999997</v>
      </c>
      <c r="Z286" s="3">
        <f>3350.1+(217.3-649.3)+(-3.417102+(-0.221646--0.662286))+0-795.7--0.811614000000127</f>
        <v>2120.2351520000002</v>
      </c>
      <c r="AA286" s="3">
        <f>3241.2+(27.4-639.7)+(-1.653012+(-0.013974--0.326247))+0-607.6--0.309875999999938</f>
        <v>2020.2691369999995</v>
      </c>
      <c r="AB286" s="3">
        <f>3072.3+(15.9-506.3)+(-1.566873+(-0.008109--0.258213))+0-664.4--0.338843999999933</f>
        <v>1916.5220749999999</v>
      </c>
      <c r="AC286" s="3">
        <f>2921.6+(172.3-629.4)+(-2.980032+(-0.175746--0.641988))+0-667.3--0.680646000000106</f>
        <v>1795.3668560000001</v>
      </c>
      <c r="AD286" s="2">
        <v>2256.7000000000003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2789.6+(395.4-793.4)+(0+(0-0))+0-715.1-0</f>
        <v>1676.5</v>
      </c>
      <c r="G287" s="3">
        <f>2668.7+(410.4-791.9)+(4.083111+(0.627912-1.211607))+0-689.9-1.05554700000004</f>
        <v>1599.7438689999999</v>
      </c>
      <c r="H287" s="3">
        <f>2520.6+(506.1-680.4)+(5.142024+(1.032444-1.388016))+0-787.9-1.60731599999997</f>
        <v>1561.5791359999998</v>
      </c>
      <c r="I287" s="3">
        <f>2522.2+(493.7-663.5)+(0+(0-0))+0-804-0</f>
        <v>1548.3999999999996</v>
      </c>
      <c r="J287" s="3">
        <f>2523.2+(446.5-725.2)+(-2.573664+(-0.45543--0.739704))+0-696--0.709920000000111</f>
        <v>1546.9205300000001</v>
      </c>
      <c r="K287" s="3">
        <f>2586.2+(413.5-626.6)+(2.637924+(0.42177-0.639132))+0-812.4-0.82864800000013</f>
        <v>1562.2919139999995</v>
      </c>
      <c r="L287" s="3">
        <f>2741.6+(422.1-878)+(-6.99108+(-1.076355--2.2389))+0-654.6--1.66922999999991</f>
        <v>1626.9406949999998</v>
      </c>
      <c r="M287" s="3">
        <f>2938.6+(287.3-694.3)+(-2.997372+(-0.293046--0.708186))+0-791.9--0.807738000000126</f>
        <v>1737.9255059999998</v>
      </c>
      <c r="N287" s="3">
        <f>3111.3+(140.7-666.8)+(-3.173526+(-0.143514--0.680136))+0-664--0.677280000000106</f>
        <v>1919.2403760000004</v>
      </c>
      <c r="O287" s="3">
        <f>3286+(312.4-849.2)+(6.70344+(0.637296-1.732368))+0-761.2-1.55284799999997</f>
        <v>1992.0555199999999</v>
      </c>
      <c r="P287" s="3">
        <f>3419+(541.7-1083.6)+(1.74369+(0.276267-0.552636))+0-827.3-0.421922999999916</f>
        <v>2050.8453980000004</v>
      </c>
      <c r="Q287" s="3">
        <f>3303.5+(545.4-1015.1)+(-8.423925+(-1.39077--2.588505))+0-765.1--1.95100499999989</f>
        <v>2063.4248150000003</v>
      </c>
      <c r="R287" s="3">
        <f>3246.1+(313.2-872)+(-6.622044+(-0.638928--1.77888))+0-770.1--1.57100399999997</f>
        <v>1913.288912</v>
      </c>
      <c r="S287" s="3">
        <f>3224.1+(262.1-722.4)+(1.644291+(0.133671-0.368424))+0-854.8-0.435947999999913</f>
        <v>1909.9735900000003</v>
      </c>
      <c r="T287" s="3">
        <f>3133.8+(155.3-587.6)+(0+(0-0))+0-756-0</f>
        <v>1945.5</v>
      </c>
      <c r="U287" s="3">
        <f>3148.6+(118.6-669.5)+(-6.423144+(-0.241944--1.36578))+0-665.3--1.35721199999997</f>
        <v>1928.4579039999996</v>
      </c>
      <c r="V287" s="3">
        <f>3132.6+(220.6-722.2)+(3.195252+(0.225012-0.736644))+0-684-0.697680000000109</f>
        <v>1948.9859399999996</v>
      </c>
      <c r="W287" s="3">
        <f>3282.2+(922.5-1237.7)+(5.021766+(1.411425-1.893681))+0-744.2-1.13862600000004</f>
        <v>2226.2008839999999</v>
      </c>
      <c r="X287" s="3">
        <f>3334.1+(843.7-1213.3)+(-6.801564+(-1.721148--2.475132))+0-680.8--1.38883199999997</f>
        <v>2279.0412520000004</v>
      </c>
      <c r="Y287" s="3">
        <f>3286+(587.4-957.1)+(3.35172+(0.599148-0.976242))+0-713.1-0.727362000000114</f>
        <v>2205.4472640000004</v>
      </c>
      <c r="Z287" s="3">
        <f>3288.5+(601.5-951.4)+(0+(0-0))+0-814.2-0</f>
        <v>2124.3999999999996</v>
      </c>
      <c r="AA287" s="3">
        <f>3257.4+(481.2-859.6)+(-3.322548+(-0.490824--0.876792))+0-842.6--0.859452000000134</f>
        <v>2034.3228720000002</v>
      </c>
      <c r="AB287" s="3">
        <f>3282.9+(232-853.5)+(-3.348558+(-0.23664--0.87057))+0-722.7--0.737154000000115</f>
        <v>1936.722526</v>
      </c>
      <c r="AC287" s="3">
        <f>3105.3+(188.2-562.8)+(-4.751109+(-0.287946--0.861084))+0-900.2--1.37730600000005</f>
        <v>1827.6993350000002</v>
      </c>
      <c r="AD287" s="2">
        <v>2299.9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2717.7+(162.9-540.2)+(-1.386027+(-0.083079--0.275502))+0-637.4--0.325073999999935</f>
        <v>1702.1314699999994</v>
      </c>
      <c r="G288" s="3">
        <f>2626+(268.2-479.6)+(-5.35704+(-0.547128--0.978384))+0-783.6--1.59854399999997</f>
        <v>1627.6727599999999</v>
      </c>
      <c r="H288" s="3">
        <f>2495.2+(282.3-459.9)+(0+(0-0))+0-739.1-0</f>
        <v>1578.5</v>
      </c>
      <c r="I288" s="3">
        <f>2496.2+(292.3-471.3)+(-1.273062+(-0.149073--0.240363))+0-760--0.387599999999923</f>
        <v>1556.4058279999999</v>
      </c>
      <c r="J288" s="3">
        <f>2492.5+(294.4-415.1)+(-1.271175+(-0.150144--0.211701))+0-817.7--0.417026999999917</f>
        <v>1553.3074090000002</v>
      </c>
      <c r="K288" s="3">
        <f>2490.9+(359.4-507.3)+(-3.811077+(-0.549882--0.776169))+0-757.7--1.15928100000004</f>
        <v>1582.874491</v>
      </c>
      <c r="L288" s="3">
        <f>2490.9+(359.4-507.3)+(-3.811077+(-0.549882--0.776169))+0-757.7--1.15928100000004</f>
        <v>1582.874491</v>
      </c>
      <c r="M288" s="3">
        <f>2500.7+(536.6-523.1)+(-1.275357+(-0.273666--0.266781))+0-861.7--0.439466999999913</f>
        <v>1651.6572249999995</v>
      </c>
      <c r="N288" s="3">
        <f>2537.2+(486-569.4)+(0+(0-0))+0-727.1-0</f>
        <v>1726.6999999999998</v>
      </c>
      <c r="O288" s="3">
        <f>2851.1+(353-392.3)+(-2.908122+(-0.36006--0.400146))+0-759.9--0.775098000000121</f>
        <v>2049.8070619999999</v>
      </c>
      <c r="P288" s="3">
        <f>2796.7+(502.5-450.5)+(-2.852634+(-0.51255--0.45951))+0-765.7--0.781014000000122</f>
        <v>2080.8753399999996</v>
      </c>
      <c r="Q288" s="3">
        <f>2766+(531.8-445.2)+(7.0533+(1.35609-1.13526))+0-822.4-2.09711999999988</f>
        <v>2035.3770099999997</v>
      </c>
      <c r="R288" s="3">
        <f>2907.4+(315-532.6)+(-10.379418+(-1.12455--1.901382))+0-770.1--2.74925700000001</f>
        <v>1912.8466710000002</v>
      </c>
      <c r="S288" s="3">
        <f>2682.3+(242.6-299.3)+(-5.471892+(-0.494904--0.610572))+0-744.3--1.51837199999997</f>
        <v>1877.4621480000003</v>
      </c>
      <c r="T288" s="3">
        <f>2614.9+(312.9-199.2)+(1.333599+(0.159579-0.101592))+0-797.5-0.406724999999919</f>
        <v>1932.0848610000003</v>
      </c>
      <c r="U288" s="3">
        <f>2611.7+(163.7-220)+(-1.331967+(-0.083487--0.1122))+0-640.2--0.326501999999935</f>
        <v>1914.2232479999996</v>
      </c>
      <c r="V288" s="3">
        <f>2769.5+(253.8-378.8)+(0+(0-0))+0-725.1-0</f>
        <v>1919.4</v>
      </c>
      <c r="W288" s="3">
        <f>3068.3+(978.5-1148.5)+(4.694499+(1.497105-1.757205))+0-676.9-1.03565700000004</f>
        <v>2224.7987420000004</v>
      </c>
      <c r="X288" s="3">
        <f>3097.7+(1098.5-1222.7)+(-6.319308+(-2.24094--2.494308))+0-702.2--1.43248799999997</f>
        <v>2266.6665479999997</v>
      </c>
      <c r="Y288" s="3">
        <f>3066.7+(856.9-1001)+(-3.128034+(-0.874038--1.02102))+0-726.5--0.741030000000116</f>
        <v>2193.859978</v>
      </c>
      <c r="Z288" s="3">
        <f>3072+(675.1-990.9)+(-3.13344+(-0.688602--1.010718))+0-656.6--0.669732000000105</f>
        <v>2097.4584080000004</v>
      </c>
      <c r="AA288" s="3">
        <f>3065.4+(725.4-921.8)+(0+(0-0))+0-847.5-0</f>
        <v>2021.5</v>
      </c>
      <c r="AB288" s="3">
        <f>2955.7+(446.4-674.8)+(-4.522221+(-0.682992--1.032444))+0-799.7--1.22354100000005</f>
        <v>1924.650772</v>
      </c>
      <c r="AC288" s="3">
        <f>2876.8+(130.8-533.1)+(-1.467168+(-0.066708--0.271881))+0-670.4--0.341903999999932</f>
        <v>1803.179909</v>
      </c>
      <c r="AD288" s="2">
        <v>2264.1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2663.3+(259.6-406)+(-4.074849+(-0.397188--0.62118))+0-844.2--1.29162600000005</f>
        <v>1670.1407690000001</v>
      </c>
      <c r="G289" s="3">
        <f>2354.1+(470.3-363.2)+(0+(0-0))+0-845.8-0</f>
        <v>1615.3999999999999</v>
      </c>
      <c r="H289" s="3">
        <f>2238.7+(486.1-361.5)+(1.141737+(0.247911-0.184365))+0-795-0.405449999999919</f>
        <v>1569.0998329999995</v>
      </c>
      <c r="I289" s="3">
        <f>2230.3+(544.9-399.4)+(2.274906+(0.555798-0.407388))+0-831.6-0.848232000000133</f>
        <v>1545.7750840000001</v>
      </c>
      <c r="J289" s="3">
        <f>2229.6+(579.6-453.3)+(4.548384+(1.182384-0.924732))+0-797.5-1.62689999999997</f>
        <v>1561.5791360000001</v>
      </c>
      <c r="K289" s="3">
        <f>2247+(670.6-508.9)+(2.29194+(0.684012-0.519078))+0-838.4-0.855168000000134</f>
        <v>1571.9017059999996</v>
      </c>
      <c r="L289" s="3">
        <f>2343.1+(708.2-633.4)+(0+(0-0))+0-796-0</f>
        <v>1621.9</v>
      </c>
      <c r="M289" s="3">
        <f>2461.2+(644.8-698.5)+(-2.510424+(-0.657696--0.71247))+0-690.4--0.70420800000011</f>
        <v>1715.3485580000001</v>
      </c>
      <c r="N289" s="3">
        <f>2923.7+(511.7-819.9)+(2.982174+(0.521934-0.836298))+0-710.6-0.724812000000113</f>
        <v>1906.8429979999999</v>
      </c>
      <c r="O289" s="3">
        <f>3198.6+(491.6-1070.4)+(-1.631286+(-0.250716--0.545904))+0-606.6--0.309365999999938</f>
        <v>2012.1732679999996</v>
      </c>
      <c r="P289" s="3">
        <f>3217.4+(465.5-882.2)+(-3.281748+(-0.47481--0.899844))+0-599.6--0.611592000000096</f>
        <v>2198.8548780000001</v>
      </c>
      <c r="Q289" s="3">
        <f>3230.1+(381.3-820.8)+(-1.647351+(-0.194463--0.418608))+0-703.8--0.358937999999929</f>
        <v>2085.7357319999996</v>
      </c>
      <c r="R289" s="3">
        <f>3216.5+(145.9-775.7)+(0+(0-0))+0-667.2-0</f>
        <v>1919.4999999999998</v>
      </c>
      <c r="S289" s="3">
        <f>3258.1+(33.9-763)+(-3.323262+(-0.034578--0.77826))+0-632.7--0.645354000000101</f>
        <v>1894.3657739999999</v>
      </c>
      <c r="T289" s="3">
        <f>3207.2+(34.7-689.1)+(-1.635672+(-0.017697--0.351441))+0-617.4--0.314873999999937</f>
        <v>1934.4129459999997</v>
      </c>
      <c r="U289" s="3">
        <f>2991.5+(31.7-569.2)+(1.525665+(0.016167-0.290292))+0-535.2-0.272951999999946</f>
        <v>1919.7785880000001</v>
      </c>
      <c r="V289" s="3">
        <f>3177.2+(0-728.8)+(-9.722232+(0--2.230128))+0-509.3--1.55845800000006</f>
        <v>1933.1663539999997</v>
      </c>
      <c r="W289" s="3">
        <f>3503.4+(548.8-1247)+(3.573468+(0.559776-1.27194))+0-628.4-0.6409680000001</f>
        <v>2179.0203359999996</v>
      </c>
      <c r="X289" s="3">
        <f>3616.7+(651.3-1399.6)+(-5.533551+(-0.996489--2.141388))+0-645.2--0.987156000000037</f>
        <v>2219.7985039999994</v>
      </c>
      <c r="Y289" s="3">
        <f>3419.1+(485.7-1077.6)+(-6.974964+(-0.990828--2.198304))+0-682--1.39127999999997</f>
        <v>2140.8237919999997</v>
      </c>
      <c r="Z289" s="3">
        <f>3303+(320.9-808.3)+(-5.05359+(-0.490977--1.236699))+0-762--1.16586000000004</f>
        <v>2050.4579920000001</v>
      </c>
      <c r="AA289" s="3">
        <f>3191.9+(145.4-514)+(-4.883607+(-0.222462--0.78642))+0-837.5--1.28137500000005</f>
        <v>1982.7617260000002</v>
      </c>
      <c r="AB289" s="3">
        <f>3187+(88.1-563.2)+(0+(0-0))+0-803.8-0</f>
        <v>1908.1000000000001</v>
      </c>
      <c r="AC289" s="3">
        <f>3184.2+(69.7-627.1)+(-6.495768+(-0.142188--1.279284))+0-817.8--1.66831199999996</f>
        <v>1805.3096399999999</v>
      </c>
      <c r="AD289" s="2">
        <v>2166.8999999999996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2957.9+(106.9-601)+(0+(0-0))+0-802.9-0</f>
        <v>1660.9</v>
      </c>
      <c r="G290" s="3">
        <f>2867+(255.1-715.8)+(4.38651+(0.390303-1.095174))+0-808.3-1.23669900000005</f>
        <v>1600.4449400000001</v>
      </c>
      <c r="H290" s="3">
        <f>2635.6+(345.8-703)+(1.344156+(0.176358-0.35853))+0-726.9-0.370718999999926</f>
        <v>1552.2912649999998</v>
      </c>
      <c r="I290" s="3">
        <f>2571.9+(350.2-673.6)+(3.935007+(0.535806-1.030608))+0-729.8-1.11659400000004</f>
        <v>1521.0236109999998</v>
      </c>
      <c r="J290" s="3">
        <f>2616.9+(361.4-632.8)+(2.669238+(0.368628-0.645456))+0-836.1-0.852822000000133</f>
        <v>1510.939588</v>
      </c>
      <c r="K290" s="3">
        <f>2641+(298.3-695.9)+(2.69382+(0.304266-0.709818))+0-744.5-0.759390000000119</f>
        <v>1500.4288779999997</v>
      </c>
      <c r="L290" s="3">
        <f>2812.1+(177.8-763.7)+(-11.473368+(-0.725424--3.115896))+0-733.4--2.99227199999994</f>
        <v>1486.7093759999998</v>
      </c>
      <c r="M290" s="3">
        <f>2593.7+(359.9-752.2)+(7.936722+(1.101294-2.301732))+0-780.4-2.38802400000009</f>
        <v>1425.3482599999995</v>
      </c>
      <c r="N290" s="3">
        <f>2581.5+(403.1-777.8)+(5.26626+(0.822324-1.586712))+0-759.2-1.54876799999997</f>
        <v>1450.5531040000001</v>
      </c>
      <c r="O290" s="3">
        <f>2833.6+(363.3-835)+(4.335408+(0.555849-1.27755))+0-841.8-1.28795400000005</f>
        <v>1522.425753</v>
      </c>
      <c r="P290" s="3">
        <f>3192.1+(223.2-1012.6)+(-6.511884+(-0.455328--2.065704))+0-843.2--1.72012799999996</f>
        <v>1556.3186199999998</v>
      </c>
      <c r="Q290" s="3">
        <f>3178.9+(263.1-1034.7)+(-4.863717+(-0.402543--1.583091))+0-857.2--1.31151600000005</f>
        <v>1547.7283470000002</v>
      </c>
      <c r="R290" s="3">
        <f>2925.3+(111.9-717.6)+(-2.983806+(-0.114138--0.731952))+0-842--0.858840000000134</f>
        <v>1476.0928480000005</v>
      </c>
      <c r="S290" s="3">
        <f>2771.8+(39.6-557.1)+(-1.413618+(-0.020196--0.284121))+0-820.8--0.418607999999917</f>
        <v>1432.7689150000003</v>
      </c>
      <c r="T290" s="3">
        <f>2775.8+(67.3-526.2)+(-1.415658+(-0.034323--0.268362))+0-866.6--0.441965999999912</f>
        <v>1449.5603470000001</v>
      </c>
      <c r="U290" s="3">
        <f>2776.4+(17.7-544.9)+(-5.663856+(-0.036108--1.111596))+0-798.3--1.62853199999997</f>
        <v>1447.9401640000001</v>
      </c>
      <c r="V290" s="3">
        <f>2800.4+(78-598.8)+(1.428204+(0.03978-0.305388))+0-793.6-0.404735999999919</f>
        <v>1486.7578600000006</v>
      </c>
      <c r="W290" s="3">
        <f>3156.3+(659.6-1164.2)+(-1.609713+(-0.336396--0.593742))+0-873--0.445229999999911</f>
        <v>1777.7928630000001</v>
      </c>
      <c r="X290" s="3">
        <f>3317.9+(828.8-1455.1)+(-1.692129+(-0.422688--0.742101))+0-816.3--0.416312999999917</f>
        <v>1874.3435970000005</v>
      </c>
      <c r="Y290" s="3">
        <f>3318.1+(716.2-1455)+(-1.692231+(-0.365262--0.74205))+0-727--0.370769999999926</f>
        <v>1851.3553270000002</v>
      </c>
      <c r="Z290" s="3">
        <f>3314.7+(678.7-1389.3)+(-1.690497+(-0.346137--0.708543))+0-777.3--0.396422999999921</f>
        <v>1825.868332</v>
      </c>
      <c r="AA290" s="3">
        <f>3313.3+(739-1391.2)+(5.069349+(1.13067-2.128536))+0-862.1-1.31901300000005</f>
        <v>1801.7524700000006</v>
      </c>
      <c r="AB290" s="3">
        <f>3313.8+(707-1426.4)+(0+(0-0))+0-838-0</f>
        <v>1756.4</v>
      </c>
      <c r="AC290" s="3">
        <f>3315+(632.6-1464.4)+(-3.3813+(-0.645252--1.493688))+0-813--0.82926000000013</f>
        <v>1668.4963960000002</v>
      </c>
      <c r="AD290" s="2">
        <v>1857.4000000000003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3132.3+(184.7-874.4)+(-4.792419+(-0.282591--1.337832))+0-876.5--1.34104500000005</f>
        <v>1563.7038670000006</v>
      </c>
      <c r="G291" s="3">
        <f>2688.8+(60.3-631.3)+(0+(0-0))+0-610.9-0</f>
        <v>1506.9</v>
      </c>
      <c r="H291" s="3">
        <f>2508.3+(264.6-473.9)+(1.279233+(0.134946-0.241689))+0-844.8-0.430847999999914</f>
        <v>1454.941642</v>
      </c>
      <c r="I291" s="3">
        <f>2437.4+(148.4-500.1)+(1.243074+(0.075684-0.255051))+0-649.7-0.331346999999934</f>
        <v>1436.7323599999997</v>
      </c>
      <c r="J291" s="3">
        <f>2417+(239.6-468.9)+(-1.23267+(-0.122196--0.239139))+0-769.5--0.392444999999922</f>
        <v>1417.4767179999999</v>
      </c>
      <c r="K291" s="3">
        <f>2414.5+(277.7-495.9)+(3.694185+(0.424881-0.758727))+0-761.2-1.16463600000004</f>
        <v>1437.295703</v>
      </c>
      <c r="L291" s="3">
        <f>2415.1+(220.8-547)+(3.695103+(0.337824-0.83691))+0-650.1-0.994653000000038</f>
        <v>1441.0013640000004</v>
      </c>
      <c r="M291" s="3">
        <f>2427.1+(329.8-591.8)+(-1.237821+(-0.168198--0.301818))+0-785--0.40034999999992</f>
        <v>1379.3961489999997</v>
      </c>
      <c r="N291" s="3">
        <f>2541.1+(215.7-729.4)+(1.295961+(0.110007-0.371994))+0-602.2-0.307121999999939</f>
        <v>1425.9268519999998</v>
      </c>
      <c r="O291" s="3">
        <f>2885+(148.2-793.6)+(1.47135+(0.075582-0.404736))+0-731-0.372809999999926</f>
        <v>1509.3693859999998</v>
      </c>
      <c r="P291" s="3">
        <f>3049.3+(67.5-957.8)+(-1.555143+(-0.034425--0.488478))+0-572.9--0.292178999999942</f>
        <v>1585.2910889999998</v>
      </c>
      <c r="Q291" s="3">
        <f>3089+(128.6-1082.3)+(-4.72617+(-0.196758--1.655919))+0-530.4--0.811512000000031</f>
        <v>1602.4445029999999</v>
      </c>
      <c r="R291" s="3">
        <f>2924.2+(34-906.2)+(-2.982684+(-0.03468--0.924324))+0-508.9--0.519078000000081</f>
        <v>1541.5260379999997</v>
      </c>
      <c r="S291" s="3">
        <f>2757.2+(26.9-697.1)+(-2.812344+(-0.027438--0.711042))+0-594.5--0.606390000000095</f>
        <v>1490.97765</v>
      </c>
      <c r="T291" s="3">
        <f>2693.4+(56.2-746.8)+(-5.494536+(-0.114648--1.523472))+0-526.6--1.07426399999998</f>
        <v>1473.1885520000003</v>
      </c>
      <c r="U291" s="3">
        <f>2560.7+(109.5-742.8)+(6.529785+(0.279225-1.89414))+0-457.3-1.16611499999993</f>
        <v>1473.848755</v>
      </c>
      <c r="V291" s="3">
        <f>2653.6+(29.8-712.5)+(0+(0-0))+0-460.6-0</f>
        <v>1510.2999999999997</v>
      </c>
      <c r="W291" s="3">
        <f>3177+(336.1-1173.2)+(3.24054+(0.342822-1.196664))+0-570.1-0.581502000000091</f>
        <v>1771.605196</v>
      </c>
      <c r="X291" s="3">
        <f>3198.9+(597-1383.1)+(-4.894317+(-0.91341--2.116143))+0-537.1--0.821763000000031</f>
        <v>1872.830179</v>
      </c>
      <c r="Y291" s="3">
        <f>3151.6+(588-1325.5)+(1.607316+(0.29988-0.676005))+0-543.6-0.277235999999945</f>
        <v>1871.453955</v>
      </c>
      <c r="Z291" s="3">
        <f>3298.1+(753.2-1485.5)+(1.682031+(0.384132-0.757605))+0-702.4-0.358223999999929</f>
        <v>1864.3503340000004</v>
      </c>
      <c r="AA291" s="3">
        <f>3301.1+(683-1384.5)+(3.367122+(0.69666-1.41219))+0-778.2-0.793764000000124</f>
        <v>1823.2578279999998</v>
      </c>
      <c r="AB291" s="3">
        <f>3368+(475.3-1463.2)+(-3.43536+(-0.484806--1.492464))+0-613.4--0.625668000000098</f>
        <v>1764.897966</v>
      </c>
      <c r="AC291" s="3">
        <f>3144.7+(154.7-918.6)+(-8.018985+(-0.394485--2.34243))+0-727.9--1.85614499999989</f>
        <v>1648.6851049999998</v>
      </c>
      <c r="AD291" s="2">
        <v>1846.1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2712.4+(30.5-600.5)+(-4.149972+(-0.046665--0.918765))+0-587.1--0.898263000000034</f>
        <v>1552.9203910000001</v>
      </c>
      <c r="G292" s="3">
        <f>2498.9+(89.9-400.6)+(0+(0-0))+0-723.2-0</f>
        <v>1464.9999999999998</v>
      </c>
      <c r="H292" s="3">
        <f>2328+(182.6-342.9)+(1.18728+(0.093126-0.174879))+0-733.2-0.373931999999926</f>
        <v>1435.231595</v>
      </c>
      <c r="I292" s="3">
        <f>2167.5+(129.9-274.5)+(3.316275+(0.198747-0.419985))+0-597.8-0.914634000000034</f>
        <v>1427.2804030000002</v>
      </c>
      <c r="J292" s="3">
        <f>2205.9+(212.3-267.2)+(5.625045+(0.541365-0.68136))+0-737.9-1.88164499999989</f>
        <v>1416.7034049999997</v>
      </c>
      <c r="K292" s="3">
        <f>2334.1+(109.8-414.3)+(2.380782+(0.111996-0.422586))+0-585.8-0.597516000000093</f>
        <v>1445.2726759999998</v>
      </c>
      <c r="L292" s="3">
        <f>2551.3+(179.7-416.3)+(-7.806978+(-0.549882--1.273878))+0-770.9--2.35895400000009</f>
        <v>1539.0759720000003</v>
      </c>
      <c r="M292" s="3">
        <f>2763.1+(82.5-606.9)+(4.227543+(0.126225-0.928557))+0-565.2-0.864756000000033</f>
        <v>1676.060455</v>
      </c>
      <c r="N292" s="3">
        <f>3151.9+(166.4-797.3)+(0+(0-0))+0-635.3-0</f>
        <v>1885.7</v>
      </c>
      <c r="O292" s="3">
        <f>3122.2+(219.3-892.3)+(-6.369288+(-0.447372--1.820292))+0-450.9--0.91983599999998</f>
        <v>1994.2234679999997</v>
      </c>
      <c r="P292" s="3">
        <f>3253.1+(459.4-1126.9)+(3.318162+(0.468588-1.149438))+0-518.4-0.528768000000083</f>
        <v>2069.3085439999995</v>
      </c>
      <c r="Q292" s="3">
        <f>3342.4+(568.7-1419.4)+(0+(0-0))+0-393-0</f>
        <v>2098.6999999999998</v>
      </c>
      <c r="R292" s="3">
        <f>3223.2+(556.2-1417.8)+(-4.931496+(-0.850986--2.169234))+0-409.3--0.626229000000024</f>
        <v>1949.3129809999998</v>
      </c>
      <c r="S292" s="3">
        <f>3098.7+(348.9-1044.2)+(-3.160674+(-0.355878--1.065084))+0-499.5--0.50949000000008</f>
        <v>1901.9580219999996</v>
      </c>
      <c r="T292" s="3">
        <f>3105.2+(139.7-948.4)+(1.583652+(0.071247-0.483684))+0-351-0.179009999999964</f>
        <v>1946.4922049999998</v>
      </c>
      <c r="U292" s="3">
        <f>3043.5+(72.6-774.6)+(4.656555+(0.111078-1.185138))+0-394.4-0.603432000000023</f>
        <v>1950.0790629999999</v>
      </c>
      <c r="V292" s="3">
        <f>3031.7+(103.7-685.7)+(1.546167+(0.052887-0.349707))+0-514.9-0.262598999999948</f>
        <v>1935.7867479999998</v>
      </c>
      <c r="W292" s="3">
        <f>3349.9+(1007.6-1543.5)+(0+(0-0))+0-586-0</f>
        <v>2228</v>
      </c>
      <c r="X292" s="3">
        <f>3342.5+(1053.9-1624)+(-1.704675+(-0.537489--0.82824))+0-483.8--0.246737999999951</f>
        <v>2287.4328139999998</v>
      </c>
      <c r="Y292" s="3">
        <f>3319.9+(900.1-1447.8)+(-6.772596+(-1.836204--2.953512))+0-555.6--1.13342399999998</f>
        <v>2212.0781360000005</v>
      </c>
      <c r="Z292" s="3">
        <f>3311.6+(602.2-1344.4)+(-1.688916+(-0.307122--0.685644))+0-458.3--0.233732999999954</f>
        <v>2110.0233389999994</v>
      </c>
      <c r="AA292" s="3">
        <f>3334.7+(472.5-1250.7)+(0+(0-0))+0-512.5-0</f>
        <v>2044</v>
      </c>
      <c r="AB292" s="3">
        <f>3418.9+(297.8-1270)+(-5.230917+(-0.455634--1.9431))+0-497.6--0.761328000000029</f>
        <v>1946.1178770000001</v>
      </c>
      <c r="AC292" s="3">
        <f>3287.5+(6.5-906.5)+(-1.676625+(-0.003315--0.462315))+0-569.9--0.290648999999942</f>
        <v>1816.6730239999997</v>
      </c>
      <c r="AD292" s="2">
        <v>2294.3999999999996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2878.1+(5.2-693)+(-2.935662+(-0.005304--0.70686))+0-510.9--0.521118000000081</f>
        <v>1677.6870120000003</v>
      </c>
      <c r="G293" s="3">
        <f>2493+(63.6-435)+(1.27143+(0.032436-0.22185))+0-551.6-0.281315999999944</f>
        <v>1570.8007</v>
      </c>
      <c r="H293" s="3">
        <f>2269.9+(147.7-365)+(-2.315298+(-0.150654--0.3723))+0-510.7--0.520914000000081</f>
        <v>1540.327262</v>
      </c>
      <c r="I293" s="3">
        <f>2173.9+(200.2-330.9)+(1.108689+(0.102102-0.168759))+0-514.6-0.262445999999948</f>
        <v>1529.3795860000002</v>
      </c>
      <c r="J293" s="3">
        <f>2144.6+(269.7-326.7)+(4.374984+(0.550188-0.666468))+0-559.6-1.14158399999998</f>
        <v>1531.1171199999999</v>
      </c>
      <c r="K293" s="3">
        <f>2146.3+(252.2-382.8)+(2.189226+(0.257244-0.390456))+0-475.9-0.485418000000076</f>
        <v>1541.3705960000004</v>
      </c>
      <c r="L293" s="3">
        <f>2384.4+(179-401.5)+(2.432088+(0.18258-0.40953))+0-540.2-0.551004000000086</f>
        <v>1623.3541339999997</v>
      </c>
      <c r="M293" s="3">
        <f>2972.1+(0-752.4)+(-3.031542+(0--0.767448))+0-482.8--0.492456000000077</f>
        <v>1735.1283619999999</v>
      </c>
      <c r="N293" s="3">
        <f>3047.9+(116.6-683.2)+(3.108858+(0.118932-0.696864))+0-551.9-0.562938000000088</f>
        <v>1931.367988</v>
      </c>
      <c r="O293" s="3">
        <f>3358.1+(423.2-1113.9)+(3.425262+(0.431664-1.136178))+0-630.4-0.643008000000101</f>
        <v>2039.0777399999997</v>
      </c>
      <c r="P293" s="3">
        <f>3543.2+(531.4-1438.3)+(1.807032+(0.271014-0.733533))+0-539.4-0.275093999999945</f>
        <v>2097.9694189999996</v>
      </c>
      <c r="Q293" s="3">
        <f>3580.8+(815.7-1806)+(-1.826208+(-0.416007--0.92106))+0-491.3--0.25056299999995</f>
        <v>2098.1294079999998</v>
      </c>
      <c r="R293" s="3">
        <f>3366.3+(615.8-1489.7)+(-6.867252+(-1.256232--3.038988))+0-547.8--1.11751199999998</f>
        <v>1940.6330160000002</v>
      </c>
      <c r="S293" s="3">
        <f>3222+(295.5-1096.5)+(-4.92966+(-0.452115--1.677645))+0-513.4--0.78550200000003</f>
        <v>1904.6813719999998</v>
      </c>
      <c r="T293" s="3">
        <f>3153+(194.6-814.1)+(-9.64818+(-0.595476--2.491146))+0-576.6--1.76439600000007</f>
        <v>1950.9118860000003</v>
      </c>
      <c r="U293" s="3">
        <f>3101.3+(125.3-770.7)+(4.744989+(0.191709-1.179171))+0-518.5-0.79330500000003</f>
        <v>1940.3642220000004</v>
      </c>
      <c r="V293" s="3">
        <f>3125.7+(247.2-865.8)+(0+(0-0))+0-566.2-0</f>
        <v>1940.8999999999999</v>
      </c>
      <c r="W293" s="3">
        <f>3470.6+(1013.1-1680.2)+(1.770006+(0.516681-0.856902))+0-581.1-0.296360999999941</f>
        <v>2223.5334239999997</v>
      </c>
      <c r="X293" s="3">
        <f>3616+(1165.3-1789.4)+(-9.2208+(-2.971515--4.56297))+0-695.3--1.7730149999999</f>
        <v>2290.7436699999998</v>
      </c>
      <c r="Y293" s="3">
        <f>3567.7+(833.1-1712.7)+(-3.639054+(-0.849762--1.746954))+0-479.5--0.489090000000076</f>
        <v>2206.3472280000001</v>
      </c>
      <c r="Z293" s="3">
        <f>3357.9+(664.7-1289.3)+(-1.712529+(-0.338997--0.657543))+0-621.7--0.317066999999937</f>
        <v>2110.5230840000004</v>
      </c>
      <c r="AA293" s="3">
        <f>3438.7+(556.1-1419.9)+(-7.014948+(-1.134444--2.896596))+0-521.7--1.06426799999998</f>
        <v>2049.0114719999992</v>
      </c>
      <c r="AB293" s="3">
        <f>3422.5+(332.6-1174.1)+(-1.745475+(-0.169626--0.598791))+0-617.4--0.314873999999937</f>
        <v>1962.5985639999997</v>
      </c>
      <c r="AC293" s="3">
        <f>3403.3+(50.4-1024.1)+(-8.678415+(-0.12852--2.611455))+0-604.6--1.54172999999991</f>
        <v>1820.3462500000005</v>
      </c>
      <c r="AD293" s="2">
        <v>2306.2000000000003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3016.2+(0-728.7)+(-7.69131+(0--1.858185))+0-576.5--1.47007499999992</f>
        <v>1706.6369499999998</v>
      </c>
      <c r="G294" s="3">
        <f>2881.7+(39.1-705.8)+(-7.348335+(-0.099705--1.79979))+0-572.9--1.46089499999992</f>
        <v>1637.9126449999997</v>
      </c>
      <c r="H294" s="3">
        <f>2635.2+(76.5-515.4)+(2.687904+(0.07803-0.525708))+0-607.6-0.619752000000097</f>
        <v>1590.3204739999996</v>
      </c>
      <c r="I294" s="3">
        <f>2389.2+(158.7-316.9)+(1.218492+(0.080937-0.161619))+0-658.4-0.335783999999933</f>
        <v>1573.4020260000002</v>
      </c>
      <c r="J294" s="3">
        <f>2296.9+(152.9-277.8)+(-2.342838+(-0.155958--0.283356))+0-614.2--0.626484000000098</f>
        <v>1556.2110440000001</v>
      </c>
      <c r="K294" s="3">
        <f>2288.9+(137.7-350.7)+(2.334678+(0.140454-0.357714))+0-502.7-0.51275400000008</f>
        <v>1574.8046639999998</v>
      </c>
      <c r="L294" s="3">
        <f>2393.7+(131.2-431.4)+(4.883148+(0.267648-0.880056))+0-450.3-0.91861199999998</f>
        <v>1646.552128</v>
      </c>
      <c r="M294" s="3">
        <f>2891.3+(3.8-658)+(-2.949126+(-0.003876--0.67116))+0-469.3--0.478686000000075</f>
        <v>1765.9968440000007</v>
      </c>
      <c r="N294" s="3">
        <f>3066.1+(130.5-754.1)+(-1.563711+(-0.066555--0.384591))+0-516.9--0.263618999999948</f>
        <v>1924.6179439999996</v>
      </c>
      <c r="O294" s="3">
        <f>3268.4+(326.1-1043.6)+(-3.333768+(-0.332622--1.064472))+0-496.4--0.506328000000079</f>
        <v>2052.4044100000001</v>
      </c>
      <c r="P294" s="3">
        <f>3392.8+(493.9-1325)+(-3.460656+(-0.503778--1.3515))+0-477.5--0.487050000000076</f>
        <v>2082.0741160000002</v>
      </c>
      <c r="Q294" s="3">
        <f>3436.5+(496.2-1414.1)+(-3.50523+(-0.506124--1.442382))+0-420.7--0.429114000000067</f>
        <v>2095.7601420000005</v>
      </c>
      <c r="R294" s="3">
        <f>3203.6+(319.8-1085)+(-6.535344+(-0.652392--2.2134))+0-508.1--1.03652399999998</f>
        <v>1926.3621879999994</v>
      </c>
      <c r="S294" s="3">
        <f>2928+(308.5-908.9)+(1.49328+(0.157335-0.463539))+0-413.1-0.210680999999958</f>
        <v>1915.4763950000001</v>
      </c>
      <c r="T294" s="3">
        <f>2987.8+(222-769.9)+(-1.523778+(-0.11322--0.392649))+0-486.1--0.247910999999951</f>
        <v>1952.8035620000001</v>
      </c>
      <c r="U294" s="3">
        <f>3064.4+(135.8-764.8)+(-3.125688+(-0.138516--0.780096))+0-478.5--0.488070000000076</f>
        <v>1954.9039620000001</v>
      </c>
      <c r="V294" s="3">
        <f>3067.2+(251.1-923.9)+(-3.128544+(-0.256122--0.942378))+0-441.6--0.45043200000007</f>
        <v>1950.8081439999996</v>
      </c>
      <c r="W294" s="3">
        <f>3573.5+(887.7-1676.2)+(1.822485+(0.452727-0.854862))+0-560.4-0.285803999999943</f>
        <v>2225.7345459999997</v>
      </c>
      <c r="X294" s="3">
        <f>3607.8+(893.9-1786.2)+(-5.519934+(-1.367667--2.732886))+0-425.4--0.650862000000025</f>
        <v>2286.5961469999997</v>
      </c>
      <c r="Y294" s="3">
        <f>3679.5+(841.4-1873.3)+(1.876545+(0.429114-0.955383))+0-426.2-0.217361999999957</f>
        <v>2222.5329140000003</v>
      </c>
      <c r="Z294" s="3">
        <f>3605.3+(815-1839.4)+(-1.838703+(-0.41565--0.938094))+0-447.5--0.228224999999955</f>
        <v>2132.3119659999998</v>
      </c>
      <c r="AA294" s="3">
        <f>3541.5+(742.9-1707.2)+(-3.61233+(-0.757758--1.741344))+0-525.8--0.536316000000084</f>
        <v>2049.3075720000002</v>
      </c>
      <c r="AB294" s="3">
        <f>3436.6+(365.1-1360.8)+(-7.010664+(-0.744804--2.776032))+0-483.7--0.986747999999979</f>
        <v>1953.207312</v>
      </c>
      <c r="AC294" s="3">
        <f>3272.3+(1.3-995.1)+(-8.344365+(-0.003315--2.537505))+0-461.8--1.17758999999993</f>
        <v>1812.067415</v>
      </c>
      <c r="AD294" s="2">
        <v>2305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2973.9+(11.8-733)+(-1.516689+(-0.006018--0.37383))+0-543--0.276929999999945</f>
        <v>1708.8280529999997</v>
      </c>
      <c r="G295" s="3">
        <f>2756+(49.4-489.9)+(-5.62224+(-0.100776--0.999396))+0-683.3--1.39393199999997</f>
        <v>1628.8703119999998</v>
      </c>
      <c r="H295" s="3">
        <f>2592.3+(98.4-512.9)+(1.322073+(0.050184-0.261579))+0-582-0.296819999999941</f>
        <v>1596.6138580000002</v>
      </c>
      <c r="I295" s="3">
        <f>2594.9+(72.1-478.7)+(-3.970197+(-0.110313--0.732411))+0-618.2--0.945846000000036</f>
        <v>1567.6977470000004</v>
      </c>
      <c r="J295" s="3">
        <f>2590.7+(98.6-511.3)+(1.321257+(0.050286-0.260763))+0-602.3-0.307172999999939</f>
        <v>1576.5036070000001</v>
      </c>
      <c r="K295" s="3">
        <f>2591.8+(144.9-517.3)+(1.321818+(0.073899-0.263823))+0-629.3-0.320942999999936</f>
        <v>1590.9109510000003</v>
      </c>
      <c r="L295" s="3">
        <f>2590.8+(130.6-480)+(-6.60654+(-0.33303--1.224))+0-586.2--1.49480999999992</f>
        <v>1650.9792400000001</v>
      </c>
      <c r="M295" s="3">
        <f>2714.5+(61.4-570.5)+(-4.153185+(-0.093942--0.872865))+0-435.2--0.665856000000025</f>
        <v>1767.4915940000003</v>
      </c>
      <c r="N295" s="3">
        <f>2874.2+(130.1-523.5)+(2.931684+(0.132702-0.53397))+0-520.7-0.531114000000083</f>
        <v>1962.0993019999996</v>
      </c>
      <c r="O295" s="3">
        <f>2927.5+(300.4-688.2)+(-1.493025+(-0.153204--0.350982))+0-479.4--0.244493999999951</f>
        <v>2059.2492469999997</v>
      </c>
      <c r="P295" s="3">
        <f>3112+(474.3-1015)+(4.76136+(0.725679-1.55295))+0-469.6-0.718488000000027</f>
        <v>2104.9156010000002</v>
      </c>
      <c r="Q295" s="3">
        <f>3250+(682.4-1270.7)+(0+(0-0))+0-543.9-0</f>
        <v>2117.7999999999997</v>
      </c>
      <c r="R295" s="3">
        <f>3160.7+(472.7-1238.9)+(-1.611957+(-0.241077--0.631839))+0-460.3--0.234752999999953</f>
        <v>1933.2135579999999</v>
      </c>
      <c r="S295" s="3">
        <f>3179.9+(390-1114.9)+(-1.621749+(-0.1989--0.568599))+0-552.3--0.281672999999944</f>
        <v>1901.7296229999999</v>
      </c>
      <c r="T295" s="3">
        <f>3238.7+(355.8-1193.6)+(-1.651737+(-0.181458--0.608736))+0-461.2--0.235211999999953</f>
        <v>1938.7107529999996</v>
      </c>
      <c r="U295" s="3">
        <f>3038.8+(245.2-996.7)+(0+(0-0))+0-421.5-0</f>
        <v>1865.8000000000002</v>
      </c>
      <c r="V295" s="3">
        <f>3013.8+(371.3-1031.3)+(-1.537038+(-0.189363--0.525963))+0-407.2--0.207671999999959</f>
        <v>1945.6072340000003</v>
      </c>
      <c r="W295" s="3">
        <f>3402.1+(1184.9-1878.7)+(1.735071+(0.604299-0.958137))+0-476.1-0.242810999999952</f>
        <v>2233.3384220000003</v>
      </c>
      <c r="X295" s="3">
        <f>3532.9+(1351.2-2111)+(-7.207116+(-2.756448--4.30644))+0-461.8--0.94207199999998</f>
        <v>2306.5849480000002</v>
      </c>
      <c r="Y295" s="3">
        <f>3500.9+(1181.3-1959.4)+(-1.785459+(-0.602463--0.999294))+0-515.2--0.262751999999948</f>
        <v>2206.4741239999998</v>
      </c>
      <c r="Z295" s="3">
        <f>3510.6+(1041.6-1826.9)+(-3.580812+(-1.062432--1.863438))+0-596.6--0.608532000000095</f>
        <v>2126.528726</v>
      </c>
      <c r="AA295" s="3">
        <f>3512+(798.3-1691.5)+(0+(0-0))+0-571.8-0</f>
        <v>2047.0000000000002</v>
      </c>
      <c r="AB295" s="3">
        <f>3419.2+(635.3-1467.3)+(-5.231376+(-0.972009--2.244969))+0-628.3--0.961299000000036</f>
        <v>1955.902883</v>
      </c>
      <c r="AC295" s="3">
        <f>3274.4+(385.4-1237.3)+(-3.339888+(-0.393108--1.262046))+0-601--0.613020000000096</f>
        <v>1819.6420700000001</v>
      </c>
      <c r="AD295" s="2">
        <v>2349.2000000000003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3007+(24.9-689.9)+(-7.66785+(-0.063495--1.759245))+0-643.6--1.64117999999991</f>
        <v>1694.06908</v>
      </c>
      <c r="G296" s="3">
        <f>2758+(34.1-636.3)+(0+(0-0))+0-533.9-0</f>
        <v>1621.9</v>
      </c>
      <c r="H296" s="3">
        <f>2673.7+(65.4-471.5)+(-2.727174+(-0.066708--0.48093))+0-683.3--0.696966000000109</f>
        <v>1582.6840139999999</v>
      </c>
      <c r="I296" s="3">
        <f>2622.8+(54-569.8)+(-2.675256+(-0.05508--0.581196))+0-533.5--0.544170000000085</f>
        <v>1571.8950300000001</v>
      </c>
      <c r="J296" s="3">
        <f>2677+(33.5-504.9)+(0+(0-0))+0-649.6-0</f>
        <v>1556</v>
      </c>
      <c r="K296" s="3">
        <f>2711+(36.8-596.2)+(-1.38261+(-0.018768--0.304062))+0-566.7--0.289016999999943</f>
        <v>1584.0917009999998</v>
      </c>
      <c r="L296" s="3">
        <f>2831.7+(28.2-617.1)+(0+(0-0))+0-581.9-0</f>
        <v>1660.8999999999996</v>
      </c>
      <c r="M296" s="3">
        <f>2948.9+(36.8-617.2)+(3.007878+(0.037536-0.629544))+0-597.8-0.609756000000095</f>
        <v>1772.5061139999998</v>
      </c>
      <c r="N296" s="3">
        <f>3430.6+(270-1204.9)+(3.499212+(0.2754-1.228998))+0-546.3-0.557226000000087</f>
        <v>1951.3883879999998</v>
      </c>
      <c r="O296" s="3">
        <f>3628.8+(670.5-1616.7)+(0+(0-0))+0-611.7-0</f>
        <v>2070.9000000000005</v>
      </c>
      <c r="P296" s="3">
        <f>3613.8+(760.7-1705.2)+(5.529114+(1.163871-2.608956))+0-546.5-0.836145000000032</f>
        <v>2126.0478840000001</v>
      </c>
      <c r="Q296" s="3">
        <f>3637.4+(901.4-1815.8)+(-3.710148+(-0.919428--1.852116))+0-602--0.614040000000096</f>
        <v>2118.8365800000001</v>
      </c>
      <c r="R296" s="3">
        <f>3455.6+(207.2-1214.2)+(-8.81178+(-0.52836--3.09621))+0-530.8--1.35353999999992</f>
        <v>1912.9096099999997</v>
      </c>
      <c r="S296" s="3">
        <f>3260.3+(296.2-1020.8)+(-1.662753+(-0.151062--0.520608))+0-609.4--0.310793999999938</f>
        <v>1925.317587</v>
      </c>
      <c r="T296" s="3">
        <f>3245.2+(219.2-986.2)+(-1.655052+(-0.111792--0.502962))+0-515.4--0.262853999999948</f>
        <v>1961.7989719999996</v>
      </c>
      <c r="U296" s="3">
        <f>3219.8+(252.3-892.7)+(1.642098+(0.128673-0.455277))+0-632.9-0.322778999999936</f>
        <v>1947.4927150000001</v>
      </c>
      <c r="V296" s="3">
        <f>3241.3+(430.2-1165)+(0+(0-0))+0-532.5-0</f>
        <v>1974</v>
      </c>
      <c r="W296" s="3">
        <f>3528+(1145.9-1933.2)+(1.79928+(0.584409-0.985932))+0-518-0.264179999999947</f>
        <v>2223.8335769999999</v>
      </c>
      <c r="X296" s="3">
        <f>3630.1+(1427-2194.4)+(-9.256755+(-3.63885--5.59572))+0-562.1--1.43335499999992</f>
        <v>2294.7334700000001</v>
      </c>
      <c r="Y296" s="3">
        <f>3543.4+(1122.6-1819)+(-7.228536+(-2.290104--3.71076))+0-597.9--1.21971599999997</f>
        <v>2244.5118360000001</v>
      </c>
      <c r="Z296" s="3">
        <f>3352.9+(862.6-1515.1)+(-8.549895+(-2.19963--3.863505))+0-570.8--1.45553999999992</f>
        <v>2124.1695200000004</v>
      </c>
      <c r="AA296" s="3">
        <f>3324.8+(620.7-1368.1)+(-3.391296+(-0.633114--1.395462))+0-522.8--0.533256000000083</f>
        <v>2052.5043080000009</v>
      </c>
      <c r="AB296" s="3">
        <f>3411.7+(538.8-1417.3)+(-5.219901+(-0.824364--2.168469))+0-555.9--0.850527000000032</f>
        <v>1974.274731</v>
      </c>
      <c r="AC296" s="3">
        <f>3219.7+(335.7-1198.5)+(-3.284094+(-0.342414--1.22247))+0-514.7--0.524994000000082</f>
        <v>1840.3209559999996</v>
      </c>
      <c r="AD296" s="2">
        <v>2430.1000000000004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2846.1+(70.8-684.1)+(-1.451511+(-0.036108--0.348891))+0-586.2--0.298961999999941</f>
        <v>1645.7602339999996</v>
      </c>
      <c r="G297" s="3">
        <f>2847.8+(45.3-746.1)+(4.357134+(0.069309-1.141533))+0-588.6-0.900558000000034</f>
        <v>1560.7843519999999</v>
      </c>
      <c r="H297" s="3">
        <f>2716+(59.1-714)+(-1.38516+(-0.030141--0.36414))+0-566.4--0.288863999999943</f>
        <v>1493.9377029999998</v>
      </c>
      <c r="I297" s="3">
        <f>2649.6+(63.7-662.8)+(4.053888+(0.097461-1.014084))+0-551.8-0.844254000000032</f>
        <v>1500.9930109999998</v>
      </c>
      <c r="J297" s="3">
        <f>2629.2+(54.6-594.8)+(0+(0-0))+0-568.3-0</f>
        <v>1520.7</v>
      </c>
      <c r="K297" s="3">
        <f>2626.8+(48-532.1)+(5.358672+(0.09792-1.085484))+0-605.3-1.23481199999997</f>
        <v>1540.5362960000002</v>
      </c>
      <c r="L297" s="3">
        <f>2639.7+(42.8-499.2)+(-5.384988+(-0.087312--1.018368))+0-571.1--1.16504399999998</f>
        <v>1608.911112</v>
      </c>
      <c r="M297" s="3">
        <f>2893+(4.6-615.8)+(-1.47543+(-0.002346--0.314058))+0-602.7--0.307376999999939</f>
        <v>1678.2436590000002</v>
      </c>
      <c r="N297" s="3">
        <f>3156.9+(202.8-910.2)+(-1.610019+(-0.103428--0.464202))+0-546--0.278459999999945</f>
        <v>1902.529215</v>
      </c>
      <c r="O297" s="3">
        <f>3371.5+(498.8-1373.6)+(3.43893+(0.508776-1.401072))+0-488.4-0.498168000000078</f>
        <v>2010.3484659999995</v>
      </c>
      <c r="P297" s="3">
        <f>3400.8+(673.2-1404.8)+(-1.734408+(-0.343332--0.716448))+0-609.9--0.311048999999938</f>
        <v>2058.249757</v>
      </c>
      <c r="Q297" s="3">
        <f>3463.8+(798.3-1625)+(0+(0-0))+0-552.7-0</f>
        <v>2084.4000000000005</v>
      </c>
      <c r="R297" s="3">
        <f>3459.6+(650.4-1623.6)+(-5.293188+(-0.995112--2.484108))+0-557.5--0.852975000000032</f>
        <v>1925.948783</v>
      </c>
      <c r="S297" s="3">
        <f>3055.4+(284.6-941.7)+(0+(0-0))+0-579.4-0</f>
        <v>1818.9</v>
      </c>
      <c r="T297" s="3">
        <f>2926.5+(224.5-795.1)+(-7.462575+(-0.572475--2.027505))+0-589.3--1.50271499999991</f>
        <v>1762.0951700000001</v>
      </c>
      <c r="U297" s="3">
        <f>2896.4+(202.6-804.6)+(-4.431492+(-0.309978--1.231038))+0-551--0.843030000000032</f>
        <v>1740.7325980000001</v>
      </c>
      <c r="V297" s="3">
        <f>3051.8+(233.2-943.1)+(-4.669254+(-0.356796--1.442943))+0-595.5--0.911115000000034</f>
        <v>1743.7280080000003</v>
      </c>
      <c r="W297" s="3">
        <f>3160.1+(770.4-1338.9)+(1.611651+(0.392904-0.682839))+0-552.4-0.281723999999944</f>
        <v>2040.2399919999998</v>
      </c>
      <c r="X297" s="3">
        <f>3195.2+(787.6-1315.5)+(-3.259104+(-0.803352--1.34181))+0-554.3--0.565386000000088</f>
        <v>2110.8447399999995</v>
      </c>
      <c r="Y297" s="3">
        <f>3040.7+(467.2-961.8)+(-3.101514+(-0.476544--0.981036))+0-522.3--0.532746000000083</f>
        <v>2021.7357240000001</v>
      </c>
      <c r="Z297" s="3">
        <f>2853.4+(445.9-753.4)+(-7.27617+(-1.137045--1.92117))+0-625.7--1.59553499999991</f>
        <v>1915.30349</v>
      </c>
      <c r="AA297" s="3">
        <f>2571+(553.8-714.2)+(0+(0-0))+0-534.1-0</f>
        <v>1876.5</v>
      </c>
      <c r="AB297" s="3">
        <f>2540.5+(646.8-771.1)+(-6.478275+(-1.64934--1.966305))+0-618.7--1.57768499999991</f>
        <v>1792.9163749999998</v>
      </c>
      <c r="AC297" s="3">
        <f>2470.2+(537.3-837.2)+(-2.519604+(-0.548046--0.853944))+0-478.7--0.488274000000076</f>
        <v>1689.8745679999997</v>
      </c>
      <c r="AD297" s="2">
        <v>2076.4999999999995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2269.5+(296.5-595.9)+(-2.31489+(-0.30243--0.607818))+0-439.8--0.44859600000007</f>
        <v>1528.739094</v>
      </c>
      <c r="G298" s="3">
        <f>2035.3+(419.8-521.8)+(0+(0-0))+0-528.1-0</f>
        <v>1405.1999999999998</v>
      </c>
      <c r="H298" s="3">
        <f>1907.7+(357.3-544.8)+(-0.972927+(-0.182223--0.277848))+0-391--0.19940999999996</f>
        <v>1328.5221079999999</v>
      </c>
      <c r="I298" s="3">
        <f>1903.8+(423.7-469.2)+(2.912814+(0.648261-0.717876))+0-571.8-0.874854000000033</f>
        <v>1288.4683449999998</v>
      </c>
      <c r="J298" s="3">
        <f>1905.3+(426.8-513.9)+(-4.858515+(-1.08834--1.310445))+0-533.6--1.36067999999992</f>
        <v>1281.3242699999998</v>
      </c>
      <c r="K298" s="3">
        <f>1900.3+(422.3-409)+(0.969153+(0.215373-0.20859))+0-614-0.313139999999938</f>
        <v>1300.262796</v>
      </c>
      <c r="L298" s="3">
        <f>1906.9+(334.6-445.4)+(-4.862595+(-0.85323--1.13577))+0-532.8--1.35863999999992</f>
        <v>1260.0785850000002</v>
      </c>
      <c r="M298" s="3">
        <f>1927.5+(249.7-443.5)+(-7.8642+(-1.018776--1.80948))+0-534.7--2.18157599999995</f>
        <v>1194.10808</v>
      </c>
      <c r="N298" s="3">
        <f>2062+(223.5-403.8)+(-1.05162+(-0.113985--0.205938))+0-593.1--0.30248099999994</f>
        <v>1287.9428139999998</v>
      </c>
      <c r="O298" s="3">
        <f>2393.4+(166.3-575.2)+(-2.441268+(-0.169626--0.586704))+0-602.4--0.614448000000096</f>
        <v>1380.6902579999999</v>
      </c>
      <c r="P298" s="3">
        <f>2347.4+(178.4-540.2)+(3.591522+(0.272952-0.826506))+0-572.4-0.875772000000033</f>
        <v>1415.3621959999998</v>
      </c>
      <c r="Q298" s="3">
        <f>2357.2+(254.3-634.8)+(-6.01086+(-0.648465--1.61874))+0-578.4--1.47491999999992</f>
        <v>1394.7343349999999</v>
      </c>
      <c r="R298" s="3">
        <f>2356.5+(206.4-649.4)+(-6.009075+(-0.52632--1.65597))+0-555.8--1.41728999999992</f>
        <v>1354.2378649999998</v>
      </c>
      <c r="S298" s="3">
        <f>2361.9+(206.7-666.5)+(0+(0-0))+0-559-0</f>
        <v>1343.1000000000001</v>
      </c>
      <c r="T298" s="3">
        <f>2364.2+(174.4-644.8)+(-2.411484+(-0.177888--0.657696))+0-540--0.550800000000086</f>
        <v>1352.4191239999998</v>
      </c>
      <c r="U298" s="3">
        <f>2362.1+(124.1-610.7)+(0+(0-0))+0-506.6-0</f>
        <v>1368.9</v>
      </c>
      <c r="V298" s="3">
        <f>2358.6+(171.3-581)+(1.202886+(0.087363-0.29631))+0-573.6-0.292535999999942</f>
        <v>1376.0014029999998</v>
      </c>
      <c r="W298" s="3">
        <f>2460.5+(450.1-866.2)+(-1.254855+(-0.229551--0.441762))+0-407.4--0.207773999999959</f>
        <v>1636.1651299999999</v>
      </c>
      <c r="X298" s="3">
        <f>2596.2+(788.2-1025.4)+(-1.324062+(-0.401982--0.522954))+0-597.5--0.304724999999939</f>
        <v>1760.601635</v>
      </c>
      <c r="Y298" s="3">
        <f>2488.4+(773.4-944.1)+(0+(0-0))+0-549.4-0</f>
        <v>1768.2999999999997</v>
      </c>
      <c r="Z298" s="3">
        <f>2427.4+(748.7-937.8)+(1.237974+(0.381837-0.478278))+0-512.5-0.261374999999948</f>
        <v>1726.6801580000001</v>
      </c>
      <c r="AA298" s="3">
        <f>2408.6+(663.5-898.1)+(4.913544+(1.35354-1.832124))+0-481.7-0.982667999999979</f>
        <v>1695.7522920000001</v>
      </c>
      <c r="AB298" s="3">
        <f>2284.2+(888.4-933.7)+(0+(0-0))+0-615.2-0</f>
        <v>1623.6999999999996</v>
      </c>
      <c r="AC298" s="3">
        <f>2095.7+(547.2-593.2)+(-7.481649+(-1.953504--2.117724))+0-525.5--1.87603500000001</f>
        <v>1518.7586059999999</v>
      </c>
      <c r="AD298" s="2">
        <v>1774.1999999999998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2076.8+(379.9-480.7)+(-4.236672+(-0.774996--0.980628))+0-593.2--1.21012799999997</f>
        <v>1379.979088</v>
      </c>
      <c r="G299" s="3">
        <f>1874+(350.6-435.6)+(-3.82296+(-0.715224--0.888624))+0-492.1--1.00388399999998</f>
        <v>1294.2543239999998</v>
      </c>
      <c r="H299" s="3">
        <f>1845.4+(378.6-361.9)+(-2.823462+(-0.579258--0.553707))+0-613.2--0.938196000000036</f>
        <v>1246.9891830000001</v>
      </c>
      <c r="I299" s="3">
        <f>1847.1+(310.8-349.3)+(-2.826063+(-0.475524--0.534429))+0-564.7--0.863991000000033</f>
        <v>1241.9968329999997</v>
      </c>
      <c r="J299" s="3">
        <f>1841+(317.2-302.2)+(1.87782+(0.323544-0.308244))+0-600-0.612000000000096</f>
        <v>1257.2811199999999</v>
      </c>
      <c r="K299" s="3">
        <f>1842.1+(331-300.7)+(3.757884+(0.67524-0.613428))+0-606.5-1.23725999999997</f>
        <v>1268.482436</v>
      </c>
      <c r="L299" s="3">
        <f>2024.6+(249.5-456.4)+(-4.130184+(-0.50898--0.931056))+0-531.8--1.08487199999998</f>
        <v>1283.2767639999997</v>
      </c>
      <c r="M299" s="3">
        <f>2011.9+(184.1-418)+(1.026069+(0.093891-0.21318))+0-511.6-0.260915999999948</f>
        <v>1267.0458639999999</v>
      </c>
      <c r="N299" s="3">
        <f>2147.6+(179.4-364.6)+(-3.285828+(-0.274482--0.557838))+0-555.4--0.849762000000032</f>
        <v>1404.8472899999999</v>
      </c>
      <c r="O299" s="3">
        <f>2302.1+(149.9-465.7)+(-1.174071+(-0.076449--0.237507))+0-493.4--0.25163399999995</f>
        <v>1492.1386209999998</v>
      </c>
      <c r="P299" s="3">
        <f>2388.4+(202.7-558.7)+(-4.872336+(-0.413508--1.139748))+0-462.6--0.94370399999998</f>
        <v>1566.5976080000003</v>
      </c>
      <c r="Q299" s="3">
        <f>2533.2+(228.2-822.5)+(-1.291932+(-0.116382--0.419475))+0-319.3--0.162842999999968</f>
        <v>1618.7740039999999</v>
      </c>
      <c r="R299" s="3">
        <f>2549.9+(288.3-716.9)+(-9.103143+(-1.029231--2.559333))+0-569.9--2.03454300000001</f>
        <v>1545.861502</v>
      </c>
      <c r="S299" s="3">
        <f>2409.9+(202.6-520.6)+(0+(0-0))+0-581.3-0</f>
        <v>1510.6000000000001</v>
      </c>
      <c r="T299" s="3">
        <f>2403.8+(148-505.2)+(-2.451876+(-0.15096--0.515304))+0-537.1--0.547842000000086</f>
        <v>1507.9603100000002</v>
      </c>
      <c r="U299" s="3">
        <f>2403.9+(194.2-468.6)+(0+(0-0))+0-651.2-0</f>
        <v>1478.3</v>
      </c>
      <c r="V299" s="3">
        <f>2403.7+(220-470.9)+(-1.225887+(-0.1122--0.240159))+0-616.1--0.314210999999938</f>
        <v>1535.9162829999996</v>
      </c>
      <c r="W299" s="3">
        <f>2481.5+(593.1-725.4)+(1.265565+(0.302481-0.369954))+0-560.1-0.285650999999943</f>
        <v>1790.0124410000001</v>
      </c>
      <c r="X299" s="3">
        <f>2831+(967.1-1150.8)+(-4.33143+(-1.479663--1.760724))+0-701.4--1.07314200000004</f>
        <v>1942.922773</v>
      </c>
      <c r="Y299" s="3">
        <f>2725.9+(800-1044.7)+(-4.170627+(-1.224--1.598391))+0-568.1--0.869193000000033</f>
        <v>1910.1729569999998</v>
      </c>
      <c r="Z299" s="3">
        <f>2695.6+(845.8-1053.6)+(-1.374756+(-0.431358--0.537336))+0-600.9--0.306458999999939</f>
        <v>1885.9376809999999</v>
      </c>
      <c r="AA299" s="3">
        <f>2720.9+(990.7-1182.4)+(-1.387659+(-0.505257--0.603024))+0-688.9--0.35133899999993</f>
        <v>1839.3614469999998</v>
      </c>
      <c r="AB299" s="3">
        <f>2687.5+(757-1025.1)+(-5.4825+(-1.54428--2.091204))+0-645.1--1.31600399999997</f>
        <v>1770.6804280000003</v>
      </c>
      <c r="AC299" s="3">
        <f>2523.6+(381.8-612)+(-3.861108+(-0.584154--0.93636))+0-646.5--0.989145000000037</f>
        <v>1644.3802430000001</v>
      </c>
      <c r="AD299" s="2">
        <v>1948.9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2447.2+(384.3-593.9)+(1.248072+(0.195993-0.302889))+0-674.3-0.343892999999932</f>
        <v>1564.0972830000001</v>
      </c>
      <c r="G300" s="3">
        <f>2215+(269.8-406.1)+(2.2593+(0.275196-0.414222))+0-581.9-0.593538000000093</f>
        <v>1498.3267359999995</v>
      </c>
      <c r="H300" s="3">
        <f>2196.4+(327.9-389.9)+(1.120164+(0.167229-0.198849))+0-671.7-0.342566999999932</f>
        <v>1463.4459770000003</v>
      </c>
      <c r="I300" s="3">
        <f>2197.8+(343.9-513.5)+(3.362634+(0.526167-0.785655))+0-590.9-0.904077000000034</f>
        <v>1439.499069</v>
      </c>
      <c r="J300" s="3">
        <f>2191.5+(385.2-492.3)+(4.47066+(0.785808-1.004292))+0-630.9-1.28703599999997</f>
        <v>1456.46514</v>
      </c>
      <c r="K300" s="3">
        <f>2205.9+(508.4-613.8)+(0+(0-0))+0-633-0</f>
        <v>1467.5</v>
      </c>
      <c r="L300" s="3">
        <f>2288.6+(572.6-602.3)+(2.334372+(0.584052-0.614346))+0-688.8-0.70257600000011</f>
        <v>1571.7015020000001</v>
      </c>
      <c r="M300" s="3">
        <f>2420.9+(363-515.6)+(3.703977+(0.55539-0.788868))+0-603.7-0.923661000000035</f>
        <v>1667.1468380000001</v>
      </c>
      <c r="N300" s="3">
        <f>2692.7+(475.8-747)+(4.119831+(0.727974-1.14291))+0-556.9-0.852057000000032</f>
        <v>1867.4528379999997</v>
      </c>
      <c r="O300" s="3">
        <f>2839.1+(858.4-1045.2)+(7.239705+(2.18892-2.66526))+0-652.9-1.66489499999991</f>
        <v>2004.4984699999995</v>
      </c>
      <c r="P300" s="3">
        <f>3066.5+(1098.8-1409.9)+(3.12783+(1.120776-1.438098))+0-667.5-0.680850000000106</f>
        <v>2090.0296579999995</v>
      </c>
      <c r="Q300" s="3">
        <f>3061.6+(1183.9-1562.6)+(6.245664+(2.415156-3.187704))+0-607.2-1.23868799999997</f>
        <v>2079.934428</v>
      </c>
      <c r="R300" s="3">
        <f>3013.3+(971.4-1353.8)+(-3.073566+(-0.990828--1.380876))+0-651.8--0.664836000000104</f>
        <v>1977.0813180000005</v>
      </c>
      <c r="S300" s="3">
        <f>2779.1+(626.6-856.6)+(1.417341+(0.319566-0.436866))+0-598.8-0.305387999999939</f>
        <v>1951.2946529999999</v>
      </c>
      <c r="T300" s="3">
        <f>2782.7+(515.2-787.9)+(0+(0-0))+0-522.9-0</f>
        <v>1987.1</v>
      </c>
      <c r="U300" s="3">
        <f>2790.3+(492.7-789.9)+(-2.846106+(-0.502554--0.805698))+0-505.3--0.515406000000081</f>
        <v>1985.7724440000004</v>
      </c>
      <c r="V300" s="3">
        <f>2968.9+(625.1-1041.3)+(0+(0-0))+0-584.8-0</f>
        <v>1967.9000000000003</v>
      </c>
      <c r="W300" s="3">
        <f>2931.9+(933.4-1122.4)+(0+(0-0))+0-536.5-0</f>
        <v>2206.4</v>
      </c>
      <c r="X300" s="3">
        <f>3016.9+(1189-1315.5)+(-4.615857+(-1.81917--2.012715))+0-593.1--0.907443000000034</f>
        <v>2293.7851310000001</v>
      </c>
      <c r="Y300" s="3">
        <f>2930.7+(1042.8-1225.3)+(-2.989314+(-1.063656--1.249806))+0-532.5--0.543150000000085</f>
        <v>2213.4399859999999</v>
      </c>
      <c r="Z300" s="3">
        <f>3057.6+(1020.9-1297.6)+(-3.118752+(-1.041318--1.323552))+0-665.8--0.679116000000106</f>
        <v>2112.9425980000005</v>
      </c>
      <c r="AA300" s="3">
        <f>3058+(677.9-1176.9)+(-1.55958+(-0.345729--0.600219))+0-524--0.267239999999947</f>
        <v>2033.9621500000001</v>
      </c>
      <c r="AB300" s="3">
        <f>2976.5+(431.9-851)+(-4.554045+(-0.660807--1.30203))+0-625.9--0.957627000000036</f>
        <v>1928.5448050000002</v>
      </c>
      <c r="AC300" s="3">
        <f>2785.9+(140.7-480.6)+(-5.683236+(-0.287028--0.980424))+0-662.5--1.35149999999997</f>
        <v>1779.8616599999998</v>
      </c>
      <c r="AD300" s="2">
        <v>2317.0999999999995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2604.7+(67.4-435.7)+(-6.641985+(-0.17187--1.111035))+0-559.9--1.42774499999992</f>
        <v>1672.2249249999995</v>
      </c>
      <c r="G301" s="3">
        <f>2522.1+(145.5-355.9)+(-6.431355+(-0.371025--0.907545))+0-693.8--1.7691899999999</f>
        <v>1613.7743549999998</v>
      </c>
      <c r="H301" s="3">
        <f>2378.1+(252-410.3)+(-4.851324+(-0.51408--0.837012))+0-639.8--1.30519199999997</f>
        <v>1576.7767999999996</v>
      </c>
      <c r="I301" s="3">
        <f>2264.3+(303.8-307.8)+(-1.154793+(-0.154938--0.156978))+0-708.2--0.361181999999928</f>
        <v>1551.3084290000002</v>
      </c>
      <c r="J301" s="3">
        <f>2246.6+(278.3-385.8)+(-4.583064+(-0.567732--0.787032))+0-583.5--1.19033999999997</f>
        <v>1552.4265759999996</v>
      </c>
      <c r="K301" s="3">
        <f>2233.6+(391.2-347.7)+(5.69568+(0.99756-0.886635))+0-703.3-1.7934149999999</f>
        <v>1577.8131900000003</v>
      </c>
      <c r="L301" s="3">
        <f>2440.5+(202.1-410.3)+(0+(0-0))+0-583.9-0</f>
        <v>1648.4</v>
      </c>
      <c r="M301" s="3">
        <f>2600.6+(171.3-371.5)+(-1.326306+(-0.087363--0.189465))+0-661--0.337109999999933</f>
        <v>1738.5129059999999</v>
      </c>
      <c r="N301" s="3">
        <f>2837.1+(182.8-540.2)+(-2.893842+(-0.186456--0.551004))+0-553.1--0.564162000000088</f>
        <v>1924.6348680000001</v>
      </c>
      <c r="O301" s="3">
        <f>2889.5+(506.7-699.7)+(1.473645+(0.258417-0.356847))+0-660.2-0.336701999999933</f>
        <v>2037.3385130000001</v>
      </c>
      <c r="P301" s="3">
        <f>2861.8+(825.2-1001.4)+(-1.459518+(-0.420852--0.510714))+0-583.8--0.297737999999941</f>
        <v>2100.7280820000001</v>
      </c>
      <c r="Q301" s="3">
        <f>2998.6+(875.1-1183.1)+(-4.587858+(-1.338903--1.810143))+0-593.5--0.908055000000034</f>
        <v>2093.8914369999998</v>
      </c>
      <c r="R301" s="3">
        <f>2986.5+(470-949.2)+(-7.615575+(-1.1985--2.42046))+0-550--1.40249999999992</f>
        <v>1952.3088850000001</v>
      </c>
      <c r="S301" s="3">
        <f>2733.7+(187-514.7)+(-1.394187+(-0.09537--0.262497))+0-487.3--0.248522999999951</f>
        <v>1917.7214629999999</v>
      </c>
      <c r="T301" s="3">
        <f>2746.4+(307.2-462.9)+(1.400664+(0.156672-0.236079))+0-627.1-0.319820999999936</f>
        <v>1964.6014360000004</v>
      </c>
      <c r="U301" s="3">
        <f>2734.5+(209.3-487.5)+(1.394595+(0.106743-0.248625))+0-486.8-0.248267999999951</f>
        <v>1970.504445</v>
      </c>
      <c r="V301" s="3">
        <f>2739+(268.2-493.9)+(1.39689+(0.136782-0.251889))+0-557.5-0.284324999999943</f>
        <v>1956.7974580000002</v>
      </c>
      <c r="W301" s="3">
        <f>3119+(792.5-1242.6)+(1.59069+(0.404175-0.633726))+0-475.4-0.242453999999952</f>
        <v>2194.6186850000004</v>
      </c>
      <c r="X301" s="3">
        <f>3261.3+(1227.6-1653.1)+(-3.326526+(-1.252152--1.686162))+0-522.8--0.533256000000083</f>
        <v>2310.6407400000003</v>
      </c>
      <c r="Y301" s="3">
        <f>2985.7+(1070.8-1216.2)+(-3.045414+(-1.092216--1.240524))+0-591.9--0.603738000000094</f>
        <v>2246.106632</v>
      </c>
      <c r="Z301" s="3">
        <f>2894.8+(969.1-1117.6)+(1.476348+(0.494241-0.569976))+0-605.4-0.308753999999939</f>
        <v>2141.9918589999997</v>
      </c>
      <c r="AA301" s="3">
        <f>2944.4+(882-1055.2)+(1.501644+(0.44982-0.538152))+0-709.2-0.361691999999928</f>
        <v>2063.0516199999997</v>
      </c>
      <c r="AB301" s="3">
        <f>2962.3+(563.2-983.7)+(-1.510773+(-0.287232--0.501687))+0-570.7--0.291056999999942</f>
        <v>1970.0947389999999</v>
      </c>
      <c r="AC301" s="3">
        <f>2907.7+(379.3-768.9)+(-1.482927+(-0.193443--0.392139))+0-679.6--0.346595999999931</f>
        <v>1837.5623649999998</v>
      </c>
      <c r="AD301" s="2">
        <v>2298.9000000000005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2771.4+(91.1-500.5)+(-2.826828+(-0.092922--0.51051))+0-639.3--0.652086000000102</f>
        <v>1720.9428460000001</v>
      </c>
      <c r="G302" s="3">
        <f>2597.5+(192.7-420.4)+(-1.324725+(-0.098277--0.214404))+0-729.5--0.372044999999926</f>
        <v>1639.4634469999999</v>
      </c>
      <c r="H302" s="3">
        <f>2517.3+(123.3-401.1)+(2.567646+(0.125766-0.409122))+0-648.2-0.661164000000103</f>
        <v>1592.9231259999999</v>
      </c>
      <c r="I302" s="3">
        <f>2470.2+(190-349.9)+(-3.779406+(-0.2907--0.535347))+0-740.8--1.13342400000004</f>
        <v>1567.0986649999998</v>
      </c>
      <c r="J302" s="3">
        <f>2477.8+(115.4-406.1)+(0+(0-0))+0-621.6-0</f>
        <v>1565.5000000000005</v>
      </c>
      <c r="K302" s="3">
        <f>2582.7+(252-516.7)+(1.317177+(0.12852-0.263517))+0-721.4-0.367913999999927</f>
        <v>1597.4142659999998</v>
      </c>
      <c r="L302" s="3">
        <f>2607+(192.1-480)+(-1.32957+(-0.097971--0.2448))+0-645.5--0.329204999999935</f>
        <v>1672.7464639999998</v>
      </c>
      <c r="M302" s="3">
        <f>2905+(61.2-694.8)+(1.48155+(0.031212-0.354348))+0-506.3-0.258212999999949</f>
        <v>1766.0002010000003</v>
      </c>
      <c r="N302" s="3">
        <f>3177.7+(358.4-996.6)+(0+(0-0))+0-575.8-0</f>
        <v>1963.7</v>
      </c>
      <c r="O302" s="3">
        <f>3340+(604.5-1423.2)+(1.7034+(0.308295-0.725832))+0-436.6-0.222665999999956</f>
        <v>2085.7631970000002</v>
      </c>
      <c r="P302" s="3">
        <f>3413.3+(753.6-1665.5)+(0+(0-0))+0-380.6-0</f>
        <v>2120.8000000000002</v>
      </c>
      <c r="Q302" s="3">
        <f>3479.1+(749.2-1757.5)+(-5.323023+(-1.146276--2.688975))+0-344.9--0.52769700000002</f>
        <v>2122.6473730000002</v>
      </c>
      <c r="R302" s="3">
        <f>3473.4+(534-1577.1)+(1.771434+(0.27234-0.804321))+0-461.1-0.235160999999953</f>
        <v>1970.2042920000004</v>
      </c>
      <c r="S302" s="3">
        <f>3476.6+(340-1360.8)+(3.546132+(0.3468-1.388016))+0-495.1-0.505002000000079</f>
        <v>1962.699914</v>
      </c>
      <c r="T302" s="3">
        <f>3295.7+(234.4-1022.6)+(0+(0-0))+0-501.3-0</f>
        <v>2006.2</v>
      </c>
      <c r="U302" s="3">
        <f>2993.6+(179.1-661.1)+(-6.106944+(-0.365364--1.348644))+0-511--1.04243999999998</f>
        <v>1996.5187759999997</v>
      </c>
      <c r="V302" s="3">
        <f>3050.9+(152.6-760.6)+(-4.667877+(-0.233478--1.163718))+0-430--0.657900000000025</f>
        <v>2009.8202629999998</v>
      </c>
      <c r="W302" s="3">
        <f>3298.6+(746.4-1312.7)+(8.41143+(1.90332-3.347385))+0-534-1.36169999999992</f>
        <v>2203.9056649999998</v>
      </c>
      <c r="X302" s="3">
        <f>3516.6+(938.6-1637)+(-5.380398+(-1.436058--2.50461))+0-523.5--0.80095500000003</f>
        <v>2291.1891089999999</v>
      </c>
      <c r="Y302" s="3">
        <f>3515.2+(672.5-1476.7)+(-5.378256+(-1.028925--2.259351))+0-475.8--0.727974000000028</f>
        <v>2231.7801439999998</v>
      </c>
      <c r="Z302" s="3">
        <f>3515.2+(541.1-1408)+(-3.585504+(-0.551922--1.43616))+0-510.4--0.520608000000081</f>
        <v>2135.7193419999999</v>
      </c>
      <c r="AA302" s="3">
        <f>3514.2+(316.1-1265.1)+(1.792242+(0.161211-0.645201))+0-509.2-0.259691999999948</f>
        <v>2057.0485599999997</v>
      </c>
      <c r="AB302" s="3">
        <f>3439.2+(134.5-1069.6)+(0+(0-0))+0-548.5-0</f>
        <v>1955.6</v>
      </c>
      <c r="AC302" s="3">
        <f>3129.9+(8.4-756.9)+(1.596249+(0.004284-0.386019))+0-555.4-0.283253999999944</f>
        <v>1826.9312599999998</v>
      </c>
      <c r="AD302" s="2">
        <v>2320.3000000000002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2956.1+(71.7-769.7)+(-1.507611+(-0.036567--0.392547))+0-546--0.278459999999945</f>
        <v>1711.2268289999997</v>
      </c>
      <c r="G303" s="3">
        <f>2767.9+(119.7-748.8)+(-4.234887+(-0.183141--1.145664))+0-517.7--0.79208100000003</f>
        <v>1618.6197170000003</v>
      </c>
      <c r="H303" s="3">
        <f>2765.9+(162.4-763.3)+(-4.231827+(-0.248472--1.167849))+0-578.2--0.884646000000033</f>
        <v>1584.372196</v>
      </c>
      <c r="I303" s="3">
        <f>2762+(160.1-798.4)+(1.40862+(0.081651-0.407184))+0-553.1-0.282080999999944</f>
        <v>1571.4010060000001</v>
      </c>
      <c r="J303" s="3">
        <f>2760+(161.9-796.3)+(0+(0-0))+0-558.4-0</f>
        <v>1567.1999999999998</v>
      </c>
      <c r="K303" s="3">
        <f>2759.7+(129.2-728.7)+(0+(0-0))+0-582.9-0</f>
        <v>1577.2999999999997</v>
      </c>
      <c r="L303" s="3">
        <f>2923+(166.7-856.9)+(-2.98146+(-0.170034--0.874038))+0-570.5--0.581910000000091</f>
        <v>1660.6044540000005</v>
      </c>
      <c r="M303" s="3">
        <f>3057.2+(34.7-823)+(1.559172+(0.017697-0.41973))+0-511.5-0.260864999999948</f>
        <v>1758.2962739999996</v>
      </c>
      <c r="N303" s="3">
        <f>3336.5+(13.2-795.7)+(3.40323+(0.013464-0.811614))+0-616.8-0.629136000000098</f>
        <v>1939.1759439999998</v>
      </c>
      <c r="O303" s="3">
        <f>3422.2+(266.5-1148.7)+(5.235966+(0.407745-1.757511))+0-487.2-0.745416000000028</f>
        <v>2055.9407839999999</v>
      </c>
      <c r="P303" s="3">
        <f>3528.7+(591.7-1398.4)+(-3.599274+(-0.603534--1.426368))+0-591.7--0.603534000000094</f>
        <v>2128.1270939999999</v>
      </c>
      <c r="Q303" s="3">
        <f>3555.2+(660.7-1463.3)+(3.626304+(0.673914-1.492566))+0-611.4-0.623628000000097</f>
        <v>2143.3840239999995</v>
      </c>
      <c r="R303" s="3">
        <f>3505.3+(456.6-1444.9)+(-5.363109+(-0.698598--2.210697))+0-537.2--0.821916000000031</f>
        <v>1976.7709060000002</v>
      </c>
      <c r="S303" s="3">
        <f>3426.5+(128.2-1107.7)+(1.747515+(0.065382-0.564927))+0-489.9-0.24984899999995</f>
        <v>1958.0981209999998</v>
      </c>
      <c r="T303" s="3">
        <f>3381.6+(71.2-906.2)+(-5.173848+(-0.108936--1.386486))+0-535.1--0.818703000000031</f>
        <v>2008.422405</v>
      </c>
      <c r="U303" s="3">
        <f>3355+(1.7-877.7)+(-3.4221+(-0.001734--0.895254))+0-490.2--0.500004000000078</f>
        <v>1986.7714239999998</v>
      </c>
      <c r="V303" s="3">
        <f>3234.9+(49.5-814.4)+(-1.649799+(-0.025245--0.415344))+0-487.2--0.248471999999951</f>
        <v>1981.7887719999999</v>
      </c>
      <c r="W303" s="3">
        <f>3489.2+(739.8-1504.4)+(0+(0-0))+0-538.5-0</f>
        <v>2186.0999999999995</v>
      </c>
      <c r="X303" s="3">
        <f>3556.8+(1021.7-1763)+(-5.441904+(-1.563201--2.69739))+0-492.9--0.754137000000028</f>
        <v>2319.0464219999999</v>
      </c>
      <c r="Y303" s="3">
        <f>3337.2+(767.4-1293.8)+(-5.105916+(-1.174122--1.979514))+0-560.2--0.857106000000032</f>
        <v>2247.1565819999992</v>
      </c>
      <c r="Z303" s="3">
        <f>3299.9+(532-1087.7)+(-3.365898+(-0.54264--1.109454))+0-601.3--0.613326000000096</f>
        <v>2140.7142419999996</v>
      </c>
      <c r="AA303" s="3">
        <f>3365.6+(338.5-1094.7)+(-3.432912+(-0.34527--1.116594))+0-560.9--0.572118000000089</f>
        <v>2046.4105299999997</v>
      </c>
      <c r="AB303" s="3">
        <f>3313.1+(155.2-945.6)+(-5.069043+(-0.237456--1.446768))+0-549.5--0.840735000000032</f>
        <v>1970.1810039999998</v>
      </c>
      <c r="AC303" s="3">
        <f>3096.1+(54.5-678.3)+(-4.737033+(-0.083385--1.037799))+0-631.8--0.966654000000036</f>
        <v>1837.6840350000002</v>
      </c>
      <c r="AD303" s="2">
        <v>2313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3014+(48.1-775.5)+(-6.14856+(-0.098124--1.58202))+0-566.9--1.15647599999998</f>
        <v>1716.1918119999998</v>
      </c>
      <c r="G304" s="3">
        <f>2955.4+(81.8-779.9)+(0+(0-0))+0-623.6-0</f>
        <v>1633.7000000000003</v>
      </c>
      <c r="H304" s="3">
        <f>2755.2+(107.8-643.2)+(-7.02576+(-0.27489--1.64016))+0-606.8--1.54733999999991</f>
        <v>1608.8868499999994</v>
      </c>
      <c r="I304" s="3">
        <f>2638.9+(162.9-629.5)+(-4.037517+(-0.249237--0.963135))+0-588.5--0.900405000000034</f>
        <v>1581.3767860000005</v>
      </c>
      <c r="J304" s="3">
        <f>2640.9+(246.6-703.6)+(1.346859+(0.125766-0.358836))+0-605.8-0.308957999999939</f>
        <v>1578.9048310000003</v>
      </c>
      <c r="K304" s="3">
        <f>2642.4+(258.9-729.7)+(5.390496+(0.528156-1.488588))+0-567.6-1.15790399999998</f>
        <v>1607.2721600000002</v>
      </c>
      <c r="L304" s="3">
        <f>2737.2+(144.6-683.4)+(-2.791944+(-0.147492--0.697068))+0-563.9--0.57517800000009</f>
        <v>1632.8328099999994</v>
      </c>
      <c r="M304" s="3">
        <f>2881.9+(52-677.7)+(-1.469769+(-0.02652--0.345627))+0-569.1--0.290240999999942</f>
        <v>1686.2395789999998</v>
      </c>
      <c r="N304" s="3">
        <f>3031.7+(29.4-685.6)+(0+(0-0))+0-502.7-0</f>
        <v>1872.8</v>
      </c>
      <c r="O304" s="3">
        <f>3327.5+(543.9-1287.1)+(1.697025+(0.277389-0.656421))+0-581.5-0.296564999999941</f>
        <v>2003.8214280000004</v>
      </c>
      <c r="P304" s="3">
        <f>3362.8+(920.7-1687.4)+(5.145084+(1.408671-2.581722))+0-588.9-0.901017000000034</f>
        <v>2010.2710160000001</v>
      </c>
      <c r="Q304" s="3">
        <f>3429.9+(1029.9-1818.9)+(-3.498498+(-1.050498--1.855278))+0-551.8--0.562836000000088</f>
        <v>2086.969118</v>
      </c>
      <c r="R304" s="3">
        <f>3409.6+(726-1580.3)+(-3.477792+(-0.74052--1.611906))+0-591--0.602820000000094</f>
        <v>1962.2964140000004</v>
      </c>
      <c r="S304" s="3">
        <f>3314.8+(311.8-1239.2)+(-1.690548+(-0.159018--0.631992))+0-494.5--0.25219499999995</f>
        <v>1891.9346210000003</v>
      </c>
      <c r="T304" s="3">
        <f>3266.4+(130.8-948.9)+(0+(0-0))+0-576.4-0</f>
        <v>1871.9</v>
      </c>
      <c r="U304" s="3">
        <f>3214+(48.5-861.7)+(-3.27828+(-0.04947--0.878934))+0-556.5--0.567630000000089</f>
        <v>1842.4188140000001</v>
      </c>
      <c r="V304" s="3">
        <f>3250.1+(115-992.2)+(0+(0-0))+0-532.6-0</f>
        <v>1840.2999999999997</v>
      </c>
      <c r="W304" s="3">
        <f>3346.6+(731.8-1438.2)+(-1.706766+(-0.373218--0.733482))+0-593.8--0.30283799999994</f>
        <v>2045.3563359999998</v>
      </c>
      <c r="X304" s="3">
        <f>3280.6+(1048.9-1666)+(-5.019318+(-1.604817--2.54898))+0-506.2--0.774486000000029</f>
        <v>2153.9993310000004</v>
      </c>
      <c r="Y304" s="3">
        <f>3557.8+(900.1-1749.1)+(-3.628956+(-0.918102--1.784082))+0-604.2--0.616284000000096</f>
        <v>2102.4533080000006</v>
      </c>
      <c r="Z304" s="3">
        <f>3628.8+(694.9-1739.3)+(1.850688+(0.354399-0.887043))+0-557.3-0.284222999999943</f>
        <v>2028.1338210000004</v>
      </c>
      <c r="AA304" s="3">
        <f>3433.2+(609.5-1508.3)+(-1.750932+(-0.310845--0.769233))+0-575.4--0.293453999999942</f>
        <v>1958.0009099999995</v>
      </c>
      <c r="AB304" s="3">
        <f>3209+(360.5-1115)+(-8.18295+(-0.919275--2.84325))+0-582.9--1.48639499999992</f>
        <v>1866.8274199999996</v>
      </c>
      <c r="AC304" s="3">
        <f>2926.8+(19.2-651.4)+(-7.46334+(-0.04896--1.66107))+0-546.1--1.39255499999992</f>
        <v>1744.0413250000001</v>
      </c>
      <c r="AD304" s="2">
        <v>2173.4000000000005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2860+(0-679.8)+(-5.8344+(0--1.386792))+0-541.8--1.10527199999998</f>
        <v>1635.0576639999999</v>
      </c>
      <c r="G305" s="3">
        <f>2697.1+(29.7-527.7)+(-6.877605+(-0.075735--1.345635))+0-634--1.61669999999991</f>
        <v>1561.1089949999998</v>
      </c>
      <c r="H305" s="3">
        <f>2360.3+(95.8-461.5)+(-4.815012+(-0.195432--0.94146))+0-481.2--0.981647999999979</f>
        <v>1510.312664</v>
      </c>
      <c r="I305" s="3">
        <f>2320.5+(235.6-497.4)+(1.183455+(0.120156-0.253674))+0-563.1-0.287180999999943</f>
        <v>1496.3627559999998</v>
      </c>
      <c r="J305" s="3">
        <f>2312.9+(272-527.4)+(-1.179579+(-0.13872--0.268974))+0-561.2--0.286211999999943</f>
        <v>1495.536887</v>
      </c>
      <c r="K305" s="3">
        <f>2306.5+(261.6-520.5)+(2.35263+(0.266832-0.53091))+0-560.3-0.571506000000089</f>
        <v>1488.8170460000001</v>
      </c>
      <c r="L305" s="3">
        <f>2303.7+(237.5-434.7)+(-2.349774+(-0.24225--0.443394))+0-616.3--0.628626000000098</f>
        <v>1488.6799960000001</v>
      </c>
      <c r="M305" s="3">
        <f>2247.9+(198.9-484.8)+(-3.439287+(-0.304317--0.741744))+0-536.5--0.820845000000031</f>
        <v>1423.3189849999999</v>
      </c>
      <c r="N305" s="3">
        <f>2305.9+(327.5-587)+(-1.176009+(-0.167025--0.29937))+0-577.4--0.294473999999941</f>
        <v>1468.2508100000002</v>
      </c>
      <c r="O305" s="3">
        <f>2417+(272.9-626.5)+(2.46534+(0.278358-0.63903))+0-516.8-0.527136000000082</f>
        <v>1548.1775319999999</v>
      </c>
      <c r="P305" s="3">
        <f>2694.7+(654.9-1139.6)+(0+(0-0))+0-578.5-0</f>
        <v>1631.5</v>
      </c>
      <c r="Q305" s="3">
        <f>2605.1+(685.6-1083)+(-3.985803+(-1.048968--1.65699))+0-543.7--0.831861000000031</f>
        <v>1661.4540799999997</v>
      </c>
      <c r="R305" s="3">
        <f>2520.7+(553.2-883)+(0+(0-0))+0-583.6-0</f>
        <v>1607.2999999999997</v>
      </c>
      <c r="S305" s="3">
        <f>2522.3+(301.3-708.1)+(-1.286373+(-0.153663--0.361131))+0-550.3--0.280652999999944</f>
        <v>1564.4017480000002</v>
      </c>
      <c r="T305" s="3">
        <f>2489.2+(255-621.7)+(2.538984+(0.2601-0.634134))+0-583.6-0.595272000000093</f>
        <v>1540.4696779999999</v>
      </c>
      <c r="U305" s="3">
        <f>2400.7+(148.5-515.9)+(-2.448714+(-0.15147--0.526218))+0-506.4--0.516528000000081</f>
        <v>1525.3425619999998</v>
      </c>
      <c r="V305" s="3">
        <f>2392.4+(235-563.1)+(-1.220124+(-0.11985--0.287181))+0-508.5--0.259334999999948</f>
        <v>1555.0065420000003</v>
      </c>
      <c r="W305" s="3">
        <f>2569.2+(970.6-1236.8)+(1.310292+(0.495006-0.630768))+0-516.5-0.263414999999948</f>
        <v>1787.4111149999999</v>
      </c>
      <c r="X305" s="3">
        <f>2758.7+(1459.8-1773.9)+(-2.813874+(-1.488996--1.809378))+0-535.3--0.546006000000085</f>
        <v>1907.3525139999995</v>
      </c>
      <c r="Y305" s="3">
        <f>2618.9+(1470.3-1591.1)+(0+(0-0))+0-597-0</f>
        <v>1901.1000000000004</v>
      </c>
      <c r="Z305" s="3">
        <f>2567.9+(1297.9-1414.3)+(-2.619258+(-1.323858--1.442586))+0-572.6--0.584052000000091</f>
        <v>1876.9835220000004</v>
      </c>
      <c r="AA305" s="3">
        <f>2423.6+(1272.2-1253.2)+(1.236036+(0.648822-0.639132))+0-603-0.307529999999939</f>
        <v>1840.538196</v>
      </c>
      <c r="AB305" s="3">
        <f>2423.1+(1007.8-1058.5)+(2.471562+(1.027956-1.07967))+0-576.4-0.587928000000092</f>
        <v>1797.8319199999994</v>
      </c>
      <c r="AC305" s="3">
        <f>2425.4+(522.5-809.4)+(-2.473908+(-0.53295--0.825588))+0-456.1--0.465222000000073</f>
        <v>1680.6839520000001</v>
      </c>
      <c r="AD305" s="2">
        <v>1884.6000000000004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2324.7+(107.3-306.3)+(0+(0-0))+0-553.6-0</f>
        <v>1572.1</v>
      </c>
      <c r="G306" s="3">
        <f>2307.2+(67.3-282.4)+(1.176672+(0.034323-0.144024))+0-593.5-0.30268499999994</f>
        <v>1499.3642860000002</v>
      </c>
      <c r="H306" s="3">
        <f>2343.2+(135.5-346.2)+(-3.585096+(-0.207315--0.529686))+0-664.4--1.01653200000004</f>
        <v>1465.853807</v>
      </c>
      <c r="I306" s="3">
        <f>2256.1+(157.3-428.3)+(2.301222+(0.160446-0.436866))+0-519-0.529380000000083</f>
        <v>1467.5954219999996</v>
      </c>
      <c r="J306" s="3">
        <f>2244.8+(220.2-374.6)+(2.289696+(0.224604-0.382092))+0-623.5-0.635970000000099</f>
        <v>1468.396238</v>
      </c>
      <c r="K306" s="3">
        <f>2286.7+(193.3-427.4)+(2.332434+(0.197166-0.435948))+0-578.1-0.589662000000092</f>
        <v>1476.0039899999999</v>
      </c>
      <c r="L306" s="3">
        <f>2530.3+(288.8-642.2)+(0+(0-0))+0-582.4-0</f>
        <v>1594.5</v>
      </c>
      <c r="M306" s="3">
        <f>2884.2+(147.2-721.6)+(-1.470942+(-0.075072--0.368016))+0-580.7--0.296156999999941</f>
        <v>1728.2181589999996</v>
      </c>
      <c r="N306" s="3">
        <f>3165.9+(138.4-866.5)+(1.614609+(0.070584-0.441915))+0-515.1-0.262700999999948</f>
        <v>1923.6805770000003</v>
      </c>
      <c r="O306" s="3">
        <f>3258.9+(265.4-842.4)+(0+(0-0))+0-639.8-0</f>
        <v>2042.1000000000001</v>
      </c>
      <c r="P306" s="3">
        <f>3312.7+(342.3-905.9)+(0+(0-0))+0-616.2-0</f>
        <v>2132.8999999999996</v>
      </c>
      <c r="Q306" s="3">
        <f>3317.7+(445.2-966.8)+(-1.692027+(-0.227052--0.493068))+0-646.7--0.329816999999934</f>
        <v>2148.3038059999999</v>
      </c>
      <c r="R306" s="3">
        <f>3266.3+(202.5-831.2)+(-4.997439+(-0.309825--1.271736))+0-643.1--0.983943000000037</f>
        <v>1991.4484150000005</v>
      </c>
      <c r="S306" s="3">
        <f>3097.9+(47.3-593.2)+(-1.579929+(-0.024123--0.302532))+0-624.2--0.318341999999937</f>
        <v>1926.816822</v>
      </c>
      <c r="T306" s="3">
        <f>3110.9+(50.3-625.7)+(-3.173118+(-0.051306--0.638214))+0-569--0.580380000000091</f>
        <v>1964.4941700000002</v>
      </c>
      <c r="U306" s="3">
        <f>3100.1+(119.5-611.4)+(3.162102+(0.12189-0.623628))+0-654.1-0.667182000000104</f>
        <v>1956.0931819999996</v>
      </c>
      <c r="V306" s="3">
        <f>3265.4+(108.6-814.7)+(-1.665354+(-0.055386--0.415497))+0-613--0.312629999999938</f>
        <v>1945.3073870000003</v>
      </c>
      <c r="W306" s="3">
        <f>3519.7+(654.6-1467.1)+(0+(0-0))+0-557.5-0</f>
        <v>2149.6999999999998</v>
      </c>
      <c r="X306" s="3">
        <f>3636.6+(1180.6-1835)+(-1.854666+(-0.602106--0.93585))+0-702.1--0.358070999999929</f>
        <v>2278.9371489999999</v>
      </c>
      <c r="Y306" s="3">
        <f>3635.1+(861.8-1718.6)+(-5.561703+(-1.318554--2.629458))+0-574.5--0.878985000000033</f>
        <v>2200.4281860000001</v>
      </c>
      <c r="Z306" s="3">
        <f>3666.2+(569.7-1433.2)+(0+(0-0))+0-690-0</f>
        <v>2112.6999999999998</v>
      </c>
      <c r="AA306" s="3">
        <f>3311.2+(279.8-891)+(0+(0-0))+0-658.7-0</f>
        <v>2041.3</v>
      </c>
      <c r="AB306" s="3">
        <f>3091.5+(86.2-707.1)+(-6.30666+(-0.175848--1.442484))+0-539.7--1.10098799999998</f>
        <v>1926.9609639999999</v>
      </c>
      <c r="AC306" s="3">
        <f>3051.8+(8.7-730.4)+(-7.78209+(-0.022185--1.86252))+0-516.5--1.31707499999993</f>
        <v>1808.9753200000005</v>
      </c>
      <c r="AD306" s="2">
        <v>2246.8000000000002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3046.4+(8.8-826.8)+(0+(0-0))+0-552.4-0</f>
        <v>1676</v>
      </c>
      <c r="G307" s="3">
        <f>2854.9+(17.6-628.1)+(1.455999+(0.008976-0.320331))+0-641.6-0.327215999999935</f>
        <v>1603.6174280000002</v>
      </c>
      <c r="H307" s="3">
        <f>2631.3+(49.1-463.9)+(0+(0-0))+0-695.2-0</f>
        <v>1521.3</v>
      </c>
      <c r="I307" s="3">
        <f>2538.5+(57.6-417)+(-3.883905+(-0.088128--0.63801))+0-620--0.948600000000036</f>
        <v>1556.714577</v>
      </c>
      <c r="J307" s="3">
        <f>2476.2+(72.9-436.8)+(-5.051448+(-0.148716--0.891072))+0-549.2--1.12036799999998</f>
        <v>1559.9112759999996</v>
      </c>
      <c r="K307" s="3">
        <f>2474.5+(173.6-421.6)+(5.04798+(0.354144-0.860064))+0-699.6-1.42718399999997</f>
        <v>1530.0148760000004</v>
      </c>
      <c r="L307" s="3">
        <f>2738+(168.1-630.7)+(-1.39638+(-0.085731--0.321657))+0-610.3--0.311252999999938</f>
        <v>1664.2507990000001</v>
      </c>
      <c r="M307" s="3">
        <f>3055.1+(46.9-734.8)+(-3.116202+(-0.047838--0.749496))+0-604--0.616080000000096</f>
        <v>1761.4015359999996</v>
      </c>
      <c r="N307" s="3">
        <f>3187.8+(38.9-635.8)+(-1.625778+(-0.019839--0.324258))+0-626.1--0.319310999999937</f>
        <v>1963.7979520000001</v>
      </c>
      <c r="O307" s="3">
        <f>3427.3+(329.3-1112)+(5.243769+(0.503829-1.70136))+0-580.4-0.888012000000034</f>
        <v>2067.3582260000003</v>
      </c>
      <c r="P307" s="3">
        <f>3615.5+(756-1569.3)+(3.68781+(0.77112-1.600686))+0-656.3-0.669426000000105</f>
        <v>2148.0888179999997</v>
      </c>
      <c r="Q307" s="3">
        <f>3507.3+(898.1-1606.6)+(-3.577446+(-0.916062--1.638732))+0-654--0.667080000000104</f>
        <v>2142.6123040000002</v>
      </c>
      <c r="R307" s="3">
        <f>3247.1+(616.6-1294.6)+(-6.624084+(-1.257864--2.640984))+0-579.7--1.18258799999997</f>
        <v>1985.3416239999997</v>
      </c>
      <c r="S307" s="3">
        <f>2885.8+(402-743.2)+(2.943516+(0.41004-0.758064))+0-591.1-0.602922000000094</f>
        <v>1955.4925700000003</v>
      </c>
      <c r="T307" s="3">
        <f>3085.7+(183.5-714.3)+(1.573707+(0.093585-0.364293))+0-551.5-0.281264999999944</f>
        <v>2004.4217339999998</v>
      </c>
      <c r="U307" s="3">
        <f>3088.9+(128-690.4)+(-7.876695+(-0.3264--1.76052))+0-578.1--1.47415499999992</f>
        <v>1943.4315799999999</v>
      </c>
      <c r="V307" s="3">
        <f>3149.8+(190.2-799.4)+(1.606398+(0.097002-0.407694))+0-564.7-0.287996999999943</f>
        <v>1976.9077090000003</v>
      </c>
      <c r="W307" s="3">
        <f>3561.4+(983.6-1775.2)+(5.448942+(1.504908-2.716056))+0-583.1-0.892143000000034</f>
        <v>2190.0456510000004</v>
      </c>
      <c r="X307" s="3">
        <f>3587.9+(1232.9-1946.9)+(-1.829829+(-0.628779--0.992919))+0-556.4--0.283763999999944</f>
        <v>2316.3180749999997</v>
      </c>
      <c r="Y307" s="3">
        <f>3527.9+(1016.1-1719.8)+(-5.397687+(-1.554633--2.631294))+0-581.5--0.889695000000034</f>
        <v>2239.268669</v>
      </c>
      <c r="Z307" s="3">
        <f>3517.8+(813.6-1390.6)+(-5.382234+(-1.244808--2.127618))+0-793.3--1.21374900000005</f>
        <v>2144.2143250000004</v>
      </c>
      <c r="AA307" s="3">
        <f>3392.1+(384.4-967.7)+(-6.919884+(-0.784176--1.974108))+0-744.1--1.51796399999997</f>
        <v>2060.4880119999998</v>
      </c>
      <c r="AB307" s="3">
        <f>3248+(77.5-610.2)+(-4.96944+(-0.118575--0.933606))+0-734.8--1.12424400000004</f>
        <v>1977.4698350000001</v>
      </c>
      <c r="AC307" s="3">
        <f>3123.6+(9.8-558.7)+(-1.593036+(-0.004998--0.284937))+0-734.6--0.374645999999925</f>
        <v>1839.1615489999997</v>
      </c>
      <c r="AD307" s="2">
        <v>2333.3999999999996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2807.5+(57.2-437.4)+(0+(0-0))+0-730.3-0</f>
        <v>1697.0000000000002</v>
      </c>
      <c r="G308" s="3">
        <f>2430.5+(192.3-204.6)+(-4.95822+(-0.392292--0.417384))+0-794.3--1.62037199999997</f>
        <v>1620.5872439999996</v>
      </c>
      <c r="H308" s="3">
        <f>2207.3+(353.6-291.3)+(2.251446+(0.360672-0.297126))+0-690.4-0.70420800000011</f>
        <v>1580.8107840000002</v>
      </c>
      <c r="I308" s="3">
        <f>2186.7+(373.8-279.5)+(1.115217+(0.190638-0.142545))+0-717.4-0.365873999999927</f>
        <v>1564.397436</v>
      </c>
      <c r="J308" s="3">
        <f>2184.4+(385.5-259.5)+(-1.114044+(-0.196605--0.132345))+0-747.6--0.381275999999924</f>
        <v>1562.002972</v>
      </c>
      <c r="K308" s="3">
        <f>2183.8+(372.1-292.2)+(1.113738+(0.189771-0.149022))+0-690.5-0.35215499999993</f>
        <v>1574.002332</v>
      </c>
      <c r="L308" s="3">
        <f>2406.7+(364-393.5)+(0+(0-0))+0-728.7-0</f>
        <v>1648.4999999999998</v>
      </c>
      <c r="M308" s="3">
        <f>2813.5+(140.2-611.4)+(5.73954+(0.286008-1.247256))+0-545.3-1.11241199999998</f>
        <v>1800.6658800000002</v>
      </c>
      <c r="N308" s="3">
        <f>2892.5+(188-555.4)+(2.95035+(0.19176-0.566508))+0-612.2-0.624444000000098</f>
        <v>1914.8511579999997</v>
      </c>
      <c r="O308" s="3">
        <f>3281.9+(254.5-969)+(-3.347538+(-0.25959--0.98838))+0-498.7--0.508674000000079</f>
        <v>2066.5899260000006</v>
      </c>
      <c r="P308" s="3">
        <f>3303.3+(513.7-1277.8)+(1.684683+(0.261987-0.651678))+0-400.5-0.204254999999959</f>
        <v>2139.7907370000003</v>
      </c>
      <c r="Q308" s="3">
        <f>3297.4+(629-1255)+(-1.681674+(-0.32079--0.64005))+0-510.9--0.260558999999948</f>
        <v>2159.3981449999997</v>
      </c>
      <c r="R308" s="3">
        <f>3248.2+(316.3-1147)+(-6.626328+(-0.645252--2.33988))+0-410.2--0.836807999999982</f>
        <v>2003.2051079999999</v>
      </c>
      <c r="S308" s="3">
        <f>3236.2+(290.6-1010.6)+(-6.601848+(-0.592824--2.061624))+0-537.1--1.09568399999998</f>
        <v>1975.0626359999997</v>
      </c>
      <c r="T308" s="3">
        <f>3002.9+(201-905.4)+(-3.062958+(-0.20502--0.923508))+0-290.5--0.296310000000046</f>
        <v>2005.9518399999999</v>
      </c>
      <c r="U308" s="3">
        <f>2939.7+(191-849.4)+(-2.998494+(-0.19482--0.866388))+0-271.9--0.277338000000043</f>
        <v>2007.3504119999996</v>
      </c>
      <c r="V308" s="3">
        <f>3013+(135.3-693.9)+(0+(0-0))+0-480.2-0</f>
        <v>1974.2</v>
      </c>
      <c r="W308" s="3">
        <f>3301.2+(816.1-1423.1)+(3.367224+(0.832422-1.451562))+0-528.6-0.539172000000084</f>
        <v>2167.8089119999995</v>
      </c>
      <c r="X308" s="3">
        <f>3546.8+(1220.8-1796.2)+(0+(0-0))+0-654.1-0</f>
        <v>2317.3000000000002</v>
      </c>
      <c r="Y308" s="3">
        <f>3536.5+(1073.1-1648.2)+(-3.60723+(-1.094562--1.681164))+0-713--0.727260000000114</f>
        <v>2246.1066319999995</v>
      </c>
      <c r="Z308" s="3">
        <f>3402.3+(651.7-1319.2)+(-8.675865+(-1.661835--3.36396))+0-604.9--1.54249499999991</f>
        <v>2124.4687549999999</v>
      </c>
      <c r="AA308" s="3">
        <f>3188.9+(392.3-752.9)+(-1.626339+(-0.200073--0.383979))+0-764.9--0.390098999999922</f>
        <v>2062.3476659999997</v>
      </c>
      <c r="AB308" s="3">
        <f>3191+(107.3-647.7)+(-4.88223+(-0.164169--0.990981))+0-689.7--1.05524100000004</f>
        <v>1957.899823</v>
      </c>
      <c r="AC308" s="3">
        <f>2941.7+(89.7-550.6)+(-3.000534+(-0.091494--0.561612))+0-638.5--0.651270000000102</f>
        <v>1840.4208539999997</v>
      </c>
      <c r="AD308" s="2">
        <v>2271.3000000000002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2378.6+(304.3-208.9)+(-4.852344+(-0.620772--0.426156))+0-755.7--1.54162799999997</f>
        <v>1714.7946679999998</v>
      </c>
      <c r="G309" s="3">
        <f>2216.1+(335.6-201.6)+(-3.390633+(-0.513468--0.308448))+0-706.7--1.08125100000004</f>
        <v>1640.8855980000001</v>
      </c>
      <c r="H309" s="3">
        <f>2215.3+(387.5-240.3)+(-1.129803+(-0.197625--0.122553))+0-768.1--0.391730999999922</f>
        <v>1593.5868560000001</v>
      </c>
      <c r="I309" s="3">
        <f>2216+(311.7-266.4)+(-1.13016+(-0.158967--0.135864))+0-682--0.347819999999931</f>
        <v>1578.494557</v>
      </c>
      <c r="J309" s="3">
        <f>2215.6+(222.1-321.8)+(-2.259912+(-0.226542--0.328236))+0-545.8--0.556716000000087</f>
        <v>1568.4984980000002</v>
      </c>
      <c r="K309" s="3">
        <f>2191.9+(193.1-468.2)+(2.235738+(0.196962-0.477564))+0-334.6-0.341292000000053</f>
        <v>1583.8138440000002</v>
      </c>
      <c r="L309" s="3">
        <f>2399.8+(247-719.5)+(-2.447796+(-0.25194--0.73389))+0-251.3--0.25632600000004</f>
        <v>1674.2904800000001</v>
      </c>
      <c r="M309" s="3">
        <f>2488.8+(271.1-700.9)+(3.807864+(0.414783-1.072377))+0-250.4-0.383112000000015</f>
        <v>1811.367158</v>
      </c>
      <c r="N309" s="3">
        <f>2606+(370-579.8)+(3.98718+(0.5661-0.887094))+0-394.5-0.603585000000023</f>
        <v>2004.7626009999997</v>
      </c>
      <c r="O309" s="3">
        <f>2901.4+(573.7-768.7)+(1.479714+(0.292587-0.392037))+0-602-0.307019999999939</f>
        <v>2105.4732440000002</v>
      </c>
      <c r="P309" s="3">
        <f>3005+(882.2-1074.8)+(1.53255+(0.449922-0.548148))+0-638.5-0.325634999999935</f>
        <v>2175.0086889999998</v>
      </c>
      <c r="Q309" s="3">
        <f>3006.2+(814.4-1036)+(-10.732134+(-2.907408--3.69852))+0-606.7--2.16591900000001</f>
        <v>2170.1248969999997</v>
      </c>
      <c r="R309" s="3">
        <f>2788.9+(498.2-892.6)+(-4.267017+(-0.762246--1.365678))+0-381.6--0.583848000000022</f>
        <v>2009.8202630000003</v>
      </c>
      <c r="S309" s="3">
        <f>2540.9+(278.1-666)+(-7.775154+(-0.850986--2.03796))+0-174--0.53244000000002</f>
        <v>1972.9442599999998</v>
      </c>
      <c r="T309" s="3">
        <f>2509.5+(267-601.5)+(0+(0-0))+0-147-0</f>
        <v>2028</v>
      </c>
      <c r="U309" s="3">
        <f>2521.5+(299.6-600.8)+(-2.57193+(-0.305592--0.612816))+0-204--0.208080000000033</f>
        <v>2014.2433740000004</v>
      </c>
      <c r="V309" s="3">
        <f>2524.3+(305.2-618.3)+(0+(0-0))+0-223.1-0</f>
        <v>1988.1000000000004</v>
      </c>
      <c r="W309" s="3">
        <f>2579+(793-1025.9)+(1.31529+(0.40443-0.523209))+0-193.7-0.0987869999999803</f>
        <v>2153.4977240000003</v>
      </c>
      <c r="X309" s="3">
        <f>2875.9+(959.3-1349.2)+(0+(0-0))+0-191.2-0</f>
        <v>2294.8000000000002</v>
      </c>
      <c r="Y309" s="3">
        <f>2755.8+(907.6-1236.3)+(-5.621832+(-1.851504--2.522052))+0-181.9--0.371075999999992</f>
        <v>2240.619792</v>
      </c>
      <c r="Z309" s="3">
        <f>2653.8+(816.5-1124.4)+(-2.706876+(-0.83283--1.146888))+0-205.5--0.209610000000033</f>
        <v>2138.2167920000002</v>
      </c>
      <c r="AA309" s="3">
        <f>2551.5+(468.7-820)+(-7.80759+(-1.434222--2.5092))+0-130.7--0.399942000000015</f>
        <v>2063.1673300000002</v>
      </c>
      <c r="AB309" s="3">
        <f>2474.9+(326.8-645.8)+(-5.048796+(-0.666672--1.317432))+0-179--0.365159999999992</f>
        <v>1972.8671240000001</v>
      </c>
      <c r="AC309" s="3">
        <f>2208.1+(263.6-485.7)+(-5.630655+(-0.67218--1.238535))+0-167--0.425849999999976</f>
        <v>1814.3615500000001</v>
      </c>
      <c r="AD309" s="2">
        <v>2275.5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2059.2+(234.4-400.6)+(-5.25096+(-0.59772--1.02153))+0-205.3--0.52351499999997</f>
        <v>1683.3963649999996</v>
      </c>
      <c r="G310" s="3">
        <f>2036.7+(169.4-429.3)+(-2.077434+(-0.172788--0.437886))+0-162.7--0.165954000000026</f>
        <v>1612.4536180000002</v>
      </c>
      <c r="H310" s="3">
        <f>2039.8+(139.8-420.7)+(-5.20149+(-0.35649--1.072785))+0-181.8--0.463589999999974</f>
        <v>1573.0783950000002</v>
      </c>
      <c r="I310" s="3">
        <f>2038.9+(160.8-443.6)+(3.119517+(0.246024-0.678708))+0-196.4-0.300492000000011</f>
        <v>1562.0863409999999</v>
      </c>
      <c r="J310" s="3">
        <f>2036.1+(153.9-434.2)+(3.115233+(0.235467-0.664326))+0-188.5-0.288405000000011</f>
        <v>1569.6979689999998</v>
      </c>
      <c r="K310" s="3">
        <f>2064.2+(286.5-369.2)+(0+(0-0))+0-394.6-0</f>
        <v>1586.8999999999996</v>
      </c>
      <c r="L310" s="3">
        <f>2305.1+(487.8-515.2)+(0+(0-0))+0-596.6-0</f>
        <v>1681.1</v>
      </c>
      <c r="M310" s="3">
        <f>2310.1+(332.7-495.7)+(-1.178151+(-0.169677--0.252807))+0-345.1--0.176000999999965</f>
        <v>1801.08098</v>
      </c>
      <c r="N310" s="3">
        <f>2327.1+(411-289.9)+(-1.186821+(-0.20961--0.147849))+0-443--0.225929999999955</f>
        <v>2004.1773479999997</v>
      </c>
      <c r="O310" s="3">
        <f>2488.1+(400.4-422.2)+(-1.268931+(-0.204204--0.215322))+0-350.6--0.178805999999964</f>
        <v>2114.6209929999995</v>
      </c>
      <c r="P310" s="3">
        <f>2544.2+(629.6-505.3)+(2.595084+(0.642192-0.515406))+0-481.3-0.490926000000077</f>
        <v>2189.4309439999997</v>
      </c>
      <c r="Q310" s="3">
        <f>2578.5+(824.1-565.9)+(-1.315035+(-0.420291--0.288609))+0-627.4--0.319973999999936</f>
        <v>2208.1732569999999</v>
      </c>
      <c r="R310" s="3">
        <f>2299.4+(666.6-349.6)+(-4.690776+(-1.359864--0.713184))+0-572.3--1.16749199999997</f>
        <v>2039.930036</v>
      </c>
      <c r="S310" s="3">
        <f>2207.2+(606.7-252.5)+(0+(0-0))+0-567.8-0</f>
        <v>1993.5999999999997</v>
      </c>
      <c r="T310" s="3">
        <f>2203.5+(615-233.5)+(1.123785+(0.31365-0.119085))+0-539.6-0.275195999999945</f>
        <v>2046.443154</v>
      </c>
      <c r="U310" s="3">
        <f>2214+(684.6-189.2)+(-5.6457+(-1.74573--0.48246))+0-672.3--1.7143649999999</f>
        <v>2031.905395</v>
      </c>
      <c r="V310" s="3">
        <f>2212.1+(585.6-208.3)+(-2.256342+(-0.597312--0.212466))+0-578.6--0.590172000000092</f>
        <v>2008.7489840000003</v>
      </c>
      <c r="W310" s="3">
        <f>2292.6+(1088.3-466.5)+(3.507678+(1.665099-0.713745))+0-699.8-1.07069400000004</f>
        <v>2217.9883380000001</v>
      </c>
      <c r="X310" s="3">
        <f>2474.5+(1326.7-881.9)+(-1.261995+(-0.676617--0.449769))+0-550--0.280499999999944</f>
        <v>2368.0916569999999</v>
      </c>
      <c r="Y310" s="3">
        <f>2429.9+(1241.9-652.3)+(-1.239249+(-0.633369--0.332673))+0-727.1--0.370820999999926</f>
        <v>2291.2308760000001</v>
      </c>
      <c r="Z310" s="3">
        <f>2253.5+(984.5-442.9)+(-1.149285+(-0.502095--0.225879))+0-619.4--0.315893999999937</f>
        <v>2174.5903929999995</v>
      </c>
      <c r="AA310" s="3">
        <f>2219+(896.2-264.4)+(-3.39507+(-1.371186--0.404532))+0-743.7--1.13786100000004</f>
        <v>2103.8761370000002</v>
      </c>
      <c r="AB310" s="3">
        <f>2208.6+(840.3-209.3)+(-5.63193+(-2.142765--0.533715))+0-836.8--2.13383999999988</f>
        <v>1997.6928599999999</v>
      </c>
      <c r="AC310" s="3">
        <f>2173+(703.8-231.5)+(-5.54115+(-1.79469--0.590325))+0-764.8--1.95023999999989</f>
        <v>1875.7047250000001</v>
      </c>
      <c r="AD310" s="2">
        <v>2396.8000000000002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2004.8+(621.1-176.7)+(-1.022448+(-0.316761--0.090117))+0-717.1--0.365720999999927</f>
        <v>1731.2166289999998</v>
      </c>
      <c r="G311" s="3">
        <f>1896.2+(645.2-222.8)+(-3.868248+(-1.316208--0.454512))+0-671.5--1.36985999999997</f>
        <v>1643.7399159999998</v>
      </c>
      <c r="H311" s="3">
        <f>1893.9+(709.4-219.7)+(0+(0-0))+0-788.4-0</f>
        <v>1595.1999999999998</v>
      </c>
      <c r="I311" s="3">
        <f>1892.4+(677.6-239.9)+(-2.895372+(-1.036728--0.367047))+0-737.1--1.12776300000004</f>
        <v>1590.5627100000006</v>
      </c>
      <c r="J311" s="3">
        <f>1886.1+(757.8-242.7)+(0.961911+(0.386478-0.123777))+0-824.2-0.420341999999916</f>
        <v>1577.8042699999999</v>
      </c>
      <c r="K311" s="3">
        <f>1890.7+(700-251.1)+(1.928514+(0.714-0.256122))+0-741.8-0.756636000000118</f>
        <v>1599.4297559999998</v>
      </c>
      <c r="L311" s="3">
        <f>1892.2+(741.4-259.6)+(0+(0-0))+0-733.7-0</f>
        <v>1640.3</v>
      </c>
      <c r="M311" s="3">
        <f>1901.2+(865.6-266.9)+(1.939224+(0.882912-0.272238))+0-757.5-0.772650000000121</f>
        <v>1744.1772480000002</v>
      </c>
      <c r="N311" s="3">
        <f>1940.4+(992.9-243.1)+(0.989604+(0.506379-0.123981))+0-718-0.366179999999927</f>
        <v>1973.2058219999999</v>
      </c>
      <c r="O311" s="3">
        <f>2214.6+(1077.7-418.9)+(0+(0-0))+0-763.6-0</f>
        <v>2109.8000000000002</v>
      </c>
      <c r="P311" s="3">
        <f>2228.1+(1248.3-557.9)+(1.136331+(0.636633-0.284529))+0-762.4-0.388823999999923</f>
        <v>2157.199611</v>
      </c>
      <c r="Q311" s="3">
        <f>2240.6+(1180.7-560)+(-3.428118+(-1.806471--0.8568))+0-751--1.14903000000004</f>
        <v>2107.0712410000001</v>
      </c>
      <c r="R311" s="3">
        <f>2245.4+(934.1-515.3)+(-4.580616+(-1.905564--1.051212))+0-712.5--1.45349999999997</f>
        <v>1947.7185320000003</v>
      </c>
      <c r="S311" s="3">
        <f>2052+(864.6-176.2)+(-1.04652+(-0.440946--0.089862))+0-837.2--0.426971999999915</f>
        <v>1902.2293680000002</v>
      </c>
      <c r="T311" s="3">
        <f>2022.7+(776.5-198)+(-4.126308+(-1.58406--0.40392))+0-703--1.43411999999997</f>
        <v>1894.3276719999999</v>
      </c>
      <c r="U311" s="3">
        <f>1989.6+(793.1-170.1)+(-6.088176+(-2.426886--0.520506))+0-749.4--2.29316400000009</f>
        <v>1857.4986079999999</v>
      </c>
      <c r="V311" s="3">
        <f>1902.2+(740.7-215.3)+(0.970122+(0.377757-0.109803))+0-596.2-0.30406199999994</f>
        <v>1832.3340140000005</v>
      </c>
      <c r="W311" s="3">
        <f>2175.3+(1141.8-621.8)+(2.218806+(1.164636-0.634236))+0-675.5-0.689010000000108</f>
        <v>2021.8601960000001</v>
      </c>
      <c r="X311" s="3">
        <f>2611.9+(1761.2-1398.3)+(1.332069+(0.898212-0.713133))+0-799.5-0.407744999999919</f>
        <v>2176.4094030000001</v>
      </c>
      <c r="Y311" s="3">
        <f>2609.2+(1537.8-1251.9)+(-6.65346+(-3.92139--3.192345))+0-763.9--1.94794499999989</f>
        <v>2125.7654399999992</v>
      </c>
      <c r="Z311" s="3">
        <f>2331.9+(1170.7-767.6)+(-4.757076+(-2.388228--1.565904))+0-680.6--1.38842399999997</f>
        <v>2050.2090239999998</v>
      </c>
      <c r="AA311" s="3">
        <f>2198.9+(975.6-422)+(2.242878+(0.995112-0.43044))+0-770.2-0.785604000000123</f>
        <v>1984.3219459999998</v>
      </c>
      <c r="AB311" s="3">
        <f>2128+(762.5-289.2)+(-3.25584+(-1.166625--0.442476))+0-703.9--1.07696700000004</f>
        <v>1894.4969780000001</v>
      </c>
      <c r="AC311" s="3">
        <f>2167.5+(785.1-329.6)+(0+(0-0))+0-834.9-0</f>
        <v>1788.1</v>
      </c>
      <c r="AD311" s="2">
        <v>2173.5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1914.8+(700.1-287.4)+(-1.953096+(-0.714102--0.293148))+0-646.8--0.659736000000103</f>
        <v>1678.9856860000002</v>
      </c>
      <c r="G312" s="3">
        <f>1739.7+(931.8-286.8)+(-3.548988+(-1.900872--0.585072))+0-798--1.62791999999997</f>
        <v>1583.4631319999999</v>
      </c>
      <c r="H312" s="3">
        <f>1743.9+(794.1-292.3)+(-3.557556+(-1.619964--0.596292))+0-708.7--1.44574799999997</f>
        <v>1533.8645200000001</v>
      </c>
      <c r="I312" s="3">
        <f>1735.5+(925-285.3)+(-0.885105+(-0.47175--0.145503))+0-858.8--0.437987999999913</f>
        <v>1515.626636</v>
      </c>
      <c r="J312" s="3">
        <f>1742+(788.6-308.9)+(0+(0-0))+0-727.4-0</f>
        <v>1494.2999999999997</v>
      </c>
      <c r="K312" s="3">
        <f>1741.9+(892.7-327.7)+(2.665107+(1.365831-0.501381))+0-812.3-1.24281900000005</f>
        <v>1496.8867379999999</v>
      </c>
      <c r="L312" s="3">
        <f>1747.7+(827.8-333.7)+(-4.456635+(-2.11089--0.850935))+0-751.8--1.91708999999989</f>
        <v>1486.2005000000001</v>
      </c>
      <c r="M312" s="3">
        <f>1753.8+(752.3-375.3)+(-4.47219+(-1.918365--0.957015))+0-686.5--1.7505749999999</f>
        <v>1440.6170349999995</v>
      </c>
      <c r="N312" s="3">
        <f>1756.2+(812.1-338.1)+(0.895662+(0.414171-0.172431))+0-724.3-0.369392999999926</f>
        <v>1506.6680089999998</v>
      </c>
      <c r="O312" s="3">
        <f>1951.1+(606.7-288.6)+(-2.985183+(-0.928251--0.441558))+0-678--1.03734000000004</f>
        <v>1588.7654639999998</v>
      </c>
      <c r="P312" s="3">
        <f>2022.9+(667.6-328.6)+(0+(0-0))+0-679.7-0</f>
        <v>1682.2</v>
      </c>
      <c r="Q312" s="3">
        <f>2027+(759.7-330.4)+(-1.03377+(-0.387447--0.168504))+0-747.5--0.381224999999924</f>
        <v>1707.9285120000002</v>
      </c>
      <c r="R312" s="3">
        <f>2029.2+(670.3-313.9)+(-2.069784+(-0.683706--0.320178))+0-737.2--0.751944000000118</f>
        <v>1646.7186319999998</v>
      </c>
      <c r="S312" s="3">
        <f>2018.3+(709.7-349.7)+(-2.058666+(-0.723894--0.356694))+0-769.5--0.784890000000123</f>
        <v>1607.1590240000003</v>
      </c>
      <c r="T312" s="3">
        <f>1899.4+(835.8-414.6)+(-0.968694+(-0.426258--0.211446))+0-753.3--0.384182999999924</f>
        <v>1566.500677</v>
      </c>
      <c r="U312" s="3">
        <f>1826.9+(804.5-375.3)+(-2.795157+(-1.230885--0.574209))+0-704.9--1.07849700000004</f>
        <v>1548.8266639999997</v>
      </c>
      <c r="V312" s="3">
        <f>1822+(730.1-255.3)+(-0.92922+(-0.372351--0.130203))+0-705.3--0.359702999999928</f>
        <v>1590.6883350000003</v>
      </c>
      <c r="W312" s="3">
        <f>1865.7+(902.7-300.1)+(0+(0-0))+0-666.2-0</f>
        <v>1802.1000000000001</v>
      </c>
      <c r="X312" s="3">
        <f>2060.9+(1152.6-565.2)+(-2.102118+(-1.175652--0.576504))+0-698.9--0.712878000000111</f>
        <v>1947.4116120000001</v>
      </c>
      <c r="Y312" s="3">
        <f>2011.6+(1088.1-491.9)+(-6.155496+(-3.329586--1.505214))+0-685.3--2.09701800000008</f>
        <v>1916.61715</v>
      </c>
      <c r="Z312" s="3">
        <f>1975.5+(1018.4-418.9)+(-5.037525+(-2.59692--1.068195))+0-686--1.7492999999999</f>
        <v>1884.1830500000001</v>
      </c>
      <c r="AA312" s="3">
        <f>1974.7+(1084.9-374.7)+(-4.028388+(-2.213196--0.764388))+0-823.5--1.67993999999996</f>
        <v>1857.6027440000003</v>
      </c>
      <c r="AB312" s="3">
        <f>1973.7+(926.2-355.9)+(-2.013174+(-0.944724--0.363018))+0-743.6--0.758472000000119</f>
        <v>1798.5635920000002</v>
      </c>
      <c r="AC312" s="3">
        <f>1824.5+(898.2-277.5)+(-3.72198+(-1.832328--0.5661))+0-770.2--1.57120799999997</f>
        <v>1671.5829999999996</v>
      </c>
      <c r="AD312" s="2">
        <v>1939.6000000000001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1716.5+(767.9-169.9)+(-0.875415+(-0.391629--0.086649))+0-754.5--0.384794999999923</f>
        <v>1559.2044000000001</v>
      </c>
      <c r="G313" s="3">
        <f>1718.1+(729.4-188.2)+(-2.628693+(-1.115982--0.287946))+0-758.7--1.16081100000004</f>
        <v>1498.3040820000001</v>
      </c>
      <c r="H313" s="3">
        <f>1712.9+(767.1-200.6)+(-1.747158+(-0.782442--0.204612))+0-806.1--0.822222000000129</f>
        <v>1471.7972340000006</v>
      </c>
      <c r="I313" s="3">
        <f>1703+(733.4-217.6)+(-3.47412+(-1.496136--0.443904))+0-743.6--1.51694399999997</f>
        <v>1472.1905920000004</v>
      </c>
      <c r="J313" s="3">
        <f>1703.6+(731.7-219)+(-0.868836+(-0.373167--0.11169))+0-775.9--0.395708999999921</f>
        <v>1439.6653959999999</v>
      </c>
      <c r="K313" s="3">
        <f>1704+(822.5-258.5)+(3.47616+(1.6779-0.52734))+0-774.9-1.58079599999997</f>
        <v>1496.1459240000002</v>
      </c>
      <c r="L313" s="3">
        <f>1706.5+(919.2-311.3)+(0+(0-0))+0-720.6-0</f>
        <v>1593.8000000000002</v>
      </c>
      <c r="M313" s="3">
        <f>1752.7+(968.4-291.1)+(-0.893877+(-0.493884--0.148461))+0-676.4--0.344963999999931</f>
        <v>1752.7056639999996</v>
      </c>
      <c r="N313" s="3">
        <f>1866.6+(1202.3-255.1)+(-0.951966+(-0.613173--0.130101))+0-820--0.418199999999917</f>
        <v>1992.7831619999995</v>
      </c>
      <c r="O313" s="3">
        <f>1865.7+(1176.6-334.1)+(0+(0-0))+0-590.4-0</f>
        <v>2117.7999999999997</v>
      </c>
      <c r="P313" s="3">
        <f>1973.3+(1544.8-448.2)+(1.006383+(0.787848-0.228582))+0-865.7-0.441506999999912</f>
        <v>2205.3241419999999</v>
      </c>
      <c r="Q313" s="3">
        <f>2075.8+(1350.5-526.5)+(-2.117316+(-1.37751--0.53703))+0-625.3--0.6378060000001</f>
        <v>2272.1800100000005</v>
      </c>
      <c r="R313" s="3">
        <f>2073.9+(1244.4-435.8)+(-6.346134+(-3.807864--1.333548))+0-764.8--2.34028800000009</f>
        <v>2111.2198379999995</v>
      </c>
      <c r="S313" s="3">
        <f>1976.6+(1113.2-385.3)+(-5.04033+(-2.83866--0.982515))+0-597.5--1.52362499999991</f>
        <v>2101.6271499999998</v>
      </c>
      <c r="T313" s="3">
        <f>1934.7+(1228.8-388.1)+(0+(0-0))+0-636.7-0</f>
        <v>2138.6999999999998</v>
      </c>
      <c r="U313" s="3">
        <f>1945.6+(1132.6-265.5)+(-2.976768+(-1.732878--0.406215))+0-682.7--1.04453100000004</f>
        <v>2126.7410999999997</v>
      </c>
      <c r="V313" s="3">
        <f>1996.2+(1067.8-313.5)+(3.054186+(1.633734-0.479655))+0-624.5-0.955485000000036</f>
        <v>2129.2527800000003</v>
      </c>
      <c r="W313" s="3">
        <f>2428.2+(1538.2-860.7)+(4.953528+(3.137928-1.755828))+0-803.2-1.63852799999997</f>
        <v>2307.1970999999999</v>
      </c>
      <c r="X313" s="3">
        <f>2581.9+(1479.2-1086.2)+(-3.950307+(-2.263176--1.661886))+0-586.9--0.897957000000034</f>
        <v>2384.34636</v>
      </c>
      <c r="Y313" s="3">
        <f>2703.2+(1324-978.3)+(0+(0-0))+0-743.7-0</f>
        <v>2305.1999999999998</v>
      </c>
      <c r="Z313" s="3">
        <f>2830.2+(1018.6-961.2)+(-2.886804+(-1.038972--0.980424))+0-685--0.698700000000109</f>
        <v>2200.3533479999996</v>
      </c>
      <c r="AA313" s="3">
        <f>2736+(826.8-690.8)+(-4.18608+(-1.265004--1.056924))+0-745.3--1.14030900000004</f>
        <v>2123.4461489999999</v>
      </c>
      <c r="AB313" s="3">
        <f>2301.2+(674.7-244.8)+(-2.347224+(-0.688194--0.249696))+0-713.6--0.727872000000114</f>
        <v>2015.4421500000001</v>
      </c>
      <c r="AC313" s="3">
        <f>2085.2+(706.6-179.3)+(-4.253808+(-1.441464--0.365772))+0-755.4--1.54101599999997</f>
        <v>1853.311516</v>
      </c>
      <c r="AD313" s="2">
        <v>2397.4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1989.5+(731.3-216.3)+(-4.05858+(-1.491852--0.441252))+0-783--1.59731999999997</f>
        <v>1717.9881400000002</v>
      </c>
      <c r="G314" s="3">
        <f>1771.7+(797.3-188.2)+(-1.807134+(-0.813246--0.191964))+0-748.2--0.763164000000119</f>
        <v>1630.9347480000001</v>
      </c>
      <c r="H314" s="3">
        <f>1766.4+(853.1-235.9)+(-0.900864+(-0.435081--0.120309))+0-774.4--0.394943999999921</f>
        <v>1608.3793080000003</v>
      </c>
      <c r="I314" s="3">
        <f>1767.1+(834.2-235.9)+(1.802442+(0.850884-0.240618))+0-782.5-0.798150000000125</f>
        <v>1584.5145579999999</v>
      </c>
      <c r="J314" s="3">
        <f>1773.4+(737.7-235.2)+(-4.52217+(-1.881135--0.59976))+0-700.8--1.7870399999999</f>
        <v>1571.0834949999999</v>
      </c>
      <c r="K314" s="3">
        <f>1767.5+(764.3-254.2)+(4.507125+(1.948965-0.64821))+0-690.4-1.7605199999999</f>
        <v>1591.2473599999998</v>
      </c>
      <c r="L314" s="3">
        <f>1785.7+(613.1-305)+(0+(0-0))+0-437.2-0</f>
        <v>1656.6000000000001</v>
      </c>
      <c r="M314" s="3">
        <f>1913.8+(745.6-422.1)+(-2.928114+(-1.140768--0.645813))+0-449.1--0.687123000000026</f>
        <v>1785.4640540000003</v>
      </c>
      <c r="N314" s="3">
        <f>1965.2+(1031.6-337.1)+(-2.004504+(-1.052232--0.343842))+0-668.6--0.681972000000107</f>
        <v>1989.0690780000002</v>
      </c>
      <c r="O314" s="3">
        <f>2032.9+(936.2-229.2)+(-3.110337+(-1.432386--0.350676))+0-648.7--0.992511000000038</f>
        <v>2088.0004640000002</v>
      </c>
      <c r="P314" s="3">
        <f>2077.7+(1011.5-297.8)+(-2.119254+(-1.03173--0.303756))+0-638.9--0.651678000000102</f>
        <v>2150.3044499999996</v>
      </c>
      <c r="Q314" s="3">
        <f>2209.4+(1102-449.6)+(-5.63397+(-2.8101--1.14648))+0-676.2--1.7243099999999</f>
        <v>2180.0267200000003</v>
      </c>
      <c r="R314" s="3">
        <f>2238.3+(747.1-474.4)+(-4.566132+(-1.524084--0.967776))+0-498.1--1.01612399999998</f>
        <v>2008.793684</v>
      </c>
      <c r="S314" s="3">
        <f>2153.6+(656.8-352.9)+(-4.393344+(-1.339872--0.719916))+0-455.8--0.92983199999998</f>
        <v>1997.616532</v>
      </c>
      <c r="T314" s="3">
        <f>2201.8+(770.1-331.4)+(-2.245836+(-0.785502--0.338028))+0-604.5--0.616590000000096</f>
        <v>2033.92328</v>
      </c>
      <c r="U314" s="3">
        <f>2223.5+(739-299.9)+(2.26797+(0.75378-0.305898))+0-639.9-0.652698000000102</f>
        <v>2024.7631539999995</v>
      </c>
      <c r="V314" s="3">
        <f>2253.2+(732.7-248.2)+(1.149132+(0.373677-0.126582))+0-703.2-0.358631999999929</f>
        <v>2035.537595</v>
      </c>
      <c r="W314" s="3">
        <f>2480.8+(1026.1-574.1)+(2.530416+(1.046622-0.585582))+0-696.1-0.710022000000111</f>
        <v>2238.9814340000003</v>
      </c>
      <c r="X314" s="3">
        <f>2807.3+(1272.7-1106.6)+(-8.590338+(-3.894462--3.386196))+0-597.1--1.82712600000007</f>
        <v>2369.028522000001</v>
      </c>
      <c r="Y314" s="3">
        <f>2594.5+(1104.4-747)+(-6.615975+(-2.81622--1.90485))+0-650--1.65749999999991</f>
        <v>2296.0301549999999</v>
      </c>
      <c r="Z314" s="3">
        <f>2460.4+(780.7-383.4)+(-3.764412+(-1.194471--0.586602))+0-656.4--1.00429200000004</f>
        <v>2197.9320110000003</v>
      </c>
      <c r="AA314" s="3">
        <f>2464.6+(701.9-387.9)+(-1.256946+(-0.357969--0.197829))+0-651.3--0.332162999999934</f>
        <v>2126.2150769999998</v>
      </c>
      <c r="AB314" s="3">
        <f>2484.9+(657.5-441.8)+(-2.534598+(-0.67065--0.450636))+0-659--0.672180000000105</f>
        <v>2039.5175679999998</v>
      </c>
      <c r="AC314" s="3">
        <f>2401.8+(746-527.5)+(-6.12459+(-1.9023--1.345125))+0-716.7--1.8275849999999</f>
        <v>1898.7458200000003</v>
      </c>
      <c r="AD314" s="2">
        <v>2423.6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1959.4+(476-63.6)+(-1.998588+(-0.48552--0.064872))+0-640.3--0.653106000000102</f>
        <v>1729.7338700000003</v>
      </c>
      <c r="G315" s="3">
        <f>1737.4+(797.7-58.8)+(-2.658222+(-1.220481--0.089964))+0-828.2--1.26714600000005</f>
        <v>1645.5784070000002</v>
      </c>
      <c r="H315" s="3">
        <f>1742.7+(722.4-87.2)+(0+(0-0))+0-761.5-0</f>
        <v>1616.4</v>
      </c>
      <c r="I315" s="3">
        <f>1740.6+(714.6-78.2)+(-1.775412+(-0.728892--0.079764))+0-787--0.802740000000125</f>
        <v>1588.3782000000001</v>
      </c>
      <c r="J315" s="3">
        <f>1742.6+(781-115.2)+(0.888726+(0.39831-0.058752))+0-820.4-0.418403999999917</f>
        <v>1588.8098799999993</v>
      </c>
      <c r="K315" s="3">
        <f>1734.5+(764-129.2)+(-0.884595+(-0.38964--0.065892))+0-755.9--0.385508999999923</f>
        <v>1612.5771660000003</v>
      </c>
      <c r="L315" s="3">
        <f>1767.6+(929.6-199.4)+(-0.901476+(-0.474096--0.101694))+0-807.5--0.411824999999918</f>
        <v>1689.4379470000001</v>
      </c>
      <c r="M315" s="3">
        <f>2003.5+(796.8-260.6)+(0+(0-0))+0-673.1-0</f>
        <v>1866.6</v>
      </c>
      <c r="N315" s="3">
        <f>2198.1+(771.9-177.1)+(0+(0-0))+0-710.6-0</f>
        <v>2082.2999999999997</v>
      </c>
      <c r="O315" s="3">
        <f>2214.5+(782.7-112.3)+(-2.25879+(-0.798354--0.114546))+0-715.7--0.730014000000114</f>
        <v>2166.9874160000004</v>
      </c>
      <c r="P315" s="3">
        <f>2229+(801.9-123.9)+(0+(0-0))+0-698.6-0</f>
        <v>2208.4</v>
      </c>
      <c r="Q315" s="3">
        <f>2218.2+(939.2-192.1)+(-1.131282+(-0.478992--0.097971))+0-685.7--0.34970699999993</f>
        <v>2278.4374039999998</v>
      </c>
      <c r="R315" s="3">
        <f>2235.5+(721.8-235.1)+(-5.700525+(-1.84059--0.599505))+0-660.4--1.6840199999999</f>
        <v>2056.5424099999996</v>
      </c>
      <c r="S315" s="3">
        <f>2281.7+(500.8-179.6)+(0+(0-0))+0-572-0</f>
        <v>2030.8999999999996</v>
      </c>
      <c r="T315" s="3">
        <f>2357.1+(531.2-133.7)+(-1.202121+(-0.270912--0.068187))+0-665.4--0.339353999999932</f>
        <v>2088.1345079999996</v>
      </c>
      <c r="U315" s="3">
        <f>2374.6+(388.9-133.3)+(-2.422092+(-0.396678--0.135966))+0-561.6--0.57283200000009</f>
        <v>2066.4900280000002</v>
      </c>
      <c r="V315" s="3">
        <f>2411.2+(423.8-166.5)+(1.229712+(0.216138-0.084915))+0-639.3-0.326042999999935</f>
        <v>2030.2348920000002</v>
      </c>
      <c r="W315" s="3">
        <f>2680.4+(726.7-513.8)+(1.367004+(0.370617-0.262038))+0-675.3-0.344402999999931</f>
        <v>2219.1311800000003</v>
      </c>
      <c r="X315" s="3">
        <f>2805.1+(967.9-708)+(-5.722404+(-1.974516--1.44432))+0-744.2--1.51816799999997</f>
        <v>2316.0655680000004</v>
      </c>
      <c r="Y315" s="3">
        <f>2742+(757.3-511.8)+(-5.59368+(-1.544892--1.044072))+0-734.1--1.49756399999997</f>
        <v>2248.8030639999997</v>
      </c>
      <c r="Z315" s="3">
        <f>2583.9+(797.8-450.6)+(-2.635578+(-0.813756--0.459612))+0-770--0.785400000000123</f>
        <v>2158.8956780000003</v>
      </c>
      <c r="AA315" s="3">
        <f>2590.2+(771.6-454.2)+(-2.642004+(-0.787032--0.463284))+0-815--0.83130000000013</f>
        <v>2090.4655480000001</v>
      </c>
      <c r="AB315" s="3">
        <f>2346.8+(756.8-239.5)+(-3.590604+(-1.157904--0.366435))+0-850.6--1.30141800000005</f>
        <v>2010.4193450000002</v>
      </c>
      <c r="AC315" s="3">
        <f>2242.1+(751.5-301.7)+(-2.286942+(-0.76653--0.307734))+0-793.7--0.809574000000127</f>
        <v>1896.2638360000001</v>
      </c>
      <c r="AD315" s="2">
        <v>2331.2999999999997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1978+(853.2-153.3)+(-5.0439+(-2.17566--0.390915))+0-907--2.31284999999987</f>
        <v>1766.3842049999998</v>
      </c>
      <c r="G316" s="3">
        <f>1728.9+(772.2-104.4)+(0+(0-0))+0-724.3-0</f>
        <v>1672.4000000000003</v>
      </c>
      <c r="H316" s="3">
        <f>1676.3+(886.1-75.5)+(-4.274565+(-2.259555--0.192525))+0-890.3--2.27026499999987</f>
        <v>1592.5286700000001</v>
      </c>
      <c r="I316" s="3">
        <f>1667.1+(815.1-124.4)+(-0.850221+(-0.415701--0.063444))+0-779.7--0.397646999999921</f>
        <v>1577.295169</v>
      </c>
      <c r="J316" s="3">
        <f>1665.5+(896.6-101.5)+(1.69881+(0.914532-0.10353))+0-882-0.899640000000141</f>
        <v>1580.2101719999996</v>
      </c>
      <c r="K316" s="3">
        <f>1665.7+(784.3-122.9)+(1.699014+(0.799986-0.125358))+0-747.8-0.762756000000119</f>
        <v>1580.9108859999999</v>
      </c>
      <c r="L316" s="3">
        <f>1692.1+(886.5-91.6)+(-2.588913+(-1.356345--0.140148))+0-899.7--1.37654100000005</f>
        <v>1584.8714310000003</v>
      </c>
      <c r="M316" s="3">
        <f>1776.4+(754.6-166.1)+(-1.811928+(-0.769692--0.169422))+0-785.1--0.800802000000125</f>
        <v>1578.1886040000004</v>
      </c>
      <c r="N316" s="3">
        <f>1944.8+(789.2-284.2)+(-0.991848+(-0.402492--0.144942))+0-719.6--0.366995999999927</f>
        <v>1729.3175980000003</v>
      </c>
      <c r="O316" s="3">
        <f>1993.2+(834.9-283.4)+(3.049596+(1.277397-0.433602))+0-687.7-1.05218100000004</f>
        <v>1859.8412099999998</v>
      </c>
      <c r="P316" s="3">
        <f>1944.3+(930.4-233.2)+(3.966372+(1.898016-0.475728))+0-681.5-1.39025999999997</f>
        <v>1963.9984000000002</v>
      </c>
      <c r="Q316" s="3">
        <f>1943.5+(1005.8-174.3)+(-0.991185+(-0.512958--0.088893))+0-807.1--0.411620999999918</f>
        <v>1966.896371</v>
      </c>
      <c r="R316" s="3">
        <f>2000.7+(857.9-160.3)+(-4.081428+(-1.750116--0.327012))+0-889.3--1.81417199999996</f>
        <v>1805.3096400000002</v>
      </c>
      <c r="S316" s="3">
        <f>2050+(617.3-95)+(-4.182+(-1.259292--0.1938))+0-822.4--1.67769599999996</f>
        <v>1746.3302040000001</v>
      </c>
      <c r="T316" s="3">
        <f>2044+(645.7-103.4)+(0+(0-0))+0-824.7-0</f>
        <v>1761.6000000000001</v>
      </c>
      <c r="U316" s="3">
        <f>2072.1+(576.7-56.6)+(-6.340626+(-1.764702--0.173196))+0-820.4--2.51042400000009</f>
        <v>1766.3782919999999</v>
      </c>
      <c r="V316" s="3">
        <f>2096.1+(574.2-79.4)+(0+(0-0))+0-773.9-0</f>
        <v>1817</v>
      </c>
      <c r="W316" s="3">
        <f>2395.8+(776.1-454.1)+(0+(0-0))+0-734.1-0</f>
        <v>1983.7000000000003</v>
      </c>
      <c r="X316" s="3">
        <f>2656.4+(1138.2-924.7)+(-6.77382+(-2.90241--2.357985))+0-781.7--1.99333499999989</f>
        <v>2082.8750900000005</v>
      </c>
      <c r="Y316" s="3">
        <f>2620.7+(969-831.2)+(-6.682785+(-2.47095--2.11956))+0-729.2--1.85945999999989</f>
        <v>2024.1252850000001</v>
      </c>
      <c r="Z316" s="3">
        <f>2590.5+(914.3-626.1)+(-2.64231+(-0.932586--0.638622))+0-902.2--0.920244000000144</f>
        <v>1974.4839699999998</v>
      </c>
      <c r="AA316" s="3">
        <f>2434.8+(680.4-384.2)+(-4.966992+(-1.388016--0.783768))+0-788.5--1.60853999999997</f>
        <v>1938.5372999999997</v>
      </c>
      <c r="AB316" s="3">
        <f>2248.2+(656.6-164.2)+(-1.146582+(-0.334866--0.083742))+0-858.5--0.437834999999913</f>
        <v>1881.1401289999997</v>
      </c>
      <c r="AC316" s="3">
        <f>1951.1+(616.4-46.2)+(-3.980244+(-1.257456--0.094248))+0-772.6--1.57610399999997</f>
        <v>1745.132652</v>
      </c>
      <c r="AD316" s="2">
        <v>2082.9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1703.4+(849.8-34.8)+(-0.868734+(-0.433398--0.017748))+0-880.3--0.448952999999911</f>
        <v>1637.2645689999999</v>
      </c>
      <c r="G317" s="3">
        <f>1680.1+(659.9-44.3)+(-0.856851+(-0.336549--0.022593))+0-735.2--0.374951999999925</f>
        <v>1559.7041449999997</v>
      </c>
      <c r="H317" s="3">
        <f>1679.4+(706-15.5)+(0+(0-0))+0-851.1-0</f>
        <v>1518.8000000000002</v>
      </c>
      <c r="I317" s="3">
        <f>1676.7+(574.7-37.2)+(-0.855117+(-0.293097--0.018972))+0-712.6--0.363425999999928</f>
        <v>1500.8341839999998</v>
      </c>
      <c r="J317" s="3">
        <f>1680.4+(697.7-27.7)+(-2.571012+(-1.067481--0.042381))+0-843--1.28979000000005</f>
        <v>1505.093678</v>
      </c>
      <c r="K317" s="3">
        <f>1679.1+(725.9-41.9)+(0.856341+(0.370209-0.021369))+0-830.8-0.423707999999916</f>
        <v>1533.081473</v>
      </c>
      <c r="L317" s="3">
        <f>1728.8+(794.9-64.3)+(-1.763376+(-0.810798--0.065586))+0-846.2--0.863124000000135</f>
        <v>1611.5545360000001</v>
      </c>
      <c r="M317" s="3">
        <f>1994.9+(757.8-133.5)+(-3.052197+(-1.159434--0.204255))+0-854.6--1.30753800000005</f>
        <v>1761.9001619999999</v>
      </c>
      <c r="N317" s="3">
        <f>2094.5+(907.4-153.8)+(-2.13639+(-0.925548--0.156876))+0-858.6--0.875772000000137</f>
        <v>1987.4707100000003</v>
      </c>
      <c r="O317" s="3">
        <f>2119.5+(938.6-172.2)+(-1.080945+(-0.478686--0.087822))+0-788.1--0.40193099999992</f>
        <v>2096.7301219999999</v>
      </c>
      <c r="P317" s="3">
        <f>2227.8+(870-120.4)+(-3.408534+(-1.3311--0.184212))+0-808.1--1.23639300000005</f>
        <v>2165.9809710000004</v>
      </c>
      <c r="Q317" s="3">
        <f>2316.8+(768.4-138.2)+(0+(0-0))+0-750.2-0</f>
        <v>2196.8000000000002</v>
      </c>
      <c r="R317" s="3">
        <f>2366.5+(616.2-152.6)+(-4.82766+(-1.257048--0.311304))+0-792.6--1.61690399999997</f>
        <v>2033.3434999999999</v>
      </c>
      <c r="S317" s="3">
        <f>2359.8+(735.4-213.4)+(-4.813992+(-1.500216--0.435336))+0-852.7--1.73950799999996</f>
        <v>2024.9606360000002</v>
      </c>
      <c r="T317" s="3">
        <f>2366.3+(689.6-197.8)+(1.206813+(0.351696-0.100878))+0-778.7-0.397136999999921</f>
        <v>2080.4604940000008</v>
      </c>
      <c r="U317" s="3">
        <f>2365.2+(657.1-154.9)+(-4.825008+(-1.340484--0.315996))+0-804.3--1.64077199999996</f>
        <v>2058.8912759999994</v>
      </c>
      <c r="V317" s="3">
        <f>2404.3+(628.7-205.9)+(-1.226193+(-0.320637--0.105009))+0-784.7--0.40019699999992</f>
        <v>2041.3583760000004</v>
      </c>
      <c r="W317" s="3">
        <f>2565.7+(849.9-369.3)+(2.617014+(0.866898-0.376686))+0-849-0.865980000000135</f>
        <v>2199.5412459999998</v>
      </c>
      <c r="X317" s="3">
        <f>2766.1+(1084.9-688.9)+(-1.410711+(-0.553299--0.351339))+0-778.3--0.396932999999921</f>
        <v>2382.5842620000003</v>
      </c>
      <c r="Y317" s="3">
        <f>2766.5+(887.1-600)+(-4.232745+(-1.357263--0.918))+0-756.1--1.15683300000004</f>
        <v>2293.984825</v>
      </c>
      <c r="Z317" s="3">
        <f>2663.2+(716.4-380.4)+(1.358232+(0.365364-0.194004))+0-803.2-0.409631999999919</f>
        <v>2197.11996</v>
      </c>
      <c r="AA317" s="3">
        <f>2616.4+(603.8-308.2)+(-4.003092+(-0.923814--0.471546))+0-803--1.22859000000005</f>
        <v>2105.7732300000002</v>
      </c>
      <c r="AB317" s="3">
        <f>2367.3+(587.3-76.7)+(-6.036615+(-1.497615--0.195585))+0-852.8--2.17463999999988</f>
        <v>2019.9359950000003</v>
      </c>
      <c r="AC317" s="3">
        <f>2223.1+(446.5-43.4)+(-2.267562+(-0.45543--0.044268))+0-733.2--0.747864000000117</f>
        <v>1891.0691400000001</v>
      </c>
      <c r="AD317" s="2">
        <v>2358.1999999999994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1989.4+(558.6-84.1)+(-4.058376+(-1.139544--0.171564))+0-742.3--1.51429199999997</f>
        <v>1718.0879360000004</v>
      </c>
      <c r="G318" s="3">
        <f>1866.3+(653.3-167.8)+(-1.903626+(-0.666366--0.171156))+0-735.9--0.750618000000117</f>
        <v>1614.2517819999998</v>
      </c>
      <c r="H318" s="3">
        <f>1861+(710.2-160.9)+(0+(0-0))+0-840.9-0</f>
        <v>1569.4</v>
      </c>
      <c r="I318" s="3">
        <f>1862.9+(659.9-166.9)+(-0.950079+(-0.336549--0.085119))+0-813.1--0.414680999999918</f>
        <v>1542.0131720000002</v>
      </c>
      <c r="J318" s="3">
        <f>1863+(660.9-190.9)+(0+(0-0))+0-790.1-0</f>
        <v>1542.9</v>
      </c>
      <c r="K318" s="3">
        <f>1924.4+(641.4-212.4)+(0.981444+(0.327114-0.108324))+0-787.8-0.40177799999992</f>
        <v>1566.3984560000001</v>
      </c>
      <c r="L318" s="3">
        <f>2105.6+(572.1-244.4)+(-2.147712+(-0.583542--0.249288))+0-806.4--0.822528000000129</f>
        <v>1625.2405620000004</v>
      </c>
      <c r="M318" s="3">
        <f>2184.9+(553.1-215.6)+(3.342897+(0.846243-0.329868))+0-769.6-1.17748800000004</f>
        <v>1755.4817840000003</v>
      </c>
      <c r="N318" s="3">
        <f>2286.3+(675.4-199)+(0+(0-0))+0-775.8-0</f>
        <v>1986.9000000000003</v>
      </c>
      <c r="O318" s="3">
        <f>2335.6+(747.6-221)+(1.191156+(0.381276-0.11271))+0-713.4-0.363833999999928</f>
        <v>2149.895888</v>
      </c>
      <c r="P318" s="3">
        <f>2343.2+(807.9-153.5)+(0+(0-0))+0-785.4-0</f>
        <v>2212.1999999999998</v>
      </c>
      <c r="Q318" s="3">
        <f>2344.4+(758.7-136.1)+(-2.391288+(-0.773874--0.138822))+0-758.8--0.773976000000121</f>
        <v>2205.9476360000003</v>
      </c>
      <c r="R318" s="3">
        <f>2344.6+(640.4-135.6)+(-4.782984+(-1.306416--0.276624))+0-783.5--1.59833999999997</f>
        <v>2061.6855639999994</v>
      </c>
      <c r="S318" s="3">
        <f>2335+(738.3-184.8)+(2.3817+(0.753066-0.188496))+0-858.8-0.875976000000137</f>
        <v>2031.7702939999999</v>
      </c>
      <c r="T318" s="3">
        <f>2322.1+(570-197.7)+(-2.368542+(-0.5814--0.201654))+0-627.5--0.6400500000001</f>
        <v>2064.7917620000003</v>
      </c>
      <c r="U318" s="3">
        <f>2245.2+(775.5-179.5)+(4.580208+(1.58202-0.36618))+0-831.9-1.69707599999996</f>
        <v>2013.398972</v>
      </c>
      <c r="V318" s="3">
        <f>2252.7+(614.5-203.2)+(0+(0-0))+0-685.7-0</f>
        <v>1978.3</v>
      </c>
      <c r="W318" s="3">
        <f>2358.2+(731.7-223.5)+(-1.202682+(-0.373167--0.113985))+0-743.7--0.379286999999925</f>
        <v>2121.6174229999997</v>
      </c>
      <c r="X318" s="3">
        <f>2417.7+(759.4-197.3)+(-2.466054+(-0.774588--0.201246))+0-735.1--0.749802000000117</f>
        <v>2242.410406</v>
      </c>
      <c r="Y318" s="3">
        <f>2419.1+(641.3-141.8)+(-7.402446+(-1.962378--0.433908))+0-738.8--2.26072800000009</f>
        <v>2173.1298120000001</v>
      </c>
      <c r="Z318" s="3">
        <f>2401.7+(652.4-111.4)+(2.449734+(0.665448-0.113628))+0-844.1-0.860982000000135</f>
        <v>2100.7405719999997</v>
      </c>
      <c r="AA318" s="3">
        <f>2400.5+(510.7-140.7)+(-6.121275+(-1.302285--0.358785))+0-741.1--1.88980499999989</f>
        <v>2024.2250300000001</v>
      </c>
      <c r="AB318" s="3">
        <f>2387.5+(540.9-123.8)+(-4.8705+(-1.103436--0.252552))+0-866.2--1.76704799999996</f>
        <v>1934.4456639999999</v>
      </c>
      <c r="AC318" s="3">
        <f>2109.4+(520.7-24.9)+(-4.303176+(-1.062228--0.050796))+0-806.6--1.64546399999996</f>
        <v>1794.9308560000002</v>
      </c>
      <c r="AD318" s="2">
        <v>2260.6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1919.7+(465.1-55)+(-2.937141+(-0.711603--0.08415))+0-642.5--0.983025000000037</f>
        <v>1684.7184310000002</v>
      </c>
      <c r="G319" s="3">
        <f>1876.2+(727.9-89.2)+(-4.78431+(-1.856145--0.22746))+0-915.7--2.33503499999987</f>
        <v>1595.1220399999997</v>
      </c>
      <c r="H319" s="3">
        <f>1876+(396.5-136.3)+(1.91352+(0.40443-0.139026))+0-594.1-0.605982000000095</f>
        <v>1543.6729419999997</v>
      </c>
      <c r="I319" s="3">
        <f>1886+(588.3-118.9)+(-0.96186+(-0.300033--0.060639))+0-837.9--0.427328999999915</f>
        <v>1516.7260749999998</v>
      </c>
      <c r="J319" s="3">
        <f>1882+(542.3-165)+(-0.95982+(-0.276573--0.08415))+0-752.9--0.383978999999924</f>
        <v>1505.631736</v>
      </c>
      <c r="K319" s="3">
        <f>1880.5+(609.8-194.5)+(1.91811+(0.621996-0.19839))+0-802.1-0.818142000000128</f>
        <v>1495.2235740000001</v>
      </c>
      <c r="L319" s="3">
        <f>1865.4+(614.8-210)+(-1.902708+(-0.627096--0.2142))+0-773.9--0.789378000000123</f>
        <v>1494.773774</v>
      </c>
      <c r="M319" s="3">
        <f>1794.4+(620.4-214.6)+(0+(0-0))+0-746.4-0</f>
        <v>1453.7999999999997</v>
      </c>
      <c r="N319" s="3">
        <f>1856+(709.6-191)+(0.94656+(0.361896-0.09741))+0-837.1-0.426920999999915</f>
        <v>1538.2841249999999</v>
      </c>
      <c r="O319" s="3">
        <f>1949.9+(611.1-142.6)+(0.994449+(0.311661-0.072726))+0-783.9-0.39978899999992</f>
        <v>1635.3335950000003</v>
      </c>
      <c r="P319" s="3">
        <f>2105.2+(583.9-91.1)+(-3.220956+(-0.893367--0.139383))+0-874.7--1.33829100000005</f>
        <v>1720.6633509999999</v>
      </c>
      <c r="Q319" s="3">
        <f>2159.5+(441.4-142.6)+(-4.40538+(-0.900456--0.290904))+0-728.1--1.48532399999997</f>
        <v>1726.6703920000002</v>
      </c>
      <c r="R319" s="3">
        <f>2085+(568.4-149.4)+(-1.06335+(-0.289884--0.076194))+0-834--0.425339999999915</f>
        <v>1669.1483000000001</v>
      </c>
      <c r="S319" s="3">
        <f>2078.8+(484.4-140.7)+(-4.240752+(-0.988176--0.287028))+0-804.6--1.64138399999996</f>
        <v>1614.5994840000003</v>
      </c>
      <c r="T319" s="3">
        <f>2072.4+(387-145.5)+(-3.170772+(-0.59211--0.222615))+0-724.1--1.10787300000004</f>
        <v>1587.3676060000003</v>
      </c>
      <c r="U319" s="3">
        <f>2074.8+(483.9-141.2)+(3.174444+(0.740367-0.216036))+0-847.7-1.29698100000005</f>
        <v>1572.2017939999998</v>
      </c>
      <c r="V319" s="3">
        <f>2157.4+(294.4-117.7)+(-2.200548+(-0.300288--0.120054))+0-763.1--0.778362000000122</f>
        <v>1569.3975799999998</v>
      </c>
      <c r="W319" s="3">
        <f>2302.3+(290.7-198.6)+(-5.870865+(-0.741285--0.50643))+0-676.4--1.7248199999999</f>
        <v>1713.6190999999999</v>
      </c>
      <c r="X319" s="3">
        <f>2354+(542.2-213.5)+(-3.60162+(-0.829566--0.326655))+0-747.4--1.14352200000004</f>
        <v>1932.3389909999999</v>
      </c>
      <c r="Y319" s="3">
        <f>2417.7+(460.2-191.4)+(-1.233027+(-0.234702--0.097614))+0-748.1--0.381530999999924</f>
        <v>1937.4114159999999</v>
      </c>
      <c r="Z319" s="3">
        <f>2409.3+(392.1-172.2)+(-1.228743+(-0.199971--0.087822))+0-716.4--0.365363999999927</f>
        <v>1911.824472</v>
      </c>
      <c r="AA319" s="3">
        <f>2405+(441.9-140.2)+(1.22655+(0.225369-0.071502))+0-827.5-0.422024999999916</f>
        <v>1880.1583919999998</v>
      </c>
      <c r="AB319" s="3">
        <f>2394.5+(332.6-152)+(-3.663585+(-0.508878--0.23256))+0-759.6--1.16218800000004</f>
        <v>1812.7222850000001</v>
      </c>
      <c r="AC319" s="3">
        <f>2245.2+(307.9-165.8)+(-4.580208+(-0.628116--0.338232))+0-721.6--1.47206399999997</f>
        <v>1662.3019719999998</v>
      </c>
      <c r="AD319" s="2">
        <v>1978.1999999999996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1932.3+(427.2-77.8)+(-3.941892+(-0.871488--0.158712))+0-696.7--1.42126799999997</f>
        <v>1581.7665999999997</v>
      </c>
      <c r="G320" s="3">
        <f>1848.1+(451.1-66)+(-0.942531+(-0.230061--0.03366))+0-721.9--0.368168999999927</f>
        <v>1510.5292369999997</v>
      </c>
      <c r="H320" s="3">
        <f>1780+(587.2-93.7)+(-3.6312+(-1.197888--0.191148))+0-795.9--1.62363599999997</f>
        <v>1474.5856959999999</v>
      </c>
      <c r="I320" s="3">
        <f>1765+(597.3-124.9)+(-0.90015+(-0.304623--0.063699))+0-777.2--0.396371999999921</f>
        <v>1459.4552979999999</v>
      </c>
      <c r="J320" s="3">
        <f>1765.6+(598.3-122.6)+(4.50228+(1.525665-0.31263))+0-769-1.96094999999989</f>
        <v>1476.0543649999997</v>
      </c>
      <c r="K320" s="3">
        <f>1799.9+(677-136.1)+(2.753847+(1.03581-0.208233))+0-846.1-1.29453300000005</f>
        <v>1496.9868910000002</v>
      </c>
      <c r="L320" s="3">
        <f>2003.5+(443.5-175.1)+(3.065355+(0.678555-0.267903))+0-662.3-1.01331900000004</f>
        <v>1612.0626880000002</v>
      </c>
      <c r="M320" s="3">
        <f>2381.2+(343.9-203.1)+(-3.643236+(-0.526167--0.310743))+0-758.2--1.16004600000004</f>
        <v>1761.101386</v>
      </c>
      <c r="N320" s="3">
        <f>2629.3+(251.7-159.8)+(2.681886+(0.256734-0.162996))+0-739.6-0.754392000000118</f>
        <v>1983.6212320000002</v>
      </c>
      <c r="O320" s="3">
        <f>2723.4+(449.6-228.6)+(0+(0-0))+0-825.4-0</f>
        <v>2119</v>
      </c>
      <c r="P320" s="3">
        <f>2776.5+(567.1-436.9)+(2.83203+(0.578442-0.445638))+0-694.6-0.708492000000111</f>
        <v>2214.3563419999996</v>
      </c>
      <c r="Q320" s="3">
        <f>2782.5+(844.9-569.1)+(-2.83815+(-0.861798--0.580482))+0-826.5--0.843030000000132</f>
        <v>2229.5235640000001</v>
      </c>
      <c r="R320" s="3">
        <f>2779.2+(647.8-580.7)+(-7.08696+(-1.65189--1.480785))+0-793.5--2.02342499999989</f>
        <v>2047.5653599999996</v>
      </c>
      <c r="S320" s="3">
        <f>2840.1+(475.7-505.6)+(-1.448451+(-0.242607--0.257856))+0-764.9--0.390098999999922</f>
        <v>2044.2568969999995</v>
      </c>
      <c r="T320" s="3">
        <f>2905.1+(363.4-582.4)+(-7.408005+(-0.92667--1.48512))+0-588.1--1.49965499999991</f>
        <v>2092.6501000000003</v>
      </c>
      <c r="U320" s="3">
        <f>2777.5+(312.9-440.1)+(-2.83305+(-0.319158--0.448902))+0-552.4--0.563448000000088</f>
        <v>2095.7601420000001</v>
      </c>
      <c r="V320" s="3">
        <f>2897.3+(482.3-621)+(1.477623+(0.245973-0.31671))+0-690.9-0.35235899999993</f>
        <v>2068.7545270000005</v>
      </c>
      <c r="W320" s="3">
        <f>3207.1+(708.4-1075.9)+(0+(0-0))+0-629.2-0</f>
        <v>2210.3999999999996</v>
      </c>
      <c r="X320" s="3">
        <f>3443+(1230.3-1534.3)+(-1.75593+(-0.627453--0.782493))+0-741.6--0.378215999999925</f>
        <v>2396.177326</v>
      </c>
      <c r="Y320" s="3">
        <f>3446.4+(1117.9-1469.5)+(-10.545984+(-3.420774--4.49667))+0-758.7--2.32162200000009</f>
        <v>2328.9515340000003</v>
      </c>
      <c r="Z320" s="3">
        <f>3415.3+(927.9-1344.1)+(-6.967212+(-1.892916--2.741964))+0-781.1--1.59344399999997</f>
        <v>2213.4752800000006</v>
      </c>
      <c r="AA320" s="3">
        <f>3328.8+(788.4-1273.6)+(-1.697688+(-0.402084--0.649536))+0-698.4--0.356183999999929</f>
        <v>2144.1059479999999</v>
      </c>
      <c r="AB320" s="3">
        <f>3190.1+(610.7-953.9)+(-6.507804+(-1.245828--1.945956))+0-798.8--1.62955199999997</f>
        <v>2043.9218760000001</v>
      </c>
      <c r="AC320" s="3">
        <f>2639.4+(276.1-262.5)+(-4.038282+(-0.422433--0.401625))+0-766.1--1.17213300000004</f>
        <v>1884.0130429999999</v>
      </c>
      <c r="AD320" s="2">
        <v>2429.9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2538.7+(331.6-310.8)+(-5.178948+(-0.676464--0.634032))+0-806.6--1.64546399999996</f>
        <v>1749.3240840000001</v>
      </c>
      <c r="G321" s="3">
        <f>2172.4+(428.8-176.5)+(-3.323772+(-0.656064--0.270045))+0-756.9--1.15805700000004</f>
        <v>1665.2482660000001</v>
      </c>
      <c r="H321" s="3">
        <f>2114.7+(407.8-264.8)+(0+(0-0))+0-628.8-0</f>
        <v>1628.8999999999999</v>
      </c>
      <c r="I321" s="3">
        <f>2106.8+(451.2-188.9)+(-1.074468+(-0.230112--0.096339))+0-767--0.391169999999922</f>
        <v>1601.2829290000004</v>
      </c>
      <c r="J321" s="3">
        <f>2105.1+(434.9-142.2)+(1.073601+(0.221799-0.072522))+0-784.5-0.40009499999992</f>
        <v>1614.1227829999998</v>
      </c>
      <c r="K321" s="3">
        <f>2103.5+(454.4-136.9)+(2.14557+(0.463488-0.139638))+0-785.2-0.800904000000125</f>
        <v>1637.4685159999997</v>
      </c>
      <c r="L321" s="3">
        <f>2209.1+(410.7-189.9)+(2.253282+(0.418914-0.193698))+0-767.1-0.782442000000122</f>
        <v>1664.496056</v>
      </c>
      <c r="M321" s="3">
        <f>2383.8+(362.7-289.4)+(1.215738+(0.184977-0.147594))+0-655.2-0.334151999999934</f>
        <v>1802.8189690000006</v>
      </c>
      <c r="N321" s="3">
        <f>2855.8+(210.6-311.9)+(-5.825832+(-0.429624--0.636276))+0-741.8--1.51327199999997</f>
        <v>2008.5940919999998</v>
      </c>
      <c r="O321" s="3">
        <f>3161.4+(202-586.3)+(4.836942+(0.30906-0.897039))+0-650.5-0.995265000000038</f>
        <v>2129.8536980000003</v>
      </c>
      <c r="P321" s="3">
        <f>3262.6+(516.1-836.6)+(-3.327852+(-0.526422--0.853332))+0-743--0.757860000000118</f>
        <v>2196.856918</v>
      </c>
      <c r="Q321" s="3">
        <f>3228.2+(399.8-978.9)+(-6.585528+(-0.815592--1.996956))+0-481.7--0.982667999999979</f>
        <v>2162.9785040000002</v>
      </c>
      <c r="R321" s="3">
        <f>3028.4+(177.9-757.2)+(-7.72242+(-0.453645--1.93086))+0-419.4--1.06946999999994</f>
        <v>2024.5242649999996</v>
      </c>
      <c r="S321" s="3">
        <f>3015+(157.5-742.6)+(1.53765+(0.080325-0.378726))+0-439.3-0.224042999999955</f>
        <v>1991.6152060000004</v>
      </c>
      <c r="T321" s="3">
        <f>3176.6+(206.1-933.6)+(-3.240132+(-0.210222--0.952272))+0-435.9--0.444618000000069</f>
        <v>2011.1465359999997</v>
      </c>
      <c r="U321" s="3">
        <f>3125.9+(275.4-778.3)+(-1.594209+(-0.140454--0.396933))+0-616.5--0.314414999999937</f>
        <v>2005.4766849999996</v>
      </c>
      <c r="V321" s="3">
        <f>3091.4+(231.2-656.9)+(0+(0-0))+0-676-0</f>
        <v>1989.7000000000003</v>
      </c>
      <c r="W321" s="3">
        <f>3156.4+(484.2-871.1)+(0+(0-0))+0-603.4-0</f>
        <v>2166.1</v>
      </c>
      <c r="X321" s="3">
        <f>3367.8+(1202.1-1446.9)+(1.717578+(0.613071-0.737919))+0-764-0.389639999999922</f>
        <v>2360.20309</v>
      </c>
      <c r="Y321" s="3">
        <f>3251.2+(1158.2-1370.5)+(-4.974336+(-1.772046--2.096865))+0-722.1--1.10481300000004</f>
        <v>2313.2552959999998</v>
      </c>
      <c r="Z321" s="3">
        <f>3207.3+(890.2-1162.9)+(-3.271446+(-0.908004--1.186158))+0-710--0.724200000000113</f>
        <v>2222.3309080000004</v>
      </c>
      <c r="AA321" s="3">
        <f>3039.2+(641.9-851.5)+(-4.649976+(-0.982107--1.302795))+0-702.1--1.07421300000004</f>
        <v>2124.244925</v>
      </c>
      <c r="AB321" s="3">
        <f>3056.4+(510.2-835.3)+(-3.117528+(-0.520404--0.852006))+0-730.5--0.745110000000117</f>
        <v>1998.7591840000002</v>
      </c>
      <c r="AC321" s="3">
        <f>2891.4+(430.1-648.9)+(-7.37307+(-1.096755--1.654695))+0-816.2--2.08130999999988</f>
        <v>1851.6661800000002</v>
      </c>
      <c r="AD321" s="2">
        <v>2348.1999999999998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2402.9+(303.5-398.9)+(-1.225479+(-0.154785--0.203439))+0-611.7--0.311966999999938</f>
        <v>1694.9351419999998</v>
      </c>
      <c r="G322" s="3">
        <f>2188.7+(326.8-252.4)+(0+(0-0))+0-681.2-0</f>
        <v>1581.8999999999999</v>
      </c>
      <c r="H322" s="3">
        <f>2124.9+(352.2-188.6)+(0+(0-0))+0-721.8-0</f>
        <v>1566.7</v>
      </c>
      <c r="I322" s="3">
        <f>2107.7+(419.5-146.5)+(0+(0-0))+0-839.8-0</f>
        <v>1540.8999999999999</v>
      </c>
      <c r="J322" s="3">
        <f>2105.4+(389.2-111.3)+(4.295016+(0.793968-0.227052))+0-836.2-1.70584799999996</f>
        <v>1550.2560839999999</v>
      </c>
      <c r="K322" s="3">
        <f>2178.6+(301.5-175.4)+(3.333258+(0.461295-0.268362))+0-751-1.14903000000004</f>
        <v>1556.0771609999997</v>
      </c>
      <c r="L322" s="3">
        <f>2510.5+(195.2-386.3)+(2.56071+(0.199104-0.394026))+0-695.9-0.709818000000111</f>
        <v>1625.15597</v>
      </c>
      <c r="M322" s="3">
        <f>2576.2+(221.7-302)+(-2.627724+(-0.226134--0.30804))+0-752.1--0.76714200000012</f>
        <v>1742.0213239999998</v>
      </c>
      <c r="N322" s="3">
        <f>2836.2+(211.9-371.3)+(-4.339386+(-0.324207--0.568089))+0-665.6--1.01836800000004</f>
        <v>2008.1228639999999</v>
      </c>
      <c r="O322" s="3">
        <f>3151.5+(367-698.9)+(1.607265+(0.18717-0.356439))+0-696.2-0.355061999999929</f>
        <v>2124.4829340000001</v>
      </c>
      <c r="P322" s="3">
        <f>3125.9+(590.9-942.2)+(0+(0-0))+0-552.4-0</f>
        <v>2222.1999999999998</v>
      </c>
      <c r="Q322" s="3">
        <f>3097.2+(795.8-992.9)+(1.579572+(0.405858-0.506379))+0-702-0.358019999999929</f>
        <v>2199.2210309999996</v>
      </c>
      <c r="R322" s="3">
        <f>2962+(528.8-833.9)+(-7.5531+(-1.34844--2.126445))+0-600.4--1.53101999999991</f>
        <v>2051.2559249999999</v>
      </c>
      <c r="S322" s="3">
        <f>2983+(465.7-691)+(0+(0-0))+0-729.2-0</f>
        <v>2028.4999999999998</v>
      </c>
      <c r="T322" s="3">
        <f>2976.8+(469-687.3)+(-1.518168+(-0.23919--0.350523))+0-672.9--0.343178999999932</f>
        <v>2084.5363440000001</v>
      </c>
      <c r="U322" s="3">
        <f>3057.1+(384.3-675.4)+(-7.795605+(-0.979965--1.72227))+0-637.3--1.62511499999991</f>
        <v>2123.2718150000001</v>
      </c>
      <c r="V322" s="3">
        <f>3119.7+(450.3-769.5)+(-4.773141+(-0.688959--1.177335))+0-709.3--1.08522900000004</f>
        <v>2088.0004640000006</v>
      </c>
      <c r="W322" s="3">
        <f>3106.3+(543.2-935.8)+(-1.584213+(-0.277032--0.477258))+0-510.3--0.260252999999948</f>
        <v>2202.2762659999999</v>
      </c>
      <c r="X322" s="3">
        <f>3396.3+(1082.6-1477.1)+(-5.196339+(-1.656378--2.259963))+0-620.2--0.948906000000036</f>
        <v>2377.9561520000002</v>
      </c>
      <c r="Y322" s="3">
        <f>3372.4+(972.3-1435.8)+(-10.319544+(-2.975238--4.393548))+0-584.8--1.78948800000007</f>
        <v>2316.9882540000003</v>
      </c>
      <c r="Z322" s="3">
        <f>3363.9+(836.6-1403.5)+(-5.146767+(-1.279998--2.147355))+0-570.2--0.872406000000033</f>
        <v>2223.392996</v>
      </c>
      <c r="AA322" s="3">
        <f>3458.1+(710.5-1320.2)+(-7.054524+(-1.44942--2.693208))+0-711--1.45043999999997</f>
        <v>2133.0397039999998</v>
      </c>
      <c r="AB322" s="3">
        <f>3126.5+(479-820.4)+(-7.972575+(-1.22145--2.09202))+0-743.4--1.89566999999989</f>
        <v>2036.4936649999995</v>
      </c>
      <c r="AC322" s="3">
        <f>3020.4+(375.9-894.1)+(-3.080808+(-0.383418--0.911982))+0-610.4--0.622608000000097</f>
        <v>1889.8703639999999</v>
      </c>
      <c r="AD322" s="2">
        <v>2392.5999999999995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2662+(255.2-432.3)+(-5.43048+(-0.520608--0.881892))+0-724.8--1.47859199999997</f>
        <v>1756.5093960000002</v>
      </c>
      <c r="G323" s="3">
        <f>2161.4+(325.6-199.7)+(-1.102314+(-0.166056--0.101847))+0-609.6--0.310895999999938</f>
        <v>1676.8443730000004</v>
      </c>
      <c r="H323" s="3">
        <f>2118.5+(414.3-133.2)+(0+(0-0))+0-764.7-0</f>
        <v>1634.8999999999999</v>
      </c>
      <c r="I323" s="3">
        <f>2119.3+(345.4-127.9)+(0+(0-0))+0-728.7-0</f>
        <v>1608.1000000000001</v>
      </c>
      <c r="J323" s="3">
        <f>2117.2+(367.6-100.9)+(3.239316+(0.562428-0.154377))+0-775-1.18575000000004</f>
        <v>1611.3616169999996</v>
      </c>
      <c r="K323" s="3">
        <f>2272.4+(314.8-141.9)+(-3.476772+(-0.481644--0.217107))+0-800.5--1.22476500000005</f>
        <v>1642.2834560000003</v>
      </c>
      <c r="L323" s="3">
        <f>2428.8+(224.7-251.2)+(0+(0-0))+0-720.3-0</f>
        <v>1682.0000000000002</v>
      </c>
      <c r="M323" s="3">
        <f>2505.6+(292-178.6)+(0+(0-0))+0-815.8-0</f>
        <v>1803.2</v>
      </c>
      <c r="N323" s="3">
        <f>2848.7+(220.1-412.2)+(0+(0-0))+0-668.1-0</f>
        <v>1988.5</v>
      </c>
      <c r="O323" s="3">
        <f>3182.3+(428.8-780.6)+(0+(0-0))+0-662.4-0</f>
        <v>2168.1</v>
      </c>
      <c r="P323" s="3">
        <f>3337.2+(621.8-1110.5)+(-5.105916+(-0.951354--1.699065))+0-600.1--0.918153000000035</f>
        <v>2244.9599480000002</v>
      </c>
      <c r="Q323" s="3">
        <f>3317.2+(636.1-1122.8)+(-3.383544+(-0.648822--1.145256))+0-566.1--0.57742200000009</f>
        <v>2262.0903120000003</v>
      </c>
      <c r="R323" s="3">
        <f>3328.8+(687.1-1158.8)+(-5.093064+(-1.051263--1.772964))+0-783.2--1.19829600000005</f>
        <v>2070.7269330000004</v>
      </c>
      <c r="S323" s="3">
        <f>3129.6+(415.4-804.8)+(-4.788288+(-0.635562--1.231344))+0-688.6--1.05355800000004</f>
        <v>2048.4610520000001</v>
      </c>
      <c r="T323" s="3">
        <f>3009.2+(504.7-621)+(-1.534692+(-0.257397--0.31671))+0-796--0.405959999999919</f>
        <v>2095.8305809999997</v>
      </c>
      <c r="U323" s="3">
        <f>2722.5+(492.9-396.7)+(-2.77695+(-0.502758--0.404634))+0-725.5--0.740010000000116</f>
        <v>2091.0649359999998</v>
      </c>
      <c r="V323" s="3">
        <f>2703.4+(473.5-430.7)+(-4.136202+(-0.724455--0.658971))+0-690.2--1.05600600000004</f>
        <v>2052.8543200000008</v>
      </c>
      <c r="W323" s="3">
        <f>2872+(848-793.8)+(0+(0-0))+0-725.9-0</f>
        <v>2200.2999999999997</v>
      </c>
      <c r="X323" s="3">
        <f>3355.4+(1436.7-1654)+(0+(0-0))+0-703-0</f>
        <v>2435.1000000000004</v>
      </c>
      <c r="Y323" s="3">
        <f>3303.1+(1266.8-1588.4)+(-10.107486+(-3.876408--4.860504))+0-601.6--1.84089600000007</f>
        <v>2372.617506</v>
      </c>
      <c r="Z323" s="3">
        <f>3293.5+(1206.7-1421.9)+(0+(0-0))+0-805-0</f>
        <v>2273.3000000000002</v>
      </c>
      <c r="AA323" s="3">
        <f>3254+(963.6-1288.5)+(-1.65954+(-0.491436--0.657135))+0-744.3--0.379592999999924</f>
        <v>2183.6857519999999</v>
      </c>
      <c r="AB323" s="3">
        <f>3042.1+(624.8-909.8)+(-3.102942+(-0.637296--0.927996))+0-691.6--0.70543200000011</f>
        <v>2063.3931900000002</v>
      </c>
      <c r="AC323" s="3">
        <f>2809.8+(258.6-482)+(-4.298994+(-0.395658--0.73746))+0-657.1--1.00536300000004</f>
        <v>1926.3481710000003</v>
      </c>
      <c r="AD323" s="2">
        <v>2451.8000000000002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2532+(258.4-326.6)+(-6.4566+(-0.65892--0.83283))+0-696--1.7747999999999</f>
        <v>1763.2921100000001</v>
      </c>
      <c r="G324" s="3">
        <f>2530.7+(242.9-251.4)+(-5.162628+(-0.495516--0.512856))+0-854.5--1.74317999999996</f>
        <v>1664.2978919999996</v>
      </c>
      <c r="H324" s="3">
        <f>2340.6+(252.7-239.8)+(-1.193706+(-0.128877--0.122298))+0-716.4--0.365363999999927</f>
        <v>1636.265079</v>
      </c>
      <c r="I324" s="3">
        <f>2299.6+(322.8-162.8)+(0+(0-0))+0-841.1-0</f>
        <v>1618.5</v>
      </c>
      <c r="J324" s="3">
        <f>2298.2+(263.4-215.9)+(0+(0-0))+0-711-0</f>
        <v>1634.6999999999998</v>
      </c>
      <c r="K324" s="3">
        <f>2383.5+(291.1-183.6)+(3.646755+(0.445383-0.280908))+0-817.4-1.25062200000005</f>
        <v>1676.1606079999997</v>
      </c>
      <c r="L324" s="3">
        <f>2493.2+(264.7-292.3)+(0+(0-0))+0-709.2-0</f>
        <v>1756.3999999999999</v>
      </c>
      <c r="M324" s="3">
        <f>2506.9+(236.7-221.4)+(5.114076+(0.482868-0.451656))+0-630-1.28519999999997</f>
        <v>1896.0600880000004</v>
      </c>
      <c r="N324" s="3">
        <f>2905+(363.6-480.5)+(0+(0-0))+0-687.3-0</f>
        <v>2100.8000000000002</v>
      </c>
      <c r="O324" s="3">
        <f>3099.4+(552.6-777.8)+(0+(0-0))+0-654.7-0</f>
        <v>2219.5</v>
      </c>
      <c r="P324" s="3">
        <f>3170.2+(805.8-1035.5)+(-3.233604+(-0.821916--1.05621))+0-729.1--0.743682000000116</f>
        <v>2209.1443720000002</v>
      </c>
      <c r="Q324" s="3">
        <f>3059.9+(838.6-882.3)+(-3.121098+(-0.855372--0.899946))+0-702.8--0.716856000000112</f>
        <v>2311.0403320000005</v>
      </c>
      <c r="R324" s="3">
        <f>2978.8+(594.6-807.5)+(-9.115128+(-1.819476--2.47095))+0-626.1--1.91586600000007</f>
        <v>2133.2522120000003</v>
      </c>
      <c r="S324" s="3">
        <f>2938.3+(616.7-701.7)+(-4.495599+(-0.943551--1.073601))+0-767.1--1.17366300000004</f>
        <v>2083.0081140000002</v>
      </c>
      <c r="T324" s="3">
        <f>2932.8+(517.4-737.9)+(-7.47864+(-1.31937--1.881645))+0-595.6--1.51877999999991</f>
        <v>2111.3024150000001</v>
      </c>
      <c r="U324" s="3">
        <f>3034.8+(524.8-829.8)+(-1.547748+(-0.267648--0.423198))+0-622.8--0.317627999999937</f>
        <v>2105.9254300000002</v>
      </c>
      <c r="V324" s="3">
        <f>3016.6+(460.3-893.6)+(-1.538466+(-0.234753--0.455736))+0-483.8--0.246737999999951</f>
        <v>2098.4292549999996</v>
      </c>
      <c r="W324" s="3">
        <f>3072.3+(1112-1269.8)+(-4.700619+(-1.70136--1.942794))+0-675.1--1.03290300000004</f>
        <v>2235.9737180000002</v>
      </c>
      <c r="X324" s="3">
        <f>3171.7+(1572.2-1609.4)+(-6.470268+(-3.207288--3.283176))+0-687.5--1.40249999999997</f>
        <v>2442.00812</v>
      </c>
      <c r="Y324" s="3">
        <f>3090.7+(1444.4-1491.9)+(-4.728771+(-2.209932--2.282607))+0-658.7--1.00781100000004</f>
        <v>2380.8517149999993</v>
      </c>
      <c r="Z324" s="3">
        <f>2998.5+(1270.6-1512.6)+(-3.05847+(-1.296012--1.542852))+0-470.7--0.480114000000075</f>
        <v>2283.468484</v>
      </c>
      <c r="AA324" s="3">
        <f>2960.4+(1159.2-1390.6)+(-3.019608+(-1.182384--1.418412))+0-536--0.546720000000085</f>
        <v>2190.7631400000005</v>
      </c>
      <c r="AB324" s="3">
        <f>2918.1+(1079.2-1151.7)+(-4.464693+(-1.651176--1.762101))+0-746.3--1.14183900000004</f>
        <v>2096.0880710000001</v>
      </c>
      <c r="AC324" s="3">
        <f>2618.1+(587.6-667.4)+(-5.340924+(-1.198704--1.361496))+0-608.3--1.24093199999997</f>
        <v>1926.0628000000002</v>
      </c>
      <c r="AD324" s="2">
        <v>2422.5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2295.8+(352-198.8)+(-3.512574+(-0.53856--0.304164))+0-682.8--1.04468400000004</f>
        <v>1763.4977139999999</v>
      </c>
      <c r="G325" s="3">
        <f>2214.4+(284-114.8)+(-5.64672+(-0.7242--0.29274))+0-709.2--1.8084599999999</f>
        <v>1670.1302799999999</v>
      </c>
      <c r="H325" s="3">
        <f>1933+(525.5-142.9)+(-2.95749+(-0.804015--0.218637))+0-707.9--1.08308700000004</f>
        <v>1605.2402189999998</v>
      </c>
      <c r="I325" s="3">
        <f>1885.8+(547.5-155.1)+(-2.885274+(-0.837675--0.237303))+0-696.6--1.06579800000004</f>
        <v>1579.1801519999999</v>
      </c>
      <c r="J325" s="3">
        <f>1886.1+(576.6-150.3)+(-0.961911+(-0.294066--0.076653))+0-717.1--0.365720999999927</f>
        <v>1594.4863969999999</v>
      </c>
      <c r="K325" s="3">
        <f>1884.3+(734.4-144.4)+(1.921986+(0.749088-0.147288))+0-859.2-0.876384000000137</f>
        <v>1616.7474020000002</v>
      </c>
      <c r="L325" s="3">
        <f>2044.3+(593-148)+(-3.127779+(-0.90729--0.22644))+0-826.1--1.26393300000005</f>
        <v>1660.6553040000001</v>
      </c>
      <c r="M325" s="3">
        <f>2137.5+(657-196.9)+(-1.090125+(-0.33507--0.100419))+0-814.2--0.415241999999917</f>
        <v>1782.4904659999997</v>
      </c>
      <c r="N325" s="3">
        <f>2346.7+(823.3-294.5)+(0+(0-0))+0-827.9-0</f>
        <v>2047.6</v>
      </c>
      <c r="O325" s="3">
        <f>2659.2+(1147-794.2)+(2.712384+(1.16994-0.810084))+0-812.3-0.828546000000129</f>
        <v>2201.9436940000001</v>
      </c>
      <c r="P325" s="3">
        <f>2856.1+(1436.3-1232.6)+(1.456611+(0.732513-0.628626))+0-766-0.390659999999922</f>
        <v>2294.969838</v>
      </c>
      <c r="Q325" s="3">
        <f>2873.3+(1605.2-1307.6)+(-2.930766+(-1.637304--1.333752))+0-891.5--0.909330000000142</f>
        <v>2277.0750120000007</v>
      </c>
      <c r="R325" s="3">
        <f>2740+(1104.2-1201.9)+(-8.3844+(-3.378852--3.677814))+0-550.7--1.68514200000006</f>
        <v>2085.1997040000006</v>
      </c>
      <c r="S325" s="3">
        <f>2622.7+(882.8-889.9)+(-5.350308+(-1.800912--1.815396))+0-595.9--1.21563599999997</f>
        <v>2015.5798119999999</v>
      </c>
      <c r="T325" s="3">
        <f>2645.6+(940.3-800.9)+(0+(0-0))+0-771.9-0</f>
        <v>2013.1</v>
      </c>
      <c r="U325" s="3">
        <f>2512.4+(945.3-668.3)+(-3.843972+(-1.446309--1.022499))+0-817.5--1.25077500000005</f>
        <v>1968.8829930000002</v>
      </c>
      <c r="V325" s="3">
        <f>2489.6+(851.5-678.8)+(-2.539392+(-0.86853--0.692376))+0-733.5--0.748170000000117</f>
        <v>1926.8326240000004</v>
      </c>
      <c r="W325" s="3">
        <f>2611.8+(1081.5-1031)+(3.996054+(1.654695-1.57743))+0-604.2-0.924426000000035</f>
        <v>2061.2488930000004</v>
      </c>
      <c r="X325" s="3">
        <f>2870.5+(1700.4-1559.5)+(-2.92791+(-1.734408--1.59069))+0-735.2--0.749904000000117</f>
        <v>2273.8782760000004</v>
      </c>
      <c r="Y325" s="3">
        <f>2739.8+(1634.6-1316.5)+(-2.794596+(-1.667292--1.34283))+0-846.1--0.863022000000135</f>
        <v>2209.543964</v>
      </c>
      <c r="Z325" s="3">
        <f>2670.8+(1436.1-1141)+(-4.086324+(-2.197233--1.74573))+0-841.2--1.28703600000005</f>
        <v>2121.4492089999999</v>
      </c>
      <c r="AA325" s="3">
        <f>2531.7+(1136.6-803.9)+(-3.873501+(-1.738998--1.229967))+0-835.2--1.27785600000005</f>
        <v>2026.0953239999997</v>
      </c>
      <c r="AB325" s="3">
        <f>2426.2+(866.3-586.9)+(1.237362+(0.441813-0.299319))+0-791.9-0.40386899999992</f>
        <v>1914.6759869999999</v>
      </c>
      <c r="AC325" s="3">
        <f>2440.1+(759.5-563.1)+(-2.488902+(-0.77469--0.574362))+0-846--0.862920000000135</f>
        <v>1788.6736900000001</v>
      </c>
      <c r="AD325" s="2">
        <v>2279.2000000000003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2309.2+(503.9-233)+(-1.177692+(-0.256989--0.11883))+0-869--0.443189999999912</f>
        <v>1710.227339</v>
      </c>
      <c r="G326" s="3">
        <f>1789.4+(721.3-64)+(-0.912594+(-0.367863--0.03264))+0-818.7--0.417536999999917</f>
        <v>1627.1697199999996</v>
      </c>
      <c r="H326" s="3">
        <f>1656.5+(866.8-111.9)+(-0.844815+(-0.442068--0.057069))+0-826.5--0.421514999999916</f>
        <v>1584.0917010000003</v>
      </c>
      <c r="I326" s="3">
        <f>1655.6+(803.1-127.5)+(0.844356+(0.409581-0.065025))+0-767.4-0.391373999999922</f>
        <v>1564.597538</v>
      </c>
      <c r="J326" s="3">
        <f>1653.3+(702.8-141.1)+(-2.529549+(-1.075284--0.215883))+0-663.7--1.01546100000004</f>
        <v>1548.9265109999999</v>
      </c>
      <c r="K326" s="3">
        <f>1649+(934.7-158.5)+(0+(0-0))+0-879.2-0</f>
        <v>1545.9999999999998</v>
      </c>
      <c r="L326" s="3">
        <f>1649.6+(843.1-216.6)+(-5.047776+(-2.579886--0.662796))+0-737.6--2.25705600000009</f>
        <v>1533.7921900000003</v>
      </c>
      <c r="M326" s="3">
        <f>1659.5+(810.1-244.4)+(-1.69269+(-0.826302--0.249288))+0-716.5--0.730830000000114</f>
        <v>1507.1611260000002</v>
      </c>
      <c r="N326" s="3">
        <f>1644.3+(800.7-256.7)+(1.677186+(0.816714-0.261834))+0-604.4-0.616488000000096</f>
        <v>1585.515578</v>
      </c>
      <c r="O326" s="3">
        <f>1674.4+(868.8-219.7)+(4.26972+(2.21544-0.560235))+0-654-1.66769999999991</f>
        <v>1673.7572249999998</v>
      </c>
      <c r="P326" s="3">
        <f>1854.2+(868.4-391.3)+(1.891284+(0.885768-0.399126))+0-588.7-0.600474000000094</f>
        <v>1744.3774520000002</v>
      </c>
      <c r="Q326" s="3">
        <f>2083.7+(1009.3-552.4)+(-4.250748+(-2.058972--1.126896))+0-770.5--1.57181999999997</f>
        <v>1766.4889959999998</v>
      </c>
      <c r="R326" s="3">
        <f>1882.3+(807.3-272.2)+(0+(0-0))+0-704.3-0</f>
        <v>1713.0999999999997</v>
      </c>
      <c r="S326" s="3">
        <f>1848.6+(828.7-178.9)+(-1.885572+(-0.845274--0.182478))+0-843.6--0.860472000000135</f>
        <v>1653.112104</v>
      </c>
      <c r="T326" s="3">
        <f>1845.9+(801.5-218.7)+(2.824227+(1.226295-0.334611))+0-791.2-1.21053600000005</f>
        <v>1640.0053749999995</v>
      </c>
      <c r="U326" s="3">
        <f>1841.9+(763.8-204.4)+(-1.878738+(-0.779076--0.208488))+0-789.7--0.805494000000126</f>
        <v>1609.9561680000004</v>
      </c>
      <c r="V326" s="3">
        <f>1888.5+(839.2-255.7)+(0.963135+(0.427992-0.130407))+0-838.2-0.427481999999915</f>
        <v>1634.6332380000003</v>
      </c>
      <c r="W326" s="3">
        <f>2198.7+(1008.8-680.4)+(-2.242674+(-1.028976--0.694008))+0-755--0.77010000000012</f>
        <v>1770.2924579999999</v>
      </c>
      <c r="X326" s="3">
        <f>2587.1+(1725.3-1390.4)+(2.638842+(1.759806-1.418208))+0-886.9-0.904638000000141</f>
        <v>2037.1758019999995</v>
      </c>
      <c r="Y326" s="3">
        <f>2580+(1650.1-1401.7)+(-3.9474+(-2.524653--2.144601))+0-792.6--1.21267800000005</f>
        <v>2032.6852259999998</v>
      </c>
      <c r="Z326" s="3">
        <f>2576.2+(1539.8-1251.6)+(-3.941586+(-2.355894--1.914948))+0-868--1.32804000000005</f>
        <v>1993.3455079999997</v>
      </c>
      <c r="AA326" s="3">
        <f>2553.4+(1330.1-1113.5)+(-6.51117+(-3.391755--2.839425))+0-818.9--2.08819499999988</f>
        <v>1946.1246949999995</v>
      </c>
      <c r="AB326" s="3">
        <f>2444.1+(1211.6-1009.3)+(-1.246491+(-0.617916--0.514743))+0-791.6--0.40371599999992</f>
        <v>1853.8540519999999</v>
      </c>
      <c r="AC326" s="3">
        <f>2339.1+(974-727.7)+(-5.964705+(-2.4837--1.855635))+0-841.1--2.14480499999988</f>
        <v>1739.8520349999994</v>
      </c>
      <c r="AD326" s="2">
        <v>1937.0000000000005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1872.4+(520.9-135.2)+(-2.864772+(-0.796977--0.206856))+0-709.6--1.08568800000004</f>
        <v>1546.130795</v>
      </c>
      <c r="G327" s="3">
        <f>1858+(535.7-134.1)+(-4.7379+(-1.366035--0.341955))+0-755.4--1.92626999999989</f>
        <v>1500.3642899999995</v>
      </c>
      <c r="H327" s="3">
        <f>1854.6+(553.4-133.1)+(-0.945846+(-0.282234--0.067881))+0-812.5--0.414374999999918</f>
        <v>1461.6541759999996</v>
      </c>
      <c r="I327" s="3">
        <f>1855.7+(606.9-137.9)+(-0.946407+(-0.309519--0.070329))+0-865.4--0.441353999999912</f>
        <v>1458.5557569999994</v>
      </c>
      <c r="J327" s="3">
        <f>1855.4+(531.8-143)+(-1.892508+(-0.542436--0.14586))+0-782.4--0.798048000000125</f>
        <v>1460.3089639999998</v>
      </c>
      <c r="K327" s="3">
        <f>1846.5+(668.8-173.4)+(3.76686+(1.364352-0.353736))+0-845.3-1.72441199999996</f>
        <v>1499.6530640000003</v>
      </c>
      <c r="L327" s="3">
        <f>1846+(624.5-205)+(-0.94146+(-0.318495--0.10455))+0-699.7--0.356846999999929</f>
        <v>1565.001442</v>
      </c>
      <c r="M327" s="3">
        <f>1914.1+(702.7-208.7)+(0.976191+(0.358377-0.106437))+0-698.3-0.356132999999929</f>
        <v>1710.6719979999998</v>
      </c>
      <c r="N327" s="3">
        <f>2053.1+(858.8-192.9)+(-2.094162+(-0.875976--0.196758))+0-720.4--0.734808000000115</f>
        <v>1996.561428</v>
      </c>
      <c r="O327" s="3">
        <f>2202.7+(892.4-340.3)+(2.246754+(0.910248-0.347106))+0-638.3-0.651066000000102</f>
        <v>2118.6588299999999</v>
      </c>
      <c r="P327" s="3">
        <f>2324.4+(1157.9-662.4)+(-5.92722+(-2.952645--1.68912))+0-636.3--1.62256499999991</f>
        <v>2178.0318200000006</v>
      </c>
      <c r="Q327" s="3">
        <f>2319.6+(1178.8-642.2)+(1.182996+(0.601188-0.327522))+0-648.1-0.330530999999934</f>
        <v>2209.2261309999999</v>
      </c>
      <c r="R327" s="3">
        <f>2318.8+(1179.8-748.6)+(-1.182588+(-0.601698--0.381786))+0-670.8--0.342107999999932</f>
        <v>2078.1396079999995</v>
      </c>
      <c r="S327" s="3">
        <f>2347.4+(1273.7-954.8)+(1.197174+(0.649587-0.486948))+0-627.4-0.319973999999936</f>
        <v>2039.9398390000001</v>
      </c>
      <c r="T327" s="3">
        <f>2583.2+(1213-1092.7)+(0+(0-0))+0-614.1-0</f>
        <v>2089.4</v>
      </c>
      <c r="U327" s="3">
        <f>2489+(1072.4-936.6)+(0+(0-0))+0-533.1-0</f>
        <v>2091.7000000000003</v>
      </c>
      <c r="V327" s="3">
        <f>2368.6+(818.1-528.7)+(-1.207986+(-0.417231--0.269637))+0-610.7--0.311456999999938</f>
        <v>2046.2558770000001</v>
      </c>
      <c r="W327" s="3">
        <f>2393.6+(1112.6-671.8)+(3.662208+(1.702278-1.027854))+0-703-1.07559000000004</f>
        <v>2134.6610419999997</v>
      </c>
      <c r="X327" s="3">
        <f>2501+(1847.8-1178.9)+(-3.82653+(-2.827134--1.803717))+0-794.8--1.21604400000005</f>
        <v>2371.466097</v>
      </c>
      <c r="Y327" s="3">
        <f>2277+(1661.3-890.2)+(-4.64508+(-3.389052--1.816008))+0-744.4--1.51857599999997</f>
        <v>2299.0004519999998</v>
      </c>
      <c r="Z327" s="3">
        <f>2242.2+(1483.2-737.4)+(-2.287044+(-1.512864--0.752148))+0-797.5--0.813450000000127</f>
        <v>2188.2656900000002</v>
      </c>
      <c r="AA327" s="3">
        <f>2235.6+(1191.5-491)+(-2.280312+(-1.21533--0.50082))+0-832.9--0.849558000000133</f>
        <v>2101.054736</v>
      </c>
      <c r="AB327" s="3">
        <f>2065.1+(949.8-235)+(-1.053201+(-0.484398--0.11985))+0-756.8--0.385967999999923</f>
        <v>2022.0682189999993</v>
      </c>
      <c r="AC327" s="3">
        <f>2020.4+(646.6-43.8)+(-5.15202+(-1.64883--0.11169))+0-745.9--1.90204499999989</f>
        <v>1872.5128850000001</v>
      </c>
      <c r="AD327" s="2">
        <v>2402.1000000000004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1983.4+(599.7-22.9)+(-4.046136+(-1.223388--0.046716))+0-810.5--1.65341999999996</f>
        <v>1746.1306120000002</v>
      </c>
      <c r="G328" s="3">
        <f>1859.3+(621-62)+(1.896486+(0.63342-0.06324))+0-762.9-0.778158000000122</f>
        <v>1657.0885079999998</v>
      </c>
      <c r="H328" s="3">
        <f>1817.9+(702.9-60.6)+(-0.927129+(-0.358479--0.030906))+0-857.8--0.437477999999913</f>
        <v>1601.5827759999995</v>
      </c>
      <c r="I328" s="3">
        <f>1820+(655.6-118.5)+(0.9282+(0.334356-0.060435))+0-771.4-0.393413999999922</f>
        <v>1586.5087069999997</v>
      </c>
      <c r="J328" s="3">
        <f>1819.5+(730.3-110.9)+(-0.927945+(-0.372453--0.056559))+0-855.5--0.436304999999913</f>
        <v>1582.5924659999998</v>
      </c>
      <c r="K328" s="3">
        <f>1822.1+(687.6-134.8)+(2.787813+(1.052028-0.206244))+0-781.1-1.19508300000005</f>
        <v>1596.2385139999997</v>
      </c>
      <c r="L328" s="3">
        <f>1823.9+(755.3-157.5)+(0+(0-0))+0-832.3-0</f>
        <v>1589.3999999999999</v>
      </c>
      <c r="M328" s="3">
        <f>1832.9+(732.4-185.3)+(0.934779+(0.373524-0.094503))+0-757.1-0.386120999999923</f>
        <v>1623.7276790000001</v>
      </c>
      <c r="N328" s="3">
        <f>1836.4+(852.3-164.6)+(0.936564+(0.434673-0.083946))+0-761-0.388109999999923</f>
        <v>1763.9991810000001</v>
      </c>
      <c r="O328" s="3">
        <f>2037+(908.9-225.3)+(0+(0-0))+0-836.6-0</f>
        <v>1884</v>
      </c>
      <c r="P328" s="3">
        <f>2302+(971.2-473.9)+(-1.17402+(-0.495312--0.241689))+0-829.6--0.423095999999916</f>
        <v>1968.6954530000003</v>
      </c>
      <c r="Q328" s="3">
        <f>2367.9+(947.1-592.1)+(-1.207629+(-0.483021--0.301971))+0-731--0.372809999999926</f>
        <v>1990.8841309999998</v>
      </c>
      <c r="R328" s="3">
        <f>2329.3+(936.9-576.5)+(-1.187943+(-0.477819--0.294015))+0-818.6--0.417485999999917</f>
        <v>1870.145739</v>
      </c>
      <c r="S328" s="3">
        <f>2433.6+(923.9-736.7)+(1.241136+(0.471189-0.375717))+0-787.9-0.40182899999992</f>
        <v>1833.8347789999998</v>
      </c>
      <c r="T328" s="3">
        <f>2580.4+(990.8-929.6)+(1.316004+(0.505308-0.474096))+0-777-0.396269999999921</f>
        <v>1865.5509460000001</v>
      </c>
      <c r="U328" s="3">
        <f>2325.4+(683.5-580.7)+(-4.743816+(-1.39434--1.184628))+0-587.7--1.19890799999997</f>
        <v>1836.7453799999998</v>
      </c>
      <c r="V328" s="3">
        <f>2174.6+(626.6-519.6)+(3.327138+(0.958698-0.794988))+0-450.9-0.689877000000026</f>
        <v>1833.5009709999997</v>
      </c>
      <c r="W328" s="3">
        <f>2157.6+(1017.2-492)+(1.100376+(0.518772-0.25092))+0-739.3-0.377042999999925</f>
        <v>1944.4911850000001</v>
      </c>
      <c r="X328" s="3">
        <f>2242.5+(1475.4-885)+(0+(0-0))+0-659.1-0</f>
        <v>2173.8000000000002</v>
      </c>
      <c r="Y328" s="3">
        <f>2249+(1531.7-886.8)+(-3.44097+(-2.343501--1.356804))+0-754.2--1.15392600000004</f>
        <v>2136.4262589999998</v>
      </c>
      <c r="Z328" s="3">
        <f>2186.1+(1418-727.5)+(-4.459644+(-2.89272--1.4841))+0-783.8--1.59895199999997</f>
        <v>2088.5306879999994</v>
      </c>
      <c r="AA328" s="3">
        <f>2131.9+(1153-499.4)+(-5.436345+(-2.94015--1.27347))+0-741.5--1.89082499999989</f>
        <v>2038.7878000000001</v>
      </c>
      <c r="AB328" s="3">
        <f>2104.7+(1052.3-440.6)+(-1.073397+(-0.536673--0.224706))+0-751.5--0.383264999999924</f>
        <v>1963.8979009999994</v>
      </c>
      <c r="AC328" s="3">
        <f>2023.7+(940.9-417.6)+(-3.096261+(-1.439577--0.638928))+0-714.2--1.09272600000004</f>
        <v>1829.9958160000001</v>
      </c>
      <c r="AD328" s="2">
        <v>2142.2000000000007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1776.5+(741.9-106.3)+(0+(0-0))+0-707.7-0</f>
        <v>1704.3999999999999</v>
      </c>
      <c r="G329" s="3">
        <f>1553.6+(879.6-45.1)+(-0.792336+(-0.448596--0.023001))+0-763.1--0.389180999999923</f>
        <v>1624.1712499999999</v>
      </c>
      <c r="H329" s="3">
        <f>1485.3+(920.2-46.6)+(0+(0-0))+0-778.1-0</f>
        <v>1580.8000000000002</v>
      </c>
      <c r="I329" s="3">
        <f>1448.6+(873.3-49.4)+(-0.738786+(-0.445383--0.025194))+0-693.9--0.35388899999993</f>
        <v>1577.7949140000001</v>
      </c>
      <c r="J329" s="3">
        <f>1455.3+(990.6-51.4)+(0+(0-0))+0-813.9-0</f>
        <v>1580.6</v>
      </c>
      <c r="K329" s="3">
        <f>1456.6+(979.5-88.5)+(1.485732+(0.99909-0.09027))+0-745.1-0.760002000000119</f>
        <v>1604.13455</v>
      </c>
      <c r="L329" s="3">
        <f>1665.3+(909.6-136.6)+(-1.698606+(-0.927792--0.139332))+0-756--0.771120000000121</f>
        <v>1680.5840540000002</v>
      </c>
      <c r="M329" s="3">
        <f>1927.7+(739.8-168)+(-0.983127+(-0.377298--0.08568))+0-647.4--0.330173999999934</f>
        <v>1851.1554289999997</v>
      </c>
      <c r="N329" s="3">
        <f>2299+(696.7-377.5)+(-2.34498+(-0.710634--0.38505))+0-536.1--0.546822000000086</f>
        <v>2079.9762580000001</v>
      </c>
      <c r="O329" s="3">
        <f>2411+(866.8-555.2)+(-6.14805+(-2.21034--1.41576))+0-530.6--1.35302999999992</f>
        <v>2186.4103999999998</v>
      </c>
      <c r="P329" s="3">
        <f>2446.5+(1051.2-717.7)+(-3.743145+(-1.608336--1.098081))+0-516.8--0.79070400000003</f>
        <v>2259.7373040000002</v>
      </c>
      <c r="Q329" s="3">
        <f>2520.1+(1322.5-930.8)+(-6.426255+(-3.372375--2.37354))+0-635.2--1.61975999999991</f>
        <v>2270.7946699999998</v>
      </c>
      <c r="R329" s="3">
        <f>2483.2+(1118.4-775)+(-2.532864+(-1.140768--0.7905))+0-718.3--0.732666000000115</f>
        <v>2106.1495340000006</v>
      </c>
      <c r="S329" s="3">
        <f>2607.9+(1052.8-782.6)+(-6.650145+(-2.68464--1.99563))+0-794.1--2.02495499999988</f>
        <v>2078.6857999999997</v>
      </c>
      <c r="T329" s="3">
        <f>2671.2+(996.9-806.1)+(-1.362312+(-0.508419--0.411111))+0-726.7--0.370616999999926</f>
        <v>2134.2109969999997</v>
      </c>
      <c r="U329" s="3">
        <f>2600.5+(1030.1-703)+(1.326255+(0.525351-0.35853))+0-795.8-0.405857999999919</f>
        <v>2132.8872179999998</v>
      </c>
      <c r="V329" s="3">
        <f>2520+(948.2-674.3)+(-2.5704+(-0.967164--0.687786))+0-659.1--0.672282000000105</f>
        <v>2132.6225040000004</v>
      </c>
      <c r="W329" s="3">
        <f>2346.3+(1346.9-785.8)+(-1.196613+(-0.686919--0.400758))+0-652--0.332519999999934</f>
        <v>2254.2497460000004</v>
      </c>
      <c r="X329" s="3">
        <f>2696.7+(1948.4-1561.8)+(0+(0-0))+0-632.5-0</f>
        <v>2450.8000000000002</v>
      </c>
      <c r="Y329" s="3">
        <f>2647.5+(2003.7-1537.9)+(-1.350225+(-1.021887--0.784329))+0-715.7--0.365006999999927</f>
        <v>2396.3772240000003</v>
      </c>
      <c r="Z329" s="3">
        <f>2591.9+(1895.1-1453.8)+(0+(0-0))+0-727.1-0</f>
        <v>2306.1</v>
      </c>
      <c r="AA329" s="3">
        <f>2358.4+(1542.4-959.8)+(-3.608352+(-2.359872--1.468494))+0-732--1.11996000000004</f>
        <v>2205.62023</v>
      </c>
      <c r="AB329" s="3">
        <f>2227.2+(1176-626.1)+(-4.543488+(-2.39904--1.277244))+0-676.8--1.38067199999997</f>
        <v>2096.0153879999993</v>
      </c>
      <c r="AC329" s="3">
        <f>2046.4+(872.8-224.2)+(-5.21832+(-2.22564--0.57171))+0-749.2--1.91045999999989</f>
        <v>1940.8382099999999</v>
      </c>
      <c r="AD329" s="2">
        <v>2454.6000000000004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2009.8+(544.2-85.3)+(-1.024998+(-0.277542--0.043503))+0-684.8--0.349247999999931</f>
        <v>1782.990211</v>
      </c>
      <c r="G330" s="3">
        <f>1975.4+(563.3-82.9)+(-2.014908+(-0.574566--0.084558))+0-751.3--0.76632600000012</f>
        <v>1702.7614100000005</v>
      </c>
      <c r="H330" s="3">
        <f>1744.1+(736.9-40.3)+(0.889491+(0.375819-0.020553))+0-793.7-0.40478699999992</f>
        <v>1647.8399699999998</v>
      </c>
      <c r="I330" s="3">
        <f>1732+(777.9-41.3)+(-1.76664+(-0.793458--0.042126))+0-835.4--0.852108000000133</f>
        <v>1631.5341359999998</v>
      </c>
      <c r="J330" s="3">
        <f>1742.8+(621.2-43.2)+(-1.777656+(-0.633624--0.044064))+0-682.9--0.696558000000109</f>
        <v>1636.2293420000001</v>
      </c>
      <c r="K330" s="3">
        <f>1742.3+(767.7-59.3)+(-2.665719+(-1.174581--0.090729))+0-793.3--1.21374900000005</f>
        <v>1654.864178</v>
      </c>
      <c r="L330" s="3">
        <f>1833.1+(738.9-91)+(-2.804643+(-1.130517--0.13923))+0-754.2--1.15392600000004</f>
        <v>1724.1579959999997</v>
      </c>
      <c r="M330" s="3">
        <f>2016.1+(748.8-105.6)+(-3.084633+(-1.145664--0.161568))+0-765--1.17045000000004</f>
        <v>1891.4017209999997</v>
      </c>
      <c r="N330" s="3">
        <f>2279+(885.8-327.8)+(0+(0-0))+0-737.9-0</f>
        <v>2099.1</v>
      </c>
      <c r="O330" s="3">
        <f>2462.8+(1157.4-757.1)+(-2.512056+(-1.180548--0.772242))+0-633.6--0.646272000000101</f>
        <v>2227.2259100000006</v>
      </c>
      <c r="P330" s="3">
        <f>2551.3+(1442.8-947.3)+(-1.301163+(-0.735828--0.483123))+0-757.9--0.386528999999923</f>
        <v>2287.732661</v>
      </c>
      <c r="Q330" s="3">
        <f>2635.4+(1496.3-1201.7)+(-2.688108+(-1.526226--1.225734))+0-634.8--0.647496000000101</f>
        <v>2292.8588960000002</v>
      </c>
      <c r="R330" s="3">
        <f>2574.3+(1409.5-1176.3)+(-5.251572+(-2.87538--2.399652))+0-690.5--1.40861999999997</f>
        <v>2112.6813200000001</v>
      </c>
      <c r="S330" s="3">
        <f>2580.4+(1325.7-1010.4)+(0+(0-0))+0-802.6-0</f>
        <v>2093.1000000000004</v>
      </c>
      <c r="T330" s="3">
        <f>2545+(1422.6-1065.1)+(2.5959+(1.451052-1.086402))+0-747.2-0.762144000000119</f>
        <v>2157.4984059999997</v>
      </c>
      <c r="U330" s="3">
        <f>2586.6+(1292.8-1033.1)+(-1.319166+(-0.659328--0.526881))+0-706.3--0.360212999999928</f>
        <v>2138.9085999999998</v>
      </c>
      <c r="V330" s="3">
        <f>2546.8+(1310.5-974)+(-2.597736+(-1.33671--0.99348))+0-774.8--0.790296000000123</f>
        <v>2106.34933</v>
      </c>
      <c r="W330" s="3">
        <f>2500.7+(1543.3-1043.8)+(3.826071+(2.361249-1.597014))+0-770-1.17810000000004</f>
        <v>2233.6122059999998</v>
      </c>
      <c r="X330" s="3">
        <f>2598.1+(2067-1520.8)+(-2.650062+(-2.10834--1.551216))+0-680--0.693600000000108</f>
        <v>2461.7864140000001</v>
      </c>
      <c r="Y330" s="3">
        <f>2443.4+(1950.5-1247.5)+(-1.246134+(-0.994755--0.636225))+0-764.1--0.389690999999923</f>
        <v>2381.0850270000001</v>
      </c>
      <c r="Z330" s="3">
        <f>2317.8+(1731.1-1099.9)+(0+(0-0))+0-656-0</f>
        <v>2293</v>
      </c>
      <c r="AA330" s="3">
        <f>2347.9+(1637.9-992)+(0+(0-0))+0-777.1-0</f>
        <v>2216.7000000000003</v>
      </c>
      <c r="AB330" s="3">
        <f>2248.7+(1404.6-949.4)+(-8.027859+(-5.014422--3.389358))+0-586.2--2.09273400000001</f>
        <v>2110.1398109999991</v>
      </c>
      <c r="AC330" s="3">
        <f>2152.6+(1085-665.5)+(-7.684782+(-3.87345--2.375835))+0-626--2.23482000000001</f>
        <v>1939.1524229999998</v>
      </c>
      <c r="AD330" s="2">
        <v>2470.7000000000003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1851.9+(725.7-147)+(0+(0-0))+0-630.5-0</f>
        <v>1800.1000000000004</v>
      </c>
      <c r="G331" s="3">
        <f>1727.8+(839.4-28.4)+(0+(0-0))+0-829.5-0</f>
        <v>1709.3000000000002</v>
      </c>
      <c r="H331" s="3">
        <f>1734.1+(749.9-15.9)+(0.884391+(0.382449-0.008109))+0-792.8-0.40432799999992</f>
        <v>1676.154403</v>
      </c>
      <c r="I331" s="3">
        <f>1735.8+(729.5-44.9)+(0+(0-0))+0-766-0</f>
        <v>1654.4</v>
      </c>
      <c r="J331" s="3">
        <f>1732.2+(763-23.3)+(0+(0-0))+0-816.3-0</f>
        <v>1655.6000000000001</v>
      </c>
      <c r="K331" s="3">
        <f>1734.3+(661.2-28.2)+(1.768986+(0.674424-0.028764))+0-691.3-0.70512600000011</f>
        <v>1677.7095200000003</v>
      </c>
      <c r="L331" s="3">
        <f>1831.4+(703.3-71.6)+(0+(0-0))+0-708.4-0</f>
        <v>1754.6999999999998</v>
      </c>
      <c r="M331" s="3">
        <f>1878.6+(772.6-83.6)+(-1.916172+(-0.788052--0.085272))+0-674.8--0.688296000000108</f>
        <v>1890.8693440000002</v>
      </c>
      <c r="N331" s="3">
        <f>2289.2+(786.2-253.9)+(2.334984+(0.801924-0.258978))+0-680.1-0.693702000000109</f>
        <v>2143.5842280000002</v>
      </c>
      <c r="O331" s="3">
        <f>2773.1+(942-804.9)+(-7.071405+(-2.4021--2.052495))+0-668.2--1.7039099999999</f>
        <v>2236.2828999999997</v>
      </c>
      <c r="P331" s="3">
        <f>2871.1+(1139.4-956.7)+(-1.464261+(-0.581094--0.487917))+0-761--0.388109999999923</f>
        <v>2291.6306720000002</v>
      </c>
      <c r="Q331" s="3">
        <f>2930.5+(1121.9-1115.6)+(-4.483665+(-1.716507--1.706868))+0-629.1--0.962523000000036</f>
        <v>2304.1692190000003</v>
      </c>
      <c r="R331" s="3">
        <f>2882.2+(1107-1186)+(-1.469922+(-0.56457--0.60486))+0-660.7--0.336956999999933</f>
        <v>2141.4073249999997</v>
      </c>
      <c r="S331" s="3">
        <f>2680.2+(1067.7-1042.7)+(-2.733804+(-1.089054--1.063554))+0-538.1--0.548862000000086</f>
        <v>2164.8895579999999</v>
      </c>
      <c r="T331" s="3">
        <f>2634.6+(1059.6-1052.7)+(2.687292+(1.080792-1.073754))+0-495.9-0.505818000000079</f>
        <v>2147.7885119999996</v>
      </c>
      <c r="U331" s="3">
        <f>2457.8+(1083.4-776.3)+(-1.253478+(-0.552534--0.395913))+0-524.7--0.267596999999947</f>
        <v>2239.0574980000001</v>
      </c>
      <c r="V331" s="3">
        <f>2252.8+(826.5-488.1)+(-5.74464+(-2.107575--1.244655))+0-496.9--1.26709499999993</f>
        <v>2088.9595350000004</v>
      </c>
      <c r="W331" s="3">
        <f>2419.9+(1053.4-651.4)+(3.702447+(1.611702-0.996642))+0-645-0.986850000000037</f>
        <v>2180.2306570000001</v>
      </c>
      <c r="X331" s="3">
        <f>2539.8+(1351.3-845.4)+(0+(0-0))+0-621.8-0</f>
        <v>2423.9000000000005</v>
      </c>
      <c r="Y331" s="3">
        <f>2548.1+(1331.8-791.3)+(-5.198124+(-2.716872--1.614252))+0-712.3--1.45309199999997</f>
        <v>2371.4523480000003</v>
      </c>
      <c r="Z331" s="3">
        <f>2316.2+(1325-593)+(-4.725048+(-2.703--1.20972))+0-764.4--1.55937599999997</f>
        <v>2279.141048</v>
      </c>
      <c r="AA331" s="3">
        <f>2094.4+(1237.8-448.2)+(-1.068144+(-0.631278--0.228582))+0-688--0.35087999999993</f>
        <v>2194.88004</v>
      </c>
      <c r="AB331" s="3">
        <f>2030.6+(1192.6-300.2)+(-4.142424+(-2.432904--0.612408))+0-801.8--1.63567199999996</f>
        <v>2116.8727519999998</v>
      </c>
      <c r="AC331" s="3">
        <f>1944.7+(966.4-210.4)+(-3.967188+(-1.971456--0.429216))+0-723--1.47491999999997</f>
        <v>1973.6654919999999</v>
      </c>
      <c r="AD331" s="2">
        <v>2467.1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1815.5+(847-16.1)+(-3.70362+(-1.72788--0.032844))+0-772--1.57487999999997</f>
        <v>1870.5762240000001</v>
      </c>
      <c r="G332" s="3">
        <f>1670.2+(891.1-29.2)+(-0.851802+(-0.454461--0.014892))+0-768.8--0.392087999999922</f>
        <v>1762.400717</v>
      </c>
      <c r="H332" s="3">
        <f>1587.3+(957-14.8)+(-1.619046+(-0.97614--0.015096))+0-858.6--0.875772000000137</f>
        <v>1669.1956820000003</v>
      </c>
      <c r="I332" s="3">
        <f>1572.6+(872.1-16.5)+(-1.604052+(-0.889542--0.01683))+0-787.4--0.803148000000126</f>
        <v>1639.1263839999999</v>
      </c>
      <c r="J332" s="3">
        <f>1567.9+(1016.9-68.6)+(0.799629+(0.518619-0.034986))+0-830.9-0.423758999999916</f>
        <v>1686.1595029999996</v>
      </c>
      <c r="K332" s="3">
        <f>1626.4+(1015.2-102.9)+(-0.829464+(-0.517752--0.052479))+0-825.8--0.421157999999916</f>
        <v>1712.026421</v>
      </c>
      <c r="L332" s="3">
        <f>1818.1+(941-175.7)+(-3.708924+(-1.91964--0.358428))+0-805.4--1.64301599999996</f>
        <v>1774.3728799999994</v>
      </c>
      <c r="M332" s="3">
        <f>1854.1+(970.9-208)+(1.891182+(0.990318-0.21216))+0-723.6-0.738072000000115</f>
        <v>1895.3312679999999</v>
      </c>
      <c r="N332" s="3">
        <f>2049.7+(948.5-338.3)+(-2.090694+(-0.96747--0.345066))+0-534.4--0.545088000000085</f>
        <v>2123.3319899999997</v>
      </c>
      <c r="O332" s="3">
        <f>2468.1+(1443.8-910.3)+(6.293655+(3.68169-2.321265))+0-762.5-1.94437499999989</f>
        <v>2244.8097049999997</v>
      </c>
      <c r="P332" s="3">
        <f>2528.7+(1682.8-1193.5)+(-3.868911+(-2.574684--1.826055))+0-705.1--1.07880300000004</f>
        <v>2309.3612629999998</v>
      </c>
      <c r="Q332" s="3">
        <f>2641+(1674.4-1191.5)+(-2.69382+(-1.707888--1.21533))+0-795.2--0.811104000000127</f>
        <v>2326.3247260000007</v>
      </c>
      <c r="R332" s="3">
        <f>2482+(1408.3-876.2)+(-8.86074+(-5.027631--3.128034))+0-886.9--3.16623300000001</f>
        <v>2119.6058959999996</v>
      </c>
      <c r="S332" s="3">
        <f>2347.3+(1018.7-714.3)+(-1.197123+(-0.519537--0.364293))+0-584.8--0.298247999999941</f>
        <v>2065.8458810000002</v>
      </c>
      <c r="T332" s="3">
        <f>2516.9+(1329.3-893.7)+(-1.283619+(-0.677943--0.455787))+0-885.3--0.45150299999991</f>
        <v>2066.145728</v>
      </c>
      <c r="U332" s="3">
        <f>2331.3+(1015.5-670.2)+(-2.377926+(-1.03581--0.683604))+0-636.9--0.649638000000102</f>
        <v>2037.6195060000002</v>
      </c>
      <c r="V332" s="3">
        <f>2220.8+(1129.5-456.7)+(2.265216+(1.15209-0.465834))+0-913-0.931260000000146</f>
        <v>1982.6202120000005</v>
      </c>
      <c r="W332" s="3">
        <f>2313.2+(1161.9-717.7)+(2.359464+(1.185138-0.732054))+0-671.9-0.685338000000107</f>
        <v>2087.6272099999992</v>
      </c>
      <c r="X332" s="3">
        <f>2470+(1688.1-1040)+(-3.7791+(-2.582793--1.5912))+0-783.9--1.19936700000005</f>
        <v>2330.628674</v>
      </c>
      <c r="Y332" s="3">
        <f>2189.5+(1664.8-961.3)+(1.116645+(0.849048-0.490263))+0-601.8-0.306917999999939</f>
        <v>2292.3685120000005</v>
      </c>
      <c r="Z332" s="3">
        <f>2074.3+(1691.3-865.8)+(-2.115786+(-1.725126--0.883116))+0-702.9--0.716958000000112</f>
        <v>2194.6591619999999</v>
      </c>
      <c r="AA332" s="3">
        <f>2114.8+(1564.2-811.6)+(0+(0-0))+0-758.1-0</f>
        <v>2109.3000000000002</v>
      </c>
      <c r="AB332" s="3">
        <f>2295.4+(1477.2-939.2)+(-2.341308+(-1.506744--0.957984))+0-814.5--0.83079000000013</f>
        <v>2016.8407220000001</v>
      </c>
      <c r="AC332" s="3">
        <f>2257.4+(1422.6-915.8)+(1.151274+(0.725526-0.467058))+0-841.4-0.429113999999915</f>
        <v>1923.7806279999995</v>
      </c>
      <c r="AD332" s="2">
        <v>2375.5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1810.4+(1127.3-509.8)+(0.923304+(0.574923-0.259998))+0-659.6-0.336395999999933</f>
        <v>1769.2018330000003</v>
      </c>
      <c r="G333" s="3">
        <f>1517.7+(1008.7-26.2)+(0.774027+(0.514437-0.013362))+0-819.4-0.417893999999917</f>
        <v>1681.6572079999999</v>
      </c>
      <c r="H333" s="3">
        <f>1423.9+(1014.9-24.4)+(0+(0-0))+0-789-0</f>
        <v>1625.4</v>
      </c>
      <c r="I333" s="3">
        <f>1408.5+(1100.2-54.3)+(-0.718335+(-0.561102--0.027693))+0-847.8--0.432377999999914</f>
        <v>1605.780634</v>
      </c>
      <c r="J333" s="3">
        <f>1411+(1013.6-69.4)+(-1.43922+(-1.033872--0.070788))+0-755.3--0.77040600000012</f>
        <v>1598.2681019999998</v>
      </c>
      <c r="K333" s="3">
        <f>1409.8+(966.4-78.3)+(2.156994+(1.478592-0.119799))+0-715.2-1.09425600000004</f>
        <v>1585.1215309999998</v>
      </c>
      <c r="L333" s="3">
        <f>1447.7+(939.8-84)+(-0.738327+(-0.479298--0.04284))+0-702.9--0.358478999999929</f>
        <v>1599.7836939999997</v>
      </c>
      <c r="M333" s="3">
        <f>1444.3+(1026.7-125.5)+(1.473186+(1.047234-0.12801))+0-772.6-0.788052000000123</f>
        <v>1574.5043579999999</v>
      </c>
      <c r="N333" s="3">
        <f>1702.3+(1043.7-239.4)+(-0.868173+(-0.532287--0.122094))+0-829.8--0.423197999999916</f>
        <v>1675.9448319999999</v>
      </c>
      <c r="O333" s="3">
        <f>1967.9+(945.2-361.2)+(-1.003629+(-0.482052--0.184212))+0-763.1--0.389180999999923</f>
        <v>1787.8877120000002</v>
      </c>
      <c r="P333" s="3">
        <f>1989.8+(1023.5-296.8)+(-4.059192+(-2.08794--0.605472))+0-873.7--1.78234799999996</f>
        <v>1839.040688</v>
      </c>
      <c r="Q333" s="3">
        <f>2024.7+(938.2-417.6)+(-3.097791+(-1.435446--0.638928))+0-688.7--1.05371100000004</f>
        <v>1853.7594020000004</v>
      </c>
      <c r="R333" s="3">
        <f>1932.5+(994.3-410.6)+(-6.899025+(-3.549651--1.465842))+0-728.9--2.60217300000001</f>
        <v>1780.9193389999998</v>
      </c>
      <c r="S333" s="3">
        <f>1860.2+(1009.8-282.3)+(-1.897404+(-1.029996--0.287946))+0-872.2--0.889644000000139</f>
        <v>1713.7501899999997</v>
      </c>
      <c r="T333" s="3">
        <f>1801.9+(849.7-276.2)+(-0.918969+(-0.433347--0.140862))+0-733.9--0.374288999999926</f>
        <v>1640.6628350000001</v>
      </c>
      <c r="U333" s="3">
        <f>1953.4+(900-400)+(0.996234+(0.459-0.204))+0-762.9-0.389078999999923</f>
        <v>1691.362155</v>
      </c>
      <c r="V333" s="3">
        <f>1849.9+(822.8-300.1)+(0+(0-0))+0-675.7-0</f>
        <v>1696.8999999999999</v>
      </c>
      <c r="W333" s="3">
        <f>1897.3+(954.6-359.9)+(0+(0-0))+0-695.8-0</f>
        <v>1796.2</v>
      </c>
      <c r="X333" s="3">
        <f>2233.7+(1417.1-848.9)+(-1.139187+(-0.722721--0.432939))+0-736.9--0.375818999999925</f>
        <v>2063.9468499999994</v>
      </c>
      <c r="Y333" s="3">
        <f>2259.2+(1414.5-936)+(-4.608768+(-2.88558--1.90944))+0-683.3--1.39393199999997</f>
        <v>2050.2090239999998</v>
      </c>
      <c r="Z333" s="3">
        <f>2166.2+(1402.7-769.8)+(-1.104762+(-0.715377--0.392598))+0-766.6--0.390965999999922</f>
        <v>2031.4634249999999</v>
      </c>
      <c r="AA333" s="3">
        <f>2088+(1300.1-830.8)+(-4.25952+(-2.652204--1.694832))+0-561.6--1.14566399999998</f>
        <v>1991.6287720000003</v>
      </c>
      <c r="AB333" s="3">
        <f>2068.1+(1347.8-772.9)+(-5.273655+(-3.43689--1.970895))+0-731.6--1.86557999999989</f>
        <v>1906.52593</v>
      </c>
      <c r="AC333" s="3">
        <f>1951.4+(1112.5-555.5)+(-6.966498+(-3.971625--1.983135))+0-723.1--2.58146700000001</f>
        <v>1778.9264790000002</v>
      </c>
      <c r="AD333" s="2">
        <v>2079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1790.9+(803.8-89.3)+(-4.566795+(-2.04969--0.227715))+0-822.4--2.09711999999988</f>
        <v>1678.7083499999999</v>
      </c>
      <c r="G334" s="3">
        <f>1749.4+(760.3-98.4)+(-4.46097+(-1.938765--0.25092))+0-792.6--2.02112999999988</f>
        <v>1614.5723150000001</v>
      </c>
      <c r="H334" s="3">
        <f>1608.2+(860.9-87.5)+(-3.280728+(-1.756236--0.1785))+0-807.7--1.64770799999996</f>
        <v>1570.6892439999999</v>
      </c>
      <c r="I334" s="3">
        <f>1592.2+(886.1-107.7)+(0.812022+(0.451911-0.054927))+0-811.6-0.413915999999918</f>
        <v>1559.7950900000001</v>
      </c>
      <c r="J334" s="3">
        <f>1592.5+(762.5-112)+(-0.812175+(-0.388875--0.05712))+0-668--0.340679999999932</f>
        <v>1574.1967499999998</v>
      </c>
      <c r="K334" s="3">
        <f>1589.5+(984-97.1)+(-1.62129+(-1.00368--0.099042))+0-884.2--0.901884000000141</f>
        <v>1590.5759560000001</v>
      </c>
      <c r="L334" s="3">
        <f>1589.9+(953.4-154)+(-3.243396+(-1.944936--0.31416))+0-708.5--1.44533999999997</f>
        <v>1677.3711680000004</v>
      </c>
      <c r="M334" s="3">
        <f>1740.7+(1089.7-157.2)+(-0.887757+(-0.555747--0.080172))+0-818--0.417179999999917</f>
        <v>1854.2538479999998</v>
      </c>
      <c r="N334" s="3">
        <f>2122.2+(969.3-310.8)+(1.082322+(0.494343-0.158508))+0-669.9-0.341648999999932</f>
        <v>2111.8765079999998</v>
      </c>
      <c r="O334" s="3">
        <f>2487+(1253.9-817.5)+(5.07348+(2.557956-1.6677))+0-692.8-1.41331199999997</f>
        <v>2235.1504239999999</v>
      </c>
      <c r="P334" s="3">
        <f>2507.5+(1632-996.5)+(-2.55765+(-1.66464--1.01643))+0-802--0.818040000000128</f>
        <v>2338.6121800000001</v>
      </c>
      <c r="Q334" s="3">
        <f>2505.7+(1543.2-1094.6)+(0+(0-0))+0-600.1-0</f>
        <v>2354.2000000000003</v>
      </c>
      <c r="R334" s="3">
        <f>2498.4+(1434.4-1105.1)+(-6.37092+(-3.65772--2.818005))+0-666.3--1.6990649999999</f>
        <v>2155.88843</v>
      </c>
      <c r="S334" s="3">
        <f>2494+(1352.8-948.2)+(1.27194+(0.689928-0.483582))+0-770.5-0.392954999999922</f>
        <v>2129.1853310000001</v>
      </c>
      <c r="T334" s="3">
        <f>2482.6+(1316.2-915.9)+(0+(0-0))+0-679.9-0</f>
        <v>2203</v>
      </c>
      <c r="U334" s="3">
        <f>2385.8+(1221.2-782.7)+(0+(0-0))+0-641-0</f>
        <v>2183.3000000000002</v>
      </c>
      <c r="V334" s="3">
        <f>2360.3+(1458.6-840.9)+(3.611259+(2.231658-1.286577))+0-820.6-1.25551800000005</f>
        <v>2160.7008220000002</v>
      </c>
      <c r="W334" s="3">
        <f>2341.1+(1806.6-1167.3)+(3.581883+(2.764098-1.785969))+0-681.7-1.04300100000004</f>
        <v>2302.2170109999997</v>
      </c>
      <c r="X334" s="3">
        <f>2634.6+(2281.5-1734.7)+(4.030938+(3.490695-2.654091))+0-671.8-1.02785400000004</f>
        <v>2513.4396879999995</v>
      </c>
      <c r="Y334" s="3">
        <f>2656.2+(2279.5-1699)+(-4.063986+(-3.487635--2.59947))+0-787.4--1.20472200000005</f>
        <v>2445.5525709999997</v>
      </c>
      <c r="Z334" s="3">
        <f>2500.4+(2031.8-1440.4)+(-2.550408+(-2.072436--1.469208))+0-749.9--0.76489800000012</f>
        <v>2339.511262</v>
      </c>
      <c r="AA334" s="3">
        <f>2510.7+(1549.5-1193.6)+(-2.560914+(-1.58049--1.217472))+0-633.4--0.646068000000101</f>
        <v>2230.9221359999997</v>
      </c>
      <c r="AB334" s="3">
        <f>2323.7+(1278.1-732.3)+(-8.295609+(-4.562817--2.614311))+0-741.9--2.64858300000001</f>
        <v>2120.0044680000001</v>
      </c>
      <c r="AC334" s="3">
        <f>2076+(1111.4-407)+(-4.23504+(-2.267256--0.83028))+0-816.8--1.66627199999996</f>
        <v>1959.5942560000001</v>
      </c>
      <c r="AD334" s="2">
        <v>2575.9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1893.2+(902.6-229.5)+(-1.931064+(-0.920652--0.23409))+0-738.6--0.753372000000118</f>
        <v>1825.8357460000002</v>
      </c>
      <c r="G335" s="3">
        <f>1897.4+(779-172.1)+(-3.870696+(-1.58916--0.351084))+0-768.3--1.56733199999997</f>
        <v>1732.4585600000003</v>
      </c>
      <c r="H335" s="3">
        <f>1605.5+(985.4-83.5)+(0+(0-0))+0-815.9-0</f>
        <v>1691.5</v>
      </c>
      <c r="I335" s="3">
        <f>1542.2+(957.4-83.4)+(-2.359566+(-1.464822--0.127602))+0-737.1--1.12776300000004</f>
        <v>1676.5309769999999</v>
      </c>
      <c r="J335" s="3">
        <f>1466+(1119.6-77.6)+(0.74766+(0.570996-0.039576))+0-840.5-0.428654999999915</f>
        <v>1668.3504249999999</v>
      </c>
      <c r="K335" s="3">
        <f>1466.4+(1033.5-96)+(0+(0-0))+0-696.5-0</f>
        <v>1707.4</v>
      </c>
      <c r="L335" s="3">
        <f>1586.1+(1096.2-185.2)+(-1.617822+(-1.118124--0.188904))+0-736.4--0.751128000000117</f>
        <v>1758.9040859999998</v>
      </c>
      <c r="M335" s="3">
        <f>1984.5+(828.2-308.3)+(0+(0-0))+0-592.4-0</f>
        <v>1912</v>
      </c>
      <c r="N335" s="3">
        <f>2164.7+(1014.1-572.5)+(-1.103997+(-0.517191--0.291975))+0-454.5--0.231794999999954</f>
        <v>2150.7025819999999</v>
      </c>
      <c r="O335" s="3">
        <f>2316.1+(1203.4-965.1)+(3.543633+(1.841202-1.476603))+0-288.2-0.440946000000017</f>
        <v>2269.6672860000003</v>
      </c>
      <c r="P335" s="3">
        <f>2281.4+(1594-1171.7)+(2.327028+(1.62588-1.195134))+0-345.2-0.352104000000055</f>
        <v>2360.9056700000001</v>
      </c>
      <c r="Q335" s="3">
        <f>2312.3+(1915-1241.7)+(-1.179273+(-0.97665--0.633267))+0-618.2--0.315281999999937</f>
        <v>2366.1926260000005</v>
      </c>
      <c r="R335" s="3">
        <f>2375.4+(1715.5-1212.9)+(0+(0-0))+0-697.2-0</f>
        <v>2180.8000000000002</v>
      </c>
      <c r="S335" s="3">
        <f>2365.8+(1540.9-1094.9)+(-4.826232+(-3.143436--2.233596))+0-710.1--1.44860399999997</f>
        <v>2097.4125320000003</v>
      </c>
      <c r="T335" s="3">
        <f>2361+(1460.4-1026.6)+(-1.20411+(-0.744804--0.523566))+0-601.6--0.306815999999939</f>
        <v>2192.0814679999999</v>
      </c>
      <c r="U335" s="3">
        <f>2340.7+(1579.7-1056.4)+(-2.387514+(-1.611294--1.077528))+0-681.4--0.695028000000109</f>
        <v>2180.373748</v>
      </c>
      <c r="V335" s="3">
        <f>2280.1+(1608.6-1079)+(-1.162851+(-0.820386--0.55029))+0-667.2--0.340271999999932</f>
        <v>2141.4073249999997</v>
      </c>
      <c r="W335" s="3">
        <f>2523+(1862.6-1387)+(1.28673+(0.949926-0.70737))+0-751.4-0.383213999999924</f>
        <v>2248.3460719999998</v>
      </c>
      <c r="X335" s="3">
        <f>2698.7+(2303.7-1813.7)+(1.376337+(1.174887-0.924987))+0-661.4-0.337313999999933</f>
        <v>2528.5889229999998</v>
      </c>
      <c r="Y335" s="3">
        <f>2705.2+(2221.1-1662)+(-5.518608+(-4.531044--3.39048))+0-803.2--1.63852799999997</f>
        <v>2456.0793559999997</v>
      </c>
      <c r="Z335" s="3">
        <f>2703.2+(1804.8-1456.2)+(-2.757264+(-1.840896--1.485324))+0-721.1--0.735522000000115</f>
        <v>2328.322686</v>
      </c>
      <c r="AA335" s="3">
        <f>2488.8+(1492.2-1002.1)+(0+(0-0))+0-748.9-0</f>
        <v>2230</v>
      </c>
      <c r="AB335" s="3">
        <f>2463.5+(1237.7-829.8)+(0+(0-0))+0-739.5-0</f>
        <v>2131.9</v>
      </c>
      <c r="AC335" s="3">
        <f>2181.6+(846.4-430.8)+(-5.56308+(-2.15832--1.09854))+0-606.9--1.54759499999991</f>
        <v>1985.2247349999998</v>
      </c>
      <c r="AD335" s="2">
        <v>2569.6999999999998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1806.3+(751.8-210.7)+(-1.842426+(-0.766836--0.214914))+0-544.2--0.555084000000087</f>
        <v>1801.3607359999999</v>
      </c>
      <c r="G336" s="3">
        <f>1636.9+(1011.3-157.3)+(2.504457+(1.547289-0.240669))+0-727.9-1.11368700000004</f>
        <v>1765.6973899999998</v>
      </c>
      <c r="H336" s="3">
        <f>1557.4+(1070-211.4)+(0+(0-0))+0-708.4-0</f>
        <v>1707.6</v>
      </c>
      <c r="I336" s="3">
        <f>1552.1+(1102.9-180.7)+(0+(0-0))+0-786.6-0</f>
        <v>1687.7000000000003</v>
      </c>
      <c r="J336" s="3">
        <f>1550+(1063.6-194.3)+(0+(0-0))+0-721.9-0</f>
        <v>1697.4</v>
      </c>
      <c r="K336" s="3">
        <f>1549.4+(1057.3-108.5)+(3.160776+(2.156892-0.22134))+0-783.1-1.59752399999997</f>
        <v>1718.598804</v>
      </c>
      <c r="L336" s="3">
        <f>1684.9+(833.6-119)+(-4.296495+(-2.12568--0.30345))+0-636.8--1.62383999999991</f>
        <v>1758.2051150000002</v>
      </c>
      <c r="M336" s="3">
        <f>1960.5+(799-255.8)+(0.999855+(0.40749-0.130458))+0-594.3-0.30309299999994</f>
        <v>1910.3737939999999</v>
      </c>
      <c r="N336" s="3">
        <f>2209.7+(1050.4-467.6)+(-1.126947+(-0.535704--0.238476))+0-637.2--0.324971999999935</f>
        <v>2154.200797</v>
      </c>
      <c r="O336" s="3">
        <f>2528.8+(1419-1042.4)+(3.869064+(2.17107-1.594872))+0-628.8-0.962064000000036</f>
        <v>2280.0831980000007</v>
      </c>
      <c r="P336" s="3">
        <f>2482.6+(1903.5-1463.4)+(-1.266126+(-0.970785--0.746334))+0-562.3--0.286772999999943</f>
        <v>2359.1961959999999</v>
      </c>
      <c r="Q336" s="3">
        <f>2473.3+(2111.2-1481.2)+(3.784149+(3.230136-2.266236))+0-730.2-1.11720600000004</f>
        <v>2376.7308430000003</v>
      </c>
      <c r="R336" s="3">
        <f>2155.7+(1814.5-1072.2)+(-6.596442+(-5.55237--3.280932))+0-723.8--2.21482800000008</f>
        <v>2167.5469480000002</v>
      </c>
      <c r="S336" s="3">
        <f>2105.9+(1566.5-829.7)+(-3.222027+(-2.396745--1.269441))+0-718.7--1.09961100000004</f>
        <v>2120.7502799999997</v>
      </c>
      <c r="T336" s="3">
        <f>2219.6+(1487-846.7)+(1.131996+(0.75837-0.431817))+0-680.5-0.347054999999931</f>
        <v>2180.5114939999999</v>
      </c>
      <c r="U336" s="3">
        <f>2256.1+(1481.5-804.4)+(0+(0-0))+0-765.6-0</f>
        <v>2167.6</v>
      </c>
      <c r="V336" s="3">
        <f>2248.3+(1327.4-950.3)+(-2.293266+(-1.353948--0.969306))+0-485.8--0.495516000000077</f>
        <v>2137.4176080000002</v>
      </c>
      <c r="W336" s="3">
        <f>2211.2+(1511.3-895.5)+(-4.510848+(-3.083052--1.82682))+0-588.9--1.20135599999997</f>
        <v>2233.5342759999999</v>
      </c>
      <c r="X336" s="3">
        <f>2539.4+(1874-1327.6)+(-1.295094+(-0.95574--0.677076))+0-598.2--0.305081999999939</f>
        <v>2486.3313239999998</v>
      </c>
      <c r="Y336" s="3">
        <f>2534.7+(1862-1356.1)+(-3.878091+(-2.84886--2.074833))+0-576.9--0.882657000000033</f>
        <v>2459.930539</v>
      </c>
      <c r="Z336" s="3">
        <f>2496.7+(1763.9-1325.7)+(-3.819951+(-2.698767--2.028321))+0-593.2--0.907596000000034</f>
        <v>2338.1171989999993</v>
      </c>
      <c r="AA336" s="3">
        <f>2326.9+(1600-1149.3)+(-5.933595+(-4.08--2.930715))+0-530.9--1.35379499999992</f>
        <v>2240.9709150000003</v>
      </c>
      <c r="AB336" s="3">
        <f>2303.8+(1628.2-1009.5)+(-3.524814+(-2.491146--1.544535))+0-770--1.17810000000004</f>
        <v>2149.2066749999999</v>
      </c>
      <c r="AC336" s="3">
        <f>2193.6+(1427.9-907.5)+(-5.59368+(-3.641145--2.314125))+0-712.7--1.8173849999999</f>
        <v>1996.1966849999997</v>
      </c>
      <c r="AD336" s="2">
        <v>2516.1000000000004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1840.7+(1041.5-378)+(-1.877514+(-1.06233--0.38556))+0-657.3--0.670446000000105</f>
        <v>1845.0161620000001</v>
      </c>
      <c r="G337" s="3">
        <f>1586.7+(982.1-90.4)+(0.809217+(0.500871-0.046104))+0-721.8-0.368117999999927</f>
        <v>1757.4958660000004</v>
      </c>
      <c r="H337" s="3">
        <f>1582+(1099.4-160.2)+(3.22728+(2.242776-0.326808))+0-817.7-1.66810799999996</f>
        <v>1706.9751399999998</v>
      </c>
      <c r="I337" s="3">
        <f>1583.8+(1049.1-160.5)+(0+(0-0))+0-768.2-0</f>
        <v>1704.1999999999996</v>
      </c>
      <c r="J337" s="3">
        <f>1586.5+(918.6-191.8)+(-0.809115+(-0.468486--0.097818))+0-620.4--0.316403999999937</f>
        <v>1692.036621</v>
      </c>
      <c r="K337" s="3">
        <f>1625.9+(1099.4-179.9)+(-4.146045+(-2.80347--0.458745))+0-835.6--2.13077999999988</f>
        <v>1705.4400100000003</v>
      </c>
      <c r="L337" s="3">
        <f>1826.4+(947.2-264.3)+(-1.862928+(-0.966144--0.269586))+0-745.8--0.760716000000119</f>
        <v>1761.7012300000004</v>
      </c>
      <c r="M337" s="3">
        <f>2049+(1027-428.3)+(-1.04499+(-0.52377--0.218433))+0-723.4--0.368933999999927</f>
        <v>1923.3186069999995</v>
      </c>
      <c r="N337" s="3">
        <f>2261.6+(1263.4-632.5)+(0+(0-0))+0-738.9-0</f>
        <v>2153.6</v>
      </c>
      <c r="O337" s="3">
        <f>2303.1+(1438.1-795.3)+(0+(0-0))+0-678.7-0</f>
        <v>2267.1999999999998</v>
      </c>
      <c r="P337" s="3">
        <f>2361.4+(1537.7-901.1)+(0+(0-0))+0-678.1-0</f>
        <v>2319.9</v>
      </c>
      <c r="Q337" s="3">
        <f>2239.4+(1450.9-737.8)+(-3.426282+(-2.219877--1.128834))+0-627.3--0.959769000000036</f>
        <v>2321.6424440000001</v>
      </c>
      <c r="R337" s="3">
        <f>2140.2+(1410.8-745.6)+(-2.183004+(-1.439016--0.760512))+0-663.5--0.676770000000106</f>
        <v>2139.7152619999997</v>
      </c>
      <c r="S337" s="3">
        <f>2108.9+(1362.5-745.1)+(2.151078+(1.38975-0.760002))+0-604.1-0.616182000000096</f>
        <v>2124.3646440000002</v>
      </c>
      <c r="T337" s="3">
        <f>2319.2+(1457.2-1060.2)+(1.182792+(0.743172-0.540702))+0-537.5-0.274124999999946</f>
        <v>2179.8111369999997</v>
      </c>
      <c r="U337" s="3">
        <f>2299.7+(1388-995.1)+(-1.172847+(-0.70788--0.507501))+0-504.6--0.257345999999949</f>
        <v>2186.8841199999997</v>
      </c>
      <c r="V337" s="3">
        <f>2097.6+(1393.6-727.7)+(0+(0-0))+0-626.2-0</f>
        <v>2137.3000000000002</v>
      </c>
      <c r="W337" s="3">
        <f>2156.2+(1348.8-769.9)+(3.298986+(2.063664-1.177947))+0-527.3-0.80676900000003</f>
        <v>2211.1779340000003</v>
      </c>
      <c r="X337" s="3">
        <f>2471.1+(1977.4-1236)+(-2.520522+(-2.016948--1.26072))+0-726.2--0.740724000000116</f>
        <v>2483.7639740000004</v>
      </c>
      <c r="Y337" s="3">
        <f>2334.5+(2035.8-1270.5)+(2.38119+(2.076516-1.29591))+0-634.8-0.647496000000101</f>
        <v>2467.5143000000003</v>
      </c>
      <c r="Z337" s="3">
        <f>2347+(2179.5-1344.2)+(0+(0-0))+0-814.2-0</f>
        <v>2368.1000000000004</v>
      </c>
      <c r="AA337" s="3">
        <f>2302.3+(1824.2-1135.5)+(-1.174173+(-0.930342--0.579105))+0-731.8--0.373217999999926</f>
        <v>2258.0478079999993</v>
      </c>
      <c r="AB337" s="3">
        <f>2451.1+(1604.8-1119.2)+(-6.250305+(-4.09224--2.85396))+0-781.8--1.99358999999989</f>
        <v>2149.4050049999996</v>
      </c>
      <c r="AC337" s="3">
        <f>2420.6+(1269-909.5)+(-3.703518+(-1.94157--1.391535))+0-779.3--1.19232900000005</f>
        <v>1997.7387759999999</v>
      </c>
      <c r="AD337" s="2">
        <v>2477.6000000000004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1802.1+(932.2-272.3)+(-1.838142+(-0.950844--0.277746))+0-624.3--0.6367860000001</f>
        <v>1835.8255460000003</v>
      </c>
      <c r="G338" s="3">
        <f>1624.2+(959.9-45.1)+(-3.313368+(-1.958196--0.092004))+0-805.2--1.64260799999996</f>
        <v>1730.2630479999998</v>
      </c>
      <c r="H338" s="3">
        <f>1625.4+(826.1-37.4)+(0+(0-0))+0-720.2-0</f>
        <v>1693.9000000000003</v>
      </c>
      <c r="I338" s="3">
        <f>1621.4+(966.6-70.4)+(0+(0-0))+0-837.9-0</f>
        <v>1679.7000000000003</v>
      </c>
      <c r="J338" s="3">
        <f>1615.1+(813.7-88.3)+(0.823701+(0.414987-0.045033))+0-666.8-0.340067999999932</f>
        <v>1674.5535870000001</v>
      </c>
      <c r="K338" s="3">
        <f>1616.3+(770.7-78.2)+(1.648626+(0.786114-0.079764))+0-631.3-0.643926000000101</f>
        <v>1679.2110500000001</v>
      </c>
      <c r="L338" s="3">
        <f>1764+(620.8-191.8)+(0.89964+(0.316608-0.097818))+0-463-0.236129999999953</f>
        <v>1730.8823</v>
      </c>
      <c r="M338" s="3">
        <f>2115.5+(788.5-496.6)+(0+(0-0))+0-542.5-0</f>
        <v>1864.9</v>
      </c>
      <c r="N338" s="3">
        <f>2519.4+(1150.2-968.1)+(-1.284894+(-0.586602--0.493731))+0-583--0.297329999999941</f>
        <v>2117.4195649999997</v>
      </c>
      <c r="O338" s="3">
        <f>2669.2+(1530.2-1322.2)+(2.722584+(1.560804-1.348644))+0-666-0.679320000000106</f>
        <v>2213.4554239999998</v>
      </c>
      <c r="P338" s="3">
        <f>2699.5+(1667.9-1463.8)+(0+(0-0))+0-578.1-0</f>
        <v>2325.5000000000005</v>
      </c>
      <c r="Q338" s="3">
        <f>2703.5+(1767.1-1528.5)+(-4.136355+(-2.703663--2.338605))+0-595.5--0.911115000000034</f>
        <v>2343.0097019999998</v>
      </c>
      <c r="R338" s="3">
        <f>2352+(1531.4-1180.7)+(-4.79808+(-3.124056--2.408628))+0-530.6--1.08242399999998</f>
        <v>2167.6689160000001</v>
      </c>
      <c r="S338" s="3">
        <f>2318.3+(1505.9-1021.8)+(2.364666+(1.536018-1.042236))+0-671.5-0.684930000000107</f>
        <v>2133.0735180000006</v>
      </c>
      <c r="T338" s="3">
        <f>2617.1+(1333.1-1296.1)+(-1.334721+(-0.679881--0.661011))+0-482--0.245819999999951</f>
        <v>2170.992229</v>
      </c>
      <c r="U338" s="3">
        <f>2707.8+(1561.4-1360.2)+(2.761956+(1.592628-1.387404))+0-736.6-0.751332000000117</f>
        <v>2174.6158479999999</v>
      </c>
      <c r="V338" s="3">
        <f>2542.6+(1350.5-1277.2)+(-1.296726+(-0.688755--0.651372))+0-475.5--0.242504999999952</f>
        <v>2139.3083959999999</v>
      </c>
      <c r="W338" s="3">
        <f>2302.6+(1503.7-970.6)+(-3.522978+(-2.300661--1.485018))+0-634.2--0.970326000000037</f>
        <v>2198.1317050000002</v>
      </c>
      <c r="X338" s="3">
        <f>2354.8+(1904.4-1127.2)+(1.200948+(0.971244-0.574872))+0-677.6-0.345575999999931</f>
        <v>2455.6517440000002</v>
      </c>
      <c r="Y338" s="3">
        <f>2326.2+(1961-1162)+(-5.93181+(-5.00055--2.9631))+0-713.8--1.8201899999999</f>
        <v>2405.2509299999997</v>
      </c>
      <c r="Z338" s="3">
        <f>2318.8+(1783.5-1111.6)+(-1.182588+(-0.909585--0.566916))+0-671.6--0.342515999999932</f>
        <v>2317.9172590000003</v>
      </c>
      <c r="AA338" s="3">
        <f>2231.1+(1750.8-1092.8)+(-3.413583+(-2.678724--1.671984))+0-663.8--1.01561400000004</f>
        <v>2221.8952909999998</v>
      </c>
      <c r="AB338" s="3">
        <f>2088.8+(1675.3-932.8)+(-3.195864+(-2.563209--1.427184))+0-693.2--1.06059600000004</f>
        <v>2134.8287070000006</v>
      </c>
      <c r="AC338" s="3">
        <f>1989.6+(1471.7-821.7)+(-5.07348+(-3.752835--2.095335))+0-629.6--1.60547999999991</f>
        <v>2004.8745000000001</v>
      </c>
      <c r="AD338" s="2">
        <v>2453.1000000000004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1700.8+(1091.8-275.3)+(-2.602224+(-1.670454--0.421209))+0-686.1--1.04973300000004</f>
        <v>1828.3982640000002</v>
      </c>
      <c r="G339" s="3">
        <f>1662.1+(864.9-34.6)+(0+(0-0))+0-739.6-0</f>
        <v>1752.7999999999997</v>
      </c>
      <c r="H339" s="3">
        <f>1660.4+(918.8-39.4)+(2.540412+(1.405764-0.060282))+0-847.6-1.29682800000005</f>
        <v>1694.7890660000003</v>
      </c>
      <c r="I339" s="3">
        <f>1659+(745.5-61.7)+(-1.69218+(-0.76041--0.062934))+0-656.3--0.669426000000105</f>
        <v>1684.7797700000006</v>
      </c>
      <c r="J339" s="3">
        <f>1668.2+(869.5-53.1)+(2.552346+(1.330335-0.081243))+0-802.5-1.22782500000005</f>
        <v>1684.6736129999999</v>
      </c>
      <c r="K339" s="3">
        <f>1548.5+(906.3-56.7)+(0+(0-0))+0-715.2-0</f>
        <v>1682.8999999999999</v>
      </c>
      <c r="L339" s="3">
        <f>1665.1+(980-133.5)+(-3.396804+(-1.9992--0.27234))+0-793.3--1.61833199999997</f>
        <v>1714.7946679999998</v>
      </c>
      <c r="M339" s="3">
        <f>1839.9+(993.1-238.2)+(0.938349+(0.506481-0.121482))+0-742.6-0.378725999999925</f>
        <v>1853.1446220000003</v>
      </c>
      <c r="N339" s="3">
        <f>2293.8+(1280.4-748.3)+(2.339676+(1.306008-0.763266))+0-713-0.727260000000114</f>
        <v>2115.0551580000006</v>
      </c>
      <c r="O339" s="3">
        <f>2417.1+(1679-990.3)+(3.698163+(2.56887-1.515159))+0-866-1.32498000000005</f>
        <v>2243.2268940000004</v>
      </c>
      <c r="P339" s="3">
        <f>2461.4+(1807-1199.5)+(0+(0-0))+0-758.7-0</f>
        <v>2310.1999999999998</v>
      </c>
      <c r="Q339" s="3">
        <f>2548+(1949.6-1358.3)+(0+(0-0))+0-826.5-0</f>
        <v>2312.8000000000002</v>
      </c>
      <c r="R339" s="3">
        <f>2477.5+(1827.3-1418.9)+(-2.52705+(-1.863846--1.447278))+0-738.9--0.753678000000118</f>
        <v>2144.8100599999998</v>
      </c>
      <c r="S339" s="3">
        <f>2600.8+(1520.5-1249.6)+(1.326408+(0.775455-0.637296))+0-803.5-0.409784999999918</f>
        <v>2069.2547820000004</v>
      </c>
      <c r="T339" s="3">
        <f>2402.2+(1287-940.1)+(-2.450244+(-1.31274--0.958902))+0-678.2--0.691764000000108</f>
        <v>2068.7876820000001</v>
      </c>
      <c r="U339" s="3">
        <f>2264.7+(1190.4-740)+(-2.309994+(-1.214208--0.7548))+0-685.8--0.699516000000109</f>
        <v>2027.2301140000002</v>
      </c>
      <c r="V339" s="3">
        <f>2329.3+(1183.5-811.2)+(3.563829+(1.810755-1.241136))+0-697.5-1.06717500000004</f>
        <v>2007.1662730000003</v>
      </c>
      <c r="W339" s="3">
        <f>2326.1+(1267.5-926.5)+(-3.558933+(-1.939275--1.417545))+0-599--0.916470000000035</f>
        <v>2064.9358069999998</v>
      </c>
      <c r="X339" s="3">
        <f>2353.4+(1804.7-1151.7)+(0+(0-0))+0-687.1-0</f>
        <v>2319.3000000000002</v>
      </c>
      <c r="Y339" s="3">
        <f>2312.9+(1838.7-1214.2)+(-7.077474+(-5.626422--3.715452))+0-630.2--1.92841200000007</f>
        <v>2300.1399680000004</v>
      </c>
      <c r="Z339" s="3">
        <f>2221.9+(1937.4-1244)+(2.266338+(1.976148-1.26888))+0-695.1-0.709002000000111</f>
        <v>2222.4646040000002</v>
      </c>
      <c r="AA339" s="3">
        <f>2223.5+(1781.9-1098.9)+(-1.133985+(-0.908769--0.560439))+0-768.9--0.392138999999922</f>
        <v>2136.5098239999998</v>
      </c>
      <c r="AB339" s="3">
        <f>2201.7+(1442-873.3)+(0+(0-0))+0-733.6-0</f>
        <v>2036.7999999999997</v>
      </c>
      <c r="AC339" s="3">
        <f>2355.1+(1298.2-1035.7)+(-3.603303+(-1.986246--1.584621))+0-702.8--1.07528400000004</f>
        <v>1911.8703560000001</v>
      </c>
      <c r="AD339" s="2">
        <v>2292.5000000000005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1923.4+(1081.3-516.2)+(-2.942802+(-1.654389--0.789786))+0-692.5--1.05952500000004</f>
        <v>1793.2521200000001</v>
      </c>
      <c r="G340" s="3">
        <f>1755.7+(837.3-142.6)+(-4.477035+(-2.135115--0.36363))+0-765.2--1.95125999999989</f>
        <v>1680.9027399999998</v>
      </c>
      <c r="H340" s="3">
        <f>1752.4+(821.6-274.4)+(-0.893724+(-0.419016--0.139944))+0-657.6--0.335375999999933</f>
        <v>1641.1625800000006</v>
      </c>
      <c r="I340" s="3">
        <f>1749.5+(767.1-169)+(0.892245+(0.391221-0.08619))+0-736.5-0.375614999999925</f>
        <v>1611.9216609999999</v>
      </c>
      <c r="J340" s="3">
        <f>1739.8+(678.1-119.8)+(0.887298+(0.345831-0.061098))+0-687.8-0.35077799999993</f>
        <v>1611.121253</v>
      </c>
      <c r="K340" s="3">
        <f>1552.7+(787.7-42.2)+(3.167508+(1.606908-0.086088))+0-698.7-1.42534799999997</f>
        <v>1602.76298</v>
      </c>
      <c r="L340" s="3">
        <f>1550.4+(797-36.8)+(-1.581408+(-0.81294--0.037536))+0-755.3--0.77040600000012</f>
        <v>1553.7135940000005</v>
      </c>
      <c r="M340" s="3">
        <f>1561.3+(751.9-133.2)+(-0.796263+(-0.383469--0.067932))+0-633.8--0.323237999999936</f>
        <v>1545.4114379999999</v>
      </c>
      <c r="N340" s="3">
        <f>1757.9+(850.7-297.9)+(-1.793058+(-0.867714--0.303858))+0-665.1--0.678402000000106</f>
        <v>1643.9214880000004</v>
      </c>
      <c r="O340" s="3">
        <f>1895.5+(1070.8-516.1)+(1.93341+(1.092216-0.526422))+0-685.9-0.699618000000109</f>
        <v>1766.0995859999998</v>
      </c>
      <c r="P340" s="3">
        <f>2084.9+(1091.8-775.6)+(0+(0-0))+0-571.5-0</f>
        <v>1829.6</v>
      </c>
      <c r="Q340" s="3">
        <f>2168+(1156-847.6)+(0+(0-0))+0-623.2-0</f>
        <v>1853.2</v>
      </c>
      <c r="R340" s="3">
        <f>2076.6+(1151-705.1)+(-3.177198+(-1.76103--1.078803))+0-724.5--1.10848500000004</f>
        <v>1795.2490599999999</v>
      </c>
      <c r="S340" s="3">
        <f>1956.7+(958.1-446.2)+(-0.997917+(-0.488631--0.227562))+0-745.5--0.380204999999924</f>
        <v>1722.221219</v>
      </c>
      <c r="T340" s="3">
        <f>2067+(1008.3-553)+(-2.10834+(-1.028466--0.56406))+0-814.8--0.83109600000013</f>
        <v>1705.7583500000005</v>
      </c>
      <c r="U340" s="3">
        <f>1967.2+(890.7-540.6)+(-2.006544+(-0.908514--0.551412))+0-625.7--0.6382140000001</f>
        <v>1689.8745680000004</v>
      </c>
      <c r="V340" s="3">
        <f>2107.8+(1056.7-727.6)+(0+(0-0))+0-741.4-0</f>
        <v>1695.5</v>
      </c>
      <c r="W340" s="3">
        <f>2145.5+(1137.9-849.3)+(-1.094205+(-0.580329--0.433143))+0-674.3--0.343892999999932</f>
        <v>1758.9025020000004</v>
      </c>
      <c r="X340" s="3">
        <f>2173.7+(1658.9-1171.5)+(-1.108587+(-0.846039--0.597465))+0-621.8--0.317117999999937</f>
        <v>2038.259957</v>
      </c>
      <c r="Y340" s="3">
        <f>2085+(1862.2-1158.5)+(0+(0-0))+0-718.1-0</f>
        <v>2070.6</v>
      </c>
      <c r="Z340" s="3">
        <f>1882.4+(1639.5-969.2)+(-1.920048+(-1.67229--0.988584))+0-514.1--0.524382000000082</f>
        <v>2036.5206279999998</v>
      </c>
      <c r="AA340" s="3">
        <f>1922.7+(1841.7-905.1)+(-0.980577+(-0.939267--0.461601))+0-847--0.431969999999914</f>
        <v>2011.273727</v>
      </c>
      <c r="AB340" s="3">
        <f>1877.1+(1508-830.8)+(-4.786605+(-3.8454--2.11854))+0-618.6--1.57742999999991</f>
        <v>1930.7639650000001</v>
      </c>
      <c r="AC340" s="3">
        <f>1824.6+(1359.4-664.8)+(-4.65273+(-3.46647--1.69524))+0-715.6--1.8247799999999</f>
        <v>1799.0008199999997</v>
      </c>
      <c r="AD340" s="2">
        <v>2059.7999999999997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1705.2+(824.2-141.1)+(-1.739304+(-0.840684--0.143922))+0-731.6--0.746232000000117</f>
        <v>1655.0101660000003</v>
      </c>
      <c r="G341" s="3">
        <f>1654.4+(667.2-68.6)+(1.687488+(0.680544-0.069972))+0-654.2-0.667284000000104</f>
        <v>1600.4307759999999</v>
      </c>
      <c r="H341" s="3">
        <f>1704.3+(788.9-104.3)+(1.738386+(0.804678-0.106386))+0-821.8-0.838236000000131</f>
        <v>1568.6984420000001</v>
      </c>
      <c r="I341" s="3">
        <f>1700.1+(693.2-165.8)+(0.867051+(0.353532-0.084558))+0-674.8-0.344147999999932</f>
        <v>1553.4918769999999</v>
      </c>
      <c r="J341" s="3">
        <f>1699.4+(743-111.8)+(-0.866694+(-0.37893--0.057018))+0-776.3--0.395912999999921</f>
        <v>1553.5073070000001</v>
      </c>
      <c r="K341" s="3">
        <f>1706.7+(642-200.1)+(1.740834+(0.65484-0.204102))+0-580.5-0.592110000000093</f>
        <v>1569.699462</v>
      </c>
      <c r="L341" s="3">
        <f>1736+(687.7-151.3)+(0.88536+(0.350727-0.077163))+0-608.9-0.310538999999938</f>
        <v>1664.348385</v>
      </c>
      <c r="M341" s="3">
        <f>1860.2+(868-325.4)+(0.948702+(0.44268-0.165954))+0-554.2-0.282641999999944</f>
        <v>1849.5427860000004</v>
      </c>
      <c r="N341" s="3">
        <f>2169.3+(1329-787.3)+(2.212686+(1.35558-0.803046))+0-605-0.617100000000096</f>
        <v>2108.1481200000003</v>
      </c>
      <c r="O341" s="3">
        <f>2362+(1481.6-1133.2)+(4.81848+(3.022464-2.311728))+0-481.2-0.981647999999979</f>
        <v>2233.7475679999998</v>
      </c>
      <c r="P341" s="3">
        <f>2428.6+(1820.5-1311.1)+(0+(0-0))+0-625.4-0</f>
        <v>2312.6</v>
      </c>
      <c r="Q341" s="3">
        <f>2309.4+(1821.5-1295.2)+(0+(0-0))+0-505.7-0</f>
        <v>2330</v>
      </c>
      <c r="R341" s="3">
        <f>2344.3+(1739.9-1281.5)+(-2.391186+(-1.774698--1.30713))+0-640--0.652800000000102</f>
        <v>2160.4940460000007</v>
      </c>
      <c r="S341" s="3">
        <f>2351.9+(1453.1-1157.4)+(-4.797876+(-2.964324--2.361096))+0-537.7--1.09690799999998</f>
        <v>2105.595804</v>
      </c>
      <c r="T341" s="3">
        <f>2455.8+(1332.3-1137.1)+(0+(0-0))+0-481.5-0</f>
        <v>2169.5</v>
      </c>
      <c r="U341" s="3">
        <f>2604.9+(1330.9-1193.9)+(1.328499+(0.678759-0.608889))+0-536.6-0.273665999999946</f>
        <v>2206.4247030000001</v>
      </c>
      <c r="V341" s="3">
        <f>2749.2+(1267.9-1246.9)+(0+(0-0))+0-549.4-0</f>
        <v>2220.7999999999997</v>
      </c>
      <c r="W341" s="3">
        <f>2694.9+(1405.4-1220.2)+(-2.748798+(-1.433508--1.244604))+0-533.2--0.543864000000085</f>
        <v>2344.5061620000006</v>
      </c>
      <c r="X341" s="3">
        <f>2624.4+(2016.9-1497.7)+(-4.015332+(-3.085857--2.291481))+0-623--0.953190000000036</f>
        <v>2516.7434820000008</v>
      </c>
      <c r="Y341" s="3">
        <f>2397.7+(1874.8-1250.8)+(-2.445654+(-1.912296--1.275816))+0-575--0.586500000000092</f>
        <v>2444.2043659999995</v>
      </c>
      <c r="Z341" s="3">
        <f>2389.3+(1825.1-1297.7)+(1.218543+(0.930801-0.661827))+0-572-0.291719999999942</f>
        <v>2345.8957969999997</v>
      </c>
      <c r="AA341" s="3">
        <f>2383+(1682.6-1208.6)+(-2.43066+(-1.716252--1.232772))+0-627.4--0.6399480000001</f>
        <v>2227.3258080000001</v>
      </c>
      <c r="AB341" s="3">
        <f>2484+(1615.4-1175.9)+(-2.53368+(-1.647708--1.199418))+0-791.1--0.806922000000126</f>
        <v>2130.2249520000005</v>
      </c>
      <c r="AC341" s="3">
        <f>2586.3+(1217.1-1161.7)+(-1.319013+(-0.620721--0.592467))+0-666--0.339659999999932</f>
        <v>1974.6923929999996</v>
      </c>
      <c r="AD341" s="2">
        <v>2530.1999999999998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2183.9+(783.6-410.3)+(-5.568945+(-1.99818--1.046265))+0-734.7--1.87348499999989</f>
        <v>1817.852625</v>
      </c>
      <c r="G342" s="3">
        <f>2027.2+(683.4-193)+(-1.033872+(-0.348534--0.09843))+0-780.8--0.398207999999921</f>
        <v>1735.9142319999996</v>
      </c>
      <c r="H342" s="3">
        <f>1900.8+(668.1-176)+(-1.938816+(-0.681462--0.17952))+0-689--0.70278000000011</f>
        <v>1702.162022</v>
      </c>
      <c r="I342" s="3">
        <f>1853.5+(721.9-156.2)+(-2.835855+(-1.104507--0.238986))+0-735.8--1.12577400000004</f>
        <v>1680.824398</v>
      </c>
      <c r="J342" s="3">
        <f>1851.2+(667-186.4)+(0.944112+(0.34017-0.095064))+0-659.2-0.336191999999933</f>
        <v>1673.4530260000001</v>
      </c>
      <c r="K342" s="3">
        <f>1855.2+(743.3-147.8)+(-0.946152+(-0.379083--0.075378))+0-747.8--0.381377999999924</f>
        <v>1702.0315209999999</v>
      </c>
      <c r="L342" s="3">
        <f>1893.2+(723.8-286.9)+(-0.965532+(-0.369138--0.146319))+0-565.7--0.288506999999943</f>
        <v>1763.5001560000001</v>
      </c>
      <c r="M342" s="3">
        <f>1984.4+(852.9-393.1)+(1.012044+(0.434979-0.200481))+0-507.9-0.259028999999948</f>
        <v>1937.2875129999995</v>
      </c>
      <c r="N342" s="3">
        <f>2302.1+(1338.5-881.3)+(1.174071+(0.682635-0.449463))+0-575.9-0.293708999999942</f>
        <v>2184.5135340000002</v>
      </c>
      <c r="O342" s="3">
        <f>2445.8+(1724.5-1222.7)+(0+(0-0))+0-634.2-0</f>
        <v>2313.4000000000005</v>
      </c>
      <c r="P342" s="3">
        <f>2286.8+(1609.4-1192.9)+(0+(0-0))+0-336.8-0</f>
        <v>2366.5</v>
      </c>
      <c r="Q342" s="3">
        <f>2439.8+(1797.3-1453.7)+(-1.244298+(-0.916623--0.741387))+0-416.2--0.212261999999958</f>
        <v>2365.9927280000002</v>
      </c>
      <c r="R342" s="3">
        <f>2282.2+(1634.4-1293.8)+(-4.655688+(-3.334176--2.639352))+0-422.5--0.861899999999982</f>
        <v>2195.8113880000001</v>
      </c>
      <c r="S342" s="3">
        <f>2325.4+(1536.4-1193)+(2.371908+(1.567128-1.21686))+0-545.4-0.556308000000087</f>
        <v>2125.5658680000001</v>
      </c>
      <c r="T342" s="3">
        <f>2531.3+(1598.5-1447.7)+(1.290963+(0.815235-0.738327))+0-520.1-0.265250999999947</f>
        <v>2163.1026200000006</v>
      </c>
      <c r="U342" s="3">
        <f>2530.8+(1527.4-1389.9)+(2.581416+(1.557948-1.417698))+0-501.2-0.51122400000008</f>
        <v>2169.3104420000004</v>
      </c>
      <c r="V342" s="3">
        <f>2533.6+(1528.7-1442)+(2.584272+(1.559274-1.47084))+0-494.1-0.503982000000079</f>
        <v>2128.3687239999999</v>
      </c>
      <c r="W342" s="3">
        <f>2355.2+(1439.7-1127.3)+(-4.804608+(-2.936988--2.299692))+0-458.8--0.93595199999998</f>
        <v>2204.2940479999997</v>
      </c>
      <c r="X342" s="3">
        <f>2379.6+(1746.3-1211.6)+(-1.213596+(-0.890613--0.617916))+0-491--0.25040999999995</f>
        <v>2422.0641170000004</v>
      </c>
      <c r="Y342" s="3">
        <f>2278.1+(1834.8-1091.9)+(-4.647324+(-3.742992--2.227476))+0-654.3--1.33477199999997</f>
        <v>2361.871932</v>
      </c>
      <c r="Z342" s="3">
        <f>2216.8+(1682.1-1129.4)+(-5.65284+(-4.289355--2.87997))+0-470.1--1.19875499999993</f>
        <v>2293.5365299999999</v>
      </c>
      <c r="AA342" s="3">
        <f>2166.8+(1714-933.6)+(0+(0-0))+0-735.3-0</f>
        <v>2211.9000000000005</v>
      </c>
      <c r="AB342" s="3">
        <f>1994.7+(1206.8-597.2)+(-1.017297+(-0.615468--0.304572))+0-531.7--0.271166999999946</f>
        <v>2071.542974</v>
      </c>
      <c r="AC342" s="3">
        <f>1910.4+(1254.3-457.3)+(-2.922912+(-1.919079--0.699669))+0-775.1--1.18590300000004</f>
        <v>1929.3435810000001</v>
      </c>
      <c r="AD342" s="2">
        <v>2462.7999999999997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1896.9+(818.2-262.7)+(-1.934838+(-0.834564--0.267954))+0-660.6--0.673812000000105</f>
        <v>1789.9723640000002</v>
      </c>
      <c r="G343" s="3">
        <f>1727.7+(754.3-181.9)+(0.881127+(0.384693-0.092769))+0-578.7-0.295136999999941</f>
        <v>1722.2779140000002</v>
      </c>
      <c r="H343" s="3">
        <f>1649.3+(830.1-205.9)+(-1.682286+(-0.846702--0.210018))+0-608.7--0.620874000000097</f>
        <v>1663.1019040000003</v>
      </c>
      <c r="I343" s="3">
        <f>1648.3+(860-209)+(0.840633+(0.4386-0.10659))+0-652.7-0.332876999999934</f>
        <v>1647.4397660000002</v>
      </c>
      <c r="J343" s="3">
        <f>1646.9+(1069-280.9)+(0+(0-0))+0-784.3-0</f>
        <v>1650.7</v>
      </c>
      <c r="K343" s="3">
        <f>1647.7+(943.5-314.3)+(-2.520981+(-1.443555--0.480879))+0-605.7--0.926721000000035</f>
        <v>1668.6430639999999</v>
      </c>
      <c r="L343" s="3">
        <f>1721.5+(993.7-323.3)+(0+(0-0))+0-675.9-0</f>
        <v>1716</v>
      </c>
      <c r="M343" s="3">
        <f>1874.4+(1033.2-427.3)+(0.955944+(0.526932-0.217923))+0-592.7-0.30227699999994</f>
        <v>1888.562676</v>
      </c>
      <c r="N343" s="3">
        <f>2119.9+(1323.9-715.6)+(-1.081149+(-0.675189--0.364956))+0-614.1--0.313190999999938</f>
        <v>2113.0218090000003</v>
      </c>
      <c r="O343" s="3">
        <f>2222+(1607.5-886.8)+(-3.39966+(-2.459475--1.356804))+0-685.9--1.04942700000004</f>
        <v>2253.3470959999995</v>
      </c>
      <c r="P343" s="3">
        <f>2250.7+(1757.9-1049.3)+(-3.443571+(-2.689587--1.605429))+0-639.5--0.978435000000037</f>
        <v>2316.2507060000003</v>
      </c>
      <c r="Q343" s="3">
        <f>2493.2+(1919.1-1453)+(-5.086128+(-3.914964--2.96412))+0-641.9--1.30947599999997</f>
        <v>2312.6725039999997</v>
      </c>
      <c r="R343" s="3">
        <f>2588.5+(1698.7-1422.6)+(0+(0-0))+0-700.3-0</f>
        <v>2164.3000000000002</v>
      </c>
      <c r="S343" s="3">
        <f>2837+(1582.2-1653.4)+(-4.34061+(-2.420766--2.529702))+0-632.4--0.967572000000037</f>
        <v>2130.135898</v>
      </c>
      <c r="T343" s="3">
        <f>2866+(1610.9-1699.2)+(2.92332+(1.643118-1.733184))+0-600.4-0.612408000000096</f>
        <v>2179.5208459999999</v>
      </c>
      <c r="U343" s="3">
        <f>2863.5+(1579.6-1712.3)+(-1.460385+(-0.805596--0.873273))+0-562.8--0.287027999999943</f>
        <v>2166.8943200000003</v>
      </c>
      <c r="V343" s="3">
        <f>2586+(1474.3-1419.4)+(0+(0-0))+0-508-0</f>
        <v>2132.8999999999996</v>
      </c>
      <c r="W343" s="3">
        <f>2470.1+(1551.4-1150.3)+(-2.519502+(-1.582428--1.173306))+0-689.8--0.70359600000011</f>
        <v>2179.1749719999998</v>
      </c>
      <c r="X343" s="3">
        <f>2485+(1818.5-1180.9)+(-1.26735+(-0.927435--0.602259))+0-695.8--0.354857999999929</f>
        <v>2425.562332</v>
      </c>
      <c r="Y343" s="3">
        <f>2561.6+(1804.8-1358.1)+(-6.53208+(-4.60224--3.463155))+0-600.2--1.53050999999991</f>
        <v>2401.9593449999998</v>
      </c>
      <c r="Z343" s="3">
        <f>2401.1+(1813.2-1180.7)+(0+(0-0))+0-724.4-0</f>
        <v>2309.1999999999998</v>
      </c>
      <c r="AA343" s="3">
        <f>2393.6+(1691.9-1237.4)+(-2.441472+(-1.725738--1.262148))+0-623.5--0.635970000000099</f>
        <v>2222.3309080000004</v>
      </c>
      <c r="AB343" s="3">
        <f>2323.1+(1447.5-1056.5)+(-2.369562+(-1.47645--1.07763))+0-613.8--0.626076000000098</f>
        <v>2098.157694</v>
      </c>
      <c r="AC343" s="3">
        <f>2261.7+(1328.6-875.9)+(-5.767335+(-3.38793--2.233545))+0-752.5--1.91887499999989</f>
        <v>1956.8971549999997</v>
      </c>
      <c r="AD343" s="2">
        <v>2486.4000000000005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2067+(921.6-520.5)+(-3.16251+(-1.410048--0.796365))+0-654.7--1.00169100000004</f>
        <v>1810.6254979999997</v>
      </c>
      <c r="G344" s="3">
        <f>2015.9+(884.6-417.5)+(-3.084327+(-1.353438--0.638775))+0-750.5--1.14826500000004</f>
        <v>1729.8492750000003</v>
      </c>
      <c r="H344" s="3">
        <f>1959.4+(693.2-402)+(-0.999294+(-0.353532--0.20502))+0-572.8--0.292127999999942</f>
        <v>1676.9443220000005</v>
      </c>
      <c r="I344" s="3">
        <f>1959.4+(686.2-299.8)+(-1.998588+(-0.699924--0.305796))+0-685.8--0.699516000000109</f>
        <v>1658.3068000000005</v>
      </c>
      <c r="J344" s="3">
        <f>1965.1+(676.2-329.5)+(1.002201+(0.344862-0.168045))+0-646.9-0.329918999999934</f>
        <v>1665.7490989999999</v>
      </c>
      <c r="K344" s="3">
        <f>1970.4+(688.6-291.1)+(4.019616+(1.404744-0.593844))+0-685-1.39739999999997</f>
        <v>1686.333116</v>
      </c>
      <c r="L344" s="3">
        <f>2225.9+(893.2-666.4)+(-1.135209+(-0.455532--0.339864))+0-735.4--0.375053999999925</f>
        <v>1716.4241770000001</v>
      </c>
      <c r="M344" s="3">
        <f>2520.7+(1037.4-949.2)+(-1.285557+(-0.529074--0.484092))+0-714.7--0.364496999999928</f>
        <v>1893.2339579999996</v>
      </c>
      <c r="N344" s="3">
        <f>2473.6+(1119.8-874.6)+(-1.261536+(-0.571098--0.446046))+0-585--0.298349999999941</f>
        <v>2132.7117619999999</v>
      </c>
      <c r="O344" s="3">
        <f>2581.1+(1458.5-1119)+(-5.265444+(-2.97534--2.28276))+0-678.8--1.38475199999997</f>
        <v>2237.2267279999996</v>
      </c>
      <c r="P344" s="3">
        <f>2737.5+(1593.4-1397.7)+(-1.396125+(-0.812634--0.712827))+0-623.3--0.317882999999937</f>
        <v>2308.7219509999995</v>
      </c>
      <c r="Q344" s="3">
        <f>2643+(1687-1335.8)+(-2.69586+(-1.72074--1.362516))+0-665.7--0.679014000000106</f>
        <v>2326.1249299999999</v>
      </c>
      <c r="R344" s="3">
        <f>2745.1+(1584.8-1610.5)+(-5.600004+(-3.232992--3.28542))+0-552.9--1.12791599999998</f>
        <v>2162.0803399999995</v>
      </c>
      <c r="S344" s="3">
        <f>2810.8+(1546.8-1558.9)+(-4.300524+(-2.366604--2.385117))+0-691--1.05723000000004</f>
        <v>2104.4752189999999</v>
      </c>
      <c r="T344" s="3">
        <f>2819.6+(1568.4-1693.6)+(1.437996+(0.799884-0.863736))+0-523.7-0.267086999999947</f>
        <v>2171.807057</v>
      </c>
      <c r="U344" s="3">
        <f>2575.7+(1494.4-1356.2)+(2.627214+(1.524288-1.383324))+0-556-0.567120000000089</f>
        <v>2160.1010579999993</v>
      </c>
      <c r="V344" s="3">
        <f>2232.8+(1232.3-1034.3)+(1.138728+(0.628473-0.527493))+44.9-405.1-0.206600999999959</f>
        <v>2071.6331070000006</v>
      </c>
      <c r="W344" s="3">
        <f>2177.3+(1445.3-929.8)+(1.110423+(0.737103-0.474198))+1.5-556.9-0.284018999999944</f>
        <v>2138.489309</v>
      </c>
      <c r="X344" s="3">
        <f>2259+(1829.2-1165.1)+(0+(0-0))+0-493.9-0</f>
        <v>2429.2000000000003</v>
      </c>
      <c r="Y344" s="3">
        <f>2248.6+(1828-1182.3)+(0+(0-0))+0-484.6-0</f>
        <v>2409.7000000000003</v>
      </c>
      <c r="Z344" s="3">
        <f>2177.4+(1658.8-1019.5)+(-1.110474+(-0.845988--0.519945))+0-497.2--0.25357199999995</f>
        <v>2318.317055</v>
      </c>
      <c r="AA344" s="3">
        <f>1916.4+(1407.8-602.8)+(0+(0-0))+0-501.4-0</f>
        <v>2220</v>
      </c>
      <c r="AB344" s="3">
        <f>1840.2+(1465.8-443.8)+(-3.754008+(-2.990232--0.905352))+0-748.2--1.52632799999997</f>
        <v>2109.6874399999997</v>
      </c>
      <c r="AC344" s="3">
        <f>1857.6+(1438.3-702.3)+(-0.947376+(-0.733533--0.358173))+0-615.5--0.313904999999938</f>
        <v>1977.0911689999998</v>
      </c>
      <c r="AD344" s="2">
        <v>2429.1000000000004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1743.8+(1155.7-390.3)+(-4.44669+(-2.947035--0.995265))+0-699.4--1.7834699999999</f>
        <v>1805.1850099999997</v>
      </c>
      <c r="G345" s="3">
        <f>1717.3+(877.6-223)+(-2.627469+(-1.342728--0.34119))+0-650.2--0.994806000000038</f>
        <v>1719.065799</v>
      </c>
      <c r="H345" s="3">
        <f>1637.2+(897-197)+(0+(0-0))+0-669-0</f>
        <v>1668.1999999999998</v>
      </c>
      <c r="I345" s="3">
        <f>1640.4+(944-213.6)+(0.836604+(0.48144-0.108936))+0-703.7-0.358886999999929</f>
        <v>1667.9502210000003</v>
      </c>
      <c r="J345" s="3">
        <f>1642.3+(873.2-293.1)+(-3.350292+(-1.781328--0.597924))+0-570.3--1.16341199999998</f>
        <v>1648.7297160000001</v>
      </c>
      <c r="K345" s="3">
        <f>1675.8+(1037.4-271.5)+(0.854658+(0.529074-0.138465))+0-759.1-0.387140999999923</f>
        <v>1683.4581259999998</v>
      </c>
      <c r="L345" s="3">
        <f>1928.7+(995.7-628)+(0.983637+(0.507807-0.32028))+0-571.5-0.291464999999942</f>
        <v>1725.7796989999999</v>
      </c>
      <c r="M345" s="3">
        <f>2217.2+(1126.8-1014.7)+(-1.130772+(-0.574668--0.517497))+0-437.8--0.223277999999956</f>
        <v>1890.5353349999998</v>
      </c>
      <c r="N345" s="3">
        <f>2270.8+(1367.2-1073.2)+(0+(0-0))+0-454.9-0</f>
        <v>2109.9</v>
      </c>
      <c r="O345" s="3">
        <f>2460.5+(1455.5-1229.6)+(-1.254855+(-0.742305--0.627096))+0-459.7--0.234446999999953</f>
        <v>2225.5643829999999</v>
      </c>
      <c r="P345" s="3">
        <f>2340.8+(1624.4-1068.1)+(-3.581424+(-2.485332--1.634193))+0-591.7--0.905301000000034</f>
        <v>2301.8727380000005</v>
      </c>
      <c r="Q345" s="3">
        <f>2466.3+(1677.8-1269.2)+(-1.257813+(-0.855678--0.647292))+0-571.7--0.291566999999942</f>
        <v>2302.0253680000001</v>
      </c>
      <c r="R345" s="3">
        <f>2467.6+(1543.2-1249.2)+(-1.258476+(-0.787032--0.637092))+0-621.1--0.316760999999937</f>
        <v>2139.4083449999998</v>
      </c>
      <c r="S345" s="3">
        <f>2554.6+(1534.2-1401.8)+(3.908538+(2.347326-2.144754))+0-587.8-0.899334000000034</f>
        <v>2102.4117759999995</v>
      </c>
      <c r="T345" s="3">
        <f>2687.3+(1562.4-1536.7)+(2.741046+(1.593648-1.567434))+0-540.9-0.551718000000086</f>
        <v>2174.3155419999998</v>
      </c>
      <c r="U345" s="3">
        <f>2562.3+(1501.1-1394.2)+(-2.613546+(-1.531122--1.422084))+0-499.5--0.50949000000008</f>
        <v>2167.4869059999996</v>
      </c>
      <c r="V345" s="3">
        <f>2397.4+(1472.7-1136.7)+(1.222674+(0.751077-0.579717))+0-576.6-0.294065999999942</f>
        <v>2157.8999680000002</v>
      </c>
      <c r="W345" s="3">
        <f>2157.4+(1524.7-845.7)+(1.100274+(0.777597-0.431307))+0-626.4-0.319463999999936</f>
        <v>2211.1270999999997</v>
      </c>
      <c r="X345" s="3">
        <f>2325.8+(1922-1184.5)+(-1.186158+(-0.98022--0.604095))+0-610.9--0.311558999999938</f>
        <v>2451.1492759999996</v>
      </c>
      <c r="Y345" s="3">
        <f>2429+(1988.8-1444)+(-6.19395+(-5.07144--3.6822))+0-561.3--1.43131499999992</f>
        <v>2406.3481250000004</v>
      </c>
      <c r="Z345" s="3">
        <f>2477.5+(1865.3-1452.7)+(-5.0541+(-3.805212--2.963508))+0-567.7--1.15810799999998</f>
        <v>2317.6623039999999</v>
      </c>
      <c r="AA345" s="3">
        <f>2427.1+(1620.9-1280.5)+(-6.189105+(-4.133295--3.265275))+0-518.7--1.32268499999992</f>
        <v>2243.06556</v>
      </c>
      <c r="AB345" s="3">
        <f>2481.2+(1477.4-1255.7)+(-1.265412+(-0.753474--0.640407))+0-555.5--0.283304999999944</f>
        <v>2146.3048259999996</v>
      </c>
      <c r="AC345" s="3">
        <f>2273.8+(1271.7-1048.6)+(-3.478914+(-1.945701--1.604358))+0-485.4--0.742662000000028</f>
        <v>2008.4224050000007</v>
      </c>
      <c r="AD345" s="2">
        <v>2493.6000000000004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2271.5+(1265-1075.2)+(-1.158465+(-0.64515--0.548352))+0-610.5--0.311354999999938</f>
        <v>1849.8560920000002</v>
      </c>
      <c r="G346" s="3">
        <f>2134+(1059.5-632.1)+(-1.08834+(-0.540345--0.322371))+0-812.2--0.414221999999918</f>
        <v>1748.307908</v>
      </c>
      <c r="H346" s="3">
        <f>1847.3+(846.9-320)+(0.942123+(0.431919-0.1632))+0-679-0.346289999999931</f>
        <v>1696.0645519999998</v>
      </c>
      <c r="I346" s="3">
        <f>1843.9+(882.7-298)+(-1.880778+(-0.900354--0.30396))+0-740.7--0.755514000000118</f>
        <v>1686.1783420000006</v>
      </c>
      <c r="J346" s="3">
        <f>1848+(892.2-318.6)+(1.88496+(0.910044-0.324972))+0-734-0.748680000000117</f>
        <v>1689.3213519999999</v>
      </c>
      <c r="K346" s="3">
        <f>1848.4+(965.6-383.5)+(0.942684+(0.492456-0.195585))+0-737.8-0.376277999999925</f>
        <v>1693.5632770000002</v>
      </c>
      <c r="L346" s="3">
        <f>1926.6+(806.9-347.2)+(-5.895396+(-2.469114--1.062432))+0-687.9--2.10497400000008</f>
        <v>1693.2028959999996</v>
      </c>
      <c r="M346" s="3">
        <f>2116.3+(1009.7-670.8)+(1.079313+(0.514947-0.342108))+0-597-0.304469999999939</f>
        <v>1859.1476820000003</v>
      </c>
      <c r="N346" s="3">
        <f>2443.6+(1323.5-1055.4)+(0+(0-0))+0-607.3-0</f>
        <v>2104.3999999999996</v>
      </c>
      <c r="O346" s="3">
        <f>2705+(1533.6-1420.4)+(-2.7591+(-1.564272--1.448808))+0-571--0.582420000000091</f>
        <v>2244.9078559999998</v>
      </c>
      <c r="P346" s="3">
        <f>2906.4+(1688.7-1525.9)+(1.482264+(0.861237-0.778209))+0-747.2-0.381071999999924</f>
        <v>2323.1842200000001</v>
      </c>
      <c r="Q346" s="3">
        <f>2833.9+(1672.4-1511.7)+(-5.781156+(-3.411696--3.083868))+0-664.8--1.35619199999997</f>
        <v>2325.0472080000009</v>
      </c>
      <c r="R346" s="3">
        <f>2826.4+(1502-1435)+(-2.882928+(-1.53204--1.4637))+0-729.4--0.743988000000116</f>
        <v>2161.7927200000004</v>
      </c>
      <c r="S346" s="3">
        <f>2615.4+(1285.8-1210.6)+(-6.66927+(-3.27879--3.08703))+0-619--1.57844999999991</f>
        <v>2066.3174200000003</v>
      </c>
      <c r="T346" s="3">
        <f>2793.8+(1460.1-1459)+(-2.849676+(-1.489302--1.48818))+0-721.6--0.736032000000115</f>
        <v>2071.1852340000005</v>
      </c>
      <c r="U346" s="3">
        <f>2644.4+(1133.3-1281.3)+(-8.091864+(-3.467898--3.920778))+0-449.1--1.37424600000005</f>
        <v>2041.0352620000001</v>
      </c>
      <c r="V346" s="3">
        <f>2483.2+(1042.8-927.4)+(0+(0-0))+0-622.8-0</f>
        <v>1975.8</v>
      </c>
      <c r="W346" s="3">
        <f>2460.8+(1098.9-880.8)+(-2.510016+(-1.120878--0.898416))+0-633.8--0.646476000000101</f>
        <v>2043.0139980000008</v>
      </c>
      <c r="X346" s="3">
        <f>2594.6+(1555.1-1232.2)+(2.646492+(1.586202-1.256844))+0-620.7-0.633114000000099</f>
        <v>2299.1427359999998</v>
      </c>
      <c r="Y346" s="3">
        <f>2605+(1576.7-1229.7)+(-3.98565+(-2.412351--1.881441))+0-657.6--1.00612800000004</f>
        <v>2290.8895680000001</v>
      </c>
      <c r="Z346" s="3">
        <f>2558.9+(1404.4-1193.7)+(-5.220156+(-2.864976--2.435148))+0-574.4--1.17177599999997</f>
        <v>2190.7217920000003</v>
      </c>
      <c r="AA346" s="3">
        <f>2377.3+(1273.7-932.4)+(-1.212423+(-0.649587--0.475524))+0-570.6--0.291005999999942</f>
        <v>2146.9045200000005</v>
      </c>
      <c r="AB346" s="3">
        <f>2199.4+(1220.8-823.1)+(-2.243388+(-1.245216--0.839562))+0-550.9--0.561918000000088</f>
        <v>2044.1128759999999</v>
      </c>
      <c r="AC346" s="3">
        <f>2179.1+(1203.8-731.8)+(-1.111341+(-0.613938--0.373218))+0-736.1--0.375410999999925</f>
        <v>1914.0233499999999</v>
      </c>
      <c r="AD346" s="2">
        <v>2285.9000000000005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2038.3+(1152.2-727.1)+(-2.079066+(-1.175244--0.741642))+0-666--0.679320000000106</f>
        <v>1795.5666520000004</v>
      </c>
      <c r="G347" s="3">
        <f>1893.8+(1035.8-493.4)+(-0.965838+(-0.528258--0.251634))+0-707.7--0.360926999999928</f>
        <v>1727.6184649999996</v>
      </c>
      <c r="H347" s="3">
        <f>1815+(970.8-395.5)+(-1.8513+(-0.990216--0.40341))+0-665.4--0.678708000000106</f>
        <v>1723.1406020000002</v>
      </c>
      <c r="I347" s="3">
        <f>1809.2+(838-360.8)+(0.922692+(0.42738-0.184008))+0-654.9-0.333998999999934</f>
        <v>1632.3320650000001</v>
      </c>
      <c r="J347" s="3">
        <f>1886.8+(747-339.1)+(-3.849072+(-1.52388--0.691764))+0-603.3--1.23073199999997</f>
        <v>1687.9495439999998</v>
      </c>
      <c r="K347" s="3">
        <f>1890.2+(709.4-376.3)+(0.964002+(0.361794-0.191913))+0-529.7-0.270146999999946</f>
        <v>1694.4637360000002</v>
      </c>
      <c r="L347" s="3">
        <f>2003.4+(677.4-434.7)+(-6.130404+(-2.072844--1.330182))+0-693.5--2.12211000000008</f>
        <v>1547.8490439999998</v>
      </c>
      <c r="M347" s="3">
        <f>2037.9+(524-512.2)+(-3.117987+(-0.80172--0.783666))+0-498.3--0.762399000000029</f>
        <v>1549.0263579999998</v>
      </c>
      <c r="N347" s="3">
        <f>2384.1+(847.3-967.8)+(-1.215891+(-0.432123--0.493578))+0-603.5--0.307784999999939</f>
        <v>1659.2533490000001</v>
      </c>
      <c r="O347" s="3">
        <f>2520.9+(1164.9-1291.9)+(-1.285659+(-0.594099--0.658869))+0-611.9--0.312068999999938</f>
        <v>1781.0911799999997</v>
      </c>
      <c r="P347" s="3">
        <f>2558.4+(1383.8-1470.8)+(-1.304784+(-0.705738--0.750108))+0-606.5--0.309314999999939</f>
        <v>1863.9489010000002</v>
      </c>
      <c r="Q347" s="3">
        <f>2506.7+(1625.1-1462.5)+(0+(0-0))+0-776.8-0</f>
        <v>1892.4999999999998</v>
      </c>
      <c r="R347" s="3">
        <f>2476.6+(1510.4-1516.1)+(-3.789198+(-2.310912--2.319633))+0-714.3--1.09287900000004</f>
        <v>1753.9124020000004</v>
      </c>
      <c r="S347" s="3">
        <f>2310.5+(1391.2-1195.3)+(2.35671+(1.419024-1.219206))+0-617-0.629340000000098</f>
        <v>1891.327188</v>
      </c>
      <c r="T347" s="3">
        <f>2223.4+(1165.8-994.4)+(0+(0-0))+0-664.2-0</f>
        <v>1730.6000000000001</v>
      </c>
      <c r="U347" s="3">
        <f>2175.3+(1110.3-871.1)+(-3.328209+(-1.698759--1.332783))+0-702.1--1.07421300000004</f>
        <v>1709.7800280000004</v>
      </c>
      <c r="V347" s="3">
        <f>2254.6+(1088.1-980.4)+(2.299692+(1.109862-1.000008))+0-625.5-0.6380100000001</f>
        <v>1738.5715359999995</v>
      </c>
      <c r="W347" s="3">
        <f>2364.2+(1194.2-1037.6)+(1.205742+(0.609042-0.529176))+0-723.5-0.368984999999927</f>
        <v>1798.2166230000005</v>
      </c>
      <c r="X347" s="3">
        <f>2510.8+(1787.5-1637.8)+(0+(0-0))+0-602.6-0</f>
        <v>2057.9</v>
      </c>
      <c r="Y347" s="3">
        <f>2624.8+(2036.5-1774.2)+(-1.338648+(-1.038615--0.904842))+0-789.3--0.40254299999992</f>
        <v>2096.7301220000004</v>
      </c>
      <c r="Z347" s="3">
        <f>2475.5+(1742.5-1561.9)+(-1.262505+(-0.888675--0.796569))+0-589.9--0.30084899999994</f>
        <v>2065.1462379999994</v>
      </c>
      <c r="AA347" s="3">
        <f>2326.7+(1640.5-1216)+(-1.186617+(-0.836655--0.62016))+0-734.5--0.374594999999926</f>
        <v>2015.6714829999999</v>
      </c>
      <c r="AB347" s="3">
        <f>2073.8+(1320.7-771.2)+(-2.115276+(-1.347114--0.786624))+0-691.5--0.70533000000011</f>
        <v>1929.8295640000003</v>
      </c>
      <c r="AC347" s="3">
        <f>1952+(989.5-506.5)+(0.99552+(0.504645-0.258315))+0-637-0.324869999999935</f>
        <v>1798.91698</v>
      </c>
      <c r="AD347" s="2">
        <v>2084.1000000000008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1933.6+(781.2-251.3)+(-4.93068+(-1.99206--0.640815))+0-772.2--1.96910999999989</f>
        <v>1686.9871850000002</v>
      </c>
      <c r="G348" s="3">
        <f>1884.9+(770.9-293.9)+(1.922598+(0.786318-0.299778))+0-730.2-0.744804000000116</f>
        <v>1633.3643339999999</v>
      </c>
      <c r="H348" s="3">
        <f>1880.7+(712.3-266.8)+(-3.836628+(-1.453092--0.544272))+0-738.5--1.50653999999997</f>
        <v>1584.4610919999996</v>
      </c>
      <c r="I348" s="3">
        <f>1854.1+(651.8-310.1)+(-1.891182+(-0.664836--0.316302))+0-614.2--0.626484000000098</f>
        <v>1579.9867679999998</v>
      </c>
      <c r="J348" s="3">
        <f>1811.6+(763.1-258.6)+(0.923916+(0.389181-0.131886))+0-737.9-0.376328999999925</f>
        <v>1579.004882</v>
      </c>
      <c r="K348" s="3">
        <f>1804.6+(734.4-279.3)+(0+(0-0))+0-655.3-0</f>
        <v>1604.3999999999999</v>
      </c>
      <c r="L348" s="3">
        <f>1858.5+(777.3-286.3)+(-0.947835+(-0.396423--0.146013))+0-684.5--0.349094999999931</f>
        <v>1664.15085</v>
      </c>
      <c r="M348" s="3">
        <f>2089.7+(814.2-571.5)+(2.131494+(0.830484-0.58293))+0-465.4-0.474708000000074</f>
        <v>1868.9043399999994</v>
      </c>
      <c r="N348" s="3">
        <f>2455+(1234.2-1109.4)+(0+(0-0))+0-462.3-0</f>
        <v>2117.5</v>
      </c>
      <c r="O348" s="3">
        <f>2839.5+(1525.3-1713.6)+(4.344435+(2.333709-2.621808))+0-386.7-0.591651000000022</f>
        <v>2267.9646849999999</v>
      </c>
      <c r="P348" s="3">
        <f>2913+(1830-1831.8)+(1.48563+(0.9333-0.934218))+0-568.9-0.290138999999942</f>
        <v>2343.4945729999999</v>
      </c>
      <c r="Q348" s="3">
        <f>2897.1+(1741.1-1687.3)+(0+(0-0))+0-592.3-0</f>
        <v>2358.5999999999995</v>
      </c>
      <c r="R348" s="3">
        <f>2736+(1434.9-1380.7)+(-1.39536+(-0.731799--0.704157))+0-634.6--0.323645999999936</f>
        <v>2154.5006439999997</v>
      </c>
      <c r="S348" s="3">
        <f>2626.3+(1049.5-986.8)+(-2.678826+(-1.07049--1.006536))+0-623.2--0.635664000000099</f>
        <v>2063.6928839999996</v>
      </c>
      <c r="T348" s="3">
        <f>2672.8+(1013.4-1038.6)+(-2.726256+(-1.033668--1.059372))+0-535.7--0.546414000000085</f>
        <v>2109.7458620000002</v>
      </c>
      <c r="U348" s="3">
        <f>2762+(1096.5-1176.8)+(-1.40862+(-0.559215--0.600168))+0-568.1--0.289730999999942</f>
        <v>2112.5220639999998</v>
      </c>
      <c r="V348" s="3">
        <f>2741.8+(1105.2-1084)+(-1.398318+(-0.563652--0.55284))+0-678.5--0.346034999999931</f>
        <v>2083.436905</v>
      </c>
      <c r="W348" s="3">
        <f>2554.5+(1083.5-1040.6)+(-1.302795+(-0.552585--0.530706))+0-467.1--0.238220999999953</f>
        <v>2129.2135470000003</v>
      </c>
      <c r="X348" s="3">
        <f>2674.1+(1674.5-1368)+(2.727582+(1.70799-1.39536))+0-561.2-0.57242400000009</f>
        <v>2421.8677879999996</v>
      </c>
      <c r="Y348" s="3">
        <f>2722.7+(1815.8-1542.5)+(-6.942885+(-4.63029--3.933375))+0-585.7--1.49353499999992</f>
        <v>2404.1537350000003</v>
      </c>
      <c r="Z348" s="3">
        <f>2827.5+(1857.3-1702)+(-2.88405+(-1.894446--1.73604))+0-649.4--0.662388000000104</f>
        <v>2331.0199320000002</v>
      </c>
      <c r="AA348" s="3">
        <f>2909.2+(1638.6-1686.7)+(-7.41846+(-4.17843--4.301085))+0-607.3--1.54861499999991</f>
        <v>2248.0528099999992</v>
      </c>
      <c r="AB348" s="3">
        <f>2757.8+(1482-1495.8)+(-7.03239+(-3.7791--3.81429))+0-614.3--1.56646499999991</f>
        <v>2124.2692649999999</v>
      </c>
      <c r="AC348" s="3">
        <f>2573.7+(1608.9-1613.9)+(-1.312587+(-0.820539--0.823089))+0-585.9--0.298808999999941</f>
        <v>1981.7887719999994</v>
      </c>
      <c r="AD348" s="2">
        <v>2398.4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2396.9+(1217.9-1160.8)+(-4.889676+(-2.484516--2.368032))+0-654.6--1.33538399999997</f>
        <v>1795.7292240000002</v>
      </c>
      <c r="G349" s="3">
        <f>1732.9+(752.6-200.5)+(-1.767558+(-0.767652--0.20451))+0-570.3--0.581706000000091</f>
        <v>1712.9510060000002</v>
      </c>
      <c r="H349" s="3">
        <f>1453.6+(764.5-181.5)+(-2.224008+(-1.169685--0.277695))+0-373.2--0.570996000000022</f>
        <v>1660.8549979999998</v>
      </c>
      <c r="I349" s="3">
        <f>1458.2+(917.5-163.8)+(-2.974728+(-1.8717--0.334152))+0-552.5--1.12709999999998</f>
        <v>1656.0148240000001</v>
      </c>
      <c r="J349" s="3">
        <f>1456.9+(1081.4-155.6)+(0.743019+(0.551514-0.079356))+0-728.7-0.371636999999926</f>
        <v>1654.8435400000003</v>
      </c>
      <c r="K349" s="3">
        <f>1456.6+(1018.8-189.3)+(2.228598+(1.558764-0.289629))+0-605.3-0.926109000000035</f>
        <v>1683.3716240000001</v>
      </c>
      <c r="L349" s="3">
        <f>1457.1+(1060-194.7)+(2.229363+(1.6218-0.297891))+0-610.2-0.933606000000035</f>
        <v>1714.8196659999996</v>
      </c>
      <c r="M349" s="3">
        <f>1616+(1081.8-159.7)+(1.64832+(1.103436-0.162894))+0-662.6-0.675852000000106</f>
        <v>1877.41301</v>
      </c>
      <c r="N349" s="3">
        <f>2088+(955-475)+(0+(0-0))+0-515-0</f>
        <v>2053</v>
      </c>
      <c r="O349" s="3">
        <f>2591.2+(1050.3-910.9)+(-3.964536+(-1.606959--1.393677))+0-574.6--0.879138000000033</f>
        <v>2152.7013200000001</v>
      </c>
      <c r="P349" s="3">
        <f>2351+(1441.1-1055.5)+(0+(0-0))+0-478-0</f>
        <v>2258.6</v>
      </c>
      <c r="Q349" s="3">
        <f>2501+(1907.4-1290.8)+(-6.37755+(-4.86387--3.29154))+0-763.8--1.94768999999989</f>
        <v>2347.79781</v>
      </c>
      <c r="R349" s="3">
        <f>2329.2+(1423.7-1072.8)+(-2.375784+(-1.452174--1.094256))+0-547.5--0.558450000000087</f>
        <v>2130.4247479999999</v>
      </c>
      <c r="S349" s="3">
        <f>2468.2+(1344.3-1059.6)+(2.517564+(1.371186-1.080792))+0-654.7-0.667794000000104</f>
        <v>2100.3401639999993</v>
      </c>
      <c r="T349" s="3">
        <f>2462.2+(1303.8-1005.4)+(-5.022888+(-2.659752--2.051016))+0-561.1--1.14464399999998</f>
        <v>2195.0130199999999</v>
      </c>
      <c r="U349" s="3">
        <f>2477.4+(1315.8-996.3)+(0+(0-0))+0-593.3-0</f>
        <v>2203.6000000000004</v>
      </c>
      <c r="V349" s="3">
        <f>2275.3+(1354.5-941.5)+(-1.160403+(-0.690795--0.480165))+0-583.7--0.297686999999941</f>
        <v>2103.5266539999998</v>
      </c>
      <c r="W349" s="3">
        <f>2439.8+(1510.9-1155.3)+(0+(0-0))+0-613-0</f>
        <v>2182.4000000000005</v>
      </c>
      <c r="X349" s="3">
        <f>2540.4+(2042.8-1521.1)+(0+(0-0))+0-625.2-0</f>
        <v>2436.9000000000005</v>
      </c>
      <c r="Y349" s="3">
        <f>2578.3+(2074.5-1705.8)+(-1.314933+(-1.057995--0.869958))+0-507.9--0.259028999999948</f>
        <v>2437.8560589999997</v>
      </c>
      <c r="Z349" s="3">
        <f>2530.8+(1897.8-1605.5)+(-6.45354+(-4.83939--4.094025))+0-491.1--1.25230499999993</f>
        <v>2326.0534000000002</v>
      </c>
      <c r="AA349" s="3">
        <f>2533.9+(1835.7-1451.6)+(0+(0-0))+0-678.1-0</f>
        <v>2239.9</v>
      </c>
      <c r="AB349" s="3">
        <f>2328.6+(1544.9-1137)+(-5.93793+(-3.939495--2.89935))+0-696.6--1.7763299999999</f>
        <v>2034.698255</v>
      </c>
      <c r="AC349" s="3">
        <f>2184.7+(1392.5-1051.5)+(-5.570985+(-3.550875--2.681325))+0-543.7--1.38643499999992</f>
        <v>1976.9458999999995</v>
      </c>
      <c r="AD349" s="2">
        <v>2299.5999999999995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1662.1+(1028.5-465.4)+(-1.695342+(-1.04907--0.474708))+0-604.9--0.616998000000096</f>
        <v>1618.6472940000001</v>
      </c>
      <c r="G350" s="3">
        <f>1491.7+(827.9-83.9)+(0.760767+(0.422229-0.042789))+0-534.8-0.272747999999946</f>
        <v>1701.7674589999999</v>
      </c>
      <c r="H350" s="3">
        <f>1444.9+(1080.4-127.6)+(0+(0-0))+0-730.3-0</f>
        <v>1667.4000000000003</v>
      </c>
      <c r="I350" s="3">
        <f>1440.9+(948.2-103)+(-2.204577+(-1.450746--0.15759))+0-631.8--0.966654000000036</f>
        <v>1651.7689210000003</v>
      </c>
      <c r="J350" s="3">
        <f>1438+(1026.1-145.2)+(1.46676+(1.046622-0.148104))+0-657.2-0.670344000000105</f>
        <v>1663.3949339999997</v>
      </c>
      <c r="K350" s="3">
        <f>1533.8+(960.3-157.7)+(-1.564476+(-0.979506--0.160854))+0-647.9--0.660858000000103</f>
        <v>1686.7777299999998</v>
      </c>
      <c r="L350" s="3">
        <f>1670.5+(796.1-204.4)+(-1.70391+(-0.812022--0.208488))+0-543.2--0.554064000000087</f>
        <v>1717.2466199999999</v>
      </c>
      <c r="M350" s="3">
        <f>2036.1+(1019.8-542.1)+(2.076822+(1.040196-0.552942))+0-585.8-0.597516000000093</f>
        <v>1929.9665599999998</v>
      </c>
      <c r="N350" s="3">
        <f>2153.8+(1106.1-656.4)+(0+(0-0))+0-443.2-0</f>
        <v>2160.3000000000002</v>
      </c>
      <c r="O350" s="3">
        <f>2371+(1445.3-987.2)+(0+(0-0))+0-563.2-0</f>
        <v>2265.8999999999996</v>
      </c>
      <c r="P350" s="3">
        <f>2281.4+(1487.7-889.4)+(1.163514+(0.758727-0.453594))+0-544-0.277439999999945</f>
        <v>2336.8912070000006</v>
      </c>
      <c r="Q350" s="3">
        <f>2390.6+(1579.2-1023.6)+(3.657618+(2.416176-1.566108))+0-589.2-0.901476000000034</f>
        <v>2360.6062099999999</v>
      </c>
      <c r="R350" s="3">
        <f>2333.8+(1300.5-1014.6)+(-4.760952+(-2.65302--2.069784))+0-488.2--0.995927999999979</f>
        <v>2127.1517400000002</v>
      </c>
      <c r="S350" s="3">
        <f>2211.5+(1233-764.2)+(-2.25573+(-1.25766--0.779484))+0-569.9--0.581298000000091</f>
        <v>2108.2473920000002</v>
      </c>
      <c r="T350" s="3">
        <f>2199.4+(1355.6-815.7)+(0+(0-0))+0-570.8-0</f>
        <v>2168.5</v>
      </c>
      <c r="U350" s="3">
        <f>2235.3+(1308.1-870.8)+(1.140003+(0.667131-0.444108))+0-498-0.253979999999949</f>
        <v>2175.7090460000004</v>
      </c>
      <c r="V350" s="3">
        <f>2467.1+(1332.2-1200.3)+(-1.258221+(-0.679422--0.612153))+0-485.2--0.247451999999951</f>
        <v>2112.7219620000001</v>
      </c>
      <c r="W350" s="3">
        <f>2226.7+(1431.9-989.6)+(-1.135617+(-0.730269--0.504696))+0-479--0.244289999999951</f>
        <v>2188.8831</v>
      </c>
      <c r="X350" s="3">
        <f>2329.2+(1929.9-1315.3)+(-2.375784+(-1.968498--1.341606))+0-526.2--0.536724000000084</f>
        <v>2415.1340480000003</v>
      </c>
      <c r="Y350" s="3">
        <f>2346.6+(2005.8-1421.5)+(-3.590298+(-3.068874--2.174895))+0-509.4--0.779382000000029</f>
        <v>2417.7951049999997</v>
      </c>
      <c r="Z350" s="3">
        <f>2229.5+(1959.8-1394.8)+(0+(0-0))+0-497.9-0</f>
        <v>2296.6</v>
      </c>
      <c r="AA350" s="3">
        <f>2447+(1818.2-1425.7)+(0+(0-0))+0-553.9-0</f>
        <v>2285.6</v>
      </c>
      <c r="AB350" s="3">
        <f>2324.9+(1610.8-1299.7)+(-5.928495+(-4.10754--3.314235))+0-548.3--1.39816499999992</f>
        <v>2082.3763650000005</v>
      </c>
      <c r="AC350" s="3">
        <f>2196.2+(1381.9-928.8)+(-8.960496+(-5.638152--3.789504))+0-676.4--2.75971199999994</f>
        <v>1964.8505680000003</v>
      </c>
      <c r="AD350" s="2">
        <v>2466.5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1755.7+(1066.9-461)+(-3.581628+(-2.176476--0.94044))+0-678.5--1.38413999999997</f>
        <v>1679.6664760000001</v>
      </c>
      <c r="G351" s="3">
        <f>1678.9+(831.8-120.4)+(-2.568717+(-1.272654--0.184212))+0-647.5--0.990675000000037</f>
        <v>1740.1335160000003</v>
      </c>
      <c r="H351" s="3">
        <f>1524+(895.9-102.4)+(-3.10896+(-1.827636--0.208896))+0-617.8--1.26031199999997</f>
        <v>1696.232612</v>
      </c>
      <c r="I351" s="3">
        <f>1525.5+(897.6-129.3)+(-1.55601+(-0.915552--0.131886))+0-616.3--0.628626000000098</f>
        <v>1675.7889500000003</v>
      </c>
      <c r="J351" s="3">
        <f>1519.8+(898.2-141.4)+(3.100392+(1.832328-0.288456))+0-597-1.21787999999997</f>
        <v>1683.026384</v>
      </c>
      <c r="K351" s="3">
        <f>1517.9+(974.3-159.2)+(0+(0-0))+0-635.3-0</f>
        <v>1697.7</v>
      </c>
      <c r="L351" s="3">
        <f>1517.2+(1035.4-226)+(2.321316+(1.584162-0.34578))+0-594.6-0.909738000000034</f>
        <v>1734.6499600000004</v>
      </c>
      <c r="M351" s="3">
        <f>1870.2+(1147.5-480.7)+(0.953802+(0.585225-0.245157))+0-610.4-0.311303999999938</f>
        <v>1927.582566</v>
      </c>
      <c r="N351" s="3">
        <f>2244.4+(1549.4-1072.8)+(1.144644+(0.790194-0.547128))+0-540.7-0.275756999999945</f>
        <v>2181.4119530000003</v>
      </c>
      <c r="O351" s="3">
        <f>2441.7+(1946.2-1541.4)+(2.490534+(1.985124-1.572228))+0-565.4-0.57670800000009</f>
        <v>2283.4267219999997</v>
      </c>
      <c r="P351" s="3">
        <f>2547+(2072.8-1658.8)+(0+(0-0))+0-631.9-0</f>
        <v>2329.1</v>
      </c>
      <c r="Q351" s="3">
        <f>2561.6+(2045.9-1693.9)+(-3.919248+(-3.130227--2.591667))+0-566.9--0.867357000000033</f>
        <v>2343.1095489999998</v>
      </c>
      <c r="R351" s="3">
        <f>2387.6+(1756.1-1489.3)+(-7.306056+(-5.373666--4.557258))+0-519.9--1.59089400000006</f>
        <v>2127.9684299999994</v>
      </c>
      <c r="S351" s="3">
        <f>2333.8+(1520.7-1136)+(2.380476+(1.551114-1.15872))+0-638.5-0.651270000000102</f>
        <v>2082.1215999999995</v>
      </c>
      <c r="T351" s="3">
        <f>2530.7+(1568.8-1440.3)+(0+(0-0))+0-533.7-0</f>
        <v>2125.5</v>
      </c>
      <c r="U351" s="3">
        <f>2445.6+(1472.4-1338.7)+(-1.247256+(-0.750924--0.682737))+0-444.2--0.226541999999955</f>
        <v>2134.0110990000003</v>
      </c>
      <c r="V351" s="3">
        <f>2427+(1503.5-1245)+(-1.23777+(-0.766785--0.63495))+0-439.3--0.224042999999955</f>
        <v>2245.0544380000001</v>
      </c>
      <c r="W351" s="3">
        <f>2196.1+(1750.2-1239.5)+(-1.120011+(-0.892602--0.632145))+0-519.1--0.264740999999947</f>
        <v>2186.5842730000004</v>
      </c>
      <c r="X351" s="3">
        <f>2206.3+(2009.9-1535.9)+(-1.125213+(-1.025049--0.783309))+0-389.9--0.19884899999996</f>
        <v>2289.2318959999998</v>
      </c>
      <c r="Y351" s="3">
        <f>2446+(2163.2-1555.9)+(-1.24746+(-1.103232--0.793509))+0-589.4--0.30059399999994</f>
        <v>2462.6434109999996</v>
      </c>
      <c r="Z351" s="3">
        <f>2360.7+(2019.1-1436.2)+(-3.611871+(-3.089223--2.197386))+0-621.3--0.950589000000036</f>
        <v>2318.7468809999991</v>
      </c>
      <c r="AA351" s="3">
        <f>2267+(1820.4-1165.8)+(-4.62468+(-3.713616--2.378232))+0-684.1--1.39556399999997</f>
        <v>2232.9355000000005</v>
      </c>
      <c r="AB351" s="3">
        <f>2169.7+(1582-994.9)+(-5.532735+(-4.0341--2.536995))+0-627.7--1.60063499999991</f>
        <v>2123.6707949999991</v>
      </c>
      <c r="AC351" s="3">
        <f>1864.8+(1599.1-782.5)+(-2.853144+(-2.446623--1.197225))+0-700.7--1.07207100000004</f>
        <v>1977.6695289999996</v>
      </c>
      <c r="AD351" s="2">
        <v>2571.099999999999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1557+(1184.5-324.4)+(-1.58814+(-1.20819--0.330888))+0-583.5--0.595170000000093</f>
        <v>1831.7297279999998</v>
      </c>
      <c r="G352" s="3">
        <f>1475+(1221.6-303.4)+(-3.009+(-2.492064--0.618936))+0-667.2--1.36108799999997</f>
        <v>1722.4789599999995</v>
      </c>
      <c r="H352" s="3">
        <f>1469+(1262-437.4)+(2.24757+(1.93086-0.669222))+0-608.9-0.931617000000035</f>
        <v>1687.2775909999998</v>
      </c>
      <c r="I352" s="3">
        <f>1467.8+(1245.4-464.9)+(0.748578+(0.635154-0.237099))+0-567.2-0.289271999999942</f>
        <v>1681.957361</v>
      </c>
      <c r="J352" s="3">
        <f>1513.2+(1284-433.9)+(3.086928+(2.61936-0.885156))+0-693-1.41371999999997</f>
        <v>1673.7074120000002</v>
      </c>
      <c r="K352" s="3">
        <f>1550.6+(1180.6-476)+(-3.95403+(-3.01053--1.2138))+0-551.9--1.40734499999992</f>
        <v>1698.9565849999997</v>
      </c>
      <c r="L352" s="3">
        <f>1704+(1136.9-467.8)+(0+(0-0))+0-637.6-0</f>
        <v>1735.5000000000005</v>
      </c>
      <c r="M352" s="3">
        <f>2002.7+(1182.3-817.6)+(0+(0-0))+0-448.8-0</f>
        <v>1918.6000000000001</v>
      </c>
      <c r="N352" s="3">
        <f>2349.5+(1727.4-1319.1)+(3.594735+(2.642922-2.018223))+0-579.3-0.886329000000033</f>
        <v>2181.8331050000006</v>
      </c>
      <c r="O352" s="3">
        <f>2431.3+(2080-1683)+(3.719889+(3.1824-2.57499))+0-555.7-0.850221000000032</f>
        <v>2276.0770779999998</v>
      </c>
      <c r="P352" s="3">
        <f>2572.6+(2146.7-1750)+(1.312026+(1.094817-0.8925))+0-628.1-0.320330999999936</f>
        <v>2342.3940119999997</v>
      </c>
      <c r="Q352" s="3">
        <f>2620.9+(2039.4-1777.9)+(-4.009977+(-3.120282--2.720187))+0-524.6--0.80263800000003</f>
        <v>2354.1925660000002</v>
      </c>
      <c r="R352" s="3">
        <f>2394+(1848-1488.8)+(-3.66282+(-2.82744--2.277864))+0-527.3--0.80676900000003</f>
        <v>2222.4943729999995</v>
      </c>
      <c r="S352" s="3">
        <f>2282.8+(1644.5-1243.7)+(-3.492684+(-2.516085--1.902861))+0-556.3--0.851139000000032</f>
        <v>2124.0452310000005</v>
      </c>
      <c r="T352" s="3">
        <f>2247+(1645.2-1157)+(-1.14597+(-0.839052--0.59007))+0-568.9--0.290138999999942</f>
        <v>2165.1951869999994</v>
      </c>
      <c r="U352" s="3">
        <f>2140.7+(1412.9-1081.5)+(-2.183514+(-1.441158--1.10313))+0-363.1--0.370362000000058</f>
        <v>2106.8488200000002</v>
      </c>
      <c r="V352" s="3">
        <f>2311.1+(1439.8-1231.4)+(0+(0-0))+0-402.7-0</f>
        <v>2116.8000000000002</v>
      </c>
      <c r="W352" s="3">
        <f>2302.3+(1636.2-1155.2)+(0+(0-0))+0-628.8-0</f>
        <v>2154.5</v>
      </c>
      <c r="X352" s="3">
        <f>2435.3+(1827.5-1470.8)+(-2.484006+(-1.86405--1.500216))+0-466.2--0.475524000000074</f>
        <v>2323.4276840000002</v>
      </c>
      <c r="Y352" s="3">
        <f>2519.9+(2017.8-1594.1)+(-8.996043+(-7.203546--5.690937))+0-624.6--2.22982200000001</f>
        <v>2310.7211700000003</v>
      </c>
      <c r="Z352" s="3">
        <f>2339+(1522.9-1179.5)+(0+(0-0))+0-452.9-0</f>
        <v>2229.5</v>
      </c>
      <c r="AA352" s="3">
        <f>2272.8+(1426.1-1037.4)+(-6.954768+(-4.363866--3.174444))+0-501.7--1.53520200000006</f>
        <v>2153.1910120000002</v>
      </c>
      <c r="AB352" s="3">
        <f>2119.7+(1526.9-1043)+(-8.648376+(-6.229752--4.25544))+0-543.1--2.21584799999995</f>
        <v>2052.0931599999999</v>
      </c>
      <c r="AC352" s="3">
        <f>2119.7+(1337.9-1005.9)+(-4.324188+(-2.729316--2.052036))+0-538.2--1.09792799999998</f>
        <v>1909.5964599999998</v>
      </c>
      <c r="AD352" s="2">
        <v>2330.3000000000002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2031.8+(981.4-644.3)+(-1.036218+(-0.500514--0.328593))+0-604.8--0.308447999999939</f>
        <v>1763.2003090000003</v>
      </c>
      <c r="G353" s="3">
        <f>1751.8+(810.9-213.4)+(-1.786836+(-0.827118--0.217668))+0-669.5--0.682890000000107</f>
        <v>1678.0866040000001</v>
      </c>
      <c r="H353" s="3">
        <f>1755.3+(701.5-254.4)+(0.895203+(0.357765-0.129744))+0-580.5-0.296054999999941</f>
        <v>1622.727169</v>
      </c>
      <c r="I353" s="3">
        <f>1701.4+(726.2-241.2)+(0.867714+(0.370362-0.123012))+0-586.5-0.299114999999941</f>
        <v>1600.7159490000001</v>
      </c>
      <c r="J353" s="3">
        <f>1650.6+(777.8-197.6)+(2.525418+(1.190034-0.302328))+0-639.5-0.978435000000037</f>
        <v>1593.7346889999999</v>
      </c>
      <c r="K353" s="3">
        <f>1652.9+(795.2-113.5)+(-2.528937+(-1.216656--0.173655))+0-732.4--1.12057200000004</f>
        <v>1599.7486340000003</v>
      </c>
      <c r="L353" s="3">
        <f>1576.3+(673.6-135.2)+(-0.803913+(-0.343536--0.068952))+0-517.2--0.263771999999948</f>
        <v>1596.6852749999998</v>
      </c>
      <c r="M353" s="3">
        <f>1680.5+(976.6-323.9)+(1.71411+(0.996132-0.330378))+0-591.2-0.603024000000094</f>
        <v>1743.7768399999998</v>
      </c>
      <c r="N353" s="3">
        <f>2054.9+(1210.3-627)+(1.047999+(0.617253-0.31977))+0-674-0.343739999999932</f>
        <v>1965.201742</v>
      </c>
      <c r="O353" s="3">
        <f>2656.3+(1588.9-1549.3)+(0+(0-0))+0-605.4-0</f>
        <v>2090.5000000000005</v>
      </c>
      <c r="P353" s="3">
        <f>2663+(1903.9-1785.5)+(0+(0-0))+0-625.3-0</f>
        <v>2156.1000000000004</v>
      </c>
      <c r="Q353" s="3">
        <f>2593.5+(1873.1-1700.8)+(-1.322685+(-0.955281--0.867408))+0-621.8--0.317117999999937</f>
        <v>2142.9065600000004</v>
      </c>
      <c r="R353" s="3">
        <f>2318.9+(1702.1-1279.2)+(-4.730556+(-3.472284--2.609568))+0-766.9--1.56447599999997</f>
        <v>1970.871204</v>
      </c>
      <c r="S353" s="3">
        <f>2216+(1180.2-837.3)+(-1.13016+(-0.601902--0.427023))+0-650.6--0.331805999999934</f>
        <v>1907.3267670000002</v>
      </c>
      <c r="T353" s="3">
        <f>2173.5+(1177.7-743.8)+(1.108485+(0.600627-0.379338))+0-699.7-0.356846999999929</f>
        <v>1908.6729269999998</v>
      </c>
      <c r="U353" s="3">
        <f>2216.4+(1169.5-824.2)+(2.260728+(1.19289-0.840684))+0-706.4-0.720528000000113</f>
        <v>1857.1924059999999</v>
      </c>
      <c r="V353" s="3">
        <f>2359.4+(1133.8-1050.3)+(-3.609882+(-1.734714--1.606959))+0-618.6--0.946458000000036</f>
        <v>1821.5088210000001</v>
      </c>
      <c r="W353" s="3">
        <f>2184.1+(1095.5-810.2)+(4.455564+(2.23482-1.652808))+0-596.8-1.21747199999997</f>
        <v>1876.4201039999998</v>
      </c>
      <c r="X353" s="3">
        <f>2322.8+(1589-1086.9)+(-2.369256+(-1.62078--1.108638))+0-683.4--0.697068000000109</f>
        <v>2139.31567</v>
      </c>
      <c r="Y353" s="3">
        <f>2366.9+(1855-1356.4)+(-4.828476+(-3.7842--2.767056))+0-686.5--1.40045999999997</f>
        <v>2174.5548399999998</v>
      </c>
      <c r="Z353" s="3">
        <f>2288.9+(1883.8-1477.1)+(-4.669356+(-3.842952--3.013284))+0-590.3--1.20421199999997</f>
        <v>2101.0051880000005</v>
      </c>
      <c r="AA353" s="3">
        <f>2223.4+(1908.9-1357.6)+(3.401802+(2.920617-2.077128))+0-729.1-1.11552300000004</f>
        <v>2048.7297680000006</v>
      </c>
      <c r="AB353" s="3">
        <f>2173.4+(1751.1-1382.6)+(-5.54217+(-4.465305--3.52563))+0-599.3--1.52821499999991</f>
        <v>1937.6463700000002</v>
      </c>
      <c r="AC353" s="3">
        <f>2070+(1565.8-1001.7)+(0+(0-0))+0-804-0</f>
        <v>1830.1</v>
      </c>
      <c r="AD353" s="2">
        <v>2165.6999999999998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1750.2+(1019-415.3)+(-1.785204+(-1.03938--0.423606))+0-673.2--0.686664000000107</f>
        <v>1678.985686</v>
      </c>
      <c r="G354" s="3">
        <f>1745.3+(875.4-240)+(0+(0-0))+0-738.9-0</f>
        <v>1641.7999999999997</v>
      </c>
      <c r="H354" s="3">
        <f>1713.2+(777.2-132.8)+(0+(0-0))+0-793.8-0</f>
        <v>1563.8000000000004</v>
      </c>
      <c r="I354" s="3">
        <f>1742.3+(598.6-38.9)+(-4.442865+(-1.52643--0.099195))+0-725.2--1.84925999999989</f>
        <v>1572.7791599999998</v>
      </c>
      <c r="J354" s="3">
        <f>1739.3+(674.8-75.7)+(-0.887043+(-0.344148--0.038607))+0-778.5--0.397034999999921</f>
        <v>1559.1044509999997</v>
      </c>
      <c r="K354" s="3">
        <f>1740.1+(561.9-98.5)+(0+(0-0))+0-688.8-0</f>
        <v>1514.7</v>
      </c>
      <c r="L354" s="3">
        <f>1739.3+(537.5-69.3)+(-1.774086+(-0.54825--0.070686))+0-778.1--0.793662000000124</f>
        <v>1427.942012</v>
      </c>
      <c r="M354" s="3">
        <f>1739+(445.5-87.4)+(0.88689+(0.227205-0.044574))+0-654.1-0.333590999999934</f>
        <v>1443.7359300000001</v>
      </c>
      <c r="N354" s="3">
        <f>1734.6+(545.8-106)+(-2.653938+(-0.835074--0.16218))+0-630--0.963900000000036</f>
        <v>1542.0370679999994</v>
      </c>
      <c r="O354" s="3">
        <f>1723.3+(1013.4-268.7)+(2.636649+(1.550502-0.411111))+0-831.8-1.27265400000005</f>
        <v>1638.7033860000001</v>
      </c>
      <c r="P354" s="3">
        <f>1827.9+(1020-426.3)+(0+(0-0))+0-709.8-0</f>
        <v>1711.8000000000004</v>
      </c>
      <c r="Q354" s="3">
        <f>1952.1+(1203.8-618.4)+(1.991142+(1.227876-0.630768))+0-805.6-0.821712000000128</f>
        <v>1733.6665379999997</v>
      </c>
      <c r="R354" s="3">
        <f>2022.6+(1026.1-659.3)+(-1.031526+(-0.523311--0.336243))+0-716.2--0.365261999999927</f>
        <v>1672.3466679999997</v>
      </c>
      <c r="S354" s="3">
        <f>1970.7+(931.1-541.1)+(-4.020228+(-1.899444--1.103844))+0-739.8--1.50919199999997</f>
        <v>1617.5933640000001</v>
      </c>
      <c r="T354" s="3">
        <f>1996.5+(813-518.3)+(-2.03643+(-0.82926--0.528666))+0-683.9--0.697578000000109</f>
        <v>1605.6605539999998</v>
      </c>
      <c r="U354" s="3">
        <f>2023+(828.9-539.2)+(-1.03173+(-0.422739--0.274992))+0-723.1--0.368780999999927</f>
        <v>1588.7893039999997</v>
      </c>
      <c r="V354" s="3">
        <f>2026.5+(768.1-595.2)+(-2.06703+(-0.783462--0.607104))+0-598.9--0.610878000000096</f>
        <v>1598.8674900000003</v>
      </c>
      <c r="W354" s="3">
        <f>2020.9+(882.2-614.2)+(-3.091977+(-1.349766--0.939726))+0-619.3--0.947529000000036</f>
        <v>1667.0455120000004</v>
      </c>
      <c r="X354" s="3">
        <f>2307.4+(1723.7-1369.9)+(3.530322+(2.637261-2.095947))+0-696.7-1.06595100000004</f>
        <v>1967.5056849999999</v>
      </c>
      <c r="Y354" s="3">
        <f>2463.4+(1842.8-1803.5)+(-2.512668+(-1.879656--1.83957))+0-500.2--0.51020400000008</f>
        <v>2000.4574500000001</v>
      </c>
      <c r="Z354" s="3">
        <f>2423.2+(1812-1676.7)+(-4.943328+(-3.69648--3.420468))+0-582.9--1.18911599999997</f>
        <v>1971.5697759999998</v>
      </c>
      <c r="AA354" s="3">
        <f>2289.2+(1836.3-1607.3)+(-4.669968+(-3.746052--3.278892))+0-592.3--1.20829199999997</f>
        <v>1921.971164</v>
      </c>
      <c r="AB354" s="3">
        <f>2199.2+(1825.3-1457.2)+(-6.729552+(-5.585418--4.459032))+0-726--2.22156000000008</f>
        <v>1835.6656219999998</v>
      </c>
      <c r="AC354" s="3">
        <f>2109.3+(1546.6-1197.4)+(-4.302972+(-3.155064--2.442696))+0-761.1--1.55264399999997</f>
        <v>1693.937304</v>
      </c>
      <c r="AD354" s="2">
        <v>2023.8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1947.2+(899.6-552.6)+(-2.979216+(-1.376388--0.845478))+0-699.7--1.07054100000004</f>
        <v>1592.0604149999997</v>
      </c>
      <c r="G355" s="3">
        <f>1726.2+(851-252.6)+(0+(0-0))+0-801.8-0</f>
        <v>1522.8</v>
      </c>
      <c r="H355" s="3">
        <f>1632.7+(848.6-211.4)+(-2.498031+(-1.298358--0.323442))+0-777--1.18881000000005</f>
        <v>1490.615863</v>
      </c>
      <c r="I355" s="3">
        <f>1594.8+(806-252.1)+(0.813348+(0.41106-0.128571))+0-666.3-0.339812999999932</f>
        <v>1483.1560239999999</v>
      </c>
      <c r="J355" s="3">
        <f>1557.2+(937.3-205.2)+(3.97086+(2.390115-0.52326))+0-801-2.04254999999988</f>
        <v>1492.0951650000004</v>
      </c>
      <c r="K355" s="3">
        <f>1669.6+(819-227.8)+(2.554488+(1.25307-0.348534))+0-744.8-1.13954400000004</f>
        <v>1518.3194800000003</v>
      </c>
      <c r="L355" s="3">
        <f>1839.5+(765.8-222)+(-0.938145+(-0.390558--0.11322))+0-829.4--0.422993999999916</f>
        <v>1553.1075110000002</v>
      </c>
      <c r="M355" s="3">
        <f>2166.3+(715.8-489.2)+(2.209626+(0.730116-0.498984))+0-667.8-0.681156000000106</f>
        <v>1726.8596020000002</v>
      </c>
      <c r="N355" s="3">
        <f>2857.3+(1131.7-1218.7)+(1.457223+(0.577167-0.621537))+0-765.4-0.390353999999922</f>
        <v>2005.922499</v>
      </c>
      <c r="O355" s="3">
        <f>2913.9+(1739.6-1826.7)+(4.458267+(2.661588-2.794851))+0-686.1-1.04973300000004</f>
        <v>2143.9752710000002</v>
      </c>
      <c r="P355" s="3">
        <f>2915.7+(2060.5-2026.6)+(4.461021+(3.152565-3.100698))+0-743.6-1.13770800000004</f>
        <v>2209.37518</v>
      </c>
      <c r="Q355" s="3">
        <f>2933.6+(1942.2-2026.6)+(-7.48068+(-4.95261--5.16783))+0-616.5--1.57207499999991</f>
        <v>2227.0066149999998</v>
      </c>
      <c r="R355" s="3">
        <f>2953.9+(1450-1779.4)+(0+(0-0))+0-566.8-0</f>
        <v>2057.6999999999998</v>
      </c>
      <c r="S355" s="3">
        <f>2972.8+(1466-1825.8)+(0+(0-0))+0-595.4-0</f>
        <v>2017.6</v>
      </c>
      <c r="T355" s="3">
        <f>2901.8+(1685.5-1841.7)+(0+(0-0))+0-687.3-0</f>
        <v>2058.3000000000002</v>
      </c>
      <c r="U355" s="3">
        <f>2767.6+(1586.5-1697.1)+(2.822952+(1.61823-1.731042))+0-598.9-0.610878000000096</f>
        <v>2060.1992620000001</v>
      </c>
      <c r="V355" s="3">
        <f>2779.6+(1589.8-1663.1)+(4.252788+(2.432394-2.544543))+0-693-1.06029000000004</f>
        <v>2016.3803490000003</v>
      </c>
      <c r="W355" s="3">
        <f>2828.5+(1550.8-1851)+(2.88507+(1.581816-1.88802))+0-570-0.581400000000091</f>
        <v>1960.297466</v>
      </c>
      <c r="X355" s="3">
        <f>2989.7+(1982.6-2067)+(3.049494+(2.022252-2.10834))+0-597.9-0.609858000000095</f>
        <v>2309.7535479999992</v>
      </c>
      <c r="Y355" s="3">
        <f>3037.1+(2088.6-2132.7)+(0+(0-0))+0-636.3-0</f>
        <v>2356.6999999999998</v>
      </c>
      <c r="Z355" s="3">
        <f>3053.4+(1824.1-1958.4)+(0+(0-0))+0-625.1-0</f>
        <v>2294</v>
      </c>
      <c r="AA355" s="3">
        <f>3095.4+(1680.7-1780.4)+(1.578654+(0.857157-0.908004))+0-605.1-0.308600999999939</f>
        <v>2391.8192060000001</v>
      </c>
      <c r="AB355" s="3">
        <f>2557.6+(1357.5-1184)+(-3.913128+(-2.076975--1.81152))+0-622.2--0.951966000000036</f>
        <v>2105.6733829999998</v>
      </c>
      <c r="AC355" s="3">
        <f>2418.3+(1296.1-946.8)+(3.699999+(1.983033-1.448604))+0-785-1.20105000000005</f>
        <v>1985.6333780000004</v>
      </c>
      <c r="AD355" s="2">
        <v>2411.9999999999995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2297.4+(789.8-551.2)+(-4.686696+(-1.611192--1.124448))+0-734.5--1.49837999999997</f>
        <v>1797.82494</v>
      </c>
      <c r="G356" s="3">
        <f>2266.8+(831.5-586)+(-4.624272+(-1.69626--1.19544))+0-865.8--1.76623199999996</f>
        <v>1643.14114</v>
      </c>
      <c r="H356" s="3">
        <f>2226.9+(641.9-576.2)+(-3.407157+(-0.982107--0.881586))+0-680.1--1.04055300000004</f>
        <v>1610.0328750000001</v>
      </c>
      <c r="I356" s="3">
        <f>2226.9+(701-532.3)+(-2.271438+(-0.71502--0.542946))+0-766.6--0.781932000000122</f>
        <v>1627.3384200000007</v>
      </c>
      <c r="J356" s="3">
        <f>2226.7+(668.3-493.7)+(-1.135617+(-0.340833--0.251787))+0-733.5--0.374084999999926</f>
        <v>1666.9494219999997</v>
      </c>
      <c r="K356" s="3">
        <f>2249.2+(650.7-540.1)+(-2.294184+(-0.663714--0.550902))+0-664.7--0.677994000000106</f>
        <v>1693.3709979999996</v>
      </c>
      <c r="L356" s="3">
        <f>2312.2+(523.6-587.2)+(-2.358444+(-0.534072--0.598944))+0-574.7--0.586194000000092</f>
        <v>1672.192622</v>
      </c>
      <c r="M356" s="3">
        <f>2815.4+(671.2-1065)+(0+(0-0))+0-600.8-0</f>
        <v>1820.8000000000004</v>
      </c>
      <c r="N356" s="3">
        <f>2972+(1185.5-1607.3)+(7.5786+(3.023025-4.098615))+0-491.4-1.25306999999993</f>
        <v>2064.0499399999999</v>
      </c>
      <c r="O356" s="3">
        <f>2842.6+(1928.2-2157.2)+(0+(0-0))+0-404.1-0</f>
        <v>2209.5000000000005</v>
      </c>
      <c r="P356" s="3">
        <f>2900.5+(1993.6-2171.8)+(0+(0-0))+0-446.7-0</f>
        <v>2275.6</v>
      </c>
      <c r="Q356" s="3">
        <f>2887.2+(1951.9-2193)+(-1.472472+(-0.995469--1.11843))+0-387.1--0.197420999999961</f>
        <v>2257.84791</v>
      </c>
      <c r="R356" s="3">
        <f>2886.6+(1670.8-2016.6)+(-8.832996+(-5.112648--6.170796))+0-502.9--1.53887400000006</f>
        <v>2031.6640260000001</v>
      </c>
      <c r="S356" s="3">
        <f>2884.9+(1345.3-1628.1)+(-1.471299+(-0.686103--0.830331))+0-534.3--0.272492999999946</f>
        <v>2066.7454220000004</v>
      </c>
      <c r="T356" s="3">
        <f>2882+(1422.5-1484.8)+(-8.81892+(-4.35285--4.543488))+0-661--2.02266000000008</f>
        <v>2152.0943779999998</v>
      </c>
      <c r="U356" s="3">
        <f>2776.2+(1317.2-1382.3)+(1.415862+(0.671772-0.704973))+0-562.5-0.286874999999943</f>
        <v>2149.6957860000002</v>
      </c>
      <c r="V356" s="3">
        <f>2793.6+(1403.2-1418.6)+(2.849472+(1.431264-1.446972))+0-645.7-0.658614000000103</f>
        <v>2134.67515</v>
      </c>
      <c r="W356" s="3">
        <f>2903.6+(1498.2-1523.3)+(2.961672+(1.528164-1.553766))+0-668.5-0.681870000000107</f>
        <v>2212.2542000000003</v>
      </c>
      <c r="X356" s="3">
        <f>3072.8+(1646.1-2079.2)+(0+(0-0))+0-134.4-0</f>
        <v>2505.3000000000002</v>
      </c>
      <c r="Y356" s="3">
        <f>2947.5+(1745.9-2139.2)+(0+(0-0))+0-181.3-0</f>
        <v>2372.9</v>
      </c>
      <c r="Z356" s="3">
        <f>2901.6+(1648.6-2040.7)+(-5.919264+(-3.363144--4.163028))+0-233.3--0.47593199999999</f>
        <v>2271.5565519999996</v>
      </c>
      <c r="AA356" s="3">
        <f>2831.3+(1621.2-1896.6)+(-4.331889+(-2.480436--2.901798))+0-385.9--0.590427000000022</f>
        <v>2166.6799000000005</v>
      </c>
      <c r="AB356" s="3">
        <f>3059.8+(1641.6-2106.8)+(-3.120996+(-1.674432--2.148936))+0-496.1--0.506022000000079</f>
        <v>2096.3595300000002</v>
      </c>
      <c r="AC356" s="3">
        <f>3019.7+(1258-1687.6)+(-7.700235+(-3.2079--4.30338))+0-621.4--1.58456999999991</f>
        <v>1963.679815</v>
      </c>
      <c r="AD356" s="2">
        <v>2425.1999999999998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2586.5+(720.7-884.5)+(-2.63823+(-0.735114--0.90219))+0-645.8--0.658716000000103</f>
        <v>1775.0875620000002</v>
      </c>
      <c r="G357" s="3">
        <f>2344.1+(534-482.8)+(-2.390982+(-0.54468--0.492456))+0-691.7--0.70553400000011</f>
        <v>1701.8623279999999</v>
      </c>
      <c r="H357" s="3">
        <f>2252.7+(549.5-415.8)+(0+(0-0))+0-715-0</f>
        <v>1671.3999999999996</v>
      </c>
      <c r="I357" s="3">
        <f>2048.9+(643.8-376.1)+(3.134817+(0.985014-0.575433))+0-655.6-1.00306800000004</f>
        <v>1663.54133</v>
      </c>
      <c r="J357" s="3">
        <f>2044.9+(773.1-362.2)+(-1.042899+(-0.394281--0.184722))+0-763.6--0.389435999999923</f>
        <v>1691.3369780000003</v>
      </c>
      <c r="K357" s="3">
        <f>2040.7+(663-366.3)+(1.040757+(0.33813-0.186813))+0-633.8-0.323237999999936</f>
        <v>1704.4688360000002</v>
      </c>
      <c r="L357" s="3">
        <f>2086.5+(764.6-365.9)+(0+(0-0))+0-771.5-0</f>
        <v>1713.6999999999998</v>
      </c>
      <c r="M357" s="3">
        <f>2431.4+(766.7-769.4)+(2.480028+(0.782034-0.784788))+0-540.2-0.551004000000086</f>
        <v>1890.4262699999999</v>
      </c>
      <c r="N357" s="3">
        <f>2826.6+(1113.9-1311.1)+(1.441566+(0.568089-0.668661))+0-557.2-0.284171999999944</f>
        <v>2073.2568219999998</v>
      </c>
      <c r="O357" s="3">
        <f>3144+(1745.1-1968.9)+(3.20688+(1.780002-2.008278))+0-674.9-0.688398000000108</f>
        <v>2247.5902059999994</v>
      </c>
      <c r="P357" s="3">
        <f>3212.7+(2090.5-2211)+(-1.638477+(-1.066155--1.12761))+0-808.6--0.412385999999918</f>
        <v>2282.4353639999999</v>
      </c>
      <c r="Q357" s="3">
        <f>2961.3+(1947.3-2057.5)+(-7.551315+(-4.965615--5.246625))+0-565.3--1.44151499999992</f>
        <v>2279.9712100000002</v>
      </c>
      <c r="R357" s="3">
        <f>2742.6+(1850.3-1798.8)+(-5.594904+(-3.774612--3.669552))+0-699.6--1.42718399999997</f>
        <v>2090.2272200000002</v>
      </c>
      <c r="S357" s="3">
        <f>2717.6+(1763.7-1676.6)+(0+(0-0))+0-781.8-0</f>
        <v>2022.8999999999999</v>
      </c>
      <c r="T357" s="3">
        <f>2903.5+(1770-1761.8)+(-1.480785+(-0.9027--0.898518))+0-808.3--0.412232999999918</f>
        <v>2102.3272660000002</v>
      </c>
      <c r="U357" s="3">
        <f>2903.8+(1612.7-1732.8)+(0+(0-0))+0-696.5-0</f>
        <v>2087.2000000000003</v>
      </c>
      <c r="V357" s="3">
        <f>2837.6+(1531.8-1645.7)+(-5.788704+(-3.124872--3.357228))+0-671.5--1.36985999999997</f>
        <v>2048.0135119999995</v>
      </c>
      <c r="W357" s="3">
        <f>2806.5+(1677.9-1549.6)+(0+(0-0))+0-819.8-0</f>
        <v>2115</v>
      </c>
      <c r="X357" s="3">
        <f>2863.7+(2021.7-1750.1)+(-1.460487+(-1.031067--0.892551))+0-779.7--0.397646999999921</f>
        <v>2354.3986439999999</v>
      </c>
      <c r="Y357" s="3">
        <f>2897.2+(2284.9-2034.2)+(-2.955144+(-2.330598--2.074884))+0-773.8--0.789276000000123</f>
        <v>2371.678418</v>
      </c>
      <c r="Z357" s="3">
        <f>2840.1+(2127.5-1873.4)+(-2.896902+(-2.17005--1.910868))+0-789--0.804780000000126</f>
        <v>2302.8486959999996</v>
      </c>
      <c r="AA357" s="3">
        <f>2549.2+(1774-1395.2)+(-6.50046+(-4.5237--3.55776))+0-719.4--1.8344699999999</f>
        <v>2202.9680699999999</v>
      </c>
      <c r="AB357" s="3">
        <f>2542.8+(1564.1-1343.3)+(-3.890484+(-2.393073--2.055249))+0-673.4--1.03030200000004</f>
        <v>2087.0019940000002</v>
      </c>
      <c r="AC357" s="3">
        <f>2482.3+(1390.8-1182.1)+(-3.797919+(-2.127924--1.808613))+0-744.3--1.13877900000004</f>
        <v>1943.7215490000003</v>
      </c>
      <c r="AD357" s="2">
        <v>2395.8000000000002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2056.2+(1069.6-761.4)+(1.048662+(0.545496-0.388314))+0-735.5-0.375104999999925</f>
        <v>1629.7307389999999</v>
      </c>
      <c r="G358" s="3">
        <f>1859+(920.9-398)+(-2.84427+(-1.408977--0.60894))+0-733.6--1.12240800000004</f>
        <v>1645.7781010000001</v>
      </c>
      <c r="H358" s="3">
        <f>1776+(950.9-254.4)+(0+(0-0))+0-820.7-0</f>
        <v>1651.8</v>
      </c>
      <c r="I358" s="3">
        <f>1728.3+(959.2-274)+(-4.407165+(-2.44596--0.6987))+0-781.9--1.99384499999989</f>
        <v>1627.4394199999997</v>
      </c>
      <c r="J358" s="3">
        <f>1677.9+(974.3-265.7)+(0+(0-0))+0-764.4-0</f>
        <v>1622.1</v>
      </c>
      <c r="K358" s="3">
        <f>1668.4+(1059.4-233.9)+(1.701768+(1.080588-0.238578))+0-860-0.877200000000137</f>
        <v>1635.5665780000002</v>
      </c>
      <c r="L358" s="3">
        <f>1866.2+(861.3-303.6)+(-1.903524+(-0.878526--0.309672))+0-774--0.789480000000123</f>
        <v>1648.2171020000003</v>
      </c>
      <c r="M358" s="3">
        <f>2214.4+(1046.6-763.2)+(2.258688+(1.067532-0.778464))+0-675.3-0.688806000000108</f>
        <v>1824.35895</v>
      </c>
      <c r="N358" s="3">
        <f>2714.4+(1529-1377.8)+(-1.384344+(-0.77979--0.702678))+0-769.4--0.392393999999922</f>
        <v>2095.1309380000002</v>
      </c>
      <c r="O358" s="3">
        <f>2792.3+(1718.9-1551.9)+(1.424073+(0.876639-0.791469))+0-777.6-0.396575999999921</f>
        <v>2182.8126670000001</v>
      </c>
      <c r="P358" s="3">
        <f>2708.2+(1716.9-1662.9)+(-4.143546+(-2.626857--2.544237))+0-493.6--0.755208000000029</f>
        <v>2265.129042</v>
      </c>
      <c r="Q358" s="3">
        <f>2477.4+(1847.5-1762.5)+(0+(0-0))+0-309.3-0</f>
        <v>2253.1</v>
      </c>
      <c r="R358" s="3">
        <f>2572.3+(1896.3-1871.5)+(-2.623746+(-1.934226--1.90893))+0-522.9--0.533358000000083</f>
        <v>2072.0843160000004</v>
      </c>
      <c r="S358" s="3">
        <f>2526+(1750.2-1827.2)+(-2.57652+(-1.785204--1.863744))+0-400.8--0.408816000000064</f>
        <v>2046.1108360000001</v>
      </c>
      <c r="T358" s="3">
        <f>2451.4+(1477.5-1754.3)+(2.500428+(1.50705-1.789386))+0-81.4-0.083028000000013</f>
        <v>2095.3350640000003</v>
      </c>
      <c r="U358" s="3">
        <f>2509.8+(1397.5-1722.3)+(1.279998+(0.712725-0.878373))+0-78.7-0.040136999999992</f>
        <v>2107.3742130000001</v>
      </c>
      <c r="V358" s="3">
        <f>2502.5+(1271.3-1645.5)+(0+(0-0))+0-69.4-0</f>
        <v>2058.9</v>
      </c>
      <c r="W358" s="3">
        <f>2531.7+(1224.1-1583)+(1.291167+(0.624291-0.80733))+0-79.8-0.0406979999999919</f>
        <v>2094.0674299999996</v>
      </c>
      <c r="X358" s="3">
        <f>2677.3+(1580.6-1876.5)+(0+(0-0))+0-61.6-0</f>
        <v>2319.8000000000002</v>
      </c>
      <c r="Y358" s="3">
        <f>2817.1+(1607.9-1965.6)+(-8.620326+(-4.920174--6.014736))+0-84--0.25704000000001</f>
        <v>2368.1312760000001</v>
      </c>
      <c r="Z358" s="3">
        <f>2735.6+(1319-1679.9)+(-2.790312+(-1.34538--1.713498))+0-99.5--0.101490000000016</f>
        <v>2272.8792959999996</v>
      </c>
      <c r="AA358" s="3">
        <f>2740.8+(1039.6-1458)+(-5.591232+(-2.120784--2.97432))+0-124.4--0.253775999999995</f>
        <v>2193.5160799999999</v>
      </c>
      <c r="AB358" s="3">
        <f>2666.9+(1015.1-1356.9)+(-5.440476+(-2.070804--2.768076))+0-233.4--0.47613599999999</f>
        <v>2087.4329319999997</v>
      </c>
      <c r="AC358" s="3">
        <f>2531.7+(994.3-1195)+(-6.455835+(-2.535465--3.04725))+0-386.5--0.985574999999944</f>
        <v>1939.5415249999999</v>
      </c>
      <c r="AD358" s="2">
        <v>2450.6000000000004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2321.9+(648.9-754.8)+(-5.920845+(-1.654695--1.92474))+0-403--1.02764999999994</f>
        <v>1808.3768500000001</v>
      </c>
      <c r="G359" s="3">
        <f>2068+(606.6-525.9)+(-5.2734+(-1.54683--1.341045))+0-433.9--1.10644499999994</f>
        <v>1710.4272599999995</v>
      </c>
      <c r="H359" s="3">
        <f>2014.3+(632.6-658.6)+(-1.027293+(-0.322626--0.335886))+0-328.6--0.167585999999967</f>
        <v>1658.8535529999999</v>
      </c>
      <c r="I359" s="3">
        <f>1794.4+(591.7-424)+(-0.915144+(-0.301767--0.21624))+0-367.9--0.187628999999963</f>
        <v>1593.386958</v>
      </c>
      <c r="J359" s="3">
        <f>1796.1+(583.8-282.4)+(-4.580055+(-1.48869--0.72012))+0-437.5--1.11562499999994</f>
        <v>1655.7669999999998</v>
      </c>
      <c r="K359" s="3">
        <f>1794.3+(597.1-245.4)+(-0.915093+(-0.304521--0.125154))+0-478.4--0.243983999999951</f>
        <v>1666.7495240000001</v>
      </c>
      <c r="L359" s="3">
        <f>1808.8+(443.1-290.4)+(-2.767464+(-0.677943--0.444312))+0-270.1--0.413253000000016</f>
        <v>1688.812158</v>
      </c>
      <c r="M359" s="3">
        <f>1942.3+(663.4-355.5)+(0+(0-0))+0-359.7-0</f>
        <v>1890.4999999999998</v>
      </c>
      <c r="N359" s="3">
        <f>2462.9+(1018.8-1001.5)+(1.256079+(0.519588-0.510765))+0-397.7-0.20282699999996</f>
        <v>2083.5620749999998</v>
      </c>
      <c r="O359" s="3">
        <f>2946.7+(1310-1664.1)+(-6.011268+(-2.6724--3.394764))+0-405.3--0.826811999999982</f>
        <v>2182.8379079999995</v>
      </c>
      <c r="P359" s="3">
        <f>2884.7+(1624.6-1713.5)+(-2.942394+(-1.657092--1.74777))+0-442.7--0.451554000000071</f>
        <v>2350.699838</v>
      </c>
      <c r="Q359" s="3">
        <f>2678.2+(1576.4-1487.3)+(0+(0-0))+0-434.3-0</f>
        <v>2333</v>
      </c>
      <c r="R359" s="3">
        <f>2593.1+(1335.3-1385.5)+(-5.289924+(-2.724012--2.82642))+0-431.8--0.880871999999981</f>
        <v>2106.7933559999997</v>
      </c>
      <c r="S359" s="3">
        <f>2460.7+(1121.3-1076.8)+(-1.254957+(-0.571863--0.549168))+0-437--0.222869999999956</f>
        <v>2067.1452179999997</v>
      </c>
      <c r="T359" s="3">
        <f>2563.6+(1092.5-1082.1)+(0+(0-0))+0-445.7-0</f>
        <v>2128.3000000000002</v>
      </c>
      <c r="U359" s="3">
        <f>2539.1+(1078.8-1118.5)+(2.589882+(1.100376-1.14087))+0-392.3-0.400146000000063</f>
        <v>2109.2492419999994</v>
      </c>
      <c r="V359" s="3">
        <f>2560.5+(895.4-843.9)+(-6.529275+(-2.28327--2.151945))+0-437.6--1.11587999999994</f>
        <v>2168.8552799999998</v>
      </c>
      <c r="W359" s="3">
        <f>2455.9+(899.4-682.4)+(0+(0-0))+0-440.1-0</f>
        <v>2232.8000000000002</v>
      </c>
      <c r="X359" s="3">
        <f>2391.5+(1390.9-1004.9)+(-2.43933+(-1.418718--1.024998))+0-435.7--0.444414000000069</f>
        <v>2339.411364</v>
      </c>
      <c r="Y359" s="3">
        <f>2436.2+(1599-1187.1)+(-6.21231+(-4.07745--3.027105))+0-469.9--1.19824499999993</f>
        <v>2372.1355899999999</v>
      </c>
      <c r="Z359" s="3">
        <f>2477.1+(1246.3-963.1)+(-5.053284+(-2.542452--1.964724))+0-475--0.968999999999979</f>
        <v>2280.637988</v>
      </c>
      <c r="AA359" s="3">
        <f>2471.3+(809.1-622.9)+(-8.822541+(-2.888487--2.223753))+0-439.5--1.56901500000001</f>
        <v>2210.0817400000001</v>
      </c>
      <c r="AB359" s="3">
        <f>2453.8+(607.8-515.7)+(-5.005752+(-1.239912--1.052028))+0-436.1--0.889643999999981</f>
        <v>2105.4960080000001</v>
      </c>
      <c r="AC359" s="3">
        <f>2373.2+(522.2-520.3)+(-2.420664+(-0.532644--0.530706))+0-408.8--0.416976000000065</f>
        <v>1964.2943739999998</v>
      </c>
      <c r="AD359" s="2">
        <v>2414.6000000000004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2125.1+(491.8-381.2)+(-6.502806+(-1.504908--1.166472))+0-399.8--1.22338800000005</f>
        <v>1830.282146</v>
      </c>
      <c r="G360" s="3">
        <f>1845.7+(532.6-241.2)+(-2.823921+(-0.814878--0.369036))+0-394.7--0.603891000000023</f>
        <v>1739.7341280000001</v>
      </c>
      <c r="H360" s="3">
        <f>1732.7+(652.1-255.2)+(-2.651031+(-0.997713--0.390456))+0-438.7--0.671211000000025</f>
        <v>1688.312923</v>
      </c>
      <c r="I360" s="3">
        <f>1715+(660.9-248.7)+(-0.87465+(-0.337059--0.126837))+0-453--0.231029999999954</f>
        <v>1673.3461579999998</v>
      </c>
      <c r="J360" s="3">
        <f>1736.6+(608.5-237.4)+(-1.771332+(-0.62067--0.242148))+0-430.5--0.439110000000069</f>
        <v>1675.4892560000001</v>
      </c>
      <c r="K360" s="3">
        <f>1739.7+(633.8-224.1)+(1.774494+(0.646476-0.228582))+0-476.1-0.485622000000076</f>
        <v>1675.006766</v>
      </c>
      <c r="L360" s="3">
        <f>1745.3+(567.8-221.2)+(-3.560412+(-1.158312--0.451248))+0-424.7--0.866387999999981</f>
        <v>1663.798912</v>
      </c>
      <c r="M360" s="3">
        <f>1873.2+(662.8-274.1)+(0.955332+(0.338028-0.139791))+0-396.5-0.20221499999996</f>
        <v>1866.3513540000001</v>
      </c>
      <c r="N360" s="3">
        <f>2243.4+(719.2-500.4)+(1.144134+(0.366792-0.255204))+0-365.1-0.186200999999963</f>
        <v>2098.1695210000003</v>
      </c>
      <c r="O360" s="3">
        <f>2546.1+(1245-1129.7)+(5.194044+(2.5398-2.304588))+0-431.9-0.881075999999981</f>
        <v>2234.0481799999993</v>
      </c>
      <c r="P360" s="3">
        <f>2527.4+(1519.9-1276.7)+(-2.577948+(-1.550298--1.302234))+0-483.8--0.493476000000077</f>
        <v>2284.4674640000003</v>
      </c>
      <c r="Q360" s="3">
        <f>2521.6+(1545.7-1306.4)+(-6.43008+(-3.941535--3.33132))+0-465.9--1.18804499999993</f>
        <v>2289.1477499999996</v>
      </c>
      <c r="R360" s="3">
        <f>2515.8+(1247.2-1212.4)+(-6.41529+(-3.18036--3.09162))+0-444.4--1.13321999999994</f>
        <v>2100.8291900000004</v>
      </c>
      <c r="S360" s="3">
        <f>2484+(874-860.8)+(-5.06736+(-1.78296--1.756032))+0-461.9--0.94227599999998</f>
        <v>2031.1479879999999</v>
      </c>
      <c r="T360" s="3">
        <f>2204.6+(956-671)+(2.248692+(0.97512-0.68442))+0-434.9-0.443598000000069</f>
        <v>2056.7957939999997</v>
      </c>
      <c r="U360" s="3">
        <f>2133.5+(850-582)+(0+(0-0))+0-415-0</f>
        <v>1986.5</v>
      </c>
      <c r="V360" s="3">
        <f>2053.6+(772.9-440.6)+(-3.142008+(-1.182537--0.674118))+0-416.1--0.636633000000024</f>
        <v>1966.7862059999998</v>
      </c>
      <c r="W360" s="3">
        <f>2060+(855.5-506.1)+(2.1012+(0.87261-0.516222))+0-373-0.380460000000059</f>
        <v>2038.4771280000002</v>
      </c>
      <c r="X360" s="3">
        <f>2238.3+(1452.5-963.8)+(2.283066+(1.48155-0.983076))+0-484.3-0.493986000000077</f>
        <v>2244.9875539999998</v>
      </c>
      <c r="Y360" s="3">
        <f>2581.3+(1590.8-1487.1)+(-3.949389+(-2.433924--2.275263))+0-393.3--0.601749000000023</f>
        <v>2288.1936989999999</v>
      </c>
      <c r="Z360" s="3">
        <f>2537.2+(1325-1254.9)+(-3.881916+(-2.02725--1.919997))+0-394.2--0.603126000000023</f>
        <v>2209.7139569999999</v>
      </c>
      <c r="AA360" s="3">
        <f>2371.9+(1035.7-884.1)+(-1.209669+(-0.528207--0.450891))+0-378.6--0.193085999999962</f>
        <v>2143.8061009999997</v>
      </c>
      <c r="AB360" s="3">
        <f>2290.5+(869.3-715.1)+(-5.840775+(-2.216715--1.823505))+0-405.8--1.03478999999994</f>
        <v>2033.7008049999999</v>
      </c>
      <c r="AC360" s="3">
        <f>2080.6+(562.6-244.3)+(-3.183318+(-0.860778--0.373779))+0-481.7--0.737001000000028</f>
        <v>1914.2666839999999</v>
      </c>
      <c r="AD360" s="2">
        <v>2423.7999999999997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2014.3+(754-304.8)+(-4.109172+(-1.53816--0.621792))+0-661.5--1.34945999999997</f>
        <v>1798.3239199999998</v>
      </c>
      <c r="G361" s="3">
        <f>2019.5+(661-360.2)+(-4.11978+(-1.34844--0.734808))+0-610.6--1.24562399999997</f>
        <v>1706.2122120000001</v>
      </c>
      <c r="H361" s="3">
        <f>2202.5+(529.7-396.7)+(-2.24655+(-0.540294--0.404634))+0-586.2--0.597924000000093</f>
        <v>1747.5157139999999</v>
      </c>
      <c r="I361" s="3">
        <f>2056.8+(707.8-385.5)+(3.146904+(1.082934-0.589815))+0-638-0.976140000000037</f>
        <v>1743.7638830000003</v>
      </c>
      <c r="J361" s="3">
        <f>2045.8+(672.7-382.2)+(-4.173432+(-1.372308--0.779688))+0-602.6--1.22930399999997</f>
        <v>1730.1632520000003</v>
      </c>
      <c r="K361" s="3">
        <f>1938.9+(709.5-371.7)+(-1.977678+(-0.72369--0.379134))+0-631.8--0.644436000000101</f>
        <v>1643.2222020000002</v>
      </c>
      <c r="L361" s="3">
        <f>1844.7+(793.1-449.7)+(-0.940797+(-0.404481--0.229347))+0-622.6--0.317525999999937</f>
        <v>1564.7015950000002</v>
      </c>
      <c r="M361" s="3">
        <f>1706.8+(946.8-444.4)+(0.870468+(0.482868-0.226644))+0-594.3-0.30309299999994</f>
        <v>1615.7235989999997</v>
      </c>
      <c r="N361" s="3">
        <f>1881.7+(918.7-535.8)+(-0.959667+(-0.468537--0.273258))+0-535.8--0.273257999999946</f>
        <v>1727.9183120000002</v>
      </c>
      <c r="O361" s="3">
        <f>2197.6+(893.3-603.7)+(-1.120776+(-0.455583--0.307887))+0-644.2--0.328541999999935</f>
        <v>1842.0600699999995</v>
      </c>
      <c r="P361" s="3">
        <f>2466.4+(948.9-789.8)+(3.773592+(1.451817-1.208394))+0-720.3-1.10205900000004</f>
        <v>1908.1149559999999</v>
      </c>
      <c r="Q361" s="3">
        <f>2499.3+(947.8-846.3)+(-5.098572+(-1.933512--1.726452))+0-690.6--1.40882399999997</f>
        <v>1906.3031920000001</v>
      </c>
      <c r="R361" s="3">
        <f>2342.3+(881-661)+(-2.389146+(-0.89862--0.67422))+0-720--0.734400000000115</f>
        <v>1840.4208540000002</v>
      </c>
      <c r="S361" s="3">
        <f>2050.2+(661.5-468.8)+(-4.182408+(-1.34946--0.956352))+0-477.6--0.974303999999979</f>
        <v>1761.6987879999999</v>
      </c>
      <c r="T361" s="3">
        <f>1757.8+(899.7-444.8)+(1.792956+(0.917694-0.453696))+0-465.7-0.475014000000074</f>
        <v>1748.7819399999996</v>
      </c>
      <c r="U361" s="3">
        <f>1757.7+(987.2-375.9)+(0.896427+(0.503472-0.191709))+0-632.5-0.322574999999936</f>
        <v>1737.3856149999999</v>
      </c>
      <c r="V361" s="3">
        <f>1761.5+(892.1-417)+(1.79673+(0.909942-0.42534))+0-499.7-0.50969400000008</f>
        <v>1738.6716379999998</v>
      </c>
      <c r="W361" s="3">
        <f>1836.8+(1064.3-479.1)+(0+(0-0))+0-661.8-0</f>
        <v>1760.2</v>
      </c>
      <c r="X361" s="3">
        <f>2166.8+(1419.7-993.7)+(2.210136+(1.448094-1.013574))+0-574.3-0.585786000000092</f>
        <v>2020.5588700000001</v>
      </c>
      <c r="Y361" s="3">
        <f>2606.9+(1638.8-1526.7)+(-1.329519+(-0.835788--0.778617))+0-594--0.30293999999994</f>
        <v>2123.9162500000002</v>
      </c>
      <c r="Z361" s="3">
        <f>2620.4+(1485.1-1407.2)+(-2.672808+(-1.514802--1.435344))+0-598.8--0.610776000000095</f>
        <v>2097.3585100000005</v>
      </c>
      <c r="AA361" s="3">
        <f>2632.4+(1405.3-1348.2)+(-2.685048+(-1.433406--1.375164))+0-633.7--0.646374000000101</f>
        <v>2053.7030839999998</v>
      </c>
      <c r="AB361" s="3">
        <f>2638.4+(1104.9-1097.1)+(-6.72792+(-2.817495--2.797605))+0-666.3--1.6990649999999</f>
        <v>1974.8512550000003</v>
      </c>
      <c r="AC361" s="3">
        <f>2641.7+(812.9-876.8)+(-4.041801+(-1.243737--1.341504))+0-702--1.07406000000004</f>
        <v>1872.9300259999998</v>
      </c>
      <c r="AD361" s="2">
        <v>2141.4999999999995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2136.1+(708.6-396.8)+(-6.536466+(-2.168316--1.214208))+0-711.3--2.17657800000008</f>
        <v>1731.2860040000003</v>
      </c>
      <c r="G362" s="3">
        <f>1964.4+(789-419.7)+(-5.00922+(-2.01195--1.070235))+0-687.9--1.7541449999999</f>
        <v>1641.6032100000002</v>
      </c>
      <c r="H362" s="3">
        <f>1766.4+(991.6-438.1)+(-3.603456+(-2.022864--0.893724))+0-713.7--1.45594799999997</f>
        <v>1602.9233520000002</v>
      </c>
      <c r="I362" s="3">
        <f>1843.5+(850.9-379.5)+(0+(0-0))+0-732-0</f>
        <v>1582.9</v>
      </c>
      <c r="J362" s="3">
        <f>1880+(712.4-429.8)+(2.8764+(1.089972-0.657594))+0-577.4-0.883422000000033</f>
        <v>1587.6253559999998</v>
      </c>
      <c r="K362" s="3">
        <f>1893.3+(726-387.2)+(0+(0-0))+0-633.7-0</f>
        <v>1598.3999999999999</v>
      </c>
      <c r="L362" s="3">
        <f>1907.3+(662.3-399.3)+(-0.972723+(-0.337773--0.203643))+0-550.7--0.280856999999944</f>
        <v>1618.7740039999999</v>
      </c>
      <c r="M362" s="3">
        <f>1912.6+(918.3-376.3)+(0+(0-0))+0-625.6-0</f>
        <v>1829</v>
      </c>
      <c r="N362" s="3">
        <f>2181.1+(781.5-302.5)+(-1.112361+(-0.398565--0.154275))+0-589.1--0.30044099999994</f>
        <v>2069.9437899999998</v>
      </c>
      <c r="O362" s="3">
        <f>2493.1+(796.6-504.1)+(-1.271481+(-0.406266--0.257091))+0-603.6--0.307835999999939</f>
        <v>2180.8871800000002</v>
      </c>
      <c r="P362" s="3">
        <f>2734.5+(885.2-705.8)+(1.394595+(0.451452-0.359958))+0-661.9-0.337568999999933</f>
        <v>2253.1485200000002</v>
      </c>
      <c r="Q362" s="3">
        <f>2887.9+(936.5-919.1)+(0+(0-0))+0-640.1-0</f>
        <v>2265.2000000000003</v>
      </c>
      <c r="R362" s="3">
        <f>2616.4+(979.6-880.4)+(-4.003092+(-1.498788--1.347012))+0-626.2--0.958086000000036</f>
        <v>2086.2032180000001</v>
      </c>
      <c r="S362" s="3">
        <f>2460.1+(1031.6-727)+(1.254651+(0.526116-0.37077))+0-680.7-0.347156999999931</f>
        <v>2085.0628399999996</v>
      </c>
      <c r="T362" s="3">
        <f>2320.6+(931.2-538.4)+(-2.367012+(-0.949824--0.549168))+0-618.3--0.630666000000099</f>
        <v>2092.962998</v>
      </c>
      <c r="U362" s="3">
        <f>2330.6+(812.7-492.1)+(-4.754424+(-1.657908--1.003884))+0-549.6--1.12118399999998</f>
        <v>2097.3127359999999</v>
      </c>
      <c r="V362" s="3">
        <f>2396.8+(904-533.4)+(-7.334208+(-2.76624--1.632204))+0-673.4--2.06060400000008</f>
        <v>2087.5923600000001</v>
      </c>
      <c r="W362" s="3">
        <f>2412.3+(837.3-572.9)+(-9.842184+(-3.416184--2.337432))+0-637.5--2.60099999999994</f>
        <v>2030.8800640000002</v>
      </c>
      <c r="X362" s="3">
        <f>2471.6+(1120-748.1)+(0+(0-0))+0-634.2-0</f>
        <v>2209.3000000000002</v>
      </c>
      <c r="Y362" s="3">
        <f>2491.2+(1380.4-921.2)+(-6.35256+(-3.52002--2.34906))+0-652.7--1.66438499999991</f>
        <v>2291.8408649999992</v>
      </c>
      <c r="Z362" s="3">
        <f>2493.3+(1143.2-786.4)+(-6.357915+(-2.91516--2.00532))+0-565--1.44074999999992</f>
        <v>2279.2729950000003</v>
      </c>
      <c r="AA362" s="3">
        <f>2486.1+(1006.3-737.7)+(-5.071644+(-2.052852--1.504908))+0-529.4--1.07997599999998</f>
        <v>2220.7603879999997</v>
      </c>
      <c r="AB362" s="3">
        <f>2541.5+(1001.4-763.1)+(-1.296165+(-0.510714--0.389181))+0-682.2--0.347921999999931</f>
        <v>2096.5302240000001</v>
      </c>
      <c r="AC362" s="3">
        <f>2597.1+(900-802.7)+(-6.622605+(-2.295--2.046885))+0-704.9--1.7974949999999</f>
        <v>1984.4267749999995</v>
      </c>
      <c r="AD362" s="2">
        <v>2418.6999999999998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2300.6+(687.6-704.7)+(-7.039836+(-2.104056--2.156382))+0-621.6--1.90209600000007</f>
        <v>1656.8145860000002</v>
      </c>
      <c r="G363" s="3">
        <f>2002.5+(696-557.6)+(-5.106375+(-1.7748--1.42188))+0-596.7--1.52158499999991</f>
        <v>1540.2622899999999</v>
      </c>
      <c r="H363" s="3">
        <f>1813.2+(1089.7-488.6)+(-3.698928+(-2.222988--0.996744))+0-722.9--1.47471599999997</f>
        <v>1687.9495439999998</v>
      </c>
      <c r="I363" s="3">
        <f>1701+(1156.8-451.5)+(-5.20506+(-3.539808--1.38159))+0-734.7--2.24818200000009</f>
        <v>1666.4849040000004</v>
      </c>
      <c r="J363" s="3">
        <f>1701.6+(1086.1-448.1)+(-2.603448+(-1.661733--0.685593))+0-668.4--1.02265200000004</f>
        <v>1668.6430639999999</v>
      </c>
      <c r="K363" s="3">
        <f>1704.5+(1138.1-404.9)+(-0.869295+(-0.580431--0.206499))+0-751.6--0.383315999999924</f>
        <v>1685.2400889999999</v>
      </c>
      <c r="L363" s="3">
        <f>1701.6+(1074.4-430.5)+(0+(0-0))+0-669.4-0</f>
        <v>1676.1</v>
      </c>
      <c r="M363" s="3">
        <f>1872.1+(1183.6-439.7)+(1.909542+(1.207272-0.448494))+0-769.7-0.785094000000123</f>
        <v>1848.1832260000001</v>
      </c>
      <c r="N363" s="3">
        <f>2196.3+(841.1-395.2)+(-1.120113+(-0.428961--0.201552))+0-577.8--0.294677999999941</f>
        <v>2063.3471560000003</v>
      </c>
      <c r="O363" s="3">
        <f>2515.4+(905.7-519.9)+(0+(0-0))+0-727.3-0</f>
        <v>2173.9000000000005</v>
      </c>
      <c r="P363" s="3">
        <f>2728.2+(972-808.5)+(-6.95691+(-2.4786--2.061675))+0-652.5--1.66387499999991</f>
        <v>2233.4900399999997</v>
      </c>
      <c r="Q363" s="3">
        <f>2722.5+(1040.3-798.3)+(-1.388475+(-0.530553--0.407133))+0-712.1--0.363170999999928</f>
        <v>2251.251276</v>
      </c>
      <c r="R363" s="3">
        <f>2715.1+(973.3-871.3)+(-8.308206+(-2.978298--2.666178))+0-614.4--1.88006400000007</f>
        <v>2195.9597379999996</v>
      </c>
      <c r="S363" s="3">
        <f>2774.8+(886.2-857.5)+(1.415148+(0.451962-0.437325))+0-611.1-0.311660999999938</f>
        <v>2193.5181240000002</v>
      </c>
      <c r="T363" s="3">
        <f>2793.9+(828.7-894.5)+(-5.699556+(-1.690548--1.82478))+0-551--1.12403999999998</f>
        <v>2172.6587160000004</v>
      </c>
      <c r="U363" s="3">
        <f>2715.3+(898.7-843.6)+(-4.154409+(-1.375011--1.290708))+0-708--1.08324000000004</f>
        <v>2059.2445280000002</v>
      </c>
      <c r="V363" s="3">
        <f>2612.7+(783.3-741.2)+(0+(0-0))+0-618.3-0</f>
        <v>2036.4999999999998</v>
      </c>
      <c r="W363" s="3">
        <f>2542+(916-657)+(0+(0-0))+0-627.8-0</f>
        <v>2173.1999999999998</v>
      </c>
      <c r="X363" s="3">
        <f>2896.3+(1270.3-1143.6)+(1.477113+(0.647853-0.583236))+0-722.1-0.368270999999927</f>
        <v>2302.0734590000002</v>
      </c>
      <c r="Y363" s="3">
        <f>2955.1+(1499.4-1350.6)+(-1.507101+(-0.764694--0.688806))+0-748.5--0.381734999999924</f>
        <v>2354.198746</v>
      </c>
      <c r="Z363" s="3">
        <f>2867.8+(1205.3-1155.5)+(-1.462578+(-0.614703--0.589305))+0-704.2--0.359141999999929</f>
        <v>2212.271166</v>
      </c>
      <c r="AA363" s="3">
        <f>2842.8+(1089.4-980.8)+(-1.449828+(-0.555594--0.500208))+0-798.8--0.407387999999919</f>
        <v>2151.5021740000007</v>
      </c>
      <c r="AB363" s="3">
        <f>2701.5+(801.2-753.6)+(-6.888825+(-2.04306--1.92168))+0-679.6--1.7329799999999</f>
        <v>2064.2227749999997</v>
      </c>
      <c r="AC363" s="3">
        <f>2500.4+(684.6-570.2)+(-5.100816+(-1.396584--1.163208))+0-674.7--1.37638799999997</f>
        <v>1936.1421960000002</v>
      </c>
      <c r="AD363" s="2">
        <v>2441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2328.3+(589-466.6)+(-4.749732+(-1.20156--0.951864))+0-657--1.34027999999997</f>
        <v>1790.0408520000001</v>
      </c>
      <c r="G364" s="3">
        <f>2054.7+(806.5-448.3)+(-3.143691+(-1.233945--0.685899))+0-701.3--1.07298900000004</f>
        <v>1708.9812519999996</v>
      </c>
      <c r="H364" s="3">
        <f>2011.7+(856.6-528.2)+(-5.129835+(-2.18433--1.34691))+0-687--1.7518499999999</f>
        <v>1648.8845949999998</v>
      </c>
      <c r="I364" s="3">
        <f>1947+(952.2-542.1)+(0.99297+(0.485622-0.276471))+0-714.7-0.364496999999928</f>
        <v>1643.2376239999996</v>
      </c>
      <c r="J364" s="3">
        <f>1940.8+(867.7-520.6)+(-3.959232+(-1.770108--1.062024))+0-646.8--1.31947199999997</f>
        <v>1637.752156</v>
      </c>
      <c r="K364" s="3">
        <f>1939+(841.9-506.8)+(-1.97778+(-0.858738--0.516936))+0-638.2--0.650964000000102</f>
        <v>1634.2313819999999</v>
      </c>
      <c r="L364" s="3">
        <f>1947.2+(855-517.9)+(0+(0-0))+0-668.6-0</f>
        <v>1615.7000000000003</v>
      </c>
      <c r="M364" s="3">
        <f>1944.6+(890.5-482.9)+(-2.975238+(-1.362465--0.738837))+0-595.8--0.911574000000034</f>
        <v>1753.712708</v>
      </c>
      <c r="N364" s="3">
        <f>2098.6+(1039.4-528.7)+(-1.070286+(-0.530094--0.269637))+0-638.4--0.325583999999935</f>
        <v>1969.894841</v>
      </c>
      <c r="O364" s="3">
        <f>2328.8+(840-599)+(-5.93844+(-2.142--1.52745))+0-491.7--1.25383499999993</f>
        <v>2072.8008450000002</v>
      </c>
      <c r="P364" s="3">
        <f>2329.8+(888.8-582)+(1.188198+(0.453288-0.29682))+0-508.6-0.259385999999948</f>
        <v>2129.0852800000007</v>
      </c>
      <c r="Q364" s="3">
        <f>2405.5+(841.6-698.9)+(1.226805+(0.429216-0.356439))+0-447.1-0.228020999999955</f>
        <v>2102.1715610000001</v>
      </c>
      <c r="R364" s="3">
        <f>2537.8+(829-848)+(-7.765668+(-2.53674--2.59488))+0-547.8--1.67626800000006</f>
        <v>1964.9687400000005</v>
      </c>
      <c r="S364" s="3">
        <f>2452.6+(829.6-799.7)+(-5.003304+(-1.692384--1.631388))+0-567.1--1.15688399999998</f>
        <v>1911.4925840000001</v>
      </c>
      <c r="T364" s="3">
        <f>2446.6+(774.9-765.2)+(-2.495532+(-0.790398--0.780504))+0-546.7--0.557634000000087</f>
        <v>1907.6522079999995</v>
      </c>
      <c r="U364" s="3">
        <f>2400.8+(745.2-696.8)+(-1.224408+(-0.380052--0.355368))+0-555.5--0.283304999999944</f>
        <v>1892.7342130000002</v>
      </c>
      <c r="V364" s="3">
        <f>2400.1+(645.4-641.1)+(-3.672153+(-0.987462--0.980883))+0-539.2--0.824976000000031</f>
        <v>1862.3462439999998</v>
      </c>
      <c r="W364" s="3">
        <f>2415+(720-661.6)+(2.4633+(0.7344-0.674832))+0-596.7-0.608634000000095</f>
        <v>1878.6142339999999</v>
      </c>
      <c r="X364" s="3">
        <f>2566.2+(1091.2-985.3)+(2.617524+(1.113024-1.005006))+0-583.3-0.594966000000093</f>
        <v>2090.9305760000002</v>
      </c>
      <c r="Y364" s="3">
        <f>2924.7+(1120.8-1166.6)+(-1.491597+(-0.571608--0.594966))+0-699.4--0.356693999999929</f>
        <v>2178.3884549999998</v>
      </c>
      <c r="Z364" s="3">
        <f>2658+(946.6-975.8)+(-6.7779+(-2.41383--2.48829))+0-517.7--1.32013499999993</f>
        <v>2105.7166950000001</v>
      </c>
      <c r="AA364" s="3">
        <f>2561.3+(1040.4-923.1)+(0+(0-0))+0-615.2-0</f>
        <v>2063.4000000000005</v>
      </c>
      <c r="AB364" s="3">
        <f>2413.2+(993.4-880.8)+(-4.922928+(-2.026536--1.796832))+0-546.1--1.11404399999998</f>
        <v>1975.6614119999999</v>
      </c>
      <c r="AC364" s="3">
        <f>2337.8+(840.2-785.3)+(-5.96139+(-2.14251--2.002515))+0-527.9--1.34614499999992</f>
        <v>1860.0447600000002</v>
      </c>
      <c r="AD364" s="2">
        <v>2195.2999999999997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2004.2+(626.9-315.4)+(0+(0-0))+0-604.3-0</f>
        <v>1711.3999999999999</v>
      </c>
      <c r="G365" s="3">
        <f>1939.1+(683.8-359.2)+(-3.955764+(-1.394952--0.732768))+0-644.2--1.31416799999997</f>
        <v>1616.1962199999996</v>
      </c>
      <c r="H365" s="3">
        <f>1777.5+(875.1-361.7)+(-5.43915+(-2.677806--1.106802))+0-748.6--2.29071600000009</f>
        <v>1537.5805620000003</v>
      </c>
      <c r="I365" s="3">
        <f>1721.1+(821-395)+(-1.755522+(-0.83742--0.4029))+0-648.5--0.661470000000103</f>
        <v>1497.0714279999997</v>
      </c>
      <c r="J365" s="3">
        <f>1754.5+(723.3-372.4)+(-1.78959+(-0.737766--0.379848))+0-620.2--0.632604000000099</f>
        <v>1483.6850960000002</v>
      </c>
      <c r="K365" s="3">
        <f>1756+(863.2-390.2)+(1.79112+(0.880464-0.398004))+0-750.6-0.76561200000012</f>
        <v>1479.907968</v>
      </c>
      <c r="L365" s="3">
        <f>1757.6+(686.9-472.6)+(-1.792752+(-0.700638--0.482052))+0-549.4--0.560388000000088</f>
        <v>1421.0490499999999</v>
      </c>
      <c r="M365" s="3">
        <f>1792.1+(897.2-505.1)+(1.827942+(0.915144-0.515202))+0-683.1-0.696762000000109</f>
        <v>1502.6311219999998</v>
      </c>
      <c r="N365" s="3">
        <f>1987.1+(690-548.5)+(-1.013421+(-0.3519--0.279735))+0-515.9--0.263108999999948</f>
        <v>1611.8775229999997</v>
      </c>
      <c r="O365" s="3">
        <f>2280.8+(719.4-649.8)+(0+(0-0))+0-628.4-0</f>
        <v>1722</v>
      </c>
      <c r="P365" s="3">
        <f>2453.2+(564.1-747.5)+(-1.251132+(-0.287691--0.381225))+0-485.3--0.247502999999951</f>
        <v>1783.589905</v>
      </c>
      <c r="Q365" s="3">
        <f>2594.1+(662.5-898.1)+(5.291964+(1.3515-1.832124))+0-593.6-1.21094399999997</f>
        <v>1768.5003960000004</v>
      </c>
      <c r="R365" s="3">
        <f>2544.1+(620.8-933.6)+(-5.189964+(-1.266432--1.904544))+0-545.4--1.11261599999998</f>
        <v>1682.4607639999995</v>
      </c>
      <c r="S365" s="3">
        <f>2319.8+(637-767.8)+(-2.366196+(-0.64974--0.783156))+0-555--0.566100000000089</f>
        <v>1632.3333200000002</v>
      </c>
      <c r="T365" s="3">
        <f>2278.2+(553.5-717.8)+(-4.647528+(-1.12914--1.464312))+0-484--0.987359999999979</f>
        <v>1626.5750039999998</v>
      </c>
      <c r="U365" s="3">
        <f>2244.7+(539.9-693.8)+(-3.434391+(-0.826047--1.061514))+0-479.9--0.734247000000028</f>
        <v>1608.4353229999999</v>
      </c>
      <c r="V365" s="3">
        <f>2276.3+(556.1-711.2)+(4.643652+(1.134444-1.450848))+0-516.2-1.05304799999998</f>
        <v>1608.2742000000003</v>
      </c>
      <c r="W365" s="3">
        <f>2407.8+(502.8-800.7)+(-4.911912+(-1.025712--1.633428))+0-460.3--0.93901199999998</f>
        <v>1646.2348160000001</v>
      </c>
      <c r="X365" s="3">
        <f>2430.8+(941.8-884.3)+(2.479416+(0.960636-0.901986))+0-605.5-0.617610000000097</f>
        <v>1884.7204560000002</v>
      </c>
      <c r="Y365" s="3">
        <f>2484.3+(1024.2-1037.9)+(-3.800979+(-1.567026--1.587987))+0-482.6--0.738378000000028</f>
        <v>1984.9583600000005</v>
      </c>
      <c r="Z365" s="3">
        <f>2426.7+(1321-1222.1)+(2.475234+(1.34742-1.246542))+0-575.2-0.586704000000092</f>
        <v>1952.389408</v>
      </c>
      <c r="AA365" s="3">
        <f>2455.6+(1383.4-1414.5)+(2.504712+(1.411068-1.44279))+0-523.4-0.533868000000083</f>
        <v>1903.0391220000001</v>
      </c>
      <c r="AB365" s="3">
        <f>2443.3+(1327.8-1287.1)+(-3.738249+(-2.031534--1.969263))+0-637.4--0.975222000000037</f>
        <v>1843.7747020000002</v>
      </c>
      <c r="AC365" s="3">
        <f>2402.9+(1058.1-1189.5)+(-2.450958+(-1.079262--1.21329))+0-521--0.531420000000083</f>
        <v>1748.7144900000001</v>
      </c>
      <c r="AD365" s="2">
        <v>1953.0000000000005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1611.6964319999995</v>
      </c>
      <c r="G366" s="1">
        <v>1508.31098</v>
      </c>
      <c r="H366" s="1">
        <v>1440.7308869999997</v>
      </c>
      <c r="I366" s="1">
        <v>1388.6123280000002</v>
      </c>
      <c r="J366" s="1">
        <v>1395.634331</v>
      </c>
      <c r="K366" s="1">
        <v>1389.2480229999996</v>
      </c>
      <c r="L366" s="1">
        <v>1320.5301360000001</v>
      </c>
      <c r="M366" s="1">
        <v>1374.4</v>
      </c>
      <c r="N366" s="1">
        <v>1494.5</v>
      </c>
      <c r="O366" s="1">
        <v>1598.5</v>
      </c>
      <c r="P366" s="1">
        <v>1640.1000000000004</v>
      </c>
      <c r="Q366" s="1">
        <v>1620.998744</v>
      </c>
      <c r="R366" s="1">
        <v>1581.5626730000001</v>
      </c>
      <c r="S366" s="1">
        <v>1502.91698</v>
      </c>
      <c r="T366" s="1">
        <v>1455.6056899999999</v>
      </c>
      <c r="U366" s="1">
        <v>1395.7572949999999</v>
      </c>
      <c r="V366" s="1">
        <v>1379.6566769999997</v>
      </c>
      <c r="W366" s="1">
        <v>1449.9886540000002</v>
      </c>
      <c r="X366" s="1">
        <v>1701.5868629999998</v>
      </c>
      <c r="Y366" s="1">
        <v>1778.7539170000002</v>
      </c>
      <c r="Z366" s="1">
        <v>1746.4154450000005</v>
      </c>
      <c r="AA366" s="1">
        <v>1708.6201699999999</v>
      </c>
      <c r="AB366" s="1">
        <v>1675.2166400000003</v>
      </c>
      <c r="AC366" s="1">
        <v>1598.6155489999999</v>
      </c>
      <c r="AD366" s="1">
        <v>1828.1000000000001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3373.9+(400.4-1302.1)+(-3.441378+(-0.408408--1.328142))+0-605.5--0.617610000000097</f>
        <v>1864.7959660000004</v>
      </c>
      <c r="G1" s="3">
        <f>2334.3+(691.3-625.8)+(-4.761972+(-1.410252--1.276632))+0-642.1--1.30988399999997</f>
        <v>1754.1142920000004</v>
      </c>
      <c r="H1" s="3">
        <f>2098.9+(740.5-559.9)+(-5.352195+(-1.888275--1.427745))+0-618.3--1.57666499999991</f>
        <v>1656.9639400000001</v>
      </c>
      <c r="I1" s="3">
        <f>1949.4+(727.9-512.5)+(-2.982582+(-1.113687--0.784125))+0-569.8--0.871794000000033</f>
        <v>1592.5596500000004</v>
      </c>
      <c r="J1" s="3">
        <f>2120+(658.7-586.9)+(-1.0812+(-0.335937--0.299319))+0-633.8--0.323237999999936</f>
        <v>1557.20542</v>
      </c>
      <c r="K1" s="3">
        <f>2213.6+(671.2-709.7)+(0+(0-0))+0-591.3-0</f>
        <v>1583.8</v>
      </c>
      <c r="L1" s="3">
        <f>2335.4+(598.2-780)+(-1.191054+(-0.305082--0.3978))+0-525.3--0.267902999999947</f>
        <v>1627.4695670000003</v>
      </c>
      <c r="M1" s="3">
        <f>2840.1+(370.2-934.7)+(0+(0-0))+0-541.7-0</f>
        <v>1733.8999999999999</v>
      </c>
      <c r="N1" s="3">
        <f>3070.7+(272.6-965.3)+(-3.132114+(-0.278052--0.984606))+0-549.3--0.560286000000088</f>
        <v>1826.834726</v>
      </c>
      <c r="O1" s="3">
        <f>2751.1+(452.8-836.1)+(-4.209183+(-0.692784--1.279233))+0-593.2--0.907596000000034</f>
        <v>1771.8848619999997</v>
      </c>
      <c r="P1" s="3">
        <f>2481.2+(505.9-767.1)+(-3.796236+(-0.774027--1.173663))+0-461.6--0.706248000000027</f>
        <v>1755.709648</v>
      </c>
      <c r="Q1" s="3">
        <f>2492.4+(615.8-778.5)+(-1.271124+(-0.314058--0.397035))+0-580.7--0.296156999999941</f>
        <v>1748.1080099999999</v>
      </c>
      <c r="R1" s="3">
        <f>2538.5+(532-856.9)+(0+(0-0))+0-503.8-0</f>
        <v>1709.8</v>
      </c>
      <c r="S1" s="3">
        <f>2800.1+(502.7-1007.7)+(1.428051+(0.256377-0.513927))+0-629-0.320789999999936</f>
        <v>1666.949711</v>
      </c>
      <c r="T1" s="3">
        <f>2367.5+(647-695.3)+(-6.037125+(-1.64985--1.773015))+0-666.3--1.6990649999999</f>
        <v>1648.6851049999998</v>
      </c>
      <c r="U1" s="3">
        <f>2019+(757.9-675.2)+(-3.08907+(-1.159587--1.033056))+0-451.1--0.690183000000026</f>
        <v>1648.074582</v>
      </c>
      <c r="V1" s="3">
        <f>2177.7+(689.6-693)+(-3.331881+(-1.055088--1.06029))+0-528--0.807840000000031</f>
        <v>1643.7811609999999</v>
      </c>
      <c r="W1" s="3">
        <f>2546.9+(617.1-939.6)+(-2.597838+(-0.629442--0.958392))+0-538--0.548760000000086</f>
        <v>1684.6798720000002</v>
      </c>
      <c r="X1" s="3">
        <f>3662.6+(435.1-1585.2)+(-3.735852+(-0.443802--1.616904))+0-665.4--0.678708000000106</f>
        <v>1845.215958</v>
      </c>
      <c r="Y1" s="3">
        <f>3939.7+(390.5-1799.1)+(-4.018494+(-0.39831--1.835082))+0-504.6--0.514692000000081</f>
        <v>2024.4329700000001</v>
      </c>
      <c r="Z1" s="3">
        <f>4271+(420.9-2037.5)+(-6.53463+(-0.643977--3.117375))+0-665.2--1.01775600000004</f>
        <v>1986.156524</v>
      </c>
      <c r="AA1" s="3">
        <f>4262.4+(424.5-2160)+(-6.521472+(-0.649485--3.3048))+0-597.5--0.914175000000034</f>
        <v>1926.4480179999998</v>
      </c>
      <c r="AB1" s="3">
        <f>4383.4+(467.9-2354.1)+(-6.706602+(-0.715887--3.601773))+0-650.1--0.994653000000038</f>
        <v>1844.2739369999997</v>
      </c>
      <c r="AC1" s="3">
        <f>3793.4+(519.5-1961.5)+(-13.542438+(-1.854615--7.002555))+0-577.9--2.06310300000001</f>
        <v>1767.1686049999998</v>
      </c>
      <c r="AD1" s="2">
        <v>1969.7999999999995</v>
      </c>
      <c r="AE1" s="3">
        <f>4290.2+(388.2-2047.3)+(0+(0-0))+0-661.3-0</f>
        <v>1969.8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1747.9343024999998</v>
      </c>
      <c r="G2" s="3">
        <f>2364.9+(758.3-854.1)+(0+(0-0))+0-540.4-0</f>
        <v>1728.6999999999998</v>
      </c>
      <c r="H2" s="3">
        <f>2227.8+(724.8-820.4)+(-3.408534+(-1.108944--1.255212))+0-514.5--0.78718500000003</f>
        <v>1615.2249190000002</v>
      </c>
      <c r="I2" s="3">
        <f>2159.4+(755.4-674.2)+(-3.303882+(-1.155762--1.031526))+0-689.4--1.05478200000004</f>
        <v>1548.8266639999999</v>
      </c>
      <c r="J2" s="3">
        <f>2016.4+(713.3-613.4)+(-3.085092+(-1.091349--0.938502))+0-767.2--1.17381600000004</f>
        <v>1347.035877</v>
      </c>
      <c r="K2" s="3">
        <f>2073.2+(678.8-615.1)+(3.171996+(1.038564-0.941103))+0-683.4-1.04560200000004</f>
        <v>1455.7238549999993</v>
      </c>
      <c r="L2" s="3">
        <f>2099.5+(696.7-727.6)+(-3.212235+(-1.065951--1.113228))+0-539.6--0.825588000000031</f>
        <v>1526.6606300000001</v>
      </c>
      <c r="M2" s="3">
        <f>2002.7+(823.4-642.7)+(1.021377+(0.419934-0.327777))+0-637.5-0.325124999999935</f>
        <v>1546.6884090000003</v>
      </c>
      <c r="N2" s="3">
        <f>2432.3+(560.8-887.3)+(1.240473+(0.286008-0.452523))+0-529-0.269789999999946</f>
        <v>1577.6041680000001</v>
      </c>
      <c r="O2" s="3">
        <f>2799.9+(510.1-975.1)+(1.427949+(0.260151-0.497301))+0-690.9-0.35235899999993</f>
        <v>1644.83844</v>
      </c>
      <c r="P2" s="3">
        <f>2778.4+(504.3-1027.4)+(0+(0-0))+0-544.5-0</f>
        <v>1710.8000000000002</v>
      </c>
      <c r="Q2" s="3">
        <f>2649.7+(495.1-775.8)+(-2.702694+(-0.505002--0.791316))+0-539--0.549780000000086</f>
        <v>1828.1333999999999</v>
      </c>
      <c r="R2" s="3">
        <f>2932.3+(357.8-1008.7)+(0+(0-0))+0-535.1-0</f>
        <v>1746.3000000000002</v>
      </c>
      <c r="S2" s="3">
        <f>3625.8+(301.4-1561.4)+(0+(0-0))+0-658.8-0</f>
        <v>1707.0000000000002</v>
      </c>
      <c r="T2" s="3">
        <f>3580.1+(311.1-1609.1)+(-3.651702+(-0.317322--1.641282))+0-615.9--0.628218000000098</f>
        <v>1664.5004759999999</v>
      </c>
      <c r="U2" s="3">
        <f>3290.1+(343.6-1457.2)+(-6.711804+(-0.700944--2.972688))+0-533.3--1.08793199999998</f>
        <v>1639.8478720000001</v>
      </c>
      <c r="V2" s="3">
        <f>3073.9+(381.9-1149.6)+(3.135378+(0.389538-1.172592))+0-683.6-0.697272000000109</f>
        <v>1624.2550520000002</v>
      </c>
      <c r="W2" s="3">
        <f>2349.9+(608.6-691.5)+(-2.396898+(-0.620772--0.70533))+0-631.6--0.644232000000101</f>
        <v>1633.7318920000002</v>
      </c>
      <c r="X2" s="3">
        <f>2337.5+(681.6-702.8)+(-2.38425+(-0.695232--0.716856))+0-638.7--0.651474000000102</f>
        <v>1675.8888480000001</v>
      </c>
      <c r="Y2" s="3">
        <f>3410.1+(383.1-1334)+(0+(0-0))+0-621.3-0</f>
        <v>1837.8999999999999</v>
      </c>
      <c r="Z2" s="3">
        <f>4135.7+(428.8-1854.9)+(-6.327621+(-0.656064--2.837997))+0-695.3--1.06380900000004</f>
        <v>2011.2181209999994</v>
      </c>
      <c r="AA2" s="3">
        <f>4046.8+(474.8-1945.8)+(-4.127736+(-0.484296--1.984716))+0-650.8--0.663816000000104</f>
        <v>1923.0365000000002</v>
      </c>
      <c r="AB2" s="3">
        <f>4197.8+(515.3-2167.4)+(4.281756+(0.525606-2.210748))+0-620.1-0.632502000000099</f>
        <v>1927.5641119999998</v>
      </c>
      <c r="AC2" s="3">
        <f>4156.6+(423.4-2274.8)+(-2.119866+(-0.215934--1.160148))+0-477--0.243269999999952</f>
        <v>1827.2676180000003</v>
      </c>
      <c r="AD2" s="2">
        <v>1991.4</v>
      </c>
      <c r="AE2" s="3">
        <f>4170.2+(383.5-1833.2)+(0+(0-0))+0-729.1-0</f>
        <v>1991.4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3872.5+(525.4-2076.8)+(-5.924925+(-0.803862--3.177504))+0-549.7--0.841041000000032</f>
        <v>1768.6897580000002</v>
      </c>
      <c r="G3" s="3">
        <f>3153.1+(648.4-1473.9)+(-1.608081+(-0.330684--0.751689))+0-651.1--0.332060999999934</f>
        <v>1675.6449849999997</v>
      </c>
      <c r="H3" s="3">
        <f>2386.2+(754.3-932.9)+(-1.216962+(-0.384693--0.475779))+0-605.5--0.308804999999939</f>
        <v>1601.2829289999997</v>
      </c>
      <c r="I3" s="3">
        <f>2134.2+(811.6-719.5)+(4.353768+(1.655664-1.46778))+0-671.2-1.36924799999997</f>
        <v>1558.2724039999996</v>
      </c>
      <c r="J3" s="3">
        <f>1967.3+(789.3-620.6)+(0+(0-0))+0-605.6-0</f>
        <v>1530.4</v>
      </c>
      <c r="K3" s="3">
        <f>2426.3+(652.6-891.8)+(1.237413+(0.332826-0.454818))+0-682.6-0.348125999999931</f>
        <v>1505.2672950000006</v>
      </c>
      <c r="L3" s="3">
        <f>2255.9+(678.2-799.4)+(1.150509+(0.345882-0.407694))+0-595.8-0.30385799999994</f>
        <v>1539.6848390000005</v>
      </c>
      <c r="M3" s="3">
        <f>2078.1+(818.1-620.5)+(-4.239324+(-1.668924--1.26582))+0-710.6--1.44962399999997</f>
        <v>1561.9071959999997</v>
      </c>
      <c r="N3" s="3">
        <f>2407.6+(688.8-903.7)+(-1.227876+(-0.351288--0.460887))+0-561.2--0.286211999999943</f>
        <v>1630.6679349999997</v>
      </c>
      <c r="O3" s="3">
        <f>2698.6+(715.7-1080.7)+(1.376286+(0.365007-0.551157))+0-622.5-0.317474999999937</f>
        <v>1711.9726610000002</v>
      </c>
      <c r="P3" s="3">
        <f>2734.4+(712.4-1172.7)+(-1.394544+(-0.363324--0.598077))+0-507.7--0.258926999999949</f>
        <v>1765.4991359999997</v>
      </c>
      <c r="Q3" s="3">
        <f>2960.5+(708.6-1265.9)+(0+(0-0))+0-622-0</f>
        <v>1781.1999999999998</v>
      </c>
      <c r="R3" s="3">
        <f>2729.1+(704.4-1018.1)+(-6.959205+(-1.79622--2.596155))+0-620.3--1.58176499999991</f>
        <v>1790.5224949999995</v>
      </c>
      <c r="S3" s="3">
        <f>2976.9+(641.1-1236.1)+(3.036438+(0.653922-1.260822))+0-623-0.635460000000099</f>
        <v>1760.6940779999998</v>
      </c>
      <c r="T3" s="3">
        <f>2788.7+(650.2-1133.8)+(-2.844474+(-0.663204--1.156476))+0-576.9--0.588438000000092</f>
        <v>1726.437236</v>
      </c>
      <c r="U3" s="3">
        <f>2778.7+(632.1-1158.8)+(-5.668548+(-1.289484--2.363952))+0-559.8--1.14199199999998</f>
        <v>1688.7479120000003</v>
      </c>
      <c r="V3" s="3">
        <f>2890+(636.2-1249.5)+(0+(0-0))+0-607.1-0</f>
        <v>1669.6</v>
      </c>
      <c r="W3" s="3">
        <f>3007.8+(502.2-1204.6)+(1.533978+(0.256122-0.614346))+0-618.1-0.315230999999937</f>
        <v>1688.1605230000005</v>
      </c>
      <c r="X3" s="3">
        <f>2767+(602.1-1016.7)+(-4.23351+(-0.921213--1.555551))+0-633.8--0.969714000000037</f>
        <v>1715.970542</v>
      </c>
      <c r="Y3" s="3">
        <f>3378.3+(466.3-1322)+(0+(0-0))+0-659.7-0</f>
        <v>1862.9000000000003</v>
      </c>
      <c r="Z3" s="3">
        <f>3562.7+(571-1520.7)+(-10.901862+(-1.74726--4.653342))+0-601.6--1.84089600000007</f>
        <v>2005.2451160000001</v>
      </c>
      <c r="AA3" s="3">
        <f>3615.7+(675.2-1612.9)+(-1.844007+(-0.344352--0.822579))+0-712.9--0.363578999999928</f>
        <v>1964.0977989999997</v>
      </c>
      <c r="AB3" s="3">
        <f>3706.1+(673.6-1876.1)+(-3.780222+(-0.687072--1.913622))+0-570.8--0.582216000000091</f>
        <v>1930.828544</v>
      </c>
      <c r="AC3" s="3">
        <f>3689+(714.3-1972.5)+(-5.64417+(-1.092879--3.017925))+0-581.8--0.890154000000034</f>
        <v>1846.17103</v>
      </c>
      <c r="AD3" s="2">
        <v>1979.8</v>
      </c>
      <c r="AE3" s="3">
        <f>3708.1+(544.1-1510.2)+(0+(0-0))+0-762.2-0</f>
        <v>1979.8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3077.6+(792.5-1534.5)+(-3.139152+(-0.80835--1.56519))+0-598.6--0.610572000000095</f>
        <v>1735.2282599999999</v>
      </c>
      <c r="G4" s="3">
        <f>2613.8+(875-1173.1)+(-3.999114+(-1.33875--1.794843))+0-688.1--1.05279300000004</f>
        <v>1625.1097720000005</v>
      </c>
      <c r="H4" s="3">
        <f>2551.6+(705.2-1117.7)+(-1.301316+(-0.359652--0.570027))+0-609.6--0.310895999999938</f>
        <v>1528.719955</v>
      </c>
      <c r="I4" s="3">
        <f>2386.2+(707.5-934.5)+(0+(0-0))+0-688.6-0</f>
        <v>1470.6</v>
      </c>
      <c r="J4" s="3">
        <f>2229.1+(741.9-872)+(-3.410523+(-1.135107--1.33416))+0-643.3--0.984249000000037</f>
        <v>1453.4727789999999</v>
      </c>
      <c r="K4" s="3">
        <f>2452.3+(700.7-1069.1)+(-1.250673+(-0.357357--0.545241))+0-643.2--0.328031999999935</f>
        <v>1439.9652430000003</v>
      </c>
      <c r="L4" s="3">
        <f>2268.6+(723.9-885.6)+(-4.627944+(-1.476756--1.806624))+0-632.6--1.29050399999997</f>
        <v>1471.2924279999997</v>
      </c>
      <c r="M4" s="3">
        <f>2060.9+(763.4-700.9)+(-6.306354+(-2.336004--2.144754))+0-608.6--1.86231600000007</f>
        <v>1510.164712</v>
      </c>
      <c r="N4" s="3">
        <f>2533.2+(597.4-946.9)+(2.583864+(0.609348-0.965838))+0-629.7-0.642294000000101</f>
        <v>1555.5850799999998</v>
      </c>
      <c r="O4" s="3">
        <f>2896.6+(539-1156.3)+(1.477266+(0.27489-0.589713))+0-606.7-0.309416999999938</f>
        <v>1673.4530260000004</v>
      </c>
      <c r="P4" s="3">
        <f>3216.2+(515.5-1485.6)+(3.280524+(0.52581-1.515312))+0-591.9-0.603738000000094</f>
        <v>1655.8872839999997</v>
      </c>
      <c r="Q4" s="3">
        <f>3282.7+(486.2-1490.7)+(0+(0-0))+0-591.8-0</f>
        <v>1686.3999999999999</v>
      </c>
      <c r="R4" s="3">
        <f>3117.4+(540.7-1298.7)+(-7.94937+(-1.378785--3.311685))+0-611.1--1.55830499999991</f>
        <v>1743.8418350000002</v>
      </c>
      <c r="S4" s="3">
        <f>2854.7+(594.4-1155.3)+(-5.823588+(-1.212576--2.356812))+0-626.6--1.27826399999997</f>
        <v>1663.7989119999997</v>
      </c>
      <c r="T4" s="3">
        <f>2598+(575.7-997.5)+(-2.64996+(-0.587214--1.01745))+0-527.4--0.537948000000084</f>
        <v>1647.1182239999998</v>
      </c>
      <c r="U4" s="3">
        <f>2628.1+(566.6-935.5)+(-4.020993+(-0.866898--1.431315))+0-641.4--0.981342000000037</f>
        <v>1615.3247659999997</v>
      </c>
      <c r="V4" s="3">
        <f>2762+(567.8-997.9)+(1.40862+(0.289578-0.508929))+0-578.8-0.295187999999941</f>
        <v>1753.9940810000001</v>
      </c>
      <c r="W4" s="3">
        <f>2771.5+(508.1-977.7)+(5.65386+(1.036524-1.994508))+0-670.8-1.36843199999997</f>
        <v>1634.4274440000004</v>
      </c>
      <c r="X4" s="3">
        <f>2578.2+(538.4-852.7)+(-1.314882+(-0.274584--0.434877))+0-598.1--0.305030999999939</f>
        <v>1664.9504419999994</v>
      </c>
      <c r="Y4" s="3">
        <f>2875.1+(622.7-1008.6)+(0+(0-0))+0-653.3-0</f>
        <v>1835.8999999999999</v>
      </c>
      <c r="Z4" s="3">
        <f>3584.6+(702.9-1664.8)+(-9.14073+(-1.792395--4.24524))+0-602.5--1.53637499999991</f>
        <v>2015.0484899999999</v>
      </c>
      <c r="AA4" s="3">
        <f>4030.8+(681.1-2089.1)+(-8.222832+(-1.389444--4.261764))+0-652.9--1.33191599999997</f>
        <v>1965.881404</v>
      </c>
      <c r="AB4" s="3">
        <f>3888.8+(681.1-2011.7)+(0+(0-0))+0-650-0</f>
        <v>1908.2000000000003</v>
      </c>
      <c r="AC4" s="3">
        <f>3715.5+(623.8-1877.5)+(1.894905+(0.318138-0.957525))+0-640.9-0.326858999999935</f>
        <v>1821.828659</v>
      </c>
      <c r="AD4" s="2">
        <v>1996.2999999999993</v>
      </c>
      <c r="AE4" s="3">
        <f>3700.2+(706.4-1840.3)+(0+(0-0))+0-570-0</f>
        <v>1996.2999999999997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3072.5+(704.9-1429.2)+(-7.834875+(-1.797495--3.64446))+0-624.1--1.59145499999991</f>
        <v>1719.7035450000001</v>
      </c>
      <c r="G5" s="3">
        <f>2718.3+(702-1232.1)+(-5.545332+(-1.43208--2.513484))+0-575.1--1.17320399999998</f>
        <v>1609.8092760000002</v>
      </c>
      <c r="H5" s="3">
        <f>2534.1+(662.7-1102.4)+(1.292391+(0.337977-0.562224))+0-589.1-0.30044099999994</f>
        <v>1506.0677029999997</v>
      </c>
      <c r="I5" s="3">
        <f>2127.3+(732.1-795.4)+(-6.509538+(-2.240226--2.433924))+0-599.3--1.83385800000007</f>
        <v>1460.2180179999998</v>
      </c>
      <c r="J5" s="3">
        <f>2176.9+(713.3-851.9)+(-2.220438+(-0.727566--0.868938))+0-596.5--0.608430000000095</f>
        <v>1440.3293640000002</v>
      </c>
      <c r="K5" s="3">
        <f>2144.6+(725.5-829)+(2.187492+(0.74001-0.84558))+0-600.7-0.612714000000096</f>
        <v>1441.8692079999998</v>
      </c>
      <c r="L5" s="3">
        <f>2159.4+(734.9-800.7)+(-3.303882+(-1.124397--1.225071))+0-601.9--0.920907000000035</f>
        <v>1489.4176989999999</v>
      </c>
      <c r="M5" s="3">
        <f>2066.6+(819.1-759)+(-1.053966+(-0.417741--0.38709))+0-575.6--0.293555999999942</f>
        <v>1550.3089389999998</v>
      </c>
      <c r="N5" s="3">
        <f>2444.1+(642.9-865.4)+(1.246491+(0.327879-0.441354))+0-539-0.274889999999945</f>
        <v>1683.4581260000002</v>
      </c>
      <c r="O5" s="3">
        <f>2699+(395.7-899.8)+(1.37649+(0.201807-0.458898))+0-495-0.25244999999995</f>
        <v>1700.7669490000003</v>
      </c>
      <c r="P5" s="3">
        <f>3076.7+(249.6-1160.9)+(0+(0-0))+0-478.6-0</f>
        <v>1686.7999999999997</v>
      </c>
      <c r="Q5" s="3">
        <f>3414.9+(181.4-1430.5)+(1.741599+(0.092514-0.729555))+0-489.8-0.24979799999995</f>
        <v>1676.8547600000002</v>
      </c>
      <c r="R5" s="3">
        <f>3160.4+(200.2-1222.6)+(-6.447216+(-0.408408--2.494104))+0-437.5--0.892499999999981</f>
        <v>1697.03098</v>
      </c>
      <c r="S5" s="3">
        <f>2750.7+(323.4-1008.5)+(-4.208571+(-0.494802--1.543005))+0-374.8--0.573444000000022</f>
        <v>1688.2130760000002</v>
      </c>
      <c r="T5" s="3">
        <f>2722.3+(365.5-904.2)+(-1.388373+(-0.186405--0.461142))+0-526.2--0.268361999999947</f>
        <v>1656.5547260000003</v>
      </c>
      <c r="U5" s="3">
        <f>2635.7+(344.2-863.9)+(-6.721035+(-0.87771--2.202945))+0-526.2--1.34180999999992</f>
        <v>1585.7460100000001</v>
      </c>
      <c r="V5" s="3">
        <f>2926.3+(270.6-1088.9)+(0+(0-0))+0-494-0</f>
        <v>1614</v>
      </c>
      <c r="W5" s="3">
        <f>3113.6+(223.8-1240.9)+(1.587936+(0.114138-0.632859))+0-456.5-0.232814999999954</f>
        <v>1640.8364000000001</v>
      </c>
      <c r="X5" s="3">
        <f>3462.4+(207.1-1367)+(0+(0-0))+0-631.7-0</f>
        <v>1670.8</v>
      </c>
      <c r="Y5" s="3">
        <f>3943.4+(175.2-1736.4)+(4.022268+(0.178704-1.771128))+0-566.5-0.57783000000009</f>
        <v>1817.5520139999994</v>
      </c>
      <c r="Z5" s="3">
        <f>4413.1+(381.6-2101.7)+(-4.501362+(-0.389232--2.143734))+0-689.3--0.70308600000011</f>
        <v>2001.6562260000005</v>
      </c>
      <c r="AA5" s="3">
        <f>4151.1+(355.7-1936.5)+(-6.351183+(-0.544221--2.962845))+0-631--0.965430000000036</f>
        <v>1936.3328710000003</v>
      </c>
      <c r="AB5" s="3">
        <f>3907.4+(525.1-1898.3)+(1.992774+(0.267801-0.968133))+0-640.7-0.326756999999935</f>
        <v>1894.4656850000001</v>
      </c>
      <c r="AC5" s="3">
        <f>3814.4+(432.4-1796.1)+(-7.781376+(-0.882096--3.664044))+0-628.7--1.28254799999997</f>
        <v>1818.2831200000001</v>
      </c>
      <c r="AD5" s="2">
        <v>1992.7</v>
      </c>
      <c r="AE5" s="3">
        <f>4397.1+(446.9-2126.6)+(0+(0-0))+0-724.7-0</f>
        <v>1992.7000000000005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3841.6+(368-1830.5)+(-5.877648+(-0.56304--2.800665))+0-663.3--1.01484900000004</f>
        <v>1713.1748260000002</v>
      </c>
      <c r="G6" s="3">
        <f>3330.1+(399-1611.7)+(-8.491755+(-1.01745--4.109835))+0-517--1.31834999999993</f>
        <v>1596.3189799999996</v>
      </c>
      <c r="H6" s="3">
        <f>2897.3+(346.5-1105.8)+(-4.432869+(-0.530145--1.691874))+0-629--0.962370000000036</f>
        <v>1506.6912300000001</v>
      </c>
      <c r="I6" s="3">
        <f>2854.7+(328-1085.5)+(0+(0-0))+0-656.5-0</f>
        <v>1440.6999999999998</v>
      </c>
      <c r="J6" s="3">
        <f>2548.8+(374.9-826.6)+(0+(0-0))+0-671.1-0</f>
        <v>1426.0000000000005</v>
      </c>
      <c r="K6" s="3">
        <f>2460.2+(399.6-824.6)+(1.254702+(0.203796-0.420546))+0-609.7-0.310946999999938</f>
        <v>1426.2270049999997</v>
      </c>
      <c r="L6" s="3">
        <f>2445.7+(446-817)+(-1.247307+(-0.22746--0.41667))+0-609.7--0.310946999999938</f>
        <v>1464.2528499999996</v>
      </c>
      <c r="M6" s="3">
        <f>2311.8+(623.8-747.4)+(0+(0-0))+0-667.2-0</f>
        <v>1521.0000000000002</v>
      </c>
      <c r="N6" s="3">
        <f>2279.8+(700.1-778)+(0+(0-0))+0-613.2-0</f>
        <v>1588.7</v>
      </c>
      <c r="O6" s="3">
        <f>2566.4+(539.3-871.4)+(5.235456+(1.100172-1.777656))+0-577.1-1.17728399999997</f>
        <v>1660.5806880000005</v>
      </c>
      <c r="P6" s="3">
        <f>3342.1+(237.5-1218)+(3.408942+(0.24225-1.24236))+0-656.1-0.669222000000105</f>
        <v>1707.2396099999999</v>
      </c>
      <c r="Q6" s="3">
        <f>3458.4+(277.4-1395.9)+(-7.055136+(-0.565896--2.847636))+0-599.1--1.22216399999997</f>
        <v>1737.2487680000002</v>
      </c>
      <c r="R6" s="3">
        <f>3381.6+(178.5-1304)+(-3.449232+(-0.18207--1.33008))+0-514.7--0.524994000000082</f>
        <v>1739.6237719999999</v>
      </c>
      <c r="S6" s="3">
        <f>2971.5+(289.1-910.7)+(-6.06186+(-0.589764--1.857828))+0-631--1.28723999999997</f>
        <v>1715.393444</v>
      </c>
      <c r="T6" s="3">
        <f>3013.4+(239.8-1003.7)+(1.536834+(0.122298-0.511887))+0-545.5-0.278204999999945</f>
        <v>1704.8690400000003</v>
      </c>
      <c r="U6" s="3">
        <f>2821.8+(328.9-851.7)+(-4.317354+(-0.503217--1.303101))+0-639.3--0.978129000000037</f>
        <v>1657.1606590000004</v>
      </c>
      <c r="V6" s="3">
        <f>2992.3+(283.3-975.7)+(-3.052146+(-0.288966--0.995214))+0-637.9--0.650658000000102</f>
        <v>1660.30476</v>
      </c>
      <c r="W6" s="3">
        <f>2869.2+(289.2-829.3)+(-10.243044+(-1.032444--2.960601))+0-641--2.28837000000001</f>
        <v>1682.0734829999999</v>
      </c>
      <c r="X6" s="3">
        <f>2831.9+(316.4-837.8)+(-1.444269+(-0.161364--0.427278))+0-580.4--0.296003999999941</f>
        <v>1729.2176489999999</v>
      </c>
      <c r="Y6" s="3">
        <f>3661.3+(189.3-1318.4)+(3.734526+(0.193086-1.344768))+0-662.4-0.675648000000106</f>
        <v>1871.7071959999996</v>
      </c>
      <c r="Z6" s="3">
        <f>4430.2+(297.9-2122.4)+(-6.778206+(-0.455787--3.247272))+0-668.2--1.02234600000004</f>
        <v>1934.5356249999995</v>
      </c>
      <c r="AA6" s="3">
        <f>4582+(285.9-2290.2)+(-4.67364+(-0.291618--2.336004))+0-668.3--0.681666000000106</f>
        <v>1907.4524120000005</v>
      </c>
      <c r="AB6" s="3">
        <f>4409.3+(301.8-2202.9)+(-2.248743+(-0.153918--1.123479))+0-633.5--0.323084999999936</f>
        <v>1873.7439029999996</v>
      </c>
      <c r="AC6" s="3">
        <f>3754.9+(418.8-1725.4)+(0+(0-0))+0-603.1-0</f>
        <v>1845.2000000000003</v>
      </c>
      <c r="AD6" s="2">
        <v>1970.9</v>
      </c>
      <c r="AE6" s="3">
        <f>4492.1+(393.2-2161.9)+(0+(0-0))+0-752.5-0</f>
        <v>1970.9000000000005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3515.6+(599.1-1771.9)+(-3.585912+(-0.611082--1.807338))+0-566.4--0.57772800000009</f>
        <v>1774.5880719999998</v>
      </c>
      <c r="G7" s="3">
        <f>3328.7+(662.9-1747.5)+(-3.395274+(-0.676158--1.78245))+0-578.1--0.589662000000092</f>
        <v>1664.3006800000001</v>
      </c>
      <c r="H7" s="3">
        <f>3040.1+(657.1-1528)+(-3.100902+(-0.670242--1.55856))+0-603.1--0.615162000000096</f>
        <v>1564.5025780000001</v>
      </c>
      <c r="I7" s="3">
        <f>2785.2+(688.6-1272.2)+(1.420452+(0.351186-0.648822))+0-689-0.35138999999993</f>
        <v>1513.3714259999999</v>
      </c>
      <c r="J7" s="3">
        <f>2383.3+(754.3-1007)+(-2.430966+(-0.769386--1.02714))+0-631.1--0.643722000000101</f>
        <v>1497.9705100000003</v>
      </c>
      <c r="K7" s="3">
        <f>2387.1+(766-1002.1)+(6.087105+(1.9533-2.555355))+0-660.7-1.6847849999999</f>
        <v>1494.1002649999998</v>
      </c>
      <c r="L7" s="3">
        <f>2254.5+(787.4-909.2)+(1.149795+(0.401574-0.463692))+0-595.8-0.30385799999994</f>
        <v>1537.6838189999999</v>
      </c>
      <c r="M7" s="3">
        <f>2254+(804.9-894.2)+(0+(0-0))+0-580.8-0</f>
        <v>1583.8999999999999</v>
      </c>
      <c r="N7" s="3">
        <f>2254+(815.2-864.6)+(-3.44862+(-1.247256--1.322838))+0-556.9--0.852057000000032</f>
        <v>1645.1790189999997</v>
      </c>
      <c r="O7" s="3">
        <f>2458.9+(760.3-891.7)+(-2.508078+(-0.775506--0.909534))+0-606.3--0.618426000000097</f>
        <v>1719.4443760000001</v>
      </c>
      <c r="P7" s="3">
        <f>3135.7+(581-1438)+(3.198414+(0.59262-1.46676))+0-554-0.565080000000088</f>
        <v>1726.4591939999998</v>
      </c>
      <c r="Q7" s="3">
        <f>3552.8+(534.2-1843.7)+(-7.247712+(-1.089768--3.761148))+0-448--0.91391999999998</f>
        <v>1791.6375880000001</v>
      </c>
      <c r="R7" s="3">
        <f>3561+(489.6-1849.9)+(-5.44833+(-0.749088--2.830347))+0-417.3--0.638469000000024</f>
        <v>1780.6713979999997</v>
      </c>
      <c r="S7" s="3">
        <f>3712+(479.5-1839.2)+(-7.57248+(-0.97818--3.751968))+0-606--1.23623999999997</f>
        <v>1742.7375480000003</v>
      </c>
      <c r="T7" s="3">
        <f>3491.3+(448.4-1812.3)+(-7.122252+(-0.914736--3.697092))+0-401.9--0.819875999999982</f>
        <v>1721.9799800000001</v>
      </c>
      <c r="U7" s="3">
        <f>3300.1+(512.5-1523.2)+(0+(0-0))+0-616.3-0</f>
        <v>1673.0999999999997</v>
      </c>
      <c r="V7" s="3">
        <f>3261.3+(496.6-1529)+(-4.989789+(-0.759798--2.33937))+0-552.6--0.845478000000032</f>
        <v>1673.735261</v>
      </c>
      <c r="W7" s="3">
        <f>3259.3+(508-1498.8)+(3.324486+(0.51816-1.528776))+0-559.5-0.570690000000089</f>
        <v>1710.7431799999999</v>
      </c>
      <c r="X7" s="3">
        <f>3291.3+(562.7-1574.3)+(-8.392815+(-1.434885--4.014465))+0-559.9--1.42774499999992</f>
        <v>1715.4145100000001</v>
      </c>
      <c r="Y7" s="3">
        <f>3802.2+(579.8-2056.2)+(1.939122+(0.295698-1.048662))+0-545.1-0.278000999999945</f>
        <v>1781.6081570000003</v>
      </c>
      <c r="Z7" s="3">
        <f>4434+(635.2-2542.5)+(-4.52268+(-0.647904--2.59335))+0-609.8--0.621996000000097</f>
        <v>1914.9447620000001</v>
      </c>
      <c r="AA7" s="3">
        <f>4245.4+(666.3-2493.5)+(-10.82577+(-1.699065--6.358425))+0-529.2--1.34945999999992</f>
        <v>1884.1830499999999</v>
      </c>
      <c r="AB7" s="3">
        <f>4091.7+(635.9-2274)+(-10.433835+(-1.621545--5.7987))+0-597.3--1.52311499999991</f>
        <v>1851.566435</v>
      </c>
      <c r="AC7" s="3">
        <f>4392.9+(598.2-2654.4)+(4.480758+(0.610164-2.707488))+0-561-0.572220000000089</f>
        <v>1777.5112139999997</v>
      </c>
      <c r="AD7" s="2">
        <v>2025.0000000000009</v>
      </c>
      <c r="AE7" s="3">
        <f>4503.1+(732.6-2621.1)+(0+(0-0))+0-589.6-0</f>
        <v>2025.0000000000005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3789+(665.1-2120.7)+(-7.72956+(-1.356804--4.326228))+0-681.7--1.39066799999997</f>
        <v>1648.3305320000002</v>
      </c>
      <c r="G8" s="3">
        <f>3006.9+(697.3-1571.3)+(-6.134076+(-1.422492--3.205452))+0-555.1--1.13240399999998</f>
        <v>1574.5812880000003</v>
      </c>
      <c r="H8" s="3">
        <f>2717.3+(777.4-1335.6)+(5.543292+(1.585896-2.724624))+0-662-1.35047999999997</f>
        <v>1500.1540840000002</v>
      </c>
      <c r="I8" s="3">
        <f>2447.9+(820.9-1192.8)+(2.496858+(0.837318-1.216656))+0-631.7-0.644334000000101</f>
        <v>1445.7731859999997</v>
      </c>
      <c r="J8" s="3">
        <f>2006.6+(868.4-785)+(-5.11683+(-2.21442--2.00175))+0-660.1--1.6832549999999</f>
        <v>1426.2537550000002</v>
      </c>
      <c r="K8" s="3">
        <f>2064.9+(849.5-873.3)+(-2.106198+(-0.86649--0.890766))+0-633.3--0.645966000000101</f>
        <v>1406.3640440000001</v>
      </c>
      <c r="L8" s="3">
        <f>2186+(827.1-877)+(5.5743+(2.109105-2.23635))+0-673.6-1.7176799999999</f>
        <v>1466.2293750000001</v>
      </c>
      <c r="M8" s="3">
        <f>2198.3+(827.2-908.2)+(-3.363399+(-1.265616--1.389546))+0-619.9--0.948447000000036</f>
        <v>1495.108978</v>
      </c>
      <c r="N8" s="3">
        <f>2199.1+(828.2-869.5)+(2.243082+(0.844764-0.88689))+0-601-0.613020000000096</f>
        <v>1558.3879360000003</v>
      </c>
      <c r="O8" s="3">
        <f>2418.5+(756.5-959.3)+(2.46687+(0.77163-0.978486))+0-604.3-0.616386000000096</f>
        <v>1613.0436279999997</v>
      </c>
      <c r="P8" s="3">
        <f>2847.6+(633.1-1275.6)+(2.904552+(0.645762-1.301112))+0-534.9-0.545598000000085</f>
        <v>1671.9036039999996</v>
      </c>
      <c r="Q8" s="3">
        <f>3157.8+(531.7-1451.6)+(1.610478+(0.271167-0.740316))+0-497.1-0.25352099999995</f>
        <v>1741.6878080000008</v>
      </c>
      <c r="R8" s="3">
        <f>3236+(513.2-1500.8)+(0+(0-0))+0-502.5-0</f>
        <v>1745.9</v>
      </c>
      <c r="S8" s="3">
        <f>3049.4+(540.9-1288.7)+(-6.220776+(-1.103436--2.628948))+0-588.4--1.20033599999997</f>
        <v>1709.7050719999997</v>
      </c>
      <c r="T8" s="3">
        <f>2663.8+(551.5-1024)+(-4.075614+(-0.843795--1.56672))+0-516.3--0.78993900000003</f>
        <v>1672.4372500000004</v>
      </c>
      <c r="U8" s="3">
        <f>2414.1+(638.8-781.5)+(-2.462382+(-0.651576--0.79713))+0-645.3--0.658206000000103</f>
        <v>1624.4413779999998</v>
      </c>
      <c r="V8" s="3">
        <f>2633.8+(616.4-959.6)+(-4.029714+(-0.943092--1.468188))+0-647.4--0.990522000000037</f>
        <v>1640.6859040000004</v>
      </c>
      <c r="W8" s="3">
        <f>2844+(571.4-1187)+(-2.90088+(-0.582828--1.21074))+0-530.2--0.540804000000085</f>
        <v>1696.4678359999998</v>
      </c>
      <c r="X8" s="3">
        <f>3348.3+(557-1504.8)+(1.707633+(0.28407-0.767448))+0-642.4-0.327623999999935</f>
        <v>1758.996631</v>
      </c>
      <c r="Y8" s="3">
        <f>4300.2+(453.9-2277.9)+(4.386204+(0.462978-2.323458))+0-581.4-0.593028000000093</f>
        <v>1896.7326959999998</v>
      </c>
      <c r="Z8" s="3">
        <f>4822.9+(470.6-2632.8)+(-7.379037+(-0.720018--4.028184))+0-676.8--1.03550400000004</f>
        <v>1980.8646329999995</v>
      </c>
      <c r="AA8" s="3">
        <f>4248.5+(507.2-2264.2)+(-2.166735+(-0.258672--1.154742))+0-561.1--0.286160999999943</f>
        <v>1929.4154960000001</v>
      </c>
      <c r="AB8" s="3">
        <f>3736.1+(585.6-1945.1)+(0+(0-0))+0-509.8-0</f>
        <v>1866.8</v>
      </c>
      <c r="AC8" s="3">
        <f>3265.6+(644-1467.3)+(-1.665456+(-0.32844--0.748323))+0-670.1--0.341750999999932</f>
        <v>1771.2961780000001</v>
      </c>
      <c r="AD8" s="2">
        <v>1928.3999999999999</v>
      </c>
      <c r="AE8" s="3">
        <f>4999+(459.5-2769.3)+(0+(0-0))+0-760.8-0</f>
        <v>1928.3999999999999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2673.7+(668.3-1178.7)+(-2.727174+(-0.681666--1.202274))+0-510.2--0.520404000000081</f>
        <v>1651.4138379999999</v>
      </c>
      <c r="G9" s="3">
        <f>2549.3+(701.4-1104.6)+(-3.900429+(-1.073142--1.690038))+0-611.2--0.935136000000035</f>
        <v>1532.5516030000006</v>
      </c>
      <c r="H9" s="3">
        <f>2254.4+(731.1-1000.5)+(-1.149744+(-0.372861--0.510255))+0-528.7--0.269636999999946</f>
        <v>1455.5572869999999</v>
      </c>
      <c r="I9" s="3">
        <f>2132.7+(760.7-808.8)+(-2.175354+(-0.775914--0.824976))+0-673.6--0.687072000000107</f>
        <v>1409.5607800000002</v>
      </c>
      <c r="J9" s="3">
        <f>1997.9+(769.1-762.1)+(-2.037858+(-0.784482--0.777342))+0-610.2--0.622404000000097</f>
        <v>1393.2774060000002</v>
      </c>
      <c r="K9" s="3">
        <f>2013.6+(799.6-728.3)+(1.026936+(0.407796-0.371433))+0-695.7-0.354806999999929</f>
        <v>1389.908492</v>
      </c>
      <c r="L9" s="3">
        <f>2261.5+(764.7-946.2)+(2.30673+(0.779994-0.965124))+0-649.4-0.662388000000104</f>
        <v>1432.0592119999997</v>
      </c>
      <c r="M9" s="3">
        <f>2179.9+(781.6-841.1)+(-1.111749+(-0.398616--0.428961))+0-634.8--0.323747999999936</f>
        <v>1484.8423440000001</v>
      </c>
      <c r="N9" s="3">
        <f>2504.1+(723.5-1060.2)+(-1.277091+(-0.368985--0.540702))+0-617.6--0.314975999999937</f>
        <v>1549.0096019999994</v>
      </c>
      <c r="O9" s="3">
        <f>3157.1+(562.8-1586)+(-1.610121+(-0.287028--0.80886))+0-512.4--0.261323999999948</f>
        <v>1620.6730349999998</v>
      </c>
      <c r="P9" s="3">
        <f>3548.6+(552.1-1773)+(0+(0-0))+0-529-0</f>
        <v>1798.6999999999998</v>
      </c>
      <c r="Q9" s="3">
        <f>3536.1+(570.5-1824.6)+(3.606822+(0.58191-1.861092))+0-553.8-0.564876000000088</f>
        <v>1729.9627639999999</v>
      </c>
      <c r="R9" s="3">
        <f>3668.7+(482.9-1902.6)+(0+(0-0))+0-476.2-0</f>
        <v>1772.8</v>
      </c>
      <c r="S9" s="3">
        <f>3538.8+(505.7-1669.8)+(-9.02394+(-1.289535--4.25799))+0-600.2--1.53050999999991</f>
        <v>1769.9750250000002</v>
      </c>
      <c r="T9" s="3">
        <f>3424.8+(512.9-1661.8)+(-3.493296+(-0.523158--1.695036))+0-544.3--0.555186000000087</f>
        <v>1729.8337680000002</v>
      </c>
      <c r="U9" s="3">
        <f>3055.3+(561-1332.8)+(-4.674609+(-0.85833--2.039184))+0-597.1--0.913563000000035</f>
        <v>1683.8198080000002</v>
      </c>
      <c r="V9" s="3">
        <f>2975.9+(552.6-1240.3)+(0+(0-0))+0-599.1-0</f>
        <v>1689.1000000000004</v>
      </c>
      <c r="W9" s="3">
        <f>3026.9+(538.2-1278.1)+(7.718595+(1.37241-3.259155))+0-568.2-1.44890999999992</f>
        <v>1723.1829400000001</v>
      </c>
      <c r="X9" s="3">
        <f>3136+(540.4-1291.6)+(6.39744+(1.102416-2.634864))+0-641.7-1.30906799999997</f>
        <v>1746.6559239999999</v>
      </c>
      <c r="Y9" s="3">
        <f>3690.3+(457.8-1726.8)+(3.764106+(0.466956-1.761336))+0-604.8-0.616896000000096</f>
        <v>1818.35283</v>
      </c>
      <c r="Z9" s="3">
        <f>4698.1+(466.8-2602)+(2.396031+(0.238068-1.32702))+0-589.4-0.30059399999994</f>
        <v>1974.5064850000006</v>
      </c>
      <c r="AA9" s="3">
        <f>4423.8+(502.4-2374.6)+(0+(0-0))+0-638.4-0</f>
        <v>1913.2000000000003</v>
      </c>
      <c r="AB9" s="3">
        <f>3825.8+(575.1-1909.5)+(-5.853474+(-0.879903--2.921535))+0-645.8--0.988074000000037</f>
        <v>1842.7762320000002</v>
      </c>
      <c r="AC9" s="3">
        <f>3469.9+(614.6-1695.1)+(-1.769649+(-0.313446--0.864501))+0-617--0.314669999999937</f>
        <v>1771.4960760000001</v>
      </c>
      <c r="AD9" s="2">
        <v>2070.8000000000006</v>
      </c>
      <c r="AE9" s="3">
        <f>4927.1+(442.6-2678.9)+(0+(0-0))+0-620-0</f>
        <v>2070.8000000000002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2791.5+(701-1073.8)+(-4.270995+(-1.07253--1.642914))+0-615.6--0.941868000000036</f>
        <v>1800.3412569999998</v>
      </c>
      <c r="G10" s="3">
        <f>2495.5+(758.7-1023.7)+(0+(0-0))+0-560-0</f>
        <v>1670.5</v>
      </c>
      <c r="H10" s="3">
        <f>2400.1+(772.4-928.8)+(-3.672153+(-1.181772--1.421064))+0-687.6--1.05202800000004</f>
        <v>1553.7191670000002</v>
      </c>
      <c r="I10" s="3">
        <f>2115.2+(752-746.1)+(-3.236256+(-1.15056--1.141533))+0-584.4--0.894132000000034</f>
        <v>1534.3488489999997</v>
      </c>
      <c r="J10" s="3">
        <f>2014.5+(770.6-632.6)+(-3.082185+(-1.179018--0.967878))+0-699.2--1.06977600000004</f>
        <v>1451.0764509999999</v>
      </c>
      <c r="K10" s="3">
        <f>2065.8+(734.9-793.9)+(0+(0-0))+0-548.4-0</f>
        <v>1458.4</v>
      </c>
      <c r="L10" s="3">
        <f>2335.6+(736.1-939.5)+(0+(0-0))+0-659.5-0</f>
        <v>1472.6999999999998</v>
      </c>
      <c r="M10" s="3">
        <f>2169.9+(753.5-907.6)+(-1.106649+(-0.384285--0.462876))+0-521.5--0.265964999999947</f>
        <v>1493.5379070000001</v>
      </c>
      <c r="N10" s="3">
        <f>2519.3+(661-1121)+(0+(0-0))+0-497.2-0</f>
        <v>1562.1000000000001</v>
      </c>
      <c r="O10" s="3">
        <f>2926+(567.8-1268.9)+(-2.98452+(-0.579156--1.294278))+0-597.5--0.609450000000095</f>
        <v>1625.7400519999999</v>
      </c>
      <c r="P10" s="3">
        <f>3271.7+(478.7-1524.6)+(-1.668567+(-0.244137--0.777546))+0-525.5--0.268004999999947</f>
        <v>1699.432847</v>
      </c>
      <c r="Q10" s="3">
        <f>3756.1+(405.6-1954.9)+(-3.831222+(-0.413712--1.993998))+0-451.8--0.460836000000072</f>
        <v>1753.2098999999998</v>
      </c>
      <c r="R10" s="3">
        <f>3806.3+(434.9-1845.4)+(-1.941213+(-0.221799--0.941154))+0-632.9--0.322778999999936</f>
        <v>1762.0009210000001</v>
      </c>
      <c r="S10" s="3">
        <f>3510+(435.4-1675.7)+(-7.1604+(-0.888216--3.418428))+0-507.8--1.03591199999998</f>
        <v>1758.3057239999998</v>
      </c>
      <c r="T10" s="3">
        <f>3804.7+(375.6-1807.7)+(1.940397+(0.191556-0.921927))+0-631.4-0.322013999999936</f>
        <v>1742.0880120000002</v>
      </c>
      <c r="U10" s="3">
        <f>3374.7+(497.9-1482.7)+(-3.442194+(-0.507858--1.512354))+0-667.2--0.680544000000106</f>
        <v>1720.9428459999995</v>
      </c>
      <c r="V10" s="3">
        <f>2982.8+(575.1-1229.5)+(-1.521228+(-0.293301--0.627045))+0-614.1--0.313190999999938</f>
        <v>1713.4257070000001</v>
      </c>
      <c r="W10" s="3">
        <f>2675.6+(628.1-902.5)+(-4.093668+(-0.960993--1.380825))+0-648.5--0.992205000000038</f>
        <v>1750.0183689999999</v>
      </c>
      <c r="X10" s="3">
        <f>2733.5+(634.5-915.4)+(-2.78817+(-0.64719--0.933708))+0-685.2--0.698904000000109</f>
        <v>1765.597252</v>
      </c>
      <c r="Y10" s="3">
        <f>3890+(412.1-1796)+(3.9678+(0.420342-1.83192))+0-613.2-0.625464000000098</f>
        <v>1894.8307579999998</v>
      </c>
      <c r="Z10" s="3">
        <f>4861.5+(409-2552.5)+(-14.87619+(-1.25154--7.81065))+0-675--2.06550000000008</f>
        <v>2036.7484200000004</v>
      </c>
      <c r="AA10" s="3">
        <f>4150.9+(476.9-1996)+(0+(0-0))+0-630.2-0</f>
        <v>2001.5999999999997</v>
      </c>
      <c r="AB10" s="3">
        <f>3765.9+(513.7-1672.7)+(-1.920609+(-0.261987--0.853077))+0-658.4--0.335783999999933</f>
        <v>1947.506265</v>
      </c>
      <c r="AC10" s="3">
        <f>3333.1+(568.3-1350.3)+(-6.799524+(-1.159332--2.754612))+0-626.8--1.27867199999997</f>
        <v>1920.3744279999999</v>
      </c>
      <c r="AD10" s="2">
        <v>2056.5</v>
      </c>
      <c r="AE10" s="3">
        <f>5021+(414.2-2637.4)+(0+(0-0))+0-741.3-0</f>
        <v>2056.5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3094.9+(607.5-1224.1)+(-3.156798+(-0.61965--1.248582))+0-621.2--0.633624000000099</f>
        <v>1855.2057580000003</v>
      </c>
      <c r="G11" s="3">
        <f>2965.6+(676-1262.7)+(-4.537368+(-1.03428--1.931931))+0-623.7--0.954261000000036</f>
        <v>1752.5145439999997</v>
      </c>
      <c r="H11" s="3">
        <f>2887.4+(686.5-1320.9)+(-4.417722+(-1.050345--2.020977))+0-578.8--0.885564000000033</f>
        <v>1671.6384739999999</v>
      </c>
      <c r="I11" s="3">
        <f>2719.1+(709.9-1148.4)+(-1.386741+(-0.362049--0.585684))+0-684.4--0.349043999999931</f>
        <v>1595.3859379999997</v>
      </c>
      <c r="J11" s="3">
        <f>2467.6+(716-1005.2)+(2.516952+(0.73032-1.025304))+0-616.2-0.628524000000098</f>
        <v>1563.7934439999992</v>
      </c>
      <c r="K11" s="3">
        <f>2470.9+(755.8-1016.8)+(0+(0-0))+0-669.1-0</f>
        <v>1540.8000000000002</v>
      </c>
      <c r="L11" s="3">
        <f>2299.8+(773.5-922.7)+(-4.691592+(-1.57794--1.882308))+0-567.9--1.15851599999998</f>
        <v>1579.4712920000002</v>
      </c>
      <c r="M11" s="3">
        <f>2156.6+(813.4-793.8)+(-1.099866+(-0.414834--0.404838))+0-654.4--0.333743999999934</f>
        <v>1521.023882</v>
      </c>
      <c r="N11" s="3">
        <f>2477.1+(693.7-1088.4)+(-2.526642+(-0.707574--1.110168))+0-557.6--0.568752000000089</f>
        <v>1523.2447039999997</v>
      </c>
      <c r="O11" s="3">
        <f>2216.1+(731.8-873.7)+(-1.130211+(-0.373218--0.445587))+0-494--0.25193999999995</f>
        <v>1579.3940979999995</v>
      </c>
      <c r="P11" s="3">
        <f>2734+(607.3-1037.7)+(-2.78868+(-0.619446--1.058454))+0-672.9--0.686358000000107</f>
        <v>1629.0366860000001</v>
      </c>
      <c r="Q11" s="3">
        <f>2898.8+(552.1-1243.7)+(-4.435164+(-0.844713--1.902861))+0-511.3--0.78228900000003</f>
        <v>1693.3052730000004</v>
      </c>
      <c r="R11" s="3">
        <f>3553.9+(463.5-1719.7)+(-3.624978+(-0.47277--1.754094))+0-579.1--0.590682000000092</f>
        <v>1716.8470280000001</v>
      </c>
      <c r="S11" s="3">
        <f>3562.2+(455.4-1693.4)+(-5.450166+(-0.696762--2.590902))+0-589.8--0.902394000000034</f>
        <v>1731.7463679999996</v>
      </c>
      <c r="T11" s="3">
        <f>3451.1+(479.1-1615.8)+(-5.280183+(-0.733023--2.472174))+0-617.4--0.944622000000036</f>
        <v>1694.4035899999999</v>
      </c>
      <c r="U11" s="3">
        <f>2575.9+(577.6-931.7)+(-3.941127+(-0.883728--1.425501))+0-548.3--0.838899000000032</f>
        <v>1670.9395450000002</v>
      </c>
      <c r="V11" s="3">
        <f>2274.9+(619-706.3)+(-6.961194+(-1.89414--2.161278))+0-510--1.56060000000006</f>
        <v>1672.4665440000006</v>
      </c>
      <c r="W11" s="3">
        <f>2299.6+(642.2-754.1)+(-2.345592+(-0.655044--0.769182))+0-492.9--0.502758000000079</f>
        <v>1693.0713039999996</v>
      </c>
      <c r="X11" s="3">
        <f>2652.9+(598.9-959.9)+(1.352979+(0.305439-0.489549))+0-595.2-0.30355199999994</f>
        <v>1697.5653170000003</v>
      </c>
      <c r="Y11" s="3">
        <f>3420.2+(502.9-1470)+(0+(0-0))+0-683.9-0</f>
        <v>1769.1999999999998</v>
      </c>
      <c r="Z11" s="3">
        <f>4092.9+(536.6-2135.3)+(-8.349516+(-1.094664--4.356012))+0-636.6--1.29866399999997</f>
        <v>1853.8104959999996</v>
      </c>
      <c r="AA11" s="3">
        <f>4140.8+(436.5-2082.5)+(-4.223616+(-0.44523--2.12415))+0-600.4--0.612408000000096</f>
        <v>1892.4677120000003</v>
      </c>
      <c r="AB11" s="3">
        <f>4081.5+(394.6-2025.6)+(-2.081565+(-0.201246--1.033056))+0-641.5--0.327164999999935</f>
        <v>1808.0774100000001</v>
      </c>
      <c r="AC11" s="3">
        <f>4284.3+(318.5-2269.7)+(-6.554979+(-0.487305--3.472641))+0-582.5--0.891225000000034</f>
        <v>1747.9215820000006</v>
      </c>
      <c r="AD11" s="2">
        <v>1892.6000000000006</v>
      </c>
      <c r="AE11" s="3">
        <f>4268.1+(594.5-2184.2)+(0+(0-0))+0-785.8-0</f>
        <v>1892.6000000000006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3837.5+(398.8-1901.2)+(-5.871375+(-0.610164--2.908836))+0-623.5--0.953955000000036</f>
        <v>1708.981252</v>
      </c>
      <c r="G12" s="3">
        <f>2942.1+(502.5-1169.7)+(-3.000942+(-0.51255--1.193094))+0-665.2--0.678504000000106</f>
        <v>1608.058106</v>
      </c>
      <c r="H12" s="3">
        <f>2536.8+(559.9-938)+(2.587536+(0.571098-0.95676))+0-653.8-0.666876000000104</f>
        <v>1506.4349980000002</v>
      </c>
      <c r="I12" s="3">
        <f>2236.5+(657.4-789.7)+(3.421845+(1.005822-1.208241))+0-672.5-1.02892500000004</f>
        <v>1433.8905009999999</v>
      </c>
      <c r="J12" s="3">
        <f>1985.6+(710.9-734.5)+(1.012656+(0.362559-0.374595))+0-538-0.274379999999945</f>
        <v>1424.7262400000002</v>
      </c>
      <c r="K12" s="3">
        <f>1929.5+(773.7-652)+(2.952135+(1.183761-0.99756))+0-648.1-0.991593000000037</f>
        <v>1405.2467429999999</v>
      </c>
      <c r="L12" s="3">
        <f>1954.5+(824.8-722.8)+(-2.990385+(-1.261944--1.105884))+0-618.8--0.946764000000036</f>
        <v>1435.5003190000002</v>
      </c>
      <c r="M12" s="3">
        <f>1858.5+(776.5-649.3)+(-1.89567+(-0.79203--0.662286))+0-588.2--0.599964000000094</f>
        <v>1396.07455</v>
      </c>
      <c r="N12" s="3">
        <f>2099.8+(832-827)+(-1.070898+(-0.42432--0.42177))+0-634.6--0.323645999999936</f>
        <v>1469.450198</v>
      </c>
      <c r="O12" s="3">
        <f>2289.5+(724.5-994.2)+(2.33529+(0.73899-1.014084))+0-500.1-0.51010200000008</f>
        <v>1521.2500939999995</v>
      </c>
      <c r="P12" s="3">
        <f>2770.1+(570-1208.9)+(4.238253+(0.8721-1.849617))+0-574.5-0.878985000000033</f>
        <v>1559.0817509999999</v>
      </c>
      <c r="Q12" s="3">
        <f>3096.5+(507.3-1478.6)+(-1.579215+(-0.258723--0.754086))+0-496.2--0.25306199999995</f>
        <v>1628.1692099999996</v>
      </c>
      <c r="R12" s="3">
        <f>3368.2+(477.1-1622.4)+(-3.435564+(-0.486642--1.654848))+0-585.6--0.597312000000093</f>
        <v>1635.6299539999998</v>
      </c>
      <c r="S12" s="3">
        <f>3041.2+(456.6-1440.8)+(0+(0-0))+0-418.1-0</f>
        <v>1638.9</v>
      </c>
      <c r="T12" s="3">
        <f>3312.9+(380.9-1523.9)+(1.689579+(0.194259-0.777189))+0-545.6-0.278255999999945</f>
        <v>1625.128393</v>
      </c>
      <c r="U12" s="3">
        <f>2923.5+(430.9-1222)+(-1.490985+(-0.219759--0.62322))+0-514.9--0.262598999999948</f>
        <v>1616.6750749999999</v>
      </c>
      <c r="V12" s="3">
        <f>2748.6+(467.2-1171.9)+(4.205358+(0.714816-1.793007))+0-435-0.665550000000025</f>
        <v>1611.361617</v>
      </c>
      <c r="W12" s="3">
        <f>2762.4+(532.8-1202.1)+(-2.817648+(-0.543456--1.226142))+0-459.9--0.469098000000073</f>
        <v>1631.5341360000002</v>
      </c>
      <c r="X12" s="3">
        <f>2801.1+(551.7-1175.8)+(-1.428561+(-0.281367--0.599658))+0-528.5--0.269534999999946</f>
        <v>1647.6592649999998</v>
      </c>
      <c r="Y12" s="3">
        <f>2989+(657.7-1394.5)+(3.04878+(0.670854-1.42239))+0-496.2-0.506124000000079</f>
        <v>1757.7911199999996</v>
      </c>
      <c r="Z12" s="3">
        <f>3976.3+(748.8-2207.8)+(2.027913+(0.381888-1.125978))+0-591.6-0.30171599999994</f>
        <v>1926.6821070000005</v>
      </c>
      <c r="AA12" s="3">
        <f>3835.9+(769.4-2080.9)+(1.956309+(0.392394-1.061259))+0-632.4-0.322523999999936</f>
        <v>1892.9649200000001</v>
      </c>
      <c r="AB12" s="3">
        <f>3618.6+(825.7-1975.9)+(-3.690972+(-0.842214--2.015418))+0-603.4--0.615468000000096</f>
        <v>1863.0976999999996</v>
      </c>
      <c r="AC12" s="3">
        <f>3094.7+(761-1420.6)+(-1.578297+(-0.38811--0.724506))+0-661.1--0.337160999999933</f>
        <v>1773.0952600000001</v>
      </c>
      <c r="AD12" s="2">
        <v>1959.9999999999995</v>
      </c>
      <c r="AE12" s="3">
        <f>4294.2+(740.9-2396.7)+(0+(0-0))+0-678.4-0</f>
        <v>1960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2780+(659.6-1083.7)+(-1.4178+(-0.336396--0.552687))+0-675.6--0.344555999999931</f>
        <v>1679.4430470000002</v>
      </c>
      <c r="G13" s="3">
        <f>2670.5+(613.2-1093.9)+(-2.72391+(-0.625464--1.115778))+0-599.3--0.611286000000095</f>
        <v>1588.8776900000003</v>
      </c>
      <c r="H13" s="3">
        <f>2752.1+(671.7-1235.7)+(-2.807142+(-0.685134--1.260414))+0-686.3--0.700026000000109</f>
        <v>1500.2681640000001</v>
      </c>
      <c r="I13" s="3">
        <f>2502.7+(671.3-1152.1)+(0+(0-0))+0-577.6-0</f>
        <v>1444.2999999999997</v>
      </c>
      <c r="J13" s="3">
        <f>2514.3+(639.5-1079.5)+(1.282293+(0.326145-0.550545))+0-673.3-0.343382999999932</f>
        <v>1401.7145100000005</v>
      </c>
      <c r="K13" s="3">
        <f>2450.4+(619.1-1124.9)+(2.499408+(0.631482-1.147398))+0-549.9-0.560898000000088</f>
        <v>1396.1225939999999</v>
      </c>
      <c r="L13" s="3">
        <f>2316.6+(621.1-897.1)+(0+(0-0))+0-608.5-0</f>
        <v>1432.1</v>
      </c>
      <c r="M13" s="3">
        <f>2005.3+(778-742.3)+(-1.022703+(-0.39678--0.378573))+0-619.9--0.316148999999937</f>
        <v>1420.3752390000002</v>
      </c>
      <c r="N13" s="3">
        <f>2265.1+(669-972.6)+(2.310402+(0.68238-0.992052))+0-498.3-0.508266000000079</f>
        <v>1464.692464</v>
      </c>
      <c r="O13" s="3">
        <f>2544+(655.3-1163.8)+(-1.29744+(-0.334203--0.593538))+0-581.3--0.296462999999941</f>
        <v>1453.4583579999999</v>
      </c>
      <c r="P13" s="3">
        <f>2345.6+(716.7-1149)+(-5.98128+(-1.827585--2.92995))+0-458.5--1.16917499999993</f>
        <v>1451.0902599999999</v>
      </c>
      <c r="Q13" s="3">
        <f>2460.6+(648.2-1181)+(-1.254906+(-0.330582--0.60231))+0-479.8--0.244697999999951</f>
        <v>1447.26152</v>
      </c>
      <c r="R13" s="3">
        <f>2825.6+(519.2-1510.8)+(0+(0-0))+0-396.8-0</f>
        <v>1437.2</v>
      </c>
      <c r="S13" s="3">
        <f>3017.5+(471.9-1535.8)+(0+(0-0))+0-540.3-0</f>
        <v>1413.3</v>
      </c>
      <c r="T13" s="3">
        <f>2856.9+(450.6-1371.3)+(-2.914038+(-0.459612--1.398726))+0-506.7--0.516834000000081</f>
        <v>1428.0419100000001</v>
      </c>
      <c r="U13" s="3">
        <f>2501.3+(488.3-1110.3)+(-1.275663+(-0.249033--0.566253))+0-435.6--0.222155999999956</f>
        <v>1442.9637130000003</v>
      </c>
      <c r="V13" s="3">
        <f>2634.3+(496.6-1060.1)+(1.343493+(0.253266-0.540651))+0-599-0.305489999999939</f>
        <v>1472.5506180000004</v>
      </c>
      <c r="W13" s="3">
        <f>2513.3+(482-940.7)+(-1.281783+(-0.24582--0.479757))+0-545.4--0.278153999999945</f>
        <v>1508.4303080000002</v>
      </c>
      <c r="X13" s="3">
        <f>2434.7+(524.5-810.3)+(-2.483394+(-0.53499--0.826506))+0-605.9--0.618018000000097</f>
        <v>1541.4261399999996</v>
      </c>
      <c r="Y13" s="3">
        <f>3160.1+(427.7-1310.1)+(1.611651+(0.218127-0.668151))+0-605.2-0.308651999999939</f>
        <v>1673.3529749999998</v>
      </c>
      <c r="Z13" s="3">
        <f>4579.6+(753.4-2795.2)+(-4.671192+(-0.768468--2.851104))+0-648.2--0.661164000000103</f>
        <v>1887.6726080000005</v>
      </c>
      <c r="AA13" s="3">
        <f>4399.1+(762.2-2798.8)+(-2.243541+(-0.388722--1.427388))+0-487.5--0.248624999999951</f>
        <v>1874.04375</v>
      </c>
      <c r="AB13" s="3">
        <f>4256+(683.9-2489.8)+(-4.34112+(-0.697578--2.539596))+0-638.1--0.650862000000102</f>
        <v>1810.15176</v>
      </c>
      <c r="AC13" s="3">
        <f>3428.3+(528-1705.3)+(-1.748433+(-0.26928--0.869703))+0-522.6--0.266525999999947</f>
        <v>1727.5185160000001</v>
      </c>
      <c r="AD13" s="2">
        <v>1919.1000000000006</v>
      </c>
      <c r="AE13" s="3">
        <f>4848+(838.6-3070.7)+(0+(0-0))+0-696.8-0</f>
        <v>1919.1000000000001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2662.2+(566.9-875.9)+(-2.715444+(-0.578238--0.893418))+0-706.4--0.720528000000113</f>
        <v>1645.1202639999999</v>
      </c>
      <c r="G14" s="3">
        <f>2211.9+(635.4-709.7)+(-2.256138+(-0.648108--0.723894))+0-569.6--0.580992000000091</f>
        <v>1566.4006400000003</v>
      </c>
      <c r="H14" s="3">
        <f>2099.2+(701.8-642.6)+(-2.141184+(-0.715836--0.655452))+0-671.5--0.684930000000107</f>
        <v>1485.3833619999998</v>
      </c>
      <c r="I14" s="3">
        <f>2057.6+(699.4-735.6)+(-2.098752+(-0.713388--0.750312))+0-566.6--0.57793200000009</f>
        <v>1453.316104</v>
      </c>
      <c r="J14" s="3">
        <f>2022.2+(715.1-676.6)+(-2.062644+(-0.729402--0.690132))+0-622.7--0.635154000000099</f>
        <v>1436.53324</v>
      </c>
      <c r="K14" s="3">
        <f>2094.8+(672-677.5)+(1.068348+(0.34272-0.345525))+0-658.5-0.335834999999933</f>
        <v>1431.5297080000005</v>
      </c>
      <c r="L14" s="3">
        <f>2276.2+(632.8-848.1)+(0+(0-0))+0-602.9-0</f>
        <v>1457.9999999999995</v>
      </c>
      <c r="M14" s="3">
        <f>2227.4+(613.5-771.9)+(1.135974+(0.312885-0.393669))+0-569.7-0.290546999999942</f>
        <v>1500.0646430000002</v>
      </c>
      <c r="N14" s="3">
        <f>2382+(665-866.3)+(-1.21482+(-0.33915--0.441813))+0-621.2--0.316811999999937</f>
        <v>1558.7046549999998</v>
      </c>
      <c r="O14" s="3">
        <f>2927.8+(539.6-1280.6)+(0+(0-0))+0-556.3-0</f>
        <v>1630.5000000000002</v>
      </c>
      <c r="P14" s="3">
        <f>3533.6+(500.8-1893.9)+(0+(0-0))+0-448-0</f>
        <v>1692.5</v>
      </c>
      <c r="Q14" s="3">
        <f>3680.3+(533.1-1921.2)+(-1.876953+(-0.271881--0.979812))+0-517.2--0.263771999999948</f>
        <v>1774.0947500000002</v>
      </c>
      <c r="R14" s="3">
        <f>3737.9+(579.4-1982.1)+(-3.812658+(-0.590988--2.021742))+0-544.9--0.555798000000087</f>
        <v>1788.4738940000004</v>
      </c>
      <c r="S14" s="3">
        <f>3510.1+(426.8-1517)+(-7.160604+(-0.870672--3.09468))+0-556.4--1.13505599999998</f>
        <v>1859.6984599999996</v>
      </c>
      <c r="T14" s="3">
        <f>3261.2+(429.6-1267.5)+(-4.989636+(-0.657288--1.939275))+0-580.2--0.887706000000034</f>
        <v>1840.2800569999997</v>
      </c>
      <c r="U14" s="3">
        <f>3049.5+(442.8-1190.8)+(-3.11049+(-0.451656--1.214616))+0-462.6--0.471852000000074</f>
        <v>1837.0243220000002</v>
      </c>
      <c r="V14" s="3">
        <f>3095.7+(498.6-1099.4)+(0+(0-0))+0-698-0</f>
        <v>1796.8999999999996</v>
      </c>
      <c r="W14" s="3">
        <f>3090.3+(466.3-1254.4)+(-1.576053+(-0.237813--0.639744))+0-519.8--0.265097999999947</f>
        <v>1781.4909759999998</v>
      </c>
      <c r="X14" s="3">
        <f>3135.5+(516-1175.3)+(-1.599105+(-0.26316--0.599403))+0-690--0.35189999999993</f>
        <v>1785.2890379999997</v>
      </c>
      <c r="Y14" s="3">
        <f>3938.8+(450.8-1928.6)+(2.008788+(0.229908-0.983586))+0-563.7-0.287486999999943</f>
        <v>1898.267623</v>
      </c>
      <c r="Z14" s="3">
        <f>4339.3+(571.1-2291.6)+(-13.278258+(-1.747566--7.012296))+0-569.8--1.74358800000007</f>
        <v>2042.7300600000003</v>
      </c>
      <c r="AA14" s="3">
        <f>3819.4+(525.6-1816.3)+(-5.843682+(-0.804168--2.778939))+0-516.1--0.78963300000003</f>
        <v>2009.5207220000004</v>
      </c>
      <c r="AB14" s="3">
        <f>3576.8+(506-1466)+(-1.824168+(-0.25806--0.74766))+0-657.7--0.335426999999933</f>
        <v>1958.1008589999999</v>
      </c>
      <c r="AC14" s="3">
        <f>3564.7+(600.2-1659.1)+(-5.453991+(-0.918306--2.538423))+0-620.3--0.949059000000036</f>
        <v>1882.6151850000003</v>
      </c>
      <c r="AD14" s="2">
        <v>2065.5</v>
      </c>
      <c r="AE14" s="3">
        <f>4614+(526.2-2436.2)+(0+(0-0))+0-638.5-0</f>
        <v>2065.5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2604.2+(680.4-907.9)+(-5.312568+(-1.388016--1.852116))+0-580.7--1.18462799999997</f>
        <v>1792.3361599999996</v>
      </c>
      <c r="G15" s="3">
        <f>1930.1+(885.1-520.8)+(-4.921755+(-2.257005--1.32804))+0-626.8--1.59833999999991</f>
        <v>1663.3476200000002</v>
      </c>
      <c r="H15" s="3">
        <f>1868.9+(874-554.7)+(-4.765695+(-2.2287--1.414485))+0-586.5--1.49557499999991</f>
        <v>1597.6156649999998</v>
      </c>
      <c r="I15" s="3">
        <f>1753.8+(941.2-500.3)+(-1.788876+(-0.960024--0.510306))+0-643--0.655860000000102</f>
        <v>1550.117266</v>
      </c>
      <c r="J15" s="3">
        <f>1784.3+(910.7-609.8)+(0.909993+(0.464457-0.310998))+0-578-0.294779999999941</f>
        <v>1507.9686719999997</v>
      </c>
      <c r="K15" s="3">
        <f>1762.1+(929.1-536.4)+(-0.898671+(-0.473841--0.273564))+0-652.9--0.332978999999934</f>
        <v>1501.1340310000003</v>
      </c>
      <c r="L15" s="3">
        <f>2047.4+(887.9-816.5)+(1.044174+(0.452829-0.416415))+0-594.5-0.30319499999994</f>
        <v>1525.077393</v>
      </c>
      <c r="M15" s="3">
        <f>1963.5+(973.7-785.4)+(-1.001385+(-0.496587--0.400554))+0-623.9--0.318188999999937</f>
        <v>1527.1207710000001</v>
      </c>
      <c r="N15" s="3">
        <f>2087.8+(898.6-1005)+(0+(0-0))+0-432.2-0</f>
        <v>1549.2</v>
      </c>
      <c r="O15" s="3">
        <f>2451.3+(853.4-1150.7)+(-2.500326+(-0.870468--1.173714))+0-511--0.521220000000082</f>
        <v>1641.3241400000002</v>
      </c>
      <c r="P15" s="3">
        <f>3132.1+(776.4-1719.6)+(-1.597371+(-0.395964--0.876996))+0-448--0.228479999999955</f>
        <v>1740.0121409999999</v>
      </c>
      <c r="Q15" s="3">
        <f>3875.8+(659.5-2197.3)+(-9.88329+(-1.681725--5.603115))+0-519.3--1.32421499999992</f>
        <v>1814.0623150000001</v>
      </c>
      <c r="R15" s="3">
        <f>4168.6+(581.9-2299)+(-4.251972+(-0.593538--2.34498))+0-501.1--0.51112200000008</f>
        <v>1948.4105920000009</v>
      </c>
      <c r="S15" s="3">
        <f>3747.6+(621.9-1625)+(-9.55638+(-1.585845--4.14375))+0-645.1--1.64500499999991</f>
        <v>2094.0465300000001</v>
      </c>
      <c r="T15" s="3">
        <f>3551.6+(620.7-1489)+(-9.05658+(-1.582785--3.79695))+0-514.1--1.31095499999993</f>
        <v>2163.6685400000001</v>
      </c>
      <c r="U15" s="3">
        <f>3417.1+(650.7-1381)+(-3.485442+(-0.663714--1.40862))+0-564.1--0.57538200000009</f>
        <v>2120.5348460000005</v>
      </c>
      <c r="V15" s="3">
        <f>3070.3+(723.2-1089)+(-6.263412+(-1.475328--2.22156))+0-640.1--1.30580399999997</f>
        <v>2060.1886240000003</v>
      </c>
      <c r="W15" s="3">
        <f>2972.1+(780.1-1073)+(-1.515771+(-0.397851--0.54723))+0-607.1--0.309620999999938</f>
        <v>2071.0432289999999</v>
      </c>
      <c r="X15" s="3">
        <f>2858.5+(783.4-1087)+(0+(0-0))+0-517.1-0</f>
        <v>2037.8000000000002</v>
      </c>
      <c r="Y15" s="3">
        <f>3247.7+(740.9-1493)+(1.656327+(0.377859-0.76143))+0-540.1-0.275450999999945</f>
        <v>1956.4973049999999</v>
      </c>
      <c r="Z15" s="3">
        <f>3976.2+(747.5-1838)+(4.055724+(0.76245-1.87476))+0-675.1-0.688602000000108</f>
        <v>2212.8548119999996</v>
      </c>
      <c r="AA15" s="3">
        <f>3655.5+(818.7-1299)+(-5.592915+(-1.252611--1.98747))+0-498.1--0.762093000000029</f>
        <v>2673.0040369999997</v>
      </c>
      <c r="AB15" s="3">
        <f>2695.6+(983.5-731)+(0+(0-0))+0-657.1-0</f>
        <v>2291</v>
      </c>
      <c r="AC15" s="3">
        <f>2377.7+(1092.6-600)+(-2.425254+(-1.114452--0.612))+0-492.1--0.501942000000078</f>
        <v>2375.7742359999997</v>
      </c>
      <c r="AD15" s="2">
        <v>2207</v>
      </c>
      <c r="AE15" s="3">
        <f>3987+(785.4-1982.7)+(0+(0-0))+0-582.7-0</f>
        <v>2207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2067.3+(1145.8-609.3)+(0+(0-0))+0-456.2-0</f>
        <v>2147.6000000000004</v>
      </c>
      <c r="G16" s="3">
        <f>2045.4+(1138.4-514.9)+(0+(0-0))+0-591.3-0</f>
        <v>2077.6000000000004</v>
      </c>
      <c r="H16" s="3">
        <f>1984+(1008.1-572.8)+(0+(0-0))+0-487.9-0</f>
        <v>1931.4</v>
      </c>
      <c r="I16" s="3">
        <f>1954.2+(1060.5-491.8)+(0+(0-0))+0-630.2-0</f>
        <v>1892.7</v>
      </c>
      <c r="J16" s="3">
        <f>1860.7+(1026.6-511)+(0+(0-0))+0-497.1-0</f>
        <v>1879.2000000000003</v>
      </c>
      <c r="K16" s="3">
        <f>2137.8+(977.3-655.7)+(0+(0-0))+0-621-0</f>
        <v>1838.4</v>
      </c>
      <c r="L16" s="3">
        <f>1907.7+(1008.1-602.7)+(0.972927+(0.514131-0.307377))+0-482.5-0.246074999999951</f>
        <v>1831.533606</v>
      </c>
      <c r="M16" s="3">
        <f>2037.9+(1011.9-695.2)+(3.117987+(1.548207-1.063656))+0-568.4-0.869652000000033</f>
        <v>1788.9328859999998</v>
      </c>
      <c r="N16" s="3">
        <f>1951+(1008.8-675.8)+(-1.99002+(-1.028976--0.689316))+0-488.7--0.498474000000078</f>
        <v>1793.4687940000001</v>
      </c>
      <c r="O16" s="3">
        <f>1988.7+(1052.6-593.7)+(-2.028474+(-1.073652--0.605574))+0-603.9--0.615978000000096</f>
        <v>1841.8194259999998</v>
      </c>
      <c r="P16" s="3">
        <f>2415.5+(818.5-905.6)+(-3.695715+(-1.252305--1.385568))+0-431.6--0.660348000000025</f>
        <v>1893.8978960000002</v>
      </c>
      <c r="Q16" s="3">
        <f>2983.7+(745.6-1249)+(0+(0-0))+0-476.2-0</f>
        <v>2004.0999999999997</v>
      </c>
      <c r="R16" s="3">
        <f>3260.6+(692.1-1373.7)+(-9.977436+(-2.117826--4.203522))+0-513.1--1.57008600000006</f>
        <v>2059.5783460000002</v>
      </c>
      <c r="S16" s="3">
        <f>3184.3+(522.1-1046)+(1.623993+(0.266271-0.53346))+0-568.1-0.289730999999942</f>
        <v>2093.3670730000003</v>
      </c>
      <c r="T16" s="3">
        <f>3398.3+(478.2-1167)+(-3.466266+(-0.487764--1.19034))+0-563.4--0.57466800000009</f>
        <v>2143.9109779999999</v>
      </c>
      <c r="U16" s="3">
        <f>3108.5+(494.2-971.7)+(-1.585335+(-0.252042--0.495567))+0-572.6--0.292025999999942</f>
        <v>2057.3502160000003</v>
      </c>
      <c r="V16" s="3">
        <f>3090+(537.8-1030.4)+(-3.1518+(-0.548556--1.051008))+0-548.7--0.559674000000087</f>
        <v>2046.6103259999998</v>
      </c>
      <c r="W16" s="3">
        <f>3268.4+(455.7-1188.8)+(0+(0-0))+0-488.2-0</f>
        <v>2047.1000000000001</v>
      </c>
      <c r="X16" s="3">
        <f>3044+(550.3-1009.3)+(-1.55244+(-0.280653--0.514743))+0-553.2--0.282131999999944</f>
        <v>2030.763782</v>
      </c>
      <c r="Y16" s="3">
        <f>3347.2+(632.3-1352.2)+(1.707072+(0.322473-0.689622))+0-518-0.264179999999947</f>
        <v>2110.3757429999996</v>
      </c>
      <c r="Z16" s="3">
        <f>4319+(647.1-2034.1)+(-6.60807+(-0.990063--3.112173))+0-571.8--0.874854000000033</f>
        <v>2356.588894</v>
      </c>
      <c r="AA16" s="3">
        <f>3840.5+(653.1-1597)+(-11.75193+(-1.998486--4.88682))+0-548.7--1.67902200000006</f>
        <v>2340.7154259999998</v>
      </c>
      <c r="AB16" s="3">
        <f>3290.2+(727.7-1156.5)+(-8.39001+(-1.855635--2.949075))+0-564.3--1.43896499999992</f>
        <v>2291.2423949999998</v>
      </c>
      <c r="AC16" s="3">
        <f>3262.6+(739.7-1194)+(-6.655704+(-1.508988--2.43576))+0-550.8--1.12363199999998</f>
        <v>2252.8946999999998</v>
      </c>
      <c r="AD16" s="2">
        <v>2296.4</v>
      </c>
      <c r="AE16" s="3">
        <f>4435.1+(645.4-2143.6)+(0+(0-0))+0-640.5-0</f>
        <v>2296.4000000000005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2581.6+(965.7-738.2)+(-1.316616+(-0.492507--0.376482))+0-600.8--0.306407999999939</f>
        <v>2207.1737669999998</v>
      </c>
      <c r="G17" s="3">
        <f>2310+(962.3-678.2)+(-3.5343+(-1.472319--1.037646))+0-484.8--0.741744000000028</f>
        <v>2106.0727709999996</v>
      </c>
      <c r="H17" s="3">
        <f>2153.6+(1077.1-605.5)+(2.196672+(1.098642-0.61761))+0-636.3-0.649026000000101</f>
        <v>1990.928678</v>
      </c>
      <c r="I17" s="3">
        <f>2045+(1004-609.6)+(2.0859+(1.02408-0.621792))+0-533.3-0.543966000000085</f>
        <v>1908.0442219999998</v>
      </c>
      <c r="J17" s="3">
        <f>2109.6+(986.4-631.9)+(-2.151792+(-1.006128--0.644538))+0-601--0.613020000000096</f>
        <v>1861.1996379999998</v>
      </c>
      <c r="K17" s="3">
        <f>2120.1+(939.9-675.3)+(1.081251+(0.479349-0.344403))+0-559.2-0.285191999999943</f>
        <v>1826.4310049999999</v>
      </c>
      <c r="L17" s="3">
        <f>2166.5+(899.6-682.3)+(-2.20983+(-0.917592--0.695946))+0-574.6--0.586092000000092</f>
        <v>1807.3546160000001</v>
      </c>
      <c r="M17" s="3">
        <f>2105.1+(928.8-770.5)+(2.147202+(0.947376-0.78591))+0-535.7-0.546414000000085</f>
        <v>1729.4622539999996</v>
      </c>
      <c r="N17" s="3">
        <f>2423.6+(887.2-1031.3)+(2.472072+(0.904944-1.051926))+0-536.7-0.547434000000086</f>
        <v>1744.5776559999997</v>
      </c>
      <c r="O17" s="3">
        <f>2953.2+(783.2-1476.2)+(4.518396+(1.198296-2.258586))+0-436-0.667080000000025</f>
        <v>1826.9910259999999</v>
      </c>
      <c r="P17" s="3">
        <f>3638.8+(672.7-1859.5)+(5.567364+(1.029231-2.845035))+0-523.2-0.80049600000003</f>
        <v>1931.751064</v>
      </c>
      <c r="Q17" s="3">
        <f>4181.2+(547.2-2181.6)+(0+(0-0))+0-527.8-0</f>
        <v>2019.0000000000002</v>
      </c>
      <c r="R17" s="3">
        <f>4276.2+(498.8-2092.4)+(0+(0-0))+0-545.9-0</f>
        <v>2136.6999999999994</v>
      </c>
      <c r="S17" s="3">
        <f>4128.5+(554.2-1800.7)+(-12.63321+(-1.695852--5.510142))+0-629--1.92474000000007</f>
        <v>2246.1058199999998</v>
      </c>
      <c r="T17" s="3">
        <f>3660.8+(568.8-1353.1)+(0+(0-0))+0-564.8-0</f>
        <v>2311.6999999999998</v>
      </c>
      <c r="U17" s="3">
        <f>3412.4+(581.9-1092)+(0+(0-0))+0-602.3-0</f>
        <v>2300</v>
      </c>
      <c r="V17" s="3">
        <f>2820.3+(830.9-830.9)+(-2.876706+(-0.847518--0.847518))+0-573.4--0.584868000000091</f>
        <v>2244.608162</v>
      </c>
      <c r="W17" s="3">
        <f>2363.4+(1079.4-736.8)+(-3.616002+(-1.651482--1.127304))+0-535.8--0.819774000000031</f>
        <v>2166.8795940000005</v>
      </c>
      <c r="X17" s="3">
        <f>2490.6+(919.2-750.7)+(-1.270206+(-0.468792--0.382857))+0-562.3--0.286772999999943</f>
        <v>2095.7306319999998</v>
      </c>
      <c r="Y17" s="3">
        <f>3160.3+(685.4-1200.7)+(4.835259+(1.048662-1.837071))+0-492.6-0.753678000000028</f>
        <v>2155.6931720000002</v>
      </c>
      <c r="Z17" s="3">
        <f>4223.8+(693.9-2053.7)+(0+(0-0))+0-569.2-0</f>
        <v>2294.8000000000002</v>
      </c>
      <c r="AA17" s="3">
        <f>4006.5+(621.8-1673.1)+(-6.129945+(-0.951354--2.559843))+0-567.9--0.868887000000033</f>
        <v>2383.6474309999999</v>
      </c>
      <c r="AB17" s="3">
        <f>3252.5+(775-1004.6)+(-6.6351+(-1.581--2.049384))+0-581.5--1.18625999999997</f>
        <v>2436.4195439999999</v>
      </c>
      <c r="AC17" s="3">
        <f>2883.7+(1038.9-859.2)+(-7.353435+(-2.649195--2.19096))+0-587.4--1.49786999999991</f>
        <v>2469.6861999999992</v>
      </c>
      <c r="AD17" s="2">
        <v>2114.5</v>
      </c>
      <c r="AE17" s="3">
        <f>4254+(598.1-2150.3)+(0+(0-0))+0-587.3-0</f>
        <v>2114.5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3404.9+(727.5-1122.6)+(5.209497+(1.113075-1.717578))+0-539.9-0.826047000000031</f>
        <v>2473.6789469999999</v>
      </c>
      <c r="G18" s="3">
        <f>3132.8+(834.6-933.1)+(-4.793184+(-1.276938--1.427643))+0-635.2--0.971856000000037</f>
        <v>2395.4293770000004</v>
      </c>
      <c r="H18" s="3">
        <f>2637.8+(989.5-694.2)+(-1.345278+(-0.504645--0.354042))+0-631.2--0.321911999999936</f>
        <v>2300.7260310000006</v>
      </c>
      <c r="I18" s="3">
        <f>2537.2+(958.8-667.5)+(-6.46986+(-2.44494--1.702125))+0-613.1--1.56340499999991</f>
        <v>2209.7507299999997</v>
      </c>
      <c r="J18" s="3">
        <f>2305.4+(1090.7-615)+(4.703016+(2.225028-1.2546))+0-648.6-1.32314399999997</f>
        <v>2136.8503000000005</v>
      </c>
      <c r="K18" s="3">
        <f>2237.7+(1023.7-607.1)+(-1.141227+(-0.522087--0.309621))+0-585.5--0.298604999999941</f>
        <v>2067.7449119999997</v>
      </c>
      <c r="L18" s="3">
        <f>2174.1+(1013.8-609.5)+(-4.435164+(-2.068152--1.24338))+0-586.6--1.19666399999997</f>
        <v>1987.7367279999999</v>
      </c>
      <c r="M18" s="3">
        <f>2078+(1077.4-607)+(-3.17934+(-1.648422--0.92871))+0-662.4--1.01347200000004</f>
        <v>1883.1144199999999</v>
      </c>
      <c r="N18" s="3">
        <f>2114.6+(1095.7-788.8)+(-1.078446+(-0.558807--0.402288))+0-559.8--0.285497999999943</f>
        <v>1860.7505329999999</v>
      </c>
      <c r="O18" s="3">
        <f>2073.6+(1192.8-846.3)+(0+(0-0))+0-551.9-0</f>
        <v>1868.1999999999998</v>
      </c>
      <c r="P18" s="3">
        <f>2444.7+(999.1-979.8)+(0+(0-0))+0-566.1-0</f>
        <v>1897.9</v>
      </c>
      <c r="Q18" s="3">
        <f>3045.5+(867.4-1405.1)+(1.553205+(0.442374-0.716601))+0-533.3-0.271982999999946</f>
        <v>1975.5069950000002</v>
      </c>
      <c r="R18" s="3">
        <f>3157.7+(805.6-1386.7)+(-1.610427+(-0.410856--0.707217))+0-629.7--0.321146999999936</f>
        <v>1945.9070809999998</v>
      </c>
      <c r="S18" s="3">
        <f>3146.3+(698.4-1321.5)+(-3.209226+(-0.712368--1.34793))+0-549.1--0.560082000000088</f>
        <v>1972.0864180000005</v>
      </c>
      <c r="T18" s="3">
        <f>3170.7+(616-1187.2)+(-1.617057+(-0.31416--0.605472))+0-589.4--0.30059399999994</f>
        <v>2009.0748489999999</v>
      </c>
      <c r="U18" s="3">
        <f>2709.4+(732.4-883.5)+(-6.90897+(-1.86762--2.252925))+0-551.2--1.40555999999992</f>
        <v>2001.9818949999999</v>
      </c>
      <c r="V18" s="3">
        <f>2475.8+(942.1-822.5)+(0+(0-0))+0-580.4-0</f>
        <v>2015</v>
      </c>
      <c r="W18" s="3">
        <f>2297.3+(1097.9-704.5)+(-5.858115+(-2.799645--1.796475))+0-668.2--1.7039099999999</f>
        <v>2017.3426250000002</v>
      </c>
      <c r="X18" s="3">
        <f>2393.6+(938.1-782.6)+(-1.220736+(-0.478431--0.399126))+0-545.3--0.278102999999945</f>
        <v>2002.7780619999999</v>
      </c>
      <c r="Y18" s="3">
        <f>3449.3+(761.2-1486.2)+(-1.759143+(-0.388212--0.757962))+0-660.6--0.336905999999933</f>
        <v>2062.6475130000003</v>
      </c>
      <c r="Z18" s="3">
        <f>4151.7+(921.3-2146.5)+(-6.352101+(-1.409589--3.284145))+0-636.3--0.973539000000037</f>
        <v>2286.6959940000002</v>
      </c>
      <c r="AA18" s="3">
        <f>4278.7+(792.4-2108.6)+(-8.728548+(-1.616496--4.301544))+0-627.8--1.28071199999997</f>
        <v>2329.9372119999998</v>
      </c>
      <c r="AB18" s="3">
        <f>4172.5+(728.7-2005.4)+(-2.127975+(-0.371637--1.022754))+0-543.9--0.277388999999945</f>
        <v>2350.700531</v>
      </c>
      <c r="AC18" s="3">
        <f>4101.5+(710.9-1789.6)+(2.091765+(0.362559-0.912696))+0-685.1-0.349400999999931</f>
        <v>2338.8922270000003</v>
      </c>
      <c r="AD18" s="2">
        <v>2214.5000000000009</v>
      </c>
      <c r="AE18" s="3">
        <f>4261.1+(937.3-2263.1)+(0+(0-0))+0-720.8-0</f>
        <v>2214.5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2749.4+(932.4-861)+(-7.01097+(-2.37762--2.19555))+0-549.3--1.40071499999992</f>
        <v>2265.7076749999997</v>
      </c>
      <c r="G19" s="3">
        <f>2156.6+(1359.5-631.6)+(-5.49933+(-3.466725--1.61058))+0-649.3--1.65571499999991</f>
        <v>2229.5002400000003</v>
      </c>
      <c r="H19" s="3">
        <f>2096.3+(1136.6-543)+(3.207339+(1.738998-0.83079))+0-571.3-0.874089000000033</f>
        <v>2121.8414579999999</v>
      </c>
      <c r="I19" s="3">
        <f>2029.2+(1168.9-570.2)+(5.17446+(2.980695-1.45401))+0-598.3-1.52566499999991</f>
        <v>2034.7754800000002</v>
      </c>
      <c r="J19" s="3">
        <f>1921.1+(1192-474.8)+(-4.898805+(-3.0396--1.21074))+0-641.4--1.63556999999991</f>
        <v>1991.8079050000001</v>
      </c>
      <c r="K19" s="3">
        <f>2129.9+(1058.6-661)+(0+(0-0))+0-600.8-0</f>
        <v>1926.7</v>
      </c>
      <c r="L19" s="3">
        <f>2165.5+(938.1-627.6)+(-4.41762+(-1.913724--1.280304))+0-538--1.09751999999998</f>
        <v>1934.0464800000002</v>
      </c>
      <c r="M19" s="3">
        <f>2222.4+(899-730.4)+(1.133424+(0.45849-0.372504))+0-595.1-0.30350099999994</f>
        <v>1796.8159090000004</v>
      </c>
      <c r="N19" s="3">
        <f>2747.4+(774.3-1137.2)+(2.802348+(0.789786-1.159944))+0-573.2-0.584664000000091</f>
        <v>1813.1475259999997</v>
      </c>
      <c r="O19" s="3">
        <f>2969.7+(809.1-1413)+(0+(0-0))+0-497.8-0</f>
        <v>1867.9999999999998</v>
      </c>
      <c r="P19" s="3">
        <f>2885.5+(751.8-1117.3)+(-1.471605+(-0.383418--0.569823))+0-574.9--0.293198999999942</f>
        <v>1944.1079990000001</v>
      </c>
      <c r="Q19" s="3">
        <f>3289.5+(483.2-1331.5)+(-6.71058+(-0.985728--2.71626))+0-435.2--0.887807999999981</f>
        <v>2001.9077599999998</v>
      </c>
      <c r="R19" s="3">
        <f>3431.7+(485.9-1214)+(3.500334+(0.495618-1.23828))+0-593.5-0.605370000000095</f>
        <v>2112.2523019999999</v>
      </c>
      <c r="S19" s="3">
        <f>3121.2+(558.5-904.9)+(-4.775436+(-0.854505--1.384497))+0-539.5--0.825435000000031</f>
        <v>2231.8799909999998</v>
      </c>
      <c r="T19" s="3">
        <f>3514.5+(465-1074.6)+(-1.792395+(-0.23715--0.548046))+0-600--0.305999999999939</f>
        <v>2303.7245010000001</v>
      </c>
      <c r="U19" s="3">
        <f>3602.4+(371.6-1194.4)+(-5.511672+(-0.568548--1.827432))+0-468.8--0.717264000000027</f>
        <v>2307.2644759999998</v>
      </c>
      <c r="V19" s="3">
        <f>3473.2+(410.8-1124.6)+(1.771332+(0.209508-0.573546))+0-524.1-0.267290999999947</f>
        <v>2236.4400029999997</v>
      </c>
      <c r="W19" s="3">
        <f>2941.8+(656.3-916.3)+(-3.000636+(-0.669426--0.934626))+0-471.9--0.481338000000075</f>
        <v>2207.6459020000002</v>
      </c>
      <c r="X19" s="3">
        <f>2703.5+(606.3-707.5)+(-5.51514+(-1.236852--1.4433))+0-429.9--0.876995999999981</f>
        <v>2167.968304</v>
      </c>
      <c r="Y19" s="3">
        <f>3271.2+(375.2-930.6)+(1.668312+(0.191352-0.474606))+0-586.7-0.299216999999941</f>
        <v>2130.1858409999995</v>
      </c>
      <c r="Z19" s="3">
        <f>3864.4+(460.2-1316.4)+(-5.912532+(-0.704106--2.014092))+0-627.3--0.959769000000036</f>
        <v>2377.2572229999996</v>
      </c>
      <c r="AA19" s="3">
        <f>4703.5+(406.8-2062.6)+(-11.993925+(-1.03734--5.25963))+0-565.4--1.44176999999992</f>
        <v>2475.9701349999996</v>
      </c>
      <c r="AB19" s="3">
        <f>4313.2+(511-1861.5)+(-8.798928+(-1.04244--3.79746))+0-615.2--1.25500799999997</f>
        <v>2342.7110999999995</v>
      </c>
      <c r="AC19" s="3">
        <f>4217.8+(533.7-1750.8)+(-8.604312+(-1.088748--3.571632))+0-536.6--1.09466399999998</f>
        <v>2459.0732360000006</v>
      </c>
      <c r="AD19" s="2">
        <v>2376.6</v>
      </c>
      <c r="AE19" s="3">
        <f>3886.1+(526.3-1303.2)+(0+(0-0))+0-732.6-0</f>
        <v>2376.6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3183.2+(797.7-894)+(0+(0-0))+0-512-0</f>
        <v>2574.8999999999996</v>
      </c>
      <c r="G20" s="3">
        <f>2288.9+(1300.4-585.8)+(-4.669356+(-2.652816--1.195032))+0-632--1.28927999999997</f>
        <v>2366.6621399999999</v>
      </c>
      <c r="H20" s="3">
        <f>2178.5+(1188-565.4)+(-4.44414+(-2.42352--1.153416))+0-545.6--1.11302399999998</f>
        <v>2250.89878</v>
      </c>
      <c r="I20" s="3">
        <f>2240.8+(1150.2-625.6)+(-2.285616+(-1.173204--0.638112))+0-604.7--0.616794000000096</f>
        <v>2158.4960859999997</v>
      </c>
      <c r="J20" s="3">
        <f>2239.8+(1015.2-524.8)+(-3.426894+(-1.553256--0.802944))+0-569.7--0.871641000000033</f>
        <v>2157.1944350000008</v>
      </c>
      <c r="K20" s="3">
        <f>2133.8+(968.5-629.7)+(1.088238+(0.493935-0.321147))+0-606.3-0.309212999999938</f>
        <v>1867.2518130000005</v>
      </c>
      <c r="L20" s="3">
        <f>2125.3+(971.9-539.6)+(0+(0-0))+0-558.2-0</f>
        <v>1999.4000000000003</v>
      </c>
      <c r="M20" s="3">
        <f>2109.3+(994.8-621)+(-1.075743+(-0.507348--0.31671))+0-608.3--0.310232999999938</f>
        <v>1873.8438520000004</v>
      </c>
      <c r="N20" s="3">
        <f>2225.7+(954.3-785.4)+(-3.405321+(-1.460079--1.201662))+0-567.2--0.867816000000033</f>
        <v>1824.6040779999996</v>
      </c>
      <c r="O20" s="3">
        <f>2594.5+(895.9-1056)+(1.323195+(0.456909-0.53856))+0-565.6-0.288455999999943</f>
        <v>1869.7530880000002</v>
      </c>
      <c r="P20" s="3">
        <f>3030.9+(901.2-1426.2)+(0+(0-0))+0-533.7-0</f>
        <v>1972.2</v>
      </c>
      <c r="Q20" s="3">
        <f>3405.9+(872.7-1761.2)+(3.474018+(0.890154-1.796424))+0-521.1-0.531522000000083</f>
        <v>1998.3362260000001</v>
      </c>
      <c r="R20" s="3">
        <f>3448.5+(969.5-1789.5)+(1.758735+(0.494445-0.912645))+0-503.6-0.256835999999949</f>
        <v>2125.9836989999999</v>
      </c>
      <c r="S20" s="3">
        <f>3159.8+(906-1188)+(-9.668988+(-2.77236--3.63528))+0-558.5--1.70901000000006</f>
        <v>2312.2029420000003</v>
      </c>
      <c r="T20" s="3">
        <f>2776.3+(939.4-931.2)+(-2.831826+(-0.958188--0.949824))+0-376.8--0.38433600000006</f>
        <v>2405.244146</v>
      </c>
      <c r="U20" s="3">
        <f>2874.8+(1006.9-913.7)+(-4.398444+(-1.540557--1.397961))+0-561.3--0.858789000000032</f>
        <v>2403.0177489999996</v>
      </c>
      <c r="V20" s="3">
        <f>2801.2+(888.9-936.8)+(-1.428612+(-0.453339--0.477768))+0-408.9--0.208538999999959</f>
        <v>2343.2043559999993</v>
      </c>
      <c r="W20" s="3">
        <f>2916.4+(943.6-1040.6)+(1.487364+(0.481236-0.530706))+0-531.7-0.271166999999946</f>
        <v>2288.8667270000005</v>
      </c>
      <c r="X20" s="3">
        <f>2758+(1010.4-1044.3)+(-4.21974+(-1.545912--1.597779))+0-562.4--0.860472000000032</f>
        <v>2158.3925989999998</v>
      </c>
      <c r="Y20" s="3">
        <f>3178.9+(1001.5-1502.2)+(-3.242478+(-1.02153--1.532244))+0-504.3--0.51438600000008</f>
        <v>2171.6826219999998</v>
      </c>
      <c r="Z20" s="3">
        <f>4423.7+(1043.1-2386.9)+(-11.280435+(-2.659905--6.086595))+0-610.9--1.55779499999991</f>
        <v>2462.7040499999994</v>
      </c>
      <c r="AA20" s="3">
        <f>4501.1+(928.3-2334.7)+(-9.182244+(-1.893732--4.762788))+0-560--1.14239999999998</f>
        <v>2529.5292120000008</v>
      </c>
      <c r="AB20" s="3">
        <f>4508.8+(874.9-2268.6)+(-4.598976+(-0.892398--2.313972))+0-542.6--0.553452000000087</f>
        <v>2569.8760500000008</v>
      </c>
      <c r="AC20" s="3">
        <f>4203.8+(875-1884.3)+(-6.431814+(-1.33875--2.882979))+0-596--0.911880000000034</f>
        <v>2594.5242950000002</v>
      </c>
      <c r="AD20" s="2">
        <v>2437.0999999999995</v>
      </c>
      <c r="AE20" s="3">
        <f>4473+(1109.7-2495.9)+(0+(0-0))+0-649.7-0</f>
        <v>2437.1000000000004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3364.1+(811.5-1120.3)+(-5.147073+(-1.241595--1.714059))+0-487.2--0.745416000000028</f>
        <v>2564.1708070000004</v>
      </c>
      <c r="G21" s="3">
        <f>2297.5+(1441.4-653.8)+(-4.6869+(-2.940456--1.333752))+0-631.6--1.28846399999997</f>
        <v>2448.4948600000002</v>
      </c>
      <c r="H21" s="3">
        <f>1905.2+(1404.9-488.5)+(-1.943304+(-1.432998--0.49827))+0-481.8--0.491436000000077</f>
        <v>2337.4134040000004</v>
      </c>
      <c r="I21" s="3">
        <f>1876.2+(1418.4-445.4)+(-2.870586+(-2.170152--0.681462))+0-606.9--0.928557000000035</f>
        <v>2238.8692810000002</v>
      </c>
      <c r="J21" s="3">
        <f>1860.2+(1292.6-429.2)+(-0.948702+(-0.659226--0.218892))+0-561.6--0.286415999999943</f>
        <v>2160.8973799999999</v>
      </c>
      <c r="K21" s="3">
        <f>1872.7+(1236.1-476.5)+(0.955077+(0.630411-0.243015))+0-545.5-0.278204999999945</f>
        <v>2087.8642680000003</v>
      </c>
      <c r="L21" s="3">
        <f>1911+(1213.5-542.9)+(-6.82227+(-4.332195--1.938153))+0-551.4--1.96849800000001</f>
        <v>2022.9521859999998</v>
      </c>
      <c r="M21" s="3">
        <f>1960.1+(1149.2-670.7)+(0+(0-0))+0-607.5-0</f>
        <v>1831.1</v>
      </c>
      <c r="N21" s="3">
        <f>2271+(1035.7-890.5)+(1.15821+(0.528207-0.454155))+0-604.1-0.308090999999939</f>
        <v>1813.024171</v>
      </c>
      <c r="O21" s="3">
        <f>2460.1+(964.6-981.6)+(-2.509302+(-0.983892--1.001232))+0-562.7--0.57395400000009</f>
        <v>1878.481992</v>
      </c>
      <c r="P21" s="3">
        <f>3627.8+(660.5-1661.9)+(1.850178+(0.336855-0.847569))+0-609.2-0.310691999999938</f>
        <v>2018.2287720000002</v>
      </c>
      <c r="Q21" s="3">
        <f>4698+(738-2725.2)+(0+(0-0))+0-567.9-0</f>
        <v>2142.9</v>
      </c>
      <c r="R21" s="3">
        <f>4602.7+(624-2247.1)+(0+(0-0))+0-574-0</f>
        <v>2405.6</v>
      </c>
      <c r="S21" s="3">
        <f>4364+(508.1-1753.1)+(-11.1282+(-1.295655--4.470405))+0-588.5--1.50067499999991</f>
        <v>2524.0472249999998</v>
      </c>
      <c r="T21" s="3">
        <f>4103.1+(529.3-1517)+(0+(0-0))+0-486.2-0</f>
        <v>2629.2000000000007</v>
      </c>
      <c r="U21" s="3">
        <f>3684.9+(707.9-1218.1)+(-3.758598+(-0.722058--1.242462))+0-555.9--0.567018000000089</f>
        <v>2616.1288240000003</v>
      </c>
      <c r="V21" s="3">
        <f>3453.5+(765.5-1109.2)+(-5.283855+(-1.171215--1.697076))+0-571.9--0.875007000000033</f>
        <v>2534.0170130000001</v>
      </c>
      <c r="W21" s="3">
        <f>3059+(815.5-890.2)+(-1.56009+(-0.415905--0.454002))+0-546.3--0.278612999999945</f>
        <v>2436.7566200000006</v>
      </c>
      <c r="X21" s="3">
        <f>2849.5+(822.8-793.6)+(-4.359735+(-1.258884--1.214208))+0-618.8--0.946764000000036</f>
        <v>2256.4423530000004</v>
      </c>
      <c r="Y21" s="3">
        <f>2852.1+(772.1-832)+(-1.454571+(-0.393771--0.42432))+0-533.5--0.272084999999946</f>
        <v>2257.5480629999997</v>
      </c>
      <c r="Z21" s="3">
        <f>3983.8+(660.9-1396.7)+(-4.063476+(-0.674118--1.424634))+0-669.1--0.682482000000107</f>
        <v>2576.2695220000001</v>
      </c>
      <c r="AA21" s="3">
        <f>3679.6+(717.3-1112.6)+(-1.876596+(-0.365823--0.567426))+0-627.7--0.320126999999936</f>
        <v>2655.2451339999998</v>
      </c>
      <c r="AB21" s="3">
        <f>3205.6+(816-752.4)+(-6.539424+(-1.66464--1.534896))+0-596.8--1.21747199999997</f>
        <v>2666.948304</v>
      </c>
      <c r="AC21" s="3">
        <f>3119+(911-614.4)+(1.59069+(0.46461-0.313344))+0-666.2-0.339761999999932</f>
        <v>2750.8021939999994</v>
      </c>
      <c r="AD21" s="2">
        <v>2502.5</v>
      </c>
      <c r="AE21" s="3">
        <f>3995+(673-1455.7)+(0+(0-0))+0-709.8-0</f>
        <v>2502.5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2809.1+(1093.1-519.7)+(1.432641+(0.557481-0.265047))+0-628.4-0.320483999999936</f>
        <v>2755.5045909999999</v>
      </c>
      <c r="G22" s="3">
        <f>2431.8+(1409.8-502.5)+(-1.240218+(-0.718998--0.256275))+0-702.8--0.358427999999929</f>
        <v>2634.9554870000006</v>
      </c>
      <c r="H22" s="3">
        <f>2367.4+(1234.8-491.8)+(-1.207374+(-0.629748--0.250818))+0-601.2--0.306611999999939</f>
        <v>2507.9203080000002</v>
      </c>
      <c r="I22" s="3">
        <f>2445.8+(1079.8-483)+(0+(0-0))+0-640.3-0</f>
        <v>2402.3000000000002</v>
      </c>
      <c r="J22" s="3">
        <f>2268.7+(1104.7-458.6)+(0+(0-0))+0-606.8-0</f>
        <v>2308</v>
      </c>
      <c r="K22" s="3">
        <f>2325.6+(1026-447.8)+(-3.558168+(-1.56978--0.685134))+0-677.4--1.03642200000004</f>
        <v>2222.9936080000002</v>
      </c>
      <c r="L22" s="3">
        <f>2179.3+(1048.7-467.9)+(-2.222886+(-1.069674--0.477258))+0-635.8--0.648516000000101</f>
        <v>2122.1332140000004</v>
      </c>
      <c r="M22" s="3">
        <f>2376.8+(710.7-552.4)+(2.424336+(0.724914-0.563448))+0-610.6-0.622812000000097</f>
        <v>1926.4629900000004</v>
      </c>
      <c r="N22" s="3">
        <f>3039.8+(574-1096.1)+(6.201192+(1.17096-2.236044))+0-579.6-1.18238399999997</f>
        <v>1942.0537240000006</v>
      </c>
      <c r="O22" s="3">
        <f>3255.8+(745.9-1441.2)+(-3.320916+(-0.760818--1.470024))+0-493--0.502860000000079</f>
        <v>2065.3911499999999</v>
      </c>
      <c r="P22" s="3">
        <f>3131.5+(866.4-1402.5)+(-1.597065+(-0.441864--0.715275))+0-507.3--0.258722999999949</f>
        <v>2087.035069</v>
      </c>
      <c r="Q22" s="3">
        <f>3645.5+(795-1668.5)+(3.71841+(0.8109-1.70187))+0-554.3-0.565386000000088</f>
        <v>2219.9620539999996</v>
      </c>
      <c r="R22" s="3">
        <f>4157.8+(690.6-1948.7)+(0+(0-0))+0-539.8-0</f>
        <v>2359.9000000000005</v>
      </c>
      <c r="S22" s="3">
        <f>4483.5+(658.4-1970.7)+(-9.14634+(-1.343136--4.020228))+0-554.2--1.13056799999998</f>
        <v>2611.6613199999997</v>
      </c>
      <c r="T22" s="3">
        <f>4544.2+(630.2-1882.1)+(4.635084+(0.642804-1.919742))+0-528.2-0.538764000000084</f>
        <v>2766.919382</v>
      </c>
      <c r="U22" s="3">
        <f>4675.2+(629.9-1891.6)+(4.768704+(0.642498-1.929432))+0-536-0.546720000000085</f>
        <v>2880.4350499999996</v>
      </c>
      <c r="V22" s="3">
        <f>4314.3+(631.1-1708.7)+(-6.600879+(-0.965583--2.614311))+0-540.5--0.826965000000031</f>
        <v>2692.0748140000005</v>
      </c>
      <c r="W22" s="3">
        <f>4205.2+(340.5-1455.8)+(-2.144652+(-0.173655--0.742458))+0-541--0.275909999999945</f>
        <v>2547.6000609999996</v>
      </c>
      <c r="X22" s="3">
        <f>3855.1+(401.4-1316.2)+(-9.830505+(-1.02357--3.35631))+0-569.7--1.45273499999992</f>
        <v>2364.5549699999992</v>
      </c>
      <c r="Y22" s="3">
        <f>4098.5+(383-1648.4)+(4.18047+(0.39066-1.681368))+0-521.2-0.531624000000083</f>
        <v>2314.2581379999992</v>
      </c>
      <c r="Z22" s="3">
        <f>5439.5+(387.6-2585.2)+(-2.774145+(-0.197676--1.318452))+0-589.3--0.30054299999994</f>
        <v>2651.2471739999996</v>
      </c>
      <c r="AA22" s="3">
        <f>5186.5+(386.7-2272.8)+(-10.58046+(-0.788868--4.636512))+0-539.6--1.10078399999998</f>
        <v>2755.1679679999997</v>
      </c>
      <c r="AB22" s="3">
        <f>4924.4+(368.4-1887.2)+(-5.022888+(-0.375768--1.924944))+0-587.1--0.598842000000094</f>
        <v>2815.6251299999994</v>
      </c>
      <c r="AC22" s="3">
        <f>4759.8+(387.1-1640.2)+(-9.709992+(-0.789684--3.346008))+0-615.7--1.25602799999997</f>
        <v>2885.1023599999999</v>
      </c>
      <c r="AD22" s="2">
        <v>2724.0999999999995</v>
      </c>
      <c r="AE22" s="3">
        <f>5658+(385.4-2711.5)+(0+(0-0))+0-607.8-0</f>
        <v>2724.1000000000004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3973.7+(553-1056.7)+(-2.026587+(-0.28203--0.538917))+0-554.4--0.282743999999944</f>
        <v>2914.1130440000002</v>
      </c>
      <c r="G23" s="3">
        <f>3232+(952.4-794.3)+(-4.94496+(-1.457172--1.215279))+0-594.3--0.909279000000034</f>
        <v>2791.522426</v>
      </c>
      <c r="H23" s="3">
        <f>2766+(1065.8-611.1)+(0+(0-0))+0-567.7-0</f>
        <v>2653</v>
      </c>
      <c r="I23" s="3">
        <f>2594.7+(1146.7-582)+(-6.616485+(-2.924085--1.4841))+0-620.9--1.58329499999991</f>
        <v>2532.0268249999995</v>
      </c>
      <c r="J23" s="3">
        <f>2362.8+(1220.3-605.5)+(2.410056+(1.244706-0.61761))+0-541-0.551820000000086</f>
        <v>2439.0853320000001</v>
      </c>
      <c r="K23" s="3">
        <f>2437.8+(1098-594.8)+(-1.243278+(-0.55998--0.303348))+0-591.8--0.30181799999994</f>
        <v>2348.0019080000002</v>
      </c>
      <c r="L23" s="3">
        <f>2265+(1039.9-554.2)+(-5.77575+(-2.651745--1.41321))+0-557.3--1.42111499999992</f>
        <v>2187.8068299999995</v>
      </c>
      <c r="M23" s="3">
        <f>2317.6+(772.6-545.6)+(-1.181976+(-0.394026--0.278256))+0-547.5--0.279224999999944</f>
        <v>1996.0814789999997</v>
      </c>
      <c r="N23" s="3">
        <f>3031.6+(552.8-1032.3)+(-1.546116+(-0.281928--0.526473))+0-512.6--0.261425999999948</f>
        <v>2038.4598550000001</v>
      </c>
      <c r="O23" s="3">
        <f>4359.6+(305.7-2211.3)+(2.223396+(0.155907-1.127763))+0-521.5-0.265964999999947</f>
        <v>1933.4855750000002</v>
      </c>
      <c r="P23" s="3">
        <f>4698.5+(472.8-2486.3)+(4.79247+(0.482256-2.536026))+0-496.7-0.506634000000079</f>
        <v>2190.5320659999998</v>
      </c>
      <c r="Q23" s="3">
        <f>4710.2+(513.1-2398.6)+(0+(0-0))+0-528.8-0</f>
        <v>2295.8999999999996</v>
      </c>
      <c r="R23" s="3">
        <f>4866.7+(515.1-2463.1)+(-4.964034+(-0.525402--2.512362))+0-406.7--0.414834000000065</f>
        <v>2509.4377600000003</v>
      </c>
      <c r="S23" s="3">
        <f>5150.7+(397.1-2169.5)+(-2.626857+(-0.202521--1.106445))+0-583.5--0.297584999999941</f>
        <v>2793.3746519999995</v>
      </c>
      <c r="T23" s="3">
        <f>5270.9+(569.9-2376)+(-10.752636+(-1.162596--4.84704))+0-513.1--1.04672399999998</f>
        <v>2945.6785319999994</v>
      </c>
      <c r="U23" s="3">
        <f>5030.5+(352.4-1941.5)+(0+(0-0))+0-485.3-0</f>
        <v>2956.1</v>
      </c>
      <c r="V23" s="3">
        <f>4543.1+(412.4-1599.7)+(-6.950943+(-0.630972--2.447541))+0-500.9--0.766377000000029</f>
        <v>2850.5320029999998</v>
      </c>
      <c r="W23" s="3">
        <f>3929.1+(438.1-1255.3)+(-2.003841+(-0.223431--0.640203))+0-462.6--0.235925999999953</f>
        <v>2647.9488569999999</v>
      </c>
      <c r="X23" s="3">
        <f>3298.9+(616.6-993.9)+(-6.729756+(-1.257864--2.027556))+0-495.7--1.01122799999998</f>
        <v>2420.9511640000005</v>
      </c>
      <c r="Y23" s="3">
        <f>3573.2+(542.2-1249.1)+(1.822332+(0.276522-0.637041))+0-485.4-0.247553999999951</f>
        <v>2382.1142589999999</v>
      </c>
      <c r="Z23" s="3">
        <f>4888.6+(776.6-2281.6)+(-2.493186+(-0.396066--1.163616))+0-448.4--0.228683999999955</f>
        <v>2933.7030480000003</v>
      </c>
      <c r="AA23" s="3">
        <f>4757.9+(574.1-1825.8)+(-4.853058+(-0.585582--1.862316))+0-520.9--0.531318000000083</f>
        <v>2982.2549939999999</v>
      </c>
      <c r="AB23" s="3">
        <f>3991+(811-1296.6)+(0+(0-0))+0-562.7-0</f>
        <v>2942.7</v>
      </c>
      <c r="AC23" s="3">
        <f>3408.3+(1146.2-915.6)+(-6.952932+(-2.338248--1.867824))+0-616.6--1.25786399999997</f>
        <v>3016.1345080000006</v>
      </c>
      <c r="AD23" s="2">
        <v>2872.3</v>
      </c>
      <c r="AE23" s="3">
        <f>5110+(759.5-2415.4)+(0+(0-0))+0-581.8-0</f>
        <v>2872.3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3014.3+(1492.2-780.9)+(-3.074586+(-1.522044--0.796518))+0-558.5--0.569670000000089</f>
        <v>3163.8695580000008</v>
      </c>
      <c r="G24" s="3">
        <f>2936.7+(1349.6-812.5)+(-2.995434+(-1.376592--0.82875))+0-597--0.608940000000095</f>
        <v>2873.8656639999999</v>
      </c>
      <c r="H24" s="3">
        <f>2737.3+(1373.2-704.9)+(-6.980115+(-3.50166--1.797495))+0-560.4--1.42901999999992</f>
        <v>2837.9447400000004</v>
      </c>
      <c r="I24" s="3">
        <f>2555.1+(1455-676.9)+(-2.606202+(-1.4841--0.690438))+0-607--0.619140000000097</f>
        <v>2723.4192760000001</v>
      </c>
      <c r="J24" s="3">
        <f>2398+(1373.6-580.2)+(1.22298+(0.700536-0.295902))+0-572.4-0.291923999999942</f>
        <v>2620.3356899999994</v>
      </c>
      <c r="K24" s="3">
        <f>2278.7+(1304.1-579.5)+(1.162137+(0.665091-0.295545))+0-491.8-0.25081799999995</f>
        <v>2512.7808649999997</v>
      </c>
      <c r="L24" s="3">
        <f>2273+(1250.4-559.7)+(-2.31846+(-1.275408--0.570894))+0-585.8--0.597516000000093</f>
        <v>2375.4745420000004</v>
      </c>
      <c r="M24" s="3">
        <f>2635.1+(742-691.5)+(2.687802+(0.75684-0.70533))+0-517.3-0.527646000000082</f>
        <v>2170.5116659999999</v>
      </c>
      <c r="N24" s="3">
        <f>4022+(246-1615.5)+(8.20488+(0.50184-3.29562))+0-513.9-1.04835599999998</f>
        <v>2142.9627439999999</v>
      </c>
      <c r="O24" s="3">
        <f>4445.5+(436.8-2138.2)+(2.267205+(0.222768-1.090482))+0-602.2-0.307121999999939</f>
        <v>2142.9923690000005</v>
      </c>
      <c r="P24" s="3">
        <f>4605+(559.6-2476.1)+(0+(0-0))+0-498.2-0</f>
        <v>2190.3000000000002</v>
      </c>
      <c r="Q24" s="3">
        <f>4895.2+(629.6-2666.8)+(-2.496552+(-0.321096--1.360068))+0-545.6--0.278255999999945</f>
        <v>2311.2206759999999</v>
      </c>
      <c r="R24" s="3">
        <f>4682.8+(354.6-2060.6)+(-4.776456+(-0.361692--2.101812))+0-545--0.555900000000087</f>
        <v>2429.3195640000004</v>
      </c>
      <c r="S24" s="3">
        <f>4470.6+(364.7-1677.6)+(-4.560012+(-0.371994--1.711152))+0-638.5--0.651270000000102</f>
        <v>2516.6304160000009</v>
      </c>
      <c r="T24" s="3">
        <f>4550.9+(359.8-1738.1)+(-4.641918+(-0.366996--1.772862))+0-623.3--0.635766000000099</f>
        <v>2546.6997139999989</v>
      </c>
      <c r="U24" s="3">
        <f>4208.2+(287.6-1417.4)+(-2.146182+(-0.146676--0.722874))+0-613.6--0.312935999999938</f>
        <v>2463.5429519999993</v>
      </c>
      <c r="V24" s="3">
        <f>3761.6+(280.7-1167.1)+(0+(0-0))+0-537.9-0</f>
        <v>2337.2999999999997</v>
      </c>
      <c r="W24" s="3">
        <f>3437.1+(358.8-993.2)+(-3.505842+(-0.365976--1.013064))+0-617.7--0.630054000000099</f>
        <v>2182.7713000000003</v>
      </c>
      <c r="X24" s="3">
        <f>3252.1+(385.7-1015.7)+(3.317142+(0.393414-1.036014))+0-509.9-0.520098000000081</f>
        <v>2114.3544440000001</v>
      </c>
      <c r="Y24" s="3">
        <f>3876.8+(456.3-1565.1)+(0+(0-0))+0-619.7-0</f>
        <v>2148.3000000000002</v>
      </c>
      <c r="Z24" s="3">
        <f>4958.4+(694.1-2685.1)+(-10.115136+(-1.415964--5.477604))+0-607.9--1.24011599999997</f>
        <v>2354.6866199999995</v>
      </c>
      <c r="AA24" s="3">
        <f>4951.8+(634.8-2536.6)+(-5.050836+(-0.647496--2.587332))+0-687--0.70074000000011</f>
        <v>2360.5897400000003</v>
      </c>
      <c r="AB24" s="3">
        <f>4777.8+(495.9-2296.7)+(-9.746712+(-1.011636--4.685268))+0-586.2--1.19584799999997</f>
        <v>2385.9227679999999</v>
      </c>
      <c r="AC24" s="3">
        <f>4414.7+(487.1-1769.9)+(-6.754491+(-0.745263--2.707947))+0-683.4--1.04560200000004</f>
        <v>2444.7537949999996</v>
      </c>
      <c r="AD24" s="2">
        <v>2296.1999999999994</v>
      </c>
      <c r="AE24" s="3">
        <f>5119+(688.9-2881.3)+(0+(0-0))+0-630.4-0</f>
        <v>2296.1999999999998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3800.6+(545.9-1274.3)+(-3.876612+(-0.556818--1.299786))+0-580.9--0.592518000000093</f>
        <v>2488.7588739999997</v>
      </c>
      <c r="G25" s="3">
        <f>3759.7+(533.2-1154.9)+(-5.752341+(-0.815796--1.766997))+0-705.7--1.07972100000004</f>
        <v>2428.5785809999998</v>
      </c>
      <c r="H25" s="3">
        <f>3780.3+(552.1-1379.2)+(-3.855906+(-0.563142--1.406784))+0-604.7--0.616794000000096</f>
        <v>2346.1045300000001</v>
      </c>
      <c r="I25" s="3">
        <f>3560.6+(649.2-1267)+(-3.631812+(-0.662184--1.29234))+0-679.7--0.693294000000108</f>
        <v>2260.7916380000001</v>
      </c>
      <c r="J25" s="3">
        <f>3159.1+(716.2-1019.1)+(3.222282+(0.730524-1.039482))+0-670.2-0.683604000000107</f>
        <v>2188.2297199999998</v>
      </c>
      <c r="K25" s="3">
        <f>3071.8+(751.3-1034)+(-1.566618+(-0.383163--0.52734))+0-679--0.346289999999931</f>
        <v>2109.0238490000002</v>
      </c>
      <c r="L25" s="3">
        <f>2500.5+(672-490.4)+(-7.65153+(-2.05632--1.500624))+0-647.5--1.98135000000007</f>
        <v>2028.3741239999999</v>
      </c>
      <c r="M25" s="3">
        <f>2525.9+(569.5-559.5)+(-1.288209+(-0.290445--0.285345))+0-631.2--0.321911999999936</f>
        <v>1903.7286029999998</v>
      </c>
      <c r="N25" s="3">
        <f>2776.6+(501.9-764.6)+(1.416066+(0.255969-0.389946))+0-633.3-0.322982999999936</f>
        <v>1881.5591059999995</v>
      </c>
      <c r="O25" s="3">
        <f>3013.9+(396.3-948.2)+(-1.537089+(-0.202113--0.483582))+0-556--0.283559999999944</f>
        <v>1905.0279399999999</v>
      </c>
      <c r="P25" s="3">
        <f>3792.3+(267.4-1517.5)+(1.934073+(0.136374-0.773925))+0-595.7-0.30380699999994</f>
        <v>1947.4927150000003</v>
      </c>
      <c r="Q25" s="3">
        <f>4150.2+(242.5-1777.4)+(-4.233204+(-0.24735--1.812948))+0-598.3--0.610266000000095</f>
        <v>2014.9426599999999</v>
      </c>
      <c r="R25" s="3">
        <f>4285.4+(336.5-1906.8)+(2.185554+(0.171615-0.972468))+0-621.1-0.316760999999937</f>
        <v>2095.0679399999995</v>
      </c>
      <c r="S25" s="3">
        <f>3954+(392.1-1521.9)+(2.01654+(0.199971-0.776169))+0-579.5-0.295544999999941</f>
        <v>2245.8447969999997</v>
      </c>
      <c r="T25" s="3">
        <f>4293.1+(364.3-1703.3)+(2.189481+(0.185793-0.868683))+0-588.2-0.29998199999994</f>
        <v>2367.1066089999999</v>
      </c>
      <c r="U25" s="3">
        <f>4344.3+(376.1-1641.8)+(-4.431186+(-0.383622--1.674636))+0-694.8--0.708696000000111</f>
        <v>2381.3685240000009</v>
      </c>
      <c r="V25" s="3">
        <f>4185.4+(389.4-1643.6)+(4.269108+(0.397188-1.676472))+0-598.4-0.610368000000095</f>
        <v>2335.1794559999998</v>
      </c>
      <c r="W25" s="3">
        <f>4321.9+(422.9-1836.2)+(6.612507+(0.647037-2.809386))+0-678.5-1.03810500000004</f>
        <v>2233.5120529999995</v>
      </c>
      <c r="X25" s="3">
        <f>3864.5+(490.2-1622.4)+(-5.912685+(-0.750006--2.482272))+0-624.8--0.955944000000036</f>
        <v>2104.2755250000005</v>
      </c>
      <c r="Y25" s="3">
        <f>4018.2+(396.4-1623.1)+(2.049282+(0.202164-0.827781))+0-685.4-0.34955399999993</f>
        <v>2107.1741109999998</v>
      </c>
      <c r="Z25" s="3">
        <f>4651.3+(450.9-2041.1)+(-7.116489+(-0.689877--3.122883))+0-629.8--0.963594000000036</f>
        <v>2427.5801110000002</v>
      </c>
      <c r="AA25" s="3">
        <f>4965.3+(410.4-2150.9)+(-12.661515+(-1.04652--5.484795))+0-706.5--1.8015749999999</f>
        <v>2511.8783350000003</v>
      </c>
      <c r="AB25" s="3">
        <f>4707.8+(474.2-2021.9)+(-4.801956+(-0.483684--2.062338))+0-587--0.598740000000094</f>
        <v>2570.4754380000004</v>
      </c>
      <c r="AC25" s="3">
        <f>4712.2+(668.5-2004.8)+(-2.403222+(-0.340935--1.022448))+0-702--0.358019999999929</f>
        <v>2672.5363109999998</v>
      </c>
      <c r="AD25" s="2">
        <v>2503.0000000000005</v>
      </c>
      <c r="AE25" s="3">
        <f>4979+(425.1-2133.1)+(0+(0-0))+0-768-0</f>
        <v>2503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3745.8+(575.3-990.8)+(-1.910358+(-0.293403--0.505308))+0-641.5--0.327164999999935</f>
        <v>2687.4287120000004</v>
      </c>
      <c r="G26" s="3">
        <f>2802.6+(1063.3-582.4)+(1.429326+(0.542283-0.297024))+0-679.4-0.346493999999931</f>
        <v>2605.4280910000002</v>
      </c>
      <c r="H26" s="3">
        <f>2502.2+(1053-464.4)+(-1.276122+(-0.53703--0.236844))+0-615.2--0.313751999999938</f>
        <v>2474.3374439999998</v>
      </c>
      <c r="I26" s="3">
        <f>2495.1+(1017.9-533.2)+(-2.545002+(-1.038258--0.543864))+0-614.9--0.627198000000098</f>
        <v>2362.4878019999996</v>
      </c>
      <c r="J26" s="3">
        <f>2432.6+(977.8-527.2)+(4.962504+(1.994712-1.075488))+0-663.5-1.35353999999997</f>
        <v>2224.2281879999996</v>
      </c>
      <c r="K26" s="3">
        <f>2454.5+(820.9-578.5)+(-2.50359+(-0.837318--0.59007))+0-594.4--0.606288000000095</f>
        <v>2100.35545</v>
      </c>
      <c r="L26" s="3">
        <f>2496.2+(739.9-608.8)+(3.819186+(1.132047-0.931464))+0-640.6-0.980118000000037</f>
        <v>1989.7396509999999</v>
      </c>
      <c r="M26" s="3">
        <f>2742.6+(632.7-901.6)+(-1.398726+(-0.322677--0.459816))+0-619.6--0.315995999999937</f>
        <v>1853.154409</v>
      </c>
      <c r="N26" s="3">
        <f>3394.5+(620.9-1629.8)+(-1.731195+(-0.316659--0.831198))+0-542.6--0.276725999999945</f>
        <v>1842.06007</v>
      </c>
      <c r="O26" s="3">
        <f>3733.8+(686.9-1948.7)+(-3.808476+(-0.700638--1.987674))+0-564.4--0.57568800000009</f>
        <v>1905.6542480000001</v>
      </c>
      <c r="P26" s="3">
        <f>4026.2+(597.4-2230.7)+(-6.160086+(-0.914022--3.412971))+0-516--0.78948000000003</f>
        <v>1874.0283430000002</v>
      </c>
      <c r="Q26" s="3">
        <f>4311.7+(545.1-2410.8)+(-8.795868+(-1.112004--4.918032))+0-507--1.03427999999998</f>
        <v>1935.0444399999994</v>
      </c>
      <c r="R26" s="3">
        <f>4725.3+(681.7-2847.9)+(-7.229709+(-1.043001--4.357287))+0-583.4--0.892602000000034</f>
        <v>1972.6771790000005</v>
      </c>
      <c r="S26" s="3">
        <f>4733+(667-2836.9)+(-9.65532+(-1.36068--5.787276))+0-563.7--1.14994799999998</f>
        <v>1995.3212239999998</v>
      </c>
      <c r="T26" s="3">
        <f>4921.4+(529.7-2896.3)+(-7.529742+(-0.810441--4.431339))+0-547.8--0.838134000000032</f>
        <v>2003.9292899999994</v>
      </c>
      <c r="U26" s="3">
        <f>4827.3+(567.3-2849.2)+(-14.771538+(-1.735938--8.718552))+0-555.8--1.70074800000006</f>
        <v>1983.5118240000006</v>
      </c>
      <c r="V26" s="3">
        <f>4946.1+(467.3-2905.2)+(-2.522511+(-0.238323--1.481652))+0-555.8--0.283457999999944</f>
        <v>1951.4042760000004</v>
      </c>
      <c r="W26" s="3">
        <f>4736.8+(570-2750.8)+(-12.07884+(-1.4535--7.01454))+0-666--1.6982999999999</f>
        <v>1885.1804999999997</v>
      </c>
      <c r="X26" s="3">
        <f>4437.8+(551.8-2499.8)+(-2.263278+(-0.281418--1.274898))+0-623.4--0.317933999999937</f>
        <v>1865.4481360000002</v>
      </c>
      <c r="Y26" s="3">
        <f>4573+(471.6-2466.3)+(2.33223+(0.240516-1.257813))+0-650.9-0.331958999999934</f>
        <v>1928.3829739999999</v>
      </c>
      <c r="Z26" s="3">
        <f>4908+(560.2-2780.3)+(-12.5154+(-1.42851--7.089765))+0-559.5--1.42672499999992</f>
        <v>2122.9725799999997</v>
      </c>
      <c r="AA26" s="3">
        <f>4983.9+(740.2-2794.3)+(-12.708945+(-1.88751--7.125465))+0-734.2--1.87220999999989</f>
        <v>2190.0012199999996</v>
      </c>
      <c r="AB26" s="3">
        <f>4899.7+(796.9-3011.2)+(-2.498847+(-0.406419--1.535712))+0-528.2--0.269381999999946</f>
        <v>2156.0998279999999</v>
      </c>
      <c r="AC26" s="3">
        <f>3996.1+(1127.2-2221.6)+(-8.152044+(-2.299488--4.532064))+0-714.3--1.45717199999997</f>
        <v>2182.9377039999995</v>
      </c>
      <c r="AD26" s="2">
        <v>2057.9000000000005</v>
      </c>
      <c r="AE26" s="3">
        <f>5064+(564.1-2842.7)+(0+(0-0))+0-727.5-0</f>
        <v>2057.9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3675.4+(740.4-1784.4)+(-7.497816+(-1.510416--3.640176))+0-579.4--1.18197599999997</f>
        <v>2047.8139200000003</v>
      </c>
      <c r="G27" s="3">
        <f>3357.8+(764.5-1447.8)+(-5.137434+(-1.169685--2.215134))+0-668.6--1.02295800000004</f>
        <v>2002.8309730000001</v>
      </c>
      <c r="H27" s="3">
        <f>2933.6+(687.4-1203.6)+(0+(0-0))+0-595.1-0</f>
        <v>1822.3000000000002</v>
      </c>
      <c r="I27" s="3">
        <f>2706.7+(717.8-981.8)+(-2.760834+(-0.732156--1.001436))+0-687.8--0.70155600000011</f>
        <v>1753.1100019999999</v>
      </c>
      <c r="J27" s="3">
        <f>2620.3+(666.2-988.7)+(0+(0-0))+0-591.3-0</f>
        <v>1706.5000000000002</v>
      </c>
      <c r="K27" s="3">
        <f>2615.9+(712.5-1055.5)+(0+(0-0))+0-649.3-0</f>
        <v>1623.6000000000001</v>
      </c>
      <c r="L27" s="3">
        <f>2302.6+(763.7-844.7)+(3.522978+(1.168461-1.292391))+0-589.5-0.901935000000034</f>
        <v>1634.597113</v>
      </c>
      <c r="M27" s="3">
        <f>2422.6+(777.3-1061.4)+(-2.471052+(-0.792846--1.082628))+0-631--0.643620000000101</f>
        <v>1505.96235</v>
      </c>
      <c r="N27" s="3">
        <f>2702.8+(760.5-1363.3)+(-1.378428+(-0.387855--0.695283))+0-591.5--0.30166499999994</f>
        <v>1507.730665</v>
      </c>
      <c r="O27" s="3">
        <f>3226.3+(724.8-1836.7)+(0+(0-0))+0-574.7-0</f>
        <v>1539.7</v>
      </c>
      <c r="P27" s="3">
        <f>3888.3+(679.9-2340.7)+(-3.966066+(-0.693498--2.387514))+0-579.6--0.591192000000092</f>
        <v>1646.2191420000006</v>
      </c>
      <c r="Q27" s="3">
        <f>4177.4+(584.5-2498.7)+(-6.391422+(-0.894285--3.823011))+0-575--0.879750000000033</f>
        <v>1685.6170539999998</v>
      </c>
      <c r="R27" s="3">
        <f>4264.2+(574.6-2554.3)+(-4.349484+(-0.586092--2.605386))+0-560.5--0.571710000000089</f>
        <v>1722.2415199999996</v>
      </c>
      <c r="S27" s="3">
        <f>4172+(463.4-2348.4)+(-8.51088+(-0.945336--4.790736))+0-494.9--1.00959599999998</f>
        <v>1788.4441159999997</v>
      </c>
      <c r="T27" s="3">
        <f>4347.6+(353.6-2343.5)+(-2.217276+(-0.180336--1.195185))+0-564.4--0.287843999999943</f>
        <v>1792.385417</v>
      </c>
      <c r="U27" s="3">
        <f>4384.8+(393.2-2453.8)+(-11.18124+(-1.00266--6.25719))+0-523.7--1.33543499999992</f>
        <v>1795.9087249999995</v>
      </c>
      <c r="V27" s="3">
        <f>4254.8+(472.5-2319)+(-13.019688+(-1.44585--7.09614))+0-612.5--1.87425000000007</f>
        <v>1790.3048520000004</v>
      </c>
      <c r="W27" s="3">
        <f>3947.5+(541.6-2241.1)+(-6.039675+(-0.828648--3.428883))+0-468.4--0.716652000000027</f>
        <v>1776.8772119999999</v>
      </c>
      <c r="X27" s="3">
        <f>4074.5+(613.6-2360.3)+(-4.15599+(-0.625872--2.407506))+0-608.5--0.620670000000097</f>
        <v>1717.5463139999999</v>
      </c>
      <c r="Y27" s="3">
        <f>4329.7+(508.2-2522.7)+(2.208147+(0.259182-1.286577))+0-533.5-0.272084999999946</f>
        <v>1782.6086670000002</v>
      </c>
      <c r="Z27" s="3">
        <f>4834.9+(587.2-2924.9)+(-7.397397+(-0.898416--4.475097))+0-575.1--0.879903000000033</f>
        <v>1919.1591869999997</v>
      </c>
      <c r="AA27" s="3">
        <f>4554.7+(583.4-2688.3)+(-6.968691+(-0.892602--4.113099))+0-554.8--0.848844000000032</f>
        <v>1892.1006500000001</v>
      </c>
      <c r="AB27" s="3">
        <f>4213.3+(529.3-2284.3)+(-4.297566+(-0.539886--2.329986))+0-589.2--0.600984000000094</f>
        <v>1867.1935180000003</v>
      </c>
      <c r="AC27" s="3">
        <f>4110.8+(480.1-2149.5)+(0+(0-0))+0-599.3-0</f>
        <v>1842.1000000000001</v>
      </c>
      <c r="AD27" s="2">
        <v>2055.1999999999998</v>
      </c>
      <c r="AE27" s="3">
        <f>4947+(769.8-3067.8)+(0+(0-0))+0-593.8-0</f>
        <v>2055.1999999999998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3599.4+(611.4-1676.4)+(-5.507082+(-0.935442--2.564892))+0-551.2--0.843336000000032</f>
        <v>1980.165704</v>
      </c>
      <c r="G28" s="3">
        <f>3309.7+(630.4-1436.6)+(-5.063841+(-0.964512--2.197998))+0-605.9--0.927027000000035</f>
        <v>1894.6966719999998</v>
      </c>
      <c r="H28" s="3">
        <f>2604.5+(824-1040.9)+(-3.984885+(-1.26072--1.592577))+0-567.3--0.867969000000033</f>
        <v>1817.5149409999999</v>
      </c>
      <c r="I28" s="3">
        <f>2111.1+(961.3-732.3)+(0+(0-0))+0-585.3-0</f>
        <v>1754.8</v>
      </c>
      <c r="J28" s="3">
        <f>2069+(890-722.9)+(2.11038+(0.9078-0.737358))+0-534-0.544680000000085</f>
        <v>1703.8361419999999</v>
      </c>
      <c r="K28" s="3">
        <f>2072.7+(807.7-668)+(0+(0-0))+0-532.2-0</f>
        <v>1680.1999999999996</v>
      </c>
      <c r="L28" s="3">
        <f>2067.4+(846.1-673)+(-3.163122+(-1.294533--1.02969))+0-581.7--0.890001000000034</f>
        <v>1656.2620360000001</v>
      </c>
      <c r="M28" s="3">
        <f>2196.2+(782.6-856.1)+(0+(0-0))+0-490.3-0</f>
        <v>1632.3999999999999</v>
      </c>
      <c r="N28" s="3">
        <f>2697.1+(655.1-1148.1)+(-1.375521+(-0.334101--0.585531))+0-526.3--0.268412999999947</f>
        <v>1676.9443219999998</v>
      </c>
      <c r="O28" s="3">
        <f>3447.9+(678.4-1809.3)+(-3.516858+(-0.691968--1.845486))+0-582.2--0.593844000000093</f>
        <v>1733.0305040000001</v>
      </c>
      <c r="P28" s="3">
        <f>3719.5+(638.1-2072.5)+(1.896945+(0.325431-1.056975))+0-469.7-0.239546999999952</f>
        <v>1816.3258540000002</v>
      </c>
      <c r="Q28" s="3">
        <f>4468.3+(592.3-2548.9)+(2.278833+(0.302073-1.299939))+0-595.7-0.30380699999994</f>
        <v>1916.9771599999999</v>
      </c>
      <c r="R28" s="3">
        <f>4709.2+(427.5-2621.2)+(2.401692+(0.218025-1.336812))+0-480.1-0.244850999999951</f>
        <v>2036.4380540000002</v>
      </c>
      <c r="S28" s="3">
        <f>4651+(427.5-2314.3)+(2.37201+(0.218025-1.180293))+0-619.9-0.316148999999937</f>
        <v>2145.3935929999998</v>
      </c>
      <c r="T28" s="3">
        <f>4807.3+(545.4-2632.4)+(7.355169+(0.834462-4.027572))+0-507.6-0.776628000000029</f>
        <v>2216.0854310000004</v>
      </c>
      <c r="U28" s="3">
        <f>4704+(577.3-2480)+(-4.79808+(-0.588846--2.5296))+0-610.9--0.623118000000097</f>
        <v>2188.1657920000002</v>
      </c>
      <c r="V28" s="3">
        <f>4457.9+(577.6-2394.7)+(-2.273529+(-0.294576--1.221297))+0-491.1--0.25046099999995</f>
        <v>2148.6036530000001</v>
      </c>
      <c r="W28" s="3">
        <f>4346+(659.1-2278.7)+(-2.21646+(-0.336141--1.162137))+0-632.3--0.322472999999936</f>
        <v>2093.032009</v>
      </c>
      <c r="X28" s="3">
        <f>3838.5+(588.3-1900.9)+(-7.83054+(-1.200132--3.877836))+0-506.1--1.03244399999998</f>
        <v>2015.6796079999995</v>
      </c>
      <c r="Y28" s="3">
        <f>4138.4+(520.5-2023.4)+(6.331752+(0.796365-3.095802))+0-611.9-0.936207000000035</f>
        <v>2026.6961079999994</v>
      </c>
      <c r="Z28" s="3">
        <f>5087+(796.6-3054.2)+(-2.59437+(-0.406266--1.557642))+0-513.5--0.261884999999948</f>
        <v>2314.718891</v>
      </c>
      <c r="AA28" s="3">
        <f>4934+(818.9-2763.6)+(-7.54902+(-1.252917--4.228308))+0-615.8--0.942174000000035</f>
        <v>2369.8685450000007</v>
      </c>
      <c r="AB28" s="3">
        <f>4254.8+(801.3-2119.9)+(-10.84974+(-2.043315--5.405745))+0-550.5--1.40377499999992</f>
        <v>2379.6164649999996</v>
      </c>
      <c r="AC28" s="3">
        <f>4074.2+(515.6-1642)+(2.077842+(0.262956-0.83742))+0-491.7-0.25076699999995</f>
        <v>2457.3526109999998</v>
      </c>
      <c r="AD28" s="2">
        <v>2330.8999999999996</v>
      </c>
      <c r="AE28" s="3">
        <f>5122+(811.9-3147.8)+(0+(0-0))+0-455.2-0</f>
        <v>2330.9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3589.2+(575.3-1056.1)+(-3.660984+(-0.586806--1.077222))+0-648.9--0.661878000000103</f>
        <v>2456.9913099999994</v>
      </c>
      <c r="G29" s="3">
        <f>2714.7+(996.2-823.1)+(-5.537988+(-2.032248--1.679124))+0-520.3--1.06141199999998</f>
        <v>2362.6702999999998</v>
      </c>
      <c r="H29" s="3">
        <f>2245.4+(1263.3-677.9)+(-1.145154+(-0.644283--0.345729))+0-566.7--0.289016999999943</f>
        <v>2262.9453090000006</v>
      </c>
      <c r="I29" s="3">
        <f>2244.6+(1194.2-659.6)+(1.144746+(0.609042-0.336396))+0-605.6-0.308855999999939</f>
        <v>2174.7085359999996</v>
      </c>
      <c r="J29" s="3">
        <f>2180.7+(1064.3-598.6)+(-1.112157+(-0.542793--0.305286))+0-549.4--0.280193999999944</f>
        <v>2095.9305299999996</v>
      </c>
      <c r="K29" s="3">
        <f>2284.5+(930.8-629.9)+(1.165095+(0.474708-0.321249))+0-563-0.287129999999943</f>
        <v>2023.4314240000001</v>
      </c>
      <c r="L29" s="3">
        <f>2107.3+(917.2-539.6)+(-2.149446+(-0.935544--0.550392))+0-564.6--0.57589200000009</f>
        <v>1918.3412940000001</v>
      </c>
      <c r="M29" s="3">
        <f>2165.4+(804.3-665.2)+(2.208708+(0.820386-0.678504))+0-518.7-0.529074000000083</f>
        <v>1787.6215159999999</v>
      </c>
      <c r="N29" s="3">
        <f>2737.4+(761.7-1231.8)+(2.792148+(0.776934-1.256436))+0-589.9-0.601698000000094</f>
        <v>1679.1109479999998</v>
      </c>
      <c r="O29" s="3">
        <f>3234.2+(750.9-1686.3)+(3.298884+(0.765918-1.720026))+0-486.3-0.496026000000078</f>
        <v>1814.3487499999997</v>
      </c>
      <c r="P29" s="3">
        <f>3721.9+(835-2345.5)+(3.796338+(0.8517-2.39241))+0-566.2-0.57752400000009</f>
        <v>1646.8781039999999</v>
      </c>
      <c r="Q29" s="3">
        <f>4025.9+(661-2350.3)+(-12.319254+(-2.02266--7.191918))+0-475.2--1.45411200000005</f>
        <v>1855.7041159999999</v>
      </c>
      <c r="R29" s="3">
        <f>4358.4+(626.5-2437.4)+(4.445568+(0.63903-2.486148))+0-552.9-0.563958000000088</f>
        <v>1996.6344919999992</v>
      </c>
      <c r="S29" s="3">
        <f>4676.1+(489-2378.9)+(-4.769622+(-0.49878--2.426478))+0-566.4--0.57772800000009</f>
        <v>2217.5358040000006</v>
      </c>
      <c r="T29" s="3">
        <f>4681.9+(456.3-2224)+(-14.326614+(-1.396278--6.80544))+0-579.8--1.77418800000007</f>
        <v>2327.2567359999998</v>
      </c>
      <c r="U29" s="3">
        <f>4384.4+(466-2044.4)+(-8.944176+(-0.95064--4.170576))+0-475--0.968999999999979</f>
        <v>2326.2447599999996</v>
      </c>
      <c r="V29" s="3">
        <f>4500.5+(343.9-2107.4)+(-2.295255+(-0.175389--1.074774))+0-447.9--0.228428999999955</f>
        <v>2287.9325589999999</v>
      </c>
      <c r="W29" s="3">
        <f>4858+(336.7-2444.6)+(9.91032+(0.686868-4.986984))+0-545.9-1.11363599999998</f>
        <v>2208.6965679999998</v>
      </c>
      <c r="X29" s="3">
        <f>4558.6+(540.8-2507.6)+(-4.649772+(-0.551616--2.557752))+0-500.3--0.51030600000008</f>
        <v>2089.3666700000003</v>
      </c>
      <c r="Y29" s="3">
        <f>3891.3+(755.8-2051.5)+(-3.969126+(-0.770916--2.09253))+0-555.8--0.566916000000089</f>
        <v>2037.7194040000004</v>
      </c>
      <c r="Z29" s="3">
        <f>4509.7+(771-2510.1)+(-6.899841+(-1.17963--3.840453))+0-568--0.869040000000033</f>
        <v>2199.2300219999997</v>
      </c>
      <c r="AA29" s="3">
        <f>4677.2+(796.8-2646.6)+(-4.770744+(-0.812736--2.699532))+0-550--0.561000000000088</f>
        <v>2275.0770519999996</v>
      </c>
      <c r="AB29" s="3">
        <f>4120.4+(731.7-1925.3)+(-4.202808+(-0.746334--1.963806))+0-609.2--0.621384000000097</f>
        <v>2315.2360479999998</v>
      </c>
      <c r="AC29" s="3">
        <f>4013.9+(540.6-1629.7)+(-4.094178+(-0.551412--1.662294))+0-538.8--0.549576000000086</f>
        <v>2383.5662800000005</v>
      </c>
      <c r="AD29" s="2">
        <v>2223.7999999999997</v>
      </c>
      <c r="AE29" s="3">
        <f>4575+(785.2-2486.4)+(0+(0-0))+0-650-0</f>
        <v>2223.8000000000002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3502.1+(453.5-905.9)+(-5.358213+(-0.693855--1.386027))+0-665.2--1.01775600000004</f>
        <v>2380.8517149999998</v>
      </c>
      <c r="G30" s="3">
        <f>2266+(1113.9-552.5)+(-1.15566+(-0.568089--0.281775))+0-586--0.298859999999941</f>
        <v>2240.2568860000001</v>
      </c>
      <c r="H30" s="3">
        <f>2109.6+(1223.1-553.6)+(3.227688+(1.871343-0.847008))+0-636.5-0.973845000000037</f>
        <v>2145.8781779999999</v>
      </c>
      <c r="I30" s="3">
        <f>1938.3+(1181.1-471.3)+(-1.977066+(-1.204722--0.480726))+0-593.9--0.605778000000095</f>
        <v>2052.1047159999998</v>
      </c>
      <c r="J30" s="3">
        <f>1951.4+(1191-531.4)+(-1.990428+(-1.21482--0.542028))+0-649.3--0.662286000000104</f>
        <v>1959.6990660000001</v>
      </c>
      <c r="K30" s="3">
        <f>1974.4+(1076.8-581.6)+(-4.027776+(-2.196672--1.186464))+0-571.7--1.16626799999998</f>
        <v>1894.0282839999998</v>
      </c>
      <c r="L30" s="3">
        <f>1995.9+(1012.3-546.5)+(-4.071636+(-2.065092--1.11486))+0-647.5--1.32089999999997</f>
        <v>1810.4990319999999</v>
      </c>
      <c r="M30" s="3">
        <f>2204.7+(795-702)+(1.124397+(0.40545-0.35802))+0-525.5-0.268004999999947</f>
        <v>1773.103822</v>
      </c>
      <c r="N30" s="3">
        <f>3323.9+(747.4-1640.5)+(1.695189+(0.381174-0.836655))+0-649.8-0.331397999999934</f>
        <v>1781.9083100000003</v>
      </c>
      <c r="O30" s="3">
        <f>3492+(914.5-2067.8)+(1.78092+(0.466395-1.054578))+0-492.2-0.25102199999995</f>
        <v>1847.4417149999997</v>
      </c>
      <c r="P30" s="3">
        <f>4208.8+(859-2667.4)+(2.146488+(0.43809-1.360374))+0-485-0.247349999999951</f>
        <v>1916.3768540000003</v>
      </c>
      <c r="Q30" s="3">
        <f>4462.4+(807.7-2896.8)+(-2.275824+(-0.411927--1.477368))+0-439--0.223889999999955</f>
        <v>1933.3135069999992</v>
      </c>
      <c r="R30" s="3">
        <f>4749.7+(511.3-2711.8)+(2.422347+(0.260763-1.383018))+0-535.8-0.273257999999946</f>
        <v>2014.4268339999999</v>
      </c>
      <c r="S30" s="3">
        <f>4558.1+(462.1-2464.7)+(-11.623155+(-1.178355--6.284985))+0-522.4--1.33211999999992</f>
        <v>2027.9155950000004</v>
      </c>
      <c r="T30" s="3">
        <f>4639+(495.4-2360.8)+(-2.36589+(-0.252654--1.204008))+0-569.3--0.290342999999942</f>
        <v>2203.1758070000001</v>
      </c>
      <c r="U30" s="3">
        <f>4221.2+(745.1-2101.2)+(-8.611248+(-1.520004--4.286448))+0-565.3--1.15321199999998</f>
        <v>2295.1084080000001</v>
      </c>
      <c r="V30" s="3">
        <f>3671.2+(725.8-1741)+(-1.872312+(-0.370158--0.88791))+0-568.1--0.289730999999942</f>
        <v>2086.8351709999997</v>
      </c>
      <c r="W30" s="3">
        <f>3445.3+(756.9-1705.3)+(-7.028412+(-1.544076--3.478812))+0-430.8--0.878831999999981</f>
        <v>2061.8851559999998</v>
      </c>
      <c r="X30" s="3">
        <f>3271.4+(840.4-1670.3)+(-5.005242+(-1.285812--2.555559))+0-458.1--0.700893000000027</f>
        <v>1980.3653980000001</v>
      </c>
      <c r="Y30" s="3">
        <f>3542.6+(828.9-1800.5)+(-9.03363+(-2.113695--4.591275))+0-542.9--1.38439499999992</f>
        <v>2022.9283449999996</v>
      </c>
      <c r="Z30" s="3">
        <f>4468.9+(984.7-2613.6)+(-6.837417+(-1.506591--3.998808))+0-510.9--0.781677000000029</f>
        <v>2325.5364769999996</v>
      </c>
      <c r="AA30" s="3">
        <f>4716.2+(979.5-2799.8)+(-12.02631+(-2.497725--7.13949))+0-538.2--1.37240999999992</f>
        <v>2351.6878649999999</v>
      </c>
      <c r="AB30" s="3">
        <f>4627.2+(929.8-2755.9)+(-7.079616+(-1.422594--4.216527))+0-527.5--0.807075000000031</f>
        <v>2270.1213919999996</v>
      </c>
      <c r="AC30" s="3">
        <f>4462.9+(956.1-2479.5)+(-9.104316+(-1.950444--5.05818))+0-590.4--1.20441599999997</f>
        <v>2344.3078359999995</v>
      </c>
      <c r="AD30" s="2">
        <v>2251.2000000000007</v>
      </c>
      <c r="AE30" s="3">
        <f>4478+(1032.6-2584.7)+(0+(0-0))+0-674.7-0</f>
        <v>2251.1999999999998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4122.3+(693.9-1914.6)+(-8.409492+(-1.415556--3.905784))+0-582.1--1.18748399999997</f>
        <v>2314.7682200000004</v>
      </c>
      <c r="G31" s="3">
        <f>2792.6+(885.7-764.5)+(-4.272678+(-1.355121--1.169685))+0-668.8--1.02326400000004</f>
        <v>2241.5651499999999</v>
      </c>
      <c r="H31" s="3">
        <f>2200.1+(1201-696.1)+(-5.610255+(-3.06255--1.775055))+0-537.9--1.37164499999992</f>
        <v>2161.5738949999995</v>
      </c>
      <c r="I31" s="3">
        <f>2256.2+(1112.7-664.3)+(0+(0-0))+0-634.3-0</f>
        <v>2070.3000000000002</v>
      </c>
      <c r="J31" s="3">
        <f>2410.8+(976.4-768.9)+(-1.229508+(-0.497964--0.392139))+0-626.3--0.319412999999936</f>
        <v>1990.9840800000002</v>
      </c>
      <c r="K31" s="3">
        <f>2206.1+(978.4-651.1)+(1.125111+(0.498984-0.332061))+0-592.3-0.30207299999994</f>
        <v>1942.0899609999999</v>
      </c>
      <c r="L31" s="3">
        <f>2199.3+(952.8-674.9)+(-1.121643+(-0.485928--0.344199))+0-638.2--0.325481999999935</f>
        <v>1838.0621100000003</v>
      </c>
      <c r="M31" s="3">
        <f>2368.1+(916.5-981.2)+(1.207731+(0.467415-0.500412))+0-568.2-0.289781999999942</f>
        <v>1736.0849519999999</v>
      </c>
      <c r="N31" s="3">
        <f>2875.2+(911.1-1227.9)+(-1.466352+(-0.464661--0.626229))+0-559--0.285089999999943</f>
        <v>1998.3803059999996</v>
      </c>
      <c r="O31" s="3">
        <f>3563.3+(757.9-1976.1)+(-3.634566+(-0.773058--2.015622))+0-531--0.541620000000085</f>
        <v>1812.2496180000005</v>
      </c>
      <c r="P31" s="3">
        <f>4225.2+(666.2-2410.4)+(2.154852+(0.339762-1.229304))+0-608.8-0.310487999999938</f>
        <v>1873.1548220000004</v>
      </c>
      <c r="Q31" s="3">
        <f>4464.9+(535.1-2581.3)+(-13.662594+(-1.637406--7.898778))+0-455--1.39230000000005</f>
        <v>1957.6910779999994</v>
      </c>
      <c r="R31" s="3">
        <f>4770.2+(452.8-2570.6)+(-9.731208+(-0.923712--5.244024))+0-497.1--1.01408399999998</f>
        <v>2150.9031880000002</v>
      </c>
      <c r="S31" s="3">
        <f>4689.2+(352.8-2339)+(-11.95746+(-0.89964--5.96445))+0-503.3--1.28341499999993</f>
        <v>2194.0907649999999</v>
      </c>
      <c r="T31" s="3">
        <f>4876.1+(365.8-2293.5)+(0+(0-0))+0-634.9-0</f>
        <v>2313.5000000000005</v>
      </c>
      <c r="U31" s="3">
        <f>4816.1+(423.9-2253.6)+(-4.912422+(-0.432378--2.298672))+0-650.6--0.663612000000104</f>
        <v>2333.417484000001</v>
      </c>
      <c r="V31" s="3">
        <f>4706.4+(586.5-2365.9)+(-2.400264+(-0.299115--1.206609))+0-646.4--0.329663999999934</f>
        <v>2279.4368939999995</v>
      </c>
      <c r="W31" s="3">
        <f>4539.4+(613.9-2347.6)+(-4.630188+(-0.626178--2.394552))+0-645.1--0.658002000000103</f>
        <v>2158.3961880000002</v>
      </c>
      <c r="X31" s="3">
        <f>4091.9+(592.2-1981.7)+(4.173738+(0.604044-2.021334))+0-655.8-0.668916000000105</f>
        <v>2048.6875320000004</v>
      </c>
      <c r="Y31" s="3">
        <f>3772.5+(690.8-1815.7)+(1.923975+(0.352308-0.926007))+0-641.7-0.327266999999935</f>
        <v>2006.9230090000001</v>
      </c>
      <c r="Z31" s="3">
        <f>4824+(834.4-2691.1)+(-7.38072+(-1.276632--4.117383))+0-659.9--1.00964700000004</f>
        <v>2303.869678</v>
      </c>
      <c r="AA31" s="3">
        <f>4447.4+(954.8-2333.7)+(-6.804522+(-1.460844--3.570561))+0-673--1.02969000000004</f>
        <v>2391.8348849999998</v>
      </c>
      <c r="AB31" s="3">
        <f>3474+(1039.6-1487.6)+(-5.31522+(-1.590588--2.276028))+0-608.7--0.931311000000035</f>
        <v>2413.6015309999998</v>
      </c>
      <c r="AC31" s="3">
        <f>3300.1+(1135.9-1326.9)+(-3.366102+(-1.158618--1.353438))+0-623--0.635460000000099</f>
        <v>2483.5641780000001</v>
      </c>
      <c r="AD31" s="2">
        <v>2357.1</v>
      </c>
      <c r="AE31" s="3">
        <f>5052+(895.7-2821.5)+(0+(0-0))+0-769.1-0</f>
        <v>2357.1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3436.8+(995.4-1018.4)+(-1.752768+(-0.507654--0.519384))+0-603.1--0.307580999999939</f>
        <v>2809.2665430000002</v>
      </c>
      <c r="G32" s="3">
        <f>3434.2+(854.4-1185.5)+(-3.502884+(-0.871488--1.20921))+0-624.7--0.6371940000001</f>
        <v>2475.8720320000002</v>
      </c>
      <c r="H32" s="3">
        <f>3323+(817.5-1348.6)+(-3.38946+(-0.83385--1.375572))+0-405.8--0.413916000000065</f>
        <v>2383.6661779999999</v>
      </c>
      <c r="I32" s="3">
        <f>3231.6+(631.7-1166.6)+(0+(0-0))+0-440.4-0</f>
        <v>2256.2999999999997</v>
      </c>
      <c r="J32" s="3">
        <f>3164.3+(702.8-1148.3)+(0+(0-0))+0-502.5-0</f>
        <v>2216.3000000000002</v>
      </c>
      <c r="K32" s="3">
        <f>3191.9+(725.5-1224.5)+(-3.255738+(-0.74001--1.24899))+0-566.3--0.57762600000009</f>
        <v>2124.4308680000004</v>
      </c>
      <c r="L32" s="3">
        <f>2567.2+(857.2-755.6)+(0+(0-0))+0-657.1-0</f>
        <v>2011.6999999999998</v>
      </c>
      <c r="M32" s="3">
        <f>2339+(869.4-725.5)+(0+(0-0))+0-599.5-0</f>
        <v>1883.4</v>
      </c>
      <c r="N32" s="3">
        <f>2489.8+(778.1-738.5)+(2.539596+(0.793662-0.75327))+0-657.8-0.670956000000105</f>
        <v>1873.5090319999999</v>
      </c>
      <c r="O32" s="3">
        <f>2590.9+(756.6-910.7)+(2.642718+(0.771732-0.928914))+0-582.5-0.594150000000093</f>
        <v>1856.1913860000002</v>
      </c>
      <c r="P32" s="3">
        <f>3022.1+(685.5-1229.8)+(0+(0-0))+0-585.4-0</f>
        <v>1892.4</v>
      </c>
      <c r="Q32" s="3">
        <f>3589.2+(476.2-1647.1)+(-5.491476+(-0.728586--2.520063))+0-516.4--0.79009200000003</f>
        <v>1898.9900930000001</v>
      </c>
      <c r="R32" s="3">
        <f>3884.2+(384.6-1732.7)+(0+(0-0))+0-504.3-0</f>
        <v>2031.8</v>
      </c>
      <c r="S32" s="3">
        <f>4023+(349-1566.8)+(-8.20692+(-0.71196--3.196272))+0-650.7--1.32742799999997</f>
        <v>2150.10482</v>
      </c>
      <c r="T32" s="3">
        <f>3961.4+(330.4-1411.7)+(0+(0-0))+0-634.9-0</f>
        <v>2245.1999999999998</v>
      </c>
      <c r="U32" s="3">
        <f>3856.2+(351.7-1289.4)+(-11.799972+(-1.076202--3.945564))+0-658.4--2.01470400000008</f>
        <v>2253.1840940000002</v>
      </c>
      <c r="V32" s="3">
        <f>3830.1+(406.2-1377.1)+(1.953351+(0.207162-0.702321))+0-664.3-0.338792999999933</f>
        <v>2196.0193989999998</v>
      </c>
      <c r="W32" s="3">
        <f>3622+(442-1382.1)+(-1.84722+(-0.22542--0.704871))+0-622--0.317219999999937</f>
        <v>2058.849451</v>
      </c>
      <c r="X32" s="3">
        <f>3509+(516-1420.1)+(0+(0-0))+0-654.8-0</f>
        <v>1950.1000000000001</v>
      </c>
      <c r="Y32" s="3">
        <f>3691.6+(583.4-1722.1)+(0+(0-0))+0-611.8-0</f>
        <v>1941.1000000000001</v>
      </c>
      <c r="Z32" s="3">
        <f>4143+(866.8-2174.6)+(-4.22586+(-0.884136--2.218092))+0-639.8--0.652596000000102</f>
        <v>2193.1606919999995</v>
      </c>
      <c r="AA32" s="3">
        <f>4244.2+(890.3-2198.8)+(-6.493626+(-1.362159--3.364164))+0-671.9--1.02800700000004</f>
        <v>2260.3363859999995</v>
      </c>
      <c r="AB32" s="3">
        <f>4243+(814.7-2120.9)+(-8.65572+(-1.661988--4.326636))+0-635.5--1.29641999999997</f>
        <v>2296.6053480000005</v>
      </c>
      <c r="AC32" s="3">
        <f>4287.7+(633.1-1903.9)+(-2.186727+(-0.322881--0.970989))+0-665.1--0.339200999999933</f>
        <v>2350.6005819999996</v>
      </c>
      <c r="AD32" s="2">
        <v>2292.3999999999996</v>
      </c>
      <c r="AE32" s="3">
        <f>4316+(889.2-2214.6)+(0+(0-0))+0-698.2-0</f>
        <v>2292.4000000000005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3768.9+(507.4-1232.7)+(-3.844278+(-0.517548--1.257354))+0-652--0.665040000000104</f>
        <v>2389.1605680000002</v>
      </c>
      <c r="G33" s="3">
        <f>3449.3+(525.4-1071.4)+(-3.518286+(-0.535908--1.092828))+0-606.6--0.618732000000097</f>
        <v>2294.3573660000002</v>
      </c>
      <c r="H33" s="3">
        <f>2758.2+(704.4-691.7)+(-7.03341+(-1.79622--1.763835))+0-582.5--1.48537499999992</f>
        <v>2182.8195799999994</v>
      </c>
      <c r="I33" s="3">
        <f>2296+(959.3-571)+(2.34192+(0.978486-0.58242))+0-604.3-0.616386000000096</f>
        <v>2082.1215999999999</v>
      </c>
      <c r="J33" s="3">
        <f>2188.1+(1059.5-614.7)+(2.231862+(1.08069-0.626994))+0-624.3-0.6367860000001</f>
        <v>2010.6487719999998</v>
      </c>
      <c r="K33" s="3">
        <f>2179.8+(1029.6-627.8)+(1.111698+(0.525096-0.320178))+0-652.3-0.332672999999934</f>
        <v>1930.2839430000006</v>
      </c>
      <c r="L33" s="3">
        <f>2158.9+(940.5-648.2)+(-1.101039+(-0.479655--0.330582))+0-633.6--0.323135999999936</f>
        <v>1816.6730239999997</v>
      </c>
      <c r="M33" s="3">
        <f>2387.5+(768.2-809.2)+(1.217625+(0.391782-0.412692))+0-642-0.327419999999935</f>
        <v>1705.3692950000002</v>
      </c>
      <c r="N33" s="3">
        <f>3298.8+(629-1680.9)+(0+(0-0))+0-639.3-0</f>
        <v>1607.6000000000001</v>
      </c>
      <c r="O33" s="3">
        <f>3815+(715.3-2152.5)+(1.94565+(0.364803-1.097775))+0-538.2-0.274481999999945</f>
        <v>1840.538196</v>
      </c>
      <c r="P33" s="3">
        <f>4214.6+(670.4-2413.7)+(4.298892+(0.683808-2.461974))+0-577.6-0.589152000000092</f>
        <v>1895.6315740000009</v>
      </c>
      <c r="Q33" s="3">
        <f>4546.3+(603.3-2667.3)+(-2.318613+(-0.307683--1.360323))+0-524--0.267239999999947</f>
        <v>1957.3012670000001</v>
      </c>
      <c r="R33" s="3">
        <f>4558.6+(559-2416.6)+(-9.299544+(-1.14036--4.929864))+0-556--1.13423999999998</f>
        <v>2140.6242000000002</v>
      </c>
      <c r="S33" s="3">
        <f>3928.4+(586.4-1742.5)+(-10.01742+(-1.49532--4.443375))+0-654.7--1.66948499999991</f>
        <v>2112.20012</v>
      </c>
      <c r="T33" s="3">
        <f>3929.3+(520.1-1673.3)+(-4.007886+(-0.530502--1.706766))+0-529.7--0.540294000000085</f>
        <v>2244.1086719999998</v>
      </c>
      <c r="U33" s="3">
        <f>4078.3+(529.1-1756.1)+(4.159866+(0.539682-1.791222))+0-602.7-0.614754000000096</f>
        <v>2250.8935719999999</v>
      </c>
      <c r="V33" s="3">
        <f>3997.3+(592.5-1784)+(-6.115869+(-0.906525--2.72952))+0-634--0.970020000000037</f>
        <v>2168.4771460000002</v>
      </c>
      <c r="W33" s="3">
        <f>3636.8+(878.7-1811.8)+(-1.854768+(-0.448137--0.924018))+0-633.3--0.322982999999936</f>
        <v>2069.3440960000007</v>
      </c>
      <c r="X33" s="3">
        <f>3245.7+(1130.1-1788.6)+(-8.276535+(-2.881755--4.56093))+0-615.1--1.56850499999991</f>
        <v>1967.0711449999997</v>
      </c>
      <c r="Y33" s="3">
        <f>3954.6+(1096.4-2432.8)+(2.016846+(0.559164-1.240728))+0-606-0.309059999999939</f>
        <v>2013.2262219999998</v>
      </c>
      <c r="Z33" s="3">
        <f>4648.1+(912.9-2755.7)+(-9.482124+(-1.862316--5.621628))+0-539.3--1.10017199999998</f>
        <v>2261.3773600000009</v>
      </c>
      <c r="AA33" s="3">
        <f>4811.4+(739.6-2695.4)+(-12.26907+(-1.88598--6.87327))+0-548.7--1.39918499999992</f>
        <v>2301.0174049999991</v>
      </c>
      <c r="AB33" s="3">
        <f>4403.5+(750.7-2180.4)+(-11.228925+(-1.914285--5.56002))+0-594.3--1.51546499999991</f>
        <v>2373.4322750000006</v>
      </c>
      <c r="AC33" s="3">
        <f>4183.5+(783.1-1854.9)+(-6.400755+(-1.198143--2.837997))+0-647.3--0.990369000000037</f>
        <v>2460.6294680000001</v>
      </c>
      <c r="AD33" s="2">
        <v>2231.8999999999996</v>
      </c>
      <c r="AE33" s="3">
        <f>4948+(766.9-2863.5)+(0+(0-0))+0-619.5-0</f>
        <v>2231.9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3541.8+(785.2-1351.8)+(-3.612636+(-0.800904--1.378836))+0-495.7--0.505614000000079</f>
        <v>2476.9709100000005</v>
      </c>
      <c r="G34" s="3">
        <f>3152.8+(867.9-940.9)+(-3.215856+(-0.885258--0.959718))+0-682.5--0.696150000000109</f>
        <v>2394.8547540000004</v>
      </c>
      <c r="H34" s="3">
        <f>2746.3+(994.4-841.9)+(-2.801226+(-1.014288--0.858738))+0-633.7--0.646374000000101</f>
        <v>2262.7895980000003</v>
      </c>
      <c r="I34" s="3">
        <f>2184.2+(1171.9-566.4)+(-1.113942+(-0.597669--0.288864))+0-615.2--0.313751999999938</f>
        <v>2173.3910049999995</v>
      </c>
      <c r="J34" s="3">
        <f>2143.6+(1162.8-598.9)+(-4.372944+(-2.372112--1.221756))+0-625.2--1.27540799999997</f>
        <v>2078.0521080000003</v>
      </c>
      <c r="K34" s="3">
        <f>2198.1+(1024.2-596.7)+(2.242062+(1.044684-0.608634))+0-633.8-0.646476000000101</f>
        <v>1993.8316359999999</v>
      </c>
      <c r="L34" s="3">
        <f>2272+(1012.5-766.2)+(-1.15872+(-0.516375--0.390762))+0-667.2--0.340271999999932</f>
        <v>1850.155939</v>
      </c>
      <c r="M34" s="3">
        <f>2515.2+(822.6-1179.3)+(3.848256+(1.258578-1.804329))+0-440.7-0.674271000000025</f>
        <v>1720.428234</v>
      </c>
      <c r="N34" s="3">
        <f>2571.6+(760-1037.3)+(2.623032+(0.7752-1.058046))+0-546.4-0.557328000000087</f>
        <v>1749.6828579999999</v>
      </c>
      <c r="O34" s="3">
        <f>2914.8+(785.7-1477)+(-1.486548+(-0.400707--0.75327))+0-429--0.218789999999956</f>
        <v>1793.584805</v>
      </c>
      <c r="P34" s="3">
        <f>3567.5+(750.3-1914.6)+(-1.819425+(-0.382653--0.976446))+0-529.3--0.269942999999946</f>
        <v>1872.9443109999997</v>
      </c>
      <c r="Q34" s="3">
        <f>4507.4+(603-2601)+(-6.896322+(-0.92259--3.97953))+0-527.1--0.80646300000003</f>
        <v>1979.2670809999997</v>
      </c>
      <c r="R34" s="3">
        <f>5027.5+(508.1-2889.5)+(0+(0-0))+0-557.9-0</f>
        <v>2088.1999999999998</v>
      </c>
      <c r="S34" s="3">
        <f>4532+(563.1-2269.1)+(-11.5566+(-1.435905--5.786205))+0-554.4--1.41371999999992</f>
        <v>2265.8074200000001</v>
      </c>
      <c r="T34" s="3">
        <f>4713.3+(626.1-2433.1)+(4.807566+(0.638622-2.481762))+0-509.3-0.519486000000081</f>
        <v>2399.4449399999999</v>
      </c>
      <c r="U34" s="3">
        <f>4348.8+(719-2199.7)+(-6.653664+(-1.10007--3.365541))+0-441.4--0.675342000000025</f>
        <v>2422.9871490000005</v>
      </c>
      <c r="V34" s="3">
        <f>4190+(785.3-2113.6)+(-2.1369+(-0.400503--1.077936))+0-508.7--0.259436999999948</f>
        <v>2351.79997</v>
      </c>
      <c r="W34" s="3">
        <f>3953.5+(716.4-1892.8)+(-6.048855+(-1.096092--2.895984))+0-530.9--0.812277000000031</f>
        <v>2242.7633139999998</v>
      </c>
      <c r="X34" s="3">
        <f>3805.5+(839.2-2013.3)+(-1.940805+(-0.427992--1.026783))+0-512.7--0.261476999999948</f>
        <v>2117.619463</v>
      </c>
      <c r="Y34" s="3">
        <f>3887.7+(823-2216.3)+(0+(0-0))+0-440.3-0</f>
        <v>2054.0999999999995</v>
      </c>
      <c r="Z34" s="3">
        <f>5005.7+(574.4-2671.7)+(0+(0-0))+0-551.4-0</f>
        <v>2357</v>
      </c>
      <c r="AA34" s="3">
        <f>4991.3+(457.8-2446.5)+(-10.182252+(-0.933912--4.99086))+0-511.2--1.04284799999998</f>
        <v>2486.3175440000005</v>
      </c>
      <c r="AB34" s="3">
        <f>4846+(522.8-2277.4)+(-4.94292+(-0.533256--2.322948))+0-542.8--0.553656000000087</f>
        <v>2546.0004279999994</v>
      </c>
      <c r="AC34" s="3">
        <f>4558.7+(618.9-2001.5)+(-2.324937+(-0.315639--1.020765))+0-511.5--0.260864999999948</f>
        <v>2663.2410539999996</v>
      </c>
      <c r="AD34" s="2">
        <v>2444.3000000000002</v>
      </c>
      <c r="AE34" s="3">
        <f>5228+(501.1-2697.1)+(0+(0-0))+0-587.7-0</f>
        <v>2444.3000000000002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3880.9+(751.5-1447.5)+(-7.917036+(-1.53306--2.9529))+0-503.6--1.02734399999998</f>
        <v>2675.8301480000005</v>
      </c>
      <c r="G35" s="3">
        <f>3323+(920.5-1107.8)+(-1.69473+(-0.469455--0.564978))+0-556.2--0.283661999999944</f>
        <v>2578.1844549999996</v>
      </c>
      <c r="H35" s="3">
        <f>3015.3+(919.5-930.6)+(-1.537803+(-0.468945--0.474606))+0-553--0.282029999999944</f>
        <v>2449.9498880000001</v>
      </c>
      <c r="I35" s="3">
        <f>2714.9+(1112.5-878.1)+(4.153797+(1.702125-1.343493))+0-610.3-0.933759000000035</f>
        <v>2342.5786700000003</v>
      </c>
      <c r="J35" s="3">
        <f>2502.7+(1059.9-830.9)+(-3.829131+(-1.621647--1.271277))+0-489.6--0.749088000000028</f>
        <v>2238.6695869999999</v>
      </c>
      <c r="K35" s="3">
        <f>2468.3+(1070.3-765.1)+(-1.258833+(-0.545853--0.390201))+0-629.9--0.321248999999936</f>
        <v>2142.5067640000002</v>
      </c>
      <c r="L35" s="3">
        <f>2336.3+(977.3-847.3)+(-4.766052+(-1.993692--1.728492))+0-499.1--1.01816399999998</f>
        <v>1963.1869120000001</v>
      </c>
      <c r="M35" s="3">
        <f>2544.1+(1077.6-1290.8)+(5.189964+(2.198304-2.633232))+0-526.1-1.07324399999998</f>
        <v>1808.4817919999998</v>
      </c>
      <c r="N35" s="3">
        <f>2556.4+(1133-1429.9)+(1.303764+(0.57783-0.729249))+0-432.6-0.220625999999956</f>
        <v>1827.831719</v>
      </c>
      <c r="O35" s="3">
        <f>3153.8+(1066.1-1805.5)+(1.608438+(0.543711-0.920805))+0-525.8-0.268157999999947</f>
        <v>1889.5631860000001</v>
      </c>
      <c r="P35" s="3">
        <f>3552.3+(1068.2-2222.6)+(-1.811673+(-0.544782--1.133526))+0-430.6--0.219605999999956</f>
        <v>1966.2966770000005</v>
      </c>
      <c r="Q35" s="3">
        <f>4014.5+(1025.2-2499.5)+(4.09479+(1.045704-2.54949))+0-464.7-0.473994000000074</f>
        <v>2077.6170099999999</v>
      </c>
      <c r="R35" s="3">
        <f>3856.8+(995.5-2109.7)+(-3.933936+(-1.01541--2.151894))+0-496.5--0.506430000000079</f>
        <v>2243.8089780000005</v>
      </c>
      <c r="S35" s="3">
        <f>3397.5+(928.6-1358.3)+(3.46545+(0.947172-1.385466))+0-479.4-0.488988000000076</f>
        <v>2490.9381680000001</v>
      </c>
      <c r="T35" s="3">
        <f>3630.7+(1135.3-1550.2)+(3.703314+(1.158006-1.581204))+0-544.6-0.555492000000087</f>
        <v>2673.9246239999998</v>
      </c>
      <c r="U35" s="3">
        <f>3489.1+(1076.8-1475.3)+(-1.779441+(-0.549168--0.752403))+0-398.1--0.20303099999996</f>
        <v>2691.1268249999998</v>
      </c>
      <c r="V35" s="3">
        <f>3269.7+(1068-1255.2)+(-6.670188+(-2.17872--2.560608))+0-455.1--0.92840399999998</f>
        <v>2622.0401039999997</v>
      </c>
      <c r="W35" s="3">
        <f>2486.9+(1088.3-637)+(-6.341595+(-2.775165--1.62435))+0-487.9--1.24414499999993</f>
        <v>2444.051735</v>
      </c>
      <c r="X35" s="3">
        <f>2471.3+(963.3-649.1)+(-8.822541+(-3.438981--2.317287))+0-510.9--1.82391300000001</f>
        <v>2266.4796780000001</v>
      </c>
      <c r="Y35" s="3">
        <f>2770.9+(891.7-970.4)+(1.413159+(0.454767-0.494904))+0-532.4-0.271523999999946</f>
        <v>2160.9014980000006</v>
      </c>
      <c r="Z35" s="3">
        <f>4262.9+(877.4-2097.7)+(-2.174079+(-0.447474--1.069827))+0-587.6--0.29967599999994</f>
        <v>2453.7479499999999</v>
      </c>
      <c r="AA35" s="3">
        <f>4190.4+(876.4-1873.7)+(-17.096832+(-3.575712--7.644696))+0-553--2.25623999999995</f>
        <v>2629.3283919999994</v>
      </c>
      <c r="AB35" s="3">
        <f>4050.5+(821.9-1568.4)+(-10.328775+(-2.095845--3.99942))+0-585.8--1.49378999999991</f>
        <v>2711.2685900000001</v>
      </c>
      <c r="AC35" s="3">
        <f>3878.4+(844.2-1309.7)+(-5.933952+(-1.291626--2.003841))+0-572.2--0.875466000000033</f>
        <v>2836.3537289999999</v>
      </c>
      <c r="AD35" s="2">
        <v>2464.5</v>
      </c>
      <c r="AE35" s="3">
        <f>4582+(837.5-2289.4)+(0+(0-0))+0-665.6-0</f>
        <v>2464.5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3169.8+(1222.8-917.7)+(-6.466392+(-2.494512--1.872108))+0-601.3--1.22665199999997</f>
        <v>2867.7378560000002</v>
      </c>
      <c r="G36" s="3">
        <f>2600+(1453.9-707.5)+(-5.304+(-2.965956--1.4433))+0-582.4--1.18809599999997</f>
        <v>2758.3614399999997</v>
      </c>
      <c r="H36" s="3">
        <f>2271.3+(1541.3-568.1)+(-5.791815+(-3.930315--1.448655))+0-617.4--1.57436999999991</f>
        <v>2620.4008949999998</v>
      </c>
      <c r="I36" s="3">
        <f>2364.5+(1350.3-612.4)+(2.41179+(1.377306-0.624648))+0-613.1-0.625362000000098</f>
        <v>2491.839086</v>
      </c>
      <c r="J36" s="3">
        <f>2199.9+(1361.1-578.5)+(-1.121949+(-0.694161--0.295035))+0-599.8--0.305897999999939</f>
        <v>2381.4848230000002</v>
      </c>
      <c r="K36" s="3">
        <f>2387.6+(1197.1-733.5)+(0+(0-0))+0-575.5-0</f>
        <v>2275.6999999999998</v>
      </c>
      <c r="L36" s="3">
        <f>2147.6+(1081.2-545.6)+(-1.095276+(-0.551412--0.278256))+0-620--0.316199999999937</f>
        <v>2062.1477679999994</v>
      </c>
      <c r="M36" s="3">
        <f>2146.7+(948.5-612.4)+(2.189634+(0.96747-0.624648))+0-624.1-0.6365820000001</f>
        <v>1860.5958739999996</v>
      </c>
      <c r="N36" s="3">
        <f>2335.2+(726.9-671.5)+(1.190952+(0.370719-0.342465))+0-527-0.268769999999947</f>
        <v>1864.5504360000002</v>
      </c>
      <c r="O36" s="3">
        <f>2687.5+(564.2-782.3)+(1.370625+(0.287742-0.398973))+0-519.7-0.265046999999947</f>
        <v>1950.6943470000003</v>
      </c>
      <c r="P36" s="3">
        <f>2933.1+(521.6-879.7)+(-4.487643+(-0.798048--1.345941))+0-504.8--0.772344000000029</f>
        <v>2067.0325939999998</v>
      </c>
      <c r="Q36" s="3">
        <f>3052.1+(497.8-892.8)+(-1.556571+(-0.253878--0.455328))+0-500.5--0.255254999999949</f>
        <v>2155.5001339999999</v>
      </c>
      <c r="R36" s="3">
        <f>3221.6+(534.9-901.9)+(-6.572064+(-1.091196--1.839876))+0-555.7--1.13362799999998</f>
        <v>2294.2102440000003</v>
      </c>
      <c r="S36" s="3">
        <f>3224.2+(639.3-682.9)+(-3.288684+(-0.652086--0.696558))+0-587.8--0.599556000000094</f>
        <v>2590.1553439999998</v>
      </c>
      <c r="T36" s="3">
        <f>3559.9+(489-765.8)+(3.631098+(0.49878-0.781116))+0-485-0.494700000000077</f>
        <v>2800.9540620000002</v>
      </c>
      <c r="U36" s="3">
        <f>3334.4+(564.1-599.7)+(-5.101632+(-0.863073--0.917541))+0-476.7--0.729351000000028</f>
        <v>2817.7821870000002</v>
      </c>
      <c r="V36" s="3">
        <f>3355.2+(639-663.5)+(-5.133456+(-0.97767--1.015155))+0-623--0.953190000000036</f>
        <v>2703.5572189999998</v>
      </c>
      <c r="W36" s="3">
        <f>2926.6+(632.4-589.3)+(-8.955396+(-1.935144--1.803258))+0-426.7--1.30570200000005</f>
        <v>2535.2184200000002</v>
      </c>
      <c r="X36" s="3">
        <f>2864+(655.8-615.2)+(-5.84256+(-1.337832--1.255008))+0-586.6--1.19666399999997</f>
        <v>2313.2712799999999</v>
      </c>
      <c r="Y36" s="3">
        <f>2945.2+(757-907.1)+(0+(0-0))+0-604.9-0</f>
        <v>2190.1999999999998</v>
      </c>
      <c r="Z36" s="3">
        <f>3832.5+(729.8-1430.8)+(-5.863725+(-1.116594--2.189124))+0-624.4--0.955332000000036</f>
        <v>2503.2641370000001</v>
      </c>
      <c r="AA36" s="3">
        <f>3952.9+(710.8-1324)+(-8.063916+(-1.450032--2.70096))+0-652.9--1.33191599999997</f>
        <v>2681.3189279999997</v>
      </c>
      <c r="AB36" s="3">
        <f>4106.3+(717.8-1442.9)+(0+(0-0))+0-582.8-0</f>
        <v>2798.3999999999996</v>
      </c>
      <c r="AC36" s="3">
        <f>3837.5+(950.3-1194.1)+(-3.91425+(-0.969306--1.217982))+0-657.1--0.670242000000105</f>
        <v>2933.6046679999999</v>
      </c>
      <c r="AD36" s="2">
        <v>2515.4</v>
      </c>
      <c r="AE36" s="3">
        <f>3948+(719.5-1490.7)+(0+(0-0))+0-661.4-0</f>
        <v>2515.4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3443+(1100.2-914)+(-3.51186+(-1.122204--0.93228))+0-627--0.6395400000001</f>
        <v>2999.1377560000001</v>
      </c>
      <c r="G37" s="3">
        <f>2935.9+(1382.3-703.7)+(-2.994618+(-1.409946--0.717774))+0-668.9--0.682278000000107</f>
        <v>2942.5954879999999</v>
      </c>
      <c r="H37" s="3">
        <f>2335.7+(1610.8-507.9)+(-2.382414+(-1.643016--0.518058))+0-637.3--0.650046000000102</f>
        <v>2798.4426740000004</v>
      </c>
      <c r="I37" s="3">
        <f>1924+(1865.3-467.5)+(0+(0-0))+0-641.6-0</f>
        <v>2680.2000000000003</v>
      </c>
      <c r="J37" s="3">
        <f>1912.7+(1779.5-445.6)+(-1.950954+(-1.81509--0.454512))+0-680.2--0.693804000000109</f>
        <v>2563.7822719999999</v>
      </c>
      <c r="K37" s="3">
        <f>2005.5+(1431.4-441.3)+(-3.068415+(-2.190042--0.675189))+0-542.3--0.829719000000031</f>
        <v>2449.5464510000006</v>
      </c>
      <c r="L37" s="3">
        <f>1871.1+(1440.2-449.3)+(-4.771305+(-3.67251--1.145715))+0-618.7--1.57768499999991</f>
        <v>2237.579585</v>
      </c>
      <c r="M37" s="3">
        <f>1984.3+(1077.8-469.8)+(0+(0-0))+0-550.2-0</f>
        <v>2042.1000000000001</v>
      </c>
      <c r="N37" s="3">
        <f>2373.5+(770.6-582.5)+(0+(0-0))+0-549.8-0</f>
        <v>2011.8</v>
      </c>
      <c r="O37" s="3">
        <f>2394+(765.7-599.4)+(0+(0-0))+0-535.2-0</f>
        <v>2025.1000000000001</v>
      </c>
      <c r="P37" s="3">
        <f>2394.2+(782.1-579.4)+(-4.884168+(-1.595484--1.181976))+0-548.5--1.11893999999998</f>
        <v>2044.2212639999996</v>
      </c>
      <c r="Q37" s="3">
        <f>2810.3+(646.6-739.9)+(1.433253+(0.329766-0.377349))+0-566.8-0.289067999999942</f>
        <v>2151.2966020000003</v>
      </c>
      <c r="R37" s="3">
        <f>2902.4+(859.2-848.6)+(-5.920896+(-1.752768--1.731144))+0-560.5--1.14341999999998</f>
        <v>2347.7008999999998</v>
      </c>
      <c r="S37" s="3">
        <f>2903.2+(851.6-700.7)+(0+(0-0))+0-448.6-0</f>
        <v>2605.5</v>
      </c>
      <c r="T37" s="3">
        <f>3154.3+(954.1-667.9)+(-1.608693+(-0.486591--0.340629))+0-614.2--0.313241999999938</f>
        <v>2824.8585869999993</v>
      </c>
      <c r="U37" s="3">
        <f>2820.3+(998.6-427)+(-5.753412+(-2.037144--0.87108))+0-509.9--1.04019599999998</f>
        <v>2876.1207199999999</v>
      </c>
      <c r="V37" s="3">
        <f>2596.6+(1114.3-289.5)+(-1.324266+(-0.568293--0.147645))+0-633.4--0.323033999999936</f>
        <v>2786.5781199999997</v>
      </c>
      <c r="W37" s="3">
        <f>2273+(1173.4-242.3)+(-4.63692+(-2.393736--0.494292))+0-626.7--1.27846799999997</f>
        <v>2572.142104</v>
      </c>
      <c r="X37" s="3">
        <f>2090.9+(1126.2-255.2)+(-4.265436+(-2.297448--0.520608))+0-621.3--1.26745199999997</f>
        <v>2335.8251760000003</v>
      </c>
      <c r="Y37" s="3">
        <f>2275.2+(922.4-397.3)+(-1.160352+(-0.470424--0.202623))+0-602.3--0.307172999999939</f>
        <v>2196.8790200000003</v>
      </c>
      <c r="Z37" s="3">
        <f>3292.3+(812.9-998.6)+(-5.037219+(-1.243737--1.527858))+0-591.1--0.904383000000034</f>
        <v>2511.6512850000004</v>
      </c>
      <c r="AA37" s="3">
        <f>3476.6+(914.4-1006.7)+(-5.319198+(-1.399032--1.540251))+0-692.5--1.05952500000004</f>
        <v>2687.6815459999998</v>
      </c>
      <c r="AB37" s="3">
        <f>3425.2+(921.5-946.7)+(-1.746852+(-0.469965--0.482817))+0-601.6--0.306815999999939</f>
        <v>2796.972816</v>
      </c>
      <c r="AC37" s="3">
        <f>3020.2+(1269.3-629.9)+(-1.540302+(-0.647343--0.321249))+0-703.3--0.358682999999929</f>
        <v>2954.7922869999998</v>
      </c>
      <c r="AD37" s="2">
        <v>2590.6</v>
      </c>
      <c r="AE37" s="3">
        <f>3407+(912.5-1056.5)+(0+(0-0))+0-672.4-0</f>
        <v>2590.6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2812.8+(1432.5-605.6)+(-1.434528+(-0.730575--0.308856))+0-569.4--0.290393999999942</f>
        <v>3068.7341470000001</v>
      </c>
      <c r="G38" s="3">
        <f>2176.9+(2010.5-486.3)+(-4.440876+(-4.10142--0.992052))+0-683.5--1.39433999999997</f>
        <v>3011.4440960000002</v>
      </c>
      <c r="H38" s="3">
        <f>2034.2+(1973.6-488.2)+(-1.037442+(-1.006536--0.248982))+0-645.8--0.329357999999934</f>
        <v>2872.3343619999996</v>
      </c>
      <c r="I38" s="3">
        <f>1928.9+(1964.5-470.6)+(-0.983739+(-1.001895--0.240006))+0-692.7--0.35327699999993</f>
        <v>2728.7076489999995</v>
      </c>
      <c r="J38" s="3">
        <f>1883.7+(1797.9-460.2)+(-1.921374+(-1.833858--0.469404))+0-607.8--0.619956000000097</f>
        <v>2610.9341280000003</v>
      </c>
      <c r="K38" s="3">
        <f>1906.1+(1695.8-448.2)+(-1.944222+(-1.729716--0.457164))+0-676.8--0.690336000000108</f>
        <v>2474.3735620000002</v>
      </c>
      <c r="L38" s="3">
        <f>1967+(1403.2-479.2)+(-4.01268+(-2.862528--0.977568))+0-636.3--1.29805199999997</f>
        <v>2250.1004119999998</v>
      </c>
      <c r="M38" s="3">
        <f>2146.5+(1220.2-680.9)+(1.094715+(0.622302-0.347259))+0-642.5-0.327674999999935</f>
        <v>2044.342083</v>
      </c>
      <c r="N38" s="3">
        <f>2311.4+(1127.6-805.8)+(1.178814+(0.575076-0.410958))+0-601.9-0.306968999999939</f>
        <v>2032.3359629999998</v>
      </c>
      <c r="O38" s="3">
        <f>2754.1+(1112.2-1195)+(-1.404591+(-0.567222--0.60945))+0-605.1--0.308600999999939</f>
        <v>2065.1462379999998</v>
      </c>
      <c r="P38" s="3">
        <f>2723.3+(1143.1-1188.3)+(2.777766+(1.165962-1.212066))+0-552.4-0.563448000000088</f>
        <v>2127.8682140000005</v>
      </c>
      <c r="Q38" s="3">
        <f>3127.6+(1202.6-1464.2)+(0+(0-0))+0-637.8-0</f>
        <v>2228.1999999999998</v>
      </c>
      <c r="R38" s="3">
        <f>3275.9+(960.4-1317.5)+(-3.341418+(-0.979608--1.34385))+0-505.8--0.515916000000081</f>
        <v>2410.5387400000004</v>
      </c>
      <c r="S38" s="3">
        <f>3230.2+(905.6-915.7)+(-1.647402+(-0.461856--0.467007))+0-546.1--0.278510999999945</f>
        <v>2672.6362599999998</v>
      </c>
      <c r="T38" s="3">
        <f>3197.5+(1107.7-778.8)+(-3.26145+(-1.129854--0.794376))+0-613.4--0.625668000000098</f>
        <v>2910.0287400000002</v>
      </c>
      <c r="U38" s="3">
        <f>3047.2+(1179.9-702.1)+(-4.662216+(-1.805247--1.074213))+0-560.6--0.857718000000032</f>
        <v>2959.8644680000002</v>
      </c>
      <c r="V38" s="3">
        <f>2897.6+(1097.7-559.7)+(0+(0-0))+0-584-0</f>
        <v>2851.6</v>
      </c>
      <c r="W38" s="3">
        <f>2665.9+(1188.2-594.8)+(-1.359609+(-0.605982--0.303348))+0-624.4--0.318443999999937</f>
        <v>2633.5562009999999</v>
      </c>
      <c r="X38" s="3">
        <f>2017.6+(1465.3-515.8)+(-3.086928+(-2.241909--0.789174))+0-582.5--0.891225000000034</f>
        <v>2380.9515619999997</v>
      </c>
      <c r="Y38" s="3">
        <f>2493.4+(1098.4-749.7)+(-1.271634+(-0.560184--0.382347))+0-591.1--0.30146099999994</f>
        <v>2249.8519900000006</v>
      </c>
      <c r="Z38" s="3">
        <f>3649.6+(945.4-1469.4)+(-3.722592+(-0.964308--1.498788))+0-552.4--0.563448000000088</f>
        <v>2570.5753359999999</v>
      </c>
      <c r="AA38" s="3">
        <f>3605.4+(909.4-1161.4)+(-5.516262+(-1.391382--1.776942))+0-565.7--0.865521000000033</f>
        <v>2783.4348190000005</v>
      </c>
      <c r="AB38" s="3">
        <f>3557.6+(930.2-1066.8)+(-3.628752+(-0.948804--1.088136))+0-545.5--0.556410000000087</f>
        <v>2872.5669900000003</v>
      </c>
      <c r="AC38" s="3">
        <f>3655.1+(1011.9-1037.1)+(5.592303+(1.548207-1.586763))+0-626.8-0.959004000000036</f>
        <v>3007.6947430000005</v>
      </c>
      <c r="AD38" s="2">
        <v>2619.4000000000005</v>
      </c>
      <c r="AE38" s="3">
        <f>3977+(817.6-1630)+(0+(0-0))+0-545.2-0</f>
        <v>2619.3999999999996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3258.8+(1201.1-726.5)+(0+(0-0))+0-622.1-0</f>
        <v>3111.3</v>
      </c>
      <c r="G39" s="3">
        <f>2757.9+(1518.5-616.5)+(-1.406529+(-0.774435--0.314415))+0-568.2--0.289781999999942</f>
        <v>3090.1232330000003</v>
      </c>
      <c r="H39" s="3">
        <f>2471.3+(1669.1-551)+(3.781089+(2.553723-0.84303))+0-622.3-0.952119000000036</f>
        <v>2971.6396630000004</v>
      </c>
      <c r="I39" s="3">
        <f>2241.3+(1713.7-502.9)+(-4.572252+(-3.495948--1.025916))+0-614.1--1.25276399999997</f>
        <v>2832.2104800000002</v>
      </c>
      <c r="J39" s="3">
        <f>2239.9+(1666.3-530.3)+(-3.427047+(-2.549439--0.811359))+0-658.4--1.00735200000004</f>
        <v>2713.3422249999999</v>
      </c>
      <c r="K39" s="3">
        <f>2512.2+(1359.1-624.1)+(-2.562444+(-1.386282--0.636582))+0-664.7--0.677994000000106</f>
        <v>2579.8658499999997</v>
      </c>
      <c r="L39" s="3">
        <f>2178.9+(1355-505.9)+(-7.778673+(-4.83735--1.806063))+0-638.7--2.28015900000001</f>
        <v>2380.7701989999996</v>
      </c>
      <c r="M39" s="3">
        <f>2371.6+(1092.4-669.1)+(1.209516+(0.557124-0.341241))+0-597.5-0.304724999999939</f>
        <v>2198.5206740000003</v>
      </c>
      <c r="N39" s="3">
        <f>2757.2+(908.8-890.1)+(1.406172+(0.463488-0.453951))+0-623.5-0.317984999999937</f>
        <v>2153.4977239999994</v>
      </c>
      <c r="O39" s="3">
        <f>2962.3+(900.9-1190.5)+(-3.021546+(-0.918918--1.21431))+0-530.5--0.541110000000085</f>
        <v>2140.0149560000004</v>
      </c>
      <c r="P39" s="3">
        <f>2802.6+(902.6-1044.2)+(-4.287978+(-1.380978--1.597626))+0-512.6--0.78427800000003</f>
        <v>2145.112948</v>
      </c>
      <c r="Q39" s="3">
        <f>2594.2+(1057.9-851)+(-5.292168+(-2.158116--1.73604))+0-624.4--1.27377599999997</f>
        <v>2172.259532</v>
      </c>
      <c r="R39" s="3">
        <f>2799+(1106-864.9)+(0+(0-0))+0-646-0</f>
        <v>2394.1</v>
      </c>
      <c r="S39" s="3">
        <f>2727+(1311.1-752.7)+(-4.17231+(-2.005983--1.151631))+0-616.4--0.943092000000036</f>
        <v>2664.9164299999993</v>
      </c>
      <c r="T39" s="3">
        <f>2886.2+(1396.6-747)+(-1.471962+(-0.712266--0.38097))+0-677.1--0.345320999999931</f>
        <v>2857.2420629999997</v>
      </c>
      <c r="U39" s="3">
        <f>2717.6+(1411.8-662)+(-2.771952+(-1.440036--0.67524))+0-529.1--0.539682000000084</f>
        <v>2935.3029339999998</v>
      </c>
      <c r="V39" s="3">
        <f>2698.1+(1469.5-673.6)+(-2.752062+(-1.49889--0.687072))+0-649.9--0.662898000000104</f>
        <v>2841.1990179999998</v>
      </c>
      <c r="W39" s="3">
        <f>2544.6+(1318.6-657.8)+(-3.893238+(-2.017458--1.006434))+0-589.3--0.901629000000034</f>
        <v>2612.0973669999994</v>
      </c>
      <c r="X39" s="3">
        <f>2431.4+(1210.1-599)+(-3.720042+(-1.851453--0.91647))+0-667.3--1.02096900000004</f>
        <v>2371.5659439999999</v>
      </c>
      <c r="Y39" s="3">
        <f>2623.9+(1019.6-798.4)+(-2.676378+(-1.039992--0.814368))+0-599.2--0.611184000000096</f>
        <v>2243.6091820000011</v>
      </c>
      <c r="Z39" s="3">
        <f>3521.1+(970.5-1287.8)+(-1.795761+(-0.494955--0.656778))+0-608.3--0.310232999999938</f>
        <v>2594.1762950000002</v>
      </c>
      <c r="AA39" s="3">
        <f>3742.2+(1026.1-1365)+(-3.817044+(-1.046622--1.3923))+0-596--0.607920000000095</f>
        <v>2804.4365539999994</v>
      </c>
      <c r="AB39" s="3">
        <f>3688.9+(890.2-997.5)+(1.881339+(0.454002-0.508725))+0-604.8-0.308447999999939</f>
        <v>2978.3181680000007</v>
      </c>
      <c r="AC39" s="3">
        <f>3446.9+(1096.6-793.2)+(-5.273757+(-1.677798--1.213596))+0-581.9--0.890307000000034</f>
        <v>3163.5523480000002</v>
      </c>
      <c r="AD39" s="2">
        <v>2777</v>
      </c>
      <c r="AE39" s="3">
        <f>3821+(1039.8-1356.4)+(0+(0-0))+0-727.4-0</f>
        <v>2776.9999999999995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2493.1+(1911.1-503.9)+(-1.271481+(-0.974661--0.256989))+0-621.2--0.316811999999937</f>
        <v>3277.4276589999999</v>
      </c>
      <c r="G40" s="3">
        <f>2281.1+(2139.4-517.9)+(-3.490083+(-3.273282--0.792387))+0-675.8--1.03397400000004</f>
        <v>3221.8629959999998</v>
      </c>
      <c r="H40" s="3">
        <f>1980.9+(2260.7-497)+(2.020518+(2.305914-0.50694))+0-643.9-0.656778000000103</f>
        <v>3103.8627139999999</v>
      </c>
      <c r="I40" s="3">
        <f>2220.4+(1928.8-521.4)+(1.132404+(0.983688-0.265914))+0-639.7-0.326246999999935</f>
        <v>2989.6239310000001</v>
      </c>
      <c r="J40" s="3">
        <f>2033.6+(1968.8-514.5)+(0+(0-0))+0-605.6-0</f>
        <v>2882.2999999999997</v>
      </c>
      <c r="K40" s="3">
        <f>1988.7+(1880.4-500.4)+(-3.042711+(-2.877012--0.765612))+0-606.8--0.928404000000035</f>
        <v>2757.674293</v>
      </c>
      <c r="L40" s="3">
        <f>2116+(1576.8-503.2)+(-1.07916+(-0.804168--0.256632))+0-684.9--0.349298999999931</f>
        <v>2503.422603</v>
      </c>
      <c r="M40" s="3">
        <f>2170.2+(1285.1-628.3)+(1.106802+(0.655401-0.320433))+0-576.8-0.294167999999941</f>
        <v>2251.3476020000003</v>
      </c>
      <c r="N40" s="3">
        <f>2308.6+(1332.8-827.7)+(1.177386+(0.679728-0.422127))+0-527.9-0.269228999999946</f>
        <v>2286.9657579999998</v>
      </c>
      <c r="O40" s="3">
        <f>2628.9+(1293.7-1006.9)+(0+(0-0))+0-585.9-0</f>
        <v>2329.8000000000002</v>
      </c>
      <c r="P40" s="3">
        <f>3154.5+(1187.3-1401.6)+(0+(0-0))+0-557.2-0</f>
        <v>2383</v>
      </c>
      <c r="Q40" s="3">
        <f>3571.7+(1114.3-1648.1)+(-5.464701+(-1.704879--2.521593))+0-552.8--0.845784000000032</f>
        <v>2481.2977970000002</v>
      </c>
      <c r="R40" s="3">
        <f>3443.2+(1198.3-1350.9)+(-7.024128+(-2.444532--2.755836))+0-529.3--1.07977199999998</f>
        <v>2755.6669479999991</v>
      </c>
      <c r="S40" s="3">
        <f>3275.6+(1226.2-817)+(-3.341112+(-1.250724--0.83334))+0-530.7--0.541314000000085</f>
        <v>3150.882818</v>
      </c>
      <c r="T40" s="3">
        <f>3537.7+(1217.7-834)+(0+(0-0))+0-532-0</f>
        <v>3389.3999999999996</v>
      </c>
      <c r="U40" s="3">
        <f>3667.9+(1173.6-855.6)+(-3.741258+(-1.197072--0.872712))+0-535.5--0.546210000000085</f>
        <v>3446.880592</v>
      </c>
      <c r="V40" s="3">
        <f>3409.7+(1096.6-737.3)+(-3.477894+(-1.118532--0.752046))+0-451.9--0.460938000000072</f>
        <v>3313.7165580000001</v>
      </c>
      <c r="W40" s="3">
        <f>3062.3+(1164.9-592.7)+(-3.123546+(-1.188198--0.604554))+0-615.2--0.627504000000098</f>
        <v>3016.2203140000001</v>
      </c>
      <c r="X40" s="3">
        <f>2804.3+(1130.9-653.1)+(-4.290579+(-1.730277--0.999243))+0-586.5--0.897345000000034</f>
        <v>2691.4757320000003</v>
      </c>
      <c r="Y40" s="3">
        <f>3239.1+(936.2-994.3)+(-4.955823+(-1.432386--1.521279))+0-643.4--0.984402000000037</f>
        <v>2533.7174719999998</v>
      </c>
      <c r="Z40" s="3">
        <f>3977.6+(951.8-1421.6)+(-8.114304+(-1.941672--2.900064))+0-622.7--1.27030799999997</f>
        <v>2879.2143960000003</v>
      </c>
      <c r="AA40" s="3">
        <f>3974.7+(979.2-1135.9)+(-4.054194+(-0.998784--1.158618))+0-663.7--0.676974000000106</f>
        <v>3151.0826139999999</v>
      </c>
      <c r="AB40" s="3">
        <f>3325.1+(1198.9-632.3)+(-5.087403+(-1.834317--0.967419))+0-572.4--0.875772000000033</f>
        <v>3314.2214709999994</v>
      </c>
      <c r="AC40" s="3">
        <f>2781.6+(1890.6-526.1)+(-5.674464+(-3.856824--1.073244))+0-650.4--1.32681599999997</f>
        <v>3488.5687720000001</v>
      </c>
      <c r="AD40" s="2">
        <v>3018.2000000000003</v>
      </c>
      <c r="AE40" s="3">
        <f>4243+(1025.6-1524)+(0+(0-0))+0-726.4-0</f>
        <v>3018.2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2643.4+(2143.3-511.7)+(-4.044402+(-3.279249--0.782901))+0-670.1--1.02525300000004</f>
        <v>3599.3845030000002</v>
      </c>
      <c r="G41" s="3">
        <f>2431.8+(2256-522)+(-3.720654+(-3.45168--0.79866))+0-654.3--1.00107900000004</f>
        <v>3506.1274049999997</v>
      </c>
      <c r="H41" s="3">
        <f>2165+(2402-530.3)+(1.10415+(1.22502-0.270453))+0-647-0.329969999999934</f>
        <v>3391.4287469999999</v>
      </c>
      <c r="I41" s="3">
        <f>2192.7+(2182.7-537.9)+(2.236554+(2.226354-0.548658))+0-564.3-0.57558600000009</f>
        <v>3276.5386639999997</v>
      </c>
      <c r="J41" s="3">
        <f>2225.1+(2181.5-528.3)+(-1.134801+(-1.112565--0.269433))+0-704.7--0.359396999999929</f>
        <v>3171.981464</v>
      </c>
      <c r="K41" s="3">
        <f>2130.6+(2084.4-532.4)+(-4.346424+(-4.252176--1.086096))+0-630.7--1.28662799999997</f>
        <v>3045.6741240000001</v>
      </c>
      <c r="L41" s="3">
        <f>2069.8+(1867-537.7)+(-3.166794+(-2.85651--0.822681))+0-658.2--1.00704600000004</f>
        <v>2736.7064230000001</v>
      </c>
      <c r="M41" s="3">
        <f>2355.2+(1335-607.1)+(0+(0-0))+0-625.9-0</f>
        <v>2457.1999999999998</v>
      </c>
      <c r="N41" s="3">
        <f>2383.5+(1351.3-651.4)+(1.215585+(0.689163-0.332214))+0-623.2-0.317831999999937</f>
        <v>2461.454702</v>
      </c>
      <c r="O41" s="3">
        <f>2692.7+(1221.3-837.3)+(1.373277+(0.622863-0.427023))+0-589.7-0.30074699999994</f>
        <v>2488.2683700000002</v>
      </c>
      <c r="P41" s="3">
        <f>2912.3+(1054.9-817.7)+(-1.485273+(-0.537999--0.417027))+0-596--0.30395999999994</f>
        <v>2552.1977149999998</v>
      </c>
      <c r="Q41" s="3">
        <f>2951.4+(1048.5-711)+(-4.515642+(-1.604205--1.08783))+0-563.6--0.862308000000033</f>
        <v>2721.1302910000004</v>
      </c>
      <c r="R41" s="3">
        <f>2954.5+(1276-640.4)+(-3.01359+(-1.30152--0.653208))+0-528.7--0.539274000000084</f>
        <v>3058.277372</v>
      </c>
      <c r="S41" s="3">
        <f>3245.6+(1524.6-577.6)+(-6.621024+(-3.110184--1.178304))+0-673.6--1.37414399999997</f>
        <v>3511.8212399999993</v>
      </c>
      <c r="T41" s="3">
        <f>3366.3+(1576-668.3)+(-1.716813+(-0.80376--0.340833))+0-504.9--0.257498999999949</f>
        <v>3767.1777590000002</v>
      </c>
      <c r="U41" s="3">
        <f>3009+(1862.2-550.3)+(-6.13836+(-3.798888--1.122612))+0-541.1--1.10384399999998</f>
        <v>3772.0892079999994</v>
      </c>
      <c r="V41" s="3">
        <f>3153.2+(1727.5-644.2)+(-3.216264+(-1.76205--0.657084))+0-620.6--0.633012000000099</f>
        <v>3612.2117820000008</v>
      </c>
      <c r="W41" s="3">
        <f>2251+(2033.4-510.5)+(-5.74005+(-5.18517--1.301775))+0-441.4--1.12556999999994</f>
        <v>3324.002125</v>
      </c>
      <c r="X41" s="3">
        <f>2181.8+(1974.2-551.7)+(-10.014462+(-9.061578--2.532303))+0-620.3--2.84717700000011</f>
        <v>2970.3034400000001</v>
      </c>
      <c r="Y41" s="3">
        <f>2373+(1470.5-540.4)+(0+(0-0))+0-575.5-0</f>
        <v>2727.6</v>
      </c>
      <c r="Z41" s="3">
        <f>2848.2+(1527.9-675.2)+(-1.452582+(-0.779229--0.344352))+0-625.7--0.319106999999937</f>
        <v>3073.6316479999991</v>
      </c>
      <c r="AA41" s="3">
        <f>2880.1+(1736.3-595.9)+(-8.813106+(-5.313078--1.823454))+0-602.9--1.84487400000007</f>
        <v>3407.1421439999999</v>
      </c>
      <c r="AB41" s="3">
        <f>2850.5+(1858.6-556.3)+(0+(0-0))+0-609.8-0</f>
        <v>3543</v>
      </c>
      <c r="AC41" s="3">
        <f>2625.8+(2182.6-517.4)+(0+(0-0))+0-590.8-0</f>
        <v>3700.2</v>
      </c>
      <c r="AD41" s="2">
        <v>3309.6</v>
      </c>
      <c r="AE41" s="3">
        <f>3195+(1476.5-764)+(0+(0-0))+0-597.9-0</f>
        <v>3309.6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2352.7+(2576.5-532.2)+(-2.399754+(-2.62803--0.542844))+0-638.4--0.651168000000102</f>
        <v>3754.766228</v>
      </c>
      <c r="G42" s="3">
        <f>1959.7+(2939.7-537.1)+(-1.998894+(-2.998494--0.547842))+0-676.6--0.690132000000108</f>
        <v>3681.9405860000006</v>
      </c>
      <c r="H42" s="3">
        <f>1998.6+(2758.8-543)+(0+(0-0))+0-659.1-0</f>
        <v>3555.2999999999997</v>
      </c>
      <c r="I42" s="3">
        <f>2049.2+(2652.9-555.6)+(2.090184+(2.705958-0.566712))+0-692.4-0.70624800000011</f>
        <v>3457.6231820000003</v>
      </c>
      <c r="J42" s="3">
        <f>2022.7+(2473.2-556.5)+(-2.063154+(-2.522664--0.56763))+0-584.4--0.596088000000093</f>
        <v>3351.5778999999998</v>
      </c>
      <c r="K42" s="3">
        <f>2162.2+(2314.7-550.4)+(-1.102722+(-1.180497--0.280704))+0-686.2--0.34996199999993</f>
        <v>3238.6474469999989</v>
      </c>
      <c r="L42" s="3">
        <f>1960.3+(2169.6-551.1)+(-4.998765+(-5.53248--1.405305))+0-628.7--1.60318499999991</f>
        <v>2942.5772450000004</v>
      </c>
      <c r="M42" s="3">
        <f>2216.3+(1644.5-542)+(3.390939+(2.516085-0.82926))+0-665.5-1.01821500000004</f>
        <v>2657.3595490000002</v>
      </c>
      <c r="N42" s="3">
        <f>2344.8+(1407.5-572)+(0+(0-0))+0-571.6-0</f>
        <v>2608.7000000000003</v>
      </c>
      <c r="O42" s="3">
        <f>2208.2+(1486.8-494.4)+(1.126182+(0.758268-0.252144))+0-625-0.318749999999937</f>
        <v>2576.913556</v>
      </c>
      <c r="P42" s="3">
        <f>2283.9+(1355.2-454.9)+(-1.164789+(-0.691152--0.231999))+0-599.6--0.305795999999939</f>
        <v>2583.2818540000003</v>
      </c>
      <c r="Q42" s="3">
        <f>2767+(1047.4-551.4)+(-7.05585+(-2.67087--1.40607))+0-605.5--1.54402499999991</f>
        <v>2650.7233749999996</v>
      </c>
      <c r="R42" s="3">
        <f>3247.6+(829-522.7)+(-6.625104+(-1.69116--1.066308))+0-688.2--1.40392799999997</f>
        <v>2859.8539719999994</v>
      </c>
      <c r="S42" s="3">
        <f>3079.7+(900.7-375.4)+(-4.711941+(-1.378071--0.574362))+0-468.8--0.717264000000027</f>
        <v>3131.4016139999999</v>
      </c>
      <c r="T42" s="3">
        <f>3686.9+(949.3-682.5)+(5.640957+(1.452429-1.044225))+0-652.6-0.998478000000038</f>
        <v>3306.1506829999998</v>
      </c>
      <c r="U42" s="3">
        <f>3574.1+(1041-681.5)+(-9.113955+(-2.65455--1.737825))+0-626.1--1.59655499999991</f>
        <v>3299.0658750000002</v>
      </c>
      <c r="V42" s="3">
        <f>2897.6+(1393.3-549.3)+(-2.955552+(-1.421166--0.560286))+0-536.1--0.546822000000086</f>
        <v>3202.2303900000002</v>
      </c>
      <c r="W42" s="3">
        <f>2530+(1602.8-452.6)+(-6.4515+(-4.08714--1.15413))+0-691.9--1.7643449999999</f>
        <v>2980.6798349999999</v>
      </c>
      <c r="X42" s="3">
        <f>2530+(1602.8-475.8)+(-6.4515+(-4.08714--1.21329))+0-691.9--1.7643449999999</f>
        <v>2957.5389949999999</v>
      </c>
      <c r="Y42" s="3">
        <f>2507+(1208.3-490.7)+(-6.39285+(-3.081165--1.251285))+0-531.9--1.35634499999992</f>
        <v>2685.833615</v>
      </c>
      <c r="Z42" s="3">
        <f>2793.1+(1272.1-591.5)+(-4.273443+(-1.946313--0.904995))+0-626.7--0.958851000000036</f>
        <v>2842.6440899999993</v>
      </c>
      <c r="AA42" s="3">
        <f>3007+(1169.4-521.7)+(-4.60071+(-1.789182--0.798201))+0-631.7--0.966501000000037</f>
        <v>3018.3748099999993</v>
      </c>
      <c r="AB42" s="3">
        <f>3581.2+(794.1-583.3)+(5.479236+(1.214973-0.892449))+0-655.7-1.00322100000004</f>
        <v>3141.0985389999996</v>
      </c>
      <c r="AC42" s="3">
        <f>3486.7+(1114.7-579.6)+(-8.891085+(-2.842485--1.47798))+0-660.7--1.6847849999999</f>
        <v>3352.5291949999996</v>
      </c>
      <c r="AD42" s="2">
        <v>2974.8</v>
      </c>
      <c r="AE42" s="3">
        <f>3021+(1334.8-603.3)+(0+(0-0))+0-777.7-0</f>
        <v>2974.8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3062.6+(1488.1-502.3)+(-4.685778+(-2.276793--0.768519))+0-572.8--0.876384000000033</f>
        <v>3470.2823319999998</v>
      </c>
      <c r="G43" s="3">
        <f>2349+(2132.7-493)+(-4.79196+(-4.350708--1.00572))+0-566--1.15463999999998</f>
        <v>3415.7176920000002</v>
      </c>
      <c r="H43" s="3">
        <f>2298.6+(2206.8-480.1)+(-3.516858+(-3.376404--0.734553))+0-711.1--1.08798300000004</f>
        <v>3309.1292740000004</v>
      </c>
      <c r="I43" s="3">
        <f>2089.6+(2175.6-483.8)+(-5.32848+(-5.54778--1.23369))+0-663--1.6906499999999</f>
        <v>3110.4480799999997</v>
      </c>
      <c r="J43" s="3">
        <f>2447.3+(1645.4-491.3)+(1.248123+(0.839154-0.250563))+0-641.2-0.327011999999935</f>
        <v>2961.709702000001</v>
      </c>
      <c r="K43" s="3">
        <f>2365.3+(1651.3-500.2)+(-4.825212+(-3.368652--1.020408))+0-640.2--1.30600799999997</f>
        <v>2870.3325520000003</v>
      </c>
      <c r="L43" s="3">
        <f>2286+(1306.3-457.7)+(2.33172+(1.332426-0.466854))+0-631.8-0.644436000000101</f>
        <v>2505.352856</v>
      </c>
      <c r="M43" s="3">
        <f>2278+(1130.9-503.8)+(0+(0-0))+0-643.8-0</f>
        <v>2261.3000000000002</v>
      </c>
      <c r="N43" s="3">
        <f>2346.1+(1112.8-546)+(2.393022+(1.135056-0.55692))+0-548.3-0.559266000000087</f>
        <v>2367.0118919999995</v>
      </c>
      <c r="O43" s="3">
        <f>2222.4+(1314.3-546.9)+(0+(0-0))+0-601-0</f>
        <v>2388.8000000000002</v>
      </c>
      <c r="P43" s="3">
        <f>2469+(1022.1-566.7)+(-1.25919+(-0.521271--0.289017))+0-472.5--0.240974999999952</f>
        <v>2450.6495310000005</v>
      </c>
      <c r="Q43" s="3">
        <f>3221.4+(663.5-647.7)+(1.642914+(0.338385-0.330327))+0-600.1-0.306050999999939</f>
        <v>2638.4449209999998</v>
      </c>
      <c r="R43" s="3">
        <f>3286.9+(809.1-597)+(-6.705276+(-1.650564--1.21788))+0-528.6--1.07834399999998</f>
        <v>2964.3403840000001</v>
      </c>
      <c r="S43" s="3">
        <f>3620.6+(1033.6-617.7)+(-3.693012+(-1.054272--0.630054))+0-595.2--0.607104000000095</f>
        <v>3437.7898740000005</v>
      </c>
      <c r="T43" s="3">
        <f>3738.5+(1197.7-684.3)+(-3.81327+(-1.221654--0.697986))+0-529.8--0.540396000000084</f>
        <v>3718.303457999999</v>
      </c>
      <c r="U43" s="3">
        <f>3319.8+(1521.1-508.3)+(-10.158588+(-4.654566--1.555398))+0-568.6--1.73991600000007</f>
        <v>3752.4821600000005</v>
      </c>
      <c r="V43" s="3">
        <f>3190.1+(1537.5-471.2)+(-6.507804+(-3.1365--0.961248))+0-635.5--1.29641999999997</f>
        <v>3613.5133639999999</v>
      </c>
      <c r="W43" s="3">
        <f>2831.7+(1481.6-485.4)+(-4.332501+(-2.266848--0.742662))+0-508.2--0.777546000000029</f>
        <v>3314.6208589999997</v>
      </c>
      <c r="X43" s="3">
        <f>2448.7+(1509.3-506.2)+(-4.995348+(-3.078972--1.032648))+0-559.8--1.14199199999998</f>
        <v>2886.1003199999996</v>
      </c>
      <c r="Y43" s="3">
        <f>2492.5+(1303.3-511.9)+(-1.271175+(-0.664683--0.261069))+0-623--0.317729999999937</f>
        <v>2659.5429409999997</v>
      </c>
      <c r="Z43" s="3">
        <f>2776.7+(1425.4-493.6)+(-2.832234+(-1.453908--0.503472))+0-671.4--0.684828000000107</f>
        <v>3034.0021579999998</v>
      </c>
      <c r="AA43" s="3">
        <f>2709.1+(1822-523.8)+(-5.526564+(-3.71688--1.068552))+0-665.4--1.35741599999997</f>
        <v>3335.0825239999999</v>
      </c>
      <c r="AB43" s="3">
        <f>2621.9+(2062.7-508.3)+(-4.011507+(-3.155931--0.777699))+0-617.8--0.945234000000036</f>
        <v>3553.0554950000001</v>
      </c>
      <c r="AC43" s="3">
        <f>2703.9+(2177.3-511.1)+(-6.894945+(-5.552115--1.303305))+0-610.3--1.55626499999991</f>
        <v>3750.2125099999998</v>
      </c>
      <c r="AD43" s="2">
        <v>3339.8</v>
      </c>
      <c r="AE43" s="3">
        <f>2721+(1767.6-496.1)+(0+(0-0))+0-652.7-0</f>
        <v>3339.8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2674.2+(2241.9-506.3)+(-2.727684+(-2.286738--0.516426))+0-586.6--0.598332000000094</f>
        <v>3819.3003360000002</v>
      </c>
      <c r="G44" s="3">
        <f>2389.4+(2472.6-497)+(0+(0-0))+0-650.5-0</f>
        <v>3714.5</v>
      </c>
      <c r="H44" s="3">
        <f>2199.4+(2541.8-522.4)+(-5.60847+(-6.48159--1.33212))+0-630.9--1.60879499999991</f>
        <v>3578.7508549999998</v>
      </c>
      <c r="I44" s="3">
        <f>2110.2+(2505.2-538.5)+(0+(0-0))+0-611.2-0</f>
        <v>3465.7</v>
      </c>
      <c r="J44" s="3">
        <f>2074.3+(2496-523.5)+(-4.231572+(-5.09184--1.06794))+0-675.7--1.37842799999997</f>
        <v>3364.2229560000005</v>
      </c>
      <c r="K44" s="3">
        <f>2083.4+(2351.4-525.3)+(-5.31267+(-5.99607--1.339515))+0-683.7--1.7434349999999</f>
        <v>3217.5742100000002</v>
      </c>
      <c r="L44" s="3">
        <f>2083.4+(2283.2-517.3)+(-5.31267+(-5.82216--1.319115))+0-683.7--1.7434349999999</f>
        <v>3157.5277199999996</v>
      </c>
      <c r="M44" s="3">
        <f>2066.3+(1917.1-518.4)+(-7.376691+(-6.844047--1.850688))+0-575.4--2.05417800000001</f>
        <v>2879.2841279999998</v>
      </c>
      <c r="N44" s="3">
        <f>2172.4+(1484.3-522.9)+(1.107924+(0.756993-0.266679))+0-607.3-0.309722999999938</f>
        <v>2527.7885150000006</v>
      </c>
      <c r="O44" s="3">
        <f>2337.5+(1296.6-505.4)+(1.192125+(0.661266-0.257754))+0-499.5-0.254744999999949</f>
        <v>2630.540892</v>
      </c>
      <c r="P44" s="3">
        <f>2401.1+(1069.9-240.9)+(0+(0-0))+0-497-0</f>
        <v>2733.1</v>
      </c>
      <c r="Q44" s="3">
        <f>2928.5+(833.9-362.6)+(1.493535+(0.425289-0.184926))+0-555.6-0.283355999999944</f>
        <v>2845.6505420000003</v>
      </c>
      <c r="R44" s="3">
        <f>3054.6+(1034.3-358.4)+(-4.673538+(-1.582479--0.548352))+0-480.2--0.734706000000028</f>
        <v>3245.3270410000005</v>
      </c>
      <c r="S44" s="3">
        <f>3119+(1419.4-245.4)+(0+(0-0))+0-524.2-0</f>
        <v>3768.8</v>
      </c>
      <c r="T44" s="3">
        <f>3676.4+(1336.6-318)+(-7.499856+(-2.726664--0.64872))+0-606.7--1.23766799999997</f>
        <v>4079.9598679999999</v>
      </c>
      <c r="U44" s="3">
        <f>3525.6+(1425.8-500)+(-7.192224+(-2.908632--1.02))+0-605--1.23419999999997</f>
        <v>3838.5533439999999</v>
      </c>
      <c r="V44" s="3">
        <f>3598.8+(1438.2-592.4)+(-7.341552+(-2.933928--1.208496))+0-622.3--1.26949199999997</f>
        <v>3814.502508</v>
      </c>
      <c r="W44" s="3">
        <f>3043.4+(1559.3-531.2)+(-12.417072+(-6.361944--2.167296))+0-559.5--2.28275999999995</f>
        <v>3497.6710400000002</v>
      </c>
      <c r="X44" s="3">
        <f>2525.6+(1762.9-554.1)+(-11.592504+(-8.091711--2.543319))+0-617.6--2.83478400000011</f>
        <v>3102.4938880000004</v>
      </c>
      <c r="Y44" s="3">
        <f>2798.2+(1345.2-546.2)+(0+(0-0))+0-622.7-0</f>
        <v>2974.5</v>
      </c>
      <c r="Z44" s="3">
        <f>3750.3+(1038.6-717.4)+(3.825306+(1.059372-0.731748))+0-685-0.698700000000109</f>
        <v>3389.9542300000003</v>
      </c>
      <c r="AA44" s="3">
        <f>3640.6+(1190.4-559.5)+(-12.996942+(-4.249728--1.997415))+0-589.2--2.10344400000001</f>
        <v>3669.1541890000003</v>
      </c>
      <c r="AB44" s="3">
        <f>3751.6+(1229.2-538.2)+(-3.826632+(-1.253784--0.548964))+0-579.3--0.590886000000092</f>
        <v>3859.359434</v>
      </c>
      <c r="AC44" s="3">
        <f>3946.1+(1315.3-566.6)+(-8.050044+(-2.683212--1.155864))+0-649.7--1.32538799999997</f>
        <v>4036.847996</v>
      </c>
      <c r="AD44" s="2">
        <v>3632</v>
      </c>
      <c r="AE44" s="3">
        <f>4043+(1073-723)+(0+(0-0))+0-761-0</f>
        <v>3632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3664+(1631.6-551.8)+(-1.86864+(-0.832116--0.281418))+0-604.1--0.308090999999939</f>
        <v>4137.588753</v>
      </c>
      <c r="G45" s="3">
        <f>3486.8+(1771.8-529.2)+(-3.556536+(-1.807236--0.539784))+0-637.6--0.650352000000102</f>
        <v>4087.6263639999997</v>
      </c>
      <c r="H45" s="3">
        <f>3173.9+(1979.5-479.3)+(-8.093445+(-5.047725--1.222215))+0-665.4--1.6967699999999</f>
        <v>3998.4778150000002</v>
      </c>
      <c r="I45" s="3">
        <f>3134.2+(1826.7-465.4)+(-1.598442+(-0.931617--0.237354))+0-664.4--0.338843999999933</f>
        <v>3829.1461389999999</v>
      </c>
      <c r="J45" s="3">
        <f>2862+(1973.6-508)+(-2.91924+(-2.013072--0.51816))+0-657.8--0.670956000000105</f>
        <v>3666.0568039999998</v>
      </c>
      <c r="K45" s="3">
        <f>2654+(2036.4-501)+(-5.41416+(-4.154256--1.02204))+0-646.1--1.31804399999997</f>
        <v>3536.0716679999996</v>
      </c>
      <c r="L45" s="3">
        <f>2605.3+(1694.3-512)+(-2.657406+(-1.728186--0.52224))+0-616.6--0.628932000000098</f>
        <v>3167.7655800000007</v>
      </c>
      <c r="M45" s="3">
        <f>2858.9+(1367.1-543.7)+(-1.458039+(-0.697221--0.277287))+0-681.1--0.347360999999931</f>
        <v>2999.6693880000003</v>
      </c>
      <c r="N45" s="3">
        <f>2708.3+(1210.4-520.6)+(0+(0-0))+0-600.7-0</f>
        <v>2797.4000000000005</v>
      </c>
      <c r="O45" s="3">
        <f>2984.7+(907.6-543)+(1.522197+(0.462876-0.27693))+0-599.1-0.305540999999939</f>
        <v>2751.6026019999999</v>
      </c>
      <c r="P45" s="3">
        <f>3473.2+(666-829.5)+(5.313996+(1.01898-1.269135))+0-552.5-0.845325000000032</f>
        <v>2761.4185159999997</v>
      </c>
      <c r="Q45" s="3">
        <f>3751+(747.9-962.6)+(-1.91301+(-0.381429--0.490926))+0-614.6--0.313445999999938</f>
        <v>2920.2099330000005</v>
      </c>
      <c r="R45" s="3">
        <f>4061.3+(730.1-896.6)+(-4.142526+(-0.744702--0.914532))+0-644.2--0.657084000000103</f>
        <v>3247.2843880000005</v>
      </c>
      <c r="S45" s="3">
        <f>3834.2+(1032.7-674.8)+(-5.866326+(-1.580031--1.032444))+0-657.5--1.00597500000004</f>
        <v>3529.1920620000001</v>
      </c>
      <c r="T45" s="3">
        <f>3962.9+(1192-705.8)+(-6.063237+(-1.82376--1.079874))+0-694.1--1.06197300000004</f>
        <v>3749.2548500000007</v>
      </c>
      <c r="U45" s="3">
        <f>3538+(1384.7-563.1)+(-3.60876+(-1.412394--0.574362))+0-640--0.652800000000102</f>
        <v>3715.8060080000009</v>
      </c>
      <c r="V45" s="3">
        <f>3123.1+(1465.1-515.4)+(-9.556686+(-4.483206--1.577124))+0-590.4--1.80662400000007</f>
        <v>3471.7438560000001</v>
      </c>
      <c r="W45" s="3">
        <f>2853.4+(1365-545.7)+(-4.365702+(-2.08845--0.834921))+0-565.1--0.864603000000033</f>
        <v>3102.8453719999998</v>
      </c>
      <c r="X45" s="3">
        <f>2898.4+(1126.9-593.3)+(-1.478184+(-0.574719--0.302583))+0-582.5--0.297074999999941</f>
        <v>2848.0467549999998</v>
      </c>
      <c r="Y45" s="3">
        <f>3281.2+(826.6-661.4)+(1.673412+(0.421566-0.337314))+0-683.4-0.348533999999931</f>
        <v>2764.40913</v>
      </c>
      <c r="Z45" s="3">
        <f>3458.8+(970-648.6)+(-3.527976+(-0.9894--0.661572))+0-641.6--0.654432000000102</f>
        <v>3135.3986280000008</v>
      </c>
      <c r="AA45" s="3">
        <f>3255.2+(1421.6-598.1)+(-4.980456+(-2.175048--0.915093))+0-695.9--1.06472700000004</f>
        <v>3377.6243159999995</v>
      </c>
      <c r="AB45" s="3">
        <f>3188.2+(1492.1-575.1)+(-9.755892+(-4.565826--1.759806))+0-565.4--1.73012400000007</f>
        <v>3528.9682119999998</v>
      </c>
      <c r="AC45" s="3">
        <f>3360.4+(1668.8-611.4)+(-3.427608+(-1.702176--0.623628))+0-664.9--0.678198000000106</f>
        <v>3749.0720419999998</v>
      </c>
      <c r="AD45" s="2">
        <v>3354.8000000000006</v>
      </c>
      <c r="AE45" s="3">
        <f>3284+(1459.1-614.2)+(0+(0-0))+0-774.1-0</f>
        <v>3354.7999999999997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3028+(2043.1-523.1)+(-6.17712+(-4.167924--1.067124))+0-638.2--1.30192799999997</f>
        <v>3901.8240079999996</v>
      </c>
      <c r="G46" s="3">
        <f>2827.1+(2251.5-539.3)+(-2.883642+(-2.29653--0.550086))+0-621.2--0.633624000000099</f>
        <v>3914.1035380000003</v>
      </c>
      <c r="H46" s="3">
        <f>2733.5+(2300-519)+(-1.394085+(-1.173--0.26469))+0-692.3--0.35307299999993</f>
        <v>3820.2506779999999</v>
      </c>
      <c r="I46" s="3">
        <f>2662.7+(2137.4-526.8)+(5.431908+(4.360296-1.074672))+0-561.3-1.14505199999998</f>
        <v>3719.5724799999998</v>
      </c>
      <c r="J46" s="3">
        <f>2502.3+(2305.2-537.8)+(0+(0-0))+0-650.6-0</f>
        <v>3619.1</v>
      </c>
      <c r="K46" s="3">
        <f>2362.7+(2288.3-533.4)+(-3.614931+(-3.501099--0.816102))+0-618--0.945540000000036</f>
        <v>3494.2456120000002</v>
      </c>
      <c r="L46" s="3">
        <f>2331.3+(2064.5-514.4)+(-2.377926+(-2.10579--0.524688))+0-649.9--0.662898000000104</f>
        <v>3228.2038699999998</v>
      </c>
      <c r="M46" s="3">
        <f>2362.7+(1721.4-520.8)+(-2.409954+(-1.755828--0.531216))+0-595.8--0.607716000000095</f>
        <v>2964.4731500000003</v>
      </c>
      <c r="N46" s="3">
        <f>2388.2+(1580.6-532.6)+(-1.217982+(-0.806106--0.271626))+0-583.5--0.297584999999941</f>
        <v>2851.2451229999997</v>
      </c>
      <c r="O46" s="3">
        <f>2510.1+(1312.5-544.6)+(0+(0-0))+0-530.4-0</f>
        <v>2747.6</v>
      </c>
      <c r="P46" s="3">
        <f>2840+(954.3-569.2)+(0+(0-0))+0-488.3-0</f>
        <v>2736.7999999999997</v>
      </c>
      <c r="Q46" s="3">
        <f>3188.9+(974.9-634.7)+(-4.879017+(-1.491597--0.971091))+0-650.7--0.995571000000038</f>
        <v>2873.9960479999995</v>
      </c>
      <c r="R46" s="3">
        <f>3140.9+(1113.6-560.7)+(-1.601859+(-0.567936--0.285957))+0-499.6--0.254795999999949</f>
        <v>3192.5709580000002</v>
      </c>
      <c r="S46" s="3">
        <f>3726.9+(1147.7-692.6)+(0+(0-0))+0-616.2-0</f>
        <v>3565.8</v>
      </c>
      <c r="T46" s="3">
        <f>3561.2+(1506.6-616.4)+(-9.08106+(-3.84183--1.57182))+0-644.5--1.64347499999991</f>
        <v>3797.1924049999998</v>
      </c>
      <c r="U46" s="3">
        <f>3503.9+(1612.5-581.7)+(-5.360967+(-2.467125--0.890001))+0-678.2--1.03764600000004</f>
        <v>3850.5995550000002</v>
      </c>
      <c r="V46" s="3">
        <f>3085.9+(1971-519.2)+(-7.869045+(-5.02605--1.32396))+0-631.5--1.61032499999991</f>
        <v>3896.2391899999998</v>
      </c>
      <c r="W46" s="3">
        <f>2734.1+(1857.7-515.1)+(-2.788782+(-1.894854--0.525402))+0-601.6--0.613632000000096</f>
        <v>3471.555398</v>
      </c>
      <c r="X46" s="3">
        <f>2780.3+(1483.2-514.2)+(-4.253859+(-2.269296--0.786726))+0-675.5--1.03351500000004</f>
        <v>3069.0970860000002</v>
      </c>
      <c r="Y46" s="3">
        <f>2648.4+(1374.1-546.5)+(-1.350684+(-0.700791--0.278715))+0-625.9--0.319208999999937</f>
        <v>2848.6464489999998</v>
      </c>
      <c r="Z46" s="3">
        <f>3188+(1270.4-594)+(0+(0-0))+0-659.6-0</f>
        <v>3204.8</v>
      </c>
      <c r="AA46" s="3">
        <f>3411+(1281.7-601.8)+(-6.95844+(-2.614668--1.227672))+0-542.7--1.10710799999998</f>
        <v>3540.9616720000004</v>
      </c>
      <c r="AB46" s="3">
        <f>3381.4+(1435.4-579.1)+(-6.898056+(-2.928216--1.181364))+0-534.9--1.09119599999998</f>
        <v>3695.2462879999994</v>
      </c>
      <c r="AC46" s="3">
        <f>3340.7+(1689.1-529.3)+(-5.111271+(-2.584323--0.809829))+0-621.7--0.951201000000036</f>
        <v>3872.865436</v>
      </c>
      <c r="AD46" s="2">
        <v>3596.3000000000006</v>
      </c>
      <c r="AE46" s="3">
        <f>3597+(1206.6-680.9)+(0+(0-0))+0-526.4-0</f>
        <v>3596.2999999999997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3037.9+(2026.9-524.7)+(-1.549329+(-1.033719--0.267597))+0-570.4--0.290903999999942</f>
        <v>3967.6754529999998</v>
      </c>
      <c r="G47" s="3">
        <f>2700.5+(2401.4-524.3)+(-4.131765+(-3.674142--0.802179))+0-670.6--1.02601800000004</f>
        <v>3901.0222900000008</v>
      </c>
      <c r="H47" s="3">
        <f>2505.5+(2393.7-538)+(-2.55561+(-2.441574--0.54876))+0-587.4--0.599148000000094</f>
        <v>3769.9507239999998</v>
      </c>
      <c r="I47" s="3">
        <f>2460.1+(2416.3-537.1)+(-6.273255+(-6.161565--1.369605))+0-690.9--1.7617949999999</f>
        <v>3639.0965800000004</v>
      </c>
      <c r="J47" s="3">
        <f>2489.7+(1968.8-521.1)+(-6.348735+(-5.02044--1.328805))+0-402.3--1.02586499999994</f>
        <v>3526.0854949999994</v>
      </c>
      <c r="K47" s="3">
        <f>2470.5+(1875.1-514.1)+(-3.779865+(-2.868903--0.786573))+0-447.4--0.684522000000026</f>
        <v>3378.9223269999998</v>
      </c>
      <c r="L47" s="3">
        <f>2334.2+(1752.3-510.5)+(-7.142652+(-5.362038--1.56213))+0-599.9--1.83569400000007</f>
        <v>2966.9931339999998</v>
      </c>
      <c r="M47" s="3">
        <f>2401.6+(1396.8-515.5)+(-1.224816+(-0.712368--0.262905))+0-531.5--0.271064999999946</f>
        <v>2749.9967859999997</v>
      </c>
      <c r="N47" s="3">
        <f>2333.2+(1619.8-510.5)+(5.94966+(4.13049-1.301775))+0-693.1-1.7674049999999</f>
        <v>2756.4109699999999</v>
      </c>
      <c r="O47" s="3">
        <f>2493.2+(1403.9-659.6)+(-2.543064+(-1.431978--0.672792))+0-507--0.517140000000081</f>
        <v>2727.7148899999997</v>
      </c>
      <c r="P47" s="3">
        <f>3449.3+(874.5-880.1)+(-3.518286+(-0.89199--0.897702))+0-623.1--0.635562000000099</f>
        <v>2817.7229880000004</v>
      </c>
      <c r="Q47" s="3">
        <f>3798.5+(659.8-944.8)+(-7.74894+(-1.345992--1.927392))+0-523--1.06691999999998</f>
        <v>2984.3993799999998</v>
      </c>
      <c r="R47" s="3">
        <f>4476.5+(700.3-1088.7)+(2.283015+(0.357153-0.555237))+0-627-0.319769999999936</f>
        <v>3462.8651609999997</v>
      </c>
      <c r="S47" s="3">
        <f>4638.2+(855.5-1030.1)+(-7.096446+(-1.308915--1.576053))+0-625.6--0.957168000000036</f>
        <v>3832.1278600000001</v>
      </c>
      <c r="T47" s="3">
        <f>4961.7+(970.8-1116.7)+(2.530467+(0.495108-0.569517))+0-628.8-0.320687999999936</f>
        <v>4189.1353699999991</v>
      </c>
      <c r="U47" s="3">
        <f>5177.2+(939.9-1181.2)+(2.640372+(0.479349-0.602412))+0-609.3-0.310742999999938</f>
        <v>4328.8065659999993</v>
      </c>
      <c r="V47" s="3">
        <f>4455.3+(1046.5-846.5)+(-9.088812+(-2.13486--1.72686))+0-583.1--1.18952399999997</f>
        <v>4063.8927119999998</v>
      </c>
      <c r="W47" s="3">
        <f>3321.7+(1494.4-521.9)+(-10.164402+(-4.572864--1.597014))+0-584.6--1.78887600000007</f>
        <v>3698.2486239999998</v>
      </c>
      <c r="X47" s="3">
        <f>2924.7+(1511.4-518.2)+(-10.441179+(-5.395698--1.849974))+0-638.2--2.27837400000001</f>
        <v>3267.9914709999998</v>
      </c>
      <c r="Y47" s="3">
        <f>2862.8+(1294.6-572.8)+(-5.840112+(-2.640984--1.168512))+0-621.7--1.26826799999997</f>
        <v>2956.8556840000001</v>
      </c>
      <c r="Z47" s="3">
        <f>3179.2+(1394.3-573.4)+(-3.242784+(-1.422186--0.584868))+0-701.6--0.715632000000112</f>
        <v>3295.13553</v>
      </c>
      <c r="AA47" s="3">
        <f>3294.2+(1548.4-559.7)+(-10.080252+(-4.738104--1.712682))+0-592.2--1.81213200000007</f>
        <v>3679.4064579999995</v>
      </c>
      <c r="AB47" s="3">
        <f>3180+(1902.3-515.7)+(-6.4872+(-3.880692--1.052028))+0-688.8--1.40515199999997</f>
        <v>3869.8892879999999</v>
      </c>
      <c r="AC47" s="3">
        <f>3257.9+(1999.6-526.6)+(-3.323058+(-2.039592--0.537132))+0-658.6--0.671772000000105</f>
        <v>4068.1462540000002</v>
      </c>
      <c r="AD47" s="2">
        <v>3565.2</v>
      </c>
      <c r="AE47" s="3">
        <f>3454+(1529.2-635.8)+(0+(0-0))+0-782.2-0</f>
        <v>3565.2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3233.9+(2137.7-528.9)+(-4.947867+(-3.270681--0.809217))+0-659.8--1.00949400000004</f>
        <v>4176.5001629999997</v>
      </c>
      <c r="G48" s="3">
        <f>2806+(2462.9-541.7)+(-4.29318+(-3.768237--0.828801))+0-635.2--0.971856000000037</f>
        <v>4085.7392399999999</v>
      </c>
      <c r="H48" s="3">
        <f>2548.7+(2550.1-530.3)+(0+(0-0))+0-620.1-0</f>
        <v>3948.4</v>
      </c>
      <c r="I48" s="3">
        <f>2483.5+(2580.4-541.8)+(-2.53317+(-2.632008--0.552636))+0-692.8--0.70665600000011</f>
        <v>3825.3941140000006</v>
      </c>
      <c r="J48" s="3">
        <f>2448.8+(2429-540.9)+(-3.746664+(-3.71637--0.827577))+0-629.6--0.963288000000036</f>
        <v>3701.6278309999993</v>
      </c>
      <c r="K48" s="3">
        <f>2426.6+(2318.7-527.5)+(-6.18783+(-5.912685--1.345125))+0-658.4--1.6789199999999</f>
        <v>3550.3235299999988</v>
      </c>
      <c r="L48" s="3">
        <f>2470.4+(1758.6-526.8)+(0+(0-0))+0-507.1-0</f>
        <v>3195.1</v>
      </c>
      <c r="M48" s="3">
        <f>2503.5+(1597.1-550.2)+(-1.276785+(-0.814521--0.280602))+0-620.4--0.316403999999937</f>
        <v>2928.5056999999997</v>
      </c>
      <c r="N48" s="3">
        <f>2570.1+(1399.5-527.5)+(0+(0-0))+0-570.7-0</f>
        <v>2871.3999999999996</v>
      </c>
      <c r="O48" s="3">
        <f>2696.7+(1178.6-583.2)+(-1.375317+(-0.601086--0.297432))+0-366.4--0.186863999999963</f>
        <v>2924.2078929999993</v>
      </c>
      <c r="P48" s="3">
        <f>2906.2+(1101.2-602)+(-1.482162+(-0.561612--0.30702))+0-449--0.228989999999954</f>
        <v>2954.8922359999997</v>
      </c>
      <c r="Q48" s="3">
        <f>3718.8+(870.2-722.9)+(-1.896588+(-0.443802--0.368679))+0-627--0.319769999999936</f>
        <v>3237.4480590000003</v>
      </c>
      <c r="R48" s="3">
        <f>4063.4+(1010.1-816.7)+(0+(0-0))+0-629.8-0</f>
        <v>3627</v>
      </c>
      <c r="S48" s="3">
        <f>4018.4+(1277.3-653.8)+(-8.197536+(-2.605692--1.333752))+0-589.5--1.20257999999997</f>
        <v>4044.1331039999995</v>
      </c>
      <c r="T48" s="3">
        <f>4240.8+(1368.7-752.4)+(-2.162808+(-0.698037--0.383724))+0-518--0.264179999999947</f>
        <v>4336.8870590000006</v>
      </c>
      <c r="U48" s="3">
        <f>4143.7+(1425.5-634.8)+(-4.226574+(-1.45401--0.647496))+0-565.7--0.57701400000009</f>
        <v>4364.2439260000001</v>
      </c>
      <c r="V48" s="3">
        <f>4155.9+(1288.9-603.9)+(-10.597545+(-3.286695--1.539945))+0-655.2--1.6707599999999</f>
        <v>4175.0264649999999</v>
      </c>
      <c r="W48" s="3">
        <f>3184.8+(1758.9-542.4)+(-3.248496+(-1.794078--0.553248))+0-624.5--0.6369900000001</f>
        <v>3772.9476640000003</v>
      </c>
      <c r="X48" s="3">
        <f>2380.6+(2084.9-504.6)+(-7.284636+(-6.379794--1.544076))+0-638.2--1.95289200000007</f>
        <v>3312.5325380000004</v>
      </c>
      <c r="Y48" s="3">
        <f>2458.7+(1625.3-504)+(0+(0-0))+0-610.7-0</f>
        <v>2969.3</v>
      </c>
      <c r="Z48" s="3">
        <f>3109.5+(1327.6-508.6)+(-3.17169+(-1.354152--0.518772))+0-656.9--0.670038000000105</f>
        <v>3268.262968</v>
      </c>
      <c r="AA48" s="3">
        <f>3922.5+(1019.4-715.5)+(-10.002375+(-2.59947--1.824525))+0-583.2--1.48715999999992</f>
        <v>3633.9098399999998</v>
      </c>
      <c r="AB48" s="3">
        <f>4091.1+(987-693.7)+(-6.259383+(-1.51011--1.061361))+0-569.1--0.870723000000033</f>
        <v>3809.462591</v>
      </c>
      <c r="AC48" s="3">
        <f>4069.4+(1127.6-566.1)+(-8.301576+(-2.300304--1.154844))+0-618.1--1.26092399999997</f>
        <v>4004.6138880000003</v>
      </c>
      <c r="AD48" s="2">
        <v>3577.4999999999995</v>
      </c>
      <c r="AE48" s="3">
        <f>3838+(1050-682.1)+(0+(0-0))+0-628.4-0</f>
        <v>3577.4999999999995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3464.3+(1775.2-532.6)+(-12.367551+(-6.337464--1.901382))+0-611.4--2.18269800000001</f>
        <v>4080.8790649999992</v>
      </c>
      <c r="G49" s="3">
        <f>2752+(2405.2-539)+(-9.82464+(-8.586564--1.92423))+0-592.2--2.11415400000001</f>
        <v>4011.6271799999995</v>
      </c>
      <c r="H49" s="3">
        <f>2637.7+(2406-510.9)+(-2.690454+(-2.45412--0.521118))+0-661.6--0.674832000000106</f>
        <v>3867.2513759999993</v>
      </c>
      <c r="I49" s="3">
        <f>2564.9+(2352.3-516.6)+(-1.308099+(-1.199673--0.263466))+0-669.4--0.341393999999932</f>
        <v>3729.2970880000007</v>
      </c>
      <c r="J49" s="3">
        <f>2490.8+(2274.1-514.6)+(-1.270308+(-1.159791--0.262446))+0-662--0.337619999999933</f>
        <v>3586.4699669999995</v>
      </c>
      <c r="K49" s="3">
        <f>2515.5+(2107.5-503.2)+(-5.13162+(-4.2993--1.026528))+0-682.1--1.39148399999997</f>
        <v>3430.6870919999997</v>
      </c>
      <c r="L49" s="3">
        <f>2317.2+(1916.7-510.6)+(-4.727088+(-3.910068--1.041624))+0-627.1--1.27928399999997</f>
        <v>3089.8837520000002</v>
      </c>
      <c r="M49" s="3">
        <f>2509.7+(1399.5-508.8)+(6.399735+(3.568725-1.29744))+0-570.7-1.45528499999992</f>
        <v>2836.9157349999996</v>
      </c>
      <c r="N49" s="3">
        <f>2347.8+(1479.1-496.5)+(1.197378+(0.754341-0.253215))+0-553-0.282029999999944</f>
        <v>2778.8164740000002</v>
      </c>
      <c r="O49" s="3">
        <f>2326.9+(1552.3-480.3)+(-1.186719+(-0.791673--0.244953))+0-509.5--0.259844999999948</f>
        <v>2887.926406</v>
      </c>
      <c r="P49" s="3">
        <f>2366.2+(1456.9-467.7)+(-1.206762+(-0.743019--0.238527))+0-494.3--0.25209299999995</f>
        <v>2859.6408389999997</v>
      </c>
      <c r="Q49" s="3">
        <f>2764.4+(1179.6-436.3)+(-1.409844+(-0.601596--0.222513))+0-451.2--0.230111999999954</f>
        <v>3054.9411849999997</v>
      </c>
      <c r="R49" s="3">
        <f>3754.9+(782.3-623.8)+(-11.489994+(-2.393838--1.908828))+0-599.5--1.83447000000007</f>
        <v>3303.7594660000004</v>
      </c>
      <c r="S49" s="3">
        <f>3524+(1186.4-596)+(-5.39172+(-1.815192--0.91188))+0-498.7--0.763011000000029</f>
        <v>3610.1679789999998</v>
      </c>
      <c r="T49" s="3">
        <f>3911.2+(1549.5-783.7)+(1.994712+(0.790245-0.399687))+0-528-0.269279999999946</f>
        <v>4151.1159900000002</v>
      </c>
      <c r="U49" s="3">
        <f>4053.9+(1069.3-713.4)+(-10.337445+(-2.726715--1.81917))+0-556.3--1.41856499999992</f>
        <v>3843.6735749999998</v>
      </c>
      <c r="V49" s="3">
        <f>4095+(666.8-585)+(-10.44225+(-1.70034--1.49175))+0-544.3--1.38796499999992</f>
        <v>3623.2371249999997</v>
      </c>
      <c r="W49" s="3">
        <f>3244.7+(1034.5-523.8)+(-8.273985+(-2.637975--1.33569))+0-478.7--1.22068499999993</f>
        <v>3268.3444149999996</v>
      </c>
      <c r="X49" s="3">
        <f>3140.4+(867.9-577.4)+(-3.203208+(-0.885258--0.588948))+0-492.1--0.501942000000078</f>
        <v>2935.802424</v>
      </c>
      <c r="Y49" s="3">
        <f>3245.1+(738.4-685.5)+(-1.655001+(-0.376584--0.349605))+0-550.2--0.280601999999944</f>
        <v>2746.3986219999997</v>
      </c>
      <c r="Z49" s="3">
        <f>3656.9+(672.2-743.8)+(-5.595057+(-1.028466--1.138014))+0-525--0.80325000000003</f>
        <v>3055.617741</v>
      </c>
      <c r="AA49" s="3">
        <f>3793.7+(784.9-612.8)+(-9.673935+(-2.001495--1.56264))+0-562.9--1.43539499999992</f>
        <v>3394.2226049999995</v>
      </c>
      <c r="AB49" s="3">
        <f>3794.2+(978.7-559.8)+(-5.805126+(-1.497411--0.856494))+0-626.4--0.958392000000036</f>
        <v>3581.2123490000004</v>
      </c>
      <c r="AC49" s="3">
        <f>3864.2+(1135.7-554.3)+(-5.912226+(-1.737621--0.848079))+0-679--1.03887000000004</f>
        <v>3760.837102</v>
      </c>
      <c r="AD49" s="2">
        <v>3207.8</v>
      </c>
      <c r="AE49" s="3">
        <f>3783+(701.6-661.6)+(0+(0-0))+0-615.2-0</f>
        <v>3207.8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3432.9+(1495.8-505.3)+(-8.753895+(-3.81429--1.288515))+0-612--1.56059999999991</f>
        <v>3801.6809299999995</v>
      </c>
      <c r="G50" s="3">
        <f>3256.9+(1700-521.2)+(-4.983057+(-2.601--0.797436))+0-708.7--1.08431100000004</f>
        <v>3721.2976899999999</v>
      </c>
      <c r="H50" s="3">
        <f>2992.5+(1769.7-530.9)+(-7.630875+(-4.512735--1.353795))+0-628.7--1.60318499999991</f>
        <v>3593.4133700000002</v>
      </c>
      <c r="I50" s="3">
        <f>2697.3+(1960.6-534.5)+(-5.502492+(-3.999624--1.09038))+0-688.7--1.40494799999997</f>
        <v>3427.6932119999997</v>
      </c>
      <c r="J50" s="3">
        <f>2538.5+(1931.2-521)+(-3.883905+(-2.954736--0.79713))+0-658.4--1.00735200000004</f>
        <v>3285.2658409999999</v>
      </c>
      <c r="K50" s="3">
        <f>2393+(1938-506.7)+(-2.44086+(-1.97676--0.516834))+0-678.4--0.691968000000108</f>
        <v>3142.691182</v>
      </c>
      <c r="L50" s="3">
        <f>2302.6+(1630.7-511.3)+(-4.697304+(-3.326628--1.043052))+0-663.8--1.35415199999997</f>
        <v>2752.5732719999996</v>
      </c>
      <c r="M50" s="3">
        <f>2431.7+(1259.7-520.7)+(2.480334+(1.284894-0.531114))+0-611.1-0.623322000000097</f>
        <v>2562.2107919999999</v>
      </c>
      <c r="N50" s="3">
        <f>2348.1+(1240.2-537.7)+(-2.395062+(-1.265004--0.548454))+0-491.5--0.501330000000078</f>
        <v>2556.4897179999998</v>
      </c>
      <c r="O50" s="3">
        <f>2644.4+(932.3-559.2)+(0+(0-0))+0-438.1-0</f>
        <v>2579.4</v>
      </c>
      <c r="P50" s="3">
        <f>3048+(749-555.8)+(0+(0-0))+0-527.7-0</f>
        <v>2713.5</v>
      </c>
      <c r="Q50" s="3">
        <f>3263.6+(653.2-614.6)+(0+(0-0))+0-445.6-0</f>
        <v>2856.6</v>
      </c>
      <c r="R50" s="3">
        <f>3621.9+(992.6-673)+(0+(0-0))+0-454.3-0</f>
        <v>3487.2</v>
      </c>
      <c r="S50" s="3">
        <f>3412.2+(1299.2-463.9)+(-8.70111+(-3.31296--1.182945))+0-557.6--1.42187999999992</f>
        <v>3680.4907550000003</v>
      </c>
      <c r="T50" s="3">
        <f>3832.4+(1275.7-565)+(-9.77262+(-3.253035--1.44075))+0-556.3--1.41856499999992</f>
        <v>3976.6336600000004</v>
      </c>
      <c r="U50" s="3">
        <f>3803.4+(1392.4-563.8)+(-5.819202+(-2.130372--0.862614))+0-579.3--0.886329000000033</f>
        <v>4046.4993690000001</v>
      </c>
      <c r="V50" s="3">
        <f>3386.1+(1542.6-548.1)+(-6.907644+(-3.146904--1.118124))+0-586.1--1.19564399999997</f>
        <v>3786.759219999999</v>
      </c>
      <c r="W50" s="3">
        <f>3075.8+(1332.5-514.5)+(-7.84329+(-3.397875--1.311975))+0-542--1.38209999999992</f>
        <v>3343.2529100000002</v>
      </c>
      <c r="X50" s="3">
        <f>2762.1+(1389.1-431.6)+(-7.043355+(-3.542205--1.10058))+0-688.5--1.7556749999999</f>
        <v>3023.3706949999996</v>
      </c>
      <c r="Y50" s="3">
        <f>2727+(1135.5-469.6)+(-2.78154+(-1.15821--0.478992))+0-588.5--0.600270000000094</f>
        <v>2801.5395119999998</v>
      </c>
      <c r="Z50" s="3">
        <f>3572.9+(920.9-716.9)+(-5.466537+(-1.408977--1.096857))+0-613.8--0.939114000000035</f>
        <v>3158.2604570000008</v>
      </c>
      <c r="AA50" s="3">
        <f>3763.4+(1022.5-676.5)+(-11.516004+(-3.12885--2.07009))+0-636.8--1.94860800000007</f>
        <v>3461.9738439999996</v>
      </c>
      <c r="AB50" s="3">
        <f>4037.9+(976.1-621.6)+(-2.059329+(-0.497811--0.317016))+0-699.4--0.356693999999929</f>
        <v>3691.1165699999997</v>
      </c>
      <c r="AC50" s="3">
        <f>3619.5+(1454-572.5)+(-5.537835+(-2.22462--0.875925))+0-638.2--0.976446000000037</f>
        <v>3856.8899160000005</v>
      </c>
      <c r="AD50" s="2">
        <v>3426.2999999999997</v>
      </c>
      <c r="AE50" s="3">
        <f>3829+(1024.3-743.1)+(0+(0-0))+0-683.9-0</f>
        <v>3426.2999999999997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3273+(1847.6-483.6)+(-8.34615+(-4.71138--1.23318))+0-619--1.57844999999991</f>
        <v>4007.7541000000001</v>
      </c>
      <c r="G51" s="3">
        <f>2959.6+(2075.4-479.1)+(-7.54698+(-5.29227--1.221705))+0-589.1--1.50220499999991</f>
        <v>3956.6846599999994</v>
      </c>
      <c r="H51" s="3">
        <f>2618.6+(2438.9-525)+(-5.341944+(-4.975356--1.071))+0-702.5--1.43309999999997</f>
        <v>3822.1868000000004</v>
      </c>
      <c r="I51" s="3">
        <f>2441.8+(2430.6-524.5)+(-1.245318+(-1.239606--0.267495))+0-642--0.327419999999935</f>
        <v>3704.0099909999994</v>
      </c>
      <c r="J51" s="3">
        <f>2461.4+(2316.9-517)+(3.765942+(3.544857-0.79101))+0-666.9-1.02035700000004</f>
        <v>3599.8994320000002</v>
      </c>
      <c r="K51" s="3">
        <f>2406.9+(2191.9-505.1)+(-3.682557+(-3.353607--0.772803))+0-631.8--0.966654000000036</f>
        <v>3456.6032930000001</v>
      </c>
      <c r="L51" s="3">
        <f>2466.8+(1779-505.5)+(-1.258068+(-0.90729--0.257805))+0-613--0.312629999999938</f>
        <v>3125.7050770000001</v>
      </c>
      <c r="M51" s="3">
        <f>2445+(1531.8-505.8)+(-4.9878+(-3.124872--1.031832))+0-588.3--1.20013199999997</f>
        <v>2876.8192920000001</v>
      </c>
      <c r="N51" s="3">
        <f>2625.5+(1356.8-526.2)+(-4.017015+(-2.075904--0.805086))+0-618.6--0.946458000000036</f>
        <v>2833.158625</v>
      </c>
      <c r="O51" s="3">
        <f>2778.5+(1065.6-536.2)+(-2.83407+(-1.086912--0.546924))+0-480.9--0.490518000000077</f>
        <v>2824.1164599999997</v>
      </c>
      <c r="P51" s="3">
        <f>2984.5+(1014-535.8)+(-3.04419+(-1.03428--0.546516))+0-541.9--0.552738000000086</f>
        <v>2917.8207839999995</v>
      </c>
      <c r="Q51" s="3">
        <f>3588.4+(997.4-910.9)+(-3.660168+(-1.017348--0.929118))+0-593.7--0.605574000000095</f>
        <v>3078.0571760000003</v>
      </c>
      <c r="R51" s="3">
        <f>4517.1+(867.4-908.2)+(-2.303721+(-0.442374--0.463182))+0-624.5--0.318494999999937</f>
        <v>3849.8355820000002</v>
      </c>
      <c r="S51" s="3">
        <f>4628.7+(950.7-849.7)+(-9.442548+(-1.939428--1.733388))+0-489.7--0.998987999999979</f>
        <v>4231.3504000000003</v>
      </c>
      <c r="T51" s="3">
        <f>4628.7+(973.9-849.7)+(-9.442548+(-1.986756--1.733388))+0-489.7--0.998987999999979</f>
        <v>4254.5030720000004</v>
      </c>
      <c r="U51" s="3">
        <f>4482.5+(1130.9-757.3)+(0+(0-0))+0-538-0</f>
        <v>4318.1000000000004</v>
      </c>
      <c r="V51" s="3">
        <f>4089.4+(1376.8-711.9)+(-8.342376+(-2.808672--1.452276))+0-632.1--1.28948399999997</f>
        <v>4113.790712</v>
      </c>
      <c r="W51" s="3">
        <f>3073.8+(1810.1-508.5)+(-9.405828+(-5.538906--1.55601))+0-608.6--1.86231600000007</f>
        <v>3755.2735919999996</v>
      </c>
      <c r="X51" s="3">
        <f>2739.1+(1679.1-509.5)+(-8.381646+(-5.138046--1.55907))+0-608.6--1.86231600000007</f>
        <v>3290.001694</v>
      </c>
      <c r="Y51" s="3">
        <f>2862.8+(1628.3-556.9)+(-10.220196+(-5.813031--1.988133))+0-676.3--2.41439100000001</f>
        <v>3246.2692970000003</v>
      </c>
      <c r="Z51" s="3">
        <f>3119+(1482-613.5)+(-1.59069+(-0.75582--0.312885))+0-652.5--0.332774999999934</f>
        <v>3333.2991499999998</v>
      </c>
      <c r="AA51" s="3">
        <f>2926.1+(2101-517.4)+(-8.953866+(-6.42906--1.583244))+0-692.1--2.11782600000008</f>
        <v>3805.9181440000002</v>
      </c>
      <c r="AB51" s="3">
        <f>2979.8+(2066.8-486)+(-4.559094+(-3.162204--0.74358))+0-627.5--0.960075000000036</f>
        <v>3927.0823570000002</v>
      </c>
      <c r="AC51" s="3">
        <f>3006.2+(2309.8-496.5)+(-6.132648+(-4.711992--1.01286))+0-676.5--1.38005999999997</f>
        <v>4134.54828</v>
      </c>
      <c r="AD51" s="2">
        <v>3586.4999999999995</v>
      </c>
      <c r="AE51" s="3">
        <f>3147+(1736.7-561.8)+(0+(0-0))+0-735.4-0</f>
        <v>3586.4999999999995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2729.4+(2617.9-473.1)+(-6.95997+(-6.675645--1.206405))+0-602.7--1.53688499999991</f>
        <v>4260.6076750000002</v>
      </c>
      <c r="G52" s="3">
        <f>2334.9+(2979-466.3)+(-4.763196+(-6.07716--0.951252))+0-626.1--1.27724399999997</f>
        <v>4212.88814</v>
      </c>
      <c r="H52" s="3">
        <f>2283.7+(2917.3-466.1)+(-3.494061+(-4.463469--0.713133))+0-685.7--1.04912100000004</f>
        <v>4043.0047239999994</v>
      </c>
      <c r="I52" s="3">
        <f>2284.1+(2783.2-493.6)+(5.824455+(7.09716-1.25868))+0-635.6-1.62077999999991</f>
        <v>3948.1421550000005</v>
      </c>
      <c r="J52" s="3">
        <f>2129.6+(2733.8-466.1)+(-3.258288+(-4.182714--0.713133))+0-567.8--0.868734000000033</f>
        <v>3823.6408649999998</v>
      </c>
      <c r="K52" s="3">
        <f>2011.9+(2808.7-490.2)+(-1.026069+(-1.432437--0.250002))+0-641--0.326909999999935</f>
        <v>3687.5184059999992</v>
      </c>
      <c r="L52" s="3">
        <f>2159.6+(2274.6-506.4)+(-2.202792+(-2.320092--0.516528))+0-615.6--0.627912000000098</f>
        <v>3308.8215559999999</v>
      </c>
      <c r="M52" s="3">
        <f>2713.7+(1418-486)+(1.383987+(0.72318-0.24786))+0-627.7-0.320126999999936</f>
        <v>3019.5391799999998</v>
      </c>
      <c r="N52" s="3">
        <f>2721.7+(1258.4-463)+(0+(0-0))+0-553-0</f>
        <v>2964.1</v>
      </c>
      <c r="O52" s="3">
        <f>2536.2+(1430.7-441.9)+(-2.586924+(-1.459314--0.450738))+0-559.8--0.570996000000089</f>
        <v>2962.1754960000003</v>
      </c>
      <c r="P52" s="3">
        <f>3277.7+(956.9-723)+(1.671627+(0.488019-0.36873))+0-546.2-0.278561999999945</f>
        <v>2966.9123539999996</v>
      </c>
      <c r="Q52" s="3">
        <f>3968.7+(829.8-1107.1)+(-2.024037+(-0.423198--0.564621))+0-552.2--0.281621999999944</f>
        <v>3137.5990079999997</v>
      </c>
      <c r="R52" s="3">
        <f>4606.4+(903.7-1299.1)+(4.698528+(0.921774-1.325082))+0-595.7-0.607614000000095</f>
        <v>3618.9876060000001</v>
      </c>
      <c r="S52" s="3">
        <f>4597.2+(1051-989.1)+(-9.378288+(-2.14404--2.017764))+0-526.3--1.07365199999998</f>
        <v>4124.3690879999995</v>
      </c>
      <c r="T52" s="3">
        <f>4793.9+(1171.2-907)+(2.444889+(0.597312-0.46257))+0-586.7-0.299216999999941</f>
        <v>4473.6804139999995</v>
      </c>
      <c r="U52" s="3">
        <f>4620.4+(1333.5-853.2)+(-4.712808+(-1.36017--0.870264))+0-604.2--0.616284000000096</f>
        <v>4491.9135699999997</v>
      </c>
      <c r="V52" s="3">
        <f>4095.1+(1339.7-674)+(-8.354004+(-2.732988--1.37496))+0-538--1.09751999999998</f>
        <v>4214.1854880000001</v>
      </c>
      <c r="W52" s="3">
        <f>3132.4+(1882.8-480.7)+(1.597524+(0.960228-0.245157))+0-632.6-0.322625999999936</f>
        <v>3903.8899690000003</v>
      </c>
      <c r="X52" s="3">
        <f>2515.3+(2068.2-513.6)+(-8.979621+(-7.383474--1.833552))+0-539.7--1.92672900000001</f>
        <v>3517.597186</v>
      </c>
      <c r="Y52" s="3">
        <f>2670.4+(1734.2-514.5)+(-4.085712+(-2.653326--0.787185))+0-596.8--0.913104000000034</f>
        <v>3288.2612510000008</v>
      </c>
      <c r="Z52" s="3">
        <f>2868.5+(1704.9-511.8)+(-2.92587+(-1.738998--0.522036))+0-524.4--0.534888000000084</f>
        <v>3533.5920560000004</v>
      </c>
      <c r="AA52" s="3">
        <f>2805.3+(1889.4-267.9)+(-8.584218+(-5.781564--0.819774))+0-588.2--1.79989200000007</f>
        <v>3826.8538840000001</v>
      </c>
      <c r="AB52" s="3">
        <f>2568.7+(2223.6-233.9)+(0+(0-0))+0-550.4-0</f>
        <v>4007.9999999999995</v>
      </c>
      <c r="AC52" s="3">
        <f>2324.7+(2714.9-233.4)+(-1.185597+(-1.384599--0.119034))+0-608.2--0.310181999999938</f>
        <v>4195.8590199999999</v>
      </c>
      <c r="AD52" s="2">
        <v>3724.5</v>
      </c>
      <c r="AE52" s="3">
        <f>3326+(1572.1-652.8)+(0+(0-0))+0-520.8-0</f>
        <v>3724.5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2575.1+(2647.5-234.3)+(-6.566505+(-6.751125--0.597465))+0-678.6--1.7304299999999</f>
        <v>4298.7102649999988</v>
      </c>
      <c r="G53" s="3">
        <f>2577.9+(2543.1-220.2)+(-1.314729+(-1.296981--0.112302))+0-592.6--0.30222599999994</f>
        <v>4306.0028179999999</v>
      </c>
      <c r="H53" s="3">
        <f>2422.3+(2787.1-227.2)+(-3.706119+(-4.264263--0.347616))+0-708.3--1.08369900000004</f>
        <v>4267.3609329999999</v>
      </c>
      <c r="I53" s="3">
        <f>2186.6+(2758.5-229.5)+(-4.460664+(-5.62734--0.46818))+0-535.2--1.09180799999998</f>
        <v>4171.8719840000003</v>
      </c>
      <c r="J53" s="3">
        <f>2300.7+(2662.2-232.2)+(0+(0-0))+0-669.4-0</f>
        <v>4061.2999999999997</v>
      </c>
      <c r="K53" s="3">
        <f>2101.1+(2627.3-229.4)+(-4.286244+(-5.359692--0.467976))+0-562.7--1.14790799999998</f>
        <v>3928.2699480000001</v>
      </c>
      <c r="L53" s="3">
        <f>2050.4+(2498.7-230)+(-4.182816+(-5.097348--0.4692))+0-728.6--1.48634399999997</f>
        <v>3583.1753800000001</v>
      </c>
      <c r="M53" s="3">
        <f>2344.7+(1798.4-234)+(0+(0-0))+0-574.1-0</f>
        <v>3335</v>
      </c>
      <c r="N53" s="3">
        <f>2406+(1723.7-238)+(-2.45412+(-1.758174--0.24276))+0-670.8--0.684216000000107</f>
        <v>3217.6146819999999</v>
      </c>
      <c r="O53" s="3">
        <f>2451.5+(1465.8-234.9)+(0+(0-0))+0-511.6-0</f>
        <v>3170.7999999999997</v>
      </c>
      <c r="P53" s="3">
        <f>2758.6+(1223.8-252.8)+(0+(0-0))+0-644.3-0</f>
        <v>3085.3</v>
      </c>
      <c r="Q53" s="3">
        <f>2894.5+(1294.4-250.4)+(-1.476195+(-0.660144--0.127704))+0-660.7--0.336956999999933</f>
        <v>3276.128322</v>
      </c>
      <c r="R53" s="3">
        <f>3532+(1166.2-238.5)+(-1.80132+(-0.594762--0.121635))+0-588.6--0.30018599999994</f>
        <v>3869.1257390000001</v>
      </c>
      <c r="S53" s="3">
        <f>3899.1+(1263.1-311.5)+(-3.977082+(-1.288362--0.31773))+0-601.1--0.613122000000096</f>
        <v>4245.2654079999993</v>
      </c>
      <c r="T53" s="3">
        <f>3992.2+(1602.1-318)+(-6.108066+(-2.451213--0.48654))+0-686.8--1.05080400000004</f>
        <v>4582.4780649999993</v>
      </c>
      <c r="U53" s="3">
        <f>3953.6+(1644.2-390.7)+(-4.032672+(-1.677084--0.398514))+0-584.4--0.596088000000093</f>
        <v>4617.9848460000012</v>
      </c>
      <c r="V53" s="3">
        <f>3850.2+(1688.7-466.5)+(1.963602+(0.861237-0.237915))+0-577.7-0.294626999999941</f>
        <v>4496.9922969999998</v>
      </c>
      <c r="W53" s="3">
        <f>3525.2+(1837-499.3)+(-1.797852+(-0.93687--0.254643))+0-633.9--0.323288999999936</f>
        <v>4226.84321</v>
      </c>
      <c r="X53" s="3">
        <f>2668.6+(2179.4-502.6)+(-6.80493+(-5.55747--1.28163))+0-669.4--1.7069699999999</f>
        <v>3666.6261999999997</v>
      </c>
      <c r="Y53" s="3">
        <f>2423.3+(2089.2-515.3)+(-3.707649+(-3.196476--0.788409))+0-629.7--0.963441000000036</f>
        <v>3362.3477249999996</v>
      </c>
      <c r="Z53" s="3">
        <f>2545.4+(2307.7-473)+(-3.894462+(-3.530781--0.72369))+0-671.3--1.02708900000004</f>
        <v>3703.1255360000005</v>
      </c>
      <c r="AA53" s="3">
        <f>2647.3+(2544.9-490.9)+(-4.050369+(-3.893697--0.751077))+0-574.5--0.878985000000033</f>
        <v>4120.4859960000003</v>
      </c>
      <c r="AB53" s="3">
        <f>2943.8+(2533-496.2)+(3.002676+(2.58366-0.506124))+0-667.5-0.680850000000106</f>
        <v>4317.4993620000005</v>
      </c>
      <c r="AC53" s="3">
        <f>3023.2+(2596.5-507.4)+(-3.083664+(-2.64843--0.517548))+0-602.6--0.614652000000096</f>
        <v>4505.100105999999</v>
      </c>
      <c r="AD53" s="2">
        <v>3943.2</v>
      </c>
      <c r="AE53" s="3">
        <f>2701+(2508.3-491.3)+(0+(0-0))+0-774.8-0</f>
        <v>3943.2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2780.6+(2969.8-493.3)+(-1.418106+(-1.514598--0.251583))+0-654.3--0.333692999999934</f>
        <v>4600.4525720000001</v>
      </c>
      <c r="G54" s="3">
        <f>2423+(3332.6-504.6)+(-6.17865+(-8.49813--1.28673))+0-709.1--1.8082049999999</f>
        <v>4530.3181549999999</v>
      </c>
      <c r="H54" s="3">
        <f>2456.5+(3117.7-523.4)+(0+(0-0))+0-638.8-0</f>
        <v>4411.9999999999991</v>
      </c>
      <c r="I54" s="3">
        <f>2432.2+(3044.3-523.1)+(-3.721266+(-4.657779--0.800343))+0-661.9--1.01270700000004</f>
        <v>4284.9340050000001</v>
      </c>
      <c r="J54" s="3">
        <f>2425.1+(2874.1-525.9)+(3.710403+(4.397373-0.804627))+0-627.3-0.959769000000036</f>
        <v>4152.3433799999993</v>
      </c>
      <c r="K54" s="3">
        <f>2465.1+(2809.1-536.9)+(-2.514402+(-2.865282--0.547638))+0-688.6--0.70237200000011</f>
        <v>4044.5703259999991</v>
      </c>
      <c r="L54" s="3">
        <f>2368+(2404.3-534.3)+(-3.62304+(-3.678579--0.817479))+0-614.4--0.940032000000036</f>
        <v>3618.0558920000003</v>
      </c>
      <c r="M54" s="3">
        <f>2558.3+(2035.8-548.8)+(1.304733+(1.038258-0.279888))+0-645.7-0.329306999999935</f>
        <v>3401.3337959999999</v>
      </c>
      <c r="N54" s="3">
        <f>2671.9+(1722.4-558.5)+(5.450676+(3.513696-1.13934))+0-518.3-1.05733199999998</f>
        <v>3324.2677000000008</v>
      </c>
      <c r="O54" s="3">
        <f>3116.6+(1211-528.3)+(-1.589466+(-0.61761--0.269433))+0-425.2--0.216851999999957</f>
        <v>3372.3792090000002</v>
      </c>
      <c r="P54" s="3">
        <f>3723+(886.9-641.4)+(0+(0-0))+0-640.4-0</f>
        <v>3328.1</v>
      </c>
      <c r="Q54" s="3">
        <f>3925.9+(831.3-742.6)+(-4.004418+(-0.847926--0.757452))+0-357.2--0.364344000000057</f>
        <v>3653.6694520000001</v>
      </c>
      <c r="R54" s="3">
        <f>4390.7+(1201.7-930.8)+(-2.239257+(-0.612867--0.474708))+0-514.1--0.262190999999948</f>
        <v>4145.3847749999995</v>
      </c>
      <c r="S54" s="3">
        <f>4463.2+(1431.6-697.2)+(-4.552464+(-1.460232--0.711144))+0-463.3--0.472566000000074</f>
        <v>4729.4710139999997</v>
      </c>
      <c r="T54" s="3">
        <f>4583.7+(1741.3-729.9)+(-2.337687+(-0.888063--0.372249))+0-608.8--0.310487999999938</f>
        <v>4983.7569869999998</v>
      </c>
      <c r="U54" s="3">
        <f>4602.5+(1629.6-712.6)+(-7.041825+(-2.493288--1.090278))+0-559.4--0.855882000000032</f>
        <v>4952.511047</v>
      </c>
      <c r="V54" s="3">
        <f>4109.4+(1748.3-513.4)+(0+(0-0))+0-523.4-0</f>
        <v>4820.8999999999996</v>
      </c>
      <c r="W54" s="3">
        <f>3741.1+(1902.8-510.9)+(-5.723883+(-2.911284--0.781677))+0-643.2--0.984096000000037</f>
        <v>4482.9306059999999</v>
      </c>
      <c r="X54" s="3">
        <f>3003.4+(2040-505.3)+(-7.65867+(-5.202--1.288515))+0-589--1.50194999999991</f>
        <v>3939.0297950000004</v>
      </c>
      <c r="Y54" s="3">
        <f>2875.5+(1770.3-513.3)+(-4.399515+(-2.708559--0.785349))+0-558.8--0.854964000000032</f>
        <v>3568.2322389999999</v>
      </c>
      <c r="Z54" s="3">
        <f>3805.4+(1313.2-602.8)+(-1.940754+(-0.669732--0.307428))+0-630.1--0.321350999999936</f>
        <v>3883.7182929999999</v>
      </c>
      <c r="AA54" s="3">
        <f>4278.7+(1223.4-685.5)+(-8.728548+(-2.495736--1.39842))+0-497.9--1.01571599999998</f>
        <v>4309.8898520000002</v>
      </c>
      <c r="AB54" s="3">
        <f>3580+(2022.7-530.6)+(-1.8258+(-1.031577--0.270606))+0-620.8--0.316607999999937</f>
        <v>4449.029837</v>
      </c>
      <c r="AC54" s="3">
        <f>3404.5+(2359.2-542.8)+(1.736295+(1.203192-0.276828))+0-630.8-0.321707999999936</f>
        <v>4592.4409509999996</v>
      </c>
      <c r="AD54" s="2">
        <v>4278.7</v>
      </c>
      <c r="AE54" s="3">
        <f>4320+(1273.4-692.2)+(0+(0-0))+0-622.5-0</f>
        <v>4278.7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3509.6+(2300-525.9)+(-3.579792+(-2.346--0.536418))+0-576.8--0.588336000000092</f>
        <v>4702.0989619999991</v>
      </c>
      <c r="G55" s="3">
        <f>3355.4+(2353.9-534.4)+(-8.55627+(-6.002445--1.36272))+0-549.3--1.40071499999992</f>
        <v>4613.8047199999992</v>
      </c>
      <c r="H55" s="3">
        <f>3235.9+(2321.3-497.6)+(-4.950927+(-3.551589--0.761328))+0-549.1--0.840123000000032</f>
        <v>4503.598935</v>
      </c>
      <c r="I55" s="3">
        <f>2882.9+(2546.4-523.4)+(-2.940558+(-2.597328--0.533868))+0-570.2--0.581604000000091</f>
        <v>4331.2775860000002</v>
      </c>
      <c r="J55" s="3">
        <f>2879.6+(2482-525.4)+(-2.937192+(-2.53164--0.535908))+0-607.2--0.619344000000097</f>
        <v>4224.68642</v>
      </c>
      <c r="K55" s="3">
        <f>2644.9+(2568.9-530.5)+(-6.744495+(-6.550695--1.352775))+0-572.5--1.45987499999992</f>
        <v>4100.3174599999993</v>
      </c>
      <c r="L55" s="3">
        <f>2570.4+(2272.7-539.8)+(-5.243616+(-4.636308--1.101192))+0-565.6--1.15382399999998</f>
        <v>3730.0750920000005</v>
      </c>
      <c r="M55" s="3">
        <f>2533.7+(2045.8-549.8)+(3.876561+(3.130074-0.841194))+0-558-0.853740000000032</f>
        <v>3477.0117009999999</v>
      </c>
      <c r="N55" s="3">
        <f>2905.1+(1503.3-535)+(2.963202+(1.533366-0.5457))+0-486.1-0.495822000000078</f>
        <v>3390.7550459999998</v>
      </c>
      <c r="O55" s="3">
        <f>3236.9+(1138.4-539.2)+(0+(0-0))+0-449.8-0</f>
        <v>3386.3</v>
      </c>
      <c r="P55" s="3">
        <f>3888.9+(854.5-683.6)+(0+(0-0))+0-495.8-0</f>
        <v>3564</v>
      </c>
      <c r="Q55" s="3">
        <f>4460.5+(950.7-1072.8)+(0+(0-0))+0-464.3-0</f>
        <v>3874.0999999999995</v>
      </c>
      <c r="R55" s="3">
        <f>5432.8+(982.9-1587.8)+(-2.770728+(-0.501279--0.809778))+0-598.5--0.305234999999939</f>
        <v>4227.2430060000006</v>
      </c>
      <c r="S55" s="3">
        <f>5133.2+(993.8-1005)+(-5.235864+(-1.013676--1.0251))+0-516.6--0.526932000000082</f>
        <v>4600.7024919999994</v>
      </c>
      <c r="T55" s="3">
        <f>5373.9+(1105.8-1206.4)+(0+(0-0))+0-590.3-0</f>
        <v>4682.9999999999991</v>
      </c>
      <c r="U55" s="3">
        <f>4539.3+(999-873.1)+(-9.260172+(-2.03796--1.781124))+0-337.6--0.688703999999985</f>
        <v>4318.7716959999998</v>
      </c>
      <c r="V55" s="3">
        <f>4003.1+(1114.1-449.6)+(-10.207905+(-2.840955--1.14648))+0-347.9--0.887144999999949</f>
        <v>4308.6847649999991</v>
      </c>
      <c r="W55" s="3">
        <f>3273.6+(1439-254.5)+(-11.686752+(-5.13723--0.908565))+0-411.6--1.46941200000001</f>
        <v>4032.0539950000002</v>
      </c>
      <c r="X55" s="3">
        <f>2773.5+(1309.4-291.3)+(-9.901395+(-4.674558--1.039941))+0-298--1.06386</f>
        <v>3481.1278480000005</v>
      </c>
      <c r="Y55" s="3">
        <f>2956.8+(1249.7-531.5)+(-1.507968+(-0.637347--0.271065))+0-381--0.194309999999961</f>
        <v>3292.32006</v>
      </c>
      <c r="Z55" s="3">
        <f>3492+(1195.3-662.1)+(1.78092+(0.609603-0.337671))+0-352.3-0.179672999999964</f>
        <v>3674.7731789999993</v>
      </c>
      <c r="AA55" s="3">
        <f>3833.9+(1246.7-615.6)+(-11.731734+(-3.814902--1.883736))+0-367--1.12302000000004</f>
        <v>4085.4601199999997</v>
      </c>
      <c r="AB55" s="3">
        <f>3786.3+(1476.7-499.6)+(-9.655065+(-3.765585--1.27398))+0-438.3--1.11766499999994</f>
        <v>4314.070995</v>
      </c>
      <c r="AC55" s="3">
        <f>3603.8+(1956-517.2)+(-9.18969+(-4.9878--1.31886))+0-478.2--1.21940999999993</f>
        <v>4552.7607800000005</v>
      </c>
      <c r="AD55" s="2">
        <v>3960</v>
      </c>
      <c r="AE55" s="3">
        <f>3897+(1203.1-783.3)+(0+(0-0))+0-356.8-0</f>
        <v>3960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3301.1+(2263.1-514.6)+(-3.367122+(-2.308362--0.524892))+0-458.4--0.467568000000073</f>
        <v>4586.5169760000008</v>
      </c>
      <c r="G56" s="3">
        <f>3007.6+(2487.4-518.7)+(-1.533876+(-1.268574--0.264537))+0-461.7--0.235466999999953</f>
        <v>4512.2975539999998</v>
      </c>
      <c r="H56" s="3">
        <f>2833.4+(2520.8-540.7)+(-5.780136+(-5.142432--1.103028))+0-461.1--0.94064399999998</f>
        <v>4343.5211039999995</v>
      </c>
      <c r="I56" s="3">
        <f>2703.4+(2580.1-541.8)+(-4.136202+(-3.947553--0.828954))+0-450.6--0.689418000000026</f>
        <v>4284.5346169999993</v>
      </c>
      <c r="J56" s="3">
        <f>2642.5+(2546.4-539.3)+(0+(0-0))+0-461.4-0</f>
        <v>4188.2000000000007</v>
      </c>
      <c r="K56" s="3">
        <f>2595.5+(2443.7-541.8)+(-5.29482+(-4.985148--1.105272))+0-458.7--0.93574799999998</f>
        <v>4030.4610519999997</v>
      </c>
      <c r="L56" s="3">
        <f>2565.8+(2105.7-530)+(-1.308558+(-1.073907--0.2703))+0-456.7--0.232916999999954</f>
        <v>3682.9207520000004</v>
      </c>
      <c r="M56" s="3">
        <f>2548+(1835.9-512.8)+(-1.29948+(-0.936309--0.261528))+0-423--0.215729999999957</f>
        <v>3446.3414690000004</v>
      </c>
      <c r="N56" s="3">
        <f>2573+(1744.7-537.2)+(1.31223+(0.889797-0.273972))+0-444.6-0.226745999999955</f>
        <v>3337.6013090000001</v>
      </c>
      <c r="O56" s="3">
        <f>2875.4+(1480.8-550)+(1.466454+(0.755208-0.2805))+0-435.1-0.221900999999956</f>
        <v>3372.8192610000001</v>
      </c>
      <c r="P56" s="3">
        <f>3425.2+(1147.1-664.9)+(-3.493704+(-1.170042--0.678198))+0-475.3--0.484806000000076</f>
        <v>3428.5992579999993</v>
      </c>
      <c r="Q56" s="3">
        <f>3948.3+(1077.1-911.7)+(0+(0-0))+0-448.6-0</f>
        <v>3665.1</v>
      </c>
      <c r="R56" s="3">
        <f>4481.6+(993.3-831.8)+(0+(0-0))+0-449.9-0</f>
        <v>4193.2000000000007</v>
      </c>
      <c r="S56" s="3">
        <f>4630.2+(1095.3-648.5)+(-7.084206+(-1.675809--0.992205))+0-471.9--0.722007000000027</f>
        <v>4598.0541970000004</v>
      </c>
      <c r="T56" s="3">
        <f>4884.2+(1199.3-714.8)+(-12.45471+(-3.058215--1.82274))+0-471.9--1.20334499999993</f>
        <v>4884.3131599999997</v>
      </c>
      <c r="U56" s="3">
        <f>4450.3+(1416.5-584.9)+(-11.348265+(-3.612075--1.491495))+0-471.9--1.20334499999993</f>
        <v>4797.7345000000005</v>
      </c>
      <c r="V56" s="3">
        <f>4095.9+(1583.7-548.7)+(-8.355636+(-3.230748--1.119348))+0-448.3--0.91453199999998</f>
        <v>4673.0474959999992</v>
      </c>
      <c r="W56" s="3">
        <f>3798.3+(1451.4-517.7)+(-3.874266+(-1.480428--0.528054))+0-446.6--0.455532000000071</f>
        <v>4281.0288919999994</v>
      </c>
      <c r="X56" s="3">
        <f>2917.4+(1779.9-501.2)+(-7.43937+(-4.538745--1.27806))+0-439.8--1.12148999999994</f>
        <v>3746.7214349999999</v>
      </c>
      <c r="Y56" s="3">
        <f>2952.2+(1447.8-524)+(1.505622+(0.738378-0.26724))+0-415.6-0.211955999999958</f>
        <v>3462.164804</v>
      </c>
      <c r="Z56" s="3">
        <f>4073.2+(1052-859)+(0+(0-0))+0-418.5-0</f>
        <v>3847.7</v>
      </c>
      <c r="AA56" s="3">
        <f>4222.1+(1230.9-757.2)+(-12.919626+(-3.766554--2.317032))+0-444.2--1.35925200000005</f>
        <v>4238.5901040000008</v>
      </c>
      <c r="AB56" s="3">
        <f>3765.2+(1681.9-547.3)+(-5.760756+(-2.573307--0.837369))+0-438.2--0.670446000000025</f>
        <v>4454.7737520000001</v>
      </c>
      <c r="AC56" s="3">
        <f>3498.1+(2092-535.3)+(-5.352093+(-3.20076--0.819009))+0-436.9--0.668457000000025</f>
        <v>4610.834613</v>
      </c>
      <c r="AD56" s="2">
        <v>4227.0000000000009</v>
      </c>
      <c r="AE56" s="3">
        <f>4425+(1134.1-861.4)+(0+(0-0))+0-470.7-0</f>
        <v>4227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3117.1+(2531.7-529.8)+(-3.179442+(-2.582334--0.540396))+0-459.9--0.469098000000073</f>
        <v>4654.3477180000009</v>
      </c>
      <c r="G57" s="3">
        <f>2962.6+(2604.7-537.2)+(-4.532778+(-3.985191--0.821916))+0-452.7--0.692631000000026</f>
        <v>4570.3965780000008</v>
      </c>
      <c r="H57" s="3">
        <f>3039.7+(2336.1-538.3)+(-1.550247+(-1.191411--0.274533))+0-430.3--0.219452999999956</f>
        <v>4404.9523279999994</v>
      </c>
      <c r="I57" s="3">
        <f>2992.9+(2252.4-549)+(1.526379+(1.148724-0.27999))+0-430.4-0.219503999999956</f>
        <v>4268.0756090000004</v>
      </c>
      <c r="J57" s="3">
        <f>2748.7+(2375.3-527.5)+(0+(0-0))+0-426.9-0</f>
        <v>4169.6000000000004</v>
      </c>
      <c r="K57" s="3">
        <f>2769.8+(2238.3-530.9)+(-4.237794+(-3.424599--0.812277))+0-483.9--0.740367000000028</f>
        <v>3987.1902510000009</v>
      </c>
      <c r="L57" s="3">
        <f>2574.3+(2103.1-518.8)+(0+(0-0))+0-423.3-0</f>
        <v>3735.3</v>
      </c>
      <c r="M57" s="3">
        <f>2693.7+(1706.4-525.5)+(0+(0-0))+0-435.5-0</f>
        <v>3439.1</v>
      </c>
      <c r="N57" s="3">
        <f>2713.5+(1576.2-523)+(-2.76777+(-1.607724--0.53346))+0-450--0.459000000000072</f>
        <v>3313.3169660000003</v>
      </c>
      <c r="O57" s="3">
        <f>2906.1+(1333.6-521)+(-1.482111+(-0.680136--0.26571))+0-435.8--0.222257999999956</f>
        <v>3281.2257209999993</v>
      </c>
      <c r="P57" s="3">
        <f>3188.8+(1148.8-521)+(8.13144+(2.92944-1.32855))+0-399.4-1.01846999999994</f>
        <v>3425.9138600000001</v>
      </c>
      <c r="Q57" s="3">
        <f>3610.7+(1117.8-738)+(1.841457+(0.570078-0.37638))+0-429.8-0.219197999999956</f>
        <v>3562.5159570000001</v>
      </c>
      <c r="R57" s="3">
        <f>4207.9+(1077.8-887.7)+(4.292058+(1.099356-0.905454))+0-399.8-0.407796000000064</f>
        <v>4002.2781639999998</v>
      </c>
      <c r="S57" s="3">
        <f>4448.9+(1246.7-771.2)+(0+(0-0))+0-423.3-0</f>
        <v>4501.0999999999995</v>
      </c>
      <c r="T57" s="3">
        <f>4675+(1327.9-880.2)+(4.7685+(1.354458-0.897804))+0-445-0.453900000000071</f>
        <v>4682.4712539999991</v>
      </c>
      <c r="U57" s="3">
        <f>4711.7+(1346.6-924.5)+(0+(0-0))+0-440.3-0</f>
        <v>4693.4999999999991</v>
      </c>
      <c r="V57" s="3">
        <f>4174.8+(1529.1-694.7)+(-10.64574+(-3.899205--1.771485))+0-450.1--1.14775499999993</f>
        <v>4547.4742949999991</v>
      </c>
      <c r="W57" s="3">
        <f>3291.3+(1996.6-730.3)+(-5.035689+(-3.054798--1.117359))+0-419.3--0.641529000000024</f>
        <v>4131.968401000001</v>
      </c>
      <c r="X57" s="3">
        <f>2818.4+(2039-733)+(-10.061688+(-7.27923--2.61681))+0-431.3--1.53974100000001</f>
        <v>3679.9156329999992</v>
      </c>
      <c r="Y57" s="3">
        <f>2759.8+(1726.1-741.3)+(-1.407498+(-0.880311--0.378063))+0-436.7--0.222716999999956</f>
        <v>3306.2129710000008</v>
      </c>
      <c r="Z57" s="3">
        <f>3679+(1203.2-851.9)+(-3.75258+(-1.227264--0.868938))+0-439.6--0.44839200000007</f>
        <v>3587.0374860000006</v>
      </c>
      <c r="AA57" s="3">
        <f>3970.2+(1538.2-948.1)+(-8.099208+(-3.137928--1.934124))+0-468--0.95471999999998</f>
        <v>4083.9517080000001</v>
      </c>
      <c r="AB57" s="3">
        <f>3647.4+(1912.3-747.1)+(-11.161044+(-5.851638--2.286126))+0-523.3--1.60129800000006</f>
        <v>4276.1747420000011</v>
      </c>
      <c r="AC57" s="3">
        <f>3182.3+(2521.2-751)+(-6.491892+(-5.143248--1.53204))+0-483.1--0.985523999999979</f>
        <v>4460.2824239999991</v>
      </c>
      <c r="AD57" s="2">
        <v>4049.8</v>
      </c>
      <c r="AE57" s="3">
        <f>3952+(1538.8-1014.5)+(0+(0-0))+0-426.5-0</f>
        <v>4049.8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3181.8+(2604.6-720.8)+(-1.622718+(-1.328346--0.367608))+0-479--0.244289999999951</f>
        <v>4584.2608339999997</v>
      </c>
      <c r="G58" s="3">
        <f>3118.4+(2528.3-713.5)+(-7.95192+(-6.447165--1.819425))+0-565.7--1.44253499999992</f>
        <v>4356.3628750000007</v>
      </c>
      <c r="H58" s="3">
        <f>3030.5+(2575.1-727.6)+(-6.18222+(-5.253204--1.484304))+0-545.3--1.11241199999998</f>
        <v>4323.8612920000005</v>
      </c>
      <c r="I58" s="3">
        <f>2866+(2543.5-716.8)+(-4.38498+(-3.891555--1.096704))+11.3-477.8--0.731034000000028</f>
        <v>4219.7512029999998</v>
      </c>
      <c r="J58" s="3">
        <f>2862.8+(2460-698.8)+(-7.30014+(-6.273--1.78194))+0-551.2--1.40555999999992</f>
        <v>4062.4143600000002</v>
      </c>
      <c r="K58" s="3">
        <f>2747.2+(2364.4-693.8)+(-7.00536+(-6.02922--1.76919))+0-514.8--1.31273999999993</f>
        <v>3893.0473500000003</v>
      </c>
      <c r="L58" s="3">
        <f>2778.2+(1973.5-701.3)+(1.416882+(1.006485-0.357663))+0-435.5-0.222104999999956</f>
        <v>3616.7435989999999</v>
      </c>
      <c r="M58" s="3">
        <f>3050.3+(1408.4-718.7)+(4.666959+(2.154852-1.099611))+0-414.7-0.634491000000024</f>
        <v>3330.3877090000005</v>
      </c>
      <c r="N58" s="3">
        <f>3108.9+(1233.4-703.7)+(3.171078+(1.258068-0.717774))+0-400-0.408000000000064</f>
        <v>3241.9033720000007</v>
      </c>
      <c r="O58" s="3">
        <f>3327.1+(1111.9-724.6)+(-5.090463+(-1.701207--1.108638))+0-400.3--0.612459000000023</f>
        <v>3309.0294269999999</v>
      </c>
      <c r="P58" s="3">
        <f>3718+(799.1-861.2)+(-5.68854+(-1.222623--1.317636))+0-418.1--0.639693000000024</f>
        <v>3232.8461660000003</v>
      </c>
      <c r="Q58" s="3">
        <f>4160.7+(540.6-1110.7)+(-6.365871+(-0.827118--1.699371))+0-397--0.607410000000023</f>
        <v>3188.713792</v>
      </c>
      <c r="R58" s="3">
        <f>4655.1+(742.3-1221)+(0+(0-0))+0-431-0</f>
        <v>3745.4000000000005</v>
      </c>
      <c r="S58" s="3">
        <f>4682.1+(1025.4-932.2)+(4.775742+(1.045908-0.950844))+0-483.7-0.493374000000077</f>
        <v>4295.9774320000006</v>
      </c>
      <c r="T58" s="3">
        <f>4988.4+(1042.8-1186.9)+(-7.632252+(-1.595484--1.815957))+9.3-414.8--0.634644000000024</f>
        <v>4432.022864999999</v>
      </c>
      <c r="U58" s="3">
        <f>4796.9+(670.2-1108.2)+(4.892838+(0.683604-1.130364))+80-213-0.217260000000034</f>
        <v>4230.1288179999992</v>
      </c>
      <c r="V58" s="3">
        <f>4738.9+(995.3-1078.2)+(-2.416839+(-0.507603--0.549882))+72-375--0.191249999999962</f>
        <v>4350.8166899999997</v>
      </c>
      <c r="W58" s="3">
        <f>3571.3+(1508.3-738.7)+(-9.106815+(-3.846165--1.883685))+0-371--0.946049999999946</f>
        <v>3959.7767549999994</v>
      </c>
      <c r="X58" s="3">
        <f>2986.4+(1649.6-713.9)+(-7.61532+(-4.20648--1.820445))+0-443--1.12964999999994</f>
        <v>3470.2282949999999</v>
      </c>
      <c r="Y58" s="3">
        <f>2910.9+(1473.7-721.9)+(-2.969118+(-1.503174--0.736338))+0-438.6--0.44737200000007</f>
        <v>3220.8114180000002</v>
      </c>
      <c r="Z58" s="3">
        <f>3597.2+(1201.5-916.5)+(0+(0-0))+0-355-0</f>
        <v>3527.2</v>
      </c>
      <c r="AA58" s="3">
        <f>3891.3+(1400.8-840.5)+(-9.922815+(-3.57204--2.143275))+0-498.6--1.27142999999993</f>
        <v>3942.9198500000007</v>
      </c>
      <c r="AB58" s="3">
        <f>3928.9+(1499-818.5)+(-10.018695+(-3.82245--2.087175))+0-457--1.16534999999993</f>
        <v>4141.8113800000001</v>
      </c>
      <c r="AC58" s="3">
        <f>3885.3+(1650.2-755.8)+(-1.981503+(-0.841602--0.385458))+0-430.7--0.219656999999956</f>
        <v>4346.7820100000008</v>
      </c>
      <c r="AD58" s="2">
        <v>3818.1000000000004</v>
      </c>
      <c r="AE58" s="3">
        <f>3964+(1391.5-1007.7)+(0+(0-0))+0-529.7-0</f>
        <v>3818.1000000000004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3423.8+(2172.5-696.6)+(-12.222966+(-7.755825--2.486862))+0-477.3--1.70396100000001</f>
        <v>4406.6120320000009</v>
      </c>
      <c r="G59" s="3">
        <f>3235+(2325.6-738.8)+(-1.64985+(-1.186056--0.376788))+0-473.8--0.241637999999952</f>
        <v>4345.7825199999997</v>
      </c>
      <c r="H59" s="3">
        <f>3230.3+(2213.4-741.4)+(0+(0-0))+0-508.6-0</f>
        <v>4193.7</v>
      </c>
      <c r="I59" s="3">
        <f>2919.6+(2386.7-748.4)+(-4.466988+(-3.651651--1.145052))+0-468.8--0.717264000000027</f>
        <v>4082.8436769999989</v>
      </c>
      <c r="J59" s="3">
        <f>2905.9+(2335-752)+(-7.410045+(-5.95425--1.9176))+0-494.4--1.26071999999993</f>
        <v>3984.3140249999997</v>
      </c>
      <c r="K59" s="3">
        <f>2776.5+(2239.8-754.9)+(-5.66406+(-4.569192--1.539996))+0-413.5--0.843539999999982</f>
        <v>3840.0502839999999</v>
      </c>
      <c r="L59" s="3">
        <f>2699.9+(1942.9-754.2)+(-4.130847+(-2.972637--1.153926))+0-420.9--0.643977000000024</f>
        <v>3462.3944190000007</v>
      </c>
      <c r="M59" s="3">
        <f>2745.2+(1695.6-748.4)+(0+(0-0))+0-400-0</f>
        <v>3292.3999999999996</v>
      </c>
      <c r="N59" s="3">
        <f>2824.6+(1482.1-780)+(1.440546+(0.755871-0.3978))+0-389.4-0.19859399999996</f>
        <v>3138.9000229999997</v>
      </c>
      <c r="O59" s="3">
        <f>3057.6+(1240-783.9)+(-1.559376+(-0.6324--0.399789))+0-395--0.20144999999996</f>
        <v>3117.1094629999998</v>
      </c>
      <c r="P59" s="3">
        <f>3604.6+(1043.3-974.5)+(0+(0-0))+0-428.6-0</f>
        <v>3244.7999999999997</v>
      </c>
      <c r="Q59" s="3">
        <f>4039.3+(937.4-1181.4)+(-2.060043+(-0.478074--0.602514))+0-361.3--0.184262999999963</f>
        <v>3432.2486600000002</v>
      </c>
      <c r="R59" s="3">
        <f>4630.5+(956.4-1240.9)+(4.72311+(0.975528-1.265718))+0-505.3-0.515406000000081</f>
        <v>3844.617514</v>
      </c>
      <c r="S59" s="3">
        <f>4608.2+(1169.8-985.6)+(-7.050546+(-1.789794--1.507968))+0-454.5--0.695385000000026</f>
        <v>4331.2630129999998</v>
      </c>
      <c r="T59" s="3">
        <f>4747.1+(1223.7-998.9)+(2.421021+(0.624087-0.509439))+0-431.1-0.219860999999956</f>
        <v>4543.1158080000005</v>
      </c>
      <c r="U59" s="3">
        <f>4588.8+(1380.6-835.8)+(-14.041728+(-4.224636--2.557548))+0-498.3--1.52479800000006</f>
        <v>4621.1159820000003</v>
      </c>
      <c r="V59" s="3">
        <f>4148.4+(1542-774.2)+(-8.462736+(-3.14568--1.579368))+0-454.9--0.92799599999998</f>
        <v>4452.1989480000002</v>
      </c>
      <c r="W59" s="3">
        <f>3166.4+(2065.9-719.8)+(-8.07432+(-5.268045--1.83549))+0-490.5--1.25077499999993</f>
        <v>4011.7438999999999</v>
      </c>
      <c r="X59" s="3">
        <f>2756.1+(1990.6-703.3)+(-8.433666+(-6.091236--2.152098))+0-445.7--1.36384200000005</f>
        <v>3586.6910379999999</v>
      </c>
      <c r="Y59" s="3">
        <f>3218+(1266.1-698.1)+(3.28236+(1.291422-0.712062))+0-465.2-0.474504000000074</f>
        <v>3324.1872159999998</v>
      </c>
      <c r="Z59" s="3">
        <f>3722.7+(1157.3-836.2)+(-1.898577+(-0.590223--0.426462))+0-570.8--0.291107999999942</f>
        <v>3471.2287699999993</v>
      </c>
      <c r="AA59" s="3">
        <f>3913.7+(1419-912.1)+(-9.979935+(-3.61845--2.325855))+0-505.5--1.28902499999993</f>
        <v>3905.1164949999993</v>
      </c>
      <c r="AB59" s="3">
        <f>3723.4+(1647.3-748.2)+(-5.696802+(-2.520369--1.144746))+0-507--0.775710000000029</f>
        <v>4109.2032849999996</v>
      </c>
      <c r="AC59" s="3">
        <f>3945.1+(1707.4-717)+(-4.024002+(-1.741548--0.73134))+0-516.2--0.526524000000082</f>
        <v>4414.7923140000003</v>
      </c>
      <c r="AD59" s="2">
        <v>3823.3000000000006</v>
      </c>
      <c r="AE59" s="3">
        <f>4194+(1266.8-1161.6)+(0+(0-0))+0-475.9-0</f>
        <v>3823.2999999999997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3905.6+(1746.5-660.3)+(-3.983712+(-1.78143--0.673506))+0-481.5--0.491130000000077</f>
        <v>4505.6994940000004</v>
      </c>
      <c r="G60" s="3">
        <f>4026.3+(1660.4-695.4)+(4.106826+(1.693608-0.709308))+0-485.7-0.495414000000077</f>
        <v>4510.1957120000006</v>
      </c>
      <c r="H60" s="3">
        <f>3792.9+(1872-702.1)+(-1.934379+(-0.95472--0.358071))+0-509.3--0.259742999999948</f>
        <v>4451.2287149999993</v>
      </c>
      <c r="I60" s="3">
        <f>3450.5+(2052.2-711.9)+(0+(0-0))+0-487.3-0</f>
        <v>4303.4999999999991</v>
      </c>
      <c r="J60" s="3">
        <f>3134.2+(2316.1-704.5)+(0+(0-0))+0-511.1-0</f>
        <v>4234.6999999999989</v>
      </c>
      <c r="K60" s="3">
        <f>2714+(2591.2-719.4)+(-4.15242+(-3.964536--1.100682))+0-467.8--0.715734000000027</f>
        <v>4111.6994599999998</v>
      </c>
      <c r="L60" s="3">
        <f>2535.5+(2494.4-708.4)+(-3.879315+(-3.816432--1.083852))+0-521.4--0.79774200000003</f>
        <v>3794.2858470000001</v>
      </c>
      <c r="M60" s="3">
        <f>2520.5+(2145.2-681.5)+(-3.856365+(-3.282156--1.042695))+0-418--0.639540000000024</f>
        <v>3560.7437139999997</v>
      </c>
      <c r="N60" s="3">
        <f>2593.2+(1894.7-702.6)+(0+(0-0))+0-353.5-0</f>
        <v>3431.7999999999997</v>
      </c>
      <c r="O60" s="3">
        <f>2600.1+(1753-713.6)+(-1.326051+(-0.89403--0.363936))+0-280.6--0.143105999999972</f>
        <v>3357.1869609999999</v>
      </c>
      <c r="P60" s="3">
        <f>2819.5+(1661.7-704.5)+(2.87589+(1.694934-0.71859))+0-410.6-0.418812000000066</f>
        <v>3369.533422</v>
      </c>
      <c r="Q60" s="3">
        <f>3220.7+(1599.7-746.5)+(4.927671+(2.447541-1.142145))+0-511.5-0.78259500000003</f>
        <v>3567.8504719999996</v>
      </c>
      <c r="R60" s="3">
        <f>3748.6+(1471.9-748.2)+(0+(0-0))+0-523.6-0</f>
        <v>3948.7000000000003</v>
      </c>
      <c r="S60" s="3">
        <f>4183+(1479.7-768.2)+(-2.13333+(-0.754647--0.391782))+0-489--0.24938999999995</f>
        <v>4403.2531950000002</v>
      </c>
      <c r="T60" s="3">
        <f>4398.9+(1494.3-759.6)+(-4.486878+(-1.524186--0.774792))+0-435.1--0.443802000000069</f>
        <v>4693.7075299999988</v>
      </c>
      <c r="U60" s="3">
        <f>4053.6+(1719.8-698.1)+(-4.134672+(-1.754196--0.712062))+0-359.8--0.366996000000057</f>
        <v>4710.6901899999993</v>
      </c>
      <c r="V60" s="3">
        <f>3874.4+(1835.4-689.7)+(-7.903776+(-3.744216--1.406988))+0-403.8--0.823751999999982</f>
        <v>4606.882748</v>
      </c>
      <c r="W60" s="3">
        <f>3183.9+(2166.8-681.8)+(-6.495156+(-4.420272--1.390872))+0-404.5--0.825179999999982</f>
        <v>4255.7006240000001</v>
      </c>
      <c r="X60" s="3">
        <f>2700.8+(2185.9-689.6)+(-4.132224+(-3.344427--1.055088))+0-446.7--0.683451000000026</f>
        <v>3744.6618880000005</v>
      </c>
      <c r="Y60" s="3">
        <f>2794.6+(1705.6-671.5)+(-1.425246+(-0.869856--0.342465))+0-418.7--0.213536999999958</f>
        <v>3408.2609000000002</v>
      </c>
      <c r="Z60" s="3">
        <f>3672.6+(1182.9-709.9)+(0+(0-0))+0-440.8-0</f>
        <v>3704.8</v>
      </c>
      <c r="AA60" s="3">
        <f>4484.3+(1258.5-1055.8)+(-6.860979+(-1.925505--1.615374))+0-452.3--0.692019000000026</f>
        <v>4228.2209089999997</v>
      </c>
      <c r="AB60" s="3">
        <f>4312.1+(1429.6-869.4)+(-8.796684+(-2.916384--1.773576))+0-413.1--0.842723999999982</f>
        <v>4450.1032319999995</v>
      </c>
      <c r="AC60" s="3">
        <f>4319.5+(1529.7-788.1)+(-8.81178+(-3.120588--1.607724))+0-412.2--0.840887999999982</f>
        <v>4639.416244</v>
      </c>
      <c r="AD60" s="2">
        <v>4207.5999999999995</v>
      </c>
      <c r="AE60" s="3">
        <f>4642+(1223.7-1184.9)+(0+(0-0))+0-473.2-0</f>
        <v>4207.6000000000004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3992+(1973.1-751.3)+(-2.03592+(-1.006281--0.383163))+0-472.7--0.241076999999952</f>
        <v>4738.6820390000003</v>
      </c>
      <c r="G61" s="3">
        <f>3489.3+(2336.2-715.3)+(-8.897715+(-5.95731--1.824015))+0-422.9--1.07839499999994</f>
        <v>4675.347385</v>
      </c>
      <c r="H61" s="3">
        <f>2937.8+(2830.6-748.4)+(-5.993112+(-5.774424--1.526736))+0-467.2--0.95308799999998</f>
        <v>4543.5122880000008</v>
      </c>
      <c r="I61" s="3">
        <f>2795.7+(2839.1-755)+(-5.703228+(-5.791764--1.5402))+0-441.5--0.900659999999981</f>
        <v>4429.2458679999991</v>
      </c>
      <c r="J61" s="3">
        <f>2931.4+(2589.2-750.8)+(1.495014+(1.320492-0.382908))+0-459.2-0.234191999999953</f>
        <v>4312.7984060000008</v>
      </c>
      <c r="K61" s="3">
        <f>2956.5+(2413.7-759.2)+(-6.03126+(-4.923948--1.548768))+0-438--0.893519999999981</f>
        <v>4164.4870799999999</v>
      </c>
      <c r="L61" s="3">
        <f>2689.9+(2308.5-757)+(-1.371849+(-1.177335--0.38607))+0-441.4--0.225113999999955</f>
        <v>3798.0619999999994</v>
      </c>
      <c r="M61" s="3">
        <f>2925.8+(1803.3-760.8)+(2.984316+(1.839366-0.776016))+0-432.6-0.441252000000069</f>
        <v>3539.3064140000001</v>
      </c>
      <c r="N61" s="3">
        <f>3083.4+(1623.3-747.9)+(0+(0-0))+0-470.2-0</f>
        <v>3488.6000000000004</v>
      </c>
      <c r="O61" s="3">
        <f>3338.9+(1359.4-756.3)+(3.405678+(1.386588-0.771426))+0-439.4-0.44818800000007</f>
        <v>3506.1726520000002</v>
      </c>
      <c r="P61" s="3">
        <f>3774.8+(1077.2-749.5)+(0+(0-0))+0-467.4-0</f>
        <v>3635.1</v>
      </c>
      <c r="Q61" s="3">
        <f>4482.1+(895.6-1085.2)+(0+(0-0))+0-410.7-0</f>
        <v>3881.8</v>
      </c>
      <c r="R61" s="3">
        <f>5160.4+(1118.7-1388.7)+(-2.631804+(-0.570537--0.708237))+0-478.3--0.243932999999951</f>
        <v>4409.8498289999989</v>
      </c>
      <c r="S61" s="3">
        <f>4986.1+(1374.9-1042)+(-10.171644+(-2.804796--2.12568))+0-461.5--0.94145999999998</f>
        <v>4847.5906999999997</v>
      </c>
      <c r="T61" s="3">
        <f>5462.5+(1374.7-1222.7)+(0+(0-0))+0-493.3-0</f>
        <v>5121.2</v>
      </c>
      <c r="U61" s="3">
        <f>5411.2+(1447.5-1249.6)+(-11.038848+(-2.9529--2.549184))+0-465.8--0.95023199999998</f>
        <v>5132.8076680000004</v>
      </c>
      <c r="V61" s="3">
        <f>4910.9+(1567.5-993.9)+(-12.522795+(-3.997125--2.534445))+0-491.5--1.25332499999993</f>
        <v>4980.2678499999993</v>
      </c>
      <c r="W61" s="3">
        <f>3672+(2116-701.4)+(-5.61816+(-3.23748--1.073142))+0-453.8--0.694314000000026</f>
        <v>4625.7118160000009</v>
      </c>
      <c r="X61" s="3">
        <f>3040+(2234.3-716.3)+(-10.8528+(-7.976451--2.557191))+0-471.7--1.68396900000001</f>
        <v>4071.7119090000001</v>
      </c>
      <c r="Y61" s="3">
        <f>3002.3+(1796.9-704.9)+(-7.655865+(-4.582095--1.797495))+0-421.5--1.07482499999994</f>
        <v>3663.4343600000002</v>
      </c>
      <c r="Z61" s="3">
        <f>3504.9+(1680.8-793.6)+(-1.787499+(-0.857208--0.404736))+0-469.7--0.239546999999952</f>
        <v>3920.3995760000007</v>
      </c>
      <c r="AA61" s="3">
        <f>4054.6+(1626.1-853.9)+(-10.33923+(-4.146555--2.177445))+0-393.7--1.00393499999994</f>
        <v>4421.7955950000005</v>
      </c>
      <c r="AB61" s="3">
        <f>4180.9+(1658.6-770.5)+(-8.529036+(-3.383544--1.57182))+0-410.9--0.838235999999982</f>
        <v>4648.5974759999999</v>
      </c>
      <c r="AC61" s="3">
        <f>3833.7+(2154.2-748.5)+(-7.820748+(-4.394568--1.52694))+0-408--0.832319999999982</f>
        <v>4821.543944</v>
      </c>
      <c r="AD61" s="2">
        <v>4359.5</v>
      </c>
      <c r="AE61" s="3">
        <f>4079+(1612.2-926.3)+(0+(0-0))+0-405.4-0</f>
        <v>4359.5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3709.9+(2432.8-721.7)+(-9.460245+(-6.20364--1.840335))+0-508.9--1.29769499999993</f>
        <v>4899.5741450000005</v>
      </c>
      <c r="G62" s="3">
        <f>3606.2+(2295.3-722)+(-9.19581+(-5.853015--1.8411))+0-357.2--0.910859999999948</f>
        <v>4810.0031349999999</v>
      </c>
      <c r="H62" s="3">
        <f>3103.1+(2734-741.3)+(-4.747743+(-4.18302--1.134189))+0-449.9--0.688347000000026</f>
        <v>4638.7917730000008</v>
      </c>
      <c r="I62" s="3">
        <f>2891.4+(2820.6-730.8)+(-1.474614+(-1.438506--0.372708))+0-477.8--0.243677999999952</f>
        <v>4501.1032660000001</v>
      </c>
      <c r="J62" s="3">
        <f>2727+(2879.3-727.6)+(-4.17231+(-4.405329--1.113228))+0-476.6--0.729198000000028</f>
        <v>4395.3647870000004</v>
      </c>
      <c r="K62" s="3">
        <f>2569.4+(2932.6-727.3)+(-6.55197+(-7.47813--1.854615))+0-478.8--1.22093999999993</f>
        <v>4284.9454550000009</v>
      </c>
      <c r="L62" s="3">
        <f>2494+(2620.6-728.5)+(-1.27194+(-1.336506--0.371535))+0-477.9--0.243728999999952</f>
        <v>3906.2068180000001</v>
      </c>
      <c r="M62" s="3">
        <f>2551.3+(2350.5-729.8)+(-2.602326+(-2.39751--0.744396))+0-471.4--0.480828000000075</f>
        <v>3696.8253880000002</v>
      </c>
      <c r="N62" s="3">
        <f>2741.2+(2084.7-729.5)+(1.398012+(1.063197-0.372045))+0-429.1-0.218840999999956</f>
        <v>3669.1703229999998</v>
      </c>
      <c r="O62" s="3">
        <f>3044+(1717.5-731.7)+(-3.10488+(-1.75185--0.746334))+0-423--0.431460000000067</f>
        <v>3603.1210640000004</v>
      </c>
      <c r="P62" s="3">
        <f>3538.8+(1375.2-742.3)+(5.414364+(2.104056-1.135719))+0-425.8-0.651474000000025</f>
        <v>3751.6312270000008</v>
      </c>
      <c r="Q62" s="3">
        <f>4244.3+(1136.1-835.2)+(6.493779+(1.738233-1.277856))+0-461.7-0.706401000000027</f>
        <v>4089.7477549999999</v>
      </c>
      <c r="R62" s="3">
        <f>4711.3+(1343.1-841)+(0+(0-0))+0-476-0</f>
        <v>4737.3999999999996</v>
      </c>
      <c r="S62" s="3">
        <f>4593+(1693.3-784.5)+(0+(0-0))+0-489.6-0</f>
        <v>5012.2</v>
      </c>
      <c r="T62" s="3">
        <f>4884.9+(1741.7-920)+(-7.473897+(-2.664801--1.4076))+0-460.2--0.704106000000027</f>
        <v>5238.3730079999996</v>
      </c>
      <c r="U62" s="3">
        <f>4652.6+(1768.2-777.2)+(-9.491304+(-3.607128--1.585488))+0-449.5--0.91697999999998</f>
        <v>5183.5040360000003</v>
      </c>
      <c r="V62" s="3">
        <f>4216.7+(2016.6-670.7)+(-10.752585+(-5.14233--1.710285))+0-441.7--1.12633499999994</f>
        <v>5107.8417049999998</v>
      </c>
      <c r="W62" s="3">
        <f>3450.2+(2442.4-704.1)+(-1.759602+(-1.245624--0.359091))+0-481.9--0.245768999999951</f>
        <v>4704.1996340000005</v>
      </c>
      <c r="X62" s="3">
        <f>2895.1+(2381-674.1)+(-5.906004+(-4.85724--1.375164))+0-445.8--0.909431999999981</f>
        <v>4147.7213520000005</v>
      </c>
      <c r="Y62" s="3">
        <f>3037.6+(1775.8-644.9)+(-1.549176+(-0.905658--0.328899))+0-435.6--0.222155999999956</f>
        <v>3730.9962209999999</v>
      </c>
      <c r="Z62" s="3">
        <f>3693.8+(1491.7-747.8)+(1.883838+(0.760767-0.381378))+0-505.8-0.257957999999949</f>
        <v>3933.9052690000008</v>
      </c>
      <c r="AA62" s="3">
        <f>3943.6+(1770.3-723.8)+(-8.044944+(-3.611412--1.476552))+0-458.9--0.93615599999998</f>
        <v>4521.9563520000002</v>
      </c>
      <c r="AB62" s="3">
        <f>3724.7+(2154.5-657.7)+(-5.698791+(-3.296385--1.006281))+0-507.6--0.776628000000029</f>
        <v>4706.6877329999988</v>
      </c>
      <c r="AC62" s="3">
        <f>3501+(2486.1-666.1)+(-7.14204+(-5.071644--1.358844))+0-456.6--0.93146399999998</f>
        <v>4854.4766239999999</v>
      </c>
      <c r="AD62" s="2">
        <v>4332.8</v>
      </c>
      <c r="AE62" s="3">
        <f>4013+(1654-787.7)+(0+(0-0))+0-546.5-0</f>
        <v>4332.8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3292.8+(2831-663.5)+(-3.358656+(-2.88762--0.67677))+0-520.2--0.530604000000083</f>
        <v>4935.061098000001</v>
      </c>
      <c r="G63" s="3">
        <f>3034.1+(2878-663.9)+(-7.736955+(-7.3389--1.692945))+0-407.4--1.03886999999994</f>
        <v>4828.4559600000002</v>
      </c>
      <c r="H63" s="3">
        <f>2794+(2958.5-679.9)+(-2.84988+(-3.01767--0.693498))+0-420.7--0.429114000000067</f>
        <v>4647.1550620000007</v>
      </c>
      <c r="I63" s="3">
        <f>2840.6+(2875-702.6)+(-4.346118+(-4.39875--1.074978))+0-477.8--0.731034000000028</f>
        <v>4528.2611440000001</v>
      </c>
      <c r="J63" s="3">
        <f>2923.6+(2625.1-712.8)+(0+(0-0))+0-394.8-0</f>
        <v>4441.0999999999995</v>
      </c>
      <c r="K63" s="3">
        <f>2871.6+(2615-713.4)+(-4.393548+(-4.00095--1.091502))+0-480--0.734400000000028</f>
        <v>4286.6314039999997</v>
      </c>
      <c r="L63" s="3">
        <f>2829.2+(2184.2-715.5)+(-2.885784+(-2.227884--0.72981))+0-341.2--0.348024000000054</f>
        <v>3952.6641659999996</v>
      </c>
      <c r="M63" s="3">
        <f>3019.2+(1779.4-734)+(-4.619376+(-2.722482--1.12302))+0-391.2--0.598536000000023</f>
        <v>3667.7796980000003</v>
      </c>
      <c r="N63" s="3">
        <f>3127.7+(1554.5-710.8)+(-1.595127+(-0.792795--0.362508))+0-353.5--0.180284999999964</f>
        <v>3616.0548709999994</v>
      </c>
      <c r="O63" s="3">
        <f>3024.6+(1712-703.2)+(0+(0-0))+0-371.3-0</f>
        <v>3662.0999999999995</v>
      </c>
      <c r="P63" s="3">
        <f>3256.1+(1552.4-711.5)+(0+(0-0))+0-353-0</f>
        <v>3744</v>
      </c>
      <c r="Q63" s="3">
        <f>3968.8+(1243.6-857.9)+(2.024088+(0.634236-0.437529))+0-290.5-0.148154999999971</f>
        <v>4066.0726400000003</v>
      </c>
      <c r="R63" s="3">
        <f>4697.9+(1290.3-1023.3)+(-2.395929+(-0.658053--0.521883))+0-419.3--0.213842999999957</f>
        <v>4543.281743999999</v>
      </c>
      <c r="S63" s="3">
        <f>5079.1+(1414-1020.3)+(-5.180682+(-1.44228--1.040706))+0-366.4--0.373728000000058</f>
        <v>5101.1914720000013</v>
      </c>
      <c r="T63" s="3">
        <f>5334.5+(1476.9-1088.1)+(-2.720595+(-0.753219--0.554931))+0-499--0.254489999999949</f>
        <v>5221.6356070000002</v>
      </c>
      <c r="U63" s="3">
        <f>5488.6+(1533.1-1176.6)+(-5.598372+(-1.563762--1.200132))+0-512.8--0.523056000000082</f>
        <v>5326.861054</v>
      </c>
      <c r="V63" s="3">
        <f>5070.2+(1514.7-928.4)+(-15.514812+(-4.634982--2.840904))+0-522.8--1.59976800000006</f>
        <v>5117.9908779999996</v>
      </c>
      <c r="W63" s="3">
        <f>3916.7+(2091.3-701.1)+(-5.992551+(-3.199689--1.072683))+0-489.3--0.748629000000028</f>
        <v>4810.2290719999992</v>
      </c>
      <c r="X63" s="3">
        <f>3055.2+(2220.8-748.5)+(-10.907064+(-7.928256--2.672145))+0-507.3--1.81106100000001</f>
        <v>4005.847886</v>
      </c>
      <c r="Y63" s="3">
        <f>3050+(1966-698.2)+(-7.7775+(-5.0133--1.78041))+0-399.1--1.01770499999994</f>
        <v>3908.7073149999997</v>
      </c>
      <c r="Z63" s="3">
        <f>3771+(1612.2-791.4)+(1.92321+(0.822222-0.403614))+0-514.4-0.262343999999948</f>
        <v>4079.4794740000002</v>
      </c>
      <c r="AA63" s="3">
        <f>4203.9+(1696.7-711.8)+(-6.431967+(-2.595951--1.089054))+0-388.5--0.594405000000023</f>
        <v>4792.9555409999994</v>
      </c>
      <c r="AB63" s="3">
        <f>3884.3+(2110.3-689.6)+(-7.923972+(-4.305012--1.406784))+0-495.2--1.01020799999998</f>
        <v>4799.9880080000003</v>
      </c>
      <c r="AC63" s="3">
        <f>3823.1+(2302.6-651.3)+(-3.899562+(-2.348652--0.664326))+0-403.9--0.411978000000064</f>
        <v>5065.32809</v>
      </c>
      <c r="AD63" s="2">
        <v>4696.7</v>
      </c>
      <c r="AE63" s="3">
        <f>4193+(1783.8-714.3)+(0+(0-0))+0-565.8-0</f>
        <v>4696.7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3594.7+(2572.7-700.4)+(-5.499891+(-3.936231--1.071612))+0-457.6--0.700128000000027</f>
        <v>5001.7356179999997</v>
      </c>
      <c r="G64" s="3">
        <f>3474.8+(2618.3-673.4)+(-7.088592+(-5.341332--1.373736))+0-487.1--0.993683999999979</f>
        <v>4922.5374960000008</v>
      </c>
      <c r="H64" s="3">
        <f>3002+(2954.8-692.7)+(-7.6551+(-7.53474--1.766385))+0-443--1.12964999999994</f>
        <v>4808.8061950000001</v>
      </c>
      <c r="I64" s="3">
        <f>2860.3+(2972-693.6)+(-4.376259+(-4.54716--1.061208))+0-407.6--0.623628000000024</f>
        <v>4723.861417000001</v>
      </c>
      <c r="J64" s="3">
        <f>2816.5+(2961.9-705.5)+(-4.309245+(-4.531707--1.079415))+0-437.3--0.669069000000025</f>
        <v>4628.5075319999987</v>
      </c>
      <c r="K64" s="3">
        <f>2802.8+(2915.8-704.8)+(-8.576568+(-8.922348--2.156688))+0-490.3--1.50031800000006</f>
        <v>4509.6580899999999</v>
      </c>
      <c r="L64" s="3">
        <f>2792.1+(2436.1-709.2)+(1.423971+(1.242411-0.361692))+0-454.3-0.231692999999954</f>
        <v>4066.7729969999996</v>
      </c>
      <c r="M64" s="3">
        <f>2883+(2093.1-700.7)+(-1.47033+(-1.067481--0.357357))+0-452.4--0.230723999999954</f>
        <v>3821.0502699999993</v>
      </c>
      <c r="N64" s="3">
        <f>2965.1+(1846.6-653.9)+(1.512201+(0.941766-0.333489))+0-445.8-0.227357999999955</f>
        <v>3713.8931199999988</v>
      </c>
      <c r="O64" s="3">
        <f>3374.4+(1549.7-678.3)+(0+(0-0))+0-443-0</f>
        <v>3802.8</v>
      </c>
      <c r="P64" s="3">
        <f>3551+(1389.4-696.4)+(0+(0-0))+0-364.5-0</f>
        <v>3879.5</v>
      </c>
      <c r="Q64" s="3">
        <f>3900.2+(1347.2-742.4)+(0+(0-0))+0-422.8-0</f>
        <v>4082.2</v>
      </c>
      <c r="R64" s="3">
        <f>4676.1+(1223-982.3)+(0+(0-0))+0-413.2-0</f>
        <v>4503.6000000000004</v>
      </c>
      <c r="S64" s="3">
        <f>4319.4+(1684.1-678.6)+(-8.811576+(-3.435564--1.384344))+0-429.4--0.875975999999981</f>
        <v>4885.5131799999999</v>
      </c>
      <c r="T64" s="3">
        <f>4687.2+(1594-800.8)+(-2.390472+(-0.81294--0.408408))+0-402.5--0.205274999999959</f>
        <v>5075.3102710000003</v>
      </c>
      <c r="U64" s="3">
        <f>4582.1+(1555.1-835.4)+(-9.347484+(-3.172404--1.704216))+0-349.1--0.712163999999985</f>
        <v>4942.5964919999997</v>
      </c>
      <c r="V64" s="3">
        <f>4486.9+(1530.6-828.9)+(-16.018233+(-5.464242--2.959173))+0-454.7--1.62327900000001</f>
        <v>4716.9999770000004</v>
      </c>
      <c r="W64" s="3">
        <f>3852.7+(1524.7-675)+(-11.789262+(-4.665582--2.0655))+0-416.4--1.27418400000005</f>
        <v>4272.8848399999997</v>
      </c>
      <c r="X64" s="3">
        <f>3338.7+(1598.1-666.6)+(-3.405474+(-1.630062--0.679932))+0-474.4--0.483888000000076</f>
        <v>3791.9282839999996</v>
      </c>
      <c r="Y64" s="3">
        <f>3310.8+(1449.6-683.2)+(0+(0-0))+0-511.8-0</f>
        <v>3565.3999999999996</v>
      </c>
      <c r="Z64" s="3">
        <f>3721.5+(1394.5-741.9)+(-3.79593+(-1.42239--0.756738))+0-459.3--0.468486000000073</f>
        <v>3910.8069040000005</v>
      </c>
      <c r="AA64" s="3">
        <f>3505.9+(2101.7-705.6)+(-8.940045+(-5.359335--1.79928))+0-570.9--1.45579499999992</f>
        <v>4320.055695</v>
      </c>
      <c r="AB64" s="3">
        <f>3722.9+(1962.4-688.9)+(-7.594716+(-4.003296--1.405356))+0-513.9--1.04835599999998</f>
        <v>4473.3557000000001</v>
      </c>
      <c r="AC64" s="3">
        <f>3522.2+(2264.1-680.1)+(-12.574254+(-8.082837--2.427957))+0-477.5--1.70467500000001</f>
        <v>4612.1755409999996</v>
      </c>
      <c r="AD64" s="2">
        <v>4219</v>
      </c>
      <c r="AE64" s="3">
        <f>3696+(1776.5-729.8)+(0+(0-0))+0-523.7-0</f>
        <v>4219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3090.2+(2670.1-683.6)+(-11.032014+(-9.532257--2.440452))+0-438.9--1.56687300000001</f>
        <v>4621.2430539999996</v>
      </c>
      <c r="G65" s="3">
        <f>3112.3+(2609.7-670.7)+(-9.523638+(-7.985682--2.052342))+0-535.7--1.63924200000006</f>
        <v>4501.7822640000004</v>
      </c>
      <c r="H65" s="3">
        <f>3138.2+(2418.6-677.1)+(-6.401928+(-4.933944--1.381284))+0-493.7--1.00714799999998</f>
        <v>4377.0525600000001</v>
      </c>
      <c r="I65" s="3">
        <f>2925+(2571.1-675.2)+(-5.967+(-5.245044--1.377408))+0-577.9--1.17891599999997</f>
        <v>4234.3442800000003</v>
      </c>
      <c r="J65" s="3">
        <f>2957.7+(2320.5-670.5)+(-6.033708+(-4.73382--1.36782))+0-498.5--1.01693999999998</f>
        <v>4100.8172320000003</v>
      </c>
      <c r="K65" s="3">
        <f>2999.9+(2184.8-667.2)+(-4.589847+(-3.342744--1.020816))+0-536.7--0.821151000000031</f>
        <v>3974.7093760000007</v>
      </c>
      <c r="L65" s="3">
        <f>2823.2+(2031.5-659.1)+(-5.759328+(-4.14426--1.344564))+0-525.3--1.07161199999998</f>
        <v>3662.8125880000002</v>
      </c>
      <c r="M65" s="3">
        <f>2987.5+(1445-655)+(1.523625+(0.73695-0.33405))+0-323.1-0.164780999999967</f>
        <v>3456.161744</v>
      </c>
      <c r="N65" s="3">
        <f>2925.9+(1666.2-665)+(-2.984418+(-1.699524--0.6783))+0-585.5--0.597210000000093</f>
        <v>3338.1915680000002</v>
      </c>
      <c r="O65" s="3">
        <f>2945.9+(1371.6-628.8)+(-9.014454+(-4.197096--1.924128))+0-403.9--1.23593400000005</f>
        <v>3274.7485120000001</v>
      </c>
      <c r="P65" s="3">
        <f>3217.7+(897-324.8)+(1.641027+(0.45747-0.165648))+0-538.4-0.274583999999945</f>
        <v>3253.1582649999996</v>
      </c>
      <c r="Q65" s="3">
        <f>3302.3+(1173.7-639.8)+(0+(0-0))+0-460.4-0</f>
        <v>3375.8</v>
      </c>
      <c r="R65" s="3">
        <f>3571.4+(1195.1-694.3)+(0+(0-0))+0-437.1-0</f>
        <v>3635.1</v>
      </c>
      <c r="S65" s="3">
        <f>3533.5+(1482.4-655.1)+(-9.010425+(-3.78012--1.670505))+0-508.4--1.29641999999993</f>
        <v>3842.5763800000004</v>
      </c>
      <c r="T65" s="3">
        <f>3903.2+(1461.4-689.7)+(-1.990632+(-0.745314--0.351747))+0-452.6--0.230825999999954</f>
        <v>4220.1466269999992</v>
      </c>
      <c r="U65" s="3">
        <f>4011.7+(1450.8-687.1)+(-8.183868+(-2.959632--1.401684))+0-479.8--0.978791999999979</f>
        <v>4286.8369759999996</v>
      </c>
      <c r="V65" s="3">
        <f>4077.9+(1188.7-807.5)+(-4.159458+(-1.212474--0.82365))+0-447.8--0.456756000000071</f>
        <v>4007.2084740000005</v>
      </c>
      <c r="W65" s="3">
        <f>4496.5+(1055-1016.9)+(-4.58643+(-1.0761--1.037238))+0-542.4--0.553248000000086</f>
        <v>3988.1279560000007</v>
      </c>
      <c r="X65" s="3">
        <f>4588.8+(845.6-1493)+(-2.340288+(-0.431256--0.76143))+0-450.2--0.229601999999954</f>
        <v>3489.419488</v>
      </c>
      <c r="Y65" s="3">
        <f>4388.6+(939.1-1449.6)+(-6.714558+(-1.436823--2.217888))+0-512--0.78336000000003</f>
        <v>3360.9498670000003</v>
      </c>
      <c r="Z65" s="3">
        <f>4888.3+(942-1812.7)+(-4.986066+(-0.96084--1.848954))+0-516.4--0.526728000000082</f>
        <v>3497.6287760000005</v>
      </c>
      <c r="AA65" s="3">
        <f>5177.9+(989.3-1784.7)+(-5.281458+(-1.009086--1.820394))+0-533.7--0.544374000000085</f>
        <v>3844.8742240000001</v>
      </c>
      <c r="AB65" s="3">
        <f>4922.7+(1086.1-1461.6)+(-12.552885+(-2.769555--3.72708))+0-513.5--1.30942499999993</f>
        <v>4023.4140649999995</v>
      </c>
      <c r="AC65" s="3">
        <f>4884+(996.7-1138.7)+(0+(0-0))+0-533.9-0</f>
        <v>4208.1000000000004</v>
      </c>
      <c r="AD65" s="2">
        <v>3769.7999999999997</v>
      </c>
      <c r="AE65" s="3">
        <f>5216+(976.5-1856.8)+(0+(0-0))+0-565.9-0</f>
        <v>3769.7999999999997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4212.1+(1450.7-788.2)+(-4.296342+(-1.479714--0.803964))+0-513.3--0.523566000000082</f>
        <v>4356.8514740000001</v>
      </c>
      <c r="G66" s="3">
        <f>3190.8+(2117.5-546.5)+(-1.627308+(-1.079925--0.278715))+0-498.5--0.254234999999949</f>
        <v>4261.1257170000008</v>
      </c>
      <c r="H66" s="3">
        <f>3033+(2241.6-560.7)+(4.64049+(3.429648-0.857871))+0-554.6-0.848538000000032</f>
        <v>4165.663728999999</v>
      </c>
      <c r="I66" s="3">
        <f>2806.4+(2300.1-537.1)+(1.431264+(1.173051-0.273921))+0-516.5-0.263414999999948</f>
        <v>4054.9669789999994</v>
      </c>
      <c r="J66" s="3">
        <f>2826.2+(2278.5-542.5)+(-4.324086+(-3.486105--0.830025))+0-608.6--0.931158000000035</f>
        <v>3947.5509919999995</v>
      </c>
      <c r="K66" s="3">
        <f>2586.3+(2429.7-579.1)+(-6.595065+(-6.195735--1.476705))+0-562.9--1.43539499999992</f>
        <v>3864.1212999999998</v>
      </c>
      <c r="L66" s="3">
        <f>2663.9+(2276.1-672.7)+(-2.717178+(-2.321622--0.686154))+0-630.6--0.643212000000101</f>
        <v>3632.9905659999999</v>
      </c>
      <c r="M66" s="3">
        <f>2844.5+(1783.1-711.5)+(2.90139+(1.818762-0.72573))+0-517.4-0.527748000000082</f>
        <v>3402.1666740000001</v>
      </c>
      <c r="N66" s="3">
        <f>3214.1+(1368.1-690.1)+(-3.278382+(-1.395462--0.703902))+0-560.4--0.571608000000089</f>
        <v>3328.3016659999998</v>
      </c>
      <c r="O66" s="3">
        <f>3655.7+(779.3-708.1)+(3.728814+(0.794886-0.722262))+0-467.8-0.477156000000075</f>
        <v>3262.4242819999995</v>
      </c>
      <c r="P66" s="3">
        <f>4070.7+(723.2-1011.9)+(0+(0-0))+0-483.9-0</f>
        <v>3298.1</v>
      </c>
      <c r="Q66" s="3">
        <f>4164.8+(941.3-1123)+(2.124048+(0.480063-0.57273))+0-590.7-0.30125699999994</f>
        <v>3394.1301240000003</v>
      </c>
      <c r="R66" s="3">
        <f>4533.6+(1006-1251)+(-9.248544+(-2.05224--2.55204))+0-547.9--1.11771599999998</f>
        <v>3733.068972</v>
      </c>
      <c r="S66" s="3">
        <f>4475.4+(1153.8-852.6)+(-4.564908+(-1.176876--0.869652))+0-582.2--0.593844000000093</f>
        <v>4190.1217119999992</v>
      </c>
      <c r="T66" s="3">
        <f>4730.9+(1195.9-935)+(-2.412759+(-0.609909--0.47685))+0-565.6--0.288455999999943</f>
        <v>4423.9426379999995</v>
      </c>
      <c r="U66" s="3">
        <f>4504.1+(1325.7-801.8)+(-9.188364+(-2.704428--1.635672))+0-548.6--1.11914399999998</f>
        <v>4470.2620239999997</v>
      </c>
      <c r="V66" s="3">
        <f>4168.4+(1431-723.1)+(-10.62942+(-3.64905--1.843905))+0-541.5--1.38082499999992</f>
        <v>4323.7462599999999</v>
      </c>
      <c r="W66" s="3">
        <f>3483.2+(1695.2-696.9)+(-7.105728+(-3.458208--1.421676))+0-561.1--1.14464399999998</f>
        <v>3912.4023840000004</v>
      </c>
      <c r="X66" s="3">
        <f>3030.9+(1545-708)+(-7.728795+(-3.93975--1.8054))+0-538.3--1.37266499999992</f>
        <v>3321.10952</v>
      </c>
      <c r="Y66" s="3">
        <f>3301+(1187-715)+(-1.68351+(-0.60537--0.36465))+0-594.5--0.30319499999994</f>
        <v>3176.8789649999999</v>
      </c>
      <c r="Z66" s="3">
        <f>4216.8+(759.5-1018.3)+(-2.150568+(-0.387345--0.519333))+0-586.7--0.299216999999941</f>
        <v>3369.580637</v>
      </c>
      <c r="AA66" s="3">
        <f>4225.9+(956.7-815.9)+(-10.776045+(-2.439585--2.080545))+0-568.8--1.45043999999992</f>
        <v>3788.2153549999998</v>
      </c>
      <c r="AB66" s="3">
        <f>4057.7+(1288.5-733.6)+(-10.347135+(-3.285675--1.87068))+0-615.7--1.57003499999991</f>
        <v>3986.7079049999993</v>
      </c>
      <c r="AC66" s="3">
        <f>4082.3+(1425.5-705.3)+(-2.081973+(-0.727005--0.359703))+0-607.5--0.309824999999938</f>
        <v>4192.8605500000003</v>
      </c>
      <c r="AD66" s="2">
        <v>3813.5</v>
      </c>
      <c r="AE66" s="3">
        <f>4379+(923.1-848.1)+(0+(0-0))+0-640.5-0</f>
        <v>3813.5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3760.6+(1704.4-680.6)+(-1.917906+(-0.869244--0.347106))+0-651.1--0.332060999999934</f>
        <v>4131.1920169999994</v>
      </c>
      <c r="G67" s="3">
        <f>3451.8+(2146.9-660.3)+(-3.520836+(-2.189838--0.673506))+0-615.8--0.628116000000098</f>
        <v>4318.1909480000004</v>
      </c>
      <c r="H67" s="3">
        <f>3353.8+(2164.6-680.6)+(-5.131314+(-3.311838--1.041318))+0-668.8--1.02326400000004</f>
        <v>4162.6214300000001</v>
      </c>
      <c r="I67" s="3">
        <f>3101.9+(2095.8-671.9)+(-3.163938+(-2.137716--0.685338))+0-640.5--0.653310000000102</f>
        <v>3881.3369940000007</v>
      </c>
      <c r="J67" s="3">
        <f>3148+(1952.9-676.9)+(4.81644+(2.987937-1.035657))+0-679.1-1.03902300000004</f>
        <v>3750.6296970000003</v>
      </c>
      <c r="K67" s="3">
        <f>2957.5+(2054.2-684.2)+(-1.508325+(-1.047642--0.348942))+0-610.5--0.311354999999938</f>
        <v>3715.1043300000001</v>
      </c>
      <c r="L67" s="3">
        <f>2523.6+(2210.7-685.6)+(1.287036+(1.127457-0.349656))+0-638.4-0.325583999999935</f>
        <v>3412.0392529999999</v>
      </c>
      <c r="M67" s="3">
        <f>2667+(1869.8-676.4)+(-1.36017+(-0.953598--0.344964))+0-613.9--0.313088999999938</f>
        <v>3244.8442849999997</v>
      </c>
      <c r="N67" s="3">
        <f>2461.4+(1901.9-676.1)+(-3.765942+(-2.909907--1.034433))+0-578.4--0.884952000000033</f>
        <v>3104.0435360000001</v>
      </c>
      <c r="O67" s="3">
        <f>2626.2+(1677.2-666.1)+(-2.678724+(-1.710744--0.679422))+0-563.3--0.57456600000009</f>
        <v>3070.8645200000001</v>
      </c>
      <c r="P67" s="3">
        <f>3099.8+(1279.2-767.4)+(-1.580898+(-0.652392--0.391374))+0-538.2--0.274481999999945</f>
        <v>3071.832566</v>
      </c>
      <c r="Q67" s="3">
        <f>3445.4+(1126.9-755.1)+(-3.514308+(-1.149438--0.770202))+0-632.1--0.644742000000101</f>
        <v>3181.8511980000003</v>
      </c>
      <c r="R67" s="3">
        <f>4101.2+(991.5-990.9)+(2.091612+(0.505665-0.505359))+0-585.2-0.298451999999941</f>
        <v>3518.3934660000004</v>
      </c>
      <c r="S67" s="3">
        <f>4623.9+(1178.1-1212.7)+(-2.358189+(-0.600831--0.618477))+0-615.6--0.313955999999938</f>
        <v>3971.6734129999991</v>
      </c>
      <c r="T67" s="3">
        <f>4880.6+(1207.7-1307.4)+(-2.489106+(-0.615927--0.666774))+0-530.3--0.270452999999946</f>
        <v>4248.4321940000009</v>
      </c>
      <c r="U67" s="3">
        <f>4885.7+(1364.4-1276.2)+(12.458535+(3.47922-3.25431))+0-615.8-1.57028999999991</f>
        <v>4369.2131549999995</v>
      </c>
      <c r="V67" s="3">
        <f>4524.5+(1443.5-1057)+(-2.307495+(-0.736185--0.53907))+0-640.3--0.326552999999935</f>
        <v>4268.5219429999997</v>
      </c>
      <c r="W67" s="3">
        <f>3609.6+(1657.7-685.2)+(-3.681792+(-1.690854--0.698904))+0-671.6--0.685032000000107</f>
        <v>3906.5112900000008</v>
      </c>
      <c r="X67" s="3">
        <f>2620.9+(2184.6-678.2)+(-8.019954+(-6.684876--2.075292))+0-639.1--1.95564600000007</f>
        <v>3477.526108</v>
      </c>
      <c r="Y67" s="3">
        <f>2577.9+(1948.1-692.5)+(-3.944187+(-2.980593--1.059525))+0-676.9--1.03565700000004</f>
        <v>3151.7704019999996</v>
      </c>
      <c r="Z67" s="3">
        <f>3530.7+(1230.3-771.3)+(-3.601314+(-1.254906--0.786726))+0-574.3--0.585786000000092</f>
        <v>3411.9162920000003</v>
      </c>
      <c r="AA67" s="3">
        <f>4025.7+(1188.5-787.2)+(-6.159321+(-1.818405--1.204416))+0-647.1--0.990063000000037</f>
        <v>3774.1167530000007</v>
      </c>
      <c r="AB67" s="3">
        <f>3586.6+(1803.3-701.6)+(-5.487498+(-2.759049--1.073448))+0-589.5--0.901935000000034</f>
        <v>4092.5288359999995</v>
      </c>
      <c r="AC67" s="3">
        <f>3537.5+(2221-657.8)+(-1.804125+(-1.13271--0.335478))+0-685.4--0.34955399999993</f>
        <v>4413.048197000001</v>
      </c>
      <c r="AD67" s="2">
        <v>4065.6</v>
      </c>
      <c r="AE67" s="3">
        <f>4264+(1272.3-800.3)+(0+(0-0))+0-670.4-0</f>
        <v>4065.6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3343+(2522.8-643.7)+(-6.81972+(-5.146512--1.313148))+0-634.3--1.29397199999997</f>
        <v>4578.440888000001</v>
      </c>
      <c r="G68" s="3">
        <f>3125.5+(2396.1-672.1)+(-7.970025+(-6.110055--1.713855))+0-640.5--1.63327499999991</f>
        <v>4198.2670500000004</v>
      </c>
      <c r="H68" s="3">
        <f>2999.6+(2660.5-701.8)+(-6.119184+(-5.42742--1.431672))+0-689.8--1.40719199999997</f>
        <v>4259.7922599999993</v>
      </c>
      <c r="I68" s="3">
        <f>2875+(2578.2-696.5)+(-2.9325+(-2.629764--0.71043))+0-604.5--0.616590000000096</f>
        <v>4147.9647560000003</v>
      </c>
      <c r="J68" s="3">
        <f>2806.6+(2547.1-668.1)+(-2.862732+(-2.598042--0.681462))+0-658.3--0.671466000000105</f>
        <v>4023.1921540000008</v>
      </c>
      <c r="K68" s="3">
        <f>2781.5+(2382.2-678.5)+(-7.092825+(-6.07461--1.730175))+0-618.9--1.57819499999991</f>
        <v>3856.4409350000001</v>
      </c>
      <c r="L68" s="3">
        <f>2565.1+(2243.2-658.1)+(-1.308201+(-1.144032--0.335631))+0-645.6--0.329255999999935</f>
        <v>3502.8126539999998</v>
      </c>
      <c r="M68" s="3">
        <f>2788.1+(1830-658.1)+(2.843862+(1.8666-0.671262))+0-613.9-0.626178000000098</f>
        <v>3349.5130220000001</v>
      </c>
      <c r="N68" s="3">
        <f>3264+(1341.4-659.1)+(1.66464+(0.684114-0.336141))+0-613.4-0.312833999999938</f>
        <v>3334.5997790000001</v>
      </c>
      <c r="O68" s="3">
        <f>3752+(942.9-729.8)+(1.91352+(0.480879-0.372198))+0-547.4-0.279173999999944</f>
        <v>3419.4430270000003</v>
      </c>
      <c r="P68" s="3">
        <f>3779.7+(1016.5-789.6)+(-5.782941+(-1.555245--1.208088))+0-511.1--0.78198300000003</f>
        <v>3490.1518849999998</v>
      </c>
      <c r="Q68" s="3">
        <f>4224.9+(1109.7-1028.6)+(-2.154699+(-0.565947--0.524586))+0-470--0.239699999999952</f>
        <v>3834.0436399999999</v>
      </c>
      <c r="R68" s="3">
        <f>4967.8+(1158-1244.3)+(5.067156+(1.18116-1.269186))+0-615.4-0.627708000000098</f>
        <v>4270.4514220000001</v>
      </c>
      <c r="S68" s="3">
        <f>5055.5+(1291.3-967.9)+(-5.15661+(-1.317126--0.987258))+0-528.3--0.538866000000084</f>
        <v>4845.6523879999995</v>
      </c>
      <c r="T68" s="3">
        <f>5468.6+(1391.6-1046.6)+(-2.788986+(-0.709716--0.533766))+0-636.2--0.324461999999935</f>
        <v>5174.7595259999998</v>
      </c>
      <c r="U68" s="3">
        <f>5318.2+(1458.2-970.6)+(-13.56141+(-3.71841--2.47503))+0-564.3--1.43896499999992</f>
        <v>5228.1341750000001</v>
      </c>
      <c r="V68" s="3">
        <f>5096.2+(1386-866.1)+(-2.599062+(-0.70686--0.441711))+0-618.3--0.315332999999937</f>
        <v>4995.2511219999988</v>
      </c>
      <c r="W68" s="3">
        <f>4372+(1392.9-738.3)+(-8.91888+(-2.841516--1.506132))+0-494.3--1.00837199999998</f>
        <v>4523.0541080000003</v>
      </c>
      <c r="X68" s="3">
        <f>2994.2+(2169.3-700.1)+(-7.63521+(-5.531715--1.785255))+0-624.1--1.59145499999991</f>
        <v>3829.5097849999997</v>
      </c>
      <c r="Y68" s="3">
        <f>2922.7+(1744.8-662.7)+(1.490577+(0.889848-0.337977))+0-599.9-0.305948999999939</f>
        <v>3406.6364989999997</v>
      </c>
      <c r="Z68" s="3">
        <f>3149+(1725.6-663.3)+(-1.60599+(-0.880056--0.338283))+0-545.7--0.278306999999945</f>
        <v>3663.7305440000005</v>
      </c>
      <c r="AA68" s="3">
        <f>3336.5+(2159.3-695)+(-5.104845+(-3.303729--1.06335))+0-620.8--0.949824000000036</f>
        <v>4173.6046000000006</v>
      </c>
      <c r="AB68" s="3">
        <f>3192.8+(2476.5-684.1)+(-9.769968+(-7.57809--2.093346))+0-570.7--1.74634200000007</f>
        <v>4400.9916300000014</v>
      </c>
      <c r="AC68" s="3">
        <f>2968.7+(2923.4-710.9)+(-7.570185+(-7.45467--1.812795))+0-594.1--1.51495499999991</f>
        <v>4575.4028949999993</v>
      </c>
      <c r="AD68" s="2">
        <v>4212.6000000000004</v>
      </c>
      <c r="AE68" s="3">
        <f>3471+(2065.8-696)+(0+(0-0))+0-628.2-0</f>
        <v>4212.6000000000004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2827+(3122-697.6)+(0+(0-0))+0-577.8-0</f>
        <v>4673.5999999999995</v>
      </c>
      <c r="G69" s="3">
        <f>2768.7+(3157.1-681.3)+(-4.236111+(-4.830363--1.042389))+0-643.9--0.985167000000037</f>
        <v>4593.5610820000002</v>
      </c>
      <c r="H69" s="3">
        <f>2746.7+(3003.4-697.7)+(-5.603268+(-6.126936--1.423308))+0-608.3--1.24093199999997</f>
        <v>4435.0340359999991</v>
      </c>
      <c r="I69" s="3">
        <f>2730.3+(2887.1-699.9)+(-5.569812+(-5.889684--1.427796))+0-603.8--1.23175199999997</f>
        <v>4304.900052</v>
      </c>
      <c r="J69" s="3">
        <f>2561.9+(2865.9-704.5)+(-1.306569+(-1.461609--0.359295))+0-581.4--0.296513999999941</f>
        <v>4139.7876310000001</v>
      </c>
      <c r="K69" s="3">
        <f>2548.7+(2739.3-715)+(-5.199348+(-5.588172--1.4586))+0-602--1.22807999999997</f>
        <v>3962.8991599999999</v>
      </c>
      <c r="L69" s="3">
        <f>2544.8+(2346.3-704.1)+(-6.48924+(-5.983065--1.795455))+0-580.4--1.48001999999992</f>
        <v>3597.40317</v>
      </c>
      <c r="M69" s="3">
        <f>2819.7+(1895.2-658.2)+(1.438047+(0.966552-0.335682))+0-680.9-0.347258999999931</f>
        <v>3377.5216579999997</v>
      </c>
      <c r="N69" s="3">
        <f>3120.7+(1417.4-661.6)+(0+(0-0))+0-578-0</f>
        <v>3298.5</v>
      </c>
      <c r="O69" s="3">
        <f>3296.4+(1308.3-677.1)+(-1.681164+(-0.667233--0.345321))+0-588.2--0.29998199999994</f>
        <v>3337.6969059999997</v>
      </c>
      <c r="P69" s="3">
        <f>3612.8+(1093.8-689.8)+(1.842528+(0.557838-0.351798))+0-526.3-0.268412999999947</f>
        <v>3492.2801550000004</v>
      </c>
      <c r="Q69" s="3">
        <f>4005.2+(1057.4-799.1)+(-4.085304+(-1.078548--0.815082))+0-545--0.555900000000087</f>
        <v>3714.7071300000007</v>
      </c>
      <c r="R69" s="3">
        <f>4350.9+(1515.9-980.4)+(2.218959+(0.773109-0.500004))+0-578.3-0.294932999999941</f>
        <v>4310.2971309999994</v>
      </c>
      <c r="S69" s="3">
        <f>4266.9+(1896.5-777.5)+(-2.176119+(-0.967215--0.396525))+0-612.9--0.312578999999938</f>
        <v>4770.5657700000002</v>
      </c>
      <c r="T69" s="3">
        <f>4570.9+(1966.6-899.4)+(0+(0-0))+0-651.2-0</f>
        <v>4986.8999999999996</v>
      </c>
      <c r="U69" s="3">
        <f>4672.6+(1989.4-960.8)+(-2.383026+(-1.014594--0.490008))+0-561.4--0.286313999999943</f>
        <v>5137.1787020000011</v>
      </c>
      <c r="V69" s="3">
        <f>4431.4+(1910.7-784.9)+(-9.040056+(-3.897828--1.601196))+0-610.7--1.24582799999997</f>
        <v>4936.4091399999998</v>
      </c>
      <c r="W69" s="3">
        <f>4142.3+(1620.6-722.4)+(-12.675438+(-4.959036--2.210544))+0-614.6--1.88067600000007</f>
        <v>4412.3567459999995</v>
      </c>
      <c r="X69" s="3">
        <f>3336.4+(1684.3-725)+(-6.806256+(-3.435972--1.479))+0-499.2--1.01836799999998</f>
        <v>3788.7551400000002</v>
      </c>
      <c r="Y69" s="3">
        <f>3073.9+(1637-718.6)+(4.703067+(2.50461-1.099458))+0-543.7-0.831861000000031</f>
        <v>3453.876358</v>
      </c>
      <c r="Z69" s="3">
        <f>3821.7+(1228.8-772.7)+(0+(0-0))+0-622.6-0</f>
        <v>3655.1999999999994</v>
      </c>
      <c r="AA69" s="3">
        <f>4222.9+(1333.1-779.3)+(-8.614716+(-2.719524--1.589772))+0-552.1--1.12628399999998</f>
        <v>4215.9818159999995</v>
      </c>
      <c r="AB69" s="3">
        <f>4117.4+(1648.3-722.3)+(-6.299622+(-2.521899--1.105119))+0-590.5--0.903465000000034</f>
        <v>4446.0870629999999</v>
      </c>
      <c r="AC69" s="3">
        <f>3932+(2090.3-712.4)+(-2.00532+(-1.066053--0.363324))+0-659.5--0.336344999999933</f>
        <v>4648.0282959999995</v>
      </c>
      <c r="AD69" s="2">
        <v>4207.7</v>
      </c>
      <c r="AE69" s="3">
        <f>4257+(1412.5-750)+(0+(0-0))+0-711.8-0</f>
        <v>4207.7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3281.9+(2719.7-692.2)+(-5.021307+(-4.161141--1.059066))+0-614.6--0.940338000000036</f>
        <v>4687.6169559999998</v>
      </c>
      <c r="G70" s="3">
        <f>2806.7+(3020.6-691.5)+(0+(0-0))+0-567-0</f>
        <v>4568.7999999999993</v>
      </c>
      <c r="H70" s="3">
        <f>2774.2+(2994.7-704.2)+(0+(0-0))+0-651.5-0</f>
        <v>4413.2</v>
      </c>
      <c r="I70" s="3">
        <f>2956.1+(2673.5-718.2)+(3.015222+(2.72697-0.732564))+0-650.6-0.663612000000104</f>
        <v>4265.1460159999988</v>
      </c>
      <c r="J70" s="3">
        <f>3117.7+(2407.1-725.4)+(-1.590027+(-1.227621--0.369954))+0-663.1--0.338180999999933</f>
        <v>4134.1904869999989</v>
      </c>
      <c r="K70" s="3">
        <f>2757.2+(2575.6-726.6)+(-7.03086+(-6.56778--1.85283))+0-671.2--1.7115599999999</f>
        <v>3924.9657499999994</v>
      </c>
      <c r="L70" s="3">
        <f>2587.9+(2260-719.5)+(-2.639658+(-2.3052--0.73389))+0-619.9--0.632298000000099</f>
        <v>3504.9213299999992</v>
      </c>
      <c r="M70" s="3">
        <f>2684.8+(1949.1-685)+(2.738496+(1.988082-0.6987))+0-611-0.623220000000097</f>
        <v>3341.304658</v>
      </c>
      <c r="N70" s="3">
        <f>2691.6+(1725.4-685)+(4.118148+(2.639862-1.04805))+0-599-0.916470000000035</f>
        <v>3137.79349</v>
      </c>
      <c r="O70" s="3">
        <f>3004.6+(1472.6-681.2)+(3.064692+(1.502052-0.694824))+0-598.4-0.610368000000095</f>
        <v>3200.8615519999998</v>
      </c>
      <c r="P70" s="3">
        <f>3599.2+(895.5-715.7)+(5.506776+(1.370115-1.095021))+0-479.6-0.733788000000028</f>
        <v>3304.4480819999999</v>
      </c>
      <c r="Q70" s="3">
        <f>4051.9+(824.7-814.3)+(0+(0-0))+0-567.1-0</f>
        <v>3495.2000000000003</v>
      </c>
      <c r="R70" s="3">
        <f>4424.2+(950-852.8)+(-2.256342+(-0.4845--0.434928))+0-570.6--0.291005999999942</f>
        <v>3948.7850920000001</v>
      </c>
      <c r="S70" s="3">
        <f>4294.9+(1327.3-698.1)+(-6.571197+(-2.030769--1.068093))+0-554.6--0.848538000000032</f>
        <v>4362.814664999999</v>
      </c>
      <c r="T70" s="3">
        <f>4667.1+(1484.1-903.7)+(7.140663+(2.270673-1.382661))+0-623.9-0.954567000000036</f>
        <v>4630.6741080000002</v>
      </c>
      <c r="U70" s="3">
        <f>4715+(1548.1-955.9)+(-4.8093+(-1.579062--0.975018))+0-626.8--0.6393360000001</f>
        <v>4675.6259920000002</v>
      </c>
      <c r="V70" s="3">
        <f>4677+(1408.6-980.3)+(-11.92635+(-3.59193--2.499765))+0-546--1.39229999999992</f>
        <v>4547.673785</v>
      </c>
      <c r="W70" s="3">
        <f>4369.9+(1269.1-990.2)+(-6.685947+(-1.941723--1.515006))+0-475.1--0.726903000000028</f>
        <v>4167.3142389999985</v>
      </c>
      <c r="X70" s="3">
        <f>3692.2+(1196.9-718)+(-9.41511+(-3.052095--1.8309))+0-516.1--1.31605499999993</f>
        <v>3645.6797500000002</v>
      </c>
      <c r="Y70" s="3">
        <f>3262.4+(1164.4-690.3)+(-3.327648+(-1.187688--0.704106))+0-452.1--0.461142000000072</f>
        <v>3281.0499120000004</v>
      </c>
      <c r="Z70" s="3">
        <f>3667.3+(1055-743.2)+(-3.740646+(-1.0761--0.758064))+0-508.7--0.518874000000081</f>
        <v>3466.8601920000006</v>
      </c>
      <c r="AA70" s="3">
        <f>4045.9+(1230.7-791.8)+(-6.190227+(-1.882971--1.211454))+0-539.9--0.826047000000031</f>
        <v>3938.8643030000003</v>
      </c>
      <c r="AB70" s="3">
        <f>3854.7+(1616.5-740.2)+(-9.829485+(-4.122075--1.88751))+0-551.4--1.40606999999992</f>
        <v>4168.9420200000004</v>
      </c>
      <c r="AC70" s="3">
        <f>3839.9+(1884.4-722.6)+(-5.875047+(-2.883132--1.105578))+0-608.4--0.930852000000035</f>
        <v>4386.5782510000017</v>
      </c>
      <c r="AD70" s="2">
        <v>3950.0000000000005</v>
      </c>
      <c r="AE70" s="3">
        <f>4069+(1268.6-781.5)+(0+(0-0))+0-606.1-0</f>
        <v>3950.0000000000005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3301.5+(2576.3-703.6)+(-5.051295+(-3.941739--1.076508))+0-636.4--0.973692000000037</f>
        <v>4530.8571660000016</v>
      </c>
      <c r="G71" s="3">
        <f>3166.5+(2698.9-717.8)+(-1.614915+(-1.376439--0.366078))+0-677--0.345269999999931</f>
        <v>4468.3199940000004</v>
      </c>
      <c r="H71" s="3">
        <f>2900.5+(2761.3-736)+(-2.95851+(-2.816526--0.75072))+0-593.3--0.605166000000095</f>
        <v>4328.0808500000003</v>
      </c>
      <c r="I71" s="3">
        <f>2680.3+(2851.7-728.3)+(-4.100859+(-4.363101--1.114299))+0-596.8--0.913104000000034</f>
        <v>4200.4634429999996</v>
      </c>
      <c r="J71" s="3">
        <f>2673.1+(2803.3-733.9)+(-5.453124+(-5.718732--1.497156))+0-680.4--1.38801599999997</f>
        <v>4053.8133160000002</v>
      </c>
      <c r="K71" s="3">
        <f>2602.7+(2613.9-735.8)+(-3.982131+(-3.999267--1.125774))+0-593.9--0.908667000000034</f>
        <v>3880.9530430000004</v>
      </c>
      <c r="L71" s="3">
        <f>2596+(2221.4-718.5)+(-5.29584+(-4.531656--1.46574))+0-660.1--1.34660399999997</f>
        <v>3431.7848479999998</v>
      </c>
      <c r="M71" s="3">
        <f>2622.9+(1743.4-588.2)+(0+(0-0))+0-553.4-0</f>
        <v>3224.7000000000003</v>
      </c>
      <c r="N71" s="3">
        <f>2714.5+(1362.2-278.9)+(2.76879+(1.389444-0.284478))+0-619.2-0.631584000000099</f>
        <v>3181.8421720000001</v>
      </c>
      <c r="O71" s="3">
        <f>3035.6+(1071.3-412)+(6.192624+(2.185452-0.84048))+0-491.8-1.00327199999998</f>
        <v>3209.6343239999997</v>
      </c>
      <c r="P71" s="3">
        <f>3754.3+(769.4-705.4)+(-3.829386+(-0.784788--0.719508))+0-539.2--0.549984000000086</f>
        <v>3275.7553180000004</v>
      </c>
      <c r="Q71" s="3">
        <f>5196.2+(547.8-1697.1)+(0+(0-0))+0-458.9-0</f>
        <v>3587.9999999999995</v>
      </c>
      <c r="R71" s="3">
        <f>5210.5+(831.4-1416.2)+(-7.972065+(-1.272042--2.166786))+0-539.7--0.825741000000031</f>
        <v>4079.7484200000004</v>
      </c>
      <c r="S71" s="3">
        <f>4989.9+(1107.9-952)+(5.089698+(1.130058-0.97104))+0-514.4-0.524688000000082</f>
        <v>4636.1240279999993</v>
      </c>
      <c r="T71" s="3">
        <f>5327.3+(1261.8-1101.4)+(5.433846+(1.287036-1.123428))+0-480.6-0.490212000000077</f>
        <v>5012.2072419999995</v>
      </c>
      <c r="U71" s="3">
        <f>5550.6+(1266.4-1166.2)+(0+(0-0))+0-565.6-0</f>
        <v>5085.2</v>
      </c>
      <c r="V71" s="3">
        <f>4946.1+(1381.6-906.7)+(-5.045022+(-1.409232--0.924834))+0-537.6--0.548352000000086</f>
        <v>4878.4189319999996</v>
      </c>
      <c r="W71" s="3">
        <f>4463.3+(1360-847.7)+(-9.105132+(-2.7744--1.729308))+0-568.2--1.15912799999998</f>
        <v>4398.4089040000008</v>
      </c>
      <c r="X71" s="3">
        <f>2982.8+(2060.5-741.8)+(-9.127368+(-6.30513--2.269908))+0-587.6--1.79805600000007</f>
        <v>3702.5354660000003</v>
      </c>
      <c r="Y71" s="3">
        <f>2849.7+(1696.7-702.2)+(2.906694+(1.730634-0.716244))+0-527.9-0.538458000000084</f>
        <v>3319.6826259999998</v>
      </c>
      <c r="Z71" s="3">
        <f>3251.8+(1559.6-692.3)+(-1.658418+(-0.795396--0.353073))+0-580.1--0.295850999999941</f>
        <v>3537.1951100000001</v>
      </c>
      <c r="AA71" s="3">
        <f>4002+(1437.7-718.1)+(-4.08204+(-1.466454--0.732462))+0-617.2--0.629544000000098</f>
        <v>4100.2135120000012</v>
      </c>
      <c r="AB71" s="3">
        <f>3670.7+(1947.3-701.2)+(-7.488228+(-3.972492--1.430448))+0-615.1--1.25480399999997</f>
        <v>4292.9245319999991</v>
      </c>
      <c r="AC71" s="3">
        <f>3576.9+(2205.7-698.6)+(-5.472657+(-3.374721--1.068858))+0-570.9--0.873477000000033</f>
        <v>4506.1949570000006</v>
      </c>
      <c r="AD71" s="2">
        <v>4127.5999999999995</v>
      </c>
      <c r="AE71" s="3">
        <f>4144+(1415-752.8)+(0+(0-0))+0-678.6-0</f>
        <v>4127.5999999999995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3495.8+(2388.9-713.1)+(-7.131432+(-4.873356--1.454724))+0-572.6--1.16810399999997</f>
        <v>4589.6180400000003</v>
      </c>
      <c r="G72" s="3">
        <f>3155.5+(2514.1-662.8)+(-6.43722+(-5.128764--1.352112))+0-496.4--1.01265599999998</f>
        <v>4501.1987840000002</v>
      </c>
      <c r="H72" s="3">
        <f>2992.1+(2672.4-690)+(-4.577913+(-4.088772--1.0557))+0-609.6--0.932688000000035</f>
        <v>4358.2217029999993</v>
      </c>
      <c r="I72" s="3">
        <f>2827+(2639.8-723.4)+(-8.65062+(-8.077788--2.213604))+0-537.1--1.64352600000006</f>
        <v>4193.4287219999987</v>
      </c>
      <c r="J72" s="3">
        <f>2624.4+(2721-712.1)+(-5.353776+(-5.55084--1.452684))+0-573.7--1.17034799999998</f>
        <v>4051.3184160000005</v>
      </c>
      <c r="K72" s="3">
        <f>2472.5+(2683-701)+(-6.304875+(-6.84165--1.78755))+0-579.5--1.47772499999992</f>
        <v>3865.1187499999996</v>
      </c>
      <c r="L72" s="3">
        <f>2474+(2371.8-719)+(-5.04696+(-4.838472--1.46676))+0-587.4--1.19829599999997</f>
        <v>3532.1796240000003</v>
      </c>
      <c r="M72" s="3">
        <f>2534.5+(1954.4-682.9)+(7.75557+(5.980464-2.089674))+0-494.4-1.51286400000006</f>
        <v>3321.7334959999998</v>
      </c>
      <c r="N72" s="3">
        <f>2752.4+(1776.4-724.3)+(0+(0-0))+0-477.9-0</f>
        <v>3326.6</v>
      </c>
      <c r="O72" s="3">
        <f>2820.1+(1695.5-747.6)+(2.876502+(1.72941-0.762552))+0-405.3-0.413406000000065</f>
        <v>3366.1299539999995</v>
      </c>
      <c r="P72" s="3">
        <f>3153.8+(1380.9-724.6)+(-3.216876+(-1.408518--0.739092))+0-408--0.416160000000065</f>
        <v>3398.6298580000007</v>
      </c>
      <c r="Q72" s="3">
        <f>4216+(1027.8-891.5)+(0+(0-0))+0-407-0</f>
        <v>3945.3</v>
      </c>
      <c r="R72" s="3">
        <f>5101.1+(1043.2-1193.8)+(-2.601561+(-0.532032--0.608838))+0-472.7--0.241076999999952</f>
        <v>4475.5163219999995</v>
      </c>
      <c r="S72" s="3">
        <f>5284.8+(1191-991.5)+(-5.390496+(-1.21482--1.01133))+0-520--0.530400000000083</f>
        <v>4959.236414</v>
      </c>
      <c r="T72" s="3">
        <f>5753.7+(1177.3-1119.9)+(0+(0-0))+0-570.4-0</f>
        <v>5240.7</v>
      </c>
      <c r="U72" s="3">
        <f>5819+(1275.9-1087.8)+(-5.93538+(-1.301418--1.109556))+0-447.4--0.456348000000071</f>
        <v>5554.0291060000009</v>
      </c>
      <c r="V72" s="3">
        <f>5477+(1249.4-924.8)+(-8.37981+(-1.911582--1.414944))+0-381.1--0.583083000000022</f>
        <v>5412.2066350000005</v>
      </c>
      <c r="W72" s="3">
        <f>4790.5+(1497.9-798.3)+(-14.65893+(-4.583574--2.442798))+0-495.5--1.51623000000006</f>
        <v>4979.3165240000008</v>
      </c>
      <c r="X72" s="3">
        <f>3299.5+(2157.2-746.5)+(-1.682745+(-1.100172--0.380715))+0-459.1--0.234140999999953</f>
        <v>4248.9319389999991</v>
      </c>
      <c r="Y72" s="3">
        <f>2852.8+(2085.7-715.5)+(-2.909856+(-2.127414--0.72981))+0-513.1--0.523362000000082</f>
        <v>3706.115902</v>
      </c>
      <c r="Z72" s="3">
        <f>3728+(1515.7-751.5)+(1.90128+(0.773007-0.383265))+0-579.8-0.295697999999941</f>
        <v>3914.3953240000001</v>
      </c>
      <c r="AA72" s="3">
        <f>4358.4+(1513.1-907.4)+(-4.445568+(-1.543362--0.925548))+0-477.3--0.486846000000076</f>
        <v>4482.2234639999988</v>
      </c>
      <c r="AB72" s="3">
        <f>4011.7+(1999.9-721.6)+(-4.091934+(-2.039898--0.736032))+0-573.4--0.584868000000091</f>
        <v>4711.789068</v>
      </c>
      <c r="AC72" s="3">
        <f>3280.9+(2931.6-714)+(1.673259+(1.495116-0.36414))+0-561.5-0.286364999999943</f>
        <v>4939.5178699999997</v>
      </c>
      <c r="AD72" s="2">
        <v>4463</v>
      </c>
      <c r="AE72" s="3">
        <f>4433+(1468.4-916.2)+(0+(0-0))+0-522.2-0</f>
        <v>4463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3029.3+(3295.5-753.1)+(-6.179772+(-6.72282--1.536324))+0-608.5--1.24133999999997</f>
        <v>4953.0750720000005</v>
      </c>
      <c r="G73" s="3">
        <f>2792.9+(3406.4-730.8)+(0+(0-0))+0-580.1-0</f>
        <v>4888.3999999999996</v>
      </c>
      <c r="H73" s="3">
        <f>2731.4+(3363.2-721.2)+(-1.393014+(-1.715232--0.367812))+0-631.4--0.322013999999936</f>
        <v>4739.58158</v>
      </c>
      <c r="I73" s="3">
        <f>2801.1+(3104.9-748.8)+(4.285683+(4.750497-1.145664))+0-558.4-0.854352000000032</f>
        <v>4605.8361640000012</v>
      </c>
      <c r="J73" s="3">
        <f>2705.3+(3143.1-694.6)+(-4.139109+(-4.808943--1.062738))+0-645.2--0.987156000000037</f>
        <v>4501.7018420000004</v>
      </c>
      <c r="K73" s="3">
        <f>2450.4+(3110.1-705.9)+(-6.24852+(-7.930755--1.800045))+0-548.5--1.39867499999992</f>
        <v>4295.1194450000012</v>
      </c>
      <c r="L73" s="3">
        <f>2437+(2785.1-711.1)+(-2.48574+(-2.840802--0.725322))+0-623.6--0.636072000000099</f>
        <v>3883.4348520000008</v>
      </c>
      <c r="M73" s="3">
        <f>2541.4+(2365.4-733.1)+(-1.296114+(-1.206354--0.373881))+0-530.6--0.270605999999946</f>
        <v>3641.2420190000007</v>
      </c>
      <c r="N73" s="3">
        <f>2573.5+(2253.2-743.9)+(6.562425+(5.74566-1.896945))+0-501.4-1.27856999999993</f>
        <v>3590.5325699999999</v>
      </c>
      <c r="O73" s="3">
        <f>2968.7+(1922.3-745.5)+(7.570185+(4.901865-1.901025))+0-525.4-1.33976999999992</f>
        <v>3629.3312550000001</v>
      </c>
      <c r="P73" s="3">
        <f>3724+(1271.5-721.8)+(7.59696+(2.59386-1.472472))+0-461.6-0.94166399999998</f>
        <v>3819.8766840000003</v>
      </c>
      <c r="Q73" s="3">
        <f>5030+(1171-1485)+(5.1306+(1.19442-1.5147))+0-548.9-0.559878000000087</f>
        <v>4171.3504419999999</v>
      </c>
      <c r="R73" s="3">
        <f>5604.6+(1002.3-1502.8)+(2.858346+(0.511173-0.766428))+0-392.6-0.20022599999996</f>
        <v>4713.902865</v>
      </c>
      <c r="S73" s="3">
        <f>5718+(1313.5-1251.1)+(-5.83236+(-1.33977--1.276122))+0-555.9--0.567018000000089</f>
        <v>5219.17101</v>
      </c>
      <c r="T73" s="3">
        <f>5878.5+(1362-1257.1)+(-2.998035+(-0.69462--0.641121))+0-434.4--0.221543999999956</f>
        <v>5546.1700099999998</v>
      </c>
      <c r="U73" s="3">
        <f>5851.7+(1156.7-1292)+(-5.968734+(-1.179834--1.31784))+0-470.3--0.479706000000075</f>
        <v>5240.7489779999996</v>
      </c>
      <c r="V73" s="3">
        <f>5441.3+(1179.9-1113.8)+(2.775063+(0.601749-0.568038))+0-417.8-0.213077999999958</f>
        <v>5092.1956960000007</v>
      </c>
      <c r="W73" s="3">
        <f>4547+(1346.7-726)+(-4.63794+(-1.373634--0.74052))+0-377.6--0.38515200000006</f>
        <v>4785.2140979999995</v>
      </c>
      <c r="X73" s="3">
        <f>3321+(2101.4-732.9)+(-3.38742+(-2.143428--0.747558))+0-428.3--0.436866000000068</f>
        <v>4256.8535759999995</v>
      </c>
      <c r="Y73" s="3">
        <f>2827.3+(2204.8-740.8)+(-2.883846+(-2.248896--0.755616))+0-445.1--0.454002000000071</f>
        <v>3842.2768759999999</v>
      </c>
      <c r="Z73" s="3">
        <f>3165.4+(1960.9-732.7)+(-4.843062+(-3.000177--1.121031))+0-447.9--0.685287000000026</f>
        <v>3939.6630790000004</v>
      </c>
      <c r="AA73" s="3">
        <f>3714.6+(1963.1-753.7)+(-7.577784+(-4.004724--1.537548))+0-503.3--1.02673199999998</f>
        <v>4411.6817719999999</v>
      </c>
      <c r="AB73" s="3">
        <f>3378.6+(2541.6-738.3)+(-5.169258+(-3.888648--1.129599))+0-565--0.864450000000033</f>
        <v>4609.8361429999995</v>
      </c>
      <c r="AC73" s="3">
        <f>2972.4+(3017.7-720)+(-6.063696+(-6.156108--1.4688))+0-509.6--1.03958399999998</f>
        <v>4750.7885800000004</v>
      </c>
      <c r="AD73" s="2">
        <v>4468.2</v>
      </c>
      <c r="AE73" s="3">
        <f>3675+(2050.9-753.5)+(0+(0-0))+0-504.2-0</f>
        <v>4468.2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3186.4+(2834.4-691.9)+(-4.875192+(-4.336632--1.058607))+0-487.7--0.746181000000028</f>
        <v>4833.7929640000002</v>
      </c>
      <c r="G74" s="3">
        <f>2956.1+(3096.7-713.7)+(-1.507611+(-1.579317--0.363987))+0-521.8--0.266117999999947</f>
        <v>4814.8431769999997</v>
      </c>
      <c r="H74" s="3">
        <f>2915.9+(3067.6-761.9)+(-2.974218+(-3.128952--0.777138))+0-529--0.539580000000084</f>
        <v>4687.8135480000001</v>
      </c>
      <c r="I74" s="3">
        <f>2925.4+(2862.4-724.4)+(-1.491954+(-1.459824--0.369444))+0-500.4--0.255203999999949</f>
        <v>4560.6728700000003</v>
      </c>
      <c r="J74" s="3">
        <f>2879.5+(2785.9-719)+(-10.279815+(-9.945663--2.56683))+0-505.6--1.80499200000001</f>
        <v>4424.946344</v>
      </c>
      <c r="K74" s="3">
        <f>2748.8+(2822.4-735.1)+(-14.01888+(-14.39424--3.74901))+0-560.3--2.85753000000004</f>
        <v>4253.9934200000007</v>
      </c>
      <c r="L74" s="3">
        <f>2596.6+(2463-701.1)+(-2.648532+(-2.51226--0.715122))+0-463--0.472260000000074</f>
        <v>3891.5265899999999</v>
      </c>
      <c r="M74" s="3">
        <f>2665.4+(2181.3-686.3)+(4.078062+(3.337389-1.050039))+0-511.4-0.78244200000003</f>
        <v>3654.5829700000004</v>
      </c>
      <c r="N74" s="3">
        <f>2652.8+(2042.7-694.5)+(5.411712+(4.167108-1.41678))+0-418-0.852719999999982</f>
        <v>3590.3093200000003</v>
      </c>
      <c r="O74" s="3">
        <f>2691.9+(2150.2-695)+(-1.372869+(-1.096602--0.35445))+0-573.2--0.292331999999942</f>
        <v>3572.0773110000009</v>
      </c>
      <c r="P74" s="3">
        <f>2636.6+(2041.4-659.8)+(0+(0-0))+0-421.5-0</f>
        <v>3596.7</v>
      </c>
      <c r="Q74" s="3">
        <f>3242.1+(1683.3-671)+(0+(0-0))+0-487.2-0</f>
        <v>3767.2</v>
      </c>
      <c r="R74" s="3">
        <f>3754.4+(1721.1-703.1)+(5.744232+(2.633283-1.075743))+0-536.6-0.820998000000031</f>
        <v>4242.2807739999989</v>
      </c>
      <c r="S74" s="3">
        <f>4372.4+(1486-733.5)+(-4.459848+(-1.51572--0.74817))+0-503--0.51306000000008</f>
        <v>4617.1856619999999</v>
      </c>
      <c r="T74" s="3">
        <f>4756.1+(1545.5-860.5)+(-4.851222+(-1.57641--0.87771))+0-581.2--0.592824000000093</f>
        <v>4854.9429020000007</v>
      </c>
      <c r="U74" s="3">
        <f>4624.3+(1688.3-715)+(0+(0-0))+0-597.1-0</f>
        <v>5000.5</v>
      </c>
      <c r="V74" s="3">
        <f>4719.3+(1534.4-738.2)+(-2.406843+(-0.782544--0.376482))+0-589.8--0.30079799999994</f>
        <v>4923.1878930000003</v>
      </c>
      <c r="W74" s="3">
        <f>4012.6+(1844.2-698.5)+(-4.092852+(-1.881084--0.71247))+0-564.2--0.57548400000009</f>
        <v>4589.4140180000004</v>
      </c>
      <c r="X74" s="3">
        <f>3108.5+(2308.9-706.5)+(-7.926675+(-5.887695--1.801575))+0-572.3--1.45936499999992</f>
        <v>4128.0465699999995</v>
      </c>
      <c r="Y74" s="3">
        <f>2870.1+(2137.6-735.6)+(-2.927502+(-2.180352--0.750312))+0-563.3--0.57456600000009</f>
        <v>3705.0170240000007</v>
      </c>
      <c r="Z74" s="3">
        <f>3724.6+(1493-872.2)+(-1.899546+(-0.76143--0.444822))+0-561.8--0.286517999999943</f>
        <v>3781.6703639999996</v>
      </c>
      <c r="AA74" s="3">
        <f>4402.9+(1378.4-824.9)+(-8.981916+(-2.811936--1.682796))+0-639.4--1.30437599999997</f>
        <v>4308.1933200000003</v>
      </c>
      <c r="AB74" s="3">
        <f>4085.2+(1749.8-763.5)+(-2.083452+(-0.892398--0.389385))+0-543.8--0.277337999999945</f>
        <v>4525.3908729999994</v>
      </c>
      <c r="AC74" s="3">
        <f>3929+(2163.2-746)+(-10.01895+(-5.51616--1.9023))+0-618.8--1.57793999999991</f>
        <v>4715.3451299999997</v>
      </c>
      <c r="AD74" s="2">
        <v>4313.2</v>
      </c>
      <c r="AE74" s="3">
        <f>4569+(1371.7-922.8)+(0+(0-0))+0-704.7-0</f>
        <v>4313.2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3864.4+(2309.7-738.9)+(1.970844+(1.177947-0.376839))+0-542.5-0.276674999999945</f>
        <v>4895.1952769999998</v>
      </c>
      <c r="G75" s="3">
        <f>3462+(2671.9-701.9)+(0+(0-0))+0-618.8-0</f>
        <v>4813.2</v>
      </c>
      <c r="H75" s="3">
        <f>2924.8+(3041.5-731.9)+(5.966592+(6.20466-1.493076))+0-593.6-1.21094399999997</f>
        <v>4650.2672319999992</v>
      </c>
      <c r="I75" s="3">
        <f>2851.4+(2978.5-742)+(-8.725284+(-9.11421--2.27052))+0-611.3--1.87057800000007</f>
        <v>4462.9016039999997</v>
      </c>
      <c r="J75" s="3">
        <f>2988.1+(2622.3-738.7)+(-1.523931+(-1.337373--0.376737))+0-543.9--0.277388999999945</f>
        <v>4325.5928219999996</v>
      </c>
      <c r="K75" s="3">
        <f>2863.9+(2623.9-728.9)+(-8.763534+(-8.029134--2.230434))+0-621.2--1.90087200000007</f>
        <v>4125.038638</v>
      </c>
      <c r="L75" s="3">
        <f>2631.7+(2487.6-734.1)+(-6.710835+(-6.34338--1.871955))+0-538.8--1.37393999999992</f>
        <v>3836.59168</v>
      </c>
      <c r="M75" s="3">
        <f>2636.3+(2305.8-700.8)+(0+(0-0))+0-588.2-0</f>
        <v>3653.1000000000004</v>
      </c>
      <c r="N75" s="3">
        <f>2857.3+(1992.7-704.4)+(0+(0-0))+0-567.5-0</f>
        <v>3578.1000000000004</v>
      </c>
      <c r="O75" s="3">
        <f>2978.9+(1810.9-703.5)+(0+(0-0))+0-527.4-0</f>
        <v>3558.9</v>
      </c>
      <c r="P75" s="3">
        <f>3302.7+(1414.1-655.2)+(-1.684377+(-0.721191--0.334152))+0-415--0.211649999999958</f>
        <v>3644.740233999999</v>
      </c>
      <c r="Q75" s="3">
        <f>4534+(1082.2-1062.3)+(-2.31234+(-0.551922--0.541773))+0-630--0.321299999999936</f>
        <v>3921.8988109999996</v>
      </c>
      <c r="R75" s="3">
        <f>5159.2+(1089.1-1326.8)+(-2.631192+(-0.555441--0.676668))+0-448.5--0.228734999999955</f>
        <v>4470.7187699999995</v>
      </c>
      <c r="S75" s="3">
        <f>5396.8+(1145-1124.8)+(-2.752368+(-0.58395--0.573648))+0-495.7--0.25280699999995</f>
        <v>4918.790137</v>
      </c>
      <c r="T75" s="3">
        <f>5844.6+(1168.4-1187.3)+(-5.961492+(-1.191768--1.211046))+0-595.7--0.607614000000095</f>
        <v>5224.6654000000017</v>
      </c>
      <c r="U75" s="3">
        <f>5839.5+(1333.1-1288.7)+(-5.95629+(-1.359762--1.314474))+0-547--0.557940000000087</f>
        <v>5331.456361999999</v>
      </c>
      <c r="V75" s="3">
        <f>5812.2+(1260.3-1292.9)+(-8.892666+(-1.928259--1.978137))+0-580.7--0.888471000000034</f>
        <v>5190.9456829999999</v>
      </c>
      <c r="W75" s="3">
        <f>4529.2+(1350.2-591.8)+(-6.929676+(-2.065806--0.905454))+0-532.7--0.815031000000031</f>
        <v>4747.625003000001</v>
      </c>
      <c r="X75" s="3">
        <f>3125.7+(2148.4-561.4)+(-7.970535+(-5.47842--1.43157))+0-562.9--1.43539499999992</f>
        <v>4139.2180099999996</v>
      </c>
      <c r="Y75" s="3">
        <f>2631.9+(2238-559.8)+(-5.369076+(-4.56552--1.141992))+0-601.4--1.22685599999997</f>
        <v>3701.1342519999998</v>
      </c>
      <c r="Z75" s="3">
        <f>2896.6+(2121.9-629.9)+(-2.954532+(-2.164338--0.642498))+0-522--0.532440000000083</f>
        <v>3862.6560680000002</v>
      </c>
      <c r="AA75" s="3">
        <f>3649.5+(2075.4-716.5)+(-9.306225+(-5.29227--1.827075))+0-644.3--1.64296499999991</f>
        <v>4352.9715449999994</v>
      </c>
      <c r="AB75" s="3">
        <f>3554.1+(2193.6-656.3)+(-7.250364+(-4.474944--1.338852))+0-545.9--1.11363599999998</f>
        <v>4536.2271799999999</v>
      </c>
      <c r="AC75" s="3">
        <f>3512.1+(2478-691.2)+(-1.791171+(-1.26378--0.352512))+0-615.4--0.313853999999938</f>
        <v>4681.1114150000003</v>
      </c>
      <c r="AD75" s="2">
        <v>4413.4999999999991</v>
      </c>
      <c r="AE75" s="3">
        <f>3655+(2182.9-747.8)+(0+(0-0))+0-676.6-0</f>
        <v>4413.5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3111.6+(2810.4-665.7)+(0+(0-0))+0-502.5-0</f>
        <v>4753.7999999999993</v>
      </c>
      <c r="G76" s="3">
        <f>2946.4+(2991.6-677.8)+(-3.005328+(-3.051432--0.691356))+0-606.5--0.618630000000097</f>
        <v>4648.9532260000005</v>
      </c>
      <c r="H76" s="3">
        <f>2887.4+(2893.5-679.4)+(1.472574+(1.475685-0.346494))+0-561.8-0.286517999999943</f>
        <v>4542.0152470000003</v>
      </c>
      <c r="I76" s="3">
        <f>3176.4+(2606.5-693.9)+(3.239928+(2.65863-0.707778))+0-644.1-0.656982000000103</f>
        <v>4449.4337979999991</v>
      </c>
      <c r="J76" s="3">
        <f>3025.2+(2553.6-696.6)+(-3.085704+(-2.604672--0.710532))+0-554.8--0.565896000000088</f>
        <v>4322.9860519999993</v>
      </c>
      <c r="K76" s="3">
        <f>2842.3+(2581-689.4)+(-2.899146+(-2.63262--0.703188))+0-596.7--0.608634000000095</f>
        <v>4132.9800560000003</v>
      </c>
      <c r="L76" s="3">
        <f>2748.8+(2300-670.1)+(-8.411328+(-7.038--2.050506))+0-572.2--1.75093200000007</f>
        <v>3794.8521100000007</v>
      </c>
      <c r="M76" s="3">
        <f>2793.8+(2014.5-673.7)+(5.699352+(4.10958-1.374348))+0-572.3-1.16749199999997</f>
        <v>3569.5670919999998</v>
      </c>
      <c r="N76" s="3">
        <f>2994.6+(1717.7-718.9)+(0+(0-0))+0-591.5-0</f>
        <v>3401.9</v>
      </c>
      <c r="O76" s="3">
        <f>3077.2+(1610.6-786.5)+(-1.569372+(-0.821406--0.401115))+0-550.2--0.280601999999944</f>
        <v>3349.3909389999999</v>
      </c>
      <c r="P76" s="3">
        <f>3174.6+(1499.2-784.6)+(0+(0-0))+0-517.4-0</f>
        <v>3371.7999999999997</v>
      </c>
      <c r="Q76" s="3">
        <f>3556.7+(1272.1-753.3)+(0+(0-0))+0-518.5-0</f>
        <v>3557</v>
      </c>
      <c r="R76" s="3">
        <f>4471.7+(1063.7-882.9)+(0+(0-0))+0-506.3-0</f>
        <v>4146.2</v>
      </c>
      <c r="S76" s="3">
        <f>4677.5+(1429-787.4)+(-9.5421+(-2.91516--1.606296))+0-557.8--1.13791199999998</f>
        <v>4751.5869480000001</v>
      </c>
      <c r="T76" s="3">
        <f>4916.5+(1762.7-948.9)+(2.507415+(0.898977-0.483939))+0-624.9-0.318698999999937</f>
        <v>5108.0037540000003</v>
      </c>
      <c r="U76" s="3">
        <f>4856.7+(1874.4-949.9)+(-2.476917+(-0.955944--0.484449))+0-566.7--0.289016999999943</f>
        <v>5211.8406050000003</v>
      </c>
      <c r="V76" s="3">
        <f>4926.7+(1723.6-889.8)+(5.025234+(1.758072-0.907596))+0-651.3-0.664326000000104</f>
        <v>5114.411384</v>
      </c>
      <c r="W76" s="3">
        <f>4164.4+(1618.6-558.8)+(-6.371532+(-2.476458--0.854964))+0-553.7--0.847161000000032</f>
        <v>4663.3541349999996</v>
      </c>
      <c r="X76" s="3">
        <f>3347.2+(1854.7-559.7)+(-3.414144+(-1.891794--0.570894))+0-559.9--0.571098000000089</f>
        <v>4078.1360539999996</v>
      </c>
      <c r="Y76" s="3">
        <f>2970.6+(1936.7-615.9)+(-3.030012+(-1.975434--0.628218))+0-636.2--0.648924000000102</f>
        <v>3651.4716959999996</v>
      </c>
      <c r="Z76" s="3">
        <f>3265.5+(1732.6-673.1)+(0+(0-0))+0-542.2-0</f>
        <v>3782.8</v>
      </c>
      <c r="AA76" s="3">
        <f>4061.3+(1676.8-870.2)+(-6.213789+(-2.565504--1.331406))+0-609--0.931770000000035</f>
        <v>4252.3838829999995</v>
      </c>
      <c r="AB76" s="3">
        <f>4184.6+(1746.7-915.4)+(-4.268292+(-1.781634--0.933708))+0-569.6--0.580992000000091</f>
        <v>4441.7647740000002</v>
      </c>
      <c r="AC76" s="3">
        <f>4323.7+(1914.6-911.6)+(4.410174+(1.952892-0.929832))+0-694.6-0.708492000000111</f>
        <v>4636.8247419999998</v>
      </c>
      <c r="AD76" s="2">
        <v>4451.2</v>
      </c>
      <c r="AE76" s="3">
        <f>4193+(1829.6-935.1)+(0+(0-0))+0-636.3-0</f>
        <v>4451.2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3493.3+(2600.6-735.6)+(-3.563166+(-2.652612--0.750312))+0-636.4--0.649128000000101</f>
        <v>4717.0836620000009</v>
      </c>
      <c r="G77" s="3">
        <f>3054.4+(2953.4-700.2)+(3.115488+(3.012468-0.714204))+0-669.6-0.682992000000107</f>
        <v>4642.7307600000004</v>
      </c>
      <c r="H77" s="3">
        <f>2805.5+(3018-705.1)+(-1.430805+(-1.53918--0.359601))+0-647.1--0.330020999999934</f>
        <v>4469.0196369999994</v>
      </c>
      <c r="I77" s="3">
        <f>2864.2+(2777.3-719.4)+(0+(0-0))+0-611.7-0</f>
        <v>4310.4000000000005</v>
      </c>
      <c r="J77" s="3">
        <f>2596.7+(2879.9-693.3)+(-3.972951+(-4.406247--1.060749))+0-630.6--0.964818000000036</f>
        <v>4146.3463689999999</v>
      </c>
      <c r="K77" s="3">
        <f>2535.9+(2803.8-680.1)+(-2.586618+(-2.859876--0.693702))+0-669.9--0.683298000000107</f>
        <v>3985.630506</v>
      </c>
      <c r="L77" s="3">
        <f>2509.9+(2523.3-680.7)+(-6.400245+(-6.434415--1.735785))+0-654.2--1.66820999999991</f>
        <v>3688.8693350000003</v>
      </c>
      <c r="M77" s="3">
        <f>2727.7+(2067.3-659.8)+(4.173381+(3.162969-1.009494))+0-630.6-0.964818000000036</f>
        <v>3509.9620379999997</v>
      </c>
      <c r="N77" s="3">
        <f>2882.7+(1868.7-671.7)+(1.470177+(0.953037-0.342567))+0-642.9-0.327878999999935</f>
        <v>3438.552768</v>
      </c>
      <c r="O77" s="3">
        <f>2932.6+(1737.6-689.1)+(2.991252+(1.772352-0.702882))+0-573.9-0.585378000000091</f>
        <v>3410.6753439999998</v>
      </c>
      <c r="P77" s="3">
        <f>2815.9+(1851.1-623.2)+(0+(0-0))+0-612.4-0</f>
        <v>3431.4</v>
      </c>
      <c r="Q77" s="3">
        <f>3044.7+(1699.4-635.1)+(-4.658391+(-2.600082--0.971703))+3.1-452.1--0.691713000000026</f>
        <v>3654.4049430000009</v>
      </c>
      <c r="R77" s="3">
        <f>3760.4+(1571.3-651.8)+(1.917804+(0.801363-0.332418))+41.3-579.6-0.295595999999941</f>
        <v>4143.6911529999998</v>
      </c>
      <c r="S77" s="3">
        <f>4349.2+(1764.9-774.5)+(-11.09046+(-4.500495--1.974975))+0-589.9--1.50424499999991</f>
        <v>4737.5882650000012</v>
      </c>
      <c r="T77" s="3">
        <f>4763.1+(1791.3-808.3)+(-12.145905+(-4.567815--2.061165))+0-603.1--1.53790499999991</f>
        <v>5129.8853500000005</v>
      </c>
      <c r="U77" s="3">
        <f>4816.1+(1915.4-836.8)+(0+(0-0))+0-606.5-0</f>
        <v>5288.2000000000007</v>
      </c>
      <c r="V77" s="3">
        <f>4646.1+(1962.3-899.8)+(-7.108533+(-3.002319--1.376694))+0-473.5--0.724455000000027</f>
        <v>5227.0902969999997</v>
      </c>
      <c r="W77" s="3">
        <f>4487.9+(1871.1-911.8)+(-11.444145+(-4.771305--2.32509))+0-561.6--1.43207999999992</f>
        <v>4873.1417199999987</v>
      </c>
      <c r="X77" s="3">
        <f>4269.4+(1531.5-873.7)+(-10.88697+(-3.905325--2.227935))+0-571.8--1.45808999999992</f>
        <v>4344.2937299999994</v>
      </c>
      <c r="Y77" s="3">
        <f>4077.2+(1327.6-876.9)+(-6.238116+(-2.031228--1.341657))+0-617.7--0.945081000000036</f>
        <v>3904.2173939999993</v>
      </c>
      <c r="Z77" s="3">
        <f>4303.8+(1381.3-971.2)+(4.389876+(1.408926-0.990624))+0-645.9-0.658818000000103</f>
        <v>4072.1493599999999</v>
      </c>
      <c r="AA77" s="3">
        <f>4271+(1544.8-893.3)+(-2.17821+(-0.787848--0.455583))+0-601--0.306509999999939</f>
        <v>4319.2960350000003</v>
      </c>
      <c r="AB77" s="3">
        <f>4332.3+(1856.1-827.1)+(-6.628419+(-2.839833--1.265463))+0-669.7--1.02464100000004</f>
        <v>4684.4218520000004</v>
      </c>
      <c r="AC77" s="3">
        <f>3963.8+(2273.9-689.6)+(-4.043076+(-2.319378--0.703392))+0-594.4--0.606288000000095</f>
        <v>4948.647226000001</v>
      </c>
      <c r="AD77" s="2">
        <v>4753</v>
      </c>
      <c r="AE77" s="3">
        <f>4592+(1662.3-897.1)+(0+(0-0))+0-604.2-0</f>
        <v>4753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4063.1+(2335.1-720.7)+(0+(0-0))+0-662.2-0</f>
        <v>5015.3</v>
      </c>
      <c r="G78" s="3">
        <f>3528.8+(2724-687.9)+(-7.198752+(-5.55696--1.403316))+0-666.8--1.36027199999997</f>
        <v>4888.1078759999991</v>
      </c>
      <c r="H78" s="3">
        <f>3016.7+(3065-691.2)+(-7.692585+(-7.81575--1.76256))+0-644.4--1.64321999999991</f>
        <v>4733.997445</v>
      </c>
      <c r="I78" s="3">
        <f>2650.6+(3299.9-693.5)+(-2.703612+(-3.365898--0.70737))+0-691.2--0.70502400000011</f>
        <v>4561.1428839999999</v>
      </c>
      <c r="J78" s="3">
        <f>2665.8+(3131.6-725.6)+(-1.359558+(-1.597116--0.370056))+0-635.2--0.323951999999936</f>
        <v>4434.3373339999998</v>
      </c>
      <c r="K78" s="3">
        <f>2641.9+(3050.4-725.2)+(-1.347369+(-1.555704--0.369852))+0-689.8--0.35179799999993</f>
        <v>4275.1185770000002</v>
      </c>
      <c r="L78" s="3">
        <f>2586.5+(2608.5-714.5)+(0+(0-0))+0-575.8-0</f>
        <v>3904.7</v>
      </c>
      <c r="M78" s="3">
        <f>2612.6+(2475-684.6)+(3.997278+(3.78675-1.047438))+0-660.3-1.01025900000004</f>
        <v>3748.4263310000001</v>
      </c>
      <c r="N78" s="3">
        <f>2819.5+(2165.5-675.8)+(-4.313835+(-3.313215--1.033974))+0-591.7--0.905301000000034</f>
        <v>3711.8122250000001</v>
      </c>
      <c r="O78" s="3">
        <f>3023.5+(1917.3-695)+(0+(0-0))+0-562.7-0</f>
        <v>3683.1000000000004</v>
      </c>
      <c r="P78" s="3">
        <f>3368.8+(1731.9-692.1)+(0+(0-0))+0-555.9-0</f>
        <v>3852.7000000000003</v>
      </c>
      <c r="Q78" s="3">
        <f>4320.5+(1251.7-963)+(0+(0-0))+0-545-0</f>
        <v>4064.2</v>
      </c>
      <c r="R78" s="3">
        <f>5134.9+(1373.9-1182.2)+(5.237598+(1.401378-1.205844))+0-530.2-0.540804000000085</f>
        <v>4801.2923279999995</v>
      </c>
      <c r="S78" s="3">
        <f>5222.7+(1564.7-1031.4)+(-2.663577+(-0.797997--0.526014))+0-499.9--0.254948999999949</f>
        <v>5253.4193890000006</v>
      </c>
      <c r="T78" s="3">
        <f>5786.2+(1430.1-1188.9)+(-2.950962+(-0.729351--0.606339))+0-583.5--0.297584999999941</f>
        <v>5441.123611</v>
      </c>
      <c r="U78" s="3">
        <f>5835.8+(1454-1206.6)+(0+(0-0))+0-582.5-0</f>
        <v>5500.7000000000007</v>
      </c>
      <c r="V78" s="3">
        <f>5631.8+(1468-1176.9)+(-11.488872+(-2.99472--2.400876))+0-487.6--0.994703999999979</f>
        <v>5424.2119879999991</v>
      </c>
      <c r="W78" s="3">
        <f>4896.1+(1494.8-759.5)+(-14.982066+(-4.574088--2.32407))+0-468.8--1.43452800000005</f>
        <v>5146.8024439999999</v>
      </c>
      <c r="X78" s="3">
        <f>3442.2+(2366.4-678.9)+(-15.799698+(-10.861776--3.116151))+0-479.6--2.20136400000008</f>
        <v>4628.7560409999996</v>
      </c>
      <c r="Y78" s="3">
        <f>2991.4+(2368-721.1)+(-7.62807+(-6.0384--1.838805))+0-487.3--1.24261499999993</f>
        <v>4140.4149500000003</v>
      </c>
      <c r="Z78" s="3">
        <f>3646.7+(1883.1-742)+(-5.579451+(-2.881143--1.13526))+0-542.3--0.829719000000031</f>
        <v>4239.0043849999993</v>
      </c>
      <c r="AA78" s="3">
        <f>4810.9+(1353.1-786.9)+(-2.453559+(-0.690081--0.401319))+0-571--0.291209999999942</f>
        <v>4803.6488890000001</v>
      </c>
      <c r="AB78" s="3">
        <f>4570.7+(1708-759.5)+(-11.655285+(-4.3554--1.936725))+0-598.4--1.52591999999991</f>
        <v>4908.2519600000005</v>
      </c>
      <c r="AC78" s="3">
        <f>4207.6+(2272.7-750.9)+(-8.583504+(-4.636308--1.531836))+0-623.1--1.27112399999997</f>
        <v>5095.883147999999</v>
      </c>
      <c r="AD78" s="2">
        <v>4828.8999999999996</v>
      </c>
      <c r="AE78" s="3">
        <f>4899+(1359.8-882.3)+(0+(0-0))+0-547.6-0</f>
        <v>4828.8999999999996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4138.9+(2166-746.8)+(-2.110839+(-1.10466--0.380868))+0-546.4--0.278663999999945</f>
        <v>5009.1440330000005</v>
      </c>
      <c r="G79" s="3">
        <f>3534.1+(2722.9-748.9)+(0+(0-0))+0-607.9-0</f>
        <v>4900.2000000000007</v>
      </c>
      <c r="H79" s="3">
        <f>3228.1+(2835.9-752.7)+(-1.646331+(-1.446309--0.383877))+0-577.9--0.294728999999941</f>
        <v>4730.9859660000002</v>
      </c>
      <c r="I79" s="3">
        <f>2949+(2806.2-752.7)+(-4.51197+(-4.293486--1.151631))+0-588.2--0.899946000000034</f>
        <v>4407.5461210000003</v>
      </c>
      <c r="J79" s="3">
        <f>2868.2+(2726.4-747.8)+(-4.388346+(-4.171392--1.144134))+0-558.3--0.854199000000032</f>
        <v>4281.9385950000005</v>
      </c>
      <c r="K79" s="3">
        <f>2732.9+(2728.2-774.7)+(-6.968895+(-6.95691--1.975485))+0-579.4--1.47746999999992</f>
        <v>4096.5271499999999</v>
      </c>
      <c r="L79" s="3">
        <f>2620.6+(2701-757.1)+(-4.009518+(-4.13253--1.158363))+0-530.7--0.811971000000031</f>
        <v>4027.6282860000001</v>
      </c>
      <c r="M79" s="3">
        <f>2668.4+(2514.7-725.6)+(4.082652+(3.847491-1.110168))+0-633.1-0.968643000000037</f>
        <v>3830.2513320000003</v>
      </c>
      <c r="N79" s="3">
        <f>2695.9+(2379.8-720)+(6.874545+(6.06849-1.836))+0-583.9-1.48894499999992</f>
        <v>3781.4180900000006</v>
      </c>
      <c r="O79" s="3">
        <f>2956.2+(2281.3-743.7)+(3.015324+(2.326926-0.758574))+0-648.3-0.661266000000103</f>
        <v>3849.4224100000001</v>
      </c>
      <c r="P79" s="3">
        <f>3360.7+(1888.1-757.1)+(-5.141871+(-2.888793--1.158363))+0-521.4--0.79774200000003</f>
        <v>3964.2254409999996</v>
      </c>
      <c r="Q79" s="3">
        <f>4407.4+(1211.8-750.6)+(6.743322+(1.854054-1.148418))+0-534-0.817020000000031</f>
        <v>4341.231937999999</v>
      </c>
      <c r="R79" s="3">
        <f>5378+(1144.8-1066.9)+(0+(0-0))+0-533-0</f>
        <v>4922.8999999999996</v>
      </c>
      <c r="S79" s="3">
        <f>5599.9+(1237.6-955.6)+(-2.855949+(-0.631176--0.487356))+0-539.9--0.275348999999945</f>
        <v>5339.2755799999995</v>
      </c>
      <c r="T79" s="3">
        <f>6151.9+(1174.1-1115.9)+(-3.137469+(-0.598791--0.569109))+0-690.9--0.35235899999993</f>
        <v>5516.3852079999997</v>
      </c>
      <c r="U79" s="3">
        <f>6258.8+(1130.9-1288.4)+(3.191988+(0.576759-0.657084))+0-546.5-0.278714999999945</f>
        <v>5557.6329479999995</v>
      </c>
      <c r="V79" s="3">
        <f>6015.6+(1229.7-1289.7)+(-6.135912+(-1.254294--1.315494))+0-664--0.677280000000106</f>
        <v>5286.2025680000006</v>
      </c>
      <c r="W79" s="3">
        <f>5143.3+(1592.2-917.1)+(-10.492332+(-3.248088--1.870884))+0-544.2--1.11016799999998</f>
        <v>5263.4406320000007</v>
      </c>
      <c r="X79" s="3">
        <f>3518.9+(2607.1-692.5)+(-3.589278+(-2.659242--0.70635))+0-638--0.650760000000102</f>
        <v>4790.6085900000007</v>
      </c>
      <c r="Y79" s="3">
        <f>3070.9+(2348.2-702.4)+(-6.264636+(-4.790328--1.432896))+0-511.2--1.04284799999998</f>
        <v>4196.9207800000004</v>
      </c>
      <c r="Z79" s="3">
        <f>3365.2+(2199.7-713.4)+(-1.716252+(-1.121847--0.363834))+0-591.5--0.30166499999994</f>
        <v>4257.8274000000001</v>
      </c>
      <c r="AA79" s="3">
        <f>4035+(2043-707.3)+(-6.17355+(-3.12579--1.082169))+0-597.2--0.913716000000035</f>
        <v>4766.1965449999998</v>
      </c>
      <c r="AB79" s="3">
        <f>3861.1+(2411.7-719.9)+(0+(0-0))+0-671.7-0</f>
        <v>4881.2</v>
      </c>
      <c r="AC79" s="3">
        <f>3480.4+(3028.8-749.5)+(-5.325012+(-4.634064--1.146735))+0-623.8--0.954414000000036</f>
        <v>5128.0420730000005</v>
      </c>
      <c r="AD79" s="2">
        <v>4888.3999999999996</v>
      </c>
      <c r="AE79" s="3">
        <f>4265+(2061-729.6)+(0+(0-0))+0-730-0</f>
        <v>4866.3999999999996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3477.4+(3064.9-744.7)+(-3.546948+(-3.126198--0.759594))+0-607.2--0.619344000000097</f>
        <v>5185.1057920000003</v>
      </c>
      <c r="G80" s="3">
        <f>3344.6+(3101-698.5)+(-3.411492+(-3.16302--0.71247))+0-657.9--0.671058000000105</f>
        <v>5084.0090160000009</v>
      </c>
      <c r="H80" s="3">
        <f>3083.5+(3239.7-738.9)+(0+(0-0))+0-633.4-0</f>
        <v>4950.8999999999996</v>
      </c>
      <c r="I80" s="3">
        <f>2794.8+(3437.1-745.4)+(-1.425348+(-1.752921--0.380154))+0-643.7--0.328286999999935</f>
        <v>4840.3301720000009</v>
      </c>
      <c r="J80" s="3">
        <f>2792.1+(3334.2-756.5)+(-4.271913+(-5.101326--1.157445))+0-637.8--0.975834000000037</f>
        <v>4724.7600399999992</v>
      </c>
      <c r="K80" s="3">
        <f>2742+(3177.3-749.7)+(-2.79684+(-3.240846--0.764694))+0-607.3--0.619446000000097</f>
        <v>4557.6464539999997</v>
      </c>
      <c r="L80" s="3">
        <f>2726.8+(2809.3-718.2)+(-5.562672+(-5.730972--1.465128))+0-623.4--1.27173599999997</f>
        <v>4185.943220000001</v>
      </c>
      <c r="M80" s="3">
        <f>2871.1+(2384.9-719)+(4.392783+(3.648897-1.10007))+0-589-0.901170000000034</f>
        <v>3954.0404399999998</v>
      </c>
      <c r="N80" s="3">
        <f>2905.6+(2307.1-710.6)+(4.445568+(3.529863-1.087218))+0-635.3-0.972009000000037</f>
        <v>3872.7162040000003</v>
      </c>
      <c r="O80" s="3">
        <f>3343.1+(1714.1-722.8)+(0+(0-0))+0-491.8-0</f>
        <v>3842.5999999999995</v>
      </c>
      <c r="P80" s="3">
        <f>4424.9+(999.2-807.6)+(2.256699+(0.509592-0.411876))+0-641.2-0.327011999999935</f>
        <v>3977.3274030000002</v>
      </c>
      <c r="Q80" s="3">
        <f>5250.4+(771.1-1355.8)+(0+(0-0))+0-386.6-0</f>
        <v>4279.0999999999995</v>
      </c>
      <c r="R80" s="3">
        <f>6221.1+(956.5-1696.2)+(0+(0-0))+0-657.1-0</f>
        <v>4824.3</v>
      </c>
      <c r="S80" s="3">
        <f>6376.6+(991.7-1572.9)+(-9.756198+(-1.517301--2.406537))+0-554.2--0.847926000000032</f>
        <v>5233.180964000001</v>
      </c>
      <c r="T80" s="3">
        <f>6751.5+(1048.9-1598.2)+(-6.88653+(-1.069878--1.630164))+0-674.3--0.687786000000107</f>
        <v>5522.2615420000002</v>
      </c>
      <c r="U80" s="3">
        <f>6369.3+(1059.2-1267.8)+(-12.993372+(-2.160768--2.586312))+0-601.6--1.22726399999997</f>
        <v>5547.7594360000003</v>
      </c>
      <c r="V80" s="3">
        <f>5706+(1235.8-877.5)+(2.91006+(0.630258-0.447525))+0-632.4-0.322523999999936</f>
        <v>5434.6702690000002</v>
      </c>
      <c r="W80" s="3">
        <f>4671.1+(1782.8-701.8)+(0+(0-0))+0-602.6-0</f>
        <v>5149.5</v>
      </c>
      <c r="X80" s="3">
        <f>3349.1+(2591.7-695.1)+(-3.416082+(-2.643534--0.709002))+0-609.3--0.621486000000097</f>
        <v>4631.6708719999997</v>
      </c>
      <c r="Y80" s="3">
        <f>3083.6+(2415.4-716.1)+(-1.572636+(-1.231854--0.365211))+0-614.6--0.313445999999938</f>
        <v>4166.1741669999992</v>
      </c>
      <c r="Z80" s="3">
        <f>3248.5+(2277.4-718)+(3.31347+(2.322948-0.73236))+0-598.8-0.610776000000095</f>
        <v>4213.3932819999991</v>
      </c>
      <c r="AA80" s="3">
        <f>3602.4+(2514.9-713.6)+(-5.511672+(-3.847797--1.091808))+0-687.3--1.05156900000004</f>
        <v>4709.1839080000009</v>
      </c>
      <c r="AB80" s="3">
        <f>3253.6+(2883.5-704.2)+(-3.318672+(-2.94117--0.718284))+0-566.4--0.57772800000009</f>
        <v>4861.5361700000003</v>
      </c>
      <c r="AC80" s="3">
        <f>3210.9+(3177.8-695.9)+(1.637559+(1.620678-0.354909))+0-698.9-0.356438999999929</f>
        <v>4996.4468890000007</v>
      </c>
      <c r="AD80" s="2">
        <v>4816.8</v>
      </c>
      <c r="AE80" s="3">
        <f>3367+(2806.3-721.8)+(0+(0-0))+0-634.7-0</f>
        <v>4816.8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3156+(3136.2-661.7)+(-1.60956+(-1.599462--0.337467))+0-554.8--0.282947999999944</f>
        <v>5073.1113930000001</v>
      </c>
      <c r="G81" s="3">
        <f>3129.3+(3286.8-683.2)+(-1.595943+(-1.676268--0.348432))+0-703.4--0.358733999999929</f>
        <v>5026.9349550000015</v>
      </c>
      <c r="H81" s="3">
        <f>2735.8+(3503.5-704.5)+(0+(0-0))+0-643.4-0</f>
        <v>4891.4000000000005</v>
      </c>
      <c r="I81" s="3">
        <f>2698.4+(3489.4-692.7)+(0+(0-0))+0-741.2-0</f>
        <v>4753.9000000000005</v>
      </c>
      <c r="J81" s="3">
        <f>2637.2+(3308.3-672.8)+(-5.379888+(-6.748932--1.372512))+0-623.9--1.27275599999997</f>
        <v>4639.3164480000005</v>
      </c>
      <c r="K81" s="3">
        <f>2624.9+(3332.2-681.7)+(-6.693495+(-8.49711--1.738335))+0-754.2--1.92320999999989</f>
        <v>4509.67094</v>
      </c>
      <c r="L81" s="3">
        <f>2505+(2947.9-660.4)+(-6.38775+(-7.517145--1.68402))+0-623.3--1.58941499999991</f>
        <v>4158.5685399999993</v>
      </c>
      <c r="M81" s="3">
        <f>2724.3+(2501-642.2)+(2.778786+(2.55102-0.655044))+0-665.4-0.678708000000106</f>
        <v>3921.696054</v>
      </c>
      <c r="N81" s="3">
        <f>3065.5+(2051.6-684.2)+(-1.563405+(-1.046316--0.348942))+0-608.3--0.310232999999938</f>
        <v>3822.6494539999994</v>
      </c>
      <c r="O81" s="3">
        <f>2943.7+(2127.2-685.6)+(-3.002574+(-2.169744--0.699312))+0-626--0.6385200000001</f>
        <v>3755.4655139999991</v>
      </c>
      <c r="P81" s="3">
        <f>3612.3+(1536.3-667.2)+(0+(0-0))+0-666.8-0</f>
        <v>3814.5999999999995</v>
      </c>
      <c r="Q81" s="3">
        <f>4105.5+(1277.1-685.9)+(2.093805+(0.651321-0.349809))+0-605.6-0.308855999999939</f>
        <v>4093.1864610000002</v>
      </c>
      <c r="R81" s="3">
        <f>4607.2+(1379.5-727.2)+(4.699344+(1.40709-0.741744))+0-752-0.76704000000012</f>
        <v>4512.0976500000006</v>
      </c>
      <c r="S81" s="3">
        <f>5159.2+(1320.2-787.5)+(-2.631192+(-0.673302--0.401625))+0-642.8--0.327827999999935</f>
        <v>5046.5249589999994</v>
      </c>
      <c r="T81" s="3">
        <f>5498.1+(1467.7-837.2)+(0+(0-0))+0-752.7-0</f>
        <v>5375.9000000000005</v>
      </c>
      <c r="U81" s="3">
        <f>5206+(1572.9-719.8)+(-5.31012+(-1.604358--0.734196))+0-637.4--0.650148000000102</f>
        <v>5416.1698660000002</v>
      </c>
      <c r="V81" s="3">
        <f>4959+(1740.8-697.5)+(0+(0-0))+0-713.4-0</f>
        <v>5288.9000000000005</v>
      </c>
      <c r="W81" s="3">
        <f>4181.3+(2242.8-728.4)+(-4.264926+(-2.287656--0.742968))+0-641.6--0.654432000000102</f>
        <v>5048.9448180000009</v>
      </c>
      <c r="X81" s="3">
        <f>3266.5+(2696.8-716.3)+(-3.33183+(-2.750736--0.730626))+0-719.5--0.733890000000115</f>
        <v>4522.8819500000009</v>
      </c>
      <c r="Y81" s="3">
        <f>2954.6+(2310-697.2)+(-3.013692+(-2.3562--0.711144))+0-527.7--0.538254000000084</f>
        <v>4035.579506</v>
      </c>
      <c r="Z81" s="3">
        <f>3415+(2026.8-724)+(3.4833+(2.067336-0.73848))+0-668.1-0.681462000000107</f>
        <v>4053.8306940000002</v>
      </c>
      <c r="AA81" s="3">
        <f>4391.1+(1718.1-781.6)+(-2.239461+(-0.876231--0.398616))+0-737.3--0.376022999999925</f>
        <v>4587.9589470000001</v>
      </c>
      <c r="AB81" s="3">
        <f>4333.2+(1814-716.3)+(4.419864+(1.85028-0.730626))+0-615.6-0.627912000000098</f>
        <v>4820.2116059999989</v>
      </c>
      <c r="AC81" s="3">
        <f>4193.6+(2259.3-726.1)+(-4.277472+(-2.304486--0.740622))+0-761.3--0.776526000000121</f>
        <v>4960.4351900000011</v>
      </c>
      <c r="AD81" s="2">
        <v>4644.9000000000005</v>
      </c>
      <c r="AE81" s="3">
        <f>4535+(1627.1-775.8)+(0+(0-0))+0-741.4-0</f>
        <v>4644.9000000000005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3996.7+(2372.1-728.4)+(-2.038317+(-1.209771--0.371484))+0-597.1--0.304520999999939</f>
        <v>5040.7279169999993</v>
      </c>
      <c r="G82" s="3">
        <f>3752.8+(2599.9-707.9)+(-9.56964+(-6.629745--1.805145))+0-687.5--1.7531249999999</f>
        <v>4944.6588850000007</v>
      </c>
      <c r="H82" s="3">
        <f>3435.2+(2745.7-705)+(-3.503904+(-2.800614--0.7191))+0-679.3--0.692886000000108</f>
        <v>4791.7074679999996</v>
      </c>
      <c r="I82" s="3">
        <f>3161.2+(2965.3-763.9)+(-3.224424+(-3.024606--0.779178))+0-704.7--0.718794000000112</f>
        <v>4653.1489420000007</v>
      </c>
      <c r="J82" s="3">
        <f>2984.9+(2997.6-741.2)+(-1.522299+(-1.528776--0.378012))+0-702.7--0.358376999999929</f>
        <v>4536.2853139999988</v>
      </c>
      <c r="K82" s="3">
        <f>2957.3+(2811.5-721.5)+(-7.541115+(-7.169325--1.839825))+0-657.9--1.6776449999999</f>
        <v>4378.2070300000005</v>
      </c>
      <c r="L82" s="3">
        <f>2869.9+(2446.6-694.6)+(-2.927298+(-2.495532--0.708492))+0-600.2--0.612204000000096</f>
        <v>4017.5978660000001</v>
      </c>
      <c r="M82" s="3">
        <f>3147.7+(2066.2-677.1)+(-8.026635+(-5.26881--1.726605))+0-662.6--1.6896299999999</f>
        <v>3864.3207899999993</v>
      </c>
      <c r="N82" s="3">
        <f>3216.2+(1881.3-714.9)+(-1.640262+(-0.959463--0.364599))+0-549.2--0.280091999999944</f>
        <v>3831.4449660000009</v>
      </c>
      <c r="O82" s="3">
        <f>3190.5+(2032.5-752.4)+(-1.627155+(-1.036575--0.383724))+0-577.5--0.294524999999941</f>
        <v>3891.1145190000002</v>
      </c>
      <c r="P82" s="3">
        <f>3239.9+(1923.2-724)+(-3.304698+(-1.961664--0.73848))+0-450.6--0.459612000000072</f>
        <v>3984.4317300000002</v>
      </c>
      <c r="Q82" s="3">
        <f>4073.1+(1308-745.1)+(0+(0-0))+0-355.2-0</f>
        <v>4280.8</v>
      </c>
      <c r="R82" s="3">
        <f>5319.8+(882.2-951.6)+(-8.139294+(-1.349766--1.455948))+0-513.5--0.78565500000003</f>
        <v>4729.6525430000002</v>
      </c>
      <c r="S82" s="3">
        <f>5338+(1326.6-891.1)+(-10.88952+(-2.706264--1.817844))+0-530.2--1.08160799999998</f>
        <v>5232.6036680000007</v>
      </c>
      <c r="T82" s="3">
        <f>5724.3+(1225-984.3)+(5.838786+(1.2495-1.003986))+0-482.5-0.492150000000077</f>
        <v>5488.0921500000004</v>
      </c>
      <c r="U82" s="3">
        <f>5939.8+(1250.9-1090.9)+(-3.029298+(-0.637959--0.556359))+0-606.3--0.309212999999938</f>
        <v>5490.6983149999996</v>
      </c>
      <c r="V82" s="3">
        <f>5191.9+(1532.1-668.9)+(-7.943607+(-2.344113--1.023417))+0-638.1--0.976293000000037</f>
        <v>5408.7119899999989</v>
      </c>
      <c r="W82" s="3">
        <f>4684.5+(1741.4-702.7)+(0+(0-0))+0-583-0</f>
        <v>5140.2</v>
      </c>
      <c r="X82" s="3">
        <f>3468.4+(2398-695.5)+(-3.537768+(-2.44596--0.70941))+0-544.5--0.555390000000087</f>
        <v>4621.6810720000003</v>
      </c>
      <c r="Y82" s="3">
        <f>3324.2+(2175.3-718.8)+(0+(0-0))+0-667.2-0</f>
        <v>4113.5</v>
      </c>
      <c r="Z82" s="3">
        <f>4020.6+(1434.6-741.2)+(2.050506+(0.731646-0.378012))+0-582.8-0.297227999999941</f>
        <v>4133.3069119999991</v>
      </c>
      <c r="AA82" s="3">
        <f>4702.3+(1472.3-920.8)+(-9.592692+(-3.003492--1.878432))+0-708--1.44431999999997</f>
        <v>4536.5265680000002</v>
      </c>
      <c r="AB82" s="3">
        <f>4560.6+(1542.9-795.2)+(-11.62953+(-3.934395--2.02776))+0-540.8--1.37903999999992</f>
        <v>4755.3428749999994</v>
      </c>
      <c r="AC82" s="3">
        <f>4492.5+(1847.9-697.1)+(-6.873525+(-2.827287--1.066563))+0-738.2--1.12944600000004</f>
        <v>4897.5951970000006</v>
      </c>
      <c r="AD82" s="2">
        <v>4616.3</v>
      </c>
      <c r="AE82" s="3">
        <f>4872+(1483.1-1002.8)+(0+(0-0))+0-736-0</f>
        <v>4616.3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3880.5+(2525.1-713.1)+(-9.895275+(-6.439005--1.818405))+0-611.4--1.55906999999991</f>
        <v>5068.1431950000006</v>
      </c>
      <c r="G83" s="3">
        <f>3272.8+(3106.3-734.8)+(-3.338256+(-3.168426--0.749496))+0-674.6--0.688092000000108</f>
        <v>4964.6309060000003</v>
      </c>
      <c r="H83" s="3">
        <f>3251.9+(2952-761.3)+(1.658469+(1.50552-0.388263))+0-666.3-0.339812999999932</f>
        <v>4778.7359130000004</v>
      </c>
      <c r="I83" s="3">
        <f>3246.4+(2831-739.6)+(6.622656+(5.77524-1.508784))+0-672.1-1.37108399999997</f>
        <v>4675.2180279999993</v>
      </c>
      <c r="J83" s="3">
        <f>3140.2+(2790.1-720.3)+(-4.804506+(-4.268853--1.102059))+0-682.9--1.04483700000004</f>
        <v>4520.1735370000006</v>
      </c>
      <c r="K83" s="3">
        <f>3156.3+(2654.7-722.1)+(-8.048565+(-6.769485--1.841355))+0-666.4--1.6993199999999</f>
        <v>4411.2226249999994</v>
      </c>
      <c r="L83" s="3">
        <f>3040.5+(2391.4-720.2)+(-3.10131+(-2.439228--0.734604))+0-713.4--0.727668000000114</f>
        <v>3994.2217339999997</v>
      </c>
      <c r="M83" s="3">
        <f>3028.2+(2168.1-724.5)+(0+(0-0))+0-632.1-0</f>
        <v>3839.6999999999994</v>
      </c>
      <c r="N83" s="3">
        <f>3031.9+(2093.4-730)+(4.638807+(3.202902-1.1169))+0-594.5-0.909585000000034</f>
        <v>3806.6152240000006</v>
      </c>
      <c r="O83" s="3">
        <f>3097.4+(1922-707.3)+(0+(0-0))+0-434.1-0</f>
        <v>3878.0000000000005</v>
      </c>
      <c r="P83" s="3">
        <f>3528.2+(1591.6-679)+(1.799382+(0.811716-0.34629))+0-572-0.291719999999942</f>
        <v>3870.773087999999</v>
      </c>
      <c r="Q83" s="3">
        <f>4233.1+(1126.4-691.6)+(-4.317762+(-1.148928--0.705432))+0-561.1--0.572322000000089</f>
        <v>4102.6110639999997</v>
      </c>
      <c r="R83" s="3">
        <f>4598.9+(1312-729.2)+(-2.345439+(-0.66912--0.371892))+0-549.6--0.280295999999944</f>
        <v>4629.7376289999993</v>
      </c>
      <c r="S83" s="3">
        <f>4628.1+(1767.9-683.3)+(-7.080993+(-2.704887--1.045449))+0-485.9--0.743427000000028</f>
        <v>5218.8029960000013</v>
      </c>
      <c r="T83" s="3">
        <f>5046.2+(1786.3-808.6)+(-7.720686+(-2.733039--1.237158))+0-573--0.876690000000033</f>
        <v>5442.5601229999993</v>
      </c>
      <c r="U83" s="3">
        <f>5144.1+(1703-796.3)+(-13.117455+(-4.34265--2.030565))+0-467.9--1.19314499999993</f>
        <v>5568.6636050000006</v>
      </c>
      <c r="V83" s="3">
        <f>5056.2+(1534.4-695.8)+(-2.578662+(-0.782544--0.354858))+0-467.4--0.238373999999953</f>
        <v>5424.6320260000002</v>
      </c>
      <c r="W83" s="3">
        <f>4787+(1686.3-710.7)+(-9.76548+(-3.440052--1.449828))+0-617.7--1.26010799999997</f>
        <v>5134.4044040000008</v>
      </c>
      <c r="X83" s="3">
        <f>3729+(2164.2-728.1)+(-9.50895+(-5.51871--1.856655))+0-526--1.34129999999992</f>
        <v>4627.2702950000003</v>
      </c>
      <c r="Y83" s="3">
        <f>3515.1+(1795.9-749.8)+(-5.378103+(-2.747727--1.147194))+0-473.8--0.724914000000027</f>
        <v>4081.1462779999997</v>
      </c>
      <c r="Z83" s="3">
        <f>3856.3+(1412.3-718.9)+(0+(0-0))+0-454.6-0</f>
        <v>4095.1</v>
      </c>
      <c r="AA83" s="3">
        <f>4260.9+(1776.6-759.2)+(-6.519177+(-2.718198--1.161576))+0-616.5--0.943245000000036</f>
        <v>4654.6674459999995</v>
      </c>
      <c r="AB83" s="3">
        <f>4333.9+(1892.4-731.5)+(-13.261734+(-5.790744--2.23839))+0-624.3--1.91035800000007</f>
        <v>4855.5962699999991</v>
      </c>
      <c r="AC83" s="3">
        <f>4446+(1822-735.5)+(0+(0-0))+0-535.4-0</f>
        <v>4997.1000000000004</v>
      </c>
      <c r="AD83" s="2">
        <v>4709.3</v>
      </c>
      <c r="AE83" s="3">
        <f>4437+(1794.8-785.1)+(0+(0-0))+0-737.4-0</f>
        <v>4709.3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4075.7+(2358.1-715.8)+(-4.157214+(-2.405262--0.730116))+0-686.5--0.700230000000109</f>
        <v>5026.36787</v>
      </c>
      <c r="G84" s="3">
        <f>3466.9+(2758.1-718.9)+(0+(0-0))+0-569.5-0</f>
        <v>4936.6000000000004</v>
      </c>
      <c r="H84" s="3">
        <f>3312.1+(2789.1-722.5)+(-1.689171+(-1.422441--0.368475))+0-597--0.304469999999939</f>
        <v>4779.2613329999995</v>
      </c>
      <c r="I84" s="3">
        <f>2973.2+(3001-733.2)+(-4.548996+(-4.59153--1.121796))+0-595.5--0.911115000000034</f>
        <v>4638.3923850000001</v>
      </c>
      <c r="J84" s="3">
        <f>3015.1+(2854.1-735.4)+(-7.688505+(-7.277955--1.87527))+0-603.7--1.53943499999991</f>
        <v>4518.548244999999</v>
      </c>
      <c r="K84" s="3">
        <f>2978.8+(2713.4-710.4)+(-7.59594+(-6.91917--1.81152))+0-609.1--1.55320499999991</f>
        <v>4361.5496149999999</v>
      </c>
      <c r="L84" s="3">
        <f>2795.2+(2509.5-690.8)+(-2.851104+(-2.55969--0.704616))+0-668.1--0.681462000000107</f>
        <v>3941.7752839999994</v>
      </c>
      <c r="M84" s="3">
        <f>2925.9+(2178.6-661.1)+(4.476627+(3.333258-1.011483))+0-656.1-1.00383300000004</f>
        <v>3793.0945689999999</v>
      </c>
      <c r="N84" s="3">
        <f>3124.3+(1861.2-690.1)+(-1.593393+(-0.949212--0.351951))+0-564.9--0.288098999999943</f>
        <v>3728.5974449999994</v>
      </c>
      <c r="O84" s="3">
        <f>3130.3+(1928.1-700.7)+(-3.192906+(-1.966662--0.714714))+0-585.4--0.597108000000093</f>
        <v>3768.4522539999994</v>
      </c>
      <c r="P84" s="3">
        <f>3135.5+(1937.1-710.6)+(-3.19821+(-1.975842--0.724812))+0-485.1--0.494802000000077</f>
        <v>3872.9455620000003</v>
      </c>
      <c r="Q84" s="3">
        <f>4005.9+(1309.2-740.2)+(4.086018+(1.335384-0.755004))+0-449.3-0.458286000000072</f>
        <v>4129.8081119999997</v>
      </c>
      <c r="R84" s="3">
        <f>5365+(941.4-1074.8)+(0+(0-0))+0-576.7-0</f>
        <v>4654.9000000000005</v>
      </c>
      <c r="S84" s="3">
        <f>5617.2+(1132.3-1037.3)+(-2.864772+(-0.577473--0.529023))+0-577.2--0.294371999999941</f>
        <v>5132.3811500000002</v>
      </c>
      <c r="T84" s="3">
        <f>6135.1+(1304.6-1255.4)+(3.128901+(0.665346-0.640254))+0-762.7-0.388976999999923</f>
        <v>5424.3650160000007</v>
      </c>
      <c r="U84" s="3">
        <f>6113.7+(1275.8-1396.8)+(6.235974+(1.301316-1.424736))+0-739.1-0.753882000000118</f>
        <v>5258.9586719999998</v>
      </c>
      <c r="V84" s="3">
        <f>5912.1+(1446.9-1192.4)+(-9.045513+(-2.213757--1.824372))+0-725.8--1.11047400000004</f>
        <v>5432.4755759999998</v>
      </c>
      <c r="W84" s="3">
        <f>4823.1+(1791.1-812)+(-14.758686+(-5.480766--2.48472))+0-654.6--2.00307600000008</f>
        <v>5131.848344</v>
      </c>
      <c r="X84" s="3">
        <f>3700.2+(2308.8-713.8)+(-3.774204+(-2.354976--0.728076))+0-636.6--0.649332000000101</f>
        <v>4653.8482279999998</v>
      </c>
      <c r="Y84" s="3">
        <f>3262.6+(2236.8-714.2)+(-9.983556+(-6.844608--2.185452))+0-655.5--2.00583000000008</f>
        <v>4117.063118</v>
      </c>
      <c r="Z84" s="3">
        <f>3655.1+(1835.9-698.6)+(3.728202+(1.872618-0.712572))+0-641-0.653820000000102</f>
        <v>4155.6344279999994</v>
      </c>
      <c r="AA84" s="3">
        <f>4202.1+(1919.7-750.3)+(-6.429213+(-2.937141--1.147959))+0-643.5--0.984555000000037</f>
        <v>4720.7661600000001</v>
      </c>
      <c r="AB84" s="3">
        <f>4070.9+(2194.5-694.4)+(-2.076159+(-1.119195--0.354144))+0-644--0.328439999999935</f>
        <v>4924.4872300000006</v>
      </c>
      <c r="AC84" s="3">
        <f>4326.9+(2077.2-724.1)+(-6.620157+(-3.178116--1.107873))+0-640--0.979200000000037</f>
        <v>5032.2887999999994</v>
      </c>
      <c r="AD84" s="2">
        <v>4751.8999999999996</v>
      </c>
      <c r="AE84" s="3">
        <f>4279+(1845.4-746.4)+(0+(0-0))+0-626.1-0</f>
        <v>4751.8999999999996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4085.8+(2390.9-717.7)+(-8.335032+(-4.877436--1.464108))+0-637.8--1.30111199999997</f>
        <v>5110.7527520000003</v>
      </c>
      <c r="G85" s="3">
        <f>3356.7+(3008.3-695.2)+(-3.423834+(-3.068466--0.709104))+0-651.7--0.664734000000104</f>
        <v>5012.981538</v>
      </c>
      <c r="H85" s="3">
        <f>3054.3+(3236.3-695.7)+(-1.557693+(-1.650513--0.354807))+0-713.1--0.363680999999928</f>
        <v>4879.3102820000004</v>
      </c>
      <c r="I85" s="3">
        <f>3024+(3138-706.2)+(-4.62672+(-4.80114--1.080486))+0-695.2--1.06365600000004</f>
        <v>4753.3162820000007</v>
      </c>
      <c r="J85" s="3">
        <f>3020.8+(3032.5-694.2)+(-4.621824+(-4.639725--1.062126))+0-715.5--1.09471500000004</f>
        <v>4636.4952920000005</v>
      </c>
      <c r="K85" s="3">
        <f>2806.9+(3054.6-678.5)+(-5.726076+(-6.231384--1.38414))+0-686.2--1.39984799999997</f>
        <v>4487.6265279999998</v>
      </c>
      <c r="L85" s="3">
        <f>2763.8+(2683-681.5)+(0+(0-0))+0-676.8-0</f>
        <v>4088.5</v>
      </c>
      <c r="M85" s="3">
        <f>2855.2+(2386.3-690.4)+(-4.368456+(-3.651039--1.056312))+0-624.3--0.955179000000036</f>
        <v>3920.7919960000004</v>
      </c>
      <c r="N85" s="3">
        <f>3039.6+(2157.4-697)+(0+(0-0))+0-609-0</f>
        <v>3891</v>
      </c>
      <c r="O85" s="3">
        <f>3230.3+(1970.4-732.5)+(3.294906+(2.009808-0.74715))+0-605.6-0.617712000000097</f>
        <v>3866.5398520000003</v>
      </c>
      <c r="P85" s="3">
        <f>3899.1+(1409.6-729.9)+(5.965623+(2.156688-1.116747))+0-583.4-0.892602000000034</f>
        <v>4001.5129620000002</v>
      </c>
      <c r="Q85" s="3">
        <f>5118.7+(942.1-1103.3)+(5.221074+(0.960942-1.125366))+0-666.5-0.679830000000106</f>
        <v>4295.3768200000004</v>
      </c>
      <c r="R85" s="3">
        <f>5744.6+(1000.2-1477.6)+(11.718984+(2.040408-3.014304))+0-618.7-1.26214799999997</f>
        <v>4657.9829400000008</v>
      </c>
      <c r="S85" s="3">
        <f>6183.9+(1082.1-1321.2)+(3.153789+(0.551871-0.673812))+0-669.5-0.341444999999932</f>
        <v>5277.9904029999989</v>
      </c>
      <c r="T85" s="3">
        <f>6531.7+(1136.5-1491)+(-3.331167+(-0.579615--0.76041))+0-621.9--0.317168999999937</f>
        <v>5552.466797</v>
      </c>
      <c r="U85" s="3">
        <f>6216.6+(1233.8-1297.5)+(0+(0-0))+0-552.6-0</f>
        <v>5600.3</v>
      </c>
      <c r="V85" s="3">
        <f>5802.3+(1402.5-1020)+(0+(0-0))+0-655.1-0</f>
        <v>5529.7</v>
      </c>
      <c r="W85" s="3">
        <f>4841+(1737.7-708.9)+(-2.46891+(-0.886227--0.361539))+0-630.7--0.321656999999936</f>
        <v>5236.4280589999998</v>
      </c>
      <c r="X85" s="3">
        <f>3532.6+(2523-719.9)+(-1.801626+(-1.28673--0.367149))+0-607.4--0.309773999999938</f>
        <v>4725.8885670000009</v>
      </c>
      <c r="Y85" s="3">
        <f>3101.3+(2502.2-699.4)+(-7.908315+(-6.38061--1.78347))+0-663.7--1.6924349999999</f>
        <v>4229.58698</v>
      </c>
      <c r="Z85" s="3">
        <f>3376.7+(2300.8-744.7)+(3.444234+(2.346816-0.759594))+0-610.6-0.622812000000097</f>
        <v>4326.608643999999</v>
      </c>
      <c r="AA85" s="3">
        <f>4107.8+(2321.5-753.2)+(-8.379912+(-4.73586--1.536528))+0-716.9--1.46247599999997</f>
        <v>4949.0832320000009</v>
      </c>
      <c r="AB85" s="3">
        <f>3532.9+(2857.3-746.8)+(-5.405337+(-4.371669--1.142604))+0-515.2--0.78825600000003</f>
        <v>5120.353854</v>
      </c>
      <c r="AC85" s="3">
        <f>3326.2+(3257.6-741.5)+(-1.696362+(-1.661376--0.378165))+0-597.7--0.304826999999939</f>
        <v>5241.9252539999998</v>
      </c>
      <c r="AD85" s="2">
        <v>4972.7</v>
      </c>
      <c r="AE85" s="3">
        <f>4287+(2163.9-761.3)+(0+(0-0))+0-716.9-0</f>
        <v>4972.7000000000007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3231.7+(3375.4-721.4)+(0+(0-0))+0-607.2-0</f>
        <v>5278.5</v>
      </c>
      <c r="G86" s="3">
        <f>3170.9+(3394.7-740.4)+(-6.468636+(-6.925188--1.510416))+0-651.3--1.32865199999997</f>
        <v>5163.3452440000001</v>
      </c>
      <c r="H86" s="3">
        <f>3147.9+(3302.3-739.9)+(-3.210858+(-3.368346--0.754698))+0-674.9--0.688398000000108</f>
        <v>5030.2638920000009</v>
      </c>
      <c r="I86" s="3">
        <f>3116.1+(3211.4-756.2)+(4.767633+(4.913442-1.156986))+0-639.6-0.978588000000037</f>
        <v>4939.2455009999985</v>
      </c>
      <c r="J86" s="3">
        <f>2952.5+(3308.5-747.9)+(-1.505775+(-1.687335--0.381429))+0-687--0.35036999999993</f>
        <v>4823.6386890000003</v>
      </c>
      <c r="K86" s="3">
        <f>2819.4+(3283.2-739.3)+(-7.18947+(-8.37216--1.885215))+0-648.1--1.65265499999991</f>
        <v>4703.1762399999989</v>
      </c>
      <c r="L86" s="3">
        <f>2750.8+(2955.3-722.4)+(-2.805816+(-3.014406--0.736848))+0-674.4--0.687888000000108</f>
        <v>4304.9045140000017</v>
      </c>
      <c r="M86" s="3">
        <f>3078.4+(2434.2-702.8)+(4.709952+(3.724326-1.075284))+0-660.8-1.01102400000004</f>
        <v>4155.3479699999998</v>
      </c>
      <c r="N86" s="3">
        <f>3081.3+(2306.2-721.8)+(-1.571463+(-1.176162--0.368118))+0-612.6--0.312425999999938</f>
        <v>4051.0329190000002</v>
      </c>
      <c r="O86" s="3">
        <f>3295.8+(2126.6-744)+(5.042574+(3.253698-1.13832))+15-613.9-0.939267000000035</f>
        <v>4085.7186849999989</v>
      </c>
      <c r="P86" s="3">
        <f>3848.2+(1623.5-745.5)+(1.962582+(0.827985-0.380205))+8.7-593.9-0.30288899999994</f>
        <v>4143.107473</v>
      </c>
      <c r="Q86" s="3">
        <f>4875.3+(1105.9-919.3)+(0+(0-0))+0-476.9-0</f>
        <v>4585.0000000000009</v>
      </c>
      <c r="R86" s="3">
        <f>5349.5+(1070.2-1082.8)+(0+(0-0))+0-465.7-0</f>
        <v>4871.2</v>
      </c>
      <c r="S86" s="3">
        <f>5457.4+(1309.8-854.4)+(-5.566548+(-1.335996--0.871488))+0-457.5--0.466650000000073</f>
        <v>5449.7355939999998</v>
      </c>
      <c r="T86" s="3">
        <f>5888.3+(1277.9-933.7)+(-3.003033+(-0.651729--0.476187))+0-565.1--0.288200999999943</f>
        <v>5664.509626</v>
      </c>
      <c r="U86" s="3">
        <f>5929.6+(1367.1-1070.2)+(-3.024096+(-0.697221--0.545802))+0-543.7--0.277286999999945</f>
        <v>5679.9017720000002</v>
      </c>
      <c r="V86" s="3">
        <f>5710.6+(1507.5-1038)+(-11.649624+(-3.0753--2.11752))+0-582.7--1.18870799999997</f>
        <v>5585.9813039999999</v>
      </c>
      <c r="W86" s="3">
        <f>4554.6+(2044.1-729)+(-4.645692+(-2.084982--0.74358))+0-535.5--0.546210000000085</f>
        <v>5328.7591160000011</v>
      </c>
      <c r="X86" s="3">
        <f>3333+(2815.1-746.1)+(-5.09949+(-4.307103--1.141533))+0-537.6--0.822528000000031</f>
        <v>4856.9574679999996</v>
      </c>
      <c r="Y86" s="3">
        <f>3256.9+(2470.2-704.9)+(-3.322038+(-2.519604--0.718998))+0-592.5--0.604350000000094</f>
        <v>4425.1817060000003</v>
      </c>
      <c r="Z86" s="3">
        <f>3478.3+(2323-714.1)+(1.773933+(1.18473-0.364191))+0-648.5-0.330734999999934</f>
        <v>4440.9637370000009</v>
      </c>
      <c r="AA86" s="3">
        <f>4245.1+(2083.5-752.9)+(-8.660004+(-4.25034--1.535916))+0-609.7--1.24378799999997</f>
        <v>4955.8693600000006</v>
      </c>
      <c r="AB86" s="3">
        <f>3991.1+(2561.1-747.9)+(0+(0-0))+0-634.7-0</f>
        <v>5169.5999999999995</v>
      </c>
      <c r="AC86" s="3">
        <f>4144.1+(2470.6-763.3)+(-2.113491+(-1.260006--0.389283))+0-585.8--0.298757999999941</f>
        <v>5262.9145440000002</v>
      </c>
      <c r="AD86" s="2">
        <v>5007.7</v>
      </c>
      <c r="AE86" s="3">
        <f>4360+(1908.5-753.3)+(0+(0-0))+0-507.5-0</f>
        <v>5007.7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3412.4+(3234.1-749.2)+(-6.961296+(-6.597564--1.528368))+0-559.7--1.14178799999998</f>
        <v>5326.7112959999995</v>
      </c>
      <c r="G87" s="3">
        <f>3486+(3084-733.4)+(0+(0-0))+0-614.1-0</f>
        <v>5222.5</v>
      </c>
      <c r="H87" s="3">
        <f>3263.8+(3172.2-740.2)+(3.329076+(3.235644-0.755004))+0-604-0.616080000000096</f>
        <v>5096.9936360000002</v>
      </c>
      <c r="I87" s="3">
        <f>3126.8+(3135.6-724.8)+(0+(0-0))+0-612.5-0</f>
        <v>4925.1000000000004</v>
      </c>
      <c r="J87" s="3">
        <f>3252.4+(2914.8-725)+(3.317448+(2.973096-0.7395))+0-614.1-0.626382000000098</f>
        <v>4833.0246619999998</v>
      </c>
      <c r="K87" s="3">
        <f>3118.8+(2962.8-729.5)+(-7.95294+(-7.55514--1.860225))+0-619.7--1.58023499999991</f>
        <v>4720.3323800000007</v>
      </c>
      <c r="L87" s="3">
        <f>2998.7+(2702-705.6)+(-4.588011+(-4.13406--1.079568))+0-602.1--0.921213000000035</f>
        <v>4386.2787099999996</v>
      </c>
      <c r="M87" s="3">
        <f>3251.9+(2193.3-702.6)+(4.975407+(3.355749-1.074978))+0-555.4-0.849762000000032</f>
        <v>4193.6064160000005</v>
      </c>
      <c r="N87" s="3">
        <f>3328+(2191.3-705.5)+(1.69728+(1.117563-0.359805))+0-652.4-0.332723999999934</f>
        <v>4163.5223140000007</v>
      </c>
      <c r="O87" s="3">
        <f>3360.1+(2057.8-722.2)+(3.427302+(2.098956-0.736644))+0-509.5-0.519690000000081</f>
        <v>4190.469924</v>
      </c>
      <c r="P87" s="3">
        <f>3971.8+(1627.9-753.1)+(4.051236+(1.660458-0.768162))+0-499.5-0.50949000000008</f>
        <v>4351.5340420000002</v>
      </c>
      <c r="Q87" s="3">
        <f>4649.3+(1418.3-866.6)+(-7.113429+(-2.169999--1.325898))+0-494.3--0.756279000000029</f>
        <v>4699.4987490000003</v>
      </c>
      <c r="R87" s="3">
        <f>5334.2+(1339.2-1056.3)+(0+(0-0))+0-567.6-0</f>
        <v>5049.5</v>
      </c>
      <c r="S87" s="3">
        <f>5707.1+(1296.8-981.4)+(-17.463726+(-3.968208--3.003084))+0-613.2--1.87639200000007</f>
        <v>5392.7475420000001</v>
      </c>
      <c r="T87" s="3">
        <f>5645.6+(1441-1009.3)+(-5.758512+(-1.46982--1.029486))+0-514.1--0.524382000000082</f>
        <v>5557.5255360000001</v>
      </c>
      <c r="U87" s="3">
        <f>5646.2+(1518.9-987.4)+(-5.759124+(-1.549278--1.007148))+0-587.4--0.599148000000094</f>
        <v>5584.5978940000005</v>
      </c>
      <c r="V87" s="3">
        <f>5375.7+(1497.9-709.1)+(-8.224821+(-2.291787--1.084923))+0-637.2--0.974916000000037</f>
        <v>5518.8432310000007</v>
      </c>
      <c r="W87" s="3">
        <f>4379.3+(2192.9-735.6)+(-2.233443+(-1.118379--0.375156))+0-591.3--0.30156299999994</f>
        <v>5242.6248970000006</v>
      </c>
      <c r="X87" s="3">
        <f>3227.8+(2791.1-719.4)+(-6.584712+(-5.693844--1.467576))+0-578.3--1.17973199999997</f>
        <v>4711.5687519999992</v>
      </c>
      <c r="Y87" s="3">
        <f>3228.4+(2193.8-694.8)+(0+(0-0))+0-533.7-0</f>
        <v>4193.7000000000007</v>
      </c>
      <c r="Z87" s="3">
        <f>3735.1+(1992.2-750.8)+(0+(0-0))+0-649.5-0</f>
        <v>4327</v>
      </c>
      <c r="AA87" s="3">
        <f>4374.9+(1831.3-723.3)+(-6.693597+(-2.801889--1.106649))+0-580.9--0.888777000000034</f>
        <v>4894.4999399999997</v>
      </c>
      <c r="AB87" s="3">
        <f>4350.7+(1996-718.1)+(-8.875428+(-4.07184--1.464924))+0-606.3--1.23685199999997</f>
        <v>5012.0545080000002</v>
      </c>
      <c r="AC87" s="3">
        <f>4669.5+(1819.4-746.3)+(-2.381445+(-0.927894--0.380613))+0-595.1--0.30350099999994</f>
        <v>5144.8747750000002</v>
      </c>
      <c r="AD87" s="2">
        <v>5010.1000000000004</v>
      </c>
      <c r="AE87" s="3">
        <f>4488+(1853.5-713.9)+(0+(0-0))+0-617.5-0</f>
        <v>5010.1000000000004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4537.3+(2012.9-718.8)+(-4.628046+(-2.053158--0.733176))+0-613.3--0.625566000000098</f>
        <v>5212.7775380000003</v>
      </c>
      <c r="G88" s="3">
        <f>4033.4+(2436.9-727.7)+(-12.342204+(-7.456914--2.226762))+0-565.6--1.73073600000007</f>
        <v>5161.1583800000008</v>
      </c>
      <c r="H88" s="3">
        <f>3251.9+(3170.9-748.6)+(-6.633876+(-6.468636--1.527144))+0-618.7--1.26214799999997</f>
        <v>5045.1867800000009</v>
      </c>
      <c r="I88" s="3">
        <f>2795.1+(3492.7-755.1)+(-7.127505+(-8.906385--1.925505))+0-588.6--1.50092999999991</f>
        <v>4931.4925449999992</v>
      </c>
      <c r="J88" s="3">
        <f>2808.6+(3345.6-735.6)+(0+(0-0))+0-582.4-0</f>
        <v>4836.2000000000007</v>
      </c>
      <c r="K88" s="3">
        <f>2886.9+(3181.5-743.7)+(-4.416957+(-4.867695--1.137861))+0-607.1--0.928863000000035</f>
        <v>4710.3820720000003</v>
      </c>
      <c r="L88" s="3">
        <f>2832.3+(2914.9-738.5)+(1.444473+(1.486599-0.376635))+0-588-0.29987999999994</f>
        <v>4422.9545570000009</v>
      </c>
      <c r="M88" s="3">
        <f>2845+(2703.9-728.2)+(1.45095+(1.378989-0.371382))+0-598.2-0.305081999999939</f>
        <v>4224.6534750000001</v>
      </c>
      <c r="N88" s="3">
        <f>2837.5+(2622.9-707.6)+(0+(0-0))+0-587.1-0</f>
        <v>4165.7</v>
      </c>
      <c r="O88" s="3">
        <f>2754.5+(2712.3-756.1)+(1.404795+(1.383273-0.385611))+0-570.5-0.290954999999942</f>
        <v>4142.3115020000005</v>
      </c>
      <c r="P88" s="3">
        <f>2915.7+(2588.1-755.2)+(1.487007+(1.319931-0.385152))+0-509.6-0.259895999999948</f>
        <v>4241.1618899999994</v>
      </c>
      <c r="Q88" s="3">
        <f>4009.5+(1908.8-717)+(6.134535+(2.920464-1.09701))+0-633.8-0.969714000000037</f>
        <v>4574.4882750000006</v>
      </c>
      <c r="R88" s="3">
        <f>4710.5+(1578.7-743.6)+(14.41413+(4.830822-2.275416))+0-647.2-1.98043200000008</f>
        <v>4913.3891039999999</v>
      </c>
      <c r="S88" s="3">
        <f>5437.5+(1186.8-810)+(5.54625+(1.210536-0.8262))+0-543.2-0.554064000000087</f>
        <v>5276.4765220000008</v>
      </c>
      <c r="T88" s="3">
        <f>5744.6+(1253-941.8)+(8.789238+(1.91709-1.440954))+0-587-0.898110000000034</f>
        <v>5477.1672639999997</v>
      </c>
      <c r="U88" s="3">
        <f>5742.3+(1350-1016.4)+(2.928573+(0.6885-0.518364))+0-523.4-0.266933999999947</f>
        <v>5555.3317750000006</v>
      </c>
      <c r="V88" s="3">
        <f>5334.3+(1483.9-823.6)+(2.720493+(0.756789-0.420036))+0-512.3-0.261272999999948</f>
        <v>5485.0959730000004</v>
      </c>
      <c r="W88" s="3">
        <f>4545.6+(1941.2-733.9)+(0+(0-0))+0-545.2-0</f>
        <v>5207.7000000000007</v>
      </c>
      <c r="X88" s="3">
        <f>3200.5+(2739.3-742.4)+(-3.26451+(-2.794086--0.757248))+0-461.1--0.470322000000074</f>
        <v>4731.4689739999994</v>
      </c>
      <c r="Y88" s="3">
        <f>2830.6+(2661.3-730.6)+(0+(0-0))+0-489.4-0</f>
        <v>4271.9000000000005</v>
      </c>
      <c r="Z88" s="3">
        <f>3104.2+(2565.6-760.9)+(4.749426+(3.925368-1.164177))+0-517.2-0.79131600000003</f>
        <v>4398.4193009999999</v>
      </c>
      <c r="AA88" s="3">
        <f>4511.8+(1788.6-759.9)+(9.204072+(3.648744-1.550196))+0-527.2-1.07548799999998</f>
        <v>5023.5271320000002</v>
      </c>
      <c r="AB88" s="3">
        <f>4441.4+(1962.4-670.2)+(-2.265114+(-1.000824--0.341802))+0-538.4--0.274583999999945</f>
        <v>5192.550448</v>
      </c>
      <c r="AC88" s="3">
        <f>4051.2+(2439.4-608.5)+(2.066112+(1.244094-0.310335))+0-534.7-0.272696999999946</f>
        <v>5350.1271740000002</v>
      </c>
      <c r="AD88" s="2">
        <v>5237.7000000000007</v>
      </c>
      <c r="AE88" s="3">
        <f>4789+(1713.3-762.9)+(0+(0-0))+0-501.7-0</f>
        <v>5237.7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3885.3+(2826.2-638.4)+(-3.963006+(-2.882724--0.651168))+0-656.9--0.670038000000105</f>
        <v>5410.6754760000013</v>
      </c>
      <c r="G89" s="3">
        <f>3744.1+(2618.1-477.9)+(-11.456946+(-8.011386--1.462374))+0-591.1--1.80876600000007</f>
        <v>5277.0028079999993</v>
      </c>
      <c r="H89" s="3">
        <f>3193+(3249.1-669.7)+(-3.25686+(-3.314082--0.683094))+0-610.7--0.622914000000097</f>
        <v>5156.435066</v>
      </c>
      <c r="I89" s="3">
        <f>3155.8+(3134.8-690.1)+(3.218916+(3.197496-0.703902))+0-559.5-0.570690000000089</f>
        <v>5046.1418199999998</v>
      </c>
      <c r="J89" s="3">
        <f>3069.9+(3227.7-678.4)+(6.262596+(6.584508-1.383936))+0-667.1-1.36088399999997</f>
        <v>4962.202284</v>
      </c>
      <c r="K89" s="3">
        <f>2986.1+(3226.8-705.8)+(-3.045822+(-3.291336--0.719916))+0-660.8--0.674016000000105</f>
        <v>4841.3567739999999</v>
      </c>
      <c r="L89" s="3">
        <f>3237.1+(2473.1-611.3)+(8.254605+(6.306405-1.558815))+0-574.4-1.46471999999992</f>
        <v>4536.0374750000001</v>
      </c>
      <c r="M89" s="3">
        <f>3306+(2255.8-577.1)+(5.05818+(3.451374-0.882963))+0-597-0.913410000000034</f>
        <v>4394.4131810000008</v>
      </c>
      <c r="N89" s="3">
        <f>3367.1+(2310.1-658.8)+(8.586105+(5.890755-1.67994))+0-622.1-1.58635499999991</f>
        <v>4407.5105649999996</v>
      </c>
      <c r="O89" s="3">
        <f>3463.7+(2169-673.2)+(8.832435+(5.53095-1.71666))+0-535.3-1.36501499999992</f>
        <v>4435.4817099999991</v>
      </c>
      <c r="P89" s="3">
        <f>3982.2+(1754.2-670.8)+(4.061844+(1.789284-0.684216))+0-488.9-0.498678000000078</f>
        <v>4581.3682340000005</v>
      </c>
      <c r="Q89" s="3">
        <f>4765.9+(1341.4-724.7)+(12.153045+(3.42057-1.847985))+0-512.1-1.30585499999993</f>
        <v>4882.9197749999994</v>
      </c>
      <c r="R89" s="3">
        <f>5417.3+(1249.8-812.3)+(5.525646+(1.274796-0.828546))+0-547-0.557940000000087</f>
        <v>5313.2139560000005</v>
      </c>
      <c r="S89" s="3">
        <f>5566.4+(1413.6-831.1)+(-2.838864+(-0.720936--0.423861))+0-492--0.25091999999995</f>
        <v>5654.0149809999994</v>
      </c>
      <c r="T89" s="3">
        <f>6003.7+(1287.7-923.8)+(3.061887+(0.656727-0.471138))+0-567.7-0.289526999999942</f>
        <v>5802.8579490000002</v>
      </c>
      <c r="U89" s="3">
        <f>6080+(1283.3-960)+(0+(0-0))+0-589.8-0</f>
        <v>5813.5</v>
      </c>
      <c r="V89" s="3">
        <f>5727.3+(1468-855.9)+(-2.920923+(-0.74868--0.436509))+0-643.1--0.327980999999935</f>
        <v>5693.3948870000004</v>
      </c>
      <c r="W89" s="3">
        <f>4928.3+(1892.2-764.7)+(-15.080598+(-5.790132--2.339982))+0-576.8--1.76500800000007</f>
        <v>5462.2342600000002</v>
      </c>
      <c r="X89" s="3">
        <f>3882.5+(2502.5-694.3)+(-7.9203+(-5.1051--1.416372))+0-668.4--1.36353599999997</f>
        <v>5012.0545080000002</v>
      </c>
      <c r="Y89" s="3">
        <f>3304.9+(2425.6-692.7)+(-8.427495+(-6.18528--1.766385))+0-492.7--1.25638499999993</f>
        <v>4533.5099950000003</v>
      </c>
      <c r="Z89" s="3">
        <f>3791.3+(2096.7-620.2)+(0+(0-0))+0-596.2-0</f>
        <v>4671.6000000000004</v>
      </c>
      <c r="AA89" s="3">
        <f>4370.8+(2213.2-724.8)+(-6.687324+(-3.386196--1.108944))+0-598.1--0.915093000000035</f>
        <v>5253.0505169999988</v>
      </c>
      <c r="AB89" s="3">
        <f>4096.6+(2558.8-634.3)+(0+(0-0))+0-627.1-0</f>
        <v>5394</v>
      </c>
      <c r="AC89" s="3">
        <f>3646.6+(3039.7-669.9)+(-7.439064+(-6.200988--1.366596))+0-525.5--1.07201999999998</f>
        <v>5479.6985639999994</v>
      </c>
      <c r="AD89" s="2">
        <v>5294.0999999999995</v>
      </c>
      <c r="AE89" s="3">
        <f>4445+(2119.5-748.1)+(0+(0-0))+0-522.3-0</f>
        <v>5294.0999999999995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3546.8+(3179.4-669.2)+(-7.235472+(-6.485976--1.365168))+0-545--1.11179999999998</f>
        <v>5500.7555199999997</v>
      </c>
      <c r="G90" s="3">
        <f>3362+(3316.1-677.1)+(-1.71462+(-1.691211--0.345321))+0-616.2--0.314261999999938</f>
        <v>5382.0537519999998</v>
      </c>
      <c r="H90" s="3">
        <f>3107+(3429.3-666.9)+(-4.75371+(-5.246829--1.020357))+0-621.2--0.950436000000036</f>
        <v>5240.1702539999997</v>
      </c>
      <c r="I90" s="3">
        <f>3018.6+(3471.4-697.2)+(-7.69743+(-8.85207--1.77786))+0-653.8--1.6671899999999</f>
        <v>5125.8955499999993</v>
      </c>
      <c r="J90" s="3">
        <f>3055.4+(3243.8-657)+(-1.558254+(-1.654338--0.33507))+0-612.6--0.312425999999938</f>
        <v>5027.0349040000001</v>
      </c>
      <c r="K90" s="3">
        <f>2969+(3242.6-681.9)+(-7.57095+(-8.26863--1.738845))+0-604.5--1.54147499999991</f>
        <v>4912.6407399999998</v>
      </c>
      <c r="L90" s="3">
        <f>2890.2+(2839.7-616.1)+(1.474002+(1.448247-0.314211))+0-547.2-0.279071999999945</f>
        <v>4568.9289659999995</v>
      </c>
      <c r="M90" s="3">
        <f>2942.9+(2580.2-566.1)+(4.502637+(3.947706-0.866133))+0-539.9-0.826047000000031</f>
        <v>4423.8581629999999</v>
      </c>
      <c r="N90" s="3">
        <f>3063.3+(2466.2-687.4)+(4.686849+(3.773286-1.051722))+0-525.6-0.80416800000003</f>
        <v>4323.1042450000004</v>
      </c>
      <c r="O90" s="3">
        <f>3150.1+(2546.2-750.9)+(-1.606551+(-1.298562--0.382959))+0-510.9--0.260558999999948</f>
        <v>4432.2384050000001</v>
      </c>
      <c r="P90" s="3">
        <f>3359.3+(2375.5-700.1)+(0+(0-0))+0-497.9-0</f>
        <v>4536.8000000000011</v>
      </c>
      <c r="Q90" s="3">
        <f>4336.7+(1736.6-747)+(0+(0-0))+0-473.8-0</f>
        <v>4852.4999999999991</v>
      </c>
      <c r="R90" s="3">
        <f>5323.6+(1398.2-830.3)+(5.430072+(1.426164-0.846906))+0-552.4-0.563448000000088</f>
        <v>5344.5458820000003</v>
      </c>
      <c r="S90" s="3">
        <f>5484.1+(1719.8-720.9)+(-8.390673+(-2.631294--1.102977))+0-609.5--0.932535000000035</f>
        <v>5864.5135449999998</v>
      </c>
      <c r="T90" s="3">
        <f>5911.6+(1377.7-774.2)+(-9.044748+(-2.107881--1.184526))+0-566.3--0.866439000000033</f>
        <v>5939.6983360000004</v>
      </c>
      <c r="U90" s="3">
        <f>6213.7+(1205-973.5)+(-6.337974+(-1.2291--0.99297))+0-523.8--0.534276000000083</f>
        <v>5915.3601719999997</v>
      </c>
      <c r="V90" s="3">
        <f>5542.6+(1591.9-740.5)+(2.826726+(0.811869-0.377655))+0-607.3-0.309722999999938</f>
        <v>5789.6512169999996</v>
      </c>
      <c r="W90" s="3">
        <f>4606.4+(2171.3-686.7)+(-7.047792+(-3.322089--1.050651))+0-522.6--0.79957800000003</f>
        <v>5559.8803479999997</v>
      </c>
      <c r="X90" s="3">
        <f>3502.5+(2972.3-685.5)+(-1.786275+(-1.515873--0.349605))+0-682.1--0.347870999999931</f>
        <v>5104.5953279999994</v>
      </c>
      <c r="Y90" s="3">
        <f>3354.4+(2525.4-754.5)+(-1.710744+(-1.287954--0.384795))+0-524.8--0.267647999999947</f>
        <v>4598.1537449999996</v>
      </c>
      <c r="Z90" s="3">
        <f>3954.6+(2135.3-753.9)+(-2.016846+(-1.089003--0.384489))+0-673.6--0.343535999999932</f>
        <v>4660.0221760000004</v>
      </c>
      <c r="AA90" s="3">
        <f>4590.3+(1982.3-772.2)+(-16.387371+(-7.076811--2.756754))+0-560--1.99920000000001</f>
        <v>5221.6917720000001</v>
      </c>
      <c r="AB90" s="3">
        <f>4736.8+(1967-805.8)+(-2.415768+(-1.00317--0.410958))+0-623.7--0.318086999999937</f>
        <v>5271.6101069999995</v>
      </c>
      <c r="AC90" s="3">
        <f>4775.9+(2100-788.3)+(-2.435709+(-1.071--0.402033))+0-605.1--0.308600999999939</f>
        <v>5479.7039249999989</v>
      </c>
      <c r="AD90" s="2">
        <v>5533.7</v>
      </c>
      <c r="AE90" s="3">
        <f>4838+(1961.3-718.6)+(0+(0-0))+0-547-0</f>
        <v>5533.7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4044.8+(2852.2-753.4)+(0+(0-0))+0-590.2-0</f>
        <v>5553.4000000000005</v>
      </c>
      <c r="G91" s="3">
        <f>3825.7+(3028.9-765.3)+(-9.755535+(-7.723695--1.951515))+0-625--1.59374999999991</f>
        <v>5450.366035</v>
      </c>
      <c r="H91" s="3">
        <f>3674+(2952.9-782.1)+(-1.87374+(-1.505979--0.398871))+0-516.2--0.263261999999948</f>
        <v>5325.8824140000006</v>
      </c>
      <c r="I91" s="3">
        <f>3458.6+(3183.6-807)+(0+(0-0))+0-645.3-0</f>
        <v>5189.8999999999996</v>
      </c>
      <c r="J91" s="3">
        <f>3248+(3092.7-683.2)+(-3.31296+(-3.154554--0.696864))+0-559.7--0.570894000000089</f>
        <v>5092.6002440000002</v>
      </c>
      <c r="K91" s="3">
        <f>3119.9+(3238.8-737.5)+(-7.955745+(-8.25894--1.880625))+0-659.1--1.6807049999999</f>
        <v>4949.446645</v>
      </c>
      <c r="L91" s="3">
        <f>2987.7+(2973.4-727.3)+(-3.047454+(-3.032868--0.741846))+0-568.9--0.580278000000091</f>
        <v>4660.141802000001</v>
      </c>
      <c r="M91" s="3">
        <f>2994.3+(2858.9-721.3)+(0+(0-0))+0-666.2-0</f>
        <v>4465.7000000000007</v>
      </c>
      <c r="N91" s="3">
        <f>3071.1+(2483.9-724.9)+(-3.132522+(-2.533578--0.739398))+0-471.7--0.481134000000075</f>
        <v>4353.9544320000005</v>
      </c>
      <c r="O91" s="3">
        <f>3493.6+(2153.2-744.6)+(3.563472+(2.196264-0.759492))+0-539.4-0.550188000000086</f>
        <v>4367.2500559999999</v>
      </c>
      <c r="P91" s="3">
        <f>4169.7+(1521.9-737.6)+(2.126547+(0.776169-0.376176))+0-511.7-0.260966999999948</f>
        <v>4444.5655729999999</v>
      </c>
      <c r="Q91" s="3">
        <f>5101.4+(1165-812.8)+(5.203428+(1.1883-0.829056))+0-559.4-0.570588000000089</f>
        <v>4899.1920839999993</v>
      </c>
      <c r="R91" s="3">
        <f>5595.8+(1309.3-909)+(2.853858+(0.667743-0.46359))+0-619.6-0.315995999999937</f>
        <v>5379.2420149999998</v>
      </c>
      <c r="S91" s="3">
        <f>5360.5+(1553.6-774.5)+(-5.46771+(-1.584672--0.78999))+0-562.2--0.57344400000009</f>
        <v>5571.7110520000006</v>
      </c>
      <c r="T91" s="3">
        <f>5483.5+(1742.7-815.2)+(-8.389755+(-2.666331--1.247256))+0-633.1--0.968643000000037</f>
        <v>5769.0598129999998</v>
      </c>
      <c r="U91" s="3">
        <f>5167.2+(1909.3-716)+(-2.635272+(-0.973743--0.36516))+0-531--0.270809999999946</f>
        <v>5826.5269550000003</v>
      </c>
      <c r="V91" s="3">
        <f>4827.4+(2139.6-653.7)+(4.923948+(2.182392-0.666774))+0-598.7-0.610674000000096</f>
        <v>5720.428891999999</v>
      </c>
      <c r="W91" s="3">
        <f>3920.3+(2717.9-698.9)+(-3.998706+(-2.772258--0.712878))+0-570.7--0.582114000000091</f>
        <v>5363.1240280000002</v>
      </c>
      <c r="X91" s="3">
        <f>3186.7+(3053.8-742.2)+(-6.500868+(-6.229752--1.514088))+0-613.9--1.25235599999997</f>
        <v>4874.4358240000001</v>
      </c>
      <c r="Y91" s="3">
        <f>3110.4+(2708.3-746)+(-3.172608+(-2.762466--0.76092))+0-601.9--0.613938000000096</f>
        <v>4466.2397840000012</v>
      </c>
      <c r="Z91" s="3">
        <f>3318.1+(2563.7-765.4)+(0+(0-0))+0-582.8-0</f>
        <v>4533.5999999999995</v>
      </c>
      <c r="AA91" s="3">
        <f>4202.2+(2239.9-771.9)+(-8.572488+(-4.569396--1.574676))+0-540.8--1.10323199999998</f>
        <v>5118.9360239999996</v>
      </c>
      <c r="AB91" s="3">
        <f>4523.6+(2077.4-743.8)+(-9.228144+(-4.237896--1.517352))+0-569.7--1.16218799999998</f>
        <v>5276.7135000000007</v>
      </c>
      <c r="AC91" s="3">
        <f>4572.8+(2229.7-763.5)+(-2.332128+(-1.137147--0.389385))+0-635.5--0.324104999999936</f>
        <v>5400.7442149999997</v>
      </c>
      <c r="AD91" s="2">
        <v>5188.5</v>
      </c>
      <c r="AE91" s="3">
        <f>4617+(1812.8-734.8)+(0+(0-0))+0-506.5-0</f>
        <v>5188.5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4349.5+(2538.5-763.2)+(-4.43649+(-2.58927--0.778464))+0-631.7--0.644334000000101</f>
        <v>5487.4970380000013</v>
      </c>
      <c r="G92" s="3">
        <f>3708.1+(3037.6-730.2)+(-7.564524+(-6.196704--1.489608))+0-598.3--1.22053199999997</f>
        <v>5406.1489119999997</v>
      </c>
      <c r="H92" s="3">
        <f>3172.3+(3510.4-742.1)+(-4.853619+(-5.370912--1.135413))+0-647.5--0.990675000000037</f>
        <v>5285.0015570000005</v>
      </c>
      <c r="I92" s="3">
        <f>3078.2+(3414-735.8)+(-6.279528+(-6.96456--1.501032))+0-579.6--1.18238399999997</f>
        <v>5166.2393279999987</v>
      </c>
      <c r="J92" s="3">
        <f>3113.8+(3392.7-747.5)+(1.588038+(1.730277-0.381225))+0-671-0.342209999999932</f>
        <v>5090.5948800000006</v>
      </c>
      <c r="K92" s="3">
        <f>3004.1+(3248.6-757.3)+(-6.128364+(-6.627144--1.544892))+0-523.1--1.06712399999998</f>
        <v>4962.1565079999991</v>
      </c>
      <c r="L92" s="3">
        <f>3081.2+(2987.1-767.1)+(6.285648+(6.093684-1.564884))+0-620.7-1.26622799999997</f>
        <v>4690.0482199999997</v>
      </c>
      <c r="M92" s="3">
        <f>3269.4+(2655.9-720.9)+(0+(0-0))+0-663-0</f>
        <v>4541.3999999999996</v>
      </c>
      <c r="N92" s="3">
        <f>3079.4+(2749.6-732.9)+(3.140988+(2.804592-0.747558))+0-613.2-0.625464000000098</f>
        <v>4487.4725580000004</v>
      </c>
      <c r="O92" s="3">
        <f>3197.8+(2641.2-745.6)+(0+(0-0))+0-612.2-0</f>
        <v>4481.2</v>
      </c>
      <c r="P92" s="3">
        <f>3520.9+(2435.2-752.6)+(3.591318+(2.483904-0.767652))+0-564.2-0.57548400000009</f>
        <v>4644.0320860000002</v>
      </c>
      <c r="Q92" s="3">
        <f>4068.9+(1875.1-780.6)+(2.075139+(0.956301-0.398106))+0-520.2-0.265301999999947</f>
        <v>4645.5680320000001</v>
      </c>
      <c r="R92" s="3">
        <f>4764.6+(1653.4-882)+(2.429946+(0.843234-0.44982))+0-648.4-0.330683999999934</f>
        <v>4890.0926760000011</v>
      </c>
      <c r="S92" s="3">
        <f>4847.3+(1666.9-736.2)+(-12.360615+(-4.250595--1.87731))+0-541.4--1.38056999999992</f>
        <v>5223.2466700000004</v>
      </c>
      <c r="T92" s="3">
        <f>5377.3+(1626.5-929.4)+(-5.484846+(-1.65903--0.947988))+0-593.6--0.605472000000095</f>
        <v>5475.2095840000002</v>
      </c>
      <c r="U92" s="3">
        <f>5366.6+(1576.1-845.3)+(-13.68483+(-4.019055--2.155515))+0-566.6--1.44482999999992</f>
        <v>5516.6964600000001</v>
      </c>
      <c r="V92" s="3">
        <f>5216.8+(1579.4-729.2)+(-5.321136+(-1.610988--0.743784))+0-614.7--0.626994000000098</f>
        <v>5446.7386540000007</v>
      </c>
      <c r="W92" s="3">
        <f>4968.5+(1493-699)+(-12.669675+(-3.80715--1.78245))+0-559.8--1.42748999999992</f>
        <v>5189.4331149999998</v>
      </c>
      <c r="X92" s="3">
        <f>3984.2+(2135.3-746.8)+(-10.15971+(-5.445015--1.90434))+0-635.8--1.62128999999991</f>
        <v>4724.8209049999996</v>
      </c>
      <c r="Y92" s="3">
        <f>3190.1+(2402.8-750)+(-6.507804+(-4.901712--1.53))+0-478.9--0.976955999999979</f>
        <v>4355.0974400000005</v>
      </c>
      <c r="Z92" s="3">
        <f>4184.7+(1814.3-782.9)+(0+(0-0))+0-681.5-0</f>
        <v>4534.6000000000004</v>
      </c>
      <c r="AA92" s="3">
        <f>4830.4+(1565.8-772.3)+(-14.781024+(-4.791348--2.363238))+0-551.4--1.68728400000006</f>
        <v>5056.9781499999999</v>
      </c>
      <c r="AB92" s="3">
        <f>4827.3+(1905-776.1)+(-9.847692+(-3.8862--1.583244))+0-711.6--1.45166399999997</f>
        <v>5233.9010160000007</v>
      </c>
      <c r="AC92" s="3">
        <f>4669.6+(2071.7-780.5)+(-4.762992+(-2.113134--0.79611))+0-590.4--0.602208000000094</f>
        <v>5364.9221920000009</v>
      </c>
      <c r="AD92" s="2">
        <v>5181.8</v>
      </c>
      <c r="AE92" s="3">
        <f>4946+(1803.7-791.4)+(0+(0-0))+0-776.5-0</f>
        <v>5181.8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4499.6+(2291.9-744.4)+(-6.884388+(-3.506607--1.138932))+0-606.6--0.928098000000035</f>
        <v>5432.1760350000004</v>
      </c>
      <c r="G93" s="3">
        <f>4126.1+(2589.4-723.8)+(-8.417244+(-5.282376--1.476552))+0-666.7--1.36006799999997</f>
        <v>5314.1370000000006</v>
      </c>
      <c r="H93" s="3">
        <f>3423.1+(3157-705.6)+(-5.237343+(-4.83021--1.079568))+0-677.3--1.03626900000004</f>
        <v>5189.2482840000002</v>
      </c>
      <c r="I93" s="3">
        <f>3185+(3253.7-699.5)+(-1.62435+(-1.659387--0.356745))+0-654.7--0.333896999999934</f>
        <v>5081.9069049999998</v>
      </c>
      <c r="J93" s="3">
        <f>3006+(3377.5-717.9)+(-3.06612+(-3.44505--0.732258))+0-682.9--0.696558000000109</f>
        <v>4977.6176460000015</v>
      </c>
      <c r="K93" s="3">
        <f>3067.4+(3170.9-744.2)+(-3.128748+(-3.234318--0.759084))+0-606.8--0.618936000000097</f>
        <v>4882.3149540000004</v>
      </c>
      <c r="L93" s="3">
        <f>2862.6+(3184.3-732.1)+(0+(0-0))+0-684.5-0</f>
        <v>4630.3</v>
      </c>
      <c r="M93" s="3">
        <f>2857.4+(2777.9-506.9)+(1.457274+(1.416729-0.258519))+0-660.6-0.336905999999933</f>
        <v>4470.0785779999997</v>
      </c>
      <c r="N93" s="3">
        <f>2920.2+(2535.6-461.6)+(2.978604+(2.586312-0.470832))+0-603.9-0.615978000000096</f>
        <v>4394.7781060000007</v>
      </c>
      <c r="O93" s="3">
        <f>2982.4+(2425.6-373.4)+(3.042048+(2.474112-0.380868))+0-604-0.616080000000096</f>
        <v>4435.1192120000005</v>
      </c>
      <c r="P93" s="3">
        <f>3036.8+(2213.5-277.7)+(0+(0-0))+0-592.7-0</f>
        <v>4379.9000000000005</v>
      </c>
      <c r="Q93" s="3">
        <f>3477.5+(2070.4-305.7)+(0+(0-0))+0-678.5-0</f>
        <v>4563.7</v>
      </c>
      <c r="R93" s="3">
        <f>3879.4+(1911.3-299.8)+(-9.89247+(-4.873815--0.76449))+0-558.6--1.42442999999992</f>
        <v>4919.7226349999992</v>
      </c>
      <c r="S93" s="3">
        <f>4240+(2048.4-276.7)+(-10.812+(-5.22342--0.705585))+0-701.8--1.7895899999999</f>
        <v>5296.3597550000004</v>
      </c>
      <c r="T93" s="3">
        <f>4934.1+(1523.6-375.2)+(-2.516391+(-0.777036--0.191352))+0-655.8--0.334457999999933</f>
        <v>5423.9323830000003</v>
      </c>
      <c r="U93" s="3">
        <f>5164.3+(1365.2-331.4)+(-10.535172+(-2.785008--0.676056))+0-617--1.25867999999997</f>
        <v>5569.7145559999999</v>
      </c>
      <c r="V93" s="3">
        <f>5065.7+(1355-408.6)+(-10.334028+(-2.7642--0.833544))+0-546.3--1.11445199999998</f>
        <v>5454.6497679999993</v>
      </c>
      <c r="W93" s="3">
        <f>4603.9+(1485.8-311.9)+(-11.739945+(-3.78879--0.795345))+0-564.8--1.44023999999992</f>
        <v>5199.7068499999987</v>
      </c>
      <c r="X93" s="3">
        <f>4185.7+(1521.2-312.6)+(-10.673535+(-3.87906--0.79713))+0-675.9--1.7235449999999</f>
        <v>4706.3680799999993</v>
      </c>
      <c r="Y93" s="3">
        <f>4131.3+(1180.8-337.3)+(-2.106963+(-0.602208--0.172023))+0-698.6--0.356285999999929</f>
        <v>4274.0191379999997</v>
      </c>
      <c r="Z93" s="3">
        <f>4357.3+(974.1-337.7)+(0+(0-0))+0-642.1-0</f>
        <v>4351.6000000000004</v>
      </c>
      <c r="AA93" s="3">
        <f>4531.4+(1374-303.5)+(-9.244056+(-2.80296--0.61914))+0-678.1--1.38332399999997</f>
        <v>4913.7554479999999</v>
      </c>
      <c r="AB93" s="3">
        <f>4610.1+(1546.5-411.5)+(-7.053453+(-2.366145--0.629595))+0-648.7--0.992511000000038</f>
        <v>5088.6025080000009</v>
      </c>
      <c r="AC93" s="3">
        <f>4668.2+(1854-651.1)+(-4.761564+(-1.89108--0.664122))+0-633.5--0.646170000000101</f>
        <v>5232.2576480000007</v>
      </c>
      <c r="AD93" s="2">
        <v>4963.8</v>
      </c>
      <c r="AE93" s="3">
        <f>4442+(1558.5-311.7)+(0+(0-0))+0-705-0</f>
        <v>4983.8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4283.1+(2429.8-752)+(-4.368762+(-2.478396--0.76704))+0-660.9--0.674118000000105</f>
        <v>5294.594000000001</v>
      </c>
      <c r="G94" s="3">
        <f>3921.2+(2703.8-722.9)+(-3.999624+(-2.757876--0.737358))+0-674.6--0.688092000000108</f>
        <v>5222.16795</v>
      </c>
      <c r="H94" s="3">
        <f>3265.2+(3216.1-692.8)+(3.330504+(3.280422-0.706656))+0-699.5-0.713490000000112</f>
        <v>5094.1907799999999</v>
      </c>
      <c r="I94" s="3">
        <f>2707+(3546-706.4)+(-2.76114+(-3.61692--0.720528))+0-569.4--0.580788000000091</f>
        <v>4972.1232560000008</v>
      </c>
      <c r="J94" s="3">
        <f>2724.7+(3618.7-697.2)+(4.168791+(5.536611-1.066716))+0-783.3-1.19844900000005</f>
        <v>4870.3402369999994</v>
      </c>
      <c r="K94" s="3">
        <f>2651.3+(3437-752.5)+(-6.760815+(-8.76435--1.918875))+0-567.1--1.44610499999992</f>
        <v>4756.5398150000001</v>
      </c>
      <c r="L94" s="3">
        <f>2700.5+(3138.3-720.6)+(-1.377255+(-1.600533--0.367506))+0-669.8--0.341597999999932</f>
        <v>4446.1313160000009</v>
      </c>
      <c r="M94" s="3">
        <f>2788.5+(2881.6-699.4)+(2.84427+(2.939232-0.713388))+0-715.6-0.729912000000114</f>
        <v>4259.4402019999998</v>
      </c>
      <c r="N94" s="3">
        <f>2783+(2614.5-694.4)+(2.83866+(2.66679-0.708288))+0-505.1-0.515202000000081</f>
        <v>4202.2819599999993</v>
      </c>
      <c r="O94" s="3">
        <f>2888+(2639.5-721.7)+(1.47288+(1.346145-0.368067))+0-635.2-0.323951999999936</f>
        <v>4172.727006000001</v>
      </c>
      <c r="P94" s="3">
        <f>3787.7+(1789.4-728.2)+(0+(0-0))+0-615.1-0</f>
        <v>4233.7999999999993</v>
      </c>
      <c r="Q94" s="3">
        <f>4251.2+(1621-799.7)+(6.504336+(2.48013-1.223541))+0-594-0.908820000000034</f>
        <v>4485.3521049999999</v>
      </c>
      <c r="R94" s="3">
        <f>5252+(1455.6-1178.3)+(5.35704+(1.484712-1.201866))+0-629.3-0.6418860000001</f>
        <v>4904.9979999999996</v>
      </c>
      <c r="S94" s="3">
        <f>5437.4+(1537.8-983.8)+(-11.092296+(-3.137112--2.006952))+0-701.6--1.43126399999997</f>
        <v>5279.0088079999987</v>
      </c>
      <c r="T94" s="3">
        <f>5236.9+(1735.1-858)+(-10.683276+(-3.539604--1.75032))+0-589.9--1.20339599999997</f>
        <v>5512.8308360000001</v>
      </c>
      <c r="U94" s="3">
        <f>5516.1+(1744.7-1003)+(-2.813211+(-0.889797--0.51153))+0-694.8--0.35434799999993</f>
        <v>5560.1628700000001</v>
      </c>
      <c r="V94" s="3">
        <f>5270+(1622.9-718.6)+(-8.0631+(-2.483037--1.099458))+0-717--1.09701000000004</f>
        <v>5448.9503310000009</v>
      </c>
      <c r="W94" s="3">
        <f>4167.8+(2304.9-741.7)+(-10.62789+(-5.877495--1.891335))+0-562--1.43309999999992</f>
        <v>5155.8190500000001</v>
      </c>
      <c r="X94" s="3">
        <f>3088.2+(2954.9-707.2)+(-7.87491+(-7.534995--1.80336))+0-689.4--1.7579699999999</f>
        <v>4634.651425</v>
      </c>
      <c r="Y94" s="3">
        <f>2926.9+(2420.3-672.2)+(-1.492719+(-1.234353--0.342822))+0-501.6--0.255815999999949</f>
        <v>4171.2715659999994</v>
      </c>
      <c r="Z94" s="3">
        <f>3344.4+(2258-710.5)+(5.116932+(3.45474-1.087065))+0-611.7-0.935901000000035</f>
        <v>4286.7487060000003</v>
      </c>
      <c r="AA94" s="3">
        <f>4525.6+(1627.9-723.5)+(-6.924168+(-2.490687--1.106955))+0-621.8--0.951354000000036</f>
        <v>4800.8434539999998</v>
      </c>
      <c r="AB94" s="3">
        <f>4372.4+(1942.8-705.7)+(-11.14962+(-4.95414--1.799535))+0-655.4--1.6712699999999</f>
        <v>4941.4670450000003</v>
      </c>
      <c r="AC94" s="3">
        <f>4237.4+(2266-726.1)+(-6.483222+(-3.46698--1.110933))+0-711.5--1.08859500000004</f>
        <v>5058.0493259999994</v>
      </c>
      <c r="AD94" s="2">
        <v>4777.7000000000007</v>
      </c>
      <c r="AE94" s="3">
        <f>4650+(1549.3-721.7)+(0+(0-0))+0-699.9-0</f>
        <v>4777.7000000000007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3846.6+(2604.4-730.3)+(-3.923532+(-2.656488--0.744906))+0-578.3--0.589866000000092</f>
        <v>5137.1547519999995</v>
      </c>
      <c r="G95" s="3">
        <f>3806.6+(2726.1-702.1)+(-7.765464+(-5.561244--1.432284))+0-728.5--1.48613999999997</f>
        <v>5091.6917160000003</v>
      </c>
      <c r="H95" s="3">
        <f>3590.7+(2725.3-702.6)+(-3.662514+(-2.779806--0.716652))+0-601.3--0.613326000000096</f>
        <v>5006.9876579999991</v>
      </c>
      <c r="I95" s="3">
        <f>3020.5+(3195.2-705.1)+(0+(0-0))+0-603.3-0</f>
        <v>4907.3</v>
      </c>
      <c r="J95" s="3">
        <f>2942.4+(3291.7-718)+(-6.002496+(-6.715068--1.46472))+0-693.6--1.41494399999997</f>
        <v>4812.6621000000005</v>
      </c>
      <c r="K95" s="3">
        <f>2716.6+(3413.6-737.9)+(-6.92733+(-8.70468--1.881645))+0-652--1.66259999999991</f>
        <v>4728.2122349999991</v>
      </c>
      <c r="L95" s="3">
        <f>2691.4+(3121.8-714.6)+(-6.86307+(-7.96059--1.82223))+0-651.6--1.66157999999991</f>
        <v>4435.6601499999997</v>
      </c>
      <c r="M95" s="3">
        <f>2746.6+(2819.4-697.8)+(-4.202298+(-4.313682--1.067634))+0-671.8--1.02785400000004</f>
        <v>4189.9795080000004</v>
      </c>
      <c r="N95" s="3">
        <f>3098+(2392.2-739.3)+(-1.57998+(-1.220022--0.377043))+0-601--0.306509999999939</f>
        <v>4147.7835509999995</v>
      </c>
      <c r="O95" s="3">
        <f>2841+(2631.4-733.6)+(-2.89782+(-2.684028--0.748272))+0-605--0.617100000000096</f>
        <v>4129.5835240000006</v>
      </c>
      <c r="P95" s="3">
        <f>3206.7+(2297.7-753.7)+(1.635417+(1.171827-0.384387))+0-588.5-0.30013499999994</f>
        <v>4164.3227219999999</v>
      </c>
      <c r="Q95" s="3">
        <f>3196.9+(2501.7-740.3)+(-1.630419+(-1.275867--0.377553))+0-564.3--0.287792999999943</f>
        <v>4391.7590599999994</v>
      </c>
      <c r="R95" s="3">
        <f>3832.8+(2328.1-685.9)+(-5.864184+(-3.561993--1.049427))+0-629.6--0.963288000000036</f>
        <v>4837.9865379999992</v>
      </c>
      <c r="S95" s="3">
        <f>4562.7+(2017-750.9)+(-6.980931+(-3.08601--1.148877))+0-510.4--0.780912000000029</f>
        <v>5310.2628479999994</v>
      </c>
      <c r="T95" s="3">
        <f>5430.5+(1622.9-993.1)+(-2.769555+(-0.827679--0.506481))+0-643.3--0.328082999999935</f>
        <v>5414.2373299999999</v>
      </c>
      <c r="U95" s="3">
        <f>5569.3+(1493.6-969.2)+(-5.680686+(-1.523472--0.988584))+0-585.9--0.597618000000093</f>
        <v>5502.1820440000001</v>
      </c>
      <c r="V95" s="3">
        <f>5503.1+(1458.2-871.3)+(-8.419743+(-2.231046--1.333089))+0-623.1--0.953343000000036</f>
        <v>5458.5356430000002</v>
      </c>
      <c r="W95" s="3">
        <f>4856.3+(1701.4-761.3)+(-9.906852+(-3.470856--1.553052))+0-563.2--1.14892799999998</f>
        <v>5222.5242720000006</v>
      </c>
      <c r="X95" s="3">
        <f>3393.5+(2612-708.2)+(-5.192055+(-3.99636--1.083546))+0-540.3--0.826659000000031</f>
        <v>4749.7217900000005</v>
      </c>
      <c r="Y95" s="3">
        <f>2885+(2747-698.2)+(-5.8854+(-5.60388--1.424328))+0-630.4--1.28601599999997</f>
        <v>4294.6210640000008</v>
      </c>
      <c r="Z95" s="3">
        <f>3016.2+(2655.5-715.1)+(0+(0-0))+0-551.9-0</f>
        <v>4404.7000000000007</v>
      </c>
      <c r="AA95" s="3">
        <f>3668.7+(2656.8-695.4)+(1.871037+(1.354968-0.354654))+0-606.4-0.309263999999938</f>
        <v>5026.262087000001</v>
      </c>
      <c r="AB95" s="3">
        <f>3951.9+(2468.4-678.9)+(-8.061876+(-5.035536--1.384956))+0-581.5--1.18625999999997</f>
        <v>5149.3738039999998</v>
      </c>
      <c r="AC95" s="3">
        <f>4115.1+(2428-692.9)+(-6.296103+(-3.71484--1.060137))+0-537.6--0.822528000000031</f>
        <v>5304.4717220000002</v>
      </c>
      <c r="AD95" s="2">
        <v>5201.3</v>
      </c>
      <c r="AE95" s="3">
        <f>4033+(2506.9-678.7)+(0+(0-0))+0-659.9-0</f>
        <v>5201.3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3592.2+(3054.5-698.3)+(-3.664044+(-3.11559--0.712266))+0-593.8--0.605676000000095</f>
        <v>5349.1383079999996</v>
      </c>
      <c r="G96" s="3">
        <f>3303.6+(3261.8-696.3)+(-1.684836+(-1.663518--0.355113))+0-615--0.313649999999938</f>
        <v>5251.4204090000003</v>
      </c>
      <c r="H96" s="3">
        <f>2972.1+(3456.5-706.3)+(-3.031542+(-3.52563--0.720426))+0-608.8--0.620976000000097</f>
        <v>5108.2842299999993</v>
      </c>
      <c r="I96" s="3">
        <f>2853+(3374-694.9)+(-2.91006+(-3.44148--0.708798))+0-559.7--0.570894000000089</f>
        <v>4967.328152000001</v>
      </c>
      <c r="J96" s="3">
        <f>2823.5+(3384.9-709.8)+(-4.319955+(-5.178897--1.085994))+0-608--0.930240000000035</f>
        <v>4883.1173820000004</v>
      </c>
      <c r="K96" s="3">
        <f>2784.1+(3373.2-720.8)+(-7.099455+(-8.60166--1.83804))+0-658.6--1.6794299999999</f>
        <v>4765.7163549999996</v>
      </c>
      <c r="L96" s="3">
        <f>2804+(3001.3-698.9)+(2.86008+(3.061326-0.712878))+0-650-0.663000000000104</f>
        <v>4460.9455279999993</v>
      </c>
      <c r="M96" s="3">
        <f>2880.6+(2732.4-706.9)+(0+(0-0))+0-624.7-0</f>
        <v>4281.4000000000005</v>
      </c>
      <c r="N96" s="3">
        <f>3166.2+(2376-709.4)+(3.229524+(2.42352-0.723588))+0-605.8-0.617916000000097</f>
        <v>4231.3115399999988</v>
      </c>
      <c r="O96" s="3">
        <f>3658.6+(1867.5-709)+(0+(0-0))+0-585.2-0</f>
        <v>4231.9000000000005</v>
      </c>
      <c r="P96" s="3">
        <f>4284.6+(1352.4-799)+(2.185146+(0.689724-0.40749))+0-508.7-0.259436999999948</f>
        <v>4331.5079430000005</v>
      </c>
      <c r="Q96" s="3">
        <f>5436.6+(1092.4-1271.9)+(5.545332+(1.114248-1.297338))+0-590.5-0.602310000000094</f>
        <v>4671.3599320000003</v>
      </c>
      <c r="R96" s="3">
        <f>6071.2+(1061.2-1417)+(0+(0-0))+0-581.9-0</f>
        <v>5133.5</v>
      </c>
      <c r="S96" s="3">
        <f>5922.4+(1272.1-1036.8)+(-3.020424+(-0.648771--0.528768))+0-599.8--0.305897999999939</f>
        <v>5555.065470999999</v>
      </c>
      <c r="T96" s="3">
        <f>6480.9+(1204.7-1300.8)+(-6.610518+(-1.228794--1.326816))+0-582.9--0.594558000000093</f>
        <v>5795.9820619999991</v>
      </c>
      <c r="U96" s="3">
        <f>6722.1+(1111-1533.1)+(6.856542+(1.13322-1.563762))+0-477.9-0.487458000000076</f>
        <v>5828.0385420000002</v>
      </c>
      <c r="V96" s="3">
        <f>6418.8+(1156-1331.6)+(-9.820764+(-1.76868--2.037348))+0-488.3--0.747099000000028</f>
        <v>5746.0950030000004</v>
      </c>
      <c r="W96" s="3">
        <f>5690.3+(1192.3-912.3)+(-14.510265+(-3.040365--2.326365))+0-470--1.19849999999993</f>
        <v>5486.2742349999999</v>
      </c>
      <c r="X96" s="3">
        <f>4147.5+(2095-759.1)+(-8.4609+(-4.2738--1.548564))+0-533.5--1.08833999999998</f>
        <v>4939.8022039999996</v>
      </c>
      <c r="Y96" s="3">
        <f>3275.5+(2531.4-734.2)+(-6.68202+(-5.164056--1.497768))+0-640.7--1.30702799999997</f>
        <v>4422.9587200000005</v>
      </c>
      <c r="Z96" s="3">
        <f>3882.6+(1737-723.1)+(3.960252+(1.77174-0.737562))+0-445.6-0.454512000000071</f>
        <v>4455.4399179999991</v>
      </c>
      <c r="AA96" s="3">
        <f>5088.3+(1410.5-961.6)+(-7.785099+(-2.158065--1.471248))+0-510.7--0.781371000000029</f>
        <v>5018.8094549999996</v>
      </c>
      <c r="AB96" s="3">
        <f>4984.6+(1472.6-727.1)+(2.542146+(0.751026-0.370821))+0-534.3-0.272492999999946</f>
        <v>5198.4498579999999</v>
      </c>
      <c r="AC96" s="3">
        <f>4666.9+(2072.9-711.1)+(2.380119+(1.057179-0.362661))+0-662.2-0.337721999999933</f>
        <v>5369.2369149999995</v>
      </c>
      <c r="AD96" s="2">
        <v>5031.3999999999996</v>
      </c>
      <c r="AE96" s="3">
        <f>5156+(1404.5-967.5)+(0+(0-0))+0-561.6-0</f>
        <v>5031.3999999999996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3913.3+(2753.3-718.2)+(-7.983132+(-5.616732--1.465128))+0-507.4--1.03509599999998</f>
        <v>5429.9003600000005</v>
      </c>
      <c r="G97" s="3">
        <f>3371.8+(3313.3-696.2)+(-5.158854+(-5.069349--1.065186))+0-648.1--0.991593000000037</f>
        <v>5332.6285760000001</v>
      </c>
      <c r="H97" s="3">
        <f>2822.9+(3635.1-714.3)+(1.439679+(1.853901-0.364293))+0-577.1-0.294320999999941</f>
        <v>5169.234966</v>
      </c>
      <c r="I97" s="3">
        <f>2750.6+(3630.3-707.9)+(5.611224+(7.405812-1.444116))+0-620.7-1.26622799999997</f>
        <v>5062.6066919999994</v>
      </c>
      <c r="J97" s="3">
        <f>2720.9+(3559.3-708.3)+(-6.938295+(-9.076215--1.806165))+0-616.6--1.57232999999991</f>
        <v>4942.6639849999992</v>
      </c>
      <c r="K97" s="3">
        <f>2616.9+(3515.1-707.9)+(-6.673095+(-8.963505--1.805145))+0-587.2--1.49735999999991</f>
        <v>4824.5659050000013</v>
      </c>
      <c r="L97" s="3">
        <f>2629.7+(3180.9-725.3)+(-4.023441+(-4.866777--1.109709))+0-629.4--0.962982000000036</f>
        <v>4449.0824730000004</v>
      </c>
      <c r="M97" s="3">
        <f>2804+(2699.7-700.9)+(4.29012+(4.130541-1.072377))+0-565.2-0.864756000000033</f>
        <v>4244.0835279999992</v>
      </c>
      <c r="N97" s="3">
        <f>2805.5+(2688.7-703.2)+(1.430805+(1.371237-0.358632))+0-600.9-0.306458999999939</f>
        <v>4192.2369509999999</v>
      </c>
      <c r="O97" s="3">
        <f>2932.9+(2310.8-725.6)+(1.495779+(1.178508-0.370056))+0-338.3-0.172532999999966</f>
        <v>4181.9316980000003</v>
      </c>
      <c r="P97" s="3">
        <f>3556.2+(1760.2-727)+(5.440986+(2.693106-1.11231))+0-379.8-0.581094000000022</f>
        <v>4216.0406879999991</v>
      </c>
      <c r="Q97" s="3">
        <f>4886.3+(1294.6-1113.4)+(0+(0-0))+0-492.3-0</f>
        <v>4575.2</v>
      </c>
      <c r="R97" s="3">
        <f>5494.9+(1200.3-1148.3)+(-11.209596+(-2.448612--2.342532))+0-508.2--1.03672799999998</f>
        <v>5028.4210519999997</v>
      </c>
      <c r="S97" s="3">
        <f>5071.5+(1749.3-809)+(-10.34586+(-3.568572--1.65036))+0-557.7--1.13770799999998</f>
        <v>5442.9736360000006</v>
      </c>
      <c r="T97" s="3">
        <f>5623.9+(1481.8-894.6)+(0+(0-0))+0-535.8-0</f>
        <v>5675.2999999999993</v>
      </c>
      <c r="U97" s="3">
        <f>5678.8+(1491.6-941.6)+(-2.896188+(-0.760716--0.480216))+0-525.2--0.267851999999947</f>
        <v>5700.6911640000008</v>
      </c>
      <c r="V97" s="3">
        <f>5578.9+(1447.9-782.9)+(-8.535717+(-2.215287--1.197837))+0-618.4--0.946152000000036</f>
        <v>5616.8929850000004</v>
      </c>
      <c r="W97" s="3">
        <f>5292.9+(1310-710.6)+(-13.496895+(-3.3405--1.81203))+0-548.3--1.39816499999992</f>
        <v>5330.3727999999983</v>
      </c>
      <c r="X97" s="3">
        <f>3664.1+(2466.8-712)+(-7.474764+(-5.032272--1.45248))+0-596--1.21583999999997</f>
        <v>4813.0612839999994</v>
      </c>
      <c r="Y97" s="3">
        <f>3200.9+(2429-735)+(-6.529836+(-4.95516--1.4994))+0-550.9--1.12383599999998</f>
        <v>4335.1382399999993</v>
      </c>
      <c r="Z97" s="3">
        <f>3720.4+(1964.5-757.9)+(1.897404+(1.001895-0.386529))+0-555.5-0.283304999999944</f>
        <v>4373.7294650000003</v>
      </c>
      <c r="AA97" s="3">
        <f>4133.9+(2203.6-765)+(-2.108289+(-1.123836--0.39015))+0-641.5--0.327164999999935</f>
        <v>4928.4851899999994</v>
      </c>
      <c r="AB97" s="3">
        <f>3982.1+(2464.4-750.2)+(-10.154355+(-6.28422--1.91301))+0-589.1--1.50220499999991</f>
        <v>5094.1766399999997</v>
      </c>
      <c r="AC97" s="3">
        <f>3924.3+(2684.9-757.9)+(-4.002786+(-2.738598--0.773058))+0-602.9--0.614958000000096</f>
        <v>5243.0466320000005</v>
      </c>
      <c r="AD97" s="2">
        <v>5018.1000000000004</v>
      </c>
      <c r="AE97" s="3">
        <f>4187+(2218.1-761.1)+(0+(0-0))+0-625.9-0</f>
        <v>5018.1000000000004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3800+(2894-726.4)+(-7.752+(-5.90376--1.481856))+0-661.3--1.34905199999997</f>
        <v>5295.4751479999995</v>
      </c>
      <c r="G98" s="3">
        <f>3334.2+(3081.7-711.3)+(-5.101326+(-4.715001--1.088289))+0-502--0.768060000000029</f>
        <v>5194.6400219999996</v>
      </c>
      <c r="H98" s="3">
        <f>3067.4+(3289.6-715.1)+(-6.257496+(-6.710784--1.458804))+0-596.2--1.21624799999997</f>
        <v>5035.4067719999994</v>
      </c>
      <c r="I98" s="3">
        <f>2925.5+(3331.8-704.2)+(-1.492005+(-1.699218--0.359142))+0-654.3--0.333692999999934</f>
        <v>4896.3016120000002</v>
      </c>
      <c r="J98" s="3">
        <f>2809.8+(3133.4-678.1)+(-5.731992+(-6.392136--1.383324))+0-478.4--0.975935999999979</f>
        <v>4776.9351320000005</v>
      </c>
      <c r="K98" s="3">
        <f>2827.9+(3208.1-691.6)+(-7.211145+(-8.180655--1.76358))+0-693.5--1.7684249999999</f>
        <v>4639.0402050000002</v>
      </c>
      <c r="L98" s="3">
        <f>2723.1+(2819.7-678.3)+(-4.166343+(-4.314141--1.037799))+0-571.2--0.873936000000033</f>
        <v>4286.7312510000002</v>
      </c>
      <c r="M98" s="3">
        <f>2927.1+(2483.7-666.5)+(2.985642+(2.533374-0.67983))+0-617.7-0.630054000000099</f>
        <v>4130.8091319999994</v>
      </c>
      <c r="N98" s="3">
        <f>3086.1+(2249-669.3)+(3.147822+(2.29398-0.682686))+0-618-0.630360000000099</f>
        <v>4051.9287560000002</v>
      </c>
      <c r="O98" s="3">
        <f>3114.4+(2054.4-673.4)+(0+(0-0))+0-614.4-0</f>
        <v>3880.9999999999995</v>
      </c>
      <c r="P98" s="3">
        <f>3680.9+(1720.1-706.1)+(0+(0-0))+0-560.5-0</f>
        <v>4134.3999999999996</v>
      </c>
      <c r="Q98" s="3">
        <f>4580+(1143.4-760.9)+(4.6716+(1.166268-0.776118))+0-585.4-0.597108000000093</f>
        <v>4381.5646420000003</v>
      </c>
      <c r="R98" s="3">
        <f>5040.1+(1200.8-879.1)+(7.711353+(1.837224-1.345023))+0-545.5-0.834615000000032</f>
        <v>4823.6689390000001</v>
      </c>
      <c r="S98" s="3">
        <f>4917.8+(1699.9-756)+(-10.032312+(-3.467796--1.54224))+0-612.3--1.24909199999997</f>
        <v>5238.6912240000001</v>
      </c>
      <c r="T98" s="3">
        <f>5292.4+(1700.2-939.3)+(2.699124+(0.867102-0.479043))+0-544.3-0.277592999999945</f>
        <v>5511.8095899999989</v>
      </c>
      <c r="U98" s="3">
        <f>5506.1+(1799.9-1073.2)+(-14.040555+(-4.589745--2.73666))+0-673.9--1.7184449999999</f>
        <v>5544.7248049999998</v>
      </c>
      <c r="V98" s="3">
        <f>5400.5+(1741.7-1135.8)+(-11.01702+(-3.553068--2.317032))+0-534--1.08935999999998</f>
        <v>5461.236304</v>
      </c>
      <c r="W98" s="3">
        <f>4685.7+(1783.4-797)+(-14.338242+(-5.457204--2.43882))+0-430.7--1.31794200000005</f>
        <v>5225.3613160000004</v>
      </c>
      <c r="X98" s="3">
        <f>3462.5+(2577.4-716.6)+(-10.59525+(-7.886844--2.192796))+0-577.1--1.76592600000007</f>
        <v>4731.6766280000002</v>
      </c>
      <c r="Y98" s="3">
        <f>3037.5+(2478.2-708)+(-7.745625+(-6.31941--1.8054))+0-574.4--1.46471999999992</f>
        <v>4222.5050849999998</v>
      </c>
      <c r="Z98" s="3">
        <f>3646.9+(1899.1-748.5)+(-1.859919+(-0.968541--0.381735))+0-558.3--0.284732999999943</f>
        <v>4237.0380079999995</v>
      </c>
      <c r="AA98" s="3">
        <f>4542.4+(1710.6-752.6)+(-4.633248+(-1.744812--0.767652))+0-653--0.666060000000104</f>
        <v>4842.4556520000006</v>
      </c>
      <c r="AB98" s="3">
        <f>4819.3+(1523.3-727.5)+(-2.457843+(-0.776883--0.371025))+0-566.8--0.289067999999942</f>
        <v>5045.725367</v>
      </c>
      <c r="AC98" s="3">
        <f>4832.6+(1735.9-693)+(-4.929252+(-1.770618--0.70686))+0-668.6--0.681972000000107</f>
        <v>5201.5889619999998</v>
      </c>
      <c r="AD98" s="2">
        <v>4839.7</v>
      </c>
      <c r="AE98" s="3">
        <f>4598+(1618.4-702.3)+(0+(0-0))+0-674.4-0</f>
        <v>4839.7000000000007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4060.7+(2477.2-637.2)+(-8.283828+(-5.053488--1.299888))+0-627.1--1.27928399999997</f>
        <v>5262.841856</v>
      </c>
      <c r="G99" s="3">
        <f>3448.3+(2997.8-675.5)+(-3.517266+(-3.057756--0.68901))+0-594.7--0.606594000000095</f>
        <v>5170.6205820000005</v>
      </c>
      <c r="H99" s="3">
        <f>3174.8+(3199.1-697.8)+(-6.476592+(-6.526164--1.423512))+0-637.1--1.29968399999997</f>
        <v>5028.7204400000001</v>
      </c>
      <c r="I99" s="3">
        <f>2934.7+(3288.3-677)+(-7.483485+(-8.385165--1.72635))+0-635.2--1.61975999999991</f>
        <v>4898.2774599999993</v>
      </c>
      <c r="J99" s="3">
        <f>3037.7+(3033.7-669)+(3.098454+(3.094374-0.68238))+0-618.7-0.631074000000099</f>
        <v>4788.5793739999999</v>
      </c>
      <c r="K99" s="3">
        <f>2872.2+(3126.9-720.4)+(-7.32411+(-7.973595--1.83702))+0-604.8--1.54223999999991</f>
        <v>4661.9815549999994</v>
      </c>
      <c r="L99" s="3">
        <f>2766.2+(2822.1-696)+(-7.05381+(-7.196355--1.7748))+0-597.3--1.52311499999991</f>
        <v>4284.0477499999988</v>
      </c>
      <c r="M99" s="3">
        <f>3010.8+(2485.7-703.7)+(3.071016+(2.535414-0.717774))+0-609.8-0.621996000000097</f>
        <v>4187.2666600000002</v>
      </c>
      <c r="N99" s="3">
        <f>3132.2+(2184.6-699.1)+(1.597422+(1.114146-0.356541))+0-516.7-0.263516999999948</f>
        <v>4103.0915099999993</v>
      </c>
      <c r="O99" s="3">
        <f>3463.8+(1947.4-686.9)+(-1.766538+(-0.993174--0.350319))+0-591.3--0.30156299999994</f>
        <v>4130.8921700000001</v>
      </c>
      <c r="P99" s="3">
        <f>3672.5+(1707.7-684.4)+(1.872975+(0.870927-0.349044))+0-447.7-0.228326999999955</f>
        <v>4250.2665310000002</v>
      </c>
      <c r="Q99" s="3">
        <f>4669.4+(1278.9-800.5)+(-7.144182+(-1.956717--1.224765))+0-637.9--0.975987000000037</f>
        <v>4502.9998529999993</v>
      </c>
      <c r="R99" s="3">
        <f>5185.2+(1306.6-1076.4)+(-5.288904+(-1.332732--1.097928))+0-518.2--0.528564000000083</f>
        <v>4892.2048560000003</v>
      </c>
      <c r="S99" s="3">
        <f>5342.6+(1429.6-875)+(-19.073082+(-5.103672--3.12375))+0-571.2--2.03918400000001</f>
        <v>5306.9861800000008</v>
      </c>
      <c r="T99" s="3">
        <f>5768.4+(1319.2-943.7)+(-2.941884+(-0.672792--0.481287))+0-592.6--0.30222599999994</f>
        <v>5548.4688369999994</v>
      </c>
      <c r="U99" s="3">
        <f>5963.4+(1247.1-1080.4)+(0+(0-0))+0-537.1-0</f>
        <v>5592.9999999999991</v>
      </c>
      <c r="V99" s="3">
        <f>5944.9+(1282.3-1068.5)+(-9.095697+(-1.961919--1.634805))+0-656--1.00368000000004</f>
        <v>5494.2808689999993</v>
      </c>
      <c r="W99" s="3">
        <f>5302+(1471.6-994.5)+(-10.81608+(-3.002064--2.02878))+0-523.7--1.06834799999998</f>
        <v>5244.6789840000001</v>
      </c>
      <c r="X99" s="3">
        <f>3722.3+(2336.7-701)+(-5.695119+(-3.575151--1.07253))+0-619.4--0.947682000000036</f>
        <v>4731.3499420000007</v>
      </c>
      <c r="Y99" s="3">
        <f>3145.1+(2252.4-679.2)+(-3.208002+(-2.297448--0.692784))+0-487.2--0.496944000000078</f>
        <v>4226.784278000001</v>
      </c>
      <c r="Z99" s="3">
        <f>4030.4+(1548.7-757.1)+(-2.055504+(-0.789837--0.386121))+0-592--0.30191999999994</f>
        <v>4227.8427000000001</v>
      </c>
      <c r="AA99" s="3">
        <f>4567.6+(1650.7-786)+(-6.988428+(-2.525571--1.20258))+0-611--0.934830000000035</f>
        <v>4813.9234110000007</v>
      </c>
      <c r="AB99" s="3">
        <f>4278.8+(2058.3-724.6)+(-8.728752+(-4.198932--1.478184))+0-573.3--1.16953199999997</f>
        <v>5028.920032</v>
      </c>
      <c r="AC99" s="3">
        <f>3707.5+(2781.5-671.8)+(-3.78165+(-2.83713--0.685236))+0-646.1--0.659022000000103</f>
        <v>5165.8254779999988</v>
      </c>
      <c r="AD99" s="2">
        <v>4831.2</v>
      </c>
      <c r="AE99" s="3">
        <f>4725+(1540.9-822.2)+(0+(0-0))+0-612.5-0</f>
        <v>4831.2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3157.1+(3307.1-694.9)+(-1.610121+(-1.686621--0.354399))+0-552.1--0.281570999999944</f>
        <v>5214.5392279999987</v>
      </c>
      <c r="G100" s="3">
        <f>3085.9+(3415.7-696.6)+(-4.721427+(-5.226021--1.065798))+0-665.4--1.01806200000004</f>
        <v>5131.7364120000002</v>
      </c>
      <c r="H100" s="3">
        <f>3106.9+(3146.8-704.3)+(-4.753557+(-4.814604--1.077579))+0-547.6--0.837828000000032</f>
        <v>4994.1472459999986</v>
      </c>
      <c r="I100" s="3">
        <f>2977.5+(3236.4-694.3)+(0+(0-0))+0-643-0</f>
        <v>4876.6000000000004</v>
      </c>
      <c r="J100" s="3">
        <f>3003.3+(3039-706)+(-7.658415+(-7.74945--1.8003))+0-580.5--1.48027499999992</f>
        <v>4743.6727099999998</v>
      </c>
      <c r="K100" s="3">
        <f>2904.2+(3071.1-725)+(-5.924568+(-6.265044--1.479))+0-623.2--1.27132799999997</f>
        <v>4617.6607159999994</v>
      </c>
      <c r="L100" s="3">
        <f>2816.4+(2707-691.6)+(-4.309092+(-4.14171--1.058148))+0-548.3--0.838899000000032</f>
        <v>4276.9462450000001</v>
      </c>
      <c r="M100" s="3">
        <f>3032.4+(2379-668)+(3.093048+(2.42658-0.68136))+0-622.3-0.634746000000099</f>
        <v>4125.3035220000002</v>
      </c>
      <c r="N100" s="3">
        <f>3402.1+(1926.2-673.8)+(3.470142+(1.964724-0.687276))+0-577.4-0.588948000000092</f>
        <v>4081.2586419999998</v>
      </c>
      <c r="O100" s="3">
        <f>3509+(1806.4-684.4)+(-3.57918+(-1.842528--0.698088))+0-599.5--0.611490000000096</f>
        <v>4027.3878700000005</v>
      </c>
      <c r="P100" s="3">
        <f>3895.6+(1338.8-771.4)+(0+(0-0))+0-502.5-0</f>
        <v>3960.5</v>
      </c>
      <c r="Q100" s="3">
        <f>4969.1+(1077.8-1176.2)+(7.602723+(1.649034-1.799586))+0-517.5-0.79177500000003</f>
        <v>4359.8603960000009</v>
      </c>
      <c r="R100" s="3">
        <f>5761.9+(1136.6-1358.5)+(-2.938569+(-0.579666--0.692835))+0-624.8--0.318647999999937</f>
        <v>4912.6932479999996</v>
      </c>
      <c r="S100" s="3">
        <f>5519.7+(1295.7-929)+(-5.630094+(-1.321614--0.94758))+0-544.1--0.554982000000087</f>
        <v>5336.8508539999993</v>
      </c>
      <c r="T100" s="3">
        <f>6058.4+(1260.6-1096.4)+(-3.089784+(-0.642906--0.559164))+0-669--0.341189999999932</f>
        <v>5550.767664</v>
      </c>
      <c r="U100" s="3">
        <f>6318.3+(1145.9-1307.5)+(9.666999+(1.753227-2.000475))+0-571.7-0.874701000000033</f>
        <v>5593.5450500000015</v>
      </c>
      <c r="V100" s="3">
        <f>6305.9+(1124.8-1297)+(-6.432018+(-1.147296--1.32294))+0-603.9--0.615978000000096</f>
        <v>5524.1596040000004</v>
      </c>
      <c r="W100" s="3">
        <f>5326.5+(1557.4-1090.1)+(-8.149545+(-2.382822--1.667853))+0-535.8--0.819774000000031</f>
        <v>5249.9552599999997</v>
      </c>
      <c r="X100" s="3">
        <f>3794.9+(2335.7-749)+(-11.612394+(-7.147242--2.29194))+0-635.1--1.94340600000007</f>
        <v>4731.9757100000006</v>
      </c>
      <c r="Y100" s="3">
        <f>2973.9+(2523.6-672.6)+(-6.066756+(-5.148144--1.372104))+0-580.4--1.18401599999997</f>
        <v>4235.8412200000002</v>
      </c>
      <c r="Z100" s="3">
        <f>3371.2+(2259.2-707.2)+(3.438624+(2.304384-0.721344))+0-631.9-0.644538000000101</f>
        <v>4295.6771259999996</v>
      </c>
      <c r="AA100" s="3">
        <f>4188.2+(2042.4-733.9)+(-4.271964+(-2.083248--0.748578))+0-577.7--0.589254000000092</f>
        <v>4913.9826200000007</v>
      </c>
      <c r="AB100" s="3">
        <f>4159.2+(2263.7-728.3)+(2.121192+(1.154487-0.371433))+0-584.4-0.298043999999941</f>
        <v>5112.8062019999998</v>
      </c>
      <c r="AC100" s="3">
        <f>4077.6+(2474.6-731.8)+(0+(0-0))+0-543.5-0</f>
        <v>5276.9</v>
      </c>
      <c r="AD100" s="2">
        <v>5254.8</v>
      </c>
      <c r="AE100" s="3">
        <f>4435+(2220.5-744.8)+(0+(0-0))+0-655.9-0</f>
        <v>5254.8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3723.9+(3010.8-743.7)+(1.899189+(1.535508-0.379287))+0-671.3-0.342362999999932</f>
        <v>5322.413047</v>
      </c>
      <c r="G101" s="3">
        <f>3723.3+(2799.8-714.6)+(3.797766+(2.855796-0.728892))+0-572.9-0.584358000000091</f>
        <v>5240.9403120000006</v>
      </c>
      <c r="H101" s="3">
        <f>3555.5+(2927.5-737.5)+(0+(0-0))+0-655.5-0</f>
        <v>5090</v>
      </c>
      <c r="I101" s="3">
        <f>3372.9+(2889.3-734.2)+(1.720179+(1.473543-0.374442))+0-571.4-0.291413999999942</f>
        <v>4959.1278659999998</v>
      </c>
      <c r="J101" s="3">
        <f>2949.9+(3139.5-719.9)+(1.504449+(1.601145-0.367149))+0-503.4-0.256733999999949</f>
        <v>4868.5817110000007</v>
      </c>
      <c r="K101" s="3">
        <f>2895.9+(3205.7-720.4)+(-2.953818+(-3.269814--0.734808))+0-628.7--0.6412740000001</f>
        <v>4747.6524500000005</v>
      </c>
      <c r="L101" s="3">
        <f>2928+(2860.1-715.4)+(-2.98656+(-2.917302--0.729708))+0-580.1--0.591702000000093</f>
        <v>4488.0175479999989</v>
      </c>
      <c r="M101" s="3">
        <f>3152.5+(2304.7-680.8)+(4.823325+(3.526191-1.041624))+0-497.6-0.761328000000029</f>
        <v>4285.3465639999995</v>
      </c>
      <c r="N101" s="3">
        <f>3271.6+(2175.3-705.5)+(8.34258+(5.547015-1.799025))+0-518.9-1.32319499999992</f>
        <v>4233.2673750000004</v>
      </c>
      <c r="O101" s="3">
        <f>3638.6+(1828.2-713.6)+(7.422744+(3.729528-1.455744))+0-553.4-1.12893599999998</f>
        <v>4208.3675920000005</v>
      </c>
      <c r="P101" s="3">
        <f>4246.5+(1492.1-818.9)+(8.66286+(3.043884-1.670556))+0-621.4-1.26765599999997</f>
        <v>4307.0685320000002</v>
      </c>
      <c r="Q101" s="3">
        <f>5123+(1171-1286)+(7.83819+(1.79163-1.96758))+0-451.7-0.691101000000026</f>
        <v>4563.2711389999995</v>
      </c>
      <c r="R101" s="3">
        <f>5899.9+(1163.1-1445.6)+(12.035796+(2.372724-2.949024))+0-624.3-1.27357199999997</f>
        <v>5003.2859239999998</v>
      </c>
      <c r="S101" s="3">
        <f>5479.1+(1421.7-942.7)+(-13.971705+(-3.625335--2.403885))+0-626.8--1.59833999999991</f>
        <v>5317.7051849999998</v>
      </c>
      <c r="T101" s="3">
        <f>5338.3+(1547.1-722.8)+(0+(0-0))+0-605.1-0</f>
        <v>5557.5</v>
      </c>
      <c r="U101" s="3">
        <f>5417.9+(1540.8-780.4)+(0+(0-0))+0-574.6-0</f>
        <v>5603.6999999999989</v>
      </c>
      <c r="V101" s="3">
        <f>5269.5+(1656.8-746.9)+(0+(0-0))+0-640.6-0</f>
        <v>5538.7999999999993</v>
      </c>
      <c r="W101" s="3">
        <f>4284.2+(2334.6-763.7)+(-8.739768+(-4.762584--1.557948))+0-570.6--1.16402399999998</f>
        <v>5273.7196199999989</v>
      </c>
      <c r="X101" s="3">
        <f>3096.9+(3081.2-765)+(-9.476514+(-9.428472--2.3409))+0-652.5--1.99665000000008</f>
        <v>4746.0325640000001</v>
      </c>
      <c r="Y101" s="3">
        <f>3000.7+(2547.3-741.9)+(-6.121428+(-5.196492--1.513476))+0-513.3--1.04713199999998</f>
        <v>4284.0426879999995</v>
      </c>
      <c r="Z101" s="3">
        <f>3359.6+(2395.6-774.7)+(3.426792+(2.443512-0.790194))+0-628.2-0.6407640000001</f>
        <v>4356.7393460000003</v>
      </c>
      <c r="AA101" s="3">
        <f>4081.8+(2075.1-778.6)+(-14.572026+(-7.408107--2.779602))+0-450.1--1.60685700000001</f>
        <v>4910.6063259999992</v>
      </c>
      <c r="AB101" s="3">
        <f>4320.8+(2078.9-749.1)+(-6.610824+(-3.180717--1.146123))+0-580.6--0.888318000000034</f>
        <v>5062.2429000000002</v>
      </c>
      <c r="AC101" s="3">
        <f>4126.1+(2363.7-751.1)+(-8.417244+(-4.821948--1.532244))+0-540.8--1.10323199999998</f>
        <v>5187.2962840000009</v>
      </c>
      <c r="AD101" s="2">
        <v>5069.8999999999996</v>
      </c>
      <c r="AE101" s="3">
        <f>4531+(1864.2-764.8)+(0+(0-0))+0-560.5-0</f>
        <v>5069.8999999999996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4208.8+(2340.5-695.5)+(4.292976+(2.38731-0.70941))+0-574.4-0.585888000000092</f>
        <v>5284.7849880000003</v>
      </c>
      <c r="G102" s="3">
        <f>3872.2+(2593.8-688.7)+(-7.899288+(-5.291352--1.404948))+0-534--1.08935999999998</f>
        <v>5232.6036679999997</v>
      </c>
      <c r="H102" s="3">
        <f>3544.9+(2947.9-717.4)+(-5.423697+(-4.510287--1.097622))+0-655.9--1.00352700000004</f>
        <v>5111.6671649999998</v>
      </c>
      <c r="I102" s="3">
        <f>3215.3+(3048.9-728.8)+(-3.279606+(-3.109878--0.743376))+0-536.5--0.547230000000086</f>
        <v>4993.8011220000008</v>
      </c>
      <c r="J102" s="3">
        <f>2945.4+(3324.3-729)+(-3.004308+(-3.390786--0.74358))+0-619.4--0.631788000000099</f>
        <v>4916.2802740000006</v>
      </c>
      <c r="K102" s="3">
        <f>2988.1+(3146.2-732.6)+(-4.571793+(-4.813686--1.120878))+0-605.9--0.927027000000035</f>
        <v>4788.4624260000001</v>
      </c>
      <c r="L102" s="3">
        <f>2829.9+(3090.8-731.1)+(-7.216245+(-7.88154--1.864305))+0-640.9--1.63429499999991</f>
        <v>4537.1008150000007</v>
      </c>
      <c r="M102" s="3">
        <f>2809.2+(2786.8-699.4)+(-1.432692+(-1.421268--0.356694))+0-566.4--0.288863999999943</f>
        <v>4327.9915980000005</v>
      </c>
      <c r="N102" s="3">
        <f>2975+(2659.1-744.1)+(-3.0345+(-2.712282--0.758982))+0-663.4--0.676668000000106</f>
        <v>4222.2888680000005</v>
      </c>
      <c r="O102" s="3">
        <f>3022.7+(2313.4-754.5)+(-4.624731+(-3.539502--1.154385))+0-443.1--0.677943000000026</f>
        <v>4132.168095</v>
      </c>
      <c r="P102" s="3">
        <f>3341.1+(2109.6-730.8)+(0+(0-0))+0-518.4-0</f>
        <v>4201.5</v>
      </c>
      <c r="Q102" s="3">
        <f>3853.9+(1998.9-739.8)+(3.930978+(2.038878-0.754596))+0-665.7-0.679014000000106</f>
        <v>4451.8362459999998</v>
      </c>
      <c r="R102" s="3">
        <f>4635.4+(1632.8-899.8)+(2.364054+(0.832728-0.458898))+0-539.5-0.275144999999945</f>
        <v>4831.3627390000001</v>
      </c>
      <c r="S102" s="3">
        <f>5153.3+(1622.2-937.4)+(2.628183+(0.827322-0.478074))+0-640-0.326399999999935</f>
        <v>5200.7510310000007</v>
      </c>
      <c r="T102" s="3">
        <f>5221.6+(1712.6-1022.6)+(-2.663016+(-0.873426--0.521526))+0-536.3--0.273512999999946</f>
        <v>5372.5585970000002</v>
      </c>
      <c r="U102" s="3">
        <f>5178+(1865.3-1079.1)+(-2.64078+(-0.951303--0.550341))+0-515.6--0.262955999999948</f>
        <v>5445.8212139999987</v>
      </c>
      <c r="V102" s="3">
        <f>4899.9+(1991-920.5)+(2.498949+(1.01541-0.469455))+0-556.8-0.283967999999943</f>
        <v>5416.360936</v>
      </c>
      <c r="W102" s="3">
        <f>4312+(2203.7-755.4)+(-10.9956+(-5.619435--1.92627))+0-580.8--1.48103999999992</f>
        <v>5166.2922749999989</v>
      </c>
      <c r="X102" s="3">
        <f>3277.1+(2884.8-772.9)+(-8.356605+(-7.35624--1.970895))+0-704.2--1.7957099999999</f>
        <v>4672.8537600000009</v>
      </c>
      <c r="Y102" s="3">
        <f>2989.6+(2564.7-752.3)+(-1.524696+(-1.307997--0.383673))+0-591.6--0.30171599999994</f>
        <v>4208.2526959999996</v>
      </c>
      <c r="Z102" s="3">
        <f>3919.5+(1740.1-792.9)+(-3.99789+(-1.774902--0.808758))+0-591--0.602820000000094</f>
        <v>4271.3387860000003</v>
      </c>
      <c r="AA102" s="3">
        <f>4607.5+(1561.8-817.2)+(-11.749125+(-3.98259--2.08386))+0-451.3--1.15081499999993</f>
        <v>4888.30296</v>
      </c>
      <c r="AB102" s="3">
        <f>4941.6+(1561.5-896.7)+(-2.520216+(-0.796365--0.457317))+0-517.9--0.264128999999947</f>
        <v>5085.9048650000013</v>
      </c>
      <c r="AC102" s="3">
        <f>4465.1+(2162.3-787.5)+(-6.831603+(-3.308319--1.204875))+0-582.4--0.891072000000034</f>
        <v>5249.4560250000013</v>
      </c>
      <c r="AD102" s="2">
        <v>5081.7</v>
      </c>
      <c r="AE102" s="3">
        <f>4928+(1479.3-885.6)+(0+(0-0))+0-440-0</f>
        <v>5081.7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3682.9+(2803.2-739.9)+(0+(0-0))+0-396.5-0</f>
        <v>5349.7</v>
      </c>
      <c r="G103" s="3">
        <f>3602.5+(2924.1-688.1)+(-1.837275+(-1.491291--0.350931))+0-540.3--0.275552999999945</f>
        <v>5295.4979179999991</v>
      </c>
      <c r="H103" s="3">
        <f>3529.3+(2834.1-727.8)+(1.799943+(1.445391-0.371178))+0-484.8-0.247247999999951</f>
        <v>5153.4269080000004</v>
      </c>
      <c r="I103" s="3">
        <f>3229.2+(2999.2-724.4)+(0+(0-0))+0-459.4-0</f>
        <v>5044.6000000000004</v>
      </c>
      <c r="J103" s="3">
        <f>3111.7+(3192.9-703.9)+(-3.173934+(-3.256758--0.717978))+0-641.2--0.654024000000102</f>
        <v>4954.4413100000002</v>
      </c>
      <c r="K103" s="3">
        <f>3018.8+(3193.2-744.3)+(-7.69794+(-8.14266--1.897965))+0-640.8--1.63403999999991</f>
        <v>4814.5914049999992</v>
      </c>
      <c r="L103" s="3">
        <f>2982.4+(3005.4-746.5)+(0+(0-0))+0-712.7-0</f>
        <v>4528.6000000000004</v>
      </c>
      <c r="M103" s="3">
        <f>2970.1+(2691.6-715.3)+(3.029502+(2.745432-0.729606))+0-580.5-0.592110000000093</f>
        <v>4370.3532179999993</v>
      </c>
      <c r="N103" s="3">
        <f>3135.4+(2628.5-707.8)+(3.198108+(2.68107-0.721956))+0-691-0.70482000000011</f>
        <v>4369.5524020000003</v>
      </c>
      <c r="O103" s="3">
        <f>3231.8+(2334.4-705)+(0+(0-0))+0-584-0</f>
        <v>4277.2000000000007</v>
      </c>
      <c r="P103" s="3">
        <f>3582.7+(2004.5-744.6)+(5.481531+(3.066885-1.139238))+0-453.4-0.693702000000026</f>
        <v>4395.915476000001</v>
      </c>
      <c r="Q103" s="3">
        <f>4879.5+(1254.9-933.5)+(0+(0-0))+0-495.1-0</f>
        <v>4705.7999999999993</v>
      </c>
      <c r="R103" s="3">
        <f>5679.9+(939.2-980.8)+(-2.896749+(-0.478992--0.500208))+0-471--0.240209999999952</f>
        <v>5164.6646769999988</v>
      </c>
      <c r="S103" s="3">
        <f>5683.9+(1338.3-930.6)+(2.898789+(0.682533-0.474606))+0-552.7-0.281876999999944</f>
        <v>5541.7248389999995</v>
      </c>
      <c r="T103" s="3">
        <f>5952.7+(1504.5-1178.8)+(-6.071754+(-1.53459--1.202376))+0-518.6--0.528972000000083</f>
        <v>5753.9250039999997</v>
      </c>
      <c r="U103" s="3">
        <f>6028.2+(1472.2-1214.8)+(-6.148764+(-1.501644--1.239096))+0-586--0.597720000000093</f>
        <v>5693.7864079999999</v>
      </c>
      <c r="V103" s="3">
        <f>6058.2+(1429.9-1133.8)+(-3.089682+(-0.729249--0.578238))+0-634.5--0.323594999999936</f>
        <v>5716.8829020000003</v>
      </c>
      <c r="W103" s="3">
        <f>5086.4+(1716.6-765.6)+(-10.376256+(-3.501864--1.561824))+0-565--1.15259999999998</f>
        <v>5461.236304</v>
      </c>
      <c r="X103" s="3">
        <f>3631.2+(2508.6-723.4)+(-5.555736+(-3.838158--1.106802))+0-431.8--0.660654000000025</f>
        <v>4976.9735620000001</v>
      </c>
      <c r="Y103" s="3">
        <f>3193.1+(2578.6-762.1)+(-3.256962+(-2.630172--0.777342))+0-547.2--0.558144000000087</f>
        <v>4457.8483520000009</v>
      </c>
      <c r="Z103" s="3">
        <f>3400.9+(2423.9-765.5)+(3.468918+(2.472378-0.78081))+0-539.6-0.550392000000086</f>
        <v>4524.3100939999995</v>
      </c>
      <c r="AA103" s="3">
        <f>4088.5+(2340.7-793.1)+(-8.34054+(-4.775028--1.617924))+0-507--1.03427999999998</f>
        <v>5118.6366360000002</v>
      </c>
      <c r="AB103" s="3">
        <f>4078.9+(2600-798)+(-10.401195+(-6.63--2.0349))+0-592.7--1.51138499999991</f>
        <v>5274.7150899999997</v>
      </c>
      <c r="AC103" s="3">
        <f>4030.3+(2721.2-789.3)+(-8.221812+(-5.551248--1.610172))+0-558.5--1.13933999999998</f>
        <v>5392.6764519999997</v>
      </c>
      <c r="AD103" s="2">
        <v>5191.1000000000004</v>
      </c>
      <c r="AE103" s="3">
        <f>4126+(2410.1-798.2)+(0+(0-0))+0-546.8-0</f>
        <v>5191.0999999999995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4074.1+(2714-775.6)+(0+(0-0))+0-587.8-0</f>
        <v>5424.7</v>
      </c>
      <c r="G104" s="3">
        <f>3836.9+(2846-773.3)+(-11.740914+(-8.70876--2.366298))+0-577.9--1.76837400000007</f>
        <v>5315.3849980000014</v>
      </c>
      <c r="H104" s="3">
        <f>3831.1+(2754.7-778.5)+(-7.815444+(-5.619588--1.58814))+0-637.1--1.29968399999997</f>
        <v>5159.652791999999</v>
      </c>
      <c r="I104" s="3">
        <f>3492.9+(2905-783.4)+(-8.906895+(-7.40775--1.99767))+0-606--1.54529999999991</f>
        <v>4995.728325</v>
      </c>
      <c r="J104" s="3">
        <f>3338.2+(2965.6-757.7)+(-10.214892+(-9.074736--2.318562))+0-617--1.88802000000007</f>
        <v>4914.0169539999997</v>
      </c>
      <c r="K104" s="3">
        <f>3432.2+(2781.7-757.8)+(-7.001688+(-5.674668--1.545912))+0-670.6--1.36802399999997</f>
        <v>4775.7375799999991</v>
      </c>
      <c r="L104" s="3">
        <f>3067.3+(2724.1-743.2)+(-7.821615+(-6.946455--1.89516))+0-597.6--1.52387999999991</f>
        <v>4439.2509699999991</v>
      </c>
      <c r="M104" s="3">
        <f>3280.5+(2353.9-733)+(5.019165+(3.601467-1.12149))+0-610.1-0.933453000000035</f>
        <v>4297.8656889999993</v>
      </c>
      <c r="N104" s="3">
        <f>3086.8+(2485.8-714.2)+(4.722804+(3.803274-1.092726))+0-604.8-0.925344000000035</f>
        <v>4260.1080080000002</v>
      </c>
      <c r="O104" s="3">
        <f>3218.3+(2526.9-736.5)+(3.282666+(2.577438-0.75123))+0-609-0.621180000000097</f>
        <v>4404.1876940000002</v>
      </c>
      <c r="P104" s="3">
        <f>3250.6+(2476.1-718.8)+(0+(0-0))+0-626.4-0</f>
        <v>4381.5</v>
      </c>
      <c r="Q104" s="3">
        <f>4343.4+(1617.2-746.4)+(11.07567+(4.12386-1.90332))+0-597-1.52234999999991</f>
        <v>4628.9738600000001</v>
      </c>
      <c r="R104" s="3">
        <f>5426.6+(1319.3-894.8)+(2.767566+(0.672843-0.456348))+0-648.1-0.330530999999934</f>
        <v>5205.6535300000005</v>
      </c>
      <c r="S104" s="3">
        <f>5378.6+(1608.5-776.2)+(-5.486172+(-1.64067--0.791724))+0-582.7--0.594354000000093</f>
        <v>5622.4592360000006</v>
      </c>
      <c r="T104" s="3">
        <f>5496.9+(1730.4-842.9)+(-5.606838+(-1.765008--0.859758))+0-572.5--0.583950000000091</f>
        <v>5805.9718619999994</v>
      </c>
      <c r="U104" s="3">
        <f>5876.8+(1614.8-997.6)+(-14.98584+(-4.11774--2.54388))+0-689.9--1.7592449999999</f>
        <v>5789.2995450000008</v>
      </c>
      <c r="V104" s="3">
        <f>5274.3+(1840.3-796.8)+(-2.689893+(-0.938553--0.406368))+0-634.2--0.323441999999936</f>
        <v>5680.7013640000005</v>
      </c>
      <c r="W104" s="3">
        <f>4617.9+(2232.5-742.7)+(-9.420516+(-4.5543--1.515108))+0-657.1--1.34048399999997</f>
        <v>5439.4807759999994</v>
      </c>
      <c r="X104" s="3">
        <f>3772.1+(2692.5-737.9)+(-5.771313+(-4.119525--1.128987))+0-704.5--1.07788500000004</f>
        <v>5014.5160339999993</v>
      </c>
      <c r="Y104" s="3">
        <f>3206+(2611.8-715)+(-8.1753+(-6.66009--1.82325))+0-572.9--1.46089499999992</f>
        <v>4518.3487550000009</v>
      </c>
      <c r="Z104" s="3">
        <f>3450.3+(2369.7-721.4)+(0+(0-0))+0-560.2-0</f>
        <v>4538.4000000000005</v>
      </c>
      <c r="AA104" s="3">
        <f>4572.4+(2035.8-739.8)+(-11.65962+(-5.19129--1.88649))+0-761.3--1.94131499999989</f>
        <v>5094.0768949999992</v>
      </c>
      <c r="AB104" s="3">
        <f>4733.9+(1836.1-729.9)+(-4.828578+(-1.872822--0.744498))+0-547.5--0.558450000000087</f>
        <v>5287.201548</v>
      </c>
      <c r="AC104" s="3">
        <f>4730.2+(2119.4-746.1)+(-4.824804+(-2.161788--0.761022))+0-645.3--0.658206000000103</f>
        <v>5452.6326360000003</v>
      </c>
      <c r="AD104" s="2">
        <v>5048.7</v>
      </c>
      <c r="AE104" s="3">
        <f>4719+(1910-793.5)+(0+(0-0))+0-786.8-0</f>
        <v>5048.7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4600.6+(2277.7-735.4)+(-11.73153+(-5.808135--1.87527))+0-670.6--1.7100299999999</f>
        <v>5458.3456349999997</v>
      </c>
      <c r="G105" s="3">
        <f>4199.5+(2530-686.6)+(-8.56698+(-5.1612--1.400664))+0-689--1.40555999999997</f>
        <v>5342.9780439999995</v>
      </c>
      <c r="H105" s="3">
        <f>3376+(3154.9-724.1)+(-5.16528+(-4.826997--1.107873))+0-642.2--0.982566000000037</f>
        <v>5156.6981619999997</v>
      </c>
      <c r="I105" s="3">
        <f>3048.5+(3356.6-737.8)+(-6.21894+(-6.847464--1.505112))+0-668--1.36271999999997</f>
        <v>4989.1014279999999</v>
      </c>
      <c r="J105" s="3">
        <f>2967.2+(3311.2-714.4)+(-7.56636+(-8.44356--1.82172))+0-665.4--1.6967699999999</f>
        <v>4886.1085700000003</v>
      </c>
      <c r="K105" s="3">
        <f>2909.8+(3214-736.6)+(-7.41999+(-8.1957--1.87833))+0-626--1.59629999999991</f>
        <v>4749.0589400000008</v>
      </c>
      <c r="L105" s="3">
        <f>2861.9+(2874.6-728.2)+(-1.459569+(-1.466046--0.371382))+0-621.2--0.316811999999937</f>
        <v>4384.8625789999996</v>
      </c>
      <c r="M105" s="3">
        <f>2974.7+(2521.6-695.3)+(3.034194+(2.572032-0.709206))+0-616.8-0.629136000000098</f>
        <v>4188.4678839999997</v>
      </c>
      <c r="N105" s="3">
        <f>3001.3+(2444.1-688.3)+(0+(0-0))+0-583.7-0</f>
        <v>4173.4000000000005</v>
      </c>
      <c r="O105" s="3">
        <f>2977.8+(2484.3-712.5)+(-7.59339+(-6.334965--1.816875))+0-531.7--1.35583499999992</f>
        <v>4207.1443550000013</v>
      </c>
      <c r="P105" s="3">
        <f>3067.8+(2439.6-707.1)+(0+(0-0))+0-458.4-0</f>
        <v>4341.9000000000005</v>
      </c>
      <c r="Q105" s="3">
        <f>3213.3+(2597.1-667.1)+(-3.277566+(-2.649042--0.680442))+0-445.7--0.454614000000071</f>
        <v>4692.8084480000007</v>
      </c>
      <c r="R105" s="3">
        <f>4219.9+(2048.5-736.8)+(0+(0-0))+0-424.4-0</f>
        <v>5107.2</v>
      </c>
      <c r="S105" s="3">
        <f>4515.2+(2193-686.1)+(-4.605504+(-2.23686--0.699822))+0-500.1--0.51010200000008</f>
        <v>5516.3675600000006</v>
      </c>
      <c r="T105" s="3">
        <f>5056.4+(1954.7-768.6)+(-7.736292+(-2.990691--1.175958))+0-445.9--0.682227000000026</f>
        <v>5787.7312020000008</v>
      </c>
      <c r="U105" s="3">
        <f>5434.1+(1812.9-827.2)+(5.542782+(1.849158-0.843744))+0-570.4-0.581808000000091</f>
        <v>5855.3663880000004</v>
      </c>
      <c r="V105" s="3">
        <f>5731.3+(1541.6-937.8)+(-2.922963+(-0.786216--0.478278))+0-553--0.282029999999944</f>
        <v>5779.1511290000008</v>
      </c>
      <c r="W105" s="3">
        <f>4989.4+(2062.7-748.3)+(-17.812158+(-7.363839--2.671431))+0-577.1--2.06024700000001</f>
        <v>5706.2556809999996</v>
      </c>
      <c r="X105" s="3">
        <f>3692.7+(2684.4-777.7)+(-13.182939+(-9.583308--2.776389))+0-520.9--1.85961300000001</f>
        <v>5060.3697549999997</v>
      </c>
      <c r="Y105" s="3">
        <f>3273.4+(2601.3-733.5)+(-3.338868+(-2.653326--0.74817))+0-610--0.622200000000097</f>
        <v>4526.5781760000009</v>
      </c>
      <c r="Z105" s="3">
        <f>3936.7+(1846.4-707.3)+(0+(0-0))+0-575.3-0</f>
        <v>4500.5</v>
      </c>
      <c r="AA105" s="3">
        <f>4593.4+(1929.9-755.6)+(-4.685268+(-1.968498--0.770712))+0-667.9--0.681258000000107</f>
        <v>5094.5982040000008</v>
      </c>
      <c r="AB105" s="3">
        <f>5293+(1297.4-815.5)+(-5.39886+(-1.323348--0.83181))+0-510.6--0.520812000000081</f>
        <v>5258.9304139999995</v>
      </c>
      <c r="AC105" s="3">
        <f>5340.3+(1432.9-820.4)+(0+(0-0))+0-596.6-0</f>
        <v>5356.2</v>
      </c>
      <c r="AD105" s="2">
        <v>5241</v>
      </c>
      <c r="AE105" s="3">
        <f>5457+(1323.3-820.3)+(0+(0-0))+0-719-0</f>
        <v>5241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4983.4+(1773.1-764.8)+(2.541534+(0.904281-0.390048))+0-574.4-0.292943999999942</f>
        <v>5420.0628230000002</v>
      </c>
      <c r="G106" s="3">
        <f>3640.4+(3093.6-718.4)+(0+(0-0))+0-678.3-0</f>
        <v>5337.3</v>
      </c>
      <c r="H106" s="3">
        <f>3107.5+(3382-752.5)+(0+(0-0))+0-605.6-0</f>
        <v>5131.3999999999996</v>
      </c>
      <c r="I106" s="3">
        <f>2889.5+(3585.1-760.1)+(0+(0-0))+0-702.4-0</f>
        <v>5012.1000000000004</v>
      </c>
      <c r="J106" s="3">
        <f>2845.7+(3417.1-715.6)+(-4.353921+(-5.228163--1.094868))+0-617--0.944010000000036</f>
        <v>4922.6567939999995</v>
      </c>
      <c r="K106" s="3">
        <f>2942+(3259.9-699.9)+(-3.00084+(-3.325098--0.713898))+0-688.3--0.70206600000011</f>
        <v>4808.7900259999997</v>
      </c>
      <c r="L106" s="3">
        <f>2799.1+(2998.1-727.6)+(-5.710164+(-6.116124--1.484304))+0-613--1.25051999999997</f>
        <v>4447.5085360000003</v>
      </c>
      <c r="M106" s="3">
        <f>2763.4+(2856-697.9)+(0+(0-0))+0-665.5-0</f>
        <v>4256</v>
      </c>
      <c r="N106" s="3">
        <f>2893.3+(2486.6-685.9)+(2.951166+(2.536332-0.699618))+0-503.1-0.51316200000008</f>
        <v>4195.1747179999993</v>
      </c>
      <c r="O106" s="3">
        <f>3092.9+(2324-723)+(-6.309516+(-4.74096--1.47492))+0-427.6--0.872303999999981</f>
        <v>4257.596747999999</v>
      </c>
      <c r="P106" s="3">
        <f>4108.6+(1544.3-767.5)+(-2.095386+(-0.787593--0.391425))+0-461.3--0.235262999999953</f>
        <v>4421.8437089999998</v>
      </c>
      <c r="Q106" s="3">
        <f>5204.6+(1179.8-997.1)+(-2.654346+(-0.601698--0.508521))+0-569--0.290189999999942</f>
        <v>4815.8426669999999</v>
      </c>
      <c r="R106" s="3">
        <f>5602.2+(1406.4-1106.2)+(0+(0-0))+0-572.5-0</f>
        <v>5329.9</v>
      </c>
      <c r="S106" s="3">
        <f>5354.1+(1700-881.4)+(-10.922364+(-3.468--1.798056))+0-581.3--1.18585199999997</f>
        <v>5579.9935439999999</v>
      </c>
      <c r="T106" s="3">
        <f>5777.1+(1602.1-1044.5)+(-5.892642+(-1.634142--1.06539))+0-522.9--0.533358000000083</f>
        <v>5805.8719640000008</v>
      </c>
      <c r="U106" s="3">
        <f>5965.1+(1697.1-1232.7)+(-3.042201+(-0.865521--0.628677))+0-586.6--0.29916599999994</f>
        <v>5839.9201209999992</v>
      </c>
      <c r="V106" s="3">
        <f>5696.1+(1545-948.3)+(-2.905011+(-0.78795--0.483633))+0-528.6--0.269585999999946</f>
        <v>5761.2602580000002</v>
      </c>
      <c r="W106" s="3">
        <f>5332+(1647.9-805.6)+(8.15796+(2.521287-1.232568))+0-583.6-0.892908000000034</f>
        <v>5599.2537709999997</v>
      </c>
      <c r="X106" s="3">
        <f>4031+(2582.8-646.4)+(-6.16743+(-3.951684--0.988992))+0-540.2--0.826506000000031</f>
        <v>5418.8963840000006</v>
      </c>
      <c r="Y106" s="3">
        <f>3201.2+(2562.4-627.6)+(3.265224+(2.613648-0.640152))+0-542-0.552840000000086</f>
        <v>4598.68588</v>
      </c>
      <c r="Z106" s="3">
        <f>3564.3+(2232.9-670.9)+(-1.817793+(-1.138779--0.342159))+0-626.1--0.319310999999937</f>
        <v>4497.9048979999998</v>
      </c>
      <c r="AA106" s="3">
        <f>4095.9+(2266.2-691)+(-8.355636+(-4.623048--1.40964))+0-564.1--1.15076399999998</f>
        <v>5096.5817200000001</v>
      </c>
      <c r="AB106" s="3">
        <f>4225.4+(2266.9-684.3)+(-2.154954+(-1.156119--0.348993))+0-556.3--0.283712999999944</f>
        <v>5249.0216329999994</v>
      </c>
      <c r="AC106" s="3">
        <f>4365.3+(2473.9-699.2)+(-4.452606+(-2.523378--0.713184))+0-759.2--0.774384000000121</f>
        <v>5375.311584</v>
      </c>
      <c r="AD106" s="2">
        <v>5047.8999999999996</v>
      </c>
      <c r="AE106" s="3">
        <f>4249+(2164.6-746.6)+(0+(0-0))+0-619.1-0</f>
        <v>5047.8999999999996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3725.8+(2728.9-190.3)+(-9.50079+(-6.958695--0.485265))+0-624.5--1.59247499999991</f>
        <v>5625.518254999999</v>
      </c>
      <c r="G107" s="3">
        <f>3789.6+(2510.1-197.5)+(3.865392+(2.560302-0.20145))+0-739.9-0.754698000000118</f>
        <v>5367.7695460000004</v>
      </c>
      <c r="H107" s="3">
        <f>3225.9+(2773.2-207.8)+(-3.290418+(-2.828664--0.211956))+0-565.2--0.57650400000009</f>
        <v>5220.7693779999991</v>
      </c>
      <c r="I107" s="3">
        <f>3073.3+(2981.7-214.7)+(1.567383+(1.520667-0.109497))+0-729.7-0.372146999999926</f>
        <v>5113.2064060000002</v>
      </c>
      <c r="J107" s="3">
        <f>2956.6+(2855.8-191.2)+(-4.523598+(-4.369374--0.292536))+0-611.2--0.935136000000035</f>
        <v>5002.3347000000012</v>
      </c>
      <c r="K107" s="3">
        <f>2922.4+(2812.7-203.6)+(-4.471272+(-4.303431--0.311508))+0-648.5--0.992205000000038</f>
        <v>4875.5290100000002</v>
      </c>
      <c r="L107" s="3">
        <f>2852.3+(2578.2-373.7)+(-4.364019+(-3.944646--0.571761))+0-684.5--1.04728500000004</f>
        <v>4365.6103809999995</v>
      </c>
      <c r="M107" s="3">
        <f>2961.6+(2435.7-799.8)+(3.020832+(2.484414-0.815796))+0-500.3-0.51030600000008</f>
        <v>4101.3791439999995</v>
      </c>
      <c r="N107" s="3">
        <f>3225+(2374.7-776.7)+(0+(0-0))+0-654.1-0</f>
        <v>4168.8999999999996</v>
      </c>
      <c r="O107" s="3">
        <f>3453.7+(1821.6-634)+(-5.284161+(-2.787048--0.97002))+0-546.6--0.836298000000032</f>
        <v>4088.4351089999996</v>
      </c>
      <c r="P107" s="3">
        <f>4385.3+(1475.3-694.5)+(-6.709509+(-2.257209--1.062585))+0-608.6--0.931158000000035</f>
        <v>4550.5270250000003</v>
      </c>
      <c r="Q107" s="3">
        <f>5107.3+(1255.4-926.4)+(0+(0-0))+0-577.1-0</f>
        <v>4859.2</v>
      </c>
      <c r="R107" s="3">
        <f>5878.5+(1339.2-1347.6)+(5.99607+(1.365984-1.374552))+0-606-0.618120000000097</f>
        <v>5269.4693820000002</v>
      </c>
      <c r="S107" s="3">
        <f>5515.1+(1804.6-988.5)+(-16.876206+(-5.522076--3.02481))+0-592.6--1.81335600000007</f>
        <v>5721.0398839999998</v>
      </c>
      <c r="T107" s="3">
        <f>6088.7+(1568.8-1193.8)+(-3.105237+(-0.800088--0.608838))+0-608.3--0.310232999999938</f>
        <v>5852.4137460000002</v>
      </c>
      <c r="U107" s="3">
        <f>6161.1+(1506.3-1258.8)+(-6.284322+(-1.536426--1.283976))+0-538.2--0.548964000000086</f>
        <v>5864.4121920000007</v>
      </c>
      <c r="V107" s="3">
        <f>5934+(1531.3-1098.7)+(-9.07902+(-2.342889--1.681011))+0-554.1--0.847773000000032</f>
        <v>5803.6068750000004</v>
      </c>
      <c r="W107" s="3">
        <f>4831.7+(2035.4-675.6)+(-9.856668+(-4.152216--1.378224))+0-599--1.22195999999997</f>
        <v>5581.0913</v>
      </c>
      <c r="X107" s="3">
        <f>3235.8+(2972-553.7)+(-13.202064+(-12.12576--2.259096))+0-556.6--2.27092799999995</f>
        <v>5076.7021999999997</v>
      </c>
      <c r="Y107" s="3">
        <f>3025.2+(2691.7-494.6)+(-4.628556+(-4.118301--0.756738))+0-619.3--0.947529000000036</f>
        <v>4595.9574099999991</v>
      </c>
      <c r="Z107" s="3">
        <f>3065.6+(2619.8-513.2)+(-1.563456+(-1.336098--0.261732))+0-595.7--0.30380699999994</f>
        <v>4574.1659850000015</v>
      </c>
      <c r="AA107" s="3">
        <f>3368.4+(2801.6-510)+(-10.307304+(-8.572896--1.5606))+0-594.5--1.81917000000007</f>
        <v>5049.9995699999999</v>
      </c>
      <c r="AB107" s="3">
        <f>3638.4+(2552.4-495.5)+(-7.422336+(-5.206896--1.01082))+0-555--1.13219999999998</f>
        <v>5129.8137880000004</v>
      </c>
      <c r="AC107" s="3">
        <f>4007.3+(2276.9-504.5)+(-6.131169+(-3.483657--0.771885))+0-585--0.895050000000034</f>
        <v>5186.7521090000009</v>
      </c>
      <c r="AD107" s="2">
        <v>4957.4000000000005</v>
      </c>
      <c r="AE107" s="3">
        <f>3425+(2751.5-531.4)+(0+(0-0))+0-687.7-0</f>
        <v>4957.4000000000005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4049.1+(2174.2-521)+(-2.065041+(-1.108842--0.26571))+0-565--0.288149999999943</f>
        <v>5134.6799769999998</v>
      </c>
      <c r="G108" s="3">
        <f>4241.2+(2101.1-501.6)+(2.163012+(1.071561-0.255816))+0-590.9-0.30135899999994</f>
        <v>5252.477398</v>
      </c>
      <c r="H108" s="3">
        <f>4205.5+(2080.3-506.3)+(-6.434415+(-3.182859--0.774639))+0-660--1.00980000000004</f>
        <v>5111.6671649999998</v>
      </c>
      <c r="I108" s="3">
        <f>3933+(2118.4-501.1)+(0+(0-0))+0-582.4-0</f>
        <v>4967.9000000000005</v>
      </c>
      <c r="J108" s="3">
        <f>3585+(2366.1-490.7)+(0+(0-0))+0-625.6-0</f>
        <v>4834.7999999999993</v>
      </c>
      <c r="K108" s="3">
        <f>3065.5+(2706.4-485.4)+(-7.817025+(-6.90132--1.23777))+0-581.3--1.48231499999992</f>
        <v>4693.2017400000004</v>
      </c>
      <c r="L108" s="3">
        <f>3002.3+(2600.7-563.2)+(-10.718211+(-9.284499--2.010624))+0-637.2--2.27480400000001</f>
        <v>4386.8827179999998</v>
      </c>
      <c r="M108" s="3">
        <f>3104.7+(2221.2-591.1)+(0+(0-0))+0-543-0</f>
        <v>4191.7999999999993</v>
      </c>
      <c r="N108" s="3">
        <f>3160.8+(2175.5-612.2)+(0+(0-0))+0-610.8-0</f>
        <v>4113.3</v>
      </c>
      <c r="O108" s="3">
        <f>3339.5+(1818.7-627.1)+(1.703145+(0.927537-0.319821))+0-497.8-0.25387799999995</f>
        <v>4035.3569830000001</v>
      </c>
      <c r="P108" s="3">
        <f>3338.4+(1904.8-596.8)+(0+(0-0))+0-582.9-0</f>
        <v>4063.4999999999995</v>
      </c>
      <c r="Q108" s="3">
        <f>3779.5+(1541.6-580.3)+(3.85509+(1.572432-0.591906))+0-542.4-0.553248000000086</f>
        <v>4202.6823680000007</v>
      </c>
      <c r="R108" s="3">
        <f>4359.3+(1484.5-546.7)+(-2.223243+(-0.757095--0.278817))+0-686.8--0.35026799999993</f>
        <v>4607.9487470000004</v>
      </c>
      <c r="S108" s="3">
        <f>4425+(1689-559.6)+(-2.25675+(-0.86139--0.285396))+0-549.2--0.280091999999944</f>
        <v>5002.6473479999995</v>
      </c>
      <c r="T108" s="3">
        <f>4878.2+(1672.9-576.9)+(-4.975764+(-1.706358--0.588438))+0-708.2--0.722364000000113</f>
        <v>5260.6286799999998</v>
      </c>
      <c r="U108" s="3">
        <f>4912+(1465.9-581)+(0+(0-0))+0-489.9-0</f>
        <v>5307</v>
      </c>
      <c r="V108" s="3">
        <f>5217.7+(1358.5-597.1)+(2.661027+(0.692835-0.304521))+0-696.3-0.355112999999929</f>
        <v>5285.4942279999996</v>
      </c>
      <c r="W108" s="3">
        <f>4521+(1576.2-561.7)+(-13.83426+(-4.823172--1.718802))+0-466.1--1.42626600000005</f>
        <v>5053.8876360000004</v>
      </c>
      <c r="X108" s="3">
        <f>3822.9+(2052.2-584.8)+(-9.748395+(-5.23311--1.49124))+0-652.1--1.66285499999991</f>
        <v>4626.372589999999</v>
      </c>
      <c r="Y108" s="3">
        <f>3417.9+(1905.9-612.8)+(-1.743129+(-0.972009--0.312528))+0-504.4--0.257243999999949</f>
        <v>4204.4546340000006</v>
      </c>
      <c r="Z108" s="3">
        <f>4292.8+(1271.1-706.6)+(2.189328+(0.648261-0.360366))+0-597.1-0.304520999999939</f>
        <v>4262.3727019999997</v>
      </c>
      <c r="AA108" s="3">
        <f>5339.9+(828-870.8)+(-8.170047+(-1.26684--1.332324))+0-592.1--0.905913000000034</f>
        <v>4697.8013499999988</v>
      </c>
      <c r="AB108" s="3">
        <f>5468.7+(824.3-888.6)+(-2.789037+(-0.420393--0.453186))+0-582.5--0.297074999999941</f>
        <v>4819.440830999999</v>
      </c>
      <c r="AC108" s="3">
        <f>5354.4+(877.2-698.5)+(2.730744+(0.447372-0.356235))+0-611.1-0.311660999999938</f>
        <v>4924.5102199999992</v>
      </c>
      <c r="AD108" s="2">
        <v>4692.3999999999996</v>
      </c>
      <c r="AE108" s="3">
        <f>5421+(825.7-909.2)+(0+(0-0))+0-645.1-0</f>
        <v>4692.3999999999996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5276.2+(949.5-643.9)+(5.381724+(0.96849-0.656778))+0-576-0.587520000000092</f>
        <v>5010.9059159999997</v>
      </c>
      <c r="G109" s="3">
        <f>5093+(1164.4-660.4)+(2.59743+(0.593844-0.336804))+0-644.2-0.328541999999935</f>
        <v>4955.3259280000002</v>
      </c>
      <c r="H109" s="3">
        <f>4517.3+(1584.4-668)+(6.911469+(2.424132-1.02204))+0-582.4-0.891072000000034</f>
        <v>4858.7224890000007</v>
      </c>
      <c r="I109" s="3">
        <f>4148.9+(1854.7-645)+(0+(0-0))+0-630.4-0</f>
        <v>4728.2</v>
      </c>
      <c r="J109" s="3">
        <f>3673.5+(2158.9-632.5)+(-3.74697+(-2.202078--0.64515))+0-560.3--0.571506000000089</f>
        <v>4634.8676079999996</v>
      </c>
      <c r="K109" s="3">
        <f>3201.6+(2551.2-640.1)+(-11.429712+(-9.107784--2.285157))+0-591.2--2.11058400000001</f>
        <v>4505.3582450000004</v>
      </c>
      <c r="L109" s="3">
        <f>2907.8+(2512.2-636)+(-4.448934+(-3.843666--0.97308))+0-582.3--0.890919000000034</f>
        <v>4195.2713990000002</v>
      </c>
      <c r="M109" s="3">
        <f>2862+(2353.4-595.6)+(1.45962+(1.200234-0.303756))+0-572.6-0.292025999999942</f>
        <v>4049.2640720000004</v>
      </c>
      <c r="N109" s="3">
        <f>2897.5+(2269.7-584.7)+(-1.477725+(-1.157547--0.298197))+0-607.3--0.309722999999938</f>
        <v>3973.1726479999993</v>
      </c>
      <c r="O109" s="3">
        <f>3002.9+(2000.7-597.8)+(4.594437+(3.061071-0.914634))+0-531.4-0.813042000000031</f>
        <v>3880.3278319999999</v>
      </c>
      <c r="P109" s="3">
        <f>3152.8+(1934.5-605.2)+(1.607928+(0.986595-0.308652))+0-605.4-0.308753999999939</f>
        <v>3878.6771170000002</v>
      </c>
      <c r="Q109" s="3">
        <f>3763.1+(1420-618.9)+(1.919181+(0.7242-0.315639))+0-528.8-0.269687999999946</f>
        <v>4037.4580540000002</v>
      </c>
      <c r="R109" s="3">
        <f>4506.8+(1119.6-637.9)+(4.596936+(1.141992-0.650658))+0-588.2-0.599964000000094</f>
        <v>4404.7883060000004</v>
      </c>
      <c r="S109" s="3">
        <f>4886.9+(1223.1-674.7)+(9.969276+(2.495124-1.376388))+0-561.8-1.14607199999998</f>
        <v>4883.4419399999997</v>
      </c>
      <c r="T109" s="3">
        <f>5273.7+(1240.6-784.2)+(8.068761+(1.898118-1.199826))+0-535.6-0.819468000000031</f>
        <v>5202.447584999999</v>
      </c>
      <c r="U109" s="3">
        <f>5442.5+(1189.9-863.6)+(5.55135+(1.213698-0.880872))+0-493.6-0.503472000000079</f>
        <v>5280.5807039999991</v>
      </c>
      <c r="V109" s="3">
        <f>5544+(1167.5-876.6)+(2.82744+(0.595425-0.447066))+0-564.3-0.287792999999943</f>
        <v>5273.2880059999998</v>
      </c>
      <c r="W109" s="3">
        <f>4934.8+(1517.9-734.1)+(-2.516748+(-0.774129--0.374391))+0-657--0.335069999999933</f>
        <v>5059.0185840000004</v>
      </c>
      <c r="X109" s="3">
        <f>3682.3+(2215.5-701.4)+(-7.511892+(-4.51962--1.430856))+0-615.8--1.25623199999997</f>
        <v>4571.2555759999996</v>
      </c>
      <c r="Y109" s="3">
        <f>3232.4+(2140.1-673.4)+(1.648524+(1.091451-0.343434))+0-616.6-0.314465999999937</f>
        <v>4084.5820750000007</v>
      </c>
      <c r="Z109" s="3">
        <f>3881.2+(1540-708.1)+(-1.979412+(-0.7854--0.361131))+0-617.8--0.315077999999937</f>
        <v>4093.2113969999996</v>
      </c>
      <c r="AA109" s="3">
        <f>5190.8+(1111.4-966.2)+(-5.294616+(-1.133628--0.985524))+0-664.4--0.677688000000106</f>
        <v>4666.8349680000001</v>
      </c>
      <c r="AB109" s="3">
        <f>5117.1+(1132.4-731.7)+(-5.219442+(-1.155048--0.746334))+0-665.7--0.679014000000106</f>
        <v>4847.1508580000009</v>
      </c>
      <c r="AC109" s="3">
        <f>4838.9+(1389.7-695.9)+(-2.467839+(-0.708747--0.354909))+0-547.8--0.279377999999944</f>
        <v>4982.3577009999999</v>
      </c>
      <c r="AD109" s="2">
        <v>4775.5999999999995</v>
      </c>
      <c r="AE109" s="3">
        <f>5254+(1125.8-836.6)+(0+(0-0))+0-767.6-0</f>
        <v>4775.5999999999995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4680.1+(1791.9-694.9)+(-2.386851+(-0.913869--0.354399))+0-714.1--0.364190999999928</f>
        <v>5060.4178699999993</v>
      </c>
      <c r="G110" s="3">
        <f>3938.8+(2365.8-679.6)+(0+(0-0))+0-599.7-0</f>
        <v>5025.3</v>
      </c>
      <c r="H110" s="3">
        <f>3546.3+(2714-658.9)+(-1.808613+(-1.38414--0.336039))+0-690.8--0.35230799999993</f>
        <v>4908.0955939999994</v>
      </c>
      <c r="I110" s="3">
        <f>3147.4+(3039.3-663.5)+(-1.605174+(-1.550043--0.338385))+0-707.7--0.360926999999928</f>
        <v>4813.0440950000002</v>
      </c>
      <c r="J110" s="3">
        <f>3058.2+(2976.5-642.3)+(-3.119364+(-3.03603--0.655146))+0-673.9--0.687378000000107</f>
        <v>4713.6871300000003</v>
      </c>
      <c r="K110" s="3">
        <f>3030.1+(2897-636.8)+(-7.726755+(-7.38735--1.62384))+0-684.2--1.7447099999999</f>
        <v>4594.354444999999</v>
      </c>
      <c r="L110" s="3">
        <f>3009.3+(2618.4-643.5)+(-3.069486+(-2.670768--0.65637))+0-646.2--0.659124000000103</f>
        <v>4333.575240000001</v>
      </c>
      <c r="M110" s="3">
        <f>3070.2+(2415.4-621.9)+(4.697406+(3.695562-0.951507))+0-691-1.05723000000004</f>
        <v>4179.0842309999998</v>
      </c>
      <c r="N110" s="3">
        <f>3123.9+(2254.4-625.3)+(0+(0-0))+0-592.9-0</f>
        <v>4160.1000000000004</v>
      </c>
      <c r="O110" s="3">
        <f>3235.8+(2017.5-650.6)+(3.300516+(2.05785-0.663612))+0-504.8-0.514896000000081</f>
        <v>4102.079858000001</v>
      </c>
      <c r="P110" s="3">
        <f>3900.4+(1598.2-690.6)+(5.967612+(2.445246-1.056618))+0-638.7-0.977211000000037</f>
        <v>4175.6790289999999</v>
      </c>
      <c r="Q110" s="3">
        <f>5096.2+(885.7-1006.5)+(7.797186+(1.355121-1.539945))+0-576.4-0.881892000000033</f>
        <v>4405.7304699999995</v>
      </c>
      <c r="R110" s="3">
        <f>6039.1+(683.7-1367.5)+(12.319764+(1.394748-2.7897))+0-519.4-1.05957599999998</f>
        <v>4845.7652360000011</v>
      </c>
      <c r="S110" s="3">
        <f>6126.4+(992-1155.8)+(3.124464+(0.50592-0.589458))+0-634.2-0.323441999999936</f>
        <v>5331.1174839999994</v>
      </c>
      <c r="T110" s="3">
        <f>6476+(1016.2-1325.2)+(-3.30276+(-0.518262--0.675852))+0-629.9--0.321248999999936</f>
        <v>5534.2760790000002</v>
      </c>
      <c r="U110" s="3">
        <f>6608.7+(1064.9-1411.2)+(0+(0-0))+0-626.1-0</f>
        <v>5636.2999999999993</v>
      </c>
      <c r="V110" s="3">
        <f>6098.7+(1288.8-1298.2)+(-6.220674+(-1.314576--1.324164))+0-498.3--0.508266000000079</f>
        <v>5585.2971799999987</v>
      </c>
      <c r="W110" s="3">
        <f>5244.8+(1556.9-953)+(-8.024544+(-2.382057--1.45809))+0-471.4--0.721242000000027</f>
        <v>5369.0727310000011</v>
      </c>
      <c r="X110" s="3">
        <f>3696+(2308.1-667.3)+(-9.4248+(-5.885655--1.701615))+0-479.5--1.22272499999993</f>
        <v>4844.9138849999999</v>
      </c>
      <c r="Y110" s="3">
        <f>3093.2+(2418.4-653.4)+(-4.732596+(-3.700152--0.999702))+0-516.6--0.79039800000003</f>
        <v>4334.9573519999994</v>
      </c>
      <c r="Z110" s="3">
        <f>3484.5+(2160-677.1)+(3.55419+(2.2032-0.690642))+0-635.6-0.648312000000101</f>
        <v>4336.2184359999992</v>
      </c>
      <c r="AA110" s="3">
        <f>4551.7+(1573.5-733.9)+(-6.964101+(-2.407455--1.122867))+0-497.2--0.760716000000029</f>
        <v>4886.6120270000001</v>
      </c>
      <c r="AB110" s="3">
        <f>4366.9+(2050.6-681.5)+(-6.681357+(-3.137418--1.042695))+0-685.6--1.04896800000004</f>
        <v>5042.6728880000001</v>
      </c>
      <c r="AC110" s="3">
        <f>3845.1+(2666.2-677.1)+(-3.922002+(-2.719524--0.690642))+0-638.9--0.651678000000102</f>
        <v>5190.0007940000005</v>
      </c>
      <c r="AD110" s="2">
        <v>4907.7000000000007</v>
      </c>
      <c r="AE110" s="3">
        <f>4719+(1532.1-769.4)+(0+(0-0))+0-574-0</f>
        <v>4907.7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3551.1+(2971.4-664)+(-3.622122+(-3.030828--0.67728))+0-625.7--0.6382140000001</f>
        <v>5227.4625440000009</v>
      </c>
      <c r="G111" s="3">
        <f>3228.5+(3248.1-658.4)+(-3.29307+(-3.313062--0.671568))+0-678--0.691560000000108</f>
        <v>5134.9569959999999</v>
      </c>
      <c r="H111" s="3">
        <f>2952+(3335.8-625.5)+(-4.51656+(-5.103774--0.957015))+0-661.8--1.01255400000004</f>
        <v>4992.8492349999997</v>
      </c>
      <c r="I111" s="3">
        <f>2871.4+(3231.6-609.1)+(-8.786484+(-9.888696--1.863846))+0-612.5--1.87425000000007</f>
        <v>4866.4629159999995</v>
      </c>
      <c r="J111" s="3">
        <f>2906.8+(3113.2-625.9)+(-7.41234+(-7.93866--1.596045))+0-639.5--1.63072499999991</f>
        <v>4742.47577</v>
      </c>
      <c r="K111" s="3">
        <f>2843.6+(3060.5-654.8)+(-13.052124+(-14.047695--3.005532))+0-608.4--2.79255600000011</f>
        <v>4619.5982690000001</v>
      </c>
      <c r="L111" s="3">
        <f>2940.2+(2678.5-646.6)+(0+(0-0))+0-661.7-0</f>
        <v>4310.4000000000005</v>
      </c>
      <c r="M111" s="3">
        <f>3021.2+(2199.8-622.5)+(1.540812+(1.121898-0.317475))+0-484.5-0.247094999999951</f>
        <v>4116.0981400000001</v>
      </c>
      <c r="N111" s="3">
        <f>3202.6+(2115.7-636.7)+(3.266652+(2.158014-0.649434))+0-660.2-0.673404000000105</f>
        <v>4025.5018279999995</v>
      </c>
      <c r="O111" s="3">
        <f>3264+(1911.6-639.7)+(1.66464+(0.974916-0.326247))+0-542.1-0.276470999999945</f>
        <v>3995.8368379999997</v>
      </c>
      <c r="P111" s="3">
        <f>3737.2+(1567-630.3)+(1.905972+(0.79917-0.321453))+0-554-0.282539999999944</f>
        <v>4122.0011489999997</v>
      </c>
      <c r="Q111" s="3">
        <f>4463+(1247-679.6)+(2.27613+(0.63597-0.346596))+0-628.5-0.320534999999936</f>
        <v>4404.1449689999999</v>
      </c>
      <c r="R111" s="3">
        <f>5456.3+(1026.6-1096.2)+(0+(0-0))+0-544.6-0</f>
        <v>4842.0999999999995</v>
      </c>
      <c r="S111" s="3">
        <f>5893.4+(1002.5-948.1)+(-3.005634+(-0.511275--0.483531))+0-651.9--0.332468999999934</f>
        <v>5293.1990909999995</v>
      </c>
      <c r="T111" s="3">
        <f>6229.3+(1043.6-1159.5)+(6.353886+(1.064472-1.18269))+0-559.2-0.570384000000089</f>
        <v>5559.8652840000004</v>
      </c>
      <c r="U111" s="3">
        <f>6343.3+(1098.6-1208.5)+(0+(0-0))+0-622.2-0</f>
        <v>5611.2</v>
      </c>
      <c r="V111" s="3">
        <f>5774.7+(1392.6-1124.7)+(0+(0-0))+0-487.4-0</f>
        <v>5555.2</v>
      </c>
      <c r="W111" s="3">
        <f>5341.2+(1652.2-1068.3)+(-16.344072+(-5.055732--3.268998))+0-600.8--1.83844800000007</f>
        <v>5308.0076420000005</v>
      </c>
      <c r="X111" s="3">
        <f>4069.7+(2013.9-735.6)+(-18.679923+(-9.243801--3.376404))+0-561.7--2.5782030000001</f>
        <v>4764.3308830000005</v>
      </c>
      <c r="Y111" s="3">
        <f>3659+(1940.3-730)+(-3.73218+(-1.979106--0.7446))+0-578.1--0.589662000000092</f>
        <v>4286.8229760000004</v>
      </c>
      <c r="Z111" s="3">
        <f>4530.1+(1199-857.8)+(0+(0-0))+0-579.8-0</f>
        <v>4291.5</v>
      </c>
      <c r="AA111" s="3">
        <f>5203.4+(1124.4-957.2)+(-5.307468+(-1.146888--0.976344))+0-521.2--0.531624000000083</f>
        <v>4844.4536120000002</v>
      </c>
      <c r="AB111" s="3">
        <f>4784+(1630-666.5)+(-9.75936+(-3.3252--1.35966))+0-749.5--1.52897999999997</f>
        <v>4987.8040799999999</v>
      </c>
      <c r="AC111" s="3">
        <f>4264.7+(2130.5-686)+(-4.349994+(-2.17311--0.69972))+0-611--0.623220000000097</f>
        <v>5092.999836</v>
      </c>
      <c r="AD111" s="2">
        <v>4889.6000000000004</v>
      </c>
      <c r="AE111" s="3">
        <f>5345+(1111.8-988.2)+(0+(0-0))+0-579-0</f>
        <v>4889.6000000000004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4002.1+(2471.9-568.8)+(-4.082142+(-2.521338--0.580176))+0-716.4--0.730728000000114</f>
        <v>5183.5074240000004</v>
      </c>
      <c r="G112" s="3">
        <f>3436.4+(2929.6-562.5)+(-5.257692+(-4.482288--0.860625))+0-679.7--1.03994100000004</f>
        <v>5115.9605860000001</v>
      </c>
      <c r="H112" s="3">
        <f>3178.1+(2980.1-556.6)+(-8.104155+(-7.599255--1.41933))+0-593.3--1.51291499999991</f>
        <v>4995.5288350000001</v>
      </c>
      <c r="I112" s="3">
        <f>3295.1+(2841.1-543)+(1.680501+(1.448961-0.27693))+0-740-0.377399999999925</f>
        <v>4855.6751319999994</v>
      </c>
      <c r="J112" s="3">
        <f>3336.5+(2545.9-526.5)+(-1.701615+(-1.298409--0.268515))+0-615.3--0.313802999999938</f>
        <v>4738.1822939999993</v>
      </c>
      <c r="K112" s="3">
        <f>3043.2+(2699.8-543.8)+(-4.656096+(-4.130694--0.832014))+0-587.6--0.899028000000034</f>
        <v>4604.5442519999997</v>
      </c>
      <c r="L112" s="3">
        <f>2843.9+(2530.5-540.7)+(0+(0-0))+0-575.1-0</f>
        <v>4258.5999999999995</v>
      </c>
      <c r="M112" s="3">
        <f>3004.8+(2263.2-560.8)+(-1.532448+(-1.154232--0.286008))+0-655.2--0.334151999999934</f>
        <v>4049.9334800000001</v>
      </c>
      <c r="N112" s="3">
        <f>3041+(2206.1-636.1)+(6.20364+(4.500444-1.297644))+0-574.4-1.17177599999997</f>
        <v>4044.8346639999995</v>
      </c>
      <c r="O112" s="3">
        <f>3698.6+(1773-671.8)+(-3.772572+(-1.80846--0.685236))+0-649--0.661980000000103</f>
        <v>4146.5661840000002</v>
      </c>
      <c r="P112" s="3">
        <f>4055.8+(1354.5-721.5)+(-2.068458+(-0.690795--0.367965))+0-504--0.257039999999949</f>
        <v>4182.6657519999999</v>
      </c>
      <c r="Q112" s="3">
        <f>4882.9+(1011.2-958.2)+(9.961116+(2.062848-1.954728))+0-466.6-0.95186399999998</f>
        <v>4478.4173719999999</v>
      </c>
      <c r="R112" s="3">
        <f>5395.9+(1249.9-1211.2)+(5.503818+(1.274898-1.235424))+0-571.5-0.582930000000091</f>
        <v>4868.0603619999993</v>
      </c>
      <c r="S112" s="3">
        <f>5536.6+(1330.1-1052.5)+(2.823666+(0.678351-0.536775))+0-562-0.286619999999943</f>
        <v>5254.8786220000011</v>
      </c>
      <c r="T112" s="3">
        <f>6024.2+(1373.5-1302.7)+(-3.072342+(-0.700485--0.664377))+0-584.8--0.298247999999941</f>
        <v>5507.3897980000002</v>
      </c>
      <c r="U112" s="3">
        <f>6183.4+(1369.9-1340.8)+(0+(0-0))+0-545.8-0</f>
        <v>5666.7</v>
      </c>
      <c r="V112" s="3">
        <f>6092.2+(1401-1323.9)+(3.107022+(0.71451-0.675189))+0-644.6-0.328745999999935</f>
        <v>5527.5175969999991</v>
      </c>
      <c r="W112" s="3">
        <f>5426.3+(1341.3-995.1)+(0+(0-0))+0-528.1-0</f>
        <v>5244.4</v>
      </c>
      <c r="X112" s="3">
        <f>3748.8+(2294.2-669.3)+(-3.823776+(-2.340084--0.682686))+0-637.9--0.650658000000102</f>
        <v>4730.9694840000011</v>
      </c>
      <c r="Y112" s="3">
        <f>3258.8+(2203.2-643.1)+(6.647952+(4.494528-1.311924))+0-570.9-1.16463599999998</f>
        <v>4256.6659199999995</v>
      </c>
      <c r="Z112" s="3">
        <f>3708.3+(2191.3-690.6)+(5.673699+(3.352689-1.056618))+0-625.6-0.957168000000036</f>
        <v>4590.4126019999994</v>
      </c>
      <c r="AA112" s="3">
        <f>4705.9+(1505-748.7)+(-9.600036+(-3.0702--1.527348))+0-555.6--1.13342399999998</f>
        <v>4896.5905359999988</v>
      </c>
      <c r="AB112" s="3">
        <f>4877.4+(1469.9-727.2)+(-7.462422+(-2.248947--1.112616))+0-555.6--0.850068000000032</f>
        <v>5056.7513149999986</v>
      </c>
      <c r="AC112" s="3">
        <f>4683.9+(1805.2-615.2)+(-2.388789+(-0.920652--0.313752))+0-623.7--0.318086999999937</f>
        <v>5247.5223979999992</v>
      </c>
      <c r="AD112" s="2">
        <v>4968.9000000000005</v>
      </c>
      <c r="AE112" s="3">
        <f>4863+(1428.1-786.5)+(0+(0-0))+0-535.7-0</f>
        <v>4968.9000000000005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4364+(2127.1-635.1)+(-6.67692+(-3.254463--0.971703))+0-619.6--0.947988000000036</f>
        <v>5228.3883079999996</v>
      </c>
      <c r="G113" s="3">
        <f>3584.2+(2856.9-664.2)+(-9.13971+(-7.285095--1.69371))+0-626.1--1.59655499999991</f>
        <v>5137.6654599999993</v>
      </c>
      <c r="H113" s="3">
        <f>3431.4+(2833.5-692.7)+(-7.000056+(-5.78034--1.413108))+0-582.8--1.18891199999997</f>
        <v>4979.2216239999998</v>
      </c>
      <c r="I113" s="3">
        <f>3206.9+(2994-691.4)+(-8.177595+(-7.6347--1.76307))+0-635.5--1.62052499999991</f>
        <v>4861.5713000000005</v>
      </c>
      <c r="J113" s="3">
        <f>3057.9+(2955.4-680.1)+(-1.559529+(-1.507254--0.346851))+0-568.3--0.289832999999942</f>
        <v>4762.4699010000004</v>
      </c>
      <c r="K113" s="3">
        <f>2971.8+(2940.4-658.8)+(0+(0-0))+0-605.5-0</f>
        <v>4647.9000000000005</v>
      </c>
      <c r="L113" s="3">
        <f>2946.5+(2673.2-641.2)+(-4.508145+(-4.089996--0.981036))+0-665.4--1.01806200000004</f>
        <v>4306.5009570000002</v>
      </c>
      <c r="M113" s="3">
        <f>3106.2+(2225.6-616.8)+(4.752486+(3.405168-0.943704))+0-597.9-0.914787000000035</f>
        <v>4123.399163000001</v>
      </c>
      <c r="N113" s="3">
        <f>3093.9+(2220.5-642.1)+(0+(0-0))+0-587.5-0</f>
        <v>4084.8</v>
      </c>
      <c r="O113" s="3">
        <f>3417+(1805.7-505.5)+(0+(0-0))+0-512.6-0</f>
        <v>4204.5999999999995</v>
      </c>
      <c r="P113" s="3">
        <f>4192.6+(1040.5-486.8)+(0+(0-0))+0-487.6-0</f>
        <v>4258.7</v>
      </c>
      <c r="Q113" s="3">
        <f>4914.7+(908.7-708.8)+(5.012994+(0.926874-0.722976))+0-597.6-0.609552000000095</f>
        <v>4521.6073400000005</v>
      </c>
      <c r="R113" s="3">
        <f>5567.7+(775.1-931.3)+(5.679054+(0.790602-0.949926))+0-517.4-0.527748000000082</f>
        <v>4899.0919819999999</v>
      </c>
      <c r="S113" s="3">
        <f>5753.6+(929.6-708.8)+(-8.803008+(-1.422288--1.084464))+0-614.9--0.940797000000036</f>
        <v>5351.2999650000011</v>
      </c>
      <c r="T113" s="3">
        <f>5905.9+(1194-808.4)+(-6.024018+(-1.21788--0.824568))+0-687.6--0.70135200000011</f>
        <v>5598.1840219999995</v>
      </c>
      <c r="U113" s="3">
        <f>6005.4+(1135.2-924.7)+(-12.251016+(-2.315808--1.886388))+0-578.7--1.18054799999997</f>
        <v>5625.7001120000004</v>
      </c>
      <c r="V113" s="3">
        <f>5993.4+(1142.1-864.6)+(-3.056634+(-0.582471--0.440946))+0-684.9--0.349298999999931</f>
        <v>5583.1511399999999</v>
      </c>
      <c r="W113" s="3">
        <f>5040.8+(1465.8-495.2)+(-7.712424+(-2.242674--0.757656))+0-649.4--0.993582000000037</f>
        <v>5353.7961400000004</v>
      </c>
      <c r="X113" s="3">
        <f>3713.8+(2057.5-238.1)+(-9.47019+(-5.246625--0.607155))+0-650.2--1.65800999999991</f>
        <v>4870.5483500000009</v>
      </c>
      <c r="Y113" s="3">
        <f>3220.2+(2031.9-231.4)+(0+(0-0))+0-641.2-0</f>
        <v>4379.5</v>
      </c>
      <c r="Z113" s="3">
        <f>3595.4+(1965.7-606.1)+(0+(0-0))+0-557.7-0</f>
        <v>4397.3</v>
      </c>
      <c r="AA113" s="3">
        <f>4742+(1528.6-692.4)+(-7.25526+(-2.338758--1.059372))+0-615.1--0.941103000000036</f>
        <v>4955.5064569999995</v>
      </c>
      <c r="AB113" s="3">
        <f>4834+(1609.7-682)+(-7.39602+(-2.462841--1.04346))+0-659--1.00827000000004</f>
        <v>5094.8928690000002</v>
      </c>
      <c r="AC113" s="3">
        <f>4740+(1788.9-666)+(-4.8348+(-1.824678--0.67932))+0-668.6--0.681972000000107</f>
        <v>5189.0018139999993</v>
      </c>
      <c r="AD113" s="2">
        <v>4975.7</v>
      </c>
      <c r="AE113" s="3">
        <f>4817+(1475.8-709.8)+(0+(0-0))+0-607.3-0</f>
        <v>4975.7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4341.4+(2186.9-653.9)+(-2.214114+(-1.115319--0.333489))+0-623.1--0.317780999999937</f>
        <v>5248.6218369999988</v>
      </c>
      <c r="G114" s="3">
        <f>3383.1+(3102.9-634.2)+(-6.901524+(-6.329916--1.293768))+0-673.5--1.37393999999997</f>
        <v>5167.7362679999997</v>
      </c>
      <c r="H114" s="3">
        <f>3079.7+(3252.9-619.4)+(-1.570647+(-1.658979--0.315894))+0-656.1--0.334610999999933</f>
        <v>5054.5208789999997</v>
      </c>
      <c r="I114" s="3">
        <f>3048+(3202.8-629.6)+(-4.66344+(-4.900284--0.963288))+0-697.5--1.06717500000004</f>
        <v>4916.1667390000011</v>
      </c>
      <c r="J114" s="3">
        <f>3150+(2943-652.2)+(-3.213+(-3.00186--0.665244))+0-632.1--0.644742000000101</f>
        <v>4803.795126</v>
      </c>
      <c r="K114" s="3">
        <f>3059.7+(2924.2-648.2)+(-9.362682+(-8.948052--1.983492))+0-674.8--2.06488800000008</f>
        <v>4646.6376459999992</v>
      </c>
      <c r="L114" s="3">
        <f>2917.6+(2591.1-603.9)+(0+(0-0))+0-572.7-0</f>
        <v>4332.0999999999995</v>
      </c>
      <c r="M114" s="3">
        <f>2946.2+(2256.3-347)+(1.502562+(1.150713-0.17697))+0-703.3-0.358682999999929</f>
        <v>4154.3176219999996</v>
      </c>
      <c r="N114" s="3">
        <f>3107.9+(1786.7-240.5)+(3.170058+(1.822434-0.24531))+0-554-0.565080000000088</f>
        <v>4104.2821020000001</v>
      </c>
      <c r="O114" s="3">
        <f>3196.8+(1952.8-289.2)+(0+(0-0))+0-529.3-0</f>
        <v>4331.0999999999995</v>
      </c>
      <c r="P114" s="3">
        <f>3627.3+(1678.9-292)+(5.549769+(2.568717-0.44676))+0-692.5-1.05952500000004</f>
        <v>4328.3122010000006</v>
      </c>
      <c r="Q114" s="3">
        <f>4684.2+(1087.6-654.9)+(-4.777884+(-1.109352--0.667998))+0-518.2--0.528564000000083</f>
        <v>4594.0093260000003</v>
      </c>
      <c r="R114" s="3">
        <f>5739+(889.8-1020.7)+(2.92689+(0.453798-0.520557))+7.5-542.1-0.276470999999945</f>
        <v>5076.0836600000002</v>
      </c>
      <c r="S114" s="3">
        <f>5971.2+(989.5-896.7)+(-15.22656+(-2.523225--2.286585))+44.8-673.9--1.7184449999999</f>
        <v>5421.1552449999999</v>
      </c>
      <c r="T114" s="3">
        <f>6277.7+(965.6-889.4)+(-6.403254+(-0.984912--0.907188))+0-640.9--0.653718000000102</f>
        <v>5707.1727400000009</v>
      </c>
      <c r="U114" s="3">
        <f>6266+(1159.9-998.2)+(-3.19566+(-0.591549--0.509082))+0-685.9--0.34980899999993</f>
        <v>5738.8716820000009</v>
      </c>
      <c r="V114" s="3">
        <f>5959.1+(1230.3-884.3)+(3.039141+(0.627453-0.450993))+0-615.5-0.313904999999938</f>
        <v>5692.5016960000003</v>
      </c>
      <c r="W114" s="3">
        <f>5164.4+(1513.9-509.6)+(-2.633844+(-0.772089--0.259896))+0-722.8--0.368627999999927</f>
        <v>5443.1225909999994</v>
      </c>
      <c r="X114" s="3">
        <f>3542.3+(2397.8-269.6)+(-3.613146+(-2.445756--0.274992))+0-643.3--0.656166000000103</f>
        <v>5022.0722559999995</v>
      </c>
      <c r="Y114" s="3">
        <f>2980.2+(2389.7-238)+(-6.079608+(-4.874988--0.48552))+0-638--1.30151999999997</f>
        <v>4484.7324439999993</v>
      </c>
      <c r="Z114" s="3">
        <f>3447.6+(2108.3-408.2)+(7.033104+(4.300932-0.832728))+0-610.2-1.24480799999997</f>
        <v>4546.7564999999995</v>
      </c>
      <c r="AA114" s="3">
        <f>4590+(1663.9-507.2)+(-4.6818+(-1.697178--0.517344))+0-625.5--0.6380100000001</f>
        <v>5115.9763759999996</v>
      </c>
      <c r="AB114" s="3">
        <f>4592.7+(1931.2-583.1)+(-9.369108+(-3.939648--1.189524))+0-693--1.41371999999997</f>
        <v>5237.0944879999988</v>
      </c>
      <c r="AC114" s="3">
        <f>4441.2+(2269.5-727.1)+(2.265012+(1.157445-0.370821))+0-651.4-0.332213999999934</f>
        <v>5334.9194220000008</v>
      </c>
      <c r="AD114" s="2">
        <v>5169.2</v>
      </c>
      <c r="AE114" s="3">
        <f>4932+(1520.4-571.4)+(0+(0-0))+0-711.8-0</f>
        <v>5169.2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4255.3+(2460.9-665.4)+(-2.170203+(-1.255059--0.339354))+0-668.7--0.341036999999932</f>
        <v>5379.3551290000005</v>
      </c>
      <c r="G115" s="3">
        <f>3566.1+(2982.1-657.4)+(-1.818711+(-1.520871--0.335274))+0-617.8--0.315077999999937</f>
        <v>5270.3107699999991</v>
      </c>
      <c r="H115" s="3">
        <f>3221.6+(3217.2-673.9)+(-3.286032+(-3.281544--0.687378))+0-622--0.634440000000099</f>
        <v>5137.6542419999996</v>
      </c>
      <c r="I115" s="3">
        <f>2958.6+(3356.8-678.5)+(-4.526658+(-5.135904--1.038105))+0-630.5--0.964665000000036</f>
        <v>4998.7402080000002</v>
      </c>
      <c r="J115" s="3">
        <f>2869.7+(3260.5-673.4)+(-2.927094+(-3.32571--0.686868))+0-549.2--0.560184000000088</f>
        <v>4902.5942479999994</v>
      </c>
      <c r="K115" s="3">
        <f>2716.4+(3341-667)+(-2.770728+(-3.40782--0.68034))+0-605--0.617100000000096</f>
        <v>4780.5188920000001</v>
      </c>
      <c r="L115" s="3">
        <f>2682+(3093.2-642)+(1.36782+(1.577532-0.32742))+0-619.5-0.315944999999937</f>
        <v>4516.0019869999996</v>
      </c>
      <c r="M115" s="3">
        <f>2985+(2543.3-630.2)+(4.56705+(3.891249-0.964206))+0-617.1-0.944163000000036</f>
        <v>4287.5499300000001</v>
      </c>
      <c r="N115" s="3">
        <f>3051.4+(2394.2-626.6)+(-1.556214+(-1.221042--0.319566))+0-587.6--0.29967599999994</f>
        <v>4229.2419859999991</v>
      </c>
      <c r="O115" s="3">
        <f>3166.7+(2359.9-654)+(6.460068+(4.814196-1.33416))+0-587-1.19747999999997</f>
        <v>4294.3426240000008</v>
      </c>
      <c r="P115" s="3">
        <f>4187.1+(1452.4-716.4)+(0+(0-0))+0-605.7-0</f>
        <v>4317.4000000000005</v>
      </c>
      <c r="Q115" s="3">
        <f>5052.6+(1134-1137.6)+(10.307304+(2.31336-2.320704))+0-426.2-0.869447999999981</f>
        <v>4632.2305120000001</v>
      </c>
      <c r="R115" s="3">
        <f>6271.8+(991.8-1656.1)+(-3.198618+(-0.505818--0.844611))+0-542.6--0.276725999999945</f>
        <v>5062.3169010000001</v>
      </c>
      <c r="S115" s="3">
        <f>6019.5+(1198.2-1237.4)+(-6.13989+(-1.222164--1.262148))+0-634.2--0.646884000000101</f>
        <v>5340.6469779999998</v>
      </c>
      <c r="T115" s="3">
        <f>6317.6+(1313.9-1242.4)+(6.443952+(1.340178-1.267248))+0-705.8-0.719916000000112</f>
        <v>5689.0969660000001</v>
      </c>
      <c r="U115" s="3">
        <f>6133.1+(1401.2-1108.3)+(-3.127881+(-0.714612--0.565233))+0-657.1--0.335120999999933</f>
        <v>5765.9578609999999</v>
      </c>
      <c r="V115" s="3">
        <f>5666+(1770.8-1008.7)+(-5.77932+(-1.806216--1.028874))+0-708.5--0.722670000000113</f>
        <v>5713.7660080000005</v>
      </c>
      <c r="W115" s="3">
        <f>4896.3+(2052.3-851.4)+(2.497113+(1.046673-0.434214))+0-630.5-0.321554999999936</f>
        <v>5469.4880170000015</v>
      </c>
      <c r="X115" s="3">
        <f>3923.4+(2384.6-635.5)+(-6.002802+(-3.648438--0.972315))+0-675--1.03275000000004</f>
        <v>4989.8538250000001</v>
      </c>
      <c r="Y115" s="3">
        <f>2994.1+(2766.2-636.1)+(-6.107964+(-5.643048--1.297644))+0-614.4--1.25337599999997</f>
        <v>4500.6000079999994</v>
      </c>
      <c r="Z115" s="3">
        <f>3619.9+(2220.8-681.5)+(1.846149+(1.132608-0.347565))+0-605.2-0.308651999999939</f>
        <v>4556.322540000001</v>
      </c>
      <c r="AA115" s="3">
        <f>4327.3+(2136.5-699)+(-6.620769+(-3.268845--1.06947))+0-672.8--1.02938400000004</f>
        <v>5084.2092400000001</v>
      </c>
      <c r="AB115" s="3">
        <f>4043.2+(2456.6-661.7)+(-4.124064+(-2.505732--0.674934))+0-653.1--0.666162000000104</f>
        <v>5179.7112999999999</v>
      </c>
      <c r="AC115" s="3">
        <f>3542.8+(2935.4-633)+(-5.420484+(-4.491162--0.96849))+0-627.3--0.959769000000036</f>
        <v>5209.9166130000003</v>
      </c>
      <c r="AD115" s="2">
        <v>5137.5</v>
      </c>
      <c r="AE115" s="3">
        <f>4290+(2214.8-709)+(0+(0-0))+0-658.3-0</f>
        <v>5137.5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3471.6+(3083.8-633.3)+(5.311548+(4.718214-0.968949))+0-605.8-0.926874000000035</f>
        <v>5324.4339390000005</v>
      </c>
      <c r="G116" s="3">
        <f>3595.2+(2929.6-661.1)+(0+(0-0))+0-595.5-0</f>
        <v>5268.2</v>
      </c>
      <c r="H116" s="3">
        <f>3511.8+(2932.8-674.7)+(3.582036+(2.991456-0.688194))+0-596.1-0.608022000000095</f>
        <v>5179.077276</v>
      </c>
      <c r="I116" s="3">
        <f>3343.2+(3036.5-657.3)+(-3.410064+(-3.09723--0.670446))+0-671.8--0.685236000000107</f>
        <v>5045.4483879999998</v>
      </c>
      <c r="J116" s="3">
        <f>2866.2+(3334.2-655.7)+(-1.461762+(-1.700442--0.334407))+0-602.5--0.307274999999939</f>
        <v>4939.679478</v>
      </c>
      <c r="K116" s="3">
        <f>2770.1+(3320.9-654)+(-7.063755+(-8.468295--1.6677))+0-600.3--1.53076499999991</f>
        <v>4824.3664149999995</v>
      </c>
      <c r="L116" s="3">
        <f>2594.8+(3255.5-652.4)+(-5.293392+(-6.64122--1.330896))+0-621.1--1.26704399999997</f>
        <v>4567.4633279999998</v>
      </c>
      <c r="M116" s="3">
        <f>2644.4+(2968.7-633.7)+(-1.348644+(-1.514037--0.323187))+0-631.3--0.321962999999936</f>
        <v>4345.8824690000001</v>
      </c>
      <c r="N116" s="3">
        <f>2851.3+(2688.9-657.3)+(-2.908326+(-2.742678--0.670446))+0-625.6--0.6381120000001</f>
        <v>4252.9575540000005</v>
      </c>
      <c r="O116" s="3">
        <f>2761+(2778.8-675.7)+(-2.81622+(-2.834376--0.689214))+0-600.7--0.612714000000096</f>
        <v>4259.051332</v>
      </c>
      <c r="P116" s="3">
        <f>2803.3+(2774.1-662.3)+(-1.429683+(-1.414791--0.337773))+0-643.9--0.328388999999935</f>
        <v>4269.0216880000007</v>
      </c>
      <c r="Q116" s="3">
        <f>3474.6+(2367.5-659.7)+(-1.772046+(-1.207425--0.336447))+0-650.4--0.331703999999934</f>
        <v>4529.6886800000002</v>
      </c>
      <c r="R116" s="3">
        <f>4077.7+(2041.6-666.9)+(0+(0-0))+0-524.1-0</f>
        <v>4928.2999999999993</v>
      </c>
      <c r="S116" s="3">
        <f>4671.9+(1924.6-681.1)+(-4.765338+(-1.963092--0.694722))+0-606.9--0.619038000000097</f>
        <v>5303.0853299999999</v>
      </c>
      <c r="T116" s="3">
        <f>4888.7+(1849.1-693.8)+(4.986474+(1.886082-0.707676))+0-534.5-0.545190000000085</f>
        <v>5515.1196900000004</v>
      </c>
      <c r="U116" s="3">
        <f>5224.7+(1765.9-693.3)+(-5.329194+(-1.801218--0.707166))+0-731.6--0.746232000000117</f>
        <v>5560.0229859999999</v>
      </c>
      <c r="V116" s="3">
        <f>5165.5+(1724.6-695.7)+(-10.53762+(-3.518184--1.419228))+0-634.1--1.29356399999997</f>
        <v>5548.956987999999</v>
      </c>
      <c r="W116" s="3">
        <f>4714.1+(2014.9-686.1)+(-4.808382+(-2.055198--0.699822))+0-654.3--0.667386000000104</f>
        <v>5383.1036280000008</v>
      </c>
      <c r="X116" s="3">
        <f>3515.2+(2761-651.8)+(-5.378256+(-4.22433--0.997254))+0-667.9--1.02188700000004</f>
        <v>4948.9165549999998</v>
      </c>
      <c r="Y116" s="3">
        <f>3010+(2678.9-656.7)+(-1.5351+(-1.366239--0.334917))+0-573.4--0.292433999999942</f>
        <v>4456.5260120000003</v>
      </c>
      <c r="Z116" s="3">
        <f>3443.4+(2346.6-714.1)+(0+(0-0))+0-569.7-0</f>
        <v>4506.2</v>
      </c>
      <c r="AA116" s="3">
        <f>4078.5+(2333.5-705.9)+(6.240105+(3.570255-1.080027))+0-585.1-0.895203000000034</f>
        <v>5128.8351300000004</v>
      </c>
      <c r="AB116" s="3">
        <f>4396.7+(2161.5-710.4)+(-6.726951+(-3.307095--1.086912))+0-624.1--0.954873000000036</f>
        <v>5215.7077389999986</v>
      </c>
      <c r="AC116" s="3">
        <f>4111.5+(2535.9-652.3)+(-6.290595+(-3.879927--0.998019))+0-548.7--0.839511000000032</f>
        <v>5438.0670080000009</v>
      </c>
      <c r="AD116" s="2">
        <v>5364.2</v>
      </c>
      <c r="AE116" s="3">
        <f>4628+(2229.2-716.7)+(0+(0-0))+0-776.3-0</f>
        <v>5364.2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4196.3+(2595.5-643)+(-2.140113+(-1.323705--0.32793))+0-650--0.331499999999934</f>
        <v>5495.9956120000006</v>
      </c>
      <c r="G117" s="3">
        <f>3768.3+(2932.2-640.4)+(-5.765499+(-4.486266--0.979812))+0-618.8--0.946764000000036</f>
        <v>5432.974811</v>
      </c>
      <c r="H117" s="3">
        <f>3479.6+(3117.5-666.3)+(-3.549192+(-3.17985--0.679626))+0-639.8--0.652596000000102</f>
        <v>5285.6031799999992</v>
      </c>
      <c r="I117" s="3">
        <f>3144+(3324.8-665.8)+(-3.20688+(-3.391296--0.679116))+0-649--0.661980000000103</f>
        <v>5148.7429199999997</v>
      </c>
      <c r="J117" s="3">
        <f>3045.7+(3330.1-635.9)+(-3.106614+(-3.396702--0.648618))+0-697.9--0.711858000000111</f>
        <v>5036.8571599999996</v>
      </c>
      <c r="K117" s="3">
        <f>2903.9+(3325.2-638.7)+(-5.923956+(-6.783408--1.302948))+0-649--1.32395999999997</f>
        <v>4931.319543999999</v>
      </c>
      <c r="L117" s="3">
        <f>2882.6+(3155.8-644.7)+(0+(0-0))+0-746.6-0</f>
        <v>4647.1000000000004</v>
      </c>
      <c r="M117" s="3">
        <f>2940.9+(2779.6-655.7)+(-1.499859+(-1.417596--0.334407))+0-597.7--0.304826999999939</f>
        <v>4464.821778999999</v>
      </c>
      <c r="N117" s="3">
        <f>3082.9+(2662.7-660.7)+(3.144558+(2.715954-0.673914))+0-669.2-0.682584000000107</f>
        <v>4420.2040139999999</v>
      </c>
      <c r="O117" s="3">
        <f>3373+(2293.4-697.6)+(-1.72023+(-1.169634--0.355776))+0-467.9--0.238628999999953</f>
        <v>4498.6045410000006</v>
      </c>
      <c r="P117" s="3">
        <f>4014.7+(1890.8-732.3)+(4.094994+(1.928616-0.746946))+0-605.1-0.617202000000097</f>
        <v>4572.7594619999991</v>
      </c>
      <c r="Q117" s="3">
        <f>4886.3+(1558.8-951.9)+(2.492013+(0.794988-0.485469))+0-607.8-0.309977999999938</f>
        <v>4887.8915539999998</v>
      </c>
      <c r="R117" s="3">
        <f>5664.9+(1485.5-1297.8)+(2.889099+(0.757605-0.661878))+0-486.3-0.248012999999951</f>
        <v>5369.0368129999988</v>
      </c>
      <c r="S117" s="3">
        <f>6027.1+(1589.9-1189.6)+(-3.073821+(-0.810849--0.606696))+0-642.3--0.327572999999935</f>
        <v>5782.1495990000003</v>
      </c>
      <c r="T117" s="3">
        <f>6135.6+(1547.7-1220.4)+(-9.387468+(-2.367981--1.867212))+0-527.3--0.80676900000003</f>
        <v>5926.5185320000001</v>
      </c>
      <c r="U117" s="3">
        <f>6137.5+(1606.7-1196.3)+(-12.5205+(-3.277668--2.440452))+0-612.5--1.24949999999997</f>
        <v>5923.2917839999991</v>
      </c>
      <c r="V117" s="3">
        <f>5958.6+(1699.2-1147.2)+(-12.155544+(-3.466368--2.340288))+0-580.3--1.18381199999997</f>
        <v>5918.2021880000002</v>
      </c>
      <c r="W117" s="3">
        <f>5491.3+(1702.6-913.4)+(-8.401689+(-2.604978--1.397502))+0-580.4--0.888012000000034</f>
        <v>5691.3788470000009</v>
      </c>
      <c r="X117" s="3">
        <f>4293+(2308.1-686.4)+(-15.32601+(-8.239917--2.450448))+0-636.7--2.27301900000001</f>
        <v>5259.1575400000002</v>
      </c>
      <c r="Y117" s="3">
        <f>3273.9+(2752.4-627.9)+(-8.348445+(-7.01862--1.601145))+0-612.8--1.56263999999991</f>
        <v>4773.3967199999997</v>
      </c>
      <c r="Z117" s="3">
        <f>3798.6+(2261.5-689.1)+(7.749144+(4.61346-1.405764))+0-506.2-1.03264799999998</f>
        <v>4874.7241919999997</v>
      </c>
      <c r="AA117" s="3">
        <f>5078.5+(1851.1-792)+(-2.590035+(-0.944061--0.40392))+0-690.5--0.35215499999993</f>
        <v>5444.3219790000003</v>
      </c>
      <c r="AB117" s="3">
        <f>4791.9+(2071.1-674.6)+(-14.663214+(-6.337566--2.064276))+0-625.2--1.91311200000007</f>
        <v>5546.1766079999998</v>
      </c>
      <c r="AC117" s="3">
        <f>4398.1+(2565.5-682.4)+(2.243031+(1.308405-0.348024))+0-651.3-0.332162999999934</f>
        <v>5632.7712490000004</v>
      </c>
      <c r="AD117" s="2">
        <v>5527.5</v>
      </c>
      <c r="AE117" s="3">
        <f>5306+(1897.6-857.6)+(0+(0-0))+0-818.5-0</f>
        <v>5527.5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4065+(2907.5-625.2)+(-6.21945+(-4.448475--0.956556))+0-694.5--1.06258500000004</f>
        <v>5644.1512160000002</v>
      </c>
      <c r="G118" s="3">
        <f>3305.8+(3572-695.8)+(1.685958+(1.82172-0.354858))+0-624.1-0.318290999999937</f>
        <v>5560.7345290000003</v>
      </c>
      <c r="H118" s="3">
        <f>3136.5+(3785.9-777.3)+(-1.599615+(-1.930809--0.396423))+0-742.8--0.378827999999925</f>
        <v>5399.5448269999997</v>
      </c>
      <c r="I118" s="3">
        <f>3115.1+(3603.9-781.2)+(-3.177402+(-3.675978--0.796824))+0-671.1--0.684522000000107</f>
        <v>5261.3279659999998</v>
      </c>
      <c r="J118" s="3">
        <f>3101.2+(3494.1-770.3)+(-6.326448+(-7.127964--1.571412))+0-647--1.31987999999997</f>
        <v>5167.4368800000002</v>
      </c>
      <c r="K118" s="3">
        <f>3156.9+(3169.2-601.3)+(-4.830057+(-4.848876--0.919989))+0-682.6--1.04437800000004</f>
        <v>5034.4854339999983</v>
      </c>
      <c r="L118" s="3">
        <f>3054.6+(3046.7-645.4)+(-7.78923+(-7.769085--1.64577))+0-696.2--1.7753099999999</f>
        <v>4747.5627649999997</v>
      </c>
      <c r="M118" s="3">
        <f>3163.7+(2641.2-643.9)+(6.453948+(5.388048-1.313556))+0-608.3-1.24093199999997</f>
        <v>4561.9875080000002</v>
      </c>
      <c r="N118" s="3">
        <f>3180.7+(2629.6-656.3)+(0+(0-0))+0-639.6-0</f>
        <v>4514.3999999999996</v>
      </c>
      <c r="O118" s="3">
        <f>3320.2+(2377.3-637.9)+(3.386604+(2.424846-0.650658))+0-595.8-0.607716000000095</f>
        <v>4468.3530759999994</v>
      </c>
      <c r="P118" s="3">
        <f>4046.6+(1858.1-671.7)+(4.127532+(1.895262-0.685134))+0-554.3-0.565386000000088</f>
        <v>4683.4722739999997</v>
      </c>
      <c r="Q118" s="3">
        <f>5151.7+(1310.7-917.5)+(0+(0-0))+0-552.6-0</f>
        <v>4992.2999999999993</v>
      </c>
      <c r="R118" s="3">
        <f>5629.3+(1424.3-1090.1)+(2.870943+(0.726393-0.555951))+0-523-0.266729999999947</f>
        <v>5443.2746550000002</v>
      </c>
      <c r="S118" s="3">
        <f>5742.8+(1633.3-867.6)+(-5.857656+(-1.665966--0.884952))+0-680.5--0.694110000000108</f>
        <v>5822.0554400000001</v>
      </c>
      <c r="T118" s="3">
        <f>5631.7+(1719.2-867.3)+(-11.488668+(-3.507168--1.769292))+0-507.6--1.03550399999998</f>
        <v>5963.8089600000003</v>
      </c>
      <c r="U118" s="3">
        <f>5948.5+(1774.6-1075.4)+(3.033735+(0.905046-0.548454))+0-662.3-0.337772999999933</f>
        <v>5988.4525539999995</v>
      </c>
      <c r="V118" s="3">
        <f>5801.4+(1741.7-1004.7)+(-11.834856+(-3.553068--2.049588))+0-604.2--1.23256799999997</f>
        <v>5922.0942320000004</v>
      </c>
      <c r="W118" s="3">
        <f>5314.2+(1959.6-884.5)+(-5.420484+(-1.998792--0.90219))+0-608.5--0.620670000000097</f>
        <v>5774.9035839999997</v>
      </c>
      <c r="X118" s="3">
        <f>3763.1+(2783.2-582.8)+(-3.838362+(-2.838864--0.594456))+0-629.6--0.6421920000001</f>
        <v>5328.4594219999999</v>
      </c>
      <c r="Y118" s="3">
        <f>3206.1+(2739.6-603.8)+(0+(0-0))+0-535-0</f>
        <v>4806.8999999999996</v>
      </c>
      <c r="Z118" s="3">
        <f>3781.6+(2464.1-653.2)+(0+(0-0))+0-670.3-0</f>
        <v>4922.2</v>
      </c>
      <c r="AA118" s="3">
        <f>4723.7+(2168.8-703.5)+(-9.636348+(-4.424352--1.43514))+0-695--1.41779999999997</f>
        <v>5482.7922399999998</v>
      </c>
      <c r="AB118" s="3">
        <f>4639.8+(2294-666.7)+(-9.465192+(-4.67976--1.360068))+0-644.7--1.31518799999997</f>
        <v>5610.9303040000004</v>
      </c>
      <c r="AC118" s="3">
        <f>4547.1+(2499.6-638.1)+(-11.595105+(-6.37398--1.627155))+0-713.8--1.8201899999999</f>
        <v>5680.27826</v>
      </c>
      <c r="AD118" s="2">
        <v>5451.3</v>
      </c>
      <c r="AE118" s="3">
        <f>4716+(2166.6-733)+(0+(0-0))+0-698.3-0</f>
        <v>5451.3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4105.4+(2821.4-619.4)+(-10.46877+(-7.19457--1.57947))+0-582.3--1.48486499999992</f>
        <v>5710.5009949999994</v>
      </c>
      <c r="G119" s="3">
        <f>3723.7+(3213.5-592.2)+(-5.697261+(-4.916655--0.906066))+0-722.7--1.10573100000004</f>
        <v>5613.6978810000001</v>
      </c>
      <c r="H119" s="3">
        <f>3282.1+(3342.4-625.4)+(-1.673871+(-1.704624--0.318954))+0-569.2--0.290291999999942</f>
        <v>5427.1307510000006</v>
      </c>
      <c r="I119" s="3">
        <f>3007+(3554.9-591.5)+(-7.66785+(-9.064995--1.508325))+0-651.6--1.66157999999991</f>
        <v>5305.2370599999995</v>
      </c>
      <c r="J119" s="3">
        <f>3023.4+(3474.4-631.7)+(-6.167736+(-7.087776--1.288668))+0-662--1.35047999999997</f>
        <v>5193.4836360000008</v>
      </c>
      <c r="K119" s="3">
        <f>3037+(3374-654.4)+(-3.09774+(-3.44148--0.667488))+0-672.8--0.686256000000107</f>
        <v>5078.6145240000005</v>
      </c>
      <c r="L119" s="3">
        <f>3025.9+(3049.1-616.4)+(-7.716045+(-7.775205--1.57182))+0-672.8--1.7156399999999</f>
        <v>4773.5962100000006</v>
      </c>
      <c r="M119" s="3">
        <f>3056.9+(2765.6-589.4)+(6.236076+(5.641824-1.202376))+0-642.9-1.31151599999997</f>
        <v>4599.5640080000012</v>
      </c>
      <c r="N119" s="3">
        <f>2982.4+(2830.4-602.4)+(7.60512+(7.21752-1.53612))+0-660.8-1.6850399999999</f>
        <v>4561.2014799999988</v>
      </c>
      <c r="O119" s="3">
        <f>3195.2+(2632.3-632)+(3.259104+(2.684946-0.64464))+0-620.4-0.632808000000099</f>
        <v>4579.7666019999997</v>
      </c>
      <c r="P119" s="3">
        <f>3733.9+(2272.9-699.3)+(5.712867+(3.477537-1.069929))+0-614.7-0.940491000000036</f>
        <v>4699.9799839999996</v>
      </c>
      <c r="Q119" s="3">
        <f>4587.6+(1744.1-714.7)+(9.358704+(3.557964-1.457988))+0-634.5-1.29437999999997</f>
        <v>4992.6642999999995</v>
      </c>
      <c r="R119" s="3">
        <f>5310.6+(1609.5-818.3)+(8.125218+(2.462535-1.251999))+0-600.2-0.918306000000035</f>
        <v>5510.0174479999996</v>
      </c>
      <c r="S119" s="3">
        <f>5117.3+(2002.8-736.4)+(-2.609823+(-1.021428--0.375564))+0-573.9--0.292688999999942</f>
        <v>5806.8370020000011</v>
      </c>
      <c r="T119" s="3">
        <f>5632.1+(1927.1-885)+(0+(0-0))+0-705.4-0</f>
        <v>5968.8000000000011</v>
      </c>
      <c r="U119" s="3">
        <f>5504.6+(2005.3-951.6)+(-14.03673+(-5.113515--2.42658))+0-552--1.40759999999992</f>
        <v>5990.9839349999993</v>
      </c>
      <c r="V119" s="3">
        <f>5329.1+(2144.2-863.4)+(2.717841+(1.093542-0.440334))+0-668.5-0.340934999999932</f>
        <v>5944.4301139999998</v>
      </c>
      <c r="W119" s="3">
        <f>4785.1+(2239.3-715.3)+(-7.321203+(-3.426129--1.094409))+0-583.6--0.892908000000034</f>
        <v>5716.7399850000002</v>
      </c>
      <c r="X119" s="3">
        <f>3574.2+(3027.4-652.4)+(-10.937052+(-9.263844--1.996344))+0-668.5--2.04561000000008</f>
        <v>5264.5410579999998</v>
      </c>
      <c r="Y119" s="3">
        <f>3316.9+(2573.1-604.1)+(0+(0-0))+0-539.4-0</f>
        <v>4746.5</v>
      </c>
      <c r="Z119" s="3">
        <f>3832.4+(2231.4-642.7)+(-5.863572+(-3.414042--0.983331))+0-626.2--0.958086000000036</f>
        <v>4787.563803</v>
      </c>
      <c r="AA119" s="3">
        <f>4794.2+(1809-639.5)+(-7.335126+(-2.76777--0.978435))+0-606.1--0.927333000000035</f>
        <v>5349.4028719999988</v>
      </c>
      <c r="AB119" s="3">
        <f>5098.6+(1658.2-656.9)+(-15.601716+(-5.074092--2.010114))+0-619.9--1.89689400000007</f>
        <v>5463.2312000000011</v>
      </c>
      <c r="AC119" s="3">
        <f>4677.7+(2093.7-604.6)+(-7.156881+(-3.203361--0.925038))+0-617.6--0.944928000000036</f>
        <v>5540.7097239999985</v>
      </c>
      <c r="AD119" s="2">
        <v>5441.7</v>
      </c>
      <c r="AE119" s="3">
        <f>5044+(1715.3-619.6)+(0+(0-0))+0-698-0</f>
        <v>5441.7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4297.8+(2553.1-636.4)+(-15.343146+(-9.114567--2.271948))+0-675.9--2.41296300000001</f>
        <v>5518.827198</v>
      </c>
      <c r="G120" s="3">
        <f>4072.4+(2706.5-625.1)+(-10.38462+(-6.901575--1.594005))+0-727.8--1.85588999999989</f>
        <v>5412.1637000000001</v>
      </c>
      <c r="H120" s="3">
        <f>3917+(2608.8-658.1)+(-7.99068+(-5.321952--1.342524))+0-600.5--1.22501999999997</f>
        <v>5256.4549120000001</v>
      </c>
      <c r="I120" s="3">
        <f>3432.2+(3083.9-645.2)+(-7.001688+(-6.291156--1.316208))+0-731.4--1.49205599999997</f>
        <v>5129.0154199999997</v>
      </c>
      <c r="J120" s="3">
        <f>3227.2+(3036.4-651.6)+(0+(0-0))+0-556.2-0</f>
        <v>5055.8</v>
      </c>
      <c r="K120" s="3">
        <f>3123.8+(3215.3-663.3)+(-6.372552+(-6.559212--1.353132))+0-697.2--1.42228799999997</f>
        <v>4968.4436560000004</v>
      </c>
      <c r="L120" s="3">
        <f>3100.7+(2907.7-657.7)+(0+(0-0))+0-666.5-0</f>
        <v>4684.2</v>
      </c>
      <c r="M120" s="3">
        <f>3163.6+(2668.7-621)+(4.840308+(4.083111-0.95013))+0-677.4-1.03642200000004</f>
        <v>4540.8368669999991</v>
      </c>
      <c r="N120" s="3">
        <f>3252.9+(2598.7-701)+(1.658979+(1.325337-0.35751))+0-556-0.283559999999944</f>
        <v>4596.9432460000007</v>
      </c>
      <c r="O120" s="3">
        <f>3620.5+(2323.6-692.4)+(1.846455+(1.185036-0.353124))+0-529.1-0.269840999999946</f>
        <v>4725.0085259999996</v>
      </c>
      <c r="P120" s="3">
        <f>4499.8+(1662.1-724.7)+(9.179592+(3.390684-1.478388))+0-532.8-1.08691199999998</f>
        <v>4914.4049759999998</v>
      </c>
      <c r="Q120" s="3">
        <f>5622.9+(1170-1021.4)+(8.603037+(1.7901-1.562742))+0-552.8-0.845784000000032</f>
        <v>5226.6846109999997</v>
      </c>
      <c r="R120" s="3">
        <f>5862.4+(1430.6-1029.7)+(-2.989824+(-0.729606--0.525147))+0-643.8--0.328337999999935</f>
        <v>5616.6340549999995</v>
      </c>
      <c r="S120" s="3">
        <f>5516.3+(1718.8-840.7)+(-8.439939+(-2.629764--1.286271))+0-524.6--0.80263800000003</f>
        <v>5860.8192059999992</v>
      </c>
      <c r="T120" s="3">
        <f>5853.8+(1519.8-862.3)+(-2.985438+(-0.775098--0.439773))+23.3-571.6--0.291515999999942</f>
        <v>5959.9707530000005</v>
      </c>
      <c r="U120" s="3">
        <f>5574.1+(1634.4-882.2)+(11.371164+(3.334176-1.799688))+70-427.6-0.872303999999981</f>
        <v>5980.7333480000007</v>
      </c>
      <c r="V120" s="3">
        <f>5380.3+(1705.6-745.6)+(0+(0-0))+23.3-514.2-0</f>
        <v>5849.4000000000005</v>
      </c>
      <c r="W120" s="3">
        <f>5081.5+(1996.7-737.2)+(-12.957825+(-5.091585--1.87986))+0-673.4--1.7171699999999</f>
        <v>5653.1476200000006</v>
      </c>
      <c r="X120" s="3">
        <f>3676+(2773.3-650.9)+(-5.62428+(-4.243149--0.995877))+0-548.5--0.839205000000032</f>
        <v>5241.8676530000002</v>
      </c>
      <c r="Y120" s="3">
        <f>3244.7+(2809.4-648.5)+(-1.654797+(-1.432794--0.330735))+0-621.4--0.316913999999937</f>
        <v>4781.7600580000008</v>
      </c>
      <c r="Z120" s="3">
        <f>3784.6+(2358.2-612.6)+(3.860292+(2.405364-0.624852))+0-573.7-0.585174000000092</f>
        <v>4961.5556299999998</v>
      </c>
      <c r="AA120" s="3">
        <f>5008.5+(1817.6-615.7)+(-5.10867+(-1.853952--0.628014))+0-673.8--0.687276000000107</f>
        <v>5530.952667999999</v>
      </c>
      <c r="AB120" s="3">
        <f>4797.8+(2003.6-634.6)+(-4.893756+(-2.043672--0.647292))+0-585.3--0.597006000000093</f>
        <v>5575.8068700000003</v>
      </c>
      <c r="AC120" s="3">
        <f>4479.7+(2377.7-635.9)+(-4.569294+(-2.425254--0.648618))+0-593.7--0.605574000000095</f>
        <v>5622.0596439999999</v>
      </c>
      <c r="AD120" s="2">
        <v>5495.1</v>
      </c>
      <c r="AE120" s="3">
        <f>5060+(1862.5-686.7)+(0+(0-0))+0-740.7-0</f>
        <v>5495.1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4387.8+(2511.4-642.9)+(-6.713334+(-3.842442--0.983637))+0-652.4--0.998172000000038</f>
        <v>5595.3260330000003</v>
      </c>
      <c r="G121" s="3">
        <f>4179.5+(2488.6-612.4)+(-2.131545+(-1.269186--0.312324))+0-569.9--0.290648999999942</f>
        <v>5483.0022419999996</v>
      </c>
      <c r="H121" s="3">
        <f>3501.1+(3165.8-650.7)+(-5.356683+(-4.843674--0.995571))+0-679.7--1.03994100000004</f>
        <v>5328.3351550000007</v>
      </c>
      <c r="I121" s="3">
        <f>3124+(3286.7-656.4)+(-3.18648+(-3.352434--0.669528))+0-546.6--0.557532000000087</f>
        <v>5202.3881459999984</v>
      </c>
      <c r="J121" s="3">
        <f>3145.3+(3326.9-659.5)+(-8.020515+(-8.483595--1.681725))+0-687.2--1.7523599999999</f>
        <v>5112.429975</v>
      </c>
      <c r="K121" s="3">
        <f>3017+(3199.6-650.5)+(-7.69335+(-8.15898--1.658775))+0-530.7--1.35328499999992</f>
        <v>5022.5597300000009</v>
      </c>
      <c r="L121" s="3">
        <f>2979.2+(3116.8-691.2)+(3.038784+(3.179136-0.705024))+0-687.7-0.70145400000011</f>
        <v>4721.9114420000005</v>
      </c>
      <c r="M121" s="3">
        <f>3214.5+(2629.4-662.5)+(-1.639395+(-1.340994--0.337875))+0-588.1--0.29993099999994</f>
        <v>4590.9574169999987</v>
      </c>
      <c r="N121" s="3">
        <f>3263.2+(2674.2-671.9)+(4.992696+(4.091526-1.028007))+0-626.8-0.959004000000036</f>
        <v>4645.7972109999992</v>
      </c>
      <c r="O121" s="3">
        <f>3346.3+(2612.7-679.3)+(0+(0-0))+0-562.2-0</f>
        <v>4717.5</v>
      </c>
      <c r="P121" s="3">
        <f>4225.1+(1910.3-717.9)+(4.309602+(1.948506-0.732258))+0-561.6-0.57283200000009</f>
        <v>4860.8530179999998</v>
      </c>
      <c r="Q121" s="3">
        <f>5243+(1520.3-950)+(8.02179+(2.326059-1.4535))+0-645.4-0.987462000000037</f>
        <v>5175.8068870000006</v>
      </c>
      <c r="R121" s="3">
        <f>5976.3+(1246.3-1143.5)+(9.143739+(1.906839-1.749555))+0-540.2-0.826506000000031</f>
        <v>5547.3745170000002</v>
      </c>
      <c r="S121" s="3">
        <f>6407.5+(1277-1203.5)+(-13.0713+(-2.60508--2.45514))+0-609.9--1.24419599999997</f>
        <v>5859.1229560000002</v>
      </c>
      <c r="T121" s="3">
        <f>6842.4+(1188.5-1408.3)+(0+(0-0))+0-618.8-0</f>
        <v>6003.7999999999993</v>
      </c>
      <c r="U121" s="3">
        <f>6881.1+(1178.1-1425.9)+(-10.528083+(-1.802493--2.181627))+0-598.3--0.915399000000034</f>
        <v>6025.7664500000001</v>
      </c>
      <c r="V121" s="3">
        <f>6320.8+(1280.1-1059.5)+(3.223608+(0.652851-0.540345))+0-560.9-0.286058999999943</f>
        <v>5983.5500549999997</v>
      </c>
      <c r="W121" s="3">
        <f>5524.7+(1545.3-694.9)+(-8.452791+(-2.364309--1.063197))+0-589.9--0.902547000000034</f>
        <v>5776.3486439999997</v>
      </c>
      <c r="X121" s="3">
        <f>3840.8+(2709-619.5)+(-7.835232+(-5.52636--1.26378))+0-617.5--1.25969999999997</f>
        <v>5301.9618879999998</v>
      </c>
      <c r="Y121" s="3">
        <f>3188.4+(2824.8-570)+(-1.626084+(-1.440648--0.2907))+0-606--0.309059999999939</f>
        <v>4834.7330280000006</v>
      </c>
      <c r="Z121" s="3">
        <f>4055+(2165.7-619.4)+(10.34025+(5.522535-1.57947))+0-604.6-1.54172999999991</f>
        <v>5009.4415849999987</v>
      </c>
      <c r="AA121" s="3">
        <f>5529+(1389.4-765.5)+(2.81979+(0.708594-0.390405))+0-617.6-0.314975999999937</f>
        <v>5538.1230029999997</v>
      </c>
      <c r="AB121" s="3">
        <f>5283.7+(1543.1-622.6)+(5.389374+(1.573962-0.635052))+0-589-0.600780000000094</f>
        <v>5620.9275040000002</v>
      </c>
      <c r="AC121" s="3">
        <f>5210+(1680.8-611.1)+(2.6571+(0.857208-0.311661))+0-598-0.304979999999939</f>
        <v>5684.597667</v>
      </c>
      <c r="AD121" s="2">
        <v>5476.2000000000007</v>
      </c>
      <c r="AE121" s="3">
        <f>5803+(1211.3-954.7)+(0+(0-0))+0-583.4-0</f>
        <v>5476.2000000000007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5149.7+(1771-629.4)+(-7.879041+(-2.70963--0.962982))+0-630.3--0.964359000000036</f>
        <v>5652.3386699999983</v>
      </c>
      <c r="G122" s="3">
        <f>4881.6+(1902.5-577.2)+(-4.979232+(-1.94055--0.588744))+0-650.3--0.663306000000104</f>
        <v>5550.9322680000005</v>
      </c>
      <c r="H122" s="3">
        <f>4024.3+(2560.7-600)+(-4.104786+(-2.611914--0.612))+0-574--0.585480000000091</f>
        <v>5405.4807799999999</v>
      </c>
      <c r="I122" s="3">
        <f>3770.2+(2815.4-623.8)+(0+(0-0))+0-676.7-0</f>
        <v>5285.1</v>
      </c>
      <c r="J122" s="3">
        <f>3291.7+(3110.6-645.2)+(-1.678767+(-1.586406--0.329052))+0-551.9--0.281468999999944</f>
        <v>5202.5453479999996</v>
      </c>
      <c r="K122" s="3">
        <f>3045.8+(3423-661.4)+(-3.106716+(-3.49146--0.674628))+0-690.8--0.70461600000011</f>
        <v>5111.3810679999997</v>
      </c>
      <c r="L122" s="3">
        <f>2835.1+(3272.3-664.7)+(0+(0-0))+0-558.2-0</f>
        <v>4884.5000000000009</v>
      </c>
      <c r="M122" s="3">
        <f>2867.5+(3158.9-633.4)+(2.92485+(3.222078-0.646068))+0-689.9-0.70369800000011</f>
        <v>4707.8971620000002</v>
      </c>
      <c r="N122" s="3">
        <f>2915.8+(2907.6-635.7)+(7.43529+(7.41438-1.621035))+0-546.8-1.39433999999992</f>
        <v>4652.7342950000002</v>
      </c>
      <c r="O122" s="3">
        <f>3624.8+(2358.8-664.8)+(5.545944+(3.608964-1.017144))+0-601.2-0.919836000000035</f>
        <v>4724.8179280000004</v>
      </c>
      <c r="P122" s="3">
        <f>4868.3+(1401.4-892)+(4.965666+(1.429428-0.90984))+0-522.9-0.533358000000083</f>
        <v>4859.7518960000016</v>
      </c>
      <c r="Q122" s="3">
        <f>5640.6+(1236.9-1159.8)+(8.630118+(1.892457-1.774494))+0-598.3-0.915399000000034</f>
        <v>5127.2326819999998</v>
      </c>
      <c r="R122" s="3">
        <f>6028.8+(1269.8-1146.8)+(-3.074688+(-0.647598--0.584868))+0-601.7--0.306866999999939</f>
        <v>5547.2694490000003</v>
      </c>
      <c r="S122" s="3">
        <f>5802.8+(1485.8-814.2)+(-14.79714+(-3.78879--2.07621))+0-572.4--1.45961999999992</f>
        <v>5886.9498999999996</v>
      </c>
      <c r="T122" s="3">
        <f>6300.6+(1530.7-1176)+(0+(0-0))+0-665.4-0</f>
        <v>5989.9000000000005</v>
      </c>
      <c r="U122" s="3">
        <f>6184.3+(1569.6-1278.2)+(-9.461979+(-2.401488--1.955646))+0-467.7--0.715581000000027</f>
        <v>5998.8077600000006</v>
      </c>
      <c r="V122" s="3">
        <f>6093.1+(1541.4-1050.5)+(-9.322443+(-2.358342--1.607265))+0-654.2--1.00092600000004</f>
        <v>5920.727406</v>
      </c>
      <c r="W122" s="3">
        <f>5377.7+(1738.5-793.2)+(-5.485254+(-1.77327--0.809064))+0-578.6--0.590172000000092</f>
        <v>5738.540712</v>
      </c>
      <c r="X122" s="3">
        <f>3766.4+(2824.7-629.7)+(-3.841728+(-2.881194--0.642294))+0-611.9--0.624138000000098</f>
        <v>5344.0435100000004</v>
      </c>
      <c r="Y122" s="3">
        <f>2923+(3204.5-599.3)+(4.47219+(4.902885-0.916929))+0-607.4-0.929322000000035</f>
        <v>4928.3288240000002</v>
      </c>
      <c r="Z122" s="3">
        <f>3540+(2754.7-593.3)+(3.6108+(2.809794-0.605166))+0-608.8-0.620976000000097</f>
        <v>5097.7944519999992</v>
      </c>
      <c r="AA122" s="3">
        <f>4732.7+(2236.3-711.4)+(-9.654708+(-4.562052--1.451256))+0-668.9--1.36455599999997</f>
        <v>5577.2990520000003</v>
      </c>
      <c r="AB122" s="3">
        <f>4380.3+(2554.7-642.6)+(-4.467906+(-2.605794--0.655452))+0-613.5--0.625770000000098</f>
        <v>5673.1075219999993</v>
      </c>
      <c r="AC122" s="3">
        <f>4384.5+(2627.5-646.6)+(-2.236095+(-1.340025--0.329766))+0-685.5--0.34960499999993</f>
        <v>5677.0032510000001</v>
      </c>
      <c r="AD122" s="2">
        <v>5559.6</v>
      </c>
      <c r="AE122" s="3">
        <f>4954+(2168.1-789.9)+(0+(0-0))+0-772.6-0</f>
        <v>5559.5999999999995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4902.1+(2291.1-759.6)+(0+(0-0))+0-662.6-0</f>
        <v>5771</v>
      </c>
      <c r="G123" s="3">
        <f>4461.3+(2429.4-595)+(-4.550526+(-2.477988--0.6069))+0-584.8--0.596496000000093</f>
        <v>5705.0748820000008</v>
      </c>
      <c r="H123" s="3">
        <f>4219.1+(2671-611.8)+(0+(0-0))+0-712.7-0</f>
        <v>5565.6</v>
      </c>
      <c r="I123" s="3">
        <f>3942.6+(2670.4-618.9)+(-4.021452+(-2.723808--0.631278))+0-555.3--0.566406000000088</f>
        <v>5433.2524240000002</v>
      </c>
      <c r="J123" s="3">
        <f>3485.8+(3123.6-610.8)+(-5.333274+(-4.779108--0.934524))+0-609.3--0.932229000000035</f>
        <v>5381.0543710000002</v>
      </c>
      <c r="K123" s="3">
        <f>3029.2+(3538.2-626.9)+(-6.179568+(-7.217928--1.278876))+0-668.5--1.36373999999997</f>
        <v>5261.2451199999996</v>
      </c>
      <c r="L123" s="3">
        <f>2819+(3456.1-591.2)+(-4.31307+(-5.287833--0.904536))+0-618.2--0.945846000000036</f>
        <v>5057.9494789999999</v>
      </c>
      <c r="M123" s="3">
        <f>2931.8+(3154.4-575.4)+(4.485654+(4.826232-0.880362))+0-668.5-1.02280500000004</f>
        <v>4849.7087190000002</v>
      </c>
      <c r="N123" s="3">
        <f>3009.2+(2983.4-595.7)+(3.069384+(3.043068-0.607614))+0-585.2-0.596904000000093</f>
        <v>4816.6079339999997</v>
      </c>
      <c r="O123" s="3">
        <f>3121.5+(2988.5-637)+(1.591965+(1.524135-0.32487))+0-616.3-0.314312999999937</f>
        <v>4859.1769169999998</v>
      </c>
      <c r="P123" s="3">
        <f>3482.2+(2655.8-593.7)+(5.327766+(4.063374-0.908361))+0-588.9-0.901017000000034</f>
        <v>4962.9817620000003</v>
      </c>
      <c r="Q123" s="3">
        <f>3986.9+(2459.5-578.7)+(4.066638+(2.50869-0.590274))+0-655.2-0.668304000000104</f>
        <v>5217.81675</v>
      </c>
      <c r="R123" s="3">
        <f>4810.3+(1971-589.6)+(4.906506+(2.01042-0.601392))+0-634.9-0.647598000000101</f>
        <v>5562.4679360000009</v>
      </c>
      <c r="S123" s="3">
        <f>5049.8+(2029.2-599.9)+(5.150796+(2.069784-0.611898))+0-679.2-0.692784000000108</f>
        <v>5805.8158980000007</v>
      </c>
      <c r="T123" s="3">
        <f>4905.4+(2295.1-622.6)+(0+(0-0))+0-664.3-0</f>
        <v>5913.5999999999995</v>
      </c>
      <c r="U123" s="3">
        <f>4953.1+(2294.9-645.1)+(0+(0-0))+0-591.6-0</f>
        <v>6011.3</v>
      </c>
      <c r="V123" s="3">
        <f>4769.8+(2422-587.9)+(0+(0-0))+0-580.7-0</f>
        <v>6023.2</v>
      </c>
      <c r="W123" s="3">
        <f>4541.2+(2524-609.8)+(0+(0-0))+0-626.9-0</f>
        <v>5828.5</v>
      </c>
      <c r="X123" s="3">
        <f>3560.5+(2862-585.4)+(-5.447565+(-4.37886--0.895662))+0-574--0.878220000000033</f>
        <v>5255.0474569999997</v>
      </c>
      <c r="Y123" s="3">
        <f>3163.2+(3198.7-648.5)+(-6.452928+(-6.525348--1.32294))+0-667.3--1.36129199999997</f>
        <v>5035.8059559999992</v>
      </c>
      <c r="Z123" s="3">
        <f>4406.8+(2175.7-663.3)+(0+(0-0))+0-594.5-0</f>
        <v>5324.7</v>
      </c>
      <c r="AA123" s="3">
        <f>5537.9+(1750.9-823.6)+(-14.121645+(-4.464795--2.10018))+0-672--1.7135999999999</f>
        <v>5778.4273400000002</v>
      </c>
      <c r="AB123" s="3">
        <f>5494.4+(1739.8-734.3)+(2.802144+(0.887298-0.374493))+0-565.4-0.288353999999943</f>
        <v>5937.5265949999994</v>
      </c>
      <c r="AC123" s="3">
        <f>5372.7+(1925.4-709.6)+(-2.740077+(-0.981954--0.361896))+0-580.2--0.295901999999941</f>
        <v>6005.2357670000001</v>
      </c>
      <c r="AD123" s="2">
        <v>6121.9</v>
      </c>
      <c r="AE123" s="3">
        <f>5721+(1793.4-774.2)+(0+(0-0))+0-618.3-0</f>
        <v>6121.9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5007.6+(2192.2-629.3)+(-5.107752+(-2.236044--0.641886))+0-572.3--0.583746000000091</f>
        <v>5992.0818360000003</v>
      </c>
      <c r="G124" s="3">
        <f>4270.5+(2834.4-592.8)+(-2.177955+(-1.445544--0.302328))+0-626.4--0.319463999999936</f>
        <v>5882.6982930000013</v>
      </c>
      <c r="H124" s="3">
        <f>4008.1+(3035.8-613.5)+(2.044131+(1.548258-0.312885))+0-674-0.343739999999932</f>
        <v>5759.3357639999995</v>
      </c>
      <c r="I124" s="3">
        <f>4172.2+(2808.3-624)+(2.127822+(1.432233-0.31824))+0-722.6-0.368525999999927</f>
        <v>5636.7732889999997</v>
      </c>
      <c r="J124" s="3">
        <f>4087.3+(2746-641.4)+(-6.253569+(-4.20138--0.981342))+0-573.2--0.876996000000033</f>
        <v>5610.1033889999999</v>
      </c>
      <c r="K124" s="3">
        <f>3391+(3390.9-645.7)+(-3.45882+(-3.458718--0.658614))+0-659.1--0.672282000000105</f>
        <v>5471.5133580000002</v>
      </c>
      <c r="L124" s="3">
        <f>2763.3+(3734.5-631.1)+(-2.818566+(-3.80919--0.643722))+0-595.4--0.607308000000095</f>
        <v>5265.9232740000007</v>
      </c>
      <c r="M124" s="3">
        <f>2995.8+(3465.7-607.3)+(1.527858+(1.767507-0.309723))+0-700.6-0.357305999999929</f>
        <v>5156.2283359999992</v>
      </c>
      <c r="N124" s="3">
        <f>3461.5+(2876.8-640.8)+(7.06146+(5.868672-1.307232))+0-518.7-1.05814799999998</f>
        <v>5189.3647520000004</v>
      </c>
      <c r="O124" s="3">
        <f>4156.6+(2327.6-673.2)+(4.239732+(2.374152-0.686664))+0-537.8-0.548556000000086</f>
        <v>5278.5786639999997</v>
      </c>
      <c r="P124" s="3">
        <f>4843.3+(2226.2-1036.4)+(2.470083+(1.135362-0.528564))+0-637.3-0.325022999999935</f>
        <v>5398.5518579999998</v>
      </c>
      <c r="Q124" s="3">
        <f>5615.9+(1960.6-1417.8)+(2.864109+(0.999906-0.723078))+0-506.8-0.258467999999949</f>
        <v>5654.7824689999998</v>
      </c>
      <c r="R124" s="3">
        <f>5949.7+(2033-1437.4)+(6.068694+(2.07366-1.466148))+0-548.4-0.559368000000087</f>
        <v>6003.0168379999996</v>
      </c>
      <c r="S124" s="3">
        <f>5888.4+(2047.2-1304.9)+(-9.009252+(-3.132216--1.996497))+0-418.2--0.639846000000024</f>
        <v>6202.9948750000003</v>
      </c>
      <c r="T124" s="3">
        <f>6034.8+(1883.4-1300.8)+(-3.077748+(-0.960534--0.663408))+0-373.5--0.190484999999962</f>
        <v>6240.7156110000005</v>
      </c>
      <c r="U124" s="3">
        <f>6191.6+(1909.1-1461.7)+(3.157716+(0.973641-0.745467))+0-367.4-0.187373999999963</f>
        <v>6274.7985159999998</v>
      </c>
      <c r="V124" s="3">
        <f>5905.5+(2086.7-1361.8)+(9.035415+(3.192651-2.083554))+0-388.6-0.594558000000022</f>
        <v>6251.3499539999993</v>
      </c>
      <c r="W124" s="3">
        <f>5269.8+(2323.4-1046.5)+(2.687598+(1.184934-0.533715))+0-452.7-0.230876999999954</f>
        <v>6097.1079400000008</v>
      </c>
      <c r="X124" s="3">
        <f>4208.2+(2712.5-647.1)+(-6.438546+(-4.150125--0.990063))+0-540.9--0.827577000000031</f>
        <v>5723.9289690000005</v>
      </c>
      <c r="Y124" s="3">
        <f>3594.3+(3017.2-610.6)+(0+(0-0))+0-647.6-0</f>
        <v>5353.2999999999993</v>
      </c>
      <c r="Z124" s="3">
        <f>4292.3+(2731.9-747.3)+(4.378146+(2.786538-0.762246))+0-617.6-0.629952000000099</f>
        <v>5665.072486</v>
      </c>
      <c r="AA124" s="3">
        <f>4855.6+(2558.6-938.6)+(-12.38178+(-6.52443--2.39343))+0-444.2--1.13270999999994</f>
        <v>6016.0199300000004</v>
      </c>
      <c r="AB124" s="3">
        <f>4743.7+(2525.7-787.9)+(2.419287+(1.288107-0.401829))+0-477.1-0.243320999999952</f>
        <v>6007.4622439999994</v>
      </c>
      <c r="AC124" s="3">
        <f>4600.5+(2547.3-636.5)+(-4.69251+(-2.598246--0.64923))+0-492.9--0.502758000000079</f>
        <v>6012.2612319999998</v>
      </c>
      <c r="AD124" s="2">
        <v>6089.8</v>
      </c>
      <c r="AE124" s="3">
        <f>4978+(2557.2-1010)+(0+(0-0))+0-435.4-0</f>
        <v>6089.8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4430.4+(2641.6-568.8)+(-2.259504+(-1.347216--0.290088))+0-509.1--0.259640999999948</f>
        <v>5991.0430089999991</v>
      </c>
      <c r="G125" s="3">
        <f>3778.2+(3019.1-448.2)+(0+(0-0))+0-499.3-0</f>
        <v>5849.8</v>
      </c>
      <c r="H125" s="3">
        <f>3252.9+(3400.1-462.4)+(3.317958+(3.468102-0.471648))+0-508.2-0.518364000000081</f>
        <v>5688.1960479999998</v>
      </c>
      <c r="I125" s="3">
        <f>3081.9+(3509.8-405.1)+(4.715307+(5.369994-0.619803))+0-570.4-0.872712000000033</f>
        <v>5624.792786</v>
      </c>
      <c r="J125" s="3">
        <f>2886.3+(3708.4-508.1)+(-2.944026+(-3.782568--0.518262))+0-531--0.541620000000085</f>
        <v>5549.9332880000002</v>
      </c>
      <c r="K125" s="3">
        <f>2730.5+(3949.2-586.9)+(-5.57022+(-8.056368--1.197276))+0-676.9--1.38087599999997</f>
        <v>5404.8515639999996</v>
      </c>
      <c r="L125" s="3">
        <f>2517.9+(3952.3-579.9)+(-6.420645+(-10.078365--1.478745))+0-725.9--1.85104499999989</f>
        <v>5151.2307800000008</v>
      </c>
      <c r="M125" s="3">
        <f>2705+(3392.8-547)+(4.13865+(5.190984-0.83691))+0-587.2-0.898416000000034</f>
        <v>4971.1943080000001</v>
      </c>
      <c r="N125" s="3">
        <f>3115.7+(3234-618.6)+(4.767021+(4.94802-0.946458))+0-722.7-1.10573100000004</f>
        <v>5016.0628520000009</v>
      </c>
      <c r="O125" s="3">
        <f>3614+(2717.2-649.3)+(7.37256+(5.543088-1.324572))+0-532.3-1.08589199999998</f>
        <v>5160.1051839999991</v>
      </c>
      <c r="P125" s="3">
        <f>4359.1+(2318.3-711.5)+(2.223141+(1.182333-0.362865))+0-647.5-0.330224999999934</f>
        <v>5321.1123840000009</v>
      </c>
      <c r="Q125" s="3">
        <f>5169.4+(2038.8-1094.9)+(5.272788+(2.079576-1.116798))+0-514.1-0.524382000000082</f>
        <v>5604.9111839999987</v>
      </c>
      <c r="R125" s="3">
        <f>6138.5+(1802.9-1433.6)+(9.391905+(2.758437-2.193408))+0-560.2-0.857106000000032</f>
        <v>5956.6998279999998</v>
      </c>
      <c r="S125" s="3">
        <f>5966.5+(1903.5-1240.1)+(-3.042915+(-0.970785--0.632451))+0-468.4--0.238883999999952</f>
        <v>6158.3576350000003</v>
      </c>
      <c r="T125" s="3">
        <f>6362+(1740.5-1444.4)+(6.48924+(1.77531-1.473288))+0-405.9-0.414018000000065</f>
        <v>6258.5772440000001</v>
      </c>
      <c r="U125" s="3">
        <f>6097.2+(1738.5-1253.6)+(-3.109572+(-0.886635--0.639336))+0-356.1--0.181610999999964</f>
        <v>6222.82474</v>
      </c>
      <c r="V125" s="3">
        <f>5915.2+(1891.3-1281.9)+(6.033504+(1.929126-1.307538))+0-367.4-0.374748000000059</f>
        <v>6163.4803439999996</v>
      </c>
      <c r="W125" s="3">
        <f>5352.4+(2173.2-1029.1)+(-10.918896+(-4.433328--2.099364))+0-447.4--0.91269599999998</f>
        <v>6036.7598360000011</v>
      </c>
      <c r="X125" s="3">
        <f>4230.7+(2711.3-736.7)+(-6.472971+(-4.148289--1.127151))+0-486.6--0.744498000000028</f>
        <v>5709.9503889999996</v>
      </c>
      <c r="Y125" s="3">
        <f>3891.9+(2632.6-614.6)+(3.969738+(2.685252-0.626892))+0-566.3-0.57762600000009</f>
        <v>5349.050471999999</v>
      </c>
      <c r="Z125" s="3">
        <f>5439.1+(1984.5-1119.6)+(13.869705+(5.060475-2.85498))+0-635.7-1.62103499999991</f>
        <v>5682.7541650000003</v>
      </c>
      <c r="AA125" s="3">
        <f>6040+(1701.9-1352)+(-3.0804+(-0.867969--0.68952))+0-401.5--0.204764999999959</f>
        <v>5985.3459160000002</v>
      </c>
      <c r="AB125" s="3">
        <f>5703.7+(1893.6-1223.3)+(-8.726661+(-2.897208--1.871649))+0-413.5--0.632655000000024</f>
        <v>5951.380435</v>
      </c>
      <c r="AC125" s="3">
        <f>5088.4+(2216.1-818.3)+(-7.785252+(-3.390633--1.251999))+0-500.8--0.766224000000029</f>
        <v>5976.242338</v>
      </c>
      <c r="AD125" s="2">
        <v>5882.9</v>
      </c>
      <c r="AE125" s="3">
        <f>6288+(1708.8-1463.3)+(0+(0-0))+0-650.6-0</f>
        <v>5882.9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5006.2+(2094.4-537.1)+(5.106324+(2.136288-0.547842))+0-646.1-0.659022000000103</f>
        <v>5923.4357479999999</v>
      </c>
      <c r="G126" s="3">
        <f>4208.6+(2604.9-437.7)+(0+(0-0))+0-583.5-0</f>
        <v>5792.3000000000011</v>
      </c>
      <c r="H126" s="3">
        <f>3475.2+(3394.8-439)+(3.544704+(3.462696-0.44778))+0-764.4-0.779688000000122</f>
        <v>5672.3799319999998</v>
      </c>
      <c r="I126" s="3">
        <f>3203.6+(3443.1-459.4)+(1.633836+(1.755981-0.234294))+0-649.9-0.331448999999934</f>
        <v>5540.2240739999997</v>
      </c>
      <c r="J126" s="3">
        <f>3295.3+(3432-474)+(-1.680603+(-1.75032--0.24174))+0-731.3--0.372962999999926</f>
        <v>5519.1837799999994</v>
      </c>
      <c r="K126" s="3">
        <f>2911.6+(3705.3-555.2)+(-5.939664+(-7.558812--1.132608))+0-688.1--1.40372399999997</f>
        <v>5362.6378560000003</v>
      </c>
      <c r="L126" s="3">
        <f>2915.1+(3533.9-604.1)+(0+(0-0))+0-708.8-0</f>
        <v>5136.0999999999995</v>
      </c>
      <c r="M126" s="3">
        <f>2949.2+(3335.2-617.9)+(1.504092+(1.700952-0.315129))+0-703.5-0.358784999999929</f>
        <v>4965.5311299999994</v>
      </c>
      <c r="N126" s="3">
        <f>3132.3+(3187.7-603.8)+(1.597473+(1.625727-0.307938))+0-635.8-0.324257999999935</f>
        <v>5082.9910040000004</v>
      </c>
      <c r="O126" s="3">
        <f>3568.5+(2900-645.7)+(1.819935+(1.479-0.329307))+0-618.6-0.315485999999937</f>
        <v>5206.8541420000001</v>
      </c>
      <c r="P126" s="3">
        <f>4195.2+(2463-620.5)+(-2.139552+(-1.25613--0.316455))+0-680.9--0.347258999999931</f>
        <v>5354.0680320000001</v>
      </c>
      <c r="Q126" s="3">
        <f>5591.7+(1863.5-1120.2)+(8.555301+(2.851155-1.713906))+0-669.3-1.02402900000004</f>
        <v>5674.3685209999994</v>
      </c>
      <c r="R126" s="3">
        <f>6534+(1541-1443.7)+(-9.99702+(-2.35773--2.208861))+0-648.2--0.991746000000038</f>
        <v>5973.9458569999997</v>
      </c>
      <c r="S126" s="3">
        <f>6536.7+(1724.4-1330.3)+(-3.333717+(-0.879444--0.678453))+0-689.9--0.35184899999993</f>
        <v>6237.7171410000001</v>
      </c>
      <c r="T126" s="3">
        <f>6477.8+(1786-1372.5)+(-9.911034+(-2.73258--2.099925))+0-543.1--0.830943000000031</f>
        <v>6338.4872539999997</v>
      </c>
      <c r="U126" s="3">
        <f>6133.7+(2002.2-1271.1)+(-6.256374+(-2.042244--1.296522))+0-496.1--0.506022000000079</f>
        <v>6362.2039260000001</v>
      </c>
      <c r="V126" s="3">
        <f>5709.1+(2194.2-1083.3)+(2.911641+(1.119042-0.552483))+0-590.7-0.30125699999994</f>
        <v>6232.4769429999997</v>
      </c>
      <c r="W126" s="3">
        <f>5247.3+(2385.2-919.2)+(-2.676123+(-1.216452--0.468792))+0-726.5--0.370514999999926</f>
        <v>5983.7467319999996</v>
      </c>
      <c r="X126" s="3">
        <f>3900.6+(3079.6-594)+(-5.967918+(-4.711788--0.90882))+0-649.4--0.993582000000037</f>
        <v>5728.022696</v>
      </c>
      <c r="Y126" s="3">
        <f>3614.1+(2983.5-673)+(-1.843191+(-1.521585--0.34323))+0-637.5--0.325124999999935</f>
        <v>5284.4035790000007</v>
      </c>
      <c r="Z126" s="3">
        <f>4728.1+(2465.3-876.3)+(4.822662+(2.514606-0.893826))+0-604.2-0.616284000000096</f>
        <v>5718.7271580000006</v>
      </c>
      <c r="AA126" s="3">
        <f>5946.4+(1950.6-1131.1)+(3.032664+(0.994806-0.576861))+0-765.6-0.390455999999922</f>
        <v>6003.3601529999996</v>
      </c>
      <c r="AB126" s="3">
        <f>5515.1+(2148.9-991.9)+(-11.250804+(-4.383756--2.023476))+0-649--1.32395999999997</f>
        <v>6010.812876</v>
      </c>
      <c r="AC126" s="3">
        <f>5339.4+(2306.3-818.7)+(2.723094+(1.176213-0.417537))+0-756.6-0.385865999999923</f>
        <v>6073.4959040000003</v>
      </c>
      <c r="AD126" s="2">
        <v>6033.2999999999993</v>
      </c>
      <c r="AE126" s="3">
        <f>6078+(1892.5-1109.6)+(0+(0-0))+0-827.6-0</f>
        <v>6033.2999999999993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4990.1+(2231.3-677.3)+(2.544951+(1.137963-0.345423))+0-660-0.336599999999933</f>
        <v>5887.100891000001</v>
      </c>
      <c r="G127" s="3">
        <f>4641.1+(2644-604.2)+(2.366961+(1.34844-0.308142))+0-736.7-0.375716999999925</f>
        <v>5947.2315420000004</v>
      </c>
      <c r="H127" s="3">
        <f>4033.4+(3043.2-631.8)+(2.057034+(1.552032-0.322218))+0-674-0.343739999999932</f>
        <v>5773.7431079999988</v>
      </c>
      <c r="I127" s="3">
        <f>3807.5+(3158.3-641.2)+(3.88365+(3.221466-0.654024))+0-653-0.666060000000104</f>
        <v>5677.3850320000001</v>
      </c>
      <c r="J127" s="3">
        <f>3650.6+(3283.5-636.8)+(1.861806+(1.674585-0.324768))+0-643.6-0.328235999999935</f>
        <v>5656.5833869999988</v>
      </c>
      <c r="K127" s="3">
        <f>2975.3+(3758.3-611.3)+(-6.069612+(-7.666932--1.247052))+0-622.3--1.26949199999997</f>
        <v>5488.7800000000007</v>
      </c>
      <c r="L127" s="3">
        <f>2795.4+(3796.1-631.6)+(-1.425654+(-1.936011--0.322116))+0-708.2--0.361181999999928</f>
        <v>5249.0216329999994</v>
      </c>
      <c r="M127" s="3">
        <f>2853+(3442.1-623.1)+(2.91006+(3.510942-0.635562))+0-591.8-0.603636000000094</f>
        <v>5085.3818039999996</v>
      </c>
      <c r="N127" s="3">
        <f>3186.6+(3308.4-634.5)+(1.625166+(1.687284-0.323595))+0-696.9-0.355418999999929</f>
        <v>5166.2334360000004</v>
      </c>
      <c r="O127" s="3">
        <f>3342.5+(3232.3-636.5)+(-3.40935+(-3.296946--0.64923))+0-696.9--0.710838000000111</f>
        <v>5236.0537720000002</v>
      </c>
      <c r="P127" s="3">
        <f>4233.9+(2668.9-721.3)+(8.637156+(5.444556-1.471452))+0-649.3-1.32457199999997</f>
        <v>5543.4856880000007</v>
      </c>
      <c r="Q127" s="3">
        <f>5133.8+(2152-915.1)+(2.618238+(1.09752-0.466701))+0-569.7-0.290546999999942</f>
        <v>5803.9585100000013</v>
      </c>
      <c r="R127" s="3">
        <f>5794.5+(1873.6-1052.4)+(5.91039+(1.911072-1.073448))+0-550.3-0.561306000000088</f>
        <v>6071.5867079999989</v>
      </c>
      <c r="S127" s="3">
        <f>6075.3+(1875.1-1184.1)+(-9.295209+(-2.868903--1.811673))+0-492.2--0.753066000000028</f>
        <v>6264.5006270000003</v>
      </c>
      <c r="T127" s="3">
        <f>6270.1+(1836.5-1307.8)+(-12.791004+(-3.74646--2.667912))+0-458--0.93431999999998</f>
        <v>6327.8647680000004</v>
      </c>
      <c r="U127" s="3">
        <f>5881.2+(2000.1-1035.1)+(-11.997648+(-4.080204--2.111604))+0-454.6--0.92738399999998</f>
        <v>6378.5611359999994</v>
      </c>
      <c r="V127" s="3">
        <f>5679.1+(2073.5-978.9)+(-5.792682+(-2.11497--0.998478))+0-432.3--0.440946000000069</f>
        <v>6334.9317719999999</v>
      </c>
      <c r="W127" s="3">
        <f>5522.8+(1951.5-852.6)+(-2.816628+(-0.995265--0.434826))+0-451.7--0.230366999999954</f>
        <v>6166.8533000000007</v>
      </c>
      <c r="X127" s="3">
        <f>4663+(2454.7-636.9)+(-11.89065+(-6.259485--1.624095))+0-651--1.66004999999991</f>
        <v>5814.934009999999</v>
      </c>
      <c r="Y127" s="3">
        <f>4017.2+(2747.1-606.5)+(-12.292632+(-8.406126--1.85589))+0-711.9--2.17841400000008</f>
        <v>5429.2355459999999</v>
      </c>
      <c r="Z127" s="3">
        <f>5088.9+(2168.3-805.9)+(5.190678+(2.211666-0.822018))+0-678.5-0.692070000000108</f>
        <v>5778.6882559999995</v>
      </c>
      <c r="AA127" s="3">
        <f>5650.5+(2079.7-935.9)+(-8.645265+(-3.181941--1.431927))+0-737.1--1.12776300000004</f>
        <v>6047.932483999999</v>
      </c>
      <c r="AB127" s="3">
        <f>5334.1+(2327.6-945.3)+(-13.601955+(-5.93538--2.410515))+0-641.7--1.63633499999991</f>
        <v>6059.2095150000005</v>
      </c>
      <c r="AC127" s="3">
        <f>5076.1+(2617-861.1)+(-10.355244+(-5.33868--1.756644))+0-777.5--1.58609999999997</f>
        <v>6042.1488199999994</v>
      </c>
      <c r="AD127" s="2">
        <v>6045.3</v>
      </c>
      <c r="AE127" s="3">
        <f>6051+(1847.8-1104.8)+(0+(0-0))+0-748.7-0</f>
        <v>6045.3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5061.6+(2442.8-839.2)+(-2.581416+(-1.245828--0.427992))+0-622.4--0.317423999999937</f>
        <v>6039.7181720000008</v>
      </c>
      <c r="G128" s="3">
        <f>4970.1+(2443.1-727.3)+(-5.069502+(-2.491962--0.741846))+0-755.3--0.77040600000012</f>
        <v>5924.5507880000005</v>
      </c>
      <c r="H128" s="3">
        <f>4775.7+(2211.5-686.1)+(2.435607+(1.127865-0.349911))+0-522.6-0.266525999999947</f>
        <v>5781.4470349999992</v>
      </c>
      <c r="I128" s="3">
        <f>4784.7+(2323.8-657.6)+(0+(0-0))+0-775.2-0</f>
        <v>5675.7</v>
      </c>
      <c r="J128" s="3">
        <f>4399.5+(2470.8-642.5)+(-8.97498+(-5.040432--1.3107))+0-597.8--1.21951199999997</f>
        <v>5618.5147999999999</v>
      </c>
      <c r="K128" s="3">
        <f>3637.3+(3125.6-527.2)+(-9.275115+(-7.97028--1.34436))+0-741.2--1.89005999999989</f>
        <v>5480.4890249999999</v>
      </c>
      <c r="L128" s="3">
        <f>3169.6+(3386.5-671.3)+(-8.08248+(-8.635575--1.711815))+5-673.1--1.7164049999999</f>
        <v>5203.4101649999993</v>
      </c>
      <c r="M128" s="3">
        <f>3329.9+(3033.8-662.8)+(1.698249+(1.547238-0.338028))+25-661.1-0.337160999999933</f>
        <v>5067.3702979999989</v>
      </c>
      <c r="N128" s="3">
        <f>3651+(2853.2-696.9)+(3.72402+(2.910264-0.710838))+25-719.6-0.733992000000115</f>
        <v>5117.8894539999983</v>
      </c>
      <c r="O128" s="3">
        <f>3851.9+(2532.8-673.3)+(5.893407+(3.875184-1.030149))+11.3-522.7-0.79973100000003</f>
        <v>5207.9387110000007</v>
      </c>
      <c r="P128" s="3">
        <f>4134.9+(2678.4-675.9)+(4.217598+(2.731968-0.689418))+0-562.9-0.57415800000009</f>
        <v>5580.1859899999999</v>
      </c>
      <c r="Q128" s="3">
        <f>4975.1+(2193.4-679)+(7.611903+(3.355902-1.03887))+0-700.5-1.07176500000004</f>
        <v>5797.8571700000002</v>
      </c>
      <c r="R128" s="3">
        <f>5755.7+(1830.5-921.7)+(-8.806221+(-2.800665--1.410201))+0-642.1--0.982413000000037</f>
        <v>6013.1857279999995</v>
      </c>
      <c r="S128" s="3">
        <f>5721+(1901.6-829.3)+(-5.83542+(-1.939632--0.845886))+0-691.6--0.70543200000011</f>
        <v>6095.4762659999997</v>
      </c>
      <c r="T128" s="3">
        <f>6622.5+(1739.2-1299.3)+(-6.75495+(-1.773984--1.325286))+0-743.7--0.758574000000119</f>
        <v>6312.2549260000005</v>
      </c>
      <c r="U128" s="3">
        <f>6636.7+(1702.6-1408.6)+(-10.154151+(-2.604978--2.155158))+0-628.1--0.960993000000036</f>
        <v>6292.9570219999996</v>
      </c>
      <c r="V128" s="3">
        <f>6329.2+(1815.7-1154.4)+(-9.683676+(-2.778021--1.766232))+0-725.4--1.10986200000004</f>
        <v>6255.5143970000008</v>
      </c>
      <c r="W128" s="3">
        <f>5839+(1800.8-933.2)+(-14.88945+(-4.59204--2.37966))+0-637.8--1.62638999999991</f>
        <v>6053.3245600000009</v>
      </c>
      <c r="X128" s="3">
        <f>5141.9+(1904.1-740.5)+(-5.244738+(-1.942182--0.75531))+0-646.6--0.659532000000103</f>
        <v>5653.1279219999997</v>
      </c>
      <c r="Y128" s="3">
        <f>4463.9+(2111.1-695.9)+(-2.276589+(-1.076661--0.354909))+0-601.3--0.306662999999939</f>
        <v>5275.1083219999991</v>
      </c>
      <c r="Z128" s="3">
        <f>5028.9+(2096.3-834.5)+(5.129478+(2.138226-0.85119))+0-672.8-0.686256000000107</f>
        <v>5623.6302579999992</v>
      </c>
      <c r="AA128" s="3">
        <f>5300.6+(2133.9-939.3)+(-10.813224+(-4.353156--1.916172))+0-530.6--1.08242399999998</f>
        <v>5952.4322160000002</v>
      </c>
      <c r="AB128" s="3">
        <f>5245.1+(2224.8-850.9)+(-2.675001+(-1.134648--0.433959))+0-676.4--0.344963999999931</f>
        <v>5939.5692740000004</v>
      </c>
      <c r="AC128" s="3">
        <f>5121.7+(2248.7-793.5)+(-7.836201+(-3.440511--1.214055))+0-626.3--0.958239000000036</f>
        <v>5941.4955819999986</v>
      </c>
      <c r="AD128" s="2">
        <v>6040.9000000000005</v>
      </c>
      <c r="AE128" s="3">
        <f>5456+(2106.1-923.9)+(0+(0-0))+0-597.3-0</f>
        <v>6040.9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4994.8+(2415.5-777.4)+(0+(0-0))+0-694-0</f>
        <v>5938.9</v>
      </c>
      <c r="G129" s="3">
        <f>4077.2+(2972.9-640.8)+(2.079372+(1.516179-0.326808))+0-591.2-0.30151199999994</f>
        <v>5821.067231</v>
      </c>
      <c r="H129" s="3">
        <f>3758.7+(3168.1-615.9)+(-3.833874+(-3.231462--0.628218))+0-643.8--0.656676000000103</f>
        <v>5661.3195580000001</v>
      </c>
      <c r="I129" s="3">
        <f>3420.6+(3300.9-491)+(-1.744506+(-1.683459--0.25041))+0-662.2--0.337721999999933</f>
        <v>5565.4601670000002</v>
      </c>
      <c r="J129" s="3">
        <f>3337+(3392.5-493.7)+(-5.10561+(-5.190525--0.755361))+0-684.6--1.04743800000004</f>
        <v>5542.7066639999994</v>
      </c>
      <c r="K129" s="3">
        <f>3090.8+(3479.2-477.6)+(-4.728924+(-5.323176--0.730728))+0-703.2--1.07589600000004</f>
        <v>5380.9545239999998</v>
      </c>
      <c r="L129" s="3">
        <f>3063.1+(3221.7-461.7)+(0+(0-0))+0-689-0</f>
        <v>5134.1000000000004</v>
      </c>
      <c r="M129" s="3">
        <f>3289.8+(2826.2-448.8)+(10.066788+(8.648172-1.373328))+0-757.7-2.31856200000009</f>
        <v>4924.5230699999993</v>
      </c>
      <c r="N129" s="3">
        <f>3807.7+(2206.9-475.4)+(9.709635+(5.627595-1.21227))+0-612.5-1.56187499999991</f>
        <v>4939.2630849999996</v>
      </c>
      <c r="O129" s="3">
        <f>4449.4+(1926-534.2)+(13.615164+(5.89356-1.634652))+0-727.7-2.22676200000008</f>
        <v>5129.1473099999994</v>
      </c>
      <c r="P129" s="3">
        <f>4591.2+(1898.4-530)+(0+(0-0))+0-653.9-0</f>
        <v>5305.7000000000007</v>
      </c>
      <c r="Q129" s="3">
        <f>5025.7+(1925.8-685.6)+(7.689321+(2.946474-1.048968))+0-718.1-1.09869300000004</f>
        <v>5556.2881339999994</v>
      </c>
      <c r="R129" s="3">
        <f>5451.3+(1779.7-722.2)+(0+(0-0))+0-666.3-0</f>
        <v>5842.5</v>
      </c>
      <c r="S129" s="3">
        <f>5293.5+(2095.4-564.4)+(-16.19811+(-6.411924--1.727064))+0-791.8--2.42290800000009</f>
        <v>6014.2399380000006</v>
      </c>
      <c r="T129" s="3">
        <f>5353.6+(2107.8-650.5)+(-2.730336+(-1.074978--0.331755))+0-663.8--0.338537999999933</f>
        <v>6143.9649790000003</v>
      </c>
      <c r="U129" s="3">
        <f>5391.2+(2137.9-605.7)+(-2.749512+(-1.090329--0.308907))+0-757.5--0.386324999999923</f>
        <v>6162.7553909999988</v>
      </c>
      <c r="V129" s="3">
        <f>4757.1+(2377.4-493)+(-2.426121+(-1.212474--0.25143))+0-532.3--0.271472999999946</f>
        <v>6106.0843079999995</v>
      </c>
      <c r="W129" s="3">
        <f>4589.6+(2585-484.2)+(4.681392+(2.6367-0.493884))+0-704.5-0.718590000000112</f>
        <v>5992.0056180000001</v>
      </c>
      <c r="X129" s="3">
        <f>3433.9+(3299.2-501.4)+(1.751289+(1.682592-0.255714))+0-691.5-0.35266499999993</f>
        <v>5543.0255019999995</v>
      </c>
      <c r="Y129" s="3">
        <f>2960.4+(3430.1-488)+(0+(0-0))+0-747.9-0</f>
        <v>5154.6000000000004</v>
      </c>
      <c r="Z129" s="3">
        <f>3855.2+(2717.5-498.7)+(-5.898456+(-4.157775--0.763011))+0-682.4--1.04407200000004</f>
        <v>5383.3508520000005</v>
      </c>
      <c r="AA129" s="3">
        <f>4553.2+(2314.8-480.5)+(-2.322132+(-1.180548--0.245055))+0-723.2--0.368831999999927</f>
        <v>5661.4112070000001</v>
      </c>
      <c r="AB129" s="3">
        <f>4410.4+(2369.6-467.8)+(-4.498608+(-2.416992--0.477156))+0-661.2--0.674424000000105</f>
        <v>5645.2359799999995</v>
      </c>
      <c r="AC129" s="3">
        <f>4038.9+(2782.6-471)+(-8.239356+(-5.676504--0.96084))+0-672--1.37087999999997</f>
        <v>5666.9158600000001</v>
      </c>
      <c r="AD129" s="2">
        <v>5675.2</v>
      </c>
      <c r="AE129" s="3">
        <f>4692+(2191.8-485.8)+(0+(0-0))+0-722.8-0</f>
        <v>5675.2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4224.7+(2661.7-470.5)+(-2.154597+(-1.357467--0.239955))+0-726.5--0.370514999999926</f>
        <v>5686.4984059999997</v>
      </c>
      <c r="G130" s="3">
        <f>4190.4+(2620.5-468)+(-2.137104+(-1.336455--0.23868))+0-665.4--0.339353999999932</f>
        <v>5674.6044750000001</v>
      </c>
      <c r="H130" s="3">
        <f>3772.3+(2929.4-476)+(0+(0-0))+0-698.1-0</f>
        <v>5527.6</v>
      </c>
      <c r="I130" s="3">
        <f>3892.5+(2676.8-481.9)+(-9.925875+(-6.82584--1.228845))+0-664.8--1.6952399999999</f>
        <v>5408.7723699999997</v>
      </c>
      <c r="J130" s="3">
        <f>3738.4+(2913-502.8)+(-3.813168+(-2.97126--0.512856))+0-763.5--0.778770000000122</f>
        <v>5379.6071980000006</v>
      </c>
      <c r="K130" s="3">
        <f>2967+(3426.4-484)+(-10.59219+(-12.232248--1.72788))+0-656.3--2.34299100000001</f>
        <v>5234.3464329999997</v>
      </c>
      <c r="L130" s="3">
        <f>2681.4+(3545.9-455)+(-9.572598+(-12.658863--1.62435))+0-709.2--2.53184400000001</f>
        <v>5045.0247330000002</v>
      </c>
      <c r="M130" s="3">
        <f>2866+(3150.2-441.2)+(1.46166+(1.606602-0.225012))+0-715.8-0.365057999999927</f>
        <v>4861.6781919999994</v>
      </c>
      <c r="N130" s="3">
        <f>3043.8+(2895.5-453.8)+(-1.552338+(-1.476705--0.231438))+0-653.6--0.333335999999934</f>
        <v>4829.4357309999996</v>
      </c>
      <c r="O130" s="3">
        <f>3344.5+(2494.1-469.8)+(5.117085+(3.815973-0.718794))+0-510.4-0.780912000000029</f>
        <v>4865.8333520000006</v>
      </c>
      <c r="P130" s="3">
        <f>3519.5+(2581.8-475.3)+(0+(0-0))+0-653.5-0</f>
        <v>4972.5</v>
      </c>
      <c r="Q130" s="3">
        <f>3860.4+(2513-490.4)+(5.906412+(3.84489-0.750312))+0-698.9-1.06931700000004</f>
        <v>5192.0316729999995</v>
      </c>
      <c r="R130" s="3">
        <f>4300.9+(2320.8-498.8)+(4.386918+(2.367216-0.508776))+0-639.4-0.652188000000102</f>
        <v>5489.0931700000001</v>
      </c>
      <c r="S130" s="3">
        <f>5048+(1933.6-521)+(10.29792+(3.944544-1.06284))+0-698.2-1.42432799999997</f>
        <v>5774.1552960000008</v>
      </c>
      <c r="T130" s="3">
        <f>5639.5+(1596.1-643.2)+(11.50458+(3.256044-1.312128))+0-689.6-1.40678399999997</f>
        <v>5914.8417119999995</v>
      </c>
      <c r="U130" s="3">
        <f>5870.8+(1492.6-740.9)+(5.988216+(1.522452-0.755718))+0-647.2-0.660144000000103</f>
        <v>5981.3948059999993</v>
      </c>
      <c r="V130" s="3">
        <f>5492+(1662.5-630.7)+(-2.80092+(-0.847875--0.321657))+0-591.7--0.30176699999994</f>
        <v>5929.0746290000006</v>
      </c>
      <c r="W130" s="3">
        <f>4804.5+(2144.8-522.9)+(4.90059+(2.187696-0.533358))+0-629.8-0.6423960000001</f>
        <v>5802.5125319999988</v>
      </c>
      <c r="X130" s="3">
        <f>3785.6+(2790-518.5)+(-1.930656+(-1.4229--0.264435))+0-668.7--0.341036999999932</f>
        <v>5385.6519160000007</v>
      </c>
      <c r="Y130" s="3">
        <f>3038.5+(3073.7-492.7)+(-6.19854+(-6.270348--1.005108))+0-641.9--1.30947599999997</f>
        <v>4967.4456960000007</v>
      </c>
      <c r="Z130" s="3">
        <f>3853.7+(2404.2-464.5)+(0+(0-0))+0-475-0</f>
        <v>5318.4</v>
      </c>
      <c r="AA130" s="3">
        <f>4510.4+(2284.8-479.2)+(-11.50152+(-5.82624--1.22196))+0-644.8--1.64423999999991</f>
        <v>5656.7384399999992</v>
      </c>
      <c r="AB130" s="3">
        <f>4111.8+(2698.2-483.6)+(0+(0-0))+0-671.2-0</f>
        <v>5655.2</v>
      </c>
      <c r="AC130" s="3">
        <f>4059.2+(2787.6-464.7)+(6.210576+(4.265028-0.710991))+0-707.5-1.08247500000004</f>
        <v>5683.2821380000005</v>
      </c>
      <c r="AD130" s="2">
        <v>5599.1</v>
      </c>
      <c r="AE130" s="3">
        <f>4390+(2515.2-490.4)+(0+(0-0))+0-815.7-0</f>
        <v>5599.0999999999995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3704.9+(3203.1-476.2)+(-7.557996+(-6.534324--0.971448))+0-709.9--1.44819599999997</f>
        <v>5710.2273240000004</v>
      </c>
      <c r="G131" s="3">
        <f>3176.8+(3685.8-471.1)+(-8.10084+(-9.39879--1.201305))+0-709.8--1.8099899999999</f>
        <v>5667.2116649999998</v>
      </c>
      <c r="H131" s="3">
        <f>3089+(3623.5-475)+(-11.02773+(-12.935895--1.69575))+0-706--2.52042000000001</f>
        <v>5511.7525450000003</v>
      </c>
      <c r="I131" s="3">
        <f>3193+(3317.8-469.9)+(0+(0-0))+0-648.5-0</f>
        <v>5392.4</v>
      </c>
      <c r="J131" s="3">
        <f>3179.5+(3362.9-469.2)+(-8.107725+(-8.575395--1.19646))+0-730.3--1.86226499999989</f>
        <v>5329.2756050000007</v>
      </c>
      <c r="K131" s="3">
        <f>2987.1+(3402.9-456.5)+(-9.140526+(-10.412874--1.39689))+0-724.8--2.21788800000008</f>
        <v>5192.7613780000001</v>
      </c>
      <c r="L131" s="3">
        <f>2983.2+(3152.9-439.7)+(0+(0-0))+0-687.3-0</f>
        <v>5009.0999999999995</v>
      </c>
      <c r="M131" s="3">
        <f>3162.1+(2766.7-450.7)+(0+(0-0))+0-643.8-0</f>
        <v>4834.3</v>
      </c>
      <c r="N131" s="3">
        <f>3295.5+(2738.5-452.5)+(-1.680705+(-1.396635--0.230775))+0-628.4--0.320483999999936</f>
        <v>4950.5739190000004</v>
      </c>
      <c r="O131" s="3">
        <f>3674.1+(2510.7-476.9)+(-5.621373+(-3.841371--0.729657))+0-588.7--0.900711000000034</f>
        <v>5111.3676240000004</v>
      </c>
      <c r="P131" s="3">
        <f>4296.3+(2104.7-562.5)+(0+(0-0))+0-602.5-0</f>
        <v>5236</v>
      </c>
      <c r="Q131" s="3">
        <f>5181.8+(1846-1009.9)+(7.928154+(2.82438-1.545147))+0-499.7-0.764541000000029</f>
        <v>5526.6428460000006</v>
      </c>
      <c r="R131" s="3">
        <f>5886.6+(1881.6-1271.6)+(6.004332+(1.919232-1.297032))+0-627-0.6395400000001</f>
        <v>5875.5869920000005</v>
      </c>
      <c r="S131" s="3">
        <f>6231+(1778.5-1284)+(0+(0-0))+0-619.5-0</f>
        <v>6106</v>
      </c>
      <c r="T131" s="3">
        <f>6619.5+(1560.6-1401.3)+(3.375945+(0.795906-0.714663))+0-570.8-0.291107999999942</f>
        <v>6211.16608</v>
      </c>
      <c r="U131" s="3">
        <f>6574.8+(1539.6-1200.7)+(0+(0-0))+0-672.8-0</f>
        <v>6240.9</v>
      </c>
      <c r="V131" s="3">
        <f>6135+(1635.1-861.8)+(3.12885+(0.833901-0.439518))+0-682.2-0.347921999999931</f>
        <v>6229.2753110000003</v>
      </c>
      <c r="W131" s="3">
        <f>5206.8+(2217.8-685.5)+(2.655468+(1.131078-0.349605))+0-672.3-0.342872999999932</f>
        <v>6069.8940680000005</v>
      </c>
      <c r="X131" s="3">
        <f>3786.6+(3005.6-503.8)+(1.931166+(1.532856-0.256938))+0-605.1-0.308600999999939</f>
        <v>5686.1984829999992</v>
      </c>
      <c r="Y131" s="3">
        <f>3443.5+(2899.1-457.6)+(3.51237+(2.957082-0.466752))+0-605.4-0.617508000000097</f>
        <v>5284.9851920000001</v>
      </c>
      <c r="Z131" s="3">
        <f>4310+(2385.6-470.9)+(0+(0-0))+0-623.8-0</f>
        <v>5600.9</v>
      </c>
      <c r="AA131" s="3">
        <f>4958.2+(2086.7-542.6)+(-10.114728+(-4.256868--1.106904))+0-611.9--1.24827599999997</f>
        <v>5878.3835840000002</v>
      </c>
      <c r="AB131" s="3">
        <f>4772.1+(2311-487)+(0+(0-0))+0-724.8-0</f>
        <v>5871.3</v>
      </c>
      <c r="AC131" s="3">
        <f>5034+(1948.8-538.9)+(2.56734+(0.993888-0.274839))+0-559.6-0.285395999999943</f>
        <v>5887.3009929999989</v>
      </c>
      <c r="AD131" s="2">
        <v>6018.5</v>
      </c>
      <c r="AE131" s="3">
        <f>5303+(1998.3-670.8)+(0+(0-0))+0-612-0</f>
        <v>6018.5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4870.4+(2228.3-450.6)+(4.967808+(2.272866-0.459612))+0-758.2-0.773364000000121</f>
        <v>5895.9076980000009</v>
      </c>
      <c r="G132" s="3">
        <f>4028.7+(2773.1-493.7)+(-6.163911+(-4.242843--0.755361))+0-534.7--0.818091000000031</f>
        <v>5764.5666980000005</v>
      </c>
      <c r="H132" s="3">
        <f>3490.8+(3350.8-494)+(0+(0-0))+0-740.4-0</f>
        <v>5607.2000000000007</v>
      </c>
      <c r="I132" s="3">
        <f>3239+(3350.2-492.8)+(-3.30378+(-3.417204--0.502656))+0-574.2--0.585684000000092</f>
        <v>5516.5673559999996</v>
      </c>
      <c r="J132" s="3">
        <f>3123+(3524.1-491.3)+(-6.37092+(-7.189164--1.002252))+0-649--1.32395999999997</f>
        <v>5495.5661279999986</v>
      </c>
      <c r="K132" s="3">
        <f>2973.4+(3453.5-462.7)+(-7.58217+(-8.806425--1.179885))+0-590.9--1.50679499999991</f>
        <v>5359.5980850000014</v>
      </c>
      <c r="L132" s="3">
        <f>3033.1+(3192.5-458.8)+(-3.093762+(-3.25635--0.467976))+0-596.8--0.608736000000095</f>
        <v>5164.7265999999991</v>
      </c>
      <c r="M132" s="3">
        <f>3027.6+(3081.5-470.2)+(1.544076+(1.571565-0.239802))+0-624.3-0.318392999999937</f>
        <v>5017.1574460000002</v>
      </c>
      <c r="N132" s="3">
        <f>3115.4+(3059.6-502.4)+(3.177708+(3.120792-0.512448))+0-577.8-0.589356000000092</f>
        <v>5099.9966960000002</v>
      </c>
      <c r="O132" s="3">
        <f>3358.2+(2911.7-489.1)+(5.138046+(4.454901-0.748323))+0-573.1-0.876843000000033</f>
        <v>5215.6677809999992</v>
      </c>
      <c r="P132" s="3">
        <f>4075.9+(2449.2-499.7)+(4.157418+(2.498184-0.509694))+0-572.2-0.583644000000091</f>
        <v>5458.762264</v>
      </c>
      <c r="Q132" s="3">
        <f>5472.2+(1581.5-885.1)+(11.163288+(3.22626-1.805604))+0-563.6-1.14974399999998</f>
        <v>5616.4341999999988</v>
      </c>
      <c r="R132" s="3">
        <f>6067.5+(1577.8-1097.8)+(9.283275+(2.414034-1.679634))+0-644.3-0.985779000000037</f>
        <v>5912.2318960000002</v>
      </c>
      <c r="S132" s="3">
        <f>6272.6+(1547.9-1102.5)+(9.597078+(2.368287-1.686825))+0-569.7-0.871641000000033</f>
        <v>6157.7068990000007</v>
      </c>
      <c r="T132" s="3">
        <f>6545.7+(1627.5-1384)+(-6.676614+(-1.66005--1.41168))+0-564.8--0.57609600000009</f>
        <v>6218.0511119999992</v>
      </c>
      <c r="U132" s="3">
        <f>6294.5+(1736.4-1174.5)+(6.42039+(1.771128-1.19799))+0-575.8-0.587316000000092</f>
        <v>6287.0062119999993</v>
      </c>
      <c r="V132" s="3">
        <f>5938.2+(1743.4-986.3)+(0+(0-0))+0-623.7-0</f>
        <v>6071.6</v>
      </c>
      <c r="W132" s="3">
        <f>5179.9+(1738-633.1)+(0+(0-0))+0-553-0</f>
        <v>5731.7999999999993</v>
      </c>
      <c r="X132" s="3">
        <f>3882.9+(2768-495)+(1.980279+(1.41168-0.25245))+0-659.6-0.336395999999933</f>
        <v>5499.1031129999992</v>
      </c>
      <c r="Y132" s="3">
        <f>3333.2+(2924.3-495.7)+(5.099796+(4.474179-0.758421))+0-560.2-0.857106000000032</f>
        <v>5209.5584479999998</v>
      </c>
      <c r="Z132" s="3">
        <f>4540.4+(2199.7-570.6)+(0+(0-0))+0-628.3-0</f>
        <v>5541.2</v>
      </c>
      <c r="AA132" s="3">
        <f>5084.4+(2143-699.3)+(-18.151308+(-7.65051--2.496501))+0-701.6--2.50471200000001</f>
        <v>5805.6993949999987</v>
      </c>
      <c r="AB132" s="3">
        <f>4855.2+(2161.4-585.4)+(-7.428456+(-3.306942--0.895662))+0-617.7--0.945081000000036</f>
        <v>5804.6053449999999</v>
      </c>
      <c r="AC132" s="3">
        <f>4985.6+(2155.6-610.6)+(2.542656+(1.099356-0.311406))+0-699.7-0.356846999999929</f>
        <v>5833.873759000001</v>
      </c>
      <c r="AD132" s="2">
        <v>5752.5</v>
      </c>
      <c r="AE132" s="3">
        <f>5213+(2026.6-753)+(0+(0-0))+0-734.1-0</f>
        <v>5752.5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4734.6+(2217.4-505)+(-4.829292+(-2.261748--0.5151))+0-618.9--0.631278000000099</f>
        <v>5822.1553380000005</v>
      </c>
      <c r="G133" s="3">
        <f>4156.9+(2771-458.6)+(-8.480076+(-5.65284--0.935544))+0-720.6--1.47002399999997</f>
        <v>5736.9726519999995</v>
      </c>
      <c r="H133" s="3">
        <f>3729.2+(2932.4-481)+(-5.705676+(-4.486572--0.73593))+0-560.2--0.857106000000032</f>
        <v>5611.8007880000014</v>
      </c>
      <c r="I133" s="3">
        <f>3457.4+(3228.7-475.2)+(-1.763274+(-1.646637--0.242352))+0-704.9--0.359498999999928</f>
        <v>5503.1919399999997</v>
      </c>
      <c r="J133" s="3">
        <f>3287.4+(3244-473.7)+(-6.706296+(-6.61776--0.966348))+0-597.1--1.21808399999997</f>
        <v>5449.4603760000009</v>
      </c>
      <c r="K133" s="3">
        <f>3182.3+(3335.4-470.2)+(-4.868919+(-5.103162--0.719406))+0-743.1--1.13694300000004</f>
        <v>5296.2842680000003</v>
      </c>
      <c r="L133" s="3">
        <f>3127+(2978.3-466.8)+(0+(0-0))+0-570.5-0</f>
        <v>5068</v>
      </c>
      <c r="M133" s="3">
        <f>3238.6+(2814.5-467)+(4.955058+(4.306185-0.71451))+0-674.7-1.03229100000004</f>
        <v>4918.9144420000002</v>
      </c>
      <c r="N133" s="3">
        <f>3172.3+(2884.9-466.1)+(1.617873+(1.471299-0.237711))+0-559.5-0.285344999999943</f>
        <v>5034.1661160000003</v>
      </c>
      <c r="O133" s="3">
        <f>3473.6+(2838.6-483.7)+(1.771536+(1.447686-0.246687))+0-608.9-0.310538999999938</f>
        <v>5222.2619960000002</v>
      </c>
      <c r="P133" s="3">
        <f>4084.3+(2365.2-481.4)+(8.331972+(4.825008-0.982056))+0-555.2-1.13260799999998</f>
        <v>5423.9423160000006</v>
      </c>
      <c r="Q133" s="3">
        <f>5213+(1658.3-548.2)+(7.97589+(2.537199-0.838746))+0-605.3-0.926109000000035</f>
        <v>5726.5482339999999</v>
      </c>
      <c r="R133" s="3">
        <f>6096.9+(1649.4-1161.7)+(-12.437676+(-3.364776--2.369868))+0-594.6--1.21298399999997</f>
        <v>5977.7803999999987</v>
      </c>
      <c r="S133" s="3">
        <f>5875.3+(1771.1-940.4)+(-8.989209+(-2.709783--1.438812))+0-604.4--0.924732000000035</f>
        <v>6092.2645520000005</v>
      </c>
      <c r="T133" s="3">
        <f>6082.6+(1670.4-930.7)+(9.306378+(2.555712-1.423971))+0-590.4-0.903312000000034</f>
        <v>6241.4348070000005</v>
      </c>
      <c r="U133" s="3">
        <f>5908.8+(1866.8-992.2)+(6.026976+(1.904136-1.012044))+0-563.7-0.57497400000009</f>
        <v>6226.0440939999999</v>
      </c>
      <c r="V133" s="3">
        <f>5627.8+(2077.8-983.2)+(2.870178+(1.059678-0.501432))+0-556-0.283559999999944</f>
        <v>6169.5448640000004</v>
      </c>
      <c r="W133" s="3">
        <f>4633.4+(2452.6-550.4)+(-2.363034+(-1.250826--0.280704))+0-547.6--0.279275999999944</f>
        <v>5984.9461199999996</v>
      </c>
      <c r="X133" s="3">
        <f>3427.8+(3246.9-491.2)+(3.496356+(3.311838-0.501024))+0-525-0.535500000000084</f>
        <v>5664.2716700000001</v>
      </c>
      <c r="Y133" s="3">
        <f>3353.3+(3074.7-498.6)+(6.840732+(6.272388-1.017144))+0-628.4-1.28193599999997</f>
        <v>5311.8140399999993</v>
      </c>
      <c r="Z133" s="3">
        <f>4032.4+(2632-516.6)+(2.056524+(1.34232-0.263466))+0-523.4-0.266933999999947</f>
        <v>5627.2684440000003</v>
      </c>
      <c r="AA133" s="3">
        <f>4942.2+(2131.1-573.6)+(-10.082088+(-4.347444--1.170144))+0-613.8--1.25215199999997</f>
        <v>5873.8927639999993</v>
      </c>
      <c r="AB133" s="3">
        <f>5108.6+(1904.1-553.5)+(5.210772+(1.942182-0.56457))+0-552.9-0.563958000000088</f>
        <v>5912.324426000001</v>
      </c>
      <c r="AC133" s="3">
        <f>5191.9+(2011.2-561)+(0+(0-0))+0-704-0</f>
        <v>5938.0999999999995</v>
      </c>
      <c r="AD133" s="2">
        <v>5851.4999999999991</v>
      </c>
      <c r="AE133" s="3">
        <f>5100+(2040.2-643.6)+(0+(0-0))+0-645.1-0</f>
        <v>5851.5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4742.7+(2419.7-522.4)+(-7.256331+(-3.702141--0.799272))+0-677.3--1.03626900000004</f>
        <v>5953.5770689999999</v>
      </c>
      <c r="G134" s="3">
        <f>4423+(2642.2-463.3)+(-4.51146+(-2.695044--0.472566))+0-698.9--0.712878000000111</f>
        <v>5896.97894</v>
      </c>
      <c r="H134" s="3">
        <f>4049.5+(2883.4-483.7)+(-2.065245+(-1.470534--0.246687))+0-715.3--0.364802999999927</f>
        <v>5730.975711</v>
      </c>
      <c r="I134" s="3">
        <f>3718.7+(2960.8-475.1)+(-3.793074+(-3.020016--0.484602))+0-595.1--0.607002000000095</f>
        <v>5603.5785139999989</v>
      </c>
      <c r="J134" s="3">
        <f>3593.6+(3177.1-505.3)+(3.665472+(3.240642-0.515406))+0-707-0.721140000000113</f>
        <v>5564.069567999999</v>
      </c>
      <c r="K134" s="3">
        <f>3162.4+(3284.1-477.9)+(1.612824+(1.674891-0.243729))+0-568.7-0.290036999999942</f>
        <v>5402.6539490000005</v>
      </c>
      <c r="L134" s="3">
        <f>2997.2+(3225.2-469.7)+(-4.585716+(-4.934556--0.718641))+0-604--0.924120000000035</f>
        <v>5140.8224889999992</v>
      </c>
      <c r="M134" s="3">
        <f>3037.2+(2940.6-475.3)+(1.548972+(1.499706-0.242403))+0-541.7-0.276266999999945</f>
        <v>4963.3300079999999</v>
      </c>
      <c r="N134" s="3">
        <f>3178.8+(2939-483.3)+(3.242376+(2.99778-0.492966))+0-587.2-0.598944000000094</f>
        <v>5052.4482459999999</v>
      </c>
      <c r="O134" s="3">
        <f>3487.2+(2697.1-484)+(3.556944+(2.751042-0.49368))+0-561.2-0.57242400000009</f>
        <v>5144.3418819999997</v>
      </c>
      <c r="P134" s="3">
        <f>3899.8+(2504.7-486.7)+(1.988898+(1.277397-0.248217))+0-550.1-0.280550999999944</f>
        <v>5370.437527</v>
      </c>
      <c r="Q134" s="3">
        <f>5306.9+(1638.2-728.1)+(5.413038+(1.670964-0.742662))+0-536.6-0.547332000000086</f>
        <v>5686.1940079999995</v>
      </c>
      <c r="R134" s="3">
        <f>5869.3+(1673.3-952.1)+(2.993343+(0.853383-0.485571))+0-546.3-0.278612999999945</f>
        <v>6047.2825419999999</v>
      </c>
      <c r="S134" s="3">
        <f>6007.1+(1725.1-967.4)+(3.063621+(0.879801-0.493374))+0-529.4-0.269993999999946</f>
        <v>6238.580054</v>
      </c>
      <c r="T134" s="3">
        <f>6435.7+(1664.9-1165.6)+(3.282207+(0.849099-0.594456))+0-591.6-0.30171599999994</f>
        <v>6346.6351340000001</v>
      </c>
      <c r="U134" s="3">
        <f>6397.9+(1843.1-1172.9)+(-9.788787+(-2.819943--1.794537))+0-726.9--1.11215700000004</f>
        <v>6331.4979640000001</v>
      </c>
      <c r="V134" s="3">
        <f>5806.2+(1733.2-601.2)+(2.961162+(0.883932-0.306612))+0-595.9-0.30390899999994</f>
        <v>6345.5345729999999</v>
      </c>
      <c r="W134" s="3">
        <f>4818+(2130.5-299.6)+(-4.91436+(-2.17311--0.305592))+0-694.9--0.708798000000111</f>
        <v>5947.9269199999999</v>
      </c>
      <c r="X134" s="3">
        <f>3736.5+(3032.6-311.4)+(-5.716845+(-4.639878--0.476442))+0-610.6--0.934218000000035</f>
        <v>5838.153937</v>
      </c>
      <c r="Y134" s="3">
        <f>3715.1+(2832.2-470.8)+(3.789402+(2.888844-0.480216))+0-737.5-0.752250000000118</f>
        <v>5344.4457799999991</v>
      </c>
      <c r="Z134" s="3">
        <f>5140.6+(1906.8-599.4)+(5.243412+(1.944936-0.611388))+0-648.4-0.661368000000103</f>
        <v>5805.5155920000007</v>
      </c>
      <c r="AA134" s="3">
        <f>5807.3+(1728.1-751.4)+(-5.923446+(-1.762662--0.766428))+0-724.2--0.738684000000115</f>
        <v>6053.6190040000001</v>
      </c>
      <c r="AB134" s="3">
        <f>5648.8+(1809.6-741)+(2.880888+(0.922896-0.37791))+0-680.1-0.346850999999931</f>
        <v>6040.3790229999986</v>
      </c>
      <c r="AC134" s="3">
        <f>5571.5+(1946-736.6)+(14.207325+(4.9623-1.87833))+0-724.5-1.84747499999989</f>
        <v>6071.8438200000001</v>
      </c>
      <c r="AD134" s="2">
        <v>6044.5</v>
      </c>
      <c r="AE134" s="3">
        <f>6199.1+(1474.8-917.6)+(0+(0-0))+0-711.8-0</f>
        <v>6044.5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5353.1+(2090.2-638.3)+(8.190243+(3.198006-0.976599))+0-711.8-1.08905400000004</f>
        <v>6102.5225959999998</v>
      </c>
      <c r="G135" s="3">
        <f>4051.3+(3118.2-497.6)+(-2.066163+(-1.590282--0.253776))+0-681.4--0.347513999999931</f>
        <v>5987.444845</v>
      </c>
      <c r="H135" s="3">
        <f>3335+(3592.1-475.8)+(3.4017+(3.663942-0.485316))+0-598.5-0.610470000000095</f>
        <v>5858.769855999999</v>
      </c>
      <c r="I135" s="3">
        <f>3236.9+(3633.3-489.6)+(3.301638+(3.705966-0.499392))+0-658.8-0.671976000000105</f>
        <v>5727.6362359999994</v>
      </c>
      <c r="J135" s="3">
        <f>3252.2+(3581.4-502.3)+(6.634488+(7.306056-1.024692))+0-687.2-1.40188799999997</f>
        <v>5655.6139639999992</v>
      </c>
      <c r="K135" s="3">
        <f>3227.5+(3534.8-490.1)+(-9.87615+(-10.816488--1.499706))+0-737.5--2.25675000000009</f>
        <v>5517.7638180000013</v>
      </c>
      <c r="L135" s="3">
        <f>3292.6+(3138-475.9)+(-8.39613+(-8.0019--1.213545))+0-674.6--1.7202299999999</f>
        <v>5266.6357449999996</v>
      </c>
      <c r="M135" s="3">
        <f>3349.5+(2889.1-475.9)+(0+(0-0))+0-669.1-0</f>
        <v>5093.5999999999995</v>
      </c>
      <c r="N135" s="3">
        <f>3492.6+(2741-476.8)+(-1.781226+(-1.39791--0.243168))+0-609.7--0.310946999999938</f>
        <v>5144.4749789999996</v>
      </c>
      <c r="O135" s="3">
        <f>3567.9+(2651.4-486.9)+(0+(0-0))+0-465.8-0</f>
        <v>5266.5999999999995</v>
      </c>
      <c r="P135" s="3">
        <f>4569.4+(1997.3-516.6)+(6.991182+(3.055869-0.790398))+0-563.5-0.862155000000033</f>
        <v>5494.994498</v>
      </c>
      <c r="Q135" s="3">
        <f>5579.7+(1603.7-837)+(8.536941+(2.453661-1.28061))+0-536.7-0.821151000000031</f>
        <v>5818.5888409999998</v>
      </c>
      <c r="R135" s="3">
        <f>6095.1+(1613.2-1053.7)+(-6.217002+(-1.645464--1.074774))+0-548--0.558960000000087</f>
        <v>6100.3712680000008</v>
      </c>
      <c r="S135" s="3">
        <f>6154.8+(1742.5-987.4)+(-3.138948+(-0.888675--0.503574))+0-556.1--0.283610999999944</f>
        <v>6350.5595620000004</v>
      </c>
      <c r="T135" s="3">
        <f>6731.3+(1633-1243.9)+(-13.731852+(-3.33132--2.537556))+0-698.2--1.42432799999997</f>
        <v>6409.098712</v>
      </c>
      <c r="U135" s="3">
        <f>6562.6+(1573.3-1176.1)+(-10.040778+(-2.407149--1.799433))+0-576.4--0.881892000000033</f>
        <v>6373.6333980000009</v>
      </c>
      <c r="V135" s="3">
        <f>6247.8+(1640.1-922)+(0+(0-0))+0-649-0</f>
        <v>6316.9</v>
      </c>
      <c r="W135" s="3">
        <f>5545.1+(1937.6-675.5)+(8.484003+(2.964528-1.033515))+0-626.7-0.958851000000036</f>
        <v>6189.9561650000005</v>
      </c>
      <c r="X135" s="3">
        <f>4179.4+(2729-485.6)+(6.394482+(4.17537-0.742968))+0-598.3-0.915399000000034</f>
        <v>5833.4114849999987</v>
      </c>
      <c r="Y135" s="3">
        <f>3800.4+(2764.6-478.5)+(7.752816+(5.639784-0.97614))+0-657-1.34027999999997</f>
        <v>5440.57618</v>
      </c>
      <c r="Z135" s="3">
        <f>4924.1+(2029.5-596.1)+(5.022582+(2.07009-0.608022))+0-633.9-0.646578000000101</f>
        <v>5729.4380720000008</v>
      </c>
      <c r="AA135" s="3">
        <f>5480.7+(1775.8-711.2)+(-11.180628+(-3.622632--1.450848))+0-594.5--1.21277999999997</f>
        <v>5938.6603679999989</v>
      </c>
      <c r="AB135" s="3">
        <f>5053.1+(2045.8-553.6)+(-2.577081+(-1.043358--0.282336))+0-589.9--0.30084899999994</f>
        <v>5952.3627460000007</v>
      </c>
      <c r="AC135" s="3">
        <f>4628.9+(2497.5-500.9)+(-2.360739+(-1.273725--0.255459))+0-687.8--0.35077799999993</f>
        <v>5934.671773</v>
      </c>
      <c r="AD135" s="2">
        <v>5937.5000000000009</v>
      </c>
      <c r="AE135" s="3">
        <f>5813+(1746.6-925.7)+(0+(0-0))+0-696.4-0</f>
        <v>5937.5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4056.9+(2844.1-490.7)+(2.069019+(1.450491-0.250257))+28.4-534.7-0.272696999999946</f>
        <v>5906.9965560000001</v>
      </c>
      <c r="G136" s="3">
        <f>4075.4+(3012.3-490.2)+(6.235362+(4.608819-0.750006))+4.8-729.1-1.11552300000004</f>
        <v>5882.1786519999996</v>
      </c>
      <c r="H136" s="3">
        <f>3920+(2843.4-505.7)+(1.9992+(1.450134-0.257907))+0-538.1-0.274430999999945</f>
        <v>5722.5169960000003</v>
      </c>
      <c r="I136" s="3">
        <f>3870.2+(2902.8-502.1)+(3.947604+(2.960856-0.512142))+0-698-0.711960000000111</f>
        <v>5578.5843579999992</v>
      </c>
      <c r="J136" s="3">
        <f>3549.9+(3005.9-503.7)+(-3.620898+(-3.066018--0.513774))+0-537--0.547740000000086</f>
        <v>5509.4745980000007</v>
      </c>
      <c r="K136" s="3">
        <f>3248.3+(3300.5-498.1)+(-6.626532+(-6.73302--1.016124))+0-661--1.34843999999997</f>
        <v>5378.7050120000004</v>
      </c>
      <c r="L136" s="3">
        <f>3226.6+(2963.8-494.5)+(-9.873396+(-9.069228--1.51317))+0-527.2--1.61323200000006</f>
        <v>5152.8837779999994</v>
      </c>
      <c r="M136" s="3">
        <f>3248.1+(2853.7-493.3)+(6.626124+(5.821548-1.006332))+0-651-1.32803999999997</f>
        <v>4967.6133</v>
      </c>
      <c r="N136" s="3">
        <f>3404.6+(2675.7-499.2)+(10.418076+(8.187642-1.527552))+0-608.2-1.86109200000007</f>
        <v>4988.1170740000007</v>
      </c>
      <c r="O136" s="3">
        <f>3786+(2315-510.7)+(5.79258+(3.54195-0.781371))+0-498.6-0.762858000000029</f>
        <v>5099.4903009999998</v>
      </c>
      <c r="P136" s="3">
        <f>4814.9+(1813.7-683.9)+(4.911198+(1.849974-0.697578))+0-628.6-0.6411720000001</f>
        <v>5321.5224219999991</v>
      </c>
      <c r="Q136" s="3">
        <f>5745.7+(1495.3-1091.2)+(2.930307+(0.762603-0.556512))+0-554-0.282539999999944</f>
        <v>5598.6538579999988</v>
      </c>
      <c r="R136" s="3">
        <f>6193+(1433.5-1311.1)+(3.15843+(0.731085-0.668661))+0-406.4-0.207263999999959</f>
        <v>5912.0135900000005</v>
      </c>
      <c r="S136" s="3">
        <f>5913.7+(1651.7-1064.4)+(-18.095922+(-5.054202--3.257064))+0-317.7--0.972162000000037</f>
        <v>6164.3791019999999</v>
      </c>
      <c r="T136" s="3">
        <f>5951.1+(1610.6-984.4)+(-15.175305+(-4.10703--2.51022))+18.5-290.9--0.741794999999958</f>
        <v>6288.8696800000007</v>
      </c>
      <c r="U136" s="3">
        <f>5650+(1724.6-869.6)+(-2.8815+(-0.879546--0.443496))+30-293.7--0.14978699999997</f>
        <v>6238.1322370000007</v>
      </c>
      <c r="V136" s="3">
        <f>5356.9+(2004.1-746.4)+(-8.196057+(-3.066273--1.141992))+38.3-413.3--0.632349000000024</f>
        <v>6230.1120110000002</v>
      </c>
      <c r="W136" s="3">
        <f>4628.1+(2484.9-619.6)+(-11.801655+(-6.336495--1.57998))+50-433.3--1.10491499999994</f>
        <v>6094.646745</v>
      </c>
      <c r="X136" s="3">
        <f>3564.6+(3177.7-577.1)+(-5.453838+(-4.861881--0.882963))+12.5-495.6--0.758268000000029</f>
        <v>5673.4255119999989</v>
      </c>
      <c r="Y136" s="3">
        <f>3367.1+(3035-616)+(0+(0-0))+0-476.9-0</f>
        <v>5309.2000000000007</v>
      </c>
      <c r="Z136" s="3">
        <f>4954.6+(1817.7-671.7)+(5.053692+(1.854054-0.685134))+0-508.3-0.518466000000081</f>
        <v>5598.0041459999993</v>
      </c>
      <c r="AA136" s="3">
        <f>5609.8+(1582.4-811.2)+(-5.721996+(-1.614048--0.827424))+0-554.6--0.565692000000088</f>
        <v>5820.4570720000002</v>
      </c>
      <c r="AB136" s="3">
        <f>4901.2+(2037-636.8)+(-7.498836+(-3.11661--0.974304))+0-499--0.763470000000029</f>
        <v>5793.5223279999991</v>
      </c>
      <c r="AC136" s="3">
        <f>4436.9+(2616.1-635.5)+(-6.788457+(-4.002633--0.972315))+0-629.7--0.963441000000036</f>
        <v>5778.9446660000003</v>
      </c>
      <c r="AD136" s="2">
        <v>5860.8</v>
      </c>
      <c r="AE136" s="3">
        <f>5857+(1537.9-889.9)+(0+(0-0))+0-644.2-0</f>
        <v>5860.8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4563.9+(2547.8-636.6)+(-6.982767+(-3.898134--0.973998))+0-657.7--1.00628100000004</f>
        <v>5808.4993780000004</v>
      </c>
      <c r="G137" s="3">
        <f>4569.4+(2445.1-637.7)+(2.330394+(1.247001-0.325227))+0-622.4-0.317423999999937</f>
        <v>5757.3347439999998</v>
      </c>
      <c r="H137" s="3">
        <f>4325.1+(2594.5-649.8)+(0+(0-0))+0-632.3-0</f>
        <v>5637.5</v>
      </c>
      <c r="I137" s="3">
        <f>3942+(2885.9-662.8)+(-4.02084+(-2.943618--0.676056))+0-656.1--0.669222000000105</f>
        <v>5503.3808200000003</v>
      </c>
      <c r="J137" s="3">
        <f>3686.6+(3086.8-657.5)+(-5.640498+(-4.722804--1.005975))+0-659.4--1.00888200000004</f>
        <v>5448.1515550000004</v>
      </c>
      <c r="K137" s="3">
        <f>3267.5+(3331.7-664.3)+(-6.6657+(-6.796668--1.355172))+0-650.6--1.32722399999997</f>
        <v>5273.520027999999</v>
      </c>
      <c r="L137" s="3">
        <f>3235.2+(3180.1-648)+(-8.24976+(-8.109255--1.6524))+0-721.5--1.8398249999999</f>
        <v>5032.9332099999992</v>
      </c>
      <c r="M137" s="3">
        <f>3259.6+(2842.3-625.8)+(-3.324792+(-2.899146--0.638316))+0-657.5--0.670650000000105</f>
        <v>4813.6850280000008</v>
      </c>
      <c r="N137" s="3">
        <f>3277.1+(2826.4-608.5)+(-5.013963+(-4.324392--0.931005))+0-704.6--1.07803800000004</f>
        <v>4783.0706879999989</v>
      </c>
      <c r="O137" s="3">
        <f>3356.6+(2671.7-611.9)+(0+(0-0))+0-625.4-0</f>
        <v>4791</v>
      </c>
      <c r="P137" s="3">
        <f>3519.5+(2728.9-620.3)+(5.384835+(4.175217-0.949059))+0-724.3-1.10817900000004</f>
        <v>4911.3028140000006</v>
      </c>
      <c r="Q137" s="3">
        <f>3973.2+(2488.7-633.3)+(-4.052664+(-2.538474--0.645966))+0-665.7--0.679014000000106</f>
        <v>5157.6338420000002</v>
      </c>
      <c r="R137" s="3">
        <f>4286.6+(2485.5-611.7)+(2.186166+(1.267605-0.311967))+0-657.2-0.335171999999933</f>
        <v>5506.0066320000005</v>
      </c>
      <c r="S137" s="3">
        <f>4771.4+(2215.3-735.5)+(-2.433414+(-1.129803--0.375105))+0-429.3--0.218942999999956</f>
        <v>5818.9308309999997</v>
      </c>
      <c r="T137" s="3">
        <f>5316.3+(1857.8-824.5)+(2.711313+(0.947478-0.420495))+0-344.3-0.175592999999965</f>
        <v>6008.3627030000007</v>
      </c>
      <c r="U137" s="3">
        <f>5627.8+(1603-832.6)+(2.870178+(0.81753-0.424626))+0-319.7-0.163046999999968</f>
        <v>6081.6000350000004</v>
      </c>
      <c r="V137" s="3">
        <f>5622.3+(1598.5-808.8)+(2.867373+(0.815235-0.412488))+0-333.7-0.170186999999966</f>
        <v>6081.3999330000006</v>
      </c>
      <c r="W137" s="3">
        <f>5204.2+(1751.9-667.7)+(-2.654142+(-0.893469--0.340527))+0-323.6--0.165035999999967</f>
        <v>5961.7579519999999</v>
      </c>
      <c r="X137" s="3">
        <f>4300.1+(2545.3-678.3)+(0+(0-0))+0-571.6-0</f>
        <v>5595.5</v>
      </c>
      <c r="Y137" s="3">
        <f>3820.5+(2574.3-656.5)+(-1.948455+(-1.312893--0.334815))+0-529.9--0.270248999999946</f>
        <v>5205.7437160000009</v>
      </c>
      <c r="Z137" s="3">
        <f>5114+(1792.6-752.9)+(2.60814+(0.914226-0.383979))+0-609.2-0.310691999999938</f>
        <v>5547.3276949999999</v>
      </c>
      <c r="AA137" s="3">
        <f>5835.1+(1445.4-783.5)+(-5.951802+(-1.474308--0.79917))+0-704.4--0.718488000000112</f>
        <v>5786.6915480000007</v>
      </c>
      <c r="AB137" s="3">
        <f>5612.7+(1535.2-759.7)+(2.862477+(0.782952-0.387447))+0-577.1-0.294320999999941</f>
        <v>5814.0636609999992</v>
      </c>
      <c r="AC137" s="3">
        <f>5802.3+(1601-811.1)+(-2.959173+(-0.81651--0.413661))+0-747.1--0.381020999999924</f>
        <v>5842.1189989999993</v>
      </c>
      <c r="AD137" s="2">
        <v>5770</v>
      </c>
      <c r="AE137" s="3">
        <f>5860+(1384.2-823.4)+(0+(0-0))+0-650.8-0</f>
        <v>5770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5629.5+(1706.1-747.3)+(-2.871045+(-0.870111--0.381123))+0-688.4--0.35108399999993</f>
        <v>5896.8910510000005</v>
      </c>
      <c r="G138" s="3">
        <f>5303.9+(1965.9-702.6)+(-8.114967+(-3.007827--1.074978))+0-721.1--1.10328300000004</f>
        <v>5837.1554669999996</v>
      </c>
      <c r="H138" s="3">
        <f>4698.1+(2391.7-691)+(0+(0-0))+0-731.2-0</f>
        <v>5667.6</v>
      </c>
      <c r="I138" s="3">
        <f>4529.1+(2347.3-674.3)+(2.309841+(1.197123-0.343893))+0-657.6-0.335375999999933</f>
        <v>5547.3276949999999</v>
      </c>
      <c r="J138" s="3">
        <f>4337.5+(2426.9-705.1)+(-8.8485+(-4.950876--1.438404))+0-575.3--1.17361199999997</f>
        <v>5472.8126399999992</v>
      </c>
      <c r="K138" s="3">
        <f>3563.8+(3178.4-675.8)+(-9.08769+(-8.10492--1.72329))+0-720.9--1.8382949999999</f>
        <v>5331.8689750000003</v>
      </c>
      <c r="L138" s="3">
        <f>3142.1+(3254.2-663.3)+(-3.204942+(-3.319284--0.676566))+0-582.7--0.594354000000093</f>
        <v>5145.0466939999997</v>
      </c>
      <c r="M138" s="3">
        <f>3401.2+(2896.9-633.2)+(0+(0-0))+0-769.6-0</f>
        <v>4895.2999999999993</v>
      </c>
      <c r="N138" s="3">
        <f>3641.4+(2684.5-664.8)+(1.857114+(1.369095-0.339048))+0-682.4-0.348023999999931</f>
        <v>4981.2391370000005</v>
      </c>
      <c r="O138" s="3">
        <f>3972.1+(2368.9-676.1)+(0+(0-0))+0-540.1-0</f>
        <v>5124.7999999999993</v>
      </c>
      <c r="P138" s="3">
        <f>4854.6+(1938.6-840.9)+(7.427538+(2.966058-1.286577))+0-682.5-1.04422500000004</f>
        <v>5277.8627940000006</v>
      </c>
      <c r="Q138" s="3">
        <f>5974.3+(1744-1554.4)+(-3.046893+(-0.88944--0.792744))+0-581.1--0.296360999999941</f>
        <v>5579.9527719999987</v>
      </c>
      <c r="R138" s="3">
        <f>6228.9+(1629-1485.7)+(0+(0-0))+0-437.8-0</f>
        <v>5934.4</v>
      </c>
      <c r="S138" s="3">
        <f>6445.1+(1612.2-1552.7)+(-3.287001+(-0.822222--0.791877))+0-329.4--0.167993999999967</f>
        <v>6172.0506480000013</v>
      </c>
      <c r="T138" s="3">
        <f>6625.8+(1561.1-1596.2)+(3.379158+(0.796161-0.814062))+0-295.4-0.15065399999997</f>
        <v>6298.5106029999997</v>
      </c>
      <c r="U138" s="3">
        <f>6845.4+(1496-1732.9)+(3.491154+(0.76296-0.883779))+0-315.4-0.160853999999968</f>
        <v>6296.3094810000002</v>
      </c>
      <c r="V138" s="3">
        <f>6474.2+(1573.2-1438)+(-13.207368+(-3.209328--2.93352))+0-298.7--0.609347999999987</f>
        <v>6297.826172</v>
      </c>
      <c r="W138" s="3">
        <f>5497.1+(2077.4-1099.8)+(-11.214084+(-4.237896--2.243592))+0-324.9--0.662795999999986</f>
        <v>6137.2544080000007</v>
      </c>
      <c r="X138" s="3">
        <f>4079.2+(2824.3-645.2)+(-10.40196+(-7.201965--1.64526))+0-451.2--1.15055999999993</f>
        <v>5792.2918950000003</v>
      </c>
      <c r="Y138" s="3">
        <f>3315.2+(3363-650.2)+(0+(0-0))+0-611.4-0</f>
        <v>5416.6</v>
      </c>
      <c r="Z138" s="3">
        <f>5064.4+(2272.3-875.1)+(7.748532+(3.476619-1.338903))+0-687.3-1.05156900000004</f>
        <v>5783.1346789999998</v>
      </c>
      <c r="AA138" s="3">
        <f>5464.5+(2273.4-1010.7)+(-16.72137+(-6.956604--3.092742))+0-702.6--2.14995600000008</f>
        <v>6006.1647239999993</v>
      </c>
      <c r="AB138" s="3">
        <f>4906.7+(2510.8-810.4)+(-5.004834+(-2.561016--0.826608))+0-718.2--0.732564000000115</f>
        <v>5882.8933220000008</v>
      </c>
      <c r="AC138" s="3">
        <f>4902+(2607.2-838.1)+(2.50002+(1.329672-0.427431))+0-727.5-0.371024999999926</f>
        <v>5946.6312360000002</v>
      </c>
      <c r="AD138" s="2">
        <v>6019</v>
      </c>
      <c r="AE138" s="3">
        <f>5840+(2104.7-1153.7)+(0+(0-0))+0-772-0</f>
        <v>6019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4660.1+(2720.1-738.1)+(0+(0-0))+0-686.5-0</f>
        <v>5955.6</v>
      </c>
      <c r="G139" s="3">
        <f>4490.5+(2773.7-636.2)+(-2.290155+(-1.414587--0.324462))+0-757.4--0.386273999999923</f>
        <v>5867.6059939999996</v>
      </c>
      <c r="H139" s="3">
        <f>3640.3+(3431.6-667.2)+(-3.713106+(-3.500232--0.680544))+0-687.5--0.70125000000011</f>
        <v>5711.3684560000002</v>
      </c>
      <c r="I139" s="3">
        <f>3346.1+(3701.5-696.8)+(-1.706511+(-1.887765--0.355368))+0-735.1--0.374900999999925</f>
        <v>5612.8359929999988</v>
      </c>
      <c r="J139" s="3">
        <f>3208.8+(3740.9-684.8)+(-6.545952+(-7.631436--1.396992))+0-688.3--1.40413199999997</f>
        <v>5565.2237359999999</v>
      </c>
      <c r="K139" s="3">
        <f>3158.1+(3643.2-683.6)+(-3.221262+(-3.716064--0.697272))+0-697.8--0.711756000000111</f>
        <v>5414.3717019999995</v>
      </c>
      <c r="L139" s="3">
        <f>3225.4+(3364.7-686)+(-3.289908+(-3.431994--0.69972))+0-682--0.695640000000109</f>
        <v>5216.7734580000006</v>
      </c>
      <c r="M139" s="3">
        <f>3298.8+(3117.5-677.1)+(1.682388+(1.589925-0.345321))+0-755.9-0.385508999999923</f>
        <v>4985.8414830000011</v>
      </c>
      <c r="N139" s="3">
        <f>3342.5+(2966.9-699.3)+(1.704675+(1.513119-0.356643))+0-576.3-0.293912999999942</f>
        <v>5036.3672380000007</v>
      </c>
      <c r="O139" s="3">
        <f>3890.8+(2634.2-692.6)+(-1.984308+(-1.343442--0.353226))+0-751.9--0.383468999999924</f>
        <v>5077.9089450000001</v>
      </c>
      <c r="P139" s="3">
        <f>4738.1+(1811.9-704.4)+(-4.832862+(-1.848138--0.718488))+0-607.7--0.619854000000097</f>
        <v>5232.557342000001</v>
      </c>
      <c r="Q139" s="3">
        <f>5898.9+(1478.1-1269.9)+(9.025317+(2.261493-1.942947))+0-611.1-0.934983000000035</f>
        <v>5504.408879999999</v>
      </c>
      <c r="R139" s="3">
        <f>6817.2+(1402.2-1627.6)+(-6.953544+(-1.430244--1.660152))+0-713.8--0.728076000000114</f>
        <v>5872.0044400000006</v>
      </c>
      <c r="S139" s="3">
        <f>6919+(1330-1617.1)+(-10.58607+(-2.0349--2.474163))+0-528.8--0.809064000000031</f>
        <v>6093.7622569999994</v>
      </c>
      <c r="T139" s="3">
        <f>7350.6+(1194.6-1785.1)+(-11.246418+(-1.827738--2.731203))+0-539.4--0.825282000000031</f>
        <v>6211.1823290000002</v>
      </c>
      <c r="U139" s="3">
        <f>7362.2+(1259.9-1769.1)+(-7.509444+(-1.285098--1.804482))+0-603--0.615060000000096</f>
        <v>6243.625</v>
      </c>
      <c r="V139" s="3">
        <f>7354.7+(1276.9-1795.2)+(-3.750897+(-0.651219--0.915552))+0-651.2--0.332111999999934</f>
        <v>6182.0455480000001</v>
      </c>
      <c r="W139" s="3">
        <f>6671.5+(1450.5-1294.7)+(-13.60986+(-2.95902--2.641188))+0-789.5--1.61057999999997</f>
        <v>6025.4828879999995</v>
      </c>
      <c r="X139" s="3">
        <f>5245.7+(1766.9-853.9)+(-16.051842+(-5.406714--2.612934))+0-578.1--1.76898600000007</f>
        <v>5563.5233639999997</v>
      </c>
      <c r="Y139" s="3">
        <f>4778.2+(1867.7-803.4)+(9.747528+(3.810108-1.638936))+0-562.3-1.14709199999998</f>
        <v>5290.9716079999998</v>
      </c>
      <c r="Z139" s="3">
        <f>5495.3+(1956.7-1199.5)+(11.210412+(3.991668-2.44698))+0-589.3-1.20217199999997</f>
        <v>5674.7529279999999</v>
      </c>
      <c r="AA139" s="3">
        <f>5901.7+(1923.8-1322.1)+(-12.039468+(-3.924552--2.697084))+0-644.2--1.31416799999997</f>
        <v>5847.2472319999997</v>
      </c>
      <c r="AB139" s="3">
        <f>5559.9+(2080.1-1105)+(0+(0-0))+0-656.2-0</f>
        <v>5878.8</v>
      </c>
      <c r="AC139" s="3">
        <f>5229.7+(2224.7-942.4)+(-5.334294+(-2.269194--0.961248))+0-608.6--0.620772000000097</f>
        <v>5897.3785319999997</v>
      </c>
      <c r="AD139" s="2">
        <v>5850.9</v>
      </c>
      <c r="AE139" s="3">
        <f>6051+(1888.3-1451.4)+(0+(0-0))+0-637-0</f>
        <v>5850.9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4835.4+(2465.9-760.1)+(0+(0-0))+0-664.4-0</f>
        <v>5876.8</v>
      </c>
      <c r="G140" s="3">
        <f>4041+(2965.7-673.1)+(0+(0-0))+0-581.8-0</f>
        <v>5751.8</v>
      </c>
      <c r="H140" s="3">
        <f>3656.8+(3236.1-672.7)+(3.729936+(3.300822-0.686154))+0-597.6-0.609552000000095</f>
        <v>5628.3350519999995</v>
      </c>
      <c r="I140" s="3">
        <f>3617+(3322.1-685.8)+(-3.68934+(-3.388542--0.699516))+0-687.7--0.70145400000011</f>
        <v>5559.9230880000005</v>
      </c>
      <c r="J140" s="3">
        <f>3651.7+(3279.2-672)+(-9.311835+(-8.36196--1.7136))+0-679.7--1.7332349999999</f>
        <v>5564.9730399999999</v>
      </c>
      <c r="K140" s="3">
        <f>3303.2+(3461.9-657.4)+(-8.42316+(-8.827845--1.67637))+0-683.9--1.7439449999999</f>
        <v>5409.9693100000004</v>
      </c>
      <c r="L140" s="3">
        <f>3126.4+(3066.5-652.6)+(-1.594464+(-1.563915--0.332826))+0-506.7--0.258416999999949</f>
        <v>5031.0328640000007</v>
      </c>
      <c r="M140" s="3">
        <f>3323.5+(2695.8-643.5)+(5.084955+(4.124574-0.984555))+0-584.4-0.894132000000034</f>
        <v>4798.7308419999999</v>
      </c>
      <c r="N140" s="3">
        <f>3842.1+(2291.4-673.4)+(7.837884+(4.674456-1.373736))+0-627.4-1.27989599999997</f>
        <v>4842.5587080000005</v>
      </c>
      <c r="O140" s="3">
        <f>4457.3+(1763.1-696.8)+(0+(0-0))+0-604.7-0</f>
        <v>4918.9000000000005</v>
      </c>
      <c r="P140" s="3">
        <f>5160.5+(1365-866.3)+(7.895565+(2.08845-1.325439))+0-604.4-0.924732000000035</f>
        <v>5062.5338439999996</v>
      </c>
      <c r="Q140" s="3">
        <f>5680.1+(1516.7-1284.1)+(0+(0-0))+0-585.9-0</f>
        <v>5326.8000000000011</v>
      </c>
      <c r="R140" s="3">
        <f>6837.6+(1344.3-1966.5)+(-3.487176+(-0.685593--1.002915))+0-536.7--0.273716999999946</f>
        <v>5675.803863000001</v>
      </c>
      <c r="S140" s="3">
        <f>7234.5+(1079.6-1752.2)+(-11.068785+(-1.651788--2.680866))+0-632.3--0.967419000000036</f>
        <v>5920.5277119999992</v>
      </c>
      <c r="T140" s="3">
        <f>7601.9+(1049.1-1984)+(0+(0-0))+0-554.5-0</f>
        <v>6112.5</v>
      </c>
      <c r="U140" s="3">
        <f>7470.1+(1349.8-2008.1)+(-7.619502+(-1.376796--2.048262))+0-629.9--0.6424980000001</f>
        <v>6175.5944620000009</v>
      </c>
      <c r="V140" s="3">
        <f>6918.6+(1422.1-1707.1)+(-17.64243+(-3.626355--4.353105))+0-476.2--1.21430999999993</f>
        <v>6141.6986300000008</v>
      </c>
      <c r="W140" s="3">
        <f>6134.3+(1735.3-1287.9)+(0+(0-0))+0-624.6-0</f>
        <v>5957.0999999999995</v>
      </c>
      <c r="X140" s="3">
        <f>4825.7+(2251-861.2)+(-9.844428+(-4.59204--1.756848))+0-681.6--1.39046399999997</f>
        <v>5522.6108439999998</v>
      </c>
      <c r="Y140" s="3">
        <f>3529.7+(2760.7-681.2)+(0+(0-0))+0-474.4-0</f>
        <v>5134.8</v>
      </c>
      <c r="Z140" s="3">
        <f>5109.5+(2088-983.9)+(-2.605845+(-1.06488--0.501789))+0-706.8--0.360467999999928</f>
        <v>5503.991532</v>
      </c>
      <c r="AA140" s="3">
        <f>5513.4+(1739.6-959.2)+(-16.871004+(-5.323176--2.935152))+0-587.7--1.79836200000007</f>
        <v>5688.6393339999995</v>
      </c>
      <c r="AB140" s="3">
        <f>5096.8+(2099-917.1)+(5.198736+(2.14098-0.935442))+0-589.8-0.601596000000094</f>
        <v>5694.7026780000006</v>
      </c>
      <c r="AC140" s="3">
        <f>4777.1+(2461.1-835.9)+(0+(0-0))+0-722.1-0</f>
        <v>5680.2</v>
      </c>
      <c r="AD140" s="2">
        <v>5726.1999999999989</v>
      </c>
      <c r="AE140" s="3">
        <f>5848+(1912.4-1290.1)+(0+(0-0))+0-744.1-0</f>
        <v>5726.2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4345.4+(2566.2-662.7)+(6.648462+(3.926286-1.013931))+0-514.5-0.78718500000003</f>
        <v>5743.1736319999991</v>
      </c>
      <c r="G141" s="3">
        <f>4036.5+(2905.8-657.5)+(-6.175845+(-4.445874--1.005975))+0-635--0.971550000000037</f>
        <v>5641.1558060000007</v>
      </c>
      <c r="H141" s="3">
        <f>3583.6+(3231.3-670.6)+(0+(0-0))+0-630-0</f>
        <v>5514.3</v>
      </c>
      <c r="I141" s="3">
        <f>3301.4+(3372.8-659.8)+(-1.683714+(-1.720128--0.336498))+0-612--0.312119999999938</f>
        <v>5399.6447759999992</v>
      </c>
      <c r="J141" s="3">
        <f>3328.5+(3365.6-671.6)+(5.092605+(5.149368-1.027548))+0-710.7-1.08737100000004</f>
        <v>5319.9270540000007</v>
      </c>
      <c r="K141" s="3">
        <f>2990+(3510-665)+(-7.6245+(-8.9505--1.69575))+0-598.6--1.52642999999991</f>
        <v>5223.0471799999996</v>
      </c>
      <c r="L141" s="3">
        <f>2885.5+(3334.1-671.6)+(-7.358025+(-8.501955--1.71258))+0-627.8--1.60088999999991</f>
        <v>4907.6534899999997</v>
      </c>
      <c r="M141" s="3">
        <f>3021+(2840.6-648.2)+(0+(0-0))+0-571-0</f>
        <v>4642.3999999999996</v>
      </c>
      <c r="N141" s="3">
        <f>3304.1+(2731.8-676.1)+(5.055273+(4.179654-1.034433))+0-655.7-1.00322100000004</f>
        <v>4711.2972730000001</v>
      </c>
      <c r="O141" s="3">
        <f>3905.7+(2107.6-672.2)+(9.959535+(5.37438-1.71411))+0-597-1.52234999999991</f>
        <v>4756.1974549999995</v>
      </c>
      <c r="P141" s="3">
        <f>5065.9+(1245.6-702.8)+(7.750827+(1.905768-1.075284))+0-574.8-0.879444000000033</f>
        <v>5041.6018669999994</v>
      </c>
      <c r="Q141" s="3">
        <f>5752.5+(1255.1-1227.4)+(2.933775+(0.640101-0.625974))+0-473-0.241229999999952</f>
        <v>5309.9066720000001</v>
      </c>
      <c r="R141" s="3">
        <f>6299.2+(1449.4-1511.6)+(-3.212592+(-0.739194--0.770916))+0-588--0.29987999999994</f>
        <v>5646.1190099999994</v>
      </c>
      <c r="S141" s="3">
        <f>6490.3+(1428-1471.2)+(0+(0-0))+0-520.6-0</f>
        <v>5926.5</v>
      </c>
      <c r="T141" s="3">
        <f>7274.5+(1394.3-1946.6)+(-11.129985+(-2.133279--2.978298))+0-639.3--0.978129000000037</f>
        <v>6073.5931629999995</v>
      </c>
      <c r="U141" s="3">
        <f>6929.3+(1470.1-1774)+(7.067886+(1.499502-1.80948))+0-541.8-0.552636000000086</f>
        <v>6089.8052719999987</v>
      </c>
      <c r="V141" s="3">
        <f>6774.7+(1516-1620.4)+(3.455097+(0.77316-0.826404))+0-597.6-0.304775999999939</f>
        <v>6075.7970769999993</v>
      </c>
      <c r="W141" s="3">
        <f>5917.5+(1794.8-1283.4)+(3.017925+(0.915348-0.654534))+0-541.9-0.276368999999945</f>
        <v>5890.0023700000002</v>
      </c>
      <c r="X141" s="3">
        <f>4415.8+(2387.5-731)+(4.504116+(2.43525-0.74562))+0-575.1-0.586602000000092</f>
        <v>5502.8071439999994</v>
      </c>
      <c r="Y141" s="3">
        <f>3700.6+(2693.3-686.4)+(5.661918+(4.120749-1.050192))+0-582.7-0.891531000000034</f>
        <v>5132.6409439999998</v>
      </c>
      <c r="Z141" s="3">
        <f>5068.2+(1792.9-879.1)+(0+(0-0))+0-500.6-0</f>
        <v>5481.4</v>
      </c>
      <c r="AA141" s="3">
        <f>5681.5+(1578.8-953.3)+(-5.79513+(-1.610376--0.972366))+0-594.1--0.605982000000095</f>
        <v>5707.0728419999996</v>
      </c>
      <c r="AB141" s="3">
        <f>5120.7+(1958.5-728.1)+(2.611557+(0.998835-0.371331))+0-646.3-0.329612999999934</f>
        <v>5707.7094480000005</v>
      </c>
      <c r="AC141" s="3">
        <f>4678+(2181.2-552.3)+(-2.38578+(-1.112412--0.281673))+0-615.6--0.313955999999938</f>
        <v>5688.3974369999996</v>
      </c>
      <c r="AD141" s="2">
        <v>5655.5</v>
      </c>
      <c r="AE141" s="3">
        <f>5922+(1470.1-1030.3)+(0+(0-0))+0-706.3-0</f>
        <v>5655.5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4603.3+(2358.9-630.9)+(0+(0-0))+0-659.3-0</f>
        <v>5672</v>
      </c>
      <c r="G142" s="3">
        <f>4146.2+(2693.4-644.5)+(-6.343686+(-4.120902--0.986085))+0-577.8--0.884034000000033</f>
        <v>5608.7055309999996</v>
      </c>
      <c r="H142" s="3">
        <f>4018.8+(2801-650.7)+(-4.099176+(-2.85702--0.663714))+0-657.2--0.670344000000105</f>
        <v>5506.2778620000008</v>
      </c>
      <c r="I142" s="3">
        <f>3706.2+(2982.4-674.1)+(-5.670486+(-4.563072--1.031373))+0-621.4--0.950742000000036</f>
        <v>5384.8485570000003</v>
      </c>
      <c r="J142" s="3">
        <f>3759.3+(2910.5-670.4)+(5.751729+(4.453065-1.025712))+0-669-1.02357000000004</f>
        <v>5338.555511999999</v>
      </c>
      <c r="K142" s="3">
        <f>3385.1+(3050.9-623.6)+(-3.452802+(-3.111918--0.636072))+0-616.3--0.628626000000098</f>
        <v>5190.7999779999991</v>
      </c>
      <c r="L142" s="3">
        <f>3345.4+(2983.1-669.1)+(0+(0-0))+0-682.4-0</f>
        <v>4977</v>
      </c>
      <c r="M142" s="3">
        <f>3341.2+(2669.2-620.3)+(3.408024+(2.722584-0.632706))+0-630.9-0.643518000000101</f>
        <v>4764.054384</v>
      </c>
      <c r="N142" s="3">
        <f>3319.8+(2667.7-625.9)+(3.386196+(2.721054-0.638418))+0-597.2-0.609144000000095</f>
        <v>4769.2596880000001</v>
      </c>
      <c r="O142" s="3">
        <f>3573.1+(2546.4-653.5)+(3.644562+(2.597328-0.66657))+0-547.1-0.558042000000087</f>
        <v>4923.9172779999999</v>
      </c>
      <c r="P142" s="3">
        <f>4622.2+(1635.3-637.9)+(11.78661+(4.170015-1.626645))+0-605-1.54274999999991</f>
        <v>5027.3872300000003</v>
      </c>
      <c r="Q142" s="3">
        <f>5557.3+(1165.2-731.1)+(8.502669+(1.782756-1.118583))+0-670.1-1.02525300000004</f>
        <v>5329.441589</v>
      </c>
      <c r="R142" s="3">
        <f>6230.2+(1085.7-1107.5)+(0+(0-0))+0-557.1-0</f>
        <v>5651.2999999999993</v>
      </c>
      <c r="S142" s="3">
        <f>6579.2+(1270.4-1258.6)+(3.355392+(0.647904-0.641886))+0-681.3-0.347462999999931</f>
        <v>5912.7139470000002</v>
      </c>
      <c r="T142" s="3">
        <f>7031.5+(1221.9-1666.2)+(-14.34426+(-2.492676--3.399048))+0-547.8--1.11751199999998</f>
        <v>6027.0796239999991</v>
      </c>
      <c r="U142" s="3">
        <f>7058.5+(1358.3-1739.9)+(-10.799505+(-2.078199--2.662047))+0-594.6--0.909738000000034</f>
        <v>6072.9940809999998</v>
      </c>
      <c r="V142" s="3">
        <f>6267.2+(1535.5-1254.8)+(0+(0-0))+0-549.9-0</f>
        <v>5998</v>
      </c>
      <c r="W142" s="3">
        <f>5602.3+(1899.6-1026.4)+(0+(0-0))+0-634.5-0</f>
        <v>5841</v>
      </c>
      <c r="X142" s="3">
        <f>3892.4+(2740.7-635.5)+(-3.970248+(-2.795514--0.64821))+0-552.9--0.563958000000088</f>
        <v>5439.1464060000008</v>
      </c>
      <c r="Y142" s="3">
        <f>3726+(2672-648)+(5.70078+(4.08816-0.99144))+0-654.2-1.00092600000004</f>
        <v>5103.5965740000001</v>
      </c>
      <c r="Z142" s="3">
        <f>4849.6+(2054.8-811.6)+(0+(0-0))+0-615.9-0</f>
        <v>5476.9000000000015</v>
      </c>
      <c r="AA142" s="3">
        <f>5461.6+(1983.4-1080.6)+(-8.356248+(-3.034602--1.653318))+0-672.4--1.02877200000004</f>
        <v>5683.2912400000005</v>
      </c>
      <c r="AB142" s="3">
        <f>4874.3+(2153.5-740.3)+(-4.971786+(-2.19657--0.755106))+0-632.7--0.645354000000101</f>
        <v>5649.0321040000008</v>
      </c>
      <c r="AC142" s="3">
        <f>4694+(2313.7-684.6)+(2.39394+(1.179987-0.349146))+0-638.7-0.325736999999935</f>
        <v>5687.2990440000003</v>
      </c>
      <c r="AD142" s="2">
        <v>5629.5</v>
      </c>
      <c r="AE142" s="3">
        <f>5485+(1999.8-1078.5)+(0+(0-0))+0-776.8-0</f>
        <v>5629.5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4547.3+(2516.8-657.2)+(2.319123+(1.283568-0.335172))+0-672-0.342719999999932</f>
        <v>5737.8247990000009</v>
      </c>
      <c r="G143" s="3">
        <f>4121.8+(2802.2-691.3)+(-2.102118+(-1.429122--0.352563))+0-566.1--0.288710999999943</f>
        <v>5663.7100339999997</v>
      </c>
      <c r="H143" s="3">
        <f>3840.7+(3036.3-689.6)+(7.835028+(6.194052-1.406784))+0-662.7-1.35190799999997</f>
        <v>5535.9703879999997</v>
      </c>
      <c r="I143" s="3">
        <f>3607.1+(3048.6-689.1)+(-9.198105+(-7.77393--1.757205))+0-575.4--1.46726999999992</f>
        <v>5377.4524400000009</v>
      </c>
      <c r="J143" s="3">
        <f>3633+(3073.7-689)+(-5.55849+(-4.702761--1.05417))+0-683--1.04499000000004</f>
        <v>5326.5379090000006</v>
      </c>
      <c r="K143" s="3">
        <f>3603.3+(2921.9-673.1)+(-5.513049+(-4.470507--1.029843))+0-653.6--1.00000800000004</f>
        <v>5190.5462950000001</v>
      </c>
      <c r="L143" s="3">
        <f>3512.7+(2768.2-666.8)+(-7.165908+(-5.647128--1.360272))+0-641.1--1.30784399999997</f>
        <v>4962.8550799999994</v>
      </c>
      <c r="M143" s="3">
        <f>3376.5+(2613.4-622.1)+(0+(0-0))+0-621.8-0</f>
        <v>4746</v>
      </c>
      <c r="N143" s="3">
        <f>3877.6+(2137-636.5)+(3.955152+(2.17974-0.64923))+0-607.2-0.619344000000097</f>
        <v>4775.7663180000009</v>
      </c>
      <c r="O143" s="3">
        <f>3986.9+(2136.4-641.1)+(2.033319+(1.089564-0.326961))+0-583.7-0.297686999999941</f>
        <v>4900.9982350000009</v>
      </c>
      <c r="P143" s="3">
        <f>4411.6+(1826-644.2)+(4.499832+(1.86252-0.657084))+0-578.6-0.590172000000092</f>
        <v>5019.9150959999997</v>
      </c>
      <c r="Q143" s="3">
        <f>5142.2+(1583.1-789.7)+(5.245044+(1.614762-0.805494))+0-666.8-0.680136000000106</f>
        <v>5274.1741759999995</v>
      </c>
      <c r="R143" s="3">
        <f>5844+(1532.2-1239.6)+(2.98044+(0.781422-0.632196))+0-577.6-0.294575999999941</f>
        <v>5561.8350899999996</v>
      </c>
      <c r="S143" s="3">
        <f>6188.2+(1590.1-1343.2)+(-3.155982+(-0.810951--0.685032))+0-580--0.295799999999941</f>
        <v>5852.113898999999</v>
      </c>
      <c r="T143" s="3">
        <f>6953+(1490.4-1686.2)+(3.54603+(0.760104-0.859962))+0-724.5-0.369494999999927</f>
        <v>6035.7766769999998</v>
      </c>
      <c r="U143" s="3">
        <f>7116.2+(1394.8-1823.7)+(-3.629262+(-0.711348--0.930087))+0-598.8--0.305387999999939</f>
        <v>6085.3948649999993</v>
      </c>
      <c r="V143" s="3">
        <f>6732.6+(1304.6-1346.4)+(3.433626+(0.665346-0.686664))+0-619.7-0.316046999999937</f>
        <v>6074.196261</v>
      </c>
      <c r="W143" s="3">
        <f>5947.6+(1634.8-1072.6)+(-3.033276+(-0.833748--0.547026))+0-641.6--0.327215999999935</f>
        <v>5865.2072179999996</v>
      </c>
      <c r="X143" s="3">
        <f>4299.6+(2441.1-644.5)+(-6.578388+(-3.734883--0.986085))+0-625.6--0.957168000000036</f>
        <v>5462.2299819999998</v>
      </c>
      <c r="Y143" s="3">
        <f>3837.1+(2659.2-660.4)+(-9.784605+(-6.78096--1.68402))+0-725.4--1.84976999999989</f>
        <v>5097.4682249999996</v>
      </c>
      <c r="Z143" s="3">
        <f>4468+(2218.3-684.5)+(0+(0-0))+0-597.8-0</f>
        <v>5404</v>
      </c>
      <c r="AA143" s="3">
        <f>4710.4+(2260.3-667.5)+(-16.816128+(-8.069271--2.382975))+0-705.8--2.51970600000001</f>
        <v>5577.4172819999994</v>
      </c>
      <c r="AB143" s="3">
        <f>4569.1+(2147.7-654.4)+(0+(0-0))+0-492.6-0</f>
        <v>5569.7999999999993</v>
      </c>
      <c r="AC143" s="3">
        <f>4305.5+(2612.7-676.4)+(2.195805+(1.332477-0.344964))+0-690.9-0.35235899999993</f>
        <v>5553.7309590000004</v>
      </c>
      <c r="AD143" s="2">
        <v>5568.2</v>
      </c>
      <c r="AE143" s="3">
        <f>5087+(1962.1-717.1)+(0+(0-0))+0-763.8-0</f>
        <v>5568.2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4109.2+(2844.6-684.1)+(8.382768+(5.802984-1.395564))+0-715-1.45859999999997</f>
        <v>5566.0315879999998</v>
      </c>
      <c r="G144" s="3">
        <f>3951.5+(2938.4-677.3)+(4.03053+(2.997168-0.690846))+0-699.6-0.713592000000112</f>
        <v>5518.6232600000003</v>
      </c>
      <c r="H144" s="3">
        <f>3706.1+(3011.2-689.4)+(-3.780222+(-3.071424--0.703188))+0-603.8--0.615876000000096</f>
        <v>5418.5674179999996</v>
      </c>
      <c r="I144" s="3">
        <f>3638.5+(3082.9-664.8)+(-1.855635+(-1.572279--0.339048))+0-745.1--0.380000999999924</f>
        <v>5308.7911349999995</v>
      </c>
      <c r="J144" s="3">
        <f>3486.2+(3016.5-671)+(-7.111848+(-6.15366--1.36884))+0-526.2--1.07344799999998</f>
        <v>5294.6767799999998</v>
      </c>
      <c r="K144" s="3">
        <f>3401.6+(3127.2-668.3)+(-3.469632+(-3.189744--0.681666))+0-685.2--0.698904000000109</f>
        <v>5170.0211939999999</v>
      </c>
      <c r="L144" s="3">
        <f>3207.4+(2915.8-660.7)+(-3.271548+(-2.974116--0.673914))+0-558.9--0.570078000000089</f>
        <v>4898.598328</v>
      </c>
      <c r="M144" s="3">
        <f>3135.3+(2952.7-613.9)+(0+(0-0))+0-728.7-0</f>
        <v>4745.4000000000005</v>
      </c>
      <c r="N144" s="3">
        <f>3260.6+(2666.6-638.2)+(0+(0-0))+0-583.1-0</f>
        <v>4705.8999999999996</v>
      </c>
      <c r="O144" s="3">
        <f>3355.3+(2619.2-683.4)+(-1.711203+(-1.335792--0.348534))+0-549.3--0.280142999999944</f>
        <v>4739.3816820000002</v>
      </c>
      <c r="P144" s="3">
        <f>3478.8+(2738.1-703.6)+(1.774188+(1.396431-0.358836))+0-654.4-0.333743999999934</f>
        <v>4861.3780390000011</v>
      </c>
      <c r="Q144" s="3">
        <f>3570.9+(2764.1-658.3)+(3.642318+(2.819382-0.671466))+0-601.7-0.613734000000096</f>
        <v>5080.1765000000005</v>
      </c>
      <c r="R144" s="3">
        <f>4145.5+(2524.6-691.1)+(2.114205+(1.287546-0.352461))+0-603.8-0.307937999999939</f>
        <v>5377.9413519999998</v>
      </c>
      <c r="S144" s="3">
        <f>5108.2+(1854.1-693.1)+(7.815546+(2.836773-1.060443))+0-615.9-0.942327000000036</f>
        <v>5661.9495490000008</v>
      </c>
      <c r="T144" s="3">
        <f>5692.6+(1510.4-727)+(-5.806452+(-1.540608--0.74154))+0-613.8--0.626076000000098</f>
        <v>5856.2205560000002</v>
      </c>
      <c r="U144" s="3">
        <f>5954.4+(1448.9-825.6)+(6.073488+(1.477878-0.842112))+0-652.1-0.665142000000104</f>
        <v>5931.644112</v>
      </c>
      <c r="V144" s="3">
        <f>5858.2+(1532.5-827.8)+(2.987682+(0.781575-0.422178))+0-663.3-0.338282999999933</f>
        <v>5902.6087959999995</v>
      </c>
      <c r="W144" s="3">
        <f>5452.2+(1602.8-739.7)+(-5.561244+(-1.634856--0.754494))+0-584.7--0.596394000000093</f>
        <v>5724.7547879999993</v>
      </c>
      <c r="X144" s="3">
        <f>4056.4+(2494.3-655.8)+(-8.275056+(-5.088372--1.337832))+0-580.5--1.18421999999997</f>
        <v>5303.5586240000002</v>
      </c>
      <c r="Y144" s="3">
        <f>3787.1+(2377.3-660.2)+(-1.931421+(-1.212423--0.336702))+0-562.1--0.286670999999943</f>
        <v>4939.5795289999996</v>
      </c>
      <c r="Z144" s="3">
        <f>5660.1+(1311.6-1009)+(0+(0-0))+0-633.9-0</f>
        <v>5328.8000000000011</v>
      </c>
      <c r="AA144" s="3">
        <f>5956.3+(1372.6-1146.4)+(-12.150852+(-2.800104--2.338656))+0-646.9--1.31967599999997</f>
        <v>5524.3073760000007</v>
      </c>
      <c r="AB144" s="3">
        <f>5661.4+(1486-1060.5)+(-2.887314+(-0.75786--0.540855))+0-541.6--0.276215999999945</f>
        <v>5542.4718969999994</v>
      </c>
      <c r="AC144" s="3">
        <f>5449.4+(1607.9-887.4)+(-2.779194+(-0.820029--0.452574))+0-579.3--0.295442999999941</f>
        <v>5587.7487939999992</v>
      </c>
      <c r="AD144" s="2">
        <v>5544.4000000000005</v>
      </c>
      <c r="AE144" s="3">
        <f>6204+(1344.1-1285.7)+(0+(0-0))+0-718-0</f>
        <v>5544.4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4867.8+(2052.8-684.3)+(-7.447734+(-3.140784--1.046979))+0-553--0.846090000000032</f>
        <v>5674.6045510000004</v>
      </c>
      <c r="G145" s="3">
        <f>4309.4+(2592.6-610.4)+(-8.791176+(-5.288904--1.245216))+0-616.4--1.25745599999997</f>
        <v>5663.6225919999997</v>
      </c>
      <c r="H145" s="3">
        <f>3808.7+(2889.8-645.3)+(-9.712185+(-7.36899--1.645515))+0-497.3--1.26811499999993</f>
        <v>5541.7324549999994</v>
      </c>
      <c r="I145" s="3">
        <f>3739.2+(2984.7-633.2)+(-5.720976+(-4.566591--0.968796))+0-669--1.02357000000004</f>
        <v>5413.4047989999999</v>
      </c>
      <c r="J145" s="3">
        <f>3536.6+(2994.9-646.8)+(-5.410998+(-4.582197--0.989604))+0-563.6--0.862308000000033</f>
        <v>5312.9587170000004</v>
      </c>
      <c r="K145" s="3">
        <f>3339.3+(3198.2-646)+(-8.515215+(-8.15541--1.6473))+0-670.2--1.7090099999999</f>
        <v>5207.9856849999996</v>
      </c>
      <c r="L145" s="3">
        <f>3274.1+(2900.7-638)+(-1.669791+(-1.479357--0.32538))+0-554.5--0.282794999999944</f>
        <v>4979.7590269999992</v>
      </c>
      <c r="M145" s="3">
        <f>3300.6+(2708.7-618.7)+(1.683306+(1.381437-0.315537))+0-617.3-0.314822999999937</f>
        <v>4775.7343830000009</v>
      </c>
      <c r="N145" s="3">
        <f>3441.9+(2635.3-634.2)+(3.510738+(2.688006-0.646884))+0-617.1-0.629442000000098</f>
        <v>4830.8224179999988</v>
      </c>
      <c r="O145" s="3">
        <f>3832.5+(2165.3-675)+(3.90915+(2.208606-0.6885))+0-586.7-0.598434000000094</f>
        <v>4740.9308220000003</v>
      </c>
      <c r="P145" s="3">
        <f>4600.4+(1887.8-941.3)+(2.346204+(0.962778-0.480063))+0-474.4-0.241943999999952</f>
        <v>5075.0869749999993</v>
      </c>
      <c r="Q145" s="3">
        <f>5508.4+(1590.2-1298.1)+(0+(0-0))+0-597.9-0</f>
        <v>5202.6000000000004</v>
      </c>
      <c r="R145" s="3">
        <f>6339.9+(1508.2-1539.8)+(0+(0-0))+0-643.3-0</f>
        <v>5664.9999999999991</v>
      </c>
      <c r="S145" s="3">
        <f>6530.7+(1525.5-1539.7)+(-9.991971+(-2.334015--2.355741))+0-567--0.867510000000033</f>
        <v>5940.3972649999996</v>
      </c>
      <c r="T145" s="3">
        <f>7238.8+(1293.1-1903.3)+(-14.767152+(-2.637924--3.882732))+0-515.6--1.05182399999998</f>
        <v>6100.5294800000001</v>
      </c>
      <c r="U145" s="3">
        <f>7304.5+(1337.6-1888.7)+(-3.725295+(-0.682176--0.963237))+0-591--0.30140999999994</f>
        <v>6159.2571760000001</v>
      </c>
      <c r="V145" s="3">
        <f>7159.2+(1143.6-1707.8)+(-10.953576+(-1.749708--2.612934))+0-479.2--0.733176000000028</f>
        <v>6106.4428259999995</v>
      </c>
      <c r="W145" s="3">
        <f>6660.3+(1317.9-1483.7)+(-3.396753+(-0.672129--0.756687))+0-563.2--0.287231999999943</f>
        <v>5928.2750369999994</v>
      </c>
      <c r="X145" s="3">
        <f>5020.8+(1921.4-848.5)+(-2.560608+(-0.979914--0.432735))+0-570.2--0.290801999999942</f>
        <v>5520.6830150000005</v>
      </c>
      <c r="Y145" s="3">
        <f>4269.7+(2167.2-706.7)+(2.177547+(1.105272-0.360417))+0-614-0.313139999999938</f>
        <v>5118.8092619999998</v>
      </c>
      <c r="Z145" s="3">
        <f>5527.9+(1845.9-1278.4)+(-5.638458+(-1.882818--1.303968))+0-614--0.626280000000098</f>
        <v>5475.8089719999998</v>
      </c>
      <c r="AA145" s="3">
        <f>5731.4+(1681.8-1246.2)+(-8.769042+(-2.573154--1.906686))+0-489.5--0.748935000000028</f>
        <v>5668.8134249999994</v>
      </c>
      <c r="AB145" s="3">
        <f>5190.3+(1892.7-848.1)+(-2.647053+(-0.965277--0.432531))+0-577.7--0.294626999999941</f>
        <v>5654.3148280000005</v>
      </c>
      <c r="AC145" s="3">
        <f>5095.8+(2039.8-856.1)+(0+(0-0))+0-670.7-0</f>
        <v>5608.8</v>
      </c>
      <c r="AD145" s="2">
        <v>5709</v>
      </c>
      <c r="AE145" s="3">
        <f>5954+(1627.5-1350.4)+(0+(0-0))+0-522.1-0</f>
        <v>5709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4995.3+(2003.3-751.8)+(-5.095206+(-2.043366--0.766836))+0-679--0.692580000000108</f>
        <v>5562.120844</v>
      </c>
      <c r="G146" s="3">
        <f>4338.8+(2519-694.1)+(-13.276728+(-7.70814--2.123946))+0-683.3--2.09089800000008</f>
        <v>5463.6299760000011</v>
      </c>
      <c r="H146" s="3">
        <f>4055+(2677.1-668.6)+(-4.1361+(-2.730642--0.681972))+0-688.3--0.70206600000011</f>
        <v>5369.7172959999998</v>
      </c>
      <c r="I146" s="3">
        <f>3931.8+(2720.8-666.5)+(4.010436+(2.775216-0.67983))+0-731.5-0.746130000000117</f>
        <v>5259.9596920000004</v>
      </c>
      <c r="J146" s="3">
        <f>3814.7+(2783.8-676.4)+(-7.781988+(-5.678952--1.379856))+0-699.4--1.42677599999997</f>
        <v>5212.0456920000006</v>
      </c>
      <c r="K146" s="3">
        <f>3464.9+(3031.5-679.1)+(-1.767099+(-1.546065--0.346341))+0-711.1--0.362660999999928</f>
        <v>5103.5958380000002</v>
      </c>
      <c r="L146" s="3">
        <f>3412+(2807.3-648.7)+(0+(0-0))+0-686-0</f>
        <v>4884.6000000000004</v>
      </c>
      <c r="M146" s="3">
        <f>3556.2+(2441.5-628.3)+(3.627324+(2.49033-0.640866))+0-711.1-0.725322000000113</f>
        <v>4663.051465999999</v>
      </c>
      <c r="N146" s="3">
        <f>3883.7+(2030.1-644.9)+(7.922748+(4.141404-1.315596))+0-603.9-1.23195599999997</f>
        <v>4674.5165999999999</v>
      </c>
      <c r="O146" s="3">
        <f>4100.2+(2018.1-665.3)+(6.273306+(3.087693-1.017909))+0-657.2-1.00551600000004</f>
        <v>4803.1375740000003</v>
      </c>
      <c r="P146" s="3">
        <f>4367.4+(1916-680.3)+(4.454748+(1.95432-0.693906))+0-625.6-0.6381120000001</f>
        <v>4982.577049999999</v>
      </c>
      <c r="Q146" s="3">
        <f>5418.4+(1416.7-978.1)+(2.763384+(0.722517-0.498831))+0-613.3-0.312782999999938</f>
        <v>5246.3742869999996</v>
      </c>
      <c r="R146" s="3">
        <f>6009.2+(1408.3-1346.4)+(-3.064692+(-0.718233--0.686664))+0-499--0.254489999999949</f>
        <v>5569.258229</v>
      </c>
      <c r="S146" s="3">
        <f>6141.6+(1452-1209.8)+(0+(0-0))+0-513.5-0</f>
        <v>5870.3</v>
      </c>
      <c r="T146" s="3">
        <f>6847+(1388.5-1602.8)+(0+(0-0))+0-632.4-0</f>
        <v>6000.3</v>
      </c>
      <c r="U146" s="3">
        <f>6707.3+(1283.8-1363.4)+(-3.420723+(-0.654738--0.695334))+0-581.7--0.296666999999941</f>
        <v>6042.9165399999993</v>
      </c>
      <c r="V146" s="3">
        <f>6643.5+(1301.8-1436.1)+(0+(0-0))+0-481-0</f>
        <v>6028.2</v>
      </c>
      <c r="W146" s="3">
        <f>5708.5+(1768.6-1057.4)+(-5.82267+(-1.803972--1.078548))+0-568.1--0.579462000000091</f>
        <v>5845.6313679999994</v>
      </c>
      <c r="X146" s="3">
        <f>4402.5+(2264.1-628.3)+(-6.735825+(-3.464073--0.961299))+0-563.7--0.862461000000033</f>
        <v>5466.2238619999998</v>
      </c>
      <c r="Y146" s="3">
        <f>4129.3+(2278-643.4)+(-2.105943+(-1.16178--0.328134))+0-675.2--0.344351999999932</f>
        <v>5086.1047630000003</v>
      </c>
      <c r="Z146" s="3">
        <f>5654.3+(1670.8-1231.6)+(-2.883693+(-0.852108--0.628116))+0-615.9--0.314108999999938</f>
        <v>5474.8064240000003</v>
      </c>
      <c r="AA146" s="3">
        <f>5999.3+(1619.8-1310.5)+(-12.238572+(-3.304392--2.67342))+0-632.6--1.29050399999997</f>
        <v>5664.4209599999995</v>
      </c>
      <c r="AB146" s="3">
        <f>5574.8+(1842.6-1116.6)+(-5.686296+(-1.879452--1.138932))+0-627.6--0.6401520000001</f>
        <v>5667.4133359999996</v>
      </c>
      <c r="AC146" s="3">
        <f>5525.9+(1967.7-987.7)+(5.636418+(2.007054-1.007454))+0-812.6-0.82885200000013</f>
        <v>5699.1071659999989</v>
      </c>
      <c r="AD146" s="2">
        <v>5659.1</v>
      </c>
      <c r="AE146" s="3">
        <f>6198+(1510.5-1385.9)+(0+(0-0))+0-663.5-0</f>
        <v>5659.1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5513.4+(1843.4-987.9)+(5.623668+(1.880268-1.007658))+0-663.2-0.676464000000106</f>
        <v>5711.5198139999993</v>
      </c>
      <c r="G147" s="3">
        <f>4944.4+(2223.4-805)+(2.521644+(1.133934-0.41055))+0-735.3-0.375002999999925</f>
        <v>5630.3700249999993</v>
      </c>
      <c r="H147" s="3">
        <f>3801.2+(2952.5-630.2)+(0+(0-0))+0-620.1-0</f>
        <v>5503.4</v>
      </c>
      <c r="I147" s="3">
        <f>3451.9+(3312.2-630.8)+(7.041876+(6.756888-1.286832))+0-771.6-1.57406399999997</f>
        <v>5372.6378679999989</v>
      </c>
      <c r="J147" s="3">
        <f>3308.3+(3304.2-643.7)+(-1.687233+(-1.685142--0.328287))+0-682.2--0.347921999999931</f>
        <v>5283.9038340000006</v>
      </c>
      <c r="K147" s="3">
        <f>3183.6+(3369.6-623.6)+(-8.11818+(-8.59248--1.59018))+0-750.9--1.91479499999989</f>
        <v>5165.4943150000008</v>
      </c>
      <c r="L147" s="3">
        <f>3195.8+(3008.2-617.8)+(-8.14929+(-7.67091--1.57539))+0-673.5--1.7174249999999</f>
        <v>4900.1726149999995</v>
      </c>
      <c r="M147" s="3">
        <f>3427.8+(2530.4-631.2)+(5.244534+(3.871512-0.965736))+0-655.4-1.00276200000004</f>
        <v>4678.7475480000003</v>
      </c>
      <c r="N147" s="3">
        <f>3415.6+(2566.3-647.3)+(1.741956+(1.308813-0.330123))+0-626.8-0.319667999999936</f>
        <v>4710.2009779999998</v>
      </c>
      <c r="O147" s="3">
        <f>4020.8+(2001.3-642.8)+(2.050608+(1.020663-0.327828))+0-550-0.280499999999944</f>
        <v>4831.7629430000006</v>
      </c>
      <c r="P147" s="3">
        <f>4717.3+(1588.9-679.9)+(7.217469+(2.431017-1.040247))+0-643.6-0.984708000000037</f>
        <v>4990.323531</v>
      </c>
      <c r="Q147" s="3">
        <f>5287.5+(1592.3-1072.8)+(8.089875+(2.436219-1.641384))+0-537.4-0.822222000000031</f>
        <v>5277.6624880000008</v>
      </c>
      <c r="R147" s="3">
        <f>6465+(1391.1-1609.3)+(0+(0-0))+0-626.6-0</f>
        <v>5620.2</v>
      </c>
      <c r="S147" s="3">
        <f>6571+(1493.2-1583.8)+(-10.05363+(-2.284596--2.423214))+0-571.7--0.874701000000033</f>
        <v>5899.6596889999992</v>
      </c>
      <c r="T147" s="3">
        <f>6860.8+(1463.3-1718.4)+(3.499008+(0.746283-0.876384))+0-553-0.282029999999944</f>
        <v>6055.7868769999995</v>
      </c>
      <c r="U147" s="3">
        <f>6829.4+(1527.8-1615.6)+(-3.482994+(-0.779178--0.823956))+0-638.7--0.325736999999935</f>
        <v>6099.7875210000002</v>
      </c>
      <c r="V147" s="3">
        <f>6674.6+(1548.7-1405.3)+(-13.616184+(-3.159348--2.866812))+0-773.1--1.57712399999997</f>
        <v>6032.5684039999996</v>
      </c>
      <c r="W147" s="3">
        <f>5921.1+(1543.6-1047.5)+(-21.138327+(-5.510652--3.739575))+0-587.5--2.09737500000001</f>
        <v>5808.887971000001</v>
      </c>
      <c r="X147" s="3">
        <f>4803.1+(2001.5-669.6)+(-4.899162+(-2.04153--0.682992))+0-732.6--0.747252000000117</f>
        <v>5396.8895519999996</v>
      </c>
      <c r="Y147" s="3">
        <f>4365+(2031.5-685.1)+(2.22615+(1.036065-0.349401))+0-662.5-0.337874999999933</f>
        <v>5051.4749389999997</v>
      </c>
      <c r="Z147" s="3">
        <f>5823+(1553.5-1259.9)+(5.93946+(1.58457-1.285098))+0-648-0.660960000000103</f>
        <v>5474.1779720000004</v>
      </c>
      <c r="AA147" s="3">
        <f>5945+(1680.1-1282)+(-12.1278+(-3.427404--2.61528))+0-693.9--1.41555599999997</f>
        <v>5637.6756320000004</v>
      </c>
      <c r="AB147" s="3">
        <f>5189.3+(2162.2-984.2)+(-10.586172+(-4.410888--2.007768))+0-704.2--1.43656799999997</f>
        <v>5651.5472760000002</v>
      </c>
      <c r="AC147" s="3">
        <f>4739.7+(2397.4-794.1)+(2.417247+(1.222674-0.404991))+0-664.4-0.338843999999933</f>
        <v>5681.4960860000001</v>
      </c>
      <c r="AD147" s="2">
        <v>5649.6</v>
      </c>
      <c r="AE147" s="3">
        <f>6369+(1472.5-1527.4)+(0+(0-0))+0-664.5-0</f>
        <v>5649.6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4633.6+(2464.5-672.7)+(2.363136+(1.256895-0.343077))+0-715.4-0.364853999999927</f>
        <v>5712.9121000000005</v>
      </c>
      <c r="G148" s="3">
        <f>4078.1+(2927.9-656.2)+(0+(0-0))+0-711-0</f>
        <v>5638.7999999999993</v>
      </c>
      <c r="H148" s="3">
        <f>3694.9+(3191.9-699.6)+(-3.768798+(-3.255738--0.713592))+0-682--0.695640000000109</f>
        <v>5499.5846960000008</v>
      </c>
      <c r="I148" s="3">
        <f>3273.3+(3424.5-652.6)+(0+(0-0))+0-649.7-0</f>
        <v>5395.5000000000009</v>
      </c>
      <c r="J148" s="3">
        <f>3267.2+(3391.9-635.8)+(-4.998816+(-5.189607--0.972774))+0-712.8--1.09058400000004</f>
        <v>5302.3749350000007</v>
      </c>
      <c r="K148" s="3">
        <f>3239.1+(3242.6-645.9)+(-9.911646+(-9.922356--1.976454))+0-639.2--1.95595200000007</f>
        <v>5180.6984039999998</v>
      </c>
      <c r="L148" s="3">
        <f>3152.5+(3146.3-654.2)+(-3.21555+(-3.209226--0.667284))+0-672.9--0.686358000000107</f>
        <v>4966.6288660000009</v>
      </c>
      <c r="M148" s="3">
        <f>3292+(2756.3-646.3)+(0+(0-0))+0-647.7-0</f>
        <v>4754.3</v>
      </c>
      <c r="N148" s="3">
        <f>3358.5+(2519.1-646.6)+(0+(0-0))+0-499.9-0</f>
        <v>4731.1000000000004</v>
      </c>
      <c r="O148" s="3">
        <f>3584.9+(2446.1-651.3)+(3.656598+(2.495022-0.664326))+0-474.5-0.483990000000076</f>
        <v>4910.2033039999997</v>
      </c>
      <c r="P148" s="3">
        <f>4359.4+(1956-826)+(4.446588+(1.99512-0.84252))+0-571.3-0.582726000000091</f>
        <v>4923.116462</v>
      </c>
      <c r="Q148" s="3">
        <f>5285.8+(1616.9-1313.9)+(0+(0-0))+0-446.7-0</f>
        <v>5142.1000000000004</v>
      </c>
      <c r="R148" s="3">
        <f>6451.5+(1365.9-1805.8)+(3.290265+(0.696609-0.920958))+0-508.3-0.259232999999948</f>
        <v>5506.106683</v>
      </c>
      <c r="S148" s="3">
        <f>6918.9+(1280.9-1764)+(-10.585917+(-1.959777--2.69892))+0-616--0.942480000000036</f>
        <v>5810.8957059999993</v>
      </c>
      <c r="T148" s="3">
        <f>7282.1+(1217.5-2064.9)+(-3.713871+(-0.620925--1.053099))+0-425.5--0.217004999999957</f>
        <v>6006.1353079999999</v>
      </c>
      <c r="U148" s="3">
        <f>7375.7+(1312.7-2043.3)+(-11.284821+(-2.008431--3.126249))+0-597.8--0.914634000000034</f>
        <v>6038.0476310000004</v>
      </c>
      <c r="V148" s="3">
        <f>6872+(1353.7-1769.6)+(-10.51416+(-2.071161--2.707488))+0-449.9--0.688347000000026</f>
        <v>5997.0105140000014</v>
      </c>
      <c r="W148" s="3">
        <f>6059.1+(1517.5-1388.3)+(-15.450705+(-3.869625--3.540165))+0-407.2--1.03835999999994</f>
        <v>5766.3581949999998</v>
      </c>
      <c r="X148" s="3">
        <f>4567.1+(2093.2-768.1)+(-16.304547+(-7.472724--2.742117))+0-555.7--1.98384900000001</f>
        <v>5317.448695000001</v>
      </c>
      <c r="Y148" s="3">
        <f>4011.2+(2315.5-726.9)+(0+(0-0))+0-585.7-0</f>
        <v>5014.0999999999995</v>
      </c>
      <c r="Z148" s="3">
        <f>6112.8+(1451.4-1528.1)+(3.117528+(0.740214-0.779331))+0-573.8-0.292637999999942</f>
        <v>5465.0857730000007</v>
      </c>
      <c r="AA148" s="3">
        <f>6332+(1479.8-1573.5)+(-19.37592+(-4.528188--4.81491))+0-609.3--1.86445800000007</f>
        <v>5611.7752600000003</v>
      </c>
      <c r="AB148" s="3">
        <f>5403.1+(1887.3-1077.7)+(-16.533486+(-5.775138--3.297762))+0-615.8--1.88434800000007</f>
        <v>5579.773486000001</v>
      </c>
      <c r="AC148" s="3">
        <f>5000.6+(1988.8-803.3)+(5.100612+(2.028576-0.819366))+0-591-0.602820000000094</f>
        <v>5600.8070020000005</v>
      </c>
      <c r="AD148" s="2">
        <v>5618.6</v>
      </c>
      <c r="AE148" s="3">
        <f>6905+(1235.9-1992.9)+(0+(0-0))+0-529.4-0</f>
        <v>5618.6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4507+(2429.4-653.5)+(0+(0-0))+0-657.5-0</f>
        <v>5625.4</v>
      </c>
      <c r="G149" s="3">
        <f>3628.4+(3144.6-649.2)+(1.850484+(1.603746-0.331092))+0-587.5-0.29962499999994</f>
        <v>5539.1235129999995</v>
      </c>
      <c r="H149" s="3">
        <f>3459.5+(3275.6-670.4)+(0+(0-0))+0-647.2-0</f>
        <v>5417.5</v>
      </c>
      <c r="I149" s="3">
        <f>3375.3+(3173.6-655.9)+(-3.442806+(-3.237072--0.669018))+0-599.7--0.611694000000096</f>
        <v>5287.900834</v>
      </c>
      <c r="J149" s="3">
        <f>3634+(2903.6-660.5)+(9.2667+(7.40418-1.684275))+0-693.7-1.7689349999999</f>
        <v>5196.6176700000005</v>
      </c>
      <c r="K149" s="3">
        <f>3342.9+(3005.3-669)+(-8.524395+(-7.663515--1.70595))+0-608.2--1.55090999999991</f>
        <v>5058.0689500000008</v>
      </c>
      <c r="L149" s="3">
        <f>3124.3+(2972.7-647.9)+(-9.560358+(-9.096462--1.982574))+0-623.5--1.90791000000007</f>
        <v>4810.8336640000007</v>
      </c>
      <c r="M149" s="3">
        <f>3271.1+(2541.9-636.3)+(5.004783+(3.889107-0.973539))+0-606.2-0.927486000000035</f>
        <v>4577.4928650000002</v>
      </c>
      <c r="N149" s="3">
        <f>3573+(2306.1-647.4)+(1.82223+(1.176111-0.330174))+0-658.6-0.335885999999933</f>
        <v>4575.4322809999994</v>
      </c>
      <c r="O149" s="3">
        <f>3419.5+(2350.2-642.5)+(1.743945+(1.198602-0.327675))+0-458.8-0.233987999999953</f>
        <v>4670.7808839999998</v>
      </c>
      <c r="P149" s="3">
        <f>3996.2+(2020.1-707.1)+(6.114186+(3.090753-1.081863))+0-529.9-0.810747000000031</f>
        <v>4786.6123289999996</v>
      </c>
      <c r="Q149" s="3">
        <f>5186.1+(1630.6-1187.3)+(0+(0-0))+0-576.8-0</f>
        <v>5052.6000000000004</v>
      </c>
      <c r="R149" s="3">
        <f>6025.7+(1512.6-1547.1)+(-6.146214+(-1.542852--1.578042))+0-551.1--0.562122000000088</f>
        <v>5434.5510979999999</v>
      </c>
      <c r="S149" s="3">
        <f>6387.6+(1511.6-1597.7)+(0+(0-0))+0-541.1-0</f>
        <v>5760.4</v>
      </c>
      <c r="T149" s="3">
        <f>7163.2+(1313.2-2039.3)+(-3.653232+(-0.669732--1.040043))+0-466.8--0.238067999999953</f>
        <v>5967.2551469999999</v>
      </c>
      <c r="U149" s="3">
        <f>7199.6+(1449-2077.6)+(-7.343592+(-1.47798--2.119152))+0-537.3--0.548046000000086</f>
        <v>6027.5456260000001</v>
      </c>
      <c r="V149" s="3">
        <f>6943.7+(1188.7-1670.4)+(-7.082574+(-1.212474--1.703808))+0-489.2--0.498984000000078</f>
        <v>5966.7077440000003</v>
      </c>
      <c r="W149" s="3">
        <f>6501.6+(1312.9-1427.2)+(-3.315816+(-0.669579--0.727872))+0-604.6--0.308345999999939</f>
        <v>5779.7508229999994</v>
      </c>
      <c r="X149" s="3">
        <f>4803.8+(1913.5-835.8)+(-9.799752+(-3.90354--1.705032))+0-538.5--1.09853999999998</f>
        <v>5332.1002799999997</v>
      </c>
      <c r="Y149" s="3">
        <f>4294.6+(2019.6-691.8)+(-4.380492+(-2.059992--0.705636))+0-637.6--0.650352000000102</f>
        <v>4979.7155039999998</v>
      </c>
      <c r="Z149" s="3">
        <f>5267.9+(1887-1219)+(-2.686629+(-0.96237--0.62169))+0-545.5--0.278204999999945</f>
        <v>5387.6508959999992</v>
      </c>
      <c r="AA149" s="3">
        <f>5592.1+(1931.8-1285.5)+(-2.851971+(-0.985218--0.655605))+0-659.3--0.336242999999933</f>
        <v>5576.2546590000002</v>
      </c>
      <c r="AB149" s="3">
        <f>5354.9+(2000.7-1190.8)+(-13.654995+(-5.101785--3.03654))+0-594.1--1.51495499999991</f>
        <v>5556.4947149999989</v>
      </c>
      <c r="AC149" s="3">
        <f>4888.6+(2033.6-684.5)+(-2.493186+(-1.037136--0.349095))+0-666.2--0.339761999999932</f>
        <v>5568.6585350000005</v>
      </c>
      <c r="AD149" s="2">
        <v>5523.2</v>
      </c>
      <c r="AE149" s="3">
        <f>5650+(1967.6-1356.3)+(0+(0-0))+0-738.1-0</f>
        <v>5523.2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4777.2+(2066.8-717)+(0+(0-0))+0-586.4-0</f>
        <v>5540.6</v>
      </c>
      <c r="G150" s="3">
        <f>4623.5+(2152.7-626)+(-9.43194+(-4.391508--1.27704))+0-666.1--1.35884399999997</f>
        <v>5472.9124359999996</v>
      </c>
      <c r="H150" s="3">
        <f>4104.7+(2467.4-597)+(-6.280191+(-3.775122--0.91341))+0-617.7--0.945081000000036</f>
        <v>5349.2031780000007</v>
      </c>
      <c r="I150" s="3">
        <f>3765.2+(2738-635.7)+(-9.60126+(-6.9819--1.621035))+0-648--1.65239999999991</f>
        <v>5206.1902749999999</v>
      </c>
      <c r="J150" s="3">
        <f>3436.1+(2978.3-656.5)+(3.504822+(3.037866-0.66963))+0-646.7-0.659634000000103</f>
        <v>5116.4134239999994</v>
      </c>
      <c r="K150" s="3">
        <f>3155.9+(3150.9-638)+(-8.047545+(-8.034795--1.6269))+0-688.7--1.7561849999999</f>
        <v>4967.4007450000008</v>
      </c>
      <c r="L150" s="3">
        <f>3140.8+(2833.8-625.8)+(-8.00904+(-7.22619--1.59579))+0-635.2--1.61975999999991</f>
        <v>4701.58032</v>
      </c>
      <c r="M150" s="3">
        <f>3168.6+(2613.4-619.8)+(1.615986+(1.332834-0.316098))+0-675.9-0.344708999999931</f>
        <v>4488.5880130000005</v>
      </c>
      <c r="N150" s="3">
        <f>3302.2+(2287.2-642.2)+(3.368244+(2.332944-0.655044))+0-518.3-0.528666000000083</f>
        <v>4433.4174779999994</v>
      </c>
      <c r="O150" s="3">
        <f>3495.5+(2214.2-627.7)+(5.348115+(3.387726-0.960381))+0-632.2-0.967266000000037</f>
        <v>4456.6081940000004</v>
      </c>
      <c r="P150" s="3">
        <f>4232.8+(1672.9-721.7)+(-2.158728+(-0.853179--0.368067))+0-587.7--0.29972699999994</f>
        <v>4593.9558870000001</v>
      </c>
      <c r="Q150" s="3">
        <f>4864.9+(1624.6-1024.5)+(4.962198+(1.657092-1.04499))+0-590.4-0.602208000000094</f>
        <v>4879.5720920000003</v>
      </c>
      <c r="R150" s="3">
        <f>5593.6+(1733.2-1501)+(-5.705472+(-1.767864--1.53102))+0-593.7--0.605574000000095</f>
        <v>5226.7632580000009</v>
      </c>
      <c r="S150" s="3">
        <f>5955.6+(1697.7-1515.8)+(3.037356+(0.865827-0.773058))+0-605.4-0.308753999999939</f>
        <v>5534.9213710000004</v>
      </c>
      <c r="T150" s="3">
        <f>6784.3+(1525.8-1886.9)+(0+(0-0))+0-692-0</f>
        <v>5731.2</v>
      </c>
      <c r="U150" s="3">
        <f>6552.8+(1488.4-1689.4)+(-10.025784+(-2.277252--2.584782))+0-453.3--0.693549000000026</f>
        <v>5889.4752949999993</v>
      </c>
      <c r="V150" s="3">
        <f>6199.9+(1698.9-1405.6)+(-9.485847+(-2.599317--2.150568))+0-646.4--0.988992000000037</f>
        <v>5837.8543959999997</v>
      </c>
      <c r="W150" s="3">
        <f>4945.9+(2048.8-774.4)+(-12.612045+(-5.22444--1.97472))+0-613.8--1.56518999999991</f>
        <v>5592.2034249999997</v>
      </c>
      <c r="X150" s="3">
        <f>3793.1+(2658.2-645.2)+(-5.803443+(-4.067046--0.987156))+0-624.4--0.955332000000036</f>
        <v>5173.7719990000005</v>
      </c>
      <c r="Y150" s="3">
        <f>3696.7+(2500.4-635.5)+(3.770634+(2.550408-0.64821))+0-724-0.738480000000115</f>
        <v>4842.5343520000006</v>
      </c>
      <c r="Z150" s="3">
        <f>5201.7+(1683-1093.7)+(0+(0-0))+0-580.6-0</f>
        <v>5210.3999999999996</v>
      </c>
      <c r="AA150" s="3">
        <f>5281.5+(1752.9-938.8)+(-2.693565+(-0.893979--0.478788))+0-787.2--0.40147199999992</f>
        <v>5305.6927160000005</v>
      </c>
      <c r="AB150" s="3">
        <f>4689.8+(1963.1-764.7)+(-4.783596+(-2.002362--0.779994))+0-584.9--0.596598000000093</f>
        <v>5297.8906340000003</v>
      </c>
      <c r="AC150" s="3">
        <f>4402+(2167.1-519)+(-8.98008+(-4.420884--1.05876))+0-744.1--1.51796399999997</f>
        <v>5295.1757600000001</v>
      </c>
      <c r="AD150" s="2">
        <v>5258.3000000000011</v>
      </c>
      <c r="AE150" s="3">
        <f>5708+(1656.3-1240.6)+(0+(0-0))+0-865.4-0</f>
        <v>5258.3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4059.8+(2362-497.4)+(-6.211494+(-3.61386--0.761022))+0-603.2--0.922896000000035</f>
        <v>5313.0585639999999</v>
      </c>
      <c r="G151" s="3">
        <f>3950.8+(2599.6-670.7)+(0+(0-0))+0-626.6-0</f>
        <v>5253.0999999999995</v>
      </c>
      <c r="H151" s="3">
        <f>3832.9+(2669.5-660.1)+(-9.773895+(-6.807225--1.683255))+0-709.1--1.8082049999999</f>
        <v>5120.1103400000002</v>
      </c>
      <c r="I151" s="3">
        <f>3425.2+(2854.4-665.1)+(-6.987408+(-5.822976--1.356804))+0-610.7--1.24582799999997</f>
        <v>4993.5922479999999</v>
      </c>
      <c r="J151" s="3">
        <f>3501.3+(2802.3-679)+(-3.571326+(-2.858346--0.69258))+0-745.9--0.760818000000119</f>
        <v>4873.7237260000002</v>
      </c>
      <c r="K151" s="3">
        <f>3334.3+(2672.3-651.6)+(-8.502465+(-6.814365--1.66158))+0-618.6--1.57742999999991</f>
        <v>4724.3221800000001</v>
      </c>
      <c r="L151" s="3">
        <f>3274.4+(2576-636.2)+(-5.009832+(-3.94128--0.973386))+0-709.2--1.08507600000004</f>
        <v>4498.1073500000002</v>
      </c>
      <c r="M151" s="3">
        <f>3263.3+(2230.7-629.4)+(-3.328566+(-2.275314--0.641988))+0-648.2--0.661164000000103</f>
        <v>4212.0992720000004</v>
      </c>
      <c r="N151" s="3">
        <f>3419.9+(2014.7-651.1)+(0+(0-0))+0-638.4-0</f>
        <v>4145.1000000000004</v>
      </c>
      <c r="O151" s="3">
        <f>3129.8+(2330.1-647.4)+(-3.192396+(-2.376702--0.660348))+0-614.6--0.626892000000098</f>
        <v>4193.6181420000003</v>
      </c>
      <c r="P151" s="3">
        <f>3357.8+(2181.9-684.1)+(1.712478+(1.112769-0.348891))+0-581.7-0.296666999999941</f>
        <v>4276.0796890000011</v>
      </c>
      <c r="Q151" s="3">
        <f>4136.8+(1765.8-702.3)+(2.109768+(0.900558-0.358173))+0-737.9-0.376328999999925</f>
        <v>4464.6758240000008</v>
      </c>
      <c r="R151" s="3">
        <f>4853.2+(1321.2-754.6)+(-2.475132+(-0.673812--0.384846))+0-635--0.323849999999936</f>
        <v>4782.3597520000003</v>
      </c>
      <c r="S151" s="3">
        <f>5387.7+(1396.7-858.6)+(-5.495454+(-1.424634--0.875772))+0-740.4--0.755208000000118</f>
        <v>5180.1108920000006</v>
      </c>
      <c r="T151" s="3">
        <f>5479.3+(1545.2-894.5)+(-11.177772+(-3.152208--1.82478))+0-667.9--1.36251599999997</f>
        <v>5450.9573160000009</v>
      </c>
      <c r="U151" s="3">
        <f>5737.7+(1454.9-949.4)+(-5.852454+(-1.483998--0.968388))+0-690.2--0.70400400000011</f>
        <v>5547.3359399999999</v>
      </c>
      <c r="V151" s="3">
        <f>5345.2+(1687.8-793.1)+(-2.726052+(-0.860778--0.404481))+0-730.8--0.372707999999926</f>
        <v>5506.2903589999996</v>
      </c>
      <c r="W151" s="3">
        <f>4592.7+(2094.4-756.6)+(-9.369108+(-4.272576--1.543464))+0-613.4--1.25133599999997</f>
        <v>5306.2531160000008</v>
      </c>
      <c r="X151" s="3">
        <f>3470.2+(2824.5-684.4)+(-7.079208+(-5.76198--1.396176))+0-738.4--1.50633599999997</f>
        <v>4861.9613239999999</v>
      </c>
      <c r="Y151" s="3">
        <f>3403.5+(2347.2-678)+(-3.47157+(-2.394144--0.69156))+0-571.8--0.583236000000091</f>
        <v>4496.3090819999998</v>
      </c>
      <c r="Z151" s="3">
        <f>5018.4+(1602.1-941.2)+(0+(0-0))+0-714.4-0</f>
        <v>4964.8999999999996</v>
      </c>
      <c r="AA151" s="3">
        <f>5271.2+(1384-853)+(-8.064936+(-2.11752--1.30509))+0-671.5--1.02739500000004</f>
        <v>5122.8500290000002</v>
      </c>
      <c r="AB151" s="3">
        <f>5189.5+(1544.6-877.9)+(0+(0-0))+0-730-0</f>
        <v>5126.2</v>
      </c>
      <c r="AC151" s="3">
        <f>5038.8+(1596.9-871)+(2.569788+(0.814419-0.44421))+0-616-0.314159999999937</f>
        <v>5151.3258370000012</v>
      </c>
      <c r="AD151" s="2">
        <v>5115.4999999999991</v>
      </c>
      <c r="AE151" s="3">
        <f>5505+(1522.9-1126.1)+(0+(0-0))+0-786.3-0</f>
        <v>5115.5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4786.6+(1972.1-801.4)+(-2.441166+(-1.005771--0.408714))+0-678.3--0.345932999999931</f>
        <v>5276.30771</v>
      </c>
      <c r="G152" s="3">
        <f>3728.4+(2848-702.3)+(-5.704452+(-4.35744--1.074519))+0-645--0.986850000000037</f>
        <v>5221.0994770000007</v>
      </c>
      <c r="H152" s="3">
        <f>3131.6+(3376.3-678.7)+(-1.597116+(-1.721913--0.346137))+0-712.7--0.363476999999928</f>
        <v>5113.890585000001</v>
      </c>
      <c r="I152" s="3">
        <f>2889.5+(3405.6-639.5)+(-5.89458+(-6.947424--1.30458))+0-671.6--1.37006399999997</f>
        <v>4973.8326399999996</v>
      </c>
      <c r="J152" s="3">
        <f>2978.6+(3264.3-672.2)+(1.519086+(1.664793-0.342822))+0-671.6-0.342515999999932</f>
        <v>4901.5985410000003</v>
      </c>
      <c r="K152" s="3">
        <f>2867.4+(3309.1-686.6)+(-1.462374+(-1.687641--0.350166))+0-716.6--0.365465999999927</f>
        <v>4770.8656169999995</v>
      </c>
      <c r="L152" s="3">
        <f>2773.3+(3028.7-641.7)+(-1.414383+(-1.544637--0.327267))+0-646.3--0.329612999999934</f>
        <v>4511.6978600000002</v>
      </c>
      <c r="M152" s="3">
        <f>2740.8+(2858.1-614.7)+(0+(0-0))+0-726.1-0</f>
        <v>4258.0999999999995</v>
      </c>
      <c r="N152" s="3">
        <f>3039.9+(2310.5-621.9)+(1.550349+(1.178355-0.317169))+0-661-0.337109999999933</f>
        <v>4069.5744250000002</v>
      </c>
      <c r="O152" s="3">
        <f>3206.8+(2305.6-607.7)+(1.635468+(1.175856-0.309927))+0-534.9-0.272798999999946</f>
        <v>4372.0285979999999</v>
      </c>
      <c r="P152" s="3">
        <f>3294.1+(2386.8-669.1)+(1.679991+(1.217268-0.341241))+0-506.5-0.258314999999949</f>
        <v>4507.5977030000004</v>
      </c>
      <c r="Q152" s="3">
        <f>3672.1+(2235.8-675.6)+(5.618313+(3.420774-1.033668))+0-594.8-0.910044000000034</f>
        <v>4644.5953749999999</v>
      </c>
      <c r="R152" s="3">
        <f>4749.3+(1722.9-863.7)+(2.422143+(0.878679-0.440487))+0-586-0.298859999999941</f>
        <v>5025.0614750000004</v>
      </c>
      <c r="S152" s="3">
        <f>5156.8+(1860.6-852.3)+(-5.259936+(-1.897812--0.869346))+0-671.8--0.685236000000107</f>
        <v>5487.6968340000003</v>
      </c>
      <c r="T152" s="3">
        <f>5446.1+(1835.3-1035.4)+(-2.777511+(-0.936003--0.528054))+0-494--0.25193999999995</f>
        <v>5749.0664800000004</v>
      </c>
      <c r="U152" s="3">
        <f>5585.2+(1680.6-939.1)+(2.848452+(0.857106-0.478941))+0-569.1-0.290240999999942</f>
        <v>5760.536376</v>
      </c>
      <c r="V152" s="3">
        <f>5615.8+(1570-899.8)+(-2.864058+(-0.8007--0.458898))+0-588.9--0.30033899999994</f>
        <v>5694.1944790000007</v>
      </c>
      <c r="W152" s="3">
        <f>4379.2+(2333.5-653.2)+(-2.233392+(-1.190085--0.333132))+0-589.9--0.30084899999994</f>
        <v>5466.8105040000009</v>
      </c>
      <c r="X152" s="3">
        <f>3363.8+(2922.3-670.3)+(-5.146614+(-4.471119--1.025559))+0-583.3--0.892449000000034</f>
        <v>5024.8002749999996</v>
      </c>
      <c r="Y152" s="3">
        <f>3288.3+(2684.9-642.2)+(3.354066+(2.738598-0.655044))+0-618.8-0.631176000000099</f>
        <v>4717.0064439999996</v>
      </c>
      <c r="Z152" s="3">
        <f>4324.3+(2150.5-714.8)+(2.205393+(1.096755-0.364548))+0-616.7-0.314516999999937</f>
        <v>5145.9230830000006</v>
      </c>
      <c r="AA152" s="3">
        <f>4534.7+(2120.9-737.5)+(-9.250788+(-4.326636--1.5045))+0-659.4--1.34517599999997</f>
        <v>5247.9722520000005</v>
      </c>
      <c r="AB152" s="3">
        <f>3635.3+(3000.3-669.5)+(-3.708006+(-3.060306--0.68289))+0-701.6--0.715632000000112</f>
        <v>5259.1302100000003</v>
      </c>
      <c r="AC152" s="3">
        <f>3606.1+(3027.7-680.9)+(0+(0-0))+0-686.7-0</f>
        <v>5266.2</v>
      </c>
      <c r="AD152" s="2">
        <v>5272.2</v>
      </c>
      <c r="AE152" s="3">
        <f>4712+(1984.1-789.6)+(0+(0-0))+0-634.3-0</f>
        <v>5272.2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3628.7+(2949.5-660.1)+(-3.701274+(-3.00849--0.673302))+0-640--0.652800000000102</f>
        <v>5272.7163380000002</v>
      </c>
      <c r="G153" s="3">
        <f>3385.8+(3236.9-605.6)+(-6.907032+(-6.603276--1.235424))+0-754.8--1.53979199999997</f>
        <v>5251.5649079999994</v>
      </c>
      <c r="H153" s="3">
        <f>3162.1+(3402.4-660.1)+(-1.612671+(-1.735224--0.336651))+0-753.9--0.384488999999924</f>
        <v>5147.8732449999998</v>
      </c>
      <c r="I153" s="3">
        <f>3066.2+(3284-670.8)+(0+(0-0))+0-745.1-0</f>
        <v>4934.2999999999993</v>
      </c>
      <c r="J153" s="3">
        <f>3079.4+(3223.8-681.9)+(-4.711482+(-4.932414--1.043307))+0-738.5--1.12990500000004</f>
        <v>4875.3293160000003</v>
      </c>
      <c r="K153" s="3">
        <f>2953.7+(3201.1-669.6)+(-6.025548+(-6.530244--1.365984))+0-725.8--1.48063199999997</f>
        <v>4749.6908239999993</v>
      </c>
      <c r="L153" s="3">
        <f>2765.3+(3205.6-653.4)+(-11.282424+(-13.078848--2.665872))+0-721.3--2.94290399999994</f>
        <v>4577.4475039999998</v>
      </c>
      <c r="M153" s="3">
        <f>2740+(2789.5-625.2)+(0+(0-0))+0-698.5-0</f>
        <v>4205.8</v>
      </c>
      <c r="N153" s="3">
        <f>2865.4+(2608.5-626)+(2.922708+(2.66067-0.63852))+0-682-0.695640000000109</f>
        <v>4170.1492179999996</v>
      </c>
      <c r="O153" s="3">
        <f>2911.5+(2602.8-642.8)+(-1.484865+(-1.327428--0.327828))+0-636.7--0.324716999999935</f>
        <v>4232.6402520000001</v>
      </c>
      <c r="P153" s="3">
        <f>3126+(2639.5-657)+(-1.59426+(-1.346145--0.33507))+0-647.8--0.330377999999934</f>
        <v>4458.4250429999993</v>
      </c>
      <c r="Q153" s="3">
        <f>3543.8+(2565.7-662.5)+(0+(0-0))+0-656-0</f>
        <v>4791</v>
      </c>
      <c r="R153" s="3">
        <f>3955.1+(2441-664)+(-2.017101+(-1.24491--0.33864))+0-712--0.363119999999928</f>
        <v>5017.5397490000005</v>
      </c>
      <c r="S153" s="3">
        <f>4423.3+(2137.9-674.3)+(-4.511766+(-2.180658--0.687786))+0-701--0.715020000000112</f>
        <v>5180.6103820000008</v>
      </c>
      <c r="T153" s="3">
        <f>4589.9+(2167.6-686.5)+(-9.363396+(-4.421904--1.40046))+0-677.2--1.38148799999997</f>
        <v>5382.7966480000005</v>
      </c>
      <c r="U153" s="3">
        <f>4627.6+(2147.6-699.5)+(4.720152+(2.190552-0.71349))+0-672.6-0.686052000000107</f>
        <v>5408.6111620000001</v>
      </c>
      <c r="V153" s="3">
        <f>4557.2+(2142.2-658.3)+(6.972516+(3.277566-1.007199))+0-687.7-1.05218100000004</f>
        <v>5361.5907019999995</v>
      </c>
      <c r="W153" s="3">
        <f>3882.7+(2812-726.3)+(-3.960354+(-2.86824--0.740826))+0-709--0.723180000000113</f>
        <v>5254.0354119999993</v>
      </c>
      <c r="X153" s="3">
        <f>3237.4+(2975.2-717.8)+(-4.953222+(-4.552056--1.098234))+0-724.1--1.10787300000004</f>
        <v>4763.4008289999992</v>
      </c>
      <c r="Y153" s="3">
        <f>3403.4+(2352.1-676.7)+(-1.735734+(-1.199571--0.345117))+0-646.6--0.329765999999934</f>
        <v>4429.9395779999995</v>
      </c>
      <c r="Z153" s="3">
        <f>4417.7+(1812.3-744)+(-6.759081+(-2.772819--1.13832))+0-690--1.05570000000004</f>
        <v>4788.66212</v>
      </c>
      <c r="AA153" s="3">
        <f>4537.9+(1821.7-714.4)+(-6.942987+(-2.787201--1.093032))+0-665.2--1.01775600000004</f>
        <v>4972.3806000000004</v>
      </c>
      <c r="AB153" s="3">
        <f>4889.5+(1541.3-799.2)+(-2.493645+(-0.786063--0.407592))+0-652.6--0.332825999999934</f>
        <v>4976.4607100000003</v>
      </c>
      <c r="AC153" s="3">
        <f>4798.9+(1680.7-725.4)+(-2.447439+(-0.857157--0.369954))+0-675.3--0.344402999999931</f>
        <v>5076.3097609999995</v>
      </c>
      <c r="AD153" s="2">
        <v>4930.5</v>
      </c>
      <c r="AE153" s="3">
        <f>4519+(1845.3-716.6)+(0+(0-0))+0-717.2-0</f>
        <v>4930.5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4188.6+(2105.3-687.1)+(2.136186+(1.073703-0.350421))+0-558.2-0.284681999999943</f>
        <v>5051.1747860000014</v>
      </c>
      <c r="G154" s="3">
        <f>3304.3+(3095.5-674.7)+(1.685193+(1.578705-0.344097))+0-698.7-0.356336999999929</f>
        <v>5028.9634640000004</v>
      </c>
      <c r="H154" s="3">
        <f>3104.6+(3180.1-692.4)+(-1.583346+(-1.621851--0.353124))+0-696.4--0.355163999999929</f>
        <v>4893.4030909999992</v>
      </c>
      <c r="I154" s="3">
        <f>3142.1+(3043.3-682.9)+(-1.602471+(-1.552083--0.348279))+0-701.5--0.357764999999929</f>
        <v>4798.5514899999998</v>
      </c>
      <c r="J154" s="3">
        <f>3111.4+(3015.2-712)+(-4.760442+(-4.613256--1.08936))+0-721--1.10313000000004</f>
        <v>4686.4187920000004</v>
      </c>
      <c r="K154" s="3">
        <f>3162.7+(2811.1-679.2)+(0+(0-0))+0-683-0</f>
        <v>4611.5999999999995</v>
      </c>
      <c r="L154" s="3">
        <f>3070.7+(2768.9-699.5)+(-7.830285+(-7.060695--1.783725))+0-714.5--1.8219749999999</f>
        <v>4414.3147200000003</v>
      </c>
      <c r="M154" s="3">
        <f>3014.5+(2414.1-673.4)+(-3.07479+(-2.462382--0.686868))+0-607.7--0.619854000000097</f>
        <v>4143.2695500000009</v>
      </c>
      <c r="N154" s="3">
        <f>3111.2+(2304.9-682.2)+(3.173424+(2.350998-0.695844))+0-653.6-0.666672000000104</f>
        <v>4084.4619059999991</v>
      </c>
      <c r="O154" s="3">
        <f>3002.8+(2408.2-700.1)+(-1.531428+(-1.228182--0.357051))+0-600.8--0.306407999999939</f>
        <v>4108.0038489999997</v>
      </c>
      <c r="P154" s="3">
        <f>3200.5+(2335.3-662.7)+(3.26451+(2.382006-0.675954))+0-625.3-0.6378060000001</f>
        <v>4252.1327560000009</v>
      </c>
      <c r="Q154" s="3">
        <f>3419.2+(2423.2-670.8)+(-3.487584+(-2.471664--0.684216))+0-686.3--0.700026000000109</f>
        <v>4480.7249940000002</v>
      </c>
      <c r="R154" s="3">
        <f>3837.7+(2170.4-635)+(-1.957227+(-1.106904--0.32385))+0-529.2--0.269891999999946</f>
        <v>4841.4296110000005</v>
      </c>
      <c r="S154" s="3">
        <f>4623.7+(1885.3-639.9)+(-2.358087+(-0.961503--0.326349))+0-689.5--0.35164499999993</f>
        <v>5176.958404</v>
      </c>
      <c r="T154" s="3">
        <f>5232.7+(1396.2-733.2)+(-10.674708+(-2.848248--1.495728))+0-529.8--1.08079199999998</f>
        <v>5354.9535639999995</v>
      </c>
      <c r="U154" s="3">
        <f>5373.1+(1448.6-789.5)+(0+(0-0))+0-569.2-0</f>
        <v>5463.0000000000009</v>
      </c>
      <c r="V154" s="3">
        <f>5526.9+(1421.9-796.6)+(-2.818719+(-0.725169--0.406266))+0-686.2--0.34996199999993</f>
        <v>5463.21234</v>
      </c>
      <c r="W154" s="3">
        <f>4624.9+(1999.6-710.2)+(-9.434796+(-4.079184--1.448808))+0-604.7--1.23358799999997</f>
        <v>5298.7684159999999</v>
      </c>
      <c r="X154" s="3">
        <f>3718.1+(2567.6-663.7)+(-5.688693+(-3.928428--1.015461))+0-671.3--1.02708900000004</f>
        <v>4943.1254289999997</v>
      </c>
      <c r="Y154" s="3">
        <f>3580.9+(2275.5-695)+(-5.478777+(-3.481515--1.06335))+0-618.8--0.946764000000036</f>
        <v>4535.6498219999994</v>
      </c>
      <c r="Z154" s="3">
        <f>4183.3+(1889.3-791.8)+(-8.533932+(-3.854172--1.615272))+0-733--1.49531999999997</f>
        <v>4538.5224880000005</v>
      </c>
      <c r="AA154" s="3">
        <f>4872.2+(1773.4-795.1)+(-4.969644+(-1.808868--0.811002))+0-701.2--0.715224000000112</f>
        <v>5144.0477140000003</v>
      </c>
      <c r="AB154" s="3">
        <f>5102.6+(1670.1-887.5)+(-10.409304+(-3.407004--1.8105))+0-701--1.43003999999997</f>
        <v>5173.624232000001</v>
      </c>
      <c r="AC154" s="3">
        <f>4602.4+(2037.5-727.9)+(0+(0-0))+0-703.3-0</f>
        <v>5208.7</v>
      </c>
      <c r="AD154" s="2">
        <v>5344.2999999999993</v>
      </c>
      <c r="AE154" s="3">
        <f>5402+(1651.9-942.5)+(0+(0-0))+0-767.1-0</f>
        <v>5344.2999999999993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4074.5+(2589.1-678.4)+(2.077995+(1.320441-0.345984))+0-731.9-0.373268999999926</f>
        <v>5255.9791830000004</v>
      </c>
      <c r="G155" s="3">
        <f>3305.4+(3265.3-663.1)+(1.685754+(1.665303-0.338181))+0-670.9-0.342158999999932</f>
        <v>5239.3707170000007</v>
      </c>
      <c r="H155" s="3">
        <f>3182.9+(3336.1-657.6)+(0+(0-0))+0-718.4-0</f>
        <v>5143</v>
      </c>
      <c r="I155" s="3">
        <f>3162.6+(3167.1-645.4)+(0+(0-0))+0-703.5-0</f>
        <v>4980.7999999999993</v>
      </c>
      <c r="J155" s="3">
        <f>3108.3+(3114.1-620.5)+(-6.340932+(-6.352764--1.26582))+0-716.9--1.46247599999997</f>
        <v>4875.0346</v>
      </c>
      <c r="K155" s="3">
        <f>3120.2+(2990.4-640.5)+(-6.365208+(-6.100416--1.30662))+0-710.6--1.44962399999997</f>
        <v>4749.7906199999998</v>
      </c>
      <c r="L155" s="3">
        <f>3041.1+(2815.9-597.9)+(-12.407688+(-11.488872--2.439432))+0-677.8--2.76542399999994</f>
        <v>4562.6082960000003</v>
      </c>
      <c r="M155" s="3">
        <f>3148.8+(2379.6-624.4)+(3.211776+(2.427192-0.636888))+0-600.4-0.612408000000096</f>
        <v>4307.9896720000006</v>
      </c>
      <c r="N155" s="3">
        <f>3310.4+(2249.4-664.9)+(3.376608+(2.294388-0.678198))+0-631.4-0.644028000000101</f>
        <v>4267.8487700000005</v>
      </c>
      <c r="O155" s="3">
        <f>3529.2+(2124.5-689.5)+(1.799892+(1.083495-0.351645))+0-608-0.310079999999938</f>
        <v>4358.4216619999997</v>
      </c>
      <c r="P155" s="3">
        <f>3767.6+(1899-733)+(1.921476+(0.96849-0.37383))+0-501-0.255509999999949</f>
        <v>4434.8606260000006</v>
      </c>
      <c r="Q155" s="3">
        <f>4458.1+(1640.2-838.3)+(6.820893+(2.509506-1.282599))+0-543.6-0.831708000000031</f>
        <v>4723.6160920000002</v>
      </c>
      <c r="R155" s="3">
        <f>5277.9+(1460.3-1092.8)+(-2.691729+(-0.744753--0.557328))+0-636.4--0.324563999999935</f>
        <v>5006.4454099999994</v>
      </c>
      <c r="S155" s="3">
        <f>5737+(1551.2-1128.1)+(-5.85174+(-1.582224--1.150662))+0-644.4--0.657288000000103</f>
        <v>5510.0739860000012</v>
      </c>
      <c r="T155" s="3">
        <f>6055.3+(1601.8-1387.9)+(-9.264609+(-2.450754--2.123487))+0-618.4--0.946152000000036</f>
        <v>5642.1542760000002</v>
      </c>
      <c r="U155" s="3">
        <f>5975.3+(1658.4-1338.5)+(3.047403+(0.845784-0.682635))+0-646.4-0.329663999999934</f>
        <v>5651.6808880000008</v>
      </c>
      <c r="V155" s="3">
        <f>5824.9+(1828.1-1232.8)+(-2.970699+(-0.932331--0.628728))+0-662.4--0.337823999999933</f>
        <v>5754.8635220000006</v>
      </c>
      <c r="W155" s="3">
        <f>4776.6+(1989.3-722.2)+(-2.436066+(-1.014543--0.368322))+0-519.8--0.265097999999947</f>
        <v>5521.0828110000002</v>
      </c>
      <c r="X155" s="3">
        <f>3595.8+(2876.8-719.5)+(-5.501574+(-4.401504--1.100835))+0-676.6--1.03519800000004</f>
        <v>5068.7329550000004</v>
      </c>
      <c r="Y155" s="3">
        <f>3478.5+(2532.7-720)+(-3.54807+(-2.583354--0.7344))+0-604.4--0.616488000000096</f>
        <v>4682.019464</v>
      </c>
      <c r="Z155" s="3">
        <f>4535.1+(1979.1-798.4)+(2.312901+(1.009341-0.407184))+0-630.6-0.321605999999936</f>
        <v>5087.7934519999999</v>
      </c>
      <c r="AA155" s="3">
        <f>4746.2+(1933-731.8)+(-9.682248+(-3.94332--1.492872))+0-660.4--1.34721599999997</f>
        <v>5276.2145200000004</v>
      </c>
      <c r="AB155" s="3">
        <f>4466.7+(2182.1-696.3)+(2.278017+(1.112871-0.355113))+0-691.4-0.35261399999993</f>
        <v>5263.7831610000003</v>
      </c>
      <c r="AC155" s="3">
        <f>4459.4+(2358.2-735.2)+(4.548588+(2.405364-0.749904))+0-709.6-0.723792000000113</f>
        <v>5378.2802559999991</v>
      </c>
      <c r="AD155" s="2">
        <v>5202.1000000000004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3814.2+(2885.9-729.2)+(-3.890484+(-2.943618--0.743784))+0-566.3--0.57762600000009</f>
        <v>5399.0873080000001</v>
      </c>
      <c r="G156" s="3">
        <f>3386.3+(3363.4-708.9)+(-1.727013+(-1.715334--0.361539))+0-723.9--0.369188999999927</f>
        <v>5314.1883810000008</v>
      </c>
      <c r="H156" s="3">
        <f>3102.9+(3316.4-709.9)+(-6.329916+(-6.765456--1.448196))+0-517.2--1.05508799999998</f>
        <v>5181.6079119999995</v>
      </c>
      <c r="I156" s="3">
        <f>3126.8+(3294.1-716.6)+(1.594668+(1.679991-0.365466))+0-660-0.336599999999933</f>
        <v>5046.872593000001</v>
      </c>
      <c r="J156" s="3">
        <f>3064+(3028.3-678.4)+(9.37584+(9.266598-2.075904))+0-517.5-1.58355000000006</f>
        <v>4911.3829839999989</v>
      </c>
      <c r="K156" s="3">
        <f>3045.5+(3028.2-668.9)+(1.553205+(1.544382-0.341139))+0-613.6-0.312935999999938</f>
        <v>4793.6435119999987</v>
      </c>
      <c r="L156" s="3">
        <f>2969.9+(2814-696.5)+(-6.058596+(-5.74056--1.42086))+0-511--1.04243999999998</f>
        <v>4567.0641439999999</v>
      </c>
      <c r="M156" s="3">
        <f>3052+(2531.6-678.7)+(-1.55652+(-1.291116--0.346137))+0-572.9--0.292178999999942</f>
        <v>4329.7906800000001</v>
      </c>
      <c r="N156" s="3">
        <f>3194.9+(2325.8-691.7)+(3.258798+(2.372316-0.705534))+0-545.5-0.556410000000087</f>
        <v>4287.8691699999999</v>
      </c>
      <c r="O156" s="3">
        <f>3288.1+(2180.2-697.5)+(0+(0-0))+0-552.5-0</f>
        <v>4218.2999999999993</v>
      </c>
      <c r="P156" s="3">
        <f>3820.9+(1926-752.4)+(0+(0-0))+0-550.7-0</f>
        <v>4443.8</v>
      </c>
      <c r="Q156" s="3">
        <f>4476.8+(1591.3-802.7)+(-4.566336+(-1.623126--0.818754))+0-553.5--0.564570000000088</f>
        <v>4707.0938619999997</v>
      </c>
      <c r="R156" s="3">
        <f>5030+(1461.3-892.2)+(-5.1306+(-1.490526--0.910044))+0-479.9--0.489498000000076</f>
        <v>5113.9784160000008</v>
      </c>
      <c r="S156" s="3">
        <f>5739.3+(1425.3-1090.5)+(-5.854086+(-1.453806--1.11231))+0-592.7--0.604554000000095</f>
        <v>5475.8089720000007</v>
      </c>
      <c r="T156" s="3">
        <f>6209.9+(1343.7-1280.1)+(0+(0-0))+0-557.6-0</f>
        <v>5715.9</v>
      </c>
      <c r="U156" s="3">
        <f>6269+(1450.5-1300)+(3.19719+(0.739755-0.663))+0-592.1-0.30197099999994</f>
        <v>5830.3719739999997</v>
      </c>
      <c r="V156" s="3">
        <f>5788.5+(1589.3-1094.3)+(-14.760675+(-4.052715--2.790465))+0-561.7--1.43233499999992</f>
        <v>5707.2094099999995</v>
      </c>
      <c r="W156" s="3">
        <f>4925.1+(1756.8-661)+(-10.047204+(-3.583872--1.34844))+0-521.6--1.06406399999998</f>
        <v>5488.0814280000004</v>
      </c>
      <c r="X156" s="3">
        <f>3807+(2423.8-665.1)+(-7.76628+(-4.944552--1.356804))+0-549--1.11995999999998</f>
        <v>5006.465932000001</v>
      </c>
      <c r="Y156" s="3">
        <f>3667.1+(2184.3-678.4)+(-1.870221+(-1.113993--0.345984))+0-538.7--0.274736999999945</f>
        <v>4631.9365070000003</v>
      </c>
      <c r="Z156" s="3">
        <f>4707.2+(1576.8-784.4)+(0+(0-0))+0-490.8-0</f>
        <v>5008.7999999999993</v>
      </c>
      <c r="AA156" s="3">
        <f>5028.6+(1624.3-764.7)+(-12.82293+(-4.141965--1.949985))+0-591.1--1.50730499999991</f>
        <v>5283.5923950000006</v>
      </c>
      <c r="AB156" s="3">
        <f>5020.1+(1603.3-757.6)+(-10.241004+(-3.270732--1.545504))+0-549--1.11995999999998</f>
        <v>5305.9537280000004</v>
      </c>
      <c r="AC156" s="3">
        <f>4959+(1857.2-770.3)+(-5.05818+(-1.894344--0.785706))+0-693.8--0.707676000000111</f>
        <v>5346.6408579999998</v>
      </c>
      <c r="AD156" s="2">
        <v>5167.9000000000005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4812.6+(1901-757.5)+(0+(0-0))+0-613.9-0</f>
        <v>5342.2000000000007</v>
      </c>
      <c r="G157" s="3">
        <f>4196+(2301.6-695.2)+(2.13996+(1.173816-0.354552))+0-565.1-0.288200999999943</f>
        <v>5239.9710229999991</v>
      </c>
      <c r="H157" s="3">
        <f>3963.3+(2460.7-690.9)+(8.085132+(5.019828-1.409436))+0-644-1.31375999999997</f>
        <v>5099.4817640000001</v>
      </c>
      <c r="I157" s="3">
        <f>3271.6+(3037.6-675.4)+(-1.668516+(-1.549176--0.344454))+0-677.7--0.345626999999931</f>
        <v>4953.572388999999</v>
      </c>
      <c r="J157" s="3">
        <f>3156.8+(2997.4-669)+(-3.219936+(-3.057348--0.68238))+0-702.4--0.716448000000112</f>
        <v>4777.9215440000016</v>
      </c>
      <c r="K157" s="3">
        <f>3237+(2786.4-656.9)+(-4.95261+(-4.263192--1.005057))+0-647.4--0.990522000000037</f>
        <v>4711.8797770000001</v>
      </c>
      <c r="L157" s="3">
        <f>3067+(2764.3-671)+(-10.94919+(-9.868551--2.39547))+0-665.6--2.37619200000001</f>
        <v>4478.6539209999992</v>
      </c>
      <c r="M157" s="3">
        <f>3058.3+(2445.1-674.4)+(-1.559733+(-1.247001--0.343944))+0-650.2--0.331601999999934</f>
        <v>4176.6688120000008</v>
      </c>
      <c r="N157" s="3">
        <f>3281.7+(2122.9-674.8)+(5.021001+(3.248037-1.032444))+0-710.2-1.08660600000004</f>
        <v>4025.7499880000005</v>
      </c>
      <c r="O157" s="3">
        <f>3632.1+(1881.5-699.2)+(-3.704742+(-1.91913--0.713184))+0-704.4--0.718488000000112</f>
        <v>4105.8078000000005</v>
      </c>
      <c r="P157" s="3">
        <f>4078.4+(1436.1-758.9)+(-2.079984+(-0.732411--0.387039))+0-539.8--0.275297999999945</f>
        <v>4213.649942</v>
      </c>
      <c r="Q157" s="3">
        <f>4596.9+(1400.7-861.7)+(2.344419+(0.714357-0.439467))+0-676.5-0.345014999999931</f>
        <v>4461.6742939999995</v>
      </c>
      <c r="R157" s="3">
        <f>4800.5+(1499.2-890.5)+(2.448255+(0.764592-0.454155))+0-576.4-0.293963999999941</f>
        <v>4835.264728000001</v>
      </c>
      <c r="S157" s="3">
        <f>5159.7+(1605.4-840.1)+(5.262894+(1.637508-0.856902))+0-712.6-0.726852000000114</f>
        <v>5217.7166479999996</v>
      </c>
      <c r="T157" s="3">
        <f>5430.3+(1633.3-936.1)+(-11.077812+(-3.331932--1.909644))+0-597.7--1.21930799999997</f>
        <v>5518.5192079999997</v>
      </c>
      <c r="U157" s="3">
        <f>5363+(1795.7-899)+(-5.47026+(-1.831614--0.91698))+0-634.8--0.647496000000101</f>
        <v>5619.1626020000003</v>
      </c>
      <c r="V157" s="3">
        <f>5144.3+(1867.5-759.1)+(-2.623593+(-0.952425--0.387141))+0-674.3--0.343892999999932</f>
        <v>5575.5550160000012</v>
      </c>
      <c r="W157" s="3">
        <f>4671.9+(1976.3-751.5)+(-7.148007+(-3.023739--1.149795))+0-597.6--0.914328000000035</f>
        <v>5290.9923769999996</v>
      </c>
      <c r="X157" s="3">
        <f>3660.9+(2593.1-725.7)+(-11.202354+(-7.934886--2.220642))+0-654.6--2.00307600000008</f>
        <v>4858.786478</v>
      </c>
      <c r="Y157" s="3">
        <f>3856.5+(1879.5-695.7)+(0+(0-0))+0-549.1-0</f>
        <v>4491.2</v>
      </c>
      <c r="Z157" s="3">
        <f>4634.7+(1681.9-761.5)+(2.363697+(0.857769-0.388365))+0-671.1-0.342260999999932</f>
        <v>4886.4908400000004</v>
      </c>
      <c r="AA157" s="3">
        <f>4672+(1862.1-738.2)+(-7.14816+(-2.849013--1.129446))+0-683.1--1.04514300000004</f>
        <v>5104.9774159999997</v>
      </c>
      <c r="AB157" s="3">
        <f>4121.2+(2378-718.9)+(-4.203624+(-2.42556--0.733278))+0-650.5--0.663510000000104</f>
        <v>5124.5676039999998</v>
      </c>
      <c r="AC157" s="3">
        <f>4342.3+(2350.9-735.6)+(-4.429146+(-2.397918--0.750312))+0-761.4--0.776628000000121</f>
        <v>5190.8998760000013</v>
      </c>
      <c r="AD157" s="2">
        <v>5121.6000000000004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4074.2+(2507.9-695.3)+(0+(0-0))+0-636.3-0</f>
        <v>5250.5</v>
      </c>
      <c r="G158" s="3">
        <f>3928.8+(2673.1-683.9)+(-6.011064+(-4.089843--1.046367))+0-726.1--1.11093300000004</f>
        <v>5183.9563929999995</v>
      </c>
      <c r="H158" s="3">
        <f>3711.8+(2686.8-691.4)+(-5.679054+(-4.110804--1.057842))+0-643.9--0.985167000000037</f>
        <v>5055.553151000001</v>
      </c>
      <c r="I158" s="3">
        <f>3543.1+(2644.4-685.7)+(-7.227924+(-5.394576--1.398828))+0-575.1--1.17320399999998</f>
        <v>4916.6495319999995</v>
      </c>
      <c r="J158" s="3">
        <f>3507.1+(2644.4-665.6)+(-8.943105+(-6.74322--1.69728))+0-665.7--1.6975349999999</f>
        <v>4807.9084899999998</v>
      </c>
      <c r="K158" s="3">
        <f>3314+(2663.7-645)+(-1.69014+(-1.358487--0.32895))+0-628--0.320279999999936</f>
        <v>4702.3006029999997</v>
      </c>
      <c r="L158" s="3">
        <f>3208.4+(2646.4-644.9)+(0+(0-0))+0-717.6-0</f>
        <v>4492.2999999999993</v>
      </c>
      <c r="M158" s="3">
        <f>3048.1+(2478.7-637.6)+(-4.663593+(-3.792411--0.975528))+0-670--1.02510000000004</f>
        <v>4212.7446239999999</v>
      </c>
      <c r="N158" s="3">
        <f>3024.1+(2400.2-635.5)+(0+(0-0))+0-656.9-0</f>
        <v>4131.8999999999996</v>
      </c>
      <c r="O158" s="3">
        <f>3255.6+(2027.7-662.9)+(1.660356+(1.034127-0.338079))+0-547-0.278969999999944</f>
        <v>4075.4774339999999</v>
      </c>
      <c r="P158" s="3">
        <f>3801.7+(1705.5-718.6)+(-3.877734+(-1.73961--0.732972))+0-649--0.661980000000103</f>
        <v>4135.3776079999989</v>
      </c>
      <c r="Q158" s="3">
        <f>3777.4+(1932.1-717.5)+(-1.926474+(-0.985371--0.365925))+0-634.7--0.323696999999936</f>
        <v>4355.0777770000004</v>
      </c>
      <c r="R158" s="3">
        <f>3849.8+(2297.7-724.1)+(-1.963398+(-1.171827--0.369291))+0-727--0.370769999999926</f>
        <v>4694.0048359999992</v>
      </c>
      <c r="S158" s="3">
        <f>4497.4+(2004.2-738)+(-4.587348+(-2.044284--0.75276))+0-706.7--0.720834000000113</f>
        <v>5051.7419619999991</v>
      </c>
      <c r="T158" s="3">
        <f>5139.2+(1697.8-797.7)+(-5.241984+(-1.731756--0.813654))+0-640.6--0.653412000000102</f>
        <v>5393.1933259999987</v>
      </c>
      <c r="U158" s="3">
        <f>5221.9+(1655.3-844.7)+(13.315845+(4.221015-2.153985))+0-662.5-1.6893749999999</f>
        <v>5383.6935000000003</v>
      </c>
      <c r="V158" s="3">
        <f>4880.3+(1797.3-778.6)+(2.488953+(0.916623-0.397086))+0-687.7-0.35072699999993</f>
        <v>5213.9577630000003</v>
      </c>
      <c r="W158" s="3">
        <f>4372+(2071-705.9)+(-4.45944+(-2.11242--0.720018))+0-650.6--0.663612000000104</f>
        <v>5081.3117700000003</v>
      </c>
      <c r="X158" s="3">
        <f>3571.4+(2546.7-689.7)+(1.821414+(1.298817-0.351747))+0-740.4-0.377603999999925</f>
        <v>4690.3908799999999</v>
      </c>
      <c r="Y158" s="3">
        <f>3606.7+(2153.2-685)+(1.839417+(1.098132-0.34935))+0-661.1-0.337160999999933</f>
        <v>4416.0510379999987</v>
      </c>
      <c r="Z158" s="3">
        <f>4248.4+(2056.8-706)+(0+(0-0))+0-775.1-0</f>
        <v>4824.0999999999995</v>
      </c>
      <c r="AA158" s="3">
        <f>4229.9+(2121.4-697.1)+(-12.943494+(-6.491484--2.133126))+0-565.2--1.72951200000007</f>
        <v>5073.4276600000003</v>
      </c>
      <c r="AB158" s="3">
        <f>3911.5+(2648.1-687.5)+(-7.97946+(-5.402124--1.4025))+0-607.2--1.23868799999997</f>
        <v>5254.1596040000013</v>
      </c>
      <c r="AC158" s="3">
        <f>3642.6+(2925.1-678.3)+(-1.857726+(-1.491801--0.345933))+0-670.7--0.342056999999932</f>
        <v>5216.0384629999999</v>
      </c>
      <c r="AD158" s="2">
        <v>5038.7999999999993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3475.2+(3148.6-680.9)+(3.544704+(3.211572-0.694518))+0-689.3-0.70308600000011</f>
        <v>5258.9586719999988</v>
      </c>
      <c r="G159" s="3">
        <f>3124.9+(3455.1-670.9)+(-4.781097+(-5.286303--1.026477))+0-711.2--1.08813600000004</f>
        <v>5189.9472130000013</v>
      </c>
      <c r="H159" s="3">
        <f>3129.2+(3274.2-676.6)+(0+(0-0))+0-668.6-0</f>
        <v>5058.1999999999989</v>
      </c>
      <c r="I159" s="3">
        <f>2996.3+(3215.4-668.2)+(-6.112452+(-6.559416--1.363128))+0-628.5--1.28213999999997</f>
        <v>4904.9733999999999</v>
      </c>
      <c r="J159" s="3">
        <f>3033.7+(3233.6-679.1)+(-6.188748+(-6.596544--1.385364))+0-683.9--1.39515599999997</f>
        <v>4894.295228</v>
      </c>
      <c r="K159" s="3">
        <f>3072.7+(3136-674.7)+(1.567077+(1.59936-0.344097))+0-704.8-0.359447999999928</f>
        <v>4831.6628919999994</v>
      </c>
      <c r="L159" s="3">
        <f>3074.7+(2846-641.8)+(-3.136194+(-2.90292--0.654636))+0-580.9--0.592518000000093</f>
        <v>4693.2080400000004</v>
      </c>
      <c r="M159" s="3">
        <f>3194.6+(2561.5-662.8)+(6.516984+(5.22546-1.352112))+0-542.8-1.10731199999998</f>
        <v>4559.7830199999999</v>
      </c>
      <c r="N159" s="3">
        <f>3326.6+(2572.8-656.3)+(1.696566+(1.312128-0.334713))+0-635.2-0.323951999999936</f>
        <v>4610.2500290000007</v>
      </c>
      <c r="O159" s="3">
        <f>3391.4+(2656.7-651.7)+(3.459228+(2.709834-0.664734))+0-706.5-0.720630000000113</f>
        <v>4694.6836979999998</v>
      </c>
      <c r="P159" s="3">
        <f>3658.2+(2394.6-668)+(1.865682+(1.221246-0.34068))+0-535.3-0.273002999999946</f>
        <v>4851.9732449999992</v>
      </c>
      <c r="Q159" s="3">
        <f>4662.6+(1898-788.4)+(7.133778+(2.90394-1.206252))+0-704.2-1.07742600000004</f>
        <v>5075.7540400000007</v>
      </c>
      <c r="R159" s="3">
        <f>5212.4+(1633.9-811.8)+(-7.974972+(-2.499867--1.242054))+0-647.9--0.991287000000037</f>
        <v>5378.358502</v>
      </c>
      <c r="S159" s="3">
        <f>5334.3+(1849.4-800.9)+(-5.440986+(-1.886388--0.816918))+0-738.1--0.752862000000118</f>
        <v>5638.9424060000001</v>
      </c>
      <c r="T159" s="3">
        <f>5634+(1669.8-867.1)+(2.87334+(0.851598-0.442221))+0-660.4-0.336803999999933</f>
        <v>5779.2459130000007</v>
      </c>
      <c r="U159" s="3">
        <f>5712.7+(1614-899.6)+(2.913477+(0.82314-0.458796))+0-653.6-0.333335999999934</f>
        <v>5776.4444849999991</v>
      </c>
      <c r="V159" s="3">
        <f>5411.2+(1827.7-802.7)+(-11.038848+(-3.728508--1.637508))+0-752.2--1.53448799999997</f>
        <v>5672.4046400000007</v>
      </c>
      <c r="W159" s="3">
        <f>4420.2+(2317-741.2)+(-6.762906+(-3.54501--1.134036))+0-556.5--0.851445000000032</f>
        <v>5431.177565</v>
      </c>
      <c r="X159" s="3">
        <f>3634.6+(2674.4-706.8)+(-5.560938+(-4.091832--1.081404))+0-645.2--0.987156000000037</f>
        <v>4949.41579</v>
      </c>
      <c r="Y159" s="3">
        <f>3708.1+(2241.6-750.2)+(-1.891131+(-1.143216--0.382602))+0-546--0.278459999999945</f>
        <v>4651.1267149999994</v>
      </c>
      <c r="Z159" s="3">
        <f>4728.2+(1820.4-811.1)+(0+(0-0))+0-622.1-0</f>
        <v>5115.3999999999996</v>
      </c>
      <c r="AA159" s="3">
        <f>4739+(2000.9-740.3)+(-12.08445+(-5.102295--1.887765))+0-651.7--1.66183499999991</f>
        <v>5334.2628550000009</v>
      </c>
      <c r="AB159" s="3">
        <f>4331.9+(2405.8-726.1)+(-11.046345+(-6.13479--1.851555))+0-634.3--1.61746499999991</f>
        <v>5363.5878850000008</v>
      </c>
      <c r="AC159" s="3">
        <f>4251.6+(2617.8-709.9)+(-10.84158+(-6.67539--1.810245))+0-737.5--1.88062499999989</f>
        <v>5408.1738999999998</v>
      </c>
      <c r="AD159" s="2">
        <v>5281.4000000000005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3652.9+(3082-727.9)+(-1.862979+(-1.57182--0.371229))+0-542.7--0.276776999999945</f>
        <v>5461.513207</v>
      </c>
      <c r="G160" s="3">
        <f>3497.3+(3215.1-701)+(7.134492+(6.558804-1.43004))+0-648.2-1.32232799999997</f>
        <v>5374.1409279999998</v>
      </c>
      <c r="H160" s="3">
        <f>3366.9+(3199-680.8)+(-5.151357+(-4.89447--1.041624))+0-650--0.994500000000038</f>
        <v>5227.0902969999997</v>
      </c>
      <c r="I160" s="3">
        <f>3346.7+(3140.9-679.5)+(3.413634+(3.203718-0.69309))+0-713-0.727260000000114</f>
        <v>5100.2970020000012</v>
      </c>
      <c r="J160" s="3">
        <f>3296.3+(2979.2-679)+(-6.724452+(-6.077568--1.38516))+0-602.7--1.22950799999997</f>
        <v>4983.6126480000003</v>
      </c>
      <c r="K160" s="3">
        <f>3427.1+(2841.7-666.1)+(-1.747821+(-1.449267--0.339711))+0-717.6--0.365975999999927</f>
        <v>4882.6085989999992</v>
      </c>
      <c r="L160" s="3">
        <f>3120.1+(2906.7-654.5)+(-7.956255+(-7.412085--1.668975))+0-679.4--1.7324699999999</f>
        <v>4680.9331049999992</v>
      </c>
      <c r="M160" s="3">
        <f>3220.8+(2579.8-671.3)+(0+(0-0))+0-573-0</f>
        <v>4556.3</v>
      </c>
      <c r="N160" s="3">
        <f>3256.2+(2670.8-679.2)+(1.660662+(1.362108-0.346392))+0-693-0.35342999999993</f>
        <v>4557.1229480000002</v>
      </c>
      <c r="O160" s="3">
        <f>3287.3+(2467.8-691.6)+(1.676523+(1.258578-0.352716))+0-524-0.267239999999947</f>
        <v>4541.8151449999996</v>
      </c>
      <c r="P160" s="3">
        <f>3438.9+(2531.9-708.8)+(-1.753839+(-1.291269--0.361488))+0-573.5--0.292484999999942</f>
        <v>4686.1088650000002</v>
      </c>
      <c r="Q160" s="3">
        <f>3829.5+(2465.8-694.2)+(3.90609+(2.515116-0.708084))+0-635.9-0.648618000000101</f>
        <v>4970.2645040000007</v>
      </c>
      <c r="R160" s="3">
        <f>4802.2+(1941-793.9)+(-2.449122+(-0.98991--0.404889))+0-616.7--0.314516999999937</f>
        <v>5329.8803739999994</v>
      </c>
      <c r="S160" s="3">
        <f>4821.6+(2210.4-729.9)+(-4.918032+(-2.254608--0.744498))+0-693.8--0.707676000000111</f>
        <v>5602.5795340000004</v>
      </c>
      <c r="T160" s="3">
        <f>5356.8+(1829.7-772)+(0+(0-0))+0-631-0</f>
        <v>5783.5</v>
      </c>
      <c r="U160" s="3">
        <f>5392.6+(1869-748.8)+(2.750226+(0.95319-0.381888))+0-741.1-0.377960999999925</f>
        <v>5774.6435670000001</v>
      </c>
      <c r="V160" s="3">
        <f>5061.3+(2068.6-724.8)+(-2.581263+(-1.054986--0.369648))+0-707--0.360569999999928</f>
        <v>5695.1939689999999</v>
      </c>
      <c r="W160" s="3">
        <f>3902.3+(2908.4-692)+(-3.980346+(-2.966568--0.70584))+0-692--0.70584000000011</f>
        <v>5421.1647660000017</v>
      </c>
      <c r="X160" s="3">
        <f>3448.6+(2754.8-661.3)+(3.517572+(2.809896-0.674526))+0-627.8-0.6403560000001</f>
        <v>4919.312586</v>
      </c>
      <c r="Y160" s="3">
        <f>3571.9+(2399-692.8)+(1.821669+(1.22349-0.353328))+0-713.4-0.363833999999928</f>
        <v>4567.0279970000011</v>
      </c>
      <c r="Z160" s="3">
        <f>3891.2+(2408.7-691.1)+(-3.969024+(-2.456874--0.704922))+0-597.9--0.609858000000095</f>
        <v>5005.7888819999998</v>
      </c>
      <c r="AA160" s="3">
        <f>4345.4+(2275.8-707.3)+(-6.648462+(-3.481974--1.082169))+0-673.6--1.03060800000004</f>
        <v>5232.2823409999992</v>
      </c>
      <c r="AB160" s="3">
        <f>4435.3+(2297.3-743.9)+(-6.786009+(-3.514869--1.138167))+0-709.3--1.08522900000004</f>
        <v>5271.3225180000009</v>
      </c>
      <c r="AC160" s="3">
        <f>4242+(2420.4-699.1)+(-10.8171+(-6.17202--1.782705))+0-635.8--1.62128999999991</f>
        <v>5313.9148750000004</v>
      </c>
      <c r="AD160" s="2">
        <v>5158.9000000000005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3769+(2946.5-675)+(0+(0-0))+0-711.7-0</f>
        <v>5328.8</v>
      </c>
      <c r="G161" s="3">
        <f>3434.5+(3077.9-674.5)+(-1.751595+(-1.569729--0.343995))+0-606.4--0.309263999999938</f>
        <v>5228.8319349999992</v>
      </c>
      <c r="H161" s="3">
        <f>3363+(3126.8-704.2)+(0+(0-0))+0-706.5-0</f>
        <v>5079.1000000000004</v>
      </c>
      <c r="I161" s="3">
        <f>3262.9+(3124.8-691.8)+(-6.656316+(-6.374592--1.411272))+0-726.2--1.48144799999997</f>
        <v>4959.561811999999</v>
      </c>
      <c r="J161" s="3">
        <f>3316+(2867-688.5)+(0+(0-0))+0-618.4-0</f>
        <v>4876.1000000000004</v>
      </c>
      <c r="K161" s="3">
        <f>3441+(2784.4-703.4)+(-8.77455+(-7.10022--1.79367))+0-763.5--1.94692499999989</f>
        <v>4746.3658249999999</v>
      </c>
      <c r="L161" s="3">
        <f>3260.5+(2556.2-687.3)+(-8.314275+(-6.51831--1.752615))+0-565.9--1.44304499999992</f>
        <v>4551.8630750000002</v>
      </c>
      <c r="M161" s="3">
        <f>3413.7+(2331.7-674.4)+(1.740987+(1.189167-0.343944))+0-766.4-0.390863999999922</f>
        <v>4306.7953460000008</v>
      </c>
      <c r="N161" s="3">
        <f>3345.8+(2237-691.7)+(0+(0-0))+0-640-0</f>
        <v>4251.1000000000004</v>
      </c>
      <c r="O161" s="3">
        <f>3355.5+(2170-678.3)+(3.42261+(2.2134-0.691866))+0-634-0.646680000000101</f>
        <v>4217.497464</v>
      </c>
      <c r="P161" s="3">
        <f>3561.6+(2183.4-687.8)+(0+(0-0))+0-642.4-0</f>
        <v>4414.8</v>
      </c>
      <c r="Q161" s="3">
        <f>3821.7+(2110.9-717.7)+(1.949067+(1.076559-0.366027))+0-537.4-0.274073999999945</f>
        <v>4679.8855249999997</v>
      </c>
      <c r="R161" s="3">
        <f>5058.7+(1468.8-831.4)+(-5.159874+(-1.498176--0.848028))+0-629.5--0.6420900000001</f>
        <v>5061.4320680000001</v>
      </c>
      <c r="S161" s="3">
        <f>4842.3+(1848.7-722.8)+(-2.469573+(-0.942837--0.368628))+0-547.6--0.279275999999944</f>
        <v>5417.8354940000008</v>
      </c>
      <c r="T161" s="3">
        <f>5527.1+(1432.9-827.8)+(-5.637642+(-1.461558--0.844356))+0-494.5--0.504390000000079</f>
        <v>5631.9495460000007</v>
      </c>
      <c r="U161" s="3">
        <f>5689.9+(1482.4-876.2)+(8.705547+(2.268072-1.340586))+0-619.8-0.948294000000036</f>
        <v>5684.9847389999995</v>
      </c>
      <c r="V161" s="3">
        <f>5430.6+(1596.3-780.8)+(0+(0-0))+0-661.1-0</f>
        <v>5585</v>
      </c>
      <c r="W161" s="3">
        <f>4354.3+(2256.8-678.2)+(-6.662079+(-3.452904--1.037646))+0-633.5--0.969255000000037</f>
        <v>5291.2919180000008</v>
      </c>
      <c r="X161" s="3">
        <f>3457.3+(2900.8-711.1)+(-12.342561+(-10.355856--2.538627))+0-747.4--2.66821800000001</f>
        <v>4882.1084280000005</v>
      </c>
      <c r="Y161" s="3">
        <f>3532.8+(2355.3-695.3)+(0+(0-0))+0-592.8-0</f>
        <v>4600</v>
      </c>
      <c r="Z161" s="3">
        <f>4208.8+(2143.5-689.2)+(2.146488+(1.093185-0.351492))+0-696.7-0.355316999999929</f>
        <v>4968.9328640000012</v>
      </c>
      <c r="AA161" s="3">
        <f>4258.4+(2288.2-668)+(-8.687136+(-4.667928--1.36272))+0-693.6--1.41494399999997</f>
        <v>5174.422599999999</v>
      </c>
      <c r="AB161" s="3">
        <f>3607.2+(2960.9-658.9)+(0+(0-0))+0-678.8-0</f>
        <v>5230.3999999999996</v>
      </c>
      <c r="AC161" s="3">
        <f>3709.9+(2863.2-607)+(-1.892049+(-1.460232--0.30957))+0-679.8--0.346697999999931</f>
        <v>5283.6039870000004</v>
      </c>
      <c r="AD161" s="2">
        <v>5116.7999999999993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3431.5+(3196.8-643.8)+(-3.50013+(-3.260736--0.656676))+0-636.3--0.649026000000101</f>
        <v>5342.7448359999999</v>
      </c>
      <c r="G162" s="3">
        <f>3328+(3359.9-692.7)+(-1.69728+(-1.713549--0.353277))+0-722.8--0.368627999999927</f>
        <v>5269.7110759999996</v>
      </c>
      <c r="H162" s="3">
        <f>3241.3+(3234.2-683.5)+(-4.959189+(-4.948326--1.045755))+0-692.5--1.05952500000004</f>
        <v>5091.6977649999999</v>
      </c>
      <c r="I162" s="3">
        <f>3024+(3227.7-687.9)+(-1.54224+(-1.646127--0.350829))+0-650.6--0.331805999999934</f>
        <v>4910.6942679999993</v>
      </c>
      <c r="J162" s="3">
        <f>2979+(3134.5-700.5)+(4.55787+(4.795785-1.071765))+0-688.8-1.05386400000004</f>
        <v>4731.4280259999996</v>
      </c>
      <c r="K162" s="3">
        <f>2933.8+(3072.4-684.8)+(4.488714+(4.700772-1.047744))+0-600.4-0.918612000000035</f>
        <v>4728.2231300000003</v>
      </c>
      <c r="L162" s="3">
        <f>2907.2+(3022.6-674.3)+(2.965344+(3.083052-0.687786))+0-738.4-0.753168000000118</f>
        <v>4521.7074419999999</v>
      </c>
      <c r="M162" s="3">
        <f>3113.5+(2319.9-694.2)+(0+(0-0))+0-454.2-0</f>
        <v>4285</v>
      </c>
      <c r="N162" s="3">
        <f>2870.2+(2666.8-672.4)+(-4.391406+(-4.080204--1.028772))+0-643--0.983790000000037</f>
        <v>4215.1409520000007</v>
      </c>
      <c r="O162" s="3">
        <f>2903.6+(2570-671.8)+(1.480836+(1.3107-0.342618))+0-556.6-0.283865999999944</f>
        <v>4247.3650520000001</v>
      </c>
      <c r="P162" s="3">
        <f>3124.9+(2413.3-689.5)+(7.968495+(6.153915-1.758225))+0-449.1-1.14520499999993</f>
        <v>4410.8189800000009</v>
      </c>
      <c r="Q162" s="3">
        <f>4058.1+(1831.4-709.4)+(2.069631+(0.934014-0.361794))+0-546.8-0.278867999999944</f>
        <v>4635.6629830000002</v>
      </c>
      <c r="R162" s="3">
        <f>4861.3+(1491.2-790.1)+(-2.479263+(-0.760512--0.402951))+0-483.9--0.246788999999951</f>
        <v>5075.9099650000007</v>
      </c>
      <c r="S162" s="3">
        <f>4871.6+(1885.7-671.2)+(0+(0-0))+0-616.4-0</f>
        <v>5469.7000000000007</v>
      </c>
      <c r="T162" s="3">
        <f>5853.9+(1375.8-1016.1)+(-2.985489+(-0.701658--0.518211))+0-530.8--0.270707999999946</f>
        <v>5679.9017719999993</v>
      </c>
      <c r="U162" s="3">
        <f>6165.1+(1384.9-1153.7)+(-3.144201+(-0.706299--0.588387))+0-672.2--0.342821999999932</f>
        <v>5721.1807090000002</v>
      </c>
      <c r="V162" s="3">
        <f>5801.4+(1441-1004.5)+(-5.917428+(-1.46982--1.02459))+0-590.4--0.602208000000094</f>
        <v>5641.7395500000002</v>
      </c>
      <c r="W162" s="3">
        <f>5058.8+(1904.4-809.6)+(-2.579988+(-0.971244--0.412896))+0-601.1--0.306560999999939</f>
        <v>5549.6682250000003</v>
      </c>
      <c r="X162" s="3">
        <f>3384+(2781.5-694.1)+(-5.17752+(-4.255695--1.061973))+0-629.4--0.962982000000036</f>
        <v>4834.5917399999998</v>
      </c>
      <c r="Y162" s="3">
        <f>3105.2+(2636.6-681.9)+(0+(0-0))+0-556.4-0</f>
        <v>4503.5</v>
      </c>
      <c r="Z162" s="3">
        <f>4067.2+(2246.3-708.3)+(-4.148544+(-2.291226--0.722466))+0-593.2--0.605064000000095</f>
        <v>5006.8877600000005</v>
      </c>
      <c r="AA162" s="3">
        <f>4357.6+(2121.5-714.2)+(-2.222376+(-1.081965--0.364242))+0-508--0.259079999999948</f>
        <v>5254.218981</v>
      </c>
      <c r="AB162" s="3">
        <f>3990.3+(2612.3-686.7)+(-2.035053+(-1.332273--0.350217))+0-649.7--0.331346999999934</f>
        <v>5263.5142380000007</v>
      </c>
      <c r="AC162" s="3">
        <f>3256.5+(3379.2-672)+(-4.982445+(-5.170176--1.02816))+0-633.1--0.968643000000037</f>
        <v>5322.4441819999993</v>
      </c>
      <c r="AD162" s="2">
        <v>5277.5000000000009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3222.6+(3419.6-668.8)+(-3.287052+(-3.487992--0.682176))+0-624.2--0.6366840000001</f>
        <v>5343.7438160000002</v>
      </c>
      <c r="G163" s="3">
        <f>3217.4+(3397.2-678.5)+(-6.563496+(-6.930288--1.38414))+0-681.2--1.38964799999997</f>
        <v>5244.1800040000007</v>
      </c>
      <c r="H163" s="3">
        <f>3071.5+(3297.3-673.1)+(-4.699395+(-5.044869--1.029843))+0-557--0.852210000000032</f>
        <v>5130.8377890000011</v>
      </c>
      <c r="I163" s="3">
        <f>2936+(3387-670.2)+(-7.4868+(-8.63685--1.70901))+0-626.7--1.59808499999991</f>
        <v>5013.283445</v>
      </c>
      <c r="J163" s="3">
        <f>2875.4+(3091.2-643.1)+(5.865816+(6.306048-1.311924))+29-590-1.20359999999997</f>
        <v>4772.1563400000005</v>
      </c>
      <c r="K163" s="3">
        <f>2874.1+(3127.2-635)+(2.931582+(3.189744-0.6477))+0-611-0.623220000000097</f>
        <v>4760.1504059999988</v>
      </c>
      <c r="L163" s="3">
        <f>2851.1+(3053.7-634.8)+(-4.362183+(-4.672161--0.971244))+0-645.4--0.987462000000037</f>
        <v>4617.5243620000001</v>
      </c>
      <c r="M163" s="3">
        <f>3022.8+(2673.1-617.7)+(1.541628+(1.363281-0.315027))+0-680.8-0.347207999999931</f>
        <v>4399.6426739999997</v>
      </c>
      <c r="N163" s="3">
        <f>2909.9+(2846.1-657.7)+(0+(0-0))+0-682-0</f>
        <v>4416.2999999999993</v>
      </c>
      <c r="O163" s="3">
        <f>2899.2+(2940.6-661.5)+(1.478592+(1.499706-0.337365))+0-683.1-0.348380999999931</f>
        <v>4497.4925519999988</v>
      </c>
      <c r="P163" s="3">
        <f>3089.3+(2798.2-646.3)+(1.575543+(1.427082-0.329613))+0-551.5-0.281264999999944</f>
        <v>4692.0917470000004</v>
      </c>
      <c r="Q163" s="3">
        <f>4031.4+(2313.9-653.4)+(6.168042+(3.540267-0.999702))+0-728.9-1.11521700000004</f>
        <v>4970.5933899999991</v>
      </c>
      <c r="R163" s="3">
        <f>4813.3+(1779-715.4)+(4.909566+(1.81458-0.729708))+0-607.3-0.619446000000097</f>
        <v>5274.9749919999995</v>
      </c>
      <c r="S163" s="3">
        <f>5362+(1616.8-717.4)+(2.73462+(0.824568-0.365874))+0-701.3-0.357662999999929</f>
        <v>5562.9356509999998</v>
      </c>
      <c r="T163" s="3">
        <f>5956.3+(1321.8-960.2)+(0+(0-0))+0-623.6-0</f>
        <v>5694.2999999999993</v>
      </c>
      <c r="U163" s="3">
        <f>6049.3+(1342.1-1009.5)+(-3.085143+(-0.684471--0.514845))+0-671.6--0.342515999999932</f>
        <v>5707.3877469999989</v>
      </c>
      <c r="V163" s="3">
        <f>5986.2+(1447-1031.9)+(-15.26481+(-3.68985--2.631345))+0-755.8--1.92728999999989</f>
        <v>5631.1039749999991</v>
      </c>
      <c r="W163" s="3">
        <f>4892.6+(1904.1-857.5)+(-14.971356+(-5.826546--2.62395))+0-564.9--1.72859400000007</f>
        <v>5357.8546420000011</v>
      </c>
      <c r="X163" s="3">
        <f>3528+(2865-730.7)+(-5.39784+(-4.38345--1.117971))+0-768.2--1.17534600000004</f>
        <v>4886.6120270000001</v>
      </c>
      <c r="Y163" s="3">
        <f>3598.9+(2383.8-750.2)+(1.835439+(1.215738-0.382602))+0-637.5-0.325124999999935</f>
        <v>4597.3434499999994</v>
      </c>
      <c r="Z163" s="3">
        <f>4797.7+(1738.3-763)+(-4.893654+(-1.773066--0.77826))+0-627.6--0.6401520000001</f>
        <v>5140.1516919999995</v>
      </c>
      <c r="AA163" s="3">
        <f>4890+(1908.5-769.9)+(-9.9756+(-3.89334--1.570596))+0-691.2--1.41004799999997</f>
        <v>5326.5117040000005</v>
      </c>
      <c r="AB163" s="3">
        <f>4089.3+(2603-694.2)+(-6.256629+(-3.98259--1.062126))+0-654.4--1.00123200000004</f>
        <v>5335.5241390000001</v>
      </c>
      <c r="AC163" s="3">
        <f>3826.8+(2939.2-664)+(5.855004+(4.496976-1.01592))+0-728.3-1.11429900000004</f>
        <v>5381.9217609999996</v>
      </c>
      <c r="AD163" s="2">
        <v>5247.7999999999993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3415.4+(3248.5-667.2)+(-3.483708+(-3.31347--0.680544))+0-690--0.70380000000011</f>
        <v>5301.287166000001</v>
      </c>
      <c r="G164" s="3">
        <f>3626+(2938.2-677.3)+(1.84926+(1.498482-0.345423))+0-677.2-0.345371999999931</f>
        <v>5212.3569470000002</v>
      </c>
      <c r="H164" s="3">
        <f>3459.2+(2996-681.3)+(3.528384+(3.05592-0.694926))+0-663.6-0.676872000000106</f>
        <v>5115.5125059999991</v>
      </c>
      <c r="I164" s="3">
        <f>3439+(3084.9-683)+(-3.50778+(-3.146598--0.69666))+0-724.6--0.739092000000116</f>
        <v>5111.0813739999994</v>
      </c>
      <c r="J164" s="3">
        <f>3226.8+(3146.3-654.3)+(9.874008+(9.627678-2.002158))+0-718.3-2.19799800000008</f>
        <v>5015.8015300000006</v>
      </c>
      <c r="K164" s="3">
        <f>3204.4+(3047.8-684.2)+(6.536976+(6.217512-1.395768))+0-678.9-1.38495599999997</f>
        <v>4899.0737640000007</v>
      </c>
      <c r="L164" s="3">
        <f>3220.9+(2771.9-646.5)+(3.285318+(2.827338-0.65943))+0-655.9-0.669018000000105</f>
        <v>4695.1842079999997</v>
      </c>
      <c r="M164" s="3">
        <f>3338.1+(2400.6-635.1)+(10.214586+(7.345836-1.943406))+0-679.8-2.08018800000008</f>
        <v>4437.3368280000004</v>
      </c>
      <c r="N164" s="3">
        <f>3594.6+(2067.6-713)+(5.499738+(3.163428-1.09089))+0-591.2-0.904536000000034</f>
        <v>4364.6677399999999</v>
      </c>
      <c r="O164" s="3">
        <f>3492.6+(2247-709.6)+(0+(0-0))+0-639.8-0</f>
        <v>4390.2</v>
      </c>
      <c r="P164" s="3">
        <f>3548.8+(2293-685.7)+(1.809888+(1.16943-0.349707))+0-595.6-0.30375599999994</f>
        <v>4562.825855</v>
      </c>
      <c r="Q164" s="3">
        <f>4545.1+(1646-741)+(2.318001+(0.83946-0.37791))+0-579.4-0.295493999999941</f>
        <v>4873.1840570000004</v>
      </c>
      <c r="R164" s="3">
        <f>5642.5+(1257.6-989.7)+(-8.633025+(-1.924128--1.514241))+0-644.4--0.985932000000037</f>
        <v>5257.9430199999997</v>
      </c>
      <c r="S164" s="3">
        <f>5565.4+(1466.9-937.4)+(-8.515062+(-2.244357--1.434222))+0-545--0.833850000000032</f>
        <v>5541.4086529999995</v>
      </c>
      <c r="T164" s="3">
        <f>5617.4+(1585.2-861.5)+(-2.864874+(-0.808452--0.439365))+0-613.3--0.312782999999938</f>
        <v>5724.8788219999997</v>
      </c>
      <c r="U164" s="3">
        <f>5651.2+(1674.4-896)+(0+(0-0))+0-682.5-0</f>
        <v>5747.1</v>
      </c>
      <c r="V164" s="3">
        <f>4827.8+(2173.1-762.5)+(-2.462178+(-1.108281--0.388875))+0-570.3--0.290852999999942</f>
        <v>5665.209268999999</v>
      </c>
      <c r="W164" s="3">
        <f>3855.8+(2924.3-721.7)+(0+(0-0))+0-682.4-0</f>
        <v>5376.0000000000009</v>
      </c>
      <c r="X164" s="3">
        <f>3180.4+(2983-718.8)+(-4.866012+(-4.56399--1.099764))+0-510.1--0.780453000000029</f>
        <v>4926.9502150000008</v>
      </c>
      <c r="Y164" s="3">
        <f>3411.4+(2488-757.5)+(0+(0-0))+0-584.8-0</f>
        <v>4557.0999999999995</v>
      </c>
      <c r="Z164" s="3">
        <f>4216.1+(2194.6-750.5)+(0+(0-0))+0-638.1-0</f>
        <v>5022.1000000000004</v>
      </c>
      <c r="AA164" s="3">
        <f>4578.8+(2091.4-779.4)+(-7.005564+(-3.199842--1.192482))+0-730.5--1.11766500000004</f>
        <v>5152.4047410000003</v>
      </c>
      <c r="AB164" s="3">
        <f>4613.4+(2060.6-734.1)+(-11.76417+(-5.25453--1.871955))+0-582.1--1.48435499999992</f>
        <v>5344.1376099999989</v>
      </c>
      <c r="AC164" s="3">
        <f>4470.3+(2205.4-758.9)+(-4.559706+(-2.249508--0.774078))+0-789.4--0.805188000000126</f>
        <v>5122.1700520000004</v>
      </c>
      <c r="AD164" s="2">
        <v>5139.7000000000007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4273.7+(2405.1-761.2)+(-6.538761+(-3.679803--1.164636))+0-648--0.991440000000037</f>
        <v>5261.537511999999</v>
      </c>
      <c r="G165" s="3">
        <f>4218.8+(2395.8-762.5)+(-6.454764+(-3.665574--1.166625))+0-663--1.01439000000004</f>
        <v>5181.1606770000008</v>
      </c>
      <c r="H165" s="3">
        <f>3603.4+(2816-713.3)+(-3.675468+(-2.87232--0.727566))+0-700.9--0.714918000000112</f>
        <v>5000.0946960000001</v>
      </c>
      <c r="I165" s="3">
        <f>3260.5+(3116.3-728.1)+(1.662855+(1.589313-0.371331))+0-673.6-0.343535999999932</f>
        <v>4977.6373009999998</v>
      </c>
      <c r="J165" s="3">
        <f>3131.6+(3154.2-707.4)+(-6.388464+(-6.434568--1.443096))+0-712.3--1.45309199999997</f>
        <v>4856.1731559999989</v>
      </c>
      <c r="K165" s="3">
        <f>3158.5+(3022-701)+(-4.832505+(-4.62366--1.07253))+0-725--1.10925000000004</f>
        <v>4747.2256150000003</v>
      </c>
      <c r="L165" s="3">
        <f>3118.4+(2805.2-699.7)+(-7.95192+(-7.15326--1.784235))+0-625.8--1.59578999999991</f>
        <v>4586.3748449999994</v>
      </c>
      <c r="M165" s="3">
        <f>3118.2+(2588.6-700.6)+(1.590282+(1.320186-0.357306))+0-697.2-0.355571999999929</f>
        <v>4311.1975900000007</v>
      </c>
      <c r="N165" s="3">
        <f>3069.2+(2496-722.5)+(1.565292+(1.27296-0.368475))+0-621.8-0.317117999999937</f>
        <v>4223.0526589999999</v>
      </c>
      <c r="O165" s="3">
        <f>3103.1+(2494.7-757.3)+(-3.165162+(-2.544594--0.772446))+0-690.8--0.70461600000011</f>
        <v>4145.4673059999996</v>
      </c>
      <c r="P165" s="3">
        <f>3289.2+(2286.3-736.2)+(0+(0-0))+0-618.9-0</f>
        <v>4220.4000000000005</v>
      </c>
      <c r="Q165" s="3">
        <f>3524.3+(2336.3-740.4)+(0+(0-0))+0-665.3-0</f>
        <v>4454.9000000000005</v>
      </c>
      <c r="R165" s="3">
        <f>3988.6+(2263.3-743.6)+(-2.034186+(-1.154283--0.379236))+0-630.3--0.321452999999936</f>
        <v>4875.5122199999996</v>
      </c>
      <c r="S165" s="3">
        <f>4430.6+(2164.2-736.2)+(-6.778818+(-3.311226--1.126386))+0-764.5--1.16968500000004</f>
        <v>5086.3060270000005</v>
      </c>
      <c r="T165" s="3">
        <f>4868.5+(2093.4-765.6)+(-9.93174+(-4.270536--1.561824))+0-653.3--1.33273199999997</f>
        <v>5531.6922800000002</v>
      </c>
      <c r="U165" s="3">
        <f>4915.7+(2066.7-764.4)+(2.507007+(1.054017-0.389844))+0-601.5-0.306764999999939</f>
        <v>5619.364415</v>
      </c>
      <c r="V165" s="3">
        <f>4753.9+(2155.3-734.9)+(-12.122445+(-5.496015--1.873995))+0-625.1--1.59400499999991</f>
        <v>5535.0495399999991</v>
      </c>
      <c r="W165" s="3">
        <f>4287+(2333.6-737.4)+(-10.93185+(-5.95068--1.88037))+0-555.4--1.41626999999992</f>
        <v>5314.2141099999999</v>
      </c>
      <c r="X165" s="3">
        <f>3351.9+(2715.2-739.7)+(-3.418938+(-2.769504--0.754494))+0-600--0.612000000000096</f>
        <v>4722.5780519999998</v>
      </c>
      <c r="Y165" s="3">
        <f>3458.7+(2392.5-716)+(1.763937+(1.220175-0.36516))+0-760.9-0.388058999999923</f>
        <v>4376.5308930000001</v>
      </c>
      <c r="Z165" s="3">
        <f>4104.4+(2332-787)+(0+(0-0))+0-764-0</f>
        <v>4885.3999999999996</v>
      </c>
      <c r="AA165" s="3">
        <f>4611.2+(1932.4-826.6)+(-9.406848+(-3.942096--1.686264))+0-596.5--1.21685999999997</f>
        <v>5110.0541799999992</v>
      </c>
      <c r="AB165" s="3">
        <f>4815.1+(1690.8-819.5)+(0+(0-0))+0-497.2-0</f>
        <v>5189.2000000000007</v>
      </c>
      <c r="AC165" s="3">
        <f>4610.1+(2114.4-804)+(-2.351151+(-1.078344--0.41004))+0-745--0.379949999999924</f>
        <v>5172.8604949999999</v>
      </c>
      <c r="AD165" s="2">
        <v>5069.2999999999993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3995.3+(2628.1-725.6)+(-4.075206+(-2.680662--0.740112))+0-635.9--0.648618000000101</f>
        <v>5256.5328620000009</v>
      </c>
      <c r="G166" s="3">
        <f>3619.6+(2864-662.1)+(-1.845996+(-1.46064--0.337671))+0-643--0.327929999999935</f>
        <v>5175.8589650000004</v>
      </c>
      <c r="H166" s="3">
        <f>3781.8+(2718.5-671.9)+(-3.857436+(-2.77287--0.685338))+0-791.7--0.807534000000126</f>
        <v>5031.5625660000005</v>
      </c>
      <c r="I166" s="3">
        <f>3753.7+(2418.9-702.9)+(5.743161+(3.700917-1.075437))+0-554.1-0.847773000000032</f>
        <v>4923.1208679999991</v>
      </c>
      <c r="J166" s="3">
        <f>3407.6+(2869.1-664.4)+(-1.737876+(-1.463241--0.338844))+0-799.7--0.407846999999919</f>
        <v>4810.1455739999992</v>
      </c>
      <c r="K166" s="3">
        <f>3097.8+(2819.2-671.1)+(-7.89939+(-7.18896--1.711305))+0-528.5--1.34767499999992</f>
        <v>4705.3706299999994</v>
      </c>
      <c r="L166" s="3">
        <f>2970.2+(2889.8-667)+(-6.059208+(-5.895192--1.36068))+0-663.2--1.35292799999997</f>
        <v>4520.5592080000006</v>
      </c>
      <c r="M166" s="3">
        <f>3007.2+(2560.9-653)+(1.533672+(1.306059-0.33303))+0-656.8-0.334967999999933</f>
        <v>4260.4717330000003</v>
      </c>
      <c r="N166" s="3">
        <f>3181.5+(2418.7-682.6)+(0+(0-0))+0-721.5-0</f>
        <v>4196.1000000000004</v>
      </c>
      <c r="O166" s="3">
        <f>3267.3+(2279.7-729.8)+(0+(0-0))+0-588.7-0</f>
        <v>4228.5</v>
      </c>
      <c r="P166" s="3">
        <f>3413.8+(2241.3-748.3)+(3.482076+(2.286126-0.763266))+0-575.6-0.587112000000092</f>
        <v>4335.6178239999999</v>
      </c>
      <c r="Q166" s="3">
        <f>3685.1+(2228.3-783.5)+(0+(0-0))+0-593.2-0</f>
        <v>4536.7</v>
      </c>
      <c r="R166" s="3">
        <f>4180.3+(2166.6-761.9)+(0+(0-0))+0-681.8-0</f>
        <v>4903.2</v>
      </c>
      <c r="S166" s="3">
        <f>4451.2+(2245.9-726)+(-9.080448+(-4.581636--1.48104))+0-638.3--1.30213199999997</f>
        <v>5321.9210880000001</v>
      </c>
      <c r="T166" s="3">
        <f>5068.8+(1924.8-787.5)+(-7.755264+(-2.944944--1.204875))+0-660.2--1.01010600000004</f>
        <v>5537.4147730000004</v>
      </c>
      <c r="U166" s="3">
        <f>4927.4+(2033.3-768.4)+(2.512974+(1.036983-0.391884))+0-646.1-0.329510999999935</f>
        <v>5549.0285619999986</v>
      </c>
      <c r="V166" s="3">
        <f>4693.1+(2199.4-732.9)+(2.393481+(1.121694-0.373779))+0-687.8-0.35077799999993</f>
        <v>5474.5906180000002</v>
      </c>
      <c r="W166" s="3">
        <f>3875.7+(2675.5-698.8)+(0+(0-0))+0-653.6-0</f>
        <v>5198.7999999999993</v>
      </c>
      <c r="X166" s="3">
        <f>3435.2+(2655.3-710.9)+(3.503904+(2.708406-0.725118))+0-705.8-0.719916000000112</f>
        <v>4678.5672759999998</v>
      </c>
      <c r="Y166" s="3">
        <f>3349.2+(2341.7-727.9)+(0+(0-0))+0-667.5-0</f>
        <v>4295.5</v>
      </c>
      <c r="Z166" s="3">
        <f>3687.4+(2452.7-716.6)+(-1.880574+(-1.250877--0.365466))+0-647.7--0.330326999999934</f>
        <v>4773.3643419999999</v>
      </c>
      <c r="AA166" s="3">
        <f>3729+(2504.4-720.4)+(-1.90179+(-1.277244--0.367404))+0-720.2--0.367301999999927</f>
        <v>4790.3556719999997</v>
      </c>
      <c r="AB166" s="3">
        <f>4116.1+(2312.7-747.6)+(-4.198422+(-2.358954--0.762552))+0-657.8--0.670956000000105</f>
        <v>5018.2761320000009</v>
      </c>
      <c r="AC166" s="3">
        <f>3916.9+(2390.7-746.7)+(-3.995238+(-2.438514--0.761634))+0-675.8--0.689316000000108</f>
        <v>4880.117197999999</v>
      </c>
      <c r="AD166" s="2">
        <v>4825.1000000000004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4258.7+(2231.9-756.3)+(-6.515811+(-3.414807--1.157139))+0-688.4--1.05325200000004</f>
        <v>5038.1797729999998</v>
      </c>
      <c r="G167" s="3">
        <f>3412.3+(2892.7-701.5)+(-8.701365+(-7.376385--1.788825))+0-619.4--1.57946999999991</f>
        <v>4971.3905450000002</v>
      </c>
      <c r="H167" s="3">
        <f>3336.4+(2873.1-695.1)+(-3.403128+(-2.930562--0.709002))+0-673.1--0.686562000000107</f>
        <v>4836.3618739999993</v>
      </c>
      <c r="I167" s="3">
        <f>3177.6+(2778.7-666.7)+(-6.482304+(-5.668548--1.360068))+0-582.9--1.18911599999997</f>
        <v>4697.0983320000005</v>
      </c>
      <c r="J167" s="3">
        <f>3213.1+(2744.4-658.6)+(-1.638681+(-1.399644--0.335886))+0-689.4--0.35159399999993</f>
        <v>4607.1491550000001</v>
      </c>
      <c r="K167" s="3">
        <f>3191.6+(2549.2-704.3)+(-1.627716+(-1.300092--0.359193))+0-587.2--0.29947199999994</f>
        <v>4447.0308569999997</v>
      </c>
      <c r="L167" s="3">
        <f>3043.6+(2492.4-699.8)+(-10.865652+(-8.897868--2.498286))+0-575.1--2.05310700000001</f>
        <v>4245.8878729999988</v>
      </c>
      <c r="M167" s="3">
        <f>3104+(2135.8-664.5)+(1.58304+(1.089258-0.338895))+0-635.6-0.324155999999936</f>
        <v>3941.7092469999998</v>
      </c>
      <c r="N167" s="3">
        <f>3187+(1978.5-721.1)+(-1.62537+(-1.009035--0.367761))+0-543.5--0.277184999999945</f>
        <v>3898.9105409999993</v>
      </c>
      <c r="O167" s="3">
        <f>3370+(1894.8-747.4)+(0+(0-0))+0-634.1-0</f>
        <v>3883.2999999999997</v>
      </c>
      <c r="P167" s="3">
        <f>3608.9+(1630.2-762.3)+(-1.840539+(-0.831402--0.388773))+0-480.4--0.245003999999951</f>
        <v>3994.361836</v>
      </c>
      <c r="Q167" s="3">
        <f>3984.7+(1604-794.8)+(-2.032197+(-0.81804--0.405348))+0-610.4--0.311303999999938</f>
        <v>4181.3664149999995</v>
      </c>
      <c r="R167" s="3">
        <f>4234+(1701.5-791.3)+(-4.31868+(-1.73553--0.807126))+0-561.8--0.57303600000009</f>
        <v>4577.7259519999998</v>
      </c>
      <c r="S167" s="3">
        <f>4308.8+(2034.2-731.3)+(-2.197488+(-1.037442--0.372963))+0-613.3--0.312782999999938</f>
        <v>4995.850816000001</v>
      </c>
      <c r="T167" s="3">
        <f>4855.7+(1834.3-788)+(-12.382035+(-4.677465--2.0094))+0-629.4--1.60496999999991</f>
        <v>5259.1548700000003</v>
      </c>
      <c r="U167" s="3">
        <f>4849.1+(1898.7-773)+(-4.946082+(-1.936674--0.78846))+0-629--0.6415800000001</f>
        <v>5340.3472840000004</v>
      </c>
      <c r="V167" s="3">
        <f>4793.7+(1875.2-772.7)+(-2.444787+(-0.956352--0.394077))+0-633.1--0.322880999999936</f>
        <v>5260.4158189999998</v>
      </c>
      <c r="W167" s="3">
        <f>4097+(2288-731.7)+(-10.44735+(-5.8344--1.865835))+0-700.4--1.7860199999999</f>
        <v>4940.2701050000005</v>
      </c>
      <c r="X167" s="3">
        <f>3193.4+(2634.6-726.9)+(-6.514536+(-5.374584--1.482876))+0-649.8--1.32559199999997</f>
        <v>4442.2193480000005</v>
      </c>
      <c r="Y167" s="3">
        <f>3317.6+(2222.3-732.6)+(1.691976+(1.133373-0.373626))+0-660.4-0.336803999999933</f>
        <v>4149.0149190000011</v>
      </c>
      <c r="Z167" s="3">
        <f>3760.1+(2311.4-768.9)+(0+(0-0))+0-682.5-0</f>
        <v>4620.1000000000004</v>
      </c>
      <c r="AA167" s="3">
        <f>3798.7+(2505.5-743.9)+(-13.561359+(-8.944635--2.655723))+0-751.3--2.68214100000001</f>
        <v>4791.8318699999991</v>
      </c>
      <c r="AB167" s="3">
        <f>3784.5+(2412.6-711.9)+(-5.790285+(-3.691278--1.089207))+0-640.5--0.979965000000037</f>
        <v>4837.287609</v>
      </c>
      <c r="AC167" s="3">
        <f>3617.2+(2756.5-732)+(-5.534316+(-4.217445--1.11996))+0-744.5--1.13908500000004</f>
        <v>4889.7072839999992</v>
      </c>
      <c r="AD167" s="2">
        <v>4754.5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3241.2+(3093.4-728.7)+(-8.26506+(-7.88817--1.858185))+0-657.7--1.6771349999999</f>
        <v>4935.5820899999999</v>
      </c>
      <c r="G168" s="3">
        <f>3165.1+(3054.2-711)+(-9.685206+(-9.345852--2.17566))+0-648.4--1.98410400000007</f>
        <v>4845.0287060000001</v>
      </c>
      <c r="H168" s="3">
        <f>3127.6+(2949.4-688.6)+(-4.785228+(-4.512582--1.053558))+0-721.3--1.10358900000004</f>
        <v>4659.9593369999993</v>
      </c>
      <c r="I168" s="3">
        <f>3118.9+(2819.1-683.6)+(-3.181278+(-2.875482--0.697272))+0-690.9--0.70471800000011</f>
        <v>4558.8452299999999</v>
      </c>
      <c r="J168" s="3">
        <f>3168.5+(2667-696.2)+(-1.615935+(-1.36017--0.355062))+0-678.8--0.346187999999931</f>
        <v>4458.2251449999994</v>
      </c>
      <c r="K168" s="3">
        <f>3150.3+(2527.6-695.8)+(-4.819959+(-3.867228--1.064574))+0-634.3--0.970479000000037</f>
        <v>4341.1478660000002</v>
      </c>
      <c r="L168" s="3">
        <f>2981.4+(2455.2-673.8)+(-1.520514+(-1.252152--0.343638))+0-638.4--0.325583999999935</f>
        <v>4122.2965560000011</v>
      </c>
      <c r="M168" s="3">
        <f>3061.6+(2214.4-734)+(1.561416+(1.129344-0.37434))+0-708.7-0.361436999999928</f>
        <v>3835.2549830000003</v>
      </c>
      <c r="N168" s="3">
        <f>3206+(1873.5-761.3)+(1.63506+(0.955485-0.388263))+0-558.4-0.284783999999943</f>
        <v>3761.717498</v>
      </c>
      <c r="O168" s="3">
        <f>3132.6+(1965.9-701.2)+(-1.597626+(-1.002609--0.357612))+0-609.8--0.310997999999938</f>
        <v>3785.5683749999998</v>
      </c>
      <c r="P168" s="3">
        <f>3167.2+(1944.7-716.9)+(1.615272+(0.991797-0.365619))+0-433.4-0.221033999999956</f>
        <v>3963.6204160000002</v>
      </c>
      <c r="Q168" s="3">
        <f>3227.5+(2286.5-749.7)+(1.646025+(1.166115-0.382347))+0-651.1-0.332060999999934</f>
        <v>4115.297732</v>
      </c>
      <c r="R168" s="3">
        <f>3706.4+(2105-759.8)+(0+(0-0))+0-516.5-0</f>
        <v>4535.1000000000004</v>
      </c>
      <c r="S168" s="3">
        <f>3576.7+(2563.7-713.7)+(-1.824117+(-1.307487--0.363987))+0-712--0.363119999999928</f>
        <v>4712.2955029999994</v>
      </c>
      <c r="T168" s="3">
        <f>3859.6+(2763.3-723.6)+(-1.968396+(-1.409283--0.369036))+0-732.5--0.373574999999926</f>
        <v>5164.1649319999997</v>
      </c>
      <c r="U168" s="3">
        <f>3903.5+(2721.4-727.7)+(-9.953925+(-6.93957--1.855635))+0-542--1.38209999999992</f>
        <v>5341.5442399999993</v>
      </c>
      <c r="V168" s="3">
        <f>3941.5+(2465.5-679.5)+(-6.030495+(-3.772215--1.039635))+0-612.4--0.936972000000035</f>
        <v>5107.2738970000009</v>
      </c>
      <c r="W168" s="3">
        <f>3679.5+(2536.3-730.7)+(-11.25927+(-7.761078--2.235942))+0-677.9--2.07437400000008</f>
        <v>4792.4899680000008</v>
      </c>
      <c r="X168" s="3">
        <f>3544.2+(2257.3-737.9)+(-12.652794+(-8.058561--2.634303))+0-691.5--2.46865500000001</f>
        <v>4356.4916030000004</v>
      </c>
      <c r="Y168" s="3">
        <f>4082.3+(1571.5-951)+(2.081973+(0.801465-0.48501))+0-599.9-0.305948999999939</f>
        <v>4104.9924790000014</v>
      </c>
      <c r="Z168" s="3">
        <f>3893.8+(2103.3-783.4)+(-1.985838+(-1.072683--0.399534))+0-729.5--0.372044999999926</f>
        <v>4481.913058000001</v>
      </c>
      <c r="AA168" s="3">
        <f>3645+(2467-732.5)+(-7.4358+(-5.03268--1.4943))+0-535.7--1.09282799999998</f>
        <v>4833.9186479999998</v>
      </c>
      <c r="AB168" s="3">
        <f>3552+(2637.7-712.2)+(-5.43456+(-4.035681--1.089666))+0-714--1.09242000000004</f>
        <v>4756.2118449999998</v>
      </c>
      <c r="AC168" s="3">
        <f>3561+(2768.3-718.3)+(-3.63222+(-2.823666--0.732666))+0-742.8--0.757656000000118</f>
        <v>4863.2344359999997</v>
      </c>
      <c r="AD168" s="2">
        <v>4860.7999999999993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3236.5+(3070.7-695.3)+(-4.951845+(-4.698171--1.063809))+0-676.8--1.03550400000004</f>
        <v>4927.5492969999996</v>
      </c>
      <c r="G169" s="3">
        <f>3267.9+(2916.6-696.4)+(-1.666629+(-1.487466--0.355164))+0-642.4--0.327623999999935</f>
        <v>4843.228693</v>
      </c>
      <c r="H169" s="3">
        <f>3209.9+(2832.8-690.7)+(-3.274098+(-2.889456--0.704514))+0-664.2--0.677484000000106</f>
        <v>4683.0184440000003</v>
      </c>
      <c r="I169" s="3">
        <f>3046.4+(2792.9-668.4)+(-4.660992+(-4.273137--1.022652))+0-625.1--0.956403000000036</f>
        <v>4538.8449259999998</v>
      </c>
      <c r="J169" s="3">
        <f>3194.7+(2590.9-667.8)+(6.517188+(5.285436-1.362312))+0-687-1.40147999999997</f>
        <v>4439.8388320000004</v>
      </c>
      <c r="K169" s="3">
        <f>3192.4+(2458.3-676.2)+(-4.884372+(-3.761199--1.034586))+0-647.6--0.990828000000037</f>
        <v>4320.2798429999993</v>
      </c>
      <c r="L169" s="3">
        <f>2971.3+(2500.9-666.5)+(-7.576815+(-6.377295--1.699575))+0-703.5--1.7939249999999</f>
        <v>4091.7393900000006</v>
      </c>
      <c r="M169" s="3">
        <f>2823.1+(2335.5-648.9)+(-1.439781+(-1.191105--0.330939))+0-705.2--0.359651999999928</f>
        <v>3802.5597049999997</v>
      </c>
      <c r="N169" s="3">
        <f>2935.7+(2027.7-669.2)+(-1.497207+(-1.034127--0.341292))+0-571.5--0.291464999999942</f>
        <v>3720.8014229999994</v>
      </c>
      <c r="O169" s="3">
        <f>3087.6+(1894.4-743.3)+(0+(0-0))+0-583-0</f>
        <v>3655.7</v>
      </c>
      <c r="P169" s="3">
        <f>3371.4+(1857.5-744)+(0+(0-0))+0-657.5-0</f>
        <v>3827.3999999999996</v>
      </c>
      <c r="Q169" s="3">
        <f>3888.9+(1383.2-837.1)+(0+(0-0))+0-431.4-0</f>
        <v>4003.6</v>
      </c>
      <c r="R169" s="3">
        <f>4373.4+(1486.9-806.6)+(-6.691302+(-2.274957--1.234098))+0-625.9--0.957627000000036</f>
        <v>4421.0254660000001</v>
      </c>
      <c r="S169" s="3">
        <f>3954.2+(2232.1-707.7)+(-4.033284+(-2.276742--0.721854))+0-638--0.650760000000102</f>
        <v>4835.6625880000001</v>
      </c>
      <c r="T169" s="3">
        <f>4564.7+(1853.7-780.9)+(0+(0-0))+0-533.1-0</f>
        <v>5104.3999999999996</v>
      </c>
      <c r="U169" s="3">
        <f>4898.5+(1647-739.5)+(7.494705+(2.51991-1.131435))+0-622.3-0.952119000000036</f>
        <v>5191.631061</v>
      </c>
      <c r="V169" s="3">
        <f>4950.5+(1547.8-796.9)+(-12.623775+(-3.94689--2.032095))+0-627.2--1.59935999999991</f>
        <v>5061.2607900000003</v>
      </c>
      <c r="W169" s="3">
        <f>3745.1+(2304.8-722.8)+(-9.550005+(-5.87724--1.84314))+0-574--1.46369999999992</f>
        <v>4740.9795950000007</v>
      </c>
      <c r="X169" s="3">
        <f>3075.5+(2473.3-720.8)+(-4.705515+(-3.784149--1.102824))+0-606.1--0.927333000000035</f>
        <v>4215.4404929999992</v>
      </c>
      <c r="Y169" s="3">
        <f>3096.5+(2209.6-711.8)+(1.579215+(1.126896-0.363018))+0-639.5-0.326144999999935</f>
        <v>3956.8169480000006</v>
      </c>
      <c r="Z169" s="3">
        <f>3538.5+(2079.7-753)+(-5.413905+(-3.181941--1.15209))+0-555--0.849150000000032</f>
        <v>4303.6053940000002</v>
      </c>
      <c r="AA169" s="3">
        <f>3684.6+(2129.9-719.3)+(-11.274876+(-6.517494--2.201058))+0-599.2--1.83355200000007</f>
        <v>4482.2422400000005</v>
      </c>
      <c r="AB169" s="3">
        <f>3591.4+(2530.5-706.7)+(-9.15807+(-6.452775--1.802085))+0-607.2--1.54835999999991</f>
        <v>4795.7395999999999</v>
      </c>
      <c r="AC169" s="3">
        <f>3320.6+(2826.8-713.1)+(-10.161036+(-8.650008--2.182086))+0-645.2--1.97431200000007</f>
        <v>4774.4453540000004</v>
      </c>
      <c r="AD169" s="2">
        <v>4431.1000000000004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3412.8+(2688.4-692)+(-6.962112+(-5.484336--1.41168))+0-555.1--1.13240399999998</f>
        <v>4844.1976359999999</v>
      </c>
      <c r="G170" s="3">
        <f>4007.4+(2114.2-675.3)+(2.043774+(1.078242-0.344403))+0-698.3-0.356132999999929</f>
        <v>4750.42148</v>
      </c>
      <c r="H170" s="3">
        <f>4075.9+(1794.2-674.9)+(2.078709+(0.915042-0.344199))+0-557.5-0.284324999999943</f>
        <v>4640.065227000001</v>
      </c>
      <c r="I170" s="3">
        <f>3792+(2064.3-657.7)+(-5.80176+(-3.158379--1.006281))+0-697.6--1.06732800000004</f>
        <v>4494.1134700000002</v>
      </c>
      <c r="J170" s="3">
        <f>2986.1+(2609.3-665.7)+(-3.045822+(-2.661486--0.679014))+0-559.5--0.570690000000089</f>
        <v>4365.7423960000006</v>
      </c>
      <c r="K170" s="3">
        <f>3016.2+(2580.9-678.4)+(-4.614786+(-3.948777--1.037952))+0-657.4--1.00582200000004</f>
        <v>4254.7802110000002</v>
      </c>
      <c r="L170" s="3">
        <f>3009.5+(2261.3-660.8)+(-9.20907+(-6.919578--2.022048))+0-563.7--1.72492200000007</f>
        <v>4033.918322</v>
      </c>
      <c r="M170" s="3">
        <f>2913.9+(2141.3-656.2)+(1.486089+(1.092063-0.334662))+0-564-0.287639999999943</f>
        <v>3836.9558499999998</v>
      </c>
      <c r="N170" s="3">
        <f>2863+(2031.2-644.3)+(-1.46013+(-1.035912--0.328593))+0-585.4--0.298553999999941</f>
        <v>3662.6311049999999</v>
      </c>
      <c r="O170" s="3">
        <f>2851.3+(2073.8-658.5)+(-1.454163+(-1.057638--0.335835))+0-589.5--0.30064499999994</f>
        <v>3675.2246790000004</v>
      </c>
      <c r="P170" s="3">
        <f>3189.6+(1852.9-713.5)+(-4.880088+(-2.834937--1.091655))+0-529--0.809370000000031</f>
        <v>3794.1859999999997</v>
      </c>
      <c r="Q170" s="3">
        <f>3501.9+(1640.2-771.4)+(-1.785969+(-0.836502--0.393414))+0-409.4--0.208793999999958</f>
        <v>3959.2797370000003</v>
      </c>
      <c r="R170" s="3">
        <f>3934.9+(1603.3-736.7)+(-6.020397+(-2.453049--1.127151))+0-454.7--0.695691000000026</f>
        <v>4340.1493959999998</v>
      </c>
      <c r="S170" s="3">
        <f>4027.4+(2080.1-764.8)+(-6.161922+(-3.182553--1.170144))+0-636.9--0.974457000000037</f>
        <v>4698.6001260000003</v>
      </c>
      <c r="T170" s="3">
        <f>4533.3+(1785.1-783.1)+(-2.311983+(-0.910401--0.399381))+0-550.2--0.280601999999944</f>
        <v>4982.5575989999998</v>
      </c>
      <c r="U170" s="3">
        <f>4769.7+(1621.3-758)+(2.432547+(0.826863-0.38658))+0-595.6-0.30375599999994</f>
        <v>5039.9690739999996</v>
      </c>
      <c r="V170" s="3">
        <f>4345.2+(1860.5-736.1)+(-4.432104+(-1.89771--0.750822))+0-589--0.600780000000094</f>
        <v>4875.6217880000004</v>
      </c>
      <c r="W170" s="3">
        <f>4478.3+(1480.9-783.7)+(-9.135732+(-3.021036--1.598748))+0-545.1--1.11200399999998</f>
        <v>4620.9539839999989</v>
      </c>
      <c r="X170" s="3">
        <f>3427.8+(1968.2-701.3)+(-3.496356+(-2.007564--0.715326))+0-608.5--0.620670000000097</f>
        <v>4082.0320760000013</v>
      </c>
      <c r="Y170" s="3">
        <f>3417.5+(1714.4-716)+(-3.48585+(-1.748688--0.73032))+0-520.9--0.531318000000083</f>
        <v>3891.0270999999998</v>
      </c>
      <c r="Z170" s="3">
        <f>3954+(1768-721.8)+(-2.01654+(-0.90168--0.368118))+0-589.5--0.30064499999994</f>
        <v>4408.4505429999999</v>
      </c>
      <c r="AA170" s="3">
        <f>3798.1+(2152.8-664.7)+(-13.559217+(-7.685496--2.372979))+0-663.2--2.36762400000001</f>
        <v>4606.4958900000001</v>
      </c>
      <c r="AB170" s="3">
        <f>3720.9+(2293.5-685.2)+(-7.590636+(-4.67874--1.397808))+0-587.2--1.19788799999997</f>
        <v>4732.3263200000001</v>
      </c>
      <c r="AC170" s="3">
        <f>3820.2+(2277.7-697.2)+(0+(0-0))+0-649.6-0</f>
        <v>4751.0999999999995</v>
      </c>
      <c r="AD170" s="2">
        <v>4490.2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4421.3+(1663.8-696.7)+(-4.509726+(-1.697076--0.710634))+0-586.4--0.598128000000093</f>
        <v>4797.1019600000009</v>
      </c>
      <c r="G171" s="3">
        <f>4210.4+(1838.3-669.1)+(-6.441912+(-2.812599--1.023723))+0-619.6--0.947988000000036</f>
        <v>4752.7171999999991</v>
      </c>
      <c r="H171" s="3">
        <f>3639.2+(2264.2-607.2)+(-7.423968+(-4.618968--1.238688))+0-675.5--1.37801999999997</f>
        <v>4611.2737719999996</v>
      </c>
      <c r="I171" s="3">
        <f>3152.7+(2522.7-644.3)+(-3.215754+(-2.573154--0.657186))+0-514.7--0.524994000000082</f>
        <v>4511.7932719999999</v>
      </c>
      <c r="J171" s="3">
        <f>3043.5+(2644.8-632.2)+(4.656555+(4.046544-0.967266))+0-670.3-1.02555900000004</f>
        <v>4392.5102740000002</v>
      </c>
      <c r="K171" s="3">
        <f>3045.7+(2454.5-610.7)+(6.213228+(5.00718-1.245828))+0-639.5-1.30457999999997</f>
        <v>4258.67</v>
      </c>
      <c r="L171" s="3">
        <f>2991.4+(2261-627.3)+(-1.525614+(-1.15311--0.319923))+0-599.7--0.305846999999939</f>
        <v>4023.3470460000003</v>
      </c>
      <c r="M171" s="3">
        <f>3023.5+(1931.2-639.6)+(0+(0-0))+0-595.1-0</f>
        <v>3720.0000000000005</v>
      </c>
      <c r="N171" s="3">
        <f>3130.8+(1769.3-659.4)+(3.193416+(1.804686-0.672588))+0-622.1-0.634542000000099</f>
        <v>3622.2909720000007</v>
      </c>
      <c r="O171" s="3">
        <f>3281.7+(1614.1-669.1)+(1.673667+(0.823191-0.341241))+0-545.6-0.278255999999945</f>
        <v>3682.9773610000002</v>
      </c>
      <c r="P171" s="3">
        <f>3577.8+(1458.8-691.2)+(1.824678+(0.743988-0.352512))+0-540-0.275399999999945</f>
        <v>3807.3407539999994</v>
      </c>
      <c r="Q171" s="3">
        <f>4020.6+(1182.1-741.1)+(2.050506+(0.602871-0.377961))+0-534.2-0.272441999999946</f>
        <v>3929.4029740000001</v>
      </c>
      <c r="R171" s="3">
        <f>4577.4+(1055.8-752.9)+(-2.334474+(-0.538458--0.383979))+0-594.4--0.30314399999994</f>
        <v>4283.7141909999991</v>
      </c>
      <c r="S171" s="3">
        <f>4342.1+(1605.4-729.1)+(-4.428942+(-1.637508--0.743682))+0-552.7--0.563754000000088</f>
        <v>4660.9409860000005</v>
      </c>
      <c r="T171" s="3">
        <f>4865.4+(1443.7-714.5)+(-2.481354+(-0.736287--0.364395))+0-639.9--0.326348999999935</f>
        <v>4952.1731030000001</v>
      </c>
      <c r="U171" s="3">
        <f>4782.9+(1603.9-772.5)+(4.878558+(1.635978-0.78795))+0-601.9-0.613938000000096</f>
        <v>5017.512647999999</v>
      </c>
      <c r="V171" s="3">
        <f>4487.9+(1768.4-755.6)+(-9.155316+(-3.607536--1.541424))+0-592.7--1.20910799999997</f>
        <v>4897.9876800000002</v>
      </c>
      <c r="W171" s="3">
        <f>3904.6+(2022.4-745.2)+(-1.991346+(-1.031424--0.380052))+0-623.4--0.317933999999937</f>
        <v>4556.0752160000002</v>
      </c>
      <c r="X171" s="3">
        <f>3349.7+(2044.3-701)+(-5.125041+(-3.127779--1.07253))+0-618.9--0.946917000000036</f>
        <v>4067.8666269999999</v>
      </c>
      <c r="Y171" s="3">
        <f>3509.4+(1750.1-733)+(3.579588+(1.785102-0.74766))+0-624.7-0.6371940000001</f>
        <v>3905.7798360000006</v>
      </c>
      <c r="Z171" s="3">
        <f>4049.4+(1806.1-771.6)+(-4.130388+(-1.842222--0.787032))+0-634.6--0.647292000000101</f>
        <v>4444.7617139999993</v>
      </c>
      <c r="AA171" s="3">
        <f>3885.5+(2114.2-682)+(-1.981605+(-1.078242--0.34782))+0-721.6--0.368015999999927</f>
        <v>4593.7559890000002</v>
      </c>
      <c r="AB171" s="3">
        <f>3586.7+(2401.5-676.8)+(0+(0-0))+0-656-0</f>
        <v>4655.3999999999996</v>
      </c>
      <c r="AC171" s="3">
        <f>3543.5+(2602.6-731.7)+(-5.421555+(-3.981978--1.119501))+0-679.2--1.03917600000004</f>
        <v>4727.9551440000005</v>
      </c>
      <c r="AD171" s="2">
        <v>4468.6000000000004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4017+(2197-709.3)+(-4.09734+(-2.24094--0.723486))+0-704.6--0.718692000000112</f>
        <v>4795.2038979999998</v>
      </c>
      <c r="G172" s="3">
        <f>3558.8+(2569.3-682.6)+(-1.814988+(-1.310343--0.348126))+0-678.7--0.346136999999931</f>
        <v>4764.3689319999994</v>
      </c>
      <c r="H172" s="3">
        <f>3212+(2824.7-698.3)+(-4.91436+(-4.321791--1.068399))+0-711.7--1.08890100000004</f>
        <v>4619.6211489999996</v>
      </c>
      <c r="I172" s="3">
        <f>2909+(2939.4-668.9)+(-1.48359+(-1.499094--0.341139))+0-675.8--0.344657999999931</f>
        <v>4501.4031129999994</v>
      </c>
      <c r="J172" s="3">
        <f>2765.8+(2960.4-662.3)+(-7.05279+(-7.54902--1.688865))+0-643.9--1.64194499999991</f>
        <v>4408.7290000000012</v>
      </c>
      <c r="K172" s="3">
        <f>2888.1+(2776.6-652.9)+(4.418793+(4.248198-0.998937))+0-689.1-1.05432300000004</f>
        <v>4329.3137309999984</v>
      </c>
      <c r="L172" s="3">
        <f>2594.1+(2871.8-647.2)+(-7.937946+(-8.787708--1.980432))+0-618.5--1.89261000000007</f>
        <v>4187.347388000001</v>
      </c>
      <c r="M172" s="3">
        <f>2410.6+(2843.3-639.7)+(-3.688218+(-4.350249--0.978741))+0-720.2--1.10190600000004</f>
        <v>3888.0421800000004</v>
      </c>
      <c r="N172" s="3">
        <f>2434.6+(2526.8-641.8)+(-2.483292+(-2.577336--0.654636))+0-541.4--0.552228000000086</f>
        <v>3774.3462360000003</v>
      </c>
      <c r="O172" s="3">
        <f>2596.7+(2490.3-653.1)+(-5.297268+(-5.080212--1.332324))+0-624--1.27295999999997</f>
        <v>3802.1278039999993</v>
      </c>
      <c r="P172" s="3">
        <f>2755.3+(2384.6-688.6)+(-2.810406+(-2.432292--0.702372))+0-622--0.634440000000099</f>
        <v>3825.3941140000002</v>
      </c>
      <c r="Q172" s="3">
        <f>2974.3+(2327.2-694.6)+(-1.516893+(-1.186872--0.354246))+0-569.8--0.290597999999942</f>
        <v>4035.0410789999992</v>
      </c>
      <c r="R172" s="3">
        <f>3788.3+(2128.6-710.9)+(1.932033+(1.085586-0.362559))+0-672-0.342719999999932</f>
        <v>4536.3123400000004</v>
      </c>
      <c r="S172" s="3">
        <f>3792.1+(2268.6-685.2)+(-3.867942+(-2.313972--0.698904))+0-659--0.672180000000105</f>
        <v>4711.6891700000006</v>
      </c>
      <c r="T172" s="3">
        <f>3944.5+(2325.5-713.9)+(-8.04678+(-4.74402--1.456356))+0-625.2--1.27540799999997</f>
        <v>4920.840964</v>
      </c>
      <c r="U172" s="3">
        <f>3965.4+(2455.9-712.7)+(4.044708+(2.505018-0.726954))+0-747.6-0.762552000000119</f>
        <v>4966.0602200000003</v>
      </c>
      <c r="V172" s="3">
        <f>3780.2+(2441.6-730.4)+(1.927902+(1.245216-0.372504))+0-606.7-0.309416999999938</f>
        <v>4887.1911970000001</v>
      </c>
      <c r="W172" s="3">
        <f>3181+(2806.1-749.7)+(-1.62231+(-1.431111--0.382347))+0-659.3--0.336242999999933</f>
        <v>4575.7651689999993</v>
      </c>
      <c r="X172" s="3">
        <f>2975.7+(2374.4-740.3)+(4.552821+(3.632832-1.132659))+0-536.4-0.820692000000031</f>
        <v>4079.6323019999995</v>
      </c>
      <c r="Y172" s="3">
        <f>3180.1+(2008.5-723.1)+(3.243702+(2.04867-0.737562))+0-516.9-0.527238000000082</f>
        <v>3952.6275719999994</v>
      </c>
      <c r="Z172" s="3">
        <f>4001.8+(1939.8-749)+(-4.081836+(-1.978596--0.76398))+0-666.1--0.679422000000106</f>
        <v>4521.8829700000006</v>
      </c>
      <c r="AA172" s="3">
        <f>4212.6+(1864.7-726.2)+(-2.148426+(-0.950997--0.370362))+0-639.5--0.326144999999935</f>
        <v>4709.1970840000004</v>
      </c>
      <c r="AB172" s="3">
        <f>4470.3+(1709.1-745.4)+(2.279853+(0.871641-0.380154))+0-694.4-0.35414399999993</f>
        <v>4742.0171960000007</v>
      </c>
      <c r="AC172" s="3">
        <f>4449+(1918-753.4)+(-6.80697+(-2.93454--1.152702))+0-725.3--1.10970900000004</f>
        <v>4880.820901</v>
      </c>
      <c r="AD172" s="2">
        <v>4614.3999999999996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3894.8+(2408.6-709)+(-3.972696+(-2.456772--0.72318))+0-662.4--0.675648000000106</f>
        <v>4926.9693600000001</v>
      </c>
      <c r="G173" s="3">
        <f>3593.9+(2570.4-708.5)+(-5.498667+(-3.932712--1.084005))+0-611.9--0.936207000000035</f>
        <v>4836.4888330000003</v>
      </c>
      <c r="H173" s="3">
        <f>3777.9+(2302-710.5)+(-5.780187+(-3.52206--1.087065))+0-652.2--0.997866000000038</f>
        <v>4709.9826839999996</v>
      </c>
      <c r="I173" s="3">
        <f>3006.4+(3027.7-714.8)+(-4.599792+(-4.632381--1.093644))+0-708.8--1.08446400000004</f>
        <v>4603.4459349999997</v>
      </c>
      <c r="J173" s="3">
        <f>2895.1+(2972.2-654.7)+(-5.906004+(-6.063288--1.335588))+0-679.5--1.38617999999997</f>
        <v>4523.8524760000009</v>
      </c>
      <c r="K173" s="3">
        <f>2991.3+(2701.9-646)+(1.525563+(1.377969-0.32946))+0-614.2-0.313241999999938</f>
        <v>4435.2608300000011</v>
      </c>
      <c r="L173" s="3">
        <f>2946.5+(2502.8-656.3)+(-4.508145+(-3.829284--1.004139))+0-524.9--0.80309700000003</f>
        <v>4261.5698070000008</v>
      </c>
      <c r="M173" s="3">
        <f>2818+(2438.9-661.3)+(-1.43718+(-1.243839--0.337263))+0-593.9--0.30288899999994</f>
        <v>3999.6591330000001</v>
      </c>
      <c r="N173" s="3">
        <f>2911.6+(2213-647.6)+(2.969832+(2.25726-0.660552))+0-524.3-0.534786000000084</f>
        <v>3956.7317539999995</v>
      </c>
      <c r="O173" s="3">
        <f>3002+(2314.7-668.6)+(-1.53102+(-1.180497--0.340986))+0-629--0.320789999999936</f>
        <v>4017.0502590000006</v>
      </c>
      <c r="P173" s="3">
        <f>3332.9+(2016.5-688.6)+(-1.699779+(-1.028415--0.351186))+0-561.9--0.286568999999943</f>
        <v>4096.809561</v>
      </c>
      <c r="Q173" s="3">
        <f>4261.5+(1449.9-818.3)+(6.520095+(2.218347-1.251999))+0-593.3-0.907749000000034</f>
        <v>4306.378694</v>
      </c>
      <c r="R173" s="3">
        <f>5143.9+(1151.4-1019.3)+(7.870167+(1.761642-1.559529))+0-639.3-0.978129000000037</f>
        <v>4643.7941510000001</v>
      </c>
      <c r="S173" s="3">
        <f>5477.5+(1074.5-1032.1)+(-8.380575+(-1.643985--1.579113))+0-542.1--0.829413000000031</f>
        <v>4970.1839659999996</v>
      </c>
      <c r="T173" s="3">
        <f>5904.5+(1032.6-1072.1)+(0+(0-0))+0-650.5-0</f>
        <v>5214.5</v>
      </c>
      <c r="U173" s="3">
        <f>5961.7+(975.9-1092.1)+(-15.202335+(-2.488545--2.784855))+0-554.8--1.41473999999992</f>
        <v>5277.2087149999998</v>
      </c>
      <c r="V173" s="3">
        <f>5459.1+(1190-917.1)+(8.352423+(1.8207-1.403163))+0-528.7-0.808911000000031</f>
        <v>5211.2610489999997</v>
      </c>
      <c r="W173" s="3">
        <f>4727.6+(1466.9-859.3)+(-9.644304+(-2.992476--1.752972))+0-489--0.997559999999979</f>
        <v>4836.3137520000009</v>
      </c>
      <c r="X173" s="3">
        <f>3826.6+(1790.3-774.2)+(-11.709396+(-5.478318--2.369052))+0-503.8--1.54162800000006</f>
        <v>4325.6229659999999</v>
      </c>
      <c r="Y173" s="3">
        <f>4254.6+(1502.2-972.2)+(0+(0-0))+0-605.7-0</f>
        <v>4178.9000000000005</v>
      </c>
      <c r="Z173" s="3">
        <f>5025.8+(1658.2-1258.9)+(2.563158+(0.845682-0.642039))+0-716.1-0.365210999999927</f>
        <v>4711.4015899999995</v>
      </c>
      <c r="AA173" s="3">
        <f>4529.9+(1852-954.2)+(-4.620498+(-1.88904--0.973284))+0-560.1--0.571302000000089</f>
        <v>4862.6350480000001</v>
      </c>
      <c r="AB173" s="3">
        <f>4049.9+(2268.3-701.4)+(0+(0-0))+0-722-0</f>
        <v>4894.8</v>
      </c>
      <c r="AC173" s="3">
        <f>3781.8+(2488.6-705)+(-7.714872+(-5.076744--1.4382))+0-644.4--1.31457599999997</f>
        <v>4910.9611599999998</v>
      </c>
      <c r="AD173" s="2">
        <v>4715.8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3886.7+(2438-679)+(3.964434+(2.48676-0.69258))+0-728.1-0.742662000000116</f>
        <v>4922.6159519999992</v>
      </c>
      <c r="G174" s="3">
        <f>3525.2+(2602-662.6)+(3.595704+(2.65404-0.675852))+0-660.4-0.673608000000105</f>
        <v>4809.100284000001</v>
      </c>
      <c r="H174" s="3">
        <f>3302.6+(2826.2-685.1)+(0+(0-0))+0-716.7-0</f>
        <v>4727</v>
      </c>
      <c r="I174" s="3">
        <f>3090+(2879.2-677.1)+(1.5759+(1.468392-0.345321))+0-695.1-0.35450099999993</f>
        <v>4599.34447</v>
      </c>
      <c r="J174" s="3">
        <f>2921.5+(2893.3-614.7)+(-5.95986+(-5.902332--1.253988))+0-718.8--1.46635199999997</f>
        <v>4472.1581480000004</v>
      </c>
      <c r="K174" s="3">
        <f>2775.3+(2870.3-608)+(-7.077015+(-7.319265--1.5504))+0-611.5--1.55932499999991</f>
        <v>4414.8134450000007</v>
      </c>
      <c r="L174" s="3">
        <f>2448.5+(3058.5-589)+(-9.98988+(-12.47868--2.40312))+0-732.7--2.98941599999994</f>
        <v>4168.2239760000002</v>
      </c>
      <c r="M174" s="3">
        <f>2308.3+(2758-572.5)+(2.354466+(2.81316-0.58395))+0-630.4-0.643008000000101</f>
        <v>3867.3406680000003</v>
      </c>
      <c r="N174" s="3">
        <f>2735.7+(2368.2-612.2)+(2.790414+(2.415564-0.624444))+0-556-0.567120000000089</f>
        <v>3939.7144139999996</v>
      </c>
      <c r="O174" s="3">
        <f>2896.6+(2057.8-626.8)+(-1.477266+(-1.049478--0.319668))+0-531--0.270809999999946</f>
        <v>3794.6637340000007</v>
      </c>
      <c r="P174" s="3">
        <f>3345.8+(1851-680.5)+(5.119074+(2.83203-1.041165))+0-620-0.948600000000036</f>
        <v>3902.2613390000001</v>
      </c>
      <c r="Q174" s="3">
        <f>4014.1+(1461.5-829.4)+(6.141573+(2.236095-1.268982))+0-547-0.836910000000032</f>
        <v>4105.4717759999994</v>
      </c>
      <c r="R174" s="3">
        <f>4751.1+(1237.6-895.4)+(-2.423061+(-0.631176--0.456654))+0-671.8--0.342617999999932</f>
        <v>4419.2450349999999</v>
      </c>
      <c r="S174" s="3">
        <f>4818.7+(1448.4-835.4)+(-9.830148+(-2.954736--1.704216))+0-589.2--1.20196799999997</f>
        <v>4832.6213000000007</v>
      </c>
      <c r="T174" s="3">
        <f>4992.7+(1439.7-830.4)+(2.546277+(0.734247-0.423504))+0-511.6-0.260915999999948</f>
        <v>5092.9961039999998</v>
      </c>
      <c r="U174" s="3">
        <f>5364.3+(1452.5-888.7)+(-2.735793+(-0.740775--0.453237))+0-692.1--0.35297099999993</f>
        <v>5233.3296399999999</v>
      </c>
      <c r="V174" s="3">
        <f>4858.6+(1504.9-851.8)+(-4.955772+(-1.534998--0.868836))+0-558.2--0.569364000000089</f>
        <v>4948.4474300000011</v>
      </c>
      <c r="W174" s="3">
        <f>3735.3+(2166.2-708.5)+(1.905003+(1.104762-0.361335))+0-578.2-0.294881999999941</f>
        <v>4617.1535480000002</v>
      </c>
      <c r="X174" s="3">
        <f>3307.7+(2044.6-679.5)+(-11.808489+(-7.299222--2.425815))+0-533.4--1.90423800000001</f>
        <v>4124.6223419999997</v>
      </c>
      <c r="Y174" s="3">
        <f>3700.1+(1557.5-707.5)+(3.774102+(1.58865-0.72165))+0-538.3-0.549066000000086</f>
        <v>4015.8920359999997</v>
      </c>
      <c r="Z174" s="3">
        <f>4667.4+(1242.9-769)+(0+(0-0))+0-655.8-0</f>
        <v>4485.4999999999991</v>
      </c>
      <c r="AA174" s="3">
        <f>4093.4+(1786.8-720.5)+(-6.262902+(-2.733804--1.102365))+0-515.9--0.78932700000003</f>
        <v>4636.6949860000004</v>
      </c>
      <c r="AB174" s="3">
        <f>3506.2+(2501.2-709)+(-1.788162+(-1.275612--0.36159))+0-597.2--0.304571999999939</f>
        <v>4698.8023880000001</v>
      </c>
      <c r="AC174" s="3">
        <f>3451+(2687.1-677.7)+(-5.28003+(-4.111263--1.036881))+0-691.4--1.05784200000004</f>
        <v>4761.7034300000005</v>
      </c>
      <c r="AD174" s="2">
        <v>4591.0999999999995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3423.3+(2581.4-662.9)+(-1.745883+(-1.316514--0.338079))+0-513.5--0.261884999999948</f>
        <v>4825.8375670000005</v>
      </c>
      <c r="G175" s="3">
        <f>3153.2+(2743.7-457.2)+(-4.824396+(-4.197861--0.699516))+0-690.6--1.05661800000004</f>
        <v>4741.8338769999991</v>
      </c>
      <c r="H175" s="3">
        <f>2988.6+(2597.1-468.9)+(-6.096744+(-5.298084--0.956556))+0-510.7--1.04182799999998</f>
        <v>4596.7035559999995</v>
      </c>
      <c r="I175" s="3">
        <f>2893.8+(2719.6-450.5)+(-4.427514+(-4.160988--0.689265))+0-680.9--1.04177700000004</f>
        <v>4475.1425400000007</v>
      </c>
      <c r="J175" s="3">
        <f>2743.8+(2643.9-437.5)+(-4.198014+(-4.045167--0.669375))+0-600.1--0.918153000000035</f>
        <v>4343.4443469999997</v>
      </c>
      <c r="K175" s="3">
        <f>2864.8+(2416-448.1)+(2.922096+(2.46432-0.457062))+0-596.8-0.608736000000095</f>
        <v>4240.2206180000003</v>
      </c>
      <c r="L175" s="3">
        <f>2820.3+(2351.7-455.3)+(-8.630118+(-7.196202--1.393218))+0-702.4--2.14934400000008</f>
        <v>4002.0162419999997</v>
      </c>
      <c r="M175" s="3">
        <f>2913.4+(1798.1-443.4)+(-1.485834+(-0.917031--0.226134))+0-596.3--0.304112999999939</f>
        <v>3669.9273820000008</v>
      </c>
      <c r="N175" s="3">
        <f>2925.3+(1558.9-467)+(0+(0-0))+0-437.1-0</f>
        <v>3580.1000000000004</v>
      </c>
      <c r="O175" s="3">
        <f>3032.7+(1656.2-475.4)+(0+(0-0))+0-434-0</f>
        <v>3779.5</v>
      </c>
      <c r="P175" s="3">
        <f>3045.6+(1608.3-498.4)+(0+(0-0))+0-438.2-0</f>
        <v>3717.3</v>
      </c>
      <c r="Q175" s="3">
        <f>3658.2+(1406.6-592.1)+(7.462728+(2.869464-1.207884))+0-550.7-1.12342799999998</f>
        <v>3930.0008800000005</v>
      </c>
      <c r="R175" s="3">
        <f>4770.5+(1067.4-864.8)+(2.432955+(0.544374-0.441048))+0-660.6-0.336905999999933</f>
        <v>4314.6993750000001</v>
      </c>
      <c r="S175" s="3">
        <f>4822.7+(1127-587.1)+(-4.919154+(-1.14954--0.598842))+0-616.8--0.629136000000098</f>
        <v>4740.9592839999996</v>
      </c>
      <c r="T175" s="3">
        <f>5350+(978.4-727.8)+(-2.7285+(-0.498984--0.371178))+0-598.8--0.305387999999939</f>
        <v>4999.2490820000003</v>
      </c>
      <c r="U175" s="3">
        <f>5422.7+(977.7-678.4)+(-2.765577+(-0.498627--0.345984))+0-576.1--0.293810999999942</f>
        <v>5143.2755909999996</v>
      </c>
      <c r="V175" s="3">
        <f>5089.2+(1003.4-608.7)+(-10.381968+(-2.046936--1.241748))+0-467.2--0.95308799999998</f>
        <v>5006.4659320000001</v>
      </c>
      <c r="W175" s="3">
        <f>3878.9+(1810.7-579.1)+(1.978239+(0.923457-0.295341))+0-458.7-0.233936999999953</f>
        <v>4654.1724180000001</v>
      </c>
      <c r="X175" s="3">
        <f>3333.8+(2044.4-692.6)+(-3.400476+(-2.085288--0.706452))+0-564--0.57528000000009</f>
        <v>4117.3959680000007</v>
      </c>
      <c r="Y175" s="3">
        <f>3875.3+(1490.9-731.7)+(5.929209+(2.281077-1.119501))+0-707-1.08171000000004</f>
        <v>3933.5090750000004</v>
      </c>
      <c r="Z175" s="3">
        <f>4844.3+(1075.7-841)+(-9.882372+(-2.194428--1.71564))+0-673.7--1.37434799999997</f>
        <v>4396.3131880000001</v>
      </c>
      <c r="AA175" s="3">
        <f>4351.7+(1610.9-738.9)+(-15.535569+(-5.750913--2.637873))+0-670.4--2.39332800000001</f>
        <v>4537.0447190000004</v>
      </c>
      <c r="AB175" s="3">
        <f>3565.6+(2369.3-658.7)+(-5.455368+(-3.625029--1.007811))+0-643.6--0.984708000000037</f>
        <v>4625.5121219999992</v>
      </c>
      <c r="AC175" s="3">
        <f>3576.5+(2552.6-695)+(-1.824015+(-1.301826--0.35445))+0-685.7--0.34970699999993</f>
        <v>4745.9783160000006</v>
      </c>
      <c r="AD175" s="2">
        <v>4513.1000000000004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3385+(2763.2-695.6)+(3.4527+(2.818464-0.709512))+0-682.9-0.696558000000109</f>
        <v>4774.5650940000005</v>
      </c>
      <c r="G176" s="3">
        <f>3351.5+(2671.2-686.8)+(3.41853+(2.724624-0.700536))+0-617-0.629340000000098</f>
        <v>4723.7132779999993</v>
      </c>
      <c r="H176" s="3">
        <f>3254.8+(2713.3-691.5)+(-4.979844+(-4.151349--1.057995))+0-697.3--1.06686900000004</f>
        <v>4572.2936710000004</v>
      </c>
      <c r="I176" s="3">
        <f>2975.9+(2825.4-673.3)+(-4.553127+(-4.322862--1.030149))+0-679.9--1.04024700000004</f>
        <v>4441.2944070000003</v>
      </c>
      <c r="J176" s="3">
        <f>2966.2+(2652.1-630.5)+(-1.512762+(-1.352571--0.321555))+0-659.1--0.336140999999933</f>
        <v>4326.4923629999985</v>
      </c>
      <c r="K176" s="3">
        <f>2817+(2706.8-626.2)+(-5.74668+(-5.521872--1.277448))+0-717.3--1.46329199999997</f>
        <v>4171.7721880000008</v>
      </c>
      <c r="L176" s="3">
        <f>2605.2+(2579.8-656.8)+(-1.328652+(-1.315698--0.334968))+0-607.3--0.309722999999938</f>
        <v>3918.9003409999991</v>
      </c>
      <c r="M176" s="3">
        <f>2626.5+(2230-680.6)+(0+(0-0))+0-573-0</f>
        <v>3602.8999999999996</v>
      </c>
      <c r="N176" s="3">
        <f>2828.1+(2020.4-690.9)+(1.442331+(1.030404-0.352359))+0-640.7-0.326756999999935</f>
        <v>3518.6936190000006</v>
      </c>
      <c r="O176" s="3">
        <f>3152.3+(1728.8-721.5)+(3.215346+(1.763376-0.73593))+0-597.6-0.609552000000095</f>
        <v>3565.6332400000006</v>
      </c>
      <c r="P176" s="3">
        <f>3490.8+(1491.8-752.6)+(7.121232+(3.043272-1.535304))+0-559.7-1.14178799999998</f>
        <v>3677.7874120000006</v>
      </c>
      <c r="Q176" s="3">
        <f>4076.4+(1066.4-874)+(-2.078964+(-0.543864--0.44574))+0-586.4--0.29906399999994</f>
        <v>3680.5219759999995</v>
      </c>
      <c r="R176" s="3">
        <f>4689.2+(916.9-758.7)+(0+(0-0))+0-549.9-0</f>
        <v>4297.5</v>
      </c>
      <c r="S176" s="3">
        <f>5034.1+(1080.8-792.4)+(-5.134782+(-1.102416--0.808248))+0-541.3--0.552126000000086</f>
        <v>4776.3231759999999</v>
      </c>
      <c r="T176" s="3">
        <f>5607.1+(977.2-934.4)+(-8.578863+(-1.495116--1.429632))+0-551.8--0.844254000000032</f>
        <v>5090.2999069999996</v>
      </c>
      <c r="U176" s="3">
        <f>5480.3+(1096.6-878.6)+(-2.794953+(-0.559266--0.448086))+0-556.8--0.283967999999943</f>
        <v>5138.8778349999993</v>
      </c>
      <c r="V176" s="3">
        <f>4917.8+(1292.6-810.4)+(-10.032312+(-2.636904--1.653216))+0-531.5--1.08425999999998</f>
        <v>4858.56826</v>
      </c>
      <c r="W176" s="3">
        <f>4254.9+(1687-741.2)+(-13.019994+(-5.16222--2.268072))+0-565.1--1.72920600000007</f>
        <v>4621.4150639999998</v>
      </c>
      <c r="X176" s="3">
        <f>3298.5+(2133.4-728)+(-10.09341+(-6.528204--2.22768))+0-577.6--1.76745600000007</f>
        <v>4113.673522</v>
      </c>
      <c r="Y176" s="3">
        <f>3674.4+(1742.2-742.6)+(-3.747888+(-1.777044--0.757452))+0-634.2--0.646884000000101</f>
        <v>4035.679404</v>
      </c>
      <c r="Z176" s="3">
        <f>4323.2+(1445.1-763.2)+(-6.614496+(-2.211003--1.167696))+0-558.6--0.854658000000032</f>
        <v>4439.6968549999992</v>
      </c>
      <c r="AA176" s="3">
        <f>4245.5+(1709.1-734.4)+(-8.66082+(-3.486564--1.498176))+0-608.9--1.24215599999997</f>
        <v>4601.8929480000006</v>
      </c>
      <c r="AB176" s="3">
        <f>3493.4+(2640.5-727.5)+(-7.126536+(-5.38662--1.4841))+0-724.9--1.47879599999997</f>
        <v>4671.94974</v>
      </c>
      <c r="AC176" s="3">
        <f>3415.1+(2838-736)+(6.966804+(5.78952-1.50144))+0-687.2-1.40188799999997</f>
        <v>4839.7529960000002</v>
      </c>
      <c r="AD176" s="2">
        <v>4547.8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3325.5+(2856.6-697.1)+(-8.480025+(-7.28433--1.777605))+0-643--1.63964999999991</f>
        <v>4829.6529</v>
      </c>
      <c r="G177" s="3">
        <f>3735.2+(2457.6-714)+(1.904952+(1.253376-0.36414))+0-671.7-0.342566999999932</f>
        <v>4809.5516209999996</v>
      </c>
      <c r="H177" s="3">
        <f>3674.8+(2468.9-722.9)+(-9.37074+(-6.295695--1.843395))+0-732.2--1.86710999999989</f>
        <v>4676.6440700000003</v>
      </c>
      <c r="I177" s="3">
        <f>3382.7+(2544.7-719.5)+(0+(0-0))+0-668.7-0</f>
        <v>4539.2</v>
      </c>
      <c r="J177" s="3">
        <f>3186.9+(2624.3-706.6)+(1.625319+(1.338393-0.360366))+0-739.4-0.377093999999925</f>
        <v>4367.4262520000011</v>
      </c>
      <c r="K177" s="3">
        <f>3298.2+(2330.9-698.7)+(5.046246+(3.566277-1.069011))+0-638.6-0.977058000000037</f>
        <v>4298.3664539999991</v>
      </c>
      <c r="L177" s="3">
        <f>3042.5+(2399.6-684.1)+(-3.10335+(-2.447592--0.697782))+0-719.2--0.733584000000115</f>
        <v>4034.6804240000006</v>
      </c>
      <c r="M177" s="3">
        <f>2893.2+(2085.9-677.6)+(4.426596+(3.191427-1.036728))+0-569.8-0.871794000000033</f>
        <v>3737.4095009999996</v>
      </c>
      <c r="N177" s="3">
        <f>2773.8+(2126.4-664.9)+(-1.414638+(-1.084464--0.339099))+0-668.3--0.340832999999932</f>
        <v>3565.1808299999998</v>
      </c>
      <c r="O177" s="3">
        <f>2745.5+(1915.2-670.8)+(1.400205+(0.976752-0.342108))+0-466.2-0.237761999999953</f>
        <v>3525.4970870000006</v>
      </c>
      <c r="P177" s="3">
        <f>2971.1+(2005.7-646.4)+(4.545783+(3.068721-0.988992))+0-742.9-1.13663700000004</f>
        <v>3592.9888749999991</v>
      </c>
      <c r="Q177" s="3">
        <f>3400.6+(1727.4-736)+(0+(0-0))+0-576.2-0</f>
        <v>3815.8</v>
      </c>
      <c r="R177" s="3">
        <f>3685.2+(1827-669.7)+(-1.879452+(-0.93177--0.341547))+0-681.8--0.347717999999931</f>
        <v>4158.5780429999995</v>
      </c>
      <c r="S177" s="3">
        <f>3953+(1956.4-697.9)+(-6.04809+(-2.993292--1.067787))+0-672.9--1.02953700000004</f>
        <v>4531.6559420000003</v>
      </c>
      <c r="T177" s="3">
        <f>4629.3+(1645.2-756)+(0+(0-0))+0-635.6-0</f>
        <v>4882.8999999999996</v>
      </c>
      <c r="U177" s="3">
        <f>4920.8+(1529.9-796.1)+(0+(0-0))+0-719.8-0</f>
        <v>4934.8</v>
      </c>
      <c r="V177" s="3">
        <f>4367.5+(1817.4-769.9)+(-11.137125+(-4.63437--1.963245))+0-599.4--1.52846999999991</f>
        <v>4803.3202200000005</v>
      </c>
      <c r="W177" s="3">
        <f>3803.7+(2070.4-743.6)+(-9.699435+(-5.27952--1.89618))+0-759--1.93544999999989</f>
        <v>4360.3526750000001</v>
      </c>
      <c r="X177" s="3">
        <f>3451.7+(1777.5-780.6)+(-10.562202+(-5.43915--2.388636))+0-571.3--1.74817800000007</f>
        <v>3865.4354619999999</v>
      </c>
      <c r="Y177" s="3">
        <f>3970.2+(1461.2-990.9)+(6.074406+(2.235636-1.516077))+0-714.6-1.09333800000004</f>
        <v>3731.6006269999998</v>
      </c>
      <c r="Z177" s="3">
        <f>4517.3+(1488.1-1028.6)+(-6.911469+(-2.276793--1.573758))+0-671.9--1.02800700000004</f>
        <v>4298.3135030000003</v>
      </c>
      <c r="AA177" s="3">
        <f>3987.5+(1908.6-776.2)+(-6.100875+(-2.920158--1.187586))+0-642.8--0.983484000000037</f>
        <v>4470.2500369999998</v>
      </c>
      <c r="AB177" s="3">
        <f>3784.3+(2079.8-729.5)+(-11.579958+(-6.364188--2.23227))+0-614.2--1.87945200000007</f>
        <v>4506.5675760000004</v>
      </c>
      <c r="AC177" s="3">
        <f>3599+(2425-721.2)+(-7.34196+(-4.947--1.471248))+0-621.4--1.26765599999997</f>
        <v>4671.8499440000005</v>
      </c>
      <c r="AD177" s="2">
        <v>4282.8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3578.7+(2519.1-699.9)+(-3.650274+(-2.569482--0.713898))+0-728.5--0.743070000000116</f>
        <v>4664.6372119999996</v>
      </c>
      <c r="G178" s="3">
        <f>3283.9+(2631.6-708.7)+(-6.699156+(-5.368464--1.445748))+0-644.7--1.31518799999997</f>
        <v>4552.7933160000002</v>
      </c>
      <c r="H178" s="3">
        <f>3136.1+(2722.7-721.3)+(-7.997055+(-6.942885--1.839315))+0-719--1.8334499999999</f>
        <v>4407.232825</v>
      </c>
      <c r="I178" s="3">
        <f>3102.8+(2532.5-712.4)+(-4.747284+(-3.874725--1.089972))+0-624.5--0.955485000000036</f>
        <v>4291.8234480000001</v>
      </c>
      <c r="J178" s="3">
        <f>2935.6+(2632-670.4)+(2.994312+(2.68464-0.683808))+0-720.3-0.734706000000115</f>
        <v>4181.1604379999999</v>
      </c>
      <c r="K178" s="3">
        <f>2905.7+(2502.4-653.8)+(-4.445721+(-3.828672--1.000314))+0-689.8--1.05539400000004</f>
        <v>4058.2813150000002</v>
      </c>
      <c r="L178" s="3">
        <f>2901.6+(2291.5-654.3)+(-2.959632+(-2.33733--0.667386))+0-696.8--0.710736000000111</f>
        <v>3838.0811599999997</v>
      </c>
      <c r="M178" s="3">
        <f>2944.6+(1853.2-679.9)+(0+(0-0))+0-579.1-0</f>
        <v>3538.7999999999997</v>
      </c>
      <c r="N178" s="3">
        <f>3029.7+(1834-792.9)+(-1.545147+(-0.93534--0.404379))+0-522.4--0.266423999999947</f>
        <v>3546.5903159999993</v>
      </c>
      <c r="O178" s="3">
        <f>3111.3+(1722.5-732)+(1.586763+(0.878475-0.37332))+0-587.1-0.29942099999994</f>
        <v>3516.4924970000002</v>
      </c>
      <c r="P178" s="3">
        <f>3212.6+(1668.3-773)+(-1.638426+(-0.850833--0.39423))+0-525.2--0.267851999999947</f>
        <v>3580.8728229999997</v>
      </c>
      <c r="Q178" s="3">
        <f>3657.2+(1455.6-839.7)+(-1.865172+(-0.742356--0.428247))+0-577.7--0.294626999999941</f>
        <v>3693.5153459999997</v>
      </c>
      <c r="R178" s="3">
        <f>4526.7+(1103.1-931)+(2.308617+(0.562581-0.47481))+0-630.5-0.321554999999936</f>
        <v>4070.3748329999994</v>
      </c>
      <c r="S178" s="3">
        <f>4542.9+(1275.7-759.7)+(-6.950637+(-1.951821--1.162341))+0-561.1--0.858483000000032</f>
        <v>4490.918365999999</v>
      </c>
      <c r="T178" s="3">
        <f>4716.3+(1432.7-726.3)+(-2.405313+(-0.730677--0.370413))+0-676.1--0.344810999999931</f>
        <v>4744.1792340000002</v>
      </c>
      <c r="U178" s="3">
        <f>4565.6+(1562.1-742.9)+(-6.985368+(-2.390013--1.136637))+0-590--0.902700000000034</f>
        <v>4787.4639559999996</v>
      </c>
      <c r="V178" s="3">
        <f>4267.5+(1872.5-755.8)+(-4.35285+(-1.90995--0.770916))+0-705.5--0.719610000000112</f>
        <v>4673.9277259999999</v>
      </c>
      <c r="W178" s="3">
        <f>3458.1+(2009.7-680.2)+(-3.527262+(-2.049894--0.693804))+0-538.4--0.549168000000086</f>
        <v>4244.8658160000014</v>
      </c>
      <c r="X178" s="3">
        <f>3261.5+(1923-700.9)+(-6.65346+(-3.92292--1.429836))+0-659.2--1.34476799999997</f>
        <v>3816.5982240000003</v>
      </c>
      <c r="Y178" s="3">
        <f>3724.8+(1529.1-854.8)+(0+(0-0))+0-683.4-0</f>
        <v>3715.7000000000003</v>
      </c>
      <c r="Z178" s="3">
        <f>4229.9+(1388.1-873.2)+(-6.471747+(-2.123793--1.335996))+0-648.3--0.991899000000037</f>
        <v>4090.2323549999996</v>
      </c>
      <c r="AA178" s="3">
        <f>4537.1+(1383.2-918.6)+(-9.255684+(-2.821728--1.873944))+0-738.3--1.50613199999997</f>
        <v>4254.7026640000004</v>
      </c>
      <c r="AB178" s="3">
        <f>4684.9+(1210.1-876.7)+(0+(0-0))+0-563.3-0</f>
        <v>4454.9999999999991</v>
      </c>
      <c r="AC178" s="3">
        <f>4551.4+(1346.5-735.8)+(-9.284856+(-2.74686--1.501032))+0-667.4--1.36149599999997</f>
        <v>4485.5308119999991</v>
      </c>
      <c r="AD178" s="2">
        <v>4241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3679.5+(1952.5-635.6)+(-1.876545+(-0.995775--0.324156))+0-469.2--0.239291999999952</f>
        <v>4524.8911280000002</v>
      </c>
      <c r="G179" s="3">
        <f>3162.6+(2751.3-634.4)+(3.225852+(2.806326-0.647088))+0-724.8-0.739296000000116</f>
        <v>4559.3457939999998</v>
      </c>
      <c r="H179" s="3">
        <f>2965.2+(2766.6-656.9)+(-4.536756+(-4.232898--1.005057))+0-644.6--0.986238000000037</f>
        <v>4423.5216409999994</v>
      </c>
      <c r="I179" s="3">
        <f>2926.5+(2721.5-643.4)+(-1.492515+(-1.387965--0.328134))+0-708.6--0.361385999999928</f>
        <v>4293.8090399999992</v>
      </c>
      <c r="J179" s="3">
        <f>2802+(2646.5-619)+(-1.42902+(-1.349715--0.31569))+0-701.7--0.357866999999929</f>
        <v>4125.6948219999995</v>
      </c>
      <c r="K179" s="3">
        <f>2923+(2377.8-622.7)+(2.98146+(2.425356-0.635154))+0-610.4-0.622608000000097</f>
        <v>4071.8490540000003</v>
      </c>
      <c r="L179" s="3">
        <f>2704.9+(2396.4-602.1)+(2.758998+(2.444328-0.614142))+0-680.4-0.694008000000108</f>
        <v>3822.6951760000011</v>
      </c>
      <c r="M179" s="3">
        <f>2764.7+(1856.5-588.6)+(2.819994+(1.89363-0.600372))+0-595.5-0.607410000000095</f>
        <v>3440.6058419999999</v>
      </c>
      <c r="N179" s="3">
        <f>2951.5+(1742.3-611.2)+(3.01053+(1.777146-0.623424))+0-604-0.616080000000096</f>
        <v>3482.1481719999997</v>
      </c>
      <c r="O179" s="3">
        <f>3004.9+(1443.9-606.6)+(1.532499+(0.736389-0.309366))+0-610.3-0.311252999999938</f>
        <v>3233.5482690000008</v>
      </c>
      <c r="P179" s="3">
        <f>3240.6+(1365.6-648.7)+(0+(0-0))+0-675-0</f>
        <v>3282.5</v>
      </c>
      <c r="Q179" s="3">
        <f>3206+(1559.3-680.1)+(0+(0-0))+0-575.3-0</f>
        <v>3509.8999999999996</v>
      </c>
      <c r="R179" s="3">
        <f>3243.4+(1750-676.2)+(-1.654134+(-0.8925--0.344862))+0-575.1--0.293300999999942</f>
        <v>3740.1915289999997</v>
      </c>
      <c r="S179" s="3">
        <f>3707.1+(1848.6-628.9)+(-5.671863+(-2.828358--0.962217))+0-666.9--1.02035700000004</f>
        <v>4253.382353</v>
      </c>
      <c r="T179" s="3">
        <f>4105.5+(1771.5-655.8)+(-4.18761+(-1.80693--0.668916))+0-673.9--0.687378000000107</f>
        <v>4542.6617540000007</v>
      </c>
      <c r="U179" s="3">
        <f>4222.4+(1793.2-711.5)+(-4.306848+(-1.829064--0.72573))+0-639--0.651780000000102</f>
        <v>4660.341598</v>
      </c>
      <c r="V179" s="3">
        <f>4210.4+(1759.7-696.9)+(-4.294608+(-1.794894--0.710838))+0-696.8--0.710736000000111</f>
        <v>4571.7320719999998</v>
      </c>
      <c r="W179" s="3">
        <f>3955.7+(1582.2-681.5)+(-4.034814+(-1.613844--0.69513))+0-641.6--0.654432000000102</f>
        <v>4210.5009039999995</v>
      </c>
      <c r="X179" s="3">
        <f>3519.6+(1500.9-692.6)+(-1.794996+(-0.765459--0.353226))+0-600.4--0.306203999999939</f>
        <v>3725.5989749999999</v>
      </c>
      <c r="Y179" s="3">
        <f>4198.9+(1055-980.9)+(-2.141439+(-0.53805--0.500259))+0-604.8--0.308447999999939</f>
        <v>3666.3292179999999</v>
      </c>
      <c r="Z179" s="3">
        <f>5177.9+(1002.9-1365.3)+(-5.281458+(-1.022958--1.392606))+0-648.5--0.661470000000103</f>
        <v>4162.7496600000004</v>
      </c>
      <c r="AA179" s="3">
        <f>5121.2+(1083.6-1201.3)+(-7.835436+(-1.657908--1.837989))+0-651.5--0.996795000000038</f>
        <v>4345.3414400000001</v>
      </c>
      <c r="AB179" s="3">
        <f>5007.5+(1196.5-1097.9)+(5.10765+(1.22043-1.119858))+0-735.3-0.750006000000117</f>
        <v>4375.2582160000002</v>
      </c>
      <c r="AC179" s="3">
        <f>4851.3+(1433.5-895.1)+(-2.474163+(-0.731085--0.456501))+0-603.9--0.307988999999939</f>
        <v>4783.3592420000004</v>
      </c>
      <c r="AD179" s="2">
        <v>4200.3999999999996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4169.6+(2109.9-679.1)+(0+(0-0))+0-708-0</f>
        <v>4892.4000000000005</v>
      </c>
      <c r="G180" s="3">
        <f>3206.8+(2701.7-633.7)+(0+(0-0))+0-637.8-0</f>
        <v>4637</v>
      </c>
      <c r="H180" s="3">
        <f>2976.9+(2866.6-641.9)+(0+(0-0))+0-701.1-0</f>
        <v>4500.5</v>
      </c>
      <c r="I180" s="3">
        <f>2940.5+(2699.1-623.6)+(0+(0-0))+0-654.7-0</f>
        <v>4361.3</v>
      </c>
      <c r="J180" s="3">
        <f>3001.4+(2495.2-631.1)+(7.65357+(6.36276-1.609305))+0-638.7-1.62868499999991</f>
        <v>4237.5783400000009</v>
      </c>
      <c r="K180" s="3">
        <f>3071.5+(2269.4-628.7)+(3.13293+(2.314788-0.641274))+0-613-0.625260000000098</f>
        <v>4103.3811839999998</v>
      </c>
      <c r="L180" s="3">
        <f>3112.8+(1998.2-631.4)+(1.587528+(1.019082-0.322014))+0-616.9-0.314618999999937</f>
        <v>3864.6699770000009</v>
      </c>
      <c r="M180" s="3">
        <f>2894.8+(1975.4-610.6)+(-2.952696+(-2.014908--0.622812))+0-676.6--0.690132000000108</f>
        <v>3579.3453400000008</v>
      </c>
      <c r="N180" s="3">
        <f>3082.9+(1616-620.3)+(7.861395+(4.1208-1.581765))+0-612.1-1.56085499999991</f>
        <v>3475.3395750000009</v>
      </c>
      <c r="O180" s="3">
        <f>3143+(1601.4-649.9)+(0+(0-0))+0-641-0</f>
        <v>3453.5</v>
      </c>
      <c r="P180" s="3">
        <f>3357.7+(1431.4-758)+(1.712427+(0.730014-0.38658))+0-496.3-0.25311299999995</f>
        <v>3536.6027479999998</v>
      </c>
      <c r="Q180" s="3">
        <f>3884.1+(1369.1-913.9)+(1.980891+(0.698241-0.466089))+0-604.4-0.308243999999939</f>
        <v>3736.804799</v>
      </c>
      <c r="R180" s="3">
        <f>4279.6+(1253.9-824.3)+(-4.365192+(-1.278978--0.840786))+0-563.4--0.57466800000009</f>
        <v>4141.5712840000015</v>
      </c>
      <c r="S180" s="3">
        <f>4203.2+(1777.4-656.6)+(2.143632+(0.906474-0.334866))+0-722-0.368219999999927</f>
        <v>4604.3470200000002</v>
      </c>
      <c r="T180" s="3">
        <f>4599.6+(1745.1-688)+(0+(0-0))+0-711.9-0</f>
        <v>4944.8000000000011</v>
      </c>
      <c r="U180" s="3">
        <f>4650+(1648.5-711.6)+(11.8575+(4.203675-1.81458))+0-789.7-2.01373499999989</f>
        <v>4809.4328599999999</v>
      </c>
      <c r="V180" s="3">
        <f>4380.9+(1887.6-673.5)+(-8.937036+(-3.850704--1.37394))+0-560--1.14239999999998</f>
        <v>5024.7285999999995</v>
      </c>
      <c r="W180" s="3">
        <f>3473.1+(2358.5-652.4)+(-14.170248+(-9.62268--2.661792))+0-637.1--2.59936799999994</f>
        <v>4523.5682319999996</v>
      </c>
      <c r="X180" s="3">
        <f>3375.2+(1956.5-679)+(-8.60676+(-4.989075--1.73145))+0-502--1.28009999999993</f>
        <v>4140.1157149999999</v>
      </c>
      <c r="Y180" s="3">
        <f>3776.8+(1447.9-817.6)+(3.852336+(1.476858-0.833952))+0-540.6-0.551412000000086</f>
        <v>3870.4438300000002</v>
      </c>
      <c r="Z180" s="3">
        <f>4490.2+(1388.3-856.9)+(-4.580004+(-1.416066--0.874038))+0-673.8--0.687276000000107</f>
        <v>4343.3652439999987</v>
      </c>
      <c r="AA180" s="3">
        <f>4366.8+(1517.3-743.9)+(-4.454136+(-1.547646--0.758778))+0-662.4--0.675648000000106</f>
        <v>4473.2326440000006</v>
      </c>
      <c r="AB180" s="3">
        <f>4513+(1477.3-760.4)+(-4.60326+(-1.506846--0.775608))+0-695.9--0.709818000000111</f>
        <v>4529.3753200000001</v>
      </c>
      <c r="AC180" s="3">
        <f>3881+(2091.7-637.7)+(1.97931+(1.066767-0.325227))+0-691.8-0.35281799999993</f>
        <v>4645.5680319999992</v>
      </c>
      <c r="AD180" s="2">
        <v>4409.5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3104+(2633.9-594.7)+(-4.74912+(-4.029867--0.909891))+0-603.2--0.922896000000035</f>
        <v>4533.0537999999997</v>
      </c>
      <c r="G181" s="3">
        <f>2539.1+(3132.2-600.8)+(-5.179764+(-6.389688--1.225632))+0-712.3--1.45309199999997</f>
        <v>4349.3092719999995</v>
      </c>
      <c r="H181" s="3">
        <f>2372.1+(3267.4-623.3)+(-3.629313+(-4.999122--0.953649))+0-657.8--1.00643400000004</f>
        <v>4351.7316480000009</v>
      </c>
      <c r="I181" s="3">
        <f>2407.1+(3098.5-623.8)+(-1.227621+(-1.580235--0.318138))+0-604.9--0.308498999999939</f>
        <v>4274.7187809999996</v>
      </c>
      <c r="J181" s="3">
        <f>2356+(3103.7-610.5)+(4.80624+(6.331548-1.24542))+0-712.3-1.45309199999997</f>
        <v>4145.3392759999997</v>
      </c>
      <c r="K181" s="3">
        <f>2451.4+(2781.3-603.4)+(1.250214+(1.418463-0.307734))+0-644.1-0.328490999999935</f>
        <v>3987.2324520000002</v>
      </c>
      <c r="L181" s="3">
        <f>2524.1+(2637.9-591.7)+(-5.149164+(-5.381316--1.207068))+0-734.7--1.49878799999997</f>
        <v>3827.7753760000005</v>
      </c>
      <c r="M181" s="3">
        <f>2586.2+(2040.6-613.4)+(-1.318962+(-1.040706--0.312834))+0-508.6--0.259385999999948</f>
        <v>3503.0125519999992</v>
      </c>
      <c r="N181" s="3">
        <f>2857.6+(1819.6-653)+(0+(0-0))+0-668.8-0</f>
        <v>3355.3999999999996</v>
      </c>
      <c r="O181" s="3">
        <f>2721.1+(1892.5-638)+(-9.714327+(-6.756225--2.27766))+0-632.9--2.25945300000001</f>
        <v>3330.7665609999999</v>
      </c>
      <c r="P181" s="3">
        <f>3162.8+(1674.8-676.3)+(0+(0-0))+0-617.9-0</f>
        <v>3543.4</v>
      </c>
      <c r="Q181" s="3">
        <f>3308.4+(1689.8-689)+(3.374568+(1.723596-0.70278))+0-677.8-0.691356000000108</f>
        <v>3635.1040279999997</v>
      </c>
      <c r="R181" s="3">
        <f>3787.5+(1465.3-736.6)+(0+(0-0))+0-617.2-0</f>
        <v>3899</v>
      </c>
      <c r="S181" s="3">
        <f>3835.5+(1896.7-641.7)+(-1.956105+(-0.967317--0.327267))+0-663.3--0.338282999999933</f>
        <v>4424.9421279999997</v>
      </c>
      <c r="T181" s="3">
        <f>4176.2+(1916.7-708.3)+(-2.129862+(-0.977517--0.361233))+0-678.3--0.345932999999931</f>
        <v>4703.8997869999994</v>
      </c>
      <c r="U181" s="3">
        <f>4245.2+(1966.3-712.3)+(0+(0-0))+0-719.5-0</f>
        <v>4779.7</v>
      </c>
      <c r="V181" s="3">
        <f>3898.9+(2094.2-686.9)+(-5.965317+(-3.204126--1.050957))+0-650.8--0.995724000000038</f>
        <v>4648.2772379999997</v>
      </c>
      <c r="W181" s="3">
        <f>3315.1+(2317.3-666.4)+(-1.690701+(-1.181823--0.339864))+0-694.1--0.35399099999993</f>
        <v>4269.7213309999997</v>
      </c>
      <c r="X181" s="3">
        <f>3321.3+(1870.2-759.8)+(1.693863+(0.953802-0.387498))+0-685.1-0.349400999999931</f>
        <v>3748.5107660000012</v>
      </c>
      <c r="Y181" s="3">
        <f>3580.1+(1516.1-836.5)+(-1.825851+(-0.773211--0.426615))+0-558.7--0.284936999999943</f>
        <v>3699.11249</v>
      </c>
      <c r="Z181" s="3">
        <f>4636.9+(1127.7-860.6)+(-4.729638+(-1.150254--0.877812))+0-727.1--0.741642000000116</f>
        <v>4172.6395619999994</v>
      </c>
      <c r="AA181" s="3">
        <f>4677.3+(1087.9-794)+(-4.770846+(-1.109658--0.80988))+0-666.5--0.679830000000106</f>
        <v>4300.3092060000008</v>
      </c>
      <c r="AB181" s="3">
        <f>5155.7+(695-924.7)+(0+(0-0))+0-661.1-0</f>
        <v>4264.8999999999996</v>
      </c>
      <c r="AC181" s="3">
        <f>5163.1+(786.6-799.5)+(-10.532724+(-1.604664--1.63098))+0-671.2--1.36924799999997</f>
        <v>4469.8628400000007</v>
      </c>
      <c r="AD181" s="2">
        <v>4210.1000000000004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4215+(1579-637.7)+(-12.8979+(-4.83174--1.951362))+0-623.7--1.90852200000007</f>
        <v>4518.7302440000003</v>
      </c>
      <c r="G182" s="3">
        <f>3417.5+(2372.4-637.4)+(-8.714625+(-6.04962--1.62537))+0-671--1.7110499999999</f>
        <v>4470.0721750000002</v>
      </c>
      <c r="H182" s="3">
        <f>3111.6+(2727.1-620.9)+(-4.760748+(-4.172463--0.949977))+0-742.4--1.13587200000004</f>
        <v>4468.5526379999992</v>
      </c>
      <c r="I182" s="3">
        <f>2840.7+(2699.4-598.3)+(-10.141299+(-9.636858--2.135931))+0-615.6--2.19769200000001</f>
        <v>4310.7554659999996</v>
      </c>
      <c r="J182" s="3">
        <f>2933.7+(2533.9-578.5)+(2.992374+(2.584578-0.59007))+0-704.4-0.718488000000112</f>
        <v>4188.9683940000004</v>
      </c>
      <c r="K182" s="3">
        <f>2858.5+(2409.4-576.7)+(-4.373505+(-3.686382--0.882351))+0-650.9--0.995877000000038</f>
        <v>4034.1183409999994</v>
      </c>
      <c r="L182" s="3">
        <f>2721.4+(2263.4-576)+(-8.327484+(-6.926004--1.76256))+0-715.8--2.19034800000008</f>
        <v>3681.6994199999999</v>
      </c>
      <c r="M182" s="3">
        <f>2800+(1701.9-551.9)+(2.856+(1.735938-0.562938))+0-613.3-0.625566000000098</f>
        <v>3340.1034340000001</v>
      </c>
      <c r="N182" s="3">
        <f>2705.2+(1714.1-564)+(2.759304+(1.748382-0.57528))+0-677.7-0.691254000000108</f>
        <v>3180.8411519999991</v>
      </c>
      <c r="O182" s="3">
        <f>2790.7+(1594.4-601.6)+(1.423257+(0.813144-0.306816))+0-533.9-0.272288999999946</f>
        <v>3251.2572959999998</v>
      </c>
      <c r="P182" s="3">
        <f>2969.1+(1440.3-654)+(4.542723+(2.203659-1.00062))+0-553.5-0.846855000000032</f>
        <v>3206.7989069999994</v>
      </c>
      <c r="Q182" s="3">
        <f>3294.4+(1381.7-733.4)+(3.360288+(1.409334-0.748068))+0-536.5-0.547230000000086</f>
        <v>3409.6743240000001</v>
      </c>
      <c r="R182" s="3">
        <f>4189.9+(1010.1-773)+(-2.136849+(-0.515151--0.39423))+0-543.7--0.277286999999945</f>
        <v>3881.3195169999999</v>
      </c>
      <c r="S182" s="3">
        <f>4627.1+(1083.4-707.1)+(-7.079463+(-1.657602--1.081863))+0-648.6--0.992358000000037</f>
        <v>4348.1371560000007</v>
      </c>
      <c r="T182" s="3">
        <f>5152+(841.7-772.2)+(-2.62752+(-0.429267--0.393822))+0-504.1--0.257090999999949</f>
        <v>4714.9941259999996</v>
      </c>
      <c r="U182" s="3">
        <f>5516.1+(807.4-926.2)+(2.813211+(0.411774-0.472362))+0-587.3-0.29952299999994</f>
        <v>4812.4531000000006</v>
      </c>
      <c r="V182" s="3">
        <f>4864.2+(1134.4-753.6)+(-2.480742+(-0.578544--0.384336))+0-582.3--0.296972999999941</f>
        <v>4660.3220229999997</v>
      </c>
      <c r="W182" s="3">
        <f>3752.3+(1775.2-713.3)+(-1.913673+(-0.905352--0.363783))+0-551.1--0.281060999999944</f>
        <v>4260.925819</v>
      </c>
      <c r="X182" s="3">
        <f>3219.2+(1748.8-676.3)+(-6.567168+(-3.567552--1.379652))+0-536.7--1.09486799999998</f>
        <v>3747.3397999999997</v>
      </c>
      <c r="Y182" s="3">
        <f>3787.6+(1152-755)+(1.931676+(0.58752-0.38505))+0-487-0.248369999999951</f>
        <v>3699.4857760000009</v>
      </c>
      <c r="Z182" s="3">
        <f>4610+(1012.7-945.1)+(-9.4044+(-2.065908--1.928004))+0-499.2--1.01836799999998</f>
        <v>4169.876064000001</v>
      </c>
      <c r="AA182" s="3">
        <f>4367.6+(1194.4-748.1)+(-13.364856+(-3.654864--2.289186))+0-485.8--1.48654800000006</f>
        <v>4314.856014</v>
      </c>
      <c r="AB182" s="3">
        <f>3975.8+(1571.5-676.2)+(-6.082974+(-2.404395--1.034586))+0-534.3--0.817479000000031</f>
        <v>4330.1646960000007</v>
      </c>
      <c r="AC182" s="3">
        <f>3879.4+(1858-647.6)+(-1.978494+(-0.94758--0.330276))+0-580.6--0.296105999999941</f>
        <v>4506.9003079999993</v>
      </c>
      <c r="AD182" s="2">
        <v>4184.5999999999995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3416.6+(2435.4-624.3)+(-6.969864+(-4.968216--1.273572))+0-628--1.28111999999997</f>
        <v>4590.3166119999996</v>
      </c>
      <c r="G183" s="3">
        <f>3114.1+(2547.7-602)+(-12.705528+(-10.394616--2.45616))+0-525.3--2.14322399999995</f>
        <v>4515.9992399999992</v>
      </c>
      <c r="H183" s="3">
        <f>2984.4+(2613.8-611)+(-4.566132+(-3.999114--0.93483))+0-617.6--0.944928000000036</f>
        <v>4362.9145120000003</v>
      </c>
      <c r="I183" s="3">
        <f>2874.7+(2457.5-585.5)+(-1.466097+(-1.253325--0.298605))+0-596.7--0.30431699999994</f>
        <v>4147.8834999999999</v>
      </c>
      <c r="J183" s="3">
        <f>2861.5+(2377.6-573.9)+(-1.459365+(-1.212576--0.292689))+0-594.5--0.30319499999994</f>
        <v>4068.6239430000001</v>
      </c>
      <c r="K183" s="3">
        <f>2871.1+(2268-556.8)+(-1.464261+(-1.15668--0.283968))+0-658.3--0.335732999999933</f>
        <v>3921.9987599999995</v>
      </c>
      <c r="L183" s="3">
        <f>2846.2+(1961.9-543.7)+(-1.451562+(-1.000569--0.277287))+0-538.3--0.274532999999945</f>
        <v>3724.1996889999991</v>
      </c>
      <c r="M183" s="3">
        <f>2873+(1708.9-550.7)+(2.93046+(1.743078-0.561714))+0-637.1-0.649842000000102</f>
        <v>3397.5619819999997</v>
      </c>
      <c r="N183" s="3">
        <f>2876.5+(1478.9-594.6)+(4.401045+(2.262717-0.909738))+0-513.8-0.78611400000003</f>
        <v>3251.9679099999998</v>
      </c>
      <c r="O183" s="3">
        <f>3116.5+(1356.8-654.2)+(-3.17883+(-1.383936--0.667284))+0-466.7--0.476034000000074</f>
        <v>3348.9805520000004</v>
      </c>
      <c r="P183" s="3">
        <f>3276.7+(1275.9-668.2)+(0+(0-0))+0-519.3-0</f>
        <v>3365.0999999999995</v>
      </c>
      <c r="Q183" s="3">
        <f>3994.8+(1084-870)+(2.037348+(0.55284-0.4437))+0-552.2-0.281621999999944</f>
        <v>3658.4648660000007</v>
      </c>
      <c r="R183" s="3">
        <f>4491+(876.9-977.8)+(2.29041+(0.447219-0.498678))+0-502.3-0.256172999999949</f>
        <v>3889.7827780000007</v>
      </c>
      <c r="S183" s="3">
        <f>4784.2+(890.8-819.4)+(-2.439942+(-0.454308--0.417894))+0-514.9--0.262598999999948</f>
        <v>4338.4862429999994</v>
      </c>
      <c r="T183" s="3">
        <f>5447.8+(783-975.8)+(-2.778378+(-0.39933--0.497658))+0-527.6--0.269075999999946</f>
        <v>4724.9890259999993</v>
      </c>
      <c r="U183" s="3">
        <f>5524.3+(819.5-952.9)+(-2.817393+(-0.417945--0.485979))+0-613.9--0.313088999999938</f>
        <v>4774.5637300000008</v>
      </c>
      <c r="V183" s="3">
        <f>4633.4+(1171.7-701.7)+(-11.81517+(-2.987835--1.789335))+0-597.8--1.52438999999991</f>
        <v>4494.1107199999988</v>
      </c>
      <c r="W183" s="3">
        <f>3558.5+(1856.3-678.8)+(-7.25934+(-3.786852--1.384752))+0-564.9--1.15239599999998</f>
        <v>4162.5909560000009</v>
      </c>
      <c r="X183" s="3">
        <f>3124.5+(1866.9-663.9)+(-3.18699+(-1.904238--0.677178))+0-627.5--0.6400500000001</f>
        <v>3696.2259999999997</v>
      </c>
      <c r="Y183" s="3">
        <f>3658.5+(1243-720.3)+(1.865835+(0.63393-0.367353))+0-553-0.282029999999944</f>
        <v>3630.0503819999999</v>
      </c>
      <c r="Z183" s="3">
        <f>4561.2+(958.7-814.3)+(-4.652424+(-0.977874--0.830586))+0-594.9--0.606798000000095</f>
        <v>4106.5070860000005</v>
      </c>
      <c r="AA183" s="3">
        <f>4268.5+(1324.3-731.5)+(-10.884675+(-3.376965--1.865325))+0-588.9--1.50169499999991</f>
        <v>4261.5053800000005</v>
      </c>
      <c r="AB183" s="3">
        <f>3660.6+(1989.9-688.7)+(-7.467624+(-4.059396--1.404948))+0-605.8--1.23583199999997</f>
        <v>4347.1137600000002</v>
      </c>
      <c r="AC183" s="3">
        <f>3306+(2515.7-707.6)+(-6.74424+(-5.132028--1.443504))+0-647.4--1.32069599999997</f>
        <v>4457.5879320000004</v>
      </c>
      <c r="AD183" s="2">
        <v>4263.5999999999995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2942.2+(2792.6-695.7)+(-1.500522+(-1.424226--0.354807))+0-502.8--0.256427999999949</f>
        <v>4533.9864869999992</v>
      </c>
      <c r="G184" s="3">
        <f>2826.6+(2975.5-692.3)+(-7.20783+(-7.587525--1.765365))+0-680.9--1.7362949999999</f>
        <v>4417.6063049999993</v>
      </c>
      <c r="H184" s="3">
        <f>2786.7+(2717.7-676.2)+(-8.527302+(-8.316162--2.069172))+0-542.7--1.66066200000006</f>
        <v>4272.3863700000002</v>
      </c>
      <c r="I184" s="3">
        <f>2723.8+(2777.2-674.3)+(-9.723966+(-9.914604--2.407251))+0-690.2--2.46401400000001</f>
        <v>4121.7326949999997</v>
      </c>
      <c r="J184" s="3">
        <f>2720.3+(2438.1-646.9)+(-5.549412+(-4.973724--1.319676))+0-475.5--0.970019999999979</f>
        <v>4027.7665600000005</v>
      </c>
      <c r="K184" s="3">
        <f>2776.6+(2347.8-639.7)+(4.248198+(3.592134-0.978741))+0-602-0.921060000000035</f>
        <v>3888.6405309999996</v>
      </c>
      <c r="L184" s="3">
        <f>2771+(2204.6-646.8)+(-5.65284+(-4.497384--1.319472))+0-562.9--1.14831599999998</f>
        <v>3758.217564</v>
      </c>
      <c r="M184" s="3">
        <f>2817.6+(1983.7-651.3)+(0+(0-0))+0-661.5-0</f>
        <v>3488.5</v>
      </c>
      <c r="N184" s="3">
        <f>2883.6+(1667.3-617.4)+(0+(0-0))+0-590.2-0</f>
        <v>3343.3</v>
      </c>
      <c r="O184" s="3">
        <f>2930.1+(1641.9-679.1)+(2.988702+(1.674738-0.692682))+0-572.3-0.583746000000091</f>
        <v>3323.9870119999996</v>
      </c>
      <c r="P184" s="3">
        <f>3064.3+(1660.6-630.4)+(3.125586+(1.693812-0.643008))+0-645.2-0.658104000000103</f>
        <v>3452.8182859999997</v>
      </c>
      <c r="Q184" s="3">
        <f>3643.3+(1192.6-698.5)+(5.574249+(1.824678-1.068705))+0-506.3-0.774639000000029</f>
        <v>3636.6555829999988</v>
      </c>
      <c r="R184" s="3">
        <f>4747.6+(799.7-902.2)+(7.263828+(1.223541-1.380366))+0-689.7-1.05524100000004</f>
        <v>3961.4517620000006</v>
      </c>
      <c r="S184" s="3">
        <f>4700.7+(1053.4-719.9)+(-4.794714+(-1.074468--0.734298))+0-671.5--0.684930000000107</f>
        <v>4358.2500460000001</v>
      </c>
      <c r="T184" s="3">
        <f>5163.2+(952-762.6)+(0+(0-0))+0-691.9-0</f>
        <v>4660.7</v>
      </c>
      <c r="U184" s="3">
        <f>4927.5+(1121.8-732.9)+(-5.02605+(-1.144236--0.747558))+0-654.4--0.667488000000104</f>
        <v>4657.2447600000005</v>
      </c>
      <c r="V184" s="3">
        <f>4517.9+(1472.7-716.6)+(-9.216516+(-3.004308--1.461864))+0-677.7--1.38250799999997</f>
        <v>4586.9235479999998</v>
      </c>
      <c r="W184" s="3">
        <f>3731.6+(1790-685.4)+(-9.51558+(-4.5645--1.74777))+0-651--1.66004999999991</f>
        <v>4174.5277399999995</v>
      </c>
      <c r="X184" s="3">
        <f>3043.3+(1890.8-650.8)+(-3.104166+(-1.928616--0.663816))+0-603.7--0.615774000000096</f>
        <v>3675.8468080000002</v>
      </c>
      <c r="Y184" s="3">
        <f>3765.8+(1384.1-707.2)+(1.920558+(0.705891-0.360672))+0-700.4-0.357203999999929</f>
        <v>3744.2085729999994</v>
      </c>
      <c r="Z184" s="3">
        <f>4240.3+(1260.6-715.1)+(-10.812765+(-3.21453--1.823505))+0-573.8--1.46318999999992</f>
        <v>4201.2593999999999</v>
      </c>
      <c r="AA184" s="3">
        <f>4229.1+(1325-519.7)+(-4.313682+(-1.3515--0.530094))+0-706.5--0.720630000000113</f>
        <v>4323.4855420000004</v>
      </c>
      <c r="AB184" s="3">
        <f>4151.7+(1445.7-618.2)+(-6.352101+(-2.211921--0.945846))+0-608.5--0.931005000000035</f>
        <v>4364.0128290000002</v>
      </c>
      <c r="AC184" s="3">
        <f>4344.8+(1518.2-678.8)+(-2.215848+(-0.774282--0.346188))+0-694.1--0.35399099999993</f>
        <v>4487.8100490000006</v>
      </c>
      <c r="AD184" s="2">
        <v>4338.5999999999995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4171.5+(1727.6-622.6)+(-2.127465+(-0.881076--0.317526))+0-639.7--0.326246999999935</f>
        <v>4634.4352319999998</v>
      </c>
      <c r="G185" s="3">
        <f>3171+(2559.3-601.9)+(0+(0-0))+0-629.5-0</f>
        <v>4498.8999999999996</v>
      </c>
      <c r="H185" s="3">
        <f>2955.6+(2579.9-596.3)+(-6.029424+(-5.262996--1.216452))+0-578--1.17911999999997</f>
        <v>4352.3031519999995</v>
      </c>
      <c r="I185" s="3">
        <f>2917.5+(2417.2-600.1)+(-1.487925+(-1.232772--0.306051))+0-516.1--0.263210999999948</f>
        <v>4216.3485649999993</v>
      </c>
      <c r="J185" s="3">
        <f>2983.9+(2203.2-587.9)+(0+(0-0))+0-514.3-0</f>
        <v>4084.8999999999996</v>
      </c>
      <c r="K185" s="3">
        <f>3000.3+(2022-564.5)+(-6.120612+(-4.12488--1.15158))+0-501.6--1.02326399999998</f>
        <v>3948.1293519999999</v>
      </c>
      <c r="L185" s="3">
        <f>2947.1+(1933.5-527.2)+(-7.515105+(-4.930425--1.34436))+0-569--1.45094999999992</f>
        <v>3774.7497799999996</v>
      </c>
      <c r="M185" s="3">
        <f>2995.6+(1673.4-562.4)+(-1.527756+(-0.853434--0.286824))+0-662.9--0.338078999999933</f>
        <v>3441.9437130000001</v>
      </c>
      <c r="N185" s="3">
        <f>3022.9+(1424.2-605.9)+(3.083358+(1.452684-0.618018))+0-528-0.538560000000084</f>
        <v>3316.5794640000004</v>
      </c>
      <c r="O185" s="3">
        <f>2968.3+(1659.5-592.4)+(0+(0-0))+0-656-0</f>
        <v>3379.4</v>
      </c>
      <c r="P185" s="3">
        <f>3168.1+(1457.7-554.6)+(0+(0-0))+0-540.7-0</f>
        <v>3530.5</v>
      </c>
      <c r="Q185" s="3">
        <f>3777.5+(1219.7-569.7)+(-3.85305+(-1.244094--0.581094))+0-591.2--0.603024000000094</f>
        <v>3832.386974</v>
      </c>
      <c r="R185" s="3">
        <f>4088.1+(1339.3-619.5)+(0+(0-0))+0-658.1-0</f>
        <v>4149.7999999999993</v>
      </c>
      <c r="S185" s="3">
        <f>4385.4+(1272.4-638.7)+(0+(0-0))+0-601-0</f>
        <v>4418.0999999999995</v>
      </c>
      <c r="T185" s="3">
        <f>5008.8+(1103.4-731)+(0+(0-0))+0-663-0</f>
        <v>4718.2000000000007</v>
      </c>
      <c r="U185" s="3">
        <f>4611+(1485.5-672.6)+(0+(0-0))+0-669.5-0</f>
        <v>4754.3999999999996</v>
      </c>
      <c r="V185" s="3">
        <f>3661.8+(2115.9-636.7)+(0+(0-0))+0-539.4-0</f>
        <v>4601.6000000000004</v>
      </c>
      <c r="W185" s="3">
        <f>3509.4+(1974.3-623.3)+(0+(0-0))+0-680-0</f>
        <v>4180.3999999999996</v>
      </c>
      <c r="X185" s="3">
        <f>3187.2+(1792.8-669.3)+(0+(0-0))+0-623.2-0</f>
        <v>3687.5</v>
      </c>
      <c r="Y185" s="3">
        <f>4078.4+(1213.3-819.5)+(0+(0-0))+0-687.6-0</f>
        <v>3784.6</v>
      </c>
      <c r="Z185" s="3">
        <f>3868.6+(1587.3-653.1)+(0+(0-0))+0-580.8-0</f>
        <v>4222</v>
      </c>
      <c r="AA185" s="3">
        <f>4260.3+(1419-817.8)+(0+(0-0))+0-565.8-0</f>
        <v>4295.7</v>
      </c>
      <c r="AB185" s="3">
        <f>4594.4+(1224.3-887.3)+(0+(0-0))+0-597.3-0</f>
        <v>4334.0999999999995</v>
      </c>
      <c r="AC185" s="3">
        <f>4353.4+(1414.7-786.4)+(0+(0-0))+0-558-0</f>
        <v>4423.7</v>
      </c>
      <c r="AD185" s="2">
        <v>4094.1000000000004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3918.3+(1813.6-691.8)+(-3.996666+(-1.849872--0.705636))+0-565.4--0.57670800000009</f>
        <v>4470.1358060000011</v>
      </c>
      <c r="G186" s="3">
        <f>3545+(2064.7-616.6)+(-9.03975+(-5.264985--1.57233))+0-591.2--1.50755999999991</f>
        <v>4390.6751550000008</v>
      </c>
      <c r="H186" s="3">
        <f>3173.9+(2254.1-596.1)+(-1.618689+(-1.149591--0.304011))+0-630.7--0.321656999999936</f>
        <v>4199.0573879999993</v>
      </c>
      <c r="I186" s="3">
        <f>2891.4+(2425.1-569.8)+(-2.949228+(-2.473602--0.581196))+0-679.4--0.692988000000108</f>
        <v>4063.1513539999996</v>
      </c>
      <c r="J186" s="3">
        <f>2739.5+(2430.4-565.7)+(1.397145+(1.239504-0.288507))+0-662.5-0.337874999999933</f>
        <v>3943.7102669999999</v>
      </c>
      <c r="K186" s="3">
        <f>2509.8+(2513.4-557)+(-7.679988+(-7.691004--1.70442))+0-695.7--2.12884200000008</f>
        <v>3758.9622700000009</v>
      </c>
      <c r="L186" s="3">
        <f>2504.8+(2145.9-551)+(-1.277448+(-1.094409--0.28101))+0-655.6--0.334355999999933</f>
        <v>3442.3435090000003</v>
      </c>
      <c r="M186" s="3">
        <f>2481.5+(2041.8-558.8)+(1.265565+(1.041318-0.284988))+0-697.7-0.355826999999929</f>
        <v>3268.4660680000002</v>
      </c>
      <c r="N186" s="3">
        <f>2491.6+(1809.9-582.8)+(-3.812148+(-2.769147--0.891684))+0-506.7--0.775251000000029</f>
        <v>3207.0856400000002</v>
      </c>
      <c r="O186" s="3">
        <f>2504.8+(1845-592)+(-7.664688+(-5.6457--1.81152))+0-544.2--1.66525200000006</f>
        <v>3203.766384</v>
      </c>
      <c r="P186" s="3">
        <f>2721+(1852.1-671.1)+(-5.55084+(-3.778284--1.369044))+0-528.7--1.07854799999998</f>
        <v>3366.4184680000003</v>
      </c>
      <c r="Q186" s="3">
        <f>3093.1+(1723-686.3)+(6.309924+(3.51492-1.400052))+0-498.1-1.01612399999998</f>
        <v>3639.1086680000003</v>
      </c>
      <c r="R186" s="3">
        <f>3906.6+(1389.8-730.5)+(1.992366+(0.708798-0.372555))+0-524.4-0.267443999999947</f>
        <v>4043.5611649999996</v>
      </c>
      <c r="S186" s="3">
        <f>4113.7+(1525.9-717.4)+(2.097987+(0.778209-0.365874))+0-554.7-0.282896999999944</f>
        <v>4369.727425</v>
      </c>
      <c r="T186" s="3">
        <f>4129.9+(1742.9-695.6)+(-8.424996+(-3.555516--1.419024))+0-599.8--1.22359199999997</f>
        <v>4568.0621039999996</v>
      </c>
      <c r="U186" s="3">
        <f>3640.6+(2019.7-674.4)+(-7.426824+(-4.120188--1.375776))+0-625.8--1.27663199999997</f>
        <v>4351.2053959999994</v>
      </c>
      <c r="V186" s="3">
        <f>3048.2+(2223.2-646.8)+(-10.882074+(-7.936824--2.309076))+0-636.4--2.27194800000001</f>
        <v>3973.9621259999994</v>
      </c>
      <c r="W186" s="3">
        <f>3012.1+(1708.9-654.9)+(-1.536171+(-0.871539--0.333999))+0-560.9--0.286058999999943</f>
        <v>3503.4123479999998</v>
      </c>
      <c r="X186" s="3">
        <f>3788.6+(1165.2-887.9)+(-3.864372+(-1.188504--0.905658))+0-516.1--0.526422000000082</f>
        <v>3546.179204</v>
      </c>
      <c r="Y186" s="3">
        <f>4385+(1192.9-945.6)+(-6.70905+(-1.825137--1.446768))+0-640.4--0.979812000000037</f>
        <v>3985.7923929999997</v>
      </c>
      <c r="Z186" s="3">
        <f>4322+(1279.7-854.7)+(-8.81688+(-2.610588--1.743588))+0-589.4--1.20237599999997</f>
        <v>4149.118496000001</v>
      </c>
      <c r="AA186" s="3">
        <f>4358.9+(1360.8-790.1)+(-8.892156+(-2.776032--1.611804))+0-678.1--1.38332399999997</f>
        <v>4242.826939999999</v>
      </c>
      <c r="AB186" s="3">
        <f>3975.4+(1613.8-720.2)+(-4.054908+(-1.646076--0.734604))+0-628.2--0.6407640000001</f>
        <v>4236.4743840000001</v>
      </c>
      <c r="AC186" s="3">
        <f>3746.6+(2031.9-687.4)+(-11.464596+(-6.217614--2.103444))+0-663.6--2.03061600000008</f>
        <v>4413.9518500000004</v>
      </c>
      <c r="AD186" s="2">
        <v>3930.2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3447.7+(2149.1-657.9)+(0+(0-0))+0-569-0</f>
        <v>4369.8999999999996</v>
      </c>
      <c r="G187" s="3">
        <f>2857.5+(2646.6-623.8)+(-4.371975+(-4.049298--0.954414))+0-621.9--0.951507000000036</f>
        <v>4251.8846480000002</v>
      </c>
      <c r="H187" s="3">
        <f>2628.3+(2825.8-623.3)+(-2.680866+(-2.882316--0.635766))+0-702.7--0.716754000000112</f>
        <v>4123.889338</v>
      </c>
      <c r="I187" s="3">
        <f>2559.7+(2694.6-623.6)+(-3.916341+(-4.122738--0.954108))+0-637.7--0.975681000000037</f>
        <v>3986.8907099999997</v>
      </c>
      <c r="J187" s="3">
        <f>2669.1+(2493.7-614)+(0+(0-0))+0-702.1-0</f>
        <v>3846.6999999999994</v>
      </c>
      <c r="K187" s="3">
        <f>2576.4+(2325.6-596.8)+(-2.627928+(-2.372112--0.608736))+0-637.5--0.650250000000102</f>
        <v>3663.9589460000002</v>
      </c>
      <c r="L187" s="3">
        <f>2573.1+(1914.5-595.9)+(0+(0-0))+0-663.8-0</f>
        <v>3227.8999999999996</v>
      </c>
      <c r="M187" s="3">
        <f>2902+(1486.9-777.7)+(-1.48002+(-0.758319--0.396627))+0-560.5--0.285854999999943</f>
        <v>3049.144143</v>
      </c>
      <c r="N187" s="3">
        <f>3008.8+(1675.2-829.2)+(-3.068976+(-1.708704--0.845784))+0-693.8--0.707676000000111</f>
        <v>3157.7757799999999</v>
      </c>
      <c r="O187" s="3">
        <f>3188.8+(1625.5-977.3)+(3.252576+(1.65801-0.996846))+0-513.3-0.523566000000082</f>
        <v>3327.0901739999995</v>
      </c>
      <c r="P187" s="3">
        <f>3631+(1549.3-1073.1)+(-1.85181+(-0.790143--0.547281))+0-594.1--0.30299099999994</f>
        <v>3511.3083189999998</v>
      </c>
      <c r="Q187" s="3">
        <f>4290.8+(1302.9-1215.5)+(-2.188308+(-0.664479--0.619905))+0-548.5--0.279734999999944</f>
        <v>3827.7468530000006</v>
      </c>
      <c r="R187" s="3">
        <f>4649.9+(1260.6-1036.9)+(-4.742898+(-1.285812--1.057638))+0-641.2--0.654024000000102</f>
        <v>4228.0829519999998</v>
      </c>
      <c r="S187" s="3">
        <f>4820.2+(1298.8-981.4)+(-7.374906+(-1.987164--1.501542))+0-490.2--0.750006000000028</f>
        <v>4640.2894779999997</v>
      </c>
      <c r="T187" s="3">
        <f>4973.8+(1430-934.7)+(-7.609914+(-2.1879--1.430091))+0-669.3--1.02402900000004</f>
        <v>4792.456306</v>
      </c>
      <c r="U187" s="3">
        <f>4619.4+(1580.7-920.7)+(-7.067682+(-2.418471--1.408671))+0-572.4--0.875772000000033</f>
        <v>4699.7982900000006</v>
      </c>
      <c r="V187" s="3">
        <f>3802.7+(2021.7-839.6)+(-9.696885+(-5.155335--2.14098))+0-645.1--1.64500499999991</f>
        <v>4328.6337649999996</v>
      </c>
      <c r="W187" s="3">
        <f>3188.6+(1934.5-777.6)+(-4.878558+(-2.959785--1.189728))+0-557.5--0.852975000000032</f>
        <v>3782.2043600000002</v>
      </c>
      <c r="X187" s="3">
        <f>4325.7+(1326.9-1219)+(0+(0-0))+0-632.9-0</f>
        <v>3800.7000000000003</v>
      </c>
      <c r="Y187" s="3">
        <f>4684.8+(1282.2-1120.9)+(-11.94624+(-3.26961--2.858295))+0-562.2--1.43360999999992</f>
        <v>4272.976055000001</v>
      </c>
      <c r="Z187" s="3">
        <f>4337.2+(1389.1-786.3)+(-8.847888+(-2.833764--1.604052))+0-642.3--1.31029199999997</f>
        <v>4288.9326920000003</v>
      </c>
      <c r="AA187" s="3">
        <f>3888.1+(1796-679.8)+(-7.931724+(-3.66384--1.386792))+0-613.4--1.25133599999997</f>
        <v>4381.9425640000009</v>
      </c>
      <c r="AB187" s="3">
        <f>3858.7+(1892.7-680.8)+(-7.871748+(-3.861108--1.388832))+0-582.2--1.18768799999997</f>
        <v>4479.2436640000005</v>
      </c>
      <c r="AC187" s="3">
        <f>3728+(2132.5-684.9)+(-5.70384+(-3.262725--1.047897))+0-588.2--0.899946000000034</f>
        <v>4580.3812780000007</v>
      </c>
      <c r="AD187" s="2">
        <v>4318.5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3179.2+(2543.9-658.7)+(-1.621392+(-1.297389--0.335937))+0-542.9--0.276878999999945</f>
        <v>4519.1940350000004</v>
      </c>
      <c r="G188" s="3">
        <f>2903.3+(2807.6-647.9)+(-5.922732+(-5.727504--1.321716))+0-680.2--1.38760799999997</f>
        <v>4373.8590880000002</v>
      </c>
      <c r="H188" s="3">
        <f>2886.3+(2598.3-651.8)+(-4.416039+(-3.975399--0.997254))+0-581--0.888930000000034</f>
        <v>4245.2947460000005</v>
      </c>
      <c r="I188" s="3">
        <f>2898.3+(2533.1-644)+(-4.434399+(-3.875643--0.98532))+0-676.8--1.03550400000004</f>
        <v>4104.3107819999996</v>
      </c>
      <c r="J188" s="3">
        <f>2835.9+(2259.9-638.9)+(2.892618+(2.305098-0.651678))+0-499.3-0.50928600000008</f>
        <v>3961.6367519999999</v>
      </c>
      <c r="K188" s="3">
        <f>2733.1+(2349.2-636.2)+(-4.181643+(-3.594276--0.973386))+0-674.3--1.03167900000004</f>
        <v>3766.0291459999994</v>
      </c>
      <c r="L188" s="3">
        <f>2837.3+(1631.7-661.1)+(2.894046+(1.664334-0.674322))+0-511.3-0.521526000000082</f>
        <v>3299.962532</v>
      </c>
      <c r="M188" s="3">
        <f>2935.4+(1458.8-644.9)+(2.994108+(1.487976-0.657798))+0-649.7-0.662694000000104</f>
        <v>3102.7615920000003</v>
      </c>
      <c r="N188" s="3">
        <f>3029.5+(1403.6-675.5)+(1.545045+(0.715836-0.344505))+0-561.7-0.286466999999943</f>
        <v>3197.5299089999999</v>
      </c>
      <c r="O188" s="3">
        <f>3244.2+(1466.2-703.4)+(-1.654542+(-0.747762--0.358734))+0-482.7--0.246176999999951</f>
        <v>3522.5026070000004</v>
      </c>
      <c r="P188" s="3">
        <f>3725.1+(1319.6-928.4)+(-5.699403+(-2.018988--1.420452))+0-557.7--0.853281000000032</f>
        <v>3553.1553420000005</v>
      </c>
      <c r="Q188" s="3">
        <f>4299.5+(1262.5-1328.8)+(-2.192745+(-0.643875--0.677688))+0-439.7--0.224246999999955</f>
        <v>3791.5653149999998</v>
      </c>
      <c r="R188" s="3">
        <f>4681.5+(1201.4-889.9)+(7.162695+(1.838142-1.361547))+0-657.1-1.00536300000004</f>
        <v>4342.5339269999995</v>
      </c>
      <c r="S188" s="3">
        <f>5022.6+(1336.8-1087.6)+(5.123052+(1.363536-1.109352))+0-488.8-0.498576000000078</f>
        <v>4787.8786600000003</v>
      </c>
      <c r="T188" s="3">
        <f>5039.2+(1478.5-943.5)+(-5.139984+(-1.50807--0.96237))+0-624.4--0.636888000000099</f>
        <v>4944.7512040000001</v>
      </c>
      <c r="U188" s="3">
        <f>4551.5+(1514.1-751.3)+(-11.606325+(-3.860955--1.915815))+0-557.5--1.42162499999992</f>
        <v>4744.6701600000006</v>
      </c>
      <c r="V188" s="3">
        <f>4167+(1417-622.1)+(-10.62585+(-3.61335--1.586355))+0-577.3--1.47211499999992</f>
        <v>4373.4192699999994</v>
      </c>
      <c r="W188" s="3">
        <f>3579.4+(1433.3-639.1)+(-3.650988+(-1.461966--0.651882))+0-565.6--0.57691200000009</f>
        <v>3804.1158400000004</v>
      </c>
      <c r="X188" s="3">
        <f>4672.5+(840.9-1161.8)+(-2.382975+(-0.428859--0.592518))+0-529.9--0.270248999999946</f>
        <v>3819.7509330000007</v>
      </c>
      <c r="Y188" s="3">
        <f>4641.5+(964.6-845.5)+(-9.46866+(-1.967784--1.72482))+0-514.2--1.04896799999998</f>
        <v>4237.737344000001</v>
      </c>
      <c r="Z188" s="3">
        <f>4398.1+(1273.9-690)+(-6.729093+(-1.949067--1.0557))+0-601.7--0.920601000000035</f>
        <v>4373.5981410000004</v>
      </c>
      <c r="AA188" s="3">
        <f>3716.2+(2008.1-653.2)+(-11.371572+(-6.144786--1.998792))+0-589.2--1.80295200000007</f>
        <v>4468.1853859999992</v>
      </c>
      <c r="AB188" s="3">
        <f>3797.6+(1991.9-646.6)+(-5.810328+(-3.047607--0.989298))+0-578.5--0.885105000000033</f>
        <v>4557.4164680000004</v>
      </c>
      <c r="AC188" s="3">
        <f>3442.9+(2405.7-628.5)+(0+(0-0))+0-607-0</f>
        <v>4613.1000000000004</v>
      </c>
      <c r="AD188" s="2">
        <v>4312.2000000000007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3262.4+(2450.5-640.3)+(-1.663824+(-1.249755--0.326553))+0-507.6--0.258875999999949</f>
        <v>4562.6718499999997</v>
      </c>
      <c r="G189" s="3">
        <f>3236.6+(2505.7-656.5)+(-6.602664+(-5.111628--1.33926))+0-673.1--1.37312399999997</f>
        <v>4403.6980919999987</v>
      </c>
      <c r="H189" s="3">
        <f>2936+(2550.8-646)+(-1.49736+(-1.300908--0.32946))+0-583.6--0.297635999999941</f>
        <v>4255.0288280000004</v>
      </c>
      <c r="I189" s="3">
        <f>2809.6+(2537.6-642.1)+(-2.865792+(-2.588352--0.654942))+0-592.1--0.603942000000094</f>
        <v>4108.8047399999996</v>
      </c>
      <c r="J189" s="3">
        <f>2930.7+(2321.8-633.3)+(4.483971+(3.552354-0.968949))+0-658.5-1.00750500000004</f>
        <v>3966.7598709999997</v>
      </c>
      <c r="K189" s="3">
        <f>2830.6+(2061.3-617.4)+(-4.330818+(-3.153789--0.944622))+0-515.2--0.78825600000003</f>
        <v>3753.5482709999997</v>
      </c>
      <c r="L189" s="3">
        <f>2769.8+(1747.7-611.7)+(-1.412598+(-0.891327--0.311967))+0-602.3--0.307172999999939</f>
        <v>3301.8152150000005</v>
      </c>
      <c r="M189" s="3">
        <f>2834.3+(1445.5-719.8)+(5.781972+(2.94882-1.468392))+0-482.6-0.984503999999979</f>
        <v>3083.6778960000001</v>
      </c>
      <c r="N189" s="3">
        <f>2940.8+(1450.5-737.8)+(-1.499808+(-0.739755--0.376278))+0-516.9--0.263618999999948</f>
        <v>3135.0003339999998</v>
      </c>
      <c r="O189" s="3">
        <f>3054.9+(1426.5-746.8)+(1.557999+(0.727515-0.380868))+0-545-0.277949999999945</f>
        <v>3191.2266960000002</v>
      </c>
      <c r="P189" s="3">
        <f>3144.4+(1452.7-699)+(0+(0-0))+0-513.4-0</f>
        <v>3384.7000000000003</v>
      </c>
      <c r="Q189" s="3">
        <f>3430.3+(1398.6-700.3)+(3.498906+(1.426572-0.714306))+0-532.4-0.543048000000085</f>
        <v>3599.8681240000005</v>
      </c>
      <c r="R189" s="3">
        <f>3750+(1392.8-633.3)+(-5.7375+(-2.130984--0.968949))+0-437--0.668610000000025</f>
        <v>4066.2690750000006</v>
      </c>
      <c r="S189" s="3">
        <f>3769.8+(1926.7-623.3)+(-5.767794+(-2.947851--0.953649))+0-547.5--0.837675000000032</f>
        <v>4518.7756790000003</v>
      </c>
      <c r="T189" s="3">
        <f>3842.4+(1903.5-639.9)+(-9.79812+(-4.853925--1.631745))+0-445.3--1.13551499999994</f>
        <v>4648.8152149999996</v>
      </c>
      <c r="U189" s="3">
        <f>3599.3+(2191.5-633.1)+(-11.013858+(-6.70599--1.937286))+0-520.4--1.59242400000006</f>
        <v>4623.1098620000012</v>
      </c>
      <c r="V189" s="3">
        <f>3142.7+(2176-636)+(-11.219439+(-7.76832--2.27052))+0-488.1--1.74251700000001</f>
        <v>4179.6252779999995</v>
      </c>
      <c r="W189" s="3">
        <f>2797.3+(1997.2-635.6)+(-2.853246+(-2.037144--0.648312))+0-497.8--0.507756000000079</f>
        <v>3657.3656779999992</v>
      </c>
      <c r="X189" s="3">
        <f>3282+(1613-923)+(-5.02146+(-2.46789--1.41219))+0-647--0.989910000000037</f>
        <v>3319.9127500000004</v>
      </c>
      <c r="Y189" s="3">
        <f>3545.1+(1684.2-738.3)+(-7.232004+(-3.435768--1.506132))+0-553--1.12811999999998</f>
        <v>3929.9664799999996</v>
      </c>
      <c r="Z189" s="3">
        <f>3465.8+(1871.9-617.5)+(-8.83779+(-4.773345--1.574625))+0-593.5--1.51342499999991</f>
        <v>4116.1769150000009</v>
      </c>
      <c r="AA189" s="3">
        <f>3328.3+(2064.5-602.3)+(-10.184598+(-6.31737--1.843038))+0-590.1--1.80570600000007</f>
        <v>4187.5467760000001</v>
      </c>
      <c r="AB189" s="3">
        <f>3090.9+(2384.2-595.3)+(-6.305436+(-4.863768--1.214412))+0-606.9--1.23807599999997</f>
        <v>4264.1832839999997</v>
      </c>
      <c r="AC189" s="3">
        <f>2965.4+(2638.2-607.9)+(-7.56177+(-6.72741--1.550145))+0-613.9--1.56544499999991</f>
        <v>4370.6264100000008</v>
      </c>
      <c r="AD189" s="2">
        <v>4057.8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2720.4+(2770.2-647.7)+(-1.387404+(-1.412802--0.330327))+0-566.5--0.288914999999943</f>
        <v>4274.2190359999995</v>
      </c>
      <c r="G190" s="3">
        <f>2577.2+(2718.6-628.5)+(-2.628744+(-2.772972--0.64107))+0-541.1--0.551922000000086</f>
        <v>4121.9912759999988</v>
      </c>
      <c r="H190" s="3">
        <f>2566.1+(2581.3-609.4)+(-1.308711+(-1.316463--0.310794))+0-563.5--0.287384999999943</f>
        <v>3972.4730050000003</v>
      </c>
      <c r="I190" s="3">
        <f>2571.7+(2358.8-599.3)+(-6.557835+(-6.01494--1.528215))+0-510.8--1.30253999999993</f>
        <v>3810.6579799999995</v>
      </c>
      <c r="J190" s="3">
        <f>2790.4+(2112.1-597.1)+(1.423104+(1.077171-0.304521))+0-620.4-0.316403999999937</f>
        <v>3686.8793499999997</v>
      </c>
      <c r="K190" s="3">
        <f>2552.9+(2114.4-583.6)+(-6.509895+(-5.39172--1.48818))+0-598.5--1.52617499999991</f>
        <v>3476.3127400000003</v>
      </c>
      <c r="L190" s="3">
        <f>2582.9+(1617.3-596.6)+(-1.317279+(-0.824823--0.304266))+0-566.5--0.288914999999943</f>
        <v>3035.5510789999998</v>
      </c>
      <c r="M190" s="3">
        <f>2859.5+(1338.7-734)+(-1.458345+(-0.682737--0.37434))+0-594.3--0.30309299999994</f>
        <v>2868.4363509999998</v>
      </c>
      <c r="N190" s="3">
        <f>2902.5+(1306-785.4)+(0+(0-0))+0-470.5-0</f>
        <v>2952.6</v>
      </c>
      <c r="O190" s="3">
        <f>2908+(1346.8-735.2)+(0+(0-0))+0-500.6-0</f>
        <v>3019</v>
      </c>
      <c r="P190" s="3">
        <f>2887.2+(1388.5-621.2)+(-2.944944+(-1.41627--0.633624))+0-483.2--0.492864000000077</f>
        <v>3168.0652740000005</v>
      </c>
      <c r="Q190" s="3">
        <f>3075.4+(1457.1-677.9)+(-1.568454+(-0.743121--0.345729))+0-525.8--0.268157999999947</f>
        <v>3327.102312</v>
      </c>
      <c r="R190" s="3">
        <f>3291.9+(1752.4-641.6)+(-3.357738+(-1.787448--0.654432))+0-590.5--0.602310000000094</f>
        <v>3808.3115560000006</v>
      </c>
      <c r="S190" s="3">
        <f>3979+(1747.6-757.9)+(-6.08787+(-2.673828--1.159587))+0-588.3--0.900099000000034</f>
        <v>4373.6979879999999</v>
      </c>
      <c r="T190" s="3">
        <f>3986+(1792.2-747.6)+(-2.03286+(-0.914022--0.381276))+0-603.6--0.307835999999939</f>
        <v>4424.7422299999998</v>
      </c>
      <c r="U190" s="3">
        <f>3838.6+(1920.9-801.7)+(-9.78843+(-4.898295--2.044335))+0-608.6--1.55192999999991</f>
        <v>4338.1095399999995</v>
      </c>
      <c r="V190" s="3">
        <f>3760.9+(1754.8-1003.5)+(-3.836118+(-1.789896--1.02357))+0-539.9--0.550698000000086</f>
        <v>3968.2482539999996</v>
      </c>
      <c r="W190" s="3">
        <f>3806.6+(1656.3-1454.7)+(-5.824098+(-2.534139--2.225691))+0-523.9--0.80156700000003</f>
        <v>3478.9690209999999</v>
      </c>
      <c r="X190" s="3">
        <f>4116.6+(1562-1607.7)+(-2.099466+(-0.79662--0.819927))+0-572.2--0.291821999999942</f>
        <v>3496.9156630000007</v>
      </c>
      <c r="Y190" s="3">
        <f>4098+(1557.3-1202.3)+(-12.53988+(-4.765338--3.679038))+0-608--1.86048000000007</f>
        <v>3833.2343000000001</v>
      </c>
      <c r="Z190" s="3">
        <f>4005.6+(1557-979.5)+(-2.042856+(-0.79407--0.499545))+0-643--0.327929999999935</f>
        <v>3938.090549</v>
      </c>
      <c r="AA190" s="3">
        <f>4223.8+(1422.6-1043.7)+(-2.154138+(-0.725526--0.532287))+0-625.5--0.319004999999937</f>
        <v>3975.1716279999996</v>
      </c>
      <c r="AB190" s="3">
        <f>3907.4+(1554.6-773.9)+(-9.96387+(-3.96423--1.973445))+0-606--1.54529999999991</f>
        <v>4071.6906450000006</v>
      </c>
      <c r="AC190" s="3">
        <f>3642.9+(1692.6-735.2)+(-5.573637+(-2.589678--1.124856))+0-513.2--0.78519600000003</f>
        <v>4080.8467369999998</v>
      </c>
      <c r="AD190" s="2">
        <v>3821.1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3333.4+(2235.9-613)+(-6.800136+(-4.561236--1.25052))+0-659.2--1.34476799999997</f>
        <v>4288.3339160000005</v>
      </c>
      <c r="G191" s="3">
        <f>2992.2+(2213.5-595.6)+(-7.63011+(-5.644425--1.51878))+0-507.5--1.29412499999993</f>
        <v>4092.1383700000001</v>
      </c>
      <c r="H191" s="3">
        <f>2743.3+(2400.1-575)+(-6.995415+(-6.120255--1.46625))+0-627.4--1.59986999999991</f>
        <v>3930.9504499999998</v>
      </c>
      <c r="I191" s="3">
        <f>2602.3+(2370.1-559.7)+(-1.327173+(-1.208751--0.285447))+0-615.7--0.314006999999938</f>
        <v>3795.0635300000004</v>
      </c>
      <c r="J191" s="3">
        <f>2631.2+(2155.1-541.6)+(-2.683824+(-2.198202--0.552432))+0-610--0.622200000000097</f>
        <v>3630.9926060000003</v>
      </c>
      <c r="K191" s="3">
        <f>2632.4+(1978.8-541.2)+(-6.71262+(-5.04594--1.38006))+0-611.8--1.56008999999991</f>
        <v>3449.38159</v>
      </c>
      <c r="L191" s="3">
        <f>2798.4+(1393.2-648.5)+(0+(0-0))+0-517-0</f>
        <v>3026.1000000000004</v>
      </c>
      <c r="M191" s="3">
        <f>2809.4+(1421.3-793.6)+(-1.432794+(-0.724863--0.404736))+0-571--0.291209999999942</f>
        <v>2864.638289</v>
      </c>
      <c r="N191" s="3">
        <f>2777.4+(1418-845.3)+(-2.832948+(-1.44636--0.862206))+0-549.1--0.560082000000088</f>
        <v>2798.1429800000005</v>
      </c>
      <c r="O191" s="3">
        <f>2912.3+(1476-1037.6)+(-1.485273+(-0.75276--0.529176))+0-522.1--0.266270999999947</f>
        <v>2827.1574140000002</v>
      </c>
      <c r="P191" s="3">
        <f>3185.9+(1656.5-1205.2)+(3.249618+(1.68963-1.229304))+0-504.8-0.514896000000081</f>
        <v>3135.5950479999997</v>
      </c>
      <c r="Q191" s="3">
        <f>3762.7+(1563.4-1447.8)+(0+(0-0))+0-497.4-0</f>
        <v>3380.9</v>
      </c>
      <c r="R191" s="3">
        <f>4126.6+(1488.4-1403.5)+(2.104566+(0.759084-0.715785))+0-485.1-0.247400999999951</f>
        <v>3728.3004639999999</v>
      </c>
      <c r="S191" s="3">
        <f>4390.6+(1378.5-1202.3)+(4.478412+(1.40607-1.226346))+0-413.2-0.421464000000066</f>
        <v>4157.8366720000004</v>
      </c>
      <c r="T191" s="3">
        <f>4999.4+(1372.7-1497.8)+(-5.099388+(-1.400154--1.527756))+0-557.4--0.568548000000089</f>
        <v>4312.4967619999998</v>
      </c>
      <c r="U191" s="3">
        <f>4386.5+(1569.4-1280.9)+(-15.659805+(-5.602758--4.572813))+0-449.5--1.60471500000001</f>
        <v>4210.4149650000008</v>
      </c>
      <c r="V191" s="3">
        <f>4189.4+(1548.9-1393.2)+(-4.273188+(-1.579878--1.421064))+0-484.5--0.494190000000077</f>
        <v>3856.6621879999998</v>
      </c>
      <c r="W191" s="3">
        <f>4232.3+(1407.6-1773.1)+(0+(0-0))+0-555.7-0</f>
        <v>3311.1000000000004</v>
      </c>
      <c r="X191" s="3">
        <f>4817.6+(1471.1-2404.9)+(-2.456976+(-0.750261--1.226499))+0-488.1--0.24893099999995</f>
        <v>3393.9681930000002</v>
      </c>
      <c r="Y191" s="3">
        <f>4961.1+(1517.3-2087.3)+(-10.120644+(-3.095292--4.258092))+0-588.3--1.20013199999997</f>
        <v>3795.0422880000006</v>
      </c>
      <c r="Z191" s="3">
        <f>5270.1+(1190.1-2049.1)+(-5.375502+(-1.213902--2.090082))+0-509.5--0.519690000000081</f>
        <v>3897.6203680000008</v>
      </c>
      <c r="AA191" s="3">
        <f>5093+(1254.4-1735.1)+(-2.59743+(-0.639744--0.884901))+0-663.2--0.338231999999933</f>
        <v>3947.085959</v>
      </c>
      <c r="AB191" s="3">
        <f>4488.7+(1371.8-1288)+(-16.024659+(-4.897326--4.59816))+0-555.1--1.98170700000001</f>
        <v>4003.0578819999996</v>
      </c>
      <c r="AC191" s="3">
        <f>4754.6+(1313.2-1368)+(2.424846+(0.669732-0.69768))+0-672-0.342719999999932</f>
        <v>4029.854178</v>
      </c>
      <c r="AD191" s="2">
        <v>3671.6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4405.8+(1422.4-1126.8)+(-6.740874+(-2.176272--1.724004))+0-597.1--0.913563000000035</f>
        <v>4098.0204210000002</v>
      </c>
      <c r="G192" s="3">
        <f>3591.6+(1956.1-912.5)+(-5.495148+(-2.992833--1.396125))+0-617.3--0.944469000000036</f>
        <v>4011.7526129999997</v>
      </c>
      <c r="H192" s="3">
        <f>2880.9+(2261-647.3)+(-7.346295+(-5.76555--1.650615))+0-616.5--1.57207499999991</f>
        <v>3868.2108450000005</v>
      </c>
      <c r="I192" s="3">
        <f>2643.6+(2235.9-646.2)+(-2.696472+(-2.280618--0.659124))+0-503.4--0.51346800000008</f>
        <v>3726.0955020000006</v>
      </c>
      <c r="J192" s="3">
        <f>2623.6+(2121.4-600.4)+(0+(0-0))+0-547.1-0</f>
        <v>3597.5000000000005</v>
      </c>
      <c r="K192" s="3">
        <f>2721.6+(1909.6-590.3)+(-4.164048+(-2.921688--0.903159))+0-626.9--0.959157000000036</f>
        <v>3408.7765799999997</v>
      </c>
      <c r="L192" s="3">
        <f>2984.1+(1602-1036.8)+(1.521891+(0.81702-0.528768))+0-509.5-0.259844999999948</f>
        <v>3041.3502980000003</v>
      </c>
      <c r="M192" s="3">
        <f>2894.2+(1619.2-1050.9)+(-1.476042+(-0.825792--0.535959))+0-568.2--0.289781999999942</f>
        <v>2892.823907</v>
      </c>
      <c r="N192" s="3">
        <f>2673.9+(1710.4-807.9)+(-2.727378+(-1.744608--0.824058))+0-596.5--0.608430000000095</f>
        <v>2976.8605020000005</v>
      </c>
      <c r="O192" s="3">
        <f>2783.4+(1765.4-909.2)+(-1.419534+(-0.900354--0.463692))+0-598.7--0.305336999999939</f>
        <v>3039.3491409999997</v>
      </c>
      <c r="P192" s="3">
        <f>3129+(1685.1-1141.1)+(3.19158+(1.718802-1.163922))+0-508.7-0.518874000000081</f>
        <v>3167.5275860000002</v>
      </c>
      <c r="Q192" s="3">
        <f>3775.6+(1668.7-1491.6)+(5.776668+(2.553111-2.282148))+0-499.3-0.763929000000029</f>
        <v>3458.6837019999994</v>
      </c>
      <c r="R192" s="3">
        <f>4161.4+(1676-1453.1)+(-6.366942+(-2.56428--2.223243))+0-579.2--0.886176000000033</f>
        <v>3799.2781969999996</v>
      </c>
      <c r="S192" s="3">
        <f>4385.9+(1469.8-1132.5)+(0+(0-0))+0-599.6-0</f>
        <v>4123.5999999999995</v>
      </c>
      <c r="T192" s="3">
        <f>4470.4+(1407.1-1102.5)+(-6.839712+(-2.152863--1.686825))+0-514.4--0.78703200000003</f>
        <v>4254.0812820000001</v>
      </c>
      <c r="U192" s="3">
        <f>3904.5+(1623.5-785.9)+(-11.94777+(-4.96791--2.404854))+0-599.3--1.83385800000007</f>
        <v>4130.1230320000004</v>
      </c>
      <c r="V192" s="3">
        <f>3157.6+(1700.4-530.5)+(-9.662256+(-5.203224--1.62333))+0-588.4--1.80050400000007</f>
        <v>3727.6583540000001</v>
      </c>
      <c r="W192" s="3">
        <f>3032.2+(1543.9-758.5)+(-6.185688+(-3.149556--1.54734))+0-523--1.06691999999998</f>
        <v>3287.8790159999999</v>
      </c>
      <c r="X192" s="3">
        <f>4140.7+(1427.7-1516.8)+(0+(0-0))+0-607.2-0</f>
        <v>3444.3999999999996</v>
      </c>
      <c r="Y192" s="3">
        <f>5023.6+(1003.7-1657.8)+(-23.058324+(-4.606983--7.609302))+0-597.4--2.7420660000001</f>
        <v>3754.7860609999998</v>
      </c>
      <c r="Z192" s="3">
        <f>4488.8+(889.8-999.5)+(-11.44644+(-2.26899--2.548725))+0-555.6--1.41677999999992</f>
        <v>3813.7500750000008</v>
      </c>
      <c r="AA192" s="3">
        <f>4068.5+(1099.6-757.4)+(-6.224805+(-1.682388--1.158822))+0-616--0.942480000000036</f>
        <v>3788.8941090000003</v>
      </c>
      <c r="AB192" s="3">
        <f>3872.5+(1369.6-729.3)+(-5.924925+(-2.095488--1.115829))+0-567.6--0.868428000000033</f>
        <v>3939.1638440000006</v>
      </c>
      <c r="AC192" s="3">
        <f>3517.6+(1785.1-687.5)+(-5.381928+(-2.731203--1.051875))+0-587.4--0.898722000000034</f>
        <v>4021.6374659999997</v>
      </c>
      <c r="AD192" s="2">
        <v>3497.7999999999997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3342.5+(2009.1-605.2)+(-6.8187+(-4.098564--1.234608))+0-635--1.29539999999997</f>
        <v>4103.0127439999997</v>
      </c>
      <c r="G193" s="3">
        <f>3248.5+(2002-637.5)+(1.656735+(1.02102-0.325125))+0-551.3-0.281162999999944</f>
        <v>4063.771467</v>
      </c>
      <c r="H193" s="3">
        <f>3040.5+(2096.9-606.1)+(-1.550655+(-1.069419--0.309111))+0-619.6--0.315995999999937</f>
        <v>3909.7050330000002</v>
      </c>
      <c r="I193" s="3">
        <f>2907.7+(1960.6-611.7)+(-4.448781+(-2.999718--0.935901))+0-528.6--0.808758000000031</f>
        <v>3722.2961599999994</v>
      </c>
      <c r="J193" s="3">
        <f>2923.8+(1931.5-596.9)+(-1.491138+(-0.985065--0.304419))+0-633.3--0.322982999999936</f>
        <v>3623.2511989999994</v>
      </c>
      <c r="K193" s="3">
        <f>2836.2+(1807.3-607.1)+(-7.23231+(-4.608615--1.548105))+0-546.6--1.39382999999992</f>
        <v>3480.9010099999996</v>
      </c>
      <c r="L193" s="3">
        <f>2868+(1517.3-660.5)+(0+(0-0))+0-520.5-0</f>
        <v>3204.3</v>
      </c>
      <c r="M193" s="3">
        <f>2806.3+(1586.2-679.5)+(-8.587278+(-4.853772--2.07927))+0-641.4--1.96268400000007</f>
        <v>3062.2009039999998</v>
      </c>
      <c r="N193" s="3">
        <f>2863.2+(1440.6-698.5)+(-1.460232+(-0.734706--0.356235))+0-527.7--0.269126999999946</f>
        <v>3076.030424</v>
      </c>
      <c r="O193" s="3">
        <f>3261.7+(1310.4-809.8)+(-4.990401+(-2.004912--1.238994))+0-546.3--0.835839000000032</f>
        <v>3211.0795199999998</v>
      </c>
      <c r="P193" s="3">
        <f>3321+(1162.6-755.5)+(-5.08113+(-1.778778--1.155915))+0-438.3--0.670599000000025</f>
        <v>3284.7666059999997</v>
      </c>
      <c r="Q193" s="3">
        <f>3427.4+(1276.6-756.9)+(-3.495948+(-1.302132--0.772038))+0-431.8--0.440436000000069</f>
        <v>3511.7143939999996</v>
      </c>
      <c r="R193" s="3">
        <f>3726.9+(1398.5-764.5)+(3.801438+(1.42647-0.77979))+0-525.2-0.535704000000084</f>
        <v>3839.6124140000002</v>
      </c>
      <c r="S193" s="3">
        <f>4060.7+(1274.4-779.6)+(-6.212871+(-1.949832--1.192788))+0-533.8--0.816714000000031</f>
        <v>4015.5467990000002</v>
      </c>
      <c r="T193" s="3">
        <f>3817.8+(1535.5-727.6)+(-5.841234+(-2.349315--1.113228))+0-534--0.817020000000031</f>
        <v>4085.439699</v>
      </c>
      <c r="U193" s="3">
        <f>3646.8+(1652.4-702.7)+(-9.29934+(-4.21362--1.791885))+0-605.8--1.54478999999991</f>
        <v>3980.5237149999994</v>
      </c>
      <c r="V193" s="3">
        <f>3189.5+(1704.8-677.8)+(-8.133225+(-4.34724--1.72839))+0-560.8--1.43003999999992</f>
        <v>3646.3779649999992</v>
      </c>
      <c r="W193" s="3">
        <f>3310.8+(1097.4-706.9)+(-3.377016+(-1.119348--0.721038))+0-476.2--0.485724000000076</f>
        <v>3221.8103980000005</v>
      </c>
      <c r="X193" s="3">
        <f>4449.9+(631.5-1110)+(-2.269449+(-0.322065--0.5661))+0-594.3--0.30309299999994</f>
        <v>3375.3776789999997</v>
      </c>
      <c r="Y193" s="3">
        <f>4721.1+(603.5-974.1)+(-4.815522+(-0.61557--0.993582))+0-592--0.603840000000094</f>
        <v>3754.6663300000005</v>
      </c>
      <c r="Z193" s="3">
        <f>4672.8+(658.9-850.5)+(-11.91564+(-1.680195--2.168775))+0-610--1.55549999999991</f>
        <v>3861.3284399999998</v>
      </c>
      <c r="AA193" s="3">
        <f>4274.5+(911-747.7)+(-2.179995+(-0.46461--0.381327))+0-523.9--0.267188999999947</f>
        <v>3911.9039109999999</v>
      </c>
      <c r="AB193" s="3">
        <f>4043.9+(1322.2-725)+(-10.311945+(-3.37161--1.84875))+0-558.4--1.42391999999992</f>
        <v>4072.2891149999996</v>
      </c>
      <c r="AC193" s="3">
        <f>3580.3+(1944.1-714.4)+(-3.651906+(-1.982982--0.728688))+0-587.8--0.599556000000094</f>
        <v>4217.8933559999996</v>
      </c>
      <c r="AD193" s="2">
        <v>3592.2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2900.2+(2591.2-709.2)+(-7.39551+(-6.60756--1.80846))+0-565.5--1.44202499999992</f>
        <v>4205.9474150000005</v>
      </c>
      <c r="G194" s="3">
        <f>2819.7+(2455.5-697.8)+(-4.314141+(-3.756915--1.067634))+0-497.8--0.761634000000029</f>
        <v>4073.3582119999996</v>
      </c>
      <c r="H194" s="3">
        <f>2722.7+(2449.9-667.1)+(-6.942885+(-6.247245--1.701105))+0-567.9--1.44814499999992</f>
        <v>3927.5591199999999</v>
      </c>
      <c r="I194" s="3">
        <f>2634.2+(2357.8-661.7)+(-5.373768+(-4.809912--1.349868))+0-515--1.05059999999998</f>
        <v>3807.5167880000004</v>
      </c>
      <c r="J194" s="3">
        <f>2622.7+(2283.2-667.7)+(-4.012731+(-3.493296--1.021581))+0-558.7--0.854811000000032</f>
        <v>3673.8703649999998</v>
      </c>
      <c r="K194" s="3">
        <f>2707.6+(2011.2-658.4)+(-1.380876+(-1.025712--0.335784))+0-558--0.284579999999943</f>
        <v>3500.6137760000001</v>
      </c>
      <c r="L194" s="3">
        <f>2702.6+(1625.3-664.4)+(4.134978+(2.486709-1.016532))+0-580.5-0.888165000000034</f>
        <v>3087.7169900000004</v>
      </c>
      <c r="M194" s="3">
        <f>2832.2+(1395.7-668.4)+(4.333266+(2.135421-1.022652))+0-561.7-0.859401000000033</f>
        <v>3002.386634</v>
      </c>
      <c r="N194" s="3">
        <f>2962.3+(1511.3-668.1)+(0+(0-0))+0-565.7-0</f>
        <v>3239.8</v>
      </c>
      <c r="O194" s="3">
        <f>3054.5+(1335.7-679.1)+(0+(0-0))+0-525.6-0</f>
        <v>3185.5</v>
      </c>
      <c r="P194" s="3">
        <f>3396.2+(1189.4-655.4)+(0+(0-0))+0-575.7-0</f>
        <v>3354.5</v>
      </c>
      <c r="Q194" s="3">
        <f>3773.8+(1027.2-690.3)+(-5.773914+(-1.571616--1.056159))+0-473.9--0.725067000000027</f>
        <v>3631.2356960000006</v>
      </c>
      <c r="R194" s="3">
        <f>3972.5+(1282.5-674.9)+(-12.15585+(-3.92445--2.065194))+0-556.1--1.70166600000006</f>
        <v>4011.6865600000006</v>
      </c>
      <c r="S194" s="3">
        <f>4340.5+(1233.7-703.8)+(-4.42731+(-1.258374--0.717876))+0-503.3--0.51336600000008</f>
        <v>4362.6455579999993</v>
      </c>
      <c r="T194" s="3">
        <f>4920.6+(906.1-830.2)+(-2.509506+(-0.462111--0.423402))+0-556--0.283559999999944</f>
        <v>4438.2353450000001</v>
      </c>
      <c r="U194" s="3">
        <f>4537.4+(1018.9-720.6)+(-4.628148+(-1.039278--0.735012))+0-506.8--0.516936000000081</f>
        <v>4324.4845219999997</v>
      </c>
      <c r="V194" s="3">
        <f>3765.5+(1311.3-615.6)+(-5.761215+(-2.006289--0.941868))+0-531.2--0.812736000000031</f>
        <v>3923.9871000000003</v>
      </c>
      <c r="W194" s="3">
        <f>4111.3+(900.2-1068.4)+(8.387052+(1.836408-2.179536))+0-508.4-1.03713599999998</f>
        <v>3441.7067880000004</v>
      </c>
      <c r="X194" s="3">
        <f>5686.2+(475.7-2050.6)+(5.799924+(0.485214-2.091612))+0-528.3-0.538866000000084</f>
        <v>3586.6546600000001</v>
      </c>
      <c r="Y194" s="3">
        <f>6011.7+(442.2-1967.7)+(6.131934+(0.451044-2.007054))+0-543.9-0.554778000000087</f>
        <v>3946.3211459999993</v>
      </c>
      <c r="Z194" s="3">
        <f>5843.3+(484.8-1710)+(0+(0-0))+0-544.8-0</f>
        <v>4073.3</v>
      </c>
      <c r="AA194" s="3">
        <f>5729.6+(452.5-1472.7)+(2.922096+(0.230775-0.751077))+0-553.4-0.282233999999944</f>
        <v>4158.119560000001</v>
      </c>
      <c r="AB194" s="3">
        <f>5365.8+(590.7-1176.3)+(-13.68279+(-1.506285--2.999565))+0-518.7--1.32268499999992</f>
        <v>4250.6331750000008</v>
      </c>
      <c r="AC194" s="3">
        <f>4517.9+(1119.4-765.7)+(-9.216516+(-2.283576--1.562028))+0-573.1--1.16912399999997</f>
        <v>4289.7310599999992</v>
      </c>
      <c r="AD194" s="2">
        <v>3999.9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3195.2+(2217.7-656)+(-6.518208+(-4.524108--1.33824))+0-515.7--1.05202799999998</f>
        <v>4232.5479519999999</v>
      </c>
      <c r="G195" s="3">
        <f>2935.5+(2366.3-635.1)+(-10.479735+(-8.447691--2.267307))+0-555.1--1.98170700000001</f>
        <v>4096.9215880000011</v>
      </c>
      <c r="H195" s="3">
        <f>2785.6+(2288.3-635.5)+(2.841312+(2.334066-0.64821))+0-456-0.465120000000073</f>
        <v>3986.462047999999</v>
      </c>
      <c r="I195" s="3">
        <f>2671.1+(2359.1-615.8)+(-5.449044+(-4.812564--1.256232))+0-540.3--1.10221199999998</f>
        <v>3866.1968359999992</v>
      </c>
      <c r="J195" s="3">
        <f>2576.4+(2288.5-597.2)+(2.627928+(2.33427-0.609144))+0-506.4-0.516528000000081</f>
        <v>3765.1365259999998</v>
      </c>
      <c r="K195" s="3">
        <f>2620.9+(2132.2-595.7)+(-4.009977+(-3.262266--0.911421))+0-583.5--0.892755000000034</f>
        <v>3568.4319329999998</v>
      </c>
      <c r="L195" s="3">
        <f>2752.8+(1472-594.9)+(0+(0-0))+0-447.1-0</f>
        <v>3182.8</v>
      </c>
      <c r="M195" s="3">
        <f>2917.8+(1252.5-606.9)+(-4.464234+(-1.916325--0.928557))+0-542.1--0.829413000000031</f>
        <v>3016.6774110000001</v>
      </c>
      <c r="N195" s="3">
        <f>3019.1+(1131.8-560.3)+(1.539741+(0.577218-0.285753))+0-451.8-0.230417999999954</f>
        <v>3140.4007879999995</v>
      </c>
      <c r="O195" s="3">
        <f>3085.1+(1246.8-555.3)+(-3.146802+(-1.271736--0.566406))+0-522--0.532440000000083</f>
        <v>3251.2803079999999</v>
      </c>
      <c r="P195" s="3">
        <f>3135+(1316.9-583.5)+(-1.59885+(-0.671619--0.297585))+0-438.2--0.223481999999956</f>
        <v>3428.4505980000004</v>
      </c>
      <c r="Q195" s="3">
        <f>3786.5+(941.2-636.1)+(5.793345+(1.440036-0.973233))+0-389.4-0.595782000000022</f>
        <v>3707.8643659999998</v>
      </c>
      <c r="R195" s="3">
        <f>4101.8+(938.1-453.3)+(-8.367672+(-1.913724--0.924732))+0-512.4--1.04529599999998</f>
        <v>4065.8886320000001</v>
      </c>
      <c r="S195" s="3">
        <f>4159.8+(1207.6-414.5)+(8.485992+(2.463504-0.84558))+0-530.8-1.08283199999998</f>
        <v>4431.1210839999994</v>
      </c>
      <c r="T195" s="3">
        <f>4449+(1029.3-452.9)+(-2.26899+(-0.524943--0.230979))+0-505.1--0.257600999999949</f>
        <v>4517.9946469999995</v>
      </c>
      <c r="U195" s="3">
        <f>4511.5+(920.9-528.5)+(-11.504325+(-2.348295--1.347675))+0-527.8--1.34588999999992</f>
        <v>4364.9409449999994</v>
      </c>
      <c r="V195" s="3">
        <f>4697.2+(638.8-954.1)+(-16.769004+(-2.280516--3.406137))+0-516.4--1.84354800000001</f>
        <v>3851.7001649999997</v>
      </c>
      <c r="W195" s="3">
        <f>4868.8+(540.4-1472.1)+(-7.449264+(-0.826812--2.252313))+0-470--0.719100000000027</f>
        <v>3461.7953370000005</v>
      </c>
      <c r="X195" s="3">
        <f>5657.9+(625.9-2159.8)+(-11.542116+(-1.276836--4.405992))+0-473.4--0.965735999999979</f>
        <v>3643.1527760000004</v>
      </c>
      <c r="Y195" s="3">
        <f>5582.5+(665.7-1721)+(-14.235375+(-1.697535--4.38855))+0-552.6--1.40912999999992</f>
        <v>3964.46477</v>
      </c>
      <c r="Z195" s="3">
        <f>5150.8+(749.9-1365)+(-10.507632+(-1.529796--2.7846))+0-456.1--0.93044399999998</f>
        <v>4071.2776160000003</v>
      </c>
      <c r="AA195" s="3">
        <f>4897.3+(861.6-1055.6)+(-12.488115+(-2.19708--2.69178))+0-562--1.43309999999992</f>
        <v>4130.7396850000005</v>
      </c>
      <c r="AB195" s="3">
        <f>4826+(700.5-863)+(2.46126+(0.357255-0.44013))+0-422.4-0.215423999999957</f>
        <v>4243.2629610000004</v>
      </c>
      <c r="AC195" s="3">
        <f>4869.6+(818-802.6)+(-12.41748+(-2.0859--2.04663))+0-588.1--1.49965499999991</f>
        <v>4285.942904999999</v>
      </c>
      <c r="AD195" s="2">
        <v>3965.3999999999996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3862.6+(1456.8-663.1)+(-1.969926+(-0.742968--0.338181))+0-417.8--0.213077999999958</f>
        <v>4236.3383649999996</v>
      </c>
      <c r="G196" s="3">
        <f>2886.5+(2415.5-601.7)+(-1.472115+(-1.231905--0.306867))+0-566--0.288659999999943</f>
        <v>4132.1915070000005</v>
      </c>
      <c r="H196" s="3">
        <f>2612.8+(2405.7-618.7)+(3.997584+(3.680721-0.946611))+0-444.4-0.679932000000026</f>
        <v>3961.4517620000001</v>
      </c>
      <c r="I196" s="3">
        <f>2613+(2380.4-597.3)+(3.99789+(3.642012-0.913869))+0-545.2-0.834156000000032</f>
        <v>3856.7918770000006</v>
      </c>
      <c r="J196" s="3">
        <f>2562.7+(2217.3-583.7)+(-5.227908+(-4.523292--1.190748))+0-464.9--0.94839599999998</f>
        <v>3723.7879440000002</v>
      </c>
      <c r="K196" s="3">
        <f>2479.8+(2184.8-571.4)+(-3.794094+(-3.342744--0.874242))+0-534.4--0.817632000000031</f>
        <v>3553.3550360000004</v>
      </c>
      <c r="L196" s="3">
        <f>2431.4+(1764.8-573)+(-3.720042+(-2.700144--0.87669))+0-493.4--0.754902000000028</f>
        <v>3125.0114060000001</v>
      </c>
      <c r="M196" s="3">
        <f>2716.3+(1305.5-572.5)+(6.926565+(3.329025-1.459875))+0-506.5-1.29157499999993</f>
        <v>2950.3041400000006</v>
      </c>
      <c r="N196" s="3">
        <f>2839.6+(1210.3-571.7)+(0+(0-0))+0-459.9-0</f>
        <v>3018.2999999999997</v>
      </c>
      <c r="O196" s="3">
        <f>3050.9+(1150.7-607.6)+(4.667877+(1.760571-0.929628))+0-474.7-0.726291000000027</f>
        <v>3124.072529</v>
      </c>
      <c r="P196" s="3">
        <f>2959.6+(1506.6-627.6)+(0+(0-0))+0-549.1-0</f>
        <v>3289.5</v>
      </c>
      <c r="Q196" s="3">
        <f>3667.7+(1060-667.5)+(3.741054+(1.0812-0.68085))+0-457-0.466140000000073</f>
        <v>3606.8752639999998</v>
      </c>
      <c r="R196" s="3">
        <f>4313.1+(1018.6-711.9)+(-2.199681+(-0.519486--0.363069))+0-611.7--0.311966999999938</f>
        <v>4006.0558690000003</v>
      </c>
      <c r="S196" s="3">
        <f>4699+(951.7-813.6)+(4.79298+(0.970734-0.829872))+0-421.6-0.430032000000067</f>
        <v>4420.0038100000002</v>
      </c>
      <c r="T196" s="3">
        <f>5054.9+(764.2-834.5)+(7.733997+(1.169226-1.276785))+0-439.2-0.671976000000025</f>
        <v>4552.3544620000002</v>
      </c>
      <c r="U196" s="3">
        <f>4962.9+(917.8-842.2)+(0+(0-0))+0-615.7-0</f>
        <v>4422.8</v>
      </c>
      <c r="V196" s="3">
        <f>3661.6+(1578.2-660.3)+(-1.867416+(-0.804882--0.336753))+0-601.7--0.306866999999939</f>
        <v>3975.7713220000001</v>
      </c>
      <c r="W196" s="3">
        <f>3418.8+(1409.2-794.8)+(5.230764+(2.156076-1.216044))+0-542.5-0.830025000000031</f>
        <v>3496.0407709999999</v>
      </c>
      <c r="X196" s="3">
        <f>4552.5+(756.2-1114.1)+(-4.64355+(-0.771324--1.136382))+0-532.4--0.543048000000085</f>
        <v>3658.4645559999999</v>
      </c>
      <c r="Y196" s="3">
        <f>4622.4+(827.2-885.9)+(-11.78712+(-2.10936--2.259045))+0-601.9--1.53484499999991</f>
        <v>3951.6974100000002</v>
      </c>
      <c r="Z196" s="3">
        <f>4355.9+(1029.3-741.5)+(-8.886036+(-2.099772--1.51266))+0-586.2--1.19584799999997</f>
        <v>4049.2226999999998</v>
      </c>
      <c r="AA196" s="3">
        <f>4216.3+(1222-689.2)+(-6.450939+(-1.86966--1.054476))+0-639.2--0.977976000000037</f>
        <v>4103.6118530000003</v>
      </c>
      <c r="AB196" s="3">
        <f>4198.3+(1292.7-699.2)+(-10.705665+(-3.296385--1.78296))+0-579.7--1.47823499999992</f>
        <v>4201.3591450000004</v>
      </c>
      <c r="AC196" s="3">
        <f>3838.1+(1662.7-648.6)+(-9.787155+(-4.239885--1.65393))+0-587.4--1.49786999999991</f>
        <v>4253.9247599999999</v>
      </c>
      <c r="AD196" s="2">
        <v>3876.2999999999993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2869.8+(2573.3-662.5)+(-1.463598+(-1.312383--0.337875))+0-538--0.274379999999945</f>
        <v>4240.4362740000006</v>
      </c>
      <c r="G197" s="3">
        <f>2727.6+(2646.8-648.4)+(1.391076+(1.349868-0.330684))+0-625.8-0.319157999999936</f>
        <v>4102.2911019999992</v>
      </c>
      <c r="H197" s="3">
        <f>2645.5+(2498.5-648.3)+(2.69841+(2.54847-0.661266))+0-532.1-0.542742000000085</f>
        <v>3967.6428719999994</v>
      </c>
      <c r="I197" s="3">
        <f>2344.1+(2659.4-631.6)+(-1.195491+(-1.356294--0.322116))+0-658.1--0.335630999999933</f>
        <v>3711.9059619999994</v>
      </c>
      <c r="J197" s="3">
        <f>2317.3+(2445.3-617.1)+(1.181823+(1.247103-0.314721))+0-455.5-0.232304999999954</f>
        <v>3691.8818999999999</v>
      </c>
      <c r="K197" s="3">
        <f>2426.1+(2308.7-605)+(-3.711933+(-3.532311--0.92565))+0-611--0.934830000000035</f>
        <v>3513.4162359999991</v>
      </c>
      <c r="L197" s="3">
        <f>2376.7+(1873.5-597.6)+(2.424234+(1.91097-0.609552))+0-560.7-0.571914000000089</f>
        <v>3095.0537379999996</v>
      </c>
      <c r="M197" s="3">
        <f>2713.2+(1360.5-602.7)+(2.767464+(1.38771-0.614754))+0-574.4-0.585888000000092</f>
        <v>2899.5545319999997</v>
      </c>
      <c r="N197" s="3">
        <f>3122.4+(970.8-639.4)+(-1.592424+(-0.495108--0.326094))+0-479.6--0.244595999999951</f>
        <v>2972.6831580000003</v>
      </c>
      <c r="O197" s="3">
        <f>3635.9+(667.7-845.8)+(-1.854309+(-0.340527--0.431358))+0-418.2--0.213281999999958</f>
        <v>3038.0498040000007</v>
      </c>
      <c r="P197" s="3">
        <f>3880.1+(740.5-927.4)+(0+(0-0))+0-493.4-0</f>
        <v>3199.7999999999997</v>
      </c>
      <c r="Q197" s="3">
        <f>4060.3+(871.8-1011)+(-4.141506+(-0.889236--1.03122))+0-503.2--0.51326400000008</f>
        <v>3414.4137420000006</v>
      </c>
      <c r="R197" s="3">
        <f>3951.4+(1047.6-703.6)+(2.015214+(0.534276-0.358836))+0-468.9-0.239138999999952</f>
        <v>3828.4515149999997</v>
      </c>
      <c r="S197" s="3">
        <f>3865.7+(1619.4-663.1)+(0+(0-0))+0-548.4-0</f>
        <v>4273.6000000000004</v>
      </c>
      <c r="T197" s="3">
        <f>4128+(1458-701.2)+(4.21056+(1.48716-0.715224))+0-483.9-0.493578000000077</f>
        <v>4405.3889179999996</v>
      </c>
      <c r="U197" s="3">
        <f>3832.6+(1652.8-670.8)+(-9.77313+(-4.21464--1.71054))+0-504.1--1.28545499999993</f>
        <v>4299.5082250000005</v>
      </c>
      <c r="V197" s="3">
        <f>3031.6+(2015.3-647.8)+(-4.638348+(-3.083409--0.991134))+0-447--0.683910000000026</f>
        <v>3946.0532870000002</v>
      </c>
      <c r="W197" s="3">
        <f>3282.4+(1309.2-687.8)+(3.348048+(1.335384-0.701556))+0-542-0.552840000000086</f>
        <v>3365.2290359999997</v>
      </c>
      <c r="X197" s="3">
        <f>3918.2+(953.2-757.6)+(0+(0-0))+0-563.7-0</f>
        <v>3550.1000000000004</v>
      </c>
      <c r="Y197" s="3">
        <f>4122.8+(1020.7-759.1)+(-8.410512+(-2.082228--1.548564))+0-553.1--1.12832399999998</f>
        <v>3823.4841480000005</v>
      </c>
      <c r="Z197" s="3">
        <f>4014.4+(1279.1-718.1)+(-4.094688+(-1.304682--0.732462))+0-644.5--0.657390000000103</f>
        <v>3926.8904819999998</v>
      </c>
      <c r="AA197" s="3">
        <f>3876.8+(1379.6-683.5)+(-1.977168+(-0.703596--0.348585))+0-558.2--0.284681999999943</f>
        <v>4012.6525029999998</v>
      </c>
      <c r="AB197" s="3">
        <f>3568.4+(1839.4-680.6)+(-9.09942+(-4.69047--1.73553))+0-611.2--1.55855999999991</f>
        <v>4105.5042000000003</v>
      </c>
      <c r="AC197" s="3">
        <f>3231.7+(2185.7-674.9)+(-8.240835+(-5.573535--1.720995))+0-544--1.38719999999992</f>
        <v>4187.7938249999997</v>
      </c>
      <c r="AD197" s="2">
        <v>3695.2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2616.3+(2842.8-668.1)+(-4.002939+(-4.349484--1.022193))+0-625.7--0.957321000000036</f>
        <v>4158.9270910000005</v>
      </c>
      <c r="G198" s="3">
        <f>2557.7+(2732.2-658.2)+(-6.522135+(-6.96711--1.67841))+0-577.6--1.47287999999992</f>
        <v>4043.7620449999995</v>
      </c>
      <c r="H198" s="3">
        <f>2634.7+(2531.2-639.1)+(-4.031091+(-3.872736--0.977823))+0-607.9--0.930087000000035</f>
        <v>3912.9040829999994</v>
      </c>
      <c r="I198" s="3">
        <f>2609.5+(2390-635.9)+(0+(0-0))+0-566.8-0</f>
        <v>3796.8</v>
      </c>
      <c r="J198" s="3">
        <f>2555.5+(2330.3-618.3)+(-1.303305+(-1.188453--0.315333))+0-565.8--0.288557999999943</f>
        <v>3699.8121329999999</v>
      </c>
      <c r="K198" s="3">
        <f>2517.3+(2198.4-614)+(-3.851469+(-3.363552--0.93942))+0-563.7--0.862461000000033</f>
        <v>3532.5868600000008</v>
      </c>
      <c r="L198" s="3">
        <f>2404.2+(1895-614.3)+(1.226142+(0.96645-0.313293))+0-565.7-0.288506999999943</f>
        <v>3120.7907920000002</v>
      </c>
      <c r="M198" s="3">
        <f>2631.2+(1539.9-782.1)+(1.341912+(0.785349-0.398871))+0-523.8-0.267137999999947</f>
        <v>2866.6612519999999</v>
      </c>
      <c r="N198" s="3">
        <f>2946.4+(1427.8-871.8)+(1.502664+(0.728178-0.444618))+0-604.6-0.308345999999939</f>
        <v>2899.2778780000003</v>
      </c>
      <c r="O198" s="3">
        <f>3159.5+(1303.6-978)+(1.611345+(0.664836-0.49878))+0-539.8-0.275297999999945</f>
        <v>2946.8021029999995</v>
      </c>
      <c r="P198" s="3">
        <f>3778.5+(953-1110.1)+(0+(0-0))+0-533-0</f>
        <v>3088.4</v>
      </c>
      <c r="Q198" s="3">
        <f>4130.8+(738.7-1001.8)+(0+(0-0))+0-523.7-0</f>
        <v>3344</v>
      </c>
      <c r="R198" s="3">
        <f>4094.7+(1055.4-846.5)+(0+(0-0))+0-531.9-0</f>
        <v>3771.7000000000003</v>
      </c>
      <c r="S198" s="3">
        <f>4165.6+(1352.8-828)+(-4.248912+(-1.379856--0.84456))+0-591.6--0.603432000000094</f>
        <v>4094.6192240000005</v>
      </c>
      <c r="T198" s="3">
        <f>4069.6+(1528-761.1)+(-2.075496+(-0.77928--0.388161))+0-565--0.288149999999943</f>
        <v>4269.321535</v>
      </c>
      <c r="U198" s="3">
        <f>3641.7+(1681.3-661.1)+(-13.000869+(-6.002241--2.360127))+0-482.7--1.72323900000001</f>
        <v>4164.280256</v>
      </c>
      <c r="V198" s="3">
        <f>3407.1+(1591.2-649)+(1.737621+(0.811512-0.33099))+0-581.3-0.296462999999941</f>
        <v>3769.9216799999999</v>
      </c>
      <c r="W198" s="3">
        <f>3218.3+(1379.2-697.4)+(-3.282666+(-1.406784--0.711348))+0-586--0.597720000000093</f>
        <v>3310.7196180000005</v>
      </c>
      <c r="X198" s="3">
        <f>4024.8+(1000-938)+(-8.210592+(-2.04--1.91352))+0-585.2--1.19380799999997</f>
        <v>3494.4567360000001</v>
      </c>
      <c r="Y198" s="3">
        <f>3790.1+(1242.9-688.2)+(-7.731804+(-2.535516--1.403928))+0-582.5--1.18829999999997</f>
        <v>3754.6249079999998</v>
      </c>
      <c r="Z198" s="3">
        <f>4117.4+(1060.5-782)+(-4.199748+(-1.08171--0.79764))+0-561.9--0.57313800000009</f>
        <v>3830.08932</v>
      </c>
      <c r="AA198" s="3">
        <f>4152.3+(1174.5-739)+(-10.588365+(-2.994975--1.88445))+0-664.7--1.6949849999999</f>
        <v>3913.0960950000008</v>
      </c>
      <c r="AB198" s="3">
        <f>3847.6+(1388.6-650.4)+(-7.849104+(-2.832744--1.326816))+0-570.6--1.16402399999998</f>
        <v>4007.008992</v>
      </c>
      <c r="AC198" s="3">
        <f>3451+(1846.6-600.3)+(-1.76001+(-0.941766--0.306153))+0-673.1--0.343280999999932</f>
        <v>4022.1476579999999</v>
      </c>
      <c r="AD198" s="2">
        <v>3624.9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2531.3+(2649.7-595.9)+(-1.290963+(-1.351347--0.303909))+0-510.9--0.260558999999948</f>
        <v>4072.1221580000001</v>
      </c>
      <c r="G199" s="3">
        <f>2346.9+(2873.1-591.4)+(-5.984595+(-7.326405--1.50807))+0-667.8--1.7028899999999</f>
        <v>3950.6999600000004</v>
      </c>
      <c r="H199" s="3">
        <f>2293.3+(2588.6-579.5)+(0+(0-0))+0-483.3-0</f>
        <v>3819.0999999999995</v>
      </c>
      <c r="I199" s="3">
        <f>2260.1+(2661.9-556.6)+(-1.152651+(-1.357569--0.283866))+0-675.2--0.344351999999932</f>
        <v>3688.3179979999995</v>
      </c>
      <c r="J199" s="3">
        <f>2180.3+(2446.6-549.2)+(2.223906+(2.495532-0.560184))+0-528.6-0.539172000000084</f>
        <v>3552.7200819999998</v>
      </c>
      <c r="K199" s="3">
        <f>2196+(2360.8-535.3)+(-2.23992+(-2.408016--0.546006))+0-658.6--0.671772000000105</f>
        <v>3359.4698420000004</v>
      </c>
      <c r="L199" s="3">
        <f>1975.6+(2128.5-587.8)+(1.007556+(1.085535-0.299778))+0-514.1-0.262190999999948</f>
        <v>3003.7311220000006</v>
      </c>
      <c r="M199" s="3">
        <f>2174.7+(1853.2-651)+(0+(0-0))+0-581.7-0</f>
        <v>2795.2</v>
      </c>
      <c r="N199" s="3">
        <f>2369.3+(1526.4-715.8)+(1.208343+(0.778464-0.365058))+0-404.7-0.206396999999959</f>
        <v>2776.6153520000007</v>
      </c>
      <c r="O199" s="3">
        <f>3021.5+(1200.3-804)+(1.540965+(0.612153-0.41004))+0-607.1-0.309620999999938</f>
        <v>2812.1334570000004</v>
      </c>
      <c r="P199" s="3">
        <f>3449.8+(940.6-1083.7)+(-5.278194+(-1.439118--1.658061))+0-358.5--0.548505000000021</f>
        <v>2943.6892540000003</v>
      </c>
      <c r="Q199" s="3">
        <f>3720+(975.7-954.2)+(0+(0-0))+0-562.8-0</f>
        <v>3178.7</v>
      </c>
      <c r="R199" s="3">
        <f>3477.1+(1307.2-772.6)+(-5.319963+(-2.000016--1.182078))+0-478.5--0.732105000000028</f>
        <v>3527.7942039999998</v>
      </c>
      <c r="S199" s="3">
        <f>3363.8+(1782.6-810.6)+(-3.431076+(-1.818252--0.826812))+0-432--0.440640000000069</f>
        <v>3899.8181240000008</v>
      </c>
      <c r="T199" s="3">
        <f>3327.4+(1846.8-634)+(0+(0-0))+0-536.6-0</f>
        <v>4003.6</v>
      </c>
      <c r="U199" s="3">
        <f>2737.7+(2315.8-609.5)+(-2.792454+(-2.362116--0.62169))+0-539--0.549780000000086</f>
        <v>3901.0169000000005</v>
      </c>
      <c r="V199" s="3">
        <f>2430.8+(2156.5-653)+(-3.719124+(-3.299445--0.99909))+0-420.1--0.642753000000024</f>
        <v>3508.8232740000003</v>
      </c>
      <c r="W199" s="3">
        <f>2634.2+(1680.3-657.7)+(2.686884+(1.713906-0.670854))+0-543.8-0.554676000000087</f>
        <v>3116.1752599999995</v>
      </c>
      <c r="X199" s="3">
        <f>3218.8+(1453.5-745.4)+(-8.20794+(-3.706425--1.90077))+0-594.2--1.51520999999991</f>
        <v>3324.2016150000004</v>
      </c>
      <c r="Y199" s="3">
        <f>3694.9+(1323.4-832.2)+(-5.653197+(-2.024802--1.273266))+0-605.8--0.926874000000035</f>
        <v>3574.8221410000001</v>
      </c>
      <c r="Z199" s="3">
        <f>3861.4+(1279.3-909)+(-9.84657+(-3.262215--2.31795))+0-560.9--1.43029499999992</f>
        <v>3661.4394600000001</v>
      </c>
      <c r="AA199" s="3">
        <f>3741+(1406.8-792.2)+(-5.72373+(-2.152404--1.212066))+0-632--0.966960000000037</f>
        <v>3717.9028920000005</v>
      </c>
      <c r="AB199" s="3">
        <f>3349.4+(1724.8-686.8)+(-3.416388+(-1.759296--0.700536))+0-551.3--0.562326000000088</f>
        <v>3832.1871779999992</v>
      </c>
      <c r="AC199" s="3">
        <f>3043+(2131.5-662.3)+(-1.55193+(-1.087065--0.337773))+0-620.3--0.316352999999937</f>
        <v>3889.9151309999997</v>
      </c>
      <c r="AD199" s="2">
        <v>3494.8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2455.7+(2571-622.3)+(-3.757221+(-3.93363--0.952119))+0-481.5--0.736695000000028</f>
        <v>3916.8979629999999</v>
      </c>
      <c r="G200" s="3">
        <f>2195.8+(2836.7-637.3)+(-3.359574+(-4.340151--0.975069))+0-561.5--0.859095000000032</f>
        <v>3827.8344389999997</v>
      </c>
      <c r="H200" s="3">
        <f>1992.1+(2908.5-606.3)+(-2.031942+(-2.96667--0.618426))+0-586.9--0.598638000000094</f>
        <v>3703.6184519999988</v>
      </c>
      <c r="I200" s="3">
        <f>1703.7+(3078-582.3)+(-2.606661+(-4.70934--0.890919))+0-612.5--0.937125000000035</f>
        <v>3581.4120429999998</v>
      </c>
      <c r="J200" s="3">
        <f>1864.4+(2700.4-567.9)+(2.852532+(4.131612-0.868887))+0-529.2-0.809676000000031</f>
        <v>3473.0055810000003</v>
      </c>
      <c r="K200" s="3">
        <f>1726.5+(2731.9-561.4)+(-4.402575+(-6.966345--1.43157))+0-587.4--1.49786999999991</f>
        <v>3301.1605199999995</v>
      </c>
      <c r="L200" s="3">
        <f>1599.3+(2509.3-549.5)+(0+(0-0))+0-548.8-0</f>
        <v>3010.3</v>
      </c>
      <c r="M200" s="3">
        <f>1629.7+(2331-538.8)+(0+(0-0))+0-593.6-0</f>
        <v>2828.3</v>
      </c>
      <c r="N200" s="3">
        <f>1583.9+(2231.9-567.7)+(-3.231156+(-4.553076--1.158108))+0-435.4--0.888215999999981</f>
        <v>2806.9620920000002</v>
      </c>
      <c r="O200" s="3">
        <f>1990.3+(2097.6-600.3)+(-2.030106+(-2.139552--0.612306))+0-635.9--0.648618000000101</f>
        <v>2848.7912660000002</v>
      </c>
      <c r="P200" s="3">
        <f>1989.7+(2112.5-632.2)+(-3.044241+(-3.232125--0.967266))+0-511.3--0.78228900000003</f>
        <v>2954.1731890000001</v>
      </c>
      <c r="Q200" s="3">
        <f>2117.1+(2308.3-673)+(-4.318884+(-4.708932--1.37292))+0-587.2--1.19788799999997</f>
        <v>3158.742992</v>
      </c>
      <c r="R200" s="3">
        <f>2396.3+(2328.6-694.5)+(0+(0-0))+0-543.1-0</f>
        <v>3487.3</v>
      </c>
      <c r="S200" s="3">
        <f>2506.7+(2628.2-691.6)+(-6.392085+(-6.70191--1.76358))+0-621.4--1.58456999999991</f>
        <v>3812.1541549999988</v>
      </c>
      <c r="T200" s="3">
        <f>2411.3+(2778.8-667.6)+(-3.689289+(-4.251564--1.021428))+0-568--0.869040000000033</f>
        <v>3948.449615</v>
      </c>
      <c r="U200" s="3">
        <f>2581.2+(2604.1-658.3)+(-3.949236+(-3.984273--1.007199))+0-642.6--0.983178000000037</f>
        <v>3878.4568680000002</v>
      </c>
      <c r="V200" s="3">
        <f>2571.8+(2126.7-658)+(-2.623236+(-2.169234--0.67116))+0-545.5--0.556410000000087</f>
        <v>3491.4351000000001</v>
      </c>
      <c r="W200" s="3">
        <f>2707+(1607.5-635.6)+(1.38057+(0.819825-0.324156))+0-586.7-0.299216999999941</f>
        <v>3093.7770220000002</v>
      </c>
      <c r="X200" s="3">
        <f>3824.2+(1065.4-1029.3)+(0+(0-0))+0-556.5-0</f>
        <v>3303.8</v>
      </c>
      <c r="Y200" s="3">
        <f>4208.6+(1214.9-1214.4)+(-6.439158+(-1.858797--1.858032))+0-611.9--0.936207000000035</f>
        <v>3591.6962840000006</v>
      </c>
      <c r="Z200" s="3">
        <f>4099.4+(1206.8-1058.2)+(-2.090694+(-0.615468--0.539682))+0-556.6--0.283865999999944</f>
        <v>3689.517386</v>
      </c>
      <c r="AA200" s="3">
        <f>4017.6+(1272.2-844.6)+(-6.146928+(-1.946466--1.292238))+0-626.6--0.958698000000036</f>
        <v>3812.7575419999994</v>
      </c>
      <c r="AB200" s="3">
        <f>3658+(1525.5-677.6)+(-13.05906+(-5.446035--2.419032))+0-567.6--2.02633200000001</f>
        <v>3924.2402689999999</v>
      </c>
      <c r="AC200" s="3">
        <f>3410.4+(1859.1-650.9)+(-1.739304+(-0.948141--0.331959))+0-595.2--0.30355199999994</f>
        <v>4021.348066</v>
      </c>
      <c r="AD200" s="2">
        <v>3615.7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2805.3+(2474.1-645.1)+(-5.722812+(-5.047164--1.316004))+0-594.1--1.21196399999997</f>
        <v>4031.9579920000001</v>
      </c>
      <c r="G201" s="3">
        <f>2227+(2934.5-623.8)+(-1.13577+(-1.496595--0.318138))+0-623.6--0.318035999999937</f>
        <v>3912.1038090000002</v>
      </c>
      <c r="H201" s="3">
        <f>2018.8+(2917.1-604.3)+(-5.14794+(-7.438605--1.540965))+0-569.9--1.45324499999992</f>
        <v>3752.107665</v>
      </c>
      <c r="I201" s="3">
        <f>1778.6+(3007.9-619.2)+(-4.53543+(-7.670145--1.57896))+0-545.8--1.39178999999992</f>
        <v>3612.2651749999991</v>
      </c>
      <c r="J201" s="3">
        <f>1786+(2845.4-599.4)+(1.82172+(2.902308-0.611388))+0-543.8-0.554676000000087</f>
        <v>3491.7579639999999</v>
      </c>
      <c r="K201" s="3">
        <f>1748.2+(2737-586.9)+(0.891582+(1.39587-0.299319))+0-564-0.287639999999943</f>
        <v>3336.000493</v>
      </c>
      <c r="L201" s="3">
        <f>1780.7+(2349-578.8)+(1.816314+(2.39598-0.590376))+0-568.3-0.579666000000091</f>
        <v>2985.6422520000001</v>
      </c>
      <c r="M201" s="3">
        <f>1985.4+(1998.1-614.5)+(1.012554+(1.019031-0.313395))+0-528.8-0.269687999999946</f>
        <v>2841.6485020000005</v>
      </c>
      <c r="N201" s="3">
        <f>2184.3+(1916.7-602.6)+(0+(0-0))+0-541.7-0</f>
        <v>2956.7</v>
      </c>
      <c r="O201" s="3">
        <f>2198.4+(1943-625.6)+(0+(0-0))+0-440.2-0</f>
        <v>3075.6000000000004</v>
      </c>
      <c r="P201" s="3">
        <f>2842.9+(1626.7-668.9)+(-1.449879+(-0.829617--0.341139))+0-507.1--0.258620999999949</f>
        <v>3291.9202640000003</v>
      </c>
      <c r="Q201" s="3">
        <f>3230.6+(1472.9-704.4)+(4.942818+(2.253537-1.077732))+0-416-0.636480000000024</f>
        <v>3588.5821429999996</v>
      </c>
      <c r="R201" s="3">
        <f>3586.8+(1535.9-682.5)+(0+(0-0))+0-519.6-0</f>
        <v>3920.6000000000008</v>
      </c>
      <c r="S201" s="3">
        <f>3671.9+(1741.4-664.7)+(1.872669+(0.888114-0.338997))+0-477.1-0.243320999999952</f>
        <v>4273.678465</v>
      </c>
      <c r="T201" s="3">
        <f>3851.6+(1680.2-671.3)+(0+(0-0))+0-531.4-0</f>
        <v>4329.1000000000004</v>
      </c>
      <c r="U201" s="3">
        <f>3430.2+(1963.2-661.6)+(-12.245814+(-7.008624--2.361912))+0-517.6--1.84783200000001</f>
        <v>4199.1553059999997</v>
      </c>
      <c r="V201" s="3">
        <f>2798.4+(2284.9-653.4)+(-5.708736+(-4.661196--1.332936))+0-638.7--1.30294799999997</f>
        <v>3783.465952</v>
      </c>
      <c r="W201" s="3">
        <f>2718.3+(1694.4-677.1)+(1.386333+(0.864144-0.345321))+0-395.7-0.20180699999996</f>
        <v>3341.6033490000004</v>
      </c>
      <c r="X201" s="3">
        <f>4011.8+(1074.4-1048.3)+(0+(0-0))+0-461.1-0</f>
        <v>3576.8000000000006</v>
      </c>
      <c r="Y201" s="3">
        <f>3773.2+(1368.4-684)+(0+(0-0))+0-608.1-0</f>
        <v>3849.5000000000005</v>
      </c>
      <c r="Z201" s="3">
        <f>3596.8+(1588.1-687.8)+(-7.337472+(-3.239724--1.403112))+0-556.8--1.13587199999998</f>
        <v>3932.2617879999998</v>
      </c>
      <c r="AA201" s="3">
        <f>3528.6+(1785.2-668.9)+(-3.599172+(-1.820904--0.682278))+0-617.6--0.629952000000099</f>
        <v>4023.1921539999998</v>
      </c>
      <c r="AB201" s="3">
        <f>3429.6+(1923.8-662.4)+(-5.247288+(-2.943414--1.013472))+0-597.5--0.914175000000034</f>
        <v>4087.2369449999997</v>
      </c>
      <c r="AC201" s="3">
        <f>3183.4+(2211.4-667.9)+(-6.494136+(-4.511256--1.362516))+0-589.5--1.20257999999997</f>
        <v>4128.9597039999999</v>
      </c>
      <c r="AD201" s="2">
        <v>3665.6000000000008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2696.6+(2710.4-662.7)+(-5.501064+(-5.529216--1.351908))+0-624.6--1.27418399999997</f>
        <v>4111.2958119999994</v>
      </c>
      <c r="G202" s="3">
        <f>2302.3+(2915.4-654.1)+(-5.870865+(-7.43427--1.667955))+0-584.3--1.48996499999992</f>
        <v>3969.1527850000002</v>
      </c>
      <c r="H202" s="3">
        <f>1988.1+(3090.4-628.9)+(-3.041793+(-4.728312--0.962217))+0-618.9--0.946917000000036</f>
        <v>3824.8390290000002</v>
      </c>
      <c r="I202" s="3">
        <f>1786.4+(3082.2-609.7)+(-0.911064+(-1.571922--0.310947))+0-576.8--0.294167999999941</f>
        <v>3680.2221289999993</v>
      </c>
      <c r="J202" s="3">
        <f>1890.4+(2851.1-606.4)+(2.892312+(4.362183-0.927792))+0-602.2-0.921366000000035</f>
        <v>3538.3053370000002</v>
      </c>
      <c r="K202" s="3">
        <f>1721+(2844.8-602.5)+(-2.63313+(-4.352544--0.921825))+0-592--0.905760000000034</f>
        <v>3366.1419110000002</v>
      </c>
      <c r="L202" s="3">
        <f>1611.1+(2510.8-604)+(0+(0-0))+0-545.2-0</f>
        <v>2972.7</v>
      </c>
      <c r="M202" s="3">
        <f>1760.3+(2222.4-605.2)+(-1.795506+(-2.266848--0.617304))+0-618.6--0.630972000000099</f>
        <v>2756.0859220000002</v>
      </c>
      <c r="N202" s="3">
        <f>1837+(2130-609.8)+(2.81061+(3.2589-0.932994))+0-546-0.835380000000032</f>
        <v>2815.5011359999999</v>
      </c>
      <c r="O202" s="3">
        <f>2130.2+(2066.7-634.3)+(1.086402+(1.054017-0.323493))+0-616.4-0.314363999999937</f>
        <v>2947.7025619999995</v>
      </c>
      <c r="P202" s="3">
        <f>2334.4+(1975-647.6)+(0+(0-0))+0-534.1-0</f>
        <v>3127.7000000000003</v>
      </c>
      <c r="Q202" s="3">
        <f>2898.5+(1747.8-668.5)+(-2.95647+(-1.782756--0.68187))+0-549.9--0.560898000000088</f>
        <v>3424.4035420000005</v>
      </c>
      <c r="R202" s="3">
        <f>2923.6+(2051.4-633.6)+(0+(0-0))+0-501.1-0</f>
        <v>3840.2999999999997</v>
      </c>
      <c r="S202" s="3">
        <f>3182.3+(2343-630.5)+(1.622973+(1.19493-0.321555))+0-637.5-0.325124999999935</f>
        <v>4259.4712229999996</v>
      </c>
      <c r="T202" s="3">
        <f>3622.4+(1921.4-632.7)+(-3.694848+(-1.959828--0.645354))+0-583.3--0.594966000000093</f>
        <v>4323.385644</v>
      </c>
      <c r="U202" s="3">
        <f>3316.8+(2134.5-616.8)+(-8.45784+(-5.442975--1.57284))+0-620.8--1.58303999999991</f>
        <v>4202.9550649999992</v>
      </c>
      <c r="V202" s="3">
        <f>2596.3+(2411.2-642.2)+(-2.648226+(-2.459424--0.655044))+0-601.7--0.613734000000096</f>
        <v>3759.7611280000006</v>
      </c>
      <c r="W202" s="3">
        <f>2492.5+(2069.1-629.6)+(1.271175+(1.055241-0.321096))+0-583.1-0.297380999999941</f>
        <v>3350.6079390000004</v>
      </c>
      <c r="X202" s="3">
        <f>3880.4+(1209.6-878.8)+(-3.958008+(-1.233792--0.896376))+0-600.9--0.612918000000096</f>
        <v>3606.6174940000001</v>
      </c>
      <c r="Y202" s="3">
        <f>3937.3+(1155.3-658.3)+(0+(0-0))+0-564.6-0</f>
        <v>3869.7000000000003</v>
      </c>
      <c r="Z202" s="3">
        <f>3677+(1529.9-649.6)+(-1.87527+(-0.780249--0.331296))+0-608.6--0.310385999999938</f>
        <v>3946.6861630000008</v>
      </c>
      <c r="AA202" s="3">
        <f>3601.7+(1694.6-632.6)+(-1.836867+(-0.864246--0.322626))+0-606--0.309059999999939</f>
        <v>4055.6305729999999</v>
      </c>
      <c r="AB202" s="3">
        <f>3205.3+(2088.5-618.4)+(-6.538812+(-4.26054--1.261536))+0-548.1--1.11812399999998</f>
        <v>4118.8803079999989</v>
      </c>
      <c r="AC202" s="3">
        <f>3188.4+(2351.8-643)+(0+(0-0))+0-615.7-0</f>
        <v>4281.5000000000009</v>
      </c>
      <c r="AD202" s="2">
        <v>3746.2000000000003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2616.1+(2704-629.3)+(0+(0-0))+0-558.8-0</f>
        <v>4131.9999999999991</v>
      </c>
      <c r="G203" s="3">
        <f>2310.3+(2910.7-625.6)+(1.178253+(1.484457-0.319056))+0-600.5-0.306254999999939</f>
        <v>3996.9373989999999</v>
      </c>
      <c r="H203" s="3">
        <f>2036.8+(2993.6-609.1)+(1.038768+(1.526736-0.310641))+0-571.5-0.291464999999942</f>
        <v>3851.7633980000005</v>
      </c>
      <c r="I203" s="3">
        <f>1934.8+(2978.1-605.8)+(1.973496+(3.037662-0.617916))+0-584.3-0.595986000000093</f>
        <v>3726.597256</v>
      </c>
      <c r="J203" s="3">
        <f>2073+(2734.6-594.5)+(-2.11446+(-2.789292--0.60639))+0-621.4--0.633828000000099</f>
        <v>3588.036466</v>
      </c>
      <c r="K203" s="3">
        <f>1725+(2871.2-576.2)+(-1.7595+(-2.928624--0.587724))+0-580--0.591600000000093</f>
        <v>3436.4912000000004</v>
      </c>
      <c r="L203" s="3">
        <f>1807.4+(2479.8-591.4)+(4.60887+(6.32349-1.50807))+0-633.8-1.61618999999991</f>
        <v>3069.8081000000002</v>
      </c>
      <c r="M203" s="3">
        <f>1845.6+(2113.7-574.7)+(0.941256+(1.077987-0.293097))+0-526.2-0.268361999999947</f>
        <v>2859.8577839999998</v>
      </c>
      <c r="N203" s="3">
        <f>1866.3+(2248.3-568.5)+(1.903626+(2.293266-0.57987))+0-562.6-0.57385200000009</f>
        <v>2986.5431700000004</v>
      </c>
      <c r="O203" s="3">
        <f>2435.6+(1774.9-582.1)+(3.726468+(2.715597-0.890613))+0-499.4-0.764082000000029</f>
        <v>3133.78737</v>
      </c>
      <c r="P203" s="3">
        <f>3158.4+(1430.2-623.1)+(1.610784+(0.729402-0.317781))+0-593.7-0.30278699999994</f>
        <v>3373.5196179999998</v>
      </c>
      <c r="Q203" s="3">
        <f>3345.6+(1434.9-654.6)+(0+(0-0))+0-520-0</f>
        <v>3605.8999999999996</v>
      </c>
      <c r="R203" s="3">
        <f>3407.4+(1773-645.3)+(-1.737774+(-0.90423--0.329103))+0-606.6--0.309365999999938</f>
        <v>3926.4964650000002</v>
      </c>
      <c r="S203" s="3">
        <f>3467.4+(2011.6-640.7)+(5.305122+(3.077748-0.980271))+0-610.6-0.934218000000035</f>
        <v>4234.1683809999995</v>
      </c>
      <c r="T203" s="3">
        <f>3645.5+(1944.3-646)+(1.859205+(0.991593-0.32946))+0-601.7-0.306866999999939</f>
        <v>4344.3144709999997</v>
      </c>
      <c r="U203" s="3">
        <f>3286.3+(2113.4-642.6)+(-10.056078+(-6.467004--1.966356))+0-603.7--1.84732200000007</f>
        <v>4140.6905960000004</v>
      </c>
      <c r="V203" s="3">
        <f>2411.6+(2380.8-633.4)+(-4.919664+(-4.856832--1.292136))+0-416.5--0.849659999999982</f>
        <v>3734.8652999999995</v>
      </c>
      <c r="W203" s="3">
        <f>2517.8+(1997.2-653.5)+(0+(0-0))+0-526.4-0</f>
        <v>3335.1</v>
      </c>
      <c r="X203" s="3">
        <f>3214.1+(1652.8-761.2)+(-1.639191+(-0.842928--0.388212))+0-444.1--0.226490999999955</f>
        <v>3659.7325839999994</v>
      </c>
      <c r="Y203" s="3">
        <f>3326+(1731.4-721.9)+(-1.69626+(-0.883014--0.368169))+0-504.4--0.257243999999949</f>
        <v>3829.1461389999995</v>
      </c>
      <c r="Z203" s="3">
        <f>3268.9+(1771.5-655.1)+(-3.334278+(-1.80693--0.668202))+0-497.6--0.507552000000079</f>
        <v>3883.7345460000001</v>
      </c>
      <c r="AA203" s="3">
        <f>3308+(1825.7-619.8)+(-6.74832+(-3.724428--1.264392))+0-504--1.02815999999998</f>
        <v>4001.7198039999994</v>
      </c>
      <c r="AB203" s="3">
        <f>3106.9+(2075.2-661.1)+(3.169038+(2.116704-0.674322))+0-514.8-0.525096000000082</f>
        <v>4010.2863239999997</v>
      </c>
      <c r="AC203" s="3">
        <f>2764.2+(2555.1-673.9)+(-1.409742+(-1.303101--0.343689))+0-518.3--0.264332999999947</f>
        <v>4124.9951789999996</v>
      </c>
      <c r="AD203" s="2">
        <v>3804.8999999999996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2978.9+(2289.1-664.4)+(-4.557717+(-3.502323--1.016532))+0-505.6--0.773568000000029</f>
        <v>4091.7300600000008</v>
      </c>
      <c r="G204" s="3">
        <f>2920.1+(2275.3-644.3)+(-7.446255+(-5.802015--1.642965))+0-587.2--1.49735999999991</f>
        <v>3953.7920550000003</v>
      </c>
      <c r="H204" s="3">
        <f>2764.8+(2349-646.2)+(-7.05024+(-5.98995--1.64781))+0-628.5--1.60267499999991</f>
        <v>3829.3102950000002</v>
      </c>
      <c r="I204" s="3">
        <f>2174.6+(2798.2-618.5)+(-3.327138+(-4.281246--0.946305))+0-589.1--0.901323000000034</f>
        <v>3759.4392439999997</v>
      </c>
      <c r="J204" s="3">
        <f>2212.8+(2654-604)+(-2.257056+(-2.70708--0.61608))+0-612.4--0.624648000000098</f>
        <v>3646.6765920000003</v>
      </c>
      <c r="K204" s="3">
        <f>2195.6+(2533.2-603.9)+(-3.359268+(-3.875796--0.923967))+0-611.9--0.936207000000035</f>
        <v>3507.6251099999999</v>
      </c>
      <c r="L204" s="3">
        <f>2077.1+(2314.9-628.5)+(-2.118642+(-2.361198--0.64107))+0-605--0.617100000000096</f>
        <v>3155.2783300000001</v>
      </c>
      <c r="M204" s="3">
        <f>2544.2+(1704.5-634)+(-1.297542+(-0.869295--0.32334))+0-598.3--0.305132999999939</f>
        <v>3014.8616359999996</v>
      </c>
      <c r="N204" s="3">
        <f>2679.4+(1627.3-626.6)+(-1.366494+(-0.829923--0.319566))+0-593.6--0.30273599999994</f>
        <v>3084.9258850000001</v>
      </c>
      <c r="O204" s="3">
        <f>2837.2+(1462.7-640.5)+(0+(0-0))+0-458.5-0</f>
        <v>3200.8999999999996</v>
      </c>
      <c r="P204" s="3">
        <f>3316+(1254-653.8)+(3.38232+(1.27908-0.666876))+0-571.4-0.582828000000091</f>
        <v>3348.2116959999998</v>
      </c>
      <c r="Q204" s="3">
        <f>3591.4+(1112.4-623.6)+(-1.831614+(-0.567324--0.318036))+0-517.7--0.264026999999948</f>
        <v>3560.6831250000005</v>
      </c>
      <c r="R204" s="3">
        <f>3720.5+(1206.7-609.6)+(1.897455+(0.615417-0.310896))+0-423.2-0.215831999999957</f>
        <v>3896.386144000001</v>
      </c>
      <c r="S204" s="3">
        <f>3703.8+(1726-634.6)+(-5.666814+(-2.64078--0.970938))+0-589.8--0.902394000000034</f>
        <v>4198.9657379999999</v>
      </c>
      <c r="T204" s="3">
        <f>3713+(1634.2-645.3)+(-1.89363+(-0.833442--0.329103))+0-494--0.25193999999995</f>
        <v>4205.7539710000001</v>
      </c>
      <c r="U204" s="3">
        <f>3243.7+(1881.9-621)+(-8.271435+(-4.798845--1.58355))+0-446.7--1.13908499999994</f>
        <v>4047.5523550000007</v>
      </c>
      <c r="V204" s="3">
        <f>2659.6+(1983.2-630.2)+(-4.069188+(-3.034296--0.964206))+0-468--0.716040000000027</f>
        <v>3539.1767620000001</v>
      </c>
      <c r="W204" s="3">
        <f>3167+(1206.4-656.1)+(-1.61517+(-0.615264--0.334611))+0-497.9--0.25392899999995</f>
        <v>3217.7581060000002</v>
      </c>
      <c r="X204" s="3">
        <f>4205.7+(971-1091.4)+(-10.724535+(-2.47605--2.78307))+0-547.5--1.39612499999992</f>
        <v>3528.7786099999994</v>
      </c>
      <c r="Y204" s="3">
        <f>4368.6+(1020.3-1101.1)+(-8.911944+(-2.081412--2.246244))+0-511.9--1.04427599999998</f>
        <v>3768.1971640000002</v>
      </c>
      <c r="Z204" s="3">
        <f>4270.5+(1103.7-946.4)+(-4.35591+(-1.125774--0.965328))+0-531.6--0.542232000000085</f>
        <v>3892.2258760000004</v>
      </c>
      <c r="AA204" s="3">
        <f>4064.7+(1271.3-726.8)+(-6.218991+(-1.945089--1.112004))+0-578.7--0.885411000000033</f>
        <v>4024.3333350000003</v>
      </c>
      <c r="AB204" s="3">
        <f>3868.6+(1530-670.2)+(-7.891944+(-3.1212--1.367208))+0-576.9--1.17687599999997</f>
        <v>4143.0309399999996</v>
      </c>
      <c r="AC204" s="3">
        <f>3533.3+(1930.1-662.6)+(-9.009915+(-4.921755--1.68963))+0-595.5--1.51852499999991</f>
        <v>4194.5764849999996</v>
      </c>
      <c r="AD204" s="2">
        <v>3698.6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3206.7+(2195.5-654)+(-6.541668+(-4.47882--1.33416))+0-560.9--1.14423599999998</f>
        <v>4178.7579080000005</v>
      </c>
      <c r="G205" s="3">
        <f>2580.4+(2755.1-630)+(-3.948012+(-4.215303--0.9639))+0-635.8--0.972774000000037</f>
        <v>4063.4733589999996</v>
      </c>
      <c r="H205" s="3">
        <f>2436.2+(2602.9-628.4)+(-2.484924+(-2.654958--0.640968))+0-455.9--0.465018000000073</f>
        <v>3950.7661039999998</v>
      </c>
      <c r="I205" s="3">
        <f>2436.4+(2681.1-620.2)+(1.242564+(1.367361-0.316302))+0-666.2-0.339761999999932</f>
        <v>3833.053860999999</v>
      </c>
      <c r="J205" s="3">
        <f>2179.6+(2664.1-611.1)+(0+(0-0))+0-486.1-0</f>
        <v>3746.5000000000005</v>
      </c>
      <c r="K205" s="3">
        <f>2245.3+(2601.1-610.2)+(-1.145103+(-1.326561--0.311202))+0-642.2--0.327521999999935</f>
        <v>3592.1670600000002</v>
      </c>
      <c r="L205" s="3">
        <f>2067.1+(2348.5-624.2)+(-1.054221+(-1.197735--0.318342))+0-560.6--0.285905999999943</f>
        <v>3229.1522919999998</v>
      </c>
      <c r="M205" s="3">
        <f>2390.2+(1875.2-613.4)+(1.219002+(0.956352-0.312834))+0-640.5-0.326654999999935</f>
        <v>3013.0358650000003</v>
      </c>
      <c r="N205" s="3">
        <f>2474.4+(1764.6-632.6)+(-1.261944+(-0.899946--0.322626))+0-551.8--0.281417999999944</f>
        <v>3053.0421540000002</v>
      </c>
      <c r="O205" s="3">
        <f>2756.1+(1518.8-597.5)+(0+(0-0))+0-585-0</f>
        <v>3092.3999999999996</v>
      </c>
      <c r="P205" s="3">
        <f>2987.9+(1435.4-581.3)+(1.523829+(0.732054-0.296463))+0-618.1-0.315230999999937</f>
        <v>3225.5441890000002</v>
      </c>
      <c r="Q205" s="3">
        <f>3500.9+(1147.9-644.4)+(3.570918+(1.170858-0.657288))+0-616.9-0.629238000000098</f>
        <v>3390.95525</v>
      </c>
      <c r="R205" s="3">
        <f>3630.1+(1259.6-642.7)+(-1.851351+(-0.642396--0.327777))+0-573.4--0.292433999999942</f>
        <v>3671.7264639999999</v>
      </c>
      <c r="S205" s="3">
        <f>3454.1+(1798.8-641.8)+(-10.569546+(-5.504328--1.963908))+0-594.6--1.81947600000007</f>
        <v>4004.2095100000006</v>
      </c>
      <c r="T205" s="3">
        <f>3207.5+(2119.1-669)+(-4.907475+(-3.242223--1.02357))+0-594.3--0.909279000000034</f>
        <v>4057.0831510000003</v>
      </c>
      <c r="U205" s="3">
        <f>2948.6+(2236.3-670.4)+(-4.511358+(-3.421539--1.025712))+0-634.7--0.971091000000037</f>
        <v>3873.863906</v>
      </c>
      <c r="V205" s="3">
        <f>2709.8+(2085-669)+(-4.145994+(-3.19005--1.02357))+0-613.6--0.938808000000036</f>
        <v>3506.8263339999999</v>
      </c>
      <c r="W205" s="3">
        <f>2890+(1582.5-676.8)+(0+(0-0))+0-581.8-0</f>
        <v>3213.8999999999996</v>
      </c>
      <c r="X205" s="3">
        <f>3784.5+(1206.4-978.7)+(-7.72038+(-2.461056--1.996548))+0-475.4--0.969815999999979</f>
        <v>3529.5849279999998</v>
      </c>
      <c r="Y205" s="3">
        <f>3707.9+(1412.9-869.8)+(-9.455145+(-3.602895--2.21799))+0-516.5--1.31707499999993</f>
        <v>3724.9770250000001</v>
      </c>
      <c r="Z205" s="3">
        <f>3324.7+(1730.8-664.9)+(-8.477985+(-4.41354--1.695495))+0-591.1--1.50730499999991</f>
        <v>3789.8112750000005</v>
      </c>
      <c r="AA205" s="3">
        <f>3507.3+(1586.6-651.7)+(-3.577446+(-1.618332--0.664734))+0-542.2--0.553044000000086</f>
        <v>3896.0219999999999</v>
      </c>
      <c r="AB205" s="3">
        <f>3652+(1608.1-671.4)+(-3.72504+(-1.640262--0.684828))+0-589.6--0.601392000000094</f>
        <v>3995.0209180000002</v>
      </c>
      <c r="AC205" s="3">
        <f>3584.7+(1780.7-651.9)+(-5.484591+(-2.724471--0.997407))+0-651.3--0.996489000000038</f>
        <v>4055.9848339999999</v>
      </c>
      <c r="AD205" s="2">
        <v>3613.2999999999997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2769+(2455.4-604)+(0+(0-0))+0-604.4-0</f>
        <v>4015.9999999999995</v>
      </c>
      <c r="G206" s="3">
        <f>2372.9+(2840-606.6)+(-3.630537+(-4.3452--0.928098))+0-691.7--1.05830100000004</f>
        <v>3908.610662</v>
      </c>
      <c r="H206" s="3">
        <f>2094.5+(2912.8-590.7)+(-3.204585+(-4.456584--0.903771))+0-627.8--0.960534000000036</f>
        <v>3783.0031360000003</v>
      </c>
      <c r="I206" s="3">
        <f>2053.2+(2799.3-590.1)+(0+(0-0))+0-617.7-0</f>
        <v>3644.7</v>
      </c>
      <c r="J206" s="3">
        <f>1998.6+(2667.4-581.5)+(2.038572+(2.720748-0.59313))+0-580.1-0.591702000000093</f>
        <v>3507.9744879999998</v>
      </c>
      <c r="K206" s="3">
        <f>1986.9+(2561.6-571.6)+(2.026638+(2.612832-0.583032))+0-717.8-0.732156000000114</f>
        <v>3262.4242819999999</v>
      </c>
      <c r="L206" s="3">
        <f>2188.3+(2163.1-576)+(2.232066+(2.206362-0.58752))+0-644.9-0.657798000000103</f>
        <v>3133.6931099999997</v>
      </c>
      <c r="M206" s="3">
        <f>2347.2+(1688.2-600.4)+(0+(0-0))+0-570.5-0</f>
        <v>2864.5</v>
      </c>
      <c r="N206" s="3">
        <f>2449.3+(1676.3-630.9)+(0+(0-0))+0-650.5-0</f>
        <v>2844.2000000000003</v>
      </c>
      <c r="O206" s="3">
        <f>2798.6+(1387.9-606.8)+(0+(0-0))+0-594.5-0</f>
        <v>2985.2</v>
      </c>
      <c r="P206" s="3">
        <f>3262.2+(1033.9-627.4)+(0+(0-0))+0-520.7-0</f>
        <v>3148</v>
      </c>
      <c r="Q206" s="3">
        <f>3348.9+(1238.3-609.5)+(0+(0-0))+0-633.8-0</f>
        <v>3343.8999999999996</v>
      </c>
      <c r="R206" s="3">
        <f>3198.8+(1666.8-555.9)+(0+(0-0))+0-625-0</f>
        <v>3684.7000000000007</v>
      </c>
      <c r="S206" s="3">
        <f>3151.1+(1887.2-568.2)+(0+(0-0))+0-522.1-0</f>
        <v>3948.0000000000005</v>
      </c>
      <c r="T206" s="3">
        <f>3346.4+(1958-628.4)+(3.413328+(1.99716-0.640968))+0-694.6-0.708492000000111</f>
        <v>3985.4610279999997</v>
      </c>
      <c r="U206" s="3">
        <f>2967.6+(2013.4-614.7)+(-6.053904+(-4.107336--1.253988))+0-477--0.973079999999979</f>
        <v>3881.365828</v>
      </c>
      <c r="V206" s="3">
        <f>2978.2+(1737.9-606.8)+(0+(0-0))+0-638.3-0</f>
        <v>3471</v>
      </c>
      <c r="W206" s="3">
        <f>3255.4+(1266.7-714.9)+(1.660254+(0.646017-0.364599))+0-671.2-0.342311999999932</f>
        <v>3137.5993600000002</v>
      </c>
      <c r="X206" s="3">
        <f>3592.2+(1207.8-697.7)+(-9.16011+(-3.07989--1.779135))+0-681--1.7365499999999</f>
        <v>3412.5756849999993</v>
      </c>
      <c r="Y206" s="3">
        <f>3329.1+(1522-656.1)+(-8.489205+(-3.8811--1.673055))+0-584.2--1.48970999999992</f>
        <v>3601.5924599999998</v>
      </c>
      <c r="Z206" s="3">
        <f>3334+(1699.8-645.3)+(-1.70034+(-0.866898--0.329103))+0-717.1--0.365720999999927</f>
        <v>3669.5275860000006</v>
      </c>
      <c r="AA206" s="3">
        <f>3047.4+(1901.4-633.1)+(-1.554174+(-0.969714--0.322881))+0-616--0.314159999999937</f>
        <v>3697.813153000001</v>
      </c>
      <c r="AB206" s="3">
        <f>3147+(1963.7-627.7)+(0+(0-0))+0-675.4-0</f>
        <v>3807.6</v>
      </c>
      <c r="AC206" s="3">
        <f>3060+(2134-615.9)+(-4.6818+(-3.26502--0.942327))+0-700.8--1.07222400000004</f>
        <v>3871.3677309999998</v>
      </c>
      <c r="AD206" s="2">
        <v>3513.7000000000003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2795.1+(2417.2-614.5)+(-5.702004+(-4.931088--1.25358))+0-703--1.43411999999997</f>
        <v>3886.8546079999987</v>
      </c>
      <c r="G207" s="3">
        <f>2366.6+(2739.2-594.2)+(-4.827864+(-5.587968--1.212168))+0-665.6--1.35782399999997</f>
        <v>3838.154160000001</v>
      </c>
      <c r="H207" s="3">
        <f>2057.9+(2897.3-577.5)+(-3.148587+(-4.432869--0.883575))+0-665.5--1.01821500000004</f>
        <v>3706.5203340000007</v>
      </c>
      <c r="I207" s="3">
        <f>2098.1+(2692.2-563.6)+(-1.070031+(-1.373022--0.287436))+0-631.7--0.322166999999936</f>
        <v>3593.1665499999995</v>
      </c>
      <c r="J207" s="3">
        <f>2046+(2636.8-572.1)+(2.08692+(2.689536-0.583542))+0-633-0.645660000000101</f>
        <v>3481.2472540000008</v>
      </c>
      <c r="K207" s="3">
        <f>1893.6+(2663.2-565.4)+(-3.862944+(-5.432928--1.153416))+0-654.6--1.33538399999997</f>
        <v>3329.9929279999997</v>
      </c>
      <c r="L207" s="3">
        <f>1757+(2472.4-568.7)+(0.89607+(1.260924-0.290037))+0-644.7-0.328796999999935</f>
        <v>3017.5381600000001</v>
      </c>
      <c r="M207" s="3">
        <f>1966.2+(2120.1-571.8)+(0+(0-0))+0-695.1-0</f>
        <v>2819.4</v>
      </c>
      <c r="N207" s="3">
        <f>2015.7+(1999.1-591.4)+(-1.028007+(-1.019541--0.301614))+0-627.9--0.320228999999936</f>
        <v>2794.0742949999994</v>
      </c>
      <c r="O207" s="3">
        <f>2391.2+(1586.9-604.7)+(1.219512+(0.809319-0.308397))+0-546.9-0.278918999999945</f>
        <v>2827.9415149999995</v>
      </c>
      <c r="P207" s="3">
        <f>2502.9+(1682.7-596.8)+(0+(0-0))+0-623.7-0</f>
        <v>2965.1000000000004</v>
      </c>
      <c r="Q207" s="3">
        <f>2648+(1719.6-600.4)+(1.35048+(0.876996-0.306204))+0-612.6-0.312425999999938</f>
        <v>3156.208846</v>
      </c>
      <c r="R207" s="3">
        <f>2668.4+(2009.7-627.9)+(0+(0-0))+0-586.5-0</f>
        <v>3463.7000000000003</v>
      </c>
      <c r="S207" s="3">
        <f>2686.9+(2276.9-629.8)+(-5.481276+(-4.644876--1.284792))+0-591.2--1.20604799999997</f>
        <v>3735.1646879999998</v>
      </c>
      <c r="T207" s="3">
        <f>2643+(2372.8-579.6)+(-5.39172+(-4.840512--1.182384))+0-604.7--1.23358799999997</f>
        <v>3823.6837400000013</v>
      </c>
      <c r="U207" s="3">
        <f>2487.7+(2480.5-629)+(-5.074908+(-5.06022--1.28316))+0-666.8--1.36027199999997</f>
        <v>3664.9083039999996</v>
      </c>
      <c r="V207" s="3">
        <f>2410.7+(2144.1-632.4)+(-3.688371+(-3.280473--0.967572))+0-609.8--0.932994000000035</f>
        <v>3307.5317220000002</v>
      </c>
      <c r="W207" s="3">
        <f>2878.9+(1426.7-651.1)+(1.468239+(0.727617-0.332061))+0-684.1-0.348890999999931</f>
        <v>2971.9149040000002</v>
      </c>
      <c r="X207" s="3">
        <f>3503.6+(1252.1-844.7)+(-5.360508+(-1.915713--1.292391))+0-616.6--0.943398000000036</f>
        <v>3289.3595679999999</v>
      </c>
      <c r="Y207" s="3">
        <f>3687.4+(1337.9-831.8)+(-9.40287+(-3.411645--2.12109))+0-697.4--1.7783699999999</f>
        <v>3487.1849449999995</v>
      </c>
      <c r="Z207" s="3">
        <f>3845.9+(1177.6-803.3)+(-5.884227+(-1.801728--1.229049))+0-637--0.974610000000037</f>
        <v>3577.7177039999997</v>
      </c>
      <c r="AA207" s="3">
        <f>3864.7+(1254-719)+(-7.883988+(-2.55816--1.46676))+0-701.5--1.43105999999997</f>
        <v>3690.6556719999999</v>
      </c>
      <c r="AB207" s="3">
        <f>3876+(1400-709.8)+(-7.90704+(-2.856--1.447992))+0-640.8--1.30723199999997</f>
        <v>3917.3921839999994</v>
      </c>
      <c r="AC207" s="3">
        <f>3303.9+(1948-633)+(-8.424945+(-4.9674--1.61415))+0-713.7--1.8199349999999</f>
        <v>3895.2417399999999</v>
      </c>
      <c r="AD207" s="2">
        <v>3580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2968.5+(2128.8-591.2)+(-4.541805+(-3.257064--0.904536))+0-626--0.957780000000036</f>
        <v>3874.1634470000004</v>
      </c>
      <c r="G208" s="3">
        <f>2201+(2908.1-572.2)+(-3.36753+(-4.449393--0.875466))+0-712--1.08936000000004</f>
        <v>3819.0479029999997</v>
      </c>
      <c r="H208" s="3">
        <f>1910.4+(3031.8-568.9)+(-4.87152+(-7.73109--1.450695))+0-602.7--1.53688499999991</f>
        <v>3760.98497</v>
      </c>
      <c r="I208" s="3">
        <f>1846.9+(2838-546.9)+(-0.941919+(-1.44738--0.278919))+0-702.9--0.358478999999929</f>
        <v>3433.3480989999998</v>
      </c>
      <c r="J208" s="3">
        <f>1911.8+(2524.7-522.9)+(-0.975018+(-1.287597--0.266679))+0-599.7--0.305846999999939</f>
        <v>3312.2099109999995</v>
      </c>
      <c r="K208" s="3">
        <f>1919+(2459.2-512.8)+(-1.95738+(-2.508384--0.523056))+0-712.3--0.726546000000113</f>
        <v>3149.8838380000002</v>
      </c>
      <c r="L208" s="3">
        <f>1803.6+(2082.1-516.4)+(-0.919836+(-1.061871--0.263364))+0-566.9--0.289118999999943</f>
        <v>2800.9707759999997</v>
      </c>
      <c r="M208" s="3">
        <f>1942.8+(1831.9-529.6)+(1.981656+(1.868538-0.540192))+0-650.6-0.663612000000104</f>
        <v>2597.1463900000003</v>
      </c>
      <c r="N208" s="3">
        <f>2259.5+(1421.1-551.1)+(-3.457035+(-2.174283--0.843183))+0-500.8--0.766224000000029</f>
        <v>2624.678089</v>
      </c>
      <c r="O208" s="3">
        <f>2612.2+(1255.2-600.6)+(0+(0-0))+0-563.8-0</f>
        <v>2703</v>
      </c>
      <c r="P208" s="3">
        <f>2713.3+(1244.2-587.1)+(0+(0-0))+0-578.3-0</f>
        <v>2792.1000000000004</v>
      </c>
      <c r="Q208" s="3">
        <f>2831.1+(972.7-620.9)+(0+(0-0))+0-225.7-0</f>
        <v>2957.2000000000003</v>
      </c>
      <c r="R208" s="3">
        <f>2983.5+(1063.9-609.6)+(0+(0-0))+0-266.6-0</f>
        <v>3171.2000000000003</v>
      </c>
      <c r="S208" s="3">
        <f>3405.4+(1318.8-638.7)+(0+(0-0))+0-583.5-0</f>
        <v>3502</v>
      </c>
      <c r="T208" s="3">
        <f>3317.4+(1422.2-598.6)+(0+(0-0))+0-519.8-0</f>
        <v>3621.2</v>
      </c>
      <c r="U208" s="3">
        <f>3411.8+(1321.6-664.6)+(0+(0-0))+0-550.8-0</f>
        <v>3518</v>
      </c>
      <c r="V208" s="3">
        <f>2870+(1475.7-573.2)+(0+(0-0))+0-576.1-0</f>
        <v>3196.4</v>
      </c>
      <c r="W208" s="3">
        <f>3378.3+(870-853.2)+(0+(0-0))+0-522.9-0</f>
        <v>2872.2000000000003</v>
      </c>
      <c r="X208" s="3">
        <f>3959.6+(882.7-1100.3)+(0+(0-0))+0-642.2-0</f>
        <v>3099.8</v>
      </c>
      <c r="Y208" s="3">
        <f>3842+(800.9-904.6)+(0+(0-0))+0-500.7-0</f>
        <v>3237.6000000000004</v>
      </c>
      <c r="Z208" s="3">
        <f>3760+(900.6-746)+(0+(0-0))+0-645.9-0</f>
        <v>3268.7</v>
      </c>
      <c r="AA208" s="3">
        <f>3767.8+(820.1-776.8)+(0+(0-0))+0-491.6-0</f>
        <v>3319.5000000000005</v>
      </c>
      <c r="AB208" s="3">
        <f>3785.1+(973.1-764)+(0+(0-0))+0-629.5-0</f>
        <v>3364.7</v>
      </c>
      <c r="AC208" s="3">
        <f>3446.2+(1118.8-571)+(0+(0-0))+0-555.1-0</f>
        <v>3438.9</v>
      </c>
      <c r="AD208" s="2">
        <v>3077.1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2411.5+(2056.6-540.9)+(-3.689595+(-3.146598--0.827577))+0-631.9--0.966807000000037</f>
        <v>3290.2581909999999</v>
      </c>
      <c r="G209" s="3">
        <f>2535.7+(1715.1-519.4)+(1.293207+(0.874701-0.264894))+0-565.3-0.288302999999943</f>
        <v>3167.7147110000001</v>
      </c>
      <c r="H209" s="3">
        <f>2514.9+(1599.9-497)+(-2.565198+(-1.631898--0.50694))+0-595.8--0.607716000000095</f>
        <v>3018.9175600000003</v>
      </c>
      <c r="I209" s="3">
        <f>2413.6+(1535.1-475.7)+(-1.230936+(-0.782901--0.242607))+0-581.8--0.296717999999941</f>
        <v>2889.7254880000005</v>
      </c>
      <c r="J209" s="3">
        <f>2139.1+(1666.5-459.3)+(-3.272823+(-2.549745--0.702729))+0-579.6--0.886788000000034</f>
        <v>2762.4669490000006</v>
      </c>
      <c r="K209" s="3">
        <f>2047.6+(1603.5-460.5)+(-1.044276+(-0.817785--0.234855))+0-573--0.292229999999942</f>
        <v>2616.2650239999998</v>
      </c>
      <c r="L209" s="3">
        <f>1949.3+(1557-484.8)+(0+(0-0))+0-612.4-0</f>
        <v>2409.1</v>
      </c>
      <c r="M209" s="3">
        <f>2054.9+(1207.3-487.1)+(2.095998+(1.231446-0.496842))+0-543.1-0.553962000000087</f>
        <v>2234.27664</v>
      </c>
      <c r="N209" s="3">
        <f>2309.6+(783.4-372.4)+(2.355792+(0.799068-0.379848))+0-583.3-0.594966000000093</f>
        <v>2139.4800460000001</v>
      </c>
      <c r="O209" s="3">
        <f>2503.2+(581.3-383.7)+(-1.276632+(-0.296463--0.195687))+0-447.3--0.228122999999955</f>
        <v>2252.3507149999996</v>
      </c>
      <c r="P209" s="3">
        <f>2718.1+(635.9-403.9)+(0+(0-0))+0-513-0</f>
        <v>2437.1</v>
      </c>
      <c r="Q209" s="3">
        <f>2803.3+(590.2-415.9)+(-4.289049+(-0.903006--0.636327))+0-354.2--0.54192600000002</f>
        <v>2619.3861980000006</v>
      </c>
      <c r="R209" s="3">
        <f>2745.9+(1015.2-366.3)+(0+(0-0))+0-567.2-0</f>
        <v>2827.6000000000004</v>
      </c>
      <c r="S209" s="3">
        <f>2842.2+(1089.3-404.8)+(0+(0-0))+0-414.4-0</f>
        <v>3112.2999999999997</v>
      </c>
      <c r="T209" s="3">
        <f>2996.6+(1252.9-435.3)+(0+(0-0))+0-589.9-0</f>
        <v>3224.2999999999997</v>
      </c>
      <c r="U209" s="3">
        <f>2655.4+(1412.3-425.4)+(0+(0-0))+0-492.6-0</f>
        <v>3149.7000000000003</v>
      </c>
      <c r="V209" s="3">
        <f>2571.9+(1329.3-387.3)+(0+(0-0))+0-616.3-0</f>
        <v>2897.6000000000004</v>
      </c>
      <c r="W209" s="3">
        <f>3035.5+(853-730.6)+(0+(0-0))+0-460.2-0</f>
        <v>2697.7000000000003</v>
      </c>
      <c r="X209" s="3">
        <f>3971.5+(938-1310.3)+(0+(0-0))+0-631-0</f>
        <v>2968.2</v>
      </c>
      <c r="Y209" s="3">
        <f>3930.6+(972-1283.9)+(0+(0-0))+0-534.4-0</f>
        <v>3084.2999999999997</v>
      </c>
      <c r="Z209" s="3">
        <f>3643.5+(1025.8-974)+(0+(0-0))+0-585.4-0</f>
        <v>3109.9</v>
      </c>
      <c r="AA209" s="3">
        <f>3771.8+(933.9-912.9)+(0+(0-0))+0-628-0</f>
        <v>3164.8</v>
      </c>
      <c r="AB209" s="3">
        <f>3563+(996.8-734.1)+(0+(0-0))+0-571.8-0</f>
        <v>3253.8999999999996</v>
      </c>
      <c r="AC209" s="3">
        <f>3444.6+(1096.7-627.7)+(0+(0-0))+0-618.4-0</f>
        <v>3295.2</v>
      </c>
      <c r="AD209" s="2">
        <v>3043.2000000000003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2416.8+(1652.6-531.4)+(-6.16284+(-4.21413--1.35507))+0-424.5--1.08247499999994</f>
        <v>3105.560575</v>
      </c>
      <c r="G210" s="3">
        <f>2307.4+(1853.4-506.9)+(-5.88387+(-4.72617--1.292595))+0-570.8--1.45553999999992</f>
        <v>3075.2380949999997</v>
      </c>
      <c r="H210" s="3">
        <f>2422.2+(1550.4-501.4)+(-1.235322+(-0.790704--0.255714))+0-473.1--0.241280999999952</f>
        <v>2996.5709689999999</v>
      </c>
      <c r="I210" s="3">
        <f>2193.8+(1744.6-466.9)+(-3.356514+(-2.669238--0.714357))+0-583.8--0.893214000000034</f>
        <v>2883.2818190000003</v>
      </c>
      <c r="J210" s="3">
        <f>2013.8+(1663.4-464.9)+(-3.081114+(-2.545002--0.711297))+0-437.3--0.669069000000025</f>
        <v>2770.75425</v>
      </c>
      <c r="K210" s="3">
        <f>2084.4+(1551.9-462.4)+(-2.126088+(-1.582938--0.471648))+0-540.1--0.550902000000086</f>
        <v>2631.1135240000003</v>
      </c>
      <c r="L210" s="3">
        <f>1946.1+(1270.5-323.9)+(0+(0-0))+0-556.2-0</f>
        <v>2336.5</v>
      </c>
      <c r="M210" s="3">
        <f>2212.7+(797.4-355.1)+(0+(0-0))+0-483.1-0</f>
        <v>2171.9</v>
      </c>
      <c r="N210" s="3">
        <f>2413+(683.7-389.5)+(0+(0-0))+0-518-0</f>
        <v>2189.1999999999998</v>
      </c>
      <c r="O210" s="3">
        <f>2598.5+(751.9-603.2)+(0+(0-0))+0-502.3-0</f>
        <v>2244.8999999999996</v>
      </c>
      <c r="P210" s="3">
        <f>2571.4+(843.9-559.5)+(0+(0-0))+0-495.1-0</f>
        <v>2360.7000000000003</v>
      </c>
      <c r="Q210" s="3">
        <f>2752.4+(824.1-465.5)+(0+(0-0))+0-507-0</f>
        <v>2604</v>
      </c>
      <c r="R210" s="3">
        <f>2748.1+(879.9-370.3)+(0+(0-0))+0-524.7-0</f>
        <v>2733</v>
      </c>
      <c r="S210" s="3">
        <f>3126.4+(872.3-409.7)+(-3.188928+(-0.889746--0.417894))+0-557.3--0.568446000000089</f>
        <v>3028.6076659999999</v>
      </c>
      <c r="T210" s="3">
        <f>3131.4+(991.1-453.2)+(-1.597014+(-0.505461--0.231132))+0-489.6--0.24969599999995</f>
        <v>3178.0783530000003</v>
      </c>
      <c r="U210" s="3">
        <f>2849.6+(1358.6-432.6)+(-5.813184+(-2.771544--0.882504))+0-661.2--1.34884799999997</f>
        <v>3108.0466240000001</v>
      </c>
      <c r="V210" s="3">
        <f>2962.6+(874-482.9)+(-3.021852+(-0.89148--0.492558))+0-493.5--0.503370000000079</f>
        <v>2857.2825959999996</v>
      </c>
      <c r="W210" s="3">
        <f>3007+(832.4-545.4)+(-3.06714+(-0.849048--0.556308))+0-650.7--0.663714000000104</f>
        <v>2640.6038340000005</v>
      </c>
      <c r="X210" s="3">
        <f>3595.3+(803.2-993)+(-5.500809+(-1.228896--1.51929))+0-495.4--0.757962000000029</f>
        <v>2905.647547</v>
      </c>
      <c r="Y210" s="3">
        <f>3660.1+(970-950.8)+(-5.599953+(-1.4841--1.454724))+0-667--1.02051000000004</f>
        <v>3007.6911810000001</v>
      </c>
      <c r="Z210" s="3">
        <f>3838+(804.6-1052.6)+(-5.87214+(-1.231038--1.610478))+0-535.3--0.819009000000031</f>
        <v>3050.0263089999999</v>
      </c>
      <c r="AA210" s="3">
        <f>3918.1+(802.2-863.8)+(-7.992924+(-1.636488--1.762152))+0-706.8--1.44187199999997</f>
        <v>3143.2746119999997</v>
      </c>
      <c r="AB210" s="3">
        <f>3572.7+(931.1-658.2)+(-1.822077+(-0.474861--0.335682))+0-590.5--0.30115499999994</f>
        <v>3253.439899</v>
      </c>
      <c r="AC210" s="3">
        <f>3406.8+(1246.3-619)+(-5.212404+(-1.906839--0.94707))+0-700.3--1.07145900000004</f>
        <v>3328.6992860000005</v>
      </c>
      <c r="AD210" s="2">
        <v>2995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2638.3+(1904.1-556.6)+(-1.345533+(-0.971091--0.283866))+0-596.2--0.30406199999994</f>
        <v>3387.8713040000002</v>
      </c>
      <c r="G211" s="3">
        <f>2367+(2141.2-520.9)+(0+(0-0))+0-704.4-0</f>
        <v>3282.8999999999996</v>
      </c>
      <c r="H211" s="3">
        <f>2352.6+(1853.7-505.9)+(1.199826+(0.945387-0.258009))+0-573.7-0.292586999999942</f>
        <v>3128.2946170000005</v>
      </c>
      <c r="I211" s="3">
        <f>2542.5+(1608.7-495.6)+(2.59335+(1.640874-0.505512))+0-662.4-0.675648000000106</f>
        <v>2996.253064</v>
      </c>
      <c r="J211" s="3">
        <f>2439.6+(1465.1-477.2)+(2.488392+(1.494402-0.486744))+0-550.3-0.561306000000088</f>
        <v>2880.1347440000004</v>
      </c>
      <c r="K211" s="3">
        <f>2508.4+(1384.7-466.9)+(0+(0-0))+0-693.1-0</f>
        <v>2733.1000000000004</v>
      </c>
      <c r="L211" s="3">
        <f>2312.5+(1017.1-304.1)+(4.7175+(2.074884-0.620364))+0-618.5-1.26173999999997</f>
        <v>2411.9102800000001</v>
      </c>
      <c r="M211" s="3">
        <f>2510.2+(701.7-398.3)+(-2.560404+(-0.715734--0.406266))+0-560.1--0.571302000000089</f>
        <v>2251.2014300000001</v>
      </c>
      <c r="N211" s="3">
        <f>2457.6+(791.2-432.8)+(-5.013504+(-1.614048--0.882912))+0-511.3--1.04305199999998</f>
        <v>2299.9984119999999</v>
      </c>
      <c r="O211" s="3">
        <f>2727.1+(654.8-472.9)+(-4.172463+(-1.001844--0.723537))+0-539.8--0.825894000000031</f>
        <v>2365.5751240000004</v>
      </c>
      <c r="P211" s="3">
        <f>2668.6+(652.7-362.9)+(-6.80493+(-1.664385--0.925395))+0-475.7--1.21303499999993</f>
        <v>2476.369115</v>
      </c>
      <c r="Q211" s="3">
        <f>2977.5+(615.5-496.2)+(-4.555575+(-0.941715--0.759186))+0-460.7--0.704871000000027</f>
        <v>2632.0667670000003</v>
      </c>
      <c r="R211" s="3">
        <f>2913+(868.5-400.1)+(-5.94252+(-1.77174--0.816204))+0-539--1.09955999999998</f>
        <v>2836.6015040000002</v>
      </c>
      <c r="S211" s="3">
        <f>3055.1+(1127.1-436.5)+(1.558101+(0.574821-0.222615))+0-604-0.308039999999939</f>
        <v>3143.302267</v>
      </c>
      <c r="T211" s="3">
        <f>3092.9+(1208-452.9)+(-3.154758+(-1.23216--0.461958))+0-585--0.596700000000093</f>
        <v>3259.6717400000002</v>
      </c>
      <c r="U211" s="3">
        <f>2777.2+(1412.9-438.8)+(-7.08186+(-3.602895--1.11894))+0-563.3--1.43641499999992</f>
        <v>3179.8706000000002</v>
      </c>
      <c r="V211" s="3">
        <f>2841.6+(1184-516.5)+(-4.347648+(-1.81152--0.790245))+0-609.7--0.932841000000035</f>
        <v>2894.9639179999995</v>
      </c>
      <c r="W211" s="3">
        <f>3124.6+(929.4-793.4)+(1.593546+(0.473994-0.404634))+0-563.5-0.287384999999943</f>
        <v>2698.4755209999998</v>
      </c>
      <c r="X211" s="3">
        <f>3765+(875.3-1041.2)+(-5.76045+(-1.339209--1.593036))+0-622.1--0.951813000000036</f>
        <v>2972.4451899999999</v>
      </c>
      <c r="Y211" s="3">
        <f>3702.8+(899.7-925.3)+(-7.553712+(-1.835388--1.887612))+0-590.5--1.20461999999997</f>
        <v>3080.4031320000004</v>
      </c>
      <c r="Z211" s="3">
        <f>3884.2+(874.3-920)+(-7.923768+(-1.783572--1.8768))+0-698--1.42391999999997</f>
        <v>3134.0933800000003</v>
      </c>
      <c r="AA211" s="3">
        <f>4001.3+(837.9-979.9)+(-10.203315+(-2.136645--2.498745))+0-678.6--1.7304299999999</f>
        <v>3172.5892150000004</v>
      </c>
      <c r="AB211" s="3">
        <f>3876+(895.2-849)+(-9.8838+(-2.28276--2.16495))+0-663.7--1.6924349999999</f>
        <v>3250.1908249999997</v>
      </c>
      <c r="AC211" s="3">
        <f>3466.1+(1095.4-706.1)+(-5.303133+(-1.675962--1.080333))+0-530--0.810900000000031</f>
        <v>3320.3121380000002</v>
      </c>
      <c r="AD211" s="2">
        <v>3108.2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2673.6+(1877.1-543)+(-4.090608+(-2.871963--0.83079))+0-665.4--1.01806200000004</f>
        <v>3337.1862809999998</v>
      </c>
      <c r="G212" s="3">
        <f>2356.7+(1988-499.7)+(-3.605751+(-3.04164--0.764541))+0-649.5--0.993735000000038</f>
        <v>3190.6108850000001</v>
      </c>
      <c r="H212" s="3">
        <f>2353.2+(1795.1-482.9)+(-2.400264+(-1.831002--0.492558))+0-610.4--0.622608000000097</f>
        <v>3051.8838999999998</v>
      </c>
      <c r="I212" s="3">
        <f>2134.7+(1985.6-463.3)+(-1.088697+(-1.012656--0.236283))+0-709.9--0.362048999999928</f>
        <v>2945.5969789999999</v>
      </c>
      <c r="J212" s="3">
        <f>2161.4+(1649.5-451.4)+(1.102314+(0.841245-0.230214))+0-562.5-0.286874999999943</f>
        <v>2798.4264700000003</v>
      </c>
      <c r="K212" s="3">
        <f>2397.2+(1411.9-494.4)+(1.222572+(0.720069-0.252144))+0-670.6-0.342005999999932</f>
        <v>2645.4484910000001</v>
      </c>
      <c r="L212" s="3">
        <f>2332.2+(1003.3-361.1)+(-1.189422+(-0.511683--0.184161))+0-606.4--0.309263999999938</f>
        <v>2366.7923199999996</v>
      </c>
      <c r="M212" s="3">
        <f>2558.3+(712-497.3)+(0+(0-0))+0-591.3-0</f>
        <v>2181.6999999999998</v>
      </c>
      <c r="N212" s="3">
        <f>2653.9+(646.3-553.8)+(-4.060467+(-0.988839--0.847314))+0-597.5--0.914175000000034</f>
        <v>2145.6121830000002</v>
      </c>
      <c r="O212" s="3">
        <f>2675+(657-557)+(-1.36425+(-0.33507--0.28407))+0-512.9--0.261578999999948</f>
        <v>2260.9463289999999</v>
      </c>
      <c r="P212" s="3">
        <f>2816.6+(678.9-591.7)+(-2.872932+(-0.692478--0.603534))+0-495.8--0.505716000000079</f>
        <v>2405.5438399999998</v>
      </c>
      <c r="Q212" s="3">
        <f>2900.6+(651.2-567.8)+(-2.958612+(-0.664224--0.579156))+0-498.4--0.508368000000079</f>
        <v>2483.0646879999999</v>
      </c>
      <c r="R212" s="3">
        <f>2897.3+(829.7-497)+(-1.477623+(-0.423147--0.25347))+0-574.4--0.292943999999942</f>
        <v>2654.2456439999996</v>
      </c>
      <c r="S212" s="3">
        <f>3072.2+(989.7-564.1)+(-4.700466+(-1.514241--0.863073))+0-569--0.870570000000033</f>
        <v>2924.3189359999997</v>
      </c>
      <c r="T212" s="3">
        <f>2903.7+(1306.8-475.3)+(-4.442661+(-1.999404--0.727209))+0-610.8--0.934524000000035</f>
        <v>3119.6196680000003</v>
      </c>
      <c r="U212" s="3">
        <f>2779.4+(1298.9-470.5)+(-4.252482+(-1.987317--0.719865))+0-548.6--0.839358000000032</f>
        <v>3054.5194240000005</v>
      </c>
      <c r="V212" s="3">
        <f>3212.1+(1030-840.6)+(3.276342+(1.0506-0.857412))+0-587.3-0.599046000000094</f>
        <v>2817.0704839999999</v>
      </c>
      <c r="W212" s="3">
        <f>3439.1+(931.5-1165.5)+(1.753941+(0.475065-0.594405))+0-568.9-0.290138999999942</f>
        <v>2637.5444620000003</v>
      </c>
      <c r="X212" s="3">
        <f>3818.1+(919.5-1383.7)+(-5.841693+(-1.406835--2.117061))+0-509.4--0.779382000000029</f>
        <v>2840.1479149999996</v>
      </c>
      <c r="Y212" s="3">
        <f>3771.8+(996.9-1385.1)+(-3.847236+(-1.016838--1.412802))+0-469--0.478380000000075</f>
        <v>2911.6271080000006</v>
      </c>
      <c r="Z212" s="3">
        <f>3721.8+(1071.6-1234.3)+(-3.796236+(-1.093032--1.258986))+0-620.3--0.632706000000099</f>
        <v>2935.8024240000004</v>
      </c>
      <c r="AA212" s="3">
        <f>3764.3+(1013.7-1238.5)+(-3.839586+(-1.033974--1.26327))+0-555.3--0.566406000000088</f>
        <v>2981.1561160000001</v>
      </c>
      <c r="AB212" s="3">
        <f>3797.2+(1047.2-1112.2)+(-9.68286+(-2.67036--2.83611))+0-666.7--1.7000849999999</f>
        <v>3057.6829750000002</v>
      </c>
      <c r="AC212" s="3">
        <f>3324.6+(1215.1-872.3)+(-10.173276+(-3.718206--2.669238))+0-530.8--1.62424800000006</f>
        <v>3127.0020039999999</v>
      </c>
      <c r="AD212" s="2">
        <v>2940.8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3102+(1601.2-887)+(3.16404+(1.633224-0.90474))+0-675.9-0.689418000000108</f>
        <v>3143.5031059999997</v>
      </c>
      <c r="G213" s="3">
        <f>2645.1+(1801-761.9)+(1.349001+(0.91851-0.388569))+0-637.2-0.324971999999935</f>
        <v>3048.5539699999995</v>
      </c>
      <c r="H213" s="3">
        <f>2564.7+(1695.2-674.4)+(2.615994+(1.729104-0.687888))+0-671.9-0.685338000000107</f>
        <v>2916.5718719999995</v>
      </c>
      <c r="I213" s="3">
        <f>2530.1+(1571.8-694.9)+(-1.290351+(-0.801618--0.354399))+0-614.3--0.313292999999938</f>
        <v>2791.2757230000007</v>
      </c>
      <c r="J213" s="3">
        <f>2328.8+(1610.4-584.8)+(0+(0-0))+0-687-0</f>
        <v>2667.4000000000005</v>
      </c>
      <c r="K213" s="3">
        <f>2311.1+(1441-625.6)+(-4.714644+(-2.93964--1.276224))+0-599.4--1.22277599999997</f>
        <v>2521.944716</v>
      </c>
      <c r="L213" s="3">
        <f>1949.6+(1568.2-532.1)+(1.988592+(1.599564-0.542742))+0-695.2-0.709104000000111</f>
        <v>2292.8363100000001</v>
      </c>
      <c r="M213" s="3">
        <f>2135.6+(1224-605.8)+(0+(0-0))+0-651.8-0</f>
        <v>2102</v>
      </c>
      <c r="N213" s="3">
        <f>2319.8+(1143.7-776.4)+(0+(0-0))+0-527.5-0</f>
        <v>2159.6000000000004</v>
      </c>
      <c r="O213" s="3">
        <f>2665.8+(1075.8-821)+(0+(0-0))+0-667.8-0</f>
        <v>2252.8000000000002</v>
      </c>
      <c r="P213" s="3">
        <f>3267+(929.2-1288)+(-4.99851+(-1.421676--1.97064))+0-619.9--0.948447000000036</f>
        <v>2284.7989010000001</v>
      </c>
      <c r="Q213" s="3">
        <f>3194+(1045.9-1068.6)+(0+(0-0))+0-662-0</f>
        <v>2509.3000000000002</v>
      </c>
      <c r="R213" s="3">
        <f>3173+(1095.8-1008.1)+(-4.85469+(-1.676574--1.542393))+0-586.1--0.896733000000034</f>
        <v>2670.5078619999999</v>
      </c>
      <c r="S213" s="3">
        <f>2945.1+(1272.2-779)+(0+(0-0))+0-592.9-0</f>
        <v>2845.4</v>
      </c>
      <c r="T213" s="3">
        <f>2798.6+(1394.3-668.9)+(0+(0-0))+0-641.2-0</f>
        <v>2882.8</v>
      </c>
      <c r="U213" s="3">
        <f>2517.6+(1679.3-597.3)+(-5.135904+(-3.425772--1.218492))+0-702.8--1.43371199999997</f>
        <v>2890.8905279999999</v>
      </c>
      <c r="V213" s="3">
        <f>2178.5+(1518.3-610.6)+(-3.333105+(-2.322999--0.934218))+0-536.1--0.820233000000031</f>
        <v>2546.198347</v>
      </c>
      <c r="W213" s="3">
        <f>2488.9+(1260.2-633.5)+(-1.269339+(-0.642702--0.323085))+0-633.5--0.323084999999936</f>
        <v>2480.8341290000003</v>
      </c>
      <c r="X213" s="3">
        <f>3034.8+(972.5-750.1)+(-4.643244+(-1.487925--1.147653))+0-500.9--0.766377000000029</f>
        <v>2752.0828610000003</v>
      </c>
      <c r="Y213" s="3">
        <f>3447.3+(905.9-877.7)+(-1.758123+(-0.462009--0.447627))+0-617.7--0.315026999999937</f>
        <v>2856.3425220000004</v>
      </c>
      <c r="Z213" s="3">
        <f>3794.5+(733.8-1145.5)+(3.87039+(0.748476-1.16841))+0-536.4-0.547128000000086</f>
        <v>2849.303328</v>
      </c>
      <c r="AA213" s="3">
        <f>3629.1+(846-866.8)+(1.850841+(0.43146-0.442068))+0-711.8-0.363017999999928</f>
        <v>2897.9772149999999</v>
      </c>
      <c r="AB213" s="3">
        <f>3609.5+(839.5-847.9)+(-3.68169+(-0.85629--0.864858))+0-600.4--0.612408000000096</f>
        <v>2997.6392859999996</v>
      </c>
      <c r="AC213" s="3">
        <f>3351.4+(1051-636.8)+(-5.127642+(-1.60803--0.974304))+0-701.2--1.07283600000004</f>
        <v>3059.711468</v>
      </c>
      <c r="AD213" s="2">
        <v>2683.3999999999996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2940.2+(1330.7-554.3)+(-1.499502+(-0.678657--0.282693))+0-577.2--0.294371999999941</f>
        <v>3137.7989059999995</v>
      </c>
      <c r="G214" s="3">
        <f>2582.6+(1649.1-522.1)+(-2.634252+(-1.682082--0.532542))+0-700.2--0.714204000000112</f>
        <v>3006.3304119999998</v>
      </c>
      <c r="H214" s="3">
        <f>2245.9+(1833.9-500.2)+(-3.436227+(-2.805867--0.765306))+0-662.6--1.01377800000004</f>
        <v>2912.5369900000005</v>
      </c>
      <c r="I214" s="3">
        <f>2157.1+(1805-477.4)+(-4.400484+(-3.6822--0.973896))+0-651.3--1.32865199999997</f>
        <v>2827.6198640000002</v>
      </c>
      <c r="J214" s="3">
        <f>2064.6+(1754.1-463.2)+(0+(0-0))+0-684.8-0</f>
        <v>2670.7</v>
      </c>
      <c r="K214" s="3">
        <f>1998.3+(1672.8-468.1)+(-3.057399+(-2.559384--0.716193))+0-632.8--0.968184000000036</f>
        <v>2566.2675939999995</v>
      </c>
      <c r="L214" s="3">
        <f>1924+(1578.5-480.8)+(-2.94372+(-2.415105--0.735624))+0-666.9--1.02035700000004</f>
        <v>2351.1971559999997</v>
      </c>
      <c r="M214" s="3">
        <f>1945.3+(1367.6-489.3)+(0.992103+(0.697476-0.249543))+0-561.7-0.286466999999943</f>
        <v>2263.0535689999997</v>
      </c>
      <c r="N214" s="3">
        <f>2385.2+(987.3-504.3)+(1.216452+(0.503523-0.257193))+0-603.9-0.307988999999939</f>
        <v>2265.4547929999999</v>
      </c>
      <c r="O214" s="3">
        <f>2389.4+(1118.2-559.1)+(-4.874376+(-2.281128--1.140564))+0-641--1.30763999999997</f>
        <v>2302.7927</v>
      </c>
      <c r="P214" s="3">
        <f>2506.1+(1091.5-629.1)+(1.278111+(0.556665-0.320841))+0-567-0.289169999999942</f>
        <v>2402.7247649999999</v>
      </c>
      <c r="Q214" s="3">
        <f>2373+(1433.1-597.8)+(-3.63069+(-2.192643--0.914634))+0-646.5--0.989145000000037</f>
        <v>2557.8804460000001</v>
      </c>
      <c r="R214" s="3">
        <f>2346.6+(1588.6-590.8)+(1.196766+(0.810186-0.301308))+0-548.6-0.279785999999944</f>
        <v>2797.2258579999998</v>
      </c>
      <c r="S214" s="3">
        <f>2551.7+(1656.5-579.1)+(-2.602734+(-1.68963--0.590682))+0-672.1--0.685542000000107</f>
        <v>2953.9838600000003</v>
      </c>
      <c r="T214" s="3">
        <f>2311.2+(1837.6-564.9)+(-4.714848+(-3.748704--1.152396))+0-620.9--1.26663599999997</f>
        <v>2956.9554799999992</v>
      </c>
      <c r="U214" s="3">
        <f>1975.7+(2043-570.4)+(-4.030428+(-4.16772--1.163616))+0-630.5--1.28621999999997</f>
        <v>2812.051688</v>
      </c>
      <c r="V214" s="3">
        <f>2184.6+(1618.1-590)+(2.228292+(1.650462-0.6018))+0-640.8-0.653616000000102</f>
        <v>2574.5233379999995</v>
      </c>
      <c r="W214" s="3">
        <f>3215.5+(1059.7-1093.8)+(-1.639905+(-0.540447--0.557838))+0-627.2--0.319871999999936</f>
        <v>2552.8973580000002</v>
      </c>
      <c r="X214" s="3">
        <f>4091+(1168.8-1768.5)+(4.17282+(1.192176-1.80387))+0-643.8-0.656676000000103</f>
        <v>2850.4044500000005</v>
      </c>
      <c r="Y214" s="3">
        <f>4072.2+(1193.3-1746.7)+(-6.230466+(-1.825749--2.672451))+0-565.6--0.865368000000033</f>
        <v>2948.6816039999999</v>
      </c>
      <c r="Z214" s="3">
        <f>3973.4+(1198.7-1510.9)+(-8.105736+(-2.445348--3.082236))+0-689.1--1.40576399999997</f>
        <v>2966.036916</v>
      </c>
      <c r="AA214" s="3">
        <f>3980.4+(1110-1470.9)+(-4.060008+(-1.1322--1.500318))+0-615.4--0.627708000000098</f>
        <v>3001.0358179999998</v>
      </c>
      <c r="AB214" s="3">
        <f>3907.2+(1047.3-1252.1)+(-3.985344+(-1.068246--1.277142))+0-611--0.623220000000097</f>
        <v>3088.2467719999995</v>
      </c>
      <c r="AC214" s="3">
        <f>3456.9+(1198.6-746.5)+(-3.526038+(-1.222572--0.76143))+0-728.3--0.742866000000116</f>
        <v>3177.4556859999998</v>
      </c>
      <c r="AD214" s="2">
        <v>2830.4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2560.1+(1720-563.7)+(-5.222604+(-3.5088--1.149948))+0-574.4--1.17177599999997</f>
        <v>3135.5903199999998</v>
      </c>
      <c r="G215" s="3">
        <f>2097.1+(2177.4-539.3)+(-1.069521+(-1.110474--0.275043))+0-655.6--0.334355999999933</f>
        <v>3078.0294039999999</v>
      </c>
      <c r="H215" s="3">
        <f>1930+(2162.6-515.4)+(-2.9529+(-3.308778--0.788562))+0-644.8--0.986544000000037</f>
        <v>2927.9134279999994</v>
      </c>
      <c r="I215" s="3">
        <f>1956+(1939.3-487.3)+(-2.99268+(-2.967129--0.745569))+0-605.1--0.925803000000035</f>
        <v>2798.6115630000004</v>
      </c>
      <c r="J215" s="3">
        <f>1915.1+(1861.2-492.1)+(-1.953402+(-1.898424--0.501942))+0-568.9--0.580278000000091</f>
        <v>2712.5303939999994</v>
      </c>
      <c r="K215" s="3">
        <f>1942.9+(1785.7-494.1)+(0+(0-0))+0-630.5-0</f>
        <v>2604</v>
      </c>
      <c r="L215" s="3">
        <f>1849.7+(1680.8-524.6)+(-0.943347+(-0.857208--0.267546))+0-661.4--0.337313999999933</f>
        <v>2343.3043049999992</v>
      </c>
      <c r="M215" s="3">
        <f>1978.7+(1390.1-608.5)+(-1.009137+(-0.708951--0.310335))+0-577.7--0.294626999999941</f>
        <v>2181.4868739999997</v>
      </c>
      <c r="N215" s="3">
        <f>2066.9+(1377.3-571.7)+(0+(0-0))+0-656.8-0</f>
        <v>2215.6999999999998</v>
      </c>
      <c r="O215" s="3">
        <f>2160.9+(1266.3-663.5)+(-4.408236+(-2.583252--1.35354))+0-562.4--1.14729599999998</f>
        <v>2196.8093479999998</v>
      </c>
      <c r="P215" s="3">
        <f>2623.8+(1099.7-831.1)+(-1.338138+(-0.560847--0.423861))+0-504.7--0.257396999999949</f>
        <v>2386.4822730000001</v>
      </c>
      <c r="Q215" s="3">
        <f>2978.2+(946-834.8)+(-3.037764+(-0.96492--0.851496))+0-583.1--0.594762000000093</f>
        <v>2503.7435740000001</v>
      </c>
      <c r="R215" s="3">
        <f>2905+(1052.1-774.5)+(-4.44465+(-1.609713--1.184985))+0-553.2--0.846396000000032</f>
        <v>2625.3770180000001</v>
      </c>
      <c r="S215" s="3">
        <f>2986.2+(1037.2-707)+(-4.568886+(-1.586916--1.08171))+0-669--1.02357000000004</f>
        <v>2643.3494779999996</v>
      </c>
      <c r="T215" s="3">
        <f>3116.2+(733.4-907)+(1.589262+(0.374034-0.46257))+0-553.4-0.282233999999944</f>
        <v>2390.4184920000002</v>
      </c>
      <c r="U215" s="3">
        <f>2895.9+(788.7-914.1)+(-8.861454+(-2.413422--2.797146))+0-662.5--2.02725000000008</f>
        <v>2101.54952</v>
      </c>
      <c r="V215" s="3">
        <f>2726.7+(900.3-953.5)+(-2.781234+(-0.918306--0.97257))+0-574.1--0.585582000000092</f>
        <v>2097.2586120000001</v>
      </c>
      <c r="W215" s="3">
        <f>3218.7+(973.9-1308.9)+(0+(0-0))+0-701-0</f>
        <v>2182.6999999999998</v>
      </c>
      <c r="X215" s="3">
        <f>3736.8+(1054.7-1751.1)+(-7.623072+(-2.151588--3.572244))+0-595.1--1.21400399999997</f>
        <v>2440.3115880000005</v>
      </c>
      <c r="Y215" s="3">
        <f>3705.3+(1098.6-1600)+(-15.117624+(-4.482288--6.528))+0-705.9--2.88007199999994</f>
        <v>2487.80816</v>
      </c>
      <c r="Z215" s="3">
        <f>3690.6+(934.3-1605.3)+(-9.41103+(-2.382465--4.093515))+0-582.1--1.48435499999992</f>
        <v>2431.2843750000002</v>
      </c>
      <c r="AA215" s="3">
        <f>3829.8+(983.1-1519.8)+(-9.76599+(-2.506905--3.87549))+0-728--1.85639999999989</f>
        <v>2558.5589949999999</v>
      </c>
      <c r="AB215" s="3">
        <f>3613.7+(977.2-1369.4)+(-5.528961+(-1.495116--2.095182))+0-624.1--0.954873000000036</f>
        <v>2593.4259780000002</v>
      </c>
      <c r="AC215" s="3">
        <f>3531+(868.9-1095.5)+(-1.80081+(-0.443139--0.558705))+0-669.1--0.341240999999932</f>
        <v>2633.9559970000005</v>
      </c>
      <c r="AD215" s="2">
        <v>2482.0999999999995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2945.8+(956.3-638.7)+(1.502358+(0.487713-0.325737))+0-623.4-0.317933999999937</f>
        <v>2641.3463999999999</v>
      </c>
      <c r="G216" s="3">
        <f>2385.1+(1287.2-445.5)+(-4.865604+(-2.625888--0.90882))+0-635.6--1.29662399999997</f>
        <v>2585.9139520000003</v>
      </c>
      <c r="H216" s="3">
        <f>2240.7+(1265.5-421.7)+(-4.571028+(-2.58162--0.860268))+0-575.8--1.17463199999997</f>
        <v>2503.5822519999997</v>
      </c>
      <c r="I216" s="3">
        <f>2283.6+(1221.9-405.2)+(4.658544+(2.492676-0.826608))+0-664-1.35455999999997</f>
        <v>2441.2700520000003</v>
      </c>
      <c r="J216" s="3">
        <f>2390.3+(1074.7-406)+(6.095265+(2.740485-1.0353))+0-686.1-1.7495549999999</f>
        <v>2378.9508950000004</v>
      </c>
      <c r="K216" s="3">
        <f>2320.1+(1047.8-452.5)+(3.549753+(1.603134-0.692325))+0-631.9-0.966807000000037</f>
        <v>2286.9937549999995</v>
      </c>
      <c r="L216" s="3">
        <f>2431.5+(923.2-653.4)+(4.96026+(1.883328-1.332936))+0-597.9-1.21971599999997</f>
        <v>2107.690936</v>
      </c>
      <c r="M216" s="3">
        <f>2433.3+(975.6-784.9)+(0+(0-0))+0-603.4-0</f>
        <v>2020.6</v>
      </c>
      <c r="N216" s="3">
        <f>2376.4+(1156.8-799.4)+(2.423928+(1.179936-0.815388))+0-656.3-0.669426000000105</f>
        <v>2079.6190500000007</v>
      </c>
      <c r="O216" s="3">
        <f>2370.6+(1131.8-731.3)+(-3.627018+(-1.731654--1.118889))+0-593.5--0.908055000000034</f>
        <v>2174.2682719999998</v>
      </c>
      <c r="P216" s="3">
        <f>2534+(1068.3-740.8)+(0+(0-0))+0-593.8-0</f>
        <v>2267.6999999999998</v>
      </c>
      <c r="Q216" s="3">
        <f>2669.3+(936.2-744.8)+(-2.722686+(-0.954924--0.759696))+0-487.1--0.496842000000078</f>
        <v>2371.1789280000003</v>
      </c>
      <c r="R216" s="3">
        <f>2555+(1129.5-528.5)+(-5.2122+(-2.30418--1.07814))+0-584--1.19135999999997</f>
        <v>2566.7531199999999</v>
      </c>
      <c r="S216" s="3">
        <f>2669.9+(1147.6-480.6)+(-2.723298+(-1.170552--0.490212))+0-574.4--0.585888000000092</f>
        <v>2759.6822500000003</v>
      </c>
      <c r="T216" s="3">
        <f>2847.1+(1158.5-649.4)+(-7.260105+(-2.954175--1.65597))+0-560.7--1.42978499999992</f>
        <v>2788.3714749999995</v>
      </c>
      <c r="U216" s="3">
        <f>2878.1+(1019.8-664.5)+(-1.467831+(-0.520098--0.338895))+0-557.3--0.284222999999943</f>
        <v>2674.7351889999995</v>
      </c>
      <c r="V216" s="3">
        <f>2877.7+(974.9-804.5)+(0+(0-0))+0-529.5-0</f>
        <v>2518.6</v>
      </c>
      <c r="W216" s="3">
        <f>3373.1+(813-1170.8)+(0+(0-0))+0-561-0</f>
        <v>2454.3000000000002</v>
      </c>
      <c r="X216" s="3">
        <f>3890.8+(803.9-1236.5)+(-3.968616+(-0.819978--1.26123))+0-614.9--0.627198000000098</f>
        <v>2840.3998340000003</v>
      </c>
      <c r="Y216" s="3">
        <f>3624.1+(872.7-939.3)+(-3.696582+(-0.890154--0.958086))+0-593.4--0.605268000000095</f>
        <v>2961.0766180000001</v>
      </c>
      <c r="Z216" s="3">
        <f>3865.5+(838.4-1006.3)+(3.94281+(0.855168-1.026426))+0-700.1-0.714102000000112</f>
        <v>3000.5574500000002</v>
      </c>
      <c r="AA216" s="3">
        <f>3833.7+(920.5-1023.5)+(3.910374+(0.93891-1.04397))+0-566.5-0.57783000000009</f>
        <v>3167.4274839999998</v>
      </c>
      <c r="AB216" s="3">
        <f>3927.9+(946.8-852.2)+(-6.009687+(-1.448604--1.303866))+0-696--1.06488000000004</f>
        <v>3321.4104549999997</v>
      </c>
      <c r="AC216" s="3">
        <f>3650+(932.7-694.4)+(-7.446+(-1.902708--1.416576))+0-515--1.05059999999998</f>
        <v>3366.4184680000003</v>
      </c>
      <c r="AD216" s="2">
        <v>2955.4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3052.3+(1549.6-535.7)+(-1.556673+(-0.790296--0.273207))+0-729.8--0.372197999999926</f>
        <v>3334.6984359999997</v>
      </c>
      <c r="G217" s="3">
        <f>2354.3+(1922.3-532.2)+(-3.602079+(-2.941119--0.814266))+0-605.1--0.925803000000035</f>
        <v>3134.4968710000003</v>
      </c>
      <c r="H217" s="3">
        <f>2284.6+(2026.5-522.1)+(-4.660584+(-4.13406--1.065084))+0-725.2--1.47940799999997</f>
        <v>3057.5498479999997</v>
      </c>
      <c r="I217" s="3">
        <f>2084+(1935.7-506.7)+(-2.12568+(-1.974414--0.516834))+0-580.4--0.592008000000093</f>
        <v>2929.6087480000001</v>
      </c>
      <c r="J217" s="3">
        <f>2137.9+(1874.8-499.1)+(3.270987+(2.868444-0.763623))+0-688.4-1.05325200000004</f>
        <v>2829.5225559999994</v>
      </c>
      <c r="K217" s="3">
        <f>2109.3+(1684.7-508.3)+(-4.302972+(-3.436788--1.036932))+0-576.1--1.17524399999997</f>
        <v>2704.0724160000004</v>
      </c>
      <c r="L217" s="3">
        <f>2278.3+(1387.2-540.4)+(0+(0-0))+0-704.2-0</f>
        <v>2420.9000000000005</v>
      </c>
      <c r="M217" s="3">
        <f>2256.1+(1110.1-584.2)+(0+(0-0))+0-491.3-0</f>
        <v>2290.6999999999998</v>
      </c>
      <c r="N217" s="3">
        <f>2239.6+(1115.5-568)+(2.284392+(1.13781-0.57936))+0-544.4-0.555288000000087</f>
        <v>2244.9875539999998</v>
      </c>
      <c r="O217" s="3">
        <f>2367.5+(1137.6-662)+(1.207425+(0.580176-0.33762))+0-373.3-0.190382999999962</f>
        <v>2471.0595979999998</v>
      </c>
      <c r="P217" s="3">
        <f>2383.9+(1124.8-671.6)+(-2.431578+(-1.147296--0.685032))+0-428.5--0.437070000000068</f>
        <v>2406.1432279999999</v>
      </c>
      <c r="Q217" s="3">
        <f>2528.7+(1327.2-708.5)+(-3.868911+(-2.030616--1.084005))+0-567.5--0.868275000000033</f>
        <v>2575.9527529999996</v>
      </c>
      <c r="R217" s="3">
        <f>2391.6+(1586.2-605.7)+(-7.318296+(-4.853772--1.853442))+0-552.1--1.68942600000006</f>
        <v>2811.3707999999997</v>
      </c>
      <c r="S217" s="3">
        <f>2375.2+(1739.3-624.8)+(0+(0-0))+0-489.8-0</f>
        <v>2999.8999999999996</v>
      </c>
      <c r="T217" s="3">
        <f>2446.5+(1745.1-657.9)+(-1.247715+(-0.890001--0.335529))+0-527.6--0.269075999999946</f>
        <v>3004.5668890000002</v>
      </c>
      <c r="U217" s="3">
        <f>2422.7+(1829.9-646.3)+(0+(0-0))+0-514.8-0</f>
        <v>3091.5</v>
      </c>
      <c r="V217" s="3">
        <f>2232.1+(1717.9-674.3)+(-4.553484+(-3.504516--1.375572))+0-613.4--1.25133599999997</f>
        <v>2656.8689079999995</v>
      </c>
      <c r="W217" s="3">
        <f>2479.6+(1341.9-869.5)+(-2.529192+(-1.368738--0.88689))+0-518.6--0.528972000000083</f>
        <v>2430.9179320000003</v>
      </c>
      <c r="X217" s="3">
        <f>3304.2+(1279.5-921.5)+(-1.685142+(-0.652545--0.469965))+0-623--0.317729999999937</f>
        <v>3037.6500079999996</v>
      </c>
      <c r="Y217" s="3">
        <f>3805.8+(1063.2-1130.1)+(-3.881916+(-1.084464--1.152702))+0-559--0.570180000000089</f>
        <v>3176.6565020000007</v>
      </c>
      <c r="Z217" s="3">
        <f>3897+(1020.4-998.2)+(-9.93735+(-2.60202--2.54541))+0-625.1--1.59400499999991</f>
        <v>3285.700045</v>
      </c>
      <c r="AA217" s="3">
        <f>3811.3+(1049.6-873.6)+(-7.775052+(-2.141184--1.782144))+0-600.3--1.22461199999997</f>
        <v>3380.0905200000007</v>
      </c>
      <c r="AB217" s="3">
        <f>3455.3+(1311.3-679.3)+(-5.286609+(-2.006289--1.039329))+0-602.3--0.921519000000035</f>
        <v>3479.6679500000005</v>
      </c>
      <c r="AC217" s="3">
        <f>2877.8+(1974.1-636.3)+(-2.935356+(-2.013582--0.649026))+0-594.3--0.606186000000095</f>
        <v>3617.6062739999998</v>
      </c>
      <c r="AD217" s="2">
        <v>3107.5000000000005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2511.5+(2142.8-614.6)+(-1.280865+(-1.092828--0.313446))+0-568.4--0.289883999999942</f>
        <v>3469.5296370000001</v>
      </c>
      <c r="G218" s="3">
        <f>2414+(2152.4-550.8)+(1.23114+(1.097724-0.280908))+0-614.8-0.313547999999938</f>
        <v>3402.5344080000004</v>
      </c>
      <c r="H218" s="3">
        <f>2405.5+(1968.7-523.3)+(0+(0-0))+0-605-0</f>
        <v>3245.9</v>
      </c>
      <c r="I218" s="3">
        <f>2387.1+(1822.9-521.7)+(4.869684+(3.718716-1.064268))+0-550.5-1.12301999999998</f>
        <v>3144.2011120000002</v>
      </c>
      <c r="J218" s="3">
        <f>2320.2+(1865.3-536.4)+(1.183302+(0.951303-0.273564))+0-587.2-0.29947199999994</f>
        <v>3063.4615689999996</v>
      </c>
      <c r="K218" s="3">
        <f>2292.1+(1801.6-541.3)+(2.337942+(1.837632-0.552126))+0-633.6-0.646272000000101</f>
        <v>2921.7771759999996</v>
      </c>
      <c r="L218" s="3">
        <f>2059.5+(1512.8-464.7)+(-2.10069+(-1.543056--0.473994))+0-550.7--0.561714000000088</f>
        <v>2554.2919619999998</v>
      </c>
      <c r="M218" s="3">
        <f>2399.1+(986.4-245.6)+(6.117705+(2.51532-0.62628))+0-665.9-1.6980449999999</f>
        <v>2480.3086999999996</v>
      </c>
      <c r="N218" s="3">
        <f>2489.7+(989.3-436.8)+(-2.539494+(-1.009086--0.445536))+0-511.9--0.522138000000082</f>
        <v>2527.719094</v>
      </c>
      <c r="O218" s="3">
        <f>2708.4+(1183.2-689.1)+(-1.381284+(-0.603432--0.351441))+0-584.9--0.298298999999941</f>
        <v>2616.2650239999998</v>
      </c>
      <c r="P218" s="3">
        <f>2822.8+(1170-689.9)+(0+(0-0))+0-556.4-0</f>
        <v>2746.5</v>
      </c>
      <c r="Q218" s="3">
        <f>2904.6+(1206.8-647.7)+(1.481346+(0.615468-0.330327))+0-570.1-0.290750999999942</f>
        <v>2895.0757359999998</v>
      </c>
      <c r="R218" s="3">
        <f>3253.1+(1012.4-728.9)+(-3.318162+(-1.032648--0.743478))+0-449.7--0.458694000000072</f>
        <v>3083.751362</v>
      </c>
      <c r="S218" s="3">
        <f>3245.2+(1031.6-597.2)+(-3.310104+(-1.052232--0.609144))+0-529.9--0.540498000000085</f>
        <v>3146.4873059999995</v>
      </c>
      <c r="T218" s="3">
        <f>3127.2+(1139.7-621.9)+(3.189744+(1.162494-0.634338))+0-510.5-0.520710000000081</f>
        <v>3137.6971899999999</v>
      </c>
      <c r="U218" s="3">
        <f>3014.4+(1287.5-642.4)+(-4.612032+(-1.969875--0.982872))+0-604.3--0.924579000000035</f>
        <v>3050.5255439999996</v>
      </c>
      <c r="V218" s="3">
        <f>2885.5+(1305.1-700.9)+(-2.94321+(-1.331202--0.714918))+0-621.9--0.634338000000099</f>
        <v>2864.8748439999999</v>
      </c>
      <c r="W218" s="3">
        <f>2903.2+(1208.9-847)+(0+(0-0))+0-542.7-0</f>
        <v>2722.3999999999996</v>
      </c>
      <c r="X218" s="3">
        <f>2882.3+(1524.9-776.2)+(-5.879892+(-3.110796--1.583448))+0-624.5--1.27397999999997</f>
        <v>3000.3667399999999</v>
      </c>
      <c r="Y218" s="3">
        <f>2705.7+(1538.2-679.5)+(-6.899535+(-3.92241--1.732725))+0-502.6--1.28162999999993</f>
        <v>3053.9924099999998</v>
      </c>
      <c r="Z218" s="3">
        <f>2811.3+(1585.5-707.7)+(-1.433763+(-0.808605--0.360927))+0-617.3--0.314822999999937</f>
        <v>3070.2333820000008</v>
      </c>
      <c r="AA218" s="3">
        <f>2784.7+(1636.2-687.1)+(-5.680788+(-3.337848--1.401684))+0-566.2--1.15504799999998</f>
        <v>3161.1380960000001</v>
      </c>
      <c r="AB218" s="3">
        <f>2895.5+(1614.1-674.7)+(-1.476705+(-0.823191--0.344097))+0-601.9--0.306968999999939</f>
        <v>3231.3511699999995</v>
      </c>
      <c r="AC218" s="3">
        <f>2212+(2242.5-610.1)+(-6.76872+(-6.86205--1.866906))+0-622.8--1.90576800000007</f>
        <v>3211.741904</v>
      </c>
      <c r="AD218" s="2">
        <v>3042.3999999999996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2437.8+(2085.5-586.4)+(-2.486556+(-2.12721--0.598128))+0-581.4--0.593028000000093</f>
        <v>3352.0773900000004</v>
      </c>
      <c r="G219" s="3">
        <f>2519.1+(1984.9-559.9)+(-1.284741+(-1.012299--0.285549))+0-625--0.318749999999937</f>
        <v>3317.4072589999996</v>
      </c>
      <c r="H219" s="3">
        <f>2407.4+(1838.2-537.1)+(0+(0-0))+0-537.8-0</f>
        <v>3170.7</v>
      </c>
      <c r="I219" s="3">
        <f>2506+(1606.1-516.8)+(3.83418+(2.457333-0.790704))+0-555.8-0.850374000000032</f>
        <v>3044.150435</v>
      </c>
      <c r="J219" s="3">
        <f>2421.6+(1635.6-508.1)+(-2.470032+(-1.668312--0.518262))+0-594.3--0.606186000000095</f>
        <v>2951.7861039999998</v>
      </c>
      <c r="K219" s="3">
        <f>2465.2+(1491.8-522.5)+(-1.257252+(-0.760818--0.266475))+0-594.9--0.30339899999994</f>
        <v>2838.1518039999996</v>
      </c>
      <c r="L219" s="3">
        <f>2239.6+(1471.7-546.9)+(-3.426588+(-2.251701--0.836757))+0-589.6--0.902088000000034</f>
        <v>2570.8605560000001</v>
      </c>
      <c r="M219" s="3">
        <f>2367.7+(1217.1-604.5)+(2.415054+(1.241442-0.61659))+0-610.6-0.622812000000097</f>
        <v>2372.1170939999997</v>
      </c>
      <c r="N219" s="3">
        <f>2355.2+(1284.4-668.7)+(0+(0-0))+0-570-0</f>
        <v>2400.8999999999996</v>
      </c>
      <c r="O219" s="3">
        <f>2400.9+(1361.6-811.2)+(-2.448918+(-1.388832--0.827424))+0-464.5--0.473790000000074</f>
        <v>2484.2634640000001</v>
      </c>
      <c r="P219" s="3">
        <f>2904.7+(1179.3-933.5)+(0+(0-0))+0-553.7-0</f>
        <v>2596.8000000000002</v>
      </c>
      <c r="Q219" s="3">
        <f>2971.5+(1117.1-787.8)+(-4.546395+(-1.709163--1.205334))+0-518.2--0.79284600000003</f>
        <v>2778.3426219999997</v>
      </c>
      <c r="R219" s="3">
        <f>3010.6+(1172.6-620.9)+(-6.141624+(-2.392104--1.266636))+0-556.4--1.13505599999998</f>
        <v>2999.7679639999997</v>
      </c>
      <c r="S219" s="3">
        <f>3057.1+(1294.3-562.7)+(3.118242+(1.320186-0.573954))+0-565.8-0.57711600000009</f>
        <v>3226.1873579999997</v>
      </c>
      <c r="T219" s="3">
        <f>3254.8+(1349.4-693.6)+(-1.659948+(-0.688194--0.353736))+0-638.2--0.325481999999935</f>
        <v>3270.7310760000005</v>
      </c>
      <c r="U219" s="3">
        <f>2989.5+(1337-644.2)+(-3.04929+(-1.36374--0.657084))+0-596.2--0.608124000000095</f>
        <v>3082.9521780000005</v>
      </c>
      <c r="V219" s="3">
        <f>2644.2+(1494.1-707.2)+(0+(0-0))+0-614.5-0</f>
        <v>2816.5999999999995</v>
      </c>
      <c r="W219" s="3">
        <f>2997+(1324.5-1006)+(-3.05694+(-1.35099--1.02612))+0-563.8--0.57507600000009</f>
        <v>2748.893266</v>
      </c>
      <c r="X219" s="3">
        <f>3205.6+(1496-996.4)+(-6.539424+(-3.05184--2.032656))+0-597.6--1.21910399999997</f>
        <v>3101.2604959999999</v>
      </c>
      <c r="Y219" s="3">
        <f>3287.9+(1371.1-866.8)+(0+(0-0))+0-560-0</f>
        <v>3232.2</v>
      </c>
      <c r="Z219" s="3">
        <f>3562.7+(1228.4-896.9)+(-3.633954+(-1.252968--0.914838))+0-643.6--0.656472000000103</f>
        <v>3247.284388</v>
      </c>
      <c r="AA219" s="3">
        <f>3195.1+(1431.4-711.1)+(-4.888503+(-2.190042--1.087983))+0-599.8--0.917694000000035</f>
        <v>3310.5271320000006</v>
      </c>
      <c r="AB219" s="3">
        <f>3079.2+(1609.6-630.5)+(-7.85196+(-4.10448--1.607775))+0-657.1--1.6756049999999</f>
        <v>3392.5269399999997</v>
      </c>
      <c r="AC219" s="3">
        <f>2724.9+(1895.4-572.2)+(-2.779398+(-1.933308--0.583644))+0-598.9--0.610878000000096</f>
        <v>3445.6818160000003</v>
      </c>
      <c r="AD219" s="2">
        <v>3008.9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2628+(2044.8-547.7)+(-5.36112+(-4.171392--1.117308))+0-690.5--1.40861999999997</f>
        <v>3427.5934160000006</v>
      </c>
      <c r="G220" s="3">
        <f>2458.3+(1889.1-529)+(-2.507466+(-1.926882--0.53958))+0-495.1--0.505002000000079</f>
        <v>3319.9102339999999</v>
      </c>
      <c r="H220" s="3">
        <f>2439.3+(1951.4-520.6)+(2.488086+(1.990428-0.531012))+0-691.2-0.70502400000011</f>
        <v>3182.1424780000002</v>
      </c>
      <c r="I220" s="3">
        <f>2300.6+(1915.6-518.5)+(-5.86653+(-4.88478--1.322175))+0-655.7--1.6720349999999</f>
        <v>3034.2428999999997</v>
      </c>
      <c r="J220" s="3">
        <f>2246.5+(1684.2-390.3)+(-5.728575+(-4.29471--0.995265))+0-610.5--1.55677499999991</f>
        <v>2922.4287549999999</v>
      </c>
      <c r="K220" s="3">
        <f>2288.4+(1412.9-356.5)+(-3.501252+(-2.161737--0.545445))+0-614.3--0.939879000000035</f>
        <v>2726.3223350000003</v>
      </c>
      <c r="L220" s="3">
        <f>2113.5+(1353.6-335.7)+(-3.233655+(-2.071008--0.513621))+0-613.6--0.938808000000036</f>
        <v>2513.9477659999998</v>
      </c>
      <c r="M220" s="3">
        <f>2506.3+(894.4-570.9)+(3.834639+(1.368432-0.873477))+0-552.1-0.844713000000032</f>
        <v>2281.1848810000001</v>
      </c>
      <c r="N220" s="3">
        <f>2480+(966.6-474.8)+(-1.2648+(-0.492966--0.242148))+0-636.4--0.324563999999935</f>
        <v>2334.2089460000002</v>
      </c>
      <c r="O220" s="3">
        <f>2864.8+(711.2-592)+(-2.922096+(-0.725424--0.60384))+0-528--0.538560000000084</f>
        <v>2453.4948799999997</v>
      </c>
      <c r="P220" s="3">
        <f>3082.7+(642.4-489.9)+(-1.572177+(-0.327624--0.249849))+0-656.2--0.334661999999933</f>
        <v>2577.6847099999991</v>
      </c>
      <c r="Q220" s="3">
        <f>3130.1+(669-499)+(-4.789053+(-1.02357--0.76347))+0-568.9--0.870417000000033</f>
        <v>2727.021264</v>
      </c>
      <c r="R220" s="3">
        <f>3259.9+(743.3-470.8)+(-6.650196+(-1.516332--0.960432))+0-598.1--1.22012399999997</f>
        <v>2928.3140280000002</v>
      </c>
      <c r="S220" s="3">
        <f>3087.4+(901.6-358.4)+(-1.574574+(-0.459816--0.182784))+0-518--0.264179999999947</f>
        <v>3111.0125740000003</v>
      </c>
      <c r="T220" s="3">
        <f>3094.5+(862.3-282.7)+(-4.734585+(-1.319319--0.432531))+0-542.7--0.830331000000031</f>
        <v>3126.6089579999998</v>
      </c>
      <c r="U220" s="3">
        <f>3095.6+(811.9-352.5)+(-3.157512+(-0.828138--0.35955))+0-585.4--0.597108000000093</f>
        <v>2966.5710079999999</v>
      </c>
      <c r="V220" s="3">
        <f>3208.3+(666.8-618)+(0+(0-0))+0-532.7-0</f>
        <v>2724.4000000000005</v>
      </c>
      <c r="W220" s="3">
        <f>3549.1+(579.9-940.9)+(-3.620082+(-0.591498--0.959718))+0-494.3--0.504186000000079</f>
        <v>2691.0523239999998</v>
      </c>
      <c r="X220" s="3">
        <f>3688.2+(716.2-854.1)+(-1.880982+(-0.365262--0.435591))+0-529.2--0.269891999999946</f>
        <v>3019.5592389999997</v>
      </c>
      <c r="Y220" s="3">
        <f>3601.9+(767.5-695.9)+(-7.347876+(-1.5657--1.419636))+0-642--1.30967999999997</f>
        <v>3025.31574</v>
      </c>
      <c r="Z220" s="3">
        <f>3390.4+(857.3-513.1)+(-3.458208+(-0.874446--0.523362))+0-668.5--0.681870000000107</f>
        <v>3062.9725779999999</v>
      </c>
      <c r="AA220" s="3">
        <f>3205.3+(995.3-484.3)+(-4.904109+(-1.522809--0.740979))+0-597.6--0.914328000000035</f>
        <v>3113.9283890000002</v>
      </c>
      <c r="AB220" s="3">
        <f>3180.7+(1172-468.1)+(-4.866471+(-1.79316--0.716193))+0-665.1--1.01760300000004</f>
        <v>3214.5741650000004</v>
      </c>
      <c r="AC220" s="3">
        <f>3003.7+(1358.3-433.1)+(-6.127548+(-2.770932--0.883524))+0-652.9--1.33191599999997</f>
        <v>3269.3169599999997</v>
      </c>
      <c r="AD220" s="2">
        <v>3015.3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2719.9+(1652.7-416)+(-4.161447+(-2.528631--0.63648))+0-661.4--1.01194200000004</f>
        <v>3290.1583440000004</v>
      </c>
      <c r="G221" s="3">
        <f>2548.6+(1803.8-477.2)+(-6.49893+(-4.59969--1.21686))+0-647.9--1.65214499999991</f>
        <v>3219.0703849999995</v>
      </c>
      <c r="H221" s="3">
        <f>2605.5+(1689.7-519.2)+(0+(0-0))+0-685.6-0</f>
        <v>3090.4</v>
      </c>
      <c r="I221" s="3">
        <f>2587.4+(1514.1-530.3)+(-6.59787+(-3.860955--1.352265))+0-563.6--1.43717999999992</f>
        <v>2999.9306199999996</v>
      </c>
      <c r="J221" s="3">
        <f>2628+(1467.2-538.3)+(1.34028+(0.748272-0.274533))+0-638.6-0.325685999999935</f>
        <v>2919.788333</v>
      </c>
      <c r="K221" s="3">
        <f>2669.5+(1294.8-525.9)+(0+(0-0))+0-629.8-0</f>
        <v>2808.6000000000004</v>
      </c>
      <c r="L221" s="3">
        <f>2536.8+(1296.2-526.2)+(-2.587536+(-1.322124--0.536724))+0-690--0.70380000000011</f>
        <v>2614.1308640000002</v>
      </c>
      <c r="M221" s="3">
        <f>2391.2+(1148.4-510.2)+(-2.439024+(-1.171368--0.520404))+0-577.4--0.588948000000092</f>
        <v>2449.4989599999994</v>
      </c>
      <c r="N221" s="3">
        <f>2784.1+(954.4-635)+(2.839782+(0.973488-0.6477))+0-683.9-0.697578000000109</f>
        <v>2422.0679919999998</v>
      </c>
      <c r="O221" s="3">
        <f>2884.5+(775.8-694.3)+(1.471095+(0.395658-0.354093))+0-549.9-0.280448999999944</f>
        <v>2417.3322109999999</v>
      </c>
      <c r="P221" s="3">
        <f>2706.8+(1006.1-634)+(-5.521872+(-2.052444--1.29336))+0-630.9--1.28703599999997</f>
        <v>2443.0060800000001</v>
      </c>
      <c r="Q221" s="3">
        <f>2592.3+(1169-561.9)+(-1.322073+(-0.59619--0.286569))+0-624.9--0.318698999999937</f>
        <v>2573.1870049999998</v>
      </c>
      <c r="R221" s="3">
        <f>3069.4+(894.3-618.8)+(-4.696182+(-1.368279--0.946764))+0-601.3--0.919989000000035</f>
        <v>2739.4022919999998</v>
      </c>
      <c r="S221" s="3">
        <f>3120.5+(905.5-622.8)+(-6.36582+(-1.84722--1.270512))+0-610.9--1.24623599999997</f>
        <v>2786.6037079999996</v>
      </c>
      <c r="T221" s="3">
        <f>2891.9+(919.6-547.9)+(-5.899476+(-1.875984--1.117716))+0-559.1--1.14056399999998</f>
        <v>2698.9828200000002</v>
      </c>
      <c r="U221" s="3">
        <f>2887.7+(880.4-568.3)+(-2.945454+(-0.898008--0.579666))+0-606.4--0.618528000000097</f>
        <v>2590.7547319999994</v>
      </c>
      <c r="V221" s="3">
        <f>3115.8+(463.5-697)+(-1.589058+(-0.236385--0.35547))+0-550.3--0.280652999999944</f>
        <v>2330.8106799999996</v>
      </c>
      <c r="W221" s="3">
        <f>3534.8+(471.2-1121.1)+(-5.408244+(-0.720936--1.715283))+0-605.5--0.926415000000035</f>
        <v>2275.9125180000005</v>
      </c>
      <c r="X221" s="3">
        <f>3684.9+(573.2-1036.1)+(-1.879299+(-0.292332--0.528411))+0-698.8--0.356387999999929</f>
        <v>2521.913168</v>
      </c>
      <c r="Y221" s="3">
        <f>3633.3+(609.7-998.2)+(-7.411932+(-1.243788--2.036328))+0-629.6--1.28438399999997</f>
        <v>2609.8649920000003</v>
      </c>
      <c r="Z221" s="3">
        <f>3503.3+(613.8-885.8)+(0+(0-0))+0-557-0</f>
        <v>2674.3</v>
      </c>
      <c r="AA221" s="3">
        <f>3470.9+(710.3-787.4)+(0+(0-0))+0-620.8-0</f>
        <v>2773</v>
      </c>
      <c r="AB221" s="3">
        <f>3453.7+(813.6-781.3)+(-1.761387+(-0.414936--0.398463))+0-560.9--0.286058999999943</f>
        <v>2923.6081989999998</v>
      </c>
      <c r="AC221" s="3">
        <f>3161+(1066.4-568.4)+(-4.83633+(-1.631592--0.869652))+0-636.9--0.974457000000037</f>
        <v>3017.4761870000002</v>
      </c>
      <c r="AD221" s="2">
        <v>2618.3000000000002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2588.5+(1367.4-415.1)+(-2.64027+(-1.394748--0.423402))+0-510.7--0.520914000000081</f>
        <v>3027.0092980000004</v>
      </c>
      <c r="G222" s="3">
        <f>2464.6+(1447.4-365.4)+(-2.513892+(-1.476348--0.372708))+0-595.3--0.607206000000095</f>
        <v>2948.2896740000001</v>
      </c>
      <c r="H222" s="3">
        <f>2614.5+(1269.1-459.9)+(1.333395+(0.647241-0.234549))+0-566.8-0.289067999999942</f>
        <v>2858.357019</v>
      </c>
      <c r="I222" s="3">
        <f>2377.3+(1393.3-389.2)+(-3.637269+(-2.131749--0.595476))+0-600.6--0.918918000000035</f>
        <v>2776.545376</v>
      </c>
      <c r="J222" s="3">
        <f>2475.7+(1262.2-458.2)+(-1.262607+(-0.643722--0.233682))+0-581.6--0.296615999999941</f>
        <v>2696.7239690000001</v>
      </c>
      <c r="K222" s="3">
        <f>2507.4+(1128.3-416.6)+(-5.115096+(-2.301732--0.849864))+0-601.6--1.22726399999997</f>
        <v>2612.1603</v>
      </c>
      <c r="L222" s="3">
        <f>2323.6+(926.2-457.1)+(-1.185036+(-0.472362--0.233121))+0-592.2--0.30202199999994</f>
        <v>2199.3777449999998</v>
      </c>
      <c r="M222" s="3">
        <f>2384.9+(791.8-401.1)+(0+(0-0))+0-588.8-0</f>
        <v>2186.8000000000002</v>
      </c>
      <c r="N222" s="3">
        <f>2514.5+(679.5-583.2)+(0+(0-0))+0-526.9-0</f>
        <v>2083.9</v>
      </c>
      <c r="O222" s="3">
        <f>2356.9+(761.7-412.9)+(-4.808076+(-1.553868--0.842316))+0-611.3--1.24705199999997</f>
        <v>2090.1274240000007</v>
      </c>
      <c r="P222" s="3">
        <f>2843.1+(550.5-643.4)+(5.799924+(1.12302-1.312536))+0-610.6-1.24562399999997</f>
        <v>2143.9647839999998</v>
      </c>
      <c r="Q222" s="3">
        <f>3056+(420.5-757.3)+(1.55856+(0.214455-0.386223))+0-581.2-0.296411999999941</f>
        <v>2139.0903799999992</v>
      </c>
      <c r="R222" s="3">
        <f>2953.1+(474.1-605.1)+(-7.530405+(-1.208955--1.543005))+0-627--1.59884999999991</f>
        <v>2189.5024949999997</v>
      </c>
      <c r="S222" s="3">
        <f>3091.4+(490.5-771.7)+(3.153228+(0.50031-0.787134))+0-624.9-0.6373980000001</f>
        <v>2187.5290059999993</v>
      </c>
      <c r="T222" s="3">
        <f>2733.4+(620.1-541.1)+(0+(0-0))+0-636-0</f>
        <v>2176.4</v>
      </c>
      <c r="U222" s="3">
        <f>2494.8+(731-527)+(-2.544696+(-0.74562--0.53754))+0-603.8--0.615876000000096</f>
        <v>2092.8631000000009</v>
      </c>
      <c r="V222" s="3">
        <f>3015.3+(583.5-762)+(3.075606+(0.59517-0.77724))+0-606.5-0.618630000000097</f>
        <v>2232.5749060000003</v>
      </c>
      <c r="W222" s="3">
        <f>3885.6+(409.4-1159)+(-5.944968+(-0.626382--1.77327))+0-661.5--1.01209500000004</f>
        <v>2470.714015</v>
      </c>
      <c r="X222" s="3">
        <f>4103.5+(476-1486.9)+(-10.463925+(-1.2138--3.791595))+0-684.7--1.7459849999999</f>
        <v>2401.7598549999998</v>
      </c>
      <c r="Y222" s="3">
        <f>4081.6+(418.2-1581)+(-10.40808+(-1.06641--4.03155))+0-559.3--1.42621499999992</f>
        <v>2353.483275</v>
      </c>
      <c r="Z222" s="3">
        <f>4077.3+(374.4-1544.8)+(-6.238269+(-0.572832--2.363544))+0-601.6--0.920448000000035</f>
        <v>2301.7728910000001</v>
      </c>
      <c r="AA222" s="3">
        <f>3830.8+(375.9-1403.4)+(-5.861124+(-0.575127--2.147202))+0-542.3--0.829719000000031</f>
        <v>2257.5406699999999</v>
      </c>
      <c r="AB222" s="3">
        <f>3689.1+(425.4-1260.4)+(-3.762882+(-0.433908--1.285608))+0-613.1--0.625362000000098</f>
        <v>2238.7141800000004</v>
      </c>
      <c r="AC222" s="3">
        <f>3458.1+(482.7-1021.1)+(-3.527262+(-0.492354--1.041522))+0-688.1--0.70186200000011</f>
        <v>2229.3237679999997</v>
      </c>
      <c r="AD222" s="2">
        <v>2384.0999999999995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2736.2+(621.6-603.7)+(0+(0-0))+0-582.8-0</f>
        <v>2171.3000000000002</v>
      </c>
      <c r="G223" s="3">
        <f>2544.2+(786.7-575.5)+(-3.892626+(-1.203651--0.880515))+0-693.9--1.06166700000004</f>
        <v>2058.3459049999997</v>
      </c>
      <c r="H223" s="3">
        <f>2303.6+(733.3-459.9)+(-5.87418+(-1.869915--1.172745))+0-603--1.53764999999991</f>
        <v>1968.9662999999998</v>
      </c>
      <c r="I223" s="3">
        <f>2380.1+(712.1-526.8)+(1.213851+(0.363171-0.268668))+0-679.6-0.346595999999931</f>
        <v>1886.7617580000001</v>
      </c>
      <c r="J223" s="3">
        <f>2385.7+(622-527.7)+(0+(0-0))+0-622.9-0</f>
        <v>1857.1</v>
      </c>
      <c r="K223" s="3">
        <f>2635.7+(439.5-645)+(0+(0-0))+0-622.7-0</f>
        <v>1807.4999999999998</v>
      </c>
      <c r="L223" s="3">
        <f>2507.3+(468.9-664.2)+(0+(0-0))+0-577.7-0</f>
        <v>1734.3</v>
      </c>
      <c r="M223" s="3">
        <f>2552.7+(441.4-696.2)+(-2.603754+(-0.450228--0.710124))+0-633.6--0.646272000000101</f>
        <v>1662.6024139999997</v>
      </c>
      <c r="N223" s="3">
        <f>2650.9+(428.2-845)+(1.351959+(0.218382-0.43095))+0-479.8-0.244697999999951</f>
        <v>1755.1946930000001</v>
      </c>
      <c r="O223" s="3">
        <f>2732.4+(549.8-908.6)+(-5.574096+(-1.121592--1.853544))+0-543.5--1.10873999999998</f>
        <v>1826.3665959999996</v>
      </c>
      <c r="P223" s="3">
        <f>2779.3+(676.5-1086.3)+(0+(0-0))+0-452-0</f>
        <v>1917.5</v>
      </c>
      <c r="Q223" s="3">
        <f>2786.7+(787.5-1004.7)+(-7.106085+(-2.008125--2.561985))+0-524--1.33619999999992</f>
        <v>2040.2839750000001</v>
      </c>
      <c r="R223" s="3">
        <f>3007.4+(613.8-1071.2)+(-4.601322+(-0.939114--1.638936))+0-441.4--0.675342000000025</f>
        <v>2105.373842</v>
      </c>
      <c r="S223" s="3">
        <f>3439.5+(527.7-1097)+(1.754145+(0.269127-0.55947))+0-575.4-0.293453999999942</f>
        <v>2295.9703479999998</v>
      </c>
      <c r="T223" s="3">
        <f>3289.3+(734.7-1206.3)+(-3.355086+(-0.749394--1.230426))+0-531.6--0.542232000000085</f>
        <v>2283.7681780000007</v>
      </c>
      <c r="U223" s="3">
        <f>3032+(754.9-1040.3)+(-1.54632+(-0.384999--0.530553))+0-533.1--0.271880999999946</f>
        <v>2212.3711149999999</v>
      </c>
      <c r="V223" s="3">
        <f>2786.3+(762.6-729)+(2.842026+(0.777852-0.74358))+0-668.1-0.681462000000107</f>
        <v>2153.9948360000003</v>
      </c>
      <c r="W223" s="3">
        <f>3178.8+(945.1-1279.8)+(0+(0-0))+0-620.6-0</f>
        <v>2223.5000000000005</v>
      </c>
      <c r="X223" s="3">
        <f>3667.4+(944.5-1557.7)+(-3.740748+(-0.96339--1.588854))+0-671.5--0.684930000000107</f>
        <v>2380.2696459999997</v>
      </c>
      <c r="Y223" s="3">
        <f>3482.8+(760.7-1243.3)+(-5.328684+(-1.163871--1.902249))+0-635.3--0.972009000000037</f>
        <v>2361.2817030000006</v>
      </c>
      <c r="Z223" s="3">
        <f>3264.2+(731.4-956.2)+(-4.994226+(-1.119042--1.462986))+0-647--0.989910000000037</f>
        <v>2388.7396279999998</v>
      </c>
      <c r="AA223" s="3">
        <f>3066.8+(702.9-727.9)+(-3.128136+(-0.716958--0.742458))+0-682.5--0.696150000000109</f>
        <v>2356.8935140000003</v>
      </c>
      <c r="AB223" s="3">
        <f>2862.5+(724.2-571.1)+(-4.379625+(-1.108026--0.873783))+0-676.9--1.03565700000004</f>
        <v>2335.1217889999998</v>
      </c>
      <c r="AC223" s="3">
        <f>2766+(834.8-534.7)+(-7.0533+(-2.12874--1.363485))+0-682.3--1.7398649999999</f>
        <v>2377.7213100000004</v>
      </c>
      <c r="AD223" s="2">
        <v>2419.4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2247.3+(1140.2-407.1)+(-1.146123+(-0.581502--0.207621))+0-692.7--0.35327699999993</f>
        <v>2286.5332729999996</v>
      </c>
      <c r="G224" s="3">
        <f>2070.3+(1137-391.4)+(0+(0-0))+0-616.1-0</f>
        <v>2199.8000000000002</v>
      </c>
      <c r="H224" s="3">
        <f>2039.3+(1087.9-376.5)+(3.120129+(1.664487-0.576045))+0-644.5-0.986085000000037</f>
        <v>2109.4224859999999</v>
      </c>
      <c r="I224" s="3">
        <f>2138.5+(976.4-474.5)+(2.18127+(0.995928-0.48399))+0-625.5-0.6380100000001</f>
        <v>2016.9551980000001</v>
      </c>
      <c r="J224" s="3">
        <f>2220+(908.3-487.1)+(2.2644+(0.926466-0.496842))+0-696.2-0.710124000000111</f>
        <v>1946.9838999999995</v>
      </c>
      <c r="K224" s="3">
        <f>2106.3+(884.7-485)+(-1.074213+(-0.451197--0.24735))+0-626--0.319259999999936</f>
        <v>1879.0411999999999</v>
      </c>
      <c r="L224" s="3">
        <f>2056.7+(873.6-493.4)+(-1.048917+(-0.445536--0.251634))+0-671.4--0.342413999999932</f>
        <v>1764.5995949999995</v>
      </c>
      <c r="M224" s="3">
        <f>2190.6+(674.1-546.4)+(-4.468824+(-1.375164--1.114656))+0-637.5--1.30049999999997</f>
        <v>1677.3711680000004</v>
      </c>
      <c r="N224" s="3">
        <f>2769.8+(449.3-942.6)+(4.237794+(0.687429-1.442178))+0-524.8-0.80294400000003</f>
        <v>1754.380101</v>
      </c>
      <c r="O224" s="3">
        <f>3032.5+(620.3-1276.1)+(-6.1863+(-1.265412--2.603244))+0-471--0.960839999999979</f>
        <v>1901.8123719999996</v>
      </c>
      <c r="P224" s="3">
        <f>3153.9+(791.4-1613.8)+(0+(0-0))+0-440.1-0</f>
        <v>1891.4</v>
      </c>
      <c r="Q224" s="3">
        <f>3273.7+(775.8-1644.5)+(-1.669587+(-0.395658--0.838695))+0-422.6--0.215525999999957</f>
        <v>1981.3889760000002</v>
      </c>
      <c r="R224" s="3">
        <f>2995.4+(704.6-1166.9)+(-6.110616+(-1.437384--2.380476))+0-503.5--1.02713999999998</f>
        <v>2025.4596159999999</v>
      </c>
      <c r="S224" s="3">
        <f>3069.3+(555.2-1074.2)+(-3.130686+(-0.566304--1.095684))+0-434.3--0.442986000000069</f>
        <v>2113.84168</v>
      </c>
      <c r="T224" s="3">
        <f>2980.5+(643.4-1055.2)+(-1.520055+(-0.328134--0.538152))+0-460.2--0.234701999999953</f>
        <v>2107.4246649999995</v>
      </c>
      <c r="U224" s="3">
        <f>2780.8+(749.8-981.3)+(-4.254624+(-1.147194--1.501389))+0-439.6--0.672588000000025</f>
        <v>2106.4721590000004</v>
      </c>
      <c r="V224" s="3">
        <f>2681.5+(843.2-1069.5)+(-9.572955+(-3.010224--3.818115))+0-434.3--1.55045100000001</f>
        <v>2013.6853869999998</v>
      </c>
      <c r="W224" s="3">
        <f>3107.8+(897-1456.9)+(-3.169956+(-0.91494--1.486038))+0-458.6--0.467772000000073</f>
        <v>2087.1689140000003</v>
      </c>
      <c r="X224" s="3">
        <f>3249.9+(1074.9-1564.7)+(-8.287245+(-2.740995--3.989985))+0-495.1--1.26250499999993</f>
        <v>2259.2242500000007</v>
      </c>
      <c r="Y224" s="3">
        <f>3370.1+(1064.6-1745.2)+(-1.718751+(-0.542946--0.890052))+0-431.1--0.219860999999956</f>
        <v>2257.248216</v>
      </c>
      <c r="Z224" s="3">
        <f>3231.3+(1071.5-1564)+(-11.535741+(-3.825255--5.58348))+0-533--1.90281000000001</f>
        <v>2197.9252940000001</v>
      </c>
      <c r="AA224" s="3">
        <f>3214.6+(1006-1504)+(-6.557784+(-2.05224--3.06816))+0-550--1.12199999999998</f>
        <v>2162.1801359999999</v>
      </c>
      <c r="AB224" s="3">
        <f>3169.4+(908.3-1246.4)+(-8.08197+(-2.316165--3.17832))+0-672.2--1.7141099999999</f>
        <v>2153.5942949999999</v>
      </c>
      <c r="AC224" s="3">
        <f>3077.5+(791.2-1108.9)+(-7.847625+(-2.01756--2.827695))+0-637--1.62434999999991</f>
        <v>2117.3868600000001</v>
      </c>
      <c r="AD224" s="2">
        <v>2236.4999999999995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2380.4+(766-528.9)+(-4.856016+(-1.56264--1.078956))+0-654--1.33415999999997</f>
        <v>1959.4944599999999</v>
      </c>
      <c r="G225" s="3">
        <f>2027.3+(895.1-376.9)+(-4.135692+(-1.826004--0.768876))+0-675.3--1.37761199999997</f>
        <v>1866.3847919999998</v>
      </c>
      <c r="H225" s="3">
        <f>1999.8+(881.2-437.3)+(-2.039796+(-0.898824--0.446046))+0-604.5--0.616590000000096</f>
        <v>1837.324016</v>
      </c>
      <c r="I225" s="3">
        <f>2008.9+(871.6-445.5)+(-2.049078+(-0.889032--0.45441))+0-630--0.6426000000001</f>
        <v>1803.1588999999999</v>
      </c>
      <c r="J225" s="3">
        <f>2167.5+(678.5-518.6)+(2.21085+(0.69207-0.528972))+0-582-0.593640000000093</f>
        <v>1747.180308</v>
      </c>
      <c r="K225" s="3">
        <f>2157.1+(730.2-461.4)+(2.200242+(0.744804-0.470628))+0-705.8-0.719916000000112</f>
        <v>1721.8545019999999</v>
      </c>
      <c r="L225" s="3">
        <f>2173.7+(709.2-654.4)+(0+(0-0))+0-570.2-0</f>
        <v>1658.3</v>
      </c>
      <c r="M225" s="3">
        <f>2301.2+(754.4-756.5)+(2.347224+(0.769488-0.77163))+0-697.5-0.711450000000111</f>
        <v>1603.2336319999997</v>
      </c>
      <c r="N225" s="3">
        <f>2389.7+(918.2-1069.8)+(-3.656241+(-1.404846--1.636794))+0-587.7--0.899181000000034</f>
        <v>1647.8748879999998</v>
      </c>
      <c r="O225" s="3">
        <f>2476.7+(989.3-1142.3)+(3.789351+(1.513629-1.747719))+0-629.8-0.963594000000036</f>
        <v>1696.4916669999998</v>
      </c>
      <c r="P225" s="3">
        <f>2600.8+(935.4-1184.3)+(-1.326408+(-0.477054--0.603993))+0-583.3--0.297482999999941</f>
        <v>1767.6980139999998</v>
      </c>
      <c r="Q225" s="3">
        <f>2678.1+(881.4-1129.2)+(0+(0-0))+0-543.8-0</f>
        <v>1886.4999999999998</v>
      </c>
      <c r="R225" s="3">
        <f>2501.7+(868.4-993.4)+(-3.827601+(-1.328652--1.519902))+0-519.2--0.79437600000003</f>
        <v>1854.6580249999997</v>
      </c>
      <c r="S225" s="3">
        <f>2616.1+(832.1-980.7)+(0+(0-0))+0-539.5-0</f>
        <v>1928</v>
      </c>
      <c r="T225" s="3">
        <f>2910.9+(902.4-1302.6)+(-2.969118+(-0.920448--1.328652))+0-539.2--0.549984000000086</f>
        <v>1969.4890700000001</v>
      </c>
      <c r="U225" s="3">
        <f>2821.5+(971.4-1275.9)+(-4.316895+(-1.486242--1.952127))+0-563.7--0.862461000000033</f>
        <v>1950.311451</v>
      </c>
      <c r="V225" s="3">
        <f>2824.3+(886.9-1204.4)+(-2.880786+(-0.904638--1.228488))+0-619.3--0.631686000000099</f>
        <v>1885.5747500000004</v>
      </c>
      <c r="W225" s="3">
        <f>3528.3+(793.1-1833.2)+(3.598866+(0.808962-1.869864))+0-490.6-0.500412000000078</f>
        <v>1999.6375520000004</v>
      </c>
      <c r="X225" s="3">
        <f>3915.2+(898.9-1976.8)+(-3.993504+(-0.916878--2.016336))+0-624.2--0.6366840000001</f>
        <v>2210.8426380000001</v>
      </c>
      <c r="Y225" s="3">
        <f>3610.3+(966.8-1775.8)+(-9.206265+(-2.46534--4.52829))+0-622.2--1.58660999999991</f>
        <v>2173.5432949999999</v>
      </c>
      <c r="Z225" s="3">
        <f>3617.1+(1000.1-1825.5)+(3.689442+(1.020102-1.86201))+0-647.3-0.660246000000103</f>
        <v>2146.5872880000002</v>
      </c>
      <c r="AA225" s="3">
        <f>3389.5+(990.1-1683.3)+(-8.643225+(-2.524755--4.292415))+0-435--1.10924999999994</f>
        <v>2255.5336850000003</v>
      </c>
      <c r="AB225" s="3">
        <f>3159.8+(1047.8-1505.7)+(-1.611498+(-0.534378--0.767907))+0-609.9--0.311048999999938</f>
        <v>2090.9330799999998</v>
      </c>
      <c r="AC225" s="3">
        <f>3185.7+(972.5-1418.8)+(-1.624707+(-0.495975--0.723588))+0-694.3--0.35409299999993</f>
        <v>2044.0569989999997</v>
      </c>
      <c r="AD225" s="2">
        <v>2190.1000000000004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2335.9+(782.8-516)+(-5.956545+(-1.99614--1.3158))+0-631.1--1.60930499999991</f>
        <v>1966.57242</v>
      </c>
      <c r="G226" s="3">
        <f>2127.7+(822.5-411.6)+(-1.085127+(-0.419475--0.209916))+0-648.2--0.330581999999934</f>
        <v>1889.4358959999995</v>
      </c>
      <c r="H226" s="3">
        <f>1929.9+(817.6-414.8)+(-3.936996+(-1.667904--0.846192))+0-558.1--1.13852399999998</f>
        <v>1770.9798160000005</v>
      </c>
      <c r="I226" s="3">
        <f>1852.4+(871.4-341.7)+(-1.889448+(-0.888828--0.348534))+0-653.6--0.666672000000104</f>
        <v>1726.7369300000007</v>
      </c>
      <c r="J226" s="3">
        <f>1985.5+(690.3-419.8)+(5.063025+(1.760265-1.07049))+0-573.2-1.46165999999992</f>
        <v>1687.0911400000002</v>
      </c>
      <c r="K226" s="3">
        <f>2057.4+(633.3-341.3)+(2.098548+(0.645966-0.348126))+0-681.3-0.694926000000109</f>
        <v>1669.8014620000001</v>
      </c>
      <c r="L226" s="3">
        <f>1975.7+(669-387.7)+(-1.007607+(-0.34119--0.197727))+0-627.7--0.320126999999936</f>
        <v>1628.469057</v>
      </c>
      <c r="M226" s="3">
        <f>1918.4+(722.2-399.7)+(-2.935152+(-1.104966--0.611541))+0-636.5--0.973845000000037</f>
        <v>1601.9452679999999</v>
      </c>
      <c r="N226" s="3">
        <f>1971.7+(733.2-461.3)+(-5.027835+(-1.86966--1.176315))+0-592.3--1.51036499999991</f>
        <v>1647.0891849999998</v>
      </c>
      <c r="O226" s="3">
        <f>2139.2+(711.7-688.9)+(3.272976+(1.088901-1.054017))+0-441.6-0.675648000000026</f>
        <v>1723.0322119999998</v>
      </c>
      <c r="P226" s="3">
        <f>2511.2+(726.2-818.2)+(2.561424+(0.740724-0.834564))+0-608.2-0.620364000000097</f>
        <v>1812.8472199999997</v>
      </c>
      <c r="Q226" s="3">
        <f>2858.9+(583.2-1113.5)+(0+(0-0))+0-433.4-0</f>
        <v>1895.2000000000003</v>
      </c>
      <c r="R226" s="3">
        <f>2899.6+(641.4-1049)+(-4.436388+(-0.981342--1.60497))+0-540.7--0.827271000000031</f>
        <v>1948.3145110000003</v>
      </c>
      <c r="S226" s="3">
        <f>2750.3+(732.8-957.6)+(-5.610612+(-1.494912--1.953504))+0-520.7--1.06222799999998</f>
        <v>2000.710208</v>
      </c>
      <c r="T226" s="3">
        <f>3128.6+(683.4-1209.4)+(-1.595586+(-0.348534--0.616794))+0-619.4--0.315893999999937</f>
        <v>1982.1885679999996</v>
      </c>
      <c r="U226" s="3">
        <f>3226.4+(614.2-1363.1)+(-8.22732+(-1.56621--3.475905))+0-504.9--1.28749499999993</f>
        <v>1967.5698699999998</v>
      </c>
      <c r="V226" s="3">
        <f>3324.6+(649.6-1390.4)+(-6.782184+(-1.325184--2.836416))+0-629.8--1.28479199999997</f>
        <v>1950.0138399999998</v>
      </c>
      <c r="W226" s="3">
        <f>3495.8+(725-1656.9)+(-1.782858+(-0.36975--0.845019))+0-552.5--0.281774999999944</f>
        <v>2010.374186</v>
      </c>
      <c r="X226" s="3">
        <f>3449.3+(992.9-1674.7)+(-3.518286+(-1.012758--1.708194))+0-654.1--0.667182000000104</f>
        <v>2111.2443320000002</v>
      </c>
      <c r="Y226" s="3">
        <f>3315.8+(978.6-1561.7)+(-10.146348+(-2.994516--4.778802))+0-647.7--1.98196200000008</f>
        <v>2078.6199000000001</v>
      </c>
      <c r="Z226" s="3">
        <f>3214+(891.6-1390.1)+(-9.83484+(-2.728296--4.253706))+0-624.7--1.91158200000007</f>
        <v>2084.4021520000001</v>
      </c>
      <c r="AA226" s="3">
        <f>3405.7+(790.8-1516.4)+(-1.736907+(-0.403308--0.773364))+0-638.7--0.325736999999935</f>
        <v>2040.3588859999991</v>
      </c>
      <c r="AB226" s="3">
        <f>3470.5+(756.7-1704.9)+(-7.07982+(-1.543668--3.477996))+0-519.2--1.05916799999998</f>
        <v>1999.013676</v>
      </c>
      <c r="AC226" s="3">
        <f>3043.4+(790.5-1296.2)+(-6.208536+(-1.61262--2.644248))+0-595.8--1.21543199999997</f>
        <v>1937.9385239999999</v>
      </c>
      <c r="AD226" s="2">
        <v>2217.6000000000004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2591.1+(672.4-780.6)+(-1.321461+(-0.342924--0.398106))+0-571.1--0.291260999999942</f>
        <v>1910.8249819999996</v>
      </c>
      <c r="G227" s="3">
        <f>2187.2+(694.1-436.2)+(0+(0-0))+0-627.9-0</f>
        <v>1817.1999999999998</v>
      </c>
      <c r="H227" s="3">
        <f>2057.6+(721-399.2)+(2.098752+(0.73542-0.407184))+0-657.5-0.670650000000105</f>
        <v>1723.6563380000002</v>
      </c>
      <c r="I227" s="3">
        <f>2108.1+(653.4-459.4)+(4.300524+(1.332936-0.937176))+0-633.7-1.29274799999997</f>
        <v>1671.8035359999999</v>
      </c>
      <c r="J227" s="3">
        <f>2074.2+(645.3-475.6)+(0+(0-0))+0-623.6-0</f>
        <v>1620.2999999999997</v>
      </c>
      <c r="K227" s="3">
        <f>2176.9+(621.6-545.6)+(3.330657+(0.951048-0.834768))+0-637.7-0.975681000000037</f>
        <v>1617.6712560000001</v>
      </c>
      <c r="L227" s="3">
        <f>2022.8+(637.1-450.9)+(-5.15814+(-1.624605--1.149795))+0-630--1.60649999999991</f>
        <v>1574.9735499999997</v>
      </c>
      <c r="M227" s="3">
        <f>2238+(709.8-719)+(2.28276+(0.723996-0.73338))+0-680.9-0.694518000000109</f>
        <v>1549.4788580000002</v>
      </c>
      <c r="N227" s="3">
        <f>2361.3+(705.8-882.3)+(0+(0-0))+0-567.1-0</f>
        <v>1617.7000000000003</v>
      </c>
      <c r="O227" s="3">
        <f>2638+(744.2-1155.6)+(0+(0-0))+0-516.5-0</f>
        <v>1710.1000000000004</v>
      </c>
      <c r="P227" s="3">
        <f>2733.3+(707.1-1070.4)+(1.393983+(0.360621-0.545904))+0-575.8-0.293657999999942</f>
        <v>1795.1150420000001</v>
      </c>
      <c r="Q227" s="3">
        <f>2709.4+(759.9-1156.5)+(-4.145382+(-1.162647--1.769445))+0-466.2--0.713286000000027</f>
        <v>1843.7747020000002</v>
      </c>
      <c r="R227" s="3">
        <f>2825.1+(744.5-1094.4)+(-7.204005+(-1.898475--2.79072))+0-568--1.44839999999992</f>
        <v>1902.3366399999998</v>
      </c>
      <c r="S227" s="3">
        <f>2745.9+(731.5-1011.7)+(-4.201227+(-1.119195--1.547901))+0-538.3--0.823599000000031</f>
        <v>1924.4510780000001</v>
      </c>
      <c r="T227" s="3">
        <f>2561.5+(819.4-865.3)+(5.22546+(1.671576-1.765212))+0-593.7-1.21114799999997</f>
        <v>1925.820676</v>
      </c>
      <c r="U227" s="3">
        <f>2578.3+(798.5-925)+(-3.944799+(-1.221705--1.41525))+0-554.4--0.848232000000032</f>
        <v>1894.4969780000004</v>
      </c>
      <c r="V227" s="3">
        <f>2796.8+(814.4-1215.9)+(4.279104+(1.246032-1.860327))+0-535.7-0.819621000000031</f>
        <v>1862.4451879999999</v>
      </c>
      <c r="W227" s="3">
        <f>3288.4+(805.6-1543.4)+(-1.677084+(-0.410856--0.787134))+0-645.3--0.329102999999935</f>
        <v>1904.3282969999998</v>
      </c>
      <c r="X227" s="3">
        <f>3336.4+(818.5-1606.8)+(-6.806256+(-1.66974--3.277872))+0-493.9--1.00755599999998</f>
        <v>2050.0094320000003</v>
      </c>
      <c r="Y227" s="3">
        <f>3390.4+(801.8-1498.7)+(1.729104+(0.408918-0.764337))+0-589.5-0.30064499999994</f>
        <v>2105.0730400000002</v>
      </c>
      <c r="Z227" s="3">
        <f>3348.2+(763.1-1510.6)+(-5.122746+(-1.167543--2.311218))+0-539.9--0.826047000000031</f>
        <v>2057.6469759999995</v>
      </c>
      <c r="AA227" s="3">
        <f>3337.2+(679.1-1416.9)+(-6.807888+(-1.385364--2.890476))+0-582.7--1.18870799999997</f>
        <v>2012.5859319999995</v>
      </c>
      <c r="AB227" s="3">
        <f>3311.7+(606.2-1316.8)+(-3.377934+(-0.618324--1.343136))+0-610.4--0.622608000000097</f>
        <v>1988.6694859999998</v>
      </c>
      <c r="AC227" s="3">
        <f>2933+(616.4-929.8)+(-4.48749+(-0.943092--1.422594))+0-645.8--0.988074000000037</f>
        <v>1970.7800860000002</v>
      </c>
      <c r="AD227" s="2">
        <v>2124.6000000000004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2222.8+(864.7-581.2)+(-5.66814+(-2.204985--1.48206))+0-597.7--1.52413499999991</f>
        <v>1903.7330700000002</v>
      </c>
      <c r="G228" s="3">
        <f>2318.5+(575.2-476.2)+(0+(0-0))+0-607.3-0</f>
        <v>1810.2</v>
      </c>
      <c r="H228" s="3">
        <f>2120.7+(638.7-366)+(-5.407785+(-1.628685--0.9333))+0-639--1.62944999999991</f>
        <v>1749.9262799999997</v>
      </c>
      <c r="I228" s="3">
        <f>2090.4+(633.4-341)+(-3.198312+(-0.969102--0.52173))+0-688.8--1.05386400000004</f>
        <v>1691.4081800000001</v>
      </c>
      <c r="J228" s="3">
        <f>2100.8+(579.4-437)+(0+(0-0))+0-605.2-0</f>
        <v>1638.0000000000002</v>
      </c>
      <c r="K228" s="3">
        <f>2125.2+(579-475.3)+(2.167704+(0.59058-0.484806))+0-616.4-0.628728000000098</f>
        <v>1614.1447499999995</v>
      </c>
      <c r="L228" s="3">
        <f>1961.6+(584.2-378.5)+(-7.002912+(-2.085594--1.351245))+0-592.6--2.11558200000001</f>
        <v>1569.078321</v>
      </c>
      <c r="M228" s="3">
        <f>2094.3+(513.9-402.9)+(-3.204279+(-0.786267--0.616437))+0-677.4--1.03642200000004</f>
        <v>1525.5623130000004</v>
      </c>
      <c r="N228" s="3">
        <f>2203.9+(533.2-598.6)+(0+(0-0))+0-553-0</f>
        <v>1585.5</v>
      </c>
      <c r="O228" s="3">
        <f>2746.3+(307.5-895.6)+(2.801226+(0.31365-0.913512))+0-498.9-0.50887800000008</f>
        <v>1660.9924860000001</v>
      </c>
      <c r="P228" s="3">
        <f>2918+(301.5-911.4)+(-4.46454+(-0.461295--1.394442))+0-607.7--0.929781000000035</f>
        <v>1697.7983879999997</v>
      </c>
      <c r="Q228" s="3">
        <f>3072.4+(291.7-1013.3)+(1.566924+(0.148767-0.516783))+0-594.5-0.30319499999994</f>
        <v>1757.1957130000001</v>
      </c>
      <c r="R228" s="3">
        <f>2805.5+(503.2-829.3)+(-4.292415+(-0.769896--1.268829))+0-652.8--0.998784000000038</f>
        <v>1823.8053020000002</v>
      </c>
      <c r="S228" s="3">
        <f>2947.8+(470.7-947.2)+(-1.503378+(-0.240057--0.483072))+0-614.3--0.313292999999938</f>
        <v>1856.0529300000003</v>
      </c>
      <c r="T228" s="3">
        <f>2898.1+(504.8-946.2)+(-5.912124+(-1.029792--1.930248))+0-571.5--1.16585999999998</f>
        <v>1881.3541919999998</v>
      </c>
      <c r="U228" s="3">
        <f>2779.3+(542-811.5)+(-2.834886+(-0.55284--0.82773))+0-651.4--0.664428000000104</f>
        <v>1856.5044320000002</v>
      </c>
      <c r="V228" s="3">
        <f>3125+(367.2-1046.5)+(0+(0-0))+0-637.6-0</f>
        <v>1808.1</v>
      </c>
      <c r="W228" s="3">
        <f>3469.6+(362.3-1305.9)+(-1.769496+(-0.184773--0.666009))+0-608.3--0.310232999999938</f>
        <v>1916.7219730000002</v>
      </c>
      <c r="X228" s="3">
        <f>3599.2+(438.8-1363)+(-9.17796+(-1.11894--3.47565))+0-569.2--1.45145999999992</f>
        <v>2100.43021</v>
      </c>
      <c r="Y228" s="3">
        <f>3577.5+(381.8-1362.1)+(-7.2981+(-0.778872--2.778684))+0-526--1.07303999999998</f>
        <v>2066.9747519999996</v>
      </c>
      <c r="Z228" s="3">
        <f>3464.2+(441.2-1257.7)+(-3.533484+(-0.450024--1.282854))+0-626.6--0.6391320000001</f>
        <v>2019.0384779999997</v>
      </c>
      <c r="AA228" s="3">
        <f>3476.3+(417.5-1181.9)+(-3.545826+(-0.42585--1.205538))+0-713.4--0.727668000000114</f>
        <v>1996.4615300000003</v>
      </c>
      <c r="AB228" s="3">
        <f>3277.8+(419.7-1118.9)+(-8.35839+(-1.070235--2.853195))+0-607.8--1.54988999999991</f>
        <v>1965.7744600000005</v>
      </c>
      <c r="AC228" s="3">
        <f>2824.3+(507.4-699.2)+(-8.642358+(-1.552644--2.139552))+0-694--2.12364000000008</f>
        <v>1932.5681900000002</v>
      </c>
      <c r="AD228" s="2">
        <v>2050.8000000000002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2762.8+(415.4-700.3)+(4.227084+(0.635562-1.071459))+0-595.1-0.910503000000034</f>
        <v>1885.6806839999999</v>
      </c>
      <c r="G229" s="3">
        <f>2629.7+(467.2-626)+(-5.364588+(-0.953088--1.27704))+0-665--1.35659999999997</f>
        <v>1802.2159639999995</v>
      </c>
      <c r="H229" s="3">
        <f>2206.4+(615.3-451.8)+(1.125264+(0.313803-0.230418))+0-629.6-0.321095999999936</f>
        <v>1741.1875530000004</v>
      </c>
      <c r="I229" s="3">
        <f>2148.1+(645.7-447.9)+(5.477655+(1.646535-1.142145))+0-664.4-1.6942199999999</f>
        <v>1685.7878250000003</v>
      </c>
      <c r="J229" s="3">
        <f>2108.3+(660.5-457.7)+(-1.075233+(-0.336855--0.233427))+0-663.6--0.338435999999933</f>
        <v>1646.6597750000005</v>
      </c>
      <c r="K229" s="3">
        <f>2087.8+(586.8-454.3)+(-1.064778+(-0.299268--0.231693))+0-601.5--0.306764999999939</f>
        <v>1617.9744120000003</v>
      </c>
      <c r="L229" s="3">
        <f>2038.6+(562.2-419.3)+(-4.158744+(-1.146888--0.855372))+0-600.2--1.22440799999997</f>
        <v>1578.0741479999999</v>
      </c>
      <c r="M229" s="3">
        <f>2245.3+(443.8-569.4)+(1.145103+(0.226338-0.290394))+0-575.7-0.293606999999942</f>
        <v>1544.7874400000005</v>
      </c>
      <c r="N229" s="3">
        <f>2422.8+(650.6-900.9)+(0+(0-0))+0-584-0</f>
        <v>1588.5</v>
      </c>
      <c r="O229" s="3">
        <f>2723.2+(658.2-1205.9)+(-1.388832+(-0.335682--0.615009))+0-508.1--0.259130999999948</f>
        <v>1666.5496260000002</v>
      </c>
      <c r="P229" s="3">
        <f>2853.7+(753.9-1347.8)+(-5.821548+(-1.537956--2.749512))+0-524.3--1.06957199999998</f>
        <v>1731.9595799999995</v>
      </c>
      <c r="Q229" s="3">
        <f>3056.3+(722.6-1421.3)+(3.117426+(0.737052-1.449726))+0-516.7-0.527034000000082</f>
        <v>1842.777718</v>
      </c>
      <c r="R229" s="3">
        <f>3056.3+(722.6-1293.1)+(-3.117426+(-0.737052--1.318962))+0-594.1--0.605982000000095</f>
        <v>1889.7704660000004</v>
      </c>
      <c r="S229" s="3">
        <f>2800.9+(765.6-1033.2)+(-4.285377+(-1.171368--1.580796))+0-602.2--0.921366000000035</f>
        <v>1928.145417</v>
      </c>
      <c r="T229" s="3">
        <f>2945.9+(583.5-964.5)+(1.502409+(0.297585-0.491895))+0-620.9-0.316658999999937</f>
        <v>1944.99144</v>
      </c>
      <c r="U229" s="3">
        <f>3001.4+(585.6-1043.8)+(1.530714+(0.298656-0.532338))+0-620.1-0.316250999999937</f>
        <v>1924.0807810000003</v>
      </c>
      <c r="V229" s="3">
        <f>3073+(638.5-1178.7)+(-3.13446+(-0.65127--1.202274))+0-655.3--0.668406000000104</f>
        <v>1875.5849500000004</v>
      </c>
      <c r="W229" s="3">
        <f>3100.5+(723.8-1207.8)+(-1.581255+(-0.369138--0.615978))+0-606.4--0.309263999999938</f>
        <v>2009.0748490000001</v>
      </c>
      <c r="X229" s="3">
        <f>3316.9+(881.9-1284.4)+(-5.074857+(-1.349307--1.965132))+0-703.6--1.07650800000004</f>
        <v>2207.4174760000001</v>
      </c>
      <c r="Y229" s="3">
        <f>3300+(864.3-1368.7)+(-3.366+(-0.881586--1.396074))+0-595.7--0.607614000000095</f>
        <v>2197.6561019999995</v>
      </c>
      <c r="Z229" s="3">
        <f>3223+(797.2-1146.8)+(-4.93119+(-1.219716--1.754604))+0-716--1.09548000000004</f>
        <v>2154.0991779999999</v>
      </c>
      <c r="AA229" s="3">
        <f>3090.1+(705.1-1039.6)+(-1.575951+(-0.359601--0.530196))+0-598--0.304979999999939</f>
        <v>2156.4996239999996</v>
      </c>
      <c r="AB229" s="3">
        <f>2902.6+(723.2-780.7)+(-4.440978+(-1.106496--1.194471))+0-701.5--1.07329500000004</f>
        <v>2140.3202919999999</v>
      </c>
      <c r="AC229" s="3">
        <f>2690.3+(648.9-587.8)+(-2.744106+(-0.661878--0.599556))+0-635.5--0.648210000000101</f>
        <v>2113.7417820000005</v>
      </c>
      <c r="AD229" s="2">
        <v>2167.6999999999998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2530+(631-495.7)+(0+(0-0))+0-616.7-0</f>
        <v>2048.6000000000004</v>
      </c>
      <c r="G230" s="3">
        <f>2163.8+(845.1-405.1)+(-2.207076+(-0.862002--0.413202))+0-649.8--0.662796000000104</f>
        <v>1952.0069200000005</v>
      </c>
      <c r="H230" s="3">
        <f>2068.9+(804.1-301.8)+(-2.110278+(-0.820182--0.307836))+0-687.5--0.70125000000011</f>
        <v>1881.7786260000003</v>
      </c>
      <c r="I230" s="3">
        <f>1984.2+(630-251.1)+(-3.035826+(-0.9639--0.384183))+0-530.8--0.812124000000031</f>
        <v>1829.4965810000001</v>
      </c>
      <c r="J230" s="3">
        <f>2349+(533.7-378.3)+(2.39598+(0.544374-0.385866))+0-730.8-0.745416000000116</f>
        <v>1775.4090720000002</v>
      </c>
      <c r="K230" s="3">
        <f>2147.4+(525.1-333.2)+(1.095174+(0.267801-0.169932))+0-600.1-0.306050999999939</f>
        <v>1740.0869920000005</v>
      </c>
      <c r="L230" s="3">
        <f>2011.3+(632-255.6)+(-3.077289+(-0.96696--0.391068))+0-717.5--1.09777500000004</f>
        <v>1667.6445939999996</v>
      </c>
      <c r="M230" s="3">
        <f>2189.8+(564.6-575.7)+(2.233596+(0.575892-0.587214))+0-541-0.551820000000086</f>
        <v>1639.3704540000003</v>
      </c>
      <c r="N230" s="3">
        <f>2255.5+(735.1-703.6)+(-1.150305+(-0.374901--0.358836))+0-572.5--0.291974999999942</f>
        <v>1713.625605</v>
      </c>
      <c r="O230" s="3">
        <f>2411.3+(879.2-915)+(7.378578+(2.690352-2.7999))+0-560.3-1.71451800000006</f>
        <v>1820.754512</v>
      </c>
      <c r="P230" s="3">
        <f>2525.9+(911.5-1009.2)+(-1.288209+(-0.464865--0.514692))+0-520.3--0.265352999999947</f>
        <v>1906.9269709999999</v>
      </c>
      <c r="Q230" s="3">
        <f>2760.4+(856.8-1040)+(2.815608+(0.873936-1.0608))+0-603.2-0.615264000000096</f>
        <v>1976.0134799999998</v>
      </c>
      <c r="R230" s="3">
        <f>2764.4+(815.9-978.4)+(-2.819688+(-0.832218--0.997968))+0-533.5--0.544170000000085</f>
        <v>2066.2902320000003</v>
      </c>
      <c r="S230" s="3">
        <f>2654.7+(837.4-779)+(-2.707794+(-0.854148--0.79458))+0-564.1--0.57538200000009</f>
        <v>2146.8080199999999</v>
      </c>
      <c r="T230" s="3">
        <f>2754.8+(824.2-1006.9)+(1.404948+(0.420342-0.513519))+0-548.1-0.279530999999944</f>
        <v>2025.0322400000007</v>
      </c>
      <c r="U230" s="3">
        <f>2525.6+(937.5-793.6)+(-5.152224+(-1.9125--1.618944))+0-607--1.23827999999997</f>
        <v>2058.2925</v>
      </c>
      <c r="V230" s="3">
        <f>2589.9+(990.3-968.7)+(1.320849+(0.505053-0.494037))+0-572.3-0.291872999999942</f>
        <v>2040.2399920000003</v>
      </c>
      <c r="W230" s="3">
        <f>3847.2+(767-1930.2)+(0+(0-0))+0-570.2-0</f>
        <v>2113.8000000000002</v>
      </c>
      <c r="X230" s="3">
        <f>4148.2+(733.5-2012.3)+(-10.57791+(-1.870425--5.131365))+0-570.3--1.45426499999992</f>
        <v>2293.2372949999994</v>
      </c>
      <c r="Y230" s="3">
        <f>4055.3+(744.2-1955.8)+(-2.068203+(-0.379542--0.997458))+0-546.4--0.278663999999945</f>
        <v>2296.128377</v>
      </c>
      <c r="Z230" s="3">
        <f>4080+(744.7-1816.4)+(-8.3232+(-1.519188--3.705456))+0-694.3--1.41637199999997</f>
        <v>2309.2794400000007</v>
      </c>
      <c r="AA230" s="3">
        <f>3765.7+(660.5-1524.8)+(-11.523042+(-2.02113--4.665888))+0-666.3--2.03887800000008</f>
        <v>2228.2605940000003</v>
      </c>
      <c r="AB230" s="3">
        <f>3549+(664.6-1319)+(-9.04995+(-1.69473--3.36345))+0-633.6--1.61567999999991</f>
        <v>2255.2344499999999</v>
      </c>
      <c r="AC230" s="3">
        <f>3468.6+(618.8-1258.7)+(-7.075944+(-1.262352--2.567748))+0-594--1.21175999999997</f>
        <v>2230.141212</v>
      </c>
      <c r="AD230" s="2">
        <v>2293.6999999999998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2598.2+(757.3-507.6)+(0+(0-0))+0-670.5-0</f>
        <v>2177.3999999999996</v>
      </c>
      <c r="G231" s="3">
        <f>2330.9+(812.2-393.4)+(-4.755036+(-1.656888--0.802536))+0-660.7--1.34782799999997</f>
        <v>2084.7384400000001</v>
      </c>
      <c r="H231" s="3">
        <f>2457+(624-470.2)+(-1.25307+(-0.31824--0.239802))+0-618--0.315179999999937</f>
        <v>1991.7836719999998</v>
      </c>
      <c r="I231" s="3">
        <f>2445.6+(569.5-412.1)+(0+(0-0))+0-666-0</f>
        <v>1937</v>
      </c>
      <c r="J231" s="3">
        <f>2281.6+(602.8-353.3)+(1.163616+(0.307428-0.180183))+0-643.2-0.328031999999935</f>
        <v>1888.8628289999999</v>
      </c>
      <c r="K231" s="3">
        <f>2299.6+(638.5-420.7)+(-1.172796+(-0.325635--0.214557))+0-665.6--0.339455999999932</f>
        <v>1850.8555819999999</v>
      </c>
      <c r="L231" s="3">
        <f>2244.6+(753.9-555.4)+(-1.144746+(-0.384489--0.283254))+0-624--0.318239999999937</f>
        <v>1818.1722589999997</v>
      </c>
      <c r="M231" s="3">
        <f>2262.1+(768.7-645.8)+(0+(0-0))+0-625.1-0</f>
        <v>1759.9</v>
      </c>
      <c r="N231" s="3">
        <f>2443.7+(802.9-862.1)+(-1.246287+(-0.409479--0.439671))+0-561.8--0.286517999999943</f>
        <v>1821.7704229999997</v>
      </c>
      <c r="O231" s="3">
        <f>2517.8+(905.2-892.7)+(1.284078+(0.461652-0.455277))+0-596.8-0.304367999999939</f>
        <v>1934.4860850000005</v>
      </c>
      <c r="P231" s="3">
        <f>2758.3+(841.3-1090.5)+(0+(0-0))+0-624-0</f>
        <v>1885.1000000000004</v>
      </c>
      <c r="Q231" s="3">
        <f>3176.9+(905.4-1426.6)+(-1.620219+(-0.461754--0.727566))+0-685.5--0.34960499999993</f>
        <v>1969.1951980000003</v>
      </c>
      <c r="R231" s="3">
        <f>2801.1+(875.7-992.5)+(-5.714244+(-1.786428--2.0247))+0-623.9--1.27275599999997</f>
        <v>2056.1967839999998</v>
      </c>
      <c r="S231" s="3">
        <f>2619.5+(889.4-737.3)+(-4.007835+(-1.360782--1.128069))+0-615.6--0.941868000000036</f>
        <v>2152.7013199999997</v>
      </c>
      <c r="T231" s="3">
        <f>2716.6+(917.5-812.4)+(-2.770932+(-0.93585--0.828648))+0-673.7--0.687174000000107</f>
        <v>2145.8090399999996</v>
      </c>
      <c r="U231" s="3">
        <f>2793.3+(924-1026.3)+(-4.273749+(-1.41372--1.570239))+0-594.6--0.909738000000034</f>
        <v>2093.1925080000001</v>
      </c>
      <c r="V231" s="3">
        <f>3560.8+(785-1678.9)+(3.632016+(0.8007-1.712478))+0-627.1-0.6396420000001</f>
        <v>2041.880596</v>
      </c>
      <c r="W231" s="3">
        <f>4352.4+(714.9-2329.3)+(-4.439448+(-0.729198--2.375886))+0-575.2--0.586704000000092</f>
        <v>2160.5939440000002</v>
      </c>
      <c r="X231" s="3">
        <f>4243.4+(797.5-2095.4)+(-10.82067+(-2.033625--5.34327))+0-613--1.56314999999991</f>
        <v>2326.5521249999997</v>
      </c>
      <c r="Y231" s="3">
        <f>4136.9+(830.5-2048.2)+(-4.219638+(-0.84711--2.089164))+0-572--0.583440000000091</f>
        <v>2344.8058559999995</v>
      </c>
      <c r="Z231" s="3">
        <f>4460+(811.1-2286.1)+(2.2746+(0.413661-1.165911))+0-686.8-0.35026799999993</f>
        <v>2299.3720819999999</v>
      </c>
      <c r="AA231" s="3">
        <f>3903.2+(804-1823.3)+(-3.981264+(-0.82008--1.859766))+0-589.7--0.601494000000094</f>
        <v>2291.8599159999999</v>
      </c>
      <c r="AB231" s="3">
        <f>3390.2+(675.6-1221.8)+(-1.729002+(-0.344556--0.623118))+0-571.1--0.291260999999942</f>
        <v>2271.7408209999999</v>
      </c>
      <c r="AC231" s="3">
        <f>2816.3+(750-712.6)+(-4.308939+(-1.1475--1.090278))+0-582.5--0.891225000000034</f>
        <v>2267.7250640000002</v>
      </c>
      <c r="AD231" s="2">
        <v>2231.0000000000005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2355.5+(850.5-401.2)+(-4.80522+(-1.73502--0.818448))+0-624.7--1.27438799999997</f>
        <v>2175.6525959999999</v>
      </c>
      <c r="G232" s="3">
        <f>2289.1+(828.2-363.2)+(-4.669764+(-1.689528--0.740928))+0-674.9--1.37679599999997</f>
        <v>2074.9584319999999</v>
      </c>
      <c r="H232" s="3">
        <f>2214.4+(859.3-451.1)+(0+(0-0))+0-613.9-0</f>
        <v>2008.6999999999998</v>
      </c>
      <c r="I232" s="3">
        <f>1924.9+(1024.5-326.8)+(-0.981699+(-0.522495--0.166668))+0-690.7--0.35225699999993</f>
        <v>1930.9147310000005</v>
      </c>
      <c r="J232" s="3">
        <f>1939.1+(911.4-357.1)+(0+(0-0))+0-620-0</f>
        <v>1873.3999999999996</v>
      </c>
      <c r="K232" s="3">
        <f>2221.3+(728.1-462.4)+(1.132863+(0.371331-0.235824))+0-677.5-0.345524999999931</f>
        <v>1810.4228449999998</v>
      </c>
      <c r="L232" s="3">
        <f>2023.4+(740.1-414.9)+(-4.127736+(-1.509804--0.846396))+0-585.3--1.19401199999997</f>
        <v>1759.7028680000005</v>
      </c>
      <c r="M232" s="3">
        <f>2157+(719.2-524.5)+(-3.30021+(-1.100376--0.802485))+0-693.7--1.06136100000004</f>
        <v>1655.4632599999998</v>
      </c>
      <c r="N232" s="3">
        <f>2475.9+(726.3-928.3)+(-3.788127+(-1.111239--1.420299))+0-541.2--0.828036000000031</f>
        <v>1730.0489689999999</v>
      </c>
      <c r="O232" s="3">
        <f>2533.2+(902.6-1118.5)+(-1.291932+(-0.460326--0.570435))+0-518.2--0.264281999999947</f>
        <v>1798.1824589999997</v>
      </c>
      <c r="P232" s="3">
        <f>2624+(1056.4-1345.3)+(0+(0-0))+0-470.4-0</f>
        <v>1864.7000000000003</v>
      </c>
      <c r="Q232" s="3">
        <f>2672.8+(1022.6-1275.5)+(-2.726256+(-1.043052--1.30101))+0-534.5--0.545190000000085</f>
        <v>1883.4768920000004</v>
      </c>
      <c r="R232" s="3">
        <f>2508.9+(933.5-898.9)+(-1.279539+(-0.476085--0.458439))+0-568.4--0.289883999999942</f>
        <v>1974.092699</v>
      </c>
      <c r="S232" s="3">
        <f>2806.2+(737.7-863.2)+(5.724648+(1.504908-1.760928))+0-516.6-1.05386399999998</f>
        <v>2168.514764</v>
      </c>
      <c r="T232" s="3">
        <f>2768.5+(847.2-906.3)+(2.82387+(0.864144-0.924426))+0-542.4-0.553248000000086</f>
        <v>2169.2103399999996</v>
      </c>
      <c r="U232" s="3">
        <f>2702.9+(932.5-994)+(-6.892395+(-2.377875--2.5347))+0-529.7--1.35073499999992</f>
        <v>2106.315165</v>
      </c>
      <c r="V232" s="3">
        <f>2622.8+(955-1045.1)+(4.012884+(1.46115-1.599003))+0-485.3-0.742509000000028</f>
        <v>2050.532522</v>
      </c>
      <c r="W232" s="3">
        <f>3237.4+(973.3-1460.9)+(-3.302148+(-0.992766--1.490118))+0-570.1--0.581502000000091</f>
        <v>2177.4767060000004</v>
      </c>
      <c r="X232" s="3">
        <f>3547.9+(1009.6-1609.3)+(-7.237716+(-2.059584--3.282972))+0-611.6--1.24766399999997</f>
        <v>2331.8333360000001</v>
      </c>
      <c r="Y232" s="3">
        <f>3562+(966.8-1660.9)+(-10.89972+(-2.958408--5.082354))+0-541.2--1.65607200000006</f>
        <v>2319.5802979999994</v>
      </c>
      <c r="Z232" s="3">
        <f>3528.8+(927.8-1616.9)+(-10.798128+(-2.839068--4.947714))+0-578.6--1.77051600000007</f>
        <v>2254.1810339999997</v>
      </c>
      <c r="AA232" s="3">
        <f>3312.2+(887.5-1391.8)+(-5.067666+(-1.357875--2.129454))+0-577.4--0.883422000000033</f>
        <v>2227.0873349999993</v>
      </c>
      <c r="AB232" s="3">
        <f>3232.4+(937.8-1392.7)+(0+(0-0))+0-569.7-0</f>
        <v>2207.8000000000002</v>
      </c>
      <c r="AC232" s="3">
        <f>3155.5+(924.7-1312.5)+(-6.43722+(-1.886388--2.6775))+0-594.1--1.21196399999997</f>
        <v>2169.1658560000001</v>
      </c>
      <c r="AD232" s="2">
        <v>2293.2999999999993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2316.3+(969.2-582)+(-8.269191+(-3.460044--2.07774))+0-605--2.15985000000001</f>
        <v>2091.0083549999999</v>
      </c>
      <c r="G233" s="3">
        <f>1862.7+(1045.2-358.5)+(-5.699862+(-3.198312--1.09701))+0-550.3--1.68391800000006</f>
        <v>1992.9827540000001</v>
      </c>
      <c r="H233" s="3">
        <f>1770.2+(1013.2-248.4)+(-1.805604+(-1.033464--0.253368))+0-641--0.653820000000102</f>
        <v>1892.0681199999999</v>
      </c>
      <c r="I233" s="3">
        <f>1797.8+(863.2-357.6)+(0+(0-0))+0-470.2-0</f>
        <v>1833.2</v>
      </c>
      <c r="J233" s="3">
        <f>2064.2+(730.2-456.6)+(2.105484+(0.744804-0.465732))+0-559.7-0.570894000000089</f>
        <v>1779.9136619999995</v>
      </c>
      <c r="K233" s="3">
        <f>1981.9+(757.4-511.3)+(-1.010769+(-0.386274--0.260763))+0-493.4--0.25163399999995</f>
        <v>1733.7153539999997</v>
      </c>
      <c r="L233" s="3">
        <f>1870.9+(812.8-458.3)+(-1.908318+(-0.829056--0.467466))+0-549.7--0.560694000000088</f>
        <v>1673.9907859999998</v>
      </c>
      <c r="M233" s="3">
        <f>1900.2+(773.7-549.9)+(-1.938204+(-0.789174--0.560898))+0-497--0.506940000000079</f>
        <v>1625.3404600000001</v>
      </c>
      <c r="N233" s="3">
        <f>1836.9+(772.5-453.8)+(-1.873638+(-0.78795--0.462876))+0-495.4--0.505308000000079</f>
        <v>1658.5065959999999</v>
      </c>
      <c r="O233" s="3">
        <f>2186.2+(660.7-672)+(3.344886+(1.010871-1.02816))+0-431.2-0.659736000000025</f>
        <v>1746.3678609999995</v>
      </c>
      <c r="P233" s="3">
        <f>2356.9+(678.3-733.7)+(-4.808076+(-1.383732--1.496748))+0-467.7--0.95410799999998</f>
        <v>1830.0590479999998</v>
      </c>
      <c r="Q233" s="3">
        <f>2425.2+(824.4-931.4)+(-4.947408+(-1.681776--1.900056))+0-424.6--0.866183999999982</f>
        <v>1889.7370559999999</v>
      </c>
      <c r="R233" s="3">
        <f>2218.3+(748.2-582.7)+(-2.262666+(-0.763164--0.594354))+0-391.5--0.399330000000062</f>
        <v>1990.2678539999999</v>
      </c>
      <c r="S233" s="3">
        <f>2278.9+(794.9-545.4)+(-4.648956+(-1.621596--1.112616))+0-441.9--0.901475999999981</f>
        <v>2082.2435399999999</v>
      </c>
      <c r="T233" s="3">
        <f>2433.7+(814.3-631.1)+(-2.482374+(-0.830586--0.643722))+0-511--0.521220000000082</f>
        <v>2103.7519819999998</v>
      </c>
      <c r="U233" s="3">
        <f>2416.6+(797.2-636.8)+(-2.464932+(-0.813144--0.649536))+0-508--0.518160000000081</f>
        <v>2066.8896199999999</v>
      </c>
      <c r="V233" s="3">
        <f>2751.2+(746.7-1003.4)+(1.403112+(0.380817-0.511734))+0-464.1-0.236690999999953</f>
        <v>2031.435504</v>
      </c>
      <c r="W233" s="3">
        <f>3690.1+(896.4-1911.1)+(3.763902+(0.914328-1.949322))+0-530-0.540600000000084</f>
        <v>2147.5883079999999</v>
      </c>
      <c r="X233" s="3">
        <f>3869.7+(978.2-2075.6)+(-5.920641+(-1.496646--3.175668))+0-487.4--0.745722000000028</f>
        <v>2281.4041030000003</v>
      </c>
      <c r="Y233" s="3">
        <f>3832.5+(962.6-1983.3)+(-9.772875+(-2.45463--5.057415))+0-542.8--1.38413999999992</f>
        <v>2263.2140500000005</v>
      </c>
      <c r="Z233" s="3">
        <f>3650.2+(923.1-1865.3)+(1.861602+(0.470781-0.951303))+0-490-0.24989999999995</f>
        <v>2219.1311800000003</v>
      </c>
      <c r="AA233" s="3">
        <f>3162.9+(948.7-1403.1)+(-1.613079+(-0.483837--0.715581))+0-540.3--0.275552999999945</f>
        <v>2167.0942179999997</v>
      </c>
      <c r="AB233" s="3">
        <f>2998.2+(839.4-1151.6)+(-6.116328+(-1.712376--2.349264))+0-478.3--0.975731999999979</f>
        <v>2203.1962919999996</v>
      </c>
      <c r="AC233" s="3">
        <f>2753.7+(780.8-729.4)+(-4.213161+(-1.194624--1.115982))+0-657.6--1.00612800000004</f>
        <v>2144.2143249999999</v>
      </c>
      <c r="AD233" s="2">
        <v>2291.3000000000002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1977.7+(1064.5-418.5)+(-1.008627+(-0.542895--0.213435))+0-532.5--0.271574999999946</f>
        <v>2090.1334879999995</v>
      </c>
      <c r="G234" s="3">
        <f>1804.6+(1153.7-363)+(-0.920346+(-0.588387--0.18513))+0-622.8--0.317627999999937</f>
        <v>1971.4940250000004</v>
      </c>
      <c r="H234" s="3">
        <f>1797.8+(1022.2-350.4)+(-1.833756+(-1.042644--0.357408))+0-579.7--0.591294000000092</f>
        <v>1887.9723020000001</v>
      </c>
      <c r="I234" s="3">
        <f>1765.2+(1011.3-308.6)+(-0.900252+(-0.515763--0.157386))+0-642.4--0.327623999999935</f>
        <v>1824.5689950000001</v>
      </c>
      <c r="J234" s="3">
        <f>1729.6+(919-324.9)+(-4.41048+(-2.34345--0.828495))+0-556.2--1.41830999999992</f>
        <v>1762.9928749999997</v>
      </c>
      <c r="K234" s="3">
        <f>1922.5+(813.7-348.2)+(1.96095+(0.829974-0.355164))+0-657.5-0.670650000000105</f>
        <v>1732.2651099999998</v>
      </c>
      <c r="L234" s="3">
        <f>1804.6+(755.4-288.1)+(-5.522076+(-2.311524--0.881586))+0-564.5--1.72737000000007</f>
        <v>1702.1753559999997</v>
      </c>
      <c r="M234" s="3">
        <f>1903.6+(749.9-364.6)+(0+(0-0))+0-671-0</f>
        <v>1617.8999999999996</v>
      </c>
      <c r="N234" s="3">
        <f>2459.4+(526.3-854)+(-2.508588+(-0.536826--0.87108))+0-437.9--0.44665800000007</f>
        <v>1692.072324</v>
      </c>
      <c r="O234" s="3">
        <f>2638.1+(544.2-872.3)+(1.345431+(0.277542-0.444873))+0-536.7-0.273716999999946</f>
        <v>1774.204383</v>
      </c>
      <c r="P234" s="3">
        <f>2887.7+(582-1088.4)+(-2.945454+(-0.59364--1.110168))+0-508.1--0.518262000000081</f>
        <v>1871.2893359999998</v>
      </c>
      <c r="Q234" s="3">
        <f>3252.9+(606.8-1391.6)+(-3.317958+(-0.618936--1.419432))+0-466.3--0.475626000000074</f>
        <v>1999.7581640000008</v>
      </c>
      <c r="R234" s="3">
        <f>3071.3+(706.3-1073.4)+(-7.831815+(-1.801065--2.73717))+0-662.3--1.6888649999999</f>
        <v>2036.6931549999999</v>
      </c>
      <c r="S234" s="3">
        <f>3035.7+(626.9-1165.7)+(-3.096414+(-0.639438--1.189014))+0-389--0.396780000000062</f>
        <v>2105.7499419999995</v>
      </c>
      <c r="T234" s="3">
        <f>2890.9+(875-1093.1)+(0+(0-0))+0-563.4-0</f>
        <v>2109.4</v>
      </c>
      <c r="U234" s="3">
        <f>2385.3+(1017.1-785.1)+(-2.433006+(-1.037442--0.800802))+0-576.2--0.587724000000092</f>
        <v>2039.0180780000003</v>
      </c>
      <c r="V234" s="3">
        <f>2476.5+(1008.4-808.8)+(0+(0-0))+0-676-0</f>
        <v>2000.1</v>
      </c>
      <c r="W234" s="3">
        <f>2706.7+(932.5-953.4)+(1.380417+(0.475575-0.486234))+0-573.2-0.292331999999942</f>
        <v>2113.6774259999993</v>
      </c>
      <c r="X234" s="3">
        <f>3247.6+(871.3-1140.3)+(-9.937656+(-2.666178--3.489318))+0-694.6--2.12547600000008</f>
        <v>2277.0109600000001</v>
      </c>
      <c r="Y234" s="3">
        <f>3097.9+(826.8-1015.7)+(-9.479574+(-2.530008--3.108042))+0-651.7--1.99420200000008</f>
        <v>2250.3926620000002</v>
      </c>
      <c r="Z234" s="3">
        <f>3188.7+(825.1-1144)+(-4.878711+(-1.262403--1.75032))+0-638.8--0.977364000000037</f>
        <v>2227.5865699999999</v>
      </c>
      <c r="AA234" s="3">
        <f>3082.6+(945.9-1147.8)+(-4.716378+(-1.447227--1.756134))+0-671.3--1.02708900000004</f>
        <v>2206.0196180000003</v>
      </c>
      <c r="AB234" s="3">
        <f>3040.2+(975.2-1174.8)+(-6.202008+(-1.989408--2.396592))+0-647.5--1.32089999999997</f>
        <v>2188.626076</v>
      </c>
      <c r="AC234" s="3">
        <f>2951.4+(1002.6-1099.3)+(-1.505214+(-0.511326--0.560643))+0-680.6--0.347105999999931</f>
        <v>2172.9912090000003</v>
      </c>
      <c r="AD234" s="2">
        <v>2099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2533.8+(989.8-790.1)+(-6.46119+(-2.52399--2.014755))+0-622.8--1.58813999999991</f>
        <v>2105.3177150000001</v>
      </c>
      <c r="G235" s="3">
        <f>1966.7+(1034.6-279.4)+(-2.006034+(-1.055292--0.284988))+0-680.9--0.694518000000109</f>
        <v>2038.9181799999999</v>
      </c>
      <c r="H235" s="3">
        <f>2018.2+(802.6-263.9)+(-3.087846+(-1.227978--0.403767))+0-601.9--0.920907000000035</f>
        <v>1952.0088499999999</v>
      </c>
      <c r="I235" s="3">
        <f>1913.1+(873.7-216.1)+(-0.975681+(-0.445587--0.110211))+0-675--0.344249999999932</f>
        <v>1894.7331929999998</v>
      </c>
      <c r="J235" s="3">
        <f>1933.6+(733.9-220.3)+(-0.986136+(-0.374289--0.112353))+0-615.2--0.313751999999938</f>
        <v>1831.0656799999999</v>
      </c>
      <c r="K235" s="3">
        <f>1985.4+(786.1-329.2)+(1.012554+(0.400911-0.167892))+0-643.5-0.328184999999935</f>
        <v>1799.7173880000005</v>
      </c>
      <c r="L235" s="3">
        <f>1790+(919.9-328)+(-1.8258+(-0.938298--0.33456))+0-657.7--0.670854000000105</f>
        <v>1722.4413160000004</v>
      </c>
      <c r="M235" s="3">
        <f>1805+(895.2-401.2)+(0+(0-0))+0-632-0</f>
        <v>1667</v>
      </c>
      <c r="N235" s="3">
        <f>1943.7+(835.8-542.3)+(-0.991287+(-0.426258--0.276573))+0-594.2--0.30304199999994</f>
        <v>1642.1620699999996</v>
      </c>
      <c r="O235" s="3">
        <f>2355.3+(682.7-620.8)+(3.603609+(1.044531-0.949824))+0-621-0.950130000000036</f>
        <v>1798.9481860000003</v>
      </c>
      <c r="P235" s="3">
        <f>2616+(650.9-833.4)+(4.00248+(0.995877-1.275102))+0-613.7-0.938961000000036</f>
        <v>1822.5842939999998</v>
      </c>
      <c r="Q235" s="3">
        <f>2871.5+(622.1-982.2)+(-4.393395+(-0.951813--1.502766))+0-580.5--0.888165000000034</f>
        <v>1927.945723</v>
      </c>
      <c r="R235" s="3">
        <f>2788.5+(737.6-996.2)+(-7.110675+(-1.88088--2.54031))+0-614.1--1.56595499999991</f>
        <v>1910.9147099999998</v>
      </c>
      <c r="S235" s="3">
        <f>2687.9+(832.5-846.7)+(-6.854145+(-2.122875--2.159085))+0-638.6--1.62842999999991</f>
        <v>2029.9104949999999</v>
      </c>
      <c r="T235" s="3">
        <f>2679.7+(832.7-733.2)+(-6.833235+(-2.123385--1.86966))+0-657.6--1.6768799999999</f>
        <v>2116.1899199999998</v>
      </c>
      <c r="U235" s="3">
        <f>2678.7+(796.1-751.1)+(-5.464548+(-1.624044--1.532244))+0-675--1.37699999999997</f>
        <v>2044.5206519999997</v>
      </c>
      <c r="V235" s="3">
        <f>2459.4+(776.6-623.6)+(-3.762882+(-1.188198--0.954108))+0-601.8--0.920754000000035</f>
        <v>2007.5237820000002</v>
      </c>
      <c r="W235" s="3">
        <f>2844.8+(683.6-772.9)+(-2.901696+(-0.697272--0.788358))+0-667.3--0.680646000000106</f>
        <v>2086.0700360000005</v>
      </c>
      <c r="X235" s="3">
        <f>2869.9+(739.3-816.6)+(-5.854596+(-1.508172--1.665864))+0-533.6--1.08854399999998</f>
        <v>2254.3916400000003</v>
      </c>
      <c r="Y235" s="3">
        <f>2836.2+(790.9-789.4)+(0+(0-0))+0-564.9-0</f>
        <v>2272.7999999999997</v>
      </c>
      <c r="Z235" s="3">
        <f>2789.7+(867.2-717.5)+(-2.845494+(-0.884544--0.73185))+0-696--0.709920000000111</f>
        <v>2241.1117319999998</v>
      </c>
      <c r="AA235" s="3">
        <f>2476.2+(1007.8-599.2)+(-2.525724+(-1.027956--0.611184))+0-638.6--0.651372000000102</f>
        <v>2243.908876</v>
      </c>
      <c r="AB235" s="3">
        <f>2518.4+(1012.7-598.9)+(-5.137536+(-2.065908--1.221756))+0-673.9--1.37475599999997</f>
        <v>2253.6930680000005</v>
      </c>
      <c r="AC235" s="3">
        <f>2343.4+(1018.7-502.8)+(-5.97567+(-2.597685--1.28214))+0-625.3--1.59451499999991</f>
        <v>2228.3032999999996</v>
      </c>
      <c r="AD235" s="2">
        <v>2211.9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1972+(1170.6-319.3)+(-2.01144+(-1.194012--0.325686))+0-623.2--0.635664000000099</f>
        <v>2197.8558980000003</v>
      </c>
      <c r="G236" s="3">
        <f>1743+(1190-148.6)+(-3.55572+(-2.4276--0.303144))+0-669.9--1.36659599999997</f>
        <v>2110.18642</v>
      </c>
      <c r="H236" s="3">
        <f>1760.8+(1115.9-148)+(-0.898008+(-0.569109--0.07548))+0-704.4--0.359243999999929</f>
        <v>2023.2676069999995</v>
      </c>
      <c r="I236" s="3">
        <f>1787.7+(964.3-135.3)+(-3.646908+(-1.967172--0.276012))+0-625.9--1.27683599999997</f>
        <v>1986.7387679999997</v>
      </c>
      <c r="J236" s="3">
        <f>1802.8+(911.1-130.6)+(-4.59714+(-2.323305--0.33303))+0-695.3--1.7730149999999</f>
        <v>1883.1856000000002</v>
      </c>
      <c r="K236" s="3">
        <f>2028.8+(712.4-320.1)+(4.138752+(1.453296-0.653004))+0-604.9-1.23399599999997</f>
        <v>1819.9050480000001</v>
      </c>
      <c r="L236" s="3">
        <f>2089.7+(749.5-434)+(-3.197241+(-1.146735--0.66402))+0-650.7--0.995571000000038</f>
        <v>1751.8156149999998</v>
      </c>
      <c r="M236" s="3">
        <f>1990.3+(770.3-576.2)+(-2.030106+(-0.785706--0.587724))+0-512.4--0.522648000000082</f>
        <v>1670.2945599999998</v>
      </c>
      <c r="N236" s="3">
        <f>2084.1+(900.5-642)+(-3.188673+(-1.377765--0.98226))+0-580.8--0.888624000000034</f>
        <v>1759.1044459999998</v>
      </c>
      <c r="O236" s="3">
        <f>2255.6+(821.3-784.5)+(0+(0-0))+0-445-0</f>
        <v>1847.3999999999996</v>
      </c>
      <c r="P236" s="3">
        <f>2434.1+(853.9-826)+(0+(0-0))+0-543.9-0</f>
        <v>1918.1</v>
      </c>
      <c r="Q236" s="3">
        <f>2690.7+(751.4-968.2)+(-5.489028+(-1.532856--1.975128))+0-434--0.885359999999981</f>
        <v>2035.7386039999994</v>
      </c>
      <c r="R236" s="3">
        <f>2350.7+(857.4-517.8)+(-7.193142+(-2.623644--1.584468))+0-572.5--1.75185000000007</f>
        <v>2111.319532</v>
      </c>
      <c r="S236" s="3">
        <f>2118.2+(956.9-467.7)+(-4.321128+(-1.952076--0.954108))+0-503--1.02611999999998</f>
        <v>2100.1070239999995</v>
      </c>
      <c r="T236" s="3">
        <f>2398.4+(847.9-518.9)+(-3.669552+(-1.297287--0.793917))+0-526.3--0.80523900000003</f>
        <v>2197.732317</v>
      </c>
      <c r="U236" s="3">
        <f>2422.4+(839.1-529.5)+(-4.941696+(-1.711764--1.08018))+0-590.8--1.20523199999997</f>
        <v>2136.831952</v>
      </c>
      <c r="V236" s="3">
        <f>2904.6+(777.6-1024.3)+(-2.962692+(-0.793152--1.044786))+0-569.6--0.580992000000091</f>
        <v>2086.1699340000005</v>
      </c>
      <c r="W236" s="3">
        <f>3532.6+(713.6-1544.4)+(-5.404878+(-1.091808--2.362932))+0-533.2--0.815796000000031</f>
        <v>2165.2820419999998</v>
      </c>
      <c r="X236" s="3">
        <f>3485+(710.6-1528.7)+(-8.88675+(-1.81203--3.898185))+0-341.5--0.87082499999995</f>
        <v>2319.4702299999999</v>
      </c>
      <c r="Y236" s="3">
        <f>3396.3+(819-1342.7)+(-5.196339+(-1.25307--2.054331))+0-527.9--0.80768700000003</f>
        <v>2341.1126090000002</v>
      </c>
      <c r="Z236" s="3">
        <f>3614+(751.4-1499.1)+(-3.68628+(-0.766428--1.529082))+0-547.3--0.558246000000087</f>
        <v>2316.6346200000003</v>
      </c>
      <c r="AA236" s="3">
        <f>3414.2+(777.6-1230.2)+(-8.70621+(-1.98288--3.13701))+0-633.8--1.61618999999991</f>
        <v>2321.8641099999995</v>
      </c>
      <c r="AB236" s="3">
        <f>3334.1+(804.9-1299.2)+(0+(0-0))+0-498.5-0</f>
        <v>2341.2999999999997</v>
      </c>
      <c r="AC236" s="3">
        <f>3189.8+(748.2-1027.1)+(-8.13399+(-1.90791--2.619105))+0-567.6--1.44737999999992</f>
        <v>2337.3245850000008</v>
      </c>
      <c r="AD236" s="2">
        <v>2348.3000000000002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2179+(1053.7-419.1)+(-3.33387+(-1.612161--0.641223))+0-510--0.78030000000003</f>
        <v>2300.0754919999999</v>
      </c>
      <c r="G237" s="3">
        <f>1873.2+(1219.3-237.9)+(-1.910664+(-1.243686--0.242658))+0-623.2--0.635664000000099</f>
        <v>2229.1239719999999</v>
      </c>
      <c r="H237" s="3">
        <f>1826.5+(1060.5-179.1)+(-0.931515+(-0.540855--0.091341))+0-563.6--0.287435999999943</f>
        <v>2143.2064070000001</v>
      </c>
      <c r="I237" s="3">
        <f>1950.5+(1010.8-246.9)+(0.994755+(0.515508-0.125919))+0-632.3-0.322472999999936</f>
        <v>2083.1618710000007</v>
      </c>
      <c r="J237" s="3">
        <f>1853.2+(955.8-215)+(-0.945132+(-0.487458--0.10965))+0-551.7--0.281366999999944</f>
        <v>2041.258427</v>
      </c>
      <c r="K237" s="3">
        <f>1979.1+(878.9-221)+(3.028023+(1.344717-0.33813))+0-645.8-0.988074000000037</f>
        <v>1994.2465360000001</v>
      </c>
      <c r="L237" s="3">
        <f>1861+(800.8-253.2)+(-3.79644+(-1.633632--0.516528))+0-544.8--1.11139199999998</f>
        <v>1859.997848</v>
      </c>
      <c r="M237" s="3">
        <f>2011.4+(720.2-547.1)+(0+(0-0))+0-445.4-0</f>
        <v>1739.1</v>
      </c>
      <c r="N237" s="3">
        <f>1989.2+(937.1-524.9)+(1.014492+(0.477921-0.267699))+0-621.1-0.316760999999937</f>
        <v>1781.2079530000001</v>
      </c>
      <c r="O237" s="3">
        <f>2189.9+(913.4-752.9)+(4.467396+(1.863336-1.535916))+0-431-0.879239999999981</f>
        <v>1923.3155760000002</v>
      </c>
      <c r="P237" s="3">
        <f>2488.6+(935.6-772.7)+(-1.269186+(-0.477156--0.394077))+0-618--0.315179999999937</f>
        <v>2032.4629149999998</v>
      </c>
      <c r="Q237" s="3">
        <f>2301.4+(950.4-685.4)+(-2.347428+(-0.969408--0.699108))+0-416.6--0.424932000000066</f>
        <v>2147.6072039999999</v>
      </c>
      <c r="R237" s="3">
        <f>2755.2+(917.6-819.9)+(-1.405152+(-0.467976--0.418149))+0-527.9--0.269228999999946</f>
        <v>2323.8142499999994</v>
      </c>
      <c r="S237" s="3">
        <f>2693.3+(817-616.4)+(-2.747166+(-0.83334--0.628728))+0-504.2--0.51428400000008</f>
        <v>2387.262506</v>
      </c>
      <c r="T237" s="3">
        <f>2955.4+(805.8-790.5)+(3.014508+(0.821916-0.80631))+0-617.3-0.629646000000098</f>
        <v>2355.8004679999995</v>
      </c>
      <c r="U237" s="3">
        <f>2716.8+(840.4-726.9)+(-4.156704+(-1.285812--1.112157))+0-540.2--0.826506000000031</f>
        <v>2286.5961469999997</v>
      </c>
      <c r="V237" s="3">
        <f>3061.3+(820.6-1133.2)+(-1.561263+(-0.418506--0.577932))+0-554.3--0.282692999999944</f>
        <v>2193.2808560000003</v>
      </c>
      <c r="W237" s="3">
        <f>3537.5+(931.1-1576.2)+(-1.804125+(-0.474861--0.803862))+0-556.1--0.283610999999944</f>
        <v>2335.108487</v>
      </c>
      <c r="X237" s="3">
        <f>3669.3+(1041.7-1546.3)+(-5.614029+(-1.593801--2.365839))+0-627.6--0.960228000000036</f>
        <v>2533.2182370000005</v>
      </c>
      <c r="Y237" s="3">
        <f>3295.4+(1052.1-1252.7)+(-8.40327+(-2.682855--3.194385))+0-534.2--1.36220999999992</f>
        <v>2554.0704700000001</v>
      </c>
      <c r="Z237" s="3">
        <f>3233.4+(1019.7-1024)+(-6.596136+(-2.080188--2.08896))+0-655.8--1.33783199999997</f>
        <v>2568.0504680000004</v>
      </c>
      <c r="AA237" s="3">
        <f>3176.2+(1044.8-1072.4)+(-3.239724+(-1.065696--1.093848))+0-541.3--0.552126000000086</f>
        <v>2604.6405539999992</v>
      </c>
      <c r="AB237" s="3">
        <f>2945.3+(1146.5-900.9)+(-7.510515+(-2.923575--2.297295))+0-556.3--1.41856499999992</f>
        <v>2627.88177</v>
      </c>
      <c r="AC237" s="3">
        <f>2227.9+(1236.6-337.5)+(-5.681145+(-3.15333--0.860625))+0-459--1.17044999999993</f>
        <v>2661.1966000000002</v>
      </c>
      <c r="AD237" s="2">
        <v>2492.1999999999998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1818.4+(1278.3-202.8)+(-3.709536+(-2.607732--0.413712))+0-532.8--1.08691199999998</f>
        <v>2356.2833559999999</v>
      </c>
      <c r="G238" s="3">
        <f>1826.5+(1257.6-138.5)+(-0.931515+(-0.641376--0.070635))+0-534--0.272339999999946</f>
        <v>2410.3700839999997</v>
      </c>
      <c r="H238" s="3">
        <f>1919+(1180.5-138.7)+(-1.95738+(-1.20411--0.141474))+0-671.7--0.685134000000107</f>
        <v>2286.7651180000003</v>
      </c>
      <c r="I238" s="3">
        <f>1815+(1132.3-191.7)+(-1.8513+(-1.154946--0.195534))+0-551.6--0.562632000000088</f>
        <v>2201.7519200000002</v>
      </c>
      <c r="J238" s="3">
        <f>1873.7+(1109.3-182.3)+(-2.866761+(-1.697229--0.278919))+0-633.8--0.969714000000037</f>
        <v>2163.5846430000001</v>
      </c>
      <c r="K238" s="3">
        <f>1869.8+(990.5-211.3)+(0+(0-0))+0-580.8-0</f>
        <v>2068.1999999999998</v>
      </c>
      <c r="L238" s="3">
        <f>2030.6+(841.9-309.5)+(-1.035606+(-0.429369--0.157845))+0-583.5--0.297584999999941</f>
        <v>1978.4904549999999</v>
      </c>
      <c r="M238" s="3">
        <f>2063.3+(726.2-367.8)+(-1.052283+(-0.370362--0.187578))+0-589--0.30038999999994</f>
        <v>1831.7653230000001</v>
      </c>
      <c r="N238" s="3">
        <f>2207.3+(759.2-531.9)+(-2.251446+(-0.774384--0.542538))+0-595.9--0.607818000000095</f>
        <v>1836.8245260000006</v>
      </c>
      <c r="O238" s="3">
        <f>2080.1+(809.4-499.5)+(-1.060851+(-0.412794--0.254745))+0-495.9--0.25290899999995</f>
        <v>1893.1340090000001</v>
      </c>
      <c r="P238" s="3">
        <f>2317.9+(779.4-632.2)+(2.364258+(0.794988-0.644844))+0-553.4-0.564468000000088</f>
        <v>1913.6499339999996</v>
      </c>
      <c r="Q238" s="3">
        <f>2674.3+(810-1002.9)+(-1.363893+(-0.4131--0.511479))+0-468.6--0.238985999999952</f>
        <v>2011.7734719999999</v>
      </c>
      <c r="R238" s="3">
        <f>2625.7+(899.4-825.4)+(-5.356428+(-1.834776--1.683816))+0-643.1--1.31192399999997</f>
        <v>2052.404536</v>
      </c>
      <c r="S238" s="3">
        <f>2676+(752-799.6)+(-4.09428+(-1.15056--1.223388))+0-500.2--0.765306000000029</f>
        <v>2124.9438540000006</v>
      </c>
      <c r="T238" s="3">
        <f>2730.6+(754.3-726.9)+(1.392606+(0.384693-0.370719))+0-650.6-0.331805999999934</f>
        <v>2108.4747739999998</v>
      </c>
      <c r="U238" s="3">
        <f>2511+(820.4-717.9)+(-1.28061+(-0.418404--0.366129))+0-535.3--0.273002999999946</f>
        <v>2077.1401179999998</v>
      </c>
      <c r="V238" s="3">
        <f>2660.2+(828.8-962.9)+(4.070106+(1.268064-1.473237))+0-539.1-0.824823000000031</f>
        <v>1990.0401099999999</v>
      </c>
      <c r="W238" s="3">
        <f>3135+(1077.2-1511.8)+(-3.1977+(-1.098744--1.542036))+0-579.2--0.590784000000092</f>
        <v>2119.036376</v>
      </c>
      <c r="X238" s="3">
        <f>3312.9+(941.3-1394.7)+(-6.758316+(-1.920252--2.845188))+0-586.3--1.19605199999997</f>
        <v>2268.5626719999996</v>
      </c>
      <c r="Y238" s="3">
        <f>3371.2+(909-1369.2)+(-8.59656+(-2.31795--3.49146))+0-661.2--1.6860599999999</f>
        <v>2244.0630099999998</v>
      </c>
      <c r="Z238" s="3">
        <f>3251.2+(791.4-1294.1)+(-4.974336+(-1.210842--1.979973))+0-528.9--0.809217000000031</f>
        <v>2216.2040119999997</v>
      </c>
      <c r="AA238" s="3">
        <f>2997+(801-962.7)+(-4.58541+(-1.22553--1.472931))+0-607.5--0.929475000000035</f>
        <v>2224.391466</v>
      </c>
      <c r="AB238" s="3">
        <f>2926.6+(811.7-920.9)+(-1.492566+(-0.413967--0.469659))+0-600.1--0.306050999999939</f>
        <v>2216.1691770000002</v>
      </c>
      <c r="AC238" s="3">
        <f>2968.7+(865.6-1002.8)+(-4.542111+(-1.324368--1.534284))+0-596.4--0.912492000000034</f>
        <v>2231.6802969999999</v>
      </c>
      <c r="AD238" s="2">
        <v>2281.8000000000002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2245.8+(838.9-245.5)+(-1.145358+(-0.427839--0.125205))+0-594.4--0.30314399999994</f>
        <v>2243.6551520000003</v>
      </c>
      <c r="G239" s="3">
        <f>1978.2+(890.8-191.8)+(-2.017764+(-0.908616--0.195636))+0-574.3--0.585786000000092</f>
        <v>2100.7550420000002</v>
      </c>
      <c r="H239" s="3">
        <f>2045.2+(766.3-303.2)+(0+(0-0))+0-565.5-0</f>
        <v>1942.8000000000002</v>
      </c>
      <c r="I239" s="3">
        <f>2118.2+(645-335.4)+(-2.160564+(-0.6579--0.342108))+0-572.4--0.583848000000091</f>
        <v>1853.5074919999995</v>
      </c>
      <c r="J239" s="3">
        <f>2040.1+(697.2-333.7)+(0+(0-0))+0-646.5-0</f>
        <v>1757.1</v>
      </c>
      <c r="K239" s="3">
        <f>2025.1+(586.5-339.2)+(-2.065602+(-0.59823--0.345984))+0-543--0.553860000000087</f>
        <v>1727.6360119999999</v>
      </c>
      <c r="L239" s="3">
        <f>2006.2+(620-386.2)+(-3.069486+(-0.9486--0.590886))+0-635.7--0.972621000000037</f>
        <v>1601.845421</v>
      </c>
      <c r="M239" s="3">
        <f>1967.7+(604.9-417.5)+(-2.007054+(-0.616998--0.42585))+0-599.1--0.611082000000096</f>
        <v>1554.4128800000001</v>
      </c>
      <c r="N239" s="3">
        <f>2018.4+(594.7-478)+(-4.117536+(-1.213188--0.97512))+0-595.4--1.21461599999997</f>
        <v>1536.5590120000004</v>
      </c>
      <c r="O239" s="3">
        <f>2279.9+(472.2-626.7)+(0+(0-0))+0-528.3-0</f>
        <v>1597.1000000000001</v>
      </c>
      <c r="P239" s="3">
        <f>2429.2+(495.6-779)+(-2.477784+(-0.505512--0.79458))+0-502.6--0.51265200000008</f>
        <v>1641.5239359999998</v>
      </c>
      <c r="Q239" s="3">
        <f>2578+(567.1-1057.2)+(-1.31478+(-0.289221--0.539172))+0-440.2--0.224501999999955</f>
        <v>1646.8596730000002</v>
      </c>
      <c r="R239" s="3">
        <f>2404+(740-749.5)+(-6.1302+(-1.887--1.911225))+0-613--1.56314999999991</f>
        <v>1776.957175</v>
      </c>
      <c r="S239" s="3">
        <f>2553.2+(705.7-1140.3)+(-1.302132+(-0.359907--0.581553))+0-531.1--0.270860999999946</f>
        <v>1586.6903750000001</v>
      </c>
      <c r="T239" s="3">
        <f>2667+(744.6-1389.4)+(-2.72034+(-0.759492--1.417188))+0-534.8--0.545496000000085</f>
        <v>1485.882852</v>
      </c>
      <c r="U239" s="3">
        <f>2470.1+(738.8-1280.3)+(-2.519502+(-0.753576--1.305906))+0-396--0.403920000000063</f>
        <v>1531.036748</v>
      </c>
      <c r="V239" s="3">
        <f>2630.5+(886.8-1511.4)+(-4.024665+(-1.356804--2.312442))+0-559.3--0.855729000000032</f>
        <v>1444.386702</v>
      </c>
      <c r="W239" s="3">
        <f>3225.9+(814.8-1843.9)+(-3.290418+(-0.831096--1.880778))+0-452.5--0.461550000000072</f>
        <v>1742.520814</v>
      </c>
      <c r="X239" s="3">
        <f>3277+(857.4-1698.1)+(-6.68508+(-1.749096--3.464124))+0-628.4--1.28193599999997</f>
        <v>1804.2118839999998</v>
      </c>
      <c r="Y239" s="3">
        <f>3049.4+(803.9-1509.2)+(-6.220776+(-1.639956--3.078768))+0-529.8--1.08079199999998</f>
        <v>1810.5988280000001</v>
      </c>
      <c r="Z239" s="3">
        <f>3011.5+(779.5-1426.6)+(-7.679325+(-1.987725--3.63783))+0-615.8--1.57028999999991</f>
        <v>1744.1410700000001</v>
      </c>
      <c r="AA239" s="3">
        <f>3007.7+(771.1-1521.4)+(-4.601781+(-1.179783--2.327742))+0-550.3--0.841959000000032</f>
        <v>1704.4881369999998</v>
      </c>
      <c r="AB239" s="3">
        <f>2837.7+(769.7-1460.3)+(-7.236135+(-1.962735--3.723765))+0-467.8--1.19288999999993</f>
        <v>1675.017785</v>
      </c>
      <c r="AC239" s="3">
        <f>2673.9+(604.7-1154.8)+(-5.454756+(-1.233588--2.355792))+0-511.7--1.04386799999998</f>
        <v>1608.8113160000003</v>
      </c>
      <c r="AD239" s="2">
        <v>1772.1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2132.6+(534.6-654.7)+(-3.262878+(-0.817938--1.001691))+0-604.9--0.925497000000035</f>
        <v>1405.4463720000001</v>
      </c>
      <c r="G240" s="3">
        <f>2022.7+(462.9-548.6)+(-3.094731+(-0.708237--0.839358))+0-580.7--0.888471000000034</f>
        <v>1354.2248609999999</v>
      </c>
      <c r="H240" s="3">
        <f>2039.2+(412.6-524.8)+(-1.039992+(-0.210426--0.267648))+0-629.8--0.321197999999936</f>
        <v>1296.5384279999998</v>
      </c>
      <c r="I240" s="3">
        <f>2039.6+(389.7-531.2)+(-1.040196+(-0.198747--0.270912))+0-648.3--0.330632999999934</f>
        <v>1249.1626019999999</v>
      </c>
      <c r="J240" s="3">
        <f>2007.5+(405.8-576.4)+(-2.04765+(-0.413916--0.587928))+0-563.1--0.57436200000009</f>
        <v>1272.5007240000002</v>
      </c>
      <c r="K240" s="3">
        <f>2109.4+(455.7-631.5)+(3.227382+(0.697221-0.966195))+0-646-0.988380000000037</f>
        <v>1289.5700280000001</v>
      </c>
      <c r="L240" s="3">
        <f>2031.2+(529.7-605.4)+(-1.035912+(-0.270147--0.308754))+0-601.2--0.306611999999939</f>
        <v>1353.6093069999997</v>
      </c>
      <c r="M240" s="3">
        <f>1915.5+(570.1-491.7)+(1.95381+(0.581502-0.501534))+0-641.3-0.654126000000102</f>
        <v>1353.979652</v>
      </c>
      <c r="N240" s="3">
        <f>1882.1+(705.2-571)+(1.919742+(0.719304-0.58242))+0-619.2-0.631584000000099</f>
        <v>1398.5250419999998</v>
      </c>
      <c r="O240" s="3">
        <f>1998.7+(876.5-729)+(-2.038674+(-0.89403--0.74358))+0-621.4--0.633828000000099</f>
        <v>1523.2447039999997</v>
      </c>
      <c r="P240" s="3">
        <f>2241.6+(806-979.9)+(-2.286432+(-0.82212--0.999498))+0-478.6--0.488172000000076</f>
        <v>1587.479118</v>
      </c>
      <c r="Q240" s="3">
        <f>2314+(823.8-855.1)+(2.36028+(0.840276-0.872202))+0-609.8-0.621996000000097</f>
        <v>1674.606358</v>
      </c>
      <c r="R240" s="3">
        <f>2192+(817-797.3)+(-4.47168+(-1.66668--1.626492))+0-567.7--1.15810799999998</f>
        <v>1640.6462399999998</v>
      </c>
      <c r="S240" s="3">
        <f>2191.7+(801.9-843.3)+(0+(0-0))+0-522.9-0</f>
        <v>1627.3999999999996</v>
      </c>
      <c r="T240" s="3">
        <f>2364.2+(762.4-943.5)+(-1.205742+(-0.388824--0.481185))+0-608.3--0.310232999999938</f>
        <v>1573.9968519999998</v>
      </c>
      <c r="U240" s="3">
        <f>2131.1+(874.1-830.2)+(0+(0-0))+0-558.9-0</f>
        <v>1616.1</v>
      </c>
      <c r="V240" s="3">
        <f>2299.5+(910.9-953.1)+(1.172745+(0.464559-0.486081))+0-632.5-0.322574999999936</f>
        <v>1625.6286480000001</v>
      </c>
      <c r="W240" s="3">
        <f>2675.8+(911.8-1216.4)+(1.364658+(0.465018-0.620364))+0-594.1-0.30299099999994</f>
        <v>1778.0063209999998</v>
      </c>
      <c r="X240" s="3">
        <f>2699.4+(1019.2-1193.2)+(-8.260164+(-3.118752--3.651192))+0-610.7--1.86874200000007</f>
        <v>1908.8410180000003</v>
      </c>
      <c r="Y240" s="3">
        <f>2719+(992.2-1267.4)+(-1.38669+(-0.506022--0.646374))+0-581.5--0.296564999999941</f>
        <v>1861.3502270000001</v>
      </c>
      <c r="Z240" s="3">
        <f>2512.4+(956.5-1065.2)+(-5.125296+(-1.95126--2.173008))+0-569.6--1.16198399999998</f>
        <v>1830.3584360000002</v>
      </c>
      <c r="AA240" s="3">
        <f>2385.4+(908-943.5)+(-3.649662+(-1.38924--1.443555))+0-601--0.919530000000035</f>
        <v>1746.2241830000003</v>
      </c>
      <c r="AB240" s="3">
        <f>2311.1+(937.5-928.7)+(-4.714644+(-1.9125--1.894548))+0-640.7--1.30702799999997</f>
        <v>1675.7744319999997</v>
      </c>
      <c r="AC240" s="3">
        <f>2242.2+(952-1036.9)+(-3.430566+(-1.45656--1.586457))+0-612--0.936360000000035</f>
        <v>1542.9356909999995</v>
      </c>
      <c r="AD240" s="2">
        <v>1916.9999999999998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1985.7+(828.6-683.5)+(-5.063535+(-2.11293--1.742925))+0-637.8--1.62638999999991</f>
        <v>1489.1928500000001</v>
      </c>
      <c r="G241" s="3">
        <f>1971.4+(527-479.9)+(-5.02707+(-1.34385--1.223745))+0-642.7--1.63888499999991</f>
        <v>1372.2917099999997</v>
      </c>
      <c r="H241" s="3">
        <f>1907.8+(487.6-417.7)+(-2.918934+(-0.746028--0.639081))+0-640.1--0.979353000000037</f>
        <v>1335.5534719999998</v>
      </c>
      <c r="I241" s="3">
        <f>1923.9+(447.5-444.1)+(0.981189+(0.228225-0.226491))+0-632.1-0.322370999999936</f>
        <v>1295.8605520000003</v>
      </c>
      <c r="J241" s="3">
        <f>1810.2+(466.4-326.6)+(0+(0-0))+0-666.2-0</f>
        <v>1283.8</v>
      </c>
      <c r="K241" s="3">
        <f>1968+(543.4-560.3)+(0+(0-0))+0-640.7-0</f>
        <v>1310.3999999999999</v>
      </c>
      <c r="L241" s="3">
        <f>1920.5+(695.4-602.7)+(-3.91782+(-1.418616--1.229508))+0-628.2--1.28152799999997</f>
        <v>1382.1745999999998</v>
      </c>
      <c r="M241" s="3">
        <f>2054.4+(681.1-734.4)+(-2.095488+(-0.694722--0.749088))+0-617--0.629340000000098</f>
        <v>1382.6882180000002</v>
      </c>
      <c r="N241" s="3">
        <f>2303.8+(750.3-1021.2)+(2.349876+(0.765306-1.041624))+0-574.1-0.585582000000092</f>
        <v>1460.2879760000001</v>
      </c>
      <c r="O241" s="3">
        <f>2228.3+(881.1-1153.7)+(0+(0-0))+0-530.1-0</f>
        <v>1425.6000000000004</v>
      </c>
      <c r="P241" s="3">
        <f>2306.8+(923.7-1029.8)+(-3.529404+(-1.413261--1.575594))+0-652.6--0.998478000000038</f>
        <v>1545.7314070000002</v>
      </c>
      <c r="Q241" s="3">
        <f>2283.3+(1035.4-1072.9)+(-4.657932+(-2.112216--2.188716))+0-652.7--1.33150799999997</f>
        <v>1589.8500760000002</v>
      </c>
      <c r="R241" s="3">
        <f>2379.4+(954.7-1086)+(-3.640482+(-1.460691--1.66158))+0-654.2--1.00092600000004</f>
        <v>1591.4613330000002</v>
      </c>
      <c r="S241" s="3">
        <f>2342.4+(805.5-961.4)+(-4.778496+(-1.64322--1.961256))+0-635.8--1.29703199999997</f>
        <v>1547.5365720000002</v>
      </c>
      <c r="T241" s="3">
        <f>2421.5+(741.7-1015.4)+(2.46993+(0.756534-1.035708))+0-646.4-0.659328000000103</f>
        <v>1502.9314279999999</v>
      </c>
      <c r="U241" s="3">
        <f>2384.1+(811.9-1093.8)+(-3.647673+(-1.242207--1.673514))+0-574.6--0.879138000000033</f>
        <v>1525.2627719999998</v>
      </c>
      <c r="V241" s="3">
        <f>2427.3+(867.4-1101.7)+(0+(0-0))+0-638.8-0</f>
        <v>1554.2</v>
      </c>
      <c r="W241" s="3">
        <f>2352.6+(1102.3-1047.7)+(-3.599478+(-1.686519--1.602981))+0-625.1--0.956403000000036</f>
        <v>1779.3733870000001</v>
      </c>
      <c r="X241" s="3">
        <f>2617.8+(1126.8-1202.1)+(-2.670156+(-1.149336--1.226142))+0-605.2--0.617304000000097</f>
        <v>1935.323954</v>
      </c>
      <c r="Y241" s="3">
        <f>2672.7+(1134-1303.4)+(0+(0-0))+0-653.5-0</f>
        <v>1849.7999999999997</v>
      </c>
      <c r="Z241" s="3">
        <f>2798.9+(1146.9-1539.7)+(0+(0-0))+0-590.3-0</f>
        <v>1815.8000000000004</v>
      </c>
      <c r="AA241" s="3">
        <f>2863.7+(1180.2-1602.7)+(-4.381461+(-1.805706--2.452131))+0-692.3--1.05921900000004</f>
        <v>1746.2241829999998</v>
      </c>
      <c r="AB241" s="3">
        <f>2920.1+(1008.7-1692)+(0+(0-0))+0-564.7-0</f>
        <v>1672.1000000000001</v>
      </c>
      <c r="AC241" s="3">
        <f>3109.9+(932.1-1866.3)+(-6.344196+(-1.901484--3.807252))+0-606.2--1.23664799999997</f>
        <v>1566.2982200000004</v>
      </c>
      <c r="AD241" s="2">
        <v>1932.3000000000002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2351.9+(825.4-1082.1)+(-1.199469+(-0.420954--0.551871))+0-520.1--0.265250999999947</f>
        <v>1574.2966990000002</v>
      </c>
      <c r="G242" s="3">
        <f>2169.4+(768.7-728.7)+(-2.212788+(-0.784074--0.743274))+0-663.5--0.676770000000106</f>
        <v>1544.3231820000001</v>
      </c>
      <c r="H242" s="3">
        <f>1902+(639.2-596.1)+(-4.8501+(-1.62996--1.520055))+0-613.5--1.56442499999991</f>
        <v>1328.2044199999998</v>
      </c>
      <c r="I242" s="3">
        <f>1860.1+(682.3-571.1)+(-1.897302+(-0.695946--0.582522))+0-686.2--0.699924000000109</f>
        <v>1283.7891979999997</v>
      </c>
      <c r="J242" s="3">
        <f>2090.4+(550.4-759.7)+(0+(0-0))+0-589.4-0</f>
        <v>1291.6999999999998</v>
      </c>
      <c r="K242" s="3">
        <f>1857.9+(632.2-533.1)+(0+(0-0))+0-620.5-0</f>
        <v>1336.5</v>
      </c>
      <c r="L242" s="3">
        <f>1930.3+(586.1-532.8)+(-4.922265+(-1.494555--1.35864))+0-622.6--1.58762999999991</f>
        <v>1357.52945</v>
      </c>
      <c r="M242" s="3">
        <f>1943.4+(570.5-529.4)+(-1.982268+(-0.58191--0.539988))+0-631--0.643620000000101</f>
        <v>1352.11943</v>
      </c>
      <c r="N242" s="3">
        <f>2008.6+(735.3-723.4)+(3.073158+(1.125009-1.106802))+0-606.2-0.927486000000035</f>
        <v>1416.4638789999999</v>
      </c>
      <c r="O242" s="3">
        <f>2115.5+(810.3-863.6)+(-2.15781+(-0.826506--0.880872))+0-600.9--0.612918000000096</f>
        <v>1459.8094739999999</v>
      </c>
      <c r="P242" s="3">
        <f>2438.9+(841.6-1255.1)+(2.487678+(0.858432-1.280202))+0-481.8-0.491436000000077</f>
        <v>1545.1744720000002</v>
      </c>
      <c r="Q242" s="3">
        <f>2133.8+(1049.1-918.3)+(-5.44119+(-2.675205--2.341665))+0-693.5--1.7684249999999</f>
        <v>1567.0936950000003</v>
      </c>
      <c r="R242" s="3">
        <f>2012+(1013.4-871.7)+(-7.18284+(-3.617838--3.111969))+0-601.6--2.14771200000001</f>
        <v>1546.5590029999998</v>
      </c>
      <c r="S242" s="3">
        <f>2039.4+(941-743.5)+(-3.120282+(-1.43973--1.137555))+0-689.1--1.05432300000004</f>
        <v>1545.4318660000001</v>
      </c>
      <c r="T242" s="3">
        <f>1998.7+(828.7-719)+(-3.058011+(-1.267911--1.10007))+0-608.5--0.931005000000035</f>
        <v>1497.6051530000002</v>
      </c>
      <c r="U242" s="3">
        <f>1927.7+(833.2-597.4)+(0+(0-0))+0-670.8-0</f>
        <v>1492.7</v>
      </c>
      <c r="V242" s="3">
        <f>2147+(839.8-822.9)+(-2.18994+(-0.856596--0.839358))+0-641.2--0.654024000000102</f>
        <v>1521.1468460000001</v>
      </c>
      <c r="W242" s="3">
        <f>2526.3+(1026.1-1185.9)+(0+(0-0))+0-606.1-0</f>
        <v>1760.4</v>
      </c>
      <c r="X242" s="3">
        <f>2605+(1193.6-1265.6)+(-5.3142+(-2.434944--2.581824))+0-643.6--1.31294399999997</f>
        <v>1885.5456240000001</v>
      </c>
      <c r="Y242" s="3">
        <f>2610.8+(1174-1265.2)+(0+(0-0))+0-669.8-0</f>
        <v>1849.8000000000004</v>
      </c>
      <c r="Z242" s="3">
        <f>2530.8+(1190.2-1343.2)+(-3.872124+(-1.821006--2.055096))+0-585.1--0.895203000000034</f>
        <v>1789.9571690000002</v>
      </c>
      <c r="AA242" s="3">
        <f>2446.1+(1132.1-1326)+(0+(0-0))+0-506.1-0</f>
        <v>1746.1</v>
      </c>
      <c r="AB242" s="3">
        <f>2559.9+(1134-1490.8)+(-3.916647+(-1.73502--2.280924))+0-565.9--0.865827000000033</f>
        <v>1634.6950840000004</v>
      </c>
      <c r="AC242" s="3">
        <f>2465.7+(1156.5-1529.5)+(-5.030028+(-2.35926--3.12018))+0-523.3--1.06753199999998</f>
        <v>1566.1984239999999</v>
      </c>
      <c r="AD242" s="2">
        <v>1899.6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1825.4+(1000.8-853.9)+(-0.930954+(-0.510408--0.435489))+0-550.9--0.280958999999944</f>
        <v>1420.675086</v>
      </c>
      <c r="G243" s="3">
        <f>1818+(765.2-595.9)+(-1.85436+(-0.780504--0.607818))+0-614.6--0.626892000000098</f>
        <v>1371.2998460000001</v>
      </c>
      <c r="H243" s="3">
        <f>1671.4+(741.6-426.5)+(-5.114484+(-2.269296--1.30509))+0-668.6--2.04591600000008</f>
        <v>1313.8672259999998</v>
      </c>
      <c r="I243" s="3">
        <f>2036.6+(704.6-788.7)+(2.077332+(0.718692-0.804474))+0-664.3-0.677586000000106</f>
        <v>1289.513964</v>
      </c>
      <c r="J243" s="3">
        <f>1877+(716.9-675.5)+(-1.91454+(-0.731238--0.68901))+0-632.9--0.645558000000101</f>
        <v>1284.1887900000002</v>
      </c>
      <c r="K243" s="3">
        <f>1999+(772.2-780.4)+(-2.03898+(-0.787644--0.796008))+0-672.4--0.685848000000107</f>
        <v>1317.0552320000002</v>
      </c>
      <c r="L243" s="3">
        <f>1913.2+(895.8-746.6)+(-4.87866+(-2.28429--1.90383))+0-638.8--1.62893999999991</f>
        <v>1419.9698199999998</v>
      </c>
      <c r="M243" s="3">
        <f>1997.5+(830.5-749.9)+(-2.03745+(-0.84711--0.764898))+0-631.1--0.643722000000101</f>
        <v>1445.52406</v>
      </c>
      <c r="N243" s="3">
        <f>2235.5+(837.4-1020.4)+(-3.420315+(-1.281222--1.561212))+0-550.3--0.841959000000032</f>
        <v>1499.9016340000003</v>
      </c>
      <c r="O243" s="3">
        <f>2202.5+(1047.3-970.2)+(-4.4931+(-2.136492--1.979208))+0-659.9--1.34619599999997</f>
        <v>1616.3958119999998</v>
      </c>
      <c r="P243" s="3">
        <f>2155.7+(1151.2-1204.7)+(-1.099407+(-0.587112--0.614397))+0-497.5--0.25372499999995</f>
        <v>1603.8816029999998</v>
      </c>
      <c r="Q243" s="3">
        <f>2155.2+(1204-1078.2)+(-1.099152+(-0.61404--0.549882))+0-639.4--0.326093999999935</f>
        <v>1640.762784</v>
      </c>
      <c r="R243" s="3">
        <f>2186.2+(1123.3-1042.1)+(-5.57481+(-2.864415--2.657355))+0-636.7--1.62358499999991</f>
        <v>1626.5417149999996</v>
      </c>
      <c r="S243" s="3">
        <f>2374+(992.2-1217.4)+(0+(0-0))+0-556.6-0</f>
        <v>1592.2000000000003</v>
      </c>
      <c r="T243" s="3">
        <f>2237.2+(1016.3-1057.6)+(0+(0-0))+0-638.1-0</f>
        <v>1557.7999999999997</v>
      </c>
      <c r="U243" s="3">
        <f>2332.2+(913.5-1086.2)+(-1.189422+(-0.465885--0.553962))+0-618.7--0.315536999999937</f>
        <v>1540.0141919999999</v>
      </c>
      <c r="V243" s="3">
        <f>2583.5+(869-1201.6)+(0+(0-0))+0-687.9-0</f>
        <v>1563</v>
      </c>
      <c r="W243" s="3">
        <f>3164.8+(1104.4-1892.9)+(3.228096+(1.126488-1.930758))+0-618.2-0.630564000000099</f>
        <v>1759.8932620000003</v>
      </c>
      <c r="X243" s="3">
        <f>3413.2+(1229.2-2094.9)+(-8.70366+(-3.13446--5.341995))+0-662.3--1.6888649999999</f>
        <v>1880.3927399999998</v>
      </c>
      <c r="Y243" s="3">
        <f>3098.4+(1240.4-1885.3)+(-3.160368+(-1.265208--1.923006))+0-588.8--0.600576000000094</f>
        <v>1862.798006</v>
      </c>
      <c r="Z243" s="3">
        <f>2865.7+(1221.9-1542.9)+(-4.384521+(-1.869507--2.360637))+0-692.3--1.05921900000004</f>
        <v>1849.5658279999998</v>
      </c>
      <c r="AA243" s="3">
        <f>2679.4+(1185.5-1428.4)+(-6.83247+(-3.023025--3.64242))+0-636.4--1.62281999999991</f>
        <v>1795.5097449999996</v>
      </c>
      <c r="AB243" s="3">
        <f>2554.7+(1111.9-1290.1)+(1.302897+(0.567069-0.657951))+0-653.6-0.333335999999934</f>
        <v>1723.7786790000002</v>
      </c>
      <c r="AC243" s="3">
        <f>2281.8+(1123.1-1057.3)+(-5.81859+(-2.863905--2.696115))+0-696.1--1.7750549999999</f>
        <v>1647.2886750000005</v>
      </c>
      <c r="AD243" s="2">
        <v>1927.3000000000004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1920.4+(886.8-722.3)+(-2.938212+(-1.356804--1.105119))+0-604.2--0.924426000000035</f>
        <v>1478.4345289999999</v>
      </c>
      <c r="G244" s="3">
        <f>1918.4+(775.6-619.3)+(-4.89192+(-1.97778--1.579215))+0-704.7--1.7969849999999</f>
        <v>1366.5065000000002</v>
      </c>
      <c r="H244" s="3">
        <f>1980.5+(659.8-735)+(2.02011+(0.672996-0.7497))+0-578.5-0.590070000000092</f>
        <v>1328.1533359999999</v>
      </c>
      <c r="I244" s="3">
        <f>1854.2+(693.6-562)+(0+(0-0))+0-678.7-0</f>
        <v>1307.1000000000001</v>
      </c>
      <c r="J244" s="3">
        <f>1835.4+(625.6-619.8)+(0.936054+(0.319056-0.316098))+0-540.6-0.275705999999945</f>
        <v>1301.2633060000003</v>
      </c>
      <c r="K244" s="3">
        <f>1859.6+(618-441.8)+(-2.845188+(-0.94554--0.675954))+0-719.6--1.10098800000004</f>
        <v>1314.1862140000003</v>
      </c>
      <c r="L244" s="3">
        <f>1898.3+(631.1-536.8)+(-0.968133+(-0.321861--0.273768))+0-565.2--0.288251999999943</f>
        <v>1426.6720259999997</v>
      </c>
      <c r="M244" s="3">
        <f>1958+(823.6-621.4)+(-2.99574+(-1.260108--0.950742))+0-690.9--1.05707700000004</f>
        <v>1467.0519709999999</v>
      </c>
      <c r="N244" s="3">
        <f>1984.5+(911.1-843.4)+(-2.02419+(-0.929322--0.860268))+0-560.6--0.571812000000089</f>
        <v>1490.0785679999999</v>
      </c>
      <c r="O244" s="3">
        <f>1941.1+(1093.2-920.7)+(-1.979922+(-1.115064--0.939114))+0-632.1--0.644742000000101</f>
        <v>1479.9888700000004</v>
      </c>
      <c r="P244" s="3">
        <f>2345.7+(1077.1-1281.7)+(-5.981535+(-2.746605--3.268335))+0-571.5--1.45732499999992</f>
        <v>1565.5975199999993</v>
      </c>
      <c r="Q244" s="3">
        <f>2706.4+(1065.2-1632.1)+(-6.90132+(-2.71626--4.161855))+0-529.1--1.34920499999992</f>
        <v>1606.2934800000003</v>
      </c>
      <c r="R244" s="3">
        <f>2632.1+(1140.8-1540.6)+(-4.027113+(-1.745424--2.357118))+0-683.8--1.04621400000004</f>
        <v>1546.1307950000003</v>
      </c>
      <c r="S244" s="3">
        <f>2500.3+(1155.8-1401.9)+(-2.550306+(-1.178916--1.429938))+0-658.1--0.671262000000105</f>
        <v>1594.4719779999998</v>
      </c>
      <c r="T244" s="3">
        <f>2868.7+(1136.8-1794.1)+(1.463037+(0.579768-0.914991))+0-691.7-0.35276699999993</f>
        <v>1520.4750469999997</v>
      </c>
      <c r="U244" s="3">
        <f>2793.1+(1071.6-1678.1)+(2.848962+(1.093032-1.711662))+0-656.9-0.670038000000105</f>
        <v>1531.2602939999997</v>
      </c>
      <c r="V244" s="3">
        <f>2592.8+(1299.9-1663)+(0+(0-0))+0-642.3-0</f>
        <v>1587.4000000000003</v>
      </c>
      <c r="W244" s="3">
        <f>3413.5+(1370-2338.8)+(-1.740885+(-0.6987--1.192788))+0-611.2--0.311711999999938</f>
        <v>1832.5649149999999</v>
      </c>
      <c r="X244" s="3">
        <f>3260.2+(1409.8-2027.6)+(-1.662702+(-0.718998--1.034076))+0-675.1--0.344300999999932</f>
        <v>1966.2966769999996</v>
      </c>
      <c r="Y244" s="3">
        <f>2645.9+(1481.6-1580)+(-1.349409+(-0.755616--0.8058))+0-644.6--0.328745999999935</f>
        <v>1901.9295209999998</v>
      </c>
      <c r="Z244" s="3">
        <f>2392.2+(1505-1347.6)+(-2.440044+(-1.5351--1.374552))+0-694.3--0.708186000000111</f>
        <v>1853.4075940000002</v>
      </c>
      <c r="AA244" s="3">
        <f>2320.3+(1496.4-1455.2)+(-1.183353+(-0.763164--0.742152))+0-558.6--0.284885999999943</f>
        <v>1801.980521</v>
      </c>
      <c r="AB244" s="3">
        <f>2013.4+(1469.1-1258.8)+(-5.13417+(-3.746205--3.20994))+0-568--1.44839999999992</f>
        <v>1651.4779649999998</v>
      </c>
      <c r="AC244" s="3">
        <f>1888.2+(1393.5-1037.5)+(-2.888946+(-2.132055--1.587375))+0-659.4--1.00888200000004</f>
        <v>1582.3752559999998</v>
      </c>
      <c r="AD244" s="2">
        <v>1976.6999999999998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1665.8+(1178.6-755.2)+(-1.699116+(-1.202172--0.770304))+0-620.4--0.632808000000099</f>
        <v>1467.3018239999999</v>
      </c>
      <c r="G245" s="3">
        <f>1550+(982.2-447.4)+(-3.9525+(-2.50461--1.14087))+0-691.3--1.7628149999999</f>
        <v>1389.9465749999999</v>
      </c>
      <c r="H245" s="3">
        <f>1636.6+(808.8-459.4)+(0.834666+(0.412488-0.234294))+0-639.1-0.325940999999935</f>
        <v>1347.5869190000001</v>
      </c>
      <c r="I245" s="3">
        <f>1566.8+(810.8-381.1)+(-3.99534+(-2.06754--0.971805))+0-660.4--1.6840199999999</f>
        <v>1332.692945</v>
      </c>
      <c r="J245" s="3">
        <f>1579+(815.8-407.1)+(-0.80529+(-0.416058--0.207621))+0-666.6--0.339965999999932</f>
        <v>1320.4262389999999</v>
      </c>
      <c r="K245" s="3">
        <f>1580.6+(828.9-392.8)+(-0.806106+(-0.422739--0.200328))+0-672.1--0.342770999999932</f>
        <v>1343.9142539999996</v>
      </c>
      <c r="L245" s="3">
        <f>1522.6+(978.3-406)+(1.553052+(0.997866-0.41412))+0-661.3-0.674526000000105</f>
        <v>1435.0622719999997</v>
      </c>
      <c r="M245" s="3">
        <f>1651.3+(981.2-541.6)+(0.842163+(0.500412-0.276216))+0-628.3-0.320432999999936</f>
        <v>1463.3459260000002</v>
      </c>
      <c r="N245" s="3">
        <f>1592+(1126.1-584)+(0+(0-0))+0-626.5-0</f>
        <v>1507.6</v>
      </c>
      <c r="O245" s="3">
        <f>1634.6+(1253.6-732.9)+(-3.334584+(-2.557344--1.495116))+0-587.3--1.19809199999997</f>
        <v>1564.8012799999997</v>
      </c>
      <c r="P245" s="3">
        <f>1663.4+(1242.9-792.6)+(-3.393336+(-2.535516--1.616904))+0-579.7--1.18258799999997</f>
        <v>1530.8706400000001</v>
      </c>
      <c r="Q245" s="3">
        <f>1740.6+(1249-806.6)+(-0.887706+(-0.63699--0.411366))+0-604.9--0.308498999999939</f>
        <v>1577.2951689999998</v>
      </c>
      <c r="R245" s="3">
        <f>1602.3+(1372.2-689.8)+(-3.268692+(-2.799288--1.407192))+0-633.8--1.29295199999997</f>
        <v>1647.5321639999997</v>
      </c>
      <c r="S245" s="3">
        <f>1796.7+(1138.8-820.8)+(-0.916317+(-0.580788--0.418608))+0-672.9--0.343178999999932</f>
        <v>1441.0646819999997</v>
      </c>
      <c r="T245" s="3">
        <f>1788.1+(976.9-803.4)+(-2.735793+(-1.494657--1.229202))+0-489--0.748170000000028</f>
        <v>1470.3469219999999</v>
      </c>
      <c r="U245" s="3">
        <f>1996.1+(986.7-782.6)+(-1.018011+(-0.503217--0.399126))+0-650.4--0.331703999999934</f>
        <v>1549.0096019999999</v>
      </c>
      <c r="V245" s="3">
        <f>2178.3+(1006.4-976.4)+(3.332799+(1.539792-1.493892))+0-632-0.966960000000037</f>
        <v>1578.7117390000001</v>
      </c>
      <c r="W245" s="3">
        <f>2574.2+(1312.3-1536.8)+(-6.56421+(-3.346365--3.91884))+0-664.3--1.6939649999999</f>
        <v>1681.1022299999997</v>
      </c>
      <c r="X245" s="3">
        <f>2427.9+(1250.1-1481.6)+(-4.952916+(-2.550204--3.022464))+0-618.8--1.26235199999997</f>
        <v>1574.3816959999999</v>
      </c>
      <c r="Y245" s="3">
        <f>2657.5+(1266.1-1704.8)+(-6.776625+(-3.228555--4.34724))+0-631.8--1.61108999999991</f>
        <v>1582.9531500000001</v>
      </c>
      <c r="Z245" s="3">
        <f>2696.2+(1223.6-1764.3)+(-5.500248+(-2.496144--3.599172))+0-547.5--1.11689999999998</f>
        <v>1604.7196800000002</v>
      </c>
      <c r="AA245" s="3">
        <f>2739.1+(1231.5-1711.6)+(-1.396941+(-0.628065--0.872916))+0-720.8--0.367607999999927</f>
        <v>1537.415518</v>
      </c>
      <c r="AB245" s="3">
        <f>2558.1+(1253.2-1714.1)+(-3.913893+(-1.917396--2.622573))+0-602.9--0.922437000000035</f>
        <v>1492.0137209999996</v>
      </c>
      <c r="AC245" s="3">
        <f>2394.7+(1265.8-1572)+(-4.885188+(-2.582232--3.20688))+0-708.2--1.44472799999997</f>
        <v>1377.4841879999997</v>
      </c>
      <c r="AD245" s="2">
        <v>1882.3000000000002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1823.4+(1061.3-915)+(1.859868+(1.082526-0.9333))+0-596.6-0.608532000000095</f>
        <v>1374.5005619999997</v>
      </c>
      <c r="G246" s="3">
        <f>1649.2+(982.7-746.9)+(-1.682184+(-1.002354--0.761838))+0-603.6--0.615672000000096</f>
        <v>1280.0929720000001</v>
      </c>
      <c r="H246" s="3">
        <f>1564.5+(860.4-508.8)+(-1.59579+(-0.877608--0.518976))+2.6-673.4--0.686868000000107</f>
        <v>1244.0324459999999</v>
      </c>
      <c r="I246" s="3">
        <f>1696.4+(670.9-552.4)+(1.730328+(0.684318-0.563448))+17-616.5-0.628830000000098</f>
        <v>1216.6223680000001</v>
      </c>
      <c r="J246" s="3">
        <f>1675.1+(583.9-700.9)+(-0.854301+(-0.297789--0.357459))+17-362.6--0.184925999999963</f>
        <v>1211.8902949999997</v>
      </c>
      <c r="K246" s="3">
        <f>1856.4+(376.6-824.6)+(4.73382+(0.96033-2.10273))+17-169.4-0.431969999999975</f>
        <v>1259.1594500000001</v>
      </c>
      <c r="L246" s="3">
        <f>1662.1+(402.9-487.5)+(0+(0-0))+7.7-189-0</f>
        <v>1396.2</v>
      </c>
      <c r="M246" s="3">
        <f>1650.5+(442.8-385.7)+(1.68351+(0.451656-0.393414))+0-267.2-0.272544000000043</f>
        <v>1441.8692079999996</v>
      </c>
      <c r="N246" s="3">
        <f>1612.3+(500.8-307.9)+(2.466819+(0.766224-0.471087))+0-345.3-0.52830900000002</f>
        <v>1462.1336470000001</v>
      </c>
      <c r="O246" s="3">
        <f>1605.5+(657.4-362.5)+(-0.818805+(-0.335274--0.184875))+0-370--0.188699999999962</f>
        <v>1529.619496</v>
      </c>
      <c r="P246" s="3">
        <f>1624.6+(804.9-426.6)+(0+(0-0))+0-401-0</f>
        <v>1601.8999999999999</v>
      </c>
      <c r="Q246" s="3">
        <f>1630.4+(1020.8-513.6)+(-0.831504+(-0.520608--0.261936))+0-370--0.188699999999962</f>
        <v>1766.6985239999997</v>
      </c>
      <c r="R246" s="3">
        <f>1527.8+(1018.5-740.7)+(-5.454246+(-3.636045--2.644299))+0-335.8--1.198806</f>
        <v>1464.5528140000001</v>
      </c>
      <c r="S246" s="3">
        <f>1491.2+(1130.3-483.8)+(0.760512+(0.576453-0.246738))+0-636.4-0.324563999999935</f>
        <v>1502.0656629999999</v>
      </c>
      <c r="T246" s="3">
        <f>1526.3+(1101.9-471.5)+(-2.335239+(-1.685907--0.721395))+0-611.2--0.935136000000035</f>
        <v>1543.1353849999998</v>
      </c>
      <c r="U246" s="3">
        <f>1502.9+(1120.6-523.5)+(0.766479+(0.571506-0.266985))+0-537.2-0.273971999999946</f>
        <v>1563.5970279999999</v>
      </c>
      <c r="V246" s="3">
        <f>1747.8+(1234.6-861.2)+(-2.674134+(-1.888938--1.317636))+0-428.5--0.655605000000025</f>
        <v>1690.1101689999996</v>
      </c>
      <c r="W246" s="3">
        <f>2329.5+(1231.6-1169.8)+(-4.75218+(-2.512464--2.386392))+0-566.9--1.15647599999998</f>
        <v>1820.678224</v>
      </c>
      <c r="X246" s="3">
        <f>2498.6+(1093.1-1154.1)+(-5.097144+(-2.229924--2.354364))+0-479.9--0.978995999999979</f>
        <v>1953.7062920000001</v>
      </c>
      <c r="Y246" s="3">
        <f>2251.5+(1158.7-833.4)+(-5.741325+(-2.954685--2.12517))+0-621.3--1.58431499999991</f>
        <v>1950.5134750000002</v>
      </c>
      <c r="Z246" s="3">
        <f>1925.8+(1231.9-691.8)+(-2.946474+(-1.884807--1.058454))+0-571.6--0.874548000000033</f>
        <v>1891.4017210000004</v>
      </c>
      <c r="AA246" s="3">
        <f>1884.3+(1167.5-667.8)+(-1.921986+(-1.19085--0.681156))+0-560.2--0.571404000000089</f>
        <v>1821.9397239999998</v>
      </c>
      <c r="AB246" s="3">
        <f>1702.6+(1062-535)+(-2.604978+(-1.62486--0.81855))+0-605.2--0.925956000000035</f>
        <v>1621.9146680000001</v>
      </c>
      <c r="AC246" s="3">
        <f>1766.8+(964-273.4)+(0+(0-0))+0-688.5-0</f>
        <v>1768.9</v>
      </c>
      <c r="AD246" s="2">
        <v>1928.6999999999996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1218.2+(934.6-186.1)+(-3.10641+(-2.38323--0.474555))+0-510.1--1.30075499999993</f>
        <v>1452.8856699999999</v>
      </c>
      <c r="G247" s="3">
        <f>1314.1+(823.4-150.1)+(0.670191+(0.419934-0.076551))+0-633-0.322829999999936</f>
        <v>1355.0907440000001</v>
      </c>
      <c r="H247" s="3">
        <f>1350.7+(817.1-193.7)+(-1.377714+(-0.833442--0.197574))+0-668.7--0.682074000000107</f>
        <v>1304.0684920000001</v>
      </c>
      <c r="I247" s="3">
        <f>1417.3+(718.4-227)+(0.722823+(0.366384-0.11577))+0-601.2-0.306611999999939</f>
        <v>1308.166825</v>
      </c>
      <c r="J247" s="3">
        <f>1317.7+(880.5-217.7)+(3.360135+(2.245275-0.555135))+0-687.6-1.7533799999999</f>
        <v>1296.1968950000003</v>
      </c>
      <c r="K247" s="3">
        <f>1305.6+(807.5-215.4)+(1.331712+(0.82365-0.219708))+0-582.5-0.594150000000093</f>
        <v>1316.5415039999998</v>
      </c>
      <c r="L247" s="3">
        <f>1334.1+(895.2-179.5)+(2.041173+(1.369656-0.274635))+0-644.4-0.985932000000037</f>
        <v>1407.5502620000002</v>
      </c>
      <c r="M247" s="3">
        <f>1189.3+(1043.8-203.1)+(2.426172+(2.129352-0.414324))+0-572.1-1.16708399999998</f>
        <v>1460.8741160000002</v>
      </c>
      <c r="N247" s="3">
        <f>1440+(848.1-209.8)+(-0.7344+(-0.432531--0.106998))+0-563.7--0.287486999999943</f>
        <v>1513.8275540000002</v>
      </c>
      <c r="O247" s="3">
        <f>1579.2+(643-201.9)+(-1.610784+(-0.65586--0.205938))+0-461.4--0.470628000000074</f>
        <v>1557.3099220000004</v>
      </c>
      <c r="P247" s="3">
        <f>2113.2+(427.5-365.1)+(-3.233196+(-0.654075--0.558603))+0-601.8--0.920754000000035</f>
        <v>1571.3920859999998</v>
      </c>
      <c r="Q247" s="3">
        <f>2268.1+(434.6-606.3)+(-5.783655+(-1.10823--1.546065))+0-446.8--1.13933999999994</f>
        <v>1645.3935200000001</v>
      </c>
      <c r="R247" s="3">
        <f>2102.6+(557.3-517.7)+(-1.072326+(-0.284223--0.264027))+0-602.7--0.307376999999939</f>
        <v>1538.7148549999997</v>
      </c>
      <c r="S247" s="3">
        <f>2247.5+(479.3-652.3)+(-5.731125+(-1.222215--1.663365))+0-580.1--1.47925499999992</f>
        <v>1490.5892799999999</v>
      </c>
      <c r="T247" s="3">
        <f>2326.9+(461.7-659.6)+(0+(0-0))+0-636.9-0</f>
        <v>1492.1</v>
      </c>
      <c r="U247" s="3">
        <f>2174.7+(532.2-726.8)+(-5.545485+(-1.35711--1.85334))+0-365--0.930749999999947</f>
        <v>1610.981495</v>
      </c>
      <c r="V247" s="3">
        <f>2600.3+(578.4-1105.3)+(-1.326153+(-0.294984--0.563703))+0-586.7--0.299216999999941</f>
        <v>1485.9417830000002</v>
      </c>
      <c r="W247" s="3">
        <f>3283.3+(673.9-1571)+(1.674483+(0.343689-0.80121))+0-541.2-0.276011999999945</f>
        <v>1845.9409500000002</v>
      </c>
      <c r="X247" s="3">
        <f>3156.5+(720.1-1351.4)+(-1.609815+(-0.367251--0.689214))+0-694.5--0.35419499999993</f>
        <v>1829.7663429999998</v>
      </c>
      <c r="Y247" s="3">
        <f>2675.2+(764.2-854.6)+(-5.457408+(-1.558968--1.743384))+0-690--1.40759999999997</f>
        <v>1890.9346079999996</v>
      </c>
      <c r="Z247" s="3">
        <f>2530.6+(660.1-830.3)+(-2.581212+(-0.673302--0.846906))+0-544.9--0.555798000000087</f>
        <v>1813.6481900000001</v>
      </c>
      <c r="AA247" s="3">
        <f>2427.1+(686.3-707.9)+(-2.475642+(-0.700026--0.722058))+0-570.6--0.582012000000091</f>
        <v>1833.0284020000001</v>
      </c>
      <c r="AB247" s="3">
        <f>2453.6+(684.2-858.3)+(-1.251336+(-0.348942--0.437733))+0-657.7--0.335426999999933</f>
        <v>1620.9728819999998</v>
      </c>
      <c r="AC247" s="3">
        <f>2194.5+(725.8-616.9)+(-4.47678+(-1.480632--1.258476))+0-710.6--1.44962399999997</f>
        <v>1589.5506880000003</v>
      </c>
      <c r="AD247" s="2">
        <v>1850.7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2164+(716-760.9)+(0+(0-0))+0-586.9-0</f>
        <v>1532.1999999999998</v>
      </c>
      <c r="G248" s="3">
        <f>1974.3+(623.3-568.1)+(-3.020679+(-0.953649--0.869193))+0-636.4--0.973692000000037</f>
        <v>1390.9685570000001</v>
      </c>
      <c r="H248" s="3">
        <f>1855.9+(644.4-518.4)+(0.946509+(0.328644-0.264384))+0-644-0.328439999999935</f>
        <v>1338.5823290000001</v>
      </c>
      <c r="I248" s="3">
        <f>1780.6+(549-451.5)+(-0.908106+(-0.27999--0.230265))+0-650.5--0.331754999999934</f>
        <v>1226.9739239999999</v>
      </c>
      <c r="J248" s="3">
        <f>1757.2+(550.6-414.4)+(3.584688+(1.123224-0.845376))+0-609-1.24235999999997</f>
        <v>1287.0201760000002</v>
      </c>
      <c r="K248" s="3">
        <f>1867.1+(570.6-446.5)+(0.952221+(0.291006-0.227715))+0-634-0.323339999999936</f>
        <v>1357.8921719999998</v>
      </c>
      <c r="L248" s="3">
        <f>1784.2+(747.4-416.8)+(-4.54971+(-1.90587--1.06284))+0-666.1--1.6985549999999</f>
        <v>1445.0058150000004</v>
      </c>
      <c r="M248" s="3">
        <f>1847.3+(624.6-422.4)+(0.942123+(0.318546-0.215424))+0-555.5-0.283304999999944</f>
        <v>1494.7619399999999</v>
      </c>
      <c r="N248" s="3">
        <f>1845.3+(594.3-371.8)+(1.882206+(0.606186-0.379236))+0-545.3-0.556206000000087</f>
        <v>1524.0529499999998</v>
      </c>
      <c r="O248" s="3">
        <f>2196+(545.6-671.9)+(-2.23992+(-0.556512--0.685338))+0-538.5--0.549270000000086</f>
        <v>1529.6381759999999</v>
      </c>
      <c r="P248" s="3">
        <f>2357.5+(584.8-792.3)+(-2.40465+(-0.596496--0.808146))+0-594.8--0.606696000000095</f>
        <v>1553.6136959999999</v>
      </c>
      <c r="Q248" s="3">
        <f>2539.6+(544.4-1026.4)+(-1.295196+(-0.277644--0.523464))+0-514.7--0.262496999999948</f>
        <v>1542.1131209999999</v>
      </c>
      <c r="R248" s="3">
        <f>2492.6+(555-1051.2)+(-8.898582+(-1.98135--3.752784))+0-551.7--1.96956900000001</f>
        <v>1439.5424209999999</v>
      </c>
      <c r="S248" s="3">
        <f>2651.2+(456.9-1111.3)+(-4.056336+(-0.699057--1.700289))+0-544--0.832320000000031</f>
        <v>1450.5772159999997</v>
      </c>
      <c r="T248" s="3">
        <f>2530+(525.1-892.7)+(-5.1612+(-1.071204--1.821108))+0-679.9--1.38699599999997</f>
        <v>1479.4756999999997</v>
      </c>
      <c r="U248" s="3">
        <f>2258.3+(576.3-803.7)+(0+(0-0))+0-622.3-0</f>
        <v>1408.6000000000001</v>
      </c>
      <c r="V248" s="3">
        <f>2329.1+(581.8-784.1)+(0+(0-0))+0-660.3-0</f>
        <v>1466.4999999999998</v>
      </c>
      <c r="W248" s="3">
        <f>2945.6+(745.2-1316.9)+(1.502256+(0.380052-0.671619))+0-623.9-0.318188999999937</f>
        <v>1750.8924999999997</v>
      </c>
      <c r="X248" s="3">
        <f>2896.4+(989.6-1378.3)+(-4.431492+(-1.514088--2.108799))+0-674.2--1.03152600000004</f>
        <v>1830.6947450000002</v>
      </c>
      <c r="Y248" s="3">
        <f>2554.9+(927.8-1094.1)+(-7.817994+(-2.839068--3.347946))+0-618.6--1.89291600000007</f>
        <v>1764.5838000000006</v>
      </c>
      <c r="Z248" s="3">
        <f>2411.5+(910.7-927.7)+(-3.689595+(-1.393371--1.419381))+0-658.8--1.00796400000004</f>
        <v>1733.0443790000004</v>
      </c>
      <c r="AA248" s="3">
        <f>2411.6+(862.5-949.3)+(-2.459832+(-0.87975--0.968286))+0-644.2--0.657084000000103</f>
        <v>1678.8857880000005</v>
      </c>
      <c r="AB248" s="3">
        <f>2290.9+(857.4-880.1)+(-1.168359+(-0.437274--0.448851))+0-649.3--0.331142999999934</f>
        <v>1618.0743609999997</v>
      </c>
      <c r="AC248" s="3">
        <f>2264.6+(886.3-937.7)+(-3.464838+(-1.356039--1.434681))+0-656.9--1.00505700000004</f>
        <v>1553.9188609999999</v>
      </c>
      <c r="AD248" s="2">
        <v>1922.1999999999998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2035+(761.9-686.1)+(-5.18925+(-1.942845--1.749555))+0-634.9--1.61899499999991</f>
        <v>1472.1364549999998</v>
      </c>
      <c r="G249" s="3">
        <f>1799.7+(811.1-590.1)+(-1.835694+(-0.827322--0.601902))+0-615.5--0.627810000000098</f>
        <v>1403.7666960000001</v>
      </c>
      <c r="H249" s="3">
        <f>1830.7+(681.5-421.7)+(0.933657+(0.347565-0.215067))+0-701.8-0.357917999999929</f>
        <v>1389.4082370000001</v>
      </c>
      <c r="I249" s="3">
        <f>1708.2+(631.2-425.1)+(-2.613546+(-0.965736--0.650403))+0-601.1--0.919683000000035</f>
        <v>1311.1908040000003</v>
      </c>
      <c r="J249" s="3">
        <f>1737.2+(568.7-336.8)+(-0.885972+(-0.290037--0.171768))+0-686.1--0.34991099999993</f>
        <v>1282.3456699999999</v>
      </c>
      <c r="K249" s="3">
        <f>1831.6+(451.3-397.8)+(-0.934116+(-0.230163--0.202878))+0-590.7--0.30125699999994</f>
        <v>1293.7398559999997</v>
      </c>
      <c r="L249" s="3">
        <f>1720.6+(498.7-272)+(-3.510024+(-1.017348--0.55488))+0-605.2--1.23460799999997</f>
        <v>1339.3621159999998</v>
      </c>
      <c r="M249" s="3">
        <f>1719+(551-239.2)+(-0.87669+(-0.28101--0.121992))+0-654.1--0.333590999999934</f>
        <v>1375.9978829999998</v>
      </c>
      <c r="N249" s="3">
        <f>1651.8+(635.3-253.5)+(2.527254+(0.972009-0.387855))+0-601.1-0.919683000000035</f>
        <v>1434.6917249999997</v>
      </c>
      <c r="O249" s="3">
        <f>2162.2+(546.4-457.8)+(-1.102722+(-0.278664--0.233478))+0-631.9--0.322268999999936</f>
        <v>1618.0743609999997</v>
      </c>
      <c r="P249" s="3">
        <f>2240.2+(495-697.3)+(1.142502+(0.25245-0.355623))+0-644.3-0.328592999999935</f>
        <v>1394.3107359999999</v>
      </c>
      <c r="Q249" s="3">
        <f>2477.9+(443.7-759.9)+(-7.582374+(-1.357722--2.325294))+0-577.7--1.76776200000007</f>
        <v>1579.1529600000003</v>
      </c>
      <c r="R249" s="3">
        <f>2357+(509.4-648.4)+(-1.20207+(-0.259794--0.330684))+0-592.8--0.30232799999994</f>
        <v>1624.3711480000002</v>
      </c>
      <c r="S249" s="3">
        <f>2005+(641.3-379.6)+(-5.11275+(-1.635315--0.96798))+0-690.7--1.7612849999999</f>
        <v>1571.9811999999997</v>
      </c>
      <c r="T249" s="3">
        <f>2023.4+(615-461.6)+(1.031934+(0.31365-0.235416))+0-631.2-0.321911999999936</f>
        <v>1546.3882560000004</v>
      </c>
      <c r="U249" s="3">
        <f>2106.7+(591.3-480.2)+(-2.148834+(-0.603126--0.489804))+0-622--0.634440000000099</f>
        <v>1594.172284</v>
      </c>
      <c r="V249" s="3">
        <f>2206.1+(625-622.2)+(1.125111+(0.31875-0.317322))+0-604.2-0.308141999999939</f>
        <v>1605.5183969999996</v>
      </c>
      <c r="W249" s="3">
        <f>2812.8+(752-1155.1)+(-2.869056+(-0.76704--1.178202))+0-613.6--0.625872000000098</f>
        <v>1794.2679780000003</v>
      </c>
      <c r="X249" s="3">
        <f>2639.5+(739.1-927.3)+(-2.69229+(-0.753882--0.945846))+0-613.6--0.625872000000098</f>
        <v>1835.8255460000005</v>
      </c>
      <c r="Y249" s="3">
        <f>2581.7+(765.3-1005.4)+(-3.950001+(-1.170909--1.538262))+0-550.1--0.841653000000032</f>
        <v>1788.7590049999999</v>
      </c>
      <c r="Z249" s="3">
        <f>2487.4+(801.9-1013)+(-1.268574+(-0.408969--0.51663))+0-576.3--0.293912999999942</f>
        <v>1699.133</v>
      </c>
      <c r="AA249" s="3">
        <f>2366.3+(750.2-843.7)+(0+(0-0))+0-611.7-0</f>
        <v>1661.1000000000001</v>
      </c>
      <c r="AB249" s="3">
        <f>2049.7+(707-564.3)+(-2.090694+(-0.72114--0.575586))+0-586.2--0.597924000000093</f>
        <v>1604.5616759999996</v>
      </c>
      <c r="AC249" s="3">
        <f>1904.4+(640.3-373.9)+(-2.913732+(-0.979659--0.572067))+0-630.1--0.964053000000036</f>
        <v>1538.3427290000004</v>
      </c>
      <c r="AD249" s="2">
        <v>1845.1999999999998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1765.3+(656.2-300.4)+(-3.601212+(-1.338648--0.612816))+0-609.7--1.24378799999997</f>
        <v>1508.3167439999997</v>
      </c>
      <c r="G250" s="3">
        <f>1660.4+(587.4-286.3)+(-5.080824+(-1.797444--0.876078))+0-568.2--1.73869200000007</f>
        <v>1389.0365020000002</v>
      </c>
      <c r="H250" s="3">
        <f>1677.1+(573.8-309.8)+(-0.855321+(-0.292638--0.157998))+0-592.4--0.30212399999994</f>
        <v>1348.0121630000001</v>
      </c>
      <c r="I250" s="3">
        <f>1728.6+(530.1-313.3)+(-1.763172+(-0.540702--0.319566))+0-662.6--0.675852000000106</f>
        <v>1281.4915439999997</v>
      </c>
      <c r="J250" s="3">
        <f>1699.9+(410.3-323.3)+(-1.733898+(-0.418506--0.329766))+0-519.2--0.529584000000083</f>
        <v>1266.4069460000001</v>
      </c>
      <c r="K250" s="3">
        <f>1714.7+(511.3-265.7)+(0.874497+(0.260763-0.135507))+0-707.3-0.360722999999928</f>
        <v>1253.6390300000003</v>
      </c>
      <c r="L250" s="3">
        <f>1556.5+(462.6-247.9)+(-2.381445+(-0.707778--0.379287))+0-475.2--0.727056000000027</f>
        <v>1294.01712</v>
      </c>
      <c r="M250" s="3">
        <f>1529+(669-215.3)+(-0.77979+(-0.34119--0.109803))+0-680.3--0.346952999999931</f>
        <v>1301.735776</v>
      </c>
      <c r="N250" s="3">
        <f>1657.7+(449.1-315.9)+(-1.690854+(-0.458082--0.322218))+0-432.5--0.441150000000069</f>
        <v>1357.0144320000002</v>
      </c>
      <c r="O250" s="3">
        <f>1851.9+(473.9-281.8)+(-1.888938+(-0.483378--0.287436))+0-641.9--0.654738000000102</f>
        <v>1400.6698580000002</v>
      </c>
      <c r="P250" s="3">
        <f>1947.7+(308.4-364.7)+(-2.979981+(-0.471852--0.557991))+0-443.5--0.678555000000026</f>
        <v>1445.6847130000001</v>
      </c>
      <c r="Q250" s="3">
        <f>2372.6+(182-607.2)+(-1.210026+(-0.09282--0.309672))+0-482.4--0.246023999999951</f>
        <v>1464.2528499999999</v>
      </c>
      <c r="R250" s="3">
        <f>2664.9+(149-826.7)+(0+(0-0))+0-536.1-0</f>
        <v>1451.1</v>
      </c>
      <c r="S250" s="3">
        <f>2837.5+(148.6-1007.3)+(1.447125+(0.075786-0.513723))+0-571.3-0.291362999999942</f>
        <v>1408.2178250000002</v>
      </c>
      <c r="T250" s="3">
        <f>2786.1+(177.6-980.7)+(1.420911+(0.090576-0.500157))+0-607.6-0.309875999999938</f>
        <v>1376.1014539999999</v>
      </c>
      <c r="U250" s="3">
        <f>2717.7+(196-990.1)+(1.386027+(0.09996-0.504951))+0-562.2-0.286721999999943</f>
        <v>1362.0943139999997</v>
      </c>
      <c r="V250" s="3">
        <f>2612+(240.7-893.8)+(1.33212+(0.122757-0.455838))+0-591.1-0.30146099999994</f>
        <v>1368.497578</v>
      </c>
      <c r="W250" s="3">
        <f>3027.9+(239.4-943.1)+(0+(0-0))+0-645.1-0</f>
        <v>1679.1</v>
      </c>
      <c r="X250" s="3">
        <f>2499.3+(339.2-511.6)+(0+(0-0))+0-556.4-0</f>
        <v>1770.5</v>
      </c>
      <c r="Y250" s="3">
        <f>2417.2+(414.1-400.1)+(-4.931088+(-0.844764--0.816204))+0-709.2--1.44676799999997</f>
        <v>1718.4871199999998</v>
      </c>
      <c r="Z250" s="3">
        <f>2547.3+(347.6-655.4)+(-2.598246+(-0.354552--0.668508))+0-577.9--0.589458000000092</f>
        <v>1659.905168</v>
      </c>
      <c r="AA250" s="3">
        <f>3025.4+(270.4-965.4)+(-4.628862+(-0.413712--1.477062))+0-729--1.11537000000004</f>
        <v>1598.9498579999999</v>
      </c>
      <c r="AB250" s="3">
        <f>3022.8+(282.7-1214.5)+(1.541628+(0.144177-0.619395))+0-557.8-0.284477999999943</f>
        <v>1533.9819319999999</v>
      </c>
      <c r="AC250" s="3">
        <f>3015.8+(326.3-1224.7)+(0+(0-0))+0-677.8-0</f>
        <v>1439.6000000000001</v>
      </c>
      <c r="AD250" s="2">
        <v>1769.6999999999998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2543.6+(383.8-936.9)+(-9.080652+(-1.370166--3.344733))+0-566.5--2.02240500000001</f>
        <v>1418.91632</v>
      </c>
      <c r="G251" s="3">
        <f>2629.9+(407-1011.7)+(-2.682498+(-0.41514--1.031934))+0-672.9--0.686358000000107</f>
        <v>1350.9206540000002</v>
      </c>
      <c r="H251" s="3">
        <f>2240.6+(408.2-718.5)+(-3.428118+(-0.624546--1.099305))+0-637.7--0.975681000000037</f>
        <v>1290.6223219999999</v>
      </c>
      <c r="I251" s="3">
        <f>2073.5+(385.9-640.4)+(2.11497+(0.393618-0.653208))+0-562.4-0.57364800000009</f>
        <v>1257.8817319999998</v>
      </c>
      <c r="J251" s="3">
        <f>2067.1+(396.3-554)+(-1.054221+(-0.202113--0.28254))+0-662.9--0.338078999999933</f>
        <v>1245.8642849999999</v>
      </c>
      <c r="K251" s="3">
        <f>2136.5+(356.6-707.4)+(2.17923+(0.363732-0.721548))+0-525.7-0.536214000000084</f>
        <v>1261.2852</v>
      </c>
      <c r="L251" s="3">
        <f>2087.3+(398.8-595.9)+(-7.451661+(-1.423716--2.127363))+0-601.5--2.14735500000001</f>
        <v>1284.0993410000003</v>
      </c>
      <c r="M251" s="3">
        <f>1943.5+(378.1-470.3)+(-0.991185+(-0.192831--0.239853))+0-585.8--0.298757999999941</f>
        <v>1264.854595</v>
      </c>
      <c r="N251" s="3">
        <f>2246.1+(375.8-684.3)+(4.582044+(0.766632-1.395972))+0-622.5-1.26989999999997</f>
        <v>1317.7828039999999</v>
      </c>
      <c r="O251" s="3">
        <f>2229.9+(422.6-848.8)+(-2.274498+(-0.431052--0.865776))+0-466.3--0.475626000000074</f>
        <v>1336.0358520000004</v>
      </c>
      <c r="P251" s="3">
        <f>2022.9+(428.3-647.2)+(-7.221753+(-1.529031--2.310504))+0-481.4--1.71859800000001</f>
        <v>1317.878318</v>
      </c>
      <c r="Q251" s="3">
        <f>1927.2+(429.6-465.4)+(2.948616+(0.657288-0.712062))+0-595.4-0.910962000000034</f>
        <v>1297.98288</v>
      </c>
      <c r="R251" s="3">
        <f>1917.7+(324.1-497.9)+(2.934081+(0.495873-0.761787))+0-443.4-0.678402000000026</f>
        <v>1302.4897650000003</v>
      </c>
      <c r="S251" s="3">
        <f>1866.1+(422.5-442.9)+(1.903422+(0.43095-0.451758))+0-552.5-0.563550000000088</f>
        <v>1294.5190639999998</v>
      </c>
      <c r="T251" s="3">
        <f>1928+(455.3-560.9)+(-3.93312+(-0.928812--1.144236))+0-478.1--0.975323999999979</f>
        <v>1341.557628</v>
      </c>
      <c r="U251" s="3">
        <f>2000.5+(441.3-564)+(3.060765+(0.675189-0.86292))+0-574.1-0.878373000000033</f>
        <v>1305.694661</v>
      </c>
      <c r="V251" s="3">
        <f>1991+(452.4-439.7)+(0+(0-0))+0-697-0</f>
        <v>1306.7</v>
      </c>
      <c r="W251" s="3">
        <f>2515.5+(572.2-878.9)+(1.282905+(0.291822-0.448239))+0-566.4-0.288863999999943</f>
        <v>1643.2376240000001</v>
      </c>
      <c r="X251" s="3">
        <f>2706.8+(777.2-1012.2)+(-5.521872+(-1.585488--2.064888))+0-714.9--1.45839599999997</f>
        <v>1753.315924</v>
      </c>
      <c r="Y251" s="3">
        <f>2720.1+(675.7-1086.2)+(-5.549004+(-1.378428--2.215848))+0-570--1.16279999999998</f>
        <v>1736.0512159999998</v>
      </c>
      <c r="Z251" s="3">
        <f>2724+(746.2-1091.8)+(2.77848+(0.761124-1.113636))+0-699.3-0.713286000000111</f>
        <v>1680.812682</v>
      </c>
      <c r="AA251" s="3">
        <f>2448.5+(744.6-919.9)+(-1.248735+(-0.379746--0.469149))+0-665.8--0.339557999999932</f>
        <v>1606.5802259999996</v>
      </c>
      <c r="AB251" s="3">
        <f>2218.1+(734.1-759.9)+(-5.656155+(-1.871955--1.937745))+0-665.3--1.6965149999999</f>
        <v>1523.1061500000001</v>
      </c>
      <c r="AC251" s="3">
        <f>2073.3+(523.1-543.7)+(-4.229532+(-1.067124--1.109148))+0-558.9--1.14015599999998</f>
        <v>1490.7526480000001</v>
      </c>
      <c r="AD251" s="2">
        <v>1728.9999999999998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1795.1+(555.7-400.8)+(-2.746503+(-0.850221--0.613224))+0-625.2--0.956556000000036</f>
        <v>1322.773056</v>
      </c>
      <c r="G252" s="3">
        <f>1692.1+(483.2-451)+(-0.862971+(-0.246432--0.23001))+0-487.3--0.248522999999951</f>
        <v>1236.36913</v>
      </c>
      <c r="H252" s="3">
        <f>1778.3+(351.7-719.7)+(-1.813866+(-0.358734--0.734094))+0-199.2--0.203184000000032</f>
        <v>1209.8646779999999</v>
      </c>
      <c r="I252" s="3">
        <f>1717.1+(360-515.5)+(0.875721+(0.1836-0.262905))+0-341.5-0.174164999999965</f>
        <v>1220.7222509999999</v>
      </c>
      <c r="J252" s="3">
        <f>1837.9+(303.2-667.5)+(0.937329+(0.154632-0.340425))+0-252.6-0.128825999999974</f>
        <v>1221.6227100000003</v>
      </c>
      <c r="K252" s="3">
        <f>1937.5+(235.5-792.3)+(3.9525+(0.48042-1.616292))+0-189.5-0.386579999999992</f>
        <v>1193.630048</v>
      </c>
      <c r="L252" s="3">
        <f>1878.6+(333.9-749.1)+(-3.832344+(-0.681156--1.528164))+0-165--0.336599999999993</f>
        <v>1295.751264</v>
      </c>
      <c r="M252" s="3">
        <f>1996.9+(388.2-856.4)+(4.073676+(0.791928-1.747056))+0-171.4-0.349655999999993</f>
        <v>1360.0688919999998</v>
      </c>
      <c r="N252" s="3">
        <f>2230.7+(345.8-953)+(3.412971+(0.529074-1.45809))+0-187.3-0.286569000000011</f>
        <v>1438.3973859999996</v>
      </c>
      <c r="O252" s="3">
        <f>2448+(354.4-1108.5)+(1.24848+(0.180744-0.565335))+0-200.3-0.10215299999998</f>
        <v>1494.3617360000001</v>
      </c>
      <c r="P252" s="3">
        <f>2363.5+(357.7-973.1)+(0+(0-0))+0-212.8-0</f>
        <v>1535.3</v>
      </c>
      <c r="Q252" s="3">
        <f>2427.2+(456.2-969.6)+(-1.237872+(-0.232662--0.494496))+0-313.6--0.159935999999968</f>
        <v>1599.3838979999996</v>
      </c>
      <c r="R252" s="3">
        <f>2160.5+(635.1-859.4)+(-7.712985+(-2.267307--3.068058))+0-322.9--1.152753</f>
        <v>1607.5405190000004</v>
      </c>
      <c r="S252" s="3">
        <f>2184.3+(663.3-873.9)+(0+(0-0))+0-391.3-0</f>
        <v>1582.4000000000003</v>
      </c>
      <c r="T252" s="3">
        <f>2114.8+(683.2-924.1)+(0+(0-0))+0-328-0</f>
        <v>1545.9</v>
      </c>
      <c r="U252" s="3">
        <f>2239.6+(679-971.9)+(2.284392+(0.69258-0.991338))+0-428.3-0.436866000000068</f>
        <v>1519.9487679999997</v>
      </c>
      <c r="V252" s="3">
        <f>2248+(630.1-784.7)+(-3.43944+(-0.964053--1.200591))+0-494.7--0.756891000000029</f>
        <v>1596.253989</v>
      </c>
      <c r="W252" s="3">
        <f>2956.1+(525.9-1162.5)+(-4.522833+(-0.804627--1.778625))+0-492.2--0.753066000000028</f>
        <v>1824.5042309999999</v>
      </c>
      <c r="X252" s="3">
        <f>2810.9+(537.8-984.1)+(0+(0-0))+0-474.4-0</f>
        <v>1890.1999999999998</v>
      </c>
      <c r="Y252" s="3">
        <f>2683.9+(537.8-811.9)+(5.475156+(1.097112-1.656276))+0-557.8-1.13791199999998</f>
        <v>1855.7780800000005</v>
      </c>
      <c r="Z252" s="3">
        <f>2724.5+(512.7-808.2)+(4.168485+(0.784431-1.236546))+0-628.9-0.962217000000036</f>
        <v>1802.854153</v>
      </c>
      <c r="AA252" s="3">
        <f>2439.4+(597.7-702.3)+(3.732282+(0.914481-1.074519))+0-575.1-0.879903000000033</f>
        <v>1762.3923410000002</v>
      </c>
      <c r="AB252" s="3">
        <f>2144+(642.7-496)+(-2.18688+(-0.655554--0.50592))+0-633.1--0.645762000000101</f>
        <v>1655.9092479999999</v>
      </c>
      <c r="AC252" s="3">
        <f>2017.2+(550.1-436.4)+(-3.086316+(-0.841653--0.667692))+0-597.9--0.914787000000035</f>
        <v>1530.6545100000001</v>
      </c>
      <c r="AD252" s="2">
        <v>1821.4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1981.8+(592.7-652.2)+(-2.021436+(-0.604554--0.665244))+0-492.7--0.502554000000079</f>
        <v>1428.1418080000001</v>
      </c>
      <c r="G253" s="3">
        <f>1755.2+(684.4-624.7)+(-6.266064+(-2.443308--2.230179))+0-454.8--1.62363600000001</f>
        <v>1355.2444430000003</v>
      </c>
      <c r="H253" s="3">
        <f>1800+(745.6-753.4)+(0.918+(0.380256-0.384234))+0-520.6-0.265505999999947</f>
        <v>1272.2485159999999</v>
      </c>
      <c r="I253" s="3">
        <f>1719.2+(798-647.6)+(1.753584+(0.81396-0.660552))+0-619.3-0.631686000000099</f>
        <v>1251.5753059999997</v>
      </c>
      <c r="J253" s="3">
        <f>1646.4+(828-726.1)+(-0.839664+(-0.42228--0.370311))+0-513.7--0.261986999999948</f>
        <v>1233.970354</v>
      </c>
      <c r="K253" s="3">
        <f>1771.2+(806.5-638.2)+(0+(0-0))+0-677.2-0</f>
        <v>1262.3</v>
      </c>
      <c r="L253" s="3">
        <f>1785+(800.9-710.8)+(-2.73105+(-1.225377--1.087524))+0-579--0.885870000000033</f>
        <v>1294.1169669999999</v>
      </c>
      <c r="M253" s="3">
        <f>1692.9+(886.4-521)+(-1.726758+(-0.904128--0.53142))+0-582.1--0.593742000000093</f>
        <v>1474.6942760000002</v>
      </c>
      <c r="N253" s="3">
        <f>1814.8+(894.5-688.2)+(0+(0-0))+0-484.3-0</f>
        <v>1536.8</v>
      </c>
      <c r="O253" s="3">
        <f>2105.1+(975.7-852.9)+(-1.073601+(-0.497607--0.434979))+0-613--0.312629999999938</f>
        <v>1614.0764009999998</v>
      </c>
      <c r="P253" s="3">
        <f>2034.7+(1038.2-920.4)+(-2.075394+(-1.058964--0.938808))+0-497--0.506940000000079</f>
        <v>1653.8113900000001</v>
      </c>
      <c r="Q253" s="3">
        <f>2242.3+(1093-1085.1)+(-3.430719+(-1.67229--1.660203))+0-549.8--0.841194000000032</f>
        <v>1697.7983880000004</v>
      </c>
      <c r="R253" s="3">
        <f>2014+(1085.8-857.5)+(-1.02714+(-0.553758--0.437325))+0-558.2--0.284681999999943</f>
        <v>1683.2411090000003</v>
      </c>
      <c r="S253" s="3">
        <f>1864.4+(1015.2-673.6)+(-1.901688+(-1.035504--0.687072))+0-530.4--0.541008000000085</f>
        <v>1673.8908879999999</v>
      </c>
      <c r="T253" s="3">
        <f>1985.9+(1007.7-782.2)+(2.025618+(1.027854-0.797844))+0-601.1-0.613122000000096</f>
        <v>1611.9425059999999</v>
      </c>
      <c r="U253" s="3">
        <f>1775.8+(1059.4-826.9)+(-2.716974+(-1.620882--1.265157))+0-440.8--0.674424000000025</f>
        <v>1565.1017250000002</v>
      </c>
      <c r="V253" s="3">
        <f>2168.6+(1075.1-972.5)+(-2.211972+(-1.096602--0.99195))+0-650.2--0.663204000000104</f>
        <v>1619.3465799999999</v>
      </c>
      <c r="W253" s="3">
        <f>2744.9+(1231-1612.3)+(-4.199697+(-1.88343--2.466819))+0-488.4--0.747252000000028</f>
        <v>1872.3309440000003</v>
      </c>
      <c r="X253" s="3">
        <f>2978.3+(1205.7-1629.3)+(-7.594665+(-3.074535--4.154715))+0-555.6--1.41677999999992</f>
        <v>1994.0022950000002</v>
      </c>
      <c r="Y253" s="3">
        <f>2894.9+(1344.1-1692.6)+(1.476399+(0.685491-0.863226))+0-592.9-0.30237899999994</f>
        <v>1954.4962849999999</v>
      </c>
      <c r="Z253" s="3">
        <f>2731.9+(1102.1-1340.7)+(-4.179807+(-1.686213--2.051271))+0-588--0.899640000000034</f>
        <v>1902.3848910000002</v>
      </c>
      <c r="AA253" s="3">
        <f>2641.9+(1043-1261.1)+(-6.736845+(-2.65965--3.215805))+0-577.8--1.47338999999992</f>
        <v>1841.2927</v>
      </c>
      <c r="AB253" s="3">
        <f>2524.9+(1082.9-1276.8)+(-1.287699+(-0.552279--0.651168))+0-579.7--0.295646999999941</f>
        <v>1750.4068369999998</v>
      </c>
      <c r="AC253" s="3">
        <f>2333.2+(980.9-1083.3)+(-3.569796+(-1.500777--1.657449))+0-602.7--0.922131000000035</f>
        <v>1625.6090069999996</v>
      </c>
      <c r="AD253" s="2">
        <v>2010.1000000000004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1740+(1074.9-715.6)+(-3.5496+(-2.192796--1.459824))+0-604.7--1.23358799999997</f>
        <v>1491.5510160000001</v>
      </c>
      <c r="G254" s="3">
        <f>1561.8+(985.7-617.1)+(0+(0-0))+0-527.9-0</f>
        <v>1402.5</v>
      </c>
      <c r="H254" s="3">
        <f>1534.3+(939.2-520.1)+(-3.129972+(-1.915968--1.061004))+0-608.6--1.24154399999997</f>
        <v>1342.0566079999999</v>
      </c>
      <c r="I254" s="3">
        <f>1577.1+(866.6-563.2)+(-0.804321+(-0.441966--0.287232))+0-558.2--0.284681999999943</f>
        <v>1321.6256269999999</v>
      </c>
      <c r="J254" s="3">
        <f>1745.9+(790.7-631.7)+(2.671227+(1.209771-0.966501))+0-584.4-0.894132000000034</f>
        <v>1322.5203650000001</v>
      </c>
      <c r="K254" s="3">
        <f>1643.7+(872.8-652)+(3.353148+(1.780512-1.33008))+0-509.2-1.03876799999998</f>
        <v>1358.0648120000001</v>
      </c>
      <c r="L254" s="3">
        <f>1627.9+(916.5-515.6)+(0.830229+(0.467415-0.262956))+0-557.3-0.284222999999943</f>
        <v>1472.2504650000003</v>
      </c>
      <c r="M254" s="3">
        <f>1598.2+(963.2-471.9)+(-1.630164+(-0.982464--0.481338))+0-537.9--0.548658000000086</f>
        <v>1550.0173680000003</v>
      </c>
      <c r="N254" s="3">
        <f>1689.6+(1067.8-657.7)+(0+(0-0))+0-503-0</f>
        <v>1596.6999999999998</v>
      </c>
      <c r="O254" s="3">
        <f>1880+(1144.9-1003.5)+(-4.794+(-2.919495--2.558925))+0-409.2--1.04345999999994</f>
        <v>1608.08889</v>
      </c>
      <c r="P254" s="3">
        <f>2216.6+(1115.1-1203.5)+(-5.65233+(-2.843505--3.068925))+0-488.3--1.24516499999993</f>
        <v>1635.7182549999998</v>
      </c>
      <c r="Q254" s="3">
        <f>2318+(1104.1-1243.4)+(-3.54654+(-1.689273--1.902402))+0-527--0.806310000000031</f>
        <v>1649.1728989999997</v>
      </c>
      <c r="R254" s="3">
        <f>2468.8+(968.5-1327.9)+(-2.518176+(-0.98787--1.354458))+0-450.1--0.459102000000072</f>
        <v>1657.607514</v>
      </c>
      <c r="S254" s="3">
        <f>2371.6+(980.6-1254.2)+(-1.209516+(-0.500106--0.639642))+0-490.2--0.25000199999995</f>
        <v>1606.9800219999997</v>
      </c>
      <c r="T254" s="3">
        <f>2433.4+(821.6-1300.9)+(-2.482068+(-0.838032--1.326918))+0-479--0.488580000000076</f>
        <v>1473.5953980000002</v>
      </c>
      <c r="U254" s="3">
        <f>2547.9+(809.6-1326)+(-2.598858+(-0.825792--1.35252))+0-479--0.488580000000076</f>
        <v>1550.9164500000002</v>
      </c>
      <c r="V254" s="3">
        <f>2796.7+(881.4-1530.1)+(0+(0-0))+0-491.5-0</f>
        <v>1656.5</v>
      </c>
      <c r="W254" s="3">
        <f>3554.8+(1271.7-2298.7)+(5.438844+(1.945701-3.517011))+0-604.3-0.924579000000035</f>
        <v>1926.4429550000002</v>
      </c>
      <c r="X254" s="3">
        <f>3275.2+(1426.2-2110.5)+(-1.670352+(-0.727362--1.076355))+0-545.7--0.278306999999945</f>
        <v>2044.1569479999996</v>
      </c>
      <c r="Y254" s="3">
        <f>2718.8+(1557.7-1672)+(0+(0-0))+0-604.8-0</f>
        <v>1999.7</v>
      </c>
      <c r="Z254" s="3">
        <f>2088.3+(1644.4-1232.7)+(-1.065033+(-0.838644--0.628677))+0-540.8--0.275807999999945</f>
        <v>1958.2008079999998</v>
      </c>
      <c r="AA254" s="3">
        <f>2092.8+(1441.8-1057.6)+(-2.134656+(-1.470636--1.078752))+0-594.2--0.606084000000095</f>
        <v>1880.8795440000001</v>
      </c>
      <c r="AB254" s="3">
        <f>1960.3+(1275.3-918.4)+(-2.999259+(-1.951209--1.405152))+0-516.3--0.78993900000003</f>
        <v>1798.1446229999997</v>
      </c>
      <c r="AC254" s="3">
        <f>1903.4+(1123.9-702.1)+(-4.85367+(-2.865945--1.790355))+0-647.7--1.65163499999991</f>
        <v>1673.2223750000003</v>
      </c>
      <c r="AD254" s="2">
        <v>2034.8999999999996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1749.6+(907.6-642.4)+(-3.569184+(-1.851504--1.310496))+0-457.4--0.93309599999998</f>
        <v>1554.222904</v>
      </c>
      <c r="G255" s="3">
        <f>1617.3+(903.5-377.6)+(-0.824823+(-0.460785--0.192576))+0-675.7--0.344606999999932</f>
        <v>1466.7515749999995</v>
      </c>
      <c r="H255" s="3">
        <f>1588.4+(842.8-518.3)+(-3.240336+(-1.719312--1.057332))+0-502.3--1.02469199999998</f>
        <v>1407.7223760000002</v>
      </c>
      <c r="I255" s="3">
        <f>1676.4+(836.3-474.6)+(0.854964+(0.426513-0.242046))+0-652.9-0.332978999999934</f>
        <v>1385.9064519999999</v>
      </c>
      <c r="J255" s="3">
        <f>1741.5+(788-642.1)+(-2.664495+(-1.20564--0.982413))+0-509.6--0.779688000000029</f>
        <v>1375.6919660000003</v>
      </c>
      <c r="K255" s="3">
        <f>1906+(712.2-651)+(2.91618+(1.089666-0.99603))+0-559.5-0.856035000000032</f>
        <v>1409.853781</v>
      </c>
      <c r="L255" s="3">
        <f>1832.1+(689.6-515.3)+(-0.934371+(-0.351696--0.262803))+0-518.4--0.264383999999947</f>
        <v>1487.2411199999999</v>
      </c>
      <c r="M255" s="3">
        <f>1943.4+(794.4-673.3)+(4.95567+(2.02572-1.716915))+0-507.9-1.29514499999993</f>
        <v>1560.56933</v>
      </c>
      <c r="N255" s="3">
        <f>2166.7+(862.4-836.9)+(5.525085+(2.19912-2.134095))+0-580.8-1.48103999999992</f>
        <v>1615.5090700000001</v>
      </c>
      <c r="O255" s="3">
        <f>2222.5+(787.7-817.8)+(1.133475+(0.401727-0.417078))+0-489.9-0.24984899999995</f>
        <v>1703.368275</v>
      </c>
      <c r="P255" s="3">
        <f>2353.6+(855.4-926.7)+(1.200336+(0.436254-0.472617))+0-540.9-0.275858999999945</f>
        <v>1742.288114</v>
      </c>
      <c r="Q255" s="3">
        <f>2308.4+(1136.7-1154.5)+(-2.354568+(-1.159434--1.17759))+0-557--0.568140000000089</f>
        <v>1731.8317280000003</v>
      </c>
      <c r="R255" s="3">
        <f>2184.4+(1225.7-898.6)+(-6.684264+(-3.750642--2.749716))+0-683.4--2.09120400000008</f>
        <v>1822.5060139999998</v>
      </c>
      <c r="S255" s="3">
        <f>1862.8+(1141.6-737.4)+(-4.75014+(-2.91108--1.88037))+0-431.4--1.10006999999994</f>
        <v>1830.9192199999998</v>
      </c>
      <c r="T255" s="3">
        <f>1809.3+(1096.1-535.6)+(0.922743+(0.559011-0.273156))+0-592.4-0.30212399999994</f>
        <v>1778.3064739999998</v>
      </c>
      <c r="U255" s="3">
        <f>1850.8+(1032.2-535.2)+(0.943908+(0.526422-0.272952))+0-597.4-0.304673999999939</f>
        <v>1751.292704</v>
      </c>
      <c r="V255" s="3">
        <f>1955.1+(932.7-638)+(-2.991303+(-1.427031--0.97614))+0-532.9--0.815337000000031</f>
        <v>1714.2731429999999</v>
      </c>
      <c r="W255" s="3">
        <f>3014.1+(1066.5-1550.3)+(1.537191+(0.543915-0.790653))+0-615.7-0.314006999999938</f>
        <v>1915.5764460000003</v>
      </c>
      <c r="X255" s="3">
        <f>2870.1+(1123.5-1410.2)+(-7.318755+(-2.864925--3.59601))+0-557.4--1.42136999999992</f>
        <v>2020.8336999999997</v>
      </c>
      <c r="Y255" s="3">
        <f>2693.2+(1034.8-1118)+(-1.373532+(-0.527748--0.57018))+0-616.1--0.314210999999938</f>
        <v>1992.8831110000001</v>
      </c>
      <c r="Z255" s="3">
        <f>2493.1+(1051.1-1049.3)+(0+(0-0))+0-536.3-0</f>
        <v>1958.5999999999997</v>
      </c>
      <c r="AA255" s="3">
        <f>2373.2+(1182.9-1072.7)+(-1.210332+(-0.603279--0.547077))+0-584.3--0.297992999999941</f>
        <v>1898.1314589999997</v>
      </c>
      <c r="AB255" s="3">
        <f>2168.6+(1202.6-945.6)+(-5.52993+(-3.06663--2.41128))+0-602.1--1.53535499999991</f>
        <v>1818.8500749999998</v>
      </c>
      <c r="AC255" s="3">
        <f>1604.9+(1066.5-404)+(-1.636998+(-1.08783--0.41208))+0-499.1--0.50908200000008</f>
        <v>1766.4963340000004</v>
      </c>
      <c r="AD255" s="2">
        <v>1989.2999999999995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1124.9+(1342.6-247.1)+(1.721097+(2.054178-0.378063))+0-589.5-0.901935000000034</f>
        <v>1633.3952769999999</v>
      </c>
      <c r="G256" s="3">
        <f>1138.5+(1157.5-232.9)+(0+(0-0))+0-530.2-0</f>
        <v>1532.8999999999999</v>
      </c>
      <c r="H256" s="3">
        <f>1122.6+(1131.5-212.9)+(0.572526+(0.577065-0.108579))+0-598.1-0.305030999999939</f>
        <v>1443.8359809999997</v>
      </c>
      <c r="I256" s="3">
        <f>1224.6+(1019.1-293.4)+(-0.624546+(-0.519741--0.149634))+0-530.4--0.270503999999946</f>
        <v>1419.1758509999997</v>
      </c>
      <c r="J256" s="3">
        <f>1120.1+(1033-211.4)+(0+(0-0))+0-520.7-0</f>
        <v>1420.9999999999998</v>
      </c>
      <c r="K256" s="3">
        <f>1345.8+(954.5-280.6)+(1.372716+(0.97359-0.286212))+0-600.5-0.612510000000096</f>
        <v>1420.6475839999996</v>
      </c>
      <c r="L256" s="3">
        <f>1218.6+(993.6-274.9)+(-5.593374+(-4.560624--1.261791))+0-476.7--2.18805300000008</f>
        <v>1453.8958459999999</v>
      </c>
      <c r="M256" s="3">
        <f>1227.9+(1208.9-306.4)+(1.252458+(1.233078-0.312528))+0-641.3-0.654126000000102</f>
        <v>1490.6188820000002</v>
      </c>
      <c r="N256" s="3">
        <f>1490.7+(889.4-400.7)+(-1.520514+(-0.907188--0.408714))+0-437.6--0.44635200000007</f>
        <v>1540.2273640000001</v>
      </c>
      <c r="O256" s="3">
        <f>1555.9+(1162.9-489.1)+(1.587018+(1.186158-0.498882))+0-622.2-0.634644000000099</f>
        <v>1609.1396499999998</v>
      </c>
      <c r="P256" s="3">
        <f>1594.8+(1122.6-511.9)+(0.813348+(0.572526-0.261069))+0-532.1-0.271370999999946</f>
        <v>1674.253434</v>
      </c>
      <c r="Q256" s="3">
        <f>1598.2+(1122.7-444.6)+(-1.630164+(-1.145154--0.453492))+0-606.9--0.619038000000097</f>
        <v>1667.6972120000003</v>
      </c>
      <c r="R256" s="3">
        <f>1385.1+(1237.2-442.5)+(-2.825604+(-2.523888--0.9027))+0-537.9--1.09731599999998</f>
        <v>1638.550524</v>
      </c>
      <c r="S256" s="3">
        <f>1289.1+(1297.9-415.7)+(-1.314882+(-1.323858--0.424014))+0-561.6--0.57283200000009</f>
        <v>1608.0581060000002</v>
      </c>
      <c r="T256" s="3">
        <f>1242.6+(1405.3-438.8)+(-2.534904+(-2.866812--0.895152))+0-621.8--1.26847199999997</f>
        <v>1584.0619080000001</v>
      </c>
      <c r="U256" s="3">
        <f>1267.4+(1282.4-472.2)+(-1.292748+(-1.308048--0.481644))+0-529.9--0.540498000000085</f>
        <v>1546.1213460000001</v>
      </c>
      <c r="V256" s="3">
        <f>1475.3+(1183.8-455.8)+(0+(0-0))+0-591.8-0</f>
        <v>1611.5000000000002</v>
      </c>
      <c r="W256" s="3">
        <f>2365.7+(959-885.2)+(0+(0-0))+0-532.5-0</f>
        <v>1907</v>
      </c>
      <c r="X256" s="3">
        <f>2655.7+(1081.3-1159.4)+(-5.417628+(-2.205852--2.365176))+0-534.4--1.09017599999998</f>
        <v>2039.0318719999993</v>
      </c>
      <c r="Y256" s="3">
        <f>2536.7+(1216.7-1153.9)+(3.881151+(1.861551-1.765467))+0-545.7-0.834921000000032</f>
        <v>2056.9423139999994</v>
      </c>
      <c r="Z256" s="3">
        <f>2424+(1231.7-1097.1)+(-3.70872+(-1.884501--1.678563))+0-560--0.856800000000032</f>
        <v>1995.5421420000002</v>
      </c>
      <c r="AA256" s="3">
        <f>2204.2+(1278-1054.4)+(-2.248284+(-1.30356--1.075488))+0-517.1--0.527442000000082</f>
        <v>1908.7510859999998</v>
      </c>
      <c r="AB256" s="3">
        <f>2030.5+(1317.7-1037.6)+(-3.106665+(-2.016081--1.587528))+0-465.9--0.712827000000027</f>
        <v>1841.8776090000003</v>
      </c>
      <c r="AC256" s="3">
        <f>1674.6+(1361.4-720.3)+(-3.416184+(-2.777256--1.469412))+0-599.7--1.22338799999997</f>
        <v>1712.4993599999996</v>
      </c>
      <c r="AD256" s="2">
        <v>2040.8999999999996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1216.5+(1364.8-476.9)+(-3.102075+(-3.48024--1.216095))+0-508.3--1.29616499999993</f>
        <v>1592.0299450000002</v>
      </c>
      <c r="G257" s="3">
        <f>1057.5+(1421.9-405.9)+(-2.1573+(-2.900676--0.828036))+0-570.9--1.16463599999998</f>
        <v>1499.5346959999997</v>
      </c>
      <c r="H257" s="3">
        <f>1050.3+(1280.1-330.7)+(-1.071306+(-1.305702--0.337314))+0-555.7--0.566814000000089</f>
        <v>1442.5271199999997</v>
      </c>
      <c r="I257" s="3">
        <f>1023.1+(1307.6-280.1)+(-1.565343+(-2.000628--0.428553))+0-635.4--0.972162000000037</f>
        <v>1413.034744</v>
      </c>
      <c r="J257" s="3">
        <f>987.7+(1351.5-279.5)+(0+(0-0))+0-636.6-0</f>
        <v>1423.1</v>
      </c>
      <c r="K257" s="3">
        <f>1105.2+(1294.8-360.7)+(1.690956+(1.981044-0.551871))+0-579.4-0.886482000000033</f>
        <v>1462.1336469999999</v>
      </c>
      <c r="L257" s="3">
        <f>1226.4+(1441.7-440.6)+(-1.250928+(-1.470534--0.449412))+0-618--0.630360000000099</f>
        <v>1607.8583100000001</v>
      </c>
      <c r="M257" s="3">
        <f>1284.8+(1449.7-448.1)+(3.27624+(3.696735-1.142655))+0-622.8-1.58813999999991</f>
        <v>1667.8421800000003</v>
      </c>
      <c r="N257" s="3">
        <f>1576.9+(1306.5-571.4)+(1.608438+(1.33263-0.582828))+0-613.7-0.625974000000098</f>
        <v>1700.0322659999999</v>
      </c>
      <c r="O257" s="3">
        <f>2033.8+(1120.8-822.1)+(2.074476+(1.143216-0.838542))+0-597.9-0.609858000000095</f>
        <v>1736.3692920000001</v>
      </c>
      <c r="P257" s="3">
        <f>2066.1+(1117.6-907.8)+(-1.053711+(-0.569976--0.462978))+0-544.1--0.277490999999945</f>
        <v>1730.9167819999996</v>
      </c>
      <c r="Q257" s="3">
        <f>2048.7+(1091.5-833.8)+(-2.089674+(-1.11333--0.850476))+0-557.6--0.568752000000089</f>
        <v>1747.016224</v>
      </c>
      <c r="R257" s="3">
        <f>2123.5+(983-834.7)+(-5.414925+(-2.50665--2.128485))+0-558.5--1.42417499999992</f>
        <v>1708.9310849999999</v>
      </c>
      <c r="S257" s="3">
        <f>2112.8+(933.1-860.5)+(1.077528+(0.475881-0.438855))+0-505.4-0.257753999999949</f>
        <v>1680.8568000000002</v>
      </c>
      <c r="T257" s="3">
        <f>2071.8+(964.6-784.1)+(0+(0-0))+0-610.1-0</f>
        <v>1642.2000000000003</v>
      </c>
      <c r="U257" s="3">
        <f>2249.1+(840.9-992.2)+(-3.441123+(-1.286577--1.518066))+0-483.1--0.739143000000028</f>
        <v>1612.229509</v>
      </c>
      <c r="V257" s="3">
        <f>2547.4+(860.4-1147.3)+(1.299174+(0.438804-0.585123))+0-582.1-0.296870999999941</f>
        <v>1679.2559839999999</v>
      </c>
      <c r="W257" s="3">
        <f>3841.8+(974.7-2301.1)+(-3.918636+(-0.994194--2.347122))+0-553.3--0.564366000000088</f>
        <v>1960.0986580000006</v>
      </c>
      <c r="X257" s="3">
        <f>3595.9+(1149.3-2230.3)+(1.833909+(0.586143-1.137453))+0-390.6-0.19920599999996</f>
        <v>2125.3833930000001</v>
      </c>
      <c r="Y257" s="3">
        <f>3343.4+(1217.9-1905.2)+(-5.115402+(-1.863387--2.914956))+0-564.7--0.863991000000033</f>
        <v>2088.2001580000006</v>
      </c>
      <c r="Z257" s="3">
        <f>2715.8+(1133.5-1281.6)+(-8.310348+(-3.46851--3.921696))+0-514.9--1.57559400000006</f>
        <v>2046.5184320000005</v>
      </c>
      <c r="AA257" s="3">
        <f>2369.6+(1067.2-865.9)+(-8.459472+(-3.809904--3.091263))+0-610.4--2.17912800000001</f>
        <v>1953.5010150000001</v>
      </c>
      <c r="AB257" s="3">
        <f>2310.1+(1035.9-978.7)+(-5.890755+(-2.641545--2.495685))+0-477.1--1.21660499999993</f>
        <v>1885.3799900000001</v>
      </c>
      <c r="AC257" s="3">
        <f>2193.7+(1015.9-841.8)+(-5.593935+(-2.590545--2.14659))+0-594.8--1.51673999999991</f>
        <v>1768.4788499999995</v>
      </c>
      <c r="AD257" s="2">
        <v>2004.8999999999996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2115.6+(1039.5-973.1)+(-1.078956+(-0.530145--0.496281))+0-540.3--0.275552999999945</f>
        <v>1640.8627330000002</v>
      </c>
      <c r="G258" s="3">
        <f>1933.9+(1018.3-884.6)+(-3.945156+(-2.077332--1.804584))+0-520.3--1.06141199999998</f>
        <v>1544.1435079999999</v>
      </c>
      <c r="H258" s="3">
        <f>2034.5+(999-970.4)+(0+(0-0))+0-576.5-0</f>
        <v>1486.6</v>
      </c>
      <c r="I258" s="3">
        <f>1926+(916.7-827.8)+(2.94678+(1.402551-1.266534))+0-540.7-0.827271000000031</f>
        <v>1476.455526</v>
      </c>
      <c r="J258" s="3">
        <f>1876.2+(926.1-742.1)+(3.827448+(1.889244-1.513884))+0-587-1.19747999999997</f>
        <v>1476.2053279999998</v>
      </c>
      <c r="K258" s="3">
        <f>1804.1+(865.8-575.4)+(-1.840182+(-0.883116--0.586908))+0-576.3--0.587826000000092</f>
        <v>1516.6514360000001</v>
      </c>
      <c r="L258" s="3">
        <f>1768.9+(912.3-461)+(0+(0-0))+0-564.5-0</f>
        <v>1655.6999999999998</v>
      </c>
      <c r="M258" s="3">
        <f>2004.4+(1061.3-802.2)+(3.066732+(1.623789-1.227366))+0-564.3-0.863379000000033</f>
        <v>1701.7997759999998</v>
      </c>
      <c r="N258" s="3">
        <f>2461.4+(1077.3-1214.5)+(0+(0-0))+0-563.5-0</f>
        <v>1760.6999999999998</v>
      </c>
      <c r="O258" s="3">
        <f>2866.1+(1009.6-1583.9)+(0+(0-0))+0-547.9-0</f>
        <v>1743.8999999999996</v>
      </c>
      <c r="P258" s="3">
        <f>3022.9+(1058.1-1812.7)+(0+(0-0))+0-509.7-0</f>
        <v>1758.6000000000001</v>
      </c>
      <c r="Q258" s="3">
        <f>2828.7+(994.5-1685.5)+(-4.327911+(-1.521585--2.578815))+0-398.6--0.609858000000023</f>
        <v>1736.439177</v>
      </c>
      <c r="R258" s="3">
        <f>2414.4+(957.8-1133.5)+(-6.15672+(-2.44239--2.890425))+0-531.6--1.35557999999992</f>
        <v>1702.7468949999998</v>
      </c>
      <c r="S258" s="3">
        <f>2256.5+(876.1-1061.1)+(-2.30163+(-0.893622--1.082322))+0-501.4--0.51142800000008</f>
        <v>1568.4984980000002</v>
      </c>
      <c r="T258" s="3">
        <f>2258.3+(832.7-942.9)+(-1.151733+(-0.424677--0.480879))+0-512.2--0.261221999999948</f>
        <v>1635.0656910000002</v>
      </c>
      <c r="U258" s="3">
        <f>2294.1+(735.3-961.4)+(3.509973+(1.125009-1.470942))+0-444.6-0.680238000000026</f>
        <v>1625.8838020000003</v>
      </c>
      <c r="V258" s="3">
        <f>2465.9+(784.2-1082.2)+(1.257609+(0.399942-0.551922))+0-461.6-0.235415999999953</f>
        <v>1707.1702130000003</v>
      </c>
      <c r="W258" s="3">
        <f>4059.5+(917.6-2503.1)+(4.14069+(0.935952-2.553162))+0-482.5-0.492150000000077</f>
        <v>1993.5313299999998</v>
      </c>
      <c r="X258" s="3">
        <f>4174.1+(893-2487.8)+(0+(0-0))+0-440.3-0</f>
        <v>2139</v>
      </c>
      <c r="Y258" s="3">
        <f>3600.4+(902.9-1890.5)+(3.672408+(0.920958-1.92831))+0-504.2-0.51428400000008</f>
        <v>2110.7507720000003</v>
      </c>
      <c r="Z258" s="3">
        <f>3126.8+(982.5-1529.2)+(0+(0-0))+0-522.7-0</f>
        <v>2057.4000000000005</v>
      </c>
      <c r="AA258" s="3">
        <f>2570.6+(944.3-887.6)+(-2.622012+(-0.963186--0.905352))+0-624.9--0.6373980000001</f>
        <v>2000.3575519999997</v>
      </c>
      <c r="AB258" s="3">
        <f>2224.4+(892.1-728.5)+(-5.67222+(-2.274855--1.857675))+0-489.9--1.24924499999993</f>
        <v>1893.259845</v>
      </c>
      <c r="AC258" s="3">
        <f>2347.4+(759.3-748.9)+(-5.98587+(-1.936215--1.909695))+0-600.7--1.53178499999991</f>
        <v>1752.6193950000002</v>
      </c>
      <c r="AD258" s="2">
        <v>2159.1999999999998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2140.4+(676.2-726)+(-3.274812+(-1.034586--1.11078))+0-448.4--0.686052000000026</f>
        <v>1639.6874340000004</v>
      </c>
      <c r="G259" s="3">
        <f>1907.6+(705.6-459.6)+(-1.945752+(-0.719712--0.468792))+0-607.9--0.620058000000097</f>
        <v>1544.123386</v>
      </c>
      <c r="H259" s="3">
        <f>1790.5+(541-379.8)+(-1.82631+(-0.55182--0.387396))+0-471.8--0.481236000000075</f>
        <v>1478.3905020000002</v>
      </c>
      <c r="I259" s="3">
        <f>1772.4+(546.9-285)+(-2.711772+(-0.836757--0.43605))+0-555.8--0.850374000000032</f>
        <v>1476.2378950000004</v>
      </c>
      <c r="J259" s="3">
        <f>1871.6+(497.3-364.5)+(0.954516+(0.253623-0.185895))+0-541.5-0.276164999999945</f>
        <v>1463.6460789999999</v>
      </c>
      <c r="K259" s="3">
        <f>1784.3+(595-357)+(0+(0-0))+0-509.4-0</f>
        <v>1512.9</v>
      </c>
      <c r="L259" s="3">
        <f>1893.6+(735.6-436.2)+(-4.82868+(-1.87578--1.11231))+0-551.3--1.40581499999992</f>
        <v>1637.5136649999999</v>
      </c>
      <c r="M259" s="3">
        <f>2115.3+(723-545.9)+(5.394015+(1.84365-1.392045))+0-582-1.48409999999992</f>
        <v>1714.7615200000002</v>
      </c>
      <c r="N259" s="3">
        <f>2226.3+(751.7-695.3)+(2.270826+(0.766734-0.709206))+0-579.3-0.590886000000092</f>
        <v>1705.1374680000004</v>
      </c>
      <c r="O259" s="3">
        <f>2319.3+(668.7-691.8)+(3.548529+(1.023111-1.058454))+0-577-0.882810000000033</f>
        <v>1721.8303760000003</v>
      </c>
      <c r="P259" s="3">
        <f>2525.6+(539.6-778.8)+(-6.44028+(-1.37598--1.98594))+0-521.5--1.32982499999992</f>
        <v>1760.3995050000001</v>
      </c>
      <c r="Q259" s="3">
        <f>2395.8+(496.5-702.4)+(-4.887432+(-1.01286--1.432896))+0-478.2--0.975527999999979</f>
        <v>1708.208132</v>
      </c>
      <c r="R259" s="3">
        <f>2101.9+(683.2-468.5)+(-8.575752+(-2.787456--1.91148))+0-628--2.56223999999995</f>
        <v>1681.7105120000003</v>
      </c>
      <c r="S259" s="3">
        <f>1956.5+(655.3-430.7)+(-2.993445+(-1.002609--0.658971))+0-522.9--0.80003700000003</f>
        <v>1655.6629539999999</v>
      </c>
      <c r="T259" s="3">
        <f>2073.2+(673.7-537.5)+(-1.057332+(-0.343587--0.274125))+0-600.7--0.306356999999939</f>
        <v>1607.8795629999997</v>
      </c>
      <c r="U259" s="3">
        <f>1976.3+(689-534.5)+(-1.007913+(-0.35139--0.272595))+0-542.5--0.276674999999945</f>
        <v>1587.4899670000002</v>
      </c>
      <c r="V259" s="3">
        <f>2448+(570.9-743.7)+(1.24848+(0.291159-0.379287))+0-548.1-0.279530999999944</f>
        <v>1727.9808209999999</v>
      </c>
      <c r="W259" s="3">
        <f>3318.4+(608.9-1405.8)+(0+(0-0))+0-550.4-0</f>
        <v>1971.1</v>
      </c>
      <c r="X259" s="3">
        <f>3425.6+(638.3-1390.3)+(-8.73528+(-1.627665--3.545265))+0-568.4--1.44941999999992</f>
        <v>2099.8317399999996</v>
      </c>
      <c r="Y259" s="3">
        <f>2991.7+(562.5-926.8)+(-6.103068+(-1.1475--1.890672))+0-541.8--1.10527199999998</f>
        <v>2081.3453759999993</v>
      </c>
      <c r="Z259" s="3">
        <f>2857+(606-868)+(-2.91414+(-0.61812--0.88536))+0-562.4--0.57364800000009</f>
        <v>2030.5267479999998</v>
      </c>
      <c r="AA259" s="3">
        <f>2764.7+(564.7-736.7)+(-8.459982+(-1.727982--2.254302))+0-604.8--1.85068800000007</f>
        <v>1981.8170259999999</v>
      </c>
      <c r="AB259" s="3">
        <f>2566.7+(604.1-762.5)+(-6.545085+(-1.540455--1.944375))+0-521.8--1.33058999999992</f>
        <v>1881.6894249999998</v>
      </c>
      <c r="AC259" s="3">
        <f>2603.6+(633-935.4)+(-3.983508+(-0.96849--1.431162))+0-550.1--0.841653000000032</f>
        <v>1748.4208169999997</v>
      </c>
      <c r="AD259" s="2">
        <v>2107.5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2156.9+(677.6-651.3)+(0+(0-0))+0-554.4-0</f>
        <v>1628.8000000000002</v>
      </c>
      <c r="G260" s="3">
        <f>2042.4+(661.5-627.1)+(-2.083248+(-0.67473--0.639642))+0-546.1--0.557022000000087</f>
        <v>1529.1386860000005</v>
      </c>
      <c r="H260" s="3">
        <f>1965+(657.9-628.7)+(1.00215+(0.335529-0.320637))+0-505.2-0.257651999999949</f>
        <v>1489.7593899999997</v>
      </c>
      <c r="I260" s="3">
        <f>2009.6+(649.3-599)+(3.074688+(0.993429-0.91647))+0-610.7-0.934371000000035</f>
        <v>1451.4172759999997</v>
      </c>
      <c r="J260" s="3">
        <f>1915.8+(658.1-585.8)+(0+(0-0))+0-519.2-0</f>
        <v>1468.8999999999999</v>
      </c>
      <c r="K260" s="3">
        <f>2039.1+(693.9-633.9)+(2.079882+(0.707778-0.646578))+0-603.5-0.615570000000096</f>
        <v>1497.1255119999998</v>
      </c>
      <c r="L260" s="3">
        <f>2174.6+(708.3-739.5)+(-2.218092+(-0.722466--0.75429))+0-524.9--0.535398000000084</f>
        <v>1616.8491299999996</v>
      </c>
      <c r="M260" s="3">
        <f>2546.6+(853.1-1152.5)+(2.597532+(0.870162-1.17555))+0-575.3-0.586806000000092</f>
        <v>1673.6053379999998</v>
      </c>
      <c r="N260" s="3">
        <f>3039.3+(767.6-1607.3)+(3.100086+(0.782952-1.639446))+0-514.4-0.524688000000082</f>
        <v>1686.9189040000001</v>
      </c>
      <c r="O260" s="3">
        <f>3194.9+(696.9-1650.6)+(-9.776394+(-2.132514--5.050836))+0-508.4--1.55570400000006</f>
        <v>1727.4976320000003</v>
      </c>
      <c r="P260" s="3">
        <f>3381.8+(647.3-1855.6)+(0+(0-0))+0-439.2-0</f>
        <v>1734.3</v>
      </c>
      <c r="Q260" s="3">
        <f>3345.2+(750.8-1876.6)+(1.706052+(0.382908-0.957066))+0-516.2-0.263261999999948</f>
        <v>1704.0686319999998</v>
      </c>
      <c r="R260" s="3">
        <f>3052.7+(849.1-1752.7)+(-3.113754+(-0.866082--1.787754))+0-444--0.452880000000071</f>
        <v>1703.3607979999999</v>
      </c>
      <c r="S260" s="3">
        <f>2829.2+(869.2-1472.4)+(-4.328676+(-1.329876--2.252772))+0-563.5--0.862155000000033</f>
        <v>1659.956375</v>
      </c>
      <c r="T260" s="3">
        <f>2542.3+(708.5-1268.6)+(2.593146+(0.72267-1.293972))+0-357.6-0.364752000000057</f>
        <v>1626.2570920000003</v>
      </c>
      <c r="U260" s="3">
        <f>2564.2+(708.9-1101)+(-2.615484+(-0.723078--1.12302))+0-537.7--0.548454000000086</f>
        <v>1632.7329119999999</v>
      </c>
      <c r="V260" s="3">
        <f>2683.4+(764.7-1337.2)+(-1.368534+(-0.389997--0.681972))+0-378--0.192779999999962</f>
        <v>1732.0162209999999</v>
      </c>
      <c r="W260" s="3">
        <f>3854.2+(980.7-2381.6)+(1.965642+(0.500157-1.214616))+0-454.4-0.231743999999954</f>
        <v>1999.919439</v>
      </c>
      <c r="X260" s="3">
        <f>3775+(1003.3-2147.6)+(-9.62625+(-2.558415--5.47638))+0-541.8--1.38158999999992</f>
        <v>2083.5733049999999</v>
      </c>
      <c r="Y260" s="3">
        <f>3382.5+(1056.9-1834.6)+(-6.9003+(-2.156076--3.742584))+0-547.9--1.11771599999998</f>
        <v>2052.7039240000004</v>
      </c>
      <c r="Z260" s="3">
        <f>2827.5+(1056.6-1361)+(-5.7681+(-2.155464--2.77644))+0-524.7--1.07038799999998</f>
        <v>1994.3232639999997</v>
      </c>
      <c r="AA260" s="3">
        <f>2628.1+(1026.5-1140.8)+(-4.020993+(-1.570545--1.745424))+0-572.5--0.875925000000033</f>
        <v>1938.3298110000003</v>
      </c>
      <c r="AB260" s="3">
        <f>2366+(908-931.9)+(-6.0333+(-2.3154--2.376345))+0-500.4--1.27601999999993</f>
        <v>1837.003665</v>
      </c>
      <c r="AC260" s="3">
        <f>2224.7+(900.7-938.4)+(-4.538388+(-1.837428--1.914336))+0-469.9--0.958595999999979</f>
        <v>1713.5971159999999</v>
      </c>
      <c r="AD260" s="2">
        <v>2041.6000000000001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2138.8+(935.6-996.7)+(-6.544728+(-2.862936--3.049902))+0-481.8--1.47430800000006</f>
        <v>1591.0165460000003</v>
      </c>
      <c r="G261" s="3">
        <f>2212.2+(871.9-1150.3)+(1.128222+(0.444669-0.586653))+0-425.7-0.217106999999957</f>
        <v>1508.8691309999997</v>
      </c>
      <c r="H261" s="3">
        <f>2279.2+(805.5-1105.2)+(0+(0-0))+0-519-0</f>
        <v>1460.4999999999998</v>
      </c>
      <c r="I261" s="3">
        <f>2244+(684-977.7)+(0+(0-0))+0-511.5-0</f>
        <v>1438.8</v>
      </c>
      <c r="J261" s="3">
        <f>2460.5+(639.2-1026.7)+(5.01942+(1.303968-2.094468))+0-642.2-1.31008799999997</f>
        <v>1433.718832</v>
      </c>
      <c r="K261" s="3">
        <f>2326.7+(745-1043.4)+(4.746468+(1.5198-2.128536))+0-558.5-1.13933999999998</f>
        <v>1472.7983919999997</v>
      </c>
      <c r="L261" s="3">
        <f>2622.6+(842.4-1274.2)+(2.675052+(0.859248-1.299684))+0-527.7-0.538254000000084</f>
        <v>1664.7963619999998</v>
      </c>
      <c r="M261" s="3">
        <f>2896.3+(843.1-1484.6)+(-2.954226+(-0.859962--1.514292))+0-584.1--0.595782000000093</f>
        <v>1668.9958860000004</v>
      </c>
      <c r="N261" s="3">
        <f>3062.5+(820.9-1686.7)+(4.685625+(1.255977-2.580651))+0-534.4-0.817632000000031</f>
        <v>1664.8433189999998</v>
      </c>
      <c r="O261" s="3">
        <f>3535.3+(1109.3-2407.7)+(1.803003+(0.565743-1.227927))+0-491.2-0.25051199999995</f>
        <v>1746.5903070000008</v>
      </c>
      <c r="P261" s="3">
        <f>3610.6+(969.9-2364.2)+(-1.841406+(-0.494649--1.205742))+0-430.1--0.219350999999956</f>
        <v>1785.2890380000001</v>
      </c>
      <c r="Q261" s="3">
        <f>3441.8+(867.1-2055.3)+(-7.021272+(-1.768884--4.192812))+0-459.3--0.93697199999998</f>
        <v>1790.6396280000001</v>
      </c>
      <c r="R261" s="3">
        <f>2978.1+(863.7-1597.3)+(-7.594155+(-2.202435--4.073115))+0-462.5--1.17937499999993</f>
        <v>1777.4559000000002</v>
      </c>
      <c r="S261" s="3">
        <f>2594.5+(878-1196.3)+(-10.58556+(-3.58224--4.880904))+0-500.1--2.04040799999996</f>
        <v>1768.8535119999999</v>
      </c>
      <c r="T261" s="3">
        <f>2624.1+(900.5-1371.1)+(1.338291+(0.459255-0.699261))+0-451.3-0.230162999999954</f>
        <v>1703.0681220000001</v>
      </c>
      <c r="U261" s="3">
        <f>2482+(932.7-1188.3)+(-3.79746+(-1.427031--1.818099))+0-536.9--0.821457000000031</f>
        <v>1686.9150650000001</v>
      </c>
      <c r="V261" s="3">
        <f>2563.2+(922.4-1220.1)+(-5.228928+(-1.881696--2.489004))+0-480.1--0.979403999999979</f>
        <v>1781.7577840000001</v>
      </c>
      <c r="W261" s="3">
        <f>3912+(901.9-2246)+(-3.99024+(-0.919938--2.29092))+0-556.6--0.567732000000089</f>
        <v>2009.248474</v>
      </c>
      <c r="X261" s="3">
        <f>4027.3+(778.3-2175.5)+(-12.323538+(-2.381598--6.65703))+0-559.5--1.71207000000006</f>
        <v>2064.2639640000002</v>
      </c>
      <c r="Y261" s="3">
        <f>3602.9+(832.7-1881.3)+(-7.349916+(-1.698708--3.837852))+0-528.4--1.07793599999998</f>
        <v>2021.7671640000001</v>
      </c>
      <c r="Z261" s="3">
        <f>3387.6+(868.1-1803.1)+(-8.63838+(-2.213655--4.597905))+0-499.3--1.27321499999993</f>
        <v>1948.3190850000001</v>
      </c>
      <c r="AA261" s="3">
        <f>3236.6+(899.9-1710.1)+(-4.951998+(-1.376847--2.616453))+0-528.3--0.80829900000003</f>
        <v>1895.1959070000003</v>
      </c>
      <c r="AB261" s="3">
        <f>3168.1+(945.6-1774.9)+(-6.462924+(-1.929024--3.620796))+0-530--1.08119999999998</f>
        <v>1805.110048</v>
      </c>
      <c r="AC261" s="3">
        <f>3234.2+(996.8-1951.8)+(-1.649442+(-0.508368--0.995418))+0-569.1--0.290240999999942</f>
        <v>1709.2278489999997</v>
      </c>
      <c r="AD261" s="2">
        <v>2045.1000000000001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2705.8+(882.1-1452.4)+(-5.519832+(-1.799484--2.962896))+0-550.7--1.12342799999998</f>
        <v>1581.5670079999998</v>
      </c>
      <c r="G262" s="3">
        <f>2475.8+(941.8-1358.5)+(-2.525316+(-0.960636--1.38567))+0-560.1--0.571302000000089</f>
        <v>1497.4710200000006</v>
      </c>
      <c r="H262" s="3">
        <f>2239.6+(894.7-1129.9)+(-1.142196+(-0.456297--0.576249))+0-547--0.278969999999944</f>
        <v>1456.6567259999997</v>
      </c>
      <c r="I262" s="3">
        <f>2259.4+(766.2-1010.8)+(1.152294+(0.390762-0.515508))+0-591.5-0.30166499999994</f>
        <v>1424.0258830000002</v>
      </c>
      <c r="J262" s="3">
        <f>2179.9+(745.5-942.3)+(-4.446996+(-1.52082--1.922292))+0-553.4--1.12893599999998</f>
        <v>1426.7834120000002</v>
      </c>
      <c r="K262" s="3">
        <f>2270.8+(768.4-1013.8)+(2.316216+(0.783768-1.034076))+0-568.1-0.579462000000091</f>
        <v>1458.7864460000001</v>
      </c>
      <c r="L262" s="3">
        <f>2277.6+(847.4-1041.6)+(-1.161576+(-0.432174--0.531216))+0-558.2--0.284681999999943</f>
        <v>1524.4221479999999</v>
      </c>
      <c r="M262" s="3">
        <f>2372.9+(853.8-1088.5)+(-1.210179+(-0.435438--0.555135))+0-543.9--0.277388999999945</f>
        <v>1593.4869069999995</v>
      </c>
      <c r="N262" s="3">
        <f>2655.5+(796.8-1226)+(4.062915+(1.219104-1.87578))+0-520.3-0.79605900000003</f>
        <v>1708.6101800000001</v>
      </c>
      <c r="O262" s="3">
        <f>3206+(725.6-1717.2)+(1.63506+(0.370056-0.875772))+0-423.7-0.216086999999957</f>
        <v>1791.613257</v>
      </c>
      <c r="P262" s="3">
        <f>3246.8+(705.4-1739.9)+(6.623472+(1.439016-3.549396))+0-464.6-0.94778399999998</f>
        <v>1751.2653080000005</v>
      </c>
      <c r="Q262" s="3">
        <f>3363.7+(709.3-1871.8)+(-5.146461+(-1.085229--2.863854))+0-431.3--0.659889000000025</f>
        <v>1767.192053</v>
      </c>
      <c r="R262" s="3">
        <f>2827.7+(797.7-1472.2)+(-8.652762+(-2.440962--4.504932))+0-419.7--1.28428200000005</f>
        <v>1728.1954899999998</v>
      </c>
      <c r="S262" s="3">
        <f>2639.4+(843.5-1305.5)+(-2.692188+(-0.86037--1.33161))+0-521.1--0.531522000000083</f>
        <v>1654.610574</v>
      </c>
      <c r="T262" s="3">
        <f>2625.9+(869.5-1414.4)+(-1.339209+(-0.443445--0.721344))+0-473.6--0.241535999999952</f>
        <v>1606.580226</v>
      </c>
      <c r="U262" s="3">
        <f>2855.6+(779.7-1592.4)+(2.912712+(0.795294-1.624248))+0-476.1-0.485622000000076</f>
        <v>1568.3981359999998</v>
      </c>
      <c r="V262" s="3">
        <f>3068.3+(752.6-1713.6)+(-6.259332+(-1.535304--3.495744))+0-487.5--0.994499999999979</f>
        <v>1616.4956080000004</v>
      </c>
      <c r="W262" s="3">
        <f>3996.9+(881.1-2455.8)+(2.038419+(0.449361-1.252458))+0-531.2-0.270911999999946</f>
        <v>1891.9644099999998</v>
      </c>
      <c r="X262" s="3">
        <f>4072.8+(883.5-2437.9)+(-12.462768+(-2.70351--7.459974))+0-518--1.58508000000006</f>
        <v>1994.2787760000003</v>
      </c>
      <c r="Y262" s="3">
        <f>3543.9+(987.1-1928.5)+(-7.229556+(-2.013684--3.93414))+0-625.9--1.27683599999997</f>
        <v>1972.567736</v>
      </c>
      <c r="Z262" s="3">
        <f>3171.2+(1006.3-1723.3)+(-6.469248+(-2.052852--3.515532))+0-545.8--1.11343199999998</f>
        <v>1904.506864</v>
      </c>
      <c r="AA262" s="3">
        <f>3205.9+(981.1-1831.2)+(-3.270018+(-1.000722--1.867824))+0-562.1--0.57334200000009</f>
        <v>1791.8704260000004</v>
      </c>
      <c r="AB262" s="3">
        <f>2680.4+(997.5-1384.8)+(-1.367004+(-0.508725--0.706248))+0-555.4--0.283253999999944</f>
        <v>1736.8137730000003</v>
      </c>
      <c r="AC262" s="3">
        <f>2590.3+(832.8-1113.3)+(-6.605265+(-2.12364--2.838915))+0-603.8--1.53968999999991</f>
        <v>1701.6496999999999</v>
      </c>
      <c r="AD262" s="2">
        <v>2125.9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2441.9+(822.1-1177.5)+(0+(0-0))+0-482-0</f>
        <v>1604.5</v>
      </c>
      <c r="G263" s="3">
        <f>2399.3+(832.4-1089.3)+(-3.670929+(-1.273572--1.666629))+0-625.5--0.957015000000036</f>
        <v>1514.5791429999999</v>
      </c>
      <c r="H263" s="3">
        <f>2334.4+(734.7-1074.1)+(0+(0-0))+0-536.9-0</f>
        <v>1458.1000000000004</v>
      </c>
      <c r="I263" s="3">
        <f>2445.2+(806.9-1211.5)+(2.494104+(0.823038-1.23573))+0-603.9-0.615978000000096</f>
        <v>1438.1654339999998</v>
      </c>
      <c r="J263" s="3">
        <f>2270.2+(788.1-1114.2)+(-3.473406+(-1.205793--1.704726))+0-526.8--0.80600400000003</f>
        <v>1415.131531</v>
      </c>
      <c r="K263" s="3">
        <f>2345.8+(747.1-1055.5)+(3.589074+(1.143063-1.614915))+0-597.8-0.914634000000034</f>
        <v>1441.8025880000002</v>
      </c>
      <c r="L263" s="3">
        <f>2304.9+(748.5-1008.1)+(-2.350998+(-0.76347--1.028262))+0-544.1--0.554982000000087</f>
        <v>1499.6687760000004</v>
      </c>
      <c r="M263" s="3">
        <f>2204.6+(653.5-745.1)+(-6.746076+(-1.99971--2.280006))+0-570.9--1.74695400000007</f>
        <v>1537.3811739999999</v>
      </c>
      <c r="N263" s="3">
        <f>2106.9+(612.3-545.7)+(-3.223557+(-0.936819--0.834921))+0-559.6--0.856188000000032</f>
        <v>1611.4307329999999</v>
      </c>
      <c r="O263" s="3">
        <f>2203.2+(578-653.6)+(0+(0-0))+0-500.7-0</f>
        <v>1626.8999999999999</v>
      </c>
      <c r="P263" s="3">
        <f>2482.2+(549.4-796.5)+(0+(0-0))+0-546.1-0</f>
        <v>1689</v>
      </c>
      <c r="Q263" s="3">
        <f>2520.2+(548.6-867.9)+(-2.570604+(-0.559572--0.885258))+0-530.7--0.541314000000085</f>
        <v>1668.4963959999998</v>
      </c>
      <c r="R263" s="3">
        <f>2858.7+(484.3-1193.4)+(-5.831748+(-0.987972--2.434536))+0-491.7--1.00306799999998</f>
        <v>1654.5178839999992</v>
      </c>
      <c r="S263" s="3">
        <f>2731.4+(502.4-1017.5)+(-1.393014+(-0.256224--0.518925))+0-624.9--0.318698999999937</f>
        <v>1590.5883859999999</v>
      </c>
      <c r="T263" s="3">
        <f>2480.8+(475.7-879.5)+(-8.856456+(-1.698249--3.139815))+0-520.6--1.85854200000001</f>
        <v>1550.843652</v>
      </c>
      <c r="U263" s="3">
        <f>2408.1+(420.9-727.7)+(1.228131+(0.214659-0.371127))+0-572.5-0.291974999999942</f>
        <v>1529.579688</v>
      </c>
      <c r="V263" s="3">
        <f>2495.1+(509.2-862.4)+(-1.272501+(-0.259692--0.439824))+0-551.4--0.281213999999944</f>
        <v>1589.6888449999999</v>
      </c>
      <c r="W263" s="3">
        <f>3523.1+(402.9-1487.4)+(0+(0-0))+0-561.6-0</f>
        <v>1877</v>
      </c>
      <c r="X263" s="3">
        <f>3830.3+(381.2-1615.4)+(-5.860359+(-0.583236--2.471562))+0-570.6--0.873018000000033</f>
        <v>2022.4009850000004</v>
      </c>
      <c r="Y263" s="3">
        <f>3629.2+(430.9-1481.1)+(-5.552676+(-0.659277--2.266083))+0-577.3--0.883269000000033</f>
        <v>1998.637399</v>
      </c>
      <c r="Z263" s="3">
        <f>3335.8+(491.2-1279.5)+(-8.50629+(-1.25256--3.262725))+0-595.9--1.51954499999991</f>
        <v>1946.6234199999997</v>
      </c>
      <c r="AA263" s="3">
        <f>3295.8+(488.3-1277.5)+(0+(0-0))+0-618.2-0</f>
        <v>1888.4000000000003</v>
      </c>
      <c r="AB263" s="3">
        <f>3304.8+(458.5-1406.4)+(-6.741792+(-0.93534--2.869056))+0-558--1.13831999999998</f>
        <v>1795.2302440000003</v>
      </c>
      <c r="AC263" s="3">
        <f>2944.9+(432.7-1075.9)+(-10.513293+(-1.544739--3.840963))+0-597.3--2.13236100000001</f>
        <v>1698.315292</v>
      </c>
      <c r="AD263" s="2">
        <v>2014.0999999999997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2446.4+(425.9-761.5)+(6.23832+(1.086045-1.941825))+0-540.4-1.37801999999992</f>
        <v>1574.4045200000003</v>
      </c>
      <c r="G264" s="3">
        <f>2233.1+(457.9-680.9)+(2.277762+(0.467058-0.694518))+0-533.5-0.544170000000085</f>
        <v>1478.1061319999999</v>
      </c>
      <c r="H264" s="3">
        <f>2216.4+(444.5-645.3)+(-3.391092+(-0.680085--0.987309))+0-597.2--0.913716000000035</f>
        <v>1416.2298480000002</v>
      </c>
      <c r="I264" s="3">
        <f>2286.1+(375.6-753.8)+(0+(0-0))+0-505.3-0</f>
        <v>1402.6000000000001</v>
      </c>
      <c r="J264" s="3">
        <f>2230.6+(450.4-712.9)+(1.137606+(0.229704-0.363579))+0-565.4-0.288353999999943</f>
        <v>1403.415377</v>
      </c>
      <c r="K264" s="3">
        <f>2357.3+(470-855.4)+(4.808892+(0.9588-1.745016))+0-539.7-1.10098799999998</f>
        <v>1435.1216880000002</v>
      </c>
      <c r="L264" s="3">
        <f>2409.8+(443.3-691.5)+(3.686994+(0.678249-1.057995))+0-608.6-0.931158000000035</f>
        <v>1555.3760900000004</v>
      </c>
      <c r="M264" s="3">
        <f>2430.4+(433.3-659.6)+(-3.718512+(-0.662949--1.009188))+0-578.3--0.884799000000033</f>
        <v>1623.3125259999999</v>
      </c>
      <c r="N264" s="3">
        <f>2628+(438.8-848.9)+(1.34028+(0.223788-0.432939))+0-538.8-0.274787999999945</f>
        <v>1679.9563410000001</v>
      </c>
      <c r="O264" s="3">
        <f>2757.4+(560.6-1103.9)+(-5.625096+(-1.143624--2.251956))+0-480.1--0.979403999999979</f>
        <v>1730.46264</v>
      </c>
      <c r="P264" s="3">
        <f>2833.6+(611.2-1091)+(2.890272+(0.623424-1.11282))+0-520.6-0.531012000000083</f>
        <v>1835.0698640000003</v>
      </c>
      <c r="Q264" s="3">
        <f>2866.1+(692.9-1230.5)+(-2.923422+(-0.706758--1.25511))+0-512.5--0.522750000000082</f>
        <v>1814.14768</v>
      </c>
      <c r="R264" s="3">
        <f>2852.2+(591.7-1032.3)+(-4.363866+(-0.905301--1.579419))+0-586.6--0.897498000000034</f>
        <v>1822.2077500000003</v>
      </c>
      <c r="S264" s="3">
        <f>2769.5+(583.6-1026.6)+(-1.412445+(-0.297636--0.523566))+0-591.2--0.30151199999994</f>
        <v>1734.4149970000001</v>
      </c>
      <c r="T264" s="3">
        <f>2677+(583.7-1043.5)+(1.36527+(0.297687-0.532185))+0-527.4-0.268973999999946</f>
        <v>1690.6617979999999</v>
      </c>
      <c r="U264" s="3">
        <f>2579+(600-1003.2)+(-1.31529+(-0.306--0.511632))+0-519.9--0.265148999999947</f>
        <v>1655.0554910000001</v>
      </c>
      <c r="V264" s="3">
        <f>2737.5+(658.5-1066.1)+(1.396125+(0.335835-0.543711))+0-627.8-0.320177999999936</f>
        <v>1702.968071</v>
      </c>
      <c r="W264" s="3">
        <f>3650.9+(628.5-1805.4)+(-3.723918+(-0.64107--1.841508))+0-551.6--0.562632000000088</f>
        <v>1920.4391520000004</v>
      </c>
      <c r="X264" s="3">
        <f>3867.8+(643.9-1923.5)+(-3.945156+(-0.656778--1.96197))+0-609.1--0.621282000000097</f>
        <v>1977.0813180000005</v>
      </c>
      <c r="Y264" s="3">
        <f>3794.7+(758.9-1981.6)+(-7.741188+(-1.548156--4.042464))+0-562--1.14647999999998</f>
        <v>2005.8995999999997</v>
      </c>
      <c r="Z264" s="3">
        <f>3481+(614.3-1664.7)+(0+(0-0))+0-474.5-0</f>
        <v>1956.1</v>
      </c>
      <c r="AA264" s="3">
        <f>3359.1+(506.2-1359.2)+(-11.991987+(-1.807134--4.852344))+0-574.3--2.05025100000001</f>
        <v>1924.903474</v>
      </c>
      <c r="AB264" s="3">
        <f>3368.2+(485.6-1495)+(-3.435564+(-0.495312--1.5249))+0-574.9--0.586398000000092</f>
        <v>1782.0804219999998</v>
      </c>
      <c r="AC264" s="3">
        <f>2702.7+(566-922.8)+(-5.513508+(-1.15464--1.882512))+0-578.5--1.18013999999997</f>
        <v>1763.7945039999995</v>
      </c>
      <c r="AD264" s="2">
        <v>2098.7999999999997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2383.9+(647.1-899.6)+(-4.863156+(-1.320084--1.835184))+0-597.4--1.21869599999997</f>
        <v>1530.8706400000001</v>
      </c>
      <c r="G265" s="3">
        <f>2302.8+(565.4-745.3)+(0+(0-0))+0-572.3-0</f>
        <v>1550.6000000000001</v>
      </c>
      <c r="H265" s="3">
        <f>2069.2+(592.3-588)+(-4.221168+(-1.208292--1.19952))+0-607.5--1.23929999999997</f>
        <v>1463.0093599999998</v>
      </c>
      <c r="I265" s="3">
        <f>1925+(548.4-529.2)+(3.927+(1.118736-1.079568))+0-566.7-1.15606799999998</f>
        <v>1380.3100999999997</v>
      </c>
      <c r="J265" s="3">
        <f>1986.1+(623.5-553)+(1.012911+(0.317985-0.28203))+0-669.5-0.341444999999932</f>
        <v>1387.807421</v>
      </c>
      <c r="K265" s="3">
        <f>2024.8+(580.9-652)+(0+(0-0))+0-509.7-0</f>
        <v>1443.9999999999998</v>
      </c>
      <c r="L265" s="3">
        <f>2046.7+(734.5-566.7)+(0+(0-0))+0-659.7-0</f>
        <v>1554.8</v>
      </c>
      <c r="M265" s="3">
        <f>2076.7+(691.2-588.1)+(2.118234+(0.705024-0.599862))+0-520-0.530400000000083</f>
        <v>1661.4929959999995</v>
      </c>
      <c r="N265" s="3">
        <f>2199.5+(778.6-778)+(-2.24349+(-0.794172--0.79356))+0-581.1--0.592722000000093</f>
        <v>1617.34862</v>
      </c>
      <c r="O265" s="3">
        <f>2262.3+(719.2-924)+(3.461319+(1.100376-1.41372))+0-381.2-0.583236000000022</f>
        <v>1678.8647389999999</v>
      </c>
      <c r="P265" s="3">
        <f>2495.9+(741.4-1103.7)+(-1.272909+(-0.378114--0.562887))+0-425.4--0.216953999999957</f>
        <v>1707.328818</v>
      </c>
      <c r="Q265" s="3">
        <f>2581.6+(680.6-1158.7)+(-7.899696+(-2.082636--3.545622))+0-425--1.30050000000005</f>
        <v>1673.3637900000001</v>
      </c>
      <c r="R265" s="3">
        <f>2257.6+(672-825)+(2.302752+(0.68544-0.8415))+0-441.4-0.45022800000007</f>
        <v>1664.8964639999995</v>
      </c>
      <c r="S265" s="3">
        <f>2211.1+(684.6-761.9)+(0+(0-0))+0-527-0</f>
        <v>1606.8000000000002</v>
      </c>
      <c r="T265" s="3">
        <f>2336.8+(596-863.8)+(0+(0-0))+0-507.4-0</f>
        <v>1561.6</v>
      </c>
      <c r="U265" s="3">
        <f>2236.3+(709.1-909)+(-2.281026+(-0.723282--0.92718))+0-489.7--0.499494000000078</f>
        <v>1545.1223660000003</v>
      </c>
      <c r="V265" s="3">
        <f>2523.3+(685.4-1054.8)+(0+(0-0))+0-525.9-0</f>
        <v>1628</v>
      </c>
      <c r="W265" s="3">
        <f>3650.1+(670.7-1925)+(-1.861551+(-0.342057--0.98175))+0-581.4--0.296513999999941</f>
        <v>1813.4746560000001</v>
      </c>
      <c r="X265" s="3">
        <f>3792.6+(728.6-2074.5)+(-9.67113+(-1.85793--5.289975))+0-487.1--1.24210499999993</f>
        <v>1954.6030199999998</v>
      </c>
      <c r="Y265" s="3">
        <f>3763.4+(666.1-1823.2)+(-7.677336+(-1.358844--3.719328))+0-661.5--1.34945999999997</f>
        <v>1940.8326080000002</v>
      </c>
      <c r="Z265" s="3">
        <f>3460.5+(601.7-1484.3)+(-3.52971+(-0.613734--1.513986))+0-646.1--0.659022000000103</f>
        <v>1929.8295640000003</v>
      </c>
      <c r="AA265" s="3">
        <f>3002.6+(615.7-1225.2)+(-3.062652+(-0.628014--1.249704))+0-623.2--0.635664000000099</f>
        <v>1768.0947019999999</v>
      </c>
      <c r="AB265" s="3">
        <f>2493+(811.8-918.5)+(-3.81429+(-1.242054--1.405305))+0-627.6--0.960228000000036</f>
        <v>1756.0091890000006</v>
      </c>
      <c r="AC265" s="3">
        <f>2239.6+(798.1-715.2)+(-5.71098+(-2.035155--1.82376))+0-655.2--1.6707599999999</f>
        <v>1663.0483849999998</v>
      </c>
      <c r="AD265" s="2">
        <v>1989.6999999999994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2171.3+(571.2-617.3)+(2.214726+(0.582624-0.629646))+0-581.6-0.593232000000093</f>
        <v>1545.1744720000002</v>
      </c>
      <c r="G266" s="3">
        <f>1945.1+(573.1-411.5)+(-1.984002+(-0.584562--0.41973))+0-646.8--0.659736000000103</f>
        <v>1458.4109019999999</v>
      </c>
      <c r="H266" s="3">
        <f>1876.4+(505.9-363.3)+(-1.913928+(-0.516018--0.370566))+0-605.8--0.617916000000097</f>
        <v>1411.7585360000003</v>
      </c>
      <c r="I266" s="3">
        <f>1908.8+(488.6-356.9)+(2.920464+(0.747558-0.546057))+0-660.4-1.01041200000004</f>
        <v>1382.2115530000001</v>
      </c>
      <c r="J266" s="3">
        <f>1893.8+(464.6-370)+(0.965838+(0.236946-0.1887))+0-603.6-0.307835999999939</f>
        <v>1385.5062480000001</v>
      </c>
      <c r="K266" s="3">
        <f>1982.5+(551.7-436.4)+(-2.02215+(-0.562734--0.445128))+0-667.8--0.681156000000106</f>
        <v>1428.5414000000003</v>
      </c>
      <c r="L266" s="3">
        <f>2128.3+(531.4-516.3)+(-1.085433+(-0.271014--0.263313))+0-598.9--0.305438999999939</f>
        <v>1543.7123049999998</v>
      </c>
      <c r="M266" s="3">
        <f>2223.2+(627.6-570.2)+(-1.133832+(-0.320076--0.290802))+0-670.4--0.341903999999932</f>
        <v>1609.3787979999997</v>
      </c>
      <c r="N266" s="3">
        <f>2503+(525.9-868.7)+(1.27653+(0.268209-0.443037))+0-545.8-0.278357999999945</f>
        <v>1615.2233439999998</v>
      </c>
      <c r="O266" s="3">
        <f>2767.5+(559.5-1039.3)+(5.6457+(1.14138-2.120172))+0-648.4-1.32273599999997</f>
        <v>1642.6441719999998</v>
      </c>
      <c r="P266" s="3">
        <f>3003.8+(474.5-1251.5)+(-1.531938+(-0.241995--0.638265))+0-576.2--0.293861999999942</f>
        <v>1649.7581940000002</v>
      </c>
      <c r="Q266" s="3">
        <f>3067.9+(463.1-1389.1)+(-3.129258+(-0.472362--1.416882))+0-456.9--0.466038000000073</f>
        <v>1683.2813000000001</v>
      </c>
      <c r="R266" s="3">
        <f>2816.9+(591.4-1106.8)+(-2.873238+(-0.603228--1.128936))+0-643.3--0.656166000000103</f>
        <v>1656.5086360000003</v>
      </c>
      <c r="S266" s="3">
        <f>2374.8+(689.9-819.5)+(1.211148+(0.351849-0.417945))+0-627.9-0.320228999999936</f>
        <v>1618.1248230000001</v>
      </c>
      <c r="T266" s="3">
        <f>2352.1+(689.8-907.4)+(3.598713+(1.055394-1.388322))+0-534.7-0.818091000000031</f>
        <v>1602.2476939999999</v>
      </c>
      <c r="U266" s="3">
        <f>2399.3+(698.4-906)+(1.223643+(0.356184-0.46206))+0-624.9-0.318698999999937</f>
        <v>1567.5990680000004</v>
      </c>
      <c r="V266" s="3">
        <f>2481.3+(862.7-1045.3)+(-1.265463+(-0.439977--0.533103))+0-655.6--0.334355999999933</f>
        <v>1642.2620190000002</v>
      </c>
      <c r="W266" s="3">
        <f>3914.2+(785.2-2218.8)+(-3.992484+(-0.800904--2.263176))+0-565.9--0.57721800000009</f>
        <v>1912.7470059999994</v>
      </c>
      <c r="X266" s="3">
        <f>4102.3+(772-2243)+(2.092173+(0.39372-1.14393))+0-606-0.309059999999939</f>
        <v>2026.332903</v>
      </c>
      <c r="Y266" s="3">
        <f>3514.2+(788.9-1794.2)+(-1.792242+(-0.402339--0.915042))+0-512.3--0.261272999999948</f>
        <v>1995.5817339999994</v>
      </c>
      <c r="Z266" s="3">
        <f>3212.4+(806.2-1437.6)+(-11.468268+(-2.878134--5.132232))+0-658.9--2.35227300000001</f>
        <v>1915.2381029999997</v>
      </c>
      <c r="AA266" s="3">
        <f>2739.4+(771.4-1113.9)+(-6.98547+(-1.96707--2.840445))+0-527.7--1.34563499999992</f>
        <v>1864.43354</v>
      </c>
      <c r="AB266" s="3">
        <f>2692.1+(786.7-1073.9)+(0+(0-0))+0-635.8-0</f>
        <v>1769.0999999999997</v>
      </c>
      <c r="AC266" s="3">
        <f>2511.6+(598.9-848.1)+(-3.842748+(-0.916317--1.297593))+0-597.5--0.914175000000034</f>
        <v>1662.3527029999998</v>
      </c>
      <c r="AD266" s="2">
        <v>2124.8000000000002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2313.1+(511-764.2)+(-4.718724+(-1.04244--1.558968))+0-644.4--1.31457599999997</f>
        <v>1412.6123799999993</v>
      </c>
      <c r="G267" s="3">
        <f>2300.1+(407.7-728.2)+(-2.346102+(-0.415854--0.742764))+0-540.4--0.551208000000086</f>
        <v>1437.7320160000002</v>
      </c>
      <c r="H267" s="3">
        <f>2109.5+(423.6-556.7)+(-4.30338+(-0.864144--1.135668))+0-590.6--1.20482399999997</f>
        <v>1382.972968</v>
      </c>
      <c r="I267" s="3">
        <f>2265.3+(288.5-597.5)+(1.155303+(0.147135-0.304725))+0-579.5-0.295544999999941</f>
        <v>1377.5021680000002</v>
      </c>
      <c r="J267" s="3">
        <f>2226.2+(313.8-521.6)+(0+(0-0))+0-635.5-0</f>
        <v>1382.8999999999999</v>
      </c>
      <c r="K267" s="3">
        <f>2373.5+(291.8-617.2)+(3.631455+(0.446454-0.944316))+0-584-0.893520000000034</f>
        <v>1466.3400729999998</v>
      </c>
      <c r="L267" s="3">
        <f>2475.3+(387.5-824)+(0+(0-0))+0-526.1-0</f>
        <v>1512.7000000000003</v>
      </c>
      <c r="M267" s="3">
        <f>2609.7+(417.8-830.7)+(2.661894+(0.426156-0.847314))+0-591.8-0.603636000000094</f>
        <v>1606.6370999999999</v>
      </c>
      <c r="N267" s="3">
        <f>3034.9+(383.2-1200.9)+(3.095598+(0.390864-1.224918))+0-585.8-0.597516000000093</f>
        <v>1633.0640279999998</v>
      </c>
      <c r="O267" s="3">
        <f>3279.9+(417.3-1520.6)+(0+(0-0))+13.1-538.4-0</f>
        <v>1651.3000000000002</v>
      </c>
      <c r="P267" s="3">
        <f>3880.4+(451.2-2024.1)+(0+(0-0))+16-620-0</f>
        <v>1703.5</v>
      </c>
      <c r="Q267" s="3">
        <f>3644.4+(637.8-1948.3)+(-5.575932+(-0.975834--2.980899))+16-599.5--0.917235000000035</f>
        <v>1747.7463680000003</v>
      </c>
      <c r="R267" s="3">
        <f>3081+(603.1-1452.1)+(-1.57131+(-0.307581--0.740571))+16-520.2--0.265301999999947</f>
        <v>1726.926982</v>
      </c>
      <c r="S267" s="3">
        <f>2672.4+(550.7-947.2)+(-5.451696+(-1.123428--1.932288))+13.6-579.2--1.18156799999997</f>
        <v>1706.8387319999999</v>
      </c>
      <c r="T267" s="3">
        <f>2842.8+(530.6-1161.4)+(-1.449828+(-0.270606--0.592314))+0-572.5--0.291974999999942</f>
        <v>1638.663855</v>
      </c>
      <c r="U267" s="3">
        <f>3109.4+(528.4-1386.8)+(3.171588+(0.538968-1.414536))+0-625.2-0.6377040000001</f>
        <v>1627.458316</v>
      </c>
      <c r="V267" s="3">
        <f>3730.3+(537.1-1997.6)+(-3.804906+(-0.547842--2.037552))+0-617.3--0.629646000000098</f>
        <v>1650.8144500000003</v>
      </c>
      <c r="W267" s="3">
        <f>4333.9+(620.9-2474.5)+(6.630867+(0.949977-3.785985))+0-611.7-0.935901000000035</f>
        <v>1871.4589579999997</v>
      </c>
      <c r="X267" s="3">
        <f>4377.9+(664.3-2431.9)+(-8.930916+(-1.355172--4.961076))+0-637.5--1.30049999999997</f>
        <v>1968.7754879999995</v>
      </c>
      <c r="Y267" s="3">
        <f>3988.5+(544.2-1940.2)+(-6.102405+(-0.832626--2.968506))+0-636.1--0.973233000000037</f>
        <v>1953.4067080000002</v>
      </c>
      <c r="Z267" s="3">
        <f>4365.5+(552.6-2394)+(4.45281+(0.563652-2.44188))+0-646-0.658920000000103</f>
        <v>1880.015662</v>
      </c>
      <c r="AA267" s="3">
        <f>3940+(445.9-1948.1)+(-10.047+(-1.137045--4.967655))+0-593.8--1.51418999999991</f>
        <v>1839.2978000000001</v>
      </c>
      <c r="AB267" s="3">
        <f>3969.6+(474.9-2046.6)+(-2.024496+(-0.242199--1.043766))+0-589.8--0.30079799999994</f>
        <v>1807.1778690000001</v>
      </c>
      <c r="AC267" s="3">
        <f>3589.6+(523.4-1802.9)+(-9.15348+(-1.33467--4.597395))+0-560.7--1.42978499999992</f>
        <v>1744.9390299999998</v>
      </c>
      <c r="AD267" s="2">
        <v>1951.1000000000004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3516.5+(442.5-1758.3)+(-5.380245+(-0.677025--2.690199))+0-659.3--1.00872900000004</f>
        <v>1539.0416579999999</v>
      </c>
      <c r="G268" s="3">
        <f>3388.2+(318.3-1664.9)+(-5.183946+(-0.486999--2.547297))+0-597--0.913410000000034</f>
        <v>1442.3897619999998</v>
      </c>
      <c r="H268" s="3">
        <f>3251.4+(322.8-1494.3)+(1.658214+(0.164628-0.762093))+0-678.9-0.346238999999931</f>
        <v>1401.7145100000002</v>
      </c>
      <c r="I268" s="3">
        <f>3099+(338.3-1402.8)+(-7.90245+(-0.862665--3.57714))+0-650.2--1.65800999999991</f>
        <v>1380.7700349999998</v>
      </c>
      <c r="J268" s="3">
        <f>3018.4+(328.5-1376.3)+(6.157536+(0.67014-2.807652))+0-573.9-1.17075599999997</f>
        <v>1399.5492680000002</v>
      </c>
      <c r="K268" s="3">
        <f>3173.8+(338.4-1407.4)+(3.237276+(0.345168-1.435548))+0-673.8-0.687276000000107</f>
        <v>1432.4596200000003</v>
      </c>
      <c r="L268" s="3">
        <f>3433+(315.4-1608.7)+(3.50166+(0.321708-1.640874))+0-560.1-0.571302000000089</f>
        <v>1581.211192</v>
      </c>
      <c r="M268" s="3">
        <f>3468.6+(355-1498.5)+(3.537972+(0.3621-1.52847))+0-676.1-0.689622000000108</f>
        <v>1650.6819800000001</v>
      </c>
      <c r="N268" s="3">
        <f>3644.7+(457.2-1897)+(3.717594+(0.466344-1.93494))+0-546.4-0.557328000000087</f>
        <v>1660.1916699999995</v>
      </c>
      <c r="O268" s="3">
        <f>4089.7+(687.6-2479.8)+(2.085747+(0.350676-1.264698))+0-567.6-0.289475999999942</f>
        <v>1730.7822489999999</v>
      </c>
      <c r="P268" s="3">
        <f>4024.9+(554.8-2363.5)+(-10.263495+(-1.41474--6.026925))+0-519.8--1.32548999999992</f>
        <v>1692.0741799999996</v>
      </c>
      <c r="Q268" s="3">
        <f>3944.9+(501.3-2188.7)+(-6.035697+(-0.766989--3.348711))+0-499--0.763470000000029</f>
        <v>1755.8094950000002</v>
      </c>
      <c r="R268" s="3">
        <f>3410.4+(605.8-1808.6)+(-8.69652+(-1.54479--4.61193))+0-495.7--1.26403499999993</f>
        <v>1707.5346550000004</v>
      </c>
      <c r="S268" s="3">
        <f>3003.2+(641.4-1500.8)+(-3.063264+(-0.654228--1.530816))+0-475.6--0.485112000000076</f>
        <v>1666.4984360000001</v>
      </c>
      <c r="T268" s="3">
        <f>2910+(739.7-1420.3)+(-1.4841+(-0.377247--0.724353))+0-615.4--0.313853999999938</f>
        <v>1613.17686</v>
      </c>
      <c r="U268" s="3">
        <f>2898.2+(686.8-1551.5)+(-2.956164+(-0.700536--1.58253))+0-443.8--0.452676000000071</f>
        <v>1588.0785059999998</v>
      </c>
      <c r="V268" s="3">
        <f>2944.6+(779.9-1482.5)+(-4.505238+(-1.193247--2.268225))+0-589.6--0.902088000000034</f>
        <v>1649.8718280000001</v>
      </c>
      <c r="W268" s="3">
        <f>3721.8+(882-2094.2)+(7.592472+(1.79928-4.272168))+0-564.8-1.15219199999998</f>
        <v>1948.7673920000004</v>
      </c>
      <c r="X268" s="3">
        <f>3861.7+(960.4-2081.8)+(-9.847335+(-2.44902--5.30859))+0-652.6--1.66412999999991</f>
        <v>2082.3763650000001</v>
      </c>
      <c r="Y268" s="3">
        <f>3681.6+(928.4-2067.5)+(-3.755232+(-0.946968--2.10885))+0-492.6--0.502452000000079</f>
        <v>2047.8091020000002</v>
      </c>
      <c r="Z268" s="3">
        <f>3420.8+(972.9-1764.5)+(-3.489216+(-0.992358--1.79979))+0-633.8--0.646476000000101</f>
        <v>1993.3646920000006</v>
      </c>
      <c r="AA268" s="3">
        <f>2956.8+(1041.7-1492)+(-6.031872+(-2.125068--3.04368))+0-576.5--1.17605999999997</f>
        <v>1926.0627999999999</v>
      </c>
      <c r="AB268" s="3">
        <f>2983.4+(1056.4-1533.4)+(-6.086136+(-2.155056--3.128136))+0-668.7--1.36414799999997</f>
        <v>1833.9510919999998</v>
      </c>
      <c r="AC268" s="3">
        <f>2836.7+(778.4-1329.6)+(-1.446717+(-0.396984--0.678096))+0-556.5--0.283814999999944</f>
        <v>1728.1182099999999</v>
      </c>
      <c r="AD268" s="2">
        <v>2063.1000000000004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2578.7+(646.9-1009.4)+(-5.260548+(-1.319676--2.059176))+0-655.8--1.33783199999997</f>
        <v>1557.2167839999997</v>
      </c>
      <c r="G269" s="3">
        <f>2294.9+(525.8-831.5)+(-2.340798+(-0.536316--0.84813))+0-558.8--0.569976000000089</f>
        <v>1428.9409920000001</v>
      </c>
      <c r="H269" s="3">
        <f>2130.1+(666.4-743.2)+(-2.172702+(-0.679728--0.758064))+0-615.1--0.627402000000098</f>
        <v>1436.7330360000001</v>
      </c>
      <c r="I269" s="3">
        <f>2180+(646.3-721.5)+(-3.3354+(-0.988839--1.103895))+0-665.3--1.01790900000004</f>
        <v>1437.2975650000005</v>
      </c>
      <c r="J269" s="3">
        <f>2104.7+(562.2-669.9)+(-1.073397+(-0.286722--0.341649))+0-543--0.276929999999945</f>
        <v>1453.25846</v>
      </c>
      <c r="K269" s="3">
        <f>2315.3+(555.6-677.4)+(5.904015+(1.41678-1.72737))+0-708-1.8053999999999</f>
        <v>1489.2880250000001</v>
      </c>
      <c r="L269" s="3">
        <f>2414.4+(612-892.4)+(-9.850752+(-2.49696--3.640992))+0-542--2.21135999999995</f>
        <v>1585.5046399999999</v>
      </c>
      <c r="M269" s="3">
        <f>2629.2+(728.2-1030.3)+(1.340892+(0.371382-0.525453))+0-674.9-0.344198999999932</f>
        <v>1653.0426219999997</v>
      </c>
      <c r="N269" s="3">
        <f>2991.4+(643.7-1365.4)+(4.576842+(0.984861-2.089062))+0-559.3-0.855729000000032</f>
        <v>1713.0169119999996</v>
      </c>
      <c r="O269" s="3">
        <f>3516.5+(594.2-1819.9)+(5.380245+(0.909126-2.784447))+0-576-0.881280000000033</f>
        <v>1717.423644</v>
      </c>
      <c r="P269" s="3">
        <f>3799.4+(643.3-2115.2)+(0+(0-0))+0-521.6-0</f>
        <v>1805.9</v>
      </c>
      <c r="Q269" s="3">
        <f>3785.9+(669.8-2053.7)+(1.930809+(0.341598-1.047387))+0-612-0.312119999999938</f>
        <v>1790.9128999999998</v>
      </c>
      <c r="R269" s="3">
        <f>3615.6+(651.5-1861.8)+(-7.375824+(-1.32906--3.798072))+0-605.7--1.23562799999997</f>
        <v>1795.9288159999999</v>
      </c>
      <c r="S269" s="3">
        <f>3189.8+(512.1-1422.9)+(0+(0-0))+0-531-0</f>
        <v>1748</v>
      </c>
      <c r="T269" s="3">
        <f>3106.4+(527.7-1336.8)+(4.752792+(0.807381-2.045304))+0-634.9-0.971397000000037</f>
        <v>1664.9434720000002</v>
      </c>
      <c r="U269" s="3">
        <f>2859+(563.3-1223)+(1.45809+(0.287283-0.62373))+0-508.3-0.259232999999948</f>
        <v>1691.8624100000002</v>
      </c>
      <c r="V269" s="3">
        <f>3047+(588.4-1399.5)+(-1.55397+(-0.300084--0.713745))+0-533.3--0.271982999999946</f>
        <v>1701.7316740000001</v>
      </c>
      <c r="W269" s="3">
        <f>4184.8+(780-2468)+(2.134248+(0.3978-1.25868))+0-526.3-0.268412999999947</f>
        <v>1971.5049550000003</v>
      </c>
      <c r="X269" s="3">
        <f>4466.4+(894.8-2580.3)+(-4.555728+(-0.912696--2.631906))+0-633.9--0.646578000000101</f>
        <v>2144.8100599999998</v>
      </c>
      <c r="Y269" s="3">
        <f>4038.9+(944.9-2241.6)+(-10.299195+(-2.409495--5.71608))+0-615.5--1.56952499999991</f>
        <v>2121.2769150000004</v>
      </c>
      <c r="Z269" s="3">
        <f>3402.2+(950.9-1639.9)+(-1.735122+(-0.484959--0.836349))+0-658.6--0.335885999999933</f>
        <v>2053.552154</v>
      </c>
      <c r="AA269" s="3">
        <f>3070.2+(846-1386.6)+(-4.697406+(-1.29438--2.121498))+0-543.7--0.831861000000031</f>
        <v>1982.8615729999999</v>
      </c>
      <c r="AB269" s="3">
        <f>3238.5+(754.6-1435.4)+(-3.30327+(-0.769692--1.464108))+0-662.9--0.676158000000106</f>
        <v>1892.8673039999999</v>
      </c>
      <c r="AC269" s="3">
        <f>3128.7+(517.9-1184.1)+(-4.786911+(-0.792387--1.811673))+0-654--1.00062000000004</f>
        <v>1805.7329950000001</v>
      </c>
      <c r="AD269" s="2">
        <v>2115.6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2922.2+(451.7-1091.3)+(-7.45161+(-1.151835--2.782815))+0-607.2--1.54835999999991</f>
        <v>1671.1277299999997</v>
      </c>
      <c r="G270" s="3">
        <f>2727.7+(331.6-767)+(-4.173381+(-0.507348--1.17351))+0-650.3--0.994959000000038</f>
        <v>1639.4877399999998</v>
      </c>
      <c r="H270" s="3">
        <f>2615.9+(292.9-735)+(-6.670545+(-0.746895--1.87425))+0-624.4--1.59221999999991</f>
        <v>1545.4490300000002</v>
      </c>
      <c r="I270" s="3">
        <f>2555+(272-646)+(-2.6061+(-0.27744--0.65892))+0-668.1--0.681462000000107</f>
        <v>1511.3568420000001</v>
      </c>
      <c r="J270" s="3">
        <f>2447+(277.7-566.6)+(0+(0-0))+0-629.5-0</f>
        <v>1528.6</v>
      </c>
      <c r="K270" s="3">
        <f>2454.2+(339.6-572.1)+(-5.006568+(-0.692784--1.167084))+0-693.5--1.41473999999997</f>
        <v>1525.0824719999998</v>
      </c>
      <c r="L270" s="3">
        <f>2419.6+(348.3-600.9)+(-6.16998+(-0.888165--1.532295))+0-573.7--1.46293499999992</f>
        <v>1589.237085</v>
      </c>
      <c r="M270" s="3">
        <f>2477.3+(367.2-603.7)+(-2.526846+(-0.374544--0.615774))+0-639.5--0.652290000000102</f>
        <v>1599.6666740000001</v>
      </c>
      <c r="N270" s="3">
        <f>2579.1+(375.7-623.6)+(3.946023+(0.574821-0.954108))+0-649.4-0.993582000000037</f>
        <v>1684.3731539999999</v>
      </c>
      <c r="O270" s="3">
        <f>2831.1+(328.3-823.5)+(-2.887722+(-0.334866--0.83997))+0-547.4--0.558348000000087</f>
        <v>1786.6757299999999</v>
      </c>
      <c r="P270" s="3">
        <f>3090.3+(430.9-1006.2)+(-4.728159+(-0.659277--1.539486))+0-630.7--0.964971000000037</f>
        <v>1881.4170210000002</v>
      </c>
      <c r="Q270" s="3">
        <f>2935.1+(582-1069.6)+(-2.993802+(-0.59364--1.090992))+0-551.6--0.562632000000088</f>
        <v>1893.9661820000001</v>
      </c>
      <c r="R270" s="3">
        <f>2926.9+(581.9-1174.3)+(-4.478157+(-0.890307--1.796679))+0-566--0.865980000000033</f>
        <v>1765.7941949999999</v>
      </c>
      <c r="S270" s="3">
        <f>2805.9+(501.8-1003.5)+(-7.155045+(-1.27959--2.558925))+0-575.1--1.46650499999992</f>
        <v>1724.6907950000004</v>
      </c>
      <c r="T270" s="3">
        <f>2854.4+(454.4-934.6)+(1.455744+(0.231744-0.476646))+0-698.4-0.356183999999929</f>
        <v>1676.6546579999997</v>
      </c>
      <c r="U270" s="3">
        <f>2816.8+(276.2-892.5)+(0+(0-0))+0-556.9-0</f>
        <v>1643.6</v>
      </c>
      <c r="V270" s="3">
        <f>2954.3+(255.5-907.8)+(-1.506693+(-0.130305--0.462978))+0-552--0.281519999999944</f>
        <v>1749.1075000000001</v>
      </c>
      <c r="W270" s="3">
        <f>3742.6+(561.8-1617.5)+(-1.908726+(-0.286518--0.824925))+0-469.1--0.239240999999952</f>
        <v>2216.6689219999994</v>
      </c>
      <c r="X270" s="3">
        <f>3969.2+(677.5-1847.1)+(-6.072876+(-1.036575--2.826063))+0-652.3--0.998019000000038</f>
        <v>2144.0146310000005</v>
      </c>
      <c r="Y270" s="3">
        <f>3632.8+(752.4-1616.9)+(-7.410912+(-1.534896--3.298476))+0-650.8--1.32763199999997</f>
        <v>2113.1803000000004</v>
      </c>
      <c r="Z270" s="3">
        <f>3479.6+(712-1479.6)+(-1.774596+(-0.36312--0.754596))+0-631.3--0.321962999999936</f>
        <v>2079.6388430000002</v>
      </c>
      <c r="AA270" s="3">
        <f>3522.9+(755.7-1609.5)+(-5.390037+(-1.156221--2.462535))+0-651.1--0.996183000000038</f>
        <v>2014.9124600000002</v>
      </c>
      <c r="AB270" s="3">
        <f>2964.9+(805.1-1331.7)+(-7.560495+(-2.053005--3.395835))+0-652.3--1.66336499999991</f>
        <v>1781.4457</v>
      </c>
      <c r="AC270" s="3">
        <f>2649.4+(789.3-1080.1)+(-5.404776+(-1.610172--2.203404))+0-629.9--1.28499599999997</f>
        <v>1725.173452</v>
      </c>
      <c r="AD270" s="2">
        <v>2138.3000000000002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2507.4+(685.9-931)+(-3.836322+(-1.049427--1.42443))+0-574.5--0.878985000000033</f>
        <v>1685.2176660000002</v>
      </c>
      <c r="G271" s="3">
        <f>2446.9+(600.4-875.5)+(-2.495838+(-0.612408--0.89301))+0-582.1--0.593742000000093</f>
        <v>1588.0785060000003</v>
      </c>
      <c r="H271" s="3">
        <f>2485.6+(600.7-798.4)+(0+(0-0))+0-669.4-0</f>
        <v>1618.5</v>
      </c>
      <c r="I271" s="3">
        <f>2437.1+(570.6-832)+(-1.242921+(-0.291006--0.42432))+0-564.6--0.287945999999943</f>
        <v>1610.278339</v>
      </c>
      <c r="J271" s="3">
        <f>2355.5+(518.6-648.4)+(1.201305+(0.264486-0.330684))+0-617-0.314669999999937</f>
        <v>1609.5204369999999</v>
      </c>
      <c r="K271" s="3">
        <f>2480.8+(474.7-741.1)+(0+(0-0))+0-609.6-0</f>
        <v>1604.8000000000002</v>
      </c>
      <c r="L271" s="3">
        <f>2580.2+(419.5-775.1)+(1.315902+(0.213945-0.395301))+0-593.2-0.30253199999994</f>
        <v>1632.2320139999997</v>
      </c>
      <c r="M271" s="3">
        <f>2549+(558.3-751.3)+(1.29999+(0.284733-0.383163))+0-619.8-0.316097999999937</f>
        <v>1737.085462</v>
      </c>
      <c r="N271" s="3">
        <f>2684.6+(471.9-782.5)+(4.107438+(0.722007-1.197225))+0-567.5-0.868275000000033</f>
        <v>1809.2639449999999</v>
      </c>
      <c r="O271" s="3">
        <f>3182.2+(485.1-1371.6)+(1.622922+(0.247401-0.699516))+0-454.1-0.231590999999954</f>
        <v>1842.5392159999999</v>
      </c>
      <c r="P271" s="3">
        <f>3355.3+(658.2-1599.6)+(6.844812+(1.342728-3.263184))+0-573.9-1.17075599999997</f>
        <v>1843.7536000000005</v>
      </c>
      <c r="Q271" s="3">
        <f>3114+(590.4-1387)+(-4.76442+(-0.903312--2.12211))+0-461.5--0.706095000000027</f>
        <v>1853.060473</v>
      </c>
      <c r="R271" s="3">
        <f>2838.6+(445.5-964.3)+(-5.790744+(-0.90882--1.967172))+0-557--1.13627999999998</f>
        <v>1759.2038880000002</v>
      </c>
      <c r="S271" s="3">
        <f>2801.8+(367.6-871.4)+(0+(0-0))+0-504.2-0</f>
        <v>1793.8</v>
      </c>
      <c r="T271" s="3">
        <f>2810.5+(356.2-968)+(0+(0-0))+0-558.8-0</f>
        <v>1639.8999999999999</v>
      </c>
      <c r="U271" s="3">
        <f>2738.9+(384.9-1017.2)+(-1.396839+(-0.196299--0.518772))+0-483.6--0.246635999999951</f>
        <v>1622.17227</v>
      </c>
      <c r="V271" s="3">
        <f>3170+(552.5-1240.5)+(-4.8501+(-0.845325--1.897965))+0-632.7--0.968031000000037</f>
        <v>1846.4705710000003</v>
      </c>
      <c r="W271" s="3">
        <f>4278.2+(529.7-2179.1)+(-4.363764+(-0.540294--2.222682))+0-464.6--0.473892000000074</f>
        <v>2161.9925160000003</v>
      </c>
      <c r="X271" s="3">
        <f>4271.3+(572.1-1950.8)+(-8.713452+(-1.167084--3.979632))+0-637.3--1.30009199999997</f>
        <v>2250.699188</v>
      </c>
      <c r="Y271" s="3">
        <f>3826.6+(598.7-1667.3)+(-7.806264+(-1.221348--3.401292))+0-573.6--1.17014399999997</f>
        <v>2179.9438240000004</v>
      </c>
      <c r="Z271" s="3">
        <f>3384.3+(686.9-1382.7)+(0+(0-0))+0-668.5-0</f>
        <v>2020</v>
      </c>
      <c r="AA271" s="3">
        <f>3090.3+(640.8-1046.2)+(-3.152106+(-0.653616--1.067124))+0-638.7--0.651474000000102</f>
        <v>2044.1128760000001</v>
      </c>
      <c r="AB271" s="3">
        <f>2922.4+(594.5-840.6)+(-1.490424+(-0.303195--0.428706))+0-711.1--0.362660999999928</f>
        <v>1964.1977480000003</v>
      </c>
      <c r="AC271" s="3">
        <f>2349.6+(638.7-532.6)+(-3.594888+(-0.977211--0.814878))+0-591.4--0.904842000000034</f>
        <v>1861.447621</v>
      </c>
      <c r="AD271" s="2">
        <v>2154.7000000000003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2300.7+(536.3-417.1)+(-2.346714+(-0.547026--0.425442))+0-707.9--0.722058000000113</f>
        <v>1710.2537599999998</v>
      </c>
      <c r="G272" s="3">
        <f>2214.9+(404.7-398.8)+(-5.647995+(-1.031985--1.01694))+0-598.4--1.52591999999991</f>
        <v>1618.26288</v>
      </c>
      <c r="H272" s="3">
        <f>2159.1+(379.5-306.5)+(2.202282+(0.38709-0.31263))+0-660.6-0.673812000000105</f>
        <v>1573.10293</v>
      </c>
      <c r="I272" s="3">
        <f>2166.3+(295-353.6)+(0+(0-0))+0-563.7-0</f>
        <v>1544.0000000000002</v>
      </c>
      <c r="J272" s="3">
        <f>2288.4+(314.4-398.1)+(2.334168+(0.320688-0.406062))+0-655.2-0.668304000000104</f>
        <v>1551.0804899999998</v>
      </c>
      <c r="K272" s="3">
        <f>2169.1+(327.4-275.8)+(-4.424964+(-0.667896--0.562632))+0-634--1.29335999999997</f>
        <v>1583.4631319999996</v>
      </c>
      <c r="L272" s="3">
        <f>2295+(351.6-344.1)+(0+(0-0))+0-575.7-0</f>
        <v>1726.8</v>
      </c>
      <c r="M272" s="3">
        <f>2430.8+(431-443.3)+(-2.479416+(-0.43962--0.452166))+0-634--0.646680000000101</f>
        <v>1782.6798099999999</v>
      </c>
      <c r="N272" s="3">
        <f>2843.8+(472.2-912.2)+(2.900676+(0.481644-0.930444))+0-595.9-0.607818000000095</f>
        <v>1809.744058</v>
      </c>
      <c r="O272" s="3">
        <f>3473+(566.2-1641.4)+(1.77123+(0.288762-0.837114))+0-563.9-0.287588999999943</f>
        <v>1834.8352890000001</v>
      </c>
      <c r="P272" s="3">
        <f>3426.4+(615.1-1601)+(0+(0-0))+0-551.5-0</f>
        <v>1889</v>
      </c>
      <c r="Q272" s="3">
        <f>3557+(765.6-1885.5)+(-5.44221+(-1.171368--2.884815))+0-516.3--0.78993900000003</f>
        <v>1917.8611759999999</v>
      </c>
      <c r="R272" s="3">
        <f>3520.5+(736.2-1758.6)+(-10.77273+(-2.252772--5.381316))+0-594.1--1.81794600000007</f>
        <v>1898.1737600000006</v>
      </c>
      <c r="S272" s="3">
        <f>3244.9+(430.6-1258.6)+(-4.964697+(-0.658818--1.925658))+0-533.6--0.816408000000031</f>
        <v>1880.4185510000002</v>
      </c>
      <c r="T272" s="3">
        <f>3230.5+(381.9-1088)+(6.59022+(0.779076-2.21952))+0-683.5-1.39433999999997</f>
        <v>1844.6554360000002</v>
      </c>
      <c r="U272" s="3">
        <f>2990.7+(419.3-998.6)+(-4.575771+(-0.641529--1.527858))+0-581.5--0.889695000000034</f>
        <v>1827.1002529999998</v>
      </c>
      <c r="V272" s="3">
        <f>3281+(453.4-1215)+(1.67331+(0.231234-0.61965))+0-634.3-0.323492999999936</f>
        <v>1886.0614010000002</v>
      </c>
      <c r="W272" s="3">
        <f>3439+(744.8-1470.1)+(-7.01556+(-1.519392--2.999004))+0-593.4--1.21053599999997</f>
        <v>2115.9745879999996</v>
      </c>
      <c r="X272" s="3">
        <f>3370.5+(650.9-1203.1)+(-3.43791+(-0.663918--1.227162))+0-577.2--0.588744000000092</f>
        <v>2238.8140779999999</v>
      </c>
      <c r="Y272" s="3">
        <f>3330.6+(657-1181.2)+(-6.794424+(-1.34028--2.409648))+0-614.6--1.25378399999997</f>
        <v>2187.3287279999995</v>
      </c>
      <c r="Z272" s="3">
        <f>3180+(543-1015.9)+(1.6218+(0.27693-0.518109))+0-564.3-0.287792999999943</f>
        <v>2143.8928279999996</v>
      </c>
      <c r="AA272" s="3">
        <f>3059.5+(560.2-860.9)+(-6.24138+(-1.142808--1.756236))+0-667.6--1.36190399999997</f>
        <v>2086.9339520000003</v>
      </c>
      <c r="AB272" s="3">
        <f>2524.6+(604.5-575.6)+(-3.862638+(-0.924885--0.880668))+0-537.3--0.822069000000031</f>
        <v>2013.1152139999999</v>
      </c>
      <c r="AC272" s="3">
        <f>2380.2+(730.1-629.5)+(1.213902+(0.372351-0.321045))+0-585.1-0.298400999999941</f>
        <v>1896.6668069999996</v>
      </c>
      <c r="AD272" s="2">
        <v>2230.4000000000005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2330.9+(576.8-519.6)+(-5.943795+(-1.47084--1.32498))+0-643.5--1.64092499999991</f>
        <v>1740.1512699999996</v>
      </c>
      <c r="G273" s="3">
        <f>2355.9+(432.7-540.9)+(0+(0-0))+0-586.9-0</f>
        <v>1660.8000000000002</v>
      </c>
      <c r="H273" s="3">
        <f>2277.4+(545.2-530)+(-1.161474+(-0.278052--0.2703))+0-705.1--0.359600999999929</f>
        <v>1586.6903750000004</v>
      </c>
      <c r="I273" s="3">
        <f>2281.2+(404.8-576.9)+(2.326824+(0.412896-0.588438))+0-536.3-0.547026000000086</f>
        <v>1574.4042559999996</v>
      </c>
      <c r="J273" s="3">
        <f>2306.8+(451.2-514.6)+(1.176468+(0.230112-0.262446))+0-683.4-0.348533999999931</f>
        <v>1560.7956000000001</v>
      </c>
      <c r="K273" s="3">
        <f>2302.8+(386.3-524.3)+(4.697712+(0.788052-1.069572))+0-565.8-1.15423199999998</f>
        <v>1602.2619600000003</v>
      </c>
      <c r="L273" s="3">
        <f>2398.7+(533-513.6)+(-3.670011+(-0.81549--0.785808))+0-688.4--1.05325200000004</f>
        <v>1727.0535589999997</v>
      </c>
      <c r="M273" s="3">
        <f>2509.5+(649.1-738.2)+(0+(0-0))+0-615.7-0</f>
        <v>1804.7</v>
      </c>
      <c r="N273" s="3">
        <f>2751.6+(659.7-1031.4)+(4.209948+(1.009341-1.578042))+0-578.8-0.885564000000033</f>
        <v>1803.8556829999998</v>
      </c>
      <c r="O273" s="3">
        <f>3067.2+(769.2-1467.4)+(4.692816+(1.176876-2.245122))+0-520.1-0.79575300000003</f>
        <v>1851.7288169999999</v>
      </c>
      <c r="P273" s="3">
        <f>3357.9+(719.5-1688.4)+(0+(0-0))+0-561.7-0</f>
        <v>1827.3</v>
      </c>
      <c r="Q273" s="3">
        <f>3454.5+(669.1-1839.6)+(1.761795+(0.341241-0.938196))+0-447.4-0.228173999999955</f>
        <v>1837.536666</v>
      </c>
      <c r="R273" s="3">
        <f>3248.1+(696-1638.7)+(-8.282655+(-1.7748--4.178685))+0-482.8--1.23113999999993</f>
        <v>1817.9523699999997</v>
      </c>
      <c r="S273" s="3">
        <f>2833+(769.2-1250.1)+(-2.88966+(-0.784584--1.275102))+0-560.6--0.571812000000089</f>
        <v>1789.6726700000004</v>
      </c>
      <c r="T273" s="3">
        <f>2757.6+(787.5-1216.5)+(0+(0-0))+0-580.7-0</f>
        <v>1747.8999999999999</v>
      </c>
      <c r="U273" s="3">
        <f>2740.5+(756.1-1264.6)+(-5.59062+(-1.542444--2.579784))+0-506.2--1.03264799999998</f>
        <v>1722.2793679999997</v>
      </c>
      <c r="V273" s="3">
        <f>2882.5+(681.4-1274.1)+(2.94015+(0.695028-1.299582))+0-518.5-0.528870000000083</f>
        <v>1773.106726</v>
      </c>
      <c r="W273" s="3">
        <f>4151.2+(729.8-2269.4)+(0+(0-0))+0-577.5-0</f>
        <v>2034.0999999999995</v>
      </c>
      <c r="X273" s="3">
        <f>4281.2+(695.1-2332.9)+(-13.100472+(-2.127006--7.138674))+0-453.6--1.38801600000005</f>
        <v>2183.0992119999996</v>
      </c>
      <c r="Y273" s="3">
        <f>3942.2+(775.2-1960.3)+(-6.031566+(-1.186056--2.999259))+0-592.5--0.906525000000034</f>
        <v>2161.2881619999998</v>
      </c>
      <c r="Z273" s="3">
        <f>3386.4+(721.4-1410.1)+(-3.454128+(-0.735828--1.438302))+0-587.5--0.599250000000094</f>
        <v>2108.0475960000003</v>
      </c>
      <c r="AA273" s="3">
        <f>3269+(724.4-1323.5)+(-3.33438+(-0.738888--1.34997))+0-610.5--0.622710000000097</f>
        <v>2057.2994120000003</v>
      </c>
      <c r="AB273" s="3">
        <f>2847.4+(766.1-1007.4)+(-5.808696+(-1.562844--2.055096))+0-628--1.28111999999997</f>
        <v>1974.0646760000002</v>
      </c>
      <c r="AC273" s="3">
        <f>2617.7+(707.2-880.5)+(-2.670054+(-0.721344--0.89811))+0-599--0.610980000000096</f>
        <v>1843.5176919999997</v>
      </c>
      <c r="AD273" s="2">
        <v>2173.2000000000003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2312.7+(830.1-765.2)+(-3.538431+(-1.270053--1.170756))+0-660.6--1.01071800000004</f>
        <v>1714.3729899999998</v>
      </c>
      <c r="G274" s="3">
        <f>1989.9+(666.4-478.8)+(-6.089094+(-2.039184--1.465128))+0-557.3--1.70533800000006</f>
        <v>1615.2421880000002</v>
      </c>
      <c r="H274" s="3">
        <f>1995.8+(643-403.3)+(-4.071432+(-1.31172--0.822732))+0-675.5--1.37801999999997</f>
        <v>1556.8176000000001</v>
      </c>
      <c r="I274" s="3">
        <f>2120.8+(425.6-473.4)+(0+(0-0))+0-530.4-0</f>
        <v>1542.6</v>
      </c>
      <c r="J274" s="3">
        <f>2056.3+(463.5-313.3)+(2.097426+(0.47277-0.319566))+0-675.8-0.689316000000108</f>
        <v>1532.2613139999999</v>
      </c>
      <c r="K274" s="3">
        <f>2054.2+(467.5-411.3)+(0+(0-0))+0-531.5-0</f>
        <v>1578.8999999999996</v>
      </c>
      <c r="L274" s="3">
        <f>2140.9+(671.6-503.8)+(-2.183718+(-0.685032--0.513876))+0-596.9--0.608838000000095</f>
        <v>1710.0539640000002</v>
      </c>
      <c r="M274" s="3">
        <f>2174.3+(844.6-598.9)+(2.217786+(0.861492-0.610878))+0-623.7-0.636174000000099</f>
        <v>1798.1322259999999</v>
      </c>
      <c r="N274" s="3">
        <f>2430.4+(813.5-807)+(2.479008+(0.82977-0.82314))+0-618.5-0.630870000000099</f>
        <v>1820.254768</v>
      </c>
      <c r="O274" s="3">
        <f>2858.2+(636.8-1107.8)+(4.373046+(0.974304-1.694934))+0-558.6-0.854658000000032</f>
        <v>1831.3977579999998</v>
      </c>
      <c r="P274" s="3">
        <f>3331.1+(679.7-1623.4)+(0+(0-0))+0-544-0</f>
        <v>1843.3999999999996</v>
      </c>
      <c r="Q274" s="3">
        <f>3603.3+(840.1-1972.3)+(1.837683+(0.428451-1.005873))+0-634.7-0.323696999999936</f>
        <v>1837.3365640000002</v>
      </c>
      <c r="R274" s="3">
        <f>3384+(782.2-1743.5)+(-10.35504+(-2.393532--5.33511))+0-595.2--1.82131200000007</f>
        <v>1821.9078499999998</v>
      </c>
      <c r="S274" s="3">
        <f>2748.1+(720.3-1125.2)+(0+(0-0))+0-542-0</f>
        <v>1801.1999999999998</v>
      </c>
      <c r="T274" s="3">
        <f>2613.3+(775.3-1107.3)+(0+(0-0))+0-575.4-0</f>
        <v>1705.9</v>
      </c>
      <c r="U274" s="3">
        <f>2534.9+(801.2-976.7)+(0+(0-0))+0-607.4-0</f>
        <v>1752</v>
      </c>
      <c r="V274" s="3">
        <f>2686.3+(704-992.8)+(0+(0-0))+0-662.4-0</f>
        <v>1735.1</v>
      </c>
      <c r="W274" s="3">
        <f>3440.6+(814-1601.4)+(-1.754706+(-0.41514--0.816714))+0-599.6--0.305795999999939</f>
        <v>2052.5526639999998</v>
      </c>
      <c r="X274" s="3">
        <f>3660.3+(741.4-1648.4)+(-3.733506+(-0.756228--1.681368))+0-541--0.551820000000086</f>
        <v>2210.0434540000001</v>
      </c>
      <c r="Y274" s="3">
        <f>3407.8+(740.6-1399.5)+(0+(0-0))+0-573.3-0</f>
        <v>2175.6000000000004</v>
      </c>
      <c r="Z274" s="3">
        <f>3158.8+(661.6-1207.2)+(-1.610988+(-0.337416--0.615672))+0-484.5--0.247094999999951</f>
        <v>2127.6143630000006</v>
      </c>
      <c r="AA274" s="3">
        <f>2886.6+(499.4-859.7)+(-2.944332+(-0.509388--0.876894))+0-413.4--0.421668000000066</f>
        <v>2110.7448419999996</v>
      </c>
      <c r="AB274" s="3">
        <f>2717.7+(635.2-768.5)+(1.386027+(0.323952-0.391935))+0-561-0.286109999999943</f>
        <v>2024.4319339999997</v>
      </c>
      <c r="AC274" s="3">
        <f>2495.6+(599.6-684.3)+(-8.909292+(-2.140572--2.442951))+0-552--1.97064000000001</f>
        <v>1852.263727</v>
      </c>
      <c r="AD274" s="2">
        <v>2141.6999999999998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2217.8+(639.5-502.8)+(-5.65539+(-1.630725--1.28214))+0-652.3--1.66336499999991</f>
        <v>1697.8593899999998</v>
      </c>
      <c r="G275" s="3">
        <f>2062.3+(545.3-354.3)+(-5.258865+(-1.390515--0.903465))+0-641--1.63454999999991</f>
        <v>1608.1886350000002</v>
      </c>
      <c r="H275" s="3">
        <f>2068+(398.8-350.2)+(1.05468+(0.203388-0.178602))+0-572.3-0.291872999999942</f>
        <v>1545.0875930000002</v>
      </c>
      <c r="I275" s="3">
        <f>2045.1+(447.9-281.2)+(3.129003+(0.685287-0.430236))+0-691-1.05723000000004</f>
        <v>1523.1268239999997</v>
      </c>
      <c r="J275" s="3">
        <f>2028.1+(397.9-346.7)+(0+(0-0))+0-553.8-0</f>
        <v>1525.4999999999998</v>
      </c>
      <c r="K275" s="3">
        <f>2147.4+(395.9-336.8)+(5.47587+(1.009545-0.85884))+0-657.9-1.6776449999999</f>
        <v>1552.5489299999997</v>
      </c>
      <c r="L275" s="3">
        <f>2071.8+(570.7-415.8)+(2.113236+(0.582114-0.424116))+0-545.6-0.556512000000087</f>
        <v>1682.8147220000001</v>
      </c>
      <c r="M275" s="3">
        <f>2143.7+(800.9-568.6)+(0+(0-0))+0-633.8-0</f>
        <v>1742.2</v>
      </c>
      <c r="N275" s="3">
        <f>2836+(601.5-940.4)+(2.89272+(0.61353-0.959208))+0-609.7-0.621894000000097</f>
        <v>1889.3251479999999</v>
      </c>
      <c r="O275" s="3">
        <f>3193.2+(648-1400.5)+(3.257064+(0.66096-1.42851))+0-564.6-0.57589200000009</f>
        <v>1878.0136219999997</v>
      </c>
      <c r="P275" s="3">
        <f>3243.6+(753.6-1603.6)+(-8.27118+(-1.92168--4.08918))+0-488--1.24439999999993</f>
        <v>1900.7407199999998</v>
      </c>
      <c r="Q275" s="3">
        <f>3061.6+(763.9-1451.9)+(-1.561416+(-0.389589--0.740469))+0-446.6--0.227765999999955</f>
        <v>1926.0172299999999</v>
      </c>
      <c r="R275" s="3">
        <f>2803.3+(748.8-1145.9)+(-7.148415+(-1.90944--2.922045))+0-589.7--1.50373499999991</f>
        <v>1811.8679249999996</v>
      </c>
      <c r="S275" s="3">
        <f>2362.9+(767.6-781.9)+(-2.410158+(-0.782952--0.797538))+0-480--0.489600000000077</f>
        <v>1866.6940280000006</v>
      </c>
      <c r="T275" s="3">
        <f>2551.2+(671.1-836.4)+(-5.204448+(-1.369044--1.706256))+0-572.3--1.16749199999997</f>
        <v>1809.9002559999997</v>
      </c>
      <c r="U275" s="3">
        <f>2617.3+(564.9-881.3)+(4.004469+(0.864297-1.348389))+0-534.3-0.817479000000031</f>
        <v>1769.3028979999999</v>
      </c>
      <c r="V275" s="3">
        <f>3104.1+(441.6-1055.6)+(0+(0-0))+0-580.9-0</f>
        <v>1909.1999999999998</v>
      </c>
      <c r="W275" s="3">
        <f>3745.6+(767.1-1719.9)+(-1.910256+(-0.391221--0.877149))+0-596.2--0.30406199999994</f>
        <v>2195.4797339999996</v>
      </c>
      <c r="X275" s="3">
        <f>3361+(779-1508.5)+(-1.71411+(-0.39729--0.769335))+0-556.8--0.283967999999943</f>
        <v>2073.6419029999997</v>
      </c>
      <c r="Y275" s="3">
        <f>3176.7+(802.9-1323.6)+(-9.720702+(-2.456874--4.050216))+0-451.7--1.38220200000005</f>
        <v>2197.5548420000005</v>
      </c>
      <c r="Z275" s="3">
        <f>3171.5+(703.9-1319.1)+(-3.23493+(-0.717978--1.345482))+0-477.7--0.487254000000076</f>
        <v>2076.4798280000005</v>
      </c>
      <c r="AA275" s="3">
        <f>3192.1+(654.2-1097.8)+(-8.139855+(-1.66821--2.79939))+0-750.3--1.91326499999989</f>
        <v>1993.1045899999999</v>
      </c>
      <c r="AB275" s="3">
        <f>3066.1+(573.1-1140.1)+(0+(0-0))+0-537.4-0</f>
        <v>1961.6999999999998</v>
      </c>
      <c r="AC275" s="3">
        <f>2569.7+(613.3-724.4)+(-3.931641+(-0.938349--1.108332))+0-695.6--1.06426800000004</f>
        <v>1760.3026100000002</v>
      </c>
      <c r="AD275" s="2">
        <v>2173.5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2119.1+(542-528.3)+(-3.242223+(-0.82926--0.808299))+0-538.7--0.824211000000031</f>
        <v>1591.6610270000003</v>
      </c>
      <c r="G276" s="3">
        <f>2123.3+(506.5-468.6)+(0+(0-0))+0-716.8-0</f>
        <v>1444.4000000000003</v>
      </c>
      <c r="H276" s="3">
        <f>2023.3+(459.8-487.4)+(-1.031883+(-0.234498--0.248574))+0-486.2--0.247961999999951</f>
        <v>1508.730155</v>
      </c>
      <c r="I276" s="3">
        <f>2034.8+(528.9-334.5)+(1.037748+(0.269739-0.170595))+0-706.6-0.360365999999928</f>
        <v>1523.376526</v>
      </c>
      <c r="J276" s="3">
        <f>2063+(378.5-352.1)+(1.05213+(0.193035-0.179571))+0-580.6-0.296105999999941</f>
        <v>1509.5694880000003</v>
      </c>
      <c r="K276" s="3">
        <f>2053.3+(433.9-316.6)+(1.047183+(0.221289-0.161466))+0-631.3-0.321962999999936</f>
        <v>1540.0850430000007</v>
      </c>
      <c r="L276" s="3">
        <f>2024.8+(523.4-326.3)+(-4.130592+(-1.067736--0.665652))+0-596.3--1.21645199999997</f>
        <v>1622.2837760000002</v>
      </c>
      <c r="M276" s="3">
        <f>2081.1+(618-431.6)+(3.184083+(0.94554-0.660348))+0-553.1-0.846243000000032</f>
        <v>1717.0230320000001</v>
      </c>
      <c r="N276" s="3">
        <f>2738.9+(354-732.7)+(4.190517+(0.54162-1.121031))+0-599.4-0.917082000000035</f>
        <v>1763.4940239999996</v>
      </c>
      <c r="O276" s="3">
        <f>3199+(218.2-1040.7)+(3.26298+(0.222564-1.061514))+0-523.5-0.533970000000083</f>
        <v>1854.8900599999999</v>
      </c>
      <c r="P276" s="3">
        <f>3274.3+(215.6-1018.5)+(1.669893+(0.109956-0.519435))+0-615.2-0.313751999999938</f>
        <v>1857.1466619999999</v>
      </c>
      <c r="Q276" s="3">
        <f>3324.8+(248.9-1114.8)+(1.695648+(0.126939-0.568548))+0-568.2-0.289781999999942</f>
        <v>1891.6642570000001</v>
      </c>
      <c r="R276" s="3">
        <f>3181+(184.8-905.2)+(-3.24462+(-0.188496--0.923304))+0-603--0.615060000000096</f>
        <v>1855.7052480000002</v>
      </c>
      <c r="S276" s="3">
        <f>2320.5+(430.6-410.9)+(-5.917275+(-1.09803--1.047795))+0-466.9--1.19059499999993</f>
        <v>1868.5230849999998</v>
      </c>
      <c r="T276" s="3">
        <f>2127.2+(650.2-315.6)+(5.42436+(1.65801-0.80478))+0-652.7-1.66438499999991</f>
        <v>1813.713205</v>
      </c>
      <c r="U276" s="3">
        <f>2106.1+(614.3-340.6)+(0+(0-0))+0-588.1-0</f>
        <v>1791.6999999999998</v>
      </c>
      <c r="V276" s="3">
        <f>2479.1+(440.6-366.3)+(1.264341+(0.224706-0.186813))+0-734-0.374339999999926</f>
        <v>1820.3278940000005</v>
      </c>
      <c r="W276" s="3">
        <f>3655.9+(526.5-1555.1)+(-1.864509+(-0.268515--0.793101))+0-545.1--0.278000999999945</f>
        <v>2081.1380780000004</v>
      </c>
      <c r="X276" s="3">
        <f>3892.3+(582.2-1646.4)+(-5.955219+(-0.890766--2.518992))+0-690.7--1.05677100000004</f>
        <v>2134.129778</v>
      </c>
      <c r="Y276" s="3">
        <f>3313.6+(512.3-1095.3)+(-10.139616+(-1.567638--3.351618))+0-651.8--1.99450800000008</f>
        <v>2072.4388720000002</v>
      </c>
      <c r="Z276" s="3">
        <f>2949.7+(571.5-920.6)+(-6.017388+(-1.16586--1.878024))+0-596.6--1.21706399999997</f>
        <v>1999.9118399999998</v>
      </c>
      <c r="AA276" s="3">
        <f>2678.1+(608.8-764.9)+(4.097493+(0.931464-1.170297))+0-579.4-0.886482000000033</f>
        <v>1945.5721779999997</v>
      </c>
      <c r="AB276" s="3">
        <f>2665+(579.3-741.9)+(-2.7183+(-0.590886--0.756738))+0-643.9--0.656778000000103</f>
        <v>1856.6043300000001</v>
      </c>
      <c r="AC276" s="3">
        <f>2292.4+(515.5-465.1)+(-3.507372+(-0.788715--0.711603))+0-569.5--0.871335000000033</f>
        <v>1770.5868510000003</v>
      </c>
      <c r="AD276" s="2">
        <v>2135.8999999999996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2151.1+(391-203.2)+(-4.388244+(-0.79764--0.414528))+0-645.4--1.31661599999997</f>
        <v>1690.0452599999999</v>
      </c>
      <c r="G277" s="3">
        <f>2156.4+(399.2-277)+(2.199528+(0.407184-0.28254))+0-653.9-0.666978000000104</f>
        <v>1626.3571939999997</v>
      </c>
      <c r="H277" s="3">
        <f>2076.6+(329-272)+(-3.177198+(-0.50337--0.41616))+0-611.8--0.936054000000035</f>
        <v>1519.471646</v>
      </c>
      <c r="I277" s="3">
        <f>2035.5+(387.9-229.1)+(-2.07621+(-0.395658--0.233682))+0-694.3--0.708186000000111</f>
        <v>1498.4700000000003</v>
      </c>
      <c r="J277" s="3">
        <f>2139.9+(282.8-351.4)+(-1.091349+(-0.144228--0.179214))+0-591.6--0.30171599999994</f>
        <v>1478.9453530000001</v>
      </c>
      <c r="K277" s="3">
        <f>2074.7+(329.4-241)+(-5.290485+(-0.83997--0.61455))+0-637.8--1.62638999999991</f>
        <v>1521.4104849999997</v>
      </c>
      <c r="L277" s="3">
        <f>1993.2+(449.4-265.6)+(-4.066128+(-0.916776--0.541824))+0-627.9--1.28091599999997</f>
        <v>1545.9398359999998</v>
      </c>
      <c r="M277" s="3">
        <f>1974.6+(441.1-258.8)+(-2.014092+(-0.449922--0.263976))+0-553.1--0.564162000000088</f>
        <v>1602.1641240000004</v>
      </c>
      <c r="N277" s="3">
        <f>2119.7+(371.3-460.6)+(-1.081047+(-0.189363--0.234906))+0-581.3--0.296462999999941</f>
        <v>1448.3609589999999</v>
      </c>
      <c r="O277" s="3">
        <f>2417.4+(312.3-472.7)+(2.465748+(0.318546-0.482154))+0-550.3-0.561306000000088</f>
        <v>1708.4408339999998</v>
      </c>
      <c r="P277" s="3">
        <f>2454.6+(272-407.8)+(-1.251846+(-0.13872--0.207978))+0-576.9--0.294218999999941</f>
        <v>1741.0116309999994</v>
      </c>
      <c r="Q277" s="3">
        <f>2701.3+(103-581.2)+(-4.132989+(-0.15759--0.889236))+0-535--0.818550000000031</f>
        <v>1685.5172070000003</v>
      </c>
      <c r="R277" s="3">
        <f>3053.4+(88-680.1)+(-4.671702+(-0.13464--1.040553))+0-544--0.832320000000031</f>
        <v>1914.3665310000001</v>
      </c>
      <c r="S277" s="3">
        <f>2919.6+(84.2-661.5)+(-5.955984+(-0.171768--1.34946))+0-597.7--1.21930799999997</f>
        <v>1741.0410160000001</v>
      </c>
      <c r="T277" s="3">
        <f>2986.6+(78.9-841.4)+(-3.046332+(-0.080478--0.858228))+0-474.2--0.483684000000076</f>
        <v>1748.1151019999998</v>
      </c>
      <c r="U277" s="3">
        <f>2872.8+(194.3-695.9)+(-1.465128+(-0.099093--0.354909))+0-642.6--0.327725999999935</f>
        <v>1727.7184140000004</v>
      </c>
      <c r="V277" s="3">
        <f>2944.2+(201.9-817.3)+(-3.003084+(-0.205938--0.833646))+0-558.1--0.569262000000089</f>
        <v>1768.8938859999998</v>
      </c>
      <c r="W277" s="3">
        <f>3588.4+(394.1-1332)+(3.660168+(0.401982-1.35864))+0-638.6-0.651372000000102</f>
        <v>2013.9521379999999</v>
      </c>
      <c r="X277" s="3">
        <f>3749+(489-1510.2)+(0+(0-0))+0-675.7-0</f>
        <v>2052.1000000000004</v>
      </c>
      <c r="Y277" s="3">
        <f>3588.9+(507.2-1495.9)+(-7.321356+(-1.034688--3.051636))+0-578.8--1.18075199999997</f>
        <v>2017.2763439999999</v>
      </c>
      <c r="Z277" s="3">
        <f>3498.7+(424-1276)+(-3.568674+(-0.43248--1.30152))+0-680.7--0.694314000000109</f>
        <v>1963.9946799999998</v>
      </c>
      <c r="AA277" s="3">
        <f>3535.7+(322.1-1332.8)+(0+(0-0))+0-613.9-0</f>
        <v>1911.1</v>
      </c>
      <c r="AB277" s="3">
        <f>3300.4+(361.1-1182.2)+(-6.732816+(-0.736644--2.411688))+0-653.2--1.33252799999997</f>
        <v>1822.3747559999999</v>
      </c>
      <c r="AC277" s="3">
        <f>2479.6+(360.5-723)+(-6.32298+(-0.919275--1.84365))+0-564--1.43819999999992</f>
        <v>1549.1395949999999</v>
      </c>
      <c r="AD277" s="2">
        <v>2050.3999999999996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2349.7+(412.1-524.1)+(2.396694+(0.420342-0.534582))+0-651.9-0.664938000000104</f>
        <v>1587.4175159999998</v>
      </c>
      <c r="G278" s="3">
        <f>2132.9+(402.7-429.1)+(-5.438895+(-1.026885--1.094205))+0-647.8--1.65188999999991</f>
        <v>1454.9803149999998</v>
      </c>
      <c r="H278" s="3">
        <f>2227.9+(306.2-554.6)+(1.136229+(0.156162-0.282846))+0-550.4-0.280703999999944</f>
        <v>1429.8288409999998</v>
      </c>
      <c r="I278" s="3">
        <f>2121.6+(355.2-388)+(-1.082016+(-0.181152--0.19788))+0-697--0.355469999999929</f>
        <v>1391.0901819999999</v>
      </c>
      <c r="J278" s="3">
        <f>2124.9+(336.6-487.7)+(-1.083699+(-0.171666--0.248727))+0-581.4--0.296513999999941</f>
        <v>1391.6898760000001</v>
      </c>
      <c r="K278" s="3">
        <f>2163.4+(375.2-376.9)+(4.413336+(0.765408-0.768876))+0-720.2-1.46920799999997</f>
        <v>1444.4406600000004</v>
      </c>
      <c r="L278" s="3">
        <f>2257.8+(246.7-366.1)+(-2.302956+(-0.251634--0.373422))+0-570.6--0.582012000000091</f>
        <v>1566.2008440000002</v>
      </c>
      <c r="M278" s="3">
        <f>2366+(360-386.2)+(1.20666+(0.1836-0.196962))+0-662.6-0.337925999999933</f>
        <v>1678.0553720000005</v>
      </c>
      <c r="N278" s="3">
        <f>2514+(400.9-614)+(0+(0-0))+0-595.1-0</f>
        <v>1705.8000000000002</v>
      </c>
      <c r="O278" s="3">
        <f>2605+(465.6-793.7)+(0+(0-0))+0-524-0</f>
        <v>1752.9</v>
      </c>
      <c r="P278" s="3">
        <f>2714.6+(482.4-923.8)+(-5.537784+(-0.984096--1.884552))+0-508.6--1.03754399999998</f>
        <v>1761.0002160000001</v>
      </c>
      <c r="Q278" s="3">
        <f>2602.5+(542.4-919.7)+(-5.3091+(-1.106496--1.876188))+0-472--0.962879999999979</f>
        <v>1749.6234719999998</v>
      </c>
      <c r="R278" s="3">
        <f>2369.9+(536.6-551.1)+(-3.625947+(-0.820998--0.843183))+0-593.7--0.908361000000034</f>
        <v>1759.0045989999999</v>
      </c>
      <c r="S278" s="3">
        <f>2269.8+(398.2-447.2)+(-2.315196+(-0.406164--0.456144))+0-497.3--0.507246000000079</f>
        <v>1721.7420300000006</v>
      </c>
      <c r="T278" s="3">
        <f>2268.5+(396.9-455.4)+(-2.31387+(-0.404838--0.464508))+0-531--0.541620000000085</f>
        <v>1677.2874200000003</v>
      </c>
      <c r="U278" s="3">
        <f>2355.7+(311.7-524)+(0+(0-0))+0-506.7-0</f>
        <v>1636.6999999999996</v>
      </c>
      <c r="V278" s="3">
        <f>2662.4+(325-807.9)+(-5.431296+(-0.663--1.648116))+0-480.7--0.980627999999979</f>
        <v>1695.3344480000001</v>
      </c>
      <c r="W278" s="3">
        <f>3790.4+(496.2-1801.4)+(3.866208+(0.506124-1.837428))+0-554.5-0.565590000000088</f>
        <v>1932.6693139999998</v>
      </c>
      <c r="X278" s="3">
        <f>3738.5+(432.1-1541.5)+(-11.43981+(-1.322226--4.71699))+0-534--1.63404000000006</f>
        <v>2088.6889939999996</v>
      </c>
      <c r="Y278" s="3">
        <f>3342.4+(484.1-1145.9)+(1.704624+(0.246891-0.584409))+0-609.8-0.310997999999938</f>
        <v>2071.8561079999999</v>
      </c>
      <c r="Z278" s="3">
        <f>3241.7+(454.4-1146.1)+(-6.613068+(-0.926976--2.338044))+0-527.1--1.07528399999998</f>
        <v>2018.7732839999999</v>
      </c>
      <c r="AA278" s="3">
        <f>2886.2+(530.5-812)+(-4.415886+(-0.811665--1.24236))+0-643.2--0.984096000000037</f>
        <v>1958.4989049999997</v>
      </c>
      <c r="AB278" s="3">
        <f>2915.7+(603-1069.9)+(-1.487007+(-0.30753--0.545649))+0-570.9--0.291158999999942</f>
        <v>1876.9422709999994</v>
      </c>
      <c r="AC278" s="3">
        <f>2584.1+(507.1-700.1)+(-7.907346+(-1.551726--2.142306))+0-619.1--1.89444600000007</f>
        <v>1766.5776800000001</v>
      </c>
      <c r="AD278" s="2">
        <v>2057.8000000000002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1986.9+(446.4-273.6)+(-2.026638+(-0.455328--0.279072))+0-525.3--0.535806000000084</f>
        <v>1632.7329119999999</v>
      </c>
      <c r="G279" s="3">
        <f>1936+(418-279.2)+(0.98736+(0.21318-0.142392))+0-545.1-0.278000999999945</f>
        <v>1530.4801470000004</v>
      </c>
      <c r="H279" s="3">
        <f>1958.1+(417.4-334.6)+(-0.998631+(-0.212874--0.170646))+0-573.1--0.292280999999942</f>
        <v>1467.051422</v>
      </c>
      <c r="I279" s="3">
        <f>1876.8+(472.6-273.9)+(0.957168+(0.241026-0.139689))+0-630.4-0.321503999999936</f>
        <v>1445.8370009999999</v>
      </c>
      <c r="J279" s="3">
        <f>1866.9+(453.3-292.2)+(-0.952119+(-0.231183--0.149022))+0-580--0.295799999999941</f>
        <v>1447.2615199999998</v>
      </c>
      <c r="K279" s="3">
        <f>1893.3+(484.3-282)+(0+(0-0))+0-615.8-0</f>
        <v>1479.8</v>
      </c>
      <c r="L279" s="3">
        <f>1864.4+(595.1-282.3)+(-3.803376+(-1.214004--0.575892))+0-558--1.13831999999998</f>
        <v>1615.8968320000004</v>
      </c>
      <c r="M279" s="3">
        <f>1860.4+(811.5-350.8)+(-3.795216+(-1.65546--0.715632))+0-627.5--1.28009999999997</f>
        <v>1690.1450559999998</v>
      </c>
      <c r="N279" s="3">
        <f>2048.2+(580.7-368.8)+(3.133746+(0.888471-0.564264))+0-535.8-0.819774000000031</f>
        <v>1726.938179</v>
      </c>
      <c r="O279" s="3">
        <f>2181+(561.4-482)+(-3.33693+(-0.858942--0.73746))+0-529.9--0.810747000000031</f>
        <v>1727.852335</v>
      </c>
      <c r="P279" s="3">
        <f>2251.3+(549.3-561)+(0+(0-0))+0-466.3-0</f>
        <v>1773.3000000000004</v>
      </c>
      <c r="Q279" s="3">
        <f>2454.7+(447.2-637.6)+(-6.259485+(-1.14036--1.62588))+0-534.3--1.36246499999992</f>
        <v>1725.5884999999998</v>
      </c>
      <c r="R279" s="3">
        <f>2136.7+(458.7-343.1)+(-5.448585+(-1.169685--0.874905))+0-554.4--1.41371999999992</f>
        <v>1693.5703549999998</v>
      </c>
      <c r="S279" s="3">
        <f>1957.1+(516.9-319.7)+(-2.994363+(-0.790857--0.489141))+0-497.4--0.761022000000029</f>
        <v>1654.3649429999996</v>
      </c>
      <c r="T279" s="3">
        <f>2023.6+(492.3-380.5)+(-1.032036+(-0.251073--0.194055))+0-531.2--0.270911999999946</f>
        <v>1603.381858</v>
      </c>
      <c r="U279" s="3">
        <f>2101.2+(501.8-433.4)+(-1.071612+(-0.255918--0.221034))+0-591--0.30140999999994</f>
        <v>1577.7949140000001</v>
      </c>
      <c r="V279" s="3">
        <f>2335.5+(391.2-560.2)+(-1.191105+(-0.199512--0.285702))+0-538.6--0.274685999999945</f>
        <v>1627.0697710000002</v>
      </c>
      <c r="W279" s="3">
        <f>3190.4+(527.4-1141.5)+(-3.254208+(-0.537948--1.16433))+0-629.8--0.6423960000001</f>
        <v>1944.5145700000005</v>
      </c>
      <c r="X279" s="3">
        <f>3129.2+(597.6-1118.6)+(-6.383568+(-1.219104--2.281944))+0-544.5--1.11077999999998</f>
        <v>2059.4900519999997</v>
      </c>
      <c r="Y279" s="3">
        <f>2880+(628.5-857)+(-4.4064+(-0.961605--1.31121))+0-600.3--0.918459000000035</f>
        <v>2048.0616640000003</v>
      </c>
      <c r="Z279" s="3">
        <f>2889.4+(512.8-847.4)+(-4.420782+(-0.784584--1.296522))+0-536.2--0.820386000000031</f>
        <v>2015.5115420000002</v>
      </c>
      <c r="AA279" s="3">
        <f>2982.1+(600-996.7)+(-3.041742+(-0.612--1.016634))+0-632.2--0.644844000000101</f>
        <v>1951.2077359999998</v>
      </c>
      <c r="AB279" s="3">
        <f>2835.9+(631.1-1039.4)+(-7.231545+(-1.609305--2.65047))+0-546.7--1.39408499999992</f>
        <v>1876.1037049999998</v>
      </c>
      <c r="AC279" s="3">
        <f>2281.7+(436.9-692.6)+(-6.982002+(-1.336914--2.119356))+0-562.1--1.72002600000007</f>
        <v>1459.4204659999996</v>
      </c>
      <c r="AD279" s="2">
        <v>1920.9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1996.2+(363.9-290.2)+(-4.072248+(-0.742356--0.592008))+0-414.4--0.845375999999982</f>
        <v>1652.1227799999999</v>
      </c>
      <c r="G280" s="3">
        <f>1725.5+(624.3-213.1)+(-0.880005+(-0.318393--0.108681))+0-595.1--0.30350099999994</f>
        <v>1540.8137839999999</v>
      </c>
      <c r="H280" s="3">
        <f>1711.8+(430.7-216.2)+(-4.36509+(-1.098285--0.55131))+0-432--1.10159999999994</f>
        <v>1490.4895349999999</v>
      </c>
      <c r="I280" s="3">
        <f>1771.7+(513.5-248.2)+(0.903567+(0.261885-0.126582))+0-571.4-0.291413999999942</f>
        <v>1466.3474560000002</v>
      </c>
      <c r="J280" s="3">
        <f>1755.1+(448.4-263.9)+(-0.895101+(-0.228684--0.134589))+0-479.3--0.244442999999951</f>
        <v>1459.555247</v>
      </c>
      <c r="K280" s="3">
        <f>1838.7+(546.6-279.9)+(0.937737+(0.278766-0.142749))+0-614-0.313139999999938</f>
        <v>1492.1606140000001</v>
      </c>
      <c r="L280" s="3">
        <f>1814.7+(599.4-294.8)+(-1.850994+(-0.611388--0.300696))+0-513.4--0.523668000000082</f>
        <v>1604.2619820000002</v>
      </c>
      <c r="M280" s="3">
        <f>2009.3+(608.6-358.7)+(2.049486+(0.620772-0.365874))+0-577.4-0.588948000000092</f>
        <v>1683.5154359999997</v>
      </c>
      <c r="N280" s="3">
        <f>2115.3+(512.5-429.3)+(-4.315212+(-1.0455--0.875772))+0-496.2--1.01224799999998</f>
        <v>1698.8273080000001</v>
      </c>
      <c r="O280" s="3">
        <f>2310.1+(412.6-526.3)+(1.178151+(0.210426-0.268413))+0-471.1-0.240260999999952</f>
        <v>1726.1799030000002</v>
      </c>
      <c r="P280" s="3">
        <f>2164.8+(475.1-465.3)+(-4.416192+(-0.969204--0.949212))+0-441.4--0.900455999999981</f>
        <v>1729.6642720000002</v>
      </c>
      <c r="Q280" s="3">
        <f>2229.3+(493.1-556.7)+(-4.547772+(-1.005924--1.135668))+0-442--0.901679999999981</f>
        <v>1720.1836520000002</v>
      </c>
      <c r="R280" s="3">
        <f>2048.5+(453.5-357.8)+(-3.134205+(-0.693855--0.547434))+0-440.6--0.674118000000026</f>
        <v>1700.9934919999998</v>
      </c>
      <c r="S280" s="3">
        <f>2196.3+(431.7-417.4)+(1.120113+(0.220167-0.212874))+0-549.7-0.280346999999944</f>
        <v>1661.7470590000005</v>
      </c>
      <c r="T280" s="3">
        <f>2012.2+(469.5-394.7)+(-1.026222+(-0.239445--0.201297))+0-454.2--0.231641999999954</f>
        <v>1631.9672719999999</v>
      </c>
      <c r="U280" s="3">
        <f>2044.9+(558.4-413.2)+(-1.042899+(-0.284784--0.210732))+0-541.9--0.276368999999945</f>
        <v>1647.3594179999998</v>
      </c>
      <c r="V280" s="3">
        <f>2178.1+(415.2-416.1)+(-3.332493+(-0.635256--0.636633))+0-520.9--0.79697700000003</f>
        <v>1653.7658609999999</v>
      </c>
      <c r="W280" s="3">
        <f>3310.8+(508.3-1383.1)+(-3.377016+(-0.518466--1.410762))+0-523.2--0.533664000000084</f>
        <v>1910.8489440000001</v>
      </c>
      <c r="X280" s="3">
        <f>3601.8+(531.1-1424.9)+(-7.347672+(-1.083444--2.906796))+0-645.9--1.31763599999997</f>
        <v>2057.8933159999997</v>
      </c>
      <c r="Y280" s="3">
        <f>3245.5+(539-1198.5)+(0+(0-0))+0-540.2-0</f>
        <v>2045.8</v>
      </c>
      <c r="Z280" s="3">
        <f>3009.4+(557-912.8)+(3.069588+(0.56814-0.931056))+0-655.8-0.668916000000105</f>
        <v>1999.8377560000001</v>
      </c>
      <c r="AA280" s="3">
        <f>2614.9+(496.5-618.5)+(-4.000797+(-0.759645--0.946305))+0-538.3--0.823599000000031</f>
        <v>1951.6094620000003</v>
      </c>
      <c r="AB280" s="3">
        <f>2337.1+(622.7-463)+(-1.191921+(-0.317577--0.23613))+0-623.9--0.318188999999937</f>
        <v>1871.9448209999998</v>
      </c>
      <c r="AC280" s="3">
        <f>2165.5+(575-424.5)+(-5.522025+(-1.46625--1.082475))+0-580.6--1.48052999999992</f>
        <v>1730.9747299999999</v>
      </c>
      <c r="AD280" s="2">
        <v>2044.2999999999997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1966.1+(582.8-287.7)+(-4.010844+(-1.188912--0.586908))+0-642.3--1.31029199999997</f>
        <v>1615.5974439999995</v>
      </c>
      <c r="G281" s="3">
        <f>1867.4+(510.3-258.9)+(-2.857122+(-0.780759--0.396117))+0-597.9--0.914787000000035</f>
        <v>1518.5730230000001</v>
      </c>
      <c r="H281" s="3">
        <f>1719.6+(576-214.7)+(-1.753992+(-0.58752--0.218994))+0-619.3--0.631686000000099</f>
        <v>1460.1091680000002</v>
      </c>
      <c r="I281" s="3">
        <f>1806.4+(468.9-217.8)+(0+(0-0))+0-626.1-0</f>
        <v>1431.4</v>
      </c>
      <c r="J281" s="3">
        <f>1829.3+(458.1-231.4)+(0+(0-0))+0-609.3-0</f>
        <v>1446.7</v>
      </c>
      <c r="K281" s="3">
        <f>1758.3+(546.8-192.1)+(0+(0-0))+0-650.8-0</f>
        <v>1462.2</v>
      </c>
      <c r="L281" s="3">
        <f>1917.4+(476.5-215.2)+(-1.955748+(-0.48603--0.219504))+0-576.1--0.587622000000092</f>
        <v>1600.9653480000002</v>
      </c>
      <c r="M281" s="3">
        <f>1992.9+(613.5-249.8)+(-1.016379+(-0.312885--0.127398))+0-670.8--0.342107999999932</f>
        <v>1684.9402419999999</v>
      </c>
      <c r="N281" s="3">
        <f>2098.2+(548.1-302)+(2.140164+(0.559062-0.30804))+0-590.6-0.602412000000094</f>
        <v>1755.4887739999995</v>
      </c>
      <c r="O281" s="3">
        <f>2193.7+(742.2-519.8)+(2.237574+(0.757044-0.530196))+0-592.5-0.604350000000094</f>
        <v>1825.4600719999999</v>
      </c>
      <c r="P281" s="3">
        <f>2403.5+(677.6-717.8)+(3.677355+(1.036728-1.098234))+0-442.6-0.677178000000026</f>
        <v>1923.6386710000002</v>
      </c>
      <c r="Q281" s="3">
        <f>2827.2+(767.5-1068.1)+(1.441872+(0.391425-0.544731))+0-605-0.308549999999939</f>
        <v>1922.5800160000001</v>
      </c>
      <c r="R281" s="3">
        <f>2832.1+(612.9-984.3)+(-4.333113+(-0.937737--1.505979))+0-524.4--0.80233200000003</f>
        <v>1933.3374609999998</v>
      </c>
      <c r="S281" s="3">
        <f>2442.4+(572.6-442.6)+(-2.491248+(-0.584052--0.451452))+0-667.1--0.680442000000106</f>
        <v>1903.3565940000001</v>
      </c>
      <c r="T281" s="3">
        <f>2335.7+(500.2-348.1)+(-5.956035+(-1.27551--0.887655))+0-634.3--1.61746499999991</f>
        <v>1848.7735749999995</v>
      </c>
      <c r="U281" s="3">
        <f>2251.8+(509.5-303.1)+(1.148418+(0.259845-0.154581))+0-627.5-0.320024999999936</f>
        <v>1831.6336570000003</v>
      </c>
      <c r="V281" s="3">
        <f>2419.6+(469-443.7)+(-3.701988+(-0.71757--0.678861))+0-590.7--0.903771000000034</f>
        <v>1851.3630739999999</v>
      </c>
      <c r="W281" s="3">
        <f>3762.3+(526.5-1642.5)+(-1.918773+(-0.268515--0.837675))+0-625.7--0.319106999999937</f>
        <v>2019.5694940000003</v>
      </c>
      <c r="X281" s="3">
        <f>3746.1+(413.6-1560.8)+(-7.642044+(-0.843744--3.184032))+0-580.3--1.18381199999997</f>
        <v>2014.4820560000003</v>
      </c>
      <c r="Y281" s="3">
        <f>3381.1+(408.9-1178.7)+(-3.448722+(-0.417078--1.202274))+0-620.2--0.632604000000099</f>
        <v>1989.069078</v>
      </c>
      <c r="Z281" s="3">
        <f>3447.7+(440.8-1348.1)+(0+(0-0))+0-579.5-0</f>
        <v>1960.8999999999996</v>
      </c>
      <c r="AA281" s="3">
        <f>3282.9+(568.6-1291.6)+(-5.022837+(-0.869958--1.976148))+0-663.6--1.01530800000004</f>
        <v>1893.3986610000002</v>
      </c>
      <c r="AB281" s="3">
        <f>2908.2+(355.9-913.6)+(-5.932728+(-0.726036--1.863744))+0-510.7--1.04182799999998</f>
        <v>1836.0468079999998</v>
      </c>
      <c r="AC281" s="3">
        <f>2777.9+(248.4-699.9)+(-7.083645+(-0.63342--1.784745))+0-614.6--1.56722999999991</f>
        <v>1707.4349100000002</v>
      </c>
      <c r="AD281" s="2">
        <v>2028.6000000000004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2569+(170.8-545.8)+(-3.93057+(-0.261324--0.835074))+0-604.7--0.925191000000035</f>
        <v>1586.868371</v>
      </c>
      <c r="G282" s="3">
        <f>2533.5+(107.6-469.3)+(-3.876255+(-0.164628--0.718029))+0-659.1--1.00842300000004</f>
        <v>1510.3855690000003</v>
      </c>
      <c r="H282" s="3">
        <f>2064+(257-274)+(-4.21056+(-0.52428--0.55896))+0-591.1--1.20584399999997</f>
        <v>1452.9299639999999</v>
      </c>
      <c r="I282" s="3">
        <f>2049.3+(286.8-279)+(0+(0-0))+0-627.7-0</f>
        <v>1429.4000000000003</v>
      </c>
      <c r="J282" s="3">
        <f>2120.3+(144.3-287.4)+(2.162706+(0.147186-0.293148))+0-555-0.566100000000089</f>
        <v>1423.6506440000003</v>
      </c>
      <c r="K282" s="3">
        <f>2244.3+(184-330.7)+(0+(0-0))+0-635.7-0</f>
        <v>1461.9000000000003</v>
      </c>
      <c r="L282" s="3">
        <f>2407+(142.1-426)+(0+(0-0))+0-546.3-0</f>
        <v>1576.8</v>
      </c>
      <c r="M282" s="3">
        <f>2532.9+(192.9-385.4)+(0+(0-0))+0-656.7-0</f>
        <v>1683.7</v>
      </c>
      <c r="N282" s="3">
        <f>2678.4+(157-618.3)+(-1.365984+(-0.08007--0.315333))+0-480.3--0.244952999999951</f>
        <v>1735.9142320000003</v>
      </c>
      <c r="O282" s="3">
        <f>2957.7+(239.8-835.4)+(3.016854+(0.244596-0.852108))+0-548.2-0.559164000000087</f>
        <v>1815.7501779999998</v>
      </c>
      <c r="P282" s="3">
        <f>3383.1+(588.1-1613)+(1.725381+(0.299931-0.82263))+0-526.6-0.268565999999947</f>
        <v>1832.534116</v>
      </c>
      <c r="Q282" s="3">
        <f>3624.9+(557.9-1877.6)+(-7.394796+(-1.138116--3.830304))+0-474.3--0.967571999999979</f>
        <v>1827.1649640000003</v>
      </c>
      <c r="R282" s="3">
        <f>3012.6+(486.9-1136.5)+(1.536426+(0.248319-0.579615))+0-526.4-0.268463999999947</f>
        <v>1837.5366659999997</v>
      </c>
      <c r="S282" s="3">
        <f>2642.3+(581.6-890.8)+(1.347573+(0.296616-0.454308))+0-536.8-0.273767999999946</f>
        <v>1797.2161130000002</v>
      </c>
      <c r="T282" s="3">
        <f>2553.1+(562.3-827.5)+(1.302081+(0.286773-0.422025))+0-540.3-0.275552999999945</f>
        <v>1748.4912759999995</v>
      </c>
      <c r="U282" s="3">
        <f>2386.3+(528.1-658.5)+(-4.868052+(-1.077324--1.34334))+0-536.1--1.09364399999998</f>
        <v>1716.291608</v>
      </c>
      <c r="V282" s="3">
        <f>2667.3+(435.5-847.2)+(-5.441292+(-0.88842--1.728288))+0-480.8--0.980831999999979</f>
        <v>1771.1794080000004</v>
      </c>
      <c r="W282" s="3">
        <f>3328.7+(424.3-1098.9)+(-5.092911+(-0.649179--1.681317))+0-671.6--1.02754800000004</f>
        <v>1979.4667749999994</v>
      </c>
      <c r="X282" s="3">
        <f>3552.9+(487.8-1332.7)+(0+(0-0))+0-595.9-0</f>
        <v>2112.1</v>
      </c>
      <c r="Y282" s="3">
        <f>3419.4+(260.9-947)+(-1.743894+(-0.133059--0.48297))+0-656.5--0.334814999999933</f>
        <v>2075.740832</v>
      </c>
      <c r="Z282" s="3">
        <f>3155.9+(269.9-826.6)+(-4.828527+(-0.412947--1.264698))+0-580.4--0.888012000000034</f>
        <v>2015.7112359999999</v>
      </c>
      <c r="AA282" s="3">
        <f>3072.8+(384.3-785.6)+(-9.402768+(-1.175958--2.403936))+0-699.1--2.13924600000008</f>
        <v>1966.3644560000002</v>
      </c>
      <c r="AB282" s="3">
        <f>2872.9+(292.4-721.7)+(-1.465179+(-0.149124--0.368067))+0-559.2--0.285191999999943</f>
        <v>1883.438956</v>
      </c>
      <c r="AC282" s="3">
        <f>2418.9+(484.1-432.7)+(-4.934556+(-0.987564--0.882708))+0-677.6--1.38230399999997</f>
        <v>1789.0428920000002</v>
      </c>
      <c r="AD282" s="2">
        <v>2125.6999999999994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2184.1+(446.7-377.3)+(-3.341673+(-0.683451--0.577269))+0-599.7--0.917541000000035</f>
        <v>1651.2696860000001</v>
      </c>
      <c r="G283" s="3">
        <f>2025.6+(418.7-258.7)+(-3.099168+(-0.640611--0.395811))+0-635.5--0.972315000000037</f>
        <v>1547.7283469999998</v>
      </c>
      <c r="H283" s="3">
        <f>1834.8+(487.6-219.9)+(-3.742992+(-0.994704--0.448596))+0-602.2--1.22848799999997</f>
        <v>1497.239388</v>
      </c>
      <c r="I283" s="3">
        <f>1826+(424.8-210.3)+(-0.93126+(-0.216648--0.107253))+0-582.9--0.297278999999941</f>
        <v>1456.856624</v>
      </c>
      <c r="J283" s="3">
        <f>1866.7+(405.1-213.7)+(-1.904034+(-0.413202--0.217974))+0-608.9--0.621078000000097</f>
        <v>1447.7218159999998</v>
      </c>
      <c r="K283" s="3">
        <f>1857.3+(470.8-191.5)+(1.894446+(0.480216-0.19533))+0-653.5-0.666570000000104</f>
        <v>1484.612762</v>
      </c>
      <c r="L283" s="3">
        <f>1838.4+(565.7-230.4)+(-2.812752+(-0.865521--0.352512))+0-603.6--0.923508000000035</f>
        <v>1567.6977470000004</v>
      </c>
      <c r="M283" s="3">
        <f>2011.6+(543.1-269.2)+(0+(0-0))+0-648.4-0</f>
        <v>1637.1</v>
      </c>
      <c r="N283" s="3">
        <f>2420.6+(322.3-417.2)+(2.469012+(0.328746-0.425544))+0-621.7-0.634134000000099</f>
        <v>1705.7380799999996</v>
      </c>
      <c r="O283" s="3">
        <f>2829+(460.4-846.5)+(-4.32837+(-0.704412--1.295145))+0-575.2--0.880056000000033</f>
        <v>1864.8424189999998</v>
      </c>
      <c r="P283" s="3">
        <f>3134.7+(445.2-1282.1)+(-3.197394+(-0.454104--1.307742))+0-483.6--0.493272000000077</f>
        <v>1812.3495160000002</v>
      </c>
      <c r="Q283" s="3">
        <f>3260.8+(529.8-1370.6)+(3.326016+(0.540396-1.398012))+0-596-0.607920000000095</f>
        <v>1825.8604800000001</v>
      </c>
      <c r="R283" s="3">
        <f>2835.6+(428-871.5)+(-10.123092+(-1.52796--3.111255))+0-605.2--2.16056400000001</f>
        <v>1780.520767</v>
      </c>
      <c r="S283" s="3">
        <f>2404.6+(425.5-452)+(0+(0-0))+0-647.8-0</f>
        <v>1730.3</v>
      </c>
      <c r="T283" s="3">
        <f>2199+(484.4-440.1)+(-3.36447+(-0.741132--0.673353))+0-572.6--0.876078000000033</f>
        <v>1668.1438290000003</v>
      </c>
      <c r="U283" s="3">
        <f>2080.3+(549.6-381.2)+(-2.121906+(-0.560592--0.388824))+0-608--0.620160000000097</f>
        <v>1639.0264860000004</v>
      </c>
      <c r="V283" s="3">
        <f>2362.6+(421.8-468.3)+(-1.204926+(-0.215118--0.238833))+0-647.7--0.330326999999934</f>
        <v>1667.5491159999997</v>
      </c>
      <c r="W283" s="3">
        <f>3202.9+(567-1296.7)+(4.900437+(0.86751-1.983951))+0-554.4-0.848232000000032</f>
        <v>1921.7357639999998</v>
      </c>
      <c r="X283" s="3">
        <f>3502.6+(543.8-1278.9)+(-5.358978+(-0.832014--1.956717))+0-678.2--1.03764600000004</f>
        <v>2086.1033710000006</v>
      </c>
      <c r="Y283" s="3">
        <f>2872+(547-789.2)+(0+(0-0))+0-575.7-0</f>
        <v>2054.1000000000004</v>
      </c>
      <c r="Z283" s="3">
        <f>2676.6+(532.3-502.6)+(-5.460264+(-1.085892--1.025304))+0-709.4--1.44717599999997</f>
        <v>1992.8263239999994</v>
      </c>
      <c r="AA283" s="3">
        <f>2518.4+(492.4-453.7)+(-2.568768+(-0.502248--0.462774))+0-596.9--0.608838000000095</f>
        <v>1958.2005960000001</v>
      </c>
      <c r="AB283" s="3">
        <f>2521.5+(480.3-476.5)+(-3.857895+(-0.734859--0.729045))+0-656.2--1.00398600000004</f>
        <v>1866.2402769999999</v>
      </c>
      <c r="AC283" s="3">
        <f>2397.6+(473.2-490.4)+(1.222776+(0.241332-0.250104))+0-586.7-0.299216999999941</f>
        <v>1794.614787</v>
      </c>
      <c r="AD283" s="2">
        <v>2080.1000000000004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1954.4+(603.1-244)+(-2.990232+(-0.922743--0.37332))+0-642.9--0.983637000000037</f>
        <v>1668.0439819999999</v>
      </c>
      <c r="G284" s="3">
        <f>1827.8+(599.3-242.1)+(-1.864356+(-0.611286--0.246942))+0-613.5--0.625770000000098</f>
        <v>1569.89707</v>
      </c>
      <c r="H284" s="3">
        <f>1760.8+(589-209.2)+(-0.898008+(-0.30039--0.106692))+0-619.6--0.315995999999937</f>
        <v>1520.2242899999999</v>
      </c>
      <c r="I284" s="3">
        <f>1734.6+(525.5-197.9)+(-6.192522+(-1.876035--0.706503))+0-562.6--2.00848200000001</f>
        <v>1494.2464279999997</v>
      </c>
      <c r="J284" s="3">
        <f>1805.8+(491.4-196.7)+(0.920958+(0.250614-0.100317))+0-626-0.319259999999936</f>
        <v>1475.2519949999999</v>
      </c>
      <c r="K284" s="3">
        <f>1900.3+(436.9-221.2)+(-2.907459+(-0.668457--0.338436))+0-610.2--0.933606000000035</f>
        <v>1503.4961260000002</v>
      </c>
      <c r="L284" s="3">
        <f>1804+(695.6-287)+(-4.6002+(-1.77378--0.73185))+0-654.2--1.66820999999991</f>
        <v>1554.4260799999995</v>
      </c>
      <c r="M284" s="3">
        <f>1753.9+(688.9-278.6)+(0+(0-0))+0-547.3-0</f>
        <v>1616.8999999999999</v>
      </c>
      <c r="N284" s="3">
        <f>1960.1+(664.3-324.2)+(0.999651+(0.338793-0.165342))+0-644.9-0.328898999999935</f>
        <v>1656.1442030000001</v>
      </c>
      <c r="O284" s="3">
        <f>2092.6+(460-256.5)+(1.067226+(0.2346-0.130815))+0-544.2-0.277541999999945</f>
        <v>1752.7934689999997</v>
      </c>
      <c r="P284" s="3">
        <f>2201.3+(506.8-316)+(-2.245326+(-0.516936--0.32232))+0-594.1--0.605982000000095</f>
        <v>1796.1660400000005</v>
      </c>
      <c r="Q284" s="3">
        <f>2395.9+(379.4-432.5)+(0+(0-0))+0-543.7-0</f>
        <v>1799.1000000000001</v>
      </c>
      <c r="R284" s="3">
        <f>2357.4+(355.2-385)+(-4.809096+(-0.724608--0.7854))+0-565.2--1.15300799999998</f>
        <v>1758.8047039999997</v>
      </c>
      <c r="S284" s="3">
        <f>2286.6+(368.6-367.7)+(-2.332332+(-0.375972--0.375054))+0-587--0.598740000000094</f>
        <v>1698.76549</v>
      </c>
      <c r="T284" s="3">
        <f>2261.1+(339.6-361)+(-4.612644+(-0.692784--0.73644))+0-577.4--1.17789599999997</f>
        <v>1658.9089079999997</v>
      </c>
      <c r="U284" s="3">
        <f>2074.2+(414.4-317.5)+(1.057842+(0.211344-0.161925))+0-542.3-0.276572999999945</f>
        <v>1629.6306880000002</v>
      </c>
      <c r="V284" s="3">
        <f>2230.7+(369.3-349.9)+(-3.412971+(-0.565029--0.535347))+0-573.3--0.877149000000033</f>
        <v>1674.234496</v>
      </c>
      <c r="W284" s="3">
        <f>3209.1+(421.9-1151.9)+(3.273282+(0.430338-1.174938))+0-546.3-0.557226000000087</f>
        <v>1934.7714559999999</v>
      </c>
      <c r="X284" s="3">
        <f>3672.7+(569.3-1461.2)+(-3.746154+(-0.580686--1.490424))+0-680.3--0.693906000000108</f>
        <v>2098.3574899999999</v>
      </c>
      <c r="Y284" s="3">
        <f>3691.2+(479.8-1605.9)+(5.647536+(0.734094-2.457027))+0-479-0.732870000000028</f>
        <v>2089.2917329999996</v>
      </c>
      <c r="Z284" s="3">
        <f>3727.8+(569.4-1573.2)+(5.703534+(0.871182-2.406996))+0-692-1.05876000000004</f>
        <v>2035.1089599999998</v>
      </c>
      <c r="AA284" s="3">
        <f>3290.5+(540.6-1260.1)+(3.35631+(0.551412-1.285302))+0-592.8-0.604656000000094</f>
        <v>1980.217764</v>
      </c>
      <c r="AB284" s="3">
        <f>2733.6+(482.6-654.8)+(-5.576544+(-0.984504--1.335792))+0-637.9--1.30131599999997</f>
        <v>1919.5760599999999</v>
      </c>
      <c r="AC284" s="3">
        <f>2054.9+(723.4-376.6)+(-6.287994+(-2.213604--1.152396))+0-621.4--1.90148400000007</f>
        <v>1774.8522819999998</v>
      </c>
      <c r="AD284" s="2">
        <v>2128.6999999999998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1982.5+(607-345.6)+(0+(0-0))+0-566.5-0</f>
        <v>1677.4</v>
      </c>
      <c r="G285" s="3">
        <f>1878.3+(644.6-274.9)+(0+(0-0))+0-679-0</f>
        <v>1569</v>
      </c>
      <c r="H285" s="3">
        <f>1826.4+(542.8-271.1)+(-0.931464+(-0.276828--0.138261))+0-591.3--0.30156299999994</f>
        <v>1506.0315319999997</v>
      </c>
      <c r="I285" s="3">
        <f>1843.9+(539.3-240.1)+(2.821167+(0.825129-0.367353))+0-659.2-1.00857600000004</f>
        <v>1486.1703669999997</v>
      </c>
      <c r="J285" s="3">
        <f>1816.1+(537.1-246.5)+(3.704844+(1.095684-0.50286))+0-629.4-1.28397599999997</f>
        <v>1480.3136919999999</v>
      </c>
      <c r="K285" s="3">
        <f>1902.8+(471.2-250.8)+(4.85214+(1.20156-0.63954))+0-608.8-1.55243999999991</f>
        <v>1518.2617199999997</v>
      </c>
      <c r="L285" s="3">
        <f>1948.8+(542.6-274.5)+(-0.993888+(-0.276726--0.139995))+0-576--0.293759999999942</f>
        <v>1640.0631410000001</v>
      </c>
      <c r="M285" s="3">
        <f>1971.8+(668.3-297.7)+(2.011236+(0.681666-0.303654))+0-610.1-0.622302000000097</f>
        <v>1734.0669460000001</v>
      </c>
      <c r="N285" s="3">
        <f>2255.5+(545.7-402.8)+(4.60122+(1.113228-0.821712))+0-623.8-1.27255199999997</f>
        <v>1778.220184</v>
      </c>
      <c r="O285" s="3">
        <f>2478.2+(454.7-647)+(1.263882+(0.231897-0.32997))+0-478.3-0.243932999999951</f>
        <v>1808.5218759999998</v>
      </c>
      <c r="P285" s="3">
        <f>2819.2+(527.2-1096.6)+(2.875584+(0.537744-1.118532))+0-425.8-0.434316000000068</f>
        <v>1825.8604800000003</v>
      </c>
      <c r="Q285" s="3">
        <f>2894.8+(620.7-1118.8)+(-5.905392+(-1.266228--2.282352))+0-574.2--1.17136799999998</f>
        <v>1818.7821000000004</v>
      </c>
      <c r="R285" s="3">
        <f>2360.5+(453.8-647)+(-3.611565+(-0.694314--0.98991))+0-398.4--0.609552000000023</f>
        <v>1766.193583</v>
      </c>
      <c r="S285" s="3">
        <f>2116.2+(661.7-477.3)+(2.158524+(0.674934-0.486846))+0-552.3-0.563346000000088</f>
        <v>1750.0832659999996</v>
      </c>
      <c r="T285" s="3">
        <f>1958.9+(635.9-414.5)+(0+(0-0))+0-489.5-0</f>
        <v>1690.8000000000002</v>
      </c>
      <c r="U285" s="3">
        <f>2053.8+(636.2-546.5)+(0+(0-0))+0-461.8-0</f>
        <v>1681.7</v>
      </c>
      <c r="V285" s="3">
        <f>2480.9+(448.6-586.8)+(1.265259+(0.228786-0.299268))+0-626.2-0.319361999999936</f>
        <v>1717.3754150000004</v>
      </c>
      <c r="W285" s="3">
        <f>3454+(562.7-1564.3)+(3.52308+(0.573954-1.595586))+0-490.7-0.500514000000078</f>
        <v>1963.700934</v>
      </c>
      <c r="X285" s="3">
        <f>4015+(603.2-1857.6)+(-2.04765+(-0.307632--0.947376))+0-638.4--0.325583999999935</f>
        <v>2121.1176780000001</v>
      </c>
      <c r="Y285" s="3">
        <f>3417.7+(659.6-1412.3)+(-10.458162+(-2.018376--4.321638))+0-570.3--1.74511800000007</f>
        <v>2088.2902180000006</v>
      </c>
      <c r="Z285" s="3">
        <f>2789.2+(733.8-818.4)+(-2.844984+(-0.748476--0.834768))+0-664.2--0.677484000000106</f>
        <v>2038.318792</v>
      </c>
      <c r="AA285" s="3">
        <f>2501.7+(655.6-538.7)+(-2.551734+(-0.668712--0.549474))+0-635.8--0.648516000000101</f>
        <v>1980.7775440000003</v>
      </c>
      <c r="AB285" s="3">
        <f>2260.4+(729.8-433.2)+(-2.305608+(-0.744396--0.441864))+0-641--0.653820000000102</f>
        <v>1914.0456800000002</v>
      </c>
      <c r="AC285" s="3">
        <f>2241.5+(687.6-368.1)+(-6.85899+(-2.104056--1.126386))+0-613.4--1.87700400000007</f>
        <v>1941.6403440000001</v>
      </c>
      <c r="AD285" s="2">
        <v>2087.6999999999998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1931.6+(556-276.7)+(2.955348+(0.85068-0.423351))+0-527.7-0.807381000000031</f>
        <v>1685.775296</v>
      </c>
      <c r="G286" s="3">
        <f>1878.3+(634.1-335.6)+(4.789665+(1.616955-0.85578))+0-596.6-1.52132999999991</f>
        <v>1584.2295100000003</v>
      </c>
      <c r="H286" s="3">
        <f>1800.3+(464.6-286)+(3.672612+(0.947784-0.58344))+0-452.1-0.92228399999998</f>
        <v>1529.9146720000001</v>
      </c>
      <c r="I286" s="3">
        <f>1753.2+(615.6-253.2)+(4.47066+(1.56978-0.64566))+0-611.9-1.56034499999991</f>
        <v>1507.534435</v>
      </c>
      <c r="J286" s="3">
        <f>1696.9+(647.3-226.8)+(0+(0-0))+0-604.5-0</f>
        <v>1512.9</v>
      </c>
      <c r="K286" s="3">
        <f>1817.8+(587.3-249.9)+(1.854156+(0.599046-0.254898))+0-622.7-0.635154000000099</f>
        <v>1534.0631499999997</v>
      </c>
      <c r="L286" s="3">
        <f>1864.6+(757.5-285.1)+(-0.950946+(-0.386325--0.145401))+0-668.3--0.340832999999932</f>
        <v>1667.8489629999999</v>
      </c>
      <c r="M286" s="3">
        <f>1901.3+(750.3-346.1)+(0.969663+(0.382653-0.176511))+0-547.9-0.279428999999944</f>
        <v>1758.4963759999998</v>
      </c>
      <c r="N286" s="3">
        <f>2300.1+(567.6-395.4)+(-3.519153+(-0.868428--0.604962))+0-682.7--1.04453100000004</f>
        <v>1786.8619120000001</v>
      </c>
      <c r="O286" s="3">
        <f>2338.5+(365.1-435.6)+(-5.963175+(-0.931005--1.11078))+0-446.5--1.13857499999994</f>
        <v>1816.8551750000001</v>
      </c>
      <c r="P286" s="3">
        <f>2457.3+(338.6-475.8)+(-5.012892+(-0.690744--0.970632))+0-512.4--1.04529599999998</f>
        <v>1804.0122920000001</v>
      </c>
      <c r="Q286" s="3">
        <f>2529.8+(374.9-457.2)+(-6.45099+(-0.955995--1.16586))+0-610.8--1.55753999999991</f>
        <v>1832.0164150000001</v>
      </c>
      <c r="R286" s="3">
        <f>2110+(543-326.8)+(-3.2283+(-0.83079--0.500004))+0-603.2--0.922896000000035</f>
        <v>1720.3638099999996</v>
      </c>
      <c r="S286" s="3">
        <f>2096.1+(716.5-456.1)+(0+(0-0))+0-569.9-0</f>
        <v>1786.6</v>
      </c>
      <c r="T286" s="3">
        <f>2098.3+(651.9-434.3)+(1.070133+(0.332469-0.221493))+0-619.7-0.316046999999937</f>
        <v>1697.0650620000001</v>
      </c>
      <c r="U286" s="3">
        <f>1954+(594.9-324.8)+(1.99308+(0.606798-0.331296))+0-565.2-0.57650400000009</f>
        <v>1660.5920779999999</v>
      </c>
      <c r="V286" s="3">
        <f>2094.4+(485.7-297.2)+(2.136288+(0.495414-0.303144))+0-560.5-0.571710000000089</f>
        <v>1724.1568480000001</v>
      </c>
      <c r="W286" s="3">
        <f>3309.8+(373.1-1179.1)+(3.375996+(0.380562-1.202682))+0-530.6-0.541212000000085</f>
        <v>1975.2126640000001</v>
      </c>
      <c r="X286" s="3">
        <f>3724.2+(594.5-1486.3)+(-5.698026+(-0.909585--2.274039))+0-679.2--1.03917600000004</f>
        <v>2149.9056039999996</v>
      </c>
      <c r="Y286" s="3">
        <f>3263.4+(591.8-1088.5)+(-1.664334+(-0.301818--0.555135))+0-631.4--0.322013999999936</f>
        <v>2134.2109969999997</v>
      </c>
      <c r="Z286" s="3">
        <f>2748.8+(695.9-680.4)+(-2.803776+(-0.709818--0.694008))+0-621.7--0.634134000000099</f>
        <v>2140.4145479999997</v>
      </c>
      <c r="AA286" s="3">
        <f>2570.1+(635-369.5)+(-1.310751+(-0.32385--0.188445))+0-681.5--0.347564999999931</f>
        <v>2153.001409</v>
      </c>
      <c r="AB286" s="3">
        <f>2393.2+(551.9-421.4)+(-1.220532+(-0.281469--0.214914))+0-573.8--0.292637999999942</f>
        <v>1948.9055509999996</v>
      </c>
      <c r="AC286" s="3">
        <f>1965.5+(879.5-305.1)+(-2.00481+(-0.89709--0.311202))+0-622.6--0.635052000000099</f>
        <v>1915.3443540000003</v>
      </c>
      <c r="AD286" s="2">
        <v>2084.3000000000002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1620.5+(862.5-268.8)+(0+(0-0))+0-529.9-0</f>
        <v>1684.2999999999997</v>
      </c>
      <c r="G287" s="3">
        <f>1576+(882.5-245.5)+(2.41128+(1.350225-0.375615))+0-632.3-0.967419000000036</f>
        <v>1583.118471</v>
      </c>
      <c r="H287" s="3">
        <f>1546.3+(796.2-238.7)+(3.154452+(1.624248-0.486948))+0-585-1.19339999999997</f>
        <v>1521.8983520000004</v>
      </c>
      <c r="I287" s="3">
        <f>1468.9+(828.7-210.5)+(0+(0-0))+0-571.5-0</f>
        <v>1515.6000000000004</v>
      </c>
      <c r="J287" s="3">
        <f>1480.2+(880.2-206.4)+(-1.509804+(-0.897804--0.210528))+0-646.6--0.659532000000103</f>
        <v>1505.8624520000003</v>
      </c>
      <c r="K287" s="3">
        <f>1633.1+(707.9-236)+(1.665762+(0.722058-0.24072))+0-559.1-0.570282000000089</f>
        <v>1547.4768180000001</v>
      </c>
      <c r="L287" s="3">
        <f>1720.3+(895.4-290.4)+(-4.386765+(-2.28327--0.74052))+0-654.5--1.66897499999991</f>
        <v>1666.5394600000002</v>
      </c>
      <c r="M287" s="3">
        <f>1986.5+(681.1-359.1)+(-2.02623+(-0.694722--0.366282))+0-559.6--0.570792000000089</f>
        <v>1747.1161219999999</v>
      </c>
      <c r="N287" s="3">
        <f>2383.3+(353.3-336.9)+(-2.430966+(-0.360366--0.343638))+0-600--0.612000000000096</f>
        <v>1797.8643060000004</v>
      </c>
      <c r="O287" s="3">
        <f>2536.3+(386.7-654.2)+(5.174052+(0.788868-1.334568))+0-441.7-0.901067999999981</f>
        <v>1830.8272840000004</v>
      </c>
      <c r="P287" s="3">
        <f>2853.7+(502.9-1017.8)+(1.455387+(0.256479-0.519078))+0-537.5-0.274124999999946</f>
        <v>1802.2186629999997</v>
      </c>
      <c r="Q287" s="3">
        <f>2969.2+(380.9-1055.4)+(-7.57146+(-0.971295--2.69127))+0-461.9--1.17784499999993</f>
        <v>1828.1263599999995</v>
      </c>
      <c r="R287" s="3">
        <f>2626.2+(343.1-662)+(-5.357448+(-0.699924--1.35048))+0-515.8--1.05223199999998</f>
        <v>1787.8453399999996</v>
      </c>
      <c r="S287" s="3">
        <f>2387.4+(406.3-491.9)+(1.217574+(0.207213-0.250869))+0-543.7-0.277286999999945</f>
        <v>1758.9966310000002</v>
      </c>
      <c r="T287" s="3">
        <f>2198.1+(342-323.2)+(0+(0-0))+0-497.1-0</f>
        <v>1719.8000000000002</v>
      </c>
      <c r="U287" s="3">
        <f>2201.2+(358-308.9)+(-4.490448+(-0.73032--0.630156))+0-561.7--1.14586799999998</f>
        <v>1685.1552559999998</v>
      </c>
      <c r="V287" s="3">
        <f>2386.3+(303.3-438.4)+(2.434026+(0.309366-0.447168))+0-521.6-0.532032000000083</f>
        <v>1731.3641920000005</v>
      </c>
      <c r="W287" s="3">
        <f>3740.8+(394.2-1598.5)+(5.723424+(0.603126-2.445705))+0-577.8-0.884034000000033</f>
        <v>1961.6968110000003</v>
      </c>
      <c r="X287" s="3">
        <f>3579.6+(501.8-1393.4)+(-7.302384+(-1.023672--2.842536))+0-552.5--1.12709999999998</f>
        <v>2131.1435799999999</v>
      </c>
      <c r="Y287" s="3">
        <f>3149.5+(496.6-1031.5)+(3.21249+(0.506532-1.05213))+0-534.3-0.544986000000085</f>
        <v>2082.4219060000005</v>
      </c>
      <c r="Z287" s="3">
        <f>3043.9+(534.8-1003.1)+(0+(0-0))+0-557.5-0</f>
        <v>2018.1</v>
      </c>
      <c r="AA287" s="3">
        <f>2964.9+(470.1-872.2)+(-3.024198+(-0.479502--0.889644))+0-525.2--0.535704000000084</f>
        <v>2035.5216480000004</v>
      </c>
      <c r="AB287" s="3">
        <f>2536.8+(581.4-590.1)+(-2.587536+(-0.593028--0.601902))+0-552.7--0.563754000000088</f>
        <v>1973.3850920000004</v>
      </c>
      <c r="AC287" s="3">
        <f>2106.8+(580.5-371.3)+(-3.223404+(-0.888165--0.568089))+0-512.6--0.78427800000003</f>
        <v>1800.6407980000004</v>
      </c>
      <c r="AD287" s="2">
        <v>2137.7999999999997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2082.7+(447.5-275.9)+(-1.062177+(-0.228225--0.140709))+0-581.3--0.296462999999941</f>
        <v>1672.1467699999998</v>
      </c>
      <c r="G288" s="3">
        <f>1861.5+(447.9-249.9)+(-3.79746+(-0.913716--0.509796))+0-480.1--0.979403999999979</f>
        <v>1576.1780240000001</v>
      </c>
      <c r="H288" s="3">
        <f>1890.6+(474.6-256.8)+(0+(0-0))+0-583.4-0</f>
        <v>1525</v>
      </c>
      <c r="I288" s="3">
        <f>1706.5+(568.5-230.6)+(-0.870315+(-0.289935--0.117606))+0-555.1--0.283100999999944</f>
        <v>1488.5404570000001</v>
      </c>
      <c r="J288" s="3">
        <f>1700.9+(509.8-249.3)+(-0.867459+(-0.259998--0.127143))+0-476.1--0.242810999999952</f>
        <v>1484.5424970000001</v>
      </c>
      <c r="K288" s="3">
        <f>1678.1+(690.7-234.4)+(-2.567493+(-1.056771--0.358632))+0-625.7--0.957321000000036</f>
        <v>1506.391689</v>
      </c>
      <c r="L288" s="3">
        <f>1678.1+(690.7-235.4)+(-2.567493+(-1.056771--0.360162))+0-625.7--0.957321000000036</f>
        <v>1505.393219</v>
      </c>
      <c r="M288" s="3">
        <f>1732.9+(737.9-306)+(-0.883779+(-0.376329--0.15606))+0-493.4--0.25163399999995</f>
        <v>1670.5475859999999</v>
      </c>
      <c r="N288" s="3">
        <f>1873.4+(820.5-314)+(0+(0-0))+0-542.8-0</f>
        <v>1837.1000000000001</v>
      </c>
      <c r="O288" s="3">
        <f>2142.1+(550.3-501.5)+(-2.184942+(-0.561306--0.51153))+0-443.9--0.452778000000071</f>
        <v>1745.2180599999995</v>
      </c>
      <c r="P288" s="3">
        <f>2261.8+(585.4-665.8)+(-2.307036+(-0.597108--0.679116))+0-414.1--0.422382000000066</f>
        <v>1765.4973540000003</v>
      </c>
      <c r="Q288" s="3">
        <f>2471.9+(490.4-781.3)+(6.303345+(1.25052-1.992315))+0-385.4-0.982769999999944</f>
        <v>1800.17878</v>
      </c>
      <c r="R288" s="3">
        <f>2331.7+(576.7-618.5)+(-8.324169+(-2.058819--2.208045))+0-508.8--1.81641600000001</f>
        <v>1774.7414729999998</v>
      </c>
      <c r="S288" s="3">
        <f>1971.2+(599.8-422.7)+(-4.021248+(-1.223592--0.862308))+0-392.5--0.800699999999983</f>
        <v>1752.2181680000001</v>
      </c>
      <c r="T288" s="3">
        <f>1991.7+(645.7-430.2)+(1.015767+(0.329307-0.219402))+0-506.3-0.258212999999949</f>
        <v>1701.7674590000006</v>
      </c>
      <c r="U288" s="3">
        <f>1923.6+(521.4-391.5)+(-0.981036+(-0.265914--0.199665))+0-381.4--0.194513999999961</f>
        <v>1671.2472289999998</v>
      </c>
      <c r="V288" s="3">
        <f>2190+(503.1-518)+(0+(0-0))+0-465-0</f>
        <v>1710.1</v>
      </c>
      <c r="W288" s="3">
        <f>3644.8+(509.5-1759)+(5.576544+(0.779535-2.69127))+0-457.4-0.699822000000026</f>
        <v>1940.8649869999999</v>
      </c>
      <c r="X288" s="3">
        <f>3982.8+(529-1945.6)+(-8.124912+(-1.07916--3.969024))+0-453.1--0.92432399999998</f>
        <v>2108.7892760000004</v>
      </c>
      <c r="Y288" s="3">
        <f>3432.1+(525-1439.4)+(-3.500742+(-0.5355--1.468188))+0-441.8--0.45063600000007</f>
        <v>2073.7825819999998</v>
      </c>
      <c r="Z288" s="3">
        <f>3188.8+(556.7-1262.6)+(-3.252576+(-0.567834--1.287852))+0-460.7--0.469914000000073</f>
        <v>2020.1373560000006</v>
      </c>
      <c r="AA288" s="3">
        <f>3182.8+(575.7-1402.8)+(0+(0-0))+0-402.1-0</f>
        <v>1953.6000000000004</v>
      </c>
      <c r="AB288" s="3">
        <f>2778.6+(515.8-954.7)+(-4.251258+(-0.789174--1.460691))+0-440.6--0.674118000000026</f>
        <v>1896.194377</v>
      </c>
      <c r="AC288" s="3">
        <f>2256.5+(482.9-376.2)+(-1.150815+(-0.246279--0.191862))+0-567.5--0.289424999999942</f>
        <v>1794.784193</v>
      </c>
      <c r="AD288" s="2">
        <v>2089.3999999999996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1939.6+(525.9-279.2)+(-2.967588+(-0.804627--0.427176))+0-524.4--0.80233200000003</f>
        <v>1659.3572929999998</v>
      </c>
      <c r="G289" s="3">
        <f>1831.4+(558.5-303.2)+(0+(0-0))+0-549.2-0</f>
        <v>1537.5000000000002</v>
      </c>
      <c r="H289" s="3">
        <f>1865.8+(498.5-322.2)+(0.951558+(0.254235-0.164322))+0-554-0.282539999999944</f>
        <v>1488.858931</v>
      </c>
      <c r="I289" s="3">
        <f>1755.1+(571.9-318)+(1.790202+(0.583338-0.32436))+0-545.3-0.556206000000087</f>
        <v>1465.192974</v>
      </c>
      <c r="J289" s="3">
        <f>1762.9+(571.7-345.4)+(3.596316+(1.166268-0.704616))+0-530-1.08119999999998</f>
        <v>1462.1767680000003</v>
      </c>
      <c r="K289" s="3">
        <f>1804.9+(643.3-409.3)+(1.840998+(0.656166-0.417486))+0-547.6-0.558552000000087</f>
        <v>1492.821126</v>
      </c>
      <c r="L289" s="3">
        <f>1825.4+(806.8-442.4)+(0+(0-0))+0-568.1-0</f>
        <v>1621.7000000000003</v>
      </c>
      <c r="M289" s="3">
        <f>1986.2+(774.4-507.4)+(-2.025924+(-0.789888--0.517548))+0-537.4--0.548148000000086</f>
        <v>1714.0498839999998</v>
      </c>
      <c r="N289" s="3">
        <f>2243.8+(705.8-696.1)+(2.288676+(0.719916-0.710022))+0-531.1-0.541722000000085</f>
        <v>1724.1568479999999</v>
      </c>
      <c r="O289" s="3">
        <f>2503.3+(666.3-996.7)+(-1.276683+(-0.339813--0.508317))+0-394--0.20093999999996</f>
        <v>1777.9927610000002</v>
      </c>
      <c r="P289" s="3">
        <f>2560.9+(557.5-858.8)+(-2.612118+(-0.56865--0.875976))+0-450.8--0.459816000000072</f>
        <v>1806.9550240000005</v>
      </c>
      <c r="Q289" s="3">
        <f>2677+(506.3-837.4)+(-1.36527+(-0.258213--0.427074))+0-488.1--0.24893099999995</f>
        <v>1856.8525219999999</v>
      </c>
      <c r="R289" s="3">
        <f>2449.3+(490.7-551.4)+(0+(0-0))+0-506.3-0</f>
        <v>1882.3000000000004</v>
      </c>
      <c r="S289" s="3">
        <f>1959.3+(842.1-356.7)+(-1.998486+(-0.858942--0.363834))+0-574--0.585480000000091</f>
        <v>1868.791886</v>
      </c>
      <c r="T289" s="3">
        <f>1992.7+(825.1-360.9)+(-1.016277+(-0.420801--0.184059))+0-571--0.291209999999942</f>
        <v>1884.9381909999997</v>
      </c>
      <c r="U289" s="3">
        <f>1917.2+(832-365.1)+(0.977772+(0.42432-0.186201))+0-570.2-0.290801999999942</f>
        <v>1814.8250889999997</v>
      </c>
      <c r="V289" s="3">
        <f>2080.2+(766-358)+(-6.365412+(-2.34396--1.09548))+0-630.8--1.93024800000007</f>
        <v>1851.7163560000001</v>
      </c>
      <c r="W289" s="3">
        <f>3228.7+(502.1-1248.8)+(3.293274+(0.512142-1.273776))+0-479.4-0.488988000000076</f>
        <v>2004.642652</v>
      </c>
      <c r="X289" s="3">
        <f>3714.9+(562.8-1497.1)+(-5.683797+(-0.861084--2.290563))+0-671--1.02663000000004</f>
        <v>2106.3723120000004</v>
      </c>
      <c r="Y289" s="3">
        <f>3353.2+(408.4-1206.7)+(-6.840528+(-0.833136--2.461668))+0-489.6--0.998783999999979</f>
        <v>2061.0867879999996</v>
      </c>
      <c r="Z289" s="3">
        <f>3098.7+(357.7-915.7)+(-4.741011+(-0.547281--1.401021))+0-512.1--0.78351300000003</f>
        <v>2025.4962419999999</v>
      </c>
      <c r="AA289" s="3">
        <f>2789.7+(328-550.1)+(-4.268241+(-0.50184--0.841653))+0-599.7--0.917541000000035</f>
        <v>1964.8891129999997</v>
      </c>
      <c r="AB289" s="3">
        <f>2382.4+(365.7-422.2)+(0+(0-0))+0-459.1-0</f>
        <v>1866.8000000000002</v>
      </c>
      <c r="AC289" s="3">
        <f>2124.7+(641.7-308.9)+(-4.334388+(-1.309068--0.630156))+0-647.1--1.32008399999997</f>
        <v>1806.706784</v>
      </c>
      <c r="AD289" s="2">
        <v>2111.1999999999998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2075.5+(385.8-305.7)+(0+(0-0))+0-447.4-0</f>
        <v>1708.1999999999998</v>
      </c>
      <c r="G290" s="3">
        <f>2010.1+(577-338.6)+(3.075453+(0.88281-0.518058))+0-644.4-0.985932000000037</f>
        <v>1606.5542729999997</v>
      </c>
      <c r="H290" s="3">
        <f>1789.9+(583.5-335)+(0.912849+(0.297585-0.17085))+0-491-0.25040999999995</f>
        <v>1548.1891740000003</v>
      </c>
      <c r="I290" s="3">
        <f>1700.9+(648.1-288.6)+(2.602377+(0.991593-0.441558))+0-538.6-0.824058000000031</f>
        <v>1524.1283540000002</v>
      </c>
      <c r="J290" s="3">
        <f>1770.2+(620.2-318.5)+(1.805604+(0.632604-0.32487))+0-570.7-0.582114000000091</f>
        <v>1502.7312240000001</v>
      </c>
      <c r="K290" s="3">
        <f>1830.8+(615.9-329.6)+(1.867416+(0.628218-0.336192))+0-599.2-0.611184000000096</f>
        <v>1519.4482579999999</v>
      </c>
      <c r="L290" s="3">
        <f>1829.3+(614.2-305)+(-7.463544+(-2.505936--1.2444))+0-559--2.28071999999995</f>
        <v>1573.0556399999998</v>
      </c>
      <c r="M290" s="3">
        <f>1879+(818.7-396.4)+(5.74974+(2.505222-1.212984))+0-642.6-1.96635600000007</f>
        <v>1663.7756220000003</v>
      </c>
      <c r="N290" s="3">
        <f>1852.6+(861.4-483.2)+(3.779304+(1.757256-0.985728))+0-554.9-1.13199599999998</f>
        <v>1679.3188359999995</v>
      </c>
      <c r="O290" s="3">
        <f>2195+(702.8-660.6)+(3.35835+(1.075284-1.010718))+0-525.2-0.80355600000003</f>
        <v>1714.6193599999997</v>
      </c>
      <c r="P290" s="3">
        <f>2414.1+(637.9-720.3)+(-4.924764+(-1.301316--1.469412))+0-617.5--1.25969999999997</f>
        <v>1710.7030319999999</v>
      </c>
      <c r="Q290" s="3">
        <f>2430.4+(582.4-794.8)+(-3.718512+(-0.891072--1.216044))+0-523.5--0.80095500000003</f>
        <v>1691.9074149999999</v>
      </c>
      <c r="R290" s="3">
        <f>2421.2+(396.9-575.2)+(-2.469624+(-0.404838--0.586704))+0-572.5--0.583950000000091</f>
        <v>1668.6961919999999</v>
      </c>
      <c r="S290" s="3">
        <f>1975.1+(609.9-390.9)+(-1.007301+(-0.311049--0.199359))+0-549.8--0.280397999999944</f>
        <v>1643.461407</v>
      </c>
      <c r="T290" s="3">
        <f>2040.6+(519.6-416)+(-1.040706+(-0.264996--0.21216))+0-533.8--0.272237999999946</f>
        <v>1609.5786959999998</v>
      </c>
      <c r="U290" s="3">
        <f>2002.1+(428.4-400.2)+(-4.084284+(-0.873936--0.816408))+0-435.1--0.887603999999981</f>
        <v>1591.945792</v>
      </c>
      <c r="V290" s="3">
        <f>2187.8+(448.7-429.5)+(1.115778+(0.228837-0.219045))+0-572.4-0.291923999999942</f>
        <v>1635.4336460000002</v>
      </c>
      <c r="W290" s="3">
        <f>3441.5+(377.2-1430)+(-1.755165+(-0.192372--0.7293))+0-556.9--0.284018999999944</f>
        <v>1830.8657819999996</v>
      </c>
      <c r="X290" s="3">
        <f>3838.2+(516.6-1785.2)+(-1.957482+(-0.263466--0.910452))+0-528.4--0.269483999999946</f>
        <v>2040.1589879999997</v>
      </c>
      <c r="Y290" s="3">
        <f>3709.8+(525.6-1603.6)+(-1.891998+(-0.268056--0.817836))+0-611.4--0.311813999999938</f>
        <v>2019.3695960000002</v>
      </c>
      <c r="Z290" s="3">
        <f>3618+(535.1-1507.4)+(-1.84518+(-0.272901--0.768774))+0-673.5--0.343484999999932</f>
        <v>1971.1941779999997</v>
      </c>
      <c r="AA290" s="3">
        <f>3716.7+(500.5-1635.3)+(5.686551+(0.765765-2.502009))+0-663.9-1.01576700000004</f>
        <v>1920.9345399999995</v>
      </c>
      <c r="AB290" s="3">
        <f>3617.9+(503.5-1632.9)+(0+(0-0))+0-640.9-0</f>
        <v>1847.6</v>
      </c>
      <c r="AC290" s="3">
        <f>3294.9+(524.4-1482.6)+(-3.360798+(-0.534888--1.512252))+0-591.8--0.603636000000094</f>
        <v>1743.1202020000005</v>
      </c>
      <c r="AD290" s="2">
        <v>2024.4999999999998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2342.8+(442.3-485.4)+(-3.584484+(-0.676719--0.742662))+0-663.8--1.01561400000004</f>
        <v>1633.3970730000005</v>
      </c>
      <c r="G291" s="3">
        <f>1924+(463.2-245.2)+(0+(0-0))+0-573.4-0</f>
        <v>1568.6</v>
      </c>
      <c r="H291" s="3">
        <f>1879.6+(560.4-282.6)+(0.958596+(0.285804-0.144126))+0-657.6-0.335375999999933</f>
        <v>1500.5648979999996</v>
      </c>
      <c r="I291" s="3">
        <f>1850+(482.4-248.7)+(0.9435+(0.246024-0.126837))+0-602.4-0.307223999999939</f>
        <v>1482.0554629999999</v>
      </c>
      <c r="J291" s="3">
        <f>1777.9+(602.8-265.5)+(-0.906729+(-0.307428--0.135405))+0-646.2--0.329561999999934</f>
        <v>1468.2508099999998</v>
      </c>
      <c r="K291" s="3">
        <f>1839.9+(554.9-299.1)+(2.815047+(0.848997-0.457623))+0-600.7-0.919071000000035</f>
        <v>1497.2873499999996</v>
      </c>
      <c r="L291" s="3">
        <f>1991.5+(538-324.9)+(3.046995+(0.82314-0.497097))+0-639.8-0.978894000000037</f>
        <v>1567.1941440000001</v>
      </c>
      <c r="M291" s="3">
        <f>1813.6+(771.4-348.7)+(-0.924936+(-0.393414--0.177837))+0-623.4--0.317933999999937</f>
        <v>1612.0774209999997</v>
      </c>
      <c r="N291" s="3">
        <f>1819.5+(817.6-387.7)+(0.927945+(0.416976-0.197727))+0-561.9-0.286568999999943</f>
        <v>1688.3606250000003</v>
      </c>
      <c r="O291" s="3">
        <f>2270.4+(616.5-513.9)+(1.157904+(0.314415-0.262089))+0-563.8-0.287537999999943</f>
        <v>1810.1226920000001</v>
      </c>
      <c r="P291" s="3">
        <f>2440.6+(534.8-521.3)+(-1.244706+(-0.272748--0.265863))+0-652.2--0.332621999999934</f>
        <v>1800.9810309999996</v>
      </c>
      <c r="Q291" s="3">
        <f>2541.2+(486.9-610.8)+(-3.888036+(-0.744957--0.934524))+0-618.3--0.945999000000036</f>
        <v>1796.2475299999999</v>
      </c>
      <c r="R291" s="3">
        <f>2413.6+(397.8-471.7)+(-2.461872+(-0.405756--0.481134))+0-577.6--0.589152000000092</f>
        <v>1760.3026580000001</v>
      </c>
      <c r="S291" s="3">
        <f>2086.6+(595.9-369.5)+(-2.128332+(-0.607818--0.37689))+0-576.3--0.587826000000092</f>
        <v>1734.928566</v>
      </c>
      <c r="T291" s="3">
        <f>1938.9+(686.6-362.8)+(-3.955356+(-1.400664--0.740112))+0-564.8--1.15219199999998</f>
        <v>1694.4362840000001</v>
      </c>
      <c r="U291" s="3">
        <f>1956.1+(752.6-363.8)+(4.988055+(1.91913-0.92769))+0-688.3-1.7551649999999</f>
        <v>1660.8243300000004</v>
      </c>
      <c r="V291" s="3">
        <f>1972.5+(689-353.5)+(0+(0-0))+0-597.8-0</f>
        <v>1710.2</v>
      </c>
      <c r="W291" s="3">
        <f>3008.1+(490.3-867.6)+(3.068262+(0.500106-0.884952))+0-709.4-0.723588000000113</f>
        <v>1923.3598279999994</v>
      </c>
      <c r="X291" s="3">
        <f>3723.1+(421.6-1383.6)+(-5.696343+(-0.645048--2.116908))+0-621.6--0.951048000000036</f>
        <v>2136.2265649999999</v>
      </c>
      <c r="Y291" s="3">
        <f>3789.8+(390.4-1367.9)+(1.932798+(0.199104-0.697629))+0-699.1-0.356540999999929</f>
        <v>2114.277732</v>
      </c>
      <c r="Z291" s="3">
        <f>3856.3+(516.5-1633.7)+(1.966713+(0.263415-0.833187))+0-674.7-0.344096999999932</f>
        <v>2065.4528440000004</v>
      </c>
      <c r="AA291" s="3">
        <f>3747.6+(512.4-1548.5)+(3.822552+(0.522648-1.57947))+0-698.8-0.712776000000111</f>
        <v>2014.752954</v>
      </c>
      <c r="AB291" s="3">
        <f>3229.6+(618.6-1245.8)+(-3.294192+(-0.630972--1.270716))+0-662.4--0.675648000000106</f>
        <v>1938.0212000000004</v>
      </c>
      <c r="AC291" s="3">
        <f>2483.7+(509.5-516.2)+(-6.333435+(-1.299225--1.31631))+0-665.2--1.6962599999999</f>
        <v>1807.1799099999998</v>
      </c>
      <c r="AD291" s="2">
        <v>2226.7999999999997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1977.6+(659.8-292.3)+(-3.025728+(-1.009494--0.447219))+0-680.4--1.04101200000004</f>
        <v>1662.1530090000001</v>
      </c>
      <c r="G292" s="3">
        <f>2025+(467.4-277.7)+(0+(0-0))+0-614.4-0</f>
        <v>1600.2999999999997</v>
      </c>
      <c r="H292" s="3">
        <f>1899.7+(583.2-246.2)+(0.968847+(0.297432-0.125562))+0-693.5-0.35368499999993</f>
        <v>1543.9870320000005</v>
      </c>
      <c r="I292" s="3">
        <f>1831.7+(533.9-282.5)+(2.802501+(0.816867-0.432225))+0-569.2-0.870876000000033</f>
        <v>1516.216267</v>
      </c>
      <c r="J292" s="3">
        <f>1891.5+(528.7-321.1)+(4.823325+(1.348185-0.818805))+0-590.7-1.50628499999991</f>
        <v>1512.2464199999997</v>
      </c>
      <c r="K292" s="3">
        <f>1897.7+(531.4-283.8)+(1.935654+(0.542028-0.289476))+0-593.8-0.605676000000095</f>
        <v>1553.0825299999999</v>
      </c>
      <c r="L292" s="3">
        <f>1982.7+(643.1-341.3)+(-6.067062+(-1.967886--1.044378))+0-600--1.83600000000007</f>
        <v>1679.3454300000001</v>
      </c>
      <c r="M292" s="3">
        <f>2051.9+(651.9-348.2)+(3.139407+(0.997407-0.532746))+0-556.9-0.852057000000032</f>
        <v>1801.4520109999999</v>
      </c>
      <c r="N292" s="3">
        <f>2299+(664.2-539.3)+(0+(0-0))+0-594.9-0</f>
        <v>1829</v>
      </c>
      <c r="O292" s="3">
        <f>2357.3+(587.7-663.2)+(-4.808892+(-1.198908--1.352928))+0-478.3--0.975731999999979</f>
        <v>1799.82086</v>
      </c>
      <c r="P292" s="3">
        <f>2684.5+(711.9-1035.8)+(2.73819+(0.726138-1.056516))+0-543.5-0.554370000000087</f>
        <v>1818.9534419999998</v>
      </c>
      <c r="Q292" s="3">
        <f>2907.6+(832.6-1274.2)+(0+(0-0))+0-658.3-0</f>
        <v>1807.7</v>
      </c>
      <c r="R292" s="3">
        <f>2908.6+(813.5-1398.5)+(-4.450158+(-1.244655--2.139705))+0-506.8--0.775404000000029</f>
        <v>1814.0202959999999</v>
      </c>
      <c r="S292" s="3">
        <f>2628.9+(770.1-954.6)+(-2.681478+(-0.785502--0.973692))+0-642.9--0.655758000000103</f>
        <v>1799.66247</v>
      </c>
      <c r="T292" s="3">
        <f>2220.8+(841.1-637.5)+(1.132608+(0.428961-0.325125))+0-647.9-0.330428999999934</f>
        <v>1777.4060150000003</v>
      </c>
      <c r="U292" s="3">
        <f>2079.1+(861.3-529.9)+(3.181023+(1.317789-0.810747))+0-634.5-0.970785000000037</f>
        <v>1778.7172799999998</v>
      </c>
      <c r="V292" s="3">
        <f>2165.9+(882.9-532.9)+(1.104609+(0.450279-0.271779))+0-675.4-0.344453999999931</f>
        <v>1841.4386549999999</v>
      </c>
      <c r="W292" s="3">
        <f>3743.3+(753-1921.9)+(0+(0-0))+0-537.9-0</f>
        <v>2036.5</v>
      </c>
      <c r="X292" s="3">
        <f>4178+(702.1-2061)+(-2.13078+(-0.358071--1.05111))+0-595.5--0.30370499999994</f>
        <v>2222.4659639999995</v>
      </c>
      <c r="Y292" s="3">
        <f>3926.7+(748.9-1761)+(-8.010468+(-1.527756--3.59244))+0-716.5--1.46165999999997</f>
        <v>2193.6158759999998</v>
      </c>
      <c r="Z292" s="3">
        <f>3372.7+(835.7-1450.9)+(-1.720077+(-0.426207--0.739959))+0-604.3--0.308192999999939</f>
        <v>2152.1018679999997</v>
      </c>
      <c r="AA292" s="3">
        <f>3253.5+(825.3-1257.1)+(0+(0-0))+0-721.4-0</f>
        <v>2100.2999999999997</v>
      </c>
      <c r="AB292" s="3">
        <f>2827+(931.5-1034.1)+(-4.32531+(-1.425195--1.582173))+0-642.8--0.983484000000037</f>
        <v>2078.415152</v>
      </c>
      <c r="AC292" s="3">
        <f>2079+(941.4-404.8)+(-1.06029+(-0.480114--0.206448))+0-671.6--0.342515999999932</f>
        <v>1943.00856</v>
      </c>
      <c r="AD292" s="2">
        <v>2187.1999999999998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1831+(967.2-309.1)+(-1.86762+(-0.986544--0.315282))+0-691.1--0.70492200000011</f>
        <v>1796.1660400000003</v>
      </c>
      <c r="G293" s="3">
        <f>1733.2+(926.6-269.1)+(0.883932+(0.472566-0.137241))+0-692.2-0.35302199999993</f>
        <v>1699.366235</v>
      </c>
      <c r="H293" s="3">
        <f>1721.8+(806.3-250.2)+(-1.756236+(-0.822426--0.255204))+0-622.5--0.634950000000099</f>
        <v>1653.7114919999999</v>
      </c>
      <c r="I293" s="3">
        <f>1787.9+(777.8-274.9)+(0.911829+(0.396678-0.140199))+0-662.5-0.337874999999933</f>
        <v>1629.130433</v>
      </c>
      <c r="J293" s="3">
        <f>1745.1+(827-292.5)+(3.560004+(1.68708-0.5967))+0-669.7-1.36618799999997</f>
        <v>1613.1841959999999</v>
      </c>
      <c r="K293" s="3">
        <f>1788.5+(820.3-297.1)+(1.82427+(0.836706-0.303042))+0-663.4-0.676668000000106</f>
        <v>1649.9812659999998</v>
      </c>
      <c r="L293" s="3">
        <f>1955.1+(852.2-339.7)+(1.994202+(0.869244-0.346494))+0-700.1-0.714102000000112</f>
        <v>1769.3028499999998</v>
      </c>
      <c r="M293" s="3">
        <f>1998.2+(842.6-352.8)+(-2.038164+(-0.859452--0.359856))+0-620.6--0.633012000000099</f>
        <v>1865.4952519999999</v>
      </c>
      <c r="N293" s="3">
        <f>2388.7+(618.6-558.3)+(2.436474+(0.630972-0.569466))+0-556.8-0.567936000000089</f>
        <v>1894.130044</v>
      </c>
      <c r="O293" s="3">
        <f>2668.6+(718.6-1135.8)+(2.721972+(0.732972-1.158516))+0-474.8-0.484296000000076</f>
        <v>1778.4121320000002</v>
      </c>
      <c r="P293" s="3">
        <f>2632.2+(842.8-1162.1)+(1.342422+(0.429828-0.592671))+0-533.9-0.272288999999946</f>
        <v>1779.9072899999996</v>
      </c>
      <c r="Q293" s="3">
        <f>2922.7+(792.7-1501.5)+(-1.490577+(-0.404277--0.765765))+0-469.8--0.239597999999952</f>
        <v>1743.2105089999995</v>
      </c>
      <c r="R293" s="3">
        <f>2713.5+(755-1209.8)+(-5.53554+(-1.5402--2.467992))+0-481.3--0.981851999999979</f>
        <v>1773.7741039999999</v>
      </c>
      <c r="S293" s="3">
        <f>2320.8+(731.1-753.3)+(-3.550824+(-1.118583--1.152549))+0-510--0.78030000000003</f>
        <v>1785.8634420000005</v>
      </c>
      <c r="T293" s="3">
        <f>2213.3+(803.8-652.3)+(-6.772698+(-2.459628--1.996038))+0-550.1--1.68330600000006</f>
        <v>1809.1470180000003</v>
      </c>
      <c r="U293" s="3">
        <f>2266.3+(701.2-638.5)+(3.467439+(1.072836-0.976905))+0-560.5-0.857565000000032</f>
        <v>1771.2058049999998</v>
      </c>
      <c r="V293" s="3">
        <f>2523.1+(711.6-783.7)+(0+(0-0))+0-631.1-0</f>
        <v>1819.9</v>
      </c>
      <c r="W293" s="3">
        <f>3803+(806.6-2017.9)+(1.93953+(0.411366-1.029129))+0-623.2-0.317831999999937</f>
        <v>1969.5039349999997</v>
      </c>
      <c r="X293" s="3">
        <f>4099.7+(868.3-2165.1)+(-10.454235+(-2.214165--5.521005))+0-638.8--1.62893999999991</f>
        <v>2158.5815449999996</v>
      </c>
      <c r="Y293" s="3">
        <f>3709.3+(851.2-1709.3)+(-3.783486+(-0.868224--1.743486))+0-687.6--0.70135200000011</f>
        <v>2161.3931280000006</v>
      </c>
      <c r="Z293" s="3">
        <f>3433.3+(745.8-1432.2)+(-1.750983+(-0.380358--0.730422))+0-624.1--0.318290999999937</f>
        <v>2121.7173720000001</v>
      </c>
      <c r="AA293" s="3">
        <f>3361.7+(821.4-1427.5)+(-6.857868+(-1.675656--2.9121))+0-698.6--1.42514399999997</f>
        <v>2052.8037199999999</v>
      </c>
      <c r="AB293" s="3">
        <f>2664.7+(943.5-1075.6)+(-1.358997+(-0.481185--0.548556))+0-581.9--0.296768999999941</f>
        <v>1949.7051429999997</v>
      </c>
      <c r="AC293" s="3">
        <f>2046+(1015.9-543.6)+(-5.2173+(-2.590545--1.38618))+0-679.2--1.7319599999999</f>
        <v>1834.4102950000001</v>
      </c>
      <c r="AD293" s="2">
        <v>2141.8000000000002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1750.8+(875.7-307.3)+(-4.46454+(-2.233035--0.783615))+0-604.8--1.54223999999991</f>
        <v>1710.02828</v>
      </c>
      <c r="G294" s="3">
        <f>1630.4+(920.9-269.1)+(-4.15752+(-2.348295--0.686205))+0-684--1.7441999999999</f>
        <v>1594.1245899999997</v>
      </c>
      <c r="H294" s="3">
        <f>1715.8+(752.5-272.1)+(1.750116+(0.76755-0.277542))+0-649.4-0.662388000000104</f>
        <v>1548.3777359999995</v>
      </c>
      <c r="I294" s="3">
        <f>1821.5+(727.7-340)+(0.928965+(0.371127-0.1734))+0-690.7-0.35225699999993</f>
        <v>1519.2744349999996</v>
      </c>
      <c r="J294" s="3">
        <f>1665.6+(821.5-294.8)+(-1.698912+(-0.83793--0.300696))+0-667.4--0.680748000000106</f>
        <v>1523.3446019999999</v>
      </c>
      <c r="K294" s="3">
        <f>1657.9+(791.6-302.5)+(1.691058+(0.807432-0.30855))+0-578.3-0.589866000000092</f>
        <v>1570.3000740000002</v>
      </c>
      <c r="L294" s="3">
        <f>1911+(835.8-377.1)+(3.89844+(1.705032-0.769284))+0-687.4-1.40229599999997</f>
        <v>1685.7318919999996</v>
      </c>
      <c r="M294" s="3">
        <f>1930.3+(781.8-439.7)+(-1.968906+(-0.797436--0.448494))+0-483.5--0.493170000000077</f>
        <v>1787.0753219999999</v>
      </c>
      <c r="N294" s="3">
        <f>2311.2+(724.4-602.6)+(-1.178712+(-0.369444--0.307326))+0-626.4--0.319463999999936</f>
        <v>1805.6786339999996</v>
      </c>
      <c r="O294" s="3">
        <f>2341+(836-825.3)+(-2.38782+(-0.85272--0.841806))+0-543--0.553860000000087</f>
        <v>1806.8551259999999</v>
      </c>
      <c r="P294" s="3">
        <f>2287+(949.4-1057.5)+(-2.33274+(-0.968388--1.07865))+0-378.7--0.38627400000006</f>
        <v>1798.3637959999999</v>
      </c>
      <c r="Q294" s="3">
        <f>2299.2+(1052.2-1035.2)+(-2.345184+(-1.073244--1.055904))+0-502.2--0.51224400000008</f>
        <v>1812.1497199999997</v>
      </c>
      <c r="R294" s="3">
        <f>2192.1+(851.8-730.9)+(-4.471884+(-1.737672--1.491036))+0-535.8--1.09303199999998</f>
        <v>1773.5745120000001</v>
      </c>
      <c r="S294" s="3">
        <f>2397.1+(648.7-765.5)+(1.222521+(0.330837-0.390405))+0-538.1-0.274430999999945</f>
        <v>1743.0885220000002</v>
      </c>
      <c r="T294" s="3">
        <f>2256.4+(650.5-687.3)+(-1.150764+(-0.331755--0.350523))+0-536.2--0.273461999999946</f>
        <v>1682.5414660000001</v>
      </c>
      <c r="U294" s="3">
        <f>2197.1+(635.2-584.4)+(-2.241042+(-0.647904--0.596088))+0-583--0.594660000000093</f>
        <v>1663.2018020000005</v>
      </c>
      <c r="V294" s="3">
        <f>2406.9+(568-813.2)+(-2.455038+(-0.57936--0.829464))+0-438.2--0.44696400000007</f>
        <v>1721.7420299999999</v>
      </c>
      <c r="W294" s="3">
        <f>3502.5+(791.3-1741)+(1.786275+(0.403563-0.88791))+0-631.9-0.322268999999936</f>
        <v>1921.8796589999999</v>
      </c>
      <c r="X294" s="3">
        <f>3780.2+(783.6-1854.5)+(-5.783706+(-1.198908--2.837385))+0-544.4--0.832932000000031</f>
        <v>2161.5877029999997</v>
      </c>
      <c r="Y294" s="3">
        <f>3764.8+(656.6-1700.5)+(1.920048+(0.334866-0.867255))+0-571-0.291209999999942</f>
        <v>2150.9964490000002</v>
      </c>
      <c r="Z294" s="3">
        <f>3697.5+(657.3-1730.2)+(-1.885725+(-0.335223--0.882402))+0-555.1--0.283100999999944</f>
        <v>2068.444555</v>
      </c>
      <c r="AA294" s="3">
        <f>3627.9+(662.8-1677.9)+(-3.700458+(-0.676056--1.711458))+0-598.3--0.610266000000095</f>
        <v>2012.4452100000005</v>
      </c>
      <c r="AB294" s="3">
        <f>2943.2+(606.8-1064.9)+(-6.004128+(-1.237872--2.172396))+0-559.3--1.14097199999998</f>
        <v>1921.8713679999996</v>
      </c>
      <c r="AC294" s="3">
        <f>2034.6+(762.1-421)+(-5.18823+(-1.943355--1.07355))+0-540.6--1.37852999999992</f>
        <v>1830.4204949999998</v>
      </c>
      <c r="AD294" s="2">
        <v>2123.1999999999998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1803.5+(729.4-307.9)+(-0.919785+(-0.371994--0.157029))+0-604.8--0.308447999999939</f>
        <v>1619.3736979999999</v>
      </c>
      <c r="G295" s="3">
        <f>1625.1+(703.5-245.2)+(-3.315204+(-1.43514--0.500208))+0-571.8--1.16647199999997</f>
        <v>1508.5163359999999</v>
      </c>
      <c r="H295" s="3">
        <f>1735.1+(560.3-347.5)+(0.884901+(0.285753-0.177225))+0-485.8-0.247757999999951</f>
        <v>1462.845671</v>
      </c>
      <c r="I295" s="3">
        <f>1624.7+(609.5-263.6)+(-2.485791+(-0.932535--0.403308))+0-542.8--0.830484000000031</f>
        <v>1425.615466</v>
      </c>
      <c r="J295" s="3">
        <f>1764.8+(544.7-349.4)+(0.900048+(0.277797-0.178194))+0-532.6-0.271625999999946</f>
        <v>1428.2280250000001</v>
      </c>
      <c r="K295" s="3">
        <f>1830.2+(630.4-389.1)+(0.933402+(0.321504-0.198441))+0-630.7-0.321656999999936</f>
        <v>1441.5348080000001</v>
      </c>
      <c r="L295" s="3">
        <f>1831.1+(744.3-391.1)+(-4.669305+(-1.897965--0.997305))+0-554.8--1.41473999999992</f>
        <v>1625.3447749999996</v>
      </c>
      <c r="M295" s="3">
        <f>1814.6+(820.6-398.1)+(-2.776338+(-1.255518--0.609093))+0-505.3--0.773109000000029</f>
        <v>1729.1503459999999</v>
      </c>
      <c r="N295" s="3">
        <f>2159.2+(629.4-510.2)+(2.202384+(0.641988-0.520404))+0-526.2-0.536724000000084</f>
        <v>1753.9872439999997</v>
      </c>
      <c r="O295" s="3">
        <f>2357.5+(623.9-745.4)+(-1.202325+(-0.318189--0.380154))+0-397.5--0.20272499999996</f>
        <v>1837.562365</v>
      </c>
      <c r="P295" s="3">
        <f>2756.9+(739.1-1128.9)+(4.218057+(1.130823-1.727217))+0-543.4-0.831402000000031</f>
        <v>1826.4902609999997</v>
      </c>
      <c r="Q295" s="3">
        <f>3029.2+(861.6-1472.5)+(0+(0-0))+0-551.5-0</f>
        <v>1866.7999999999997</v>
      </c>
      <c r="R295" s="3">
        <f>2853.8+(679.6-1174.9)+(-1.455438+(-0.346596--0.599199))+0-461.4--0.235313999999953</f>
        <v>1896.1324789999999</v>
      </c>
      <c r="S295" s="3">
        <f>2825.7+(631.3-985.5)+(-1.441107+(-0.321963--0.502605))+0-635.5--0.324104999999936</f>
        <v>1835.0636400000001</v>
      </c>
      <c r="T295" s="3">
        <f>2574.5+(718.7-1013.5)+(-1.312995+(-0.366537--0.516885))+0-492.6--0.25122599999995</f>
        <v>1786.1885789999997</v>
      </c>
      <c r="U295" s="3">
        <f>2578.4+(585.6-848.7)+(0+(0-0))+0-600.6-0</f>
        <v>1714.7000000000003</v>
      </c>
      <c r="V295" s="3">
        <f>2769.4+(508.6-990.2)+(-1.412394+(-0.259386--0.505002))+0-501.2--0.255611999999949</f>
        <v>1785.6888340000003</v>
      </c>
      <c r="W295" s="3">
        <f>4239.8+(657.8-2331.6)+(2.162298+(0.335478-1.189116))+0-567.9-0.289628999999942</f>
        <v>1999.1190310000002</v>
      </c>
      <c r="X295" s="3">
        <f>4644.5+(742-2600.7)+(-9.47478+(-1.51368--5.305428))+0-594.1--1.21196399999997</f>
        <v>2187.2289320000004</v>
      </c>
      <c r="Y295" s="3">
        <f>4269.8+(761.1-2331.9)+(-2.177598+(-0.388161--1.189269))+0-542.2--0.276521999999945</f>
        <v>2155.7000319999997</v>
      </c>
      <c r="Z295" s="3">
        <f>4127.4+(805.1-2183.9)+(-4.209948+(-0.821202--2.227578))+0-635.8--0.648516000000101</f>
        <v>2110.6449439999997</v>
      </c>
      <c r="AA295" s="3">
        <f>3566.3+(895.7-1832.7)+(0+(0-0))+0-524-0</f>
        <v>2105.3000000000002</v>
      </c>
      <c r="AB295" s="3">
        <f>3388.1+(871.9-1592.4)+(-5.183793+(-1.334007--2.436372))+0-652.2--0.997866000000038</f>
        <v>2012.3164379999998</v>
      </c>
      <c r="AC295" s="3">
        <f>2696.6+(837-1093.1)+(-2.750532+(-0.85374--1.114962))+0-527.5--0.538050000000084</f>
        <v>1911.0487400000002</v>
      </c>
      <c r="AD295" s="2">
        <v>2201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1841.1+(751.3-339.9)+(-4.694805+(-1.915815--0.866745))+0-632.3--1.61236499999991</f>
        <v>1616.0684899999999</v>
      </c>
      <c r="G296" s="3">
        <f>1699.2+(672.8-285)+(0+(0-0))+0-523.6-0</f>
        <v>1563.4</v>
      </c>
      <c r="H296" s="3">
        <f>1624.6+(729.2-250.5)+(-1.657092+(-0.743784--0.25551))+0-599.4--0.611388000000096</f>
        <v>1502.3660219999999</v>
      </c>
      <c r="I296" s="3">
        <f>1694.6+(603.9-311.1)+(-1.728492+(-0.615978--0.317322))+0-518.3--0.528666000000083</f>
        <v>1467.6015180000002</v>
      </c>
      <c r="J296" s="3">
        <f>1677.1+(638.8-274.3)+(0+(0-0))+0-569.4-0</f>
        <v>1472.1999999999998</v>
      </c>
      <c r="K296" s="3">
        <f>1795.5+(572.1-316.6)+(-0.915705+(-0.291771--0.161466))+0-604.2--0.308141999999939</f>
        <v>1446.0621319999998</v>
      </c>
      <c r="L296" s="3">
        <f>1986.3+(708.5-342.1)+(0+(0-0))+0-632.1-0</f>
        <v>1720.6</v>
      </c>
      <c r="M296" s="3">
        <f>2142.8+(637.1-441.1)+(2.185656+(0.649842-0.449922))+0-549.7-0.560694000000088</f>
        <v>1790.9248820000003</v>
      </c>
      <c r="N296" s="3">
        <f>2603.9+(739.6-879.9)+(2.655978+(0.754392-0.897498))+0-639.8-0.652596000000102</f>
        <v>1825.6602760000001</v>
      </c>
      <c r="O296" s="3">
        <f>2966+(924.9-1490.5)+(0+(0-0))+0-519.9-0</f>
        <v>1880.5</v>
      </c>
      <c r="P296" s="3">
        <f>3121.1+(891.9-1614.5)+(4.775283+(1.364607-2.470185))+0-540-0.826200000000031</f>
        <v>1861.3435049999998</v>
      </c>
      <c r="Q296" s="3">
        <f>3334.7+(898.9-1763.8)+(-3.401394+(-0.916878--1.799076))+0-568.9--0.580278000000091</f>
        <v>1898.9610819999996</v>
      </c>
      <c r="R296" s="3">
        <f>2849.3+(505.1-900.6)+(-7.265715+(-1.288005--2.29653))+0-555.8--1.41728999999992</f>
        <v>1893.1601000000003</v>
      </c>
      <c r="S296" s="3">
        <f>2475.3+(665.7-791.7)+(-1.262403+(-0.339507--0.403767))+0-545.1--0.278000999999945</f>
        <v>1803.2798580000001</v>
      </c>
      <c r="T296" s="3">
        <f>2346.6+(688.5-721.7)+(-1.196766+(-0.351135--0.368067))+0-621.3--0.316862999999937</f>
        <v>1691.2370289999997</v>
      </c>
      <c r="U296" s="3">
        <f>2222.9+(756.3-769.5)+(1.133679+(0.385713-0.392445))+0-612.4-0.312323999999938</f>
        <v>1598.1146229999999</v>
      </c>
      <c r="V296" s="3">
        <f>2779.7+(783.4-1111)+(0+(0-0))+0-628.5-0</f>
        <v>1823.6</v>
      </c>
      <c r="W296" s="3">
        <f>4227.2+(910.5-2389.7)+(2.155872+(0.464355-1.218747))+0-663.9-0.338588999999933</f>
        <v>2085.1628909999999</v>
      </c>
      <c r="X296" s="3">
        <f>4874.4+(960-2832.2)+(-12.42972+(-2.448--7.22211))+0-632.3--1.61236499999991</f>
        <v>2363.8567549999998</v>
      </c>
      <c r="Y296" s="3">
        <f>4201.5+(942.4-2279.9)+(-8.57106+(-1.922496--4.650996))+0-638.9--1.30335599999997</f>
        <v>2220.5607959999998</v>
      </c>
      <c r="Z296" s="3">
        <f>3801.6+(838.4-1936.3)+(-9.69408+(-2.13792--4.937565))+0-562.9--1.43539499999992</f>
        <v>2135.3409599999995</v>
      </c>
      <c r="AA296" s="3">
        <f>3523.8+(827.4-1693.6)+(-3.594276+(-0.843948--1.727472))+0-589.5--0.601290000000094</f>
        <v>2065.9905380000005</v>
      </c>
      <c r="AB296" s="3">
        <f>3044+(985-1566.1)+(-4.65732+(-1.50705--2.396133))+0-516.4--0.79009200000003</f>
        <v>1943.5218549999997</v>
      </c>
      <c r="AC296" s="3">
        <f>2801.5+(937.5-1258.1)+(-2.85753+(-0.95625--1.283262))+0-630.6--0.643212000000101</f>
        <v>1848.4126940000003</v>
      </c>
      <c r="AD296" s="2">
        <v>2337.1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2144.3+(789.6-635.9)+(-1.093593+(-0.402696--0.324309))+0-589.3--0.30054299999994</f>
        <v>1707.8285629999998</v>
      </c>
      <c r="G297" s="3">
        <f>1883.2+(915.5-565.6)+(2.881296+(1.400715-0.865368))+0-618-0.945540000000036</f>
        <v>1617.571103</v>
      </c>
      <c r="H297" s="3">
        <f>1667.6+(991.8-504)+(-0.850476+(-0.505818--0.25704))+0-590.7--0.30125699999994</f>
        <v>1563.9020029999992</v>
      </c>
      <c r="I297" s="3">
        <f>1517.5+(1052.7-366.5)+(2.321775+(1.610631-0.560745))+0-692.8-1.05998400000004</f>
        <v>1513.211677</v>
      </c>
      <c r="J297" s="3">
        <f>1555.5+(948.1-362)+(0+(0-0))+0-625.8-0</f>
        <v>1515.8</v>
      </c>
      <c r="K297" s="3">
        <f>1599.3+(937.5-308.6)+(3.262572+(1.9125-0.629544))+0-689.1-1.40576399999997</f>
        <v>1542.2397640000002</v>
      </c>
      <c r="L297" s="3">
        <f>1767.7+(905.4-364.1)+(-3.606108+(-1.847016--0.742764))+0-647.3--1.32049199999997</f>
        <v>1658.3101320000001</v>
      </c>
      <c r="M297" s="3">
        <f>2009.6+(802.9-485.3)+(-1.024896+(-0.409479--0.247503))+0-608.4--0.310283999999938</f>
        <v>1717.9234119999994</v>
      </c>
      <c r="N297" s="3">
        <f>2353.9+(789.8-744.5)+(-1.200489+(-0.402798--0.379695))+0-607.2--0.309671999999938</f>
        <v>1791.0860799999998</v>
      </c>
      <c r="O297" s="3">
        <f>2741.3+(1020.8-1305.7)+(2.796126+(1.041216-1.331814))+0-572.8-0.584256000000091</f>
        <v>1885.5212720000002</v>
      </c>
      <c r="P297" s="3">
        <f>2987.5+(1100.2-1583.1)+(-1.523625+(-0.561102--0.807381))+0-566.6--0.288965999999943</f>
        <v>1937.0116200000004</v>
      </c>
      <c r="Q297" s="3">
        <f>3239.9+(1150.3-1846.7)+(0+(0-0))+0-558.8-0</f>
        <v>1984.7</v>
      </c>
      <c r="R297" s="3">
        <f>3070+(1146.9-1627.8)+(-4.6971+(-1.754757--2.490534))+0-640.2--0.979506000000037</f>
        <v>1945.9181830000005</v>
      </c>
      <c r="S297" s="3">
        <f>2559.1+(902-1019.1)+(0+(0-0))+0-540.3-0</f>
        <v>1901.7</v>
      </c>
      <c r="T297" s="3">
        <f>2357.7+(1017-835.6)+(-6.012135+(-2.59335--2.13078))+0-665.8--1.6977899999999</f>
        <v>1868.5230849999998</v>
      </c>
      <c r="U297" s="3">
        <f>2090.2+(1080.2-769.6)+(-3.198006+(-1.652706--1.177488))+0-573.9--0.878067000000033</f>
        <v>1824.1048429999996</v>
      </c>
      <c r="V297" s="3">
        <f>2154.6+(1186.2-846.2)+(-3.296538+(-1.814886--1.294686))+0-543.6--0.831708000000031</f>
        <v>1948.0149699999999</v>
      </c>
      <c r="W297" s="3">
        <f>3421.9+(1040.4-1907.5)+(1.745169+(0.530604-0.972825))+0-495.7-0.25280699999995</f>
        <v>2060.1501410000005</v>
      </c>
      <c r="X297" s="3">
        <f>3659.7+(1021.7-1942.7)+(-3.732894+(-1.042134--1.981554))+0-544.8--0.555696000000087</f>
        <v>2191.6622219999995</v>
      </c>
      <c r="Y297" s="3">
        <f>3204.2+(965.3-1353.7)+(-3.268284+(-0.984606--1.380774))+0-638.2--0.650964000000102</f>
        <v>2175.3788479999998</v>
      </c>
      <c r="Z297" s="3">
        <f>2886.7+(1002.5-1134.8)+(-7.361085+(-2.556375--2.89374))+0-624.1--1.59145499999991</f>
        <v>2124.8677349999994</v>
      </c>
      <c r="AA297" s="3">
        <f>2968.3+(984.2-1180.8)+(0+(0-0))+0-694.3-0</f>
        <v>2077.4000000000005</v>
      </c>
      <c r="AB297" s="3">
        <f>2952.1+(989.3-1326.1)+(-7.527855+(-2.522715--3.381555))+0-615--1.56824999999991</f>
        <v>1995.199235</v>
      </c>
      <c r="AC297" s="3">
        <f>2751.9+(1051.9-1211.1)+(-2.806938+(-1.072938--1.235322))+0-668.7--0.682074000000107</f>
        <v>1922.0375200000003</v>
      </c>
      <c r="AD297" s="2">
        <v>2165.8999999999996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1757.4+(1192-579.8)+(-1.792548+(-1.21584--0.591396))+0-589.7--0.601494000000094</f>
        <v>1778.0845020000004</v>
      </c>
      <c r="G298" s="3">
        <f>1639.8+(1212-555.7)+(0+(0-0))+0-629.4-0</f>
        <v>1666.6999999999998</v>
      </c>
      <c r="H298" s="3">
        <f>1668+(1174.1-622.5)+(-0.85068+(-0.598791--0.317475))+0-584.6--0.298145999999941</f>
        <v>1634.1661499999998</v>
      </c>
      <c r="I298" s="3">
        <f>1745.9+(1188.9-625.9)+(2.671227+(1.819017-0.957627))+0-720.1-1.10175300000004</f>
        <v>1591.2308639999999</v>
      </c>
      <c r="J298" s="3">
        <f>1656.2+(1198.9-665.9)+(-4.22331+(-3.057195--1.698045))+0-598--1.52489999999991</f>
        <v>1587.1424400000001</v>
      </c>
      <c r="K298" s="3">
        <f>1737.8+(1168.7-547.4)+(0.886278+(0.596037-0.279174))+0-728.7-0.371636999999926</f>
        <v>1631.2315039999999</v>
      </c>
      <c r="L298" s="3">
        <f>1723.6+(1151.5-530)+(-4.39518+(-2.936325--1.3515))+0-622.8--1.58813999999991</f>
        <v>1717.9081349999999</v>
      </c>
      <c r="M298" s="3">
        <f>1670.1+(1191.7-433.1)+(-6.814008+(-4.862136--1.767048))+0-705.8--2.87966399999994</f>
        <v>1715.870568</v>
      </c>
      <c r="N298" s="3">
        <f>1791.1+(1077.8-476.1)+(-0.913461+(-0.549678--0.242811))+0-606.4--0.309263999999938</f>
        <v>1785.4889359999997</v>
      </c>
      <c r="O298" s="3">
        <f>1696.4+(1197.8-445.9)+(-1.730328+(-1.221756--0.454818))+0-587.7--0.599454000000094</f>
        <v>1858.7021880000004</v>
      </c>
      <c r="P298" s="3">
        <f>1963.9+(1009.5-529.8)+(3.004767+(1.544535-0.810594))+0-526.2-0.805086000000031</f>
        <v>1920.3336220000001</v>
      </c>
      <c r="Q298" s="3">
        <f>2302.4+(1023.6-763.6)+(-5.87112+(-2.61018--1.94718))+0-639.6--1.63097999999991</f>
        <v>1917.8968600000003</v>
      </c>
      <c r="R298" s="3">
        <f>2164.3+(1108.5-690.4)+(-5.518965+(-2.826675--1.76052))+0-677.9--1.7286449999999</f>
        <v>1899.6435249999997</v>
      </c>
      <c r="S298" s="3">
        <f>2250.9+(1016.1-781.3)+(0+(0-0))+0-611.2-0</f>
        <v>1874.5000000000002</v>
      </c>
      <c r="T298" s="3">
        <f>2273.4+(967-734)+(-2.318868+(-0.98634--0.74868))+0-665.9--0.679218000000106</f>
        <v>1838.6226900000001</v>
      </c>
      <c r="U298" s="3">
        <f>2005.2+(983.1-551)+(0+(0-0))+0-611-0</f>
        <v>1826.3000000000002</v>
      </c>
      <c r="V298" s="3">
        <f>2107.6+(1029.3-581.3)+(1.074876+(0.524943-0.296463))+0-696.3-0.355112999999929</f>
        <v>1860.248243</v>
      </c>
      <c r="W298" s="3">
        <f>2761.1+(1083.4-1170.8)+(-1.408161+(-0.552534--0.597108))+0-650.2--0.331601999999934</f>
        <v>2022.4680149999999</v>
      </c>
      <c r="X298" s="3">
        <f>3543.7+(1114.7-1728.7)+(-1.807287+(-0.568497--0.881637))+0-702.6--0.358325999999929</f>
        <v>2225.9641790000001</v>
      </c>
      <c r="Y298" s="3">
        <f>3555.4+(1007.2-1723.5)+(0+(0-0))+0-638.7-0</f>
        <v>2200.4000000000005</v>
      </c>
      <c r="Z298" s="3">
        <f>3647.4+(984.4-1754.5)+(1.860174+(0.502044-0.894795))+0-665.4-0.339353999999932</f>
        <v>2213.0280690000004</v>
      </c>
      <c r="AA298" s="3">
        <f>3373.8+(986.6-1612.5)+(6.882552+(2.012664-3.2895))+0-642.5-1.31069999999997</f>
        <v>2109.6950160000001</v>
      </c>
      <c r="AB298" s="3">
        <f>3376.2+(1085.1-1808)+(0+(0-0))+0-647.6-0</f>
        <v>2005.6999999999998</v>
      </c>
      <c r="AC298" s="3">
        <f>2759.3+(992.6-1131.1)+(-9.850701+(-3.543582--4.038027))+0-699--2.49543000000001</f>
        <v>1914.9391740000001</v>
      </c>
      <c r="AD298" s="2">
        <v>2247.8000000000002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1932+(1102.5-712.2)+(-3.94128+(-2.2491--1.452888))+0-581.4--1.18605599999997</f>
        <v>1737.3485639999999</v>
      </c>
      <c r="G299" s="3">
        <f>1769.4+(1124.8-567.8)+(-3.609576+(-2.294592--1.158312))+0-583.2--1.18972799999997</f>
        <v>1739.6438720000001</v>
      </c>
      <c r="H299" s="3">
        <f>1553.4+(1154.9-457.4)+(-2.376702+(-1.766997--0.699822))+0-585.1--0.895203000000034</f>
        <v>1663.2513260000001</v>
      </c>
      <c r="I299" s="3">
        <f>1541.5+(1085.3-406.1)+(-2.358495+(-1.660509--0.621333))+0-567.7--0.868581000000033</f>
        <v>1650.4709099999995</v>
      </c>
      <c r="J299" s="3">
        <f>1602.7+(1023.2-352.7)+(1.634754+(1.043664-0.359754))+0-641.7-0.654534000000102</f>
        <v>1633.1641299999997</v>
      </c>
      <c r="K299" s="3">
        <f>1761.2+(997.8-432)+(3.592848+(2.035512-0.88128))+0-667.5-1.36169999999997</f>
        <v>1662.8853800000002</v>
      </c>
      <c r="L299" s="3">
        <f>1737.3+(1118.7-456.6)+(-3.544092+(-2.282148--0.931464))+0-633.6--1.29254399999997</f>
        <v>1762.197768</v>
      </c>
      <c r="M299" s="3">
        <f>1790.1+(1038.6-388.2)+(0.912951+(0.529686-0.197982))+0-685.8-0.34975799999993</f>
        <v>1755.5948970000002</v>
      </c>
      <c r="N299" s="3">
        <f>1787.5+(1062.4-359.9)+(-2.734875+(-1.625472--0.550647))+0-645.6--0.987768000000037</f>
        <v>1841.5780680000003</v>
      </c>
      <c r="O299" s="3">
        <f>1972+(1041.4-451.9)+(-1.00572+(-0.531114--0.230469))+0-638.2--0.325481999999935</f>
        <v>1922.319117</v>
      </c>
      <c r="P299" s="3">
        <f>2031.8+(1107.8-538.5)+(-4.144872+(-2.259912--1.09854))+0-633.5--1.29233999999997</f>
        <v>1963.586096</v>
      </c>
      <c r="Q299" s="3">
        <f>2243.8+(1085.9-773.5)+(-1.144338+(-0.553809--0.394485))+0-563.6--0.287435999999943</f>
        <v>1991.5837740000004</v>
      </c>
      <c r="R299" s="3">
        <f>2273.7+(1104.5-707.8)+(-8.117109+(-3.943065--2.526846))+0-692.6--2.47258200000001</f>
        <v>1970.7392539999998</v>
      </c>
      <c r="S299" s="3">
        <f>2162.7+(933.9-610.8)+(0+(0-0))+0-534.3-0</f>
        <v>1951.4999999999998</v>
      </c>
      <c r="T299" s="3">
        <f>2190.9+(989.8-550.2)+(-2.234718+(-1.009596--0.561204))+0-733.4--0.748068000000117</f>
        <v>1895.1649580000001</v>
      </c>
      <c r="U299" s="3">
        <f>2018.1+(1035.7-545.7)+(0+(0-0))+0-623.3-0</f>
        <v>1884.8</v>
      </c>
      <c r="V299" s="3">
        <f>2254.7+(941.6-609.5)+(-1.149897+(-0.480216--0.310845))+0-674.8--0.344147999999932</f>
        <v>1911.0248799999995</v>
      </c>
      <c r="W299" s="3">
        <f>3131.9+(834.3-1261.3)+(1.597269+(0.425493-0.643263))+0-649.7-0.331346999999934</f>
        <v>2056.2481520000006</v>
      </c>
      <c r="X299" s="3">
        <f>3731.4+(1071.8-1851.3)+(-5.709042+(-1.639854--2.832489))+0-679.7--1.03994100000004</f>
        <v>2268.7235339999997</v>
      </c>
      <c r="Y299" s="3">
        <f>3640.7+(1041.4-1736.6)+(-5.570271+(-1.593342--2.656998))+0-645.4--0.987462000000037</f>
        <v>2296.5808470000002</v>
      </c>
      <c r="Z299" s="3">
        <f>3706.4+(1052.6-1889)+(-1.890264+(-0.536826--0.96339))+0-616.5--0.314414999999937</f>
        <v>2252.350715</v>
      </c>
      <c r="AA299" s="3">
        <f>3722.6+(1218.3-2054.3)+(-1.898526+(-0.621333--1.047693))+0-683.2--0.348431999999931</f>
        <v>2202.2762659999989</v>
      </c>
      <c r="AB299" s="3">
        <f>3056+(1270.3-1560.7)+(-6.23424+(-2.591412--3.183828))+0-653.9--1.33395599999997</f>
        <v>2107.3921319999999</v>
      </c>
      <c r="AC299" s="3">
        <f>2235.4+(1244.8-688.1)+(-3.420162+(-1.904544--1.052793))+0-707.1--1.08186300000004</f>
        <v>2081.8099499999998</v>
      </c>
      <c r="AD299" s="2">
        <v>2275.7999999999997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1727.4+(1216.5-520.8)+(0.880974+(0.620415-0.265608))+0-550.8-0.280907999999944</f>
        <v>1873.2548730000003</v>
      </c>
      <c r="G300" s="3">
        <f>1684.5+(1103.6-366.9)+(1.71819+(1.125672-0.374238))+0-654.3-0.667386000000104</f>
        <v>1768.7022379999996</v>
      </c>
      <c r="H300" s="3">
        <f>1745.6+(1014.4-390.7)+(0.890256+(0.517344-0.199257))+0-667.1-0.340220999999932</f>
        <v>1703.0681220000001</v>
      </c>
      <c r="I300" s="3">
        <f>1726.5+(952.7-378.3)+(2.641545+(1.457631-0.578799))+0-604.2-0.924426000000035</f>
        <v>1699.2959509999998</v>
      </c>
      <c r="J300" s="3">
        <f>1649.5+(955.1-377.5)+(3.36498+(1.948404-0.7701))+0-555-1.13219999999998</f>
        <v>1675.5110839999998</v>
      </c>
      <c r="K300" s="3">
        <f>1710.1+(1026.1-412.1)+(0+(0-0))+0-606.3-0</f>
        <v>1717.8</v>
      </c>
      <c r="L300" s="3">
        <f>1766.2+(1118.9-461.3)+(1.801524+(1.141278-0.470526))+0-589.2-0.600984000000094</f>
        <v>1836.4712919999999</v>
      </c>
      <c r="M300" s="3">
        <f>2083+(971.6-513.4)+(3.18699+(1.486548-0.785502))+0-596.9-0.913257000000035</f>
        <v>1947.2747789999996</v>
      </c>
      <c r="N300" s="3">
        <f>2715.3+(818.9-954.1)+(4.154409+(1.252917-1.459773))+0-578.2-0.884646000000033</f>
        <v>2004.9629070000003</v>
      </c>
      <c r="O300" s="3">
        <f>3269.8+(885.2-1597.6)+(8.33799+(2.25726-4.07388))+0-516.1-1.31605499999993</f>
        <v>2046.5053150000006</v>
      </c>
      <c r="P300" s="3">
        <f>3714.2+(1027.6-2140.4)+(3.788484+(1.048152-2.183208))+0-509.7-0.519894000000081</f>
        <v>2093.8335339999999</v>
      </c>
      <c r="Q300" s="3">
        <f>3952+(1090.5-2467.4)+(8.06208+(2.22462-5.033496))+0-457.2-0.93268799999998</f>
        <v>2122.2205160000003</v>
      </c>
      <c r="R300" s="3">
        <f>3576.8+(1093.5-1977.9)+(-3.648336+(-1.11537--2.017458))+0-598.7--0.610674000000096</f>
        <v>2091.5644260000004</v>
      </c>
      <c r="S300" s="3">
        <f>2988.7+(914-1359.7)+(1.524237+(0.46614-0.693447))+0-477.3-0.243422999999952</f>
        <v>2066.7535069999999</v>
      </c>
      <c r="T300" s="3">
        <f>2883.1+(982.7-1228.8)+(0+(0-0))+0-590.3-0</f>
        <v>2046.7</v>
      </c>
      <c r="U300" s="3">
        <f>2609+(1014.1-1208.4)+(-2.66118+(-1.034382--1.232568))+0-387.4--0.395148000000062</f>
        <v>2025.2321539999998</v>
      </c>
      <c r="V300" s="3">
        <f>2828.4+(1215.3-1402.8)+(0+(0-0))+0-603.6-0</f>
        <v>2037.3000000000002</v>
      </c>
      <c r="W300" s="3">
        <f>3485.9+(1115-1912.1)+(0+(0-0))+0-512.9-0</f>
        <v>2175.9</v>
      </c>
      <c r="X300" s="3">
        <f>4234.4+(1159.3-2348.5)+(-6.478632+(-1.773729--3.593205))+0-651.6--0.996948000000038</f>
        <v>2389.9377919999997</v>
      </c>
      <c r="Y300" s="3">
        <f>4119+(1114.7-2212.6)+(-4.20138+(-1.136994--2.256852))+0-652.4--0.665448000000104</f>
        <v>2366.2839260000005</v>
      </c>
      <c r="Z300" s="3">
        <f>3874.3+(1238.2-2148.1)+(-3.951786+(-1.262964--2.191062))+0-626.8--0.6393360000001</f>
        <v>2335.2156480000003</v>
      </c>
      <c r="AA300" s="3">
        <f>3464.8+(1035.7-1495.6)+(-1.767048+(-0.528207--0.762756))+0-723.7--0.369086999999927</f>
        <v>2280.0365880000008</v>
      </c>
      <c r="AB300" s="3">
        <f>2906.7+(897.6-1017.7)+(-4.447251+(-1.373328--1.557081))+0-609.6--0.932688000000035</f>
        <v>2173.6691900000001</v>
      </c>
      <c r="AC300" s="3">
        <f>2312.7+(942.5-480.2)+(-4.717908+(-1.9227--0.979608))+0-701.4--1.43085599999997</f>
        <v>2069.3698559999998</v>
      </c>
      <c r="AD300" s="2">
        <v>2403.5999999999995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1816.5+(1023.7-350.2)+(-4.632075+(-2.610435--0.89301))+0-572.6--1.46012999999992</f>
        <v>1912.5106300000002</v>
      </c>
      <c r="G301" s="3">
        <f>1760.5+(964.9-312)+(-4.489275+(-2.460495--0.7956))+0-589.4--1.50296999999991</f>
        <v>1819.3488000000002</v>
      </c>
      <c r="H301" s="3">
        <f>1646.2+(1064.3-290.2)+(-3.358248+(-2.171172--0.592008))+0-665.4--1.35741599999997</f>
        <v>1751.3200039999999</v>
      </c>
      <c r="I301" s="3">
        <f>1725+(954.7-285.1)+(-0.87975+(-0.486897--0.145401))+0-656.3--0.334712999999933</f>
        <v>1737.4134669999999</v>
      </c>
      <c r="J301" s="3">
        <f>1591.7+(1036.6-282.1)+(-3.247068+(-2.114664--0.575484))+0-606.4--1.23705599999997</f>
        <v>1736.2508079999998</v>
      </c>
      <c r="K301" s="3">
        <f>1716.5+(1091.5-331.9)+(4.377075+(2.783325-0.846345))+0-708.7-1.8071849999999</f>
        <v>1771.9068699999998</v>
      </c>
      <c r="L301" s="3">
        <f>1638.6+(1207.5-344.3)+(0+(0-0))+0-583.3-0</f>
        <v>1918.5000000000002</v>
      </c>
      <c r="M301" s="3">
        <f>1928.3+(1174.4-421.2)+(-0.983433+(-0.598944--0.214812))+0-707.4--0.360773999999928</f>
        <v>1973.0932089999999</v>
      </c>
      <c r="N301" s="3">
        <f>2107.7+(1034.8-656.2)+(-2.149854+(-1.055496--0.669324))+0-456.4--0.465528000000073</f>
        <v>2027.8295019999996</v>
      </c>
      <c r="O301" s="3">
        <f>2534.1+(1134.4-958.6)+(1.292391+(0.578544-0.488886))+0-583.5-0.297584999999941</f>
        <v>2127.4844640000001</v>
      </c>
      <c r="P301" s="3">
        <f>2944.9+(1201.8-1474.6)+(-1.501899+(-0.612918--0.752046))+0-561.1--0.286160999999943</f>
        <v>2109.9233900000004</v>
      </c>
      <c r="Q301" s="3">
        <f>2988+(1312.2-1626.4)+(-4.57164+(-2.007666--2.488392))+0-526.5--0.80554500000003</f>
        <v>2144.0146310000005</v>
      </c>
      <c r="R301" s="3">
        <f>2370.4+(1288.9-998.6)+(-6.04452+(-3.286695--2.54643))+0-607.9--1.55014499999991</f>
        <v>2047.5653600000003</v>
      </c>
      <c r="S301" s="3">
        <f>2239.8+(1050.7-583.6)+(-1.142298+(-0.535857--0.297636))+0-629.5--0.321044999999936</f>
        <v>2076.3405260000004</v>
      </c>
      <c r="T301" s="3">
        <f>2329.3+(1010.7-721.9)+(1.187943+(0.515457-0.368169))+0-572.5-0.291974999999942</f>
        <v>2046.6432560000005</v>
      </c>
      <c r="U301" s="3">
        <f>2198.2+(1059.3-612.8)+(1.121082+(0.540243-0.312528))+0-644.1-0.328490999999935</f>
        <v>2001.620306</v>
      </c>
      <c r="V301" s="3">
        <f>2277.8+(1094-690.3)+(1.161678+(0.55794-0.352053))+0-635.3-0.324002999999936</f>
        <v>2047.2435620000001</v>
      </c>
      <c r="W301" s="3">
        <f>3324.6+(1193.7-1688.5)+(1.695546+(0.608787-0.861135))+0-663.2-0.338231999999933</f>
        <v>2167.7049660000002</v>
      </c>
      <c r="X301" s="3">
        <f>4464.5+(1234-2597.6)+(-4.55379+(-1.25868--2.649552))+0-703.9--0.717978000000112</f>
        <v>2394.5550600000001</v>
      </c>
      <c r="Y301" s="3">
        <f>4264.2+(1029.6-2275.3)+(-4.349484+(-1.050192--2.320806))+0-628--0.6405600000001</f>
        <v>2388.06169</v>
      </c>
      <c r="Z301" s="3">
        <f>4240.4+(929.9-2136.6)+(2.162604+(0.474249-1.089666))+0-696.9-0.355418999999929</f>
        <v>2337.9917679999999</v>
      </c>
      <c r="AA301" s="3">
        <f>4171.2+(693.4-1874.8)+(2.127312+(0.353634-0.956148))+0-711.7-0.362966999999928</f>
        <v>2279.2618309999998</v>
      </c>
      <c r="AB301" s="3">
        <f>3582+(569.9-1297.8)+(-1.82682+(-0.290649--0.661878))+0-650.3--0.331652999999934</f>
        <v>2202.676062</v>
      </c>
      <c r="AC301" s="3">
        <f>3116.9+(451.1-901.9)+(-1.589619+(-0.230061--0.459969))+0-651.7--0.332366999999934</f>
        <v>2013.3726560000002</v>
      </c>
      <c r="AD301" s="2">
        <v>2417.8000000000002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2202.7+(813.6-368.3)+(-2.246754+(-0.829872--0.375666))+0-709.5--0.723690000000113</f>
        <v>1936.5227299999999</v>
      </c>
      <c r="G302" s="3">
        <f>1785.9+(898-336.3)+(-0.910809+(-0.45798--0.171513))+0-525--0.267749999999947</f>
        <v>1821.6704740000005</v>
      </c>
      <c r="H302" s="3">
        <f>1936.1+(843.6-326.8)+(1.974822+(0.860472-0.333336))+0-694.1-0.707982000000111</f>
        <v>1760.5939759999994</v>
      </c>
      <c r="I302" s="3">
        <f>1792.3+(871.8-337.4)+(-2.742219+(-1.333854--0.516222))+0-600.4--0.918612000000035</f>
        <v>1723.6587609999997</v>
      </c>
      <c r="J302" s="3">
        <f>1756.7+(926-310.4)+(0+(0-0))+0-658.8-0</f>
        <v>1713.5000000000002</v>
      </c>
      <c r="K302" s="3">
        <f>1538.6+(1174.6-328.5)+(0.784686+(0.599046-0.167535))+0-643.9-0.328388999999935</f>
        <v>1741.6878079999999</v>
      </c>
      <c r="L302" s="3">
        <f>1734.3+(1044.4-389.3)+(-0.884493+(-0.532644--0.198543))+0-531.8--0.271217999999946</f>
        <v>1856.6526240000001</v>
      </c>
      <c r="M302" s="3">
        <f>1998.9+(938.5-462.9)+(1.019439+(0.478635-0.236079))+0-498.9-0.254438999999949</f>
        <v>1976.6075559999997</v>
      </c>
      <c r="N302" s="3">
        <f>2371.4+(1098.6-910.3)+(0+(0-0))+0-568-0</f>
        <v>1991.6999999999998</v>
      </c>
      <c r="O302" s="3">
        <f>2906.3+(1125.3-1495.7)+(1.482213+(0.573903-0.762807))+0-479.5-0.244544999999951</f>
        <v>2057.4487640000002</v>
      </c>
      <c r="P302" s="3">
        <f>3285.9+(1187.7-1828.3)+(0+(0-0))+0-535.3-0</f>
        <v>2110</v>
      </c>
      <c r="Q302" s="3">
        <f>3222.5+(1205.6-1887.7)+(-4.930425+(-1.844568--2.888181))+0-450.6--0.689418000000026</f>
        <v>2086.6026059999995</v>
      </c>
      <c r="R302" s="3">
        <f>2903.7+(1236-1534.7)+(1.480887+(0.63036-0.782697))+0-511.6-0.260915999999948</f>
        <v>2094.4676340000005</v>
      </c>
      <c r="S302" s="3">
        <f>2483.5+(1229-1195.9)+(2.53317+(1.25358-1.219818))+0-435.8-0.44451600000007</f>
        <v>2082.9224159999999</v>
      </c>
      <c r="T302" s="3">
        <f>2421+(1167.8-987.5)+(0+(0-0))+0-562.6-0</f>
        <v>2038.7000000000003</v>
      </c>
      <c r="U302" s="3">
        <f>2298.7+(1054.6-744.3)+(-4.689348+(-2.151384--1.518372))+0-559.4--1.14117599999998</f>
        <v>2045.4188159999999</v>
      </c>
      <c r="V302" s="3">
        <f>2313.1+(1169.4-763.5)+(-3.539043+(-1.789182--1.168155))+0-585.1--0.895203000000034</f>
        <v>2130.6351330000002</v>
      </c>
      <c r="W302" s="3">
        <f>3615.9+(1092.6-1949.1)+(9.220545+(2.78613-4.970205))+0-573.9-1.46344499999992</f>
        <v>2191.0730250000001</v>
      </c>
      <c r="X302" s="3">
        <f>4362.7+(1127.4-2496.3)+(-6.674931+(-1.724922--3.819339))+0-596.5--0.912645000000034</f>
        <v>2393.6321309999994</v>
      </c>
      <c r="Y302" s="3">
        <f>3752.6+(1182.5-1992.1)+(-5.741478+(-1.809225--3.047913))+0-572--0.875160000000033</f>
        <v>2367.37237</v>
      </c>
      <c r="Z302" s="3">
        <f>3585.2+(995.3-1638.8)+(-3.656904+(-1.015206--1.671576))+0-624.4--0.636888000000099</f>
        <v>2314.9363539999999</v>
      </c>
      <c r="AA302" s="3">
        <f>3203.4+(792.5-1076.4)+(1.633734+(0.404175-0.548964))+0-650.8-0.331907999999934</f>
        <v>2269.8570369999998</v>
      </c>
      <c r="AB302" s="3">
        <f>2824.8+(640.4-721.1)+(0+(0-0))+0-577.2-0</f>
        <v>2166.9000000000005</v>
      </c>
      <c r="AC302" s="3">
        <f>2522.2+(701.3-449.5)+(1.286322+(0.357663-0.229245))+0-709.4-0.361793999999928</f>
        <v>2065.6529460000002</v>
      </c>
      <c r="AD302" s="2">
        <v>2390.8000000000002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1613.5+(1245.7-356.4)+(-0.822885+(-0.635307--0.181764))+0-566--0.288659999999943</f>
        <v>1935.812232</v>
      </c>
      <c r="G303" s="3">
        <f>1494+(1389.3-327.2)+(-2.28582+(-2.125629--0.500616))+0-722.2--1.10496600000004</f>
        <v>1831.0941330000001</v>
      </c>
      <c r="H303" s="3">
        <f>1492.1+(1247.1-306.9)+(-2.282913+(-1.908063--0.469557))+0-650.6--0.995418000000038</f>
        <v>1778.9739989999998</v>
      </c>
      <c r="I303" s="3">
        <f>1514.8+(1177.7-292.2)+(0.772548+(0.600627-0.149022))+0-645.3-0.329102999999935</f>
        <v>1755.8950500000003</v>
      </c>
      <c r="J303" s="3">
        <f>1509.8+(1223.3-289.8)+(0+(0-0))+0-698.8-0</f>
        <v>1744.5000000000002</v>
      </c>
      <c r="K303" s="3">
        <f>1583.2+(1053-310.9)+(0+(0-0))+0-544.9-0</f>
        <v>1780.4</v>
      </c>
      <c r="L303" s="3">
        <f>1685+(1301.3-359.4)+(-1.7187+(-1.327326--0.366588))+0-723.6--0.738072000000115</f>
        <v>1901.3586340000002</v>
      </c>
      <c r="M303" s="3">
        <f>1757.9+(1208.3-383.2)+(0.896529+(0.616233-0.195432))+0-584.4-0.298043999999941</f>
        <v>1999.6192859999999</v>
      </c>
      <c r="N303" s="3">
        <f>2067.4+(937.4-474.3)+(2.108748+(0.956148-0.483786))+0-514.6-0.524892000000082</f>
        <v>2017.956218</v>
      </c>
      <c r="O303" s="3">
        <f>2754.2+(824-1023.2)+(4.213926+(1.26072-1.565496))+0-526.4-0.80539200000003</f>
        <v>2031.7037579999999</v>
      </c>
      <c r="P303" s="3">
        <f>3118.8+(1005.2-1600.1)+(-3.181176+(-1.025304--1.632102))+0-483.4--0.493068000000077</f>
        <v>2038.4186900000007</v>
      </c>
      <c r="Q303" s="3">
        <f>3285.7+(1049.1-1676.3)+(3.351414+(1.070082-1.709826))+0-614.2-0.626484000000098</f>
        <v>2046.385186</v>
      </c>
      <c r="R303" s="3">
        <f>2965.2+(1033.3-1446.9)+(-4.536756+(-1.580949--2.213757))+0-522.2--0.79896600000003</f>
        <v>2026.2950179999993</v>
      </c>
      <c r="S303" s="3">
        <f>2415.2+(1046.6-904)+(1.231752+(0.533766-0.46104))+0-535.7-0.273206999999946</f>
        <v>2023.1312709999997</v>
      </c>
      <c r="T303" s="3">
        <f>2344.7+(1038.1-786)+(-3.587391+(-1.588293--1.20258))+0-613.6--0.938808000000036</f>
        <v>1980.1657039999998</v>
      </c>
      <c r="U303" s="3">
        <f>2108.9+(1101.1-684.7)+(-2.151078+(-1.123122--0.698394))+0-566.9--0.57823800000009</f>
        <v>1956.4024320000003</v>
      </c>
      <c r="V303" s="3">
        <f>2253.9+(947.7-625.9)+(-1.149489+(-0.483327--0.319209))+0-611.6--0.311915999999938</f>
        <v>1963.0983090000002</v>
      </c>
      <c r="W303" s="3">
        <f>3507.5+(944.6-1780.9)+(0+(0-0))+0-539.9-0</f>
        <v>2131.2999999999997</v>
      </c>
      <c r="X303" s="3">
        <f>4450.4+(851.4-2324.8)+(-6.809112+(-1.302642--3.556944))+0-609.1--0.931923000000035</f>
        <v>2364.2771129999996</v>
      </c>
      <c r="Y303" s="3">
        <f>4076.7+(723.9-1868.7)+(-6.237351+(-1.107567--2.859111))+0-566.4--0.866592000000033</f>
        <v>2361.8807849999994</v>
      </c>
      <c r="Z303" s="3">
        <f>3629.3+(752.6-1536.3)+(-3.701886+(-0.767652--1.567026))+0-513.8--0.524076000000082</f>
        <v>2329.4215640000007</v>
      </c>
      <c r="AA303" s="3">
        <f>3480.3+(716.1-1285.2)+(-3.549906+(-0.730422--1.310904))+0-674--0.687480000000107</f>
        <v>2234.9180560000004</v>
      </c>
      <c r="AB303" s="3">
        <f>3152.9+(560.9-1013.1)+(-4.823937+(-0.858177--1.550043))+0-531.9--0.813807000000031</f>
        <v>2165.4817359999997</v>
      </c>
      <c r="AC303" s="3">
        <f>2952+(480.1-705.2)+(-4.51656+(-0.734553--1.078956))+0-674.9--1.03259700000004</f>
        <v>2048.8604399999999</v>
      </c>
      <c r="AD303" s="2">
        <v>2229.9000000000005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1966.1+(823.2-361.1)+(-4.010844+(-1.679328--0.736644))+0-516.9--1.05447599999998</f>
        <v>1907.4009479999997</v>
      </c>
      <c r="G304" s="3">
        <f>1870.4+(930.5-319.4)+(0+(0-0))+0-650.4-0</f>
        <v>1831.1</v>
      </c>
      <c r="H304" s="3">
        <f>1729.8+(995.3-296.2)+(-4.41099+(-2.538015--0.75531))+0-657--1.6753499999999</f>
        <v>1767.3816549999997</v>
      </c>
      <c r="I304" s="3">
        <f>1639.4+(927.8-282.6)+(-2.508282+(-1.419534--0.432378))+0-536.9--0.821457000000031</f>
        <v>1745.0260189999999</v>
      </c>
      <c r="J304" s="3">
        <f>1637.5+(970.4-282.8)+(0.835125+(0.494904-0.144228))+0-582.4-0.297023999999941</f>
        <v>1743.5887769999999</v>
      </c>
      <c r="K304" s="3">
        <f>1669.6+(990.9-302.6)+(3.405984+(2.021436-0.617304))+0-601.1-1.22624399999997</f>
        <v>1760.3838719999999</v>
      </c>
      <c r="L304" s="3">
        <f>1669.9+(1048.7-350)+(-1.703298+(-1.069674--0.357))+0-507--0.517140000000081</f>
        <v>1859.7011680000007</v>
      </c>
      <c r="M304" s="3">
        <f>1834.5+(1057.8-389.9)+(-0.935595+(-0.539478--0.198849))+0-548.3--0.279632999999944</f>
        <v>1953.1034089999998</v>
      </c>
      <c r="N304" s="3">
        <f>2349+(780-428.7)+(0+(0-0))+0-690.7-0</f>
        <v>2009.6000000000001</v>
      </c>
      <c r="O304" s="3">
        <f>3103.8+(789.7-1260)+(1.582938+(0.402747-0.6426))+0-568.2-0.289781999999942</f>
        <v>2066.3533029999999</v>
      </c>
      <c r="P304" s="3">
        <f>3690.8+(941.8-1884.5)+(5.646924+(1.440954-2.883285))+0-636.7-0.974151000000037</f>
        <v>2114.6304420000001</v>
      </c>
      <c r="Q304" s="3">
        <f>3746.7+(917.3-2119.5)+(-3.821634+(-0.935646--2.16189))+0-498.6--0.50857200000008</f>
        <v>2043.8131820000003</v>
      </c>
      <c r="R304" s="3">
        <f>3301.6+(987.1-1649.8)+(-3.367632+(-1.006842--1.682796))+0-614.5--0.626790000000098</f>
        <v>2022.335112</v>
      </c>
      <c r="S304" s="3">
        <f>2574.2+(1031.6-1050.7)+(-1.312842+(-0.526116--0.535857))+0-569--0.290189999999942</f>
        <v>1985.0870889999994</v>
      </c>
      <c r="T304" s="3">
        <f>2350.9+(1026.3-722.2)+(0+(0-0))+0-695.1-0</f>
        <v>1959.9</v>
      </c>
      <c r="U304" s="3">
        <f>2185.1+(994.2-613.9)+(-2.228802+(-1.014084--0.626178))+0-634.2--0.646884000000101</f>
        <v>1929.230176</v>
      </c>
      <c r="V304" s="3">
        <f>2295.2+(1011.9-729.7)+(0+(0-0))+0-583.5-0</f>
        <v>1993.8999999999996</v>
      </c>
      <c r="W304" s="3">
        <f>3771.4+(831.1-1767.9)+(-1.923414+(-0.423861--0.901629))+0-689.3--0.35154299999993</f>
        <v>2144.2058969999998</v>
      </c>
      <c r="X304" s="3">
        <f>4633.6+(733.2-2400.8)+(-7.089408+(-1.121796--3.673224))+0-629.9--0.963747000000036</f>
        <v>2332.5257670000001</v>
      </c>
      <c r="Y304" s="3">
        <f>4190.6+(1001.5-2163.4)+(-4.274412+(-1.02153--2.206668))+0-736.7--0.751434000000118</f>
        <v>2289.6621600000003</v>
      </c>
      <c r="Z304" s="3">
        <f>3694.5+(1102.5-1925.2)+(1.884195+(0.562275-0.981852))+0-633.1-0.322880999999936</f>
        <v>2239.8417370000002</v>
      </c>
      <c r="AA304" s="3">
        <f>3494.5+(1029.5-1661)+(-1.782195+(-0.525045--0.84711))+0-696.4--0.355163999999929</f>
        <v>2165.495034</v>
      </c>
      <c r="AB304" s="3">
        <f>3070.3+(778-1189.3)+(-7.829265+(-1.9839--3.032715))+0-585.6--1.49327999999992</f>
        <v>2068.11283</v>
      </c>
      <c r="AC304" s="3">
        <f>2622.5+(585-513)+(-6.687375+(-1.49175--1.30815))+0-707.3--1.8036149999999</f>
        <v>1982.13264</v>
      </c>
      <c r="AD304" s="2">
        <v>2357.6000000000004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2157.3+(789.7-421.5)+(-4.400892+(-1.610988--0.85986))+0-647.5--1.32089999999997</f>
        <v>1874.1688799999999</v>
      </c>
      <c r="G305" s="3">
        <f>2053.7+(705.9-336.7)+(-5.236935+(-1.800045--0.858585))+0-643--1.63964999999991</f>
        <v>1775.3612549999996</v>
      </c>
      <c r="H305" s="3">
        <f>2009.4+(688.3-326.5)+(-4.099176+(-1.404132--0.66606))+0-649.4--1.32477599999997</f>
        <v>1718.2875279999998</v>
      </c>
      <c r="I305" s="3">
        <f>2106.8+(637.8-362.6)+(1.074468+(0.325278-0.184926))+0-674.8-0.344147999999932</f>
        <v>1708.0706720000003</v>
      </c>
      <c r="J305" s="3">
        <f>2147.1+(585.2-388.1)+(-1.095021+(-0.298452--0.197931))+0-649.5--0.331244999999934</f>
        <v>1693.8357029999997</v>
      </c>
      <c r="K305" s="3">
        <f>2033.7+(726.9-380.1)+(2.074374+(0.741438-0.387702))+0-663.3-0.676566000000106</f>
        <v>1718.9515439999998</v>
      </c>
      <c r="L305" s="3">
        <f>2079.5+(754.9-468.1)+(-2.12109+(-0.769998--0.477462))+0-587.9--0.599658000000094</f>
        <v>1776.5860320000002</v>
      </c>
      <c r="M305" s="3">
        <f>2081.6+(830.3-428.8)+(-3.184848+(-1.270359--0.656064))+0-646.2--0.988686000000037</f>
        <v>1834.0895429999998</v>
      </c>
      <c r="N305" s="3">
        <f>2206+(885.7-493.9)+(-1.12506+(-0.451707--0.251889))+0-641.8--0.327317999999935</f>
        <v>1955.0024400000002</v>
      </c>
      <c r="O305" s="3">
        <f>2522.4+(665.8-634.3)+(2.572848+(0.679116-0.646986))+0-550.8-0.561816000000088</f>
        <v>2005.1431619999998</v>
      </c>
      <c r="P305" s="3">
        <f>3194.5+(838.3-1419.3)+(0+(0-0))+0-617.8-0</f>
        <v>1995.7</v>
      </c>
      <c r="Q305" s="3">
        <f>3366.7+(746.2-1439.3)+(-5.151051+(-1.141686--2.202129))+0-651.4--0.996642000000038</f>
        <v>2019.1060339999999</v>
      </c>
      <c r="R305" s="3">
        <f>3033.3+(712.3-1157.3)+(0+(0-0))+0-587.9-0</f>
        <v>2000.4</v>
      </c>
      <c r="S305" s="3">
        <f>2597.8+(808.9-795.8)+(-1.324878+(-0.412539--0.405858))+0-650.6--0.331805999999934</f>
        <v>1959.3002469999999</v>
      </c>
      <c r="T305" s="3">
        <f>2324+(921.2-671.8)+(2.37048+(0.939624-0.685236))+0-640.7-0.653514000000102</f>
        <v>1934.6713539999998</v>
      </c>
      <c r="U305" s="3">
        <f>2257.9+(896-591.7)+(-2.303058+(-0.91392--0.603534))+0-643.3--0.656166000000103</f>
        <v>1916.942722</v>
      </c>
      <c r="V305" s="3">
        <f>2517.2+(768.8-741.3)+(-1.283772+(-0.392088--0.378063))+0-562.4--0.286823999999943</f>
        <v>1981.2890269999996</v>
      </c>
      <c r="W305" s="3">
        <f>4100+(679.9-1989.2)+(2.091+(0.346749-1.014492))+0-653.2-0.333131999999934</f>
        <v>2138.5901249999997</v>
      </c>
      <c r="X305" s="3">
        <f>5166.5+(772.3-2971.8)+(-5.26983+(-0.787746--3.031236))+0-661.1--0.674322000000105</f>
        <v>2303.5479820000005</v>
      </c>
      <c r="Y305" s="3">
        <f>5305.2+(715.9-3040.9)+(0+(0-0))+0-678.2-0</f>
        <v>2302</v>
      </c>
      <c r="Z305" s="3">
        <f>4830.8+(755.6-2702.7)+(-4.927416+(-0.770712--2.756754))+0-627.3--0.6398460000001</f>
        <v>2254.0984720000006</v>
      </c>
      <c r="AA305" s="3">
        <f>4945.7+(682.4-2725.9)+(2.522307+(0.348024-1.390209))+0-703-0.358529999999929</f>
        <v>2200.3215919999998</v>
      </c>
      <c r="AB305" s="3">
        <f>4402+(487.1-2175.6)+(4.49004+(0.496842-2.219112))+0-619.9-0.632298000000099</f>
        <v>2095.7354719999998</v>
      </c>
      <c r="AC305" s="3">
        <f>3523.8+(353.9-1235.7)+(-3.594276+(-0.360978--1.260414))+0-658.7--0.671874000000105</f>
        <v>1981.277034</v>
      </c>
      <c r="AD305" s="2">
        <v>2289.8999999999996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2263.3+(470.6-423.4)+(0+(0-0))+0-609.8-0</f>
        <v>1700.7</v>
      </c>
      <c r="G306" s="3">
        <f>2158.1+(540.1-353.7)+(1.100631+(0.275451-0.180387))+0-687.3-0.35052299999993</f>
        <v>1658.0451720000001</v>
      </c>
      <c r="H306" s="3">
        <f>2023+(556.4-328.4)+(-3.09519+(-0.851292--0.502452))+0-588.4--0.900252000000034</f>
        <v>1660.0562219999999</v>
      </c>
      <c r="I306" s="3">
        <f>2122.6+(536.5-313.4)+(2.165052+(0.54723-0.319668))+0-697.7-0.711654000000111</f>
        <v>1649.6809599999995</v>
      </c>
      <c r="J306" s="3">
        <f>2157.6+(479.1-366.4)+(2.200752+(0.488682-0.373728))+0-620.4-0.632808000000099</f>
        <v>1651.5828979999999</v>
      </c>
      <c r="K306" s="3">
        <f>2141.4+(532-352.7)+(2.184228+(0.54264-0.359754))+0-625.9-0.6384180000001</f>
        <v>1696.5286960000003</v>
      </c>
      <c r="L306" s="3">
        <f>2118+(791.4-399.4)+(0+(0-0))+0-648.7-0</f>
        <v>1861.3</v>
      </c>
      <c r="M306" s="3">
        <f>2297.1+(699.1-451.5)+(-1.171521+(-0.356541--0.230265))+0-579.3--0.295442999999941</f>
        <v>1964.3976459999997</v>
      </c>
      <c r="N306" s="3">
        <f>2455.9+(638.5-491.3)+(1.252509+(0.325635-0.250563))+0-584.6-0.298145999999941</f>
        <v>2019.5294350000001</v>
      </c>
      <c r="O306" s="3">
        <f>2849.7+(428.9-769.9)+(0+(0-0))+0-436.3-0</f>
        <v>2072.3999999999996</v>
      </c>
      <c r="P306" s="3">
        <f>3205.6+(452.1-965.2)+(0+(0-0))+0-483-0</f>
        <v>2209.5</v>
      </c>
      <c r="Q306" s="3">
        <f>3258+(435-1123.6)+(-1.66158+(-0.22185--0.573036))+0-506.7--0.258416999999949</f>
        <v>2061.6480230000002</v>
      </c>
      <c r="R306" s="3">
        <f>2867.4+(384.1-772.3)+(-4.387122+(-0.587673--1.181619))+0-475.8--0.727974000000028</f>
        <v>2000.3347980000003</v>
      </c>
      <c r="S306" s="3">
        <f>2681.9+(383.9-489)+(-1.367769+(-0.195789--0.24939))+0-601.5--0.306764999999939</f>
        <v>1974.2925970000003</v>
      </c>
      <c r="T306" s="3">
        <f>2541.4+(395.9-487.7)+(-2.592228+(-0.403818--0.497454))+0-528.7--0.539274000000084</f>
        <v>1918.9406819999999</v>
      </c>
      <c r="U306" s="3">
        <f>2700.6+(354.3-579.6)+(2.754612+(0.361386-0.591192))+0-565.8-0.57711600000009</f>
        <v>1911.4476899999995</v>
      </c>
      <c r="V306" s="3">
        <f>2582+(540.8-589.2)+(-1.31682+(-0.275808--0.300492))+0-583.2--0.297431999999941</f>
        <v>1949.4052959999997</v>
      </c>
      <c r="W306" s="3">
        <f>3798.3+(492.4-1574.4)+(0+(0-0))+0-567.7-0</f>
        <v>2148.6000000000004</v>
      </c>
      <c r="X306" s="3">
        <f>5078.1+(585.4-2578.2)+(-2.589831+(-0.298554--1.314882))+0-689.7--0.35174699999993</f>
        <v>2394.3782440000004</v>
      </c>
      <c r="Y306" s="3">
        <f>4407+(595.4-2024.3)+(-6.74271+(-0.910962--3.097179))+0-587.8--0.899334000000034</f>
        <v>2386.6428410000003</v>
      </c>
      <c r="Z306" s="3">
        <f>3853.5+(643.3-1417.6)+(0+(0-0))+0-733.5-0</f>
        <v>2345.6999999999998</v>
      </c>
      <c r="AA306" s="3">
        <f>3513.1+(372.4-1012.6)+(0+(0-0))+0-603-0</f>
        <v>2269.8999999999996</v>
      </c>
      <c r="AB306" s="3">
        <f>3231.3+(397.6-806.4)+(-6.591852+(-0.811104--1.645056))+0-664.6--1.35578399999997</f>
        <v>2153.4978839999999</v>
      </c>
      <c r="AC306" s="3">
        <f>2602.8+(549-517.9)+(-6.63714+(-1.39995--1.320645))+0-637.7--1.62613499999991</f>
        <v>1991.10969</v>
      </c>
      <c r="AD306" s="2">
        <v>2460.1999999999994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2172.6+(660.3-343.2)+(0+(0-0))+0-612.9-0</f>
        <v>1876.7999999999997</v>
      </c>
      <c r="G307" s="3">
        <f>2122.5+(641-333.7)+(1.082475+(0.32691-0.170187))+0-662.3-0.337772999999933</f>
        <v>1768.4014250000005</v>
      </c>
      <c r="H307" s="3">
        <f>2060.9+(642.2-310.6)+(0+(0-0))+0-600.4-0</f>
        <v>1792.1</v>
      </c>
      <c r="I307" s="3">
        <f>1945.2+(589.4-291.9)+(-2.976156+(-0.901782--0.446607))+0-564.3--0.863379000000033</f>
        <v>1675.8320480000002</v>
      </c>
      <c r="J307" s="3">
        <f>1953.4+(585.6-293.7)+(-3.984936+(-1.194624--0.599148))+0-571--1.16483999999998</f>
        <v>1670.8844280000003</v>
      </c>
      <c r="K307" s="3">
        <f>2059.7+(601-301.6)+(4.201788+(1.22604-0.615264))+0-576.2-1.17544799999997</f>
        <v>1786.5371159999997</v>
      </c>
      <c r="L307" s="3">
        <f>2042.4+(787.3-363)+(-1.041624+(-0.401523--0.18513))+0-617--0.314669999999937</f>
        <v>1848.7566529999997</v>
      </c>
      <c r="M307" s="3">
        <f>2197.5+(786-409.7)+(-2.24145+(-0.80172--0.417894))+0-624.9--0.6373980000001</f>
        <v>1946.912122</v>
      </c>
      <c r="N307" s="3">
        <f>2457.2+(365.7-423)+(-1.253172+(-0.186507--0.21573))+0-478--0.243779999999952</f>
        <v>1920.9198309999995</v>
      </c>
      <c r="O307" s="3">
        <f>3037+(442.5-897.6)+(4.64661+(0.677025-1.373328))+0-556.2-0.850986000000032</f>
        <v>2028.7993210000002</v>
      </c>
      <c r="P307" s="3">
        <f>3435.2+(627.8-1623.1)+(3.503904+(0.640356-1.655562))+0-424.4-0.432888000000068</f>
        <v>2017.5558099999996</v>
      </c>
      <c r="Q307" s="3">
        <f>3791.2+(618.1-1810.2)+(-3.867024+(-0.630462--1.846404))+0-561.6--0.57283200000009</f>
        <v>2035.4217500000002</v>
      </c>
      <c r="R307" s="3">
        <f>3417.8+(473-1357.8)+(-6.972312+(-0.96492--2.769912))+0-559--1.14035999999998</f>
        <v>1969.9730399999999</v>
      </c>
      <c r="S307" s="3">
        <f>3177.1+(284.6-1017)+(3.240642+(0.290292-1.03734))+0-504.9-0.51499800000008</f>
        <v>1941.7785959999997</v>
      </c>
      <c r="T307" s="3">
        <f>2875.1+(336.2-735.7)+(1.466301+(0.171462-0.375207))+0-593.4-0.30263399999994</f>
        <v>1883.1599220000001</v>
      </c>
      <c r="U307" s="3">
        <f>2637.8+(339-612.1)+(-6.72639+(-0.86445--1.560855))+0-510.9--1.30279499999993</f>
        <v>1849.0728099999999</v>
      </c>
      <c r="V307" s="3">
        <f>2836.9+(385.5-796)+(1.446819+(0.196605-0.40596))+0-564-0.287639999999943</f>
        <v>1863.3498239999999</v>
      </c>
      <c r="W307" s="3">
        <f>4209.6+(558.7-2205.7)+(6.440688+(0.854811-3.374721))+0-579.8-0.887094000000033</f>
        <v>1985.8336840000006</v>
      </c>
      <c r="X307" s="3">
        <f>4969+(541.1-2600.1)+(-2.53419+(-0.275961--1.326051))+0-614.8--0.313547999999938</f>
        <v>2294.0294480000002</v>
      </c>
      <c r="Y307" s="3">
        <f>4649.8+(491.9-2224.4)+(-7.114194+(-0.752607--3.403332))+0-647.9--0.991287000000037</f>
        <v>2265.9278180000001</v>
      </c>
      <c r="Z307" s="3">
        <f>4208.8+(478.9-1858)+(-6.439464+(-0.732717--2.84274))+0-601.1--0.919683000000035</f>
        <v>2225.1902420000006</v>
      </c>
      <c r="AA307" s="3">
        <f>3537.8+(430-1092.2)+(-7.217112+(-0.8772--2.228088))+0-716.5--1.46165999999997</f>
        <v>2154.6954360000004</v>
      </c>
      <c r="AB307" s="3">
        <f>2843.8+(431.4-621)+(-4.351014+(-0.660042--0.95013))+0-587.9--0.899487000000034</f>
        <v>2063.1385610000002</v>
      </c>
      <c r="AC307" s="3">
        <f>2377.7+(607.1-403.3)+(-1.212627+(-0.309621--0.205683))+0-624--0.318239999999937</f>
        <v>1956.5016749999998</v>
      </c>
      <c r="AD307" s="2">
        <v>2273.3999999999996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2073.3+(612.6-342.8)+(0+(0-0))+0-541.6-0</f>
        <v>1801.5000000000005</v>
      </c>
      <c r="G308" s="3">
        <f>1940.2+(535.3-367.3)+(-3.958008+(-1.092012--0.749292))+0-415.3--0.847211999999982</f>
        <v>1689.4464839999996</v>
      </c>
      <c r="H308" s="3">
        <f>2079+(547.5-379.6)+(2.12058+(0.55845-0.387192))+0-610.1-0.622302000000097</f>
        <v>1638.4695360000003</v>
      </c>
      <c r="I308" s="3">
        <f>1933.4+(675.2-336.7)+(0.986034+(0.344352-0.171717))+0-676.8-0.345167999999931</f>
        <v>1595.9135010000002</v>
      </c>
      <c r="J308" s="3">
        <f>1901.8+(636.9-359.3)+(-0.969918+(-0.324819--0.183243))+0-574.2--0.292841999999942</f>
        <v>1604.3813479999997</v>
      </c>
      <c r="K308" s="3">
        <f>1912.5+(714.3-288.1)+(0.975375+(0.364293-0.146931))+0-702.6-0.358325999999929</f>
        <v>1636.9344109999997</v>
      </c>
      <c r="L308" s="3">
        <f>2034.1+(612.9-286.7)+(0+(0-0))+0-560.8-0</f>
        <v>1799.4999999999998</v>
      </c>
      <c r="M308" s="3">
        <f>2280+(692-402.5)+(4.6512+(1.41168-0.8211))+0-681.7-1.39066799999997</f>
        <v>1891.6511119999998</v>
      </c>
      <c r="N308" s="3">
        <f>2778.5+(323.5-677.2)+(2.83407+(0.32997-0.690744))+0-497-0.506940000000079</f>
        <v>1929.7663560000003</v>
      </c>
      <c r="O308" s="3">
        <f>3032.7+(470.2-936.5)+(-3.093354+(-0.479604--0.95523))+0-598.8--0.610776000000095</f>
        <v>1965.5930479999995</v>
      </c>
      <c r="P308" s="3">
        <f>3416.4+(502.3-1384.8)+(1.742364+(0.256173-0.706248))+0-565.1-0.288200999999943</f>
        <v>1969.8040880000003</v>
      </c>
      <c r="Q308" s="3">
        <f>3457.9+(504.3-1558.3)+(-1.763529+(-0.257193--0.794733))+0-467.4--0.238373999999953</f>
        <v>1935.512385</v>
      </c>
      <c r="R308" s="3">
        <f>3036.7+(540.8-1092.4)+(-6.194868+(-1.103232--2.228496))+0-596.4--1.21665599999997</f>
        <v>1884.8470519999996</v>
      </c>
      <c r="S308" s="3">
        <f>2802.2+(547.7-986.9)+(-5.716488+(-1.117308--2.013276))+0-523--1.06691999999998</f>
        <v>1836.2463999999998</v>
      </c>
      <c r="T308" s="3">
        <f>2893.2+(418.7-877)+(-2.951064+(-0.427074--0.89454))+0-631.9--0.644538000000101</f>
        <v>1801.1609399999998</v>
      </c>
      <c r="U308" s="3">
        <f>2767.9+(409.1-855.7)+(-2.823258+(-0.417282--0.872814))+0-568.5--0.579870000000091</f>
        <v>1751.0121440000003</v>
      </c>
      <c r="V308" s="3">
        <f>2871.4+(339.3-810.1)+(0+(0-0))+0-616.2-0</f>
        <v>1784.3999999999999</v>
      </c>
      <c r="W308" s="3">
        <f>4095.6+(350.6-2031.4)+(4.177512+(0.357612-2.072028))+0-444.3-0.453186000000071</f>
        <v>1972.5099099999998</v>
      </c>
      <c r="X308" s="3">
        <f>5096.4+(544.8-2881.9)+(0+(0-0))+0-515.4-0</f>
        <v>2243.8999999999992</v>
      </c>
      <c r="Y308" s="3">
        <f>4836.3+(556.9-2540.1)+(-4.933026+(-0.568038--2.590902))+0-640.5--0.653310000000102</f>
        <v>2210.3431480000004</v>
      </c>
      <c r="Z308" s="3">
        <f>4109.1+(432.3-1810.7)+(-10.478205+(-1.102365--4.617285))+0-567.4--1.44686999999992</f>
        <v>2157.7835850000001</v>
      </c>
      <c r="AA308" s="3">
        <f>3669.1+(243.5-1179.8)+(-1.871241+(-0.124185--0.601698))+0-617.2--0.314771999999937</f>
        <v>2114.5210440000001</v>
      </c>
      <c r="AB308" s="3">
        <f>2972.3+(406.6-785)+(-4.547619+(-0.622098--1.20105))+0-558.6--0.854658000000032</f>
        <v>2032.1859910000001</v>
      </c>
      <c r="AC308" s="3">
        <f>2616.1+(465.3-533.7)+(-2.668422+(-0.474606--0.544374))+0-641.6--0.654432000000102</f>
        <v>1904.1557780000001</v>
      </c>
      <c r="AD308" s="2">
        <v>2352.1999999999994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2352.7+(360.4-466.5)+(-4.799508+(-0.735216--0.95166))+0-465.1--0.94880399999998</f>
        <v>1777.86574</v>
      </c>
      <c r="G309" s="3">
        <f>2341.4+(355.9-468.2)+(-3.582342+(-0.544527--0.716346))+0-565.2--0.864756000000033</f>
        <v>1661.3542329999998</v>
      </c>
      <c r="H309" s="3">
        <f>2332.6+(308.5-489.8)+(-1.189626+(-0.157335--0.249798))+0-540.1--0.275450999999945</f>
        <v>1610.3782879999999</v>
      </c>
      <c r="I309" s="3">
        <f>2338.9+(317.8-423.7)+(-1.192839+(-0.162078--0.216087))+0-648.5--0.330734999999934</f>
        <v>1583.6919050000001</v>
      </c>
      <c r="J309" s="3">
        <f>2246+(269.4-383.6)+(-2.29092+(-0.274788--0.391272))+0-544.1--0.554982000000087</f>
        <v>1586.0805460000006</v>
      </c>
      <c r="K309" s="3">
        <f>2223.6+(361.9-356)+(2.268072+(0.369138-0.36312))+0-598.5-0.610470000000095</f>
        <v>1632.6636199999998</v>
      </c>
      <c r="L309" s="3">
        <f>2148.3+(573.3-373.7)+(-2.191266+(-0.584766--0.381174))+0-586.7--0.598434000000094</f>
        <v>1759.4035759999999</v>
      </c>
      <c r="M309" s="3">
        <f>2256.5+(549.5-456.3)+(3.452445+(0.840735-0.698139))+0-478.4-0.731952000000028</f>
        <v>1874.1630889999997</v>
      </c>
      <c r="N309" s="3">
        <f>2646.1+(372.7-569.5)+(4.048533+(0.570231-0.871335))+0-573.4-0.877302000000033</f>
        <v>1878.7701269999995</v>
      </c>
      <c r="O309" s="3">
        <f>3052.8+(330.5-991.2)+(1.556928+(0.168555-0.505512))+0-476.6-0.243065999999952</f>
        <v>1916.4769050000004</v>
      </c>
      <c r="P309" s="3">
        <f>3399.9+(533.9-1524.3)+(1.733949+(0.272289-0.777393))+0-480.2-0.244901999999951</f>
        <v>1930.2839430000001</v>
      </c>
      <c r="Q309" s="3">
        <f>3354.9+(397.2-1410.4)+(-11.976993+(-1.418004--5.035128))+0-418--1.49226000000001</f>
        <v>1916.8323909999999</v>
      </c>
      <c r="R309" s="3">
        <f>3047.9+(397.4-1010.8)+(-4.663287+(-0.608022--1.546524))+0-548.3--0.838899000000032</f>
        <v>1883.3141140000002</v>
      </c>
      <c r="S309" s="3">
        <f>2762.7+(280.4-686.3)+(-8.453862+(-0.858024--2.100078))+0-576--1.76256000000007</f>
        <v>1775.3507519999998</v>
      </c>
      <c r="T309" s="3">
        <f>2766.8+(255.7-617.4)+(0+(0-0))+0-588.2-0</f>
        <v>1816.9000000000003</v>
      </c>
      <c r="U309" s="3">
        <f>2771.4+(241.8-685.9)+(-2.826828+(-0.246636--0.699618))+0-503.8--0.51387600000008</f>
        <v>1821.6400300000003</v>
      </c>
      <c r="V309" s="3">
        <f>2845+(283.5-678.9)+(0+(0-0))+0-602.7-0</f>
        <v>1846.8999999999999</v>
      </c>
      <c r="W309" s="3">
        <f>3838+(203-1564)+(1.95738+(0.10353-0.79764))+0-540-0.275399999999945</f>
        <v>1937.9878699999999</v>
      </c>
      <c r="X309" s="3">
        <f>4569.7+(359.1-2096.5)+(0+(0-0))+0-583.5-0</f>
        <v>2248.7999999999997</v>
      </c>
      <c r="Y309" s="3">
        <f>4495.4+(317.3-1997.5)+(-9.170616+(-0.647292--4.0749))+0-571.3--1.16545199999998</f>
        <v>2239.3224440000004</v>
      </c>
      <c r="Z309" s="3">
        <f>4129.6+(324.7-1773.4)+(-4.212192+(-0.331194--1.808868))+0-480.8--0.490416000000077</f>
        <v>2197.8558980000003</v>
      </c>
      <c r="AA309" s="3">
        <f>3565.5+(232.8-1078)+(-10.91043+(-0.712368--3.29868))+0-561.4--1.71788400000006</f>
        <v>2152.2937660000002</v>
      </c>
      <c r="AB309" s="3">
        <f>3166.3+(263.3-800.3)+(-6.459252+(-0.537132--1.632612))+0-543.4--1.10853599999998</f>
        <v>2081.6447640000001</v>
      </c>
      <c r="AC309" s="3">
        <f>2992.9+(220.8-675.1)+(-7.631895+(-0.56304--1.721505))+0-596.3--1.52056499999991</f>
        <v>1937.3471349999998</v>
      </c>
      <c r="AD309" s="2">
        <v>2266.4999999999991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2295.6+(438.4-393.8)+(-5.85378+(-1.11792--1.00419))+0-556.3--1.41856499999992</f>
        <v>1779.3510549999999</v>
      </c>
      <c r="G310" s="3">
        <f>2297.9+(335.7-381)+(-2.343858+(-0.342414--0.38862))+0-559--0.570180000000089</f>
        <v>1691.8725279999999</v>
      </c>
      <c r="H310" s="3">
        <f>2122.2+(377.1-314.4)+(-5.41161+(-0.961605--0.80172))+0-554.7--1.41448499999992</f>
        <v>1626.0429899999995</v>
      </c>
      <c r="I310" s="3">
        <f>2120.6+(349.8-358)+(3.244518+(0.535194-0.54774))+0-488.9-0.748017000000028</f>
        <v>1625.9839549999999</v>
      </c>
      <c r="J310" s="3">
        <f>2224.8+(400.1-398.2)+(3.403944+(0.612153-0.609246))+0-607.5-0.929475000000035</f>
        <v>1621.6773760000003</v>
      </c>
      <c r="K310" s="3">
        <f>2233.5+(374.4-474.8)+(0+(0-0))+0-476-0</f>
        <v>1657.1</v>
      </c>
      <c r="L310" s="3">
        <f>2211.9+(731-413.6)+(0+(0-0))+0-653.5-0</f>
        <v>1875.8000000000002</v>
      </c>
      <c r="M310" s="3">
        <f>2306.9+(711.9-416.4)+(-1.176519+(-0.363069--0.212364))+0-675.1--0.344300999999932</f>
        <v>1926.3170769999999</v>
      </c>
      <c r="N310" s="3">
        <f>2604.7+(433.9-623.8)+(-1.328397+(-0.221289--0.318138))+0-508.4--0.259283999999948</f>
        <v>1905.4277359999994</v>
      </c>
      <c r="O310" s="3">
        <f>2768.9+(400.1-761.3)+(-1.412139+(-0.204051--0.388263))+0-467.4--0.238373999999953</f>
        <v>1939.3104470000003</v>
      </c>
      <c r="P310" s="3">
        <f>3139.1+(385.1-1096.5)+(3.201882+(0.392802-1.11843))+0-500-0.51000000000008</f>
        <v>1929.666254</v>
      </c>
      <c r="Q310" s="3">
        <f>3340.2+(473.6-1419.7)+(-1.703502+(-0.241536--0.724047))+0-449.1--0.229040999999954</f>
        <v>1944.0080499999999</v>
      </c>
      <c r="R310" s="3">
        <f>3099+(387.6-1119.6)+(-6.32196+(-0.790704--2.283984))+0-433.2--0.883727999999981</f>
        <v>1929.8550479999999</v>
      </c>
      <c r="S310" s="3">
        <f>2970.5+(348.8-939.1)+(0+(0-0))+0-471.3-0</f>
        <v>1908.8999999999999</v>
      </c>
      <c r="T310" s="3">
        <f>3037.4+(309-938.4)+(1.549074+(0.15759-0.478584))+0-556.5-0.283814999999944</f>
        <v>1852.4442649999999</v>
      </c>
      <c r="U310" s="3">
        <f>2783+(321.7-896)+(-7.09665+(-0.820335--2.2848))+0-392.6--1.00112999999994</f>
        <v>1811.4689449999998</v>
      </c>
      <c r="V310" s="3">
        <f>2841.8+(329-886.4)+(-2.898636+(-0.33558--0.904128))+0-451.6--0.460632000000072</f>
        <v>1830.9305440000001</v>
      </c>
      <c r="W310" s="3">
        <f>3820.6+(257.4-1667.7)+(5.845518+(0.393822-2.551581))+0-442.7-0.677331000000026</f>
        <v>1970.6104279999995</v>
      </c>
      <c r="X310" s="3">
        <f>4810.1+(357.5-2329)+(-2.453151+(-0.182325--1.18779))+0-608.7--0.310436999999938</f>
        <v>2228.7627510000002</v>
      </c>
      <c r="Y310" s="3">
        <f>4490.7+(331.3-2035.3)+(-2.290257+(-0.168963--1.038003))+0-581.1--0.296360999999941</f>
        <v>2204.475144</v>
      </c>
      <c r="Z310" s="3">
        <f>4291.1+(247.2-1802.6)+(-2.188461+(-0.126072--0.919326))+0-574.6--0.293045999999942</f>
        <v>2159.9978390000006</v>
      </c>
      <c r="AA310" s="3">
        <f>3826.9+(314.8-1445.5)+(-5.855157+(-0.481644--2.211615))+0-605--0.925650000000035</f>
        <v>2088.0004639999997</v>
      </c>
      <c r="AB310" s="3">
        <f>3129.4+(448.1-920.4)+(-7.97997+(-1.142655--2.34702))+0-648.4--1.65341999999991</f>
        <v>2003.5778150000003</v>
      </c>
      <c r="AC310" s="3">
        <f>2654.8+(573.4-686.9)+(-6.76974+(-1.46217--1.751595))+0-649.2--1.65545999999991</f>
        <v>1887.2751450000003</v>
      </c>
      <c r="AD310" s="2">
        <v>2159.7999999999997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2546.2+(537.6-737)+(-1.298562+(-0.274176--0.37587))+0-569.5--0.290444999999942</f>
        <v>1776.3935769999996</v>
      </c>
      <c r="G311" s="3">
        <f>2072.6+(756.7-503.8)+(-4.228104+(-1.543668--1.027752))+0-668.3--1.36333199999997</f>
        <v>1653.8193119999999</v>
      </c>
      <c r="H311" s="3">
        <f>2078.4+(700.6-541.8)+(0+(0-0))+0-638.5-0</f>
        <v>1598.7000000000003</v>
      </c>
      <c r="I311" s="3">
        <f>2084.1+(665-523.7)+(-3.188673+(-1.01745--0.801261))+0-655.7--1.00322100000004</f>
        <v>1567.2983589999997</v>
      </c>
      <c r="J311" s="3">
        <f>2153.7+(591.7-616.3)+(1.098387+(0.301767-0.314313))+0-566-0.288659999999943</f>
        <v>1563.897181</v>
      </c>
      <c r="K311" s="3">
        <f>2066.7+(749.1-527.4)+(2.108034+(0.764082-0.537948))+0-695.7-0.709614000000111</f>
        <v>1594.3245539999994</v>
      </c>
      <c r="L311" s="3">
        <f>2114.2+(727.1-629)+(0+(0-0))+0-508.5-0</f>
        <v>1703.7999999999997</v>
      </c>
      <c r="M311" s="3">
        <f>2178.3+(912.5-621.5)+(2.221866+(0.93075-0.63393))+0-703-0.717060000000112</f>
        <v>1768.1016259999999</v>
      </c>
      <c r="N311" s="3">
        <f>2680+(559.5-851)+(1.3668+(0.285345-0.43401))+0-527.8-0.269177999999946</f>
        <v>1861.6489570000001</v>
      </c>
      <c r="O311" s="3">
        <f>3253.4+(490.1-1246.5)+(0+(0-0))+0-613.7-0</f>
        <v>1883.3</v>
      </c>
      <c r="P311" s="3">
        <f>3787.4+(475.9-1768.7)+(1.931574+(0.242709-0.902037))+0-602.3-0.307172999999939</f>
        <v>1893.265073</v>
      </c>
      <c r="Q311" s="3">
        <f>3726.4+(482-1772.3)+(-5.701392+(-0.73746--2.711619))+0-607--0.928710000000035</f>
        <v>1826.3014770000004</v>
      </c>
      <c r="R311" s="3">
        <f>3189.7+(573.1-1308.8)+(-6.506988+(-1.169124--2.669952))+0-621.4--1.26765599999997</f>
        <v>1828.861496</v>
      </c>
      <c r="S311" s="3">
        <f>2760.6+(471.4-883.2)+(-1.407906+(-0.240414--0.450432))+0-569--0.290189999999942</f>
        <v>1778.8923019999995</v>
      </c>
      <c r="T311" s="3">
        <f>2533.4+(579.6-714)+(-5.168136+(-1.182384--1.45656))+0-671.9--1.37067599999997</f>
        <v>1723.576716</v>
      </c>
      <c r="U311" s="3">
        <f>2238.4+(660.5-640.9)+(-6.849504+(-2.02113--1.961154))+0-564--1.72584000000007</f>
        <v>1688.8163600000003</v>
      </c>
      <c r="V311" s="3">
        <f>2535.4+(524.3-689.5)+(1.293054+(0.267393-0.351645))+0-659.9-0.336548999999933</f>
        <v>1711.172253</v>
      </c>
      <c r="W311" s="3">
        <f>3658.9+(530-1716.6)+(3.732078+(0.5406-1.750932))+0-623.3-0.635766000000099</f>
        <v>1850.88598</v>
      </c>
      <c r="X311" s="3">
        <f>4675.4+(850-2850.5)+(2.384454+(0.4335-1.453755))+0-570-0.290699999999942</f>
        <v>2105.9734989999997</v>
      </c>
      <c r="Y311" s="3">
        <f>4472.6+(876.4-2595.2)+(-11.40513+(-2.23482--6.61776))+0-706.6--1.8018299999999</f>
        <v>2041.9796400000005</v>
      </c>
      <c r="Z311" s="3">
        <f>3884.1+(666.5-2040.2)+(-7.923564+(-1.35966--4.162008))+0-482.8--0.984911999999979</f>
        <v>2023.4636959999996</v>
      </c>
      <c r="AA311" s="3">
        <f>3788.1+(508.6-1633.1)+(3.863862+(0.518772-1.665762))+0-692.2-0.70604400000011</f>
        <v>1973.4108279999998</v>
      </c>
      <c r="AB311" s="3">
        <f>3140.8+(565.3-1245.4)+(-4.805424+(-0.864909--1.905462))+0-574.1--0.878373000000033</f>
        <v>1883.7135020000001</v>
      </c>
      <c r="AC311" s="3">
        <f>2616+(670.6-836.5)+(0+(0-0))+0-657.1-0</f>
        <v>1793</v>
      </c>
      <c r="AD311" s="2">
        <v>2079.2999999999997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2142.3+(697.8-559.9)+(-2.185146+(-0.711756--0.571098))+0-598.2--0.610164000000095</f>
        <v>1680.2843600000003</v>
      </c>
      <c r="G312" s="3">
        <f>2052.6+(763.2-599.3)+(-4.187304+(-1.556928--1.222572))+0-621.2--1.26724799999997</f>
        <v>1592.045588</v>
      </c>
      <c r="H312" s="3">
        <f>2074.6+(603.4-562.5)+(-4.232184+(-1.230936--1.1475))+0-561--1.14443999999998</f>
        <v>1551.3288200000002</v>
      </c>
      <c r="I312" s="3">
        <f>2056.9+(636.3-608.2)+(-1.049019+(-0.324513--0.310182))+0-584.5--0.298094999999941</f>
        <v>1499.734745</v>
      </c>
      <c r="J312" s="3">
        <f>1985.5+(605.7-537.9)+(0+(0-0))+0-552.8-0</f>
        <v>1500.5000000000002</v>
      </c>
      <c r="K312" s="3">
        <f>2087+(635.7-611.5)+(3.19311+(0.972621-0.935595))+0-593.7-0.908361000000034</f>
        <v>1519.8217749999999</v>
      </c>
      <c r="L312" s="3">
        <f>1986.7+(625.7-538.5)+(-5.066085+(-1.595535--1.373175))+0-474.2--1.20920999999993</f>
        <v>1595.6207649999999</v>
      </c>
      <c r="M312" s="3">
        <f>1820+(832.8-425.2)+(-4.641+(-2.12364--1.08426))+0-583.5--1.48792499999992</f>
        <v>1639.907545</v>
      </c>
      <c r="N312" s="3">
        <f>1876.2+(805.9-489.2)+(0.956862+(0.411009-0.249492))+0-544.9-0.277898999999945</f>
        <v>1648.8404800000001</v>
      </c>
      <c r="O312" s="3">
        <f>2178.4+(555.5-428.4)+(-3.332952+(-0.849915--0.655452))+0-606.6--0.928098000000035</f>
        <v>1696.3006830000002</v>
      </c>
      <c r="P312" s="3">
        <f>2630.6+(313.9-682.4)+(0+(0-0))+0-526.4-0</f>
        <v>1735.6999999999998</v>
      </c>
      <c r="Q312" s="3">
        <f>3108.2+(238.3-1013.9)+(-1.585182+(-0.121533--0.517089))+0-657.6--0.335375999999933</f>
        <v>1674.1457500000001</v>
      </c>
      <c r="R312" s="3">
        <f>2876+(315.1-861)+(-2.93352+(-0.321402--0.87822))+0-634--0.646680000000101</f>
        <v>1694.3699779999999</v>
      </c>
      <c r="S312" s="3">
        <f>2556.9+(442.9-659.3)+(-2.608038+(-0.451758--0.672486))+0-655.1--0.668202000000104</f>
        <v>1683.6808920000001</v>
      </c>
      <c r="T312" s="3">
        <f>2318.9+(612.3-608.6)+(-1.182639+(-0.312273--0.310386))+0-668.5--0.340934999999932</f>
        <v>1653.2564089999998</v>
      </c>
      <c r="U312" s="3">
        <f>2214.3+(646.1-564.3)+(-3.387879+(-0.988533--0.863379))+0-633.9--0.969867000000037</f>
        <v>1659.6568340000001</v>
      </c>
      <c r="V312" s="3">
        <f>2335.5+(617.8-591)+(-1.191105+(-0.315078--0.30141))+0-669--0.341189999999932</f>
        <v>1692.4364170000001</v>
      </c>
      <c r="W312" s="3">
        <f>3096.8+(327.2-1002.9)+(0+(0-0))+0-575.1-0</f>
        <v>1846.0000000000005</v>
      </c>
      <c r="X312" s="3">
        <f>4107.2+(416.3-1784.3)+(-4.189344+(-0.424626--1.819986))+0-689.4--0.70318800000011</f>
        <v>2047.709204</v>
      </c>
      <c r="Y312" s="3">
        <f>3925.8+(390.2-1733.6)+(-12.012948+(-1.194012--5.304816))+0-527.8--1.61506800000006</f>
        <v>2048.3129240000003</v>
      </c>
      <c r="Z312" s="3">
        <f>3880.2+(430.7-1603)+(-9.89451+(-1.098285--4.08765))+0-709.5--1.8092249999999</f>
        <v>1993.3040799999994</v>
      </c>
      <c r="AA312" s="3">
        <f>3621.2+(435.4-1581.3)+(-7.387248+(-0.888216--3.225852))+0-559--1.14035999999998</f>
        <v>1912.3907479999998</v>
      </c>
      <c r="AB312" s="3">
        <f>3402.4+(452.7-1368.2)+(-3.470448+(-0.461754--1.395564))+0-671.6--0.685032000000107</f>
        <v>1813.4483940000002</v>
      </c>
      <c r="AC312" s="3">
        <f>3076.5+(485.4-1264.7)+(-6.27606+(-0.990216--2.579988))+0-618--1.26071999999997</f>
        <v>1675.7744319999999</v>
      </c>
      <c r="AD312" s="2">
        <v>2073.9999999999995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2415.9+(553.5-736.6)+(-1.232109+(-0.282285--0.375666))+0-654.5--0.333794999999934</f>
        <v>1577.4950670000003</v>
      </c>
      <c r="G313" s="3">
        <f>2040+(610.5-541)+(-3.1212+(-0.934065--0.82773))+0-632.1--0.967113000000037</f>
        <v>1475.139578</v>
      </c>
      <c r="H313" s="3">
        <f>2186.2+(513.8-650.3)+(-2.229924+(-0.524076--0.663306))+0-594.4--0.606288000000095</f>
        <v>1453.8155939999999</v>
      </c>
      <c r="I313" s="3">
        <f>2080.7+(491.8-601.9)+(-4.244628+(-1.003272--1.227876))+0-550.6--1.12322399999998</f>
        <v>1417.1032</v>
      </c>
      <c r="J313" s="3">
        <f>2014.2+(544.6-536.9)+(-1.027242+(-0.277746--0.273819))+0-598.6--0.305285999999939</f>
        <v>1422.5741169999999</v>
      </c>
      <c r="K313" s="3">
        <f>2068.6+(568.3-569.9)+(4.219944+(1.159332-1.162596))+0-635.4-1.29621599999997</f>
        <v>1434.5204639999999</v>
      </c>
      <c r="L313" s="3">
        <f>2109.4+(627.1-633.4)+(0+(0-0))+0-526.2-0</f>
        <v>1576.9000000000003</v>
      </c>
      <c r="M313" s="3">
        <f>2235.2+(741.5-672.3)+(-1.139952+(-0.378165--0.342873))+0-621.7--0.317066999999937</f>
        <v>1681.8418229999995</v>
      </c>
      <c r="N313" s="3">
        <f>2618.2+(538.3-918.5)+(-1.335282+(-0.274533--0.468435))+0-534--0.272339999999946</f>
        <v>1703.13096</v>
      </c>
      <c r="O313" s="3">
        <f>3184.1+(289.3-1080.3)+(0+(0-0))+0-584.6-0</f>
        <v>1808.5</v>
      </c>
      <c r="P313" s="3">
        <f>3873.3+(247.7-1674.7)+(1.975383+(0.126327-0.854097))+0-619.6-0.315995999999937</f>
        <v>1827.6316170000002</v>
      </c>
      <c r="Q313" s="3">
        <f>3823.8+(368.3-1855.7)+(-3.900276+(-0.375666--1.892814))+0-458.1--0.467262000000073</f>
        <v>1876.3841340000004</v>
      </c>
      <c r="R313" s="3">
        <f>3720.7+(399.8-1582.7)+(-11.385342+(-1.223388--4.843062))+0-649.9--1.98869400000008</f>
        <v>1882.1230259999998</v>
      </c>
      <c r="S313" s="3">
        <f>3151+(306.1-1036.1)+(-8.03505+(-0.780555--2.642055))+0-563.1--1.43590499999992</f>
        <v>1853.1623549999999</v>
      </c>
      <c r="T313" s="3">
        <f>3168+(339.8-1063.1)+(0+(0-0))+0-623.1-0</f>
        <v>1821.6</v>
      </c>
      <c r="U313" s="3">
        <f>2986.7+(400.2-1003.9)+(-4.569651+(-0.612306--1.535967))+0-606.9--0.928557000000035</f>
        <v>1773.3825669999999</v>
      </c>
      <c r="V313" s="3">
        <f>3086.3+(423.6-1006.3)+(4.722039+(0.648108-1.539639))+0-569-0.870570000000033</f>
        <v>1937.5599380000003</v>
      </c>
      <c r="W313" s="3">
        <f>3991.4+(575.2-2008.3)+(8.142456+(1.173408-4.096932))+0-639-1.30355999999997</f>
        <v>1923.2153720000003</v>
      </c>
      <c r="X313" s="3">
        <f>4665.5+(527.8-2448.8)+(-7.138215+(-0.807534--3.746664))+0-603.9--0.923967000000035</f>
        <v>2137.3248819999999</v>
      </c>
      <c r="Y313" s="3">
        <f>4276.4+(517.2-2060.1)+(0+(0-0))+0-618.6-0</f>
        <v>2114.9</v>
      </c>
      <c r="Z313" s="3">
        <f>3513.6+(749.5-1512.1)+(-3.583872+(-0.76449--1.542342))+0-701.7--0.715734000000112</f>
        <v>2047.2097140000001</v>
      </c>
      <c r="AA313" s="3">
        <f>2961.5+(770.8-1093)+(-4.531095+(-1.179324--1.67229))+0-654.4--1.00123200000004</f>
        <v>1981.8631030000001</v>
      </c>
      <c r="AB313" s="3">
        <f>2843+(521-879.3)+(-2.89986+(-0.53142--0.896886))+0-582.6--0.594252000000093</f>
        <v>1900.1598580000002</v>
      </c>
      <c r="AC313" s="3">
        <f>2404.7+(620.1-615.1)+(-4.905588+(-1.265004--1.254804))+0-701.8--1.43167199999997</f>
        <v>1704.415884</v>
      </c>
      <c r="AD313" s="2">
        <v>2169.5000000000005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2037.7+(699.5-518.8)+(-4.156908+(-1.42698--1.058352))+0-594.9--1.21359599999997</f>
        <v>1620.18806</v>
      </c>
      <c r="G314" s="3">
        <f>2063.5+(683.8-542.5)+(-2.10477+(-0.697476--0.55335))+0-673.2--0.686664000000107</f>
        <v>1530.0377680000001</v>
      </c>
      <c r="H314" s="3">
        <f>2153+(536.5-609.7)+(-1.09803+(-0.273615--0.310947))+0-594.7--0.30329699999994</f>
        <v>1484.3425990000003</v>
      </c>
      <c r="I314" s="3">
        <f>2099+(657.6-580.5)+(2.14098+(0.670752-0.59211))+0-705.1-0.719202000000112</f>
        <v>1472.5004199999998</v>
      </c>
      <c r="J314" s="3">
        <f>1913.8+(619.3-488.2)+(-4.88019+(-1.579215--1.24491))+0-577.9--1.47364499999992</f>
        <v>1463.2591499999999</v>
      </c>
      <c r="K314" s="3">
        <f>2036.9+(649.9-535.3)+(5.194095+(1.657245-1.365015))+0-641.4-1.63556999999991</f>
        <v>1513.9507549999998</v>
      </c>
      <c r="L314" s="3">
        <f>2014.8+(700.2-472.4)+(0+(0-0))+0-586.8-0</f>
        <v>1655.8</v>
      </c>
      <c r="M314" s="3">
        <f>2232.7+(722.9-564)+(-3.416031+(-1.106037--0.86292))+0-655.4--1.00276200000004</f>
        <v>1733.5436139999997</v>
      </c>
      <c r="N314" s="3">
        <f>2591.4+(529.2-876.4)+(-2.643228+(-0.539784--0.893928))+0-472.5--0.481950000000075</f>
        <v>1769.8928660000004</v>
      </c>
      <c r="O314" s="3">
        <f>2681.6+(409.6-991)+(-4.102848+(-0.626688--1.51623))+0-353.4--0.54070200000002</f>
        <v>1744.1273959999996</v>
      </c>
      <c r="P314" s="3">
        <f>3118.4+(317.9-1305.7)+(-3.180768+(-0.324258--1.331814))+0-378.9--0.38647800000006</f>
        <v>1749.9132659999998</v>
      </c>
      <c r="Q314" s="3">
        <f>3080.1+(400.5-1439.3)+(-7.854255+(-1.021275--3.670215))+0-321--0.818549999999953</f>
        <v>1715.913235</v>
      </c>
      <c r="R314" s="3">
        <f>2738.4+(530.5-1100.8)+(-5.586336+(-1.08222--2.245632))+0-338.8--0.691151999999985</f>
        <v>1825.5682280000003</v>
      </c>
      <c r="S314" s="3">
        <f>2666.4+(459.6-869.5)+(-5.439456+(-0.937584--1.77378))+0-479.1--0.977363999999979</f>
        <v>1773.7741040000003</v>
      </c>
      <c r="T314" s="3">
        <f>2744.7+(421.8-988.1)+(-2.799594+(-0.430236--1.007862))+0-456.6--0.465732000000073</f>
        <v>1720.043764</v>
      </c>
      <c r="U314" s="3">
        <f>2805.3+(435.1-1052.6)+(2.861406+(0.443802-1.073652))+0-494.7-0.504594000000079</f>
        <v>1694.8269620000003</v>
      </c>
      <c r="V314" s="3">
        <f>2690.4+(544.9-964)+(1.372104+(0.277899-0.49164))+0-521.6-0.266015999999947</f>
        <v>1750.5923470000002</v>
      </c>
      <c r="W314" s="3">
        <f>3401+(579.8-1559.3)+(3.46902+(0.591396-1.590486))+0-483.2-0.492864000000077</f>
        <v>1940.2770660000001</v>
      </c>
      <c r="X314" s="3">
        <f>3887.6+(810.5-2032)+(-11.896056+(-2.48013--6.21792))+0-531.2--1.62547200000006</f>
        <v>2128.3672060000004</v>
      </c>
      <c r="Y314" s="3">
        <f>3599.3+(649.4-1676.8)+(-9.178215+(-1.65597--4.27584))+0-460.1--1.17325499999993</f>
        <v>2106.4149100000004</v>
      </c>
      <c r="Z314" s="3">
        <f>2909.8+(710.2-1031.5)+(-4.451994+(-1.086606--1.578195))+0-552.8--0.845784000000032</f>
        <v>2032.5853790000003</v>
      </c>
      <c r="AA314" s="3">
        <f>2890.5+(685.1-1050.8)+(-1.474155+(-0.349401--0.535908))+0-557--0.284069999999943</f>
        <v>1966.7964220000001</v>
      </c>
      <c r="AB314" s="3">
        <f>2627.7+(828.8-981.3)+(-2.680254+(-0.845376--1.000926))+0-586.1--0.597822000000093</f>
        <v>1887.1731180000002</v>
      </c>
      <c r="AC314" s="3">
        <f>2482.7+(938.9-1055.3)+(-6.330885+(-2.394195--2.691015))+0-593.4--1.51316999999991</f>
        <v>1768.3791049999998</v>
      </c>
      <c r="AD314" s="2">
        <v>2149.5999999999995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1741+(832.4-385.6)+(-1.77582+(-0.849048--0.393312))+0-544.6--0.555492000000087</f>
        <v>1641.5239360000003</v>
      </c>
      <c r="G315" s="3">
        <f>1591.1+(939.2-464.8)+(-2.434383+(-1.436976--0.711144))+0-560.2--0.857106000000032</f>
        <v>1502.996891</v>
      </c>
      <c r="H315" s="3">
        <f>1638.9+(821.3-412.4)+(0+(0-0))+0-580.8-0</f>
        <v>1467.0000000000002</v>
      </c>
      <c r="I315" s="3">
        <f>1673.2+(757.5-435.6)+(-1.706664+(-0.77265--0.444312))+0-560--0.571200000000089</f>
        <v>1433.6361979999999</v>
      </c>
      <c r="J315" s="3">
        <f>1785.5+(735.4-464.8)+(0.910605+(0.375054-0.237048))+0-619.3-0.315842999999937</f>
        <v>1437.5327680000003</v>
      </c>
      <c r="K315" s="3">
        <f>1777.3+(727.1-458.4)+(-0.906423+(-0.370821--0.233784))+0-570.1--0.290750999999942</f>
        <v>1475.1472909999998</v>
      </c>
      <c r="L315" s="3">
        <f>1888.6+(828-546.7)+(-0.963186+(-0.42228--0.278817))+0-575.2--0.293351999999942</f>
        <v>1593.8867029999997</v>
      </c>
      <c r="M315" s="3">
        <f>1741.9+(1017.5-482.3)+(0+(0-0))+0-587.4-0</f>
        <v>1689.7000000000003</v>
      </c>
      <c r="N315" s="3">
        <f>2180+(782.7-644.4)+(0+(0-0))+0-584.5-0</f>
        <v>1733.8000000000002</v>
      </c>
      <c r="O315" s="3">
        <f>2621+(521-855.5)+(-2.67342+(-0.53142--0.87261))+0-537.5--0.548250000000086</f>
        <v>1747.2160200000001</v>
      </c>
      <c r="P315" s="3">
        <f>3047+(400.8-1059)+(0+(0-0))+0-580.1-0</f>
        <v>1808.7000000000003</v>
      </c>
      <c r="Q315" s="3">
        <f>3419.6+(313.9-1447.7)+(-1.743996+(-0.160089--0.738327))+0-514.5--0.262394999999948</f>
        <v>1770.3966369999996</v>
      </c>
      <c r="R315" s="3">
        <f>2965.5+(393.1-1115.9)+(-7.562025+(-1.002405--2.845545))+0-502.8--1.28213999999993</f>
        <v>1735.4632549999997</v>
      </c>
      <c r="S315" s="3">
        <f>2309.9+(477.2-593.4)+(0+(0-0))+0-455.8-0</f>
        <v>1737.9000000000003</v>
      </c>
      <c r="T315" s="3">
        <f>2319.1+(599.3-608)+(-1.182741+(-0.305643--0.31008))+0-621.9--0.317168999999937</f>
        <v>1687.6388649999994</v>
      </c>
      <c r="U315" s="3">
        <f>2242.9+(567.6-551.8)+(-2.287758+(-0.578952--0.562836))+0-573.9--0.585378000000091</f>
        <v>1683.081504</v>
      </c>
      <c r="V315" s="3">
        <f>2425.7+(544.5-594.8)+(1.237107+(0.277695-0.303348))+0-623.8-0.318137999999937</f>
        <v>1752.4933159999996</v>
      </c>
      <c r="W315" s="3">
        <f>3282.1+(537.6-1270.6)+(1.673871+(0.274176-0.648006))+0-570.8-0.291107999999942</f>
        <v>1979.308933</v>
      </c>
      <c r="X315" s="3">
        <f>3796.8+(531.5-1723)+(-7.745472+(-1.08426--3.51492))+0-555.7--1.13362799999998</f>
        <v>2045.4188160000001</v>
      </c>
      <c r="Y315" s="3">
        <f>3485+(547.4-1373.8)+(-7.1094+(-1.116696--2.802552))+0-625.4--1.27581599999997</f>
        <v>2029.0522719999997</v>
      </c>
      <c r="Z315" s="3">
        <f>3377.7+(600-1360.2)+(-3.445254+(-0.612--1.387404))+0-611.2--0.623424000000097</f>
        <v>2004.2535739999998</v>
      </c>
      <c r="AA315" s="3">
        <f>3232.4+(663.3-1258)+(-3.297048+(-0.676566--1.28316))+0-606.6--0.618732000000097</f>
        <v>2029.028278</v>
      </c>
      <c r="AB315" s="3">
        <f>2750.1+(572.4-919.4)+(-4.207653+(-0.875772--1.406682))+0-590.6--0.903618000000034</f>
        <v>1809.7268750000001</v>
      </c>
      <c r="AC315" s="3">
        <f>2753+(635.9-1037.1)+(-2.80806+(-0.648618--1.057842))+0-650.7--0.663714000000104</f>
        <v>1699.3648780000003</v>
      </c>
      <c r="AD315" s="2">
        <v>2102.5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2204.5+(585.2-693.8)+(-5.621475+(-1.49226--1.76919))+0-598.3--1.52566499999991</f>
        <v>1493.7811200000001</v>
      </c>
      <c r="G316" s="3">
        <f>2005.7+(545.7-565.9)+(0+(0-0))+0-618.6-0</f>
        <v>1366.9</v>
      </c>
      <c r="H316" s="3">
        <f>1925.2+(538.8-582.5)+(-4.90926+(-1.37394--1.485375))+0-599.5--1.52872499999991</f>
        <v>1278.7308999999998</v>
      </c>
      <c r="I316" s="3">
        <f>1931.2+(559.9-481.1)+(-0.984912+(-0.285549--0.245361))+0-644.7--0.328796999999935</f>
        <v>1364.6036969999998</v>
      </c>
      <c r="J316" s="3">
        <f>1982+(550.8-569.2)+(2.02164+(0.561816-0.580584))+0-555.5-0.566610000000089</f>
        <v>1409.5362619999999</v>
      </c>
      <c r="K316" s="3">
        <f>1942.2+(629.7-448.2)+(1.981044+(0.642294-0.457164))+0-663.1-0.676362000000106</f>
        <v>1462.0898120000002</v>
      </c>
      <c r="L316" s="3">
        <f>2165.7+(586.9-593.9)+(-3.313521+(-0.897957--0.908667))+0-651.2--0.996336000000038</f>
        <v>1505.1935249999997</v>
      </c>
      <c r="M316" s="3">
        <f>2146.3+(653-578.3)+(-2.189226+(-0.66606--0.589866))+0-630.1--0.6427020000001</f>
        <v>1589.277282</v>
      </c>
      <c r="N316" s="3">
        <f>2091.7+(808.9-642.5)+(-1.066767+(-0.412539--0.327675))+0-607.7--0.309926999999938</f>
        <v>1649.5582959999997</v>
      </c>
      <c r="O316" s="3">
        <f>2332.7+(686.4-702)+(3.569031+(1.050192-1.07406))+0-548.7-0.839511000000032</f>
        <v>1771.1056519999995</v>
      </c>
      <c r="P316" s="3">
        <f>2587.8+(598.4-814.1)+(5.279112+(1.220736-1.660764))+0-589.1-1.20176399999997</f>
        <v>1786.6373200000007</v>
      </c>
      <c r="Q316" s="3">
        <f>3249.5+(183.4-1192.1)+(-1.657245+(-0.093534--0.607971))+0-484--0.246839999999951</f>
        <v>1755.9040320000001</v>
      </c>
      <c r="R316" s="3">
        <f>3244.9+(280.2-1015.9)+(-6.619596+(-0.571608--2.072436))+0-654.7--1.33558799999997</f>
        <v>1850.7168199999999</v>
      </c>
      <c r="S316" s="3">
        <f>2584.5+(442-612)+(-5.27238+(-0.90168--1.24848))+0-648.8--1.32355199999997</f>
        <v>1762.097972</v>
      </c>
      <c r="T316" s="3">
        <f>2288.8+(623.3-564)+(0+(0-0))+0-597.6-0</f>
        <v>1750.5000000000005</v>
      </c>
      <c r="U316" s="3">
        <f>2168.1+(648-538.2)+(-6.634386+(-1.98288--1.646892))+0-587--1.79622000000007</f>
        <v>1685.7258459999998</v>
      </c>
      <c r="V316" s="3">
        <f>2255.5+(651.2-572.1)+(0+(0-0))+0-635.1-0</f>
        <v>1699.5</v>
      </c>
      <c r="W316" s="3">
        <f>3013.4+(606.7-1104.7)+(0+(0-0))+0-670.6-0</f>
        <v>1844.8000000000002</v>
      </c>
      <c r="X316" s="3">
        <f>3871.8+(680.9-1856)+(-9.87309+(-1.736295--4.7328))+0-643.6--1.64117999999991</f>
        <v>2047.8645950000002</v>
      </c>
      <c r="Y316" s="3">
        <f>3566.2+(692.4-1588)+(-9.09381+(-1.76562--4.0494))+0-597.9--1.52464499999991</f>
        <v>2067.4146149999997</v>
      </c>
      <c r="Z316" s="3">
        <f>3302.1+(743.6-1397.2)+(-3.368142+(-0.758472--1.425144))+0-632.2--0.644844000000101</f>
        <v>2014.2433740000001</v>
      </c>
      <c r="AA316" s="3">
        <f>2834.9+(701.4-1014.1)+(-5.783196+(-1.430856--2.068764))+0-592.9--1.20951599999997</f>
        <v>1925.3642279999995</v>
      </c>
      <c r="AB316" s="3">
        <f>2518+(683-780.5)+(-1.28418+(-0.34833--0.398055))+0-589.7--0.30074699999994</f>
        <v>1829.8662920000002</v>
      </c>
      <c r="AC316" s="3">
        <f>2506.9+(667-813.5)+(-5.114076+(-1.36068--1.65954))+0-651.7--1.32946799999997</f>
        <v>1705.214252</v>
      </c>
      <c r="AD316" s="2">
        <v>1977.3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2463.7+(611.2-907.3)+(-1.256487+(-0.311712--0.462723))+0-586.1--0.298910999999941</f>
        <v>1580.6934349999997</v>
      </c>
      <c r="G317" s="3">
        <f>2264.2+(596.1-793.4)+(-1.154742+(-0.304011--0.404634))+0-566.9--0.289118999999943</f>
        <v>1499.2349999999997</v>
      </c>
      <c r="H317" s="3">
        <f>2151.4+(605-689.7)+(0+(0-0))+0-626.7-0</f>
        <v>1439.9999999999998</v>
      </c>
      <c r="I317" s="3">
        <f>1947.7+(665.8-488.8)+(-0.993327+(-0.339558--0.249288))+0-693.1--0.35348099999993</f>
        <v>1430.869884</v>
      </c>
      <c r="J317" s="3">
        <f>1983.6+(661.5-553.6)+(-3.034908+(-1.012095--0.847008))+0-668.8--1.02326400000004</f>
        <v>1420.523269</v>
      </c>
      <c r="K317" s="3">
        <f>2160.4+(592-651.4)+(1.101804+(0.30192-0.332214))+0-646.2-0.329561999999934</f>
        <v>1455.5419480000003</v>
      </c>
      <c r="L317" s="3">
        <f>2341.6+(582.2-727)+(-2.388432+(-0.593844--0.74154))+0-610--0.622200000000097</f>
        <v>1585.181464</v>
      </c>
      <c r="M317" s="3">
        <f>2298.4+(701.7-639.7)+(-3.516552+(-1.073601--0.978741))+0-679.8--1.04009400000004</f>
        <v>1678.0286819999999</v>
      </c>
      <c r="N317" s="3">
        <f>2140.5+(814.7-664.4)+(-2.18331+(-0.830994--0.677688))+0-569.2--0.580584000000091</f>
        <v>1719.8439680000001</v>
      </c>
      <c r="O317" s="3">
        <f>2236.7+(809.5-657.9)+(-1.140717+(-0.412845--0.335529))+0-623.3--0.317882999999937</f>
        <v>1764.0998499999996</v>
      </c>
      <c r="P317" s="3">
        <f>2355.6+(737-668.1)+(-3.604068+(-1.12761--1.022193))+0-645--0.986850000000037</f>
        <v>1776.7773650000001</v>
      </c>
      <c r="Q317" s="3">
        <f>2274.6+(617.4-636.9)+(0+(0-0))+0-452.6-0</f>
        <v>1802.5</v>
      </c>
      <c r="R317" s="3">
        <f>2111.2+(811.7-529.1)+(-4.306848+(-1.655868--1.079364))+0-647.9--1.32171599999997</f>
        <v>1742.3383639999997</v>
      </c>
      <c r="S317" s="3">
        <f>2044.1+(856.8-574.2)+(-4.169964+(-1.747872--1.171368))+0-593.7--1.21114799999997</f>
        <v>1729.4646799999998</v>
      </c>
      <c r="T317" s="3">
        <f>2106.9+(760.9-593.9)+(1.074519+(0.388059-0.302889))+0-598.8-0.305387999999939</f>
        <v>1675.9543010000002</v>
      </c>
      <c r="U317" s="3">
        <f>2092.1+(801.5-599.1)+(-4.267884+(-1.63506--1.222164))+0-676.2--1.37944799999997</f>
        <v>1614.9986679999997</v>
      </c>
      <c r="V317" s="3">
        <f>1945.5+(892-584.3)+(-0.992205+(-0.45492--0.297993))+0-597.2--0.304571999999939</f>
        <v>1655.1554399999998</v>
      </c>
      <c r="W317" s="3">
        <f>2925+(581.8-999.1)+(2.9835+(0.593436-1.019082))+0-703.9-0.717978000000112</f>
        <v>1805.6398759999997</v>
      </c>
      <c r="X317" s="3">
        <f>3816.7+(600.3-1672.4)+(-1.946517+(-0.306153--0.852924))+0-653.3--0.333182999999934</f>
        <v>2090.233436999999</v>
      </c>
      <c r="Y317" s="3">
        <f>3518.6+(713.6-1391.6)+(-5.383458+(-1.091808--2.129148))+0-734.5--1.12378500000004</f>
        <v>2102.8776670000002</v>
      </c>
      <c r="Z317" s="3">
        <f>3042.2+(664.4-1068.1)+(1.551522+(0.338844-0.544731))+0-595.4-0.30365399999994</f>
        <v>2044.141981</v>
      </c>
      <c r="AA317" s="3">
        <f>2692.1+(768-761.1)+(-4.118913+(-1.17504--1.164483))+0-680.9--1.04177700000004</f>
        <v>2015.0123070000002</v>
      </c>
      <c r="AB317" s="3">
        <f>2421.5+(725.5-619.4)+(-6.174825+(-1.850025--1.57947))+0-614.8--1.56773999999991</f>
        <v>1907.9223599999998</v>
      </c>
      <c r="AC317" s="3">
        <f>2418.3+(674.2-574)+(-2.466666+(-0.687684--0.58548))+0-729.6--0.744192000000116</f>
        <v>1787.0753220000001</v>
      </c>
      <c r="AD317" s="2">
        <v>2070.7999999999997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1857.9+(822.3-446.2)+(-3.790116+(-1.677492--0.910248))+0-533.6--1.08854399999998</f>
        <v>1696.9311840000003</v>
      </c>
      <c r="G318" s="3">
        <f>1534.7+(1040.3-348)+(-1.565394+(-1.061106--0.35496))+0-663--0.676260000000106</f>
        <v>1562.40472</v>
      </c>
      <c r="H318" s="3">
        <f>1568.5+(970.8-379.3)+(0+(0-0))+0-679-0</f>
        <v>1481</v>
      </c>
      <c r="I318" s="3">
        <f>1573.9+(916.6-358.9)+(-0.802689+(-0.467466--0.183039))+0-667.8--0.340577999999932</f>
        <v>1463.0534620000001</v>
      </c>
      <c r="J318" s="3">
        <f>1590.5+(900.7-354.4)+(0+(0-0))+0-680-0</f>
        <v>1456.8000000000002</v>
      </c>
      <c r="K318" s="3">
        <f>1554.6+(934.3-365.1)+(0.792846+(0.476493-0.186201))+0-639.5-0.326144999999935</f>
        <v>1485.0569929999997</v>
      </c>
      <c r="L318" s="3">
        <f>1617+(1021.3-392.3)+(-1.64934+(-1.041726--0.400146))+0-697.1--0.711042000000111</f>
        <v>1547.3201220000003</v>
      </c>
      <c r="M318" s="3">
        <f>1781.4+(895.9-484.3)+(2.725542+(1.370727-0.740979))+0-531.6-0.813348000000031</f>
        <v>1663.9419419999999</v>
      </c>
      <c r="N318" s="3">
        <f>1881.8+(970.4-537)+(0+(0-0))+0-614.6-0</f>
        <v>1700.6</v>
      </c>
      <c r="O318" s="3">
        <f>2176.1+(811.7-615.3)+(1.109811+(0.413967-0.313803))+0-570.2-0.290801999999942</f>
        <v>1803.2191730000002</v>
      </c>
      <c r="P318" s="3">
        <f>2874+(469.7-856.5)+(0+(0-0))+0-616.1-0</f>
        <v>1871.1</v>
      </c>
      <c r="Q318" s="3">
        <f>3068.4+(406.4-947.3)+(-3.129768+(-0.414528--0.966246))+0-604--0.616080000000096</f>
        <v>1921.5380299999999</v>
      </c>
      <c r="R318" s="3">
        <f>2799.6+(497.5-798)+(-5.711184+(-1.0149--1.62792))+0-556.3--1.13485199999998</f>
        <v>1938.8366879999999</v>
      </c>
      <c r="S318" s="3">
        <f>2198.4+(908.7-605.2)+(2.242368+(0.926874-0.617304))+0-579.9-0.591498000000092</f>
        <v>1923.9604400000001</v>
      </c>
      <c r="T318" s="3">
        <f>2062.8+(943.4-494.9)+(-2.104056+(-0.962268--0.504798))+0-651.1--0.664122000000104</f>
        <v>1858.3025960000004</v>
      </c>
      <c r="U318" s="3">
        <f>2362+(725.4-658.3)+(4.81848+(1.479816-1.342932))+0-615.6-1.25582399999997</f>
        <v>1817.1995399999998</v>
      </c>
      <c r="V318" s="3">
        <f>2454.8+(596-643.7)+(0+(0-0))+0-577.1-0</f>
        <v>1830.0000000000005</v>
      </c>
      <c r="W318" s="3">
        <f>2772+(509.7-759.4)+(-1.41372+(-0.259947--0.387294))+0-554.6--0.282845999999944</f>
        <v>1966.6964730000002</v>
      </c>
      <c r="X318" s="3">
        <f>3634.9+(372.1-1165.8)+(-3.707598+(-0.379542--1.189116))+0-722.5--0.736950000000115</f>
        <v>2116.5389260000002</v>
      </c>
      <c r="Y318" s="3">
        <f>3341.1+(433.9-1050.1)+(-10.223766+(-1.327734--3.213306))+0-628.8--1.92412800000007</f>
        <v>2089.6859340000005</v>
      </c>
      <c r="Z318" s="3">
        <f>3240.2+(465.6-993.7)+(3.305004+(0.474912-1.013574))+0-681.4-0.695028000000109</f>
        <v>2032.7713139999996</v>
      </c>
      <c r="AA318" s="3">
        <f>3029.3+(463.1-883.6)+(-7.724715+(-1.180905--2.25318))+0-641.4--1.63556999999991</f>
        <v>1962.3831300000002</v>
      </c>
      <c r="AB318" s="3">
        <f>2963.9+(476.9-916.8)+(-6.046356+(-0.972876--1.870272))+0-646.9--1.31967599999997</f>
        <v>1873.270716</v>
      </c>
      <c r="AC318" s="3">
        <f>2464.1+(582.8-658.4)+(-5.026764+(-1.188912--1.343136))+0-617.1--1.25888399999997</f>
        <v>1767.7863440000003</v>
      </c>
      <c r="AD318" s="2">
        <v>2108.5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2155.3+(599.1-541.4)+(-3.297609+(-0.916623--0.828342))+0-563.8--0.862614000000033</f>
        <v>1646.6767240000001</v>
      </c>
      <c r="G319" s="3">
        <f>2055.6+(668.4-499.5)+(-5.24178+(-1.70442--1.273725))+0-682.1--1.7393549999999</f>
        <v>1538.4668800000002</v>
      </c>
      <c r="H319" s="3">
        <f>1936.7+(565.8-442.6)+(1.975434+(0.577116-0.451452))+0-561.8-0.57303600000009</f>
        <v>1499.6280620000002</v>
      </c>
      <c r="I319" s="3">
        <f>1987.6+(678.6-482.1)+(-1.013676+(-0.346086--0.245871))+0-727.5--0.371024999999926</f>
        <v>1455.8571339999999</v>
      </c>
      <c r="J319" s="3">
        <f>1965.6+(519-555)+(-1.002456+(-0.26469--0.28305))+0-464--0.236639999999953</f>
        <v>1464.8525439999999</v>
      </c>
      <c r="K319" s="3">
        <f>2102.8+(564-542.2)+(2.144856+(0.57528-0.553044))+0-641-0.653820000000102</f>
        <v>1485.1132720000005</v>
      </c>
      <c r="L319" s="3">
        <f>2061.3+(591.9-519.1)+(-2.102526+(-0.603738--0.529482))+0-586.7--0.598434000000094</f>
        <v>1545.8216520000003</v>
      </c>
      <c r="M319" s="3">
        <f>1991.5+(726.9-480.7)+(0+(0-0))+0-645.4-0</f>
        <v>1592.2999999999997</v>
      </c>
      <c r="N319" s="3">
        <f>2056.9+(785.1-577.2)+(1.049019+(0.400401-0.294372))+0-626.1-0.319310999999937</f>
        <v>1639.5357370000004</v>
      </c>
      <c r="O319" s="3">
        <f>2228.6+(665.4-632.1)+(1.136586+(0.339354-0.322371))+0-573.8-0.292637999999942</f>
        <v>1688.9609309999998</v>
      </c>
      <c r="P319" s="3">
        <f>2487.1+(510.7-727.8)+(-3.805263+(-0.781371--1.113534))+0-577.1--0.882963000000033</f>
        <v>1690.309863</v>
      </c>
      <c r="Q319" s="3">
        <f>2678.3+(450.4-816.4)+(-5.463732+(-0.918816--1.665456))+0-599.1--1.22216399999997</f>
        <v>1709.7050720000004</v>
      </c>
      <c r="R319" s="3">
        <f>2896+(363.8-975)+(-1.47696+(-0.185538--0.49725))+0-590.4--0.30110399999994</f>
        <v>1693.5358560000002</v>
      </c>
      <c r="S319" s="3">
        <f>2694.1+(433.4-787.4)+(-5.495964+(-0.884136--1.606296))+0-690.7--1.40902799999997</f>
        <v>1646.035224</v>
      </c>
      <c r="T319" s="3">
        <f>2512.3+(456.5-727.2)+(-3.843819+(-0.698445--1.112616))+0-631.9--0.966807000000037</f>
        <v>1607.2371590000005</v>
      </c>
      <c r="U319" s="3">
        <f>2726.9+(413.4-880)+(4.172157+(0.632502-1.3464))+0-666.4-1.01959200000004</f>
        <v>1596.338667</v>
      </c>
      <c r="V319" s="3">
        <f>2295.7+(538-611)+(-2.341614+(-0.54876--0.62322))+0-613.6--0.625872000000098</f>
        <v>1607.4587179999999</v>
      </c>
      <c r="W319" s="3">
        <f>2418.2+(461.7-528.6)+(-6.16641+(-1.177335--1.34793))+0-615.7--1.57003499999991</f>
        <v>1731.1742199999994</v>
      </c>
      <c r="X319" s="3">
        <f>2757.6+(487.8-668.1)+(-4.219128+(-0.746334--1.022193))+0-563.6--0.862308000000033</f>
        <v>2010.6190389999999</v>
      </c>
      <c r="Y319" s="3">
        <f>2739.2+(604.1-580)+(-1.396992+(-0.308091--0.2958))+0-711.9--0.363068999999928</f>
        <v>2050.3537859999997</v>
      </c>
      <c r="Z319" s="3">
        <f>2707.5+(580.3-605.1)+(-1.380825+(-0.295953--0.308601))+0-670.8--0.342107999999932</f>
        <v>2010.8739309999999</v>
      </c>
      <c r="AA319" s="3">
        <f>2635.2+(660.9-664)+(1.343952+(0.337059-0.33864))+0-676.8-0.345167999999931</f>
        <v>1956.2972030000003</v>
      </c>
      <c r="AB319" s="3">
        <f>2154.2+(803.4-478.1)+(-3.295926+(-1.229202--0.731493))+0-612--0.936360000000035</f>
        <v>1864.6427249999999</v>
      </c>
      <c r="AC319" s="3">
        <f>2056.7+(801.1-442.8)+(-4.195668+(-1.634244--0.903312))+0-649.5--1.32497999999997</f>
        <v>1761.8983800000001</v>
      </c>
      <c r="AD319" s="2">
        <v>2048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2012.6+(704.5-442.3)+(-4.105704+(-1.43718--0.902292))+0-649.9--1.32579599999997</f>
        <v>1621.5852039999995</v>
      </c>
      <c r="G320" s="3">
        <f>1929.9+(648.4-390.6)+(-0.984249+(-0.330684--0.199206))+0-653.2--0.333131999999934</f>
        <v>1533.7174049999999</v>
      </c>
      <c r="H320" s="3">
        <f>1790.1+(735.1-400.4)+(-3.651804+(-1.499604--0.816816))+0-657.7--1.34170799999997</f>
        <v>1464.1071159999999</v>
      </c>
      <c r="I320" s="3">
        <f>1796.6+(665.5-405.3)+(-0.916266+(-0.339405--0.206703))+0-588.9--0.30033899999994</f>
        <v>1467.1513709999995</v>
      </c>
      <c r="J320" s="3">
        <f>1902.2+(702-413.1)+(4.85061+(1.7901-1.053405))+0-695.4-1.7732699999999</f>
        <v>1499.5140349999999</v>
      </c>
      <c r="K320" s="3">
        <f>2039.5+(651.7-493.6)+(3.120435+(0.997101-0.755208))+0-694-1.06182000000004</f>
        <v>1505.9005079999999</v>
      </c>
      <c r="L320" s="3">
        <f>1997+(693.4-423.5)+(3.05541+(1.060902-0.647955))+0-626.1-0.957933000000036</f>
        <v>1643.3104240000002</v>
      </c>
      <c r="M320" s="3">
        <f>2203+(653.8-470.2)+(-3.37059+(-1.000314--0.719406))+0-664.4--1.01653200000004</f>
        <v>1719.5650339999997</v>
      </c>
      <c r="N320" s="3">
        <f>2209.4+(661.6-464.4)+(2.253588+(0.674832-0.473688))+0-657.8-0.670956000000105</f>
        <v>1750.5837760000004</v>
      </c>
      <c r="O320" s="3">
        <f>2457.8+(685.5-783.2)+(0+(0-0))+0-567.8-0</f>
        <v>1792.3000000000004</v>
      </c>
      <c r="P320" s="3">
        <f>2916.3+(700.1-1128.6)+(2.974626+(0.714102-1.151172))+0-648.5-0.661470000000103</f>
        <v>1841.1760860000004</v>
      </c>
      <c r="Q320" s="3">
        <f>3424.3+(639.5-1593.2)+(-3.492786+(-0.65229--1.625064))+0-589.9--0.601698000000094</f>
        <v>1878.7816860000005</v>
      </c>
      <c r="R320" s="3">
        <f>3162.4+(713.4-1301.7)+(-8.06412+(-1.81917--3.319335))+0-677--1.7263499999999</f>
        <v>1892.2623949999997</v>
      </c>
      <c r="S320" s="3">
        <f>2499.1+(801.4-930.1)+(-1.274541+(-0.408714--0.474351))+0-508--0.259079999999948</f>
        <v>1861.4501759999996</v>
      </c>
      <c r="T320" s="3">
        <f>2313+(919.9-779.6)+(-5.89815+(-2.345745--1.98798))+0-638.1--1.62715499999991</f>
        <v>1810.57124</v>
      </c>
      <c r="U320" s="3">
        <f>2249.2+(830.5-720.5)+(-2.294184+(-0.84711--0.73491))+0-576.7--0.588234000000092</f>
        <v>1780.6818499999999</v>
      </c>
      <c r="V320" s="3">
        <f>2523.9+(921.3-1011)+(1.287189+(0.469863-0.51561))+0-560.2-0.285701999999943</f>
        <v>1874.9557399999999</v>
      </c>
      <c r="W320" s="3">
        <f>2945.4+(1020.1-1461.9)+(0+(0-0))+0-575.6-0</f>
        <v>1928</v>
      </c>
      <c r="X320" s="3">
        <f>4334.2+(985.2-2512)+(-2.210442+(-0.502452--1.28112))+0-628.9--0.320738999999936</f>
        <v>2177.3889649999992</v>
      </c>
      <c r="Y320" s="3">
        <f>3976.8+(1055.8-2309.2)+(-12.169008+(-3.230748--7.066152))+0-574.7--1.75858200000007</f>
        <v>2142.1249780000003</v>
      </c>
      <c r="Z320" s="3">
        <f>3485+(1134.7-1918.6)+(-7.1094+(-2.314788--3.913944))+0-636.2--1.29784799999997</f>
        <v>2060.6876040000006</v>
      </c>
      <c r="AA320" s="3">
        <f>3337.9+(1119.9-1780.2)+(-1.702329+(-0.571149--0.907902))+0-610.2--0.311201999999938</f>
        <v>2066.3456260000003</v>
      </c>
      <c r="AB320" s="3">
        <f>3045.8+(1008.4-1362.5)+(-6.213432+(-2.057136--2.7795))+0-715.1--1.45880399999997</f>
        <v>1972.5677360000004</v>
      </c>
      <c r="AC320" s="3">
        <f>2367.8+(689-576.7)+(-3.622734+(-1.05417--0.882351))+0-623--0.953190000000036</f>
        <v>1854.2586370000001</v>
      </c>
      <c r="AD320" s="2">
        <v>2242.5999999999995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1957.7+(876.4-435.9)+(-3.993708+(-1.787856--0.889236))+0-668.2--1.36312799999997</f>
        <v>1726.4707999999998</v>
      </c>
      <c r="G321" s="3">
        <f>1759.6+(877.6-357.9)+(-2.692188+(-1.342728--0.547587))+0-667.7--1.02158100000004</f>
        <v>1609.1342520000001</v>
      </c>
      <c r="H321" s="3">
        <f>1554.4+(1009.4-333.8)+(0+(0-0))+0-664.7-0</f>
        <v>1565.3</v>
      </c>
      <c r="I321" s="3">
        <f>1498.1+(1037.5-312.6)+(-0.764031+(-0.529125--0.159426))+0-687.2--0.35047199999993</f>
        <v>1535.0167419999998</v>
      </c>
      <c r="J321" s="3">
        <f>1514.1+(936.4-246.6)+(0.772191+(0.477564-0.125766))+0-682.2-0.347921999999931</f>
        <v>1522.4760669999998</v>
      </c>
      <c r="K321" s="3">
        <f>1546.6+(957.4-264.2)+(1.577532+(0.976548-0.269484))+0-690.5-0.70431000000011</f>
        <v>1550.8802860000001</v>
      </c>
      <c r="L321" s="3">
        <f>1592.3+(1004-314.6)+(1.624146+(1.02408-0.320892))+0-596-0.607920000000095</f>
        <v>1687.4194139999997</v>
      </c>
      <c r="M321" s="3">
        <f>1559.7+(1198.5-354.4)+(0.795447+(0.611235-0.180744))+0-617-0.314669999999937</f>
        <v>1787.7112680000002</v>
      </c>
      <c r="N321" s="3">
        <f>1721.3+(1043.7-387.5)+(-3.511452+(-2.129148--0.7905))+0-571.5--1.16585999999998</f>
        <v>1802.31576</v>
      </c>
      <c r="O321" s="3">
        <f>1885.3+(1046.8-589.5)+(2.884509+(1.601604-0.901935))+0-528.5-0.808605000000031</f>
        <v>1816.875573</v>
      </c>
      <c r="P321" s="3">
        <f>2546.5+(1006.9-1193)+(-2.59743+(-1.027038--1.21686))+0-529.9--0.540498000000085</f>
        <v>1828.6328900000001</v>
      </c>
      <c r="Q321" s="3">
        <f>2577.3+(988.8-1188)+(-5.257692+(-2.017152--2.42352))+0-517.7--1.05610799999998</f>
        <v>1856.6047840000001</v>
      </c>
      <c r="R321" s="3">
        <f>2467.6+(869.9-887.6)+(-6.29238+(-2.218245--2.26338))+0-629.9--1.60624499999991</f>
        <v>1815.3589999999995</v>
      </c>
      <c r="S321" s="3">
        <f>2198.3+(988.9-866.9)+(1.121133+(0.504339-0.442119))+0-505.4-0.257753999999949</f>
        <v>1815.825599</v>
      </c>
      <c r="T321" s="3">
        <f>2205.9+(1136.7-955.3)+(-2.250018+(-1.159434--0.974406))+0-617--0.629340000000098</f>
        <v>1768.4942940000003</v>
      </c>
      <c r="U321" s="3">
        <f>2177+(1034.9-960.8)+(-1.11027+(-0.527799--0.490008))+0-515.3--0.262802999999948</f>
        <v>1734.9147420000004</v>
      </c>
      <c r="V321" s="3">
        <f>2313.8+(973.1-881.4)+(0+(0-0))+0-610.3-0</f>
        <v>1795.2</v>
      </c>
      <c r="W321" s="3">
        <f>2901.3+(846.6-1389.8)+(0+(0-0))+0-475.9-0</f>
        <v>1882.2000000000003</v>
      </c>
      <c r="X321" s="3">
        <f>4529.5+(973.3-2684)+(2.310045+(0.496383-1.36884))+0-611.8-0.312017999999938</f>
        <v>2208.1255699999997</v>
      </c>
      <c r="Y321" s="3">
        <f>4360.2+(979.5-2557.2)+(-6.671106+(-1.498635--3.912516))+0-554.8--0.848844000000032</f>
        <v>2224.2916190000005</v>
      </c>
      <c r="Z321" s="3">
        <f>3887.5+(952-2045.4)+(-3.96525+(-0.97104--2.086308))+0-601.1--0.613122000000096</f>
        <v>2190.76314</v>
      </c>
      <c r="AA321" s="3">
        <f>3378.2+(933.4-1609.4)+(-5.168646+(-1.428102--2.462382))+0-589.8--0.902394000000034</f>
        <v>2109.1680279999996</v>
      </c>
      <c r="AB321" s="3">
        <f>2858.5+(1102.2-1360.8)+(-2.91567+(-1.124244--1.388016))+0-542.8--0.553656000000087</f>
        <v>2055.0017580000003</v>
      </c>
      <c r="AC321" s="3">
        <f>2550+(1075.5-1064.8)+(-6.5025+(-2.742525--2.71524))+0-644--1.64219999999991</f>
        <v>1911.8124149999996</v>
      </c>
      <c r="AD321" s="2">
        <v>2212.4000000000005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1739+(1128.1-542.9)+(-0.88689+(-0.575331--0.276879))+0-531.8--0.271217999999946</f>
        <v>1791.4858759999995</v>
      </c>
      <c r="G322" s="3">
        <f>1653.6+(1048-344.4)+(0+(0-0))+0-651.1-0</f>
        <v>1706.1</v>
      </c>
      <c r="H322" s="3">
        <f>1745+(908.7-476.3)+(0+(0-0))+0-510.9-0</f>
        <v>1666.5</v>
      </c>
      <c r="I322" s="3">
        <f>1820.5+(928.9-495.7)+(0+(0-0))+0-655.9-0</f>
        <v>1597.7999999999997</v>
      </c>
      <c r="J322" s="3">
        <f>1667.4+(875.9-451.9)+(3.401496+(1.786836-0.921876))+0-500.4-1.02081599999998</f>
        <v>1594.2456399999999</v>
      </c>
      <c r="K322" s="3">
        <f>1737.9+(918.6-429.6)+(2.658987+(1.405458-0.657288))+0-599-0.916470000000035</f>
        <v>1630.3906870000001</v>
      </c>
      <c r="L322" s="3">
        <f>1685.2+(1087.3-409.4)+(1.718904+(1.109046-0.417588))+0-608.1-0.620262000000097</f>
        <v>1756.7900999999999</v>
      </c>
      <c r="M322" s="3">
        <f>1661.9+(1046.6-300.4)+(-1.695138+(-1.067532--0.306408))+0-556.5--0.567630000000089</f>
        <v>1849.7113679999998</v>
      </c>
      <c r="N322" s="3">
        <f>1667.3+(1065.1-262.7)+(-2.550969+(-1.629603--0.401931))+0-586.4--0.897192000000034</f>
        <v>1880.418551</v>
      </c>
      <c r="O322" s="3">
        <f>2020.5+(1103.5-755.7)+(1.030455+(0.562785-0.385407))+0-460.3-0.234752999999953</f>
        <v>1908.9730800000002</v>
      </c>
      <c r="P322" s="3">
        <f>2825.2+(948.1-1353)+(0+(0-0))+0-538-0</f>
        <v>1882.2999999999997</v>
      </c>
      <c r="Q322" s="3">
        <f>2955.4+(1061.4-1549.1)+(1.507254+(0.541314-0.790041))+0-584.1-0.297890999999941</f>
        <v>1884.5606360000004</v>
      </c>
      <c r="R322" s="3">
        <f>2490.8+(974.9-1107.2)+(-6.35154+(-2.485995--2.82336))+0-500.6--1.27652999999993</f>
        <v>1853.1623550000002</v>
      </c>
      <c r="S322" s="3">
        <f>2339.4+(1003.8-915.5)+(0+(0-0))+0-622.9-0</f>
        <v>1804.7999999999997</v>
      </c>
      <c r="T322" s="3">
        <f>2254.8+(974.3-955.1)+(-1.149948+(-0.496893--0.487101))+0-509.5--0.259844999999948</f>
        <v>1763.600105</v>
      </c>
      <c r="U322" s="3">
        <f>2187.5+(981.6-831.9)+(-5.578125+(-2.50308--2.121345))+0-620.9--1.58329499999991</f>
        <v>1711.9234349999997</v>
      </c>
      <c r="V322" s="3">
        <f>2290.5+(1036.7-976.2)+(-3.504465+(-1.586151--1.493586))+0-619.2--0.947376000000036</f>
        <v>1729.1503460000001</v>
      </c>
      <c r="W322" s="3">
        <f>2819.9+(890.5-1353.6)+(-1.438149+(-0.454155--0.690336))+0-511.4--0.260813999999948</f>
        <v>1844.4588460000002</v>
      </c>
      <c r="X322" s="3">
        <f>4131.8+(967.1-2421)+(-6.321654+(-1.479663--3.70413))+0-507.3--0.776169000000029</f>
        <v>2167.2789820000003</v>
      </c>
      <c r="Y322" s="3">
        <f>4086.2+(992.4-2269.8)+(-12.503772+(-3.036744--6.945588))+0-611.6--1.87149600000007</f>
        <v>2190.476568</v>
      </c>
      <c r="Z322" s="3">
        <f>3875.6+(1088.1-2241.5)+(-5.929668+(-1.664793--3.429495))+0-564.7--0.863991000000033</f>
        <v>2154.1990249999999</v>
      </c>
      <c r="AA322" s="3">
        <f>3367.9+(1280.6-1911.7)+(-6.870516+(-2.612424--3.899868))+0-657.6--1.34150399999997</f>
        <v>2074.9584320000004</v>
      </c>
      <c r="AB322" s="3">
        <f>2913.5+(1044.7-1401.1)+(-7.429425+(-2.663985--3.572805))+0-547.4--1.39586999999992</f>
        <v>2004.5752649999999</v>
      </c>
      <c r="AC322" s="3">
        <f>2869+(949.5-1291.3)+(-2.92638+(-0.96849--1.317126))+0-650.6--0.663612000000104</f>
        <v>1874.6858679999998</v>
      </c>
      <c r="AD322" s="2">
        <v>2205.2999999999997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1991+(933.8-643.3)+(-4.06164+(-1.904952--1.312332))+0-528.4--1.07793599999998</f>
        <v>1749.523676</v>
      </c>
      <c r="G323" s="3">
        <f>1881.1+(863.8-449.6)+(-0.959361+(-0.440538--0.229296))+0-659.5--0.336344999999933</f>
        <v>1634.9657419999996</v>
      </c>
      <c r="H323" s="3">
        <f>1762.4+(833.3-448.7)+(0+(0-0))+0-557.2-0</f>
        <v>1589.8</v>
      </c>
      <c r="I323" s="3">
        <f>1839.9+(776.6-440.2)+(0+(0-0))+0-609.1-0</f>
        <v>1567.2000000000003</v>
      </c>
      <c r="J323" s="3">
        <f>1931.2+(725-496.2)+(2.954736+(1.10925-0.759186))+0-586.4-0.897192000000034</f>
        <v>1576.0076079999997</v>
      </c>
      <c r="K323" s="3">
        <f>1861.6+(697.5-370.9)+(-2.848248+(-1.067175--0.567477))+0-595.9--0.911727000000034</f>
        <v>1589.8637809999998</v>
      </c>
      <c r="L323" s="3">
        <f>1807.6+(854.6-316)+(0+(0-0))+0-611.8-0</f>
        <v>1734.3999999999999</v>
      </c>
      <c r="M323" s="3">
        <f>1813.4+(884.5-255.4)+(0+(0-0))+0-610.3-0</f>
        <v>1832.2</v>
      </c>
      <c r="N323" s="3">
        <f>2057.5+(887.9-579.7)+(0+(0-0))+0-528.9-0</f>
        <v>1836.7999999999997</v>
      </c>
      <c r="O323" s="3">
        <f>2439.5+(1057.4-984.4)+(0+(0-0))+0-652.6-0</f>
        <v>1859.9</v>
      </c>
      <c r="P323" s="3">
        <f>2661.5+(1150.1-1408.7)+(-4.072095+(-1.759653--2.155311))+0-528.3--0.80829900000003</f>
        <v>1871.7318619999996</v>
      </c>
      <c r="Q323" s="3">
        <f>2783.2+(1105.1-1464.5)+(-2.838864+(-1.127202--1.49379))+0-550.5--0.561510000000088</f>
        <v>1871.3892339999998</v>
      </c>
      <c r="R323" s="3">
        <f>2768.4+(1175.7-1465.9)+(-4.235652+(-1.798821--2.242827))+0-625.8--0.957474000000036</f>
        <v>1849.5658279999998</v>
      </c>
      <c r="S323" s="3">
        <f>2352+(1030.8-972.2)+(-3.59856+(-1.577124--1.487466))+0-603.7--0.923661000000035</f>
        <v>1804.1354430000001</v>
      </c>
      <c r="T323" s="3">
        <f>2401.7+(965.7-926.8)+(-1.224867+(-0.492507--0.472668))+0-699.1--0.356540999999929</f>
        <v>1740.6118349999999</v>
      </c>
      <c r="U323" s="3">
        <f>2443.1+(735.3-880.5)+(-2.491962+(-0.750006--0.89811))+0-594.3--0.606186000000095</f>
        <v>1701.8623279999997</v>
      </c>
      <c r="V323" s="3">
        <f>2562.5+(736.2-906.5)+(-3.920625+(-1.126386--1.386945))+0-673.1--1.02984300000004</f>
        <v>1716.469777</v>
      </c>
      <c r="W323" s="3">
        <f>3528.2+(704.6-1724.4)+(0+(0-0))+0-677.5-0</f>
        <v>1830.8999999999996</v>
      </c>
      <c r="X323" s="3">
        <f>4962.8+(942.7-3079.7)+(0+(0-0))+0-672.7-0</f>
        <v>2153.1000000000004</v>
      </c>
      <c r="Y323" s="3">
        <f>4752.2+(938-2818.5)+(-14.541732+(-2.87028--8.62461))+0-680--2.08080000000008</f>
        <v>2184.9933980000001</v>
      </c>
      <c r="Z323" s="3">
        <f>4394.3+(1018.7-2599.5)+(0+(0-0))+0-664.5-0</f>
        <v>2149</v>
      </c>
      <c r="AA323" s="3">
        <f>3971.6+(1020.4-2268.7)+(-2.025516+(-0.520404--1.157037))+0-637.3--0.325022999999935</f>
        <v>2084.9361400000003</v>
      </c>
      <c r="AB323" s="3">
        <f>3128.6+(1039.6-1506.7)+(-3.191172+(-1.060392--1.536834))+0-669.9--0.683298000000107</f>
        <v>1989.5685679999999</v>
      </c>
      <c r="AC323" s="3">
        <f>2255.8+(913.7-700.2)+(-3.451374+(-1.397961--1.071306))+0-608.2--0.930546000000035</f>
        <v>1858.2525170000001</v>
      </c>
      <c r="AD323" s="2">
        <v>2191.8000000000002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1899.7+(917-389.8)+(-4.844235+(-2.33835--0.99399))+0-692.6--1.7661299999999</f>
        <v>1729.8775350000001</v>
      </c>
      <c r="G324" s="3">
        <f>1793.6+(811.1-306.7)+(-3.658944+(-1.654644--0.625668))+0-664.4--1.35537599999997</f>
        <v>1630.267456</v>
      </c>
      <c r="H324" s="3">
        <f>1788.2+(769.6-302.3)+(-0.911982+(-0.392496--0.154173))+0-671.1--0.342260999999932</f>
        <v>1583.591956</v>
      </c>
      <c r="I324" s="3">
        <f>1794.1+(721.9-286)+(0+(0-0))+0-672.3-0</f>
        <v>1557.7</v>
      </c>
      <c r="J324" s="3">
        <f>1774+(674.6-259.1)+(0+(0-0))+0-636-0</f>
        <v>1553.5</v>
      </c>
      <c r="K324" s="3">
        <f>1887.4+(632.7-288.5)+(2.887722+(0.968031-0.441405))+0-640.6-0.980118000000037</f>
        <v>1593.4342300000003</v>
      </c>
      <c r="L324" s="3">
        <f>1784.5+(858-277.4)+(0+(0-0))+0-657.4-0</f>
        <v>1707.6999999999998</v>
      </c>
      <c r="M324" s="3">
        <f>2064+(513-216)+(4.21056+(1.04652-0.44064))+0-558-1.13831999999998</f>
        <v>1806.67812</v>
      </c>
      <c r="N324" s="3">
        <f>2590.8+(632.7-758.8)+(0+(0-0))+0-582.3-0</f>
        <v>1882.4000000000003</v>
      </c>
      <c r="O324" s="3">
        <f>2967.6+(796.8-1258.6)+(0+(0-0))+0-573.8-0</f>
        <v>1932.0000000000002</v>
      </c>
      <c r="P324" s="3">
        <f>3286.9+(881.2-1765.5)+(-3.352638+(-0.898824--1.80081))+0-571.9--0.583338000000091</f>
        <v>1828.8326860000004</v>
      </c>
      <c r="Q324" s="3">
        <f>3304+(735.4-1809.8)+(-3.37008+(-0.750108--1.845996))+0-553.2--0.564264000000088</f>
        <v>1674.6900720000001</v>
      </c>
      <c r="R324" s="3">
        <f>3006.9+(763.9-1472.9)+(-9.201114+(-2.337534--4.507074))+0-484--1.48104000000006</f>
        <v>1808.3494660000001</v>
      </c>
      <c r="S324" s="3">
        <f>2914.2+(773.2-1419.3)+(-4.458726+(-1.182996--2.171529))+0-509.7--0.779841000000029</f>
        <v>1755.7096479999998</v>
      </c>
      <c r="T324" s="3">
        <f>2720.1+(820-1285.4)+(-6.936255+(-2.091--3.27777))+0-497.5--1.26862499999993</f>
        <v>1752.7191399999999</v>
      </c>
      <c r="U324" s="3">
        <f>2649.9+(955.2-1373.8)+(-1.351449+(-0.487152--0.700638))+0-544--0.277439999999945</f>
        <v>1686.4394769999999</v>
      </c>
      <c r="V324" s="3">
        <f>2664.1+(1049.4-1405.6)+(-1.358691+(-0.535194--0.716856))+0-593.9--0.30288899999994</f>
        <v>1713.1258600000001</v>
      </c>
      <c r="W324" s="3">
        <f>3581.9+(929.3-2198.8)+(-5.480307+(-1.421829--3.364164))+0-515.3--0.78840900000003</f>
        <v>1794.3504369999996</v>
      </c>
      <c r="X324" s="3">
        <f>4970.3+(838.1-3062.9)+(-10.139412+(-1.709724--6.248316))+0-641.4--1.30845599999997</f>
        <v>2099.8076359999995</v>
      </c>
      <c r="Y324" s="3">
        <f>4951.7+(772-3009)+(-7.576101+(-1.18116--4.60377))+0-583--0.891990000000034</f>
        <v>2128.4384989999999</v>
      </c>
      <c r="Z324" s="3">
        <f>4828.9+(747.4-2922)+(-4.925478+(-0.762348--2.98044))+0-576.9--0.588438000000092</f>
        <v>2075.2810519999998</v>
      </c>
      <c r="AA324" s="3">
        <f>4343.8+(794.2-2522.1)+(-4.430676+(-0.810084--2.572542))+0-610--0.622200000000097</f>
        <v>2003.8539820000008</v>
      </c>
      <c r="AB324" s="3">
        <f>3840.8+(819.4-2171.1)+(-5.876424+(-1.253682--3.321783))+0-564.3--0.863379000000033</f>
        <v>1921.8550560000003</v>
      </c>
      <c r="AC324" s="3">
        <f>3166.5+(579.7-1284.3)+(-6.45966+(-1.182588--2.619972))+0-638--1.30151999999997</f>
        <v>1820.1792439999999</v>
      </c>
      <c r="AD324" s="2">
        <v>2134.7000000000003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2258.4+(597.6-513)+(-3.455352+(-0.914328--0.78489))+0-642.1--0.982413000000037</f>
        <v>1698.2976230000002</v>
      </c>
      <c r="G325" s="3">
        <f>2007.8+(612.8-345.4)+(-5.11989+(-1.56264--0.88077))+0-683.5--1.7429249999999</f>
        <v>1587.6411649999998</v>
      </c>
      <c r="H325" s="3">
        <f>1909.6+(731.9-415.5)+(-2.921688+(-1.119807--0.635715))+0-685.9--1.04942700000004</f>
        <v>1537.743647</v>
      </c>
      <c r="I325" s="3">
        <f>1862.4+(724.7-407.5)+(-2.849472+(-1.108791--0.623475))+0-669.5--1.02433500000004</f>
        <v>1507.7895470000003</v>
      </c>
      <c r="J325" s="3">
        <f>1966.8+(676.3-438.4)+(-1.003068+(-0.344913--0.223584))+0-702.5--0.358274999999929</f>
        <v>1501.4338779999996</v>
      </c>
      <c r="K325" s="3">
        <f>2066+(694.8-571.9)+(2.10732+(0.708696-0.583338))+0-657.7-0.670854000000105</f>
        <v>1532.7618239999997</v>
      </c>
      <c r="L325" s="3">
        <f>1876.4+(942.9-465.2)+(-2.870892+(-1.442637--0.711756))+0-679.8--1.04009400000004</f>
        <v>1671.738321</v>
      </c>
      <c r="M325" s="3">
        <f>1979.2+(927.1-551)+(-1.009392+(-0.472821--0.28101))+0-605.9--0.309008999999939</f>
        <v>1748.5078059999998</v>
      </c>
      <c r="N325" s="3">
        <f>2765+(611.9-975.7)+(0+(0-0))+0-630.7-0</f>
        <v>1770.4999999999998</v>
      </c>
      <c r="O325" s="3">
        <f>3440.4+(687.8-1733.3)+(3.509208+(0.701556-1.767966))+0-566.9-0.57823800000009</f>
        <v>1829.86456</v>
      </c>
      <c r="P325" s="3">
        <f>4196.6+(792.4-2482.6)+(2.140266+(0.404124-1.266126))+0-640-0.326399999999935</f>
        <v>1867.3518640000007</v>
      </c>
      <c r="Q325" s="3">
        <f>4428.2+(790.6-2891.3)+(-4.516764+(-0.806412--2.949126))+0-502.2--0.51224400000008</f>
        <v>1823.4381939999996</v>
      </c>
      <c r="R325" s="3">
        <f>3899.6+(739.3-2226.8)+(-11.932776+(-2.262258--6.814008))+0-629.9--1.92749400000007</f>
        <v>1776.7464679999994</v>
      </c>
      <c r="S325" s="3">
        <f>3276.7+(698.9-1621.6)+(-6.684468+(-1.425756--3.308064))+0-564.4--1.15137599999998</f>
        <v>1785.9492159999998</v>
      </c>
      <c r="T325" s="3">
        <f>3083.7+(789.6-1514.6)+(0+(0-0))+0-635.4-0</f>
        <v>1723.2999999999997</v>
      </c>
      <c r="U325" s="3">
        <f>3028.6+(665.6-1453.4)+(-4.633758+(-1.018368--2.223702))+0-556.7--0.851751000000032</f>
        <v>1681.5233269999994</v>
      </c>
      <c r="V325" s="3">
        <f>3043.7+(667.5-1372.5)+(-3.104574+(-0.68085--1.39995))+3.5-635.8--0.648516000000101</f>
        <v>1704.6630419999999</v>
      </c>
      <c r="W325" s="3">
        <f>3608.7+(655.7-1948.9)+(5.521311+(1.003221-2.981817))+0-503.4-0.770202000000029</f>
        <v>1814.872513</v>
      </c>
      <c r="X325" s="3">
        <f>5143.3+(784.5-3206.5)+(-5.246166+(-0.80019--3.27063))+0-652.5--0.665550000000104</f>
        <v>2066.6898240000005</v>
      </c>
      <c r="Y325" s="3">
        <f>5011.3+(659.1-3089.3)+(-5.111526+(-0.672282--3.151086))+0-505.9--0.516018000000081</f>
        <v>2073.0832960000002</v>
      </c>
      <c r="Z325" s="3">
        <f>4742.8+(664.3-2736.6)+(-7.256484+(-1.016379--4.186998))+0-655.6--1.00306800000004</f>
        <v>2011.8172030000001</v>
      </c>
      <c r="AA325" s="3">
        <f>3992.9+(592.2-2170.7)+(-6.109137+(-0.906066--3.321171))+0-453.7--0.694161000000026</f>
        <v>1957.7001290000007</v>
      </c>
      <c r="AB325" s="3">
        <f>3589.7+(632.5-1727.6)+(1.830747+(0.322575-0.881076))+0-612-0.312119999999938</f>
        <v>1883.5601259999999</v>
      </c>
      <c r="AC325" s="3">
        <f>3111.3+(739.5-1481.3)+(-3.173526+(-0.75429--1.510926))+0-610.8--0.623016000000097</f>
        <v>1756.9061260000001</v>
      </c>
      <c r="AD325" s="2">
        <v>2036.8000000000006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2322.5+(748.1-763.1)+(-1.184475+(-0.381531--0.389181))+0-650.7--0.331856999999934</f>
        <v>1655.9550319999998</v>
      </c>
      <c r="G326" s="3">
        <f>2035.9+(648.9-491.5)+(-1.038309+(-0.330939--0.250665))+0-628.7--0.320636999999936</f>
        <v>1563.8020540000002</v>
      </c>
      <c r="H326" s="3">
        <f>2008.3+(687-504.3)+(-1.024233+(-0.35037--0.257193))+0-695.7--0.354806999999929</f>
        <v>1494.5373970000001</v>
      </c>
      <c r="I326" s="3">
        <f>2006.4+(645.7-487.1)+(1.023264+(0.329307-0.248421))+0-694.9-0.35439899999993</f>
        <v>1470.8497510000002</v>
      </c>
      <c r="J326" s="3">
        <f>2107.7+(543.5-506.4)+(-3.224781+(-0.831555--0.774792))+0-667.6--1.02142800000004</f>
        <v>1474.9398839999999</v>
      </c>
      <c r="K326" s="3">
        <f>2207.3+(630.5-665.6)+(0+(0-0))+0-668.3-0</f>
        <v>1503.9000000000003</v>
      </c>
      <c r="L326" s="3">
        <f>1977.6+(779.2-489.4)+(-6.051456+(-2.384352--1.497564))+0-703.6--2.15301600000008</f>
        <v>1559.0147720000002</v>
      </c>
      <c r="M326" s="3">
        <f>1945.1+(700.2-521)+(-1.984002+(-0.714204--0.53142))+0-505.7--0.515814000000081</f>
        <v>1616.9490280000005</v>
      </c>
      <c r="N326" s="3">
        <f>2149+(763.5-525.6)+(2.19198+(0.77877-0.536112))+0-721.2-0.735624000000115</f>
        <v>1667.3990140000001</v>
      </c>
      <c r="O326" s="3">
        <f>2723.3+(382.8-780.8)+(6.944415+(0.97614-1.99104))+0-618.6-1.57742999999991</f>
        <v>1711.0520850000003</v>
      </c>
      <c r="P326" s="3">
        <f>3379.3+(226.7-1187.8)+(3.446886+(0.231234-1.211556))+0-690-0.70380000000011</f>
        <v>1729.9627640000001</v>
      </c>
      <c r="Q326" s="3">
        <f>3273.1+(372.8-1493.1)+(-6.677124+(-0.760512--3.045924))+0-483.3--0.985931999999979</f>
        <v>1666.0942200000002</v>
      </c>
      <c r="R326" s="3">
        <f>3106.2+(214.7-926.6)+(0+(0-0))+0-710.9-0</f>
        <v>1683.3999999999996</v>
      </c>
      <c r="S326" s="3">
        <f>2594.6+(356.8-767.7)+(-2.646492+(-0.363936--0.783054))+0-563.4--0.57466800000009</f>
        <v>1618.6472939999999</v>
      </c>
      <c r="T326" s="3">
        <f>2396.1+(507.4-665.6)+(3.666033+(0.776322-1.018368))+0-656.9-1.00505700000004</f>
        <v>1583.4189299999996</v>
      </c>
      <c r="U326" s="3">
        <f>2389.7+(436.5-654.4)+(-2.437494+(-0.44523--0.667488))+0-631.1--0.643722000000101</f>
        <v>1539.1284859999998</v>
      </c>
      <c r="V326" s="3">
        <f>2550.5+(388.2-737.9)+(1.300755+(0.197982-0.376329))+0-646-0.329459999999934</f>
        <v>1555.5929480000004</v>
      </c>
      <c r="W326" s="3">
        <f>3002.5+(511.8-1220.6)+(-3.06255+(-0.522036--1.245012))+0-660.8--0.674016000000105</f>
        <v>1631.2344419999999</v>
      </c>
      <c r="X326" s="3">
        <f>4670.2+(830.9-2859.3)+(4.763604+(0.847518-2.916486))+0-682.6-0.696252000000109</f>
        <v>1961.1983839999998</v>
      </c>
      <c r="Y326" s="3">
        <f>4640+(837.5-2792.1)+(-7.0992+(-1.281375--4.271913))+0-678.9--1.03871700000004</f>
        <v>2003.430055</v>
      </c>
      <c r="Z326" s="3">
        <f>4226.3+(849.5-2449.6)+(-6.466239+(-1.299735--3.747888))+0-677.2--1.03611600000004</f>
        <v>1946.0180300000002</v>
      </c>
      <c r="AA326" s="3">
        <f>3657.9+(933.7-2078.2)+(-9.327645+(-2.380935--5.29941))+0-621.1--1.58380499999991</f>
        <v>1887.4746350000007</v>
      </c>
      <c r="AB326" s="3">
        <f>3478.8+(888.6-1898.6)+(-1.774188+(-0.453186--0.968286))+0-663.9--0.338588999999933</f>
        <v>1803.9795010000003</v>
      </c>
      <c r="AC326" s="3">
        <f>2831.6+(870.1-1370.2)+(-7.22058+(-2.218755--3.49401))+0-627.6--1.60037999999991</f>
        <v>1699.5550549999998</v>
      </c>
      <c r="AD326" s="2">
        <v>2012.7999999999997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1981.1+(675.9-490)+(-3.031083+(-1.034127--0.7497))+0-648.3--0.991899000000037</f>
        <v>1516.3763890000002</v>
      </c>
      <c r="G327" s="3">
        <f>1870.8+(670.2-413.6)+(-4.77054+(-1.70901--1.05468))+0-631.9--1.61134499999991</f>
        <v>1491.686475</v>
      </c>
      <c r="H327" s="3">
        <f>1780.4+(707.8-399.8)+(-0.908004+(-0.360978--0.203898))+0-641.4--0.327113999999935</f>
        <v>1446.2620300000001</v>
      </c>
      <c r="I327" s="3">
        <f>1828.8+(713.9-431.9)+(-0.932688+(-0.364089--0.220269))+0-693.8--0.35383799999993</f>
        <v>1416.2773300000001</v>
      </c>
      <c r="J327" s="3">
        <f>1872.2+(622-402.9)+(-1.909644+(-0.63444--0.410958))+0-566.7--0.57803400000009</f>
        <v>1523.0449080000001</v>
      </c>
      <c r="K327" s="3">
        <f>1894.2+(714.2-457.3)+(3.864168+(1.456968-0.932892))+0-702.5-1.43309999999997</f>
        <v>1451.5551440000002</v>
      </c>
      <c r="L327" s="3">
        <f>1934.6+(725.6-419.9)+(-0.986646+(-0.370056--0.214149))+0-667.8--0.340577999999932</f>
        <v>1571.6980249999999</v>
      </c>
      <c r="M327" s="3">
        <f>2097.8+(627-407.5)+(1.069878+(0.31977-0.207825))+0-660.7-0.336956999999933</f>
        <v>1657.444866</v>
      </c>
      <c r="N327" s="3">
        <f>2397.3+(534.8-577.5)+(-2.445246+(-0.545496--0.58905))+0-650.1--0.663102000000104</f>
        <v>1702.7614100000008</v>
      </c>
      <c r="O327" s="3">
        <f>3091.4+(467.4-1199)+(3.153228+(0.476748-1.22298))+0-636.6-0.649332000000101</f>
        <v>1724.9576640000002</v>
      </c>
      <c r="P327" s="3">
        <f>3618.8+(576.9-1773.5)+(-9.22794+(-1.471095--4.522425))+0-593.6--1.51367999999991</f>
        <v>1823.9370700000004</v>
      </c>
      <c r="Q327" s="3">
        <f>3465.8+(614.8-1779.6)+(1.767558+(0.313548-0.907596))+0-553.1-0.282080999999944</f>
        <v>1748.7914290000003</v>
      </c>
      <c r="R327" s="3">
        <f>3696.9+(540.2-1869.6)+(-1.885419+(-0.275502--0.953496))+0-681.2--0.347411999999931</f>
        <v>1685.4399869999997</v>
      </c>
      <c r="S327" s="3">
        <f>3724.1+(524.3-2098.3)+(1.899291+(0.267393-1.070133))+0-491.3-0.25056299999995</f>
        <v>1659.6459879999995</v>
      </c>
      <c r="T327" s="3">
        <f>3361.9+(787-1875.2)+(0+(0-0))+0-653.3-0</f>
        <v>1620.3999999999999</v>
      </c>
      <c r="U327" s="3">
        <f>3072.2+(727.3-1667.8)+(0+(0-0))+0-551.3-0</f>
        <v>1580.3999999999999</v>
      </c>
      <c r="V327" s="3">
        <f>2885.7+(578.5-1129.3)+(-1.471707+(-0.295035--0.575943))+0-690.7--0.35225699999993</f>
        <v>1643.3614579999996</v>
      </c>
      <c r="W327" s="3">
        <f>3496.6+(578.6-1803.8)+(5.349798+(0.885258-2.759814))+0-590.7-0.903771000000034</f>
        <v>1683.271471</v>
      </c>
      <c r="X327" s="3">
        <f>5314.6+(578.5-3212.3)+(-8.131338+(-0.885105--4.914819))+0-709.5--1.08553500000004</f>
        <v>1968.2839110000002</v>
      </c>
      <c r="Y327" s="3">
        <f>5138.7+(363.3-2888.2)+(-10.482948+(-0.741132--5.891928))+0-614.4--1.25337599999997</f>
        <v>1995.321224</v>
      </c>
      <c r="Z327" s="3">
        <f>4768.1+(357.5-2507.5)+(-4.863462+(-0.36465--2.55765))+0-677.5--0.691050000000108</f>
        <v>1938.6205880000005</v>
      </c>
      <c r="AA327" s="3">
        <f>3936.5+(463.2-1900.1)+(-4.01523+(-0.472464--1.938102))+0-623.9--0.636378000000099</f>
        <v>1873.7867860000006</v>
      </c>
      <c r="AB327" s="3">
        <f>3558.8+(382.1-1474.1)+(-1.814988+(-0.194871--0.751791))+0-659.2--0.336191999999933</f>
        <v>1806.678124</v>
      </c>
      <c r="AC327" s="3">
        <f>2754.6+(450.8-853.4)+(-7.02423+(-1.14954--2.17617))+0-655.2--1.6707599999999</f>
        <v>1692.4731599999998</v>
      </c>
      <c r="AD327" s="2">
        <v>1991.3999999999996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2364.1+(508.9-725.1)+(-4.822764+(-1.038156--1.479204))+0-556.7--1.13566799999998</f>
        <v>1587.9539519999996</v>
      </c>
      <c r="G328" s="3">
        <f>2309.3+(511.1-680.9)+(2.355486+(0.521322-0.694518))+0-643.3-0.656166000000103</f>
        <v>1497.726124</v>
      </c>
      <c r="H328" s="3">
        <f>2184.3+(537.5-626.4)+(-1.113993+(-0.274125--0.319464))+0-652.7--0.332876999999934</f>
        <v>1441.9642229999997</v>
      </c>
      <c r="I328" s="3">
        <f>2156.2+(475.1-585.1)+(1.099662+(0.242301-0.298401))+0-632.9-0.322778999999936</f>
        <v>1414.0207830000002</v>
      </c>
      <c r="J328" s="3">
        <f>2152.3+(511.4-609.7)+(-1.097673+(-0.260814--0.310947))+0-666.4--0.339863999999932</f>
        <v>1386.8923239999999</v>
      </c>
      <c r="K328" s="3">
        <f>2228.9+(451.8-638.2)+(3.410217+(0.691254-0.976446))+0-634.3-0.970479000000037</f>
        <v>1410.354546</v>
      </c>
      <c r="L328" s="3">
        <f>2385.4+(432.5-659.3)+(0+(0-0))+0-681-0</f>
        <v>1477.6000000000004</v>
      </c>
      <c r="M328" s="3">
        <f>2162.9+(499.1-517.2)+(1.103079+(0.254541-0.263772))+0-604.2-0.308141999999939</f>
        <v>1541.3857060000003</v>
      </c>
      <c r="N328" s="3">
        <f>2315.8+(516.4-592.9)+(1.181058+(0.263364-0.302379))+0-621.2-0.316811999999937</f>
        <v>1618.9252309999999</v>
      </c>
      <c r="O328" s="3">
        <f>2317.4+(540.7-646.6)+(0+(0-0))+0-587.4-0</f>
        <v>1624.1</v>
      </c>
      <c r="P328" s="3">
        <f>2482.2+(577.7-943.4)+(-1.265922+(-0.294627--0.481134))+0-540.3--0.275552999999945</f>
        <v>1575.3961379999998</v>
      </c>
      <c r="Q328" s="3">
        <f>2750.5+(608.5-1052.4)+(-1.402755+(-0.310335--0.536724))+0-556--0.283559999999944</f>
        <v>1749.7071939999996</v>
      </c>
      <c r="R328" s="3">
        <f>2932.6+(468.8-1122.4)+(-1.495626+(-0.239088--0.572424))+0-638.6--0.325685999999935</f>
        <v>1639.5633959999998</v>
      </c>
      <c r="S328" s="3">
        <f>2732.8+(612.1-1093.2)+(1.393728+(0.312171-0.557532))+0-656.4-0.334763999999933</f>
        <v>1596.113603</v>
      </c>
      <c r="T328" s="3">
        <f>2537.1+(741-1173.3)+(1.293921+(0.37791-0.598383))+0-570.7-0.291056999999942</f>
        <v>1534.8823910000003</v>
      </c>
      <c r="U328" s="3">
        <f>2131.1+(598.9-719.6)+(-4.347444+(-1.221756--1.467984))+0-500.5--1.02101999999998</f>
        <v>1506.8198039999997</v>
      </c>
      <c r="V328" s="3">
        <f>2368.9+(376.2-672.5)+(3.624417+(0.575586-1.028925))+0-547.2-0.837216000000032</f>
        <v>1527.7338619999996</v>
      </c>
      <c r="W328" s="3">
        <f>3270.4+(312.6-1376.3)+(1.667904+(0.159426-0.701913))+0-595.4-0.30365399999994</f>
        <v>1612.1217630000003</v>
      </c>
      <c r="X328" s="3">
        <f>4813.8+(308.4-2587.3)+(0+(0-0))+0-626.9-0</f>
        <v>1908</v>
      </c>
      <c r="Y328" s="3">
        <f>5036.1+(321.1-2812.8)+(-7.705233+(-0.491283--4.303584))+0-596.9--0.913257000000035</f>
        <v>1944.5203249999997</v>
      </c>
      <c r="Z328" s="3">
        <f>4727.5+(268.2-2513.5)+(-9.6441+(-0.547128--5.12754))+0-579.1--1.18136399999997</f>
        <v>1899.2176759999998</v>
      </c>
      <c r="AA328" s="3">
        <f>4223.8+(277.2-2004)+(-10.77069+(-0.70686--5.1102))+0-652.6--1.66412999999991</f>
        <v>1839.69678</v>
      </c>
      <c r="AB328" s="3">
        <f>3913.7+(315.2-1859.2)+(-1.995987+(-0.160752--0.948192))+0-608.6--0.310385999999938</f>
        <v>1760.2018389999996</v>
      </c>
      <c r="AC328" s="3">
        <f>3791.5+(291.3-1740)+(-5.800995+(-0.445689--2.6622))+0-704.4--1.07773200000004</f>
        <v>1635.8932480000001</v>
      </c>
      <c r="AD328" s="2">
        <v>1979.4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2675.3+(410.9-1034.1)+(0+(0-0))+0-541.6-0</f>
        <v>1510.5000000000005</v>
      </c>
      <c r="G329" s="3">
        <f>2116.2+(580.6-605.6)+(-1.079262+(-0.296106--0.308856))+0-664.7--0.338996999999933</f>
        <v>1425.7724849999997</v>
      </c>
      <c r="H329" s="3">
        <f>2087+(550.7-592.8)+(0+(0-0))+0-677.4-0</f>
        <v>1367.5</v>
      </c>
      <c r="I329" s="3">
        <f>1980+(533.9-567.1)+(-1.0098+(-0.272289--0.289221))+0-582.5--0.297074999999941</f>
        <v>1363.6042069999999</v>
      </c>
      <c r="J329" s="3">
        <f>2075+(619-625.3)+(0+(0-0))+0-715.5-0</f>
        <v>1353.1999999999998</v>
      </c>
      <c r="K329" s="3">
        <f>1902.1+(647.7-555.4)+(1.940142+(0.660654-0.566508))+0-600.2-0.612204000000096</f>
        <v>1395.6220840000001</v>
      </c>
      <c r="L329" s="3">
        <f>2051.2+(727.9-561.2)+(-2.092224+(-0.742458--0.572424))+0-684.1--0.697782000000109</f>
        <v>1532.2355239999997</v>
      </c>
      <c r="M329" s="3">
        <f>1961.6+(717.9-439.9)+(-1.000416+(-0.366129--0.224349))+0-613.1--0.312680999999938</f>
        <v>1625.6704850000001</v>
      </c>
      <c r="N329" s="3">
        <f>2378.7+(669-732.6)+(-2.426274+(-0.68238--0.747252))+0-673.2--0.686664000000107</f>
        <v>1640.2252619999999</v>
      </c>
      <c r="O329" s="3">
        <f>2773.1+(719.7-1254.7)+(-7.071405+(-1.835235--3.199485))+0-555.6--1.41677999999992</f>
        <v>1678.209625</v>
      </c>
      <c r="P329" s="3">
        <f>3053.9+(730.1-1565.3)+(-4.672467+(-1.117053--2.394909))+0-500.4--0.765612000000029</f>
        <v>1715.6710009999999</v>
      </c>
      <c r="Q329" s="3">
        <f>3554.9+(773-2050.9)+(-9.064995+(-1.97115--5.229795))+0-547.7--1.39663499999992</f>
        <v>1724.8902849999999</v>
      </c>
      <c r="R329" s="3">
        <f>3193.7+(696.2-1686.1)+(-3.257574+(-0.710124--1.719822))+0-495.1--0.505002000000079</f>
        <v>1706.9571260000005</v>
      </c>
      <c r="S329" s="3">
        <f>2928.3+(795-1447.7)+(-7.467165+(-2.02725--3.691635))+0-596.6--1.52132999999991</f>
        <v>1674.7185500000003</v>
      </c>
      <c r="T329" s="3">
        <f>2711.2+(880.9-1346.8)+(-1.382712+(-0.449259--0.686868))+0-602.3--0.307172999999939</f>
        <v>1642.1620699999999</v>
      </c>
      <c r="U329" s="3">
        <f>2709+(797.5-1361.4)+(1.38159+(0.406725-0.694314))+0-541.4-0.276113999999945</f>
        <v>1604.5178869999997</v>
      </c>
      <c r="V329" s="3">
        <f>2792.7+(703.8-1324.1)+(-2.848554+(-0.717876--1.350582))+0-524.8--0.535296000000084</f>
        <v>1645.9194479999999</v>
      </c>
      <c r="W329" s="3">
        <f>3986+(452.8-2091.7)+(-2.03286+(-0.230928--1.066767))+0-641.2--0.327011999999935</f>
        <v>1705.0299910000003</v>
      </c>
      <c r="X329" s="3">
        <f>5351.9+(769.3-3514.6)+(0+(0-0))+0-628.9-0</f>
        <v>1977.6999999999994</v>
      </c>
      <c r="Y329" s="3">
        <f>5458.2+(701.9-3693.8)+(-2.783682+(-0.357969--1.883838))+0-460.1--0.234650999999953</f>
        <v>2005.1768379999996</v>
      </c>
      <c r="Z329" s="3">
        <f>5422.6+(677.7-3490)+(0+(0-0))+0-663.8-0</f>
        <v>1946.5000000000002</v>
      </c>
      <c r="AA329" s="3">
        <f>4665.5+(529.3-2777.7)+(-7.138215+(-0.809829--4.249881))+0-568.7--0.870111000000033</f>
        <v>1845.5719480000002</v>
      </c>
      <c r="AB329" s="3">
        <f>3961.4+(508.2-2003.9)+(-8.081256+(-1.036728--4.087956))+0-694--1.41575999999997</f>
        <v>1768.0857319999996</v>
      </c>
      <c r="AC329" s="3">
        <f>3052.3+(466.9-1305.1)+(-7.783365+(-1.190595--3.328005))+0-565.7--1.44253499999992</f>
        <v>1644.1965800000003</v>
      </c>
      <c r="AD329" s="2">
        <v>2009.8000000000002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2402.9+(548.1-720.7)+(-1.225479+(-0.279531--0.367557))+0-695.7--0.354806999999929</f>
        <v>1533.8173540000003</v>
      </c>
      <c r="G330" s="3">
        <f>2096.1+(564.8-610.9)+(-2.138022+(-0.576096--0.623118))+0-610.1--0.622302000000097</f>
        <v>1438.4313020000002</v>
      </c>
      <c r="H330" s="3">
        <f>2051.4+(625.3-570.4)+(1.046214+(0.318903-0.290904))+0-724.6-0.369545999999926</f>
        <v>1382.4046670000002</v>
      </c>
      <c r="I330" s="3">
        <f>1889.5+(632.1-527.6)+(-1.92729+(-0.644742--0.538152))+0-622.2--0.634644000000099</f>
        <v>1370.4007640000002</v>
      </c>
      <c r="J330" s="3">
        <f>1903.3+(580.5-465.6)+(-1.941366+(-0.59211--0.474912))+0-650.6--0.663612000000104</f>
        <v>1366.205048</v>
      </c>
      <c r="K330" s="3">
        <f>1912.7+(667.2-497.7)+(-2.926431+(-1.020816--0.761481))+0-681.6--1.04284800000004</f>
        <v>1398.4570820000004</v>
      </c>
      <c r="L330" s="3">
        <f>1870.3+(743.5-446.8)+(-2.861559+(-1.137555--0.683604))+0-653--0.999090000000038</f>
        <v>1511.6835800000001</v>
      </c>
      <c r="M330" s="3">
        <f>1998.8+(687.6-435)+(-3.058164+(-1.052028--0.66555))+0-643--0.983790000000037</f>
        <v>1605.9391480000002</v>
      </c>
      <c r="N330" s="3">
        <f>2580.2+(631.9-978.2)+(0+(0-0))+0-587.7-0</f>
        <v>1646.1999999999996</v>
      </c>
      <c r="O330" s="3">
        <f>3103.4+(766.5-1659.4)+(-3.165468+(-0.78183--1.692588))+0-493.4--0.503268000000079</f>
        <v>1715.3485579999999</v>
      </c>
      <c r="P330" s="3">
        <f>3760.8+(705.7-2258.6)+(-1.918008+(-0.359907--1.151886))+0-522.4--0.266423999999947</f>
        <v>1684.6403950000004</v>
      </c>
      <c r="Q330" s="3">
        <f>3816.9+(830.7-2438.5)+(-3.893238+(-0.847314--2.48727))+0-469.6--0.478992000000075</f>
        <v>1737.7257100000004</v>
      </c>
      <c r="R330" s="3">
        <f>3649.5+(831.8-2268.6)+(-7.44498+(-1.696872--4.627944))+0-508.3--1.03693199999998</f>
        <v>1700.9230239999999</v>
      </c>
      <c r="S330" s="3">
        <f>3374.9+(861.8-1995.5)+(0+(0-0))+0-583.2-0</f>
        <v>1657.9999999999998</v>
      </c>
      <c r="T330" s="3">
        <f>3431.2+(879.3-2163.5)+(3.499824+(0.896886-2.20677))+0-562.1-0.57334200000009</f>
        <v>1586.5165980000002</v>
      </c>
      <c r="U330" s="3">
        <f>3292.1+(912.3-1984)+(-1.678971+(-0.465273--1.01184))+0-633--0.322829999999936</f>
        <v>1586.5904259999995</v>
      </c>
      <c r="V330" s="3">
        <f>3341.8+(862.8-1983.5)+(-3.408636+(-0.880056--2.02317))+0-601.2--0.613224000000096</f>
        <v>1618.2477020000003</v>
      </c>
      <c r="W330" s="3">
        <f>4084.8+(709.5-2380.9)+(6.249744+(1.085535-3.642777))+0-635.2-0.971856000000037</f>
        <v>1780.9206459999998</v>
      </c>
      <c r="X330" s="3">
        <f>5284.6+(795.3-3435.6)+(-5.390292+(-0.811206--3.504312))+0-675.9--0.689418000000108</f>
        <v>1966.3922320000004</v>
      </c>
      <c r="Y330" s="3">
        <f>5103.1+(747.6-3187.7)+(-2.602581+(-0.381276--1.625727))+0-651.8--0.332417999999934</f>
        <v>2010.1742880000004</v>
      </c>
      <c r="Z330" s="3">
        <f>4915.9+(662.7-2979.2)+(0+(0-0))+0-673.4-0</f>
        <v>1925.9999999999995</v>
      </c>
      <c r="AA330" s="3">
        <f>4699.7+(703.8-2740.1)+(0+(0-0))+0-712.7-0</f>
        <v>1950.6999999999996</v>
      </c>
      <c r="AB330" s="3">
        <f>4047.1+(739.2-2441.7)+(-14.448147+(-2.638944--8.716869))+0-568--2.02776000000001</f>
        <v>1770.2575380000003</v>
      </c>
      <c r="AC330" s="3">
        <f>3116.8+(822.8-1623.6)+(-11.126976+(-2.937396--5.796252))+0-729.8--2.60538600000001</f>
        <v>1580.5372659999998</v>
      </c>
      <c r="AD330" s="2">
        <v>2077.3999999999992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2223.3+(712.4-739.5)+(0+(0-0))+0-625.3-0</f>
        <v>1570.9000000000003</v>
      </c>
      <c r="G331" s="3">
        <f>2099.3+(707.2-636.7)+(0+(0-0))+0-696.3-0</f>
        <v>1473.5000000000002</v>
      </c>
      <c r="H331" s="3">
        <f>2025+(678.3-628.4)+(1.03275+(0.345933-0.320484))+0-656.1-0.334610999999933</f>
        <v>1419.5235880000002</v>
      </c>
      <c r="I331" s="3">
        <f>2111.8+(627.8-711)+(0+(0-0))+0-623-0</f>
        <v>1405.6000000000001</v>
      </c>
      <c r="J331" s="3">
        <f>1959.8+(712.5-569.5)+(0+(0-0))+0-702.4-0</f>
        <v>1400.4</v>
      </c>
      <c r="K331" s="3">
        <f>2016+(632.8-582.1)+(2.05632+(0.645456-0.593742))+0-631.2-0.643824000000101</f>
        <v>1436.9642099999996</v>
      </c>
      <c r="L331" s="3">
        <f>2082.5+(700.3-534.1)+(0+(0-0))+0-676.4-0</f>
        <v>1572.2999999999997</v>
      </c>
      <c r="M331" s="3">
        <f>2175.7+(747.9-603.1)+(-2.219214+(-0.762858--0.615162))+0-646.6--0.659532000000103</f>
        <v>1672.192622</v>
      </c>
      <c r="N331" s="3">
        <f>2696+(719.4-1061.2)+(2.74992+(0.733788-1.082424))+0-652.3-0.665346000000104</f>
        <v>1703.6359379999999</v>
      </c>
      <c r="O331" s="3">
        <f>3182.9+(929.5-1740.4)+(-8.116395+(-2.370225--4.43802))+0-627.3--1.59961499999991</f>
        <v>1740.2510149999998</v>
      </c>
      <c r="P331" s="3">
        <f>3418.5+(920.7-2059.2)+(-1.743435+(-0.469557--1.050192))+0-518.1--0.264230999999947</f>
        <v>1761.0014309999999</v>
      </c>
      <c r="Q331" s="3">
        <f>3368.7+(956.4-2038.7)+(-5.154111+(-1.463292--3.119211))+0-551.5--0.843795000000032</f>
        <v>1732.2456029999996</v>
      </c>
      <c r="R331" s="3">
        <f>3467.5+(926.7-2109.7)+(-1.768425+(-0.472617--1.075947))+0-526.6--0.268565999999947</f>
        <v>1757.0034710000002</v>
      </c>
      <c r="S331" s="3">
        <f>3498.8+(823.3-1970.7)+(-3.568776+(-0.839766--2.010114))+0-611.9--0.624138000000098</f>
        <v>1737.7257100000002</v>
      </c>
      <c r="T331" s="3">
        <f>3452.2+(910.8-1929.8)+(3.521244+(0.929016-1.968396))+0-519.4-0.529788000000083</f>
        <v>1915.7520759999995</v>
      </c>
      <c r="U331" s="3">
        <f>3312.1+(821.2-1808.4)+(-1.689171+(-0.418812--0.922284))+0-600.8--0.306407999999939</f>
        <v>1723.2207089999995</v>
      </c>
      <c r="V331" s="3">
        <f>3058.2+(689.7-1439.2)+(-7.79841+(-1.758735--3.66996))+0-661.7--1.6873349999999</f>
        <v>1642.8001499999996</v>
      </c>
      <c r="W331" s="3">
        <f>3468.5+(708.3-1823.2)+(5.306805+(1.083699-2.789496))+0-618-0.945540000000036</f>
        <v>1738.2554680000001</v>
      </c>
      <c r="X331" s="3">
        <f>4621.3+(577.7-2513.7)+(0+(0-0))+0-665-0</f>
        <v>2020.3000000000002</v>
      </c>
      <c r="Y331" s="3">
        <f>4508.9+(609.1-2474.2)+(-9.198156+(-1.242564--5.047368))+0-585.5--1.19441999999997</f>
        <v>2054.1010679999995</v>
      </c>
      <c r="Z331" s="3">
        <f>4368.5+(615.4-2321.9)+(-8.91174+(-1.255416--4.736676))+0-653.8--1.33375199999997</f>
        <v>2004.1032720000001</v>
      </c>
      <c r="AA331" s="3">
        <f>4212.9+(558.5-2123.1)+(-2.148579+(-0.284835--1.082781))+0-693.6--0.35373599999993</f>
        <v>1953.7031029999998</v>
      </c>
      <c r="AB331" s="3">
        <f>3754.2+(611.3-1860.9)+(-7.658568+(-1.247052--3.796236))+0-627.2--1.27948799999997</f>
        <v>1873.5701039999994</v>
      </c>
      <c r="AC331" s="3">
        <f>3213.2+(670.5-1381.5)+(-6.554928+(-1.36782--2.81826))+0-696.7--1.42126799999997</f>
        <v>1801.8167799999999</v>
      </c>
      <c r="AD331" s="2">
        <v>2065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2243.6+(732.7-762)+(-4.576944+(-1.494708--1.55448))+0-599.7--1.22338799999997</f>
        <v>1611.3062160000002</v>
      </c>
      <c r="G332" s="3">
        <f>2104.5+(793.4-641.4)+(-1.073295+(-0.404634--0.327114))+0-687.7--0.35072699999993</f>
        <v>1567.999912</v>
      </c>
      <c r="H332" s="3">
        <f>2004.1+(772.6-684.7)+(-2.044182+(-0.788052--0.698394))+0-581--0.592620000000093</f>
        <v>1509.4587800000002</v>
      </c>
      <c r="I332" s="3">
        <f>2016+(770.4-635.9)+(-2.05632+(-0.785808--0.648618))+0-666.8--0.680136000000106</f>
        <v>1482.1866260000002</v>
      </c>
      <c r="J332" s="3">
        <f>2108.2+(736.1-707)+(1.075182+(0.375411-0.36057))+0-670.7-0.342056999999932</f>
        <v>1467.347966</v>
      </c>
      <c r="K332" s="3">
        <f>2135.9+(735.8-716.6)+(-1.089309+(-0.375258--0.365466))+0-649.2--0.331091999999934</f>
        <v>1505.131991</v>
      </c>
      <c r="L332" s="3">
        <f>2079.6+(787.9-619.6)+(-4.242384+(-1.607316--1.263984))+0-648.8--1.32355199999997</f>
        <v>1595.8378359999997</v>
      </c>
      <c r="M332" s="3">
        <f>2355.2+(723.7-755.9)+(2.402304+(0.738174-0.771018))+0-661.1-0.674322000000105</f>
        <v>1663.5951379999999</v>
      </c>
      <c r="N332" s="3">
        <f>2938.4+(722.4-1298)+(-2.997168+(-0.736848--1.32396))+0-654.8--0.667896000000104</f>
        <v>1706.2578400000002</v>
      </c>
      <c r="O332" s="3">
        <f>3419.5+(1083.3-2141)+(8.719725+(2.762415-5.45955))+0-576.5-1.47007499999992</f>
        <v>1789.8525150000003</v>
      </c>
      <c r="P332" s="3">
        <f>3954.4+(1115.2-2678.2)+(-6.050232+(-1.706256--4.097646))+0-587.2--0.898416000000034</f>
        <v>1801.4395740000007</v>
      </c>
      <c r="Q332" s="3">
        <f>3871.3+(1202-2692.3)+(-3.948726+(-1.22604--2.746146))+0-600.4--0.612408000000096</f>
        <v>1778.783788</v>
      </c>
      <c r="R332" s="3">
        <f>3579.7+(1037.2-2190.1)+(-12.779529+(-3.702804--7.818657))+0-658--2.34906000000001</f>
        <v>1762.4853840000001</v>
      </c>
      <c r="S332" s="3">
        <f>3238.6+(828.9-1703.9)+(-1.651686+(-0.422739--0.868989))+0-631.2--0.321911999999936</f>
        <v>1731.5164759999996</v>
      </c>
      <c r="T332" s="3">
        <f>3441.4+(960.7-2096)+(-1.755114+(-0.489957--1.06896))+0-663.6--0.338435999999933</f>
        <v>1641.6623250000002</v>
      </c>
      <c r="U332" s="3">
        <f>3038.9+(818.8-1651.7)+(-3.099678+(-0.835176--1.684734))+0-595.7--0.607614000000095</f>
        <v>1608.6574939999998</v>
      </c>
      <c r="V332" s="3">
        <f>3180.4+(707.6-1661.5)+(3.244008+(0.721752-1.69473))+0-603.7-0.615774000000096</f>
        <v>1624.4552559999997</v>
      </c>
      <c r="W332" s="3">
        <f>3432.7+(791.9-1918.2)+(3.501354+(0.807738-1.956564))+0-575.2-0.586704000000092</f>
        <v>1732.9658239999994</v>
      </c>
      <c r="X332" s="3">
        <f>4830.4+(795.7-2934.7)+(-7.390512+(-1.217421--4.490091))+0-651.8--0.997254000000038</f>
        <v>2036.4794119999997</v>
      </c>
      <c r="Y332" s="3">
        <f>5089.7+(557.9-3017.9)+(2.595747+(0.284529-1.539129))+0-594.8-0.30334799999994</f>
        <v>2035.937799</v>
      </c>
      <c r="Z332" s="3">
        <f>4907.5+(587.8-2936.5)+(-5.00565+(-0.599556--2.99523))+0-572.9--0.584358000000091</f>
        <v>1983.874382</v>
      </c>
      <c r="AA332" s="3">
        <f>4317.6+(705.8-2663.6)+(0+(0-0))+0-568-0</f>
        <v>1791.8000000000002</v>
      </c>
      <c r="AB332" s="3">
        <f>3726.2+(1001.4-2353.8)+(-3.800724+(-1.021428--2.400876))+0-579.5--0.591090000000092</f>
        <v>1792.4698139999998</v>
      </c>
      <c r="AC332" s="3">
        <f>3333.8+(1081.9-2067.6)+(1.700238+(0.551769-1.054476))+0-619.9-0.316148999999937</f>
        <v>1729.0813820000001</v>
      </c>
      <c r="AD332" s="2">
        <v>2074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2825+(980.2-1485.3)+(1.44075+(0.499902-0.757503))+0-670.5-0.341954999999932</f>
        <v>1650.2411940000002</v>
      </c>
      <c r="G333" s="3">
        <f>2222.4+(795.7-812.8)+(1.133424+(0.405807-0.414528))+0-646.9-0.329918999999934</f>
        <v>1559.194784</v>
      </c>
      <c r="H333" s="3">
        <f>2094.3+(767.6-685.6)+(0+(0-0))+0-676.6-0</f>
        <v>1499.7000000000003</v>
      </c>
      <c r="I333" s="3">
        <f>2071.9+(747-730.2)+(-1.056669+(-0.38097--0.372402))+0-623.6--0.318035999999937</f>
        <v>1464.352799</v>
      </c>
      <c r="J333" s="3">
        <f>2092.1+(687.9-689.7)+(-2.133942+(-0.701658--0.703494))+0-629.2--0.6417840000001</f>
        <v>1459.6096779999998</v>
      </c>
      <c r="K333" s="3">
        <f>2154.2+(684.6-706.3)+(3.295926+(1.047438-1.080639))+0-650.7-0.995571000000038</f>
        <v>1484.0671540000001</v>
      </c>
      <c r="L333" s="3">
        <f>2175.1+(690.6-680.6)+(-1.109301+(-0.352206--0.347106))+0-630.1--0.321350999999936</f>
        <v>1554.2069500000002</v>
      </c>
      <c r="M333" s="3">
        <f>2121.9+(841.9-675.5)+(2.164338+(0.858738-0.68901))+0-686.7-0.70043400000011</f>
        <v>1603.2336319999999</v>
      </c>
      <c r="N333" s="3">
        <f>2325.9+(804.7-833.8)+(-1.186209+(-0.410397--0.425238))+0-622.4--0.317423999999937</f>
        <v>1673.5460560000001</v>
      </c>
      <c r="O333" s="3">
        <f>2691.4+(700.3-1178.5)+(-1.372614+(-0.357153--0.601035))+0-502.2--0.256121999999949</f>
        <v>1710.1273899999997</v>
      </c>
      <c r="P333" s="3">
        <f>3329.6+(510.9-1493.2)+(-6.792384+(-1.042236--3.046128))+0-609.2--1.24276799999997</f>
        <v>1734.5542759999996</v>
      </c>
      <c r="Q333" s="3">
        <f>3302.1+(512.8-1528.2)+(-5.052213+(-0.784584--2.338146))+0-585.7--0.896121000000034</f>
        <v>1698.3974699999999</v>
      </c>
      <c r="R333" s="3">
        <f>3320.9+(510.9-1571.7)+(-11.855613+(-1.823913--5.610969))+0-568.7--2.03025900000001</f>
        <v>1685.3617019999999</v>
      </c>
      <c r="S333" s="3">
        <f>3150+(556.9-1424.4)+(-3.213+(-0.568038--1.452888))+0-648.9--0.661878000000103</f>
        <v>1631.9337280000002</v>
      </c>
      <c r="T333" s="3">
        <f>2835.9+(549-1190.3)+(-1.446309+(-0.27999--0.607053))+0-584.9--0.298298999999941</f>
        <v>1608.8790530000001</v>
      </c>
      <c r="U333" s="3">
        <f>2873+(611.4-1215.2)+(1.46523+(0.311814-0.619752))+0-703.2-0.358631999999929</f>
        <v>1566.7986599999997</v>
      </c>
      <c r="V333" s="3">
        <f>2729.8+(512.7-1016.2)+(0+(0-0))+0-635.6-0</f>
        <v>1590.7000000000003</v>
      </c>
      <c r="W333" s="3">
        <f>3081+(478.9-1203.2)+(0+(0-0))+0-684.9-0</f>
        <v>1671.7999999999997</v>
      </c>
      <c r="X333" s="3">
        <f>4628.2+(509.3-2487.8)+(-2.360382+(-0.259743--1.268778))+0-705.2--0.359651999999928</f>
        <v>1943.5083049999998</v>
      </c>
      <c r="Y333" s="3">
        <f>4694.3+(573.3-2662)+(-9.576372+(-1.169532--5.43048))+0-594.9--1.21359599999997</f>
        <v>2006.5981720000004</v>
      </c>
      <c r="Z333" s="3">
        <f>4632.5+(578.5-2531.4)+(-2.362575+(-0.295035--1.291014))+0-720.4--0.367403999999927</f>
        <v>1958.2008079999998</v>
      </c>
      <c r="AA333" s="3">
        <f>4269.3+(633-2442.2)+(-8.709372+(-1.29132--4.982088))+0-589.3--1.20217199999997</f>
        <v>1866.9835680000006</v>
      </c>
      <c r="AB333" s="3">
        <f>4221.8+(684.1-2390.7)+(-10.76559+(-1.744455--6.096285))+0-700.4--1.7860199999999</f>
        <v>1810.1722600000003</v>
      </c>
      <c r="AC333" s="3">
        <f>3589.4+(598.7-1832.8)+(-12.814158+(-2.137359--6.543096))+0-654.8--2.33763600000001</f>
        <v>1694.4292150000001</v>
      </c>
      <c r="AD333" s="2">
        <v>2014.5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2420.3+(631-833.5)+(-6.171765+(-1.60905--2.125425))+0-636.1--1.62205499999991</f>
        <v>1577.6666650000002</v>
      </c>
      <c r="G334" s="3">
        <f>2101.7+(629-585.1)+(-5.359335+(-1.60395--1.492005))+0-657.7--1.6771349999999</f>
        <v>1484.1058549999996</v>
      </c>
      <c r="H334" s="3">
        <f>2043.5+(609.1-593.4)+(-4.16874+(-1.242564--1.210536))+0-625.5--1.27601999999997</f>
        <v>1430.7752519999997</v>
      </c>
      <c r="I334" s="3">
        <f>2094.9+(590.2-570.8)+(1.068399+(0.301002-0.291108))+0-707.4-0.360773999999928</f>
        <v>1407.6175190000001</v>
      </c>
      <c r="J334" s="3">
        <f>1952.2+(547-480.8)+(-0.995622+(-0.27897--0.245208))+0-603.9--0.307988999999939</f>
        <v>1413.778605</v>
      </c>
      <c r="K334" s="3">
        <f>2106.5+(670.8-615.7)+(-2.14863+(-0.684216--0.628014))+0-717--0.731340000000114</f>
        <v>1443.1265080000001</v>
      </c>
      <c r="L334" s="3">
        <f>1939.6+(744.3-491.9)+(-3.956784+(-1.518372--1.003476))+0-609.3--1.24297199999997</f>
        <v>1579.4712919999999</v>
      </c>
      <c r="M334" s="3">
        <f>2386.5+(658.9-708.8)+(-1.217115+(-0.336039--0.361488))+0-693.3--0.35358299999993</f>
        <v>1642.4619169999996</v>
      </c>
      <c r="N334" s="3">
        <f>2705.4+(775.6-1202.1)+(1.379754+(0.395556-0.613071))+0-578.1-0.294830999999941</f>
        <v>1701.6674080000005</v>
      </c>
      <c r="O334" s="3">
        <f>3172.9+(1034.9-1833.9)+(6.472716+(2.111196-3.741156))+0-616.6-1.25786399999997</f>
        <v>1760.8848920000003</v>
      </c>
      <c r="P334" s="3">
        <f>3877.2+(818.3-2453.6)+(-3.954744+(-0.834666--2.502672))+0-546.5--0.557430000000087</f>
        <v>1693.6706919999999</v>
      </c>
      <c r="Q334" s="3">
        <f>3846.9+(885.6-2369.9)+(0+(0-0))+0-531.5-0</f>
        <v>1831.1</v>
      </c>
      <c r="R334" s="3">
        <f>3654.6+(974.6-2212.6)+(-9.31923+(-2.48523--5.64213))+0-591.2--1.50755999999991</f>
        <v>1820.7452299999998</v>
      </c>
      <c r="S334" s="3">
        <f>3382.3+(937.4-1992.7)+(1.724973+(0.478074-1.016277))+0-528.9-0.269738999999946</f>
        <v>1799.0170309999999</v>
      </c>
      <c r="T334" s="3">
        <f>3438.5+(960.7-1948.2)+(0+(0-0))+0-691.9-0</f>
        <v>1759.1</v>
      </c>
      <c r="U334" s="3">
        <f>3156.9+(885.3-1791.1)+(0+(0-0))+0-521.1-0</f>
        <v>1730.0000000000005</v>
      </c>
      <c r="V334" s="3">
        <f>3767.3+(800.4-2123.5)+(5.763969+(1.224612-3.248955))+0-691.6-1.05814800000004</f>
        <v>1755.2814780000003</v>
      </c>
      <c r="W334" s="3">
        <f>4578.9+(691.7-2898.6)+(7.005717+(1.058301-4.434858))+0-538.1-0.823293000000031</f>
        <v>1836.7058670000001</v>
      </c>
      <c r="X334" s="3">
        <f>5516.5+(1008.7-3813.3)+(8.440245+(1.543311-5.834349))+0-652.3-0.998019000000038</f>
        <v>2062.7511879999997</v>
      </c>
      <c r="Y334" s="3">
        <f>5281.6+(1169.2-3760)+(-8.080848+(-1.788876--5.7528))+0-592.9--0.907137000000034</f>
        <v>2094.6902130000003</v>
      </c>
      <c r="Z334" s="3">
        <f>4827.3+(1153.8-3302.6)+(-4.923846+(-1.176876--3.368652))+0-633.6--0.646272000000101</f>
        <v>2042.8142020000003</v>
      </c>
      <c r="AA334" s="3">
        <f>3776.8+(1270.1-2463)+(-3.852336+(-1.295502--2.51226))+0-568.4--0.579768000000091</f>
        <v>2013.4441900000002</v>
      </c>
      <c r="AB334" s="3">
        <f>2998.1+(1240.1-1723.6)+(-10.703217+(-4.427157--6.153252))+0-621.4--2.21839800000001</f>
        <v>1886.441276</v>
      </c>
      <c r="AC334" s="3">
        <f>2542.2+(1052.2-1329.4)+(-5.186088+(-2.146488--2.711976))+0-508.6--1.03754399999998</f>
        <v>1752.8169439999999</v>
      </c>
      <c r="AD334" s="2">
        <v>2102.7999999999997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2368.4+(904.3-1008.2)+(-2.415768+(-0.922386--1.028364))+0-641.1--0.653922000000102</f>
        <v>1621.7441320000005</v>
      </c>
      <c r="G335" s="3">
        <f>2199.3+(646.4-819.1)+(-4.486572+(-1.318656--1.670964))+0-504.1--1.02836399999998</f>
        <v>1519.3941000000002</v>
      </c>
      <c r="H335" s="3">
        <f>2186.7+(731.6-797.7)+(0+(0-0))+0-646.9-0</f>
        <v>1473.6999999999998</v>
      </c>
      <c r="I335" s="3">
        <f>2055.2+(759-787.6)+(-3.144456+(-1.16127--1.205028))+0-568.9--0.870417000000033</f>
        <v>1455.4697190000002</v>
      </c>
      <c r="J335" s="3">
        <f>2117+(773.4-788.5)+(1.07967+(0.394434-0.402135))+0-640.5-0.326654999999935</f>
        <v>1462.1453140000003</v>
      </c>
      <c r="K335" s="3">
        <f>2029.3+(764.7-708.8)+(0+(0-0))+0-582.9-0</f>
        <v>1502.2999999999997</v>
      </c>
      <c r="L335" s="3">
        <f>2028.7+(890.6-670.2)+(-2.069274+(-0.908412--0.683604))+0-592.5--0.604350000000094</f>
        <v>1654.9102680000001</v>
      </c>
      <c r="M335" s="3">
        <f>2195.8+(945.8-825.3)+(0+(0-0))+0-582.1-0</f>
        <v>1734.2000000000003</v>
      </c>
      <c r="N335" s="3">
        <f>2558.2+(997.4-1291.6)+(-1.304682+(-0.508674--0.658716))+0-480.1--0.244850999999951</f>
        <v>1782.9902109999998</v>
      </c>
      <c r="O335" s="3">
        <f>3135.2+(1066.1-1818.6)+(4.796856+(1.631133-2.782458))+0-597-0.913410000000034</f>
        <v>1788.4321209999998</v>
      </c>
      <c r="P335" s="3">
        <f>3949.8+(863.7-2481.6)+(4.028796+(0.880974-2.531232))+0-520.8-0.531216000000083</f>
        <v>1812.9473220000004</v>
      </c>
      <c r="Q335" s="3">
        <f>4232.6+(902.7-2827.8)+(-2.158626+(-0.460377--1.442178))+0-538.9--0.274838999999945</f>
        <v>1767.6980139999998</v>
      </c>
      <c r="R335" s="3">
        <f>3809.2+(1065.3-2467)+(0+(0-0))+0-637.5-0</f>
        <v>1770</v>
      </c>
      <c r="S335" s="3">
        <f>3328.3+(1113.5-2161.1)+(-6.789732+(-2.27154--4.408644))+0-571.4--1.16565599999997</f>
        <v>1705.8130280000003</v>
      </c>
      <c r="T335" s="3">
        <f>3199.6+(1166-2059.2)+(-1.631796+(-0.59466--1.050192))+0-620.8--0.316607999999937</f>
        <v>1684.7403439999998</v>
      </c>
      <c r="U335" s="3">
        <f>3239.2+(1183.5-2231.5)+(-3.303984+(-1.20717--2.27613))+0-557.9--0.569058000000089</f>
        <v>1631.6340339999997</v>
      </c>
      <c r="V335" s="3">
        <f>3552.6+(1133.5-2395.3)+(-1.811826+(-0.578085--1.221603))+0-603.4--0.307733999999939</f>
        <v>1686.5394259999998</v>
      </c>
      <c r="W335" s="3">
        <f>4150.5+(1156.7-2944.3)+(2.116755+(0.589917-1.501593))+0-561.5-0.286364999999943</f>
        <v>1802.3187139999995</v>
      </c>
      <c r="X335" s="3">
        <f>5506.7+(1114.4-3925.3)+(2.808417+(0.568344-2.001903))+0-645.4-0.329153999999935</f>
        <v>2051.4457039999998</v>
      </c>
      <c r="Y335" s="3">
        <f>5162.3+(1205-3664.6)+(-10.531092+(-2.4582--7.475784))+0-588--1.19951999999997</f>
        <v>2110.3860120000004</v>
      </c>
      <c r="Z335" s="3">
        <f>4345.6+(1315.3-2954.6)+(-4.432512+(-1.341606--3.013692))+0-637.9--0.650658000000102</f>
        <v>2066.2902320000003</v>
      </c>
      <c r="AA335" s="3">
        <f>3704.2+(1223.6-2289.4)+(0+(0-0))+0-640.8-0</f>
        <v>1997.5999999999997</v>
      </c>
      <c r="AB335" s="3">
        <f>2912.5+(1364.8-1699)+(0+(0-0))+0-665.2-0</f>
        <v>1913.1000000000001</v>
      </c>
      <c r="AC335" s="3">
        <f>2232.1+(1171.4-967)+(-5.691855+(-2.98707--2.46585))+0-660.5--1.6842749999999</f>
        <v>1771.4711999999997</v>
      </c>
      <c r="AD335" s="2">
        <v>2113.1000000000008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1941+(1006.9-661.4)+(-1.97982+(-1.027038--0.674628))+0-644.9--0.657798000000103</f>
        <v>1639.9255680000001</v>
      </c>
      <c r="G336" s="3">
        <f>2126.1+(1019.6-948.7)+(3.252933+(1.559988-1.451511))+0-667.2-1.02081600000004</f>
        <v>1532.140594</v>
      </c>
      <c r="H336" s="3">
        <f>2217.2+(1036-1116.2)+(0+(0-0))+0-637.7-0</f>
        <v>1499.3</v>
      </c>
      <c r="I336" s="3">
        <f>2199.6+(1057.3-1092.3)+(0+(0-0))+0-695.6-0</f>
        <v>1469</v>
      </c>
      <c r="J336" s="3">
        <f>1937.3+(1050.1-999.8)+(0+(0-0))+0-500.9-0</f>
        <v>1486.6999999999998</v>
      </c>
      <c r="K336" s="3">
        <f>2181.5+(1017.9-947.9)+(4.45026+(2.076516-1.933716))+0-747.1-1.52408399999997</f>
        <v>1507.4689760000003</v>
      </c>
      <c r="L336" s="3">
        <f>1993.9+(975.5-744.1)+(-5.084445+(-2.487525--1.897455))+0-563.8--1.43768999999992</f>
        <v>1657.263175</v>
      </c>
      <c r="M336" s="3">
        <f>2061+(1152.1-789.6)+(1.05111+(0.587571-0.402696))+0-705.9-0.360008999999928</f>
        <v>1718.4759759999997</v>
      </c>
      <c r="N336" s="3">
        <f>2494.1+(1136.4-1322.2)+(-1.271991+(-0.579564--0.674322))+0-579.1--0.295340999999941</f>
        <v>1728.3181080000004</v>
      </c>
      <c r="O336" s="3">
        <f>2980.7+(1451.3-2102.5)+(4.560471+(2.220489-3.216825))+0-591.3-0.904689000000034</f>
        <v>1740.8594460000002</v>
      </c>
      <c r="P336" s="3">
        <f>3645.9+(1484.1-2772.5)+(-1.859409+(-0.756891--1.413975))+0-590.2--0.30100199999994</f>
        <v>1766.3986769999997</v>
      </c>
      <c r="Q336" s="3">
        <f>3841.9+(1387.5-3041.5)+(5.878107+(2.122875-4.653495))+0-457.2-0.699516000000026</f>
        <v>1733.3479709999999</v>
      </c>
      <c r="R336" s="3">
        <f>3822.9+(1197.2-2611.9)+(-11.698074+(-3.663432--7.992414))+0-633.8--1.93942800000007</f>
        <v>1768.9703360000001</v>
      </c>
      <c r="S336" s="3">
        <f>3414+(1149.9-2213)+(-5.22342+(-1.759347--3.38589))+0-626--0.957780000000036</f>
        <v>1722.2609030000001</v>
      </c>
      <c r="T336" s="3">
        <f>3213.1+(1180.8-2082)+(1.638681+(0.602208-1.06182))+0-624.2-0.318341999999937</f>
        <v>1688.5607269999994</v>
      </c>
      <c r="U336" s="3">
        <f>3122.8+(1185.7-2034.2)+(0+(0-0))+0-632.2-0</f>
        <v>1642.1000000000001</v>
      </c>
      <c r="V336" s="3">
        <f>3238.9+(1085.9-2059.3)+(-3.303678+(-1.107618--2.100486))+0-587.4--0.599148000000094</f>
        <v>1676.388338</v>
      </c>
      <c r="W336" s="3">
        <f>3729.5+(940.5-2395.8)+(-7.60818+(-1.91862--4.887432))+0-523.7--1.06834799999998</f>
        <v>1746.9289799999997</v>
      </c>
      <c r="X336" s="3">
        <f>4608+(1122.5-3163.8)+(-2.35008+(-0.572475--1.613538))+0-553.8--0.282437999999944</f>
        <v>2011.8734209999998</v>
      </c>
      <c r="Y336" s="3">
        <f>4699.1+(1150.2-3238.7)+(-7.189623+(-1.759806--4.955211))+0-528.5--0.808605000000031</f>
        <v>2078.9143870000007</v>
      </c>
      <c r="Z336" s="3">
        <f>4463.9+(1199.6-3115.7)+(-6.829767+(-1.835388--4.767021))+0-554.9--0.848997000000032</f>
        <v>1989.8508629999997</v>
      </c>
      <c r="AA336" s="3">
        <f>4200.8+(1154-2860.5)+(-10.71204+(-2.9427--7.294275))+0-507.8--1.29488999999993</f>
        <v>1981.4344249999999</v>
      </c>
      <c r="AB336" s="3">
        <f>4023+(1162.5-2728.5)+(-6.15519+(-1.778625--4.174605))+0-601.1--0.919683000000035</f>
        <v>1853.060473</v>
      </c>
      <c r="AC336" s="3">
        <f>3605.8+(1216.6-2345.6)+(-9.19479+(-3.10233--5.98128))+0-668.4--1.7044199999999</f>
        <v>1803.7885799999997</v>
      </c>
      <c r="AD336" s="2">
        <v>2100.0000000000005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2562+(1156.2-1376.6)+(-2.61324+(-1.179324--1.404132))+0-678.8--0.692376000000108</f>
        <v>1661.1039440000004</v>
      </c>
      <c r="G337" s="3">
        <f>2050.1+(962.9-811.3)+(1.045551+(0.491079-0.413763))+0-625.9-0.319208999999937</f>
        <v>1576.6036579999998</v>
      </c>
      <c r="H337" s="3">
        <f>2141.1+(863.5-860.1)+(4.367844+(1.76154-1.754604))+0-635.9-1.29723599999997</f>
        <v>1511.6775440000001</v>
      </c>
      <c r="I337" s="3">
        <f>2057.2+(902.8-764.4)+(0+(0-0))+0-704.6-0</f>
        <v>1491</v>
      </c>
      <c r="J337" s="3">
        <f>2155.8+(784.6-797)+(-1.099458+(-0.400146--0.40647))+0-660.8--0.337007999999933</f>
        <v>1481.8438739999999</v>
      </c>
      <c r="K337" s="3">
        <f>2117+(905.2-792.1)+(-5.39835+(-2.30826--2.019855))+0-704.6--1.7967299999999</f>
        <v>1521.6099749999996</v>
      </c>
      <c r="L337" s="3">
        <f>2071.6+(991.4-767.1)+(-2.113032+(-1.011228--0.782442))+0-647.2--0.660144000000103</f>
        <v>1647.0183259999999</v>
      </c>
      <c r="M337" s="3">
        <f>2292.6+(1204.4-1107.2)+(-1.169226+(-0.614244--0.564672))+0-674.5--0.343994999999932</f>
        <v>1714.4251970000003</v>
      </c>
      <c r="N337" s="3">
        <f>2436.1+(1371.7-1522.7)+(0+(0-0))+0-553.5-0</f>
        <v>1731.6</v>
      </c>
      <c r="O337" s="3">
        <f>2860.8+(1308.5-1870.4)+(0+(0-0))+0-534-0</f>
        <v>1764.9</v>
      </c>
      <c r="P337" s="3">
        <f>3267.7+(1229.1-2196.7)+(0+(0-0))+0-535.6-0</f>
        <v>1764.5</v>
      </c>
      <c r="Q337" s="3">
        <f>3327.3+(1025.3-2132.5)+(-5.090769+(-1.568709--3.262725))+0-450.5--0.689265000000026</f>
        <v>1766.8925120000004</v>
      </c>
      <c r="R337" s="3">
        <f>3396.1+(1005.7-2138.9)+(-3.464022+(-1.025814--2.181678))+0-523.2--0.533664000000084</f>
        <v>1737.9255059999998</v>
      </c>
      <c r="S337" s="3">
        <f>3644.9+(761.5-2151.6)+(3.717798+(0.77673-2.194632))+0-558.3-0.569466000000089</f>
        <v>1698.2304300000001</v>
      </c>
      <c r="T337" s="3">
        <f>3534.4+(1055.6-2337.6)+(1.802544+(0.538356-1.192176))+0-596.8-0.304367999999939</f>
        <v>1656.4443560000004</v>
      </c>
      <c r="U337" s="3">
        <f>3201.6+(1171.1-2208.3)+(-1.632816+(-0.597261--1.126233))+0-557.3--0.284222999999943</f>
        <v>1606.2803789999994</v>
      </c>
      <c r="V337" s="3">
        <f>3244.4+(1097.7-2121)+(0+(0-0))+0-574.2-0</f>
        <v>1646.9000000000003</v>
      </c>
      <c r="W337" s="3">
        <f>3392.7+(1055.4-2114.9)+(5.190831+(1.614762-3.235797))+0-614.5-0.940185000000035</f>
        <v>1721.3296110000001</v>
      </c>
      <c r="X337" s="3">
        <f>4858.4+(1031.6-3291)+(-4.955568+(-1.052232--3.35682))+0-578--0.589560000000092</f>
        <v>2018.9385799999998</v>
      </c>
      <c r="Y337" s="3">
        <f>5319.3+(999.2-3533.4)+(5.425686+(1.019184-3.604068))+0-674.7-0.688194000000108</f>
        <v>2112.552608</v>
      </c>
      <c r="Z337" s="3">
        <f>5409.9+(1070.9-3742.5)+(0+(0-0))+0-686.4-0</f>
        <v>2051.8999999999996</v>
      </c>
      <c r="AA337" s="3">
        <f>4630.7+(1148.6-3130.3)+(-2.361657+(-0.585786--1.596453))+0-662.2--0.337721999999933</f>
        <v>1985.7867319999996</v>
      </c>
      <c r="AB337" s="3">
        <f>3788.5+(1445.8-2654.9)+(-9.660675+(-3.68679--6.769995))+0-674.6--1.7202299999999</f>
        <v>1899.9427599999995</v>
      </c>
      <c r="AC337" s="3">
        <f>2915.9+(1535.7-1985.6)+(-4.461327+(-2.349621--3.037968))+0-700.5--1.07176500000004</f>
        <v>1762.798785</v>
      </c>
      <c r="AD337" s="2">
        <v>2072.9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2251.3+(1177.8-1228.4)+(-2.296326+(-1.201356--1.252968))+0-645.9--0.658818000000103</f>
        <v>1553.2141039999999</v>
      </c>
      <c r="G338" s="3">
        <f>2028.4+(1036.6-1002)+(-4.137936+(-2.114664--2.04408))+0-665.6--1.35782399999997</f>
        <v>1394.5493039999999</v>
      </c>
      <c r="H338" s="3">
        <f>1991.4+(813.6-726.1)+(0+(0-0))+0-681.1-0</f>
        <v>1397.8000000000002</v>
      </c>
      <c r="I338" s="3">
        <f>2112.6+(773.6-763.8)+(0+(0-0))+0-667.7-0</f>
        <v>1454.7</v>
      </c>
      <c r="J338" s="3">
        <f>2011.3+(779.6-735.6)+(1.025763+(0.397596-0.375156))+0-586.4-0.29906399999994</f>
        <v>1469.6491389999999</v>
      </c>
      <c r="K338" s="3">
        <f>2052.2+(879.6-721.8)+(2.093244+(0.897192-0.736236))+0-716.1-0.730422000000114</f>
        <v>1495.4237779999999</v>
      </c>
      <c r="L338" s="3">
        <f>2060.2+(889.8-735.9)+(1.050702+(0.453798-0.375309))+0-569-0.290189999999942</f>
        <v>1645.939001</v>
      </c>
      <c r="M338" s="3">
        <f>2338.6+(1218-1150.8)+(0+(0-0))+0-708.5-0</f>
        <v>1697.3000000000002</v>
      </c>
      <c r="N338" s="3">
        <f>2635.8+(1437.1-1816.9)+(-1.344258+(-0.732921--0.926619))+0-560.7--0.285956999999943</f>
        <v>1694.435397</v>
      </c>
      <c r="O338" s="3">
        <f>3262.6+(1488.5-2453.6)+(3.327852+(1.51827-2.502672))+0-567-0.57834000000009</f>
        <v>1732.2651099999998</v>
      </c>
      <c r="P338" s="3">
        <f>3600.4+(1410.1-2722.3)+(0+(0-0))+0-566.4-0</f>
        <v>1721.7999999999997</v>
      </c>
      <c r="Q338" s="3">
        <f>3797.3+(1393.3-2902.3)+(-5.809869+(-2.131749--4.440519))+0-520.1--0.79575300000003</f>
        <v>1765.4946540000003</v>
      </c>
      <c r="R338" s="3">
        <f>3739.3+(1105.3-2567.7)+(-7.628172+(-2.254812--5.238108))+0-527.1--1.07528399999998</f>
        <v>1746.2304080000008</v>
      </c>
      <c r="S338" s="3">
        <f>3567.2+(1087.3-2364.6)+(3.638544+(1.109046-2.411892))+0-583-0.594660000000093</f>
        <v>1708.6410379999993</v>
      </c>
      <c r="T338" s="3">
        <f>2886.7+(1491.2-2141)+(-1.472217+(-0.760512--1.09191))+0-582.5--0.297074999999941</f>
        <v>1653.5562559999994</v>
      </c>
      <c r="U338" s="3">
        <f>2978.6+(1540.5-2414.2)+(3.038172+(1.57131-2.462484))+0-490.2-0.500004000000078</f>
        <v>1616.3469940000002</v>
      </c>
      <c r="V338" s="3">
        <f>3149.6+(1396-2228.3)+(-1.606296+(-0.71196--1.136433))+0-565--0.288149999999943</f>
        <v>1751.4063269999997</v>
      </c>
      <c r="W338" s="3">
        <f>3559.4+(1150.7-2356)+(-5.445882+(-1.760571--3.60468))+0-586.9--0.897957000000034</f>
        <v>1764.4961840000005</v>
      </c>
      <c r="X338" s="3">
        <f>4559.8+(1085.1-2979.2)+(2.325498+(0.553401-1.519392))+0-634.9-0.323798999999936</f>
        <v>2031.8357080000003</v>
      </c>
      <c r="Y338" s="3">
        <f>4669.9+(1126.4-3139.2)+(-11.908245+(-2.87232--8.00496))+0-560.3--1.42876499999992</f>
        <v>2091.4531600000005</v>
      </c>
      <c r="Z338" s="3">
        <f>4393.7+(1224.3-2863.8)+(-2.240787+(-0.624393--1.460538))+0-708.1--0.361130999999928</f>
        <v>2045.0564889999998</v>
      </c>
      <c r="AA338" s="3">
        <f>4191.5+(1222.6-2809.7)+(-6.412995+(-1.870578--4.298841))+0-600.7--0.919071000000035</f>
        <v>2000.6343390000002</v>
      </c>
      <c r="AB338" s="3">
        <f>4030.6+(1204.6-2673.7)+(-6.166818+(-1.843038--4.090761))+0-647.6--0.990828000000037</f>
        <v>1910.9717329999999</v>
      </c>
      <c r="AC338" s="3">
        <f>3594.5+(1237.3-2392.1)+(-9.165975+(-3.155115--6.099855))+0-646.3--1.64806499999991</f>
        <v>1788.8268299999997</v>
      </c>
      <c r="AD338" s="2">
        <v>2098.7000000000003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2649.9+(1160.5-1454)+(-4.054347+(-1.775565--2.22462))+0-685.3--1.04850900000004</f>
        <v>1668.5432169999999</v>
      </c>
      <c r="G339" s="3">
        <f>2198.1+(960.1-891.4)+(0+(0-0))+0-674.6-0</f>
        <v>1592.2000000000003</v>
      </c>
      <c r="H339" s="3">
        <f>2064.7+(948.6-847.8)+(3.158991+(1.451358-1.297134))+0-640.8-0.980424000000037</f>
        <v>1527.0327910000001</v>
      </c>
      <c r="I339" s="3">
        <f>1928+(1005.1-748.8)+(-1.96656+(-1.025202--0.763776))+0-674.1--0.687582000000108</f>
        <v>1508.6595960000004</v>
      </c>
      <c r="J339" s="3">
        <f>1934.6+(955-718.1)+(2.959938+(1.46115-1.098693))+0-668.5-1.02280500000004</f>
        <v>1505.2995900000001</v>
      </c>
      <c r="K339" s="3">
        <f>1907.7+(970.3-702.4)+(0+(0-0))+0-659.9-0</f>
        <v>1515.6999999999998</v>
      </c>
      <c r="L339" s="3">
        <f>1818.2+(1159-683.8)+(-3.709128+(-2.36436--1.394952))+0-712.2--1.45288799999997</f>
        <v>1577.9743520000002</v>
      </c>
      <c r="M339" s="3">
        <f>1938.4+(1197.8-931.2)+(0.988584+(0.610878-0.474912))+0-553-0.282029999999944</f>
        <v>1652.8425200000001</v>
      </c>
      <c r="N339" s="3">
        <f>2615.7+(1557.5-1863.1)+(2.668014+(1.58865-1.900362))+0-631.5-0.644130000000101</f>
        <v>1680.3121719999999</v>
      </c>
      <c r="O339" s="3">
        <f>3267.9+(1552.2-2574.6)+(4.999887+(2.374866-3.939138))+0-531.4-0.813042000000031</f>
        <v>1716.7225729999998</v>
      </c>
      <c r="P339" s="3">
        <f>3751.5+(1549.5-2902.1)+(0+(0-0))+0-657.3-0</f>
        <v>1741.6000000000001</v>
      </c>
      <c r="Q339" s="3">
        <f>3940.4+(1562.3-3174.2)+(0+(0-0))+0-576.5-0</f>
        <v>1752</v>
      </c>
      <c r="R339" s="3">
        <f>3946.5+(1484.4-3116.7)+(-4.02543+(-1.514088--3.179034))+0-533.5--0.544170000000085</f>
        <v>1778.8836860000006</v>
      </c>
      <c r="S339" s="3">
        <f>3160.9+(1656.1-2420.4)+(1.612059+(0.844611-1.234404))+0-652.8-0.332927999999934</f>
        <v>1744.6893380000001</v>
      </c>
      <c r="T339" s="3">
        <f>2704.2+(1586.7-2041.6)+(-2.758284+(-1.618434--2.082432))+0-553.1--0.564162000000088</f>
        <v>1694.4698760000006</v>
      </c>
      <c r="U339" s="3">
        <f>2709.4+(1440.8-1879.8)+(-2.763588+(-1.469616--1.917396))+0-617.4--0.629748000000098</f>
        <v>1651.3139400000002</v>
      </c>
      <c r="V339" s="3">
        <f>2782+(1391.8-1919.3)+(4.25646+(2.129454-2.936529))+0-583.2-0.892296000000034</f>
        <v>1673.8570889999999</v>
      </c>
      <c r="W339" s="3">
        <f>3064.7+(1369.5-2082.4)+(-4.688991+(-2.095335--3.186072))+0-610.1--0.933453000000035</f>
        <v>1739.0351989999999</v>
      </c>
      <c r="X339" s="3">
        <f>4505.4+(1155.6-2951.3)+(0+(0-0))+0-675.8-0</f>
        <v>2033.8999999999994</v>
      </c>
      <c r="Y339" s="3">
        <f>4751.6+(1105.8-3122.4)+(-14.539896+(-3.383748--9.554544))+0-669--2.04714000000008</f>
        <v>2059.6780400000002</v>
      </c>
      <c r="Z339" s="3">
        <f>4892+(1096.4-3332.8)+(4.98984+(1.118328-3.399456))+0-642.2-0.655044000000102</f>
        <v>2015.4536679999999</v>
      </c>
      <c r="AA339" s="3">
        <f>4348.3+(1189.2-2894.1)+(-2.217633+(-0.606492--1.475991))+0-688.3--0.35103299999993</f>
        <v>1954.1028990000007</v>
      </c>
      <c r="AB339" s="3">
        <f>3498.8+(1300.2-2321)+(0+(0-0))+0-640-0</f>
        <v>1838</v>
      </c>
      <c r="AC339" s="3">
        <f>2919.1+(1543-2020.2)+(-4.466223+(-2.36079--3.090906))+0-701.9--1.07390700000004</f>
        <v>1737.3377999999993</v>
      </c>
      <c r="AD339" s="2">
        <v>2066.5999999999995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2541.3+(1125.3-1532.1)+(-3.888189+(-1.721709--2.344113))+0-625.1--0.956403000000036</f>
        <v>1507.0906180000002</v>
      </c>
      <c r="G340" s="3">
        <f>2410.5+(833.5-1005.6)+(-6.146775+(-2.125425--2.56428))+0-692.3--1.7653649999999</f>
        <v>1542.1574450000003</v>
      </c>
      <c r="H340" s="3">
        <f>2563+(774.5-1180.8)+(-1.30713+(-0.394995--0.602208))+0-657.2--0.335171999999933</f>
        <v>1498.7352549999996</v>
      </c>
      <c r="I340" s="3">
        <f>2256.1+(834.9-963.4)+(1.150611+(0.425799-0.491334))+0-652.9-0.332978999999934</f>
        <v>1475.4520969999996</v>
      </c>
      <c r="J340" s="3">
        <f>2012.5+(873-748.9)+(1.026375+(0.44523-0.381939))+0-678-0.345779999999931</f>
        <v>1459.3438859999999</v>
      </c>
      <c r="K340" s="3">
        <f>2158.4+(842.1-861.2)+(4.403136+(1.717884-1.756848))+0-653.5-1.33313999999997</f>
        <v>1488.8310320000003</v>
      </c>
      <c r="L340" s="3">
        <f>1934.2+(920.8-655.1)+(-1.972884+(-0.939216--0.668202))+0-659.8--0.672996000000105</f>
        <v>1538.529098</v>
      </c>
      <c r="M340" s="3">
        <f>1918.2+(882.9-582.3)+(-0.978282+(-0.450279--0.296973))+0-641.3--0.327062999999935</f>
        <v>1576.695475</v>
      </c>
      <c r="N340" s="3">
        <f>2064+(1012.2-855.7)+(-2.10528+(-1.032444--0.872814))+0-605.9--0.618018000000097</f>
        <v>1612.9531080000002</v>
      </c>
      <c r="O340" s="3">
        <f>2597.1+(979.6-1317.4)+(2.649042+(0.999192-1.343748))+0-590.1-0.601902000000094</f>
        <v>1670.9025839999997</v>
      </c>
      <c r="P340" s="3">
        <f>2967.5+(1089.4-1689.4)+(0+(0-0))+0-646.7-0</f>
        <v>1720.8</v>
      </c>
      <c r="Q340" s="3">
        <f>2967.4+(1150.2-1782)+(0+(0-0))+0-609.2-0</f>
        <v>1726.4000000000003</v>
      </c>
      <c r="R340" s="3">
        <f>2961.5+(1085.4-1708.6)+(-4.531095+(-1.660662--2.614158))+0-653.2--0.999396000000038</f>
        <v>1682.5217969999999</v>
      </c>
      <c r="S340" s="3">
        <f>2428.2+(1052.5-1258.7)+(-1.238382+(-0.536775--0.641937))+0-580.6--0.296105999999941</f>
        <v>1640.5628859999999</v>
      </c>
      <c r="T340" s="3">
        <f>2289.8+(1168.1-1213.6)+(-2.335596+(-1.191462--1.237872))+0-659.6--0.672792000000105</f>
        <v>1583.0836060000004</v>
      </c>
      <c r="U340" s="3">
        <f>2300.7+(1092.7-1234.8)+(-2.346714+(-1.114554--1.259496))+0-599.9--0.611898000000096</f>
        <v>1557.110126</v>
      </c>
      <c r="V340" s="3">
        <f>2463.7+(1177.3-1454.9)+(0+(0-0))+0-629.2-0</f>
        <v>1556.8999999999994</v>
      </c>
      <c r="W340" s="3">
        <f>2824.4+(1136.5-1651.3)+(-1.440444+(-0.579615--0.842163))+0-657--0.335069999999933</f>
        <v>1651.7571740000001</v>
      </c>
      <c r="X340" s="3">
        <f>4297.6+(993.4-2719.8)+(-2.191776+(-0.506634--1.387098))+0-647.9--0.330428999999934</f>
        <v>1922.3191170000002</v>
      </c>
      <c r="Y340" s="3">
        <f>4832.8+(928.7-3107.8)+(0+(0-0))+0-646.9-0</f>
        <v>2006.7999999999997</v>
      </c>
      <c r="Z340" s="3">
        <f>4565.1+(825.4-2856.9)+(-4.656402+(-0.841908--2.914038))+0-558.9--0.570078000000089</f>
        <v>1972.6858060000004</v>
      </c>
      <c r="AA340" s="3">
        <f>4567.8+(938.5-2914.5)+(-2.329578+(-0.478635--1.486395))+0-676--0.344759999999931</f>
        <v>1914.8229420000002</v>
      </c>
      <c r="AB340" s="3">
        <f>3856.9+(1016.1-2436.3)+(-9.835095+(-2.591055--6.212565))+0-634.2--1.61720999999991</f>
        <v>1797.9036249999997</v>
      </c>
      <c r="AC340" s="3">
        <f>3467.9+(1029-2107)+(-8.843145+(-2.62395--5.37285))+0-711.1--1.8133049999999</f>
        <v>1674.5190600000003</v>
      </c>
      <c r="AD340" s="2">
        <v>1984.5999999999995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2114.5+(1006.8-937.7)+(-2.15679+(-1.026936--0.956454))+0-583.1--0.594762000000093</f>
        <v>1598.8674900000001</v>
      </c>
      <c r="G341" s="3">
        <f>1854.2+(959.9-647.1)+(1.891284+(0.979098-0.660042))+0-672.3-0.685746000000107</f>
        <v>1496.224594</v>
      </c>
      <c r="H341" s="3">
        <f>1918.6+(930.1-743.5)+(1.956972+(0.948702-0.75837))+0-674.2-0.687684000000108</f>
        <v>1432.4596199999996</v>
      </c>
      <c r="I341" s="3">
        <f>1802.6+(915.9-669.1)+(0.919326+(0.467109-0.341241))+0-606.3-0.309212999999938</f>
        <v>1443.8359809999995</v>
      </c>
      <c r="J341" s="3">
        <f>1840.5+(930.5-699.5)+(-0.938655+(-0.474555--0.356745))+0-673--0.343229999999932</f>
        <v>1397.7867649999998</v>
      </c>
      <c r="K341" s="3">
        <f>1893.8+(950-691.4)+(1.931676+(0.969-0.705228))+0-681-0.694620000000109</f>
        <v>1472.9008279999998</v>
      </c>
      <c r="L341" s="3">
        <f>1955.4+(948.1-646.3)+(0.997254+(0.483531-0.329613))+0-681-0.347309999999931</f>
        <v>1577.0038620000003</v>
      </c>
      <c r="M341" s="3">
        <f>2274.1+(1110.8-1063.6)+(1.159791+(0.566508-0.542436))+0-644.2-0.328541999999935</f>
        <v>1677.9553210000004</v>
      </c>
      <c r="N341" s="3">
        <f>2956+(1322.1-1919.3)+(3.01512+(1.348542-1.957686))+0-627.2-0.6397440000001</f>
        <v>1733.3662320000001</v>
      </c>
      <c r="O341" s="3">
        <f>3323.3+(1452.8-2345.2)+(6.779532+(2.963712-4.784208))+0-641.9-1.30947599999997</f>
        <v>1792.6495600000007</v>
      </c>
      <c r="P341" s="3">
        <f>3991.3+(1418.4-2965.2)+(0+(0-0))+0-630.8-0</f>
        <v>1813.7000000000005</v>
      </c>
      <c r="Q341" s="3">
        <f>4093.4+(1333.4-3017.4)+(0+(0-0))+0-544-0</f>
        <v>1865.4</v>
      </c>
      <c r="R341" s="3">
        <f>3977.4+(1339.4-2871.7)+(-4.056948+(-1.366188--2.929134))+0-623.1--0.635562000000099</f>
        <v>1820.1415600000007</v>
      </c>
      <c r="S341" s="3">
        <f>3341.1+(1346.9-2372.4)+(-6.815844+(-2.747676--4.839696))+0-500.5--1.02101999999998</f>
        <v>1811.3971959999997</v>
      </c>
      <c r="T341" s="3">
        <f>3206.4+(1444-2126.3)+(0+(0-0))+0-679-0</f>
        <v>1845.1</v>
      </c>
      <c r="U341" s="3">
        <f>2839.6+(1520.7-2104.6)+(1.448196+(0.775557-1.073346))+0-542.2-0.276521999999945</f>
        <v>1714.373885</v>
      </c>
      <c r="V341" s="3">
        <f>2777+(1671.3-1977.6)+(0+(0-0))+0-712.8-0</f>
        <v>1757.8999999999999</v>
      </c>
      <c r="W341" s="3">
        <f>3023.7+(1544.6-2193.6)+(-3.084174+(-1.575492--2.237472))+0-526.6--0.537132000000084</f>
        <v>1846.2149379999998</v>
      </c>
      <c r="X341" s="3">
        <f>4957.9+(1220.5-3407)+(-7.585587+(-1.867365--5.21271))+0-696.4--1.06549200000004</f>
        <v>2071.8252499999999</v>
      </c>
      <c r="Y341" s="3">
        <f>4895+(1072.9-3247.5)+(-4.9929+(-1.094358--3.31245))+0-636.5--0.649230000000101</f>
        <v>2081.774422</v>
      </c>
      <c r="Z341" s="3">
        <f>4895.7+(1075.1-3290.2)+(2.496807+(0.548301-1.678002))+0-661.2-0.337211999999933</f>
        <v>2020.4298940000001</v>
      </c>
      <c r="AA341" s="3">
        <f>4401.4+(1145.2-2963.1)+(-4.489428+(-1.168104--3.022362))+0-648.6--0.661572000000103</f>
        <v>1932.9264020000003</v>
      </c>
      <c r="AB341" s="3">
        <f>3801+(1380.3-2674.7)+(-3.87702+(-1.407906--2.728194))+0-653--0.666060000000104</f>
        <v>1851.7093280000004</v>
      </c>
      <c r="AC341" s="3">
        <f>2744.1+(1609.2-1961.7)+(-1.399491+(-0.820692--1.000467))+0-665.2--0.339251999999933</f>
        <v>1725.5195359999998</v>
      </c>
      <c r="AD341" s="2">
        <v>2099.9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2145.2+(1114.9-1002.9)+(-5.47026+(-2.842995--2.557395))+0-662.1--1.6883549999999</f>
        <v>1591.0324949999997</v>
      </c>
      <c r="G342" s="3">
        <f>1774.9+(920.4-560.2)+(-0.905199+(-0.469404--0.285702))+0-650.6--0.331805999999934</f>
        <v>1483.7429049999998</v>
      </c>
      <c r="H342" s="3">
        <f>1800.2+(873.5-622.3)+(-1.836204+(-0.89097--0.634746))+0-606.9--0.619038000000097</f>
        <v>1443.0266100000001</v>
      </c>
      <c r="I342" s="3">
        <f>1806.7+(854.8-593.1)+(-2.764251+(-1.307844--0.907443))+0-650.8--0.995724000000038</f>
        <v>1415.4310720000003</v>
      </c>
      <c r="J342" s="3">
        <f>1798.2+(876.5-620.3)+(0.917082+(0.447015-0.316353))+0-637.5-0.325124999999935</f>
        <v>1417.6226190000002</v>
      </c>
      <c r="K342" s="3">
        <f>1778+(1019.2-654.5)+(-0.90678+(-0.519792--0.333795))+0-695.5--0.354704999999929</f>
        <v>1446.4619279999999</v>
      </c>
      <c r="L342" s="3">
        <f>1886.8+(1080.4-831.6)+(-0.962268+(-0.551004--0.424116))+0-547.8--0.279377999999944</f>
        <v>1586.9902219999999</v>
      </c>
      <c r="M342" s="3">
        <f>2065.2+(1281.2-1074.9)+(1.053252+(0.653412-0.548199))+0-610.2-0.311201999999938</f>
        <v>1662.1472630000001</v>
      </c>
      <c r="N342" s="3">
        <f>2704.8+(1479.3-1909.7)+(1.379448+(0.754443-0.973947))+0-587.4-0.29957399999994</f>
        <v>1687.8603700000001</v>
      </c>
      <c r="O342" s="3">
        <f>3411.4+(1510-2620.9)+(0+(0-0))+0-586.2-0</f>
        <v>1714.3</v>
      </c>
      <c r="P342" s="3">
        <f>3578.2+(1298.1-2585.2)+(0+(0-0))+0-529.2-0</f>
        <v>1761.8999999999999</v>
      </c>
      <c r="Q342" s="3">
        <f>4037.4+(1363.8-2935.9)+(-2.059074+(-0.695538--1.497309))+0-576.4--0.293963999999941</f>
        <v>1887.9366610000002</v>
      </c>
      <c r="R342" s="3">
        <f>3830.8+(1126.8-2729.1)+(-7.814832+(-2.298672--5.567364))+0-470.2--0.959207999999979</f>
        <v>1754.713068</v>
      </c>
      <c r="S342" s="3">
        <f>3594.2+(1237.4-2472.7)+(3.666084+(1.262148-2.522154))+0-638.3-0.651066000000102</f>
        <v>1722.355012</v>
      </c>
      <c r="T342" s="3">
        <f>3408.8+(1450.2-2590.1)+(1.738488+(0.739602-1.320951))+0-579.6-0.295595999999941</f>
        <v>1690.1615430000006</v>
      </c>
      <c r="U342" s="3">
        <f>3111.9+(1526.1-2407.8)+(3.174138+(1.556622-2.455956))+0-598.5-0.610470000000095</f>
        <v>1633.3643339999999</v>
      </c>
      <c r="V342" s="3">
        <f>3035.2+(1625.1-2408.8)+(3.095904+(1.657602-2.456976))+0-583.9-0.595578000000093</f>
        <v>1669.3009519999994</v>
      </c>
      <c r="W342" s="3">
        <f>3071.6+(1463.9-2206.1)+(-6.266064+(-2.986356--4.500444))+0-602.6--1.22930399999997</f>
        <v>1723.2773280000001</v>
      </c>
      <c r="X342" s="3">
        <f>4173+(1286.3-2856.3)+(-2.12823+(-0.656013--1.456713))+0-626.6--0.319565999999936</f>
        <v>1975.392036</v>
      </c>
      <c r="Y342" s="3">
        <f>4604.1+(1081.4-3034.1)+(-9.392364+(-2.206056--6.189564))+0-576.6--1.17626399999997</f>
        <v>2070.5674080000008</v>
      </c>
      <c r="Z342" s="3">
        <f>4580.5+(980.4-2968.1)+(-11.680275+(-2.50002--7.568655))+0-599.9--1.52974499999991</f>
        <v>1987.8181049999998</v>
      </c>
      <c r="AA342" s="3">
        <f>4346.6+(937-2862.2)+(0+(0-0))+0-575.1-0</f>
        <v>1846.3000000000006</v>
      </c>
      <c r="AB342" s="3">
        <f>3637.3+(904-2065.5)+(-1.855023+(-0.46104--1.053405))+0-633.2--0.322931999999936</f>
        <v>1841.6602740000001</v>
      </c>
      <c r="AC342" s="3">
        <f>3260.6+(919.6-1858)+(-4.988718+(-1.406988--2.84274))+0-583.8--0.893214000000034</f>
        <v>1735.7402479999996</v>
      </c>
      <c r="AD342" s="2">
        <v>2090.4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2175.5+(1007.2-954.8)+(-2.21901+(-1.027344--0.973896))+0-599--0.610980000000096</f>
        <v>1627.2385220000003</v>
      </c>
      <c r="G343" s="3">
        <f>2146.8+(906.1-897.4)+(1.094868+(0.462111-0.457674))+0-625.7-0.319106999999937</f>
        <v>1530.5801980000001</v>
      </c>
      <c r="H343" s="3">
        <f>2008.4+(952.8-906.2)+(-2.048568+(-0.971856--0.924324))+0-582.3--0.593946000000093</f>
        <v>1471.197846</v>
      </c>
      <c r="I343" s="3">
        <f>1953.9+(985-917.4)+(0.996489+(0.50235-0.467874))+0-578.6-0.295085999999941</f>
        <v>1443.6358790000002</v>
      </c>
      <c r="J343" s="3">
        <f>2135.8+(1033.8-1243.5)+(0+(0-0))+0-486.4-0</f>
        <v>1439.7000000000003</v>
      </c>
      <c r="K343" s="3">
        <f>2213.7+(1029.8-1187.6)+(-3.386961+(-1.575594--1.817028))+0-563.4--0.862002000000033</f>
        <v>1490.2164749999995</v>
      </c>
      <c r="L343" s="3">
        <f>2208.7+(1134.4-1242.7)+(0+(0-0))+0-487.1-0</f>
        <v>1613.2999999999997</v>
      </c>
      <c r="M343" s="3">
        <f>2467.7+(1201.1-1433.2)+(1.258527+(0.612561-0.730932))+0-553.5-0.282284999999944</f>
        <v>1682.9578709999994</v>
      </c>
      <c r="N343" s="3">
        <f>2838.2+(1328.8-1980)+(-1.447482+(-0.677688--1.0098))+0-461--0.235109999999953</f>
        <v>1725.1197399999999</v>
      </c>
      <c r="O343" s="3">
        <f>3305.1+(1502.8-2426.6)+(-5.056803+(-2.299284--3.712698))+0-516.7--0.79055100000003</f>
        <v>1861.7471620000003</v>
      </c>
      <c r="P343" s="3">
        <f>3481.4+(1595-2650.5)+(-5.326542+(-2.44035--4.055265))+0-500.3--0.765459000000029</f>
        <v>1922.653832</v>
      </c>
      <c r="Q343" s="3">
        <f>3716.9+(1647.3-3065.5)+(-7.582476+(-3.360492--6.25362))+0-456.8--0.93187199999998</f>
        <v>1838.1425239999999</v>
      </c>
      <c r="R343" s="3">
        <f>3480.4+(1584.4-2821.5)+(0+(0-0))+0-471.5-0</f>
        <v>1771.8000000000002</v>
      </c>
      <c r="S343" s="3">
        <f>3454+(1508-2777.8)+(-5.28462+(-2.30724--4.250034))+0-445.2--0.681156000000026</f>
        <v>1736.33933</v>
      </c>
      <c r="T343" s="3">
        <f>3502.5+(1580.6-2863)+(3.57255+(1.612212-2.92026))+0-534.2-0.544884000000085</f>
        <v>1687.6196179999997</v>
      </c>
      <c r="U343" s="3">
        <f>3424.5+(1599.2-2872)+(-1.746495+(-0.815592--1.46472))+0-504.8--0.257447999999949</f>
        <v>1646.0600809999999</v>
      </c>
      <c r="V343" s="3">
        <f>3542.8+(1354.4-2694.2)+(0+(0-0))+0-544.2-0</f>
        <v>1658.8000000000004</v>
      </c>
      <c r="W343" s="3">
        <f>3718.8+(1143.8-2636.6)+(-3.793176+(-1.166676--2.689332))+0-500.4--0.51040800000008</f>
        <v>1723.839888</v>
      </c>
      <c r="X343" s="3">
        <f>4268.4+(1305.4-3077.4)+(-2.176884+(-0.665754--1.569474))+0-489.7--0.24974699999995</f>
        <v>2005.6765829999993</v>
      </c>
      <c r="Y343" s="3">
        <f>4391.2+(1474.4-3158)+(-11.19756+(-3.75972--8.0529))+0-609.3--1.55371499999991</f>
        <v>2092.9493350000002</v>
      </c>
      <c r="Z343" s="3">
        <f>4406.2+(1320.7-3079.2)+(0+(0-0))+0-604-0</f>
        <v>2043.6999999999998</v>
      </c>
      <c r="AA343" s="3">
        <f>4216.9+(1322.4-2979.4)+(-4.301238+(-1.348848--3.038988))+0-582.5--0.594150000000093</f>
        <v>1975.3830519999999</v>
      </c>
      <c r="AB343" s="3">
        <f>3604.1+(1345.9-2521.9)+(-3.676182+(-1.372818--2.572338))+0-551.3--0.562326000000088</f>
        <v>1874.8856639999999</v>
      </c>
      <c r="AC343" s="3">
        <f>2996.3+(1382.7-2055.5)+(-7.640565+(-3.525885--5.241525))+0-549.9--1.40224499999992</f>
        <v>1769.0773200000001</v>
      </c>
      <c r="AD343" s="2">
        <v>2087.2000000000007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2233.6+(1258.4-1261.9)+(-3.417408+(-1.925352--1.930707))+0-597.3--0.913869000000034</f>
        <v>1630.3018159999999</v>
      </c>
      <c r="G344" s="3">
        <f>2217+(1107.5-1245.6)+(-3.39201+(-1.694475--1.905768))+0-564.7--0.863991000000033</f>
        <v>1511.8832739999998</v>
      </c>
      <c r="H344" s="3">
        <f>2101.4+(982.6-1008.3)+(-1.071714+(-0.501126--0.514233))+0-600.4--0.306203999999939</f>
        <v>1474.5475970000002</v>
      </c>
      <c r="I344" s="3">
        <f>2055.8+(949.7-909.6)+(-2.096916+(-0.968694--0.927792))+0-657.3--0.670446000000105</f>
        <v>1437.1326280000001</v>
      </c>
      <c r="J344" s="3">
        <f>2030.1+(903.8-920.2)+(1.035351+(0.460938-0.469302))+0-562.2-0.286721999999943</f>
        <v>1452.2402649999997</v>
      </c>
      <c r="K344" s="3">
        <f>2082.6+(961.7-921.9)+(4.248504+(1.961868-1.880676))+0-640.6-1.30682399999997</f>
        <v>1484.822872</v>
      </c>
      <c r="L344" s="3">
        <f>2212.8+(1254-1344.9)+(-1.128528+(-0.63954--0.685899))+0-506.8--0.258467999999949</f>
        <v>1614.2762990000003</v>
      </c>
      <c r="M344" s="3">
        <f>2392.5+(1474.4-1590.6)+(-1.220175+(-0.751944--0.811206))+0-600--0.305999999999939</f>
        <v>1675.4450870000001</v>
      </c>
      <c r="N344" s="3">
        <f>2730.1+(1390-1785.7)+(-1.392351+(-0.7089--0.910707))+0-635.9--0.324308999999935</f>
        <v>1697.6337649999994</v>
      </c>
      <c r="O344" s="3">
        <f>3253.8+(1421.7-2424.6)+(-6.637752+(-2.900268--4.946184))+0-523.5--1.06793999999998</f>
        <v>1723.8761040000004</v>
      </c>
      <c r="P344" s="3">
        <f>3619.6+(1466.6-2760)+(-1.845996+(-0.747966--1.4076))+0-574.9--0.293198999999942</f>
        <v>1750.4068369999998</v>
      </c>
      <c r="Q344" s="3">
        <f>3901.3+(1361.8-2913.7)+(-3.979326+(-1.389036--2.971974))+0-582.5--0.594150000000093</f>
        <v>1765.0977620000006</v>
      </c>
      <c r="R344" s="3">
        <f>3742.6+(1516-2967.4)+(-7.634904+(-3.09264--6.053496))+0-552.1--1.12628399999998</f>
        <v>1735.552236</v>
      </c>
      <c r="S344" s="3">
        <f>3596+(1589.7-2833.8)+(-5.50188+(-2.432241--4.335714))+0-643.4--0.984402000000037</f>
        <v>1705.8859949999996</v>
      </c>
      <c r="T344" s="3">
        <f>3493+(1604.3-2966.9)+(1.78143+(0.818193-1.513119))+0-502.5-0.256274999999949</f>
        <v>1628.7302289999996</v>
      </c>
      <c r="U344" s="3">
        <f>3509.9+(1397.2-2821.9)+(3.580098+(1.425144-2.878338))+0-480.2-0.489804000000077</f>
        <v>1606.6370999999999</v>
      </c>
      <c r="V344" s="3">
        <f>3399.8+(1218.6-2357.3)+(1.733898+(0.621486-1.202223))+0-613.5-0.312884999999938</f>
        <v>1648.440276</v>
      </c>
      <c r="W344" s="3">
        <f>3685.2+(1134.5-2446.9)+(1.879452+(0.578595-1.247919))+0-666.5-0.339914999999932</f>
        <v>1707.1702129999999</v>
      </c>
      <c r="X344" s="3">
        <f>4647.6+(1061.3-3088.6)+(0+(0-0))+0-641.6-0</f>
        <v>1978.7000000000003</v>
      </c>
      <c r="Y344" s="3">
        <f>4943.4+(1034.2-3215)+(0+(0-0))+0-699-0</f>
        <v>2063.5999999999995</v>
      </c>
      <c r="Z344" s="3">
        <f>4480.8+(1022.6-2860.3)+(-2.285208+(-0.521526--1.458753))+0-640.8--0.326807999999935</f>
        <v>2001.2788270000001</v>
      </c>
      <c r="AA344" s="3">
        <f>3939.4+(945.9-2298.4)+(0+(0-0))+0-643.5-0</f>
        <v>1943.4</v>
      </c>
      <c r="AB344" s="3">
        <f>3598.1+(1044.9-2162.7)+(-7.340124+(-2.131596--4.411908))+0-638.3--1.30213199999997</f>
        <v>1838.2423200000003</v>
      </c>
      <c r="AC344" s="3">
        <f>3397.1+(1138.1-2190.2)+(-1.732521+(-0.580431--1.117002))+0-603--0.307529999999939</f>
        <v>1741.1115800000002</v>
      </c>
      <c r="AD344" s="2">
        <v>2025.6000000000001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2706+(1077-1528.7)+(-6.9003+(-2.74635--3.898185))+0-643.5--1.64092499999991</f>
        <v>1606.69246</v>
      </c>
      <c r="G345" s="3">
        <f>2304.5+(826.5-1018.4)+(-3.525885+(-1.264545--1.558152))+0-613.8--0.939114000000035</f>
        <v>1496.506836</v>
      </c>
      <c r="H345" s="3">
        <f>2399.9+(747.7-1088.7)+(0+(0-0))+0-621.2-0</f>
        <v>1437.7</v>
      </c>
      <c r="I345" s="3">
        <f>2542.3+(703.9-1147.4)+(1.296573+(0.358989-0.585174))+0-693.7-0.35378699999993</f>
        <v>1405.8166010000002</v>
      </c>
      <c r="J345" s="3">
        <f>2431.9+(690.1-1161)+(-4.961076+(-1.407804--2.36844))+0-553.4--1.12893599999998</f>
        <v>1404.7284960000002</v>
      </c>
      <c r="K345" s="3">
        <f>2717.8+(722.9-1278.5)+(1.386078+(0.368679-0.652035))+0-721-0.367709999999927</f>
        <v>1441.9350120000004</v>
      </c>
      <c r="L345" s="3">
        <f>2565.7+(1056.8-1482.1)+(1.308507+(0.538968-0.755871))+0-559.6-0.285395999999943</f>
        <v>1581.6062079999999</v>
      </c>
      <c r="M345" s="3">
        <f>2744.4+(1399.6-1830.9)+(-1.399644+(-0.713796--0.933759))+0-649.8--0.331397999999934</f>
        <v>1662.4517169999999</v>
      </c>
      <c r="N345" s="3">
        <f>2913.1+(1441.5-2157.5)+(0+(0-0))+0-520.3-0</f>
        <v>1676.8</v>
      </c>
      <c r="O345" s="3">
        <f>3435.3+(1473.1-2539.1)+(-1.752003+(-0.751281--1.294941))+0-654.8--0.333947999999934</f>
        <v>1713.6256050000004</v>
      </c>
      <c r="P345" s="3">
        <f>3792.5+(1254-2797.8)+(-5.802525+(-1.91862--4.280634))+0-535.4--0.819162000000031</f>
        <v>1710.6786509999999</v>
      </c>
      <c r="Q345" s="3">
        <f>3928.8+(1379-2905.3)+(-2.003688+(-0.70329--1.481703))+0-638.9--0.325838999999935</f>
        <v>1762.700564</v>
      </c>
      <c r="R345" s="3">
        <f>3871.4+(1340.7-2751.9)+(-1.974414+(-0.683757--1.403469))+0-715.5--0.364904999999927</f>
        <v>1743.8102029999995</v>
      </c>
      <c r="S345" s="3">
        <f>3966.7+(1196.8-2861.1)+(6.069051+(1.831104-4.377483))+0-621.2-0.950436000000036</f>
        <v>1683.7722359999996</v>
      </c>
      <c r="T345" s="3">
        <f>3961.2+(1283.3-2897.7)+(4.040424+(1.308966-2.955654))+0-708.2-0.722364000000113</f>
        <v>1640.2713719999999</v>
      </c>
      <c r="U345" s="3">
        <f>3863.6+(1127.2-2798.2)+(-3.940872+(-1.149744--2.854164))+0-559.1--0.570282000000089</f>
        <v>1631.8338300000005</v>
      </c>
      <c r="V345" s="3">
        <f>3972.2+(1021.2-2657.8)+(2.025822+(0.520812-1.355478))+0-677.4-0.345473999999931</f>
        <v>1659.0456819999993</v>
      </c>
      <c r="W345" s="3">
        <f>4144.3+(863.6-2595)+(2.113593+(0.440436-1.32345))+0-625.9-0.319208999999937</f>
        <v>1787.91137</v>
      </c>
      <c r="X345" s="3">
        <f>4853.6+(1020.3-3240.7)+(-2.475336+(-0.520353--1.652757))+0-654.4--0.333743999999934</f>
        <v>1977.7908120000006</v>
      </c>
      <c r="Y345" s="3">
        <f>4948.9+(1215.2-3391.9)+(-12.619695+(-3.09876--8.649345))+0-656.2--1.6733099999999</f>
        <v>2110.6041999999993</v>
      </c>
      <c r="Z345" s="3">
        <f>4496.3+(1284.9-3126.3)+(-9.172452+(-2.621196--6.377652))+0-655.9--1.33803599999997</f>
        <v>1994.9220399999997</v>
      </c>
      <c r="AA345" s="3">
        <f>4127.5+(1237.6-2752.2)+(-10.525125+(-3.15588--7.01811))+0-631.4--1.61006999999991</f>
        <v>1976.447175</v>
      </c>
      <c r="AB345" s="3">
        <f>3584.8+(1334.1-2427.6)+(-1.828248+(-0.680391--1.238076))+0-602.9--0.307478999999939</f>
        <v>1887.4369159999999</v>
      </c>
      <c r="AC345" s="3">
        <f>3390.1+(1130.2-2043.8)+(-5.186853+(-1.729206--3.127014))+0-695.2--1.06365600000004</f>
        <v>1778.574611</v>
      </c>
      <c r="AD345" s="2">
        <v>2070.6000000000004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3089.9+(1124.8-1948.6)+(-1.575849+(-0.573648--0.993786))+0-612.5--0.312374999999938</f>
        <v>1652.7566640000005</v>
      </c>
      <c r="G346" s="3">
        <f>2555.6+(1037.3-1359.1)+(-1.303356+(-0.529023--0.693141))+0-687.6--0.35067599999993</f>
        <v>1545.4114380000001</v>
      </c>
      <c r="H346" s="3">
        <f>2556.5+(507-1007.5)+(1.303815+(0.25857-0.513825))+0-568.1-0.289730999999942</f>
        <v>1488.6588290000004</v>
      </c>
      <c r="I346" s="3">
        <f>2567+(439.9-966)+(-2.61834+(-0.448698--0.98532))+0-592.7--0.604554000000095</f>
        <v>1446.7228360000001</v>
      </c>
      <c r="J346" s="3">
        <f>2673.1+(447-1061.7)+(2.726562+(0.45594-1.082934))+0-590.5-0.602310000000094</f>
        <v>1469.3972579999997</v>
      </c>
      <c r="K346" s="3">
        <f>2803+(555.6-1267.7)+(1.42953+(0.283356-0.646527))+0-576.1-0.293810999999942</f>
        <v>1515.5725480000001</v>
      </c>
      <c r="L346" s="3">
        <f>2344.6+(857.5-892.7)+(-7.174476+(-2.62395--2.731662))+0-724.8--2.21788800000008</f>
        <v>1579.7511239999997</v>
      </c>
      <c r="M346" s="3">
        <f>2711.1+(947.9-1429.8)+(1.382661+(0.483429-0.729198))+0-575-0.293249999999942</f>
        <v>1655.0436419999999</v>
      </c>
      <c r="N346" s="3">
        <f>3684.5+(1015.2-2268.1)+(0+(0-0))+0-737.7-0</f>
        <v>1693.9000000000003</v>
      </c>
      <c r="O346" s="3">
        <f>3876.3+(1194.9-2828.1)+(-3.953826+(-1.218798--2.884662))+0-499.1--0.50908200000008</f>
        <v>1742.2211200000006</v>
      </c>
      <c r="P346" s="3">
        <f>4209.3+(1240-2983.4)+(2.146743+(0.6324-1.521534))+0-724.9-0.369698999999926</f>
        <v>1741.8879099999999</v>
      </c>
      <c r="Q346" s="3">
        <f>4272.3+(1108.6-3030.5)+(-8.715492+(-2.261544--6.18222))+0-582.7--1.18870799999997</f>
        <v>1764.0938919999999</v>
      </c>
      <c r="R346" s="3">
        <f>3917.3+(1155.6-2633.2)+(-3.995646+(-1.178712--2.685864))+0-660.3--0.673506000000105</f>
        <v>1777.5850120000002</v>
      </c>
      <c r="S346" s="3">
        <f>3646+(944.3-2280.9)+(-9.2973+(-2.407965--5.816295))+0-586.4--1.49531999999991</f>
        <v>1718.6063499999996</v>
      </c>
      <c r="T346" s="3">
        <f>3590.9+(1189.4-2404.6)+(-3.662718+(-1.213188--2.452692))+0-678.7--0.692274000000108</f>
        <v>1695.2690600000003</v>
      </c>
      <c r="U346" s="3">
        <f>3164.4+(1112.2-2012.1)+(-9.683064+(-3.403332--6.157026))+0-644.8--1.97308800000007</f>
        <v>1614.7437180000002</v>
      </c>
      <c r="V346" s="3">
        <f>3250.4+(845.2-1845)+(0+(0-0))+0-602.6-0</f>
        <v>1648.0000000000005</v>
      </c>
      <c r="W346" s="3">
        <f>3513.9+(826-1923.6)+(-3.584178+(-0.84252--1.962072))+0-687.3--0.70104600000011</f>
        <v>1727.2364200000004</v>
      </c>
      <c r="X346" s="3">
        <f>4872.6+(678.5-2895.3)+(4.970052+(0.69207-2.953206))+0-679.2-0.692784000000108</f>
        <v>1978.6161320000001</v>
      </c>
      <c r="Y346" s="3">
        <f>4991.8+(712.4-2981.9)+(-7.637454+(-1.089972--4.562307))+0-679.8--1.04009400000004</f>
        <v>2039.3749750000004</v>
      </c>
      <c r="Z346" s="3">
        <f>4681.1+(797.1-2747.2)+(-9.549444+(-1.626084--5.604288))+0-661.3--1.34905199999997</f>
        <v>2065.4778120000005</v>
      </c>
      <c r="AA346" s="3">
        <f>4428.9+(585.5-2429)+(-2.258739+(-0.298605--1.23879))+0-670.4--0.341903999999932</f>
        <v>1914.0233499999995</v>
      </c>
      <c r="AB346" s="3">
        <f>4048.4+(574.6-2198.3)+(-4.129368+(-0.586092--2.242266))+0-608.1--0.620262000000097</f>
        <v>1814.7470679999999</v>
      </c>
      <c r="AC346" s="3">
        <f>3842.7+(543.6-1988.8)+(-1.959777+(-0.277236--1.014288))+0-689.1--0.35144099999993</f>
        <v>1707.528716</v>
      </c>
      <c r="AD346" s="2">
        <v>1969.1000000000004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3515.7+(548.1-1875.7)+(-3.586014+(-0.559062--1.913214))+0-596.9--0.608838000000095</f>
        <v>1589.5769759999998</v>
      </c>
      <c r="G347" s="3">
        <f>3043.8+(606.3-1453.7)+(-1.552338+(-0.309213--0.741387))+0-711.4--0.362813999999928</f>
        <v>1484.2426499999999</v>
      </c>
      <c r="H347" s="3">
        <f>2837.9+(434.7-1339.4)+(-2.894658+(-0.443394--1.366188))+0-500.7--0.51071400000008</f>
        <v>1431.0388499999999</v>
      </c>
      <c r="I347" s="3">
        <f>2655+(474.8-1099.3)+(1.35405+(0.242148-0.560643))+0-632-0.322319999999936</f>
        <v>1399.2132349999999</v>
      </c>
      <c r="J347" s="3">
        <f>2423.2+(495.7-944.6)+(-4.943328+(-1.011228--1.926984))+0-585--1.19339999999997</f>
        <v>1386.4658279999996</v>
      </c>
      <c r="K347" s="3">
        <f>2520.3+(436.7-912.8)+(1.285353+(0.222717-0.465528))+0-618.7-0.315536999999937</f>
        <v>1426.2270050000002</v>
      </c>
      <c r="L347" s="3">
        <f>2320+(604.5-809)+(-7.0992+(-1.84977--2.47554))+0-668.9--2.04683400000008</f>
        <v>1442.1734039999999</v>
      </c>
      <c r="M347" s="3">
        <f>2397+(590.9-884.8)+(-3.66741+(-0.904077--1.353744))+0-598.5--0.915705000000035</f>
        <v>1502.2979619999999</v>
      </c>
      <c r="N347" s="3">
        <f>2692.3+(1039.1-1486)+(-1.373073+(-0.529941--0.75786))+0-667.6--0.340475999999932</f>
        <v>1576.9953220000002</v>
      </c>
      <c r="O347" s="3">
        <f>3056.2+(1233.9-2064.8)+(-1.558662+(-0.629289--1.053048))+0-537--0.273869999999946</f>
        <v>1687.4389669999996</v>
      </c>
      <c r="P347" s="3">
        <f>3625.3+(1214-2445.4)+(-1.848903+(-0.61914--1.247154))+0-690.2--0.35200199999993</f>
        <v>1702.8311129999997</v>
      </c>
      <c r="Q347" s="3">
        <f>3962.3+(1063.3-2788.2)+(0+(0-0))+0-580.2-0</f>
        <v>1657.2000000000005</v>
      </c>
      <c r="R347" s="3">
        <f>3944+(1068.2-2725.1)+(-6.03432+(-1.634346--4.169403))+0-577--0.882810000000033</f>
        <v>1707.4835470000003</v>
      </c>
      <c r="S347" s="3">
        <f>3833.5+(954.9-2448.9)+(3.91017+(0.973998-2.497878))+0-704-0.718080000000112</f>
        <v>1637.1682099999998</v>
      </c>
      <c r="T347" s="3">
        <f>3377.2+(882.9-2100.6)+(0+(0-0))+0-562.4-0</f>
        <v>1597.1</v>
      </c>
      <c r="U347" s="3">
        <f>3297.8+(880.7-1942.2)+(-5.045634+(-1.347471--2.971566))+0-656.9--1.00505700000004</f>
        <v>1576.9835180000002</v>
      </c>
      <c r="V347" s="3">
        <f>3289+(920.4-1934.5)+(3.35478+(0.938808-1.97319))+0-641.5-0.654330000000102</f>
        <v>1635.0660679999999</v>
      </c>
      <c r="W347" s="3">
        <f>3546.2+(926.1-2043.1)+(1.808562+(0.472311-1.041981))+0-690.8-0.35230799999993</f>
        <v>1739.2865839999997</v>
      </c>
      <c r="X347" s="3">
        <f>5102.2+(852.2-3329.7)+(0+(0-0))+0-664.7-0</f>
        <v>1959.9999999999998</v>
      </c>
      <c r="Y347" s="3">
        <f>5502+(915.3-3729.2)+(-2.80602+(-0.466803--1.901892))+0-677.2--0.345371999999931</f>
        <v>2009.8744410000004</v>
      </c>
      <c r="Z347" s="3">
        <f>5006.9+(858.2-3263.7)+(-2.553519+(-0.437682--1.664487))+0-634.5--0.323594999999936</f>
        <v>1965.8968809999997</v>
      </c>
      <c r="AA347" s="3">
        <f>4555.2+(776.4-2911.8)+(-2.323152+(-0.395964--1.485018))+0-679.9--0.346748999999931</f>
        <v>1739.0126509999996</v>
      </c>
      <c r="AB347" s="3">
        <f>3944.1+(644.6-2247.2)+(-4.022982+(-0.657492--2.292144))+0-561.9--0.57313800000009</f>
        <v>1777.7848079999999</v>
      </c>
      <c r="AC347" s="3">
        <f>3228.6+(639.3-1588.8)+(1.646586+(0.326043-0.810288))+0-593.5-0.30268499999994</f>
        <v>1686.4596560000002</v>
      </c>
      <c r="AD347" s="2">
        <v>2010.0999999999992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2554.8+(711.1-1010.5)+(-6.51474+(-1.813305--2.576775))+0-678.6--1.7304299999999</f>
        <v>1572.7791599999998</v>
      </c>
      <c r="G348" s="3">
        <f>2609.6+(565.4-1050.9)+(2.661792+(0.576708-1.071918))+0-644.4-0.657288000000103</f>
        <v>1481.2092939999995</v>
      </c>
      <c r="H348" s="3">
        <f>2511.6+(531.6-918.4)+(-5.123664+(-1.084464--1.873536))+0-699--1.42595999999997</f>
        <v>1422.8913680000001</v>
      </c>
      <c r="I348" s="3">
        <f>2521.4+(444.3-943)+(-2.571828+(-0.453186--0.96186))+0-613.9--0.626178000000098</f>
        <v>1407.3630240000005</v>
      </c>
      <c r="J348" s="3">
        <f>2533.2+(459.8-907.5)+(1.291932+(0.234498-0.462825))+0-680.9-0.347258999999931</f>
        <v>1405.3163459999998</v>
      </c>
      <c r="K348" s="3">
        <f>2529.8+(495-932)+(0+(0-0))+0-644.7-0</f>
        <v>1448.1000000000001</v>
      </c>
      <c r="L348" s="3">
        <f>2584.8+(459.4-825.9)+(-1.318248+(-0.234294--0.421209))+0-688.3--0.35103299999993</f>
        <v>1529.2197000000003</v>
      </c>
      <c r="M348" s="3">
        <f>2867.9+(642.8-1276.7)+(2.925258+(0.655656-1.302234))+0-627.4-0.6399480000001</f>
        <v>1608.2387319999998</v>
      </c>
      <c r="N348" s="3">
        <f>3415.4+(1021.5-2082.7)+(0+(0-0))+0-676.1-0</f>
        <v>1678.1000000000004</v>
      </c>
      <c r="O348" s="3">
        <f>3874.9+(1258.3-2808.1)+(5.928597+(1.925199-4.296393))+0-573.7-0.877761000000033</f>
        <v>1754.0796420000001</v>
      </c>
      <c r="P348" s="3">
        <f>4390.5+(1213.7-3330.8)+(2.239155+(0.618987-1.698708))+0-471.2-0.240311999999952</f>
        <v>1803.1191219999998</v>
      </c>
      <c r="Q348" s="3">
        <f>4298+(1245.8-3084)+(0+(0-0))+0-631.5-0</f>
        <v>1828.3000000000002</v>
      </c>
      <c r="R348" s="3">
        <f>3974.7+(1067.3-2565.9)+(-2.027097+(-0.544323--1.308609))+0-632.1--0.322370999999936</f>
        <v>1843.0595599999995</v>
      </c>
      <c r="S348" s="3">
        <f>3242.1+(1026.9-1900.1)+(-3.306942+(-1.047438--1.938102))+0-599.7--0.611694000000096</f>
        <v>1767.3954160000001</v>
      </c>
      <c r="T348" s="3">
        <f>3111.5+(1073.2-1886)+(-3.17373+(-1.094664--1.92372))+0-587--0.598740000000094</f>
        <v>1709.954066</v>
      </c>
      <c r="U348" s="3">
        <f>3207.4+(1142.3-2029.4)+(-1.635774+(-0.582573--1.034994))+0-646.5--0.329714999999934</f>
        <v>1672.9463620000001</v>
      </c>
      <c r="V348" s="3">
        <f>3138.3+(1136.5-1972.1)+(-1.600533+(-0.579615--1.005771))+0-621.3--0.316862999999937</f>
        <v>1680.5424860000005</v>
      </c>
      <c r="W348" s="3">
        <f>3406.3+(912-2125.6)+(-1.737213+(-0.46512--1.084056))+0-621.6--0.317015999999937</f>
        <v>1570.2987390000003</v>
      </c>
      <c r="X348" s="3">
        <f>5038+(727.6-3162.1)+(5.13876+(0.742152-3.225342))+0-619.4-0.631788000000099</f>
        <v>1986.1237819999997</v>
      </c>
      <c r="Y348" s="3">
        <f>5502.7+(763.7-3523.3)+(-14.031885+(-1.947435--8.984415))+0-689.4--1.7579699999999</f>
        <v>2048.4630649999995</v>
      </c>
      <c r="Z348" s="3">
        <f>5166.3+(943.3-3513.5)+(-5.269626+(-0.962166--3.58377))+0-599.2--0.611184000000096</f>
        <v>1994.8631620000006</v>
      </c>
      <c r="AA348" s="3">
        <f>4684.3+(1037.3-3167.6)+(-11.944965+(-2.645115--8.07738))+0-573.1--1.46140499999992</f>
        <v>1975.8487049999999</v>
      </c>
      <c r="AB348" s="3">
        <f>4319.2+(971.3-2779.9)+(-11.01396+(-2.476815--7.088745))+0-682.2--1.7396099999999</f>
        <v>1823.7375799999991</v>
      </c>
      <c r="AC348" s="3">
        <f>4316.5+(983.2-2992)+(-2.201415+(-0.501432--1.52592))+0-586.2--0.298961999999941</f>
        <v>1720.6220349999996</v>
      </c>
      <c r="AD348" s="2">
        <v>2207.5999999999995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2933.8+(1165.5-1922.1)+(-5.984952+(-2.37762--3.921084))+0-601.3--1.22665199999997</f>
        <v>1572.6851640000004</v>
      </c>
      <c r="G349" s="3">
        <f>2436.2+(447.8-839)+(-2.484924+(-0.456756--0.85578))+0-579.9--0.591498000000092</f>
        <v>1463.6055979999999</v>
      </c>
      <c r="H349" s="3">
        <f>2526.2+(268.2-703.5)+(-3.865086+(-0.410346--1.076355))+0-675.3--1.03320900000004</f>
        <v>1413.4341319999994</v>
      </c>
      <c r="I349" s="3">
        <f>2360.5+(320-632.9)+(-4.81542+(-0.6528--1.291116))+0-655--1.33619999999997</f>
        <v>1389.7590959999998</v>
      </c>
      <c r="J349" s="3">
        <f>2405.4+(358.9-700.5)+(1.226754+(0.183039-0.357255))+0-673.8-0.343637999999932</f>
        <v>1390.7089000000003</v>
      </c>
      <c r="K349" s="3">
        <f>2404+(338.5-668.9)+(3.67812+(0.517905-1.023417))+0-642.3-0.982719000000037</f>
        <v>1433.4898889999997</v>
      </c>
      <c r="L349" s="3">
        <f>2480.7+(383-666)+(3.795471+(0.58599-1.01898))+0-658-1.00674000000004</f>
        <v>1542.0557409999999</v>
      </c>
      <c r="M349" s="3">
        <f>2626.2+(459.3-820.2)+(2.678724+(0.468486-0.836604))+0-651.3-0.664326000000104</f>
        <v>1615.6462799999997</v>
      </c>
      <c r="N349" s="3">
        <f>2873.7+(724.6-1463.3)+(0+(0-0))+0-567-0</f>
        <v>1568</v>
      </c>
      <c r="O349" s="3">
        <f>3419.3+(932.8-1814.3)+(-5.231529+(-1.427184--2.775879))+0-550.3--0.841959000000032</f>
        <v>1984.4591250000003</v>
      </c>
      <c r="P349" s="3">
        <f>3870.1+(762.9-2432.2)+(0+(0-0))+0-515-0</f>
        <v>1685.8000000000002</v>
      </c>
      <c r="Q349" s="3">
        <f>4458.6+(875.7-3051.3)+(-11.36943+(-2.233035--7.780815))+0-558.7--1.42468499999992</f>
        <v>1719.903035</v>
      </c>
      <c r="R349" s="3">
        <f>3894.1+(790-2368.5)+(-3.971982+(-0.8058--2.41587))+0-536.9--0.547638000000086</f>
        <v>1776.885726</v>
      </c>
      <c r="S349" s="3">
        <f>3596.2+(922.4-2260.4)+(3.668124+(0.940848-2.305608))+0-560.7-0.571914000000089</f>
        <v>1699.2314499999995</v>
      </c>
      <c r="T349" s="3">
        <f>3388.2+(946.3-2170)+(-6.911928+(-1.930452--4.4268))+0-459.9--0.93819599999998</f>
        <v>1701.1226160000001</v>
      </c>
      <c r="U349" s="3">
        <f>3535.5+(1011.7-2162)+(0+(0-0))+0-742.9-0</f>
        <v>1642.2999999999997</v>
      </c>
      <c r="V349" s="3">
        <f>3660.1+(861.7-2289.1)+(-1.866651+(-0.439467--1.167441))+0-579.1--0.295340999999941</f>
        <v>1652.756664</v>
      </c>
      <c r="W349" s="3">
        <f>4051.4+(955.8-2579.7)+(0+(0-0))+0-720.7-0</f>
        <v>1706.8</v>
      </c>
      <c r="X349" s="3">
        <f>5223+(918.1-3656.5)+(0+(0-0))+0-600.1-0</f>
        <v>1884.5</v>
      </c>
      <c r="Y349" s="3">
        <f>5628.5+(968.3-3860.2)+(-2.870535+(-0.493833--1.968702))+0-672.8--0.343127999999932</f>
        <v>2062.7474620000007</v>
      </c>
      <c r="Z349" s="3">
        <f>5248.9+(988.7-3537.1)+(-13.384695+(-2.521185--9.019605))+0-638--1.62689999999991</f>
        <v>2057.2406249999999</v>
      </c>
      <c r="AA349" s="3">
        <f>4811.4+(1050.6-3309.2)+(0+(0-0))+0-577.5-0</f>
        <v>1975.2999999999997</v>
      </c>
      <c r="AB349" s="3">
        <f>4145.1+(1138-2755.1)+(-10.570005+(-2.9019--7.025505))+0-691.7--1.7638349999999</f>
        <v>1831.6174350000006</v>
      </c>
      <c r="AC349" s="3">
        <f>3848+(1096.1-2495.7)+(-9.8124+(-2.795055--6.364035))+0-688.9--1.7566949999999</f>
        <v>1755.013275</v>
      </c>
      <c r="AD349" s="2">
        <v>1822.2000000000007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2803.2+(963.8-1437.1)+(-2.859264+(-0.983076--1.465842))+0-647.5--0.660450000000103</f>
        <v>1680.6839519999996</v>
      </c>
      <c r="G350" s="3">
        <f>2462.3+(550.8-799.5)+(1.255773+(0.280908-0.407745))+0-708.1-0.361130999999928</f>
        <v>1506.2678050000006</v>
      </c>
      <c r="H350" s="3">
        <f>2564.6+(447.9-935.4)+(0+(0-0))+0-648.2-0</f>
        <v>1428.8999999999999</v>
      </c>
      <c r="I350" s="3">
        <f>2235+(463.3-689.4)+(-3.41955+(-0.708849--1.054782))+0-614.2--0.939726000000036</f>
        <v>1392.5661090000001</v>
      </c>
      <c r="J350" s="3">
        <f>2346+(460.7-866.3)+(2.39292+(0.469914-0.883626))+0-566.3-0.57762600000009</f>
        <v>1375.5015820000001</v>
      </c>
      <c r="K350" s="3">
        <f>2422.9+(545.3-934.1)+(-2.471358+(-0.556206--0.952782))+0-660.4--0.673608000000105</f>
        <v>1372.2988260000002</v>
      </c>
      <c r="L350" s="3">
        <f>2396.2+(583.3-927)+(-2.444124+(-0.594966--0.94554))+0-540.7--0.551514000000086</f>
        <v>1510.2579639999999</v>
      </c>
      <c r="M350" s="3">
        <f>2643.7+(877.3-1294)+(2.696574+(0.894846-1.31988))+0-659.9-0.673098000000105</f>
        <v>1568.6984419999999</v>
      </c>
      <c r="N350" s="3">
        <f>2929.3+(882.4-1780.5)+(0+(0-0))+0-515.6-0</f>
        <v>1515.6000000000004</v>
      </c>
      <c r="O350" s="3">
        <f>3497.1+(1060.5-2342.2)+(0+(0-0))+0-572.7-0</f>
        <v>1642.7</v>
      </c>
      <c r="P350" s="3">
        <f>3891+(773.6-2449.9)+(1.98441+(0.394536-1.249449))+0-510.1-0.260150999999948</f>
        <v>1705.4693459999999</v>
      </c>
      <c r="Q350" s="3">
        <f>4037.4+(781.7-2533)+(6.177222+(1.196001-3.87549))+0-571.1-0.873783000000033</f>
        <v>1717.6239500000006</v>
      </c>
      <c r="R350" s="3">
        <f>3741.1+(802.3-2218)+(-7.631844+(-1.636692--4.52472))+0-555.1--1.13240399999998</f>
        <v>1766.6885879999995</v>
      </c>
      <c r="S350" s="3">
        <f>3521.1+(804.3-2017.9)+(-3.591522+(-0.820386--2.058258))+0-557.5--0.568650000000089</f>
        <v>1748.2150000000001</v>
      </c>
      <c r="T350" s="3">
        <f>3670.4+(822.6-2226.9)+(0+(0-0))+0-575.3-0</f>
        <v>1690.8</v>
      </c>
      <c r="U350" s="3">
        <f>3540.6+(910.4-2179.4)+(1.805706+(0.464304-1.111494))+0-583.2-0.297431999999941</f>
        <v>1689.261084</v>
      </c>
      <c r="V350" s="3">
        <f>3458.5+(1150.5-2345.3)+(-1.763835+(-0.586755--1.196103))+0-572--0.291719999999942</f>
        <v>1690.837233</v>
      </c>
      <c r="W350" s="3">
        <f>4011.2+(828.1-2494.7)+(-2.045712+(-0.422331--1.272297))+0-588--0.29987999999994</f>
        <v>1755.7041340000001</v>
      </c>
      <c r="X350" s="3">
        <f>5220.8+(800.3-3438.3)+(-5.325216+(-0.816306--3.507066))+0-607.4--0.619548000000097</f>
        <v>1973.3850920000004</v>
      </c>
      <c r="Y350" s="3">
        <f>5653.9+(735-3728.2)+(-8.650467+(-1.12455--5.704146))+0-612.8--0.937584000000035</f>
        <v>2044.766713</v>
      </c>
      <c r="Z350" s="3">
        <f>5555.9+(709.4-3689.6)+(0+(0-0))+0-609-0</f>
        <v>1966.6999999999998</v>
      </c>
      <c r="AA350" s="3">
        <f>4825.8+(991.5-3337.4)+(0+(0-0))+0-580.5-0</f>
        <v>1899.4</v>
      </c>
      <c r="AB350" s="3">
        <f>4221.2+(1066.8-2873)+(-10.76406+(-2.72034--7.32615))+0-620.2--1.58150999999991</f>
        <v>1790.22326</v>
      </c>
      <c r="AC350" s="3">
        <f>3538+(987.1-2282.1)+(-14.43504+(-4.027368--9.310968))+0-568--2.31743999999995</f>
        <v>1668.1659999999999</v>
      </c>
      <c r="AD350" s="2">
        <v>2084.1999999999998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2905.9+(883.5-1627.7)+(-5.928036+(-1.80234--3.320508))+0-616.4--1.25745599999997</f>
        <v>1542.1475879999996</v>
      </c>
      <c r="G351" s="3">
        <f>2163.5+(814.4-963.9)+(-3.310155+(-1.246032--1.474767))+0-579.8--0.887094000000033</f>
        <v>1432.005674</v>
      </c>
      <c r="H351" s="3">
        <f>2063+(862.8-937.5)+(-4.20852+(-1.760112--1.9125))+0-614.2--1.25296799999997</f>
        <v>1371.296836</v>
      </c>
      <c r="I351" s="3">
        <f>2037.6+(746.9-927.2)+(-2.078352+(-0.761838--0.945744))+0-510.8--0.521016000000081</f>
        <v>1345.1265699999999</v>
      </c>
      <c r="J351" s="3">
        <f>2153.9+(681.2-904.9)+(4.393956+(1.389648-1.845996))+0-581.9-1.18707599999997</f>
        <v>1351.0505320000004</v>
      </c>
      <c r="K351" s="3">
        <f>2184.3+(881.2-1151.8)+(0+(0-0))+0-544.6-0</f>
        <v>1369.1000000000004</v>
      </c>
      <c r="L351" s="3">
        <f>2278.2+(1127.6-1266.8)+(3.485646+(1.725228-1.938204))+0-574-0.878220000000033</f>
        <v>1567.3944499999998</v>
      </c>
      <c r="M351" s="3">
        <f>2358.8+(1347.2-1613.8)+(1.202988+(0.687072-0.823038))+0-573.4-0.292433999999942</f>
        <v>1519.5745880000004</v>
      </c>
      <c r="N351" s="3">
        <f>3017.4+(1586.4-2468.8)+(1.538874+(0.809064-1.259088))+0-558.1-0.284630999999943</f>
        <v>1577.7042190000002</v>
      </c>
      <c r="O351" s="3">
        <f>3531.2+(1789.6-3274.1)+(3.601824+(1.825392-3.339582))+0-431.7-0.440334000000069</f>
        <v>1616.6472999999996</v>
      </c>
      <c r="P351" s="3">
        <f>3906+(1709.6-3493.5)+(0+(0-0))+0-454.7-0</f>
        <v>1667.3999999999999</v>
      </c>
      <c r="Q351" s="3">
        <f>3964.6+(1688.9-3448.5)+(-6.065838+(-2.584017--5.276205))+0-490.7--0.750771000000028</f>
        <v>1711.6771209999999</v>
      </c>
      <c r="R351" s="3">
        <f>3648.2+(1559.5-3052.9)+(-11.163492+(-4.77207--9.341874))+0-431.2--1.31947200000005</f>
        <v>1718.3257839999999</v>
      </c>
      <c r="S351" s="3">
        <f>3216.1+(1528.2-2547)+(3.280422+(1.558764-2.59794))+0-470.2-0.479604000000075</f>
        <v>1728.8616420000001</v>
      </c>
      <c r="T351" s="3">
        <f>3005.4+(1808.5-2695.5)+(0+(0-0))+0-449.9-0</f>
        <v>1668.5</v>
      </c>
      <c r="U351" s="3">
        <f>2887.6+(1829.1-2576.3)+(-1.472676+(-0.932841--1.313913))+0-474.8--0.242147999999952</f>
        <v>1664.7505439999995</v>
      </c>
      <c r="V351" s="3">
        <f>3172.6+(1706.7-2662.7)+(-1.618026+(-0.870417--1.357977))+0-495.3--0.25260299999995</f>
        <v>1720.4221370000002</v>
      </c>
      <c r="W351" s="3">
        <f>3874.9+(1532.7-3075.3)+(-1.976199+(-0.781677--1.568403))+0-513.8--0.262037999999948</f>
        <v>1817.5725650000002</v>
      </c>
      <c r="X351" s="3">
        <f>4680.1+(1519.1-3650.2)+(-2.386851+(-0.774741--1.861602))+0-542.1--0.276470999999945</f>
        <v>2005.8764810000005</v>
      </c>
      <c r="Y351" s="3">
        <f>4806.8+(1604.5-3795.2)+(-2.451468+(-0.818295--1.935552))+0-555.3--0.283202999999944</f>
        <v>2059.7489920000007</v>
      </c>
      <c r="Z351" s="3">
        <f>4540.3+(1622.4-3540)+(-6.946659+(-2.482272--5.4162))+0-635.1--0.971703000000037</f>
        <v>1984.5589720000005</v>
      </c>
      <c r="AA351" s="3">
        <f>3729.5+(1690.3-3049.8)+(-7.60818+(-3.448212--6.221592))+0-461.7--0.94186799999998</f>
        <v>1904.4070679999998</v>
      </c>
      <c r="AB351" s="3">
        <f>3267.4+(1725.8-2519.1)+(-8.33187+(-4.40079--6.423705))+0-667--1.7008499999999</f>
        <v>1802.4918950000003</v>
      </c>
      <c r="AC351" s="3">
        <f>3181.2+(1455.2-2433.9)+(-4.867236+(-2.226456--3.723867))+0-504.6--0.772038000000029</f>
        <v>1695.3022129999999</v>
      </c>
      <c r="AD351" s="2">
        <v>1790.0999999999997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2638.2+(1194-1638.3)+(-2.690964+(-1.21788--1.671066))+0-616.6--0.628932000000098</f>
        <v>1575.6911539999996</v>
      </c>
      <c r="G352" s="3">
        <f>2248.5+(1176.5-1451.1)+(-4.58694+(-2.40006--2.960244))+0-527.9--1.07691599999998</f>
        <v>1443.0501600000002</v>
      </c>
      <c r="H352" s="3">
        <f>2141.8+(1216.2-1408.1)+(3.276954+(1.860786-2.154393))+0-555.4-0.849762000000032</f>
        <v>1396.6335850000003</v>
      </c>
      <c r="I352" s="3">
        <f>2026.2+(1249.5-1335.9)+(1.033362+(0.637245-0.681309))+0-594-0.30293999999994</f>
        <v>1346.4863579999999</v>
      </c>
      <c r="J352" s="3">
        <f>2071.5+(1246.6-1354.3)+(4.22586+(2.543064-2.762772))+0-607.3-1.23889199999997</f>
        <v>1359.2672599999999</v>
      </c>
      <c r="K352" s="3">
        <f>2123.1+(1204.9-1347.4)+(-5.413905+(-3.072495--3.43587))+0-599.2--1.52795999999991</f>
        <v>1377.8774299999998</v>
      </c>
      <c r="L352" s="3">
        <f>2152.3+(1214.3-1293.3)+(0+(0-0))+0-605-0</f>
        <v>1468.3000000000002</v>
      </c>
      <c r="M352" s="3">
        <f>2244.9+(1591.3-1701.7)+(0+(0-0))+0-558-0</f>
        <v>1576.5</v>
      </c>
      <c r="N352" s="3">
        <f>2930.9+(1937.3-2594.2)+(4.484277+(2.964069-3.969126))+0-588.9-0.901017000000034</f>
        <v>1687.6782029999999</v>
      </c>
      <c r="O352" s="3">
        <f>3922.5+(1947.2-3559.6)+(6.001425+(2.979216-5.446188))+0-636.3-0.973539000000037</f>
        <v>1676.3609140000005</v>
      </c>
      <c r="P352" s="3">
        <f>4081.8+(1871.4-3716.3)+(2.081718+(0.954414-1.895313))+0-510.4-0.260303999999948</f>
        <v>1727.3805150000003</v>
      </c>
      <c r="Q352" s="3">
        <f>4039.7+(1837.4-3539.4)+(-6.180741+(-2.811222--5.415282))+0-620.8--0.949824000000036</f>
        <v>1714.2731429999999</v>
      </c>
      <c r="R352" s="3">
        <f>3792.1+(1653.8-3213.5)+(-5.801913+(-2.530314--4.916655))+0-462.1--0.707013000000027</f>
        <v>1767.5914409999998</v>
      </c>
      <c r="S352" s="3">
        <f>3638.7+(1619.5-2831.3)+(-5.567211+(-2.477835--4.331889))+0-685.6--1.04896800000004</f>
        <v>1738.6358109999996</v>
      </c>
      <c r="T352" s="3">
        <f>3274.5+(1630.3-2779.4)+(-1.669995+(-0.831453--1.417494))+0-462.3--0.235772999999953</f>
        <v>1662.2518189999994</v>
      </c>
      <c r="U352" s="3">
        <f>3039.8+(1641.2-2511.1)+(-3.100596+(-1.674024--2.561322))+0-526.7--0.537234000000084</f>
        <v>1641.5239360000005</v>
      </c>
      <c r="V352" s="3">
        <f>2899.9+(1860.6-2537.1)+(0+(0-0))+0-547.7-0</f>
        <v>1675.7</v>
      </c>
      <c r="W352" s="3">
        <f>3341.8+(1698.6-2799.4)+(0+(0-0))+0-504.4-0</f>
        <v>1736.6</v>
      </c>
      <c r="X352" s="3">
        <f>4111.2+(1749-3234)+(-4.193424+(-1.78398--3.29868))+0-684.5--0.698190000000109</f>
        <v>1939.719466</v>
      </c>
      <c r="Y352" s="3">
        <f>4394.1+(1810.6-3534)+(-15.686937+(-6.463842--12.61638))+0-630.9--2.25231300000001</f>
        <v>2032.517914</v>
      </c>
      <c r="Z352" s="3">
        <f>4025.4+(1475.8-2827.8)+(0+(0-0))+0-697.8-0</f>
        <v>1975.5999999999997</v>
      </c>
      <c r="AA352" s="3">
        <f>3951.1+(1218.4-2679.6)+(-12.090366+(-3.728304--8.199576))+0-587.9--1.79897400000007</f>
        <v>1896.1798799999999</v>
      </c>
      <c r="AB352" s="3">
        <f>3931.2+(1283.2-2791.9)+(-16.039296+(-5.235456--11.390952))+0-608.8--2.48390399999995</f>
        <v>1806.3001039999999</v>
      </c>
      <c r="AC352" s="3">
        <f>3475.3+(1342.4-2464.9)+(-7.089612+(-2.738496--5.028396))+0-643.6--1.31294399999997</f>
        <v>1705.7132320000003</v>
      </c>
      <c r="AD352" s="2">
        <v>2058.9000000000005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2184.1+(1416.1-1553.2)+(-1.113891+(-0.722211--0.792132))+0-658.6--0.335885999999933</f>
        <v>1387.6919159999998</v>
      </c>
      <c r="G353" s="3">
        <f>2011.2+(1167.2-1039.4)+(-2.051424+(-1.190544--1.060188))+0-672.5--0.685950000000107</f>
        <v>1465.0041700000002</v>
      </c>
      <c r="H353" s="3">
        <f>2030.5+(1046.2-989.9)+(1.035555+(0.533562-0.504849))+0-675.8-0.344657999999931</f>
        <v>1411.7196100000003</v>
      </c>
      <c r="I353" s="3">
        <f>2057.3+(988-1051)+(1.049223+(0.50388-0.53601))+0-614.1-0.313190999999938</f>
        <v>1380.9039020000002</v>
      </c>
      <c r="J353" s="3">
        <f>2099.7+(967.3-1083.2)+(3.212541+(1.479969-1.657296))+0-601.8-0.920754000000035</f>
        <v>1384.1144599999998</v>
      </c>
      <c r="K353" s="3">
        <f>2046.7+(1036-997.3)+(-3.131451+(-1.58508--1.525869))+0-671.8--1.02785400000004</f>
        <v>1411.4371920000001</v>
      </c>
      <c r="L353" s="3">
        <f>2088.7+(1022.6-1003.2)+(-1.065237+(-0.521526--0.511632))+0-597.2--0.304571999999939</f>
        <v>1510.1294409999998</v>
      </c>
      <c r="M353" s="3">
        <f>2542.3+(1171.4-1430.6)+(2.593146+(1.194828-1.459212))+0-713.9-0.728178000000114</f>
        <v>1570.8005840000003</v>
      </c>
      <c r="N353" s="3">
        <f>2708.4+(1353.9-1850.3)+(1.381284+(0.690489-0.943653))+0-559.1-0.285140999999943</f>
        <v>1653.7429790000001</v>
      </c>
      <c r="O353" s="3">
        <f>3298.3+(1760.5-2693.1)+(0+(0-0))+0-669-0</f>
        <v>1696.7000000000003</v>
      </c>
      <c r="P353" s="3">
        <f>3848.8+(1718.6-3251.2)+(0+(0-0))+0-552.8-0</f>
        <v>1763.4000000000003</v>
      </c>
      <c r="Q353" s="3">
        <f>3907.2+(1696.3-3141.2)+(-1.992672+(-0.865113--1.602012))+0-651.7--0.332366999999934</f>
        <v>1809.6765940000003</v>
      </c>
      <c r="R353" s="3">
        <f>3808.8+(1422.4-2834.5)+(-7.769952+(-2.901696--5.78238))+0-609.5--1.24337999999997</f>
        <v>1783.5541120000003</v>
      </c>
      <c r="S353" s="3">
        <f>3126.8+(1301.7-2059.7)+(-1.594668+(-0.663867--1.050447))+0-642.1--0.327470999999935</f>
        <v>1725.8193830000002</v>
      </c>
      <c r="T353" s="3">
        <f>3022.6+(1309-1998.4)+(1.541526+(0.66759-1.019184))+0-681.2-0.347411999999931</f>
        <v>1652.8425200000001</v>
      </c>
      <c r="U353" s="3">
        <f>2998.6+(1319-2056.7)+(3.058572+(1.34538-2.097834))+0-632.8-0.645456000000101</f>
        <v>1629.7606619999999</v>
      </c>
      <c r="V353" s="3">
        <f>2892.3+(1494.6-2065.3)+(-4.425219+(-2.286738--3.159909))+0-664--1.01592000000004</f>
        <v>1655.0638719999999</v>
      </c>
      <c r="W353" s="3">
        <f>2920.3+(1432.1-1956.6)+(5.957412+(2.921484-3.991464))+0-649.1-1.32416399999997</f>
        <v>1750.2632680000004</v>
      </c>
      <c r="X353" s="3">
        <f>3951.7+(1489.6-2762.3)+(-4.030734+(-1.519392--2.817546))+0-701.5--0.715530000000112</f>
        <v>1975.4829499999998</v>
      </c>
      <c r="Y353" s="3">
        <f>4499.5+(1557.9-3333.1)+(-9.17898+(-3.178116--6.799524))+0-638.8--1.30315199999997</f>
        <v>2081.2455800000002</v>
      </c>
      <c r="Z353" s="3">
        <f>4517.7+(1598.5-3397.7)+(-9.216108+(-3.26094--6.931308))+0-688.7--1.40494799999997</f>
        <v>2025.6592079999998</v>
      </c>
      <c r="AA353" s="3">
        <f>4383.5+(1550.5-3293.1)+(6.706755+(2.372265-5.038443))+0-679.1-1.03902300000004</f>
        <v>1964.8015540000004</v>
      </c>
      <c r="AB353" s="3">
        <f>3986.8+(1592.2-3077.6)+(-10.16634+(-4.06011--7.84788))+0-615.8--1.57028999999991</f>
        <v>1880.7917200000006</v>
      </c>
      <c r="AC353" s="3">
        <f>3316.7+(1597-2502.2)+(0+(0-0))+0-623.2-0</f>
        <v>1788.3</v>
      </c>
      <c r="AD353" s="2">
        <v>2100.9999999999995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2519+(1335-1533.3)+(-2.56938+(-1.3617--1.563966))+0-657.1--0.670242000000105</f>
        <v>1661.9031279999999</v>
      </c>
      <c r="G354" s="3">
        <f>1937+(1372.3-1101.5)+(0+(0-0))+0-631.6-0</f>
        <v>1576.2000000000003</v>
      </c>
      <c r="H354" s="3">
        <f>1850.4+(1209-863)+(0+(0-0))+0-683-0</f>
        <v>1513.4</v>
      </c>
      <c r="I354" s="3">
        <f>1663.1+(858.4-463)+(-4.240905+(-2.18892--1.18065))+0-564.4--1.43921999999992</f>
        <v>1490.290045</v>
      </c>
      <c r="J354" s="3">
        <f>2014.6+(829.2-746.4)+(-1.027446+(-0.422892--0.380664))+0-613.5--0.312884999999938</f>
        <v>1483.1432110000003</v>
      </c>
      <c r="K354" s="3">
        <f>1924.1+(845.4-656.1)+(0+(0-0))+0-594.6-0</f>
        <v>1518.7999999999997</v>
      </c>
      <c r="L354" s="3">
        <f>1934.1+(925.8-585.5)+(-1.972782+(-0.944316--0.59721))+0-712.3--0.726546000000113</f>
        <v>1560.5066579999998</v>
      </c>
      <c r="M354" s="3">
        <f>1818+(920.4-577.6)+(0.92718+(0.469404-0.294576))+0-549-0.279989999999944</f>
        <v>1612.622018</v>
      </c>
      <c r="N354" s="3">
        <f>1965.4+(1040.6-753.3)+(-3.007062+(-1.592118--1.152549))+0-588.3--0.900099000000034</f>
        <v>1661.853468</v>
      </c>
      <c r="O354" s="3">
        <f>2818.2+(1024.9-1628.3)+(4.311846+(1.568097-2.491299))+0-514.7-0.78749100000003</f>
        <v>1702.7011530000002</v>
      </c>
      <c r="P354" s="3">
        <f>2922.5+(1104.3-1576.7)+(0+(0-0))+0-704.6-0</f>
        <v>1745.5</v>
      </c>
      <c r="Q354" s="3">
        <f>3342.7+(990.3-2026)+(3.409554+(1.010106-2.06652))+0-544.5-0.555390000000087</f>
        <v>1764.2977500000002</v>
      </c>
      <c r="R354" s="3">
        <f>3018.5+(1174-1748)+(-1.539435+(-0.59874--0.89148))+0-705.3--0.359702999999928</f>
        <v>1738.3130080000001</v>
      </c>
      <c r="S354" s="3">
        <f>2417.2+(1274.7-1451.8)+(-4.931088+(-2.600388--2.961672))+0-595.9--1.21563599999997</f>
        <v>1640.8458319999995</v>
      </c>
      <c r="T354" s="3">
        <f>2102.5+(1380.8-1189.1)+(-2.14455+(-1.408416--1.212882))+0-660.5--0.673710000000105</f>
        <v>1632.0336259999999</v>
      </c>
      <c r="U354" s="3">
        <f>2079.4+(1353.5-1254.3)+(-1.060494+(-0.690285--0.639693))+0-571.8--0.291617999999942</f>
        <v>1605.9805320000005</v>
      </c>
      <c r="V354" s="3">
        <f>2202.7+(1393.1-1203.4)+(-2.246754+(-1.420962--1.227468))+0-697.2--0.711144000000111</f>
        <v>1693.4708959999998</v>
      </c>
      <c r="W354" s="3">
        <f>2342.9+(1350.8-1415.7)+(-3.584637+(-2.066724--2.166021))+0-574.9--0.879597000000033</f>
        <v>1700.4942569999998</v>
      </c>
      <c r="X354" s="3">
        <f>4085.2+(1313.6-2909.1)+(6.250356+(2.009808-4.450923))+0-589.8-0.902394000000034</f>
        <v>1902.8068469999998</v>
      </c>
      <c r="Y354" s="3">
        <f>4545.1+(1425.8-3356.9)+(-4.636002+(-1.454316--3.424038))+0-569.1--0.580482000000091</f>
        <v>2042.8142020000003</v>
      </c>
      <c r="Z354" s="3">
        <f>4405.9+(1454.5-3214.5)+(-8.988036+(-2.96718--6.55758))+0-641.6--1.30886399999997</f>
        <v>2000.2112279999994</v>
      </c>
      <c r="AA354" s="3">
        <f>4277.3+(1412.2-3180.4)+(-8.725692+(-2.880888--6.488016))+0-566--1.15463999999998</f>
        <v>1939.1360760000005</v>
      </c>
      <c r="AB354" s="3">
        <f>4026.3+(1414.7-2969.7)+(-12.320478+(-4.328982--9.087282))+0-636.7--1.94830200000007</f>
        <v>1828.986124</v>
      </c>
      <c r="AC354" s="3">
        <f>3569+(1224.1-2515.4)+(-7.28076+(-2.497164--5.131416))+0-532.9--1.08711599999998</f>
        <v>1741.2406079999998</v>
      </c>
      <c r="AD354" s="2">
        <v>2115.4000000000005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2552.4+(983.9-1257.9)+(-3.905172+(-1.505367--1.924587))+0-655.5--1.00291500000004</f>
        <v>1620.4169630000001</v>
      </c>
      <c r="G355" s="3">
        <f>1796+(815.2-563.5)+(0+(0-0))+0-532.4-0</f>
        <v>1515.3000000000002</v>
      </c>
      <c r="H355" s="3">
        <f>1835.6+(836.4-494.7)+(-2.808468+(-1.279692--0.756891))+0-714.4--1.09303200000004</f>
        <v>1460.6617629999998</v>
      </c>
      <c r="I355" s="3">
        <f>1759.9+(788.4-449.8)+(0.897549+(0.402084-0.229398))+0-651.4-0.332213999999934</f>
        <v>1447.838021</v>
      </c>
      <c r="J355" s="3">
        <f>1979.9+(737.1-575.1)+(5.048745+(1.879605-1.466505))+0-708.6-1.8069299999999</f>
        <v>1436.954915</v>
      </c>
      <c r="K355" s="3">
        <f>1951.9+(741.2-542.2)+(2.986407+(1.134036-0.829566))+0-663-1.01439000000004</f>
        <v>1490.176487</v>
      </c>
      <c r="L355" s="3">
        <f>1825.9+(963.5-504.9)+(-0.931209+(-0.491385--0.257499))+0-674.8--0.344147999999932</f>
        <v>1608.8790530000001</v>
      </c>
      <c r="M355" s="3">
        <f>2038.3+(1051.8-815.5)+(2.079066+(1.072836-0.83181))+0-595.8-0.607716000000095</f>
        <v>1680.5123759999999</v>
      </c>
      <c r="N355" s="3">
        <f>2744.2+(1473.2-1856.9)+(1.399542+(0.751332-0.947019))+0-635.9-0.324308999999935</f>
        <v>1725.4795460000003</v>
      </c>
      <c r="O355" s="3">
        <f>4108.8+(1319.7-3057)+(6.286464+(2.019141-4.67721))+0-604.7-0.925191000000035</f>
        <v>1769.5032040000001</v>
      </c>
      <c r="P355" s="3">
        <f>4784.1+(1260.2-3626.3)+(7.319673+(1.928106-5.548239))+0-636.1-0.973233000000037</f>
        <v>1784.6263070000002</v>
      </c>
      <c r="Q355" s="3">
        <f>4466.7+(1248.4-3324.9)+(-11.390085+(-3.18342--8.478495))+0-584.8--1.49123999999992</f>
        <v>1800.7962299999997</v>
      </c>
      <c r="R355" s="3">
        <f>3528.7+(1263.4-2276)+(0+(0-0))+0-632.8-0</f>
        <v>1883.3</v>
      </c>
      <c r="S355" s="3">
        <f>3504.2+(1189.8-2362)+(0+(0-0))+0-525.8-0</f>
        <v>1806.2</v>
      </c>
      <c r="T355" s="3">
        <f>4131+(1151.4-2892.7)+(0+(0-0))+0-637.1-0</f>
        <v>1752.6000000000004</v>
      </c>
      <c r="U355" s="3">
        <f>3922.7+(1138.5-2835.6)+(4.001154+(1.16127-2.892312))+0-561.8-0.57303600000009</f>
        <v>1665.4970760000001</v>
      </c>
      <c r="V355" s="3">
        <f>4003.8+(1139.2-2773.1)+(6.125814+(1.742976-4.242843))+0-678.9-1.03871700000004</f>
        <v>1693.5872300000003</v>
      </c>
      <c r="W355" s="3">
        <f>4023.1+(1143.9-2863)+(4.103562+(1.166778-2.92026))+0-625.8-0.6383160000001</f>
        <v>1679.9117640000002</v>
      </c>
      <c r="X355" s="3">
        <f>5172.6+(1053.7-3529.8)+(5.276052+(1.074774-3.600396))+0-644.6-0.657492000000103</f>
        <v>2053.9929379999999</v>
      </c>
      <c r="Y355" s="3">
        <f>5337.5+(1086.4-3654.3)+(0+(0-0))+0-672.1-0</f>
        <v>2097.5</v>
      </c>
      <c r="Z355" s="3">
        <f>4626.1+(1186.3-3163.1)+(0+(0-0))+0-661.5-0</f>
        <v>1987.8000000000002</v>
      </c>
      <c r="AA355" s="3">
        <f>4248.7+(1238.8-2902.5)+(2.166837+(0.631788-1.480275))+0-621.2-0.316811999999937</f>
        <v>1964.8015379999999</v>
      </c>
      <c r="AB355" s="3">
        <f>3859+(912.9-2334.1)+(-5.90427+(-1.396737--3.571173))+0-585.3--0.895509000000034</f>
        <v>1849.665675</v>
      </c>
      <c r="AC355" s="3">
        <f>3799.6+(676.8-2128.9)+(5.813388+(1.035504-3.257217))+0-625.7-0.957321000000036</f>
        <v>1724.434354</v>
      </c>
      <c r="AD355" s="2">
        <v>2087.7000000000007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2677.2+(635.9-1077)+(-5.461488+(-1.297236--2.19708))+0-643.3--1.31233199999997</f>
        <v>1589.550688</v>
      </c>
      <c r="G356" s="3">
        <f>1905.3+(993.8-761.3)+(-3.886812+(-2.027352--1.553052))+0-656.6--1.33946399999997</f>
        <v>1478.1783520000001</v>
      </c>
      <c r="H356" s="3">
        <f>1936+(826.4-690.1)+(-2.96208+(-1.264392--1.055853))+0-648.4--0.992052000000037</f>
        <v>1421.7214330000002</v>
      </c>
      <c r="I356" s="3">
        <f>1960.8+(823.8-692.7)+(-2.000016+(-0.840276--0.706554))+0-680.2--0.693804000000109</f>
        <v>1410.2600659999996</v>
      </c>
      <c r="J356" s="3">
        <f>1809.6+(807-609.3)+(-0.922896+(-0.41157--0.310743))+0-601.7--0.306866999999939</f>
        <v>1404.8831439999999</v>
      </c>
      <c r="K356" s="3">
        <f>1897.1+(779.7-628.7)+(-1.935042+(-0.795294--0.641274))+0-626.4--0.6389280000001</f>
        <v>1420.2498659999999</v>
      </c>
      <c r="L356" s="3">
        <f>1634.7+(1000-471.4)+(-1.667394+(-1.02--0.480828))+0-613.7--0.625974000000098</f>
        <v>1548.0194080000003</v>
      </c>
      <c r="M356" s="3">
        <f>2088.4+(1255.5-1039.3)+(0+(0-0))+0-669.2-0</f>
        <v>1635.4000000000003</v>
      </c>
      <c r="N356" s="3">
        <f>3153.5+(1257.9-2103.8)+(8.041425+(3.207645-5.36469))+0-614.5-1.56697499999991</f>
        <v>1697.4174049999999</v>
      </c>
      <c r="O356" s="3">
        <f>4615+(1048.4-3308)+(0+(0-0))+0-616-0</f>
        <v>1739.4</v>
      </c>
      <c r="P356" s="3">
        <f>4863.2+(850.9-3409.8)+(0+(0-0))+0-554-0</f>
        <v>1750.2999999999997</v>
      </c>
      <c r="Q356" s="3">
        <f>4892.4+(820-3350.7)+(-2.495124+(-0.4182--1.708857))+0-559--0.285089999999943</f>
        <v>1801.7806229999997</v>
      </c>
      <c r="R356" s="3">
        <f>4466.2+(889-2994.3)+(-13.666572+(-2.72034--9.162558))+0-506.2--1.54897200000006</f>
        <v>1849.0246179999997</v>
      </c>
      <c r="S356" s="3">
        <f>3619.9+(1185.9-2327.1)+(-1.846149+(-0.604809--1.186821))+0-704.7--0.359396999999929</f>
        <v>1773.0952600000001</v>
      </c>
      <c r="T356" s="3">
        <f>3252.2+(1357.1-2342)+(-9.951732+(-4.152726--7.16652))+0-584.6--1.78887600000007</f>
        <v>1677.5509379999999</v>
      </c>
      <c r="U356" s="3">
        <f>3143.2+(1378.7-2181.6)+(1.603032+(0.703137-1.112616))+0-666.7-0.340016999999932</f>
        <v>1674.4535360000002</v>
      </c>
      <c r="V356" s="3">
        <f>3184.1+(1379.5-2312)+(3.247782+(1.40709-2.35824))+0-614.7-0.626994000000098</f>
        <v>1638.5696379999997</v>
      </c>
      <c r="W356" s="3">
        <f>3548.1+(1313.9-2503.4)+(3.619062+(1.340178-2.553468))+0-657.7-0.670854000000105</f>
        <v>1702.6349179999997</v>
      </c>
      <c r="X356" s="3">
        <f>4647.3+(1124.8-3267.8)+(0+(0-0))+0-615.8-0</f>
        <v>1888.5000000000002</v>
      </c>
      <c r="Y356" s="3">
        <f>4911.1+(1201.1-3510.7)+(0+(0-0))+0-619.8-0</f>
        <v>1981.7000000000005</v>
      </c>
      <c r="Z356" s="3">
        <f>4623.3+(1267.7-3281.7)+(-9.431532+(-2.586108--6.694668))+0-587.6--1.19870399999997</f>
        <v>2017.5757320000002</v>
      </c>
      <c r="AA356" s="3">
        <f>4500.6+(1345.7-3114.6)+(-6.885918+(-2.058921--4.765338))+0-643.8--0.985014000000037</f>
        <v>2084.7055130000008</v>
      </c>
      <c r="AB356" s="3">
        <f>4120.3+(1611.3-3082)+(-4.202706+(-1.643526--3.14364))+0-685.9--0.699618000000109</f>
        <v>1961.6970260000003</v>
      </c>
      <c r="AC356" s="3">
        <f>3096.4+(1651.3-2242.3)+(-7.89582+(-4.210815--5.717865))+0-632.2--1.61210999999991</f>
        <v>1868.4233399999994</v>
      </c>
      <c r="AD356" s="2">
        <v>2103.5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2146.4+(1355-1249.9)+(-2.189328+(-1.3821--1.274898))+0-692.4--0.70624800000011</f>
        <v>1557.509718</v>
      </c>
      <c r="G357" s="3">
        <f>1735+(1189-820.3)+(-1.7697+(-1.21278--0.836706))+0-637.5--0.650250000000102</f>
        <v>1464.7044759999999</v>
      </c>
      <c r="H357" s="3">
        <f>1793.3+(1051-745.7)+(0+(0-0))+0-689.5-0</f>
        <v>1409.1</v>
      </c>
      <c r="I357" s="3">
        <f>1776.1+(934.6-642.8)+(2.717433+(1.429938-0.983484))+0-666.7-1.02005100000004</f>
        <v>1403.3438360000002</v>
      </c>
      <c r="J357" s="3">
        <f>1817.2+(927.9-726.4)+(-0.926772+(-0.473229--0.370464))+0-638.8--0.325787999999935</f>
        <v>1379.1962510000001</v>
      </c>
      <c r="K357" s="3">
        <f>1794.3+(1027-715)+(0.915093+(0.52377-0.36465))+0-664-0.338639999999933</f>
        <v>1443.0355730000001</v>
      </c>
      <c r="L357" s="3">
        <f>1675.9+(1161.7-723.6)+(0+(0-0))+0-573.6-0</f>
        <v>1540.4</v>
      </c>
      <c r="M357" s="3">
        <f>2033+(1355.7-1296.1)+(2.07366+(1.382814-1.322022))+0-457-0.466140000000073</f>
        <v>1637.2683120000002</v>
      </c>
      <c r="N357" s="3">
        <f>2671.9+(1512.8-2033.5)+(1.362669+(0.771528-1.037085))+0-516.3-0.263312999999948</f>
        <v>1635.7337989999999</v>
      </c>
      <c r="O357" s="3">
        <f>3660.8+(1658.5-3081.2)+(3.734016+(1.69167-3.142824))+0-477.7-0.487254000000076</f>
        <v>1762.1956080000002</v>
      </c>
      <c r="P357" s="3">
        <f>4111.9+(1631.7-3634.6)+(-2.097069+(-0.832167--1.853646))+0-447.4--0.228173999999955</f>
        <v>1660.7525839999998</v>
      </c>
      <c r="Q357" s="3">
        <f>4154.3+(1511.9-3412.5)+(-10.593465+(-3.855345--8.701875))+0-463.7--1.18243499999993</f>
        <v>1785.4355</v>
      </c>
      <c r="R357" s="3">
        <f>4118.8+(1333.4-3208.2)+(-8.402352+(-2.720136--6.544728))+0-477.8--0.974711999999979</f>
        <v>1762.5969520000003</v>
      </c>
      <c r="S357" s="3">
        <f>3807+(1358.4-2955.3)+(0+(0-0))+0-485-0</f>
        <v>1725.1</v>
      </c>
      <c r="T357" s="3">
        <f>3510.4+(1560.2-2920.6)+(-1.790304+(-0.795702--1.489506))+0-491--0.25040999999995</f>
        <v>1658.1539099999998</v>
      </c>
      <c r="U357" s="3">
        <f>3296.1+(1556.2-2753.2)+(0+(0-0))+0-460.3-0</f>
        <v>1638.8000000000004</v>
      </c>
      <c r="V357" s="3">
        <f>3285.2+(1520.9-2641.3)+(-6.701808+(-3.102636--5.388252))+0-512.1--1.04468399999998</f>
        <v>1649.3284919999996</v>
      </c>
      <c r="W357" s="3">
        <f>3655+(1431.5-2788.7)+(0+(0-0))+0-603.5-0</f>
        <v>1694.3000000000002</v>
      </c>
      <c r="X357" s="3">
        <f>4598.7+(1385.3-3424.8)+(-2.345337+(-0.706503--1.746648))+0-648.7--0.330836999999934</f>
        <v>1909.5256449999999</v>
      </c>
      <c r="Y357" s="3">
        <f>5142.3+(1460.9-3968.1)+(-5.245146+(-1.490118--4.047462))+0-565.4--0.57670800000009</f>
        <v>2067.5889060000004</v>
      </c>
      <c r="Z357" s="3">
        <f>4905.3+(1434.6-3683.6)+(-5.003406+(-1.463292--3.757272))+0-650.7--0.663714000000104</f>
        <v>2003.5542880000003</v>
      </c>
      <c r="AA357" s="3">
        <f>4471.3+(1134.5-3148.2)+(-11.401815+(-2.892975--8.02791))+0-521.3--1.32931499999992</f>
        <v>1931.3624350000002</v>
      </c>
      <c r="AB357" s="3">
        <f>4138.6+(1216.4-2822.9)+(-6.332058+(-1.861092--4.319037))+0-682--1.04346000000004</f>
        <v>1847.2693470000006</v>
      </c>
      <c r="AC357" s="3">
        <f>3611.6+(1299.2-2549.6)+(-5.525748+(-1.987776--3.900888))+0-560.2--0.857106000000032</f>
        <v>1798.2444699999999</v>
      </c>
      <c r="AD357" s="2">
        <v>2072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2445.7+(1441.4-1664.7)+(1.247307+(0.735114-0.848997))+0-637-0.324869999999935</f>
        <v>1586.2085539999998</v>
      </c>
      <c r="G358" s="3">
        <f>1796.2+(1386.9-1065.4)+(-2.748186+(-2.121957--1.630062))+0-637.6--0.975528000000037</f>
        <v>1477.8354469999999</v>
      </c>
      <c r="H358" s="3">
        <f>1827.8+(1257.6-1000.9)+(0+(0-0))+0-669-0</f>
        <v>1415.5</v>
      </c>
      <c r="I358" s="3">
        <f>1858.8+(1220.1-1041.4)+(-4.73994+(-3.111255--2.65557))+0-643.2--1.64015999999991</f>
        <v>1390.7445349999996</v>
      </c>
      <c r="J358" s="3">
        <f>1832.2+(1242.6-1071.2)+(0+(0-0))+0-607-0</f>
        <v>1396.6</v>
      </c>
      <c r="K358" s="3">
        <f>1975.9+(1250.7-1163.3)+(2.015418+(1.275714-1.186566))+0-628.5-0.6410700000001</f>
        <v>1436.263496</v>
      </c>
      <c r="L358" s="3">
        <f>1749+(1405.3-925.6)+(-1.78398+(-1.433406--0.944112))+0-687.6--0.70135200000011</f>
        <v>1539.5280779999998</v>
      </c>
      <c r="M358" s="3">
        <f>2148.7+(1604-1562)+(2.191674+(1.63608-1.59324))+0-580.2-0.591804000000093</f>
        <v>1612.1427099999999</v>
      </c>
      <c r="N358" s="3">
        <f>2971.6+(1748.4-2429.6)+(-1.515516+(-0.891684--1.239096))+0-651.1--0.332060999999934</f>
        <v>1638.4639570000002</v>
      </c>
      <c r="O358" s="3">
        <f>3340.1+(1730.1-2920.6)+(1.703451+(0.882351-1.489506))+0-485.9-0.247808999999951</f>
        <v>1664.548487</v>
      </c>
      <c r="P358" s="3">
        <f>3726.6+(1629.6-2988.2)+(-5.701698+(-2.493288--4.571946))+0-667.3--1.02096900000004</f>
        <v>1698.0979290000002</v>
      </c>
      <c r="Q358" s="3">
        <f>3997.6+(1551.6-3219.4)+(0+(0-0))+0-594.2-0</f>
        <v>1735.5999999999997</v>
      </c>
      <c r="R358" s="3">
        <f>3877.2+(1654-3218.6)+(-3.954744+(-1.68708--3.282972))+0-583.5--0.595170000000093</f>
        <v>1727.3363180000001</v>
      </c>
      <c r="S358" s="3">
        <f>3627.7+(1546.2-3010.3)+(-3.700254+(-1.577124--3.070506))+0-522.6--0.533052000000083</f>
        <v>1639.3261799999993</v>
      </c>
      <c r="T358" s="3">
        <f>3354.4+(1578.6-2677.2)+(3.421488+(1.610172-2.730744))+0-605.5-0.617610000000097</f>
        <v>1651.9833060000003</v>
      </c>
      <c r="U358" s="3">
        <f>3155+(1689.1-2536.4)+(1.60905+(0.861441-1.293564))+0-700.3-0.357152999999929</f>
        <v>1608.2197739999999</v>
      </c>
      <c r="V358" s="3">
        <f>2876.4+(1735.6-2371.7)+(0+(0-0))+0-547.2-0</f>
        <v>1693.1000000000001</v>
      </c>
      <c r="W358" s="3">
        <f>2881.9+(1781.2-2275.6)+(1.469769+(0.908412-1.160556))+0-711.3-0.362762999999928</f>
        <v>1677.0548620000004</v>
      </c>
      <c r="X358" s="3">
        <f>3946.3+(1516.7-3010.4)+(0+(0-0))+0-533.3-0</f>
        <v>1919.3000000000004</v>
      </c>
      <c r="Y358" s="3">
        <f>4391.5+(1478.6-3182.6)+(-13.43799+(-4.524516--9.738756))+0-649.1--1.98624600000008</f>
        <v>2032.1624960000001</v>
      </c>
      <c r="Z358" s="3">
        <f>3834.9+(1449.8-2691)+(-3.911598+(-1.478796--2.74482))+0-595.9--0.607818000000095</f>
        <v>1995.7622439999998</v>
      </c>
      <c r="AA358" s="3">
        <f>3213.5+(1527.4-2162.8)+(-6.55554+(-3.115896--4.412112))+0-664.4--1.35537599999997</f>
        <v>1909.7960519999997</v>
      </c>
      <c r="AB358" s="3">
        <f>3013.9+(1550.9-2077.4)+(-6.148356+(-3.163836--4.237896))+0-675.8--1.37863199999997</f>
        <v>1807.9043360000003</v>
      </c>
      <c r="AC358" s="3">
        <f>2929.7+(1384.3-2036.1)+(-7.470735+(-3.529965--5.192055))+0-639.4--1.63046999999991</f>
        <v>1634.3218249999993</v>
      </c>
      <c r="AD358" s="2">
        <v>2072.5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2107.7+(1360.4-1237.5)+(-5.374635+(-3.46902--3.155625))+0-642.1--1.63735499999991</f>
        <v>1584.449325</v>
      </c>
      <c r="G359" s="3">
        <f>1618.4+(1341.1-850.9)+(-4.12692+(-3.419805--2.169795))+0-625.8--1.59578999999991</f>
        <v>1479.0188599999999</v>
      </c>
      <c r="H359" s="3">
        <f>1863.6+(1140.8-970.5)+(-0.950436+(-0.581808--0.494955))+0-621--0.316709999999937</f>
        <v>1412.1794209999996</v>
      </c>
      <c r="I359" s="3">
        <f>2009.6+(923.5-852.5)+(-1.024896+(-0.470985--0.434775))+0-686.2--0.34996199999993</f>
        <v>1393.6888559999998</v>
      </c>
      <c r="J359" s="3">
        <f>1809.4+(901.4-763.6)+(-4.61397+(-2.29857--1.94718))+0-553.1--1.41040499999992</f>
        <v>1390.5450450000001</v>
      </c>
      <c r="K359" s="3">
        <f>1805.1+(880.6-598.5)+(-0.920601+(-0.449106--0.305235))+0-679.6--0.346595999999931</f>
        <v>1406.8821239999997</v>
      </c>
      <c r="L359" s="3">
        <f>1774.9+(895.9-568.5)+(-2.715597+(-1.370727--0.869805))+0-574.5--0.878985000000033</f>
        <v>1525.4624660000002</v>
      </c>
      <c r="M359" s="3">
        <f>2229+(996.2-977)+(0+(0-0))+0-646.8-0</f>
        <v>1601.3999999999999</v>
      </c>
      <c r="N359" s="3">
        <f>2662.9+(1256.7-1808)+(1.358079+(0.640917-0.92208))+0-476.8-0.243167999999952</f>
        <v>1635.6337480000004</v>
      </c>
      <c r="O359" s="3">
        <f>3135.3+(1444.4-2367.5)+(-6.396012+(-2.946576--4.8297))+0-610.2--1.24480799999997</f>
        <v>1598.7319199999999</v>
      </c>
      <c r="P359" s="3">
        <f>3748.6+(1335.5-2876)+(-3.823572+(-1.36221--2.93352))+0-503.4--0.51346800000008</f>
        <v>1702.9612059999999</v>
      </c>
      <c r="Q359" s="3">
        <f>3837.8+(1246.8-2775.5)+(0+(0-0))+0-541.2-0</f>
        <v>1767.9000000000003</v>
      </c>
      <c r="R359" s="3">
        <f>3483.9+(1289.8-2455.4)+(-7.107156+(-2.631192--5.009016))+0-622.2--1.26928799999997</f>
        <v>1692.6399560000002</v>
      </c>
      <c r="S359" s="3">
        <f>3221.7+(1138.6-2121.9)+(-1.643067+(-0.580686--1.082169))+0-543.2--0.277031999999945</f>
        <v>1694.3354479999996</v>
      </c>
      <c r="T359" s="3">
        <f>3225.8+(1114.4-2053.7)+(0+(0-0))+0-651.8-0</f>
        <v>1634.7000000000005</v>
      </c>
      <c r="U359" s="3">
        <f>3195.3+(1123.5-2079.8)+(3.259206+(1.14597-2.121396))+0-541.9-0.552738000000086</f>
        <v>1698.831042</v>
      </c>
      <c r="V359" s="3">
        <f>2977.6+(1085.5-1720.6)+(-7.59288+(-2.768025--4.38753))+0-663.3--1.6914149999999</f>
        <v>1674.91804</v>
      </c>
      <c r="W359" s="3">
        <f>2965.2+(917.5-1681)+(0+(0-0))+0-519.5-0</f>
        <v>1682.1999999999998</v>
      </c>
      <c r="X359" s="3">
        <f>4288+(772.1-2527.6)+(-4.37376+(-0.787542--2.578152))+0-652.5--0.665550000000104</f>
        <v>1878.0824000000002</v>
      </c>
      <c r="Y359" s="3">
        <f>4803.9+(789.2-3011.8)+(-12.249945+(-2.01246--7.68009))+0-568.9--1.45069499999992</f>
        <v>2007.2683799999991</v>
      </c>
      <c r="Z359" s="3">
        <f>4062.5+(901.5-2441.9)+(-8.2875+(-1.83906--4.981476))+0-558.1--1.13852399999998</f>
        <v>1959.9934399999997</v>
      </c>
      <c r="AA359" s="3">
        <f>3401.3+(837.6-1730.5)+(-12.142641+(-2.990232--6.177885))+0-621.5--2.21875500000001</f>
        <v>1880.1637670000002</v>
      </c>
      <c r="AB359" s="3">
        <f>3059.5+(745.9-1423.6)+(-6.24138+(-1.521636--2.904144))+0-587.7--1.19890799999997</f>
        <v>1790.4400360000004</v>
      </c>
      <c r="AC359" s="3">
        <f>2854.9+(795.5-1205.8)+(-2.911998+(-0.81141--1.229916))+0-649.5--0.662490000000104</f>
        <v>1793.2689980000005</v>
      </c>
      <c r="AD359" s="2">
        <v>2086.6999999999998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2121.6+(883.7-855.6)+(-6.492096+(-2.704122--2.618136))+0-570--1.74420000000007</f>
        <v>1574.8661179999999</v>
      </c>
      <c r="G360" s="3">
        <f>1851.5+(932.1-640.2)+(-2.832795+(-1.426113--0.979506))+0-664.7--1.01699100000004</f>
        <v>1476.4375889999999</v>
      </c>
      <c r="H360" s="3">
        <f>1615+(967.5-526.2)+(-2.47095+(-1.480275--0.805086))+0-632.1--0.967113000000037</f>
        <v>1422.0209740000003</v>
      </c>
      <c r="I360" s="3">
        <f>1684.3+(955.1-614.7)+(-0.858993+(-0.487101--0.313497))+0-645.5--0.329204999999935</f>
        <v>1378.4966079999999</v>
      </c>
      <c r="J360" s="3">
        <f>1653.2+(965.6-585.3)+(-1.686264+(-0.984912--0.597006))+0-662--0.675240000000106</f>
        <v>1370.1010699999999</v>
      </c>
      <c r="K360" s="3">
        <f>1692.2+(965.7-692)+(1.726044+(0.985014-0.70584))+0-556-0.567120000000089</f>
        <v>1411.3380979999999</v>
      </c>
      <c r="L360" s="3">
        <f>1648.8+(1010.2-513.6)+(-3.363552+(-2.060808--1.047744))+0-682.6--1.39250399999997</f>
        <v>1459.8158880000001</v>
      </c>
      <c r="M360" s="3">
        <f>1999.3+(874.1-816)+(1.019643+(0.445791-0.41616))+0-539.1-0.274940999999945</f>
        <v>1519.0743330000003</v>
      </c>
      <c r="N360" s="3">
        <f>2259.7+(1118.1-1203.8)+(1.152447+(0.570231-0.613938))+0-592.6-0.30222599999994</f>
        <v>1582.2065140000002</v>
      </c>
      <c r="O360" s="3">
        <f>2836.9+(1442.7-2160.2)+(5.787276+(2.943108-4.406808))+0-484.2-0.987767999999979</f>
        <v>1638.5358080000003</v>
      </c>
      <c r="P360" s="3">
        <f>3411.2+(1372.4-2578.7)+(-3.479424+(-1.399848--2.630274))+0-521.1--0.531522000000083</f>
        <v>1682.0825240000001</v>
      </c>
      <c r="Q360" s="3">
        <f>3598.9+(1343.4-2588.6)+(-9.177195+(-3.42567--6.60093))+0-620--1.58099999999991</f>
        <v>1729.2790650000004</v>
      </c>
      <c r="R360" s="3">
        <f>3068.1+(1317.1-2192.4)+(-7.823655+(-3.358605--5.59062))+0-471.2--1.20155999999993</f>
        <v>1717.2099199999996</v>
      </c>
      <c r="S360" s="3">
        <f>2670.9+(1238.8-1560.8)+(-5.448636+(-2.527152--3.184032))+0-684.2--1.39576799999997</f>
        <v>1661.3040119999998</v>
      </c>
      <c r="T360" s="3">
        <f>2669.8+(1055.2-1663.2)+(2.723196+(1.076304-1.696464))+0-438.9-0.44767800000007</f>
        <v>1624.5553580000001</v>
      </c>
      <c r="U360" s="3">
        <f>2566.2+(1050-1464)+(0+(0-0))+0-458-0</f>
        <v>1694.1999999999998</v>
      </c>
      <c r="V360" s="3">
        <f>2490.9+(940.3-1288)+(-3.811077+(-1.438659--1.97064))+0-478.4--0.731952000000028</f>
        <v>1662.2528559999996</v>
      </c>
      <c r="W360" s="3">
        <f>2992.9+(750.4-1483.5)+(3.052758+(0.765408-1.51317))+0-588.2-0.599964000000094</f>
        <v>1673.305032</v>
      </c>
      <c r="X360" s="3">
        <f>4264.7+(593.3-2502)+(4.349994+(0.605166-2.55204))+0-525.8-0.536316000000084</f>
        <v>1832.0668039999998</v>
      </c>
      <c r="Y360" s="3">
        <f>4794.5+(622.6-2885.1)+(-7.335585+(-0.952578--4.414203))+0-586.7--0.897651000000034</f>
        <v>1942.3236910000001</v>
      </c>
      <c r="Z360" s="3">
        <f>4408.1+(586.1-2487.6)+(-6.744393+(-0.896733--3.806028))+0-617.4--0.944622000000036</f>
        <v>1886.3095240000002</v>
      </c>
      <c r="AA360" s="3">
        <f>3964.6+(548.4-2036.8)+(-2.021946+(-0.279684--1.038768))+0-615.5--0.313904999999938</f>
        <v>1859.7510429999998</v>
      </c>
      <c r="AB360" s="3">
        <f>3599.3+(558.6-1757.7)+(-9.178215+(-1.42443--4.482135))+0-628.7--1.60318499999991</f>
        <v>1766.982675</v>
      </c>
      <c r="AC360" s="3">
        <f>2731+(537.2-842)+(-4.17843+(-0.821916--1.28826))+0-687.8--1.05233400000004</f>
        <v>1735.7402479999998</v>
      </c>
      <c r="AD360" s="2">
        <v>2021.5000000000007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2178.3+(596.9-579.7)+(-4.443732+(-1.217676--1.182588))+0-650--1.32599999999997</f>
        <v>1542.3471800000002</v>
      </c>
      <c r="G361" s="3">
        <f>1812.1+(757.1-429.6)+(-3.696684+(-1.544484--0.876384))+0-632.3--1.28989199999997</f>
        <v>1504.2251080000001</v>
      </c>
      <c r="H361" s="3">
        <f>1723.5+(689.8-377.7)+(-1.75797+(-0.703596--0.385254))+0-591.1--0.602922000000094</f>
        <v>1443.0266099999999</v>
      </c>
      <c r="I361" s="3">
        <f>1802.5+(675.4-467.1)+(2.757825+(1.033362-0.714663))+0-615.4-0.941562000000036</f>
        <v>1397.5349620000002</v>
      </c>
      <c r="J361" s="3">
        <f>1690.5+(737.8-387.4)+(-3.44862+(-1.505112--0.790296))+0-670.1--1.36700399999997</f>
        <v>1368.0035679999999</v>
      </c>
      <c r="K361" s="3">
        <f>1703.9+(733.5-397.3)+(-1.737978+(-0.74817--0.405246))+0-648.1--0.661062000000103</f>
        <v>1390.5801600000004</v>
      </c>
      <c r="L361" s="3">
        <f>1624.4+(810.2-444.8)+(-0.828444+(-0.413202--0.226848))+0-665.2--0.339251999999933</f>
        <v>1323.9244540000002</v>
      </c>
      <c r="M361" s="3">
        <f>1825+(820.6-596.5)+(0.93075+(0.418506-0.304215))+0-629.3-0.320942999999936</f>
        <v>1420.5240979999999</v>
      </c>
      <c r="N361" s="3">
        <f>2082.5+(783-716.7)+(-1.062075+(-0.39933--0.365517))+0-670.8--0.342107999999932</f>
        <v>1477.2462200000002</v>
      </c>
      <c r="O361" s="3">
        <f>2454.6+(603-950.7)+(-1.251846+(-0.30753--0.484857))+0-593.3--0.30258299999994</f>
        <v>1512.8280639999998</v>
      </c>
      <c r="P361" s="3">
        <f>2820.4+(629-1169.9)+(4.315212+(0.96237-1.789947))+0-660.6-1.01071800000004</f>
        <v>1621.376917</v>
      </c>
      <c r="Q361" s="3">
        <f>3197+(538.3-1404.6)+(-6.52188+(-1.098132--2.865384))+0-632.4--1.29009599999997</f>
        <v>1694.8354679999995</v>
      </c>
      <c r="R361" s="3">
        <f>3139.5+(412.4-1166)+(-3.20229+(-0.420648--1.18932))+0-662.5--0.675750000000106</f>
        <v>1721.6421320000002</v>
      </c>
      <c r="S361" s="3">
        <f>2835.9+(307.4-796.8)+(-5.785236+(-0.627096--1.625472))+0-618.8--1.26235199999997</f>
        <v>1724.1754919999998</v>
      </c>
      <c r="T361" s="3">
        <f>2985.8+(287-832)+(3.045516+(0.29274-0.84864))+0-733.1-0.747762000000117</f>
        <v>1709.4418539999999</v>
      </c>
      <c r="U361" s="3">
        <f>2727.4+(370.1-854)+(1.390974+(0.188751-0.43554))+0-552-0.281519999999944</f>
        <v>1692.3626650000001</v>
      </c>
      <c r="V361" s="3">
        <f>2677.8+(432.4-742.6)+(2.731356+(0.441048-0.757452))+0-660.4-0.673608000000105</f>
        <v>1708.9413440000003</v>
      </c>
      <c r="W361" s="3">
        <f>2955.7+(308.2-964.1)+(0+(0-0))+0-586.2-0</f>
        <v>1713.5999999999997</v>
      </c>
      <c r="X361" s="3">
        <f>4524.8+(393.8-2337.7)+(4.615296+(0.401676-2.384454))+0-705.3-0.719406000000112</f>
        <v>1877.5131120000003</v>
      </c>
      <c r="Y361" s="3">
        <f>4890.8+(589.4-2895.1)+(-2.494308+(-0.300594--1.476501))+0-538--0.274379999999945</f>
        <v>2046.0559790000002</v>
      </c>
      <c r="Z361" s="3">
        <f>4578.7+(610-2507.2)+(-4.670274+(-0.6222--2.557344))+0-668.4--0.681768000000107</f>
        <v>2011.046638</v>
      </c>
      <c r="AA361" s="3">
        <f>4401.1+(620.8-2374.8)+(-4.489122+(-0.633216--2.422296))+0-696.4--0.710328000000111</f>
        <v>1948.7102860000005</v>
      </c>
      <c r="AB361" s="3">
        <f>3634.4+(699.6-1817.4)+(-9.26772+(-1.78398--4.63437))+0-645.6--1.64627999999991</f>
        <v>1866.2289499999997</v>
      </c>
      <c r="AC361" s="3">
        <f>2932.8+(807.1-1265)+(-4.487184+(-1.234863--1.93545))+0-675.6--1.03366800000004</f>
        <v>1796.5470710000004</v>
      </c>
      <c r="AD361" s="2">
        <v>2040.5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1995.6+(763.8-425.8)+(-6.106536+(-2.337228--1.302948))+0-624--1.90944000000007</f>
        <v>1704.368624</v>
      </c>
      <c r="G362" s="3">
        <f>1676.8+(926.7-344.6)+(-4.27584+(-2.363085--0.87873))+0-658.3--1.6786649999999</f>
        <v>1596.5184700000002</v>
      </c>
      <c r="H362" s="3">
        <f>1501.1+(978.9-432.4)+(-3.062244+(-1.996956--0.882096))+0-535.8--1.09303199999998</f>
        <v>1508.7159279999998</v>
      </c>
      <c r="I362" s="3">
        <f>1704.1+(820.5-450.1)+(0+(0-0))+0-590.9-0</f>
        <v>1483.6</v>
      </c>
      <c r="J362" s="3">
        <f>1694.7+(785.1-361.2)+(2.592891+(1.201203-0.552636))+0-669.5-1.02433500000004</f>
        <v>1451.3171229999998</v>
      </c>
      <c r="K362" s="3">
        <f>1829.9+(709.2-393.9)+(0+(0-0))+0-690-0</f>
        <v>1455.2000000000003</v>
      </c>
      <c r="L362" s="3">
        <f>1741.8+(749.6-343.8)+(-0.888318+(-0.382296--0.175338))+0-661.9--0.337568999999933</f>
        <v>1484.9422929999998</v>
      </c>
      <c r="M362" s="3">
        <f>2010.1+(714-594.8)+(0+(0-0))+0-591.7-0</f>
        <v>1537.6000000000001</v>
      </c>
      <c r="N362" s="3">
        <f>2237.3+(613-681.3)+(-1.141023+(-0.31263--0.347463))+0-589.8--0.30079799999994</f>
        <v>1578.3946080000001</v>
      </c>
      <c r="O362" s="3">
        <f>2856.3+(446.2-1105.4)+(-1.456713+(-0.227562--0.563754))+0-530.9--0.270758999999946</f>
        <v>1665.3502380000004</v>
      </c>
      <c r="P362" s="3">
        <f>3142.5+(531.4-1316.6)+(1.602675+(0.271014-0.671466))+0-587.1-0.29942099999994</f>
        <v>1771.1028020000001</v>
      </c>
      <c r="Q362" s="3">
        <f>3249.2+(632.3-1554.8)+(0+(0-0))+0-484.9-0</f>
        <v>1841.7999999999997</v>
      </c>
      <c r="R362" s="3">
        <f>3182.5+(664-1349.2)+(-4.869225+(-1.01592--2.064276))+0-597.9--0.914787000000035</f>
        <v>1896.4939179999999</v>
      </c>
      <c r="S362" s="3">
        <f>2871.7+(614.1-1019.3)+(1.464567+(0.313191-0.519843))+0-550.9-0.280958999999944</f>
        <v>1916.5769560000001</v>
      </c>
      <c r="T362" s="3">
        <f>2851.5+(552.1-909.1)+(-2.90853+(-0.563142--0.927282))+0-539.3--0.550086000000086</f>
        <v>1953.2056960000002</v>
      </c>
      <c r="U362" s="3">
        <f>2687.3+(668-802.7)+(-5.482092+(-1.36272--1.637508))+0-632.5--1.29029999999997</f>
        <v>1916.1829960000002</v>
      </c>
      <c r="V362" s="3">
        <f>2380.5+(851.2-779.3)+(-7.28433+(-2.604672--2.384658))+0-561.7--1.71880200000007</f>
        <v>1884.9144580000002</v>
      </c>
      <c r="W362" s="3">
        <f>2557.7+(721.5-854.8)+(-10.435416+(-2.94372--3.487584))+0-564.4--2.30275199999995</f>
        <v>1852.4111999999996</v>
      </c>
      <c r="X362" s="3">
        <f>3793.6+(541-1647.3)+(0+(0-0))+0-573.1-0</f>
        <v>2114.2000000000003</v>
      </c>
      <c r="Y362" s="3">
        <f>4563.1+(588.4-2300.7)+(-11.635905+(-1.50042--5.866785))+0-643--1.63964999999991</f>
        <v>2202.1701100000009</v>
      </c>
      <c r="Z362" s="3">
        <f>4044+(581-1957.4)+(-10.3122+(-1.48155--4.99137))+0-559.5--1.42672499999992</f>
        <v>2102.7243449999996</v>
      </c>
      <c r="AA362" s="3">
        <f>3698.6+(483.3-1542.2)+(-7.545144+(-0.985932--3.146088))+0-591.7--1.20706799999997</f>
        <v>2043.8220799999999</v>
      </c>
      <c r="AB362" s="3">
        <f>3637.6+(550-1566.7)+(-1.855176+(-0.2805--0.799017))+0-614.1--0.313190999999938</f>
        <v>2005.7765319999996</v>
      </c>
      <c r="AC362" s="3">
        <f>3253.4+(662.6-1430.1)+(-8.29617+(-1.68963--3.646755))+0-570.6--1.45502999999992</f>
        <v>1910.4159849999999</v>
      </c>
      <c r="AD362" s="2">
        <v>2230.8000000000002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1993.3+(833.5-509.3)+(-6.099498+(-2.55051--1.558458))+0-610.8--1.86904800000007</f>
        <v>1701.477498</v>
      </c>
      <c r="G363" s="3">
        <f>1824.7+(721-399)+(-4.652985+(-1.83855--1.01745))+0-616--1.57079999999991</f>
        <v>1526.7967149999999</v>
      </c>
      <c r="H363" s="3">
        <f>1851.9+(853-485.1)+(-3.777876+(-1.74012--0.989604))+0-623.9--1.27275599999997</f>
        <v>1592.644364</v>
      </c>
      <c r="I363" s="3">
        <f>1816.5+(829.9-521.1)+(-5.55849+(-2.539494--1.594566))+0-582.7--1.78306200000007</f>
        <v>1537.8796440000003</v>
      </c>
      <c r="J363" s="3">
        <f>1717.3+(860-474)+(-2.627469+(-1.3158--0.72522))+0-582.1--0.890613000000034</f>
        <v>1518.8725640000002</v>
      </c>
      <c r="K363" s="3">
        <f>1879.3+(803.2-556.7)+(-0.958443+(-0.409632--0.283917))+0-612.9--0.312578999999938</f>
        <v>1512.1284209999999</v>
      </c>
      <c r="L363" s="3">
        <f>1718.4+(888.6-492.3)+(0+(0-0))+0-600.7-0</f>
        <v>1514.0000000000002</v>
      </c>
      <c r="M363" s="3">
        <f>2178.3+(748.1-773.1)+(2.221866+(0.763062-0.788562))+0-598.4-0.610368000000095</f>
        <v>1556.4859980000001</v>
      </c>
      <c r="N363" s="3">
        <f>2477.3+(445.2-749.6)+(-1.263423+(-0.227052--0.382296))+0-553.2--0.282131999999944</f>
        <v>1618.8739530000003</v>
      </c>
      <c r="O363" s="3">
        <f>2754.1+(496.7-1018.4)+(0+(0-0))+0-553.6-0</f>
        <v>1678.7999999999997</v>
      </c>
      <c r="P363" s="3">
        <f>2981.7+(626.5-1373.6)+(-7.603335+(-1.597575--3.50268))+0-482.6--1.23062999999993</f>
        <v>1747.5324000000001</v>
      </c>
      <c r="Q363" s="3">
        <f>3086.1+(629.3-1395.8)+(-1.573911+(-0.320943--0.711858))+0-492.7--0.25127699999995</f>
        <v>1825.9682809999997</v>
      </c>
      <c r="R363" s="3">
        <f>3117.1+(602.9-1237.6)+(-9.538326+(-1.844874--3.787056))+0-614.1--1.87914600000007</f>
        <v>1862.5830020000001</v>
      </c>
      <c r="S363" s="3">
        <f>2667.5+(621.2-904.1)+(1.360425+(0.316812-0.461091))+0-500.5-0.255254999999949</f>
        <v>1885.0608910000001</v>
      </c>
      <c r="T363" s="3">
        <f>2641.5+(673.8-910.3)+(-5.38866+(-1.374552--1.857012))+0-542.2--1.10608799999998</f>
        <v>1858.9998880000001</v>
      </c>
      <c r="U363" s="3">
        <f>2562+(728-923.6)+(-3.91986+(-1.11384--1.413108))+0-556.8--0.851904000000032</f>
        <v>1806.831312</v>
      </c>
      <c r="V363" s="3">
        <f>2598.4+(623.6-866.3)+(0+(0-0))+0-567.7-0</f>
        <v>1788.0000000000002</v>
      </c>
      <c r="W363" s="3">
        <f>3074.8+(487.2-1225)+(0+(0-0))+0-567.7-0</f>
        <v>1769.3</v>
      </c>
      <c r="X363" s="3">
        <f>3946.7+(600.1-2240)+(2.012817+(0.306051-1.1424))+0-567.7-0.289526999999942</f>
        <v>1739.9869409999999</v>
      </c>
      <c r="Y363" s="3">
        <f>4502+(648.1-2422.9)+(-2.29602+(-0.330531--1.235679))+0-567.7--0.289526999999942</f>
        <v>2158.398655</v>
      </c>
      <c r="Z363" s="3">
        <f>4094.9+(619.2-2093.8)+(-2.088399+(-0.315792--1.067838))+0-583.7--0.297686999999941</f>
        <v>2035.561334</v>
      </c>
      <c r="AA363" s="3">
        <f>3846.9+(626-1870.5)+(-1.961919+(-0.31926--0.953955))+0-620.1--0.316250999999937</f>
        <v>1981.289027</v>
      </c>
      <c r="AB363" s="3">
        <f>3255.9+(570.6-1336.5)+(-8.302545+(-1.45503--3.408075))+0-580.8--1.48103999999992</f>
        <v>1904.3315400000001</v>
      </c>
      <c r="AC363" s="3">
        <f>3035.1+(511.4-1136.3)+(-6.191604+(-1.043256--2.318052))+0-496.7--1.01326799999998</f>
        <v>1909.5964599999998</v>
      </c>
      <c r="AD363" s="2">
        <v>2148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2127.9+(704.4-446.9)+(-4.340916+(-1.436976--0.911676))+0-613.4--1.25133599999997</f>
        <v>1768.3851200000001</v>
      </c>
      <c r="G364" s="3">
        <f>1841.1+(823-436.9)+(-2.816883+(-1.25919--0.668457))+0-560.9--0.858177000000032</f>
        <v>1663.7505609999998</v>
      </c>
      <c r="H364" s="3">
        <f>1628.8+(954.8-360.5)+(-4.15344+(-2.43474--0.919275))+0-646.1--1.64755499999991</f>
        <v>1572.97865</v>
      </c>
      <c r="I364" s="3">
        <f>1709.9+(830.3-407.2)+(0.872049+(0.423453-0.207672))+0-541.1-0.275960999999945</f>
        <v>1592.711869</v>
      </c>
      <c r="J364" s="3">
        <f>1666.3+(842.6-370.4)+(-3.399252+(-1.718904--0.755616))+0-602--1.22807999999997</f>
        <v>1533.3655399999998</v>
      </c>
      <c r="K364" s="3">
        <f>1699.3+(773.2-385.5)+(-1.733286+(-0.788664--0.39321))+0-581.7--0.593334000000093</f>
        <v>1503.764594</v>
      </c>
      <c r="L364" s="3">
        <f>1802.4+(796.8-449.1)+(0+(0-0))+0-630.7-0</f>
        <v>1519.3999999999999</v>
      </c>
      <c r="M364" s="3">
        <f>1928.9+(692.4-576.6)+(-2.951217+(-1.059372--0.882198))+0-497.2--0.760716000000029</f>
        <v>1545.132325</v>
      </c>
      <c r="N364" s="3">
        <f>2215.9+(661.6-726)+(-1.130109+(-0.337416--0.37026))+0-535.9--0.273308999999946</f>
        <v>1614.776044</v>
      </c>
      <c r="O364" s="3">
        <f>2396.9+(460.3-721)+(-6.112095+(-1.173765--1.83855))+0-498.6--1.27142999999993</f>
        <v>1633.4241200000004</v>
      </c>
      <c r="P364" s="3">
        <f>2703.2+(349-915)+(1.378632+(0.17799-0.46665))+0-415.5-0.211904999999958</f>
        <v>1722.5780670000001</v>
      </c>
      <c r="Q364" s="3">
        <f>2827.1+(323-912)+(1.441821+(0.16473-0.46512))+0-469.2-0.239291999999952</f>
        <v>1769.8021389999999</v>
      </c>
      <c r="R364" s="3">
        <f>2609.8+(442.3-839.2)+(-7.985988+(-1.353438--2.567952))+0-429.6--1.31457600000005</f>
        <v>1777.843102</v>
      </c>
      <c r="S364" s="3">
        <f>2361.2+(591.2-619.7)+(-4.816848+(-1.206048--1.264188))+0-489.8--0.999191999999979</f>
        <v>1839.140484</v>
      </c>
      <c r="T364" s="3">
        <f>2220.8+(613.4-576.5)+(-2.265216+(-0.625668--0.58803))+0-477.1--0.486642000000076</f>
        <v>1778.7837880000004</v>
      </c>
      <c r="U364" s="3">
        <f>2254.5+(630.5-592)+(-1.149795+(-0.321555--0.30192))+0-502.5--0.256274999999949</f>
        <v>1789.586845</v>
      </c>
      <c r="V364" s="3">
        <f>2222.8+(593.7-556.6)+(-3.400884+(-0.908361--0.851598))+0-500.3--0.765459000000029</f>
        <v>1756.9078119999999</v>
      </c>
      <c r="W364" s="3">
        <f>2561+(428.1-695.9)+(2.61222+(0.436662-0.709818))+0-521.9-0.532338000000083</f>
        <v>1773.1067259999995</v>
      </c>
      <c r="X364" s="3">
        <f>3727.2+(319-1509.5)+(3.801744+(0.32538-1.53969))+0-608.4-0.620568000000097</f>
        <v>1930.2668659999997</v>
      </c>
      <c r="Y364" s="3">
        <f>4086.8+(559-1960.9)+(-2.084268+(-0.28509--1.000059))+0-664.6--0.338945999999933</f>
        <v>2019.2696470000001</v>
      </c>
      <c r="Z364" s="3">
        <f>3966.6+(378.8-1785.2)+(-10.11483+(-0.96594--4.55226))+0-582.6--1.48562999999992</f>
        <v>1972.5571199999997</v>
      </c>
      <c r="AA364" s="3">
        <f>4228.1+(334.2-1975.7)+(0+(0-0))+0-671.5-0</f>
        <v>1915.1000000000004</v>
      </c>
      <c r="AB364" s="3">
        <f>3930.5+(334.3-1882.3)+(-8.01822+(-0.681972--3.839892))+0-541.5--1.10465999999998</f>
        <v>1837.2443600000001</v>
      </c>
      <c r="AC364" s="3">
        <f>3627+(358.2-1592.6)+(-9.24885+(-0.91341--4.06113))+0-642.4--1.63811999999991</f>
        <v>1745.7369900000001</v>
      </c>
      <c r="AD364" s="2">
        <v>2027.9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2903+(278-960.7)+(0+(0-0))+0-564.1-0</f>
        <v>1656.2000000000003</v>
      </c>
      <c r="G365" s="3">
        <f>1883.5+(665.4-350.4)+(-3.84234+(-1.357416--0.714816))+0-648.8--1.32355199999997</f>
        <v>1546.5386120000003</v>
      </c>
      <c r="H365" s="3">
        <f>1605.6+(815.9-361.9)+(-4.913136+(-2.496654--1.107414))+0-580--1.77480000000007</f>
        <v>1475.072424</v>
      </c>
      <c r="I365" s="3">
        <f>1809.4+(647.8-395.1)+(-1.845588+(-0.660756--0.403002))+0-646--0.658920000000103</f>
        <v>1414.6555780000001</v>
      </c>
      <c r="J365" s="3">
        <f>1875.7+(560.3-413.5)+(-1.913214+(-0.571506--0.42177))+0-631.1--0.643722000000101</f>
        <v>1389.9807720000001</v>
      </c>
      <c r="K365" s="3">
        <f>1922.4+(636.4-464.3)+(1.960848+(0.649128-0.473586))+0-703.6-0.717672000000112</f>
        <v>1392.318718</v>
      </c>
      <c r="L365" s="3">
        <f>1710.8+(726.3-373.5)+(-1.745016+(-0.740826--0.38097))+0-626.2--0.6387240000001</f>
        <v>1435.9338520000001</v>
      </c>
      <c r="M365" s="3">
        <f>2244.8+(572.9-615)+(2.289696+(0.584358-0.6273))+0-616.5-0.628830000000098</f>
        <v>1587.8179239999999</v>
      </c>
      <c r="N365" s="3">
        <f>2218.3+(464.1-555)+(-1.131333+(-0.236691--0.28305))+0-560.9--0.286058999999943</f>
        <v>1565.7010850000001</v>
      </c>
      <c r="O365" s="3">
        <f>2490.3+(432.9-672.4)+(0+(0-0))+0-666.8-0</f>
        <v>1584.0000000000002</v>
      </c>
      <c r="P365" s="3">
        <f>2518.9+(361.2-764.2)+(-1.284639+(-0.184212--0.389742))+0-562.8--0.287027999999943</f>
        <v>1552.3079190000003</v>
      </c>
      <c r="Q365" s="3">
        <f>2721.6+(483.8-995.2)+(5.552064+(0.986952-2.030208))+0-618-1.26071999999997</f>
        <v>1595.4480879999999</v>
      </c>
      <c r="R365" s="3">
        <f>2602.6+(567.6-856.2)+(-5.309304+(-1.157904--1.746648))+0-633.3--1.29193199999997</f>
        <v>1677.2713719999997</v>
      </c>
      <c r="S365" s="3">
        <f>2257.4+(616-575.1)+(-2.302548+(-0.62832--0.586602))+0-654.6--0.667692000000104</f>
        <v>1642.0234260000004</v>
      </c>
      <c r="T365" s="3">
        <f>2222.9+(607.8-567.5)+(-4.534716+(-1.239912--1.1577))+0-648.6--1.32314399999997</f>
        <v>1611.3062159999999</v>
      </c>
      <c r="U365" s="3">
        <f>2125.6+(621.3-562.4)+(-3.252168+(-0.950589--0.860472))+0-569.3--0.871029000000033</f>
        <v>1612.728744</v>
      </c>
      <c r="V365" s="3">
        <f>2180.7+(687.5-558.6)+(4.448628+(1.4025-1.139544))+0-693.4-1.41453599999997</f>
        <v>1619.4970479999999</v>
      </c>
      <c r="W365" s="3">
        <f>2313.1+(627.1-641.7)+(-4.718724+(-1.279284--1.309068))+0-633.7--1.29274799999997</f>
        <v>1661.403808</v>
      </c>
      <c r="X365" s="3">
        <f>3784+(362.8-1663)+(3.85968+(0.370056-1.69626))+0-656.5-0.669630000000105</f>
        <v>1829.1638460000001</v>
      </c>
      <c r="Y365" s="3">
        <f>4210.3+(385.9-2044)+(-6.441759+(-0.590427--3.12732))+0-688.9--1.05401700000004</f>
        <v>1860.4491510000003</v>
      </c>
      <c r="Z365" s="3">
        <f>4694.6+(421.3-2517.1)+(4.788492+(0.429726-2.567442))+0-673.3-0.686766000000107</f>
        <v>1927.4640100000006</v>
      </c>
      <c r="AA365" s="3">
        <f>4741.6+(472.3-2724.6)+(4.836432+(0.481746-2.779092))+0-633-0.645660000000101</f>
        <v>1858.1934260000007</v>
      </c>
      <c r="AB365" s="3">
        <f>4511.4+(471.7-2531.6)+(-6.902442+(-0.721701--3.873348))+0-661.8--1.01255400000004</f>
        <v>1786.9617589999998</v>
      </c>
      <c r="AC365" s="3">
        <f>3893.3+(454.9-2020.8)+(-3.971166+(-0.463998--2.061216))+0-641.1--0.653922000000102</f>
        <v>1684.5799740000004</v>
      </c>
      <c r="AD365" s="2">
        <v>1964.3999999999996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1605.94686</v>
      </c>
      <c r="G366" s="1">
        <v>1490.9372559999999</v>
      </c>
      <c r="H366" s="1">
        <v>1426.7007970000002</v>
      </c>
      <c r="I366" s="1">
        <v>1372.9541079999997</v>
      </c>
      <c r="J366" s="1">
        <v>1367.338411</v>
      </c>
      <c r="K366" s="1">
        <v>1369.9952490000001</v>
      </c>
      <c r="L366" s="1">
        <v>1386.0076740000002</v>
      </c>
      <c r="M366" s="1">
        <v>1434.7000000000003</v>
      </c>
      <c r="N366" s="1">
        <v>1514.5000000000002</v>
      </c>
      <c r="O366" s="1">
        <v>1610.1999999999998</v>
      </c>
      <c r="P366" s="1">
        <v>1769.8000000000002</v>
      </c>
      <c r="Q366" s="1">
        <v>1778.7401560000003</v>
      </c>
      <c r="R366" s="1">
        <v>1767.7267139999997</v>
      </c>
      <c r="S366" s="1">
        <v>1772.0700560000005</v>
      </c>
      <c r="T366" s="1">
        <v>1707.7838649999999</v>
      </c>
      <c r="U366" s="1">
        <v>1653.3168549999996</v>
      </c>
      <c r="V366" s="1">
        <v>1631.1739619999998</v>
      </c>
      <c r="W366" s="1">
        <v>1683.0992070000004</v>
      </c>
      <c r="X366" s="1">
        <v>1845.7981740000005</v>
      </c>
      <c r="Y366" s="1">
        <v>1914.8048040000003</v>
      </c>
      <c r="Z366" s="1">
        <v>1861.8457350000006</v>
      </c>
      <c r="AA366" s="1">
        <v>1797.3445950000003</v>
      </c>
      <c r="AB366" s="1">
        <v>1725.7950050000002</v>
      </c>
      <c r="AC366" s="1">
        <v>1656.3611100000001</v>
      </c>
      <c r="AD366" s="1">
        <v>1846.4999999999995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1842.9+(30-571.4)+(-1.879758+(-0.0306--0.582828))+0-5--0.0051000000000008</f>
        <v>1295.1775700000001</v>
      </c>
      <c r="G1" s="3">
        <f>1762.1+(28-599.7)+(-3.594684+(-0.05712--1.223388))+0-4.9--0.00999599999999979</f>
        <v>1183.0815799999998</v>
      </c>
      <c r="H1" s="3">
        <f>1720.2+(49.9-659.3)+(-4.38651+(-0.127245--1.681215))+0-4.8--0.0122399999999993</f>
        <v>1103.1797000000001</v>
      </c>
      <c r="I1" s="3">
        <f>1683.2+(60.8-600.3)+(-2.575296+(-0.093024--0.918459))+0-4.8--0.00734400000000028</f>
        <v>1137.1574830000002</v>
      </c>
      <c r="J1" s="3">
        <f>1681+(52.8-590.3)+(-0.85731+(-0.026928--0.301053))+0-5--0.00254999999999949</f>
        <v>1137.919365</v>
      </c>
      <c r="K1" s="3">
        <f>1685.9+(35.9-540.1)+(0+(0-0))+0-5.2-0</f>
        <v>1176.5</v>
      </c>
      <c r="L1" s="3">
        <f>1685.4+(17-479.6)+(-0.859554+(-0.00867--0.244596))+0--170.1-0.0867509999999827</f>
        <v>1392.189621</v>
      </c>
      <c r="M1" s="3">
        <f>1772.8+(62.7-452.2)+(0+(0-0))+0--168.1-0</f>
        <v>1551.3999999999999</v>
      </c>
      <c r="N1" s="3">
        <f>1880.7+(59.7-462.1)+(-1.918314+(-0.060894--0.471342))+0--165.8-0.169116000000026</f>
        <v>1642.423018</v>
      </c>
      <c r="O1" s="3">
        <f>1853.5+(43.4-482.5)+(-2.835855+(-0.066402--0.738225))+0--163.8-0.25061400000001</f>
        <v>1575.7853540000001</v>
      </c>
      <c r="P1" s="3">
        <f>1872+(47.7-568.2)+(-2.86416+(-0.072981--0.869346))+0--162-0.247860000000009</f>
        <v>1511.1843450000001</v>
      </c>
      <c r="Q1" s="3">
        <f>2025.1+(44.8-786.1)+(-1.032801+(-0.022848--0.400911))+0--161-0.0821099999999837</f>
        <v>1444.0631519999997</v>
      </c>
      <c r="R1" s="3">
        <f>1950.9+(43-758.7)+(0+(0-0))+0--160.2-0</f>
        <v>1395.4</v>
      </c>
      <c r="S1" s="3">
        <f>1886.2+(41.5-727.4)+(0.961962+(0.021165-0.370974))+0--180.6--0.0921059999999817</f>
        <v>1381.6042590000002</v>
      </c>
      <c r="T1" s="3">
        <f>1936.3+(49.1-858.1)+(-4.937565+(-0.125205--2.188155))+0--235.3-0.600014999999966</f>
        <v>1359.12537</v>
      </c>
      <c r="U1" s="3">
        <f>1999+(50.5-947.8)+(-3.05847+(-0.077265--1.450134))+0--237.5-0.363375000000014</f>
        <v>1337.1510240000002</v>
      </c>
      <c r="V1" s="3">
        <f>2028.4+(43.6-959.1)+(-3.103452+(-0.066708--1.467423))+0--240.2-0.367506000000014</f>
        <v>1351.029757</v>
      </c>
      <c r="W1" s="3">
        <f>2050.8+(39.5-962.8)+(-2.091816+(-0.04029--0.982056))+0--241.5-0.246330000000039</f>
        <v>1367.6036200000003</v>
      </c>
      <c r="X1" s="3">
        <f>2105.1+(59.7-819.5)+(-2.147202+(-0.060894--0.83589))+0--241-0.245820000000038</f>
        <v>1584.6819739999999</v>
      </c>
      <c r="Y1" s="3">
        <f>2124.4+(68.5-779.9)+(-2.166888+(-0.06987--0.795498))+0--239.6-0.244392000000038</f>
        <v>1650.9143479999998</v>
      </c>
      <c r="Z1" s="3">
        <f>2098.6+(50-805)+(-3.210858+(-0.0765--1.23165))+0--242.3-0.370719000000014</f>
        <v>1583.4735729999998</v>
      </c>
      <c r="AA1" s="3">
        <f>2104.9+(40.2-793.5)+(-3.220497+(-0.061506--1.214055))+0--186.7-0.285651000000011</f>
        <v>1535.9464010000004</v>
      </c>
      <c r="AB1" s="3">
        <f>2100.5+(29.7-818.5)+(-3.213765+(-0.045441--1.252305))+0--166.1-0.25413300000001</f>
        <v>1475.5389660000001</v>
      </c>
      <c r="AC1" s="3">
        <f>2099.4+(30.9-853.6)+(-7.494858+(-0.110313--3.047352))+0--166-0.592620000000002</f>
        <v>1437.549561</v>
      </c>
      <c r="AD1" s="2">
        <v>1532.3999999999999</v>
      </c>
      <c r="AE1" s="3">
        <f>2096+(61.2-771.6)+(0+(0-0))+0--146.8-0</f>
        <v>1532.3999999999999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1305.2747804999999</v>
      </c>
      <c r="G2" s="3">
        <f>2022.8+(43-1062.3)+(0+(0-0))+0--169.5-0</f>
        <v>1173</v>
      </c>
      <c r="H2" s="3">
        <f>2051.2+(49-1007.7)+(-3.138336+(-0.07497--1.541781))+0--171.5-0.26239500000001</f>
        <v>1262.0660799999998</v>
      </c>
      <c r="I2" s="3">
        <f>1914.1+(82.8-940.6)+(-2.928573+(-0.126684--1.439118))+0--171.5-0.26239500000001</f>
        <v>1225.9214659999998</v>
      </c>
      <c r="J2" s="3">
        <f>1882.8+(96.2-898.9)+(-2.880684+(-0.147186--1.375317))+0--171.5-0.26239500000001</f>
        <v>1249.685052</v>
      </c>
      <c r="K2" s="3">
        <f>1884.4+(92.5-857.5)+(2.883132+(0.141525-1.311975))+0--172.5--0.26392500000001</f>
        <v>1293.8766070000001</v>
      </c>
      <c r="L2" s="3">
        <f>1879.2+(64.5-886)+(-2.875176+(-0.098685--1.35558))+0--169.8-0.25979400000001</f>
        <v>1225.6219249999999</v>
      </c>
      <c r="M2" s="3">
        <f>1894.6+(42-850.4)+(0.966246+(0.02142-0.433704))+0--170.8--0.0871079999999827</f>
        <v>1257.6410699999997</v>
      </c>
      <c r="N2" s="3">
        <f>1892.5+(41-758.5)+(0.965175+(0.02091-0.386835))+0--167--0.0851699999999831</f>
        <v>1342.68442</v>
      </c>
      <c r="O2" s="3">
        <f>1928+(67.1-751.8)+(0.98328+(0.034221-0.383418))+0--165.9--0.0846089999999832</f>
        <v>1409.9186920000002</v>
      </c>
      <c r="P2" s="3">
        <f>2100.4+(64.4-836.2)+(0+(0-0))+0--164-0</f>
        <v>1492.6</v>
      </c>
      <c r="Q2" s="3">
        <f>2113.9+(100.1-820.9)+(-2.156178+(-0.102102--0.837318))+0--162-0.165240000000026</f>
        <v>1553.5137980000002</v>
      </c>
      <c r="R2" s="3">
        <f>1980.2+(101.7-710.9)+(0+(0-0))+0--238.7-0</f>
        <v>1609.7</v>
      </c>
      <c r="S2" s="3">
        <f>1941+(91.9-695.1)+(0+(0-0))+0--236.7-0</f>
        <v>1574.5</v>
      </c>
      <c r="T2" s="3">
        <f>1944.5+(88.6-701.3)+(-1.98339+(-0.090372--0.715326))+0--235.6-0.240312000000038</f>
        <v>1565.801252</v>
      </c>
      <c r="U2" s="3">
        <f>1936.4+(85.1-719.4)+(-3.950256+(-0.173604--1.467576))+0--235.7-0.48082799999999</f>
        <v>1534.6628880000003</v>
      </c>
      <c r="V2" s="3">
        <f>1978.1+(76.9-764.4)+(2.017662+(0.078438-0.779688))+0--236.2--0.240924000000038</f>
        <v>1528.3573359999998</v>
      </c>
      <c r="W2" s="3">
        <f>2002.2+(90.2-781.3)+(-2.042244+(-0.092004--0.796926))+0--230.9-0.235518000000037</f>
        <v>1540.4271600000002</v>
      </c>
      <c r="X2" s="3">
        <f>2002.1+(87.3-764)+(-2.042142+(-0.089046--0.77928))+0--230.6-0.235212000000037</f>
        <v>1554.4128799999996</v>
      </c>
      <c r="Y2" s="3">
        <f>2185+(77.6-810.1)+(0+(0-0))+0--231.7-0</f>
        <v>1684.2</v>
      </c>
      <c r="Z2" s="3">
        <f>2267.3+(83.6-888.6)+(-3.468969+(-0.127908--1.359558))+0--233.5-0.357255000000013</f>
        <v>1693.205426</v>
      </c>
      <c r="AA2" s="3">
        <f>2246.6+(72.9-910)+(-2.291532+(-0.074358--0.9282))+0--234.6-0.239292000000037</f>
        <v>1642.423018</v>
      </c>
      <c r="AB2" s="3">
        <f>2194.4+(62.2-918.4)+(2.238288+(0.063444-0.936768))+0--236.6--0.241332000000038</f>
        <v>1576.4062960000003</v>
      </c>
      <c r="AC2" s="3">
        <f>2202+(41.9-929.8)+(-1.12302+(-0.021369--0.474198))+0--238.7-0.121736999999976</f>
        <v>1552.0080720000001</v>
      </c>
      <c r="AD2" s="2">
        <v>1697.5</v>
      </c>
      <c r="AE2" s="3">
        <f>2273+(80-886.5)+(0+(0-0))+0--231-0</f>
        <v>1697.5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2207.4+(4-1004)+(-3.377322+(-0.00612--1.53612))+0--242-0.370260000000014</f>
        <v>1447.1824180000001</v>
      </c>
      <c r="G3" s="3">
        <f>2224+(4-1132.8)+(-1.13424+(-0.00204--0.577728))+0--239.9-0.122348999999976</f>
        <v>1334.4190990000002</v>
      </c>
      <c r="H3" s="3">
        <f>2219.9+(4-1221.7)+(-1.132149+(-0.00204--0.623067))+0--241-0.122909999999976</f>
        <v>1242.5659679999999</v>
      </c>
      <c r="I3" s="3">
        <f>2216.2+(4-1260.8)+(4.521048+(0.00816-2.572032))+0--241--0.491639999999989</f>
        <v>1202.8488159999999</v>
      </c>
      <c r="J3" s="3">
        <f>2128.7+(4-1189.8)+(0+(0-0))+0--240.9-0</f>
        <v>1183.8</v>
      </c>
      <c r="K3" s="3">
        <f>2015.5+(4-1057.6)+(1.027905+(0.00204-0.539376))+0--241.7--0.123266999999975</f>
        <v>1204.2138360000001</v>
      </c>
      <c r="L3" s="3">
        <f>2017.5+(30-1034.4)+(1.028925+(0.0153-0.527544))+0--241.1--0.122960999999976</f>
        <v>1254.8396419999999</v>
      </c>
      <c r="M3" s="3">
        <f>2003.5+(21-1006.8)+(-4.08714+(-0.04284--2.053872))+0--240.6-0.490823999999989</f>
        <v>1255.733068</v>
      </c>
      <c r="N3" s="3">
        <f>2110.6+(24-1044.2)+(-1.076406+(-0.01224--0.532542))+0--241.4-0.123113999999976</f>
        <v>1331.120782</v>
      </c>
      <c r="O3" s="3">
        <f>2336.9+(23-1164.1)+(1.191819+(0.01173-0.593691))+0--240.6--0.122705999999976</f>
        <v>1437.132564</v>
      </c>
      <c r="P3" s="3">
        <f>2470.7+(26-1230.5)+(-1.260057+(-0.01326--0.627555))+0--240.9-0.122858999999976</f>
        <v>1506.3313789999997</v>
      </c>
      <c r="Q3" s="3">
        <f>2523.3+(27-1265.2)+(0+(0-0))+0--237.7-0</f>
        <v>1522.8000000000002</v>
      </c>
      <c r="R3" s="3">
        <f>2499.1+(31.4-1269.3)+(-6.372705+(-0.08007--3.236715))+0--234.5-0.597974999999966</f>
        <v>1491.8859650000002</v>
      </c>
      <c r="S3" s="3">
        <f>2385.1+(15.7-1169.8)+(2.432802+(0.016014-1.193196))+0--233.4--0.238068000000037</f>
        <v>1465.8936880000001</v>
      </c>
      <c r="T3" s="3">
        <f>2339.3+(32.6-1169.3)+(-2.386086+(-0.033252--1.192686))+0--230.6-0.235212000000037</f>
        <v>1431.7381359999999</v>
      </c>
      <c r="U3" s="3">
        <f>2302.8+(31.4-1144.4)+(-4.697712+(-0.064056--2.334576))+0--231.4-0.47205599999999</f>
        <v>1418.3007520000001</v>
      </c>
      <c r="V3" s="3">
        <f>2302.1+(36.8-1149.4)+(0+(0-0))+0--232.1-0</f>
        <v>1421.5999999999997</v>
      </c>
      <c r="W3" s="3">
        <f>2308.3+(34.6-999.2)+(1.177233+(0.017646-0.509592))+0--180.8--0.0922079999999817</f>
        <v>1525.2774950000003</v>
      </c>
      <c r="X3" s="3">
        <f>2314.6+(52.6-1059.6)+(-3.541338+(-0.080478--1.621188))+0--160.2-0.245106000000009</f>
        <v>1465.5542659999999</v>
      </c>
      <c r="Y3" s="3">
        <f>2369.8+(95.1-1004.3)+(0+(0-0))+0--179.9-0</f>
        <v>1640.5000000000005</v>
      </c>
      <c r="Z3" s="3">
        <f>2557+(86.3-1215.7)+(-7.82442+(-0.264078--3.720042))+0--235-0.719100000000027</f>
        <v>1657.512444</v>
      </c>
      <c r="AA3" s="3">
        <f>2564.1+(71.9-1267)+(-1.307691+(-0.036669--0.64617))+0--234.5-0.119594999999976</f>
        <v>1602.682215</v>
      </c>
      <c r="AB3" s="3">
        <f>2570+(44.6-1287.6)+(-2.6214+(-0.045492--1.313352))+0--235-0.239700000000037</f>
        <v>1560.4067599999998</v>
      </c>
      <c r="AC3" s="3">
        <f>2572.1+(32.4-1329.9)+(-3.935313+(-0.049572--2.034747))+0--236.2-0.361386000000014</f>
        <v>1508.488476</v>
      </c>
      <c r="AD3" s="2">
        <v>1720.6999999999998</v>
      </c>
      <c r="AE3" s="3">
        <f>2548+(100.7-1159)+(0+(0-0))+0--231-0</f>
        <v>1720.7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2576.5+(40-1347.2)+(-2.62803+(-0.0408--1.374144))+0--244.9-0.249798000000039</f>
        <v>1512.655516</v>
      </c>
      <c r="G4" s="3">
        <f>2574.8+(42-1425.8)+(-3.939444+(-0.06426--2.181474))+0--244.9-0.374697000000014</f>
        <v>1433.7030730000004</v>
      </c>
      <c r="H4" s="3">
        <f>2338.8+(24-1184.7)+(-1.192788+(-0.01224--0.604197))+0--205-0.104549999999979</f>
        <v>1382.3946190000001</v>
      </c>
      <c r="I4" s="3">
        <f>2308.9+(19-1190.7)+(0+(0-0))+0--165.1-0</f>
        <v>1302.3</v>
      </c>
      <c r="J4" s="3">
        <f>2305.3+(21-1214.2)+(-3.527109+(-0.03213--1.857726))+0--165-0.25245000000001</f>
        <v>1275.1460370000002</v>
      </c>
      <c r="K4" s="3">
        <f>2312.6+(15-1210)+(-1.179426+(-0.00765--0.6171))+0--165-0.0841499999999833</f>
        <v>1281.945874</v>
      </c>
      <c r="L4" s="3">
        <f>2336.1+(9-1217)+(-4.765644+(-0.01836--2.48268))+0--166.9-0.340475999999993</f>
        <v>1292.3581999999999</v>
      </c>
      <c r="M4" s="3">
        <f>2294+(15-1179.2)+(-7.01964+(-0.0459--3.608352))+0--166.9-0.510714000000019</f>
        <v>1292.732098</v>
      </c>
      <c r="N4" s="3">
        <f>2269.1+(16-1045.8)+(2.314482+(0.01632-1.066716))+0--167.1--0.170442000000027</f>
        <v>1407.8345279999999</v>
      </c>
      <c r="O4" s="3">
        <f>2328.2+(34.8-1008.5)+(1.187382+(0.017748-0.514335))+0--166.1--0.0847109999999831</f>
        <v>1521.3755059999996</v>
      </c>
      <c r="P4" s="3">
        <f>2400.3+(44.1-1031.1)+(2.448306+(0.044982-1.051722))+0--164.1--0.167382000000026</f>
        <v>1579.0089480000001</v>
      </c>
      <c r="Q4" s="3">
        <f>2388.9+(58.9-1004.7)+(0+(0-0))+0--162.2-0</f>
        <v>1605.3</v>
      </c>
      <c r="R4" s="3">
        <f>2431.5+(53.8-1089.3)+(-6.200325+(-0.13719--2.777715))+0--160-0.407999999999977</f>
        <v>1552.0322000000001</v>
      </c>
      <c r="S4" s="3">
        <f>2434.8+(64.4-1143.3)+(-4.966992+(-0.131376--2.332332))+0--157.9-0.322115999999993</f>
        <v>1510.7118480000004</v>
      </c>
      <c r="T4" s="3">
        <f>2396.4+(50.3-1061.5)+(-2.444328+(-0.051306--1.08273))+0--157.1-0.160242000000025</f>
        <v>1540.726854</v>
      </c>
      <c r="U4" s="3">
        <f>2316.4+(48.9-991.8)+(-3.544092+(-0.074817--1.517454))+0--159.2-0.243576000000009</f>
        <v>1530.354969</v>
      </c>
      <c r="V4" s="3">
        <f>2282.7+(47.9-1015.8)+(1.164177+(0.024429-0.518058))+0--161.3--0.0822629999999836</f>
        <v>1476.8528109999997</v>
      </c>
      <c r="W4" s="3">
        <f>2270.3+(82.6-964.7)+(4.631412+(0.168504-1.967988))+0--159.2--0.324767999999993</f>
        <v>1550.5566960000003</v>
      </c>
      <c r="X4" s="3">
        <f>2367.7+(77.8-1021.1)+(-1.207527+(-0.039678--0.520761))+0--159.1-0.0811409999999839</f>
        <v>1582.6924149999998</v>
      </c>
      <c r="Y4" s="3">
        <f>2481.4+(101.6-1069.1)+(0+(0-0))+0--193.8-0</f>
        <v>1707.7</v>
      </c>
      <c r="Z4" s="3">
        <f>2552.6+(85.1-1139.8)+(-6.50913+(-0.217005--2.90649))+0--215.7-0.550034999999969</f>
        <v>1709.2303199999999</v>
      </c>
      <c r="AA4" s="3">
        <f>2539.9+(79.3-1109.8)+(-5.181396+(-0.161772--2.263992))+0--157.8-0.321911999999993</f>
        <v>1663.7989120000002</v>
      </c>
      <c r="AB4" s="3">
        <f>2485.5+(56.9-1098.2)+(0+(0-0))+0--159.1-0</f>
        <v>1603.3</v>
      </c>
      <c r="AC4" s="3">
        <f>2486.5+(24-1145.3)+(1.268115+(0.01224-0.584103))+0--159.9--0.0815489999999838</f>
        <v>1525.8778010000001</v>
      </c>
      <c r="AD4" s="2">
        <v>1717.4</v>
      </c>
      <c r="AE4" s="3">
        <f>2561+(73.4-1147.6)+(0+(0-0))+0--230.6-0</f>
        <v>1717.4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2482.7+(9-1186.5)+(-6.330885+(-0.02295--3.025575))+0-5.1--0.0130049999999993</f>
        <v>1296.7847449999999</v>
      </c>
      <c r="G5" s="3">
        <f>2354.5+(9-1151.4)+(-4.80318+(-0.01836--2.348856))+0-5.1--0.0104039999999998</f>
        <v>1204.53772</v>
      </c>
      <c r="H5" s="3">
        <f>2287.5+(9-1150.7)+(1.166625+(0.00459-0.586857))+0-4.9-0.0024989999999995</f>
        <v>1141.481859</v>
      </c>
      <c r="I5" s="3">
        <f>2275.5+(9-1176)+(-6.96303+(-0.02754--3.59856))+0-5--0.0153000000000006</f>
        <v>1100.12329</v>
      </c>
      <c r="J5" s="3">
        <f>2282.5+(9-1196.4)+(-2.32815+(-0.00918--1.220328))+0-5.2--0.00530400000000083</f>
        <v>1088.7883019999999</v>
      </c>
      <c r="K5" s="3">
        <f>2296.8+(9-1204.6)+(2.342736+(0.00918-1.228692))+0-5.2-0.00530400000000083</f>
        <v>1097.1179200000001</v>
      </c>
      <c r="L5" s="3">
        <f>2342.3+(18.2-1284)+(-3.583719+(-0.027846--1.96452))+0--163.2-0.249696000000009</f>
        <v>1237.8032590000003</v>
      </c>
      <c r="M5" s="3">
        <f>2412.3+(13.7-1331.3)+(-1.230273+(-0.006987--0.678963))+0--161.9-0.0825689999999836</f>
        <v>1255.9591340000004</v>
      </c>
      <c r="N5" s="3">
        <f>2403.9+(13.6-1167.9)+(1.225989+(0.006936-0.595629))+0--196.8--0.10036799999998</f>
        <v>1447.1376639999999</v>
      </c>
      <c r="O5" s="3">
        <f>2171.7+(35.8-876.7)+(1.107567+(0.018258-0.447117))+0--228.5--0.116534999999977</f>
        <v>1560.0952429999995</v>
      </c>
      <c r="P5" s="3">
        <f>2136.7+(74.4-821.1)+(0+(0-0))+0--229.1-0</f>
        <v>1619.0999999999997</v>
      </c>
      <c r="Q5" s="3">
        <f>2143.2+(87.2-799.1)+(1.093032+(0.044472-0.407541))+0--230.5--0.117554999999977</f>
        <v>1662.6475179999998</v>
      </c>
      <c r="R5" s="3">
        <f>2175.9+(87.4-787.5)+(-4.438836+(-0.178296--1.6065))+0--226.2-0.46144799999999</f>
        <v>1698.5279200000002</v>
      </c>
      <c r="S5" s="3">
        <f>2245.3+(71.9-894.6)+(-3.435309+(-0.110007--1.368738))+0--224.2-0.343026000000013</f>
        <v>1644.2803960000001</v>
      </c>
      <c r="T5" s="3">
        <f>2212.1+(79.1-880.2)+(-1.128171+(-0.040341--0.448902))+0--226-0.115259999999977</f>
        <v>1636.1651299999999</v>
      </c>
      <c r="U5" s="3">
        <f>2117.9+(67.7-784.6)+(-5.400645+(-0.172635--2.00073))+0--229.2-0.584459999999967</f>
        <v>1626.0429899999999</v>
      </c>
      <c r="V5" s="3">
        <f>2041.1+(77.3-725.6)+(0+(0-0))+0--231.9-0</f>
        <v>1624.6999999999998</v>
      </c>
      <c r="W5" s="3">
        <f>2026.1+(80.6-702.6)+(1.033311+(0.041106-0.358326))+0--232.4--0.118523999999976</f>
        <v>1637.334615</v>
      </c>
      <c r="X5" s="3">
        <f>2036.2+(77.4-695.2)+(0+(0-0))+0--233.7-0</f>
        <v>1652.1000000000001</v>
      </c>
      <c r="Y5" s="3">
        <f>2181.7+(102.8-721.5)+(2.225334+(0.104856-0.73593))+0--231.7--0.236334000000037</f>
        <v>1796.5305939999998</v>
      </c>
      <c r="Z5" s="3">
        <f>2303.4+(84.8-808.6)+(-2.349468+(-0.086496--0.824772))+0--233.1-0.237762000000037</f>
        <v>1810.8510459999998</v>
      </c>
      <c r="AA5" s="3">
        <f>2292.7+(60.2-832.2)+(-3.507831+(-0.092106--1.273266))+0--233.7-0.357561000000014</f>
        <v>1751.7157679999998</v>
      </c>
      <c r="AB5" s="3">
        <f>2309.9+(40.8-896.4)+(1.178049+(0.020808-0.457164))+0--233--0.118829999999976</f>
        <v>1688.160523</v>
      </c>
      <c r="AC5" s="3">
        <f>2307.5+(14.4-934.6)+(-4.7073+(-0.029376--1.906584))+0--234.3-0.47797199999999</f>
        <v>1618.2919360000001</v>
      </c>
      <c r="AD5" s="2">
        <v>1804.5</v>
      </c>
      <c r="AE5" s="3">
        <f>2304+(85.3-822.9)+(0+(0-0))+0--238.1-0</f>
        <v>1804.5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2281.3+(11.3-982)+(-3.490389+(-0.017289--1.50246))+0--233.8-0.357714000000014</f>
        <v>1542.0370680000001</v>
      </c>
      <c r="G6" s="3">
        <f>2228+(10-1014.6)+(-5.6814+(-0.0255--2.58723))+0--229.8-0.585989999999967</f>
        <v>1449.49434</v>
      </c>
      <c r="H6" s="3">
        <f>2076.6+(11.5-874.7)+(-3.177198+(-0.017595--1.338291))+0--161-0.246330000000009</f>
        <v>1372.2971679999998</v>
      </c>
      <c r="I6" s="3">
        <f>2042.2+(10-885.8)+(0+(0-0))+0--161.9-0</f>
        <v>1328.3000000000002</v>
      </c>
      <c r="J6" s="3">
        <f>2042.5+(10-903.6)+(0+(0-0))+0--162-0</f>
        <v>1310.9</v>
      </c>
      <c r="K6" s="3">
        <f>2044.6+(10-902.2)+(1.042746+(0.0051-0.460122))+0--162--0.0826199999999836</f>
        <v>1315.0703439999997</v>
      </c>
      <c r="L6" s="3">
        <f>2090.2+(11-902.7)+(-1.066002+(-0.00561--0.460377))+0--162-0.0826199999999836</f>
        <v>1359.8061449999998</v>
      </c>
      <c r="M6" s="3">
        <f>2131.3+(16.7-924.5)+(0+(0-0))+0--162.1-0</f>
        <v>1385.6000000000001</v>
      </c>
      <c r="N6" s="3">
        <f>2204.2+(28.2-946.4)+(0+(0-0))+0--228-0</f>
        <v>1514</v>
      </c>
      <c r="O6" s="3">
        <f>2227.6+(55.6-884.1)+(4.544304+(0.113424-1.803564))+0--231--0.47123999999999</f>
        <v>1633.4254040000001</v>
      </c>
      <c r="P6" s="3">
        <f>2258.5+(76.3-844.6)+(2.30367+(0.077826-0.861492))+0--226.8--0.231336000000036</f>
        <v>1718.7513399999998</v>
      </c>
      <c r="Q6" s="3">
        <f>2374.4+(62.8-904.6)+(-4.843776+(-0.128112--1.845384))+0--227.8-0.46471199999999</f>
        <v>1756.8087839999998</v>
      </c>
      <c r="R6" s="3">
        <f>2262+(73.4-808.7)+(-2.30724+(-0.074868--0.824874))+0--226-0.230520000000036</f>
        <v>1750.9122459999996</v>
      </c>
      <c r="S6" s="3">
        <f>2236.2+(72.6-830.7)+(-4.561848+(-0.148104--1.694628))+0--227.3-0.46369199999999</f>
        <v>1701.9209839999999</v>
      </c>
      <c r="T6" s="3">
        <f>2164.7+(80.6-792.8)+(1.103997+(0.041106-0.404328))+0--230.3--0.117452999999977</f>
        <v>1683.658228</v>
      </c>
      <c r="U6" s="3">
        <f>2110.3+(97.9-765.1)+(-3.228759+(-0.149787--1.170603))+0--229-0.350370000000013</f>
        <v>1669.5416869999999</v>
      </c>
      <c r="V6" s="3">
        <f>2028.7+(99.7-696.3)+(-2.069274+(-0.101694--0.710226))+0--227.4-0.231948000000036</f>
        <v>1657.8073100000001</v>
      </c>
      <c r="W6" s="3">
        <f>2019.2+(118.4-690.7)+(-7.208544+(-0.422688--2.465799))+0--227.9-0.813603000000003</f>
        <v>1668.8209640000002</v>
      </c>
      <c r="X6" s="3">
        <f>2026.2+(108.5-695.1)+(-1.033362+(-0.055335--0.354501))+0--232.9-0.118778999999976</f>
        <v>1671.647025</v>
      </c>
      <c r="Y6" s="3">
        <f>2164.4+(144.4-732.7)+(2.207688+(0.147288-0.747354))+0--235.3--0.240006000000038</f>
        <v>1813.2476279999998</v>
      </c>
      <c r="Z6" s="3">
        <f>2273.6+(116.2-784.8)+(-3.478608+(-0.177786--1.200744))+0--236.7-0.362151000000014</f>
        <v>1838.8821989999999</v>
      </c>
      <c r="AA6" s="3">
        <f>2237+(64.6-763.8)+(-2.28174+(-0.065892--0.779076))+0--237.5-0.242250000000038</f>
        <v>1773.4891940000002</v>
      </c>
      <c r="AB6" s="3">
        <f>2214.8+(46.5-786.3)+(-1.129548+(-0.023715--0.401013))+0--236.8-0.120767999999976</f>
        <v>1710.9269820000002</v>
      </c>
      <c r="AC6" s="3">
        <f>2276.4+(15-881.8)+(0+(0-0))+0--236.9-0</f>
        <v>1646.5000000000002</v>
      </c>
      <c r="AD6" s="2">
        <v>1853.0000000000002</v>
      </c>
      <c r="AE6" s="3">
        <f>2279+(130.8-792.3)+(0+(0-0))+0--235.5-0</f>
        <v>1853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2477.1+(9-1165)+(-2.526642+(-0.00918--1.1883))+0--232.2-0.236844000000037</f>
        <v>1551.7156339999999</v>
      </c>
      <c r="G7" s="3">
        <f>2419.1+(28-1222.5)+(-2.467482+(-0.02856--1.24695))+0--236.9-0.241638000000038</f>
        <v>1460.00927</v>
      </c>
      <c r="H7" s="3">
        <f>2336.1+(19-1204.8)+(-2.382822+(-0.01938--1.228896))+0--237.8-0.242556000000038</f>
        <v>1386.6841379999998</v>
      </c>
      <c r="I7" s="3">
        <f>2329+(19-1232.5)+(1.18779+(0.00969-0.628575))+0--236.3--0.120512999999976</f>
        <v>1352.4894180000001</v>
      </c>
      <c r="J7" s="3">
        <f>2327.7+(26-1260.8)+(-2.374254+(-0.02652--1.286016))+0--235.1-0.239802000000037</f>
        <v>1326.6454399999998</v>
      </c>
      <c r="K7" s="3">
        <f>2379.8+(29-1311.3)+(6.06849+(0.07395-3.343815))+0--237.1--0.604604999999966</f>
        <v>1338.00323</v>
      </c>
      <c r="L7" s="3">
        <f>2443.4+(26.1-1364.7)+(1.246134+(0.013311-0.695997))+0--241.3--0.123062999999976</f>
        <v>1346.786511</v>
      </c>
      <c r="M7" s="3">
        <f>2466.6+(25.2-1363.1)+(0+(0-0))+0--244.6-0</f>
        <v>1373.3</v>
      </c>
      <c r="N7" s="3">
        <f>2489.2+(35.8-1289.6)+(-3.808476+(-0.054774--1.973088))+0--247.5-0.378675000000014</f>
        <v>1480.631163</v>
      </c>
      <c r="O7" s="3">
        <f>2545.2+(46.7-1236.4)+(-2.596104+(-0.047634--1.261128))+0--246.3-0.251226000000039</f>
        <v>1600.1661639999995</v>
      </c>
      <c r="P7" s="3">
        <f>2536.1+(42.4-1097.1)+(2.586822+(0.043248-1.119042))+0--243.6--0.248472000000039</f>
        <v>1726.7594999999999</v>
      </c>
      <c r="Q7" s="3">
        <f>2518.3+(47.4-1104.2)+(-5.137332+(-0.096696--2.252568))+0--241.7-0.493067999999989</f>
        <v>1699.7254720000003</v>
      </c>
      <c r="R7" s="3">
        <f>2530.8+(45-1034.9)+(-3.872124+(-0.06885--1.583397))+0--237.9-0.363987000000014</f>
        <v>1776.0784360000002</v>
      </c>
      <c r="S7" s="3">
        <f>2374.3+(48-930.2)+(-4.843572+(-0.09792--1.897608))+0--238.8-0.48715199999999</f>
        <v>1727.3689640000002</v>
      </c>
      <c r="T7" s="3">
        <f>2292.7+(57.1-872.9)+(-4.677108+(-0.116484--1.780716))+0--237-0.48347999999999</f>
        <v>1710.4036439999998</v>
      </c>
      <c r="U7" s="3">
        <f>2285.3+(59.5-880.5)+(0+(0-0))+0--235.5-0</f>
        <v>1699.8000000000002</v>
      </c>
      <c r="V7" s="3">
        <f>2286.4+(63.2-888.3)+(-3.498192+(-0.096696--1.359099))+0--237.8-0.363834000000014</f>
        <v>1696.5003770000001</v>
      </c>
      <c r="W7" s="3">
        <f>2291.9+(56-884.5)+(2.337738+(0.05712-0.90219))+0--237.4--0.242148000000038</f>
        <v>1702.5348160000003</v>
      </c>
      <c r="X7" s="3">
        <f>2288.3+(61-892.7)+(-5.835165+(-0.15555--2.276385))+0--239.9-0.611744999999965</f>
        <v>1692.1739250000003</v>
      </c>
      <c r="Y7" s="3">
        <f>2408.2+(77-915.2)+(1.228182+(0.03927-0.466752))+0--239.7--0.122246999999976</f>
        <v>1810.6229469999998</v>
      </c>
      <c r="Z7" s="3">
        <f>2560.1+(64.1-1016.7)+(-2.611302+(-0.065382--1.037034))+0--241.2-0.246024000000038</f>
        <v>1846.8143259999999</v>
      </c>
      <c r="AA7" s="3">
        <f>2553.7+(54-1048)+(-6.511935+(-0.1377--2.6724))+0--240.8-0.614039999999965</f>
        <v>1795.9087249999998</v>
      </c>
      <c r="AB7" s="3">
        <f>2464.9+(44-1022.1)+(-6.285495+(-0.1122--2.606355))+0--241.6-0.616079999999965</f>
        <v>1723.9925800000001</v>
      </c>
      <c r="AC7" s="3">
        <f>2395.2+(42-1005.9)+(2.443104+(0.04284-1.026018))+0--242.2--0.247044000000039</f>
        <v>1675.2069699999997</v>
      </c>
      <c r="AD7" s="2">
        <v>1841.6</v>
      </c>
      <c r="AE7" s="3">
        <f>2553+(66.5-1021.4)+(0+(0-0))+0--243.5-0</f>
        <v>1841.6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2382.1+(45.3-1068.4)+(-4.859484+(-0.092412--2.179536))+0--241.4-0.492455999999989</f>
        <v>1597.135184</v>
      </c>
      <c r="G8" s="3">
        <f>2382+(45.1-1162.1)+(-4.85928+(-0.092004--2.370684))+0--243-0.495719999999989</f>
        <v>1504.9236800000001</v>
      </c>
      <c r="H8" s="3">
        <f>2388.3+(45.9-1241.4)+(4.872132+(0.093636-2.532456))+0--243--0.495719999999989</f>
        <v>1438.729032</v>
      </c>
      <c r="I8" s="3">
        <f>2385+(50.9-1283)+(2.4327+(0.051918-1.30866))+0--243.4--0.248268000000039</f>
        <v>1397.7242260000003</v>
      </c>
      <c r="J8" s="3">
        <f>2397.5+(49.9-1303.6)+(-6.113625+(-0.127245--3.32418))+0--243.7-0.621434999999965</f>
        <v>1383.9618750000002</v>
      </c>
      <c r="K8" s="3">
        <f>2394.2+(46.9-1299.7)+(-2.442084+(-0.047838--1.325694))+0--243.2-0.248064000000039</f>
        <v>1383.1877079999997</v>
      </c>
      <c r="L8" s="3">
        <f>2412.2+(42.2-1295.8)+(6.15111+(0.10761-3.30429))+0--243.6--0.621179999999965</f>
        <v>1405.7756099999997</v>
      </c>
      <c r="M8" s="3">
        <f>2410.9+(45.9-1259.7)+(-3.688677+(-0.070227--1.927341))+0--245.8-0.376074000000014</f>
        <v>1440.6923630000001</v>
      </c>
      <c r="N8" s="3">
        <f>2499.5+(57.7-1237)+(2.54949+(0.058854-1.26174))+0--244--0.248880000000039</f>
        <v>1565.7954840000002</v>
      </c>
      <c r="O8" s="3">
        <f>2578.4+(66.3-1200.8)+(2.629968+(0.067626-1.224816))+0--242.2--0.247044000000039</f>
        <v>1687.8198220000002</v>
      </c>
      <c r="P8" s="3">
        <f>2552.3+(63.6-1100.6)+(2.603346+(0.064872-1.122612))+0--239.2--0.243984000000038</f>
        <v>1756.2895900000001</v>
      </c>
      <c r="Q8" s="3">
        <f>2521.6+(64.7-1031.5)+(1.286016+(0.032997-0.526065))+0--236.4--0.120563999999976</f>
        <v>1792.1135120000001</v>
      </c>
      <c r="R8" s="3">
        <f>2506.9+(87.3-987.2)+(0+(0-0))+0--232.3-0</f>
        <v>1839.3</v>
      </c>
      <c r="S8" s="3">
        <f>2494.9+(64.7-1046.7)+(-5.089596+(-0.131988--2.135268))+0--232.1-0.47348399999999</f>
        <v>1741.4402</v>
      </c>
      <c r="T8" s="3">
        <f>2475+(58.5-1043.7)+(-3.78675+(-0.089505--1.596861))+0--233.5-0.357255000000013</f>
        <v>1720.6633509999999</v>
      </c>
      <c r="U8" s="3">
        <f>2475.6+(56.5-1063.9)+(-2.525112+(-0.05763--1.085178))+0--229.4-0.233988000000037</f>
        <v>1695.8684479999999</v>
      </c>
      <c r="V8" s="3">
        <f>2498.5+(52.5-1077.4)+(-3.822705+(-0.080325--1.648422))+0--227.9-0.348687000000013</f>
        <v>1698.8967050000001</v>
      </c>
      <c r="W8" s="3">
        <f>2460.6+(46-1033.4)+(-2.509812+(-0.04692--1.054068))+0--227.3-0.231846000000036</f>
        <v>1698.7654899999995</v>
      </c>
      <c r="X8" s="3">
        <f>2450.3+(46-1029.4)+(1.249653+(0.02346-0.524994))+0--227.5--0.116024999999977</f>
        <v>1695.2641440000002</v>
      </c>
      <c r="Y8" s="3">
        <f>2521.9+(57.4-1021.8)+(2.572338+(0.058548-1.042236))+0--228.8--0.233376000000036</f>
        <v>1788.122026</v>
      </c>
      <c r="Z8" s="3">
        <f>2544.2+(53-1032.4)+(-3.892626+(-0.08109--1.579572))+0--230.9-0.353277000000013</f>
        <v>1792.9525789999998</v>
      </c>
      <c r="AA8" s="3">
        <f>2543.7+(45-1090.2)+(-1.297287+(-0.02295--0.556002))+0--230.4-0.117503999999977</f>
        <v>1728.0182609999997</v>
      </c>
      <c r="AB8" s="3">
        <f>2547.1+(49-1160.6)+(0+(0-0))+0--231.2-0</f>
        <v>1666.7</v>
      </c>
      <c r="AC8" s="3">
        <f>2552.4+(46-1201.2)+(-1.301724+(-0.02346--0.612612))+0--228.9-0.116738999999977</f>
        <v>1625.2706890000002</v>
      </c>
      <c r="AD8" s="2">
        <v>1806.3</v>
      </c>
      <c r="AE8" s="3">
        <f>2537+(60-1021.7)+(0+(0-0))+0--231-0</f>
        <v>1806.3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2527.4+(36-1236.6)+(-2.577948+(-0.03672--1.261332))+0--228.5-0.233070000000036</f>
        <v>1553.7135940000003</v>
      </c>
      <c r="G9" s="3">
        <f>2462.9+(27-1267.5)+(-3.768237+(-0.04131--1.939275))+0--223.6-0.342108000000013</f>
        <v>1443.7876199999998</v>
      </c>
      <c r="H9" s="3">
        <f>2402.6+(27-1279)+(-1.225326+(-0.01377--0.65229))+0--223.1-0.113780999999977</f>
        <v>1372.9994129999998</v>
      </c>
      <c r="I9" s="3">
        <f>2323.2+(39-1247.9)+(-2.369664+(-0.03978--1.272858))+0--222.8-0.227256000000036</f>
        <v>1335.7361579999995</v>
      </c>
      <c r="J9" s="3">
        <f>2323.9+(38-1272.3)+(-2.370378+(-0.03876--1.297746))+0--223.9-0.228378000000036</f>
        <v>1312.1602300000002</v>
      </c>
      <c r="K9" s="3">
        <f>2320+(39-1261.3)+(1.1832+(0.01989-0.643263))+0--221.7--0.113066999999978</f>
        <v>1320.0728940000001</v>
      </c>
      <c r="L9" s="3">
        <f>2314.4+(40-1241.9)+(2.360688+(0.0408-1.266738))+0--225.3--0.229806000000036</f>
        <v>1339.1645559999999</v>
      </c>
      <c r="M9" s="3">
        <f>2310.7+(39-1217.7)+(-1.178457+(-0.01989--0.621027))+0--221.5-0.112964999999978</f>
        <v>1352.8097149999996</v>
      </c>
      <c r="N9" s="3">
        <f>2322.1+(29-1157.1)+(-1.184271+(-0.01479--0.590121))+0--218.4-0.111383999999978</f>
        <v>1411.679676</v>
      </c>
      <c r="O9" s="3">
        <f>2314.8+(28-1074.1)+(-1.180548+(-0.01428--0.547791))+0--220-0.112199999999978</f>
        <v>1487.9407630000003</v>
      </c>
      <c r="P9" s="3">
        <f>2396.7+(29-1112.5)+(0+(0-0))+0--220.4-0</f>
        <v>1533.6</v>
      </c>
      <c r="Q9" s="3">
        <f>2508.6+(30-1205.8)+(2.558772+(0.0306-1.229916))+0--220.2--0.224604000000035</f>
        <v>1554.5840599999999</v>
      </c>
      <c r="R9" s="3">
        <f>2378.1+(23-1079.2)+(0+(0-0))+0--219.1-0</f>
        <v>1540.9999999999998</v>
      </c>
      <c r="S9" s="3">
        <f>2314.1+(16-1063)+(-5.900955+(-0.0408--2.71065))+0--219.8-0.560489999999968</f>
        <v>1483.1084049999997</v>
      </c>
      <c r="T9" s="3">
        <f>2306.5+(13-1091.3)+(-2.35263+(-0.01326--1.113126))+0--218.3-0.222666000000035</f>
        <v>1445.0245699999998</v>
      </c>
      <c r="U9" s="3">
        <f>2300.1+(13-1109.3)+(-3.519153+(-0.01989--1.697229))+0--217.7-0.333081000000013</f>
        <v>1419.3251049999999</v>
      </c>
      <c r="V9" s="3">
        <f>2309+(10-1118.1)+(0+(0-0))+0--218.7-0</f>
        <v>1419.6000000000001</v>
      </c>
      <c r="W9" s="3">
        <f>2325.1+(10-1106.6)+(5.929005+(0.0255-2.82183))+0--219.9--0.560744999999968</f>
        <v>1452.0934200000002</v>
      </c>
      <c r="X9" s="3">
        <f>2327.3+(16-1072.6)+(4.747692+(0.03264-2.188104))+0--220.5--0.44981999999999</f>
        <v>1494.2420480000003</v>
      </c>
      <c r="Y9" s="3">
        <f>2429.8+(24.9-1060.9)+(2.478396+(0.025398-1.082118))+0--219.2--0.223584000000035</f>
        <v>1614.6452600000002</v>
      </c>
      <c r="Z9" s="3">
        <f>2516.8+(19-1113)+(1.283568+(0.00969-0.56763))+0--218.6--0.111485999999978</f>
        <v>1642.237114</v>
      </c>
      <c r="AA9" s="3">
        <f>2517.7+(18-1163.3)+(0+(0-0))+0--215.2-0</f>
        <v>1587.6</v>
      </c>
      <c r="AB9" s="3">
        <f>2517.6+(20-1217.4)+(-3.851928+(-0.0306--1.862622))+0--214-0.327420000000012</f>
        <v>1531.8526739999998</v>
      </c>
      <c r="AC9" s="3">
        <f>2524.4+(21-1272.5)+(-1.287444+(-0.01071--0.648975))+0--215.5-0.109904999999978</f>
        <v>1487.6409160000001</v>
      </c>
      <c r="AD9" s="2">
        <v>1795.6</v>
      </c>
      <c r="AE9" s="3">
        <f>2504+(23.9-949.4)+(0+(0-0))+0--217.1-0</f>
        <v>1795.6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2523.7+(12-1415.9)+(-3.861261+(-0.01836--2.166327))+0--219-0.335070000000013</f>
        <v>1336.7516359999997</v>
      </c>
      <c r="G10" s="3">
        <f>2526.1+(15-1459)+(0+(0-0))+0--216.2-0</f>
        <v>1298.3</v>
      </c>
      <c r="H10" s="3">
        <f>2494.2+(13-1462.9)+(-3.816126+(-0.01989--2.238237))+0--216.3-0.330939000000013</f>
        <v>1258.6712819999998</v>
      </c>
      <c r="I10" s="3">
        <f>2377.4+(15-1391.6)+(-3.637422+(-0.02295--2.129148))+0--219.3-0.335529000000013</f>
        <v>1218.2332470000003</v>
      </c>
      <c r="J10" s="3">
        <f>2378.5+(15-1385.5)+(-3.639105+(-0.02295--2.119815))+0--219.6-0.335988000000013</f>
        <v>1225.7217719999999</v>
      </c>
      <c r="K10" s="3">
        <f>2376.8+(14-1392.7)+(0+(0-0))+0--221-0</f>
        <v>1219.1000000000001</v>
      </c>
      <c r="L10" s="3">
        <f>2409.3+(19-1396.8)+(0+(0-0))+0--222-0</f>
        <v>1253.5000000000002</v>
      </c>
      <c r="M10" s="3">
        <f>2415.7+(21-1394.8)+(-1.232007+(-0.01071--0.711348))+0--219.1-0.111740999999978</f>
        <v>1260.3568899999998</v>
      </c>
      <c r="N10" s="3">
        <f>2366.4+(17-1274.1)+(0+(0-0))+0--214.4-0</f>
        <v>1323.7000000000003</v>
      </c>
      <c r="O10" s="3">
        <f>2427+(11-1247)+(-2.47554+(-0.01122--1.27194))+0--214.7-0.218994000000034</f>
        <v>1404.2661860000001</v>
      </c>
      <c r="P10" s="3">
        <f>2468.2+(10-1187.7)+(-1.258782+(-0.0051--0.605727))+0--215.5-0.109904999999978</f>
        <v>1505.2319399999997</v>
      </c>
      <c r="Q10" s="3">
        <f>2491.2+(10-1178.3)+(-2.541024+(-0.0102--1.201866))+0--216-0.220320000000034</f>
        <v>1537.3303219999998</v>
      </c>
      <c r="R10" s="3">
        <f>2500+(10-1192.9)+(-1.275+(-0.0051--0.608379))+0--215.5-0.109904999999978</f>
        <v>1531.8183739999999</v>
      </c>
      <c r="S10" s="3">
        <f>2442.1+(15.5-1171.2)+(-4.981884+(-0.03162--2.389248))+0--214.2-0.436967999999991</f>
        <v>1497.5387759999999</v>
      </c>
      <c r="T10" s="3">
        <f>2380.2+(15.1-1143.6)+(1.213902+(0.007701-0.583236))+0--213.6--0.108935999999978</f>
        <v>1466.0473029999998</v>
      </c>
      <c r="U10" s="3">
        <f>2427.3+(10-1212.2)+(-2.475846+(-0.0102--1.236444))+0--214.3-0.218586000000034</f>
        <v>1437.931812</v>
      </c>
      <c r="V10" s="3">
        <f>2477.5+(10-1280.3)+(-1.263525+(-0.0051--0.652953))+0--214.7-0.109496999999978</f>
        <v>1421.1748310000003</v>
      </c>
      <c r="W10" s="3">
        <f>2494+(10-1281.9)+(-3.81582+(-0.0153--1.961307))+0--215.2-0.329256000000012</f>
        <v>1435.1009309999999</v>
      </c>
      <c r="X10" s="3">
        <f>2487.9+(13-1250.4)+(-2.537658+(-0.01326--1.275408))+0--214.9-0.219198000000034</f>
        <v>1463.9052920000001</v>
      </c>
      <c r="Y10" s="3">
        <f>2512.1+(39.2-1177.4)+(2.562342+(0.039984-1.200948))+0--214.4--0.218688000000034</f>
        <v>1589.9200659999999</v>
      </c>
      <c r="Z10" s="3">
        <f>2528.6+(44.5-1164.2)+(-7.737516+(-0.13617--3.562452))+0--213.8-0.654228000000025</f>
        <v>1617.7345379999997</v>
      </c>
      <c r="AA10" s="3">
        <f>2524+(24.9-1183.5)+(0+(0-0))+0--215.7-0</f>
        <v>1581.1000000000001</v>
      </c>
      <c r="AB10" s="3">
        <f>2532.6+(15.6-1223.5)+(-1.291626+(-0.007956--0.623985))+0--215.7-0.110006999999978</f>
        <v>1539.6143959999999</v>
      </c>
      <c r="AC10" s="3">
        <f>2532.3+(9-1250.9)+(-5.165892+(-0.01836--2.551836))+0--213.1-0.434723999999991</f>
        <v>1500.4328600000001</v>
      </c>
      <c r="AD10" s="2">
        <v>1570.4</v>
      </c>
      <c r="AE10" s="3">
        <f>2521+(40-1204.6)+(0+(0-0))+0--214-0</f>
        <v>1570.4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2540+(7.9-1318.5)+(-2.5908+(-0.008058--1.34487))+0--213.5-0.217770000000034</f>
        <v>1441.4282420000002</v>
      </c>
      <c r="G11" s="3">
        <f>2538.5+(7.2-1394.9)+(-3.883905+(-0.011016--2.134197))+0--213.2-0.326196000000012</f>
        <v>1361.91308</v>
      </c>
      <c r="H11" s="3">
        <f>2483.2+(8.8-1413.4)+(-3.799296+(-0.013464--2.162502))+0--212.5-0.325125000000012</f>
        <v>1289.1246169999997</v>
      </c>
      <c r="I11" s="3">
        <f>2404+(8.8-1379)+(-1.22604+(-0.004488--0.70329))+0--213.5-0.108884999999978</f>
        <v>1246.6638770000002</v>
      </c>
      <c r="J11" s="3">
        <f>2392+(8.7-1383.5)+(2.43984+(0.008874-1.41117))+0--213.9--0.218178000000034</f>
        <v>1232.3557220000002</v>
      </c>
      <c r="K11" s="3">
        <f>2398.2+(8.7-1389.6)+(0+(0-0))+0--213.9-0</f>
        <v>1231.2</v>
      </c>
      <c r="L11" s="3">
        <f>2401.5+(8.7-1414)+(-4.89906+(-0.017748--2.88456))+0--214.1-0.436763999999991</f>
        <v>1207.8309879999999</v>
      </c>
      <c r="M11" s="3">
        <f>2400.8+(8.7-1407.7)+(-1.224408+(-0.004437--0.717927))+0--215.1-0.109700999999978</f>
        <v>1216.2793810000001</v>
      </c>
      <c r="N11" s="3">
        <f>2401.8+(8.7-1356.6)+(-2.449836+(-0.008874--1.383732))+0--214.3-0.218586000000034</f>
        <v>1266.9064360000002</v>
      </c>
      <c r="O11" s="3">
        <f>2448.8+(8.7-1329.4)+(-1.248888+(-0.004437--0.677994))+0--216-0.110159999999978</f>
        <v>1343.4145090000002</v>
      </c>
      <c r="P11" s="3">
        <f>2505.6+(8.7-1306.8)+(-2.555712+(-0.008874--1.332936))+0--216.3-0.220626000000034</f>
        <v>1422.347724</v>
      </c>
      <c r="Q11" s="3">
        <f>2491.4+(8.7-1235.2)+(-3.811842+(-0.013311--1.889856))+0--220.1-0.336753000000013</f>
        <v>1482.72795</v>
      </c>
      <c r="R11" s="3">
        <f>2402+(9.7-1162.2)+(-2.45004+(-0.009894--1.185444))+0--219.3-0.223686000000035</f>
        <v>1467.3018239999999</v>
      </c>
      <c r="S11" s="3">
        <f>2380.6+(18-1173.8)+(-3.642318+(-0.02754--1.795914))+0--215.8-0.330174000000013</f>
        <v>1438.395882</v>
      </c>
      <c r="T11" s="3">
        <f>2380.8+(9.7-1188.4)+(-3.642624+(-0.014841--1.818252))+0--216.2-0.330786000000012</f>
        <v>1416.1300010000002</v>
      </c>
      <c r="U11" s="3">
        <f>2434.6+(9.7-1273.7)+(-3.724938+(-0.014841--1.948761))+0--217.5-0.332775000000013</f>
        <v>1385.9762069999999</v>
      </c>
      <c r="V11" s="3">
        <f>2454.1+(9.7-1287.9)+(-7.509546+(-0.029682--3.940974))+0--218.5-0.668610000000025</f>
        <v>1390.1331359999999</v>
      </c>
      <c r="W11" s="3">
        <f>2459.1+(9.7-1263.3)+(-2.508282+(-0.009894--1.288566))+0--217.8-0.222156000000035</f>
        <v>1421.8482339999998</v>
      </c>
      <c r="X11" s="3">
        <f>2488.4+(10.7-1266.5)+(1.269084+(0.005457-0.645915))+0--217.7--0.111026999999978</f>
        <v>1451.039653</v>
      </c>
      <c r="Y11" s="3">
        <f>2549.1+(20.9-1224)+(0+(0-0))+0--222.8-0</f>
        <v>1568.8</v>
      </c>
      <c r="Z11" s="3">
        <f>2569.8+(31.7-1246.6)+(-5.242392+(-0.064668--2.543064))+0--225.7-0.46042799999999</f>
        <v>1577.3755760000004</v>
      </c>
      <c r="AA11" s="3">
        <f>2495.8+(21.5-1208.3)+(-2.545716+(-0.02193--1.232466))+0--227.3-0.231846000000036</f>
        <v>1534.732974</v>
      </c>
      <c r="AB11" s="3">
        <f>2351.1+(25-1126.5)+(-1.199061+(-0.01275--0.574515))+0--229-0.116789999999977</f>
        <v>1477.8459139999998</v>
      </c>
      <c r="AC11" s="3">
        <f>2246+(9.7-1059)+(-3.43638+(-0.014841--1.62027))+0--228.3-0.349299000000013</f>
        <v>1422.8197500000001</v>
      </c>
      <c r="AD11" s="2">
        <v>1573.6</v>
      </c>
      <c r="AE11" s="3">
        <f>2565+(20.5-1236.4)+(0+(0-0))+0--224.5-0</f>
        <v>1573.6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2248.9+(4-1156.6)+(-3.440817+(-0.00612--1.769598))+0--230.6-0.352818000000013</f>
        <v>1324.8698429999999</v>
      </c>
      <c r="G12" s="3">
        <f>2251.9+(3-1241.3)+(-2.296938+(-0.00306--1.266126))+0--229.7-0.234294000000037</f>
        <v>1242.0318340000001</v>
      </c>
      <c r="H12" s="3">
        <f>2254.1+(3-1299)+(2.299182+(0.00306-1.32498))+0--231.9--0.236538000000037</f>
        <v>1191.2138</v>
      </c>
      <c r="I12" s="3">
        <f>2256.9+(3-1338.6)+(3.453057+(0.00459-2.048058))+0--233.6--0.357408000000013</f>
        <v>1156.6669970000003</v>
      </c>
      <c r="J12" s="3">
        <f>2264+(3-1374.2)+(1.15464+(0.00153-0.700842))+0--233.9--0.119288999999976</f>
        <v>1127.274617</v>
      </c>
      <c r="K12" s="3">
        <f>2270.6+(3-1364.2)+(3.474018+(0.00459-2.087226))+0--233.9--0.357867000000014</f>
        <v>1145.0492489999999</v>
      </c>
      <c r="L12" s="3">
        <f>2259.6+(3-1363.1)+(-3.457188+(-0.00459--2.085543))+0--235.3-0.360009000000014</f>
        <v>1133.063756</v>
      </c>
      <c r="M12" s="3">
        <f>2231.3+(3-1317.2)+(-2.275926+(-0.00306--1.343544))+0--239.2-0.243984000000038</f>
        <v>1155.1205740000003</v>
      </c>
      <c r="N12" s="3">
        <f>2273.3+(7-1338.6)+(-1.159383+(-0.00357--0.682686))+0--236-0.120359999999976</f>
        <v>1177.0993730000005</v>
      </c>
      <c r="O12" s="3">
        <f>2431.7+(9-1388.2)+(2.480334+(0.00918-1.415964))+0--233.2--0.237864000000037</f>
        <v>1287.0114139999998</v>
      </c>
      <c r="P12" s="3">
        <f>2437.3+(6-1306.6)+(3.729069+(0.00918-1.999098))+0--232.8--0.356184000000013</f>
        <v>1371.5953350000002</v>
      </c>
      <c r="Q12" s="3">
        <f>2419.1+(4-1290)+(-1.233741+(-0.00204--0.6579))+0--230.6-0.117605999999977</f>
        <v>1363.0045129999999</v>
      </c>
      <c r="R12" s="3">
        <f>2407.8+(0-1265.5)+(-2.455956+(0--1.29081))+0--228.4-0.232968000000036</f>
        <v>1369.3018860000002</v>
      </c>
      <c r="S12" s="3">
        <f>2322.1+(0-1203.6)+(0+(0-0))+0--226.4-0</f>
        <v>1344.9</v>
      </c>
      <c r="T12" s="3">
        <f>2251.9+(0-1151.5)+(1.148469+(0-0.587265))+0--227.2--0.115871999999977</f>
        <v>1328.2770760000003</v>
      </c>
      <c r="U12" s="3">
        <f>2249.6+(0-1170.2)+(-1.147296+(0--0.596802))+0--229.8-0.117197999999977</f>
        <v>1308.5323079999998</v>
      </c>
      <c r="V12" s="3">
        <f>2250.5+(0-1175.9)+(3.443265+(0-1.799127))+0--229.3--0.350829000000013</f>
        <v>1305.894967</v>
      </c>
      <c r="W12" s="3">
        <f>2237.2+(0-1169.2)+(-2.281944+(0--1.192584))+0--231.1-0.235722000000037</f>
        <v>1297.7749179999996</v>
      </c>
      <c r="X12" s="3">
        <f>2237.9+(0-1161.8)+(-1.141329+(0--0.592518))+0--229.5-0.117044999999977</f>
        <v>1304.9341440000003</v>
      </c>
      <c r="Y12" s="3">
        <f>2384.6+(8.6-1163.4)+(2.432292+(0.008772-1.186668))+0--229.4--0.233988000000037</f>
        <v>1460.6883839999998</v>
      </c>
      <c r="Z12" s="3">
        <f>2523+(7-1219)+(1.28673+(0.00357-0.62169))+0--231.2--0.117911999999977</f>
        <v>1542.9865219999999</v>
      </c>
      <c r="AA12" s="3">
        <f>2534.2+(0-1254.9)+(1.292442+(0-0.639999))+0--230.7--0.117656999999977</f>
        <v>1510.7700999999997</v>
      </c>
      <c r="AB12" s="3">
        <f>2539.8+(2-1300.9)+(-2.590596+(-0.00204--1.326918))+0--232.2-0.236844000000037</f>
        <v>1471.597438</v>
      </c>
      <c r="AC12" s="3">
        <f>2453.6+(3.9-1265.4)+(-1.251336+(-0.001989--0.645354))+0--235.2-0.119951999999976</f>
        <v>1426.572077</v>
      </c>
      <c r="AD12" s="2">
        <v>1474.5</v>
      </c>
      <c r="AE12" s="3">
        <f>2503+(19-1279.5)+(0+(0-0))+0--232-0</f>
        <v>1474.5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2440.6+(4-1281.6)+(-1.244706+(-0.00204--0.653616))+0--236.9-0.120818999999976</f>
        <v>1399.1860510000001</v>
      </c>
      <c r="G13" s="3">
        <f>2341.7+(3-1272.3)+(-2.388534+(-0.00306--1.297746))+0--237.9-0.242658000000038</f>
        <v>1308.9634939999999</v>
      </c>
      <c r="H13" s="3">
        <f>2328.9+(3-1335.4)+(-2.375478+(-0.00306--1.362108))+0--239.2-0.243984000000038</f>
        <v>1234.439586</v>
      </c>
      <c r="I13" s="3">
        <f>2260.2+(3-1309.1)+(0+(0-0))+0--240.5-0</f>
        <v>1194.5999999999999</v>
      </c>
      <c r="J13" s="3">
        <f>2161.6+(3-1226.3)+(1.102416+(0.00153-0.625413))+0--240--0.122399999999976</f>
        <v>1178.9009329999999</v>
      </c>
      <c r="K13" s="3">
        <f>2144.7+(3-1183.3)+(2.187594+(0.00306-1.206966))+0--216.5--0.220830000000035</f>
        <v>1182.1045179999999</v>
      </c>
      <c r="L13" s="3">
        <f>2147.9+(3-1177.9)+(0+(0-0))+0--161.2-0</f>
        <v>1134.2</v>
      </c>
      <c r="M13" s="3">
        <f>2155.5+(5.9-1212.3)+(-1.099305+(-0.003009--0.618273))+0--161.6-0.0824159999999836</f>
        <v>1110.1335430000001</v>
      </c>
      <c r="N13" s="3">
        <f>2156.4+(3-1176.2)+(2.199528+(0.00306-1.199724))+0--160.8--0.164016000000026</f>
        <v>1145.16688</v>
      </c>
      <c r="O13" s="3">
        <f>2214.7+(9.7-1235.5)+(-1.129497+(-0.004947--0.630105))+0--170.7-0.0870569999999827</f>
        <v>1159.0086039999999</v>
      </c>
      <c r="P13" s="3">
        <f>2315.9+(25.3-1379.9)+(-5.905545+(-0.064515--3.518745))+0--230.9-0.588794999999967</f>
        <v>1189.1598900000001</v>
      </c>
      <c r="Q13" s="3">
        <f>2270.4+(24.7-1337.4)+(-1.157904+(-0.012597--0.682074))+0--228.8-0.116687999999977</f>
        <v>1185.8948849999999</v>
      </c>
      <c r="R13" s="3">
        <f>2075.5+(11.3-1151.5)+(0+(0-0))+0--226.1-0</f>
        <v>1161.3999999999999</v>
      </c>
      <c r="S13" s="3">
        <f>2021.8+(5-1086.3)+(0+(0-0))+0--200.8-0</f>
        <v>1141.3</v>
      </c>
      <c r="T13" s="3">
        <f>2017.1+(3-1043.6)+(-2.057442+(-0.00306--1.064472))+0--154.9-0.157998000000025</f>
        <v>1130.2459719999999</v>
      </c>
      <c r="U13" s="3">
        <f>2018.7+(3.4-1053.3)+(-1.029537+(-0.001734--0.537183))+0--154.1-0.0785909999999844</f>
        <v>1122.3273210000002</v>
      </c>
      <c r="V13" s="3">
        <f>2014.6+(3-1048.7)+(1.027446+(0.00153-0.534837))+0--155.1--0.0791009999999843</f>
        <v>1124.5732399999999</v>
      </c>
      <c r="W13" s="3">
        <f>2018.4+(4-1026.4)+(-1.029384+(-0.00204--0.523464))+0--156.3-0.0797129999999841</f>
        <v>1151.712327</v>
      </c>
      <c r="X13" s="3">
        <f>2031.7+(7.3-1013.6)+(-2.072334+(-0.007446--1.033872))+0--156.8-0.159936000000025</f>
        <v>1180.994156</v>
      </c>
      <c r="Y13" s="3">
        <f>2153.1+(12.7-1009.9)+(1.098081+(0.006477-0.515049))+0--179.4--0.0914939999999818</f>
        <v>1335.9810030000001</v>
      </c>
      <c r="Z13" s="3">
        <f>2316+(21.3-1087.3)+(-2.36232+(-0.021726--1.109046))+0--231.2-0.235824000000037</f>
        <v>1479.6891759999999</v>
      </c>
      <c r="AA13" s="3">
        <f>2316.5+(18.7-1091.7)+(-1.181415+(-0.009537--0.556767))+0--230.3-0.117452999999977</f>
        <v>1473.048362</v>
      </c>
      <c r="AB13" s="3">
        <f>2324.3+(13.7-1163.3)+(-2.370786+(-0.013974--1.186566))+0--231.2-0.235824000000037</f>
        <v>1404.4659820000002</v>
      </c>
      <c r="AC13" s="3">
        <f>2333.5+(4-1238.3)+(-1.190085+(-0.00204--0.631533))+0--234.2-0.119441999999976</f>
        <v>1332.7199660000001</v>
      </c>
      <c r="AD13" s="2">
        <v>1497.3999999999999</v>
      </c>
      <c r="AE13" s="3">
        <f>2314+(20-1067.7)+(0+(0-0))+0--231.1-0</f>
        <v>1497.3999999999999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2213.2+(8.9-1169.4)+(-2.257464+(-0.009078--1.192788))+0--235.3-0.240006000000038</f>
        <v>1286.6862399999998</v>
      </c>
      <c r="G14" s="3">
        <f>2136.8+(8.8-1176.1)+(-2.179536+(-0.008976--1.199622))+0--237-0.241740000000038</f>
        <v>1205.2693700000004</v>
      </c>
      <c r="H14" s="3">
        <f>2141.9+(8.8-1220.1)+(-2.184738+(-0.008976--1.244502))+0--237.9-0.242658000000038</f>
        <v>1167.3081300000001</v>
      </c>
      <c r="I14" s="3">
        <f>2147.4+(8.6-1236.2)+(-2.190348+(-0.008772--1.260924))+0--237.6-0.242352000000038</f>
        <v>1156.219452</v>
      </c>
      <c r="J14" s="3">
        <f>2147.5+(8.5-1188)+(-2.19045+(-0.00867--1.21176))+0--178.8-0.182376000000029</f>
        <v>1145.6302640000001</v>
      </c>
      <c r="K14" s="3">
        <f>2084.8+(8.3-1090)+(1.063248+(0.004233-0.5559))+0--157--0.0800699999999841</f>
        <v>1160.6916510000001</v>
      </c>
      <c r="L14" s="3">
        <f>2078.6+(13.2-1047.4)+(0+(0-0))+0--157.2-0</f>
        <v>1201.5999999999999</v>
      </c>
      <c r="M14" s="3">
        <f>2084.3+(12.6-1033.7)+(1.062993+(0.006426-0.527187))+0--159.1--0.0811409999999839</f>
        <v>1222.9233730000001</v>
      </c>
      <c r="N14" s="3">
        <f>2241.3+(27.8-1129)+(-1.143063+(-0.014178--0.57579))+0--196.3-0.10011299999998</f>
        <v>1335.7184360000001</v>
      </c>
      <c r="O14" s="3">
        <f>2285.6+(36-1101.5)+(0+(0-0))+0--239.6-0</f>
        <v>1459.6999999999998</v>
      </c>
      <c r="P14" s="3">
        <f>2302.7+(29.8-1036.6)+(0+(0-0))+0--236.7-0</f>
        <v>1532.6</v>
      </c>
      <c r="Q14" s="3">
        <f>2317.2+(26.8-1004.1)+(-1.181772+(-0.013668--0.512091))+0--230.2-0.117401999999977</f>
        <v>1569.2992489999997</v>
      </c>
      <c r="R14" s="3">
        <f>2369.1+(19.6-1037.6)+(-2.416482+(-0.019992--1.058352))+0--230.3-0.234906000000037</f>
        <v>1579.7869719999997</v>
      </c>
      <c r="S14" s="3">
        <f>2366.5+(20.4-1072.1)+(-4.82766+(-0.041616--2.187084))+0--227.7-0.46450799999999</f>
        <v>1539.3533000000002</v>
      </c>
      <c r="T14" s="3">
        <f>2354.6+(15.7-1076.6)+(-3.602538+(-0.024021--1.647198))+0--224.4-0.343332000000013</f>
        <v>1515.7773070000003</v>
      </c>
      <c r="U14" s="3">
        <f>2348.3+(13.8-1091.8)+(-2.395266+(-0.014076--1.113636))+0--220.9-0.225318000000035</f>
        <v>1489.6789760000001</v>
      </c>
      <c r="V14" s="3">
        <f>2315.3+(20-1049)+(0+(0-0))+0--221.5-0</f>
        <v>1507.8000000000002</v>
      </c>
      <c r="W14" s="3">
        <f>2247.6+(20.8-968.3)+(-1.146276+(-0.010608--0.493833))+0--225.9-0.115208999999977</f>
        <v>1525.22174</v>
      </c>
      <c r="X14" s="3">
        <f>2242.1+(22-957.3)+(-1.143471+(-0.01122--0.488223))+0--231.7-0.118166999999976</f>
        <v>1537.715365</v>
      </c>
      <c r="Y14" s="3">
        <f>2377.5+(31.6-956.6)+(1.212525+(0.016116-0.487866))+0--231.7--0.118166999999976</f>
        <v>1685.0589420000001</v>
      </c>
      <c r="Z14" s="3">
        <f>2494.3+(46.4-1004.6)+(-7.632558+(-0.141984--3.074076))+0--230.4-0.705024000000027</f>
        <v>1761.0945100000001</v>
      </c>
      <c r="AA14" s="3">
        <f>2536.4+(30-1091.4)+(-3.880692+(-0.0459--1.669842))+0--230.7-0.352971000000013</f>
        <v>1703.090279</v>
      </c>
      <c r="AB14" s="3">
        <f>2551.5+(15.4-1158.6)+(-1.301265+(-0.007854--0.590886))+0--230.8-0.117707999999977</f>
        <v>1638.2640590000001</v>
      </c>
      <c r="AC14" s="3">
        <f>2567.6+(10.2-1259.1)+(-3.928428+(-0.015606--1.926423))+0--232.1-0.355113000000013</f>
        <v>1548.4272759999999</v>
      </c>
      <c r="AD14" s="2">
        <v>1765.5</v>
      </c>
      <c r="AE14" s="3">
        <f>2469+(58.8-993.4)+(0+(0-0))+0--231.1-0</f>
        <v>1765.5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2452.1+(10-1315)+(-5.002284+(-0.0204--2.6826))+0--231.4-0.47205599999999</f>
        <v>1375.68786</v>
      </c>
      <c r="G15" s="3">
        <f>2456.1+(9-1358.8)+(-6.263055+(-0.02295--3.46494))+0--233.4-0.595169999999966</f>
        <v>1336.2837649999999</v>
      </c>
      <c r="H15" s="3">
        <f>2470.3+(9-1402.3)+(-6.299265+(-0.02295--3.575865))+0--232-0.591599999999966</f>
        <v>1305.6620500000004</v>
      </c>
      <c r="I15" s="3">
        <f>2441.6+(12-1396.8)+(-2.490432+(-0.01224--1.424736))+0--229.9-0.234498000000037</f>
        <v>1285.3875660000001</v>
      </c>
      <c r="J15" s="3">
        <f>2427.9+(17-1403.8)+(1.238229+(0.00867-0.715938))+0--230.5--0.117554999999977</f>
        <v>1272.2485160000001</v>
      </c>
      <c r="K15" s="3">
        <f>2433.3+(18-1392.9)+(-1.240983+(-0.00918--0.710379))+0--230.3-0.117452999999977</f>
        <v>1288.0427629999999</v>
      </c>
      <c r="L15" s="3">
        <f>2459+(24-1380.8)+(1.25409+(0.01224-0.704208))+0--229.1--0.116840999999977</f>
        <v>1331.978963</v>
      </c>
      <c r="M15" s="3">
        <f>2602.6+(35-1496.7)+(-1.327326+(-0.01785--0.763317))+0--227.9-0.116228999999977</f>
        <v>1368.1019120000001</v>
      </c>
      <c r="N15" s="3">
        <f>2759.8+(21-1537.9)+(0+(0-0))+0--230.7-0</f>
        <v>1473.6000000000001</v>
      </c>
      <c r="O15" s="3">
        <f>2863.9+(22-1543.9)+(-2.921178+(-0.02244--1.574778))+0--226.8-0.231336000000036</f>
        <v>1567.1998239999998</v>
      </c>
      <c r="P15" s="3">
        <f>2860.9+(23-1474.5)+(-1.459059+(-0.01173--0.751995))+0--225.5-0.115004999999977</f>
        <v>1634.0662010000003</v>
      </c>
      <c r="Q15" s="3">
        <f>2836.1+(14-1393.4)+(-7.232055+(-0.0357--3.55317))+0--220.2-0.561509999999968</f>
        <v>1672.6239049999999</v>
      </c>
      <c r="R15" s="3">
        <f>2801.3+(10-1404.8)+(-2.857326+(-0.0102--1.432896))+0--217.6-0.221952000000035</f>
        <v>1622.4434180000001</v>
      </c>
      <c r="S15" s="3">
        <f>2783.4+(10-1422.9)+(-7.09767+(-0.0255--3.628395))+0--219.4-0.559469999999968</f>
        <v>1585.8457550000003</v>
      </c>
      <c r="T15" s="3">
        <f>2715.4+(10-1356.3)+(-6.92427+(-0.0255--3.458565))+0--221.9-0.565844999999968</f>
        <v>1586.9429500000001</v>
      </c>
      <c r="U15" s="3">
        <f>2712.8+(10-1376.3)+(-2.767056+(-0.0102--1.403826))+0--223.1-0.227562000000036</f>
        <v>1567.999008</v>
      </c>
      <c r="V15" s="3">
        <f>2727.5+(10-1371.6)+(-5.5641+(-0.0204--2.798064))+0--221-0.45083999999999</f>
        <v>1583.662724</v>
      </c>
      <c r="W15" s="3">
        <f>2792.1+(10-1424.8)+(-1.423971+(-0.0051--0.726648))+0--218.1-0.111230999999978</f>
        <v>1594.5863459999998</v>
      </c>
      <c r="X15" s="3">
        <f>2823.3+(10-1455.7)+(0+(0-0))+0--219.4-0</f>
        <v>1597.0000000000002</v>
      </c>
      <c r="Y15" s="3">
        <f>2995.8+(12-1491.9)+(1.527858+(0.00612-0.760869))+0--218.3--0.111332999999978</f>
        <v>1735.0844420000001</v>
      </c>
      <c r="Z15" s="3">
        <f>3069.4+(11-1501.5)+(3.130788+(0.01122-1.53153))+0--219.4--0.223788000000035</f>
        <v>1800.1342660000003</v>
      </c>
      <c r="AA15" s="3">
        <f>3094.8+(11-1591)+(-4.735044+(-0.01683--2.43423))+0--222.2-0.339966000000013</f>
        <v>1734.3423900000003</v>
      </c>
      <c r="AB15" s="3">
        <f>3106.9+(11-1675.1)+(0+(0-0))+0--227.6-0</f>
        <v>1670.4</v>
      </c>
      <c r="AC15" s="3">
        <f>3097.4+(10-1736.1)+(-3.159348+(-0.0102--1.770822))+0--227.3-0.231846000000036</f>
        <v>1596.9694280000001</v>
      </c>
      <c r="AD15" s="2">
        <v>1783.9</v>
      </c>
      <c r="AE15" s="3">
        <f>3079+(10.6-1528.1)+(0+(0-0))+0--222.4-0</f>
        <v>1783.9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3053.3+(10-1750.7)+(0+(0-0))+0--228.5-0</f>
        <v>1541.1000000000001</v>
      </c>
      <c r="G16" s="3">
        <f>2896.4+(9-1687.3)+(0+(0-0))+0--228.3-0</f>
        <v>1446.4</v>
      </c>
      <c r="H16" s="3">
        <f>2734.8+(9-1577.5)+(0+(0-0))+0--227.2-0</f>
        <v>1393.5000000000002</v>
      </c>
      <c r="I16" s="3">
        <f>2682.7+(9-1550.6)+(0+(0-0))+0--222.2-0</f>
        <v>1363.3</v>
      </c>
      <c r="J16" s="3">
        <f>2705.4+(9-1558.9)+(0+(0-0))+0--219.9-0</f>
        <v>1375.4</v>
      </c>
      <c r="K16" s="3">
        <f>2715.4+(9-1516.9)+(0+(0-0))+0--154.5-0</f>
        <v>1362</v>
      </c>
      <c r="L16" s="3">
        <f>2744.3+(9-1508.5)+(1.399593+(0.00459-0.769335))+0--155.1--0.0791009999999843</f>
        <v>1400.613949</v>
      </c>
      <c r="M16" s="3">
        <f>2806.5+(9-1550)+(4.293945+(0.01377-2.3715))+0--155.2--0.237456000000009</f>
        <v>1422.8736710000001</v>
      </c>
      <c r="N16" s="3">
        <f>2934.4+(9-1560)+(-2.993088+(-0.00918--1.5912))+0--154.3-0.157386000000025</f>
        <v>1536.1315460000001</v>
      </c>
      <c r="O16" s="3">
        <f>3069+(9-1604.9)+(-3.13038+(-0.00918--1.636998))+0--152.9-0.155958000000024</f>
        <v>1624.34148</v>
      </c>
      <c r="P16" s="3">
        <f>3056.5+(9-1542.7)+(-4.676445+(-0.01377--2.360331))+0--154-0.235620000000009</f>
        <v>1674.234496</v>
      </c>
      <c r="Q16" s="3">
        <f>2971.2+(9-1483)+(0+(0-0))+0--153.4-0</f>
        <v>1650.6</v>
      </c>
      <c r="R16" s="3">
        <f>2964.8+(10-1517.7)+(-9.072288+(-0.0306--4.644162))+0--221.9-0.679014000000026</f>
        <v>1673.8622600000001</v>
      </c>
      <c r="S16" s="3">
        <f>2703.8+(10-1296.4)+(1.378938+(0.0051-0.661164))+0--223--0.113729999999977</f>
        <v>1641.2366040000002</v>
      </c>
      <c r="T16" s="3">
        <f>2668.3+(10-1256)+(-2.721666+(-0.0102--1.28112))+0--221.9-0.226338000000035</f>
        <v>1642.5229160000004</v>
      </c>
      <c r="U16" s="3">
        <f>2664.7+(10-1281.4)+(-1.358997+(-0.0051--0.653514))+0--225.3-0.114902999999977</f>
        <v>1617.7745139999997</v>
      </c>
      <c r="V16" s="3">
        <f>2657.9+(10-1272.7)+(-2.711058+(-0.0102--1.298154))+0--217.2-0.221544000000035</f>
        <v>1610.7553520000001</v>
      </c>
      <c r="W16" s="3">
        <f>2526.8+(10-1138.8)+(0+(0-0))+0--215.1-0</f>
        <v>1613.1000000000001</v>
      </c>
      <c r="X16" s="3">
        <f>2575.2+(10-1181.9)+(-1.313352+(-0.0051--0.602769))+0--215.7-0.110006999999978</f>
        <v>1618.1743099999999</v>
      </c>
      <c r="Y16" s="3">
        <f>2883.4+(12-1374.4)+(1.470534+(0.00612-0.700944))+0--216.2--0.110261999999978</f>
        <v>1738.0859719999999</v>
      </c>
      <c r="Z16" s="3">
        <f>3097.1+(11-1513)+(-4.738563+(-0.01683--2.31489))+0--215.8-0.330174000000013</f>
        <v>1808.1293229999999</v>
      </c>
      <c r="AA16" s="3">
        <f>3092.5+(11-1566)+(-9.46305+(-0.03366--4.79196))+0--215.4-0.659124000000025</f>
        <v>1747.536126</v>
      </c>
      <c r="AB16" s="3">
        <f>3102.4+(11-1642.9)+(-7.91112+(-0.02805--4.189395))+0--215.5-0.549524999999969</f>
        <v>1681.7007000000001</v>
      </c>
      <c r="AC16" s="3">
        <f>3101.6+(10-1715.4)+(-6.327264+(-0.0204--3.499416))+0--217.1-0.442883999999991</f>
        <v>1610.0088679999997</v>
      </c>
      <c r="AD16" s="2">
        <v>1823.7</v>
      </c>
      <c r="AE16" s="3">
        <f>3101+(10-1503.3)+(0+(0-0))+0--216-0</f>
        <v>1823.7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3092.2+(9.7-1742.3)+(-1.577022+(-0.004947--0.888573))+0--212.6-0.108425999999978</f>
        <v>1571.3981779999999</v>
      </c>
      <c r="G17" s="3">
        <f>2928+(8.7-1658.8)+(-4.47984+(-0.013311--2.537964))+0--217.8-0.333234000000013</f>
        <v>1493.4115790000001</v>
      </c>
      <c r="H17" s="3">
        <f>2818.5+(8.6-1613.4)+(2.87487+(0.008772-1.645668))+0--216.8--0.221136000000035</f>
        <v>1431.9591099999998</v>
      </c>
      <c r="I17" s="3">
        <f>2763.6+(8.6-1529)+(2.818872+(0.008772-1.55958))+0--155--0.158100000000025</f>
        <v>1399.626164</v>
      </c>
      <c r="J17" s="3">
        <f>2683.5+(8.6-1458.7)+(-2.73717+(-0.008772--1.487874))+0--149.9-0.152898000000024</f>
        <v>1381.8890339999998</v>
      </c>
      <c r="K17" s="3">
        <f>2690.9+(8.5-1455.2)+(1.372359+(0.004335-0.742152))+0--149.9--0.0764489999999848</f>
        <v>1394.8109910000001</v>
      </c>
      <c r="L17" s="3">
        <f>2692.4+(8.5-1446.6)+(-2.746248+(-0.00867--1.475532))+0--153.5-0.156570000000024</f>
        <v>1406.3640440000001</v>
      </c>
      <c r="M17" s="3">
        <f>2813+(9.5-1564.6)+(2.86926+(0.00969-1.595892))+0--164--0.167280000000026</f>
        <v>1423.3503380000002</v>
      </c>
      <c r="N17" s="3">
        <f>3041.6+(9.5-1703)+(3.102432+(0.00969-1.73706))+0--221.7--0.226134000000035</f>
        <v>1571.401196</v>
      </c>
      <c r="O17" s="3">
        <f>3044.8+(9.5-1603.4)+(4.658544+(0.014535-2.453202))+0--219.3--0.335529000000013</f>
        <v>1672.755406</v>
      </c>
      <c r="P17" s="3">
        <f>3048.7+(9.5-1526.5)+(4.664511+(0.014535-2.335545))+0--215.3--0.329409000000012</f>
        <v>1749.6729099999998</v>
      </c>
      <c r="Q17" s="3">
        <f>3027.1+(9.5-1475.4)+(0+(0-0))+0--214.2-0</f>
        <v>1775.3999999999999</v>
      </c>
      <c r="R17" s="3">
        <f>3016.4+(9.9-1457.6)+(0+(0-0))+0--214.6-0</f>
        <v>1783.3000000000002</v>
      </c>
      <c r="S17" s="3">
        <f>3022.9+(9.7-1511.6)+(-9.250074+(-0.029682--4.625496))+0--214.5-0.656370000000025</f>
        <v>1730.1893700000003</v>
      </c>
      <c r="T17" s="3">
        <f>3038.2+(10.1-1540.6)+(0+(0-0))+0--213.7-0</f>
        <v>1721.3999999999999</v>
      </c>
      <c r="U17" s="3">
        <f>2913.7+(10.2-1429.6)+(0+(0-0))+0--214.2-0</f>
        <v>1708.5</v>
      </c>
      <c r="V17" s="3">
        <f>2908.8+(10.2-1459.5)+(-2.966976+(-0.010404--1.48869))+0--216.9-0.221238000000035</f>
        <v>1674.6900720000003</v>
      </c>
      <c r="W17" s="3">
        <f>2881.4+(10-1447.6)+(-4.408542+(-0.0153--2.214828))+0--217.3-0.332469000000013</f>
        <v>1658.5585170000002</v>
      </c>
      <c r="X17" s="3">
        <f>2849.7+(10-1440.3)+(-1.453347+(-0.0051--0.734553))+0--218.1-0.111230999999978</f>
        <v>1636.6648749999997</v>
      </c>
      <c r="Y17" s="3">
        <f>2975+(12.3-1437.2)+(4.55175+(0.018819-2.198916))+0--219.3--0.335529000000013</f>
        <v>1772.1071819999997</v>
      </c>
      <c r="Z17" s="3">
        <f>3060.3+(12.3-1449)+(0+(0-0))+0--222.8-0</f>
        <v>1846.4</v>
      </c>
      <c r="AA17" s="3">
        <f>3079.1+(11.3-1510.7)+(-4.711023+(-0.017289--2.311371))+0--221.9-0.339507000000013</f>
        <v>1798.843552</v>
      </c>
      <c r="AB17" s="3">
        <f>3087.5+(11.3-1572.9)+(-6.2985+(-0.023052--3.208716))+0--223.2-0.45532799999999</f>
        <v>1745.5318359999999</v>
      </c>
      <c r="AC17" s="3">
        <f>3079.2+(10.4-1600.3)+(-7.85196+(-0.02652--4.080765))+0--225.4-0.574769999999967</f>
        <v>1710.3275150000002</v>
      </c>
      <c r="AD17" s="2">
        <v>1852.3</v>
      </c>
      <c r="AE17" s="3">
        <f>3067+(10-1446.3)+(0+(0-0))+0--221.6-0</f>
        <v>1852.3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3027.1+(4-1477.1)+(4.631463+(0.00612-2.259963))+0--225.5--0.345015000000013</f>
        <v>1782.2226350000001</v>
      </c>
      <c r="G18" s="3">
        <f>2962.3+(3-1492.2)+(-4.532319+(-0.00459--2.283066))+0--227.6-0.348228000000013</f>
        <v>1698.097929</v>
      </c>
      <c r="H18" s="3">
        <f>2972.6+(3-1542.9)+(-1.516026+(-0.00153--0.786879))+0--199.8-0.10189799999998</f>
        <v>1631.6674249999999</v>
      </c>
      <c r="I18" s="3">
        <f>2975.6+(3-1537.2)+(-7.58778+(-0.00765--3.91986))+0--153.3-0.390914999999978</f>
        <v>1590.6335149999998</v>
      </c>
      <c r="J18" s="3">
        <f>2859.6+(3-1452.1)+(5.833584+(0.00612-2.962284))+0--158--0.322319999999993</f>
        <v>1571.69974</v>
      </c>
      <c r="K18" s="3">
        <f>2838.4+(3-1456.2)+(-1.447584+(-0.00153--0.742662))+0--160.6-0.0819059999999837</f>
        <v>1545.0116420000002</v>
      </c>
      <c r="L18" s="3">
        <f>2817.1+(3-1542.6)+(-5.746884+(-0.00612--3.146904))+0--159.4-0.325175999999993</f>
        <v>1433.9687240000001</v>
      </c>
      <c r="M18" s="3">
        <f>2756.5+(3-1501.8)+(-4.217445+(-0.00459--2.297754))+0--159.3-0.243729000000009</f>
        <v>1414.8319899999999</v>
      </c>
      <c r="N18" s="3">
        <f>2861.7+(3-1569.9)+(-1.459467+(-0.00153--0.800649))+0--219.2-0.111791999999978</f>
        <v>1513.2278599999997</v>
      </c>
      <c r="O18" s="3">
        <f>3031.6+(3-1659.1)+(0+(0-0))+0--225.2-0</f>
        <v>1600.7</v>
      </c>
      <c r="P18" s="3">
        <f>3056.5+(3-1596.2)+(0+(0-0))+0--221.8-0</f>
        <v>1685.1</v>
      </c>
      <c r="Q18" s="3">
        <f>3033.1+(3-1524.7)+(1.546881+(0.00153-0.777597))+0--220--0.112199999999978</f>
        <v>1732.2830139999999</v>
      </c>
      <c r="R18" s="3">
        <f>3020.7+(10.1-1508.3)+(-1.540557+(-0.005151--0.769233))+0--221.9-0.113168999999977</f>
        <v>1743.510356</v>
      </c>
      <c r="S18" s="3">
        <f>2972.9+(11.2-1482.8)+(-3.032358+(-0.011424--1.512456))+0--215-0.219300000000034</f>
        <v>1714.5493740000002</v>
      </c>
      <c r="T18" s="3">
        <f>2785+(10.2-1283)+(-1.42035+(-0.005202--0.65433))+0--216.1-0.110210999999978</f>
        <v>1727.4185669999999</v>
      </c>
      <c r="U18" s="3">
        <f>2735+(10.2-1251.9)+(-6.97425+(-0.02601--3.192345))+0--218-0.555899999999968</f>
        <v>1706.9361849999998</v>
      </c>
      <c r="V18" s="3">
        <f>2746.2+(9.9-1286.3)+(0+(0-0))+0--218.1-0</f>
        <v>1687.8999999999999</v>
      </c>
      <c r="W18" s="3">
        <f>2734.5+(9.7-1289.6)+(-6.972975+(-0.024735--3.28848))+0--218.3-0.556664999999968</f>
        <v>1668.6341050000001</v>
      </c>
      <c r="X18" s="3">
        <f>2749.3+(9.7-1297.5)+(-1.402143+(-0.004947--0.661725))+0--217.9-0.111128999999978</f>
        <v>1678.5435060000004</v>
      </c>
      <c r="Y18" s="3">
        <f>2850+(11.6-1289.4)+(-1.4535+(-0.005916--0.657594))+0--218.3-0.111332999999978</f>
        <v>1789.5868449999998</v>
      </c>
      <c r="Z18" s="3">
        <f>3123.6+(11.5-1466.8)+(-4.779108+(-0.017595--2.244204))+0--218.1-0.333693000000013</f>
        <v>1883.5138079999999</v>
      </c>
      <c r="AA18" s="3">
        <f>3123.7+(10.4-1502.1)+(-6.372348+(-0.021216--3.064284))+0--217.3-0.443291999999991</f>
        <v>1845.5274280000001</v>
      </c>
      <c r="AB18" s="3">
        <f>2994.8+(10.6-1417.1)+(-1.527348+(-0.005406--0.722721))+0--218.5-0.111434999999978</f>
        <v>1805.8785320000002</v>
      </c>
      <c r="AC18" s="3">
        <f>2873.2+(9.6-1356.7)+(1.465332+(0.004896-0.691917))+0--216.8--0.110567999999978</f>
        <v>1743.7888789999997</v>
      </c>
      <c r="AD18" s="2">
        <v>1893.7999999999997</v>
      </c>
      <c r="AE18" s="3">
        <f>3150+(9.2-1483.9)+(0+(0-0))+0--218.5-0</f>
        <v>1893.8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2919.2+(9.4-1298.5)+(-7.44396+(-0.02397--3.311175))+0--214.6-0.547229999999969</f>
        <v>1839.9960149999999</v>
      </c>
      <c r="G19" s="3">
        <f>2923.7+(8.4-1409.3)+(-7.455435+(-0.02142--3.593715))+0--221.3-0.564314999999968</f>
        <v>1739.6525449999999</v>
      </c>
      <c r="H19" s="3">
        <f>2851.7+(8.5-1395.2)+(4.363101+(0.013005-2.134656))+0--220.5--0.337365000000013</f>
        <v>1688.0788149999998</v>
      </c>
      <c r="I19" s="3">
        <f>2840.6+(8.6-1420.3)+(7.24353+(0.02193-3.621765))+0--222.7--0.567884999999968</f>
        <v>1655.8115799999998</v>
      </c>
      <c r="J19" s="3">
        <f>2808.8+(8.7-1397.7)+(-7.16244+(-0.022185--3.564135))+0--223.1-0.568904999999968</f>
        <v>1638.7106050000002</v>
      </c>
      <c r="K19" s="3">
        <f>2745.9+(9.9-1325.5)+(0+(0-0))+0--173.5-0</f>
        <v>1603.8000000000002</v>
      </c>
      <c r="L19" s="3">
        <f>2697.5+(9.8-1406.4)+(-5.5029+(-0.019992--2.869056))+0--226.4-0.46185599999999</f>
        <v>1524.1843080000001</v>
      </c>
      <c r="M19" s="3">
        <f>2692.4+(9.7-1390.1)+(1.373124+(0.004947-0.708951))+0--227.7--0.116126999999977</f>
        <v>1540.4852470000003</v>
      </c>
      <c r="N19" s="3">
        <f>2761.1+(9.7-1345.1)+(2.816322+(0.009894-1.372002))+0--226.9--0.231438000000036</f>
        <v>1654.2856520000003</v>
      </c>
      <c r="O19" s="3">
        <f>2867.4+(9.7-1348.2)+(0+(0-0))+0--226-0</f>
        <v>1754.9</v>
      </c>
      <c r="P19" s="3">
        <f>2845+(18.2-1260.6)+(-1.45095+(-0.009282--0.642906))+0--226.3-0.115412999999977</f>
        <v>1827.967261</v>
      </c>
      <c r="Q19" s="3">
        <f>2617.6+(35.9-1011.6)+(-5.339904+(-0.073236--2.063664))+0--223.9-0.45675599999999</f>
        <v>1861.9937679999998</v>
      </c>
      <c r="R19" s="3">
        <f>2680.2+(33.1-1081.2)+(2.733804+(0.033762-1.102824))+0--221.3--0.225726000000035</f>
        <v>1855.2904679999997</v>
      </c>
      <c r="S19" s="3">
        <f>2720.9+(20.8-1119.6)+(-4.162977+(-0.031824--1.712988))+0--219.9-0.336447000000013</f>
        <v>1839.1817400000002</v>
      </c>
      <c r="T19" s="3">
        <f>2722.7+(19.5-1097.2)+(-1.388577+(-0.009945--0.559572))+0--217.7-0.111026999999978</f>
        <v>1861.7500229999998</v>
      </c>
      <c r="U19" s="3">
        <f>2563.9+(30.7-943.8)+(-3.922767+(-0.046971--1.444014))+0--217.7-0.333081000000013</f>
        <v>1865.6411950000002</v>
      </c>
      <c r="V19" s="3">
        <f>2355.3+(26.3-776.4)+(1.201203+(0.013413-0.395964))+0--218.7--0.111536999999978</f>
        <v>1824.8301890000002</v>
      </c>
      <c r="W19" s="3">
        <f>2395.6+(11.6-722.2)+(-2.443512+(-0.011832--0.736644))+0--99.2-0.101184000000016</f>
        <v>1782.380116</v>
      </c>
      <c r="X19" s="3">
        <f>2416.9+(5.7-743.5)+(-4.930476+(-0.011628--1.51674))+0--87.5-0.178499999999996</f>
        <v>1762.9961360000002</v>
      </c>
      <c r="Y19" s="3">
        <f>2442.2+(24.7-689.3)+(1.245522+(0.012597-0.351543))+0--92.2--0.0470219999999906</f>
        <v>1870.753598</v>
      </c>
      <c r="Z19" s="3">
        <f>2770.5+(6-1029.8)+(-4.238865+(-0.00918--1.575594))+0--218.1-0.333693000000013</f>
        <v>1961.793856</v>
      </c>
      <c r="AA19" s="3">
        <f>2673.1+(5-980.7)+(-6.816405+(-0.01275--2.500785))+0--223.2-0.569159999999968</f>
        <v>1915.7024699999999</v>
      </c>
      <c r="AB19" s="3">
        <f>2738.2+(5-1091.1)+(-5.585928+(-0.0102--2.225844))+0--224.1-0.45716399999999</f>
        <v>1872.3725519999998</v>
      </c>
      <c r="AC19" s="3">
        <f>2748+(4-1160.1)+(-5.60592+(-0.00816--2.366604))+0--225.4-0.45981599999999</f>
        <v>1813.5927080000001</v>
      </c>
      <c r="AD19" s="2">
        <v>1898.1</v>
      </c>
      <c r="AE19" s="3">
        <f>2839+(16-1179)+(0+(0-0))+0--222.1-0</f>
        <v>1898.1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2815.2+(10-1296)+(0+(0-0))+0--224.7-0</f>
        <v>1753.8999999999999</v>
      </c>
      <c r="G20" s="3">
        <f>2859.3+(8.9-1414.8)+(-5.832972+(-0.018156--2.886192))+0--218.5-0.44573999999999</f>
        <v>1668.4893240000004</v>
      </c>
      <c r="H20" s="3">
        <f>2778.2+(8.9-1330.7)+(-5.667528+(-0.018156--2.714628))+0--155.2-0.316607999999993</f>
        <v>1608.3123359999997</v>
      </c>
      <c r="I20" s="3">
        <f>2774.5+(8.9-1361.5)+(-2.82999+(-0.009078--1.38873))+0--155.4-0.158508000000025</f>
        <v>1575.6911540000001</v>
      </c>
      <c r="J20" s="3">
        <f>2724.8+(8.9-1328.6)+(-4.168944+(-0.013617--2.032758))+0--156.5-0.239445000000009</f>
        <v>1559.2107520000004</v>
      </c>
      <c r="K20" s="3">
        <f>2657.3+(9.9-1260.9)+(1.355223+(0.005049-0.643059))+0--156.2--0.0796619999999841</f>
        <v>1563.296875</v>
      </c>
      <c r="L20" s="3">
        <f>2699.3+(9.9-1303.2)+(0+(0-0))+0--155.1-0</f>
        <v>1561.1000000000001</v>
      </c>
      <c r="M20" s="3">
        <f>2779+(9.8-1366.3)+(-1.41729+(-0.004998--0.696813))+0--156.1-0.0796109999999842</f>
        <v>1577.7949140000001</v>
      </c>
      <c r="N20" s="3">
        <f>2786+(10.2-1291.4)+(-4.26258+(-0.015606--1.975842))+0--189-0.289170000000011</f>
        <v>1691.208486</v>
      </c>
      <c r="O20" s="3">
        <f>2862.2+(9.9-1320.4)+(1.459722+(0.005049-0.673404))+0--224.8--0.114647999999977</f>
        <v>1777.4060149999998</v>
      </c>
      <c r="P20" s="3">
        <f>2986.2+(12-1375.8)+(0+(0-0))+0--220.9-0</f>
        <v>1843.3</v>
      </c>
      <c r="Q20" s="3">
        <f>2972+(23.9-1307)+(3.03144+(0.024378-1.33314))+0--225.4--0.229908000000036</f>
        <v>1916.2525860000003</v>
      </c>
      <c r="R20" s="3">
        <f>2911.8+(12.9-1201.4)+(1.485018+(0.006579-0.612714))+0--221.5--0.112964999999978</f>
        <v>1945.7918480000003</v>
      </c>
      <c r="S20" s="3">
        <f>2881+(25.9-1252.9)+(-8.81586+(-0.079254--3.833874))+0--223.4-0.683604000000026</f>
        <v>1871.655156</v>
      </c>
      <c r="T20" s="3">
        <f>2950.2+(10.3-1282.2)+(-3.009204+(-0.010506--1.307844))+0--221.7-0.226134000000035</f>
        <v>1898.0619999999997</v>
      </c>
      <c r="U20" s="3">
        <f>3005.9+(10.3-1335.7)+(-4.599027+(-0.015759--2.043621))+0--220.6-0.337518000000013</f>
        <v>1898.1913169999998</v>
      </c>
      <c r="V20" s="3">
        <f>2890.1+(11.3-1228.3)+(-1.473951+(-0.005763--0.626433))+0--221.1-0.112760999999978</f>
        <v>1893.2339579999998</v>
      </c>
      <c r="W20" s="3">
        <f>2885.7+(11.3-1264.3)+(1.471707+(0.005763-0.644793))+0--224.9--0.114698999999977</f>
        <v>1858.547376</v>
      </c>
      <c r="X20" s="3">
        <f>2889.2+(11.3-1285.8)+(-4.420476+(-0.017289--1.967274))+0--227-0.347310000000013</f>
        <v>1838.8821989999997</v>
      </c>
      <c r="Y20" s="3">
        <f>3046.8+(12.1-1362.4)+(-3.107736+(-0.012342--1.389648))+0--227.7-0.232254000000036</f>
        <v>1922.237316</v>
      </c>
      <c r="Z20" s="3">
        <f>3158.3+(11.9-1397)+(-8.053665+(-0.030345--3.56235))+0--230.2-0.587009999999967</f>
        <v>1998.2913300000002</v>
      </c>
      <c r="AA20" s="3">
        <f>2812.6+(18.1-1106.9)+(-5.737704+(-0.036924--2.258076))+0--231.1-0.47144399999999</f>
        <v>1950.9120039999996</v>
      </c>
      <c r="AB20" s="3">
        <f>2674.5+(65.3-1078.4)+(-2.72799+(-0.066606--1.099968))+0--231.7-0.236334000000037</f>
        <v>1891.169038</v>
      </c>
      <c r="AC20" s="3">
        <f>2628.5+(69.3-1091.9)+(-4.021605+(-0.106029--1.670607))+0--231.9-0.354807000000013</f>
        <v>1834.9881660000001</v>
      </c>
      <c r="AD20" s="2">
        <v>1959.8</v>
      </c>
      <c r="AE20" s="3">
        <f>3149+(17-1436.3)+(0+(0-0))+0--230.1-0</f>
        <v>1959.8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2629.1+(39.3-1103.2)+(-4.022523+(-0.060129--1.687896))+0--232-0.354960000000013</f>
        <v>1794.4502839999998</v>
      </c>
      <c r="G21" s="3">
        <f>2635.3+(32.6-1189.3)+(-5.376012+(-0.066504--2.426172))+0--233.8-0.47695199999999</f>
        <v>1708.9067040000002</v>
      </c>
      <c r="H21" s="3">
        <f>2644.3+(9.5-1251.7)+(-2.697186+(-0.00969--1.276734))+0--235.1-0.239802000000037</f>
        <v>1635.5300560000001</v>
      </c>
      <c r="I21" s="3">
        <f>2647.9+(9.5-1301.8)+(-4.051287+(-0.014535--1.991754))+0--213.5-0.326655000000012</f>
        <v>1566.6992770000002</v>
      </c>
      <c r="J21" s="3">
        <f>2661.7+(9.5-1295.6)+(-1.357467+(-0.004845--0.660756))+0--162.4-0.0828239999999835</f>
        <v>1537.2156199999999</v>
      </c>
      <c r="K21" s="3">
        <f>2666.2+(10.5-1308.8)+(1.359762+(0.005355-0.667488))+0--161.8--0.0825179999999836</f>
        <v>1530.4801469999998</v>
      </c>
      <c r="L21" s="3">
        <f>2717.3+(10.5-1376.4)+(-9.700761+(-0.037485--4.913748))+0--222.2-0.793254000000003</f>
        <v>1567.9822480000003</v>
      </c>
      <c r="M21" s="3">
        <f>2752.9+(10.5-1407.3)+(0+(0-0))+0--244.9-0</f>
        <v>1601.0000000000002</v>
      </c>
      <c r="N21" s="3">
        <f>2831.8+(10.5-1346.1)+(1.444218+(0.005355-0.686511))+0--244.6--0.124745999999975</f>
        <v>1741.6878080000001</v>
      </c>
      <c r="O21" s="3">
        <f>2817.6+(10.5-1258)+(-2.873952+(-0.01071--1.28316))+0--241.1-0.245922000000038</f>
        <v>1809.3525759999998</v>
      </c>
      <c r="P21" s="3">
        <f>2220.1+(84.9-703)+(1.132251+(0.043299-0.35853))+0--236.9--0.120818999999976</f>
        <v>1839.837839</v>
      </c>
      <c r="Q21" s="3">
        <f>2222.5+(104.3-672.3)+(0+(0-0))+0--235.3-0</f>
        <v>1889.8</v>
      </c>
      <c r="R21" s="3">
        <f>2201.5+(123.9-636.4)+(0+(0-0))+0--234.3-0</f>
        <v>1923.3</v>
      </c>
      <c r="S21" s="3">
        <f>2188.3+(189.3-725.4)+(-5.580165+(-0.482715--1.84977))+0--231.9-0.591344999999966</f>
        <v>1879.2955450000004</v>
      </c>
      <c r="T21" s="3">
        <f>2206.6+(184.9-713.3)+(0+(0-0))+0--232.6-0</f>
        <v>1910.7999999999997</v>
      </c>
      <c r="U21" s="3">
        <f>2192.8+(129.3-747.4)+(-2.236656+(-0.131886--0.762348))+0--233.4-0.238068000000037</f>
        <v>1806.2557380000003</v>
      </c>
      <c r="V21" s="3">
        <f>2208.8+(101.5-807.7)+(-3.379464+(-0.155295--1.235781))+0--234.4-0.358632000000014</f>
        <v>1734.3423900000003</v>
      </c>
      <c r="W21" s="3">
        <f>2276.2+(25.8-760.5)+(-1.160862+(-0.013158--0.387855))+0--236.2-0.120461999999976</f>
        <v>1776.7933729999997</v>
      </c>
      <c r="X21" s="3">
        <f>2346.1+(11.5-749.8)+(-3.589533+(-0.017595--1.147194))+0--238.6-0.365058000000014</f>
        <v>1843.5750079999998</v>
      </c>
      <c r="Y21" s="3">
        <f>2413.4+(12.5-715.9)+(-1.230834+(-0.006375--0.365109))+0--240.4-0.122603999999976</f>
        <v>1949.4052960000001</v>
      </c>
      <c r="Z21" s="3">
        <f>2452.9+(25.4-831.1)+(-2.501958+(-0.025908--0.847722))+0--242.8-0.247656000000039</f>
        <v>1888.0722000000001</v>
      </c>
      <c r="AA21" s="3">
        <f>2575.5+(24.5-896.2)+(-1.313505+(-0.012495--0.457062))+0--244.6-0.124745999999975</f>
        <v>1947.4063159999998</v>
      </c>
      <c r="AB21" s="3">
        <f>2585.5+(39.9-975.5)+(-5.27442+(-0.081396--1.99002))+0--246-0.501839999999989</f>
        <v>1892.0323640000001</v>
      </c>
      <c r="AC21" s="3">
        <f>2588.1+(30.4-1016.8)+(1.319931+(0.015504-0.518568))+0--248--0.126479999999975</f>
        <v>1850.6433469999997</v>
      </c>
      <c r="AD21" s="2">
        <v>1961.3</v>
      </c>
      <c r="AE21" s="3">
        <f>2565+(18.5-866)+(0+(0-0))+0--243.8-0</f>
        <v>1961.3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2480.7+(51.4-1000.7)+(1.265157+(0.026214-0.510357))+0--248.9--0.126938999999975</f>
        <v>1781.2079529999996</v>
      </c>
      <c r="G22" s="3">
        <f>2476.8+(31.1-1054.2)+(-1.263168+(-0.015861--0.537642))+0--248.8-0.126887999999975</f>
        <v>1701.6317250000002</v>
      </c>
      <c r="H22" s="3">
        <f>2280.3+(44.4-928.1)+(-1.162953+(-0.022644--0.473331))+0--249.5-0.127244999999975</f>
        <v>1645.2604890000002</v>
      </c>
      <c r="I22" s="3">
        <f>2145.9+(36.2-842.8)+(0+(0-0))+0--249-0</f>
        <v>1588.3000000000002</v>
      </c>
      <c r="J22" s="3">
        <f>2123.1+(25.8-829.5)+(0+(0-0))+0--250.2-0</f>
        <v>1569.6</v>
      </c>
      <c r="K22" s="3">
        <f>2103.2+(26.2-809.4)+(-3.217896+(-0.040086--1.238382))+0--248.3-0.379899000000014</f>
        <v>1565.9005009999998</v>
      </c>
      <c r="L22" s="3">
        <f>2070.5+(35.5-788.4)+(-2.11191+(-0.03621--0.804168))+0--249.6-0.25459200000004</f>
        <v>1565.6014559999999</v>
      </c>
      <c r="M22" s="3">
        <f>2190.5+(9.6-869)+(2.23431+(0.009792-0.88638))+0--251.9--0.25693800000004</f>
        <v>1584.61466</v>
      </c>
      <c r="N22" s="3">
        <f>2297.6+(15.7-843.3)+(4.687104+(0.032028-1.720332))+0--250.5--0.511019999999989</f>
        <v>1724.00982</v>
      </c>
      <c r="O22" s="3">
        <f>2446.2+(10.6-857.9)+(-2.495124+(-0.010812--0.875058))+0--248.6-0.25357200000004</f>
        <v>1845.6155499999998</v>
      </c>
      <c r="P22" s="3">
        <f>2565.3+(20.8-940.9)+(-1.308303+(-0.010608--0.479859))+0--240.9-0.122858999999976</f>
        <v>1885.1380890000003</v>
      </c>
      <c r="Q22" s="3">
        <f>2549.3+(28.2-884.5)+(2.600286+(0.028764-0.90219))+0--236.9--0.241638000000038</f>
        <v>1931.8684980000003</v>
      </c>
      <c r="R22" s="3">
        <f>2471.7+(71.5-829.5)+(0+(0-0))+0--233.1-0</f>
        <v>1946.7999999999997</v>
      </c>
      <c r="S22" s="3">
        <f>2362.8+(170.7-839.6)+(-4.820112+(-0.348228--1.712784))+0--232.4-0.47409599999999</f>
        <v>1922.3703480000004</v>
      </c>
      <c r="T22" s="3">
        <f>2279.7+(235.6-789.9)+(2.325294+(0.240312-0.805698))+0--232.7--0.237354000000037</f>
        <v>1960.097262</v>
      </c>
      <c r="U22" s="3">
        <f>2274.1+(217.4-816.9)+(2.319582+(0.221748-0.833238))+0--232.6--0.237252000000037</f>
        <v>1909.145344</v>
      </c>
      <c r="V22" s="3">
        <f>2264.3+(177.1-739.6)+(-3.464379+(-0.270963--1.131588))+0--230.3-0.352359000000013</f>
        <v>1929.1438870000002</v>
      </c>
      <c r="W22" s="3">
        <f>2301.9+(68.7-716.6)+(-1.173969+(-0.035037--0.365466))+0--231.3-0.117962999999977</f>
        <v>1884.338497</v>
      </c>
      <c r="X22" s="3">
        <f>2396.3+(34.2-814.9)+(-6.110565+(-0.08721--2.077995))+0--233.5-0.595424999999966</f>
        <v>1844.3847950000004</v>
      </c>
      <c r="Y22" s="3">
        <f>2426.2+(72.1-790)+(2.474724+(0.073542-0.8058))+0--239.2--0.243984000000038</f>
        <v>1949.4864499999996</v>
      </c>
      <c r="Z22" s="3">
        <f>2444.5+(171.4-832.1)+(-1.246695+(-0.087414--0.424371))+0--241.1-0.122960999999976</f>
        <v>2023.8673009999998</v>
      </c>
      <c r="AA22" s="3">
        <f>2399.2+(199.1-860.4)+(-4.894368+(-0.406164--1.755216))+0--241.4-0.492455999999989</f>
        <v>1975.2622280000001</v>
      </c>
      <c r="AB22" s="3">
        <f>2251.4+(321.5-798.3)+(-2.296428+(-0.32793--0.814266))+0--241.9-0.246738000000039</f>
        <v>2014.4431700000002</v>
      </c>
      <c r="AC22" s="3">
        <f>2227.8+(290.5-780.1)+(-4.544712+(-0.59262--1.591404))+0--241.8-0.493271999999989</f>
        <v>1975.9608000000003</v>
      </c>
      <c r="AD22" s="2">
        <v>2006</v>
      </c>
      <c r="AE22" s="3">
        <f>2414+(196.9-846.5)+(0+(0-0))+0--241.6-0</f>
        <v>2006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2193.4+(281.3-764.8)+(-1.118634+(-0.143463--0.390048))+0--239.8-0.122297999999976</f>
        <v>1948.705653</v>
      </c>
      <c r="G23" s="3">
        <f>2193.4+(191.8-749.4)+(-3.355902+(-0.293454--1.146582))+0--238-0.364140000000014</f>
        <v>1870.9330860000002</v>
      </c>
      <c r="H23" s="3">
        <f>2204.6+(132.5-763.9)+(0+(0-0))+0--239.9-0</f>
        <v>1813.1</v>
      </c>
      <c r="I23" s="3">
        <f>2169.2+(81.2-724.5)+(-5.53146+(-0.20706--1.847475))+0--240-0.611999999999965</f>
        <v>1761.3969549999999</v>
      </c>
      <c r="J23" s="3">
        <f>2136.3+(56.3-698.7)+(2.179026+(0.057426-0.712674))+0--239.6--0.244392000000038</f>
        <v>1735.2681700000001</v>
      </c>
      <c r="K23" s="3">
        <f>2134.5+(67-717.8)+(-1.088595+(-0.03417--0.366078))+0--240.2-0.122501999999976</f>
        <v>1723.0208110000001</v>
      </c>
      <c r="L23" s="3">
        <f>2127.3+(35.7-787.7)+(-5.424615+(-0.091035--2.008635))+0--242.4-0.618119999999965</f>
        <v>1613.5748650000005</v>
      </c>
      <c r="M23" s="3">
        <f>2182.1+(16.9-801.9)+(-1.112871+(-0.008619--0.408969))+0--242.3-0.123572999999975</f>
        <v>1638.5639059999999</v>
      </c>
      <c r="N23" s="3">
        <f>2216.4+(42.7-729.2)+(-1.130364+(-0.021777--0.371892))+0--241.2-0.123011999999976</f>
        <v>1770.1967390000002</v>
      </c>
      <c r="O23" s="3">
        <f>2213.9+(90.9-679.1)+(1.129089+(0.046359-0.346341))+0--236.7--0.120716999999976</f>
        <v>1863.3498240000001</v>
      </c>
      <c r="P23" s="3">
        <f>2214.6+(199.1-707.2)+(2.258892+(0.203082-0.721344))+0--234.4--0.239088000000037</f>
        <v>1942.8797180000001</v>
      </c>
      <c r="Q23" s="3">
        <f>2356.4+(175.3-762.1)+(0+(0-0))+0--232.9-0</f>
        <v>2002.5000000000002</v>
      </c>
      <c r="R23" s="3">
        <f>2359.9+(285.9-829.4)+(-2.407098+(-0.291618--0.845988))+0--230.3-0.234906000000037</f>
        <v>2044.6123659999998</v>
      </c>
      <c r="S23" s="3">
        <f>2379.8+(307.6-884.2)+(-1.213698+(-0.156876--0.450942))+0--229.9-0.117248999999977</f>
        <v>2032.0631190000004</v>
      </c>
      <c r="T23" s="3">
        <f>2430.8+(320.2-913.1)+(-4.958832+(-0.653208--1.862724))+0--231-0.47123999999999</f>
        <v>2064.6794440000003</v>
      </c>
      <c r="U23" s="3">
        <f>2400.8+(282.5-850)+(0+(0-0))+0--231.2-0</f>
        <v>2064.5</v>
      </c>
      <c r="V23" s="3">
        <f>2532.4+(102.2-804)+(-3.874572+(-0.156366--1.23012))+0--231.6-0.354348000000013</f>
        <v>2059.0448340000003</v>
      </c>
      <c r="W23" s="3">
        <f>2501.9+(41.1-763)+(-1.275969+(-0.020961--0.38913))+0--232-0.118319999999976</f>
        <v>2010.97388</v>
      </c>
      <c r="X23" s="3">
        <f>2430.9+(31.1-752)+(-4.959036+(-0.063444--1.53408))+0--225.7-0.46042799999999</f>
        <v>1931.751172</v>
      </c>
      <c r="Y23" s="3">
        <f>2415.6+(60.9-723.2)+(1.231956+(0.031059-0.368832))+0--226.9--0.115718999999977</f>
        <v>1981.2099019999998</v>
      </c>
      <c r="Z23" s="3">
        <f>2567.1+(102.1-819.1)+(-1.309221+(-0.052071--0.417741))+0--230.9-0.117758999999977</f>
        <v>2079.93869</v>
      </c>
      <c r="AA23" s="3">
        <f>2549+(109.3-848.5)+(-2.59998+(-0.111486--0.86547))+0--234.1-0.238782000000037</f>
        <v>2041.8152219999997</v>
      </c>
      <c r="AB23" s="3">
        <f>2574.2+(98.5-909.7)+(0+(0-0))+0--235.4-0</f>
        <v>1998.3999999999999</v>
      </c>
      <c r="AC23" s="3">
        <f>2627.1+(78.7-951.5)+(-5.359284+(-0.160548--1.94106))+0--236.9-0.48327599999999</f>
        <v>1987.137952</v>
      </c>
      <c r="AD23" s="2">
        <v>2044.4</v>
      </c>
      <c r="AE23" s="3">
        <f>2583.3+(86.1-857.8)+(0+(0-0))+0--232.8-0</f>
        <v>2044.4000000000003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2573.1+(85.6-960.7)+(-2.624562+(-0.087312--0.979914))+0--238.1-0.242862000000038</f>
        <v>1934.1251779999998</v>
      </c>
      <c r="G24" s="3">
        <f>2392.6+(110.6-882.1)+(-2.440452+(-0.112812--0.899742))+0--239.2-0.243984000000038</f>
        <v>1858.4024939999999</v>
      </c>
      <c r="H24" s="3">
        <f>2281.5+(102.8-825.4)+(-5.817825+(-0.26214--2.10477))+0--238.3-0.607664999999965</f>
        <v>1792.6171400000001</v>
      </c>
      <c r="I24" s="3">
        <f>2248.5+(65.3-809.5)+(-2.29347+(-0.066606--0.82569))+0--238.4-0.243168000000038</f>
        <v>1740.922446</v>
      </c>
      <c r="J24" s="3">
        <f>2258+(48.2-831.3)+(1.15158+(0.024582-0.423963))+0--237.4--0.121073999999976</f>
        <v>1713.1732730000001</v>
      </c>
      <c r="K24" s="3">
        <f>2186.2+(27.1-765.5)+(1.114962+(0.013821-0.390405))+0--236.2--0.120461999999976</f>
        <v>1684.8588399999999</v>
      </c>
      <c r="L24" s="3">
        <f>2083.1+(8.3-681.1)+(-2.124762+(-0.008466--0.694722))+0--235-0.239700000000037</f>
        <v>1643.6217939999997</v>
      </c>
      <c r="M24" s="3">
        <f>1953+(50.1-572.4)+(1.99206+(0.051102-0.583848))+0--228.2--0.232764000000036</f>
        <v>1660.5920780000001</v>
      </c>
      <c r="N24" s="3">
        <f>1944.1+(130.2-491.4)+(3.965964+(0.265608-1.002456))+0--221.9--0.45267599999999</f>
        <v>1808.4817919999998</v>
      </c>
      <c r="O24" s="3">
        <f>2061.4+(165.1-548.5)+(1.051314+(0.084201-0.279735))+0--233.9--0.119288999999976</f>
        <v>1912.8750690000002</v>
      </c>
      <c r="P24" s="3">
        <f>2221.1+(119.4-607.4)+(0+(0-0))+0--232.9-0</f>
        <v>1966</v>
      </c>
      <c r="Q24" s="3">
        <f>2301+(151.3-674.5)+(-1.17351+(-0.077163--0.343995))+0--229.8-0.117197999999977</f>
        <v>2006.5761239999999</v>
      </c>
      <c r="R24" s="3">
        <f>2354.3+(200.4-789.4)+(-2.401386+(-0.204408--0.805188))+0--227.7-0.232254000000036</f>
        <v>1990.9671400000002</v>
      </c>
      <c r="S24" s="3">
        <f>2345.5+(238.7-867.7)+(-2.39241+(-0.243474--0.885054))+0--232.7-0.237354000000037</f>
        <v>1947.211816</v>
      </c>
      <c r="T24" s="3">
        <f>2349.4+(239.7-877.6)+(-2.396388+(-0.244494--0.895152))+0--236.1-0.240822000000038</f>
        <v>1945.6134479999998</v>
      </c>
      <c r="U24" s="3">
        <f>2379.3+(124.5-829.3)+(-1.213443+(-0.063495--0.422943))+0--236.5-0.120614999999976</f>
        <v>1910.0253900000002</v>
      </c>
      <c r="V24" s="3">
        <f>2351.4+(76-793.8)+(0+(0-0))+0--236.7-0</f>
        <v>1870.3000000000002</v>
      </c>
      <c r="W24" s="3">
        <f>2277.5+(36.5-723.5)+(-2.32305+(-0.03723--0.73797))+0--235.8-0.240516000000038</f>
        <v>1824.4371739999999</v>
      </c>
      <c r="X24" s="3">
        <f>2265.8+(18.5-719.9)+(2.311116+(0.01887-0.734298))+0--233.9--0.238578000000037</f>
        <v>1800.1342660000003</v>
      </c>
      <c r="Y24" s="3">
        <f>2446.5+(19.4-833.5)+(0+(0-0))+0--234.4-0</f>
        <v>1866.8000000000002</v>
      </c>
      <c r="Z24" s="3">
        <f>2541.6+(23.5-900.5)+(-5.184864+(-0.04794--1.83702))+0--235.2-0.47980799999999</f>
        <v>1895.9244079999999</v>
      </c>
      <c r="AA24" s="3">
        <f>2420.4+(87.1-895.8)+(-2.468808+(-0.088842--0.913716))+0--236.2-0.240924000000038</f>
        <v>1846.0151420000004</v>
      </c>
      <c r="AB24" s="3">
        <f>2609.4+(27.9-1083.3)+(-5.323176+(-0.056916--2.209932))+0--237.2-0.48388799999999</f>
        <v>1787.5459520000004</v>
      </c>
      <c r="AC24" s="3">
        <f>2507.5+(54.9-1047.9)+(-3.836475+(-0.083997--1.603287))+0--238-0.364140000000014</f>
        <v>1749.818675</v>
      </c>
      <c r="AD24" s="2">
        <v>1913.6999999999998</v>
      </c>
      <c r="AE24" s="3">
        <f>2543.2+(31.9-897.9)+(0+(0-0))+0--236.5-0</f>
        <v>1913.6999999999998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2495.9+(50.4-1035.7)+(-2.545818+(-0.051408--1.056414))+0--241.9-0.246738000000039</f>
        <v>1750.71245</v>
      </c>
      <c r="G25" s="3">
        <f>2374+(50.5-984.5)+(-3.63222+(-0.077265--1.506285))+0--242.2-0.370566000000014</f>
        <v>1679.6262340000001</v>
      </c>
      <c r="H25" s="3">
        <f>2331+(29.8-973.9)+(-2.37762+(-0.030396--0.993378))+0--241.5-0.246330000000039</f>
        <v>1626.7390320000002</v>
      </c>
      <c r="I25" s="3">
        <f>2331.7+(4-984.5)+(-2.378334+(-0.00408--1.00419))+0--242.8-0.247656000000039</f>
        <v>1592.3741199999997</v>
      </c>
      <c r="J25" s="3">
        <f>2341.1+(4-1023.3)+(2.387922+(0.00408-1.043766))+0--242.8--0.247656000000039</f>
        <v>1566.195892</v>
      </c>
      <c r="K25" s="3">
        <f>2348.2+(4-1036)+(-1.197582+(-0.00204--0.52836))+0--244.4-0.124643999999975</f>
        <v>1559.8040939999998</v>
      </c>
      <c r="L25" s="3">
        <f>2198.6+(4-894.8)+(-6.727716+(-0.01224--2.738088))+0--246.2-0.753372000000028</f>
        <v>1549.2447599999998</v>
      </c>
      <c r="M25" s="3">
        <f>1921+(4-639.3)+(-0.97971+(-0.00204--0.326043))+0--246.7-0.125816999999975</f>
        <v>1531.6184760000003</v>
      </c>
      <c r="N25" s="3">
        <f>1892.8+(24.1-539.5)+(0.965328+(0.012291-0.275145))+0--244.8--0.124847999999975</f>
        <v>1623.0273219999999</v>
      </c>
      <c r="O25" s="3">
        <f>1909.1+(55.7-493.9)+(-0.973641+(-0.028407--0.251889))+0--243.3-0.124082999999975</f>
        <v>1713.325758</v>
      </c>
      <c r="P25" s="3">
        <f>1959.2+(55.8-480)+(0.999192+(0.028458-0.2448))+0--241.2--0.123011999999976</f>
        <v>1777.1058620000001</v>
      </c>
      <c r="Q25" s="3">
        <f>2003+(90.4-500.7)+(-2.04306+(-0.092208--0.510714))+0--239.9-0.244698000000038</f>
        <v>1830.7307480000002</v>
      </c>
      <c r="R25" s="3">
        <f>2026.5+(128.3-590.6)+(1.033515+(0.065433-0.301206))+0--238.8--0.121787999999976</f>
        <v>1803.9195299999999</v>
      </c>
      <c r="S25" s="3">
        <f>2059.7+(143.8-631.6)+(1.050447+(0.073338-0.322116))+0--241.8--0.123317999999975</f>
        <v>1814.6249869999997</v>
      </c>
      <c r="T25" s="3">
        <f>1935+(250.8-607)+(0.98685+(0.127908-0.30957))+0--238.1--0.121430999999976</f>
        <v>1817.8266189999999</v>
      </c>
      <c r="U25" s="3">
        <f>1886.8+(228.8-555.3)+(-1.924536+(-0.233376--0.566406))+0--238.2-0.242964000000038</f>
        <v>1796.66553</v>
      </c>
      <c r="V25" s="3">
        <f>1920.1+(159.9-522.5)+(1.958502+(0.163098-0.53295))+0--236.8--0.241536000000038</f>
        <v>1796.1301859999999</v>
      </c>
      <c r="W25" s="3">
        <f>1917.3+(89.7-472.4)+(2.933469+(0.137241-0.722772))+0--234.7--0.359091000000014</f>
        <v>1772.0070290000001</v>
      </c>
      <c r="X25" s="3">
        <f>1929.6+(42.5-457)+(-2.952288+(-0.065025--0.69921))+0--238.5-0.364905000000014</f>
        <v>1750.9169919999999</v>
      </c>
      <c r="Y25" s="3">
        <f>1966+(97.4-466.8)+(1.00266+(0.049674-0.238068))+0--239.8--0.122297999999976</f>
        <v>1837.336564</v>
      </c>
      <c r="Z25" s="3">
        <f>2254+(80-653.6)+(-3.44862+(-0.1224--1.000008))+0--241.2-0.369036000000014</f>
        <v>1918.659952</v>
      </c>
      <c r="AA25" s="3">
        <f>2303.1+(66.7-716.8)+(-5.872905+(-0.170085--1.82784))+0--243-0.619649999999965</f>
        <v>1891.1652000000001</v>
      </c>
      <c r="AB25" s="3">
        <f>2399.9+(60.6-873.2)+(-2.447898+(-0.061812--0.890664))+0--242.2-0.247044000000039</f>
        <v>1827.6339100000002</v>
      </c>
      <c r="AC25" s="3">
        <f>2433.9+(49.7-946.8)+(-1.241289+(-0.025347--0.482868))+0--242.4-0.123623999999975</f>
        <v>1778.2926080000002</v>
      </c>
      <c r="AD25" s="2">
        <v>1921.8999999999996</v>
      </c>
      <c r="AE25" s="3">
        <f>2326.2+(51.5-698.4)+(0+(0-0))+0--242.6-0</f>
        <v>1921.8999999999996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2436.4+(57.3-870.9)+(-1.242564+(-0.029223--0.444159))+0--242.1-0.123470999999975</f>
        <v>1863.9489010000002</v>
      </c>
      <c r="G26" s="3">
        <f>2443.8+(29.6-927)+(1.246338+(0.015096-0.47277))+0--241.7--0.123266999999975</f>
        <v>1789.011931</v>
      </c>
      <c r="H26" s="3">
        <f>2366.3+(38.7-853.2)+(-1.206813+(-0.019737--0.435132))+0--189.3-0.0965429999999808</f>
        <v>1740.2120390000002</v>
      </c>
      <c r="I26" s="3">
        <f>2360.7+(15.1-850.3)+(-2.407914+(-0.015402--0.867306))+0--189.4-0.19318800000003</f>
        <v>1713.1508020000001</v>
      </c>
      <c r="J26" s="3">
        <f>2259.5+(21.4-789.7)+(4.60938+(0.043656-1.610988))+0--189.4--0.386375999999992</f>
        <v>1684.0284239999999</v>
      </c>
      <c r="K26" s="3">
        <f>2247.3+(11-772.2)+(-2.292246+(-0.01122--0.787644))+0--189.4-0.19318800000003</f>
        <v>1673.7909900000002</v>
      </c>
      <c r="L26" s="3">
        <f>2240.4+(10-868.1)+(3.427812+(0.0153-1.328193))+0--201.5--0.308295000000012</f>
        <v>1586.2232140000003</v>
      </c>
      <c r="M26" s="3">
        <f>2244.9+(12-883.3)+(-1.144899+(-0.00612--0.450483))+0--244.5-0.124694999999975</f>
        <v>1617.2747690000001</v>
      </c>
      <c r="N26" s="3">
        <f>2435.6+(12-938.8)+(-1.242156+(-0.00612--0.478788))+0--243.4-0.124133999999975</f>
        <v>1751.3063780000002</v>
      </c>
      <c r="O26" s="3">
        <f>2535.7+(12-960.2)+(-2.586414+(-0.01224--0.979404))+0--243.3-0.248166000000039</f>
        <v>1828.9325839999997</v>
      </c>
      <c r="P26" s="3">
        <f>2562.9+(12-934.5)+(-3.921237+(-0.01836--1.429785))+0--243-0.371790000000014</f>
        <v>1880.5183980000002</v>
      </c>
      <c r="Q26" s="3">
        <f>2548.1+(8-870.2)+(-5.198124+(-0.01632--1.775208))+0--241.3-0.492251999999989</f>
        <v>1923.2685119999999</v>
      </c>
      <c r="R26" s="3">
        <f>2459.7+(18.8-785.9)+(-3.763341+(-0.028764--1.202427))+0--241.2-0.369036000000014</f>
        <v>1930.8412859999999</v>
      </c>
      <c r="S26" s="3">
        <f>2466.6+(16.8-811)+(-5.031864+(-0.034272--1.65444))+0--241-0.491639999999989</f>
        <v>1909.496664</v>
      </c>
      <c r="T26" s="3">
        <f>2328.6+(46.8-690.2)+(-3.562758+(-0.071604--1.056006))+0--240.6-0.368118000000014</f>
        <v>1922.8535259999996</v>
      </c>
      <c r="U26" s="3">
        <f>2314.7+(47.4-704.3)+(-7.082982+(-0.145044--2.155158))+0--240.1-0.734706000000028</f>
        <v>1892.0924259999997</v>
      </c>
      <c r="V26" s="3">
        <f>2287.8+(37.8-716.2)+(-1.166778+(-0.019278--0.365262))+0--240.3-0.122552999999976</f>
        <v>1848.7566530000001</v>
      </c>
      <c r="W26" s="3">
        <f>2450.2+(3.3-828.3)+(-6.24801+(-0.008415--2.112165))+0--242.6-0.618629999999965</f>
        <v>1863.0371099999998</v>
      </c>
      <c r="X26" s="3">
        <f>2349.5+(19.3-766.5)+(-1.198245+(-0.009843--0.390915))+0--243.3-0.124082999999975</f>
        <v>1844.6587440000001</v>
      </c>
      <c r="Y26" s="3">
        <f>2395.3+(49.6-798.5)+(1.221603+(0.025296-0.407235))+0--243.4--0.124133999999975</f>
        <v>1890.7637980000002</v>
      </c>
      <c r="Z26" s="3">
        <f>2737.7+(24.7-1059.9)+(-6.981135+(-0.062985--2.702745))+0--240.5-0.613274999999965</f>
        <v>1938.0453499999999</v>
      </c>
      <c r="AA26" s="3">
        <f>2805.1+(30.7-1275)+(-7.153005+(-0.078285--3.25125))+0--241.7-0.616334999999965</f>
        <v>1797.9036250000001</v>
      </c>
      <c r="AB26" s="3">
        <f>2798.2+(55.9-1298.2)+(-1.427082+(-0.028509--0.662082))+0--242.9-0.123878999999975</f>
        <v>1797.8826119999999</v>
      </c>
      <c r="AC26" s="3">
        <f>2775.4+(53.9-1373.4)+(-5.661816+(-0.109956--2.801736))+0--243-0.495719999999989</f>
        <v>1695.4342440000003</v>
      </c>
      <c r="AD26" s="2">
        <v>2020.8999999999999</v>
      </c>
      <c r="AE26" s="3">
        <f>2848.2+(29.9-1098.3)+(0+(0-0))+0--241.1-0</f>
        <v>2020.8999999999999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2702.3+(3-1340.1)+(-5.512692+(-0.00612--2.733804))+0--248.9-0.507755999999989</f>
        <v>1610.8072360000003</v>
      </c>
      <c r="G27" s="3">
        <f>2671+(4-1382.6)+(-4.08663+(-0.00612--2.115378))+0--249.4-0.381582000000014</f>
        <v>1539.4410460000001</v>
      </c>
      <c r="H27" s="3">
        <f>2661.8+(4-1299.4)+(0+(0-0))+0--248.8-0</f>
        <v>1615.2</v>
      </c>
      <c r="I27" s="3">
        <f>2665.3+(3-1312.4)+(-2.718606+(-0.00306--1.338648))+0--249.5-0.25449000000004</f>
        <v>1603.7624920000001</v>
      </c>
      <c r="J27" s="3">
        <f>2585.4+(3-1198)+(0+(0-0))+0--180.6-0</f>
        <v>1571</v>
      </c>
      <c r="K27" s="3">
        <f>2577.3+(3-1193.9)+(0+(0-0))+0--172.8-0</f>
        <v>1559.2</v>
      </c>
      <c r="L27" s="3">
        <f>2607.9+(3-1253.3)+(3.990087+(0.00459-1.917549))+0--174.1--0.26637300000001</f>
        <v>1534.0435009999999</v>
      </c>
      <c r="M27" s="3">
        <f>2608.7+(3-1209.7)+(-2.660874+(-0.00306--1.233894))+0--173.7-0.177174000000028</f>
        <v>1574.0927859999999</v>
      </c>
      <c r="N27" s="3">
        <f>2697.9+(4-1231.6)+(-1.375929+(-0.00204--0.628116))+0--240.1-0.122450999999976</f>
        <v>1709.5276960000001</v>
      </c>
      <c r="O27" s="3">
        <f>2864.5+(4-1337.7)+(0+(0-0))+0--247.1-0</f>
        <v>1777.8999999999999</v>
      </c>
      <c r="P27" s="3">
        <f>3000.2+(4-1410.2)+(-3.060204+(-0.00408--1.438404))+0--246.7-0.251634000000039</f>
        <v>1838.8224859999998</v>
      </c>
      <c r="Q27" s="3">
        <f>2926.1+(0-1300.7)+(-4.476933+(0--1.990071))+0--244-0.373320000000014</f>
        <v>1866.539818</v>
      </c>
      <c r="R27" s="3">
        <f>2956.8+(4.1-1274)+(-3.015936+(-0.004182--1.29948))+0--241.9-0.246738000000039</f>
        <v>1926.8326240000001</v>
      </c>
      <c r="S27" s="3">
        <f>2876.2+(32.7-1241.2)+(-5.867448+(-0.066708--2.532048))+0--241.7-0.493067999999989</f>
        <v>1905.5048239999999</v>
      </c>
      <c r="T27" s="3">
        <f>2751.5+(62.6-1089.1)+(-1.403265+(-0.031926--0.555441))+0--242-0.123419999999975</f>
        <v>1965.99683</v>
      </c>
      <c r="U27" s="3">
        <f>2728.4+(57.6-1104.7)+(-6.95742+(-0.14688--2.816985))+0--242.8-0.619139999999965</f>
        <v>1919.1935449999999</v>
      </c>
      <c r="V27" s="3">
        <f>2722.4+(55.9-1111.2)+(-8.330544+(-0.171054--3.400272))+0--242.7-0.742662000000028</f>
        <v>1903.9560120000001</v>
      </c>
      <c r="W27" s="3">
        <f>2722.9+(32.2-1107.3)+(-4.166037+(-0.049266--1.694169))+0--242.6-0.371178000000014</f>
        <v>1887.5076879999999</v>
      </c>
      <c r="X27" s="3">
        <f>2724.3+(0-1109.1)+(-2.778786+(0--1.131282))+0--246.2-0.251124000000039</f>
        <v>1859.5013720000002</v>
      </c>
      <c r="Y27" s="3">
        <f>2758.8+(26.9-1102.6)+(1.406988+(0.013719-0.562326))+0--246.9--0.125918999999975</f>
        <v>1930.9843000000005</v>
      </c>
      <c r="Z27" s="3">
        <f>2955.4+(35.2-1222.6)+(-4.521762+(-0.053856--1.870578))+0--249.8-0.382194000000014</f>
        <v>2014.7127660000001</v>
      </c>
      <c r="AA27" s="3">
        <f>2963.9+(34-1276.1)+(-4.534767+(-0.05202--1.952433))+0--249.3-0.381429000000014</f>
        <v>1968.0842170000001</v>
      </c>
      <c r="AB27" s="3">
        <f>2831.9+(48.5-1228.4)+(-2.888538+(-0.04947--1.252968))+0--249.7-0.25469400000004</f>
        <v>1899.760266</v>
      </c>
      <c r="AC27" s="3">
        <f>2694.7+(75.4-1132.1)+(0+(0-0))+0--250-0</f>
        <v>1888</v>
      </c>
      <c r="AD27" s="2">
        <v>2028.5</v>
      </c>
      <c r="AE27" s="3">
        <f>2971+(35-1226.8)+(0+(0-0))+0--249.3-0</f>
        <v>2028.5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2586.1+(67.3-1104.8)+(-3.956733+(-0.102969--1.690344))+0--234.3-0.358479000000014</f>
        <v>1780.172163</v>
      </c>
      <c r="G28" s="3">
        <f>2585.6+(47.6-1109.2)+(-3.955968+(-0.072828--1.697076))+0--172.9-0.26453700000001</f>
        <v>1694.3037429999999</v>
      </c>
      <c r="H28" s="3">
        <f>2588.3+(20.5-1137.3)+(-3.960099+(-0.031365--1.740069))+0--172.8-0.26438400000001</f>
        <v>1641.7842210000001</v>
      </c>
      <c r="I28" s="3">
        <f>2589.5+(8.4-1154.6)+(0+(0-0))+0--173-0</f>
        <v>1616.3000000000002</v>
      </c>
      <c r="J28" s="3">
        <f>2591.7+(8.4-1170.6)+(2.643534+(0.008568-1.194012))+0--172.2--0.175644000000027</f>
        <v>1603.333734</v>
      </c>
      <c r="K28" s="3">
        <f>2591.1+(8.4-1181.1)+(0+(0-0))+0--181.6-0</f>
        <v>1600</v>
      </c>
      <c r="L28" s="3">
        <f>2587.9+(8.4-1181.8)+(-3.959487+(-0.012852--1.808154))+0--181.3-0.27738900000001</f>
        <v>1593.358426</v>
      </c>
      <c r="M28" s="3">
        <f>2618.1+(8.4-1178)+(0+(0-0))+0--181.9-0</f>
        <v>1630.4</v>
      </c>
      <c r="N28" s="3">
        <f>2710.4+(13.5-1141.4)+(-1.382304+(-0.006885--0.582114))+0--180.8-0.0922079999999817</f>
        <v>1762.400717</v>
      </c>
      <c r="O28" s="3">
        <f>2877.9+(9.4-1278)+(-2.935458+(-0.009588--1.30356))+0--232.3-0.236946000000037</f>
        <v>1839.7215680000002</v>
      </c>
      <c r="P28" s="3">
        <f>2906.4+(9.4-1250.7)+(1.482264+(0.004794-0.637857))+0--243.1--0.123980999999975</f>
        <v>1909.173182</v>
      </c>
      <c r="Q28" s="3">
        <f>2927.4+(30.5-1244.8)+(1.492974+(0.015555-0.634848))+0--244--0.124439999999975</f>
        <v>1958.0981210000002</v>
      </c>
      <c r="R28" s="3">
        <f>2901.3+(34.4-1211.7)+(1.479663+(0.017544-0.617967))+0--243.1--0.123980999999975</f>
        <v>1968.1032210000001</v>
      </c>
      <c r="S28" s="3">
        <f>2882.7+(55.1-1259.7)+(1.470177+(0.028101-0.642447))+0--244.3--0.124592999999975</f>
        <v>1923.3804239999997</v>
      </c>
      <c r="T28" s="3">
        <f>2875.3+(59.8-1216.7)+(4.399209+(0.091494-1.861551))+0--239--0.365670000000014</f>
        <v>1960.394822</v>
      </c>
      <c r="U28" s="3">
        <f>2874.1+(57.3-1214.1)+(-2.931582+(-0.058446--1.238382))+0--240.4-0.245208000000038</f>
        <v>1955.7031460000001</v>
      </c>
      <c r="V28" s="3">
        <f>2758.3+(62.9-1102.2)+(-1.406733+(-0.032079--0.562122))+0--238.6-0.121685999999976</f>
        <v>1956.6016240000001</v>
      </c>
      <c r="W28" s="3">
        <f>2723.6+(38.8-1071.6)+(-1.389036+(-0.019788--0.546516))+0--242.1-0.123470999999975</f>
        <v>1931.914221</v>
      </c>
      <c r="X28" s="3">
        <f>2608.8+(36.1-989.4)+(-5.321952+(-0.073644--2.018376))+0--244.6-0.498983999999989</f>
        <v>1896.223796</v>
      </c>
      <c r="Y28" s="3">
        <f>2675.2+(74.4-1035.7)+(4.093056+(0.113832-1.584621))+0--244.3--0.373779000000014</f>
        <v>1961.1960459999996</v>
      </c>
      <c r="Z28" s="3">
        <f>2930+(64.1-1183.3)+(-1.4943+(-0.032691--0.603483))+0--245-0.124949999999975</f>
        <v>2054.751542</v>
      </c>
      <c r="AA28" s="3">
        <f>2905.5+(80.1-1205.3)+(-4.445415+(-0.122553--1.844109))+0--246.9-0.377757000000014</f>
        <v>2024.0983840000001</v>
      </c>
      <c r="AB28" s="3">
        <f>2867.7+(98.7-1246.1)+(-7.312635+(-0.251685--3.177555))+0--246.6-0.628829999999964</f>
        <v>1961.884405</v>
      </c>
      <c r="AC28" s="3">
        <f>2758.6+(101.1-1195.4)+(1.406886+(0.051561-0.609654))+0--245.4--0.125153999999975</f>
        <v>1910.6739469999998</v>
      </c>
      <c r="AD28" s="2">
        <v>2053.3000000000002</v>
      </c>
      <c r="AE28" s="3">
        <f>2923+(62-1178.3)+(0+(0-0))+0--246.6-0</f>
        <v>2053.3000000000002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2801.5+(74.1-1132.3)+(-2.85753+(-0.075582--1.154946))+0--244.3-0.249186000000039</f>
        <v>1985.5726479999998</v>
      </c>
      <c r="G29" s="3">
        <f>2776.1+(53.3-1192.9)+(-5.663244+(-0.108732--2.433516))+0--243.6-0.496943999999989</f>
        <v>1876.2645959999998</v>
      </c>
      <c r="H29" s="3">
        <f>2777+(26.4-1230.9)+(-1.41627+(-0.013464--0.627759))+0--244.3-0.124592999999975</f>
        <v>1815.8734319999999</v>
      </c>
      <c r="I29" s="3">
        <f>2782.2+(6.3-1262.6)+(1.418922+(0.003213-0.643926))+0--244.9--0.124898999999975</f>
        <v>1771.7031079999999</v>
      </c>
      <c r="J29" s="3">
        <f>2789.7+(3-1304.3)+(-1.422747+(-0.00153--0.665193))+0--246.7-0.125816999999975</f>
        <v>1734.215099</v>
      </c>
      <c r="K29" s="3">
        <f>2798.3+(3-1322.8)+(1.427133+(0.00153-0.674628))+0--247.5--0.126224999999975</f>
        <v>1726.8802600000001</v>
      </c>
      <c r="L29" s="3">
        <f>2769.2+(3-1388.1)+(-2.824584+(-0.00306--1.415862))+0--249.2-0.25418400000004</f>
        <v>1631.6340339999999</v>
      </c>
      <c r="M29" s="3">
        <f>2664.3+(3-1252)+(2.717586+(0.00306-1.27704))+0--248.1--0.25306200000004</f>
        <v>1665.0966680000001</v>
      </c>
      <c r="N29" s="3">
        <f>2655.8+(9.7-1099.4)+(2.708916+(0.009894-1.121388))+0--246.6--0.251532000000039</f>
        <v>1814.5489540000001</v>
      </c>
      <c r="O29" s="3">
        <f>2648.2+(47.2-1065.2)+(2.701164+(0.048144-1.086504))+0--243.6--0.248472000000039</f>
        <v>1875.7112759999998</v>
      </c>
      <c r="P29" s="3">
        <f>2871.9+(37.3-1161)+(2.929338+(0.038046-1.18422))+0--240.4--0.245208000000038</f>
        <v>1990.6283720000001</v>
      </c>
      <c r="Q29" s="3">
        <f>2843.9+(58.1-1115.5)+(-8.702334+(-0.177786--3.41343))+0--239.1-0.731646000000028</f>
        <v>2019.401664</v>
      </c>
      <c r="R29" s="3">
        <f>2776+(63.9-1158.6)+(2.83152+(0.065178-1.181772))+0--236.1--0.240822000000038</f>
        <v>1919.3557480000002</v>
      </c>
      <c r="S29" s="3">
        <f>2667.4+(96.9-1096.7)+(-2.720748+(-0.098838--1.118634))+0--234.5-0.239190000000037</f>
        <v>1900.159858</v>
      </c>
      <c r="T29" s="3">
        <f>2629.7+(139.9-1067.2)+(-8.046882+(-0.428094--3.265632))+0--236.3-0.723078000000027</f>
        <v>1932.7675779999995</v>
      </c>
      <c r="U29" s="3">
        <f>2594.4+(136.7-1022.7)+(-5.292576+(-0.278868--2.086308))+0--237.4-0.48429599999999</f>
        <v>1941.8305680000001</v>
      </c>
      <c r="V29" s="3">
        <f>2330.7+(172.7-813)+(-1.188657+(-0.088077--0.41463))+0--238-0.121379999999976</f>
        <v>1927.4165159999998</v>
      </c>
      <c r="W29" s="3">
        <f>2176.8+(160.4-707.3)+(4.440672+(0.327216-1.442892))+0--238.6--0.48674399999999</f>
        <v>1872.3117400000001</v>
      </c>
      <c r="X29" s="3">
        <f>2189.8+(110-729)+(-2.233596+(-0.1122--0.74358))+0--241.6-0.246432000000039</f>
        <v>1810.551352</v>
      </c>
      <c r="Y29" s="3">
        <f>2386.8+(101.6-845.5)+(-2.434536+(-0.103632--0.86241))+0--243.4-0.248268000000039</f>
        <v>1884.375974</v>
      </c>
      <c r="Z29" s="3">
        <f>2507.3+(118.4-873.6)+(-3.836169+(-0.181152--1.336608))+0--244.2-0.373626000000014</f>
        <v>1993.2456610000002</v>
      </c>
      <c r="AA29" s="3">
        <f>2523.6+(137.1-937.6)+(-2.574072+(-0.139842--0.956352))+0--244.5-0.249390000000039</f>
        <v>1965.593048</v>
      </c>
      <c r="AB29" s="3">
        <f>2591.9+(117.1-1045.5)+(-2.643738+(-0.119442--1.06641))+0--246.1-0.251022000000039</f>
        <v>1907.6522079999997</v>
      </c>
      <c r="AC29" s="3">
        <f>2584.5+(106.2-1066.4)+(-2.63619+(-0.108324--1.087728))+0--247.1-0.252042000000039</f>
        <v>1869.4911719999998</v>
      </c>
      <c r="AD29" s="2">
        <v>2056.3000000000002</v>
      </c>
      <c r="AE29" s="3">
        <f>2541.2+(128.9-857.6)+(0+(0-0))+0--243.8-0</f>
        <v>2056.2999999999997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2687.5+(102.7-1165.1)+(-4.111875+(-0.157131--1.782603))+0--247.7-0.378981000000014</f>
        <v>1869.934616</v>
      </c>
      <c r="G30" s="3">
        <f>2766.8+(73.3-1297.1)+(-1.411068+(-0.037383--0.661521))+0--248.5-0.126734999999975</f>
        <v>1790.5863350000002</v>
      </c>
      <c r="H30" s="3">
        <f>2732.7+(58-1301)+(4.181031+(0.08874-1.99053))+0--247.9--0.379287000000014</f>
        <v>1740.2585279999998</v>
      </c>
      <c r="I30" s="3">
        <f>2716.3+(81.8-1347.2)+(-2.770626+(-0.083436--1.374144))+0--247.9-0.25285800000004</f>
        <v>1697.0672240000001</v>
      </c>
      <c r="J30" s="3">
        <f>2722.9+(44.4-1342.6)+(-2.777358+(-0.045288--1.369452))+0--249.6-0.25459200000004</f>
        <v>1672.5922140000002</v>
      </c>
      <c r="K30" s="3">
        <f>2728+(19.2-1329)+(-5.56512+(-0.039168--2.71116))+0--239.7-0.488987999999989</f>
        <v>1654.5178840000001</v>
      </c>
      <c r="L30" s="3">
        <f>2735.2+(9-1340.8)+(-5.579808+(-0.01836--2.735232))+0--250-0.509999999999989</f>
        <v>1650.0270639999999</v>
      </c>
      <c r="M30" s="3">
        <f>2768.3+(5-1349.4)+(1.411833+(0.00255-0.688194))+0--248.8--0.126887999999975</f>
        <v>1673.553077</v>
      </c>
      <c r="N30" s="3">
        <f>2775.9+(5-1231.1)+(1.415709+(0.00255-0.627861))+0--246.3--0.125612999999975</f>
        <v>1797.0160110000002</v>
      </c>
      <c r="O30" s="3">
        <f>2761.9+(15.4-1146.3)+(1.408569+(0.007854-0.584613))+0--244.6--0.124745999999975</f>
        <v>1876.556556</v>
      </c>
      <c r="P30" s="3">
        <f>2745.4+(34.5-1093.3)+(1.400154+(0.017595-0.557583))+0--242.4--0.123623999999975</f>
        <v>1929.9837900000002</v>
      </c>
      <c r="Q30" s="3">
        <f>2749.2+(77.3-1080.4)+(-1.402092+(-0.039423--0.551004))+0--241.6-0.123215999999975</f>
        <v>1986.6862729999996</v>
      </c>
      <c r="R30" s="3">
        <f>2742.7+(112.4-1117.4)+(1.398777+(0.057324-0.569874))+0--240.9--0.122858999999976</f>
        <v>1979.6090859999999</v>
      </c>
      <c r="S30" s="3">
        <f>2660.1+(144.6-1096.6)+(-6.783255+(-0.36873--2.79633))+0--242.4-0.618119999999965</f>
        <v>1945.5262250000001</v>
      </c>
      <c r="T30" s="3">
        <f>2635.9+(129.8-1044.7)+(-1.344309+(-0.066198--0.532797))+0--242.6-0.123725999999975</f>
        <v>1962.5985639999999</v>
      </c>
      <c r="U30" s="3">
        <f>2690.9+(93.3-1073.6)+(-5.489436+(-0.190332--2.190144))+0--242.5-0.494699999999989</f>
        <v>1949.1156760000001</v>
      </c>
      <c r="V30" s="3">
        <f>2723.9+(57.7-1103.8)+(-1.389189+(-0.029427--0.562938))+0--242-0.123419999999975</f>
        <v>1918.8209020000004</v>
      </c>
      <c r="W30" s="3">
        <f>2729.4+(23.9-1115)+(-5.567976+(-0.048756--2.2746))+0--242.8-0.495311999999989</f>
        <v>1877.2625560000001</v>
      </c>
      <c r="X30" s="3">
        <f>2729.2+(5-1139.3)+(-4.175676+(-0.00765--1.743129))+0--245-0.374850000000014</f>
        <v>1837.084953</v>
      </c>
      <c r="Y30" s="3">
        <f>2742.7+(30-1104.9)+(-6.993885+(-0.0765--2.817495))+0--245-0.624749999999965</f>
        <v>1907.9223599999998</v>
      </c>
      <c r="Z30" s="3">
        <f>2880.1+(30.7-1169)+(-4.406553+(-0.046971--1.78857))+0--243.5-0.372555000000014</f>
        <v>1982.262491</v>
      </c>
      <c r="AA30" s="3">
        <f>2840.3+(40-1180.9)+(-7.242765+(-0.102--3.011295))+0--245.5-0.626024999999964</f>
        <v>1939.940505</v>
      </c>
      <c r="AB30" s="3">
        <f>2776.9+(47.2-1182.8)+(-4.248657+(-0.072216--1.809684))+0--247-0.377910000000014</f>
        <v>1885.4109010000002</v>
      </c>
      <c r="AC30" s="3">
        <f>2702.8+(47.8-1155.8)+(-5.513712+(-0.097512--2.357832))+0--247.8-0.505511999999989</f>
        <v>1838.8410960000001</v>
      </c>
      <c r="AD30" s="2">
        <v>1967.4999999999998</v>
      </c>
      <c r="AE30" s="3">
        <f>2905.2+(16-1197.2)+(0+(0-0))+0--243.5-0</f>
        <v>1967.4999999999998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2698+(11.6-1172.9)+(-5.50392+(-0.023664--2.392716))+0--249-0.507959999999989</f>
        <v>1782.0571719999998</v>
      </c>
      <c r="G31" s="3">
        <f>2691.4+(11.7-1239.5)+(-4.117842+(-0.017901--1.896435))+0--250.2-0.382806000000014</f>
        <v>1711.1778860000002</v>
      </c>
      <c r="H31" s="3">
        <f>2678.4+(4-1273.6)+(-6.82992+(-0.0102--3.24768))+0--249.8-0.636989999999964</f>
        <v>1654.3705700000003</v>
      </c>
      <c r="I31" s="3">
        <f>2604.2+(4-1245.6)+(0+(0-0))+0--249.6-0</f>
        <v>1612.1999999999998</v>
      </c>
      <c r="J31" s="3">
        <f>2591.3+(4-1261.2)+(-1.321563+(-0.00204--0.643212))+0--250.5-0.127754999999975</f>
        <v>1583.7918540000001</v>
      </c>
      <c r="K31" s="3">
        <f>2597.6+(4-1263.2)+(1.324776+(0.00204-0.644232))+0--251.1--0.128060999999975</f>
        <v>1590.3106449999996</v>
      </c>
      <c r="L31" s="3">
        <f>2606.2+(8-1256.7)+(-1.329162+(-0.00408--0.640917))+0--252.8-0.128927999999974</f>
        <v>1609.4787469999997</v>
      </c>
      <c r="M31" s="3">
        <f>2608.6+(8-1218.8)+(1.330386+(0.00408-0.621588))+0--253.6--0.129335999999974</f>
        <v>1652.2422139999999</v>
      </c>
      <c r="N31" s="3">
        <f>2527+(11-988.9)+(-1.28877+(-0.00561--0.504339))+0--253.1-0.129080999999974</f>
        <v>1801.2808779999998</v>
      </c>
      <c r="O31" s="3">
        <f>2512.5+(14-890.2)+(-2.56275+(-0.01428--0.908004))+0--251.7-0.25673400000004</f>
        <v>1886.0742399999999</v>
      </c>
      <c r="P31" s="3">
        <f>2468.7+(16.9-803.8)+(1.259037+(0.008619-0.409938))+0--251--0.128009999999975</f>
        <v>1933.7857279999996</v>
      </c>
      <c r="Q31" s="3">
        <f>2360.1+(9.6-690.4)+(-7.221906+(-0.029376--2.112624))+0--251.4-0.769284000000029</f>
        <v>1924.792058</v>
      </c>
      <c r="R31" s="3">
        <f>2036.6+(194.1-552.4)+(-4.154664+(-0.395964--1.126896))+0--250.4-0.510815999999989</f>
        <v>1924.7654520000001</v>
      </c>
      <c r="S31" s="3">
        <f>2115.8+(131.9-596.6)+(-5.39529+(-0.336345--1.52133))+0--247.3-0.630614999999964</f>
        <v>1893.55908</v>
      </c>
      <c r="T31" s="3">
        <f>2187.4+(85.2-612)+(0+(0-0))+0--244.6-0</f>
        <v>1905.2</v>
      </c>
      <c r="U31" s="3">
        <f>2270.7+(64.8-657.8)+(-2.316114+(-0.066096--0.670956))+0--216.7-0.221034000000035</f>
        <v>1892.4677119999997</v>
      </c>
      <c r="V31" s="3">
        <f>2276.1+(59.5-660)+(-1.160811+(-0.030345--0.3366))+0--188.6-0.0961859999999809</f>
        <v>1863.2492579999998</v>
      </c>
      <c r="W31" s="3">
        <f>2301.4+(48-714)+(-2.347428+(-0.04896--0.72828))+0--192.9-0.196758000000031</f>
        <v>1826.4351340000001</v>
      </c>
      <c r="X31" s="3">
        <f>2357+(35-812.3)+(2.40414+(0.0357-0.828546))+0--193.4--0.197268000000031</f>
        <v>1774.9085620000003</v>
      </c>
      <c r="Y31" s="3">
        <f>2530.5+(15.1-941.5)+(1.290555+(0.007701-0.480165))+0--235.4--0.120053999999976</f>
        <v>1840.4381450000001</v>
      </c>
      <c r="Z31" s="3">
        <f>2768.4+(8.4-1077.4)+(-4.235652+(-0.012852--1.648422))+0--263.6-0.403308000000015</f>
        <v>1959.9966100000001</v>
      </c>
      <c r="AA31" s="3">
        <f>2777.5+(8.7-1131.1)+(-4.249575+(-0.013311--1.730583))+0--264.7-0.404991000000015</f>
        <v>1916.8627060000001</v>
      </c>
      <c r="AB31" s="3">
        <f>2761.8+(5-1170.8)+(-4.225554+(-0.00765--1.791324))+0--265.7-0.406521000000015</f>
        <v>1858.8515990000001</v>
      </c>
      <c r="AC31" s="3">
        <f>2725.2+(9-1170.8)+(-2.779704+(-0.00918--1.194216))+0--265.7-0.271014000000042</f>
        <v>1827.2343179999998</v>
      </c>
      <c r="AD31" s="2">
        <v>1970</v>
      </c>
      <c r="AE31" s="3">
        <f>2775.2+(5.9-1075.1)+(0+(0-0))+0--264-0</f>
        <v>1970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2677.1+(16.1-918.3)+(-1.365321+(-0.008211--0.468333))+0--55.8-0.0284579999999943</f>
        <v>1829.766343</v>
      </c>
      <c r="G32" s="3">
        <f>2636.1+(16-871.8)+(-2.688822+(-0.01632--0.889236))+0-15.3--0.0156060000000024</f>
        <v>1763.1996999999999</v>
      </c>
      <c r="H32" s="3">
        <f>2566.3+(10-849.8)+(-2.617626+(-0.0102--0.866796))+0-14.8--0.0150960000000024</f>
        <v>1709.9540660000005</v>
      </c>
      <c r="I32" s="3">
        <f>2537.5+(10-871)+(0+(0-0))+0-14.7-0</f>
        <v>1661.8</v>
      </c>
      <c r="J32" s="3">
        <f>2601.9+(11-964.2)+(0+(0-0))+0-14.7-0</f>
        <v>1634</v>
      </c>
      <c r="K32" s="3">
        <f>2594.3+(13-970.3)+(-2.646186+(-0.01326--0.989706))+0-13.5--0.0137700000000022</f>
        <v>1621.8440300000002</v>
      </c>
      <c r="L32" s="3">
        <f>2583.5+(9-1011)+(0+(0-0))+0-11.8-0</f>
        <v>1569.7</v>
      </c>
      <c r="M32" s="3">
        <f>2567.8+(9-987.3)+(0+(0-0))+0-9.8-0</f>
        <v>1579.7000000000003</v>
      </c>
      <c r="N32" s="3">
        <f>2543.6+(9-874.4)+(2.594472+(0.00918-0.891888))+0-6.9-0.0070380000000011</f>
        <v>1673.0047259999997</v>
      </c>
      <c r="O32" s="3">
        <f>2531.4+(14.1-782.8)+(2.582028+(0.014382-0.798456))+0-7.7-0.00785400000000123</f>
        <v>1756.7901000000002</v>
      </c>
      <c r="P32" s="3">
        <f>2508.4+(34-719)+(0+(0-0))+0-7.6-0</f>
        <v>1815.8000000000002</v>
      </c>
      <c r="Q32" s="3">
        <f>2491.3+(57.7-681.6)+(-3.811689+(-0.088281--1.042848))+0-7.4--0.0113220000000004</f>
        <v>1857.1542000000002</v>
      </c>
      <c r="R32" s="3">
        <f>2455.7+(83.4-674.8)+(0+(0-0))+0-7.6-0</f>
        <v>1856.6999999999998</v>
      </c>
      <c r="S32" s="3">
        <f>2436.5+(104.3-683.1)+(-4.97046+(-0.212772--1.393524))+0-7.7--0.0157079999999997</f>
        <v>1846.2259999999997</v>
      </c>
      <c r="T32" s="3">
        <f>2428.4+(103.2-674.4)+(0+(0-0))+0-7.3-0</f>
        <v>1849.9000000000003</v>
      </c>
      <c r="U32" s="3">
        <f>2422.4+(120.1-683.6)+(-7.412544+(-0.367506--2.091816))+0-7--0.0214200000000008</f>
        <v>1846.2331860000002</v>
      </c>
      <c r="V32" s="3">
        <f>2427.5+(86.4-681.8)+(1.238025+(0.044064-0.347718))+0--5.4--0.00275399999999945</f>
        <v>1838.4371250000002</v>
      </c>
      <c r="W32" s="3">
        <f>2429.3+(57.5-684.7)+(-1.238943+(-0.029325--0.349197))+0-11.2--0.00571199999999886</f>
        <v>1789.986641</v>
      </c>
      <c r="X32" s="3">
        <f>2438+(40.3-721.2)+(0+(0-0))+0-5.9-0</f>
        <v>1751.1999999999998</v>
      </c>
      <c r="Y32" s="3">
        <f>2518.9+(45.6-741)+(0+(0-0))+0-7.8-0</f>
        <v>1815.7</v>
      </c>
      <c r="Z32" s="3">
        <f>2753.4+(42-838.8)+(-2.808468+(-0.04284--0.855576))+0-7.3--0.00744600000000116</f>
        <v>1947.3117140000002</v>
      </c>
      <c r="AA32" s="3">
        <f>2820.3+(42.2-932.7)+(-4.315059+(-0.064566--1.427031))+0-7.2--0.0110160000000004</f>
        <v>1919.658422</v>
      </c>
      <c r="AB32" s="3">
        <f>2734.8+(83.3-930)+(-5.578992+(-0.169932--1.8972))+0-6.7--0.0136679999999997</f>
        <v>1877.561944</v>
      </c>
      <c r="AC32" s="3">
        <f>2594.5+(106.7-850.9)+(-1.323195+(-0.054417--0.433959))+0-6.7--0.00341699999999932</f>
        <v>1842.659764</v>
      </c>
      <c r="AD32" s="2">
        <v>1914.6999999999996</v>
      </c>
      <c r="AE32" s="3">
        <f>2810.2+(32.2-921.8)+(0+(0-0))+0-5.9-0</f>
        <v>1914.6999999999998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2600.6+(88.5-812.7)+(-2.652612+(-0.09027--0.828954))+0-5.4--0.00550800000000086</f>
        <v>1869.0915799999998</v>
      </c>
      <c r="G33" s="3">
        <f>2612.1+(56.1-861.3)+(-2.664342+(-0.057222--0.878526))+0-5.3--0.00540600000000085</f>
        <v>1799.7623680000002</v>
      </c>
      <c r="H33" s="3">
        <f>2608.4+(31-897.5)+(-6.65142+(-0.07905--2.288625))+0-5.3--0.0135149999999992</f>
        <v>1732.1716700000002</v>
      </c>
      <c r="I33" s="3">
        <f>2613.1+(29.9-936.9)+(2.665362+(0.030498-0.955638))+0-5.3-0.00540600000000085</f>
        <v>1702.5348159999999</v>
      </c>
      <c r="J33" s="3">
        <f>2622.8+(7.1-955.8)+(2.675256+(0.007242-0.974916))+0-5.2-0.00530400000000083</f>
        <v>1670.6022780000003</v>
      </c>
      <c r="K33" s="3">
        <f>2618.2+(4-959.4)+(1.335282+(0.00204-0.489294))+0-5.2-0.00265199999999947</f>
        <v>1658.4453759999999</v>
      </c>
      <c r="L33" s="3">
        <f>2622.1+(3-1033.6)+(-1.337271+(-0.00153--0.527136))+0-5.2--0.00265199999999947</f>
        <v>1585.4909869999999</v>
      </c>
      <c r="M33" s="3">
        <f>2676.1+(8-1061.7)+(1.364811+(0.00408-0.541467))+0-6.1-0.00311099999999938</f>
        <v>1617.124313</v>
      </c>
      <c r="N33" s="3">
        <f>2739.4+(4-948.3)+(0+(0-0))+0-1.1-0</f>
        <v>1794.0000000000002</v>
      </c>
      <c r="O33" s="3">
        <f>2773.3+(4-906.8)+(1.414383+(0.00204-0.462468))+0-5-0.00254999999999949</f>
        <v>1866.4514050000002</v>
      </c>
      <c r="P33" s="3">
        <f>2801.9+(8.3-874.1)+(2.857938+(0.008466-0.891582))+0-5-0.0051000000000008</f>
        <v>1933.0697219999997</v>
      </c>
      <c r="Q33" s="3">
        <f>2853+(1.8-924.5)+(-1.45503+(-0.000918--0.471495))+0-5.1--0.00260099999999948</f>
        <v>1924.2181479999999</v>
      </c>
      <c r="R33" s="3">
        <f>2975.3+(1.1-972.3)+(-6.069612+(-0.002244--1.983492))+0-5--0.0101999999999998</f>
        <v>1995.0218360000003</v>
      </c>
      <c r="S33" s="3">
        <f>2964.8+(0-988.9)+(-7.56024+(0--2.521695))+0-5.2--0.0132599999999992</f>
        <v>1965.6747149999999</v>
      </c>
      <c r="T33" s="3">
        <f>2789+(10-800.1)+(-2.84478+(-0.0102--0.816102))+0-5.1--0.00520200000000081</f>
        <v>1991.7663240000002</v>
      </c>
      <c r="U33" s="3">
        <f>2711+(21.6-763.3)+(2.76522+(0.022032-0.778566))+0-5.2-0.00530400000000083</f>
        <v>1966.103382</v>
      </c>
      <c r="V33" s="3">
        <f>2722.1+(31.1-797.1)+(-4.164813+(-0.047583--1.219563))+0-5.3--0.00810900000000031</f>
        <v>1947.815276</v>
      </c>
      <c r="W33" s="3">
        <f>2711.3+(25.7-805.4)+(-1.382763+(-0.013107--0.410754))+0-5.2--0.00265199999999947</f>
        <v>1925.4175360000002</v>
      </c>
      <c r="X33" s="3">
        <f>2839.5+(69.5-1005.4)+(-7.240725+(-0.177225--2.56377))+0-5.2--0.0132599999999992</f>
        <v>1893.5590799999998</v>
      </c>
      <c r="Y33" s="3">
        <f>2899.3+(33.8-942.9)+(1.478643+(0.017238-0.480879))+0-5.1-0.00260099999999948</f>
        <v>1986.1124010000005</v>
      </c>
      <c r="Z33" s="3">
        <f>3048.7+(34.5-1003.5)+(-6.219348+(-0.07038--2.04714))+0-5.3--0.0108119999999998</f>
        <v>2070.1682239999996</v>
      </c>
      <c r="AA33" s="3">
        <f>2944.2+(20.8-935.5)+(-7.50771+(-0.05304--2.385525))+0-5.2--0.0132599999999992</f>
        <v>2019.1380349999997</v>
      </c>
      <c r="AB33" s="3">
        <f>2868.6+(20.6-932.4)+(-7.31493+(-0.05253--2.37762))+0-5.1--0.0130049999999993</f>
        <v>1946.7231650000001</v>
      </c>
      <c r="AC33" s="3">
        <f>2837.2+(17.7-951)+(-4.340916+(-0.027081--1.45503))+0-5.1--0.00780300000000029</f>
        <v>1895.8948359999999</v>
      </c>
      <c r="AD33" s="2">
        <v>2055.1999999999998</v>
      </c>
      <c r="AE33" s="3">
        <f>3038.2+(25.2-1003)+(0+(0-0))+0-5.2-0</f>
        <v>2055.1999999999998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2844.1+(24.1-982.2)+(-2.900982+(-0.024582--1.001844))+0-5.1--0.00520200000000081</f>
        <v>1878.9814820000001</v>
      </c>
      <c r="G34" s="3">
        <f>2852.5+(21.3-1074.8)+(-2.90955+(-0.021726--1.096296))+0-5.3--0.00540600000000085</f>
        <v>1791.870426</v>
      </c>
      <c r="H34" s="3">
        <f>2861.2+(23.3-1144.4)+(-2.918424+(-0.023766--1.167288))+0-5.3--0.00540600000000085</f>
        <v>1733.0305039999996</v>
      </c>
      <c r="I34" s="3">
        <f>2855.9+(26.2-1182.8)+(-1.456509+(-0.013362--0.603228))+0-5.2--0.00265199999999947</f>
        <v>1693.236009</v>
      </c>
      <c r="J34" s="3">
        <f>2862.9+(30.1-1221.7)+(-5.840316+(-0.061404--2.492268))+0-5.1--0.0104039999999998</f>
        <v>1662.8009520000001</v>
      </c>
      <c r="K34" s="3">
        <f>2869.9+(31.1-1238.9)+(2.927298+(0.031722-1.263678))+0-5.1-0.00520200000000081</f>
        <v>1658.6901399999999</v>
      </c>
      <c r="L34" s="3">
        <f>2838.2+(36-1226.9)+(-1.447482+(-0.01836--0.625719))+0-5.2--0.00265199999999947</f>
        <v>1641.2625289999996</v>
      </c>
      <c r="M34" s="3">
        <f>2666.5+(40-1026.3)+(4.079745+(0.0612-1.570239))+0-5.2-0.0079560000000003</f>
        <v>1677.5627500000001</v>
      </c>
      <c r="N34" s="3">
        <f>2809.1+(35-1039)+(2.865282+(0.0357-1.05978))+0-5.2-0.00530400000000083</f>
        <v>1801.7358979999999</v>
      </c>
      <c r="O34" s="3">
        <f>3149.3+(29-1298)+(-1.606143+(-0.01479--0.66198))+0-5.2--0.00265199999999947</f>
        <v>1874.143699</v>
      </c>
      <c r="P34" s="3">
        <f>3137.9+(30-1220.1)+(-1.600329+(-0.0153--0.622251))+0-5.2--0.00265199999999947</f>
        <v>1941.6092740000001</v>
      </c>
      <c r="Q34" s="3">
        <f>2949.4+(14-969.5)+(-4.512582+(-0.02142--1.483335))+0-5.4--0.00826200000000031</f>
        <v>1985.4575950000001</v>
      </c>
      <c r="R34" s="3">
        <f>2900.1+(20.4-843)+(0+(0-0))+0-5.1-0</f>
        <v>2072.4</v>
      </c>
      <c r="S34" s="3">
        <f>2884.8+(16.9-857.5)+(-7.35624+(-0.043095--2.186625))+0-5.3--0.0135149999999992</f>
        <v>2033.7008050000004</v>
      </c>
      <c r="T34" s="3">
        <f>2883.2+(18.4-824.7)+(2.940864+(0.018768-0.841194))+0-5.3-0.00540600000000085</f>
        <v>2073.7130319999992</v>
      </c>
      <c r="U34" s="3">
        <f>2879.5+(31.1-833.8)+(-4.405635+(-0.047583--1.275714))+0-5.3--0.00810900000000031</f>
        <v>2068.3306049999997</v>
      </c>
      <c r="V34" s="3">
        <f>2879.3+(19.2-829.3)+(-1.468443+(-0.009792--0.422943))+0-5.3--0.00270299999999946</f>
        <v>2062.8474110000002</v>
      </c>
      <c r="W34" s="3">
        <f>2659.8+(26.3-645.7)+(-4.069494+(-0.040239--0.987921))+0-5.2--0.0079560000000003</f>
        <v>2032.0861439999999</v>
      </c>
      <c r="X34" s="3">
        <f>2612.3+(27-654)+(-1.332273+(-0.01377--0.33354))+0-5.1--0.00260099999999948</f>
        <v>1979.1900980000003</v>
      </c>
      <c r="Y34" s="3">
        <f>2630.8+(22.1-649.4)+(0+(0-0))+0-5.2-0</f>
        <v>1998.3000000000002</v>
      </c>
      <c r="Z34" s="3">
        <f>2651.5+(31.8-630.1)+(0+(0-0))+0-5.2-0</f>
        <v>2047.9999999999998</v>
      </c>
      <c r="AA34" s="3">
        <f>2549.1+(34.3-579.8)+(-5.200164+(-0.069972--1.182792))+0-5.3--0.0108119999999998</f>
        <v>1994.2234679999999</v>
      </c>
      <c r="AB34" s="3">
        <f>2589.8+(20.9-656.5)+(-2.641596+(-0.021318--0.66963))+0-5.5--0.00561000000000088</f>
        <v>1946.7123260000003</v>
      </c>
      <c r="AC34" s="3">
        <f>2670.3+(10-765.8)+(-1.361853+(-0.0051--0.390558))+0-5.3--0.00270299999999946</f>
        <v>1908.2263080000005</v>
      </c>
      <c r="AD34" s="2">
        <v>2044.6999999999996</v>
      </c>
      <c r="AE34" s="3">
        <f>2656.2+(26.2-632.5)+(0+(0-0))+0-5.2-0</f>
        <v>2044.6999999999996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2780.7+(15.4-894.2)+(-5.672628+(-0.031416--1.824168))+0-5.4--0.0110159999999998</f>
        <v>1892.6311399999995</v>
      </c>
      <c r="G35" s="3">
        <f>2905.9+(15.4-1112.9)+(-1.482009+(-0.007854--0.567579))+0-5.4--0.00275399999999945</f>
        <v>1802.0804700000001</v>
      </c>
      <c r="H35" s="3">
        <f>2837.3+(15.3-1092.5)+(-1.447023+(-0.007803--0.557175))+0-5.3--0.00270299999999946</f>
        <v>1753.9050520000003</v>
      </c>
      <c r="I35" s="3">
        <f>2808.6+(20.3-1107.7)+(4.297158+(0.031059-1.694781))+0-5.3-0.00810900000000031</f>
        <v>1718.5253269999998</v>
      </c>
      <c r="J35" s="3">
        <f>2797.5+(23.2-1122.5)+(-4.280175+(-0.035496--1.717425))+0-5.2--0.0079560000000003</f>
        <v>1690.4097099999999</v>
      </c>
      <c r="K35" s="3">
        <f>2847.9+(27.2-1188.4)+(-1.452429+(-0.013872--0.606084))+0-5.2--0.00265199999999947</f>
        <v>1680.642435</v>
      </c>
      <c r="L35" s="3">
        <f>2896.1+(41.2-1271.1)+(-5.908044+(-0.084048--2.593044))+0-5.3--0.0108119999999998</f>
        <v>1657.5117640000001</v>
      </c>
      <c r="M35" s="3">
        <f>3041.2+(55.2-1397.3)+(6.204048+(0.112608-2.850492))+0-5.1-0.0104039999999998</f>
        <v>1697.4557599999998</v>
      </c>
      <c r="N35" s="3">
        <f>3435.3+(67.2-1632.8)+(1.752003+(0.034272-0.832728))+0-5.1-0.00260099999999948</f>
        <v>1865.5509460000005</v>
      </c>
      <c r="O35" s="3">
        <f>3550.4+(57.2-1647.3)+(1.810704+(0.029172-0.840123))+0-5-0.00254999999999949</f>
        <v>1956.2972030000003</v>
      </c>
      <c r="P35" s="3">
        <f>3504.7+(55.2-1554.6)+(-1.787397+(-0.028152--0.792846))+0-4.8--0.00244799999999951</f>
        <v>1999.4797449999999</v>
      </c>
      <c r="Q35" s="3">
        <f>3517.2+(49.2-1526.8)+(3.587544+(0.050184-1.557336))+0-4.8-0.00489600000000077</f>
        <v>2036.8754960000001</v>
      </c>
      <c r="R35" s="3">
        <f>3506+(46.3-1496.2)+(-3.57612+(-0.047226--1.526124))+0-5.3--0.00540600000000085</f>
        <v>2048.7081840000001</v>
      </c>
      <c r="S35" s="3">
        <f>3469.3+(39.4-1485.2)+(3.538686+(0.040188-1.514904))+0-5.4-0.00550800000000086</f>
        <v>2020.1584620000001</v>
      </c>
      <c r="T35" s="3">
        <f>3445.4+(38.4-1456.3)+(3.514308+(0.039168-1.485426))+0-5.4-0.00550800000000086</f>
        <v>2024.1625420000003</v>
      </c>
      <c r="U35" s="3">
        <f>3437.5+(39.4-1448.9)+(-1.753125+(-0.020094--0.738939))+0-6.6--0.00336599999999933</f>
        <v>2020.3690859999999</v>
      </c>
      <c r="V35" s="3">
        <f>3441.4+(43.3-1450)+(-7.020456+(-0.088332--2.958))+0-6.7--0.0136679999999997</f>
        <v>2023.8628800000001</v>
      </c>
      <c r="W35" s="3">
        <f>3445.2+(52.9-1553.7)+(-8.78526+(-0.134895--3.961935))+0-7.4--0.0188699999999989</f>
        <v>1932.0606499999999</v>
      </c>
      <c r="X35" s="3">
        <f>3346.7+(77.2-1434.6)+(-11.947719+(-0.275604--5.121522))+0-6.7--0.0239190000000001</f>
        <v>1975.5221179999999</v>
      </c>
      <c r="Y35" s="3">
        <f>3368.3+(67.3-1433.7)+(1.717833+(0.034323-0.731187))+0-6.9-0.0035189999999993</f>
        <v>1996.0174499999998</v>
      </c>
      <c r="Z35" s="3">
        <f>3517.9+(53.4-1462.8)+(-1.794129+(-0.027234--0.746028))+0-6.6--0.00336599999999933</f>
        <v>2100.828031</v>
      </c>
      <c r="AA35" s="3">
        <f>3484+(45.4-1452.4)+(-14.21472+(-0.185232--5.925792))+0-6.9--0.0281519999999994</f>
        <v>2061.6539919999996</v>
      </c>
      <c r="AB35" s="3">
        <f>3368.6+(28.4-1361.9)+(-8.58993+(-0.07242--3.472845))+0-6.9--0.017594999999999</f>
        <v>2023.0280899999998</v>
      </c>
      <c r="AC35" s="3">
        <f>3207.2+(20.2-1229.8)+(-4.907016+(-0.030906--1.881594))+0-6.6--0.0100980000000004</f>
        <v>1987.9537700000001</v>
      </c>
      <c r="AD35" s="2">
        <v>2132.3999999999996</v>
      </c>
      <c r="AE35" s="3">
        <f>3509.2+(56.1-1426.7)+(0+(0-0))+0-6.2-0</f>
        <v>2132.3999999999996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3191.1+(21-1255.4)+(-6.509844+(-0.04284--2.561016))+0-5.2--0.0106079999999998</f>
        <v>1947.5189399999999</v>
      </c>
      <c r="G36" s="3">
        <f>3095.1+(20-1233)+(-6.314004+(-0.0408--2.51532))+0-5.1--0.0104039999999998</f>
        <v>1873.17092</v>
      </c>
      <c r="H36" s="3">
        <f>2991.6+(19-1200.1)+(-7.62858+(-0.04845--3.060255))+0-5.2--0.0132599999999992</f>
        <v>1800.6964849999999</v>
      </c>
      <c r="I36" s="3">
        <f>2850.6+(21-1112.8)+(2.907612+(0.02142-1.135056))+0-5.1-0.00520200000000081</f>
        <v>1755.4887739999999</v>
      </c>
      <c r="J36" s="3">
        <f>2840.5+(26-1134.5)+(-1.448655+(-0.01326--0.578595))+0-4.9--0.0024989999999995</f>
        <v>1726.2191789999999</v>
      </c>
      <c r="K36" s="3">
        <f>2516.7+(24-798.4)+(0+(0-0))+0-4.8-0</f>
        <v>1737.4999999999998</v>
      </c>
      <c r="L36" s="3">
        <f>2227.9+(34.2-626.2)+(-1.136229+(-0.017442--0.319362))+0-4.9--0.0024989999999995</f>
        <v>1630.1681899999999</v>
      </c>
      <c r="M36" s="3">
        <f>2314.3+(33-672.2)+(2.360586+(0.03366-0.685644))+0-6.1-0.00622200000000097</f>
        <v>1670.7023800000002</v>
      </c>
      <c r="N36" s="3">
        <f>2488.7+(34-684.2)+(1.269237+(0.01734-0.348942))+0-6.4-0.00326399999999935</f>
        <v>1833.0343709999997</v>
      </c>
      <c r="O36" s="3">
        <f>2559.6+(26-662.5)+(1.305396+(0.01326-0.337875))+0-7.5-0.00382499999999924</f>
        <v>1916.5769559999999</v>
      </c>
      <c r="P36" s="3">
        <f>2637+(23-794.5)+(-4.03461+(-0.03519--1.215585))+0--150.6-0.230418000000009</f>
        <v>2013.0153669999997</v>
      </c>
      <c r="Q36" s="3">
        <f>2620.2+(23-878.8)+(-1.336302+(-0.01173--0.448188))+0--263.7-0.134486999999973</f>
        <v>2027.0656689999998</v>
      </c>
      <c r="R36" s="3">
        <f>2681.4+(17.8-889.4)+(-5.470056+(-0.036312--1.814376))+0--263.6-0.537743999999989</f>
        <v>2069.1702639999999</v>
      </c>
      <c r="S36" s="3">
        <f>2620.4+(52.3-878.2)+(-2.672808+(-0.053346--0.895764))+0--259.1-0.264282000000041</f>
        <v>2051.5053279999997</v>
      </c>
      <c r="T36" s="3">
        <f>2563+(80.1-820)+(2.61426+(0.081702-0.8364))+0--258.5--0.263670000000041</f>
        <v>2083.7232319999998</v>
      </c>
      <c r="U36" s="3">
        <f>2470.6+(93.4-734.2)+(-3.780018+(-0.142902--1.123326))+0--259-0.396270000000015</f>
        <v>2085.6041359999995</v>
      </c>
      <c r="V36" s="3">
        <f>2492.9+(79.5-763.6)+(-3.814137+(-0.121635--1.168308))+0--258.1-0.394893000000015</f>
        <v>2063.7376429999999</v>
      </c>
      <c r="W36" s="3">
        <f>2552.5+(41.1-826.4)+(-7.81065+(-0.125766--2.528784))+0--258.7-0.79162200000003</f>
        <v>2019.7007460000002</v>
      </c>
      <c r="X36" s="3">
        <f>2431.2+(46-778)+(-4.959648+(-0.09384--1.58712))+0--262.7-0.535907999999989</f>
        <v>1957.8977239999997</v>
      </c>
      <c r="Y36" s="3">
        <f>2497.7+(44.1-835.7)+(0+(0-0))+0--263.8-0</f>
        <v>1969.8999999999999</v>
      </c>
      <c r="Z36" s="3">
        <f>2666.3+(33.2-893.1)+(-4.079439+(-0.050796--1.366443))+0--264-0.403920000000015</f>
        <v>2067.2322879999997</v>
      </c>
      <c r="AA36" s="3">
        <f>2670.5+(31.5-943.1)+(-5.44782+(-0.06426--1.923924))+0--266.3-0.543251999999988</f>
        <v>2021.0685920000001</v>
      </c>
      <c r="AB36" s="3">
        <f>2502.9+(42.3-837.2)+(0+(0-0))+0--266.3-0</f>
        <v>1974.3</v>
      </c>
      <c r="AC36" s="3">
        <f>2461+(44.3-816)+(-2.51022+(-0.045186--0.83232))+0--266.5-0.271830000000042</f>
        <v>1953.8050839999999</v>
      </c>
      <c r="AD36" s="2">
        <v>2084.8999999999996</v>
      </c>
      <c r="AE36" s="3">
        <f>2636.2+(28.9-843.2)+(0+(0-0))+0--263-0</f>
        <v>2084.8999999999996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2462.9+(29-819.2)+(-2.512158+(-0.02958--0.835584))+0--265.6-0.270912000000042</f>
        <v>1936.3229340000003</v>
      </c>
      <c r="G37" s="3">
        <f>2444.8+(26-875.7)+(-2.493696+(-0.02652--0.893214))+0--266.4-0.271728000000042</f>
        <v>1859.6012700000003</v>
      </c>
      <c r="H37" s="3">
        <f>2443.1+(26-948.2)+(-2.491962+(-0.02652--0.967164))+0--267.4-0.272748000000043</f>
        <v>1786.4759339999998</v>
      </c>
      <c r="I37" s="3">
        <f>2451.5+(30-1003.5)+(0+(0-0))+0--267.3-0</f>
        <v>1745.3</v>
      </c>
      <c r="J37" s="3">
        <f>2434+(31-1015.8)+(-2.48268+(-0.03162--1.036116))+0--268-0.273360000000043</f>
        <v>1715.4484559999999</v>
      </c>
      <c r="K37" s="3">
        <f>2244.2+(42.7-850.4)+(-3.433626+(-0.065331--1.301112))+0--257.3-0.393669000000015</f>
        <v>1691.208486</v>
      </c>
      <c r="L37" s="3">
        <f>2062.9+(134.5-785.4)+(-5.260395+(-0.342975--2.00277))+0--192.5-0.490874999999972</f>
        <v>1600.4085250000001</v>
      </c>
      <c r="M37" s="3">
        <f>2023.3+(151.3-748.3)+(0+(0-0))+0--192.5-0</f>
        <v>1618.8</v>
      </c>
      <c r="N37" s="3">
        <f>2092+(118.5-711.7)+(0+(0-0))+0--221.3-0</f>
        <v>1720.1</v>
      </c>
      <c r="O37" s="3">
        <f>2243.9+(68.8-771.5)+(0+(0-0))+9.6--257.7-0</f>
        <v>1808.5</v>
      </c>
      <c r="P37" s="3">
        <f>2275.7+(59-731.4)+(-4.642428+(-0.12036--1.492056))+0--254.9-0.519995999999989</f>
        <v>1854.4092719999999</v>
      </c>
      <c r="Q37" s="3">
        <f>2455.2+(45-866.5)+(1.252152+(0.02295-0.441915))+0--255.1--0.130100999999974</f>
        <v>1889.7632879999996</v>
      </c>
      <c r="R37" s="3">
        <f>2733.4+(42-1104.4)+(-5.576136+(-0.08568--2.252976))+0--256.2-0.522647999999989</f>
        <v>1923.2685120000001</v>
      </c>
      <c r="S37" s="3">
        <f>2670.8+(58.6-1042.3)+(0+(0-0))+0--256.2-0</f>
        <v>1943.3000000000004</v>
      </c>
      <c r="T37" s="3">
        <f>2653.6+(95.6-1035.7)+(-1.353336+(-0.048756--0.528207))+0--254.7-0.129896999999974</f>
        <v>1967.196218</v>
      </c>
      <c r="U37" s="3">
        <f>2612.4+(109.5-993)+(-5.329296+(-0.22338--2.02572))+0--254.9-0.519995999999989</f>
        <v>1979.7530480000003</v>
      </c>
      <c r="V37" s="3">
        <f>2587.8+(100.8-970.3)+(-1.319778+(-0.051408--0.494853))+0--255.3-0.130202999999974</f>
        <v>1972.5934640000003</v>
      </c>
      <c r="W37" s="3">
        <f>2638.6+(56.2-1015.1)+(-5.382744+(-0.114648--2.070804))+0--257.6-0.525503999999989</f>
        <v>1933.347908</v>
      </c>
      <c r="X37" s="3">
        <f>2648.8+(46.1-1081.1)+(-5.403552+(-0.094044--2.205444))+0--259.1-0.528563999999989</f>
        <v>1869.0792840000001</v>
      </c>
      <c r="Y37" s="3">
        <f>2675.4+(46.1-1086.6)+(-1.364454+(-0.023511--0.554166))+0--261.1-0.133160999999974</f>
        <v>1895.03304</v>
      </c>
      <c r="Z37" s="3">
        <f>2927.5+(38-1227.7)+(-4.479075+(-0.05814--1.878381))+0--262.6-0.401778000000015</f>
        <v>1997.3393879999999</v>
      </c>
      <c r="AA37" s="3">
        <f>3028.6+(42.5-1343.2)+(-4.633758+(-0.065025--2.055096))+0--263.3-0.402849000000015</f>
        <v>1988.1534639999998</v>
      </c>
      <c r="AB37" s="3">
        <f>3035.8+(28.4-1368.7)+(-1.548258+(-0.014484--0.698037))+0--263.6-0.134435999999973</f>
        <v>1958.1008590000004</v>
      </c>
      <c r="AC37" s="3">
        <f>2996.5+(44.1-1350.3)+(-1.528215+(-0.022491--0.688653))+0--264.2-0.134741999999973</f>
        <v>1953.503205</v>
      </c>
      <c r="AD37" s="2">
        <v>1997.8</v>
      </c>
      <c r="AE37" s="3">
        <f>3012.2+(35.9-1312.8)+(0+(0-0))+0--262.5-0</f>
        <v>1997.8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3008.6+(20-1362.4)+(-1.534386+(-0.0102--0.694824))+0--264.3-0.134792999999973</f>
        <v>1929.5154449999998</v>
      </c>
      <c r="G38" s="3">
        <f>3004.1+(19-1419)+(-6.128364+(-0.03876--2.89476))+0--263.9-0.538355999999988</f>
        <v>1864.1892800000001</v>
      </c>
      <c r="H38" s="3">
        <f>3012.6+(19-1487.8)+(-1.536426+(-0.00969--0.758778))+0--264.6-0.134945999999973</f>
        <v>1807.4777160000001</v>
      </c>
      <c r="I38" s="3">
        <f>2940+(23-1395)+(-1.4994+(-0.01173--0.71145))+0--266.1-0.135710999999973</f>
        <v>1833.1646089999999</v>
      </c>
      <c r="J38" s="3">
        <f>2848.3+(24-1319.7)+(-2.905266+(-0.02448--1.346094))+0--268.4-0.273768000000043</f>
        <v>1819.1425800000002</v>
      </c>
      <c r="K38" s="3">
        <f>2779.6+(21-1214.4)+(-2.835192+(-0.02142--1.238688))+0--218.3-0.222666000000035</f>
        <v>1802.6594099999998</v>
      </c>
      <c r="L38" s="3">
        <f>2637.6+(29.7-1181.7)+(-5.380704+(-0.060588--2.410668))+0--195.5-0.398819999999991</f>
        <v>1677.670556</v>
      </c>
      <c r="M38" s="3">
        <f>2783.5+(33.2-1306.9)+(1.419585+(0.016932-0.666519))+0--195.2--0.0995519999999802</f>
        <v>1705.8695499999999</v>
      </c>
      <c r="N38" s="3">
        <f>2906.8+(44.4-1291.8)+(1.482468+(0.022644-0.658818))+0--193.3--0.0985829999999804</f>
        <v>1853.6448770000002</v>
      </c>
      <c r="O38" s="3">
        <f>3010.9+(55.3-1337.9)+(-1.535559+(-0.028203--0.682329))+0--227.9-0.116228999999977</f>
        <v>1955.2023380000001</v>
      </c>
      <c r="P38" s="3">
        <f>2984.3+(56.1-1279.4)+(3.043986+(0.057222-1.304988))+0--254.5--0.259590000000041</f>
        <v>2017.5558100000001</v>
      </c>
      <c r="Q38" s="3">
        <f>2782.5+(45.7-1072.7)+(0+(0-0))+0--253.1-0</f>
        <v>2008.6</v>
      </c>
      <c r="R38" s="3">
        <f>2967.1+(36-1185.4)+(-3.026442+(-0.03672--1.209108))+0--248-0.25296000000004</f>
        <v>2063.5929859999997</v>
      </c>
      <c r="S38" s="3">
        <f>2773.4+(70.6-1036.1)+(-1.414434+(-0.036006--0.528411))+0--246.4-0.125663999999975</f>
        <v>2053.2523069999997</v>
      </c>
      <c r="T38" s="3">
        <f>2956.2+(60.6-1187.2)+(-3.015324+(-0.061812--1.210944))+0--244.8-0.249696000000039</f>
        <v>2072.2841119999998</v>
      </c>
      <c r="U38" s="3">
        <f>3011.8+(50-1228.2)+(-4.608054+(-0.0765--1.879146))+0--240.9-0.368577000000014</f>
        <v>2071.3260150000001</v>
      </c>
      <c r="V38" s="3">
        <f>3036.9+(33.2-1258)+(0+(0-0))+0--239.6-0</f>
        <v>2051.7000000000003</v>
      </c>
      <c r="W38" s="3">
        <f>3036.5+(34-1321)+(-1.548615+(-0.01734--0.67371))+0--240.6-0.122705999999976</f>
        <v>1989.085049</v>
      </c>
      <c r="X38" s="3">
        <f>3040+(38-1375.5)+(-4.6512+(-0.05814--2.104515))+0--242.6-0.371178000000014</f>
        <v>1942.1239969999999</v>
      </c>
      <c r="Y38" s="3">
        <f>3094.2+(36-1366)+(-1.578042+(-0.01836--0.69666))+0--245.6-0.125255999999975</f>
        <v>2008.7750019999996</v>
      </c>
      <c r="Z38" s="3">
        <f>3156.7+(34-1385.1)+(-3.219834+(-0.03468--1.412802))+0--249.2-0.25418400000004</f>
        <v>2052.7041039999999</v>
      </c>
      <c r="AA38" s="3">
        <f>3180.8+(27-1440.5)+(-4.866624+(-0.04131--2.203965))+0--248.6-0.380358000000014</f>
        <v>2012.8156730000001</v>
      </c>
      <c r="AB38" s="3">
        <f>3191.7+(18-1491.2)+(-3.255534+(-0.01836--1.521024))+0--248.7-0.25367400000004</f>
        <v>1965.1934559999997</v>
      </c>
      <c r="AC38" s="3">
        <f>3236+(6-1547.4)+(4.95108+(0.00918-2.367522))+0--248.9--0.380817000000014</f>
        <v>1946.473555</v>
      </c>
      <c r="AD38" s="2">
        <v>2141.6999999999998</v>
      </c>
      <c r="AE38" s="3">
        <f>3162.1+(75-1343.4)+(0+(0-0))+0--248-0</f>
        <v>2141.6999999999998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3265.1+(10.5-1566.3)+(0+(0-0))+0--248.1-0</f>
        <v>1957.3999999999999</v>
      </c>
      <c r="G39" s="3">
        <f>3069.3+(36.4-1459.7)+(-1.565343+(-0.018564--0.744447))+0--248.2-0.126581999999975</f>
        <v>1893.2339580000005</v>
      </c>
      <c r="H39" s="3">
        <f>3057.4+(36.3-1515.1)+(4.677822+(0.055539-2.318103))+0--250.1--0.382653000000014</f>
        <v>1831.4979110000002</v>
      </c>
      <c r="I39" s="3">
        <f>2925.2+(37.4-1422)+(-5.967408+(-0.076296--2.90088))+0--250.8-0.511631999999989</f>
        <v>1787.7455439999999</v>
      </c>
      <c r="J39" s="3">
        <f>2838.3+(41.4-1370.3)+(-4.342599+(-0.063342--2.096559))+0--250.6-0.383418000000014</f>
        <v>1757.3072000000002</v>
      </c>
      <c r="K39" s="3">
        <f>2577.1+(35.4-1137.8)+(-2.628642+(-0.036108--1.160556))+0--251.2-0.25622400000004</f>
        <v>1724.139582</v>
      </c>
      <c r="L39" s="3">
        <f>2553.4+(34.4-1161)+(-9.115638+(-0.122808--4.14477))+0--215.2-0.768264000000003</f>
        <v>1636.1380600000002</v>
      </c>
      <c r="M39" s="3">
        <f>2495+(39.4-1072)+(1.27245+(0.020094-0.54672))+0--181.3--0.0924629999999816</f>
        <v>1644.5382870000001</v>
      </c>
      <c r="N39" s="3">
        <f>2567.6+(37.4-1065.8)+(1.309476+(0.019074-0.543558))+0--179.5--0.0915449999999818</f>
        <v>1719.5765370000001</v>
      </c>
      <c r="O39" s="3">
        <f>2642.9+(36.4-1065.1)+(-2.695758+(-0.037128--1.086402))+0--177.3-0.180846000000028</f>
        <v>1789.6726700000002</v>
      </c>
      <c r="P39" s="3">
        <f>2674+(43.4-1103.7)+(-4.09122+(-0.066402--1.688661))+0--238.5-0.364905000000014</f>
        <v>1849.3661340000001</v>
      </c>
      <c r="Q39" s="3">
        <f>2763.3+(42.3-1149.3)+(-5.637132+(-0.086292--2.344572))+0--236.9-0.48327599999999</f>
        <v>1889.3378720000003</v>
      </c>
      <c r="R39" s="3">
        <f>2966.2+(28.1-1276.8)+(0+(0-0))+0--234.9-0</f>
        <v>1952.3999999999999</v>
      </c>
      <c r="S39" s="3">
        <f>2905.2+(68.2-1218.5)+(-4.444956+(-0.104346--1.864305))+0--236.2-0.361386000000014</f>
        <v>1988.0536169999998</v>
      </c>
      <c r="T39" s="3">
        <f>2981.4+(68.3-1261.4)+(-1.520514+(-0.034833--0.643314))+0--234.5-0.119594999999976</f>
        <v>2021.768372</v>
      </c>
      <c r="U39" s="3">
        <f>3048.9+(34.6-1299.5)+(-3.109878+(-0.035292--1.32549))+0--234-0.238680000000037</f>
        <v>2015.94164</v>
      </c>
      <c r="V39" s="3">
        <f>3042.9+(44.9-1307)+(-3.103758+(-0.045798--1.33314))+0--232.9-0.237558000000037</f>
        <v>2011.6460260000003</v>
      </c>
      <c r="W39" s="3">
        <f>3043.8+(54.6-1372.4)+(-4.657014+(-0.083538--2.099772))+0--234.6-0.358938000000014</f>
        <v>1957.6002819999999</v>
      </c>
      <c r="X39" s="3">
        <f>2927.7+(55.5-1329.3)+(-4.479381+(-0.084915--2.033829))+0--239.1-0.365823000000014</f>
        <v>1890.1037099999996</v>
      </c>
      <c r="Y39" s="3">
        <f>2882.7+(60-1274.8)+(-2.940354+(-0.0612--1.300296))+0--240.3-0.245106000000038</f>
        <v>1906.2536359999997</v>
      </c>
      <c r="Z39" s="3">
        <f>3085+(52.5-1336.7)+(-1.57335+(-0.026775--0.681717))+0--243.1-0.123980999999975</f>
        <v>2042.8576109999999</v>
      </c>
      <c r="AA39" s="3">
        <f>3180.8+(47.9-1423.1)+(-3.244416+(-0.048858--1.451562))+0--244.9-0.249798000000039</f>
        <v>2048.4084900000007</v>
      </c>
      <c r="AB39" s="3">
        <f>3028.2+(75.4-1306.7)+(1.544382+(0.038454-0.666417))+0--246--0.125459999999975</f>
        <v>2043.9418789999997</v>
      </c>
      <c r="AC39" s="3">
        <f>2942.7+(104.2-1254.9)+(-4.502331+(-0.159426--1.919997))+0--247.7-0.378981000000014</f>
        <v>2036.5792589999996</v>
      </c>
      <c r="AD39" s="2">
        <v>2001</v>
      </c>
      <c r="AE39" s="3">
        <f>3122+(54-1419.5)+(0+(0-0))+0--244.5-0</f>
        <v>2001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2953.5+(105.1-1295.4)+(-1.506285+(-0.053601--0.660654))+0--246.8-0.125867999999975</f>
        <v>2008.9748999999997</v>
      </c>
      <c r="G40" s="3">
        <f>2974.6+(75.5-1347.6)+(-4.551138+(-0.115515--2.061828))+0--247.9-0.379287000000014</f>
        <v>1947.4158880000002</v>
      </c>
      <c r="H40" s="3">
        <f>2985.2+(47-1386)+(3.044904+(0.04794-1.41372))+0--260--0.265200000000041</f>
        <v>1908.1443239999999</v>
      </c>
      <c r="I40" s="3">
        <f>2850.7+(38.8-1300.6)+(1.453857+(0.019788-0.663306))+0--259--0.132089999999974</f>
        <v>1848.842429</v>
      </c>
      <c r="J40" s="3">
        <f>2847+(30-1314.9)+(0+(0-0))+0--249.5-0</f>
        <v>1811.6</v>
      </c>
      <c r="K40" s="3">
        <f>2844.4+(36-1340.3)+(-4.351932+(-0.05508--2.050659))+0--247.5-0.378675000000014</f>
        <v>1784.8649720000003</v>
      </c>
      <c r="L40" s="3">
        <f>2855.5+(42-1420.5)+(-1.456305+(-0.02142--0.724455))+0--250.1-0.127550999999975</f>
        <v>1726.2191789999999</v>
      </c>
      <c r="M40" s="3">
        <f>2925.7+(52-1476.6)+(1.492107+(0.02652-0.753066))+0--245.3--0.125102999999975</f>
        <v>1747.2906639999999</v>
      </c>
      <c r="N40" s="3">
        <f>3171.1+(61-1569.5)+(1.617261+(0.03111-0.800445))+0-5.1-0.00260099999999948</f>
        <v>1658.345325</v>
      </c>
      <c r="O40" s="3">
        <f>3179.1+(63-1471.8)+(0+(0-0))+0-5.1-0</f>
        <v>1765.2</v>
      </c>
      <c r="P40" s="3">
        <f>3141.1+(66-1370.7)+(0+(0-0))+0-5.2-0</f>
        <v>1831.1999999999998</v>
      </c>
      <c r="Q40" s="3">
        <f>3205.5+(58-1312.7)+(-4.904415+(-0.08874--2.008431))+0-5.3--0.00810900000000031</f>
        <v>1942.5233850000002</v>
      </c>
      <c r="R40" s="3">
        <f>3280.9+(49-1362.9)+(-6.693036+(-0.09996--2.780316))+0--231.2-0.47164799999999</f>
        <v>2193.7156719999998</v>
      </c>
      <c r="S40" s="3">
        <f>3279.4+(75.3-1356.4)+(-3.344988+(-0.076806--1.383528))+0--233.9-0.238578000000037</f>
        <v>2229.9231559999998</v>
      </c>
      <c r="T40" s="3">
        <f>3244.2+(99.8-1279.4)+(0+(0-0))+0--231.7-0</f>
        <v>2296.2999999999993</v>
      </c>
      <c r="U40" s="3">
        <f>3237.6+(97.1-1252.9)+(-3.302352+(-0.099042--1.277958))+0--231.1-0.235722000000037</f>
        <v>2310.5408419999999</v>
      </c>
      <c r="V40" s="3">
        <f>3105.6+(96.2-1146.4)+(-3.167712+(-0.098124--1.169328))+0--231.7-0.236334000000037</f>
        <v>2284.7671579999992</v>
      </c>
      <c r="W40" s="3">
        <f>3079.3+(54.5-1174.4)+(-3.140886+(-0.05559--1.197888))+0--229.1-0.233682000000037</f>
        <v>2186.26773</v>
      </c>
      <c r="X40" s="3">
        <f>2922.6+(95-1148.6)+(-4.471578+(-0.14535--1.757358))+0--230.1-0.352053000000013</f>
        <v>2095.8883769999998</v>
      </c>
      <c r="Y40" s="3">
        <f>2961.5+(57.4-1135.1)+(-4.531095+(-0.087822--1.736703))+0--232.8-0.356184000000013</f>
        <v>2113.3616019999999</v>
      </c>
      <c r="Z40" s="3">
        <f>3162.4+(55.9-1205.8)+(-6.451296+(-0.114036--2.459832))+0--236.8-0.48307199999999</f>
        <v>2244.7114280000005</v>
      </c>
      <c r="AA40" s="3">
        <f>3125.9+(70.5-1199.2)+(-3.188418+(-0.07191--1.223184))+0--242-0.246840000000039</f>
        <v>2236.9160159999997</v>
      </c>
      <c r="AB40" s="3">
        <f>3121.6+(77.3-1219.7)+(-4.776048+(-0.118269--1.866141))+0--241.9-0.370107000000014</f>
        <v>2217.7017169999995</v>
      </c>
      <c r="AC40" s="3">
        <f>3091.2+(91.3-1207.2)+(-6.306048+(-0.186252--2.462688))+0--242-0.493679999999989</f>
        <v>2212.7767079999999</v>
      </c>
      <c r="AD40" s="2">
        <v>2275.7999999999997</v>
      </c>
      <c r="AE40" s="3">
        <f>3163+(66-1192.4)+(0+(0-0))+0--239.2-0</f>
        <v>2275.7999999999997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3100+(73.7-1237.1)+(-4.743+(-0.112761--1.892763))+0--242-0.370260000000014</f>
        <v>2175.2667420000002</v>
      </c>
      <c r="G41" s="3">
        <f>3110+(40.8-1286.9)+(-4.7583+(-0.062424--1.968957))+0--242.4-0.370872000000014</f>
        <v>2103.0773609999997</v>
      </c>
      <c r="H41" s="3">
        <f>3115.5+(20-1332.6)+(1.588905+(0.0102-0.679626))+0--243.8--0.124337999999975</f>
        <v>2047.743817</v>
      </c>
      <c r="I41" s="3">
        <f>3052.1+(18-1312.5)+(3.113142+(0.01836-1.33875))+0--240.9--0.245718000000038</f>
        <v>2000.5384700000002</v>
      </c>
      <c r="J41" s="3">
        <f>3046.7+(22-1337.6)+(-1.553817+(-0.01122--0.682176))+0--239.7-0.122246999999976</f>
        <v>1969.7948919999999</v>
      </c>
      <c r="K41" s="3">
        <f>2910.6+(43.7-1255.4)+(-5.937624+(-0.089148--2.561016))+0--241.1-0.491843999999989</f>
        <v>1936.0423999999998</v>
      </c>
      <c r="L41" s="3">
        <f>2695.6+(152.4-1250.8)+(-4.124268+(-0.233172--1.913724))+0--241-0.368730000000014</f>
        <v>1835.3875540000001</v>
      </c>
      <c r="M41" s="3">
        <f>2739.6+(143.8-1272.4)+(0+(0-0))+0--236-0</f>
        <v>1846.9999999999998</v>
      </c>
      <c r="N41" s="3">
        <f>2879.4+(88.1-1222.3)+(1.468494+(0.044931-0.623373))+0--237.3--0.121022999999976</f>
        <v>1983.5110749999999</v>
      </c>
      <c r="O41" s="3">
        <f>2982.4+(52-1215.6)+(1.521024+(0.02652-0.619956))+0--237--0.120869999999976</f>
        <v>2056.8484580000004</v>
      </c>
      <c r="P41" s="3">
        <f>2990.6+(49-1148.5)+(-1.525206+(-0.02499--0.585735))+0--234.4-0.119543999999976</f>
        <v>2124.4159949999998</v>
      </c>
      <c r="Q41" s="3">
        <f>3107.4+(34-1148.9)+(-4.754322+(-0.05202--1.757817))+0--227.5-0.348075000000013</f>
        <v>2216.6034</v>
      </c>
      <c r="R41" s="3">
        <f>3141.8+(64.8-1117.4)+(-3.204636+(-0.066096--1.139748))+0--225.5-0.230010000000036</f>
        <v>2312.3390059999997</v>
      </c>
      <c r="S41" s="3">
        <f>3121.2+(77-1076.7)+(-6.367248+(-0.15708--2.196468))+0--226.4-0.46185599999999</f>
        <v>2343.1102840000003</v>
      </c>
      <c r="T41" s="3">
        <f>3130.3+(141-1067.5)+(-1.596453+(-0.07191--0.544425))+0--226.3-0.115412999999977</f>
        <v>2428.8606490000002</v>
      </c>
      <c r="U41" s="3">
        <f>3119.8+(144-1080.2)+(-6.364392+(-0.29376--2.203608))+0--227.6-0.46430399999999</f>
        <v>2406.281152</v>
      </c>
      <c r="V41" s="3">
        <f>3112.7+(92-1055.4)+(-3.174954+(-0.09384--1.076508))+0--231.7-0.236334000000037</f>
        <v>2378.5713799999994</v>
      </c>
      <c r="W41" s="3">
        <f>3052.7+(69-1090.3)+(-7.784385+(-0.17595--2.780265))+0--235.4-0.600269999999966</f>
        <v>2261.0196599999999</v>
      </c>
      <c r="X41" s="3">
        <f>2840.4+(78.1-1011.9)+(-13.037436+(-0.358479--4.644621))+0--236.5-1.08553500000004</f>
        <v>2133.2631710000001</v>
      </c>
      <c r="Y41" s="3">
        <f>2779.2+(59.9-951.6)+(0+(0-0))+0--238.6-0</f>
        <v>2126.1</v>
      </c>
      <c r="Z41" s="3">
        <f>3007.3+(58.2-1036.2)+(-1.533723+(-0.029682--0.528462))+0--239.1-0.121940999999976</f>
        <v>2267.2431160000001</v>
      </c>
      <c r="AA41" s="3">
        <f>3211.3+(67.9-1218)+(-9.826578+(-0.207774--3.72708))+0--239.4-0.732564000000028</f>
        <v>2293.5601640000004</v>
      </c>
      <c r="AB41" s="3">
        <f>3210.8+(77.9-1228.8)+(0+(0-0))+0--238-0</f>
        <v>2297.9000000000005</v>
      </c>
      <c r="AC41" s="3">
        <f>3154+(104.8-1183.5)+(0+(0-0))+0--235.4-0</f>
        <v>2310.7000000000003</v>
      </c>
      <c r="AD41" s="2">
        <v>2288.6</v>
      </c>
      <c r="AE41" s="3">
        <f>3149+(45.6-1143.4)+(0+(0-0))+0--237.4-0</f>
        <v>2288.6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3203.8+(100.9-1233.1)+(-3.267876+(-0.102918--1.257762))+0--238.5-0.243270000000038</f>
        <v>2307.7436980000002</v>
      </c>
      <c r="G42" s="3">
        <f>3182.3+(102-1284.4)+(-3.245946+(-0.10404--1.310088))+0--239.1-0.243882000000038</f>
        <v>2236.7162199999998</v>
      </c>
      <c r="H42" s="3">
        <f>3082.8+(79.4-1224.5)+(0+(0-0))+0--235.2-0</f>
        <v>2172.9</v>
      </c>
      <c r="I42" s="3">
        <f>2950.4+(90.3-1113.1)+(3.009408+(0.092106-1.135362))+0--175.4--0.178908000000028</f>
        <v>2105.1450599999998</v>
      </c>
      <c r="J42" s="3">
        <f>2878.2+(77.2-1065.6)+(-2.935764+(-0.078744--1.086912))+0--176.1-0.179622000000028</f>
        <v>2063.792782</v>
      </c>
      <c r="K42" s="3">
        <f>2722.6+(85-960.8)+(-1.388526+(-0.04335--0.490008))+0--175.5-0.0895049999999822</f>
        <v>2021.2686269999999</v>
      </c>
      <c r="L42" s="3">
        <f>2708.3+(58.8-1050.1)+(-6.906165+(-0.14994--2.677755))+0--176.2-0.449309999999974</f>
        <v>1888.3723400000003</v>
      </c>
      <c r="M42" s="3">
        <f>2760.6+(46.5-1079.2)+(4.223718+(0.071145-1.651176))+0--176.1--0.26943300000001</f>
        <v>1906.9131199999997</v>
      </c>
      <c r="N42" s="3">
        <f>3034.7+(38-1252.6)+(0+(0-0))+0--239-0</f>
        <v>2059.1</v>
      </c>
      <c r="O42" s="3">
        <f>3178.7+(40-1312.1)+(1.621137+(0.0204-0.669171))+0--236.5--0.120614999999976</f>
        <v>2144.1929809999997</v>
      </c>
      <c r="P42" s="3">
        <f>3203.9+(34-1281.9)+(-1.633989+(-0.01734--0.653769))+0--234.6-0.119645999999976</f>
        <v>2189.482794</v>
      </c>
      <c r="Q42" s="3">
        <f>3346.8+(21-1281.4)+(-8.53434+(-0.05355--3.26757))+0--234.9-0.598994999999966</f>
        <v>2315.3806850000005</v>
      </c>
      <c r="R42" s="3">
        <f>3041.3+(50.3-1021.8)+(-6.204252+(-0.102612--2.084472))+0--235.5-0.48041999999999</f>
        <v>2300.5971880000002</v>
      </c>
      <c r="S42" s="3">
        <f>2848.9+(139.5-867.7)+(-4.358817+(-0.213435--1.327581))+0--234-0.358020000000014</f>
        <v>2351.0973089999998</v>
      </c>
      <c r="T42" s="3">
        <f>2683.2+(202.9-755.1)+(4.105296+(0.310437-1.155303))+0--233.2--0.356796000000013</f>
        <v>2367.8172259999997</v>
      </c>
      <c r="U42" s="3">
        <f>2810.7+(148.5-813.5)+(-7.167285+(-0.378675--2.074425))+0--234.1-0.596954999999966</f>
        <v>2373.7315099999996</v>
      </c>
      <c r="V42" s="3">
        <f>2849.2+(99.5-929.2)+(-2.906184+(-0.10149--0.947784))+0--233.9-0.238578000000037</f>
        <v>2251.1015319999997</v>
      </c>
      <c r="W42" s="3">
        <f>2895.7+(32.1-975.5)+(-7.384035+(-0.081855--2.487525))+0--235.1-0.599504999999966</f>
        <v>2181.8221299999996</v>
      </c>
      <c r="X42" s="3">
        <f>2895.7+(55.7-973.3)+(-7.384035+(-0.142035--2.481915))+0--220-0.560999999999968</f>
        <v>2192.4948449999997</v>
      </c>
      <c r="Y42" s="3">
        <f>2728.6+(44.4-900.4)+(-6.95793+(-0.11322--2.29602))+0--236.7-0.603584999999966</f>
        <v>2103.9212849999999</v>
      </c>
      <c r="Z42" s="3">
        <f>3059.5+(10-1091)+(-4.681035+(-0.0153--1.66923))+0--238.1-0.364293000000014</f>
        <v>2213.2086020000002</v>
      </c>
      <c r="AA42" s="3">
        <f>3010.8+(36.2-1050.1)+(-4.606524+(-0.055386--1.606653))+0--231.3-0.353889000000013</f>
        <v>2224.7908540000003</v>
      </c>
      <c r="AB42" s="3">
        <f>2861.7+(75.4-960.1)+(4.378401+(0.115362-1.468953))+0--232.8--0.356184000000013</f>
        <v>2213.1809939999998</v>
      </c>
      <c r="AC42" s="3">
        <f>2800.3+(114.8-925.5)+(-7.140765+(-0.29274--2.360025))+0--235-0.599249999999966</f>
        <v>2218.9272700000006</v>
      </c>
      <c r="AD42" s="2">
        <v>2222.6999999999998</v>
      </c>
      <c r="AE42" s="3">
        <f>3097+(10.6-1114.3)+(0+(0-0))+0--229.4-0</f>
        <v>2222.6999999999998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2823.8+(102.3-936.2)+(-4.320414+(-0.156519--1.432386))+0--235.9-0.360927000000014</f>
        <v>2222.394526</v>
      </c>
      <c r="G43" s="3">
        <f>2758.5+(120.8-960.1)+(-5.62734+(-0.246432--1.958604))+0--237.9-0.48531599999999</f>
        <v>2152.6995160000001</v>
      </c>
      <c r="H43" s="3">
        <f>2758+(77.8-970.4)+(-4.21974+(-0.119034--1.484712))+0--237.4-0.363222000000014</f>
        <v>2099.5827159999999</v>
      </c>
      <c r="I43" s="3">
        <f>2616.7+(93.9-884.9)+(-6.672585+(-0.239445--2.256495))+0--239.1-0.609704999999965</f>
        <v>2059.53476</v>
      </c>
      <c r="J43" s="3">
        <f>2476.6+(89.3-788.2)+(1.263066+(0.045543-0.401982))+0--240.1--0.122450999999976</f>
        <v>2018.8290779999998</v>
      </c>
      <c r="K43" s="3">
        <f>2451+(52.6-764)+(-5.00004+(-0.107304--1.55856))+0--240-0.48959999999999</f>
        <v>1975.561616</v>
      </c>
      <c r="L43" s="3">
        <f>2447.3+(26-724.8)+(2.496246+(0.02652-0.739296))+0--243.8--0.248676000000039</f>
        <v>1994.3321460000002</v>
      </c>
      <c r="M43" s="3">
        <f>2482.1+(22-917.5)+(0+(0-0))+0--243.5-0</f>
        <v>1830.1</v>
      </c>
      <c r="N43" s="3">
        <f>2720.3+(17-926)+(2.774706+(0.01734-0.94452))+0--237.2--0.241944000000038</f>
        <v>2050.5894699999999</v>
      </c>
      <c r="O43" s="3">
        <f>2886.4+(17-1020.4)+(0+(0-0))+0--236-0</f>
        <v>2119</v>
      </c>
      <c r="P43" s="3">
        <f>3009.6+(31-1033.6)+(-1.534896+(-0.01581--0.527136))+0--234.6-0.119645999999976</f>
        <v>2240.456784</v>
      </c>
      <c r="Q43" s="3">
        <f>2571.1+(211.9-768.7)+(1.311261+(0.108069-0.392037))+0--229.8--0.117197999999977</f>
        <v>2245.2444909999999</v>
      </c>
      <c r="R43" s="3">
        <f>2559.2+(269.1-728.6)+(-5.220768+(-0.548964--1.486344))+0--228.5-0.46613999999999</f>
        <v>2323.450472</v>
      </c>
      <c r="S43" s="3">
        <f>2624.4+(336.5-766.3)+(-2.676888+(-0.34323--0.781626))+0--226.7-0.231234000000036</f>
        <v>2418.8302740000004</v>
      </c>
      <c r="T43" s="3">
        <f>2711.9+(317.4-764.3)+(-2.766138+(-0.323748--0.779586))+0-0-0</f>
        <v>2262.6896999999999</v>
      </c>
      <c r="U43" s="3">
        <f>3069.4+(185-951.1)+(-9.392364+(-0.5661--2.910366))+0-0-0</f>
        <v>2296.251902</v>
      </c>
      <c r="V43" s="3">
        <f>3266+(61-1085.2)+(-6.66264+(-0.12444--2.213808))+0-0-0</f>
        <v>2237.2267280000001</v>
      </c>
      <c r="W43" s="3">
        <f>3144.3+(29-1075.4)+(-4.810779+(-0.04437--1.645362))+0-0-0</f>
        <v>2094.6902130000003</v>
      </c>
      <c r="X43" s="3">
        <f>2957.8+(24-1032.9)+(-6.033912+(-0.04896--2.107116))+0-0-0</f>
        <v>1944.924244</v>
      </c>
      <c r="Y43" s="3">
        <f>2767.2+(35-903.2)+(-1.411272+(-0.01785--0.460632))+0-0-0</f>
        <v>1898.0315099999998</v>
      </c>
      <c r="Z43" s="3">
        <f>3097.6+(30-1084.7)+(-3.159552+(-0.0306--1.106394))+0--237-0.241740000000038</f>
        <v>2277.5745019999999</v>
      </c>
      <c r="AA43" s="3">
        <f>3379.6+(17-1315.7)+(-6.894384+(-0.03468--2.684028))+0--238.7-0.48694799999999</f>
        <v>2314.8680159999994</v>
      </c>
      <c r="AB43" s="3">
        <f>3392.8+(17-1327.9)+(-5.190984+(-0.02601--2.031687))+0--239.4-0.366282000000014</f>
        <v>2317.748411</v>
      </c>
      <c r="AC43" s="3">
        <f>3413.6+(31.3-1347.2)+(-8.70468+(-0.079815--3.43536))+0--240.2-0.612509999999965</f>
        <v>2331.9383549999998</v>
      </c>
      <c r="AD43" s="2">
        <v>2320</v>
      </c>
      <c r="AE43" s="3">
        <f>3440+(0.6-1358.1)+(0+(0-0))+0--237.5-0</f>
        <v>2320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3428.8+(22-1314)+(-3.497376+(-0.02244--1.34028))+0--231.5-0.236130000000037</f>
        <v>2365.8843339999999</v>
      </c>
      <c r="G44" s="3">
        <f>3303+(28.3-1269.8)+(0+(0-0))+0--230.9-0</f>
        <v>2292.4</v>
      </c>
      <c r="H44" s="3">
        <f>3230.9+(17-1254.4)+(-8.238795+(-0.04335--3.19872))+0--230.4-0.587519999999967</f>
        <v>2218.2290549999998</v>
      </c>
      <c r="I44" s="3">
        <f>3276.4+(17-1351.2)+(0+(0-0))+0--228.5-0</f>
        <v>2170.6999999999998</v>
      </c>
      <c r="J44" s="3">
        <f>3179.8+(17-1297.7)+(-6.486792+(-0.03468--2.647308))+0--232.4-0.47409599999999</f>
        <v>2127.1517400000002</v>
      </c>
      <c r="K44" s="3">
        <f>2944.3+(17-1130.9)+(-7.507965+(-0.04335--2.883795))+0--230.9-0.588794999999967</f>
        <v>2056.0436850000001</v>
      </c>
      <c r="L44" s="3">
        <f>2739.7+(27-1128.6)+(-6.986235+(-0.06885--2.87793))+0--230.9-0.588794999999967</f>
        <v>1864.23405</v>
      </c>
      <c r="M44" s="3">
        <f>2525.6+(49-895)+(-9.016392+(-0.17493--3.19515))+0--186-0.664020000000003</f>
        <v>1858.9398080000001</v>
      </c>
      <c r="N44" s="3">
        <f>2682.5+(17-911.5)+(1.368075+(0.00867-0.464865))+0--185.9--0.0948089999999811</f>
        <v>1974.9066890000001</v>
      </c>
      <c r="O44" s="3">
        <f>3074.6+(17-1135.8)+(1.568046+(0.00867-0.579258))+0--224.1--0.114290999999977</f>
        <v>2181.0117489999998</v>
      </c>
      <c r="P44" s="3">
        <f>3147.1+(17-1159.7)+(0+(0-0))+0--223.1-0</f>
        <v>2227.5</v>
      </c>
      <c r="Q44" s="3">
        <f>3186.8+(17-1089.3)+(1.625268+(0.00867-0.555543))+0--225.6--0.115055999999977</f>
        <v>2341.293451</v>
      </c>
      <c r="R44" s="3">
        <f>3239.3+(35-1089.5)+(-4.956129+(-0.05355--1.666935))+0--224.5-0.343485000000013</f>
        <v>2405.6137710000003</v>
      </c>
      <c r="S44" s="3">
        <f>3229.2+(118-1099.3)+(0+(0-0))+11--222.2-0</f>
        <v>2481.0999999999995</v>
      </c>
      <c r="T44" s="3">
        <f>3265.3+(130-1053.6)+(-6.661212+(-0.2652--2.149344))+36--222.4-0.45369599999999</f>
        <v>2594.8692360000005</v>
      </c>
      <c r="U44" s="3">
        <f>3251.7+(103-999.5)+(-6.633468+(-0.21012--2.03898))+40--220.2-0.44920799999999</f>
        <v>2610.1461839999997</v>
      </c>
      <c r="V44" s="3">
        <f>3253.9+(96-1046.4)+(-6.637956+(-0.19584--2.134656))+0--219.3-0.44737199999999</f>
        <v>2517.6534879999999</v>
      </c>
      <c r="W44" s="3">
        <f>3247+(19-1102.9)+(-13.24776+(-0.07752--4.499832))+0--219.5-0.895559999999981</f>
        <v>2372.8789919999999</v>
      </c>
      <c r="X44" s="3">
        <f>3122.1+(19.6-1183.6)+(-14.330439+(-0.089964--5.432724))+0--223.1-1.02402900000004</f>
        <v>2171.1882919999998</v>
      </c>
      <c r="Y44" s="3">
        <f>2957.6+(50.1-1081.7)+(0+(0-0))+0--224.8-0</f>
        <v>2150.7999999999997</v>
      </c>
      <c r="Z44" s="3">
        <f>3374.3+(12-1287.9)+(3.441786+(0.01224-1.313658))+0--225.5--0.230010000000036</f>
        <v>2326.2703780000002</v>
      </c>
      <c r="AA44" s="3">
        <f>3492.4+(12-1379.9)+(-12.467868+(-0.04284--4.926243))+0--227.7-0.812889000000003</f>
        <v>2343.8026460000001</v>
      </c>
      <c r="AB44" s="3">
        <f>3417.4+(26.2-1324.9)+(-3.485748+(-0.026724--1.351398))+0--226.1-0.230622000000036</f>
        <v>2342.4083039999996</v>
      </c>
      <c r="AC44" s="3">
        <f>3135.8+(96.7-1090)+(-6.397032+(-0.197268--2.2236))+0--226-0.46103999999999</f>
        <v>2363.6682599999999</v>
      </c>
      <c r="AD44" s="2">
        <v>2373.4</v>
      </c>
      <c r="AE44" s="3">
        <f>3512+(0.5-1373.5)+(0+(0-0))+0--234.4-0</f>
        <v>2373.4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2958.1+(128.7-882.3)+(-1.508631+(-0.065637--0.449973))+0--234.1-0.119390999999976</f>
        <v>2437.3563139999997</v>
      </c>
      <c r="G45" s="3">
        <f>2809.4+(131.7-812.6)+(-2.865588+(-0.134334--0.828852))+0--237.8-0.242556000000038</f>
        <v>2363.8863740000002</v>
      </c>
      <c r="H45" s="3">
        <f>2808.8+(110.2-847.2)+(-7.16244+(-0.28101--2.16036))+0--237.1-0.604604999999966</f>
        <v>2303.0123050000002</v>
      </c>
      <c r="I45" s="3">
        <f>2827.1+(62.8-872.8)+(-1.441821+(-0.032028--0.445128))+0--237.5-0.121124999999976</f>
        <v>2253.4501539999997</v>
      </c>
      <c r="J45" s="3">
        <f>2840.3+(37.6-897.5)+(-2.897106+(-0.038352--0.91545))+0--237.3-0.242046000000038</f>
        <v>2215.4379460000005</v>
      </c>
      <c r="K45" s="3">
        <f>2811.5+(5-884.1)+(-5.73546+(-0.0102--1.803564))+0--236.9-0.48327599999999</f>
        <v>2164.874628</v>
      </c>
      <c r="L45" s="3">
        <f>2580.1+(35.3-906.7)+(-2.631702+(-0.036006--0.924834))+0--236.6-0.241332000000038</f>
        <v>1943.3157939999996</v>
      </c>
      <c r="M45" s="3">
        <f>2550.8+(19.6-854.4)+(-1.300908+(-0.009996--0.435744))+0--239.3-0.122042999999976</f>
        <v>1954.3027970000001</v>
      </c>
      <c r="N45" s="3">
        <f>2626.8+(9-830.3)+(0+(0-0))+0--237.6-0</f>
        <v>2043.1000000000001</v>
      </c>
      <c r="O45" s="3">
        <f>2716.1+(12-857.8)+(1.385211+(0.00612-0.437478))+0--232.4--0.118523999999976</f>
        <v>2103.7723769999998</v>
      </c>
      <c r="P45" s="3">
        <f>2877.8+(8-911.1)+(4.403034+(0.01224-1.393983))+0--229.2--0.350676000000013</f>
        <v>2207.2719670000001</v>
      </c>
      <c r="Q45" s="3">
        <f>3220.5+(0-1160.2)+(-1.642455+(0--0.591702))+0--223.6-0.114035999999977</f>
        <v>2282.7352110000002</v>
      </c>
      <c r="R45" s="3">
        <f>3282.5+(0-1107.6)+(-3.34815+(0--1.129752))+0--224.9-0.229398000000036</f>
        <v>2397.3522040000003</v>
      </c>
      <c r="S45" s="3">
        <f>3278.2+(6.1-1116.4)+(-5.015646+(-0.009333--1.708092))+0--228.8-0.350064000000013</f>
        <v>2393.0330489999997</v>
      </c>
      <c r="T45" s="3">
        <f>3248.4+(203-1111.7)+(-4.970052+(-0.31059--1.700901))+0--232.4-0.355572000000013</f>
        <v>2568.164687</v>
      </c>
      <c r="U45" s="3">
        <f>3247.5+(197.9-1105.7)+(-3.31245+(-0.201858--1.127814))+0--232.9-0.237558000000037</f>
        <v>2569.9759479999998</v>
      </c>
      <c r="V45" s="3">
        <f>3229.6+(116.1-1076)+(-9.882576+(-0.355266--3.29256))+0--233.3-0.713898000000027</f>
        <v>2495.3408199999999</v>
      </c>
      <c r="W45" s="3">
        <f>3194.3+(13.4-1103.2)+(-4.887279+(-0.020502--1.687896))+0--233.9-0.357867000000014</f>
        <v>2334.8222479999999</v>
      </c>
      <c r="X45" s="3">
        <f>2913.1+(0-1004)+(-1.485681+(0--0.51204))+0--234.1-0.119390999999976</f>
        <v>2142.1069679999996</v>
      </c>
      <c r="Y45" s="3">
        <f>2749.5+(13-905.2)+(1.402245+(0.00663-0.461652))+0--233.7--0.119186999999976</f>
        <v>2092.0664099999995</v>
      </c>
      <c r="Z45" s="3">
        <f>3050.7+(66.8-1005.3)+(-3.111714+(-0.068136--1.025406))+0--233.7-0.238374000000037</f>
        <v>2343.5071819999998</v>
      </c>
      <c r="AA45" s="3">
        <f>3164.4+(71.2-1184.2)+(-4.841532+(-0.108936--1.811826))+0--235.2-0.359856000000014</f>
        <v>2283.101502</v>
      </c>
      <c r="AB45" s="3">
        <f>3076.4+(106.7-1125.7)+(-9.413784+(-0.326502--3.444642))+0--234.9-0.718794000000027</f>
        <v>2285.2855620000005</v>
      </c>
      <c r="AC45" s="3">
        <f>3059.1+(124.2-1097.4)+(-3.120282+(-0.126684--1.119348))+0--235.5-0.240210000000038</f>
        <v>2319.0321719999997</v>
      </c>
      <c r="AD45" s="2">
        <v>2286.6</v>
      </c>
      <c r="AE45" s="3">
        <f>3178+(60-1185.9)+(0+(0-0))+0--234.5-0</f>
        <v>2286.6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3032+(159.3-1063)+(-6.18528+(-0.324972--2.16852))+0--237.3-0.48409199999999</f>
        <v>2360.7741760000004</v>
      </c>
      <c r="G46" s="3">
        <f>3022.6+(135.7-1076.1)+(-3.083052+(-0.138414--1.097622))+0--238.4-0.243168000000038</f>
        <v>2318.2329879999998</v>
      </c>
      <c r="H46" s="3">
        <f>2986+(127.5-1084.2)+(-1.52286+(-0.065025--0.552942))+0--238.5-0.121634999999976</f>
        <v>2266.6434219999996</v>
      </c>
      <c r="I46" s="3">
        <f>2947.7+(91.5-1058.9)+(6.013308+(0.18666-2.160156))+0--238--0.48551999999999</f>
        <v>2222.8253319999999</v>
      </c>
      <c r="J46" s="3">
        <f>2945.2+(77.6-1082.1)+(0+(0-0))+0--237.7-0</f>
        <v>2178.3999999999996</v>
      </c>
      <c r="K46" s="3">
        <f>2783.4+(77.6-963.7)+(-4.258602+(-0.118728--1.474461))+0--237.3-0.363069000000014</f>
        <v>2131.3340620000004</v>
      </c>
      <c r="L46" s="3">
        <f>2507.5+(45.8-786.4)+(-2.55765+(-0.046716--0.802128))+0--187.5-0.19125000000003</f>
        <v>1952.406512</v>
      </c>
      <c r="M46" s="3">
        <f>2452.3+(45.5-763.7)+(-2.501346+(-0.04641--0.778974))+0--176.3-0.179826000000028</f>
        <v>1908.4513919999999</v>
      </c>
      <c r="N46" s="3">
        <f>2544.4+(25.2-823.9)+(-1.297644+(-0.012852--0.420189))+0--207.4-0.105773999999979</f>
        <v>1952.1039190000006</v>
      </c>
      <c r="O46" s="3">
        <f>2612.9+(12.2-848.3)+(0+(0-0))+0--235-0</f>
        <v>2011.8000000000002</v>
      </c>
      <c r="P46" s="3">
        <f>2712.5+(33.8-873.1)+(0+(0-0))+0--230.9-0</f>
        <v>2104.1</v>
      </c>
      <c r="Q46" s="3">
        <f>2827.4+(72.8-936.3)+(-4.325922+(-0.111384--1.432539))+0--228.1-0.348993000000013</f>
        <v>2188.64624</v>
      </c>
      <c r="R46" s="3">
        <f>2869.5+(148-958)+(-1.463445+(-0.07548--0.48858))+0--228-0.116279999999977</f>
        <v>2286.3333749999997</v>
      </c>
      <c r="S46" s="3">
        <f>2863.2+(259.7-958.5)+(0+(0-0))+0--227.3-0</f>
        <v>2391.6999999999998</v>
      </c>
      <c r="T46" s="3">
        <f>2937.3+(281.7-960.7)+(-7.490115+(-0.718335--2.449785))+0--226.6-0.577829999999967</f>
        <v>2478.5635050000001</v>
      </c>
      <c r="U46" s="3">
        <f>2936.8+(221.3-888.3)+(-4.493304+(-0.338589--1.359099))+0--225.6-0.345168000000013</f>
        <v>2491.5820380000005</v>
      </c>
      <c r="V46" s="3">
        <f>2934.7+(137.3-834)+(-7.483485+(-0.350115--2.1267))+0--224.9-0.573494999999967</f>
        <v>2456.6196049999999</v>
      </c>
      <c r="W46" s="3">
        <f>2865.3+(33.2-855.9)+(-2.922606+(-0.033864--0.873018))+0--224.9-0.229398000000036</f>
        <v>2265.1871500000002</v>
      </c>
      <c r="X46" s="3">
        <f>2490+(55.4-657.6)+(-3.8097+(-0.084762--1.006128))+0--193.6-0.296208000000011</f>
        <v>2078.2154579999997</v>
      </c>
      <c r="Y46" s="3">
        <f>2431.4+(46.6-602.2)+(-1.240014+(-0.023766--0.307122))+0--168.6-0.0859859999999829</f>
        <v>2043.357356</v>
      </c>
      <c r="Z46" s="3">
        <f>2800.3+(84.6-863.8)+(0+(0-0))+0--191.8-0</f>
        <v>2212.9000000000005</v>
      </c>
      <c r="AA46" s="3">
        <f>3063+(75.2-1052.7)+(-6.24852+(-0.153408--2.147508))+0--230.2-0.46960799999999</f>
        <v>2310.9759719999997</v>
      </c>
      <c r="AB46" s="3">
        <f>3067.1+(100.5-1052.1)+(-6.256884+(-0.20502--2.146284))+0--230.3-0.46981199999999</f>
        <v>2341.0145680000005</v>
      </c>
      <c r="AC46" s="3">
        <f>2949.8+(150.6-934.3)+(-4.513194+(-0.230418--1.429479))+0--230.1-0.352053000000013</f>
        <v>2392.5338140000003</v>
      </c>
      <c r="AD46" s="2">
        <v>2307.5</v>
      </c>
      <c r="AE46" s="3">
        <f>3053+(70.7-1047.6)+(0+(0-0))+0--231.4-0</f>
        <v>2307.5000000000005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3014.1+(144-921.9)+(-1.537191+(-0.07344--0.470169))+0--230.2-0.117401999999977</f>
        <v>2465.1421359999999</v>
      </c>
      <c r="G47" s="3">
        <f>3100.2+(124.4-1042.9)+(-4.743306+(-0.190332--1.595637))+0--233-0.356490000000013</f>
        <v>2411.0055089999996</v>
      </c>
      <c r="H47" s="3">
        <f>3065.3+(83-1035.3)+(-3.126606+(-0.08466--1.056006))+0--235.2-0.239904000000038</f>
        <v>2345.8048359999998</v>
      </c>
      <c r="I47" s="3">
        <f>2893.4+(84.1-911.3)+(-7.37817+(-0.214455--2.323815))+0--238.1-0.607154999999965</f>
        <v>2298.424035</v>
      </c>
      <c r="J47" s="3">
        <f>2638.2+(103.5-735.6)+(-6.72741+(-0.263925--1.87578))+0--238.6-0.608429999999965</f>
        <v>2238.9760150000002</v>
      </c>
      <c r="K47" s="3">
        <f>2460.9+(85.9-636.5)+(-3.765177+(-0.131427--0.973845))+0--237.5-0.363375000000014</f>
        <v>2144.5138660000002</v>
      </c>
      <c r="L47" s="3">
        <f>2290+(121.1-669.8)+(-7.0074+(-0.370566--2.049588))+0--237.1-0.725526000000027</f>
        <v>1972.3460960000002</v>
      </c>
      <c r="M47" s="3">
        <f>2401.4+(82.4-750.2)+(-1.224714+(-0.042024--0.382602))+0--239.3-0.122042999999976</f>
        <v>1971.8938209999999</v>
      </c>
      <c r="N47" s="3">
        <f>2686.8+(43.7-848.4)+(6.85134+(0.111435-2.16342))+0--236.2--0.602309999999966</f>
        <v>2123.701665</v>
      </c>
      <c r="O47" s="3">
        <f>2977.4+(21-1018.5)+(-3.036948+(-0.02142--1.03887))+0--232.1-0.236742000000037</f>
        <v>2209.7437599999998</v>
      </c>
      <c r="P47" s="3">
        <f>3036.7+(22.7-989.8)+(-3.097434+(-0.023154--1.009596))+0--232.2-0.236844000000037</f>
        <v>2299.4521639999998</v>
      </c>
      <c r="Q47" s="3">
        <f>3143.4+(36.1-1005.3)+(-6.412536+(-0.073644--2.050812))+0--229.4-0.46797599999999</f>
        <v>2398.6966560000005</v>
      </c>
      <c r="R47" s="3">
        <f>3212.4+(87.7-1001.2)+(1.638324+(0.044727-0.510612))+0--227.3--0.115922999999977</f>
        <v>2527.4883620000001</v>
      </c>
      <c r="S47" s="3">
        <f>3212.8+(230.3-1018.8)+(-4.915584+(-0.352359--1.558764))+0--226.2-0.346086000000013</f>
        <v>2646.444735</v>
      </c>
      <c r="T47" s="3">
        <f>3210.1+(307-1000.9)+(1.637151+(0.15657-0.510459))+0--225.8--0.115157999999977</f>
        <v>2743.39842</v>
      </c>
      <c r="U47" s="3">
        <f>3203.4+(300.7-980.2)+(1.633734+(0.153357-0.499902))+0--225.1--0.114800999999977</f>
        <v>2750.4019900000003</v>
      </c>
      <c r="V47" s="3">
        <f>3201.3+(199.4-954)+(-6.530652+(-0.406776--1.94616))+0--226.9-0.46287599999999</f>
        <v>2668.1458560000001</v>
      </c>
      <c r="W47" s="3">
        <f>3204+(84.6-1031.8)+(-9.80424+(-0.258876--3.157308))+0--229.1-0.701046000000026</f>
        <v>2478.293146</v>
      </c>
      <c r="X47" s="3">
        <f>3035.4+(10.5-971.5)+(-10.836378+(-0.037485--3.468255))+0--231.2-0.825384000000003</f>
        <v>2297.3690079999997</v>
      </c>
      <c r="Y47" s="3">
        <f>2855.4+(5.4-872.2)+(-5.825016+(-0.011016--1.779288))+0--227.5-0.46409999999999</f>
        <v>2211.5791559999998</v>
      </c>
      <c r="Z47" s="3">
        <f>3172.9+(40-1042.7)+(-3.236358+(-0.0408--1.063554))+0--228.1-0.232662000000036</f>
        <v>2395.8537339999998</v>
      </c>
      <c r="AA47" s="3">
        <f>3339.6+(60.8-1161.9)+(-10.219176+(-0.186048--3.555414))+0--229.6-0.702576000000027</f>
        <v>2460.5476139999996</v>
      </c>
      <c r="AB47" s="3">
        <f>3335.8+(93.6-1189.6)+(-6.805032+(-0.190944--2.426784))+0--231.2-0.47164799999999</f>
        <v>2465.9591599999999</v>
      </c>
      <c r="AC47" s="3">
        <f>3191.8+(144.9-1080.7)+(-3.255636+(-0.147798--1.102314))+0--231.4-0.236028000000037</f>
        <v>2484.8628519999997</v>
      </c>
      <c r="AD47" s="2">
        <v>2465.3000000000002</v>
      </c>
      <c r="AE47" s="3">
        <f>3341+(50-1154.7)+(0+(0-0))+0--229-0</f>
        <v>2465.3000000000002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3164.6+(133.4-1054.7)+(-4.841838+(-0.204102--1.613691))+0--232.5-0.355725000000013</f>
        <v>2472.0120259999999</v>
      </c>
      <c r="G48" s="3">
        <f>3184.8+(104.9-1127.5)+(-4.872744+(-0.160497--1.725075))+0--236.1-0.361233000000014</f>
        <v>2394.6306010000003</v>
      </c>
      <c r="H48" s="3">
        <f>3170.8+(70.2-1140.7)+(0+(0-0))+0--236.3-0</f>
        <v>2336.6000000000004</v>
      </c>
      <c r="I48" s="3">
        <f>3026.7+(87.8-1057.5)+(-3.087234+(-0.089556--1.07865))+0--233.5-0.238170000000037</f>
        <v>2288.1636899999999</v>
      </c>
      <c r="J48" s="3">
        <f>2851.1+(69.2-919.8)+(-4.362183+(-0.105876--1.407294))+0--232.9-0.356337000000013</f>
        <v>2229.9828979999998</v>
      </c>
      <c r="K48" s="3">
        <f>2771+(56.7-881)+(-7.06605+(-0.144585--2.24655))+0--234.9-0.598994999999966</f>
        <v>2176.03692</v>
      </c>
      <c r="L48" s="3">
        <f>2452.8+(48.1-683.8)+(0+(0-0))+0--175.7-0</f>
        <v>1992.8000000000004</v>
      </c>
      <c r="M48" s="3">
        <f>2387.3+(87-652)+(-1.217523+(-0.04437--0.33252))+0--172.6-0.0880259999999825</f>
        <v>1993.8826010000002</v>
      </c>
      <c r="N48" s="3">
        <f>2568+(61.7-668.2)+(0+(0-0))+0--173.9-0</f>
        <v>2135.4</v>
      </c>
      <c r="O48" s="3">
        <f>2813.1+(21.4-800.3)+(-1.434681+(-0.010914--0.408153))+0--170.9-0.0871589999999827</f>
        <v>2203.9753989999995</v>
      </c>
      <c r="P48" s="3">
        <f>2982.1+(25.8-926.6)+(-1.520871+(-0.013158--0.472566))+0--218.8-0.111587999999978</f>
        <v>2298.9269490000001</v>
      </c>
      <c r="Q48" s="3">
        <f>3114.2+(46.1-964.2)+(-1.588242+(-0.023511--0.491742))+0--223.3-0.113882999999977</f>
        <v>2418.1661060000001</v>
      </c>
      <c r="R48" s="3">
        <f>3159+(93.5-906.6)+(0+(0-0))+0--222.6-0</f>
        <v>2568.5</v>
      </c>
      <c r="S48" s="3">
        <f>3200+(168.9-885.7)+(-6.528+(-0.344556--1.806828))+0--220.8-0.45043199999999</f>
        <v>2698.4838399999999</v>
      </c>
      <c r="T48" s="3">
        <f>3210+(233.3-876.9)+(-1.6371+(-0.118983--0.447219))+0--221.7-0.113066999999978</f>
        <v>2786.6780690000001</v>
      </c>
      <c r="U48" s="3">
        <f>3214.6+(170.9-824.3)+(-3.278892+(-0.174318--0.840786))+0--222.2-0.226644000000035</f>
        <v>2780.5609319999999</v>
      </c>
      <c r="V48" s="3">
        <f>3208.7+(123.3-834.3)+(-8.182185+(-0.314415--2.127465))+0--224.7-0.572984999999967</f>
        <v>2715.4578799999999</v>
      </c>
      <c r="W48" s="3">
        <f>3217.4+(51.9-957.5)+(-3.281748+(-0.052938--0.97665))+0--223.8-0.228276000000036</f>
        <v>2533.0136880000005</v>
      </c>
      <c r="X48" s="3">
        <f>3131+(112.1-1119.9)+(-9.58086+(-0.343026--3.426894))+0--224.7-0.687582000000026</f>
        <v>2340.7154259999998</v>
      </c>
      <c r="Y48" s="3">
        <f>2947.9+(52.8-983)+(0+(0-0))+0--225.1-0</f>
        <v>2242.8000000000002</v>
      </c>
      <c r="Z48" s="3">
        <f>3259.8+(12.1-1054.9)+(-3.324996+(-0.012342--1.075998))+0--227.3-0.231846000000036</f>
        <v>2441.806814</v>
      </c>
      <c r="AA48" s="3">
        <f>3353.5+(22.8-1093.2)+(-8.551425+(-0.05814--2.78766))+0--227.5-0.580124999999967</f>
        <v>2504.1979700000002</v>
      </c>
      <c r="AB48" s="3">
        <f>3157.7+(81.6-949.2)+(-4.831281+(-0.124848--1.452276))+0--226.2-0.346086000000013</f>
        <v>2512.4500609999996</v>
      </c>
      <c r="AC48" s="3">
        <f>3116.1+(90.9-905.6)+(-6.356844+(-0.185436--1.847424))+0--229.5-0.46817999999999</f>
        <v>2525.7369639999997</v>
      </c>
      <c r="AD48" s="2">
        <v>2517.9</v>
      </c>
      <c r="AE48" s="3">
        <f>3371+(17-1098.5)+(0+(0-0))+0--228.4-0</f>
        <v>2517.9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3119.6+(88.8-917.5)+(-11.136972+(-0.317016--3.275475))+0--229.4-0.818958000000003</f>
        <v>2511.302529</v>
      </c>
      <c r="G49" s="3">
        <f>3144.2+(63.2-968.6)+(-11.224794+(-0.225624--3.457902))+0--228.1-0.814317000000003</f>
        <v>2458.093167</v>
      </c>
      <c r="H49" s="3">
        <f>3166+(37.8-1032.4)+(-3.22932+(-0.038556--1.053048))+0--229.3-0.233886000000037</f>
        <v>2398.2512859999997</v>
      </c>
      <c r="I49" s="3">
        <f>3171.4+(28-1079.9)+(-1.617414+(-0.01428--0.550749))+0--232.5-0.118574999999976</f>
        <v>2350.8004799999999</v>
      </c>
      <c r="J49" s="3">
        <f>3082+(26.7-1027.3)+(-1.57182+(-0.013617--0.523923))+0--229.3-0.116942999999977</f>
        <v>2309.5215430000003</v>
      </c>
      <c r="K49" s="3">
        <f>3035.8+(17.9-1034.4)+(-6.193032+(-0.036516--2.110176))+0--229.9-0.46899599999999</f>
        <v>2244.6116320000001</v>
      </c>
      <c r="L49" s="3">
        <f>2729.4+(107.7-950.3)+(-5.567976+(-0.219708--1.938612))+0--177.9-0.362915999999992</f>
        <v>2060.4880120000003</v>
      </c>
      <c r="M49" s="3">
        <f>2565.1+(99.3-816.9)+(6.541005+(0.253215-2.083095))+0--204--0.52019999999997</f>
        <v>2056.7313249999997</v>
      </c>
      <c r="N49" s="3">
        <f>2568.7+(143.3-768.5)+(1.310037+(0.073083-0.391935))+0--231.5--0.118064999999977</f>
        <v>2176.10925</v>
      </c>
      <c r="O49" s="3">
        <f>2796.4+(70.9-948)+(-1.426164+(-0.036159--0.48348))+0--227.5-0.116024999999977</f>
        <v>2145.7051320000005</v>
      </c>
      <c r="P49" s="3">
        <f>3241.4+(8-1145.2)+(-1.653114+(-0.00408--0.584052))+0--221.3-0.112862999999978</f>
        <v>2324.313995</v>
      </c>
      <c r="Q49" s="3">
        <f>3263.4+(10.4-1063)+(-1.664334+(-0.005304--0.54213))+0--218.3-0.111332999999978</f>
        <v>2427.8611590000005</v>
      </c>
      <c r="R49" s="3">
        <f>3241.2+(70.6-914.4)+(-9.918072+(-0.216036--2.798064))+0--218.2-0.667692000000025</f>
        <v>2607.5962639999993</v>
      </c>
      <c r="S49" s="3">
        <f>3216+(161-874.8)+(-4.92048+(-0.24633--1.338444))+0--216.6-0.331398000000013</f>
        <v>2714.6402359999997</v>
      </c>
      <c r="T49" s="3">
        <f>3118.2+(225.9-752.8)+(1.590282+(0.115209-0.383928))+0--219.6--0.111995999999978</f>
        <v>2812.3335589999997</v>
      </c>
      <c r="U49" s="3">
        <f>3108.5+(177.3-711.8)+(-7.926675+(-0.452115--1.81509))+0--220.9-0.563294999999968</f>
        <v>2787.773005</v>
      </c>
      <c r="V49" s="3">
        <f>3135.1+(95.5-767.9)+(-7.994505+(-0.243525--1.958145))+0--220.8-0.563039999999968</f>
        <v>2676.6570750000001</v>
      </c>
      <c r="W49" s="3">
        <f>3023.7+(65.2-833.1)+(-7.710435+(-0.16626--2.124405))+0--220.6-0.562529999999968</f>
        <v>2470.0851799999996</v>
      </c>
      <c r="X49" s="3">
        <f>2829.6+(83.1-868.4)+(-2.886192+(-0.084762--0.885768))+0--221.6-0.226032000000035</f>
        <v>2263.5887819999998</v>
      </c>
      <c r="Y49" s="3">
        <f>2789.5+(36.5-841.3)+(-1.422645+(-0.018615--0.429063))+0--222.5-0.113474999999977</f>
        <v>2206.0743279999997</v>
      </c>
      <c r="Z49" s="3">
        <f>3068.4+(25.2-916.3)+(-4.694652+(-0.038556--1.401939))+0--224.6-0.343638000000013</f>
        <v>2398.2250930000005</v>
      </c>
      <c r="AA49" s="3">
        <f>3101.7+(66.3-922.6)+(-7.909335+(-0.169065--2.35263))+0--225.8-0.575789999999967</f>
        <v>2464.8984399999999</v>
      </c>
      <c r="AB49" s="3">
        <f>3074.7+(88.1-895.4)+(-4.704291+(-0.134793--1.369962))+0--226.4-0.346392000000013</f>
        <v>2489.9844859999998</v>
      </c>
      <c r="AC49" s="3">
        <f>2914.5+(139.3-760.5)+(-4.459185+(-0.213129--1.163565))+0--228.7-0.349911000000013</f>
        <v>2518.1413400000001</v>
      </c>
      <c r="AD49" s="2">
        <v>2495.9</v>
      </c>
      <c r="AE49" s="3">
        <f>3090.2+(67.6-887.3)+(0+(0-0))+0--225.4-0</f>
        <v>2495.9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2914+(136.7-729.3)+(-7.4307+(-0.348585--1.859715))+0--178.2-0.454409999999974</f>
        <v>2493.2260200000001</v>
      </c>
      <c r="G50" s="3">
        <f>2920.5+(114-777.9)+(-4.468365+(-0.17442--1.190187))+0--167.2-0.25581600000001</f>
        <v>2420.091586</v>
      </c>
      <c r="H50" s="3">
        <f>2881.8+(88.7-776.3)+(-7.34859+(-0.226185--1.979565))+0--167-0.425849999999976</f>
        <v>2355.1789400000002</v>
      </c>
      <c r="I50" s="3">
        <f>2862.1+(58.4-774)+(-5.838684+(-0.119136--1.57896))+0--167-0.340679999999993</f>
        <v>2308.7804600000004</v>
      </c>
      <c r="J50" s="3">
        <f>2779.8+(64.4-738.6)+(-4.253094+(-0.098532--1.130058))+0--167.1-0.25566300000001</f>
        <v>2269.2227690000004</v>
      </c>
      <c r="K50" s="3">
        <f>2629.6+(114.2-703.1)+(-2.682192+(-0.116484--0.717162))+0--166.4-0.169728000000027</f>
        <v>2204.8487580000001</v>
      </c>
      <c r="L50" s="3">
        <f>2525.1+(138.5-770.3)+(-5.151204+(-0.28254--1.571412))+0--169.3-0.345371999999993</f>
        <v>2058.3922960000004</v>
      </c>
      <c r="M50" s="3">
        <f>2564.9+(121.5-803)+(2.616198+(0.12393-0.81906))+0--168.4--0.171768000000027</f>
        <v>2053.8928360000004</v>
      </c>
      <c r="N50" s="3">
        <f>2713.8+(81.8-831.8)+(-2.768076+(-0.083436--0.848436))+0--214-0.218280000000034</f>
        <v>2175.5786440000002</v>
      </c>
      <c r="O50" s="3">
        <f>2864.6+(15.1-879.9)+(0+(0-0))+0--226.3-0</f>
        <v>2226.1</v>
      </c>
      <c r="P50" s="3">
        <f>2880.8+(44.7-809.1)+(0+(0-0))+0--220.6-0</f>
        <v>2337</v>
      </c>
      <c r="Q50" s="3">
        <f>2987.9+(64.1-797.7)+(0+(0-0))+0--217.8-0</f>
        <v>2472.1000000000004</v>
      </c>
      <c r="R50" s="3">
        <f>3315.2+(53-997.7)+(0+(0-0))+0--215.7-0</f>
        <v>2586.1999999999998</v>
      </c>
      <c r="S50" s="3">
        <f>3377.6+(96.8-1001.6)+(-8.61288+(-0.24684--2.55408))+0--216.2-0.551309999999969</f>
        <v>2682.1430499999997</v>
      </c>
      <c r="T50" s="3">
        <f>3403.2+(97-934)+(-8.67816+(-0.24735--2.3817))+0--214.1-0.545954999999969</f>
        <v>2773.2102349999996</v>
      </c>
      <c r="U50" s="3">
        <f>3489.2+(82.4-936.7)+(-5.338476+(-0.126072--1.433151))+0--215.6-0.329868000000012</f>
        <v>2846.1387349999995</v>
      </c>
      <c r="V50" s="3">
        <f>3408.2+(61.2-1002.2)+(-6.952728+(-0.124848--2.044488))+0--218-0.44471999999999</f>
        <v>2679.7221919999997</v>
      </c>
      <c r="W50" s="3">
        <f>3199+(0-919.8)+(-8.15745+(0--2.34549))+0--220-0.560999999999968</f>
        <v>2492.8270399999997</v>
      </c>
      <c r="X50" s="3">
        <f>3122+(5-1048.5)+(-7.9611+(-0.01275--2.673675))+0--222.7-0.567884999999968</f>
        <v>2295.33194</v>
      </c>
      <c r="Y50" s="3">
        <f>2817.2+(11-816.3)+(-2.873544+(-0.01122--0.832626))+0--225.4-0.229908000000036</f>
        <v>2235.0179539999995</v>
      </c>
      <c r="Z50" s="3">
        <f>3171+(0-991.9)+(-4.85163+(0--1.517607))+0--224.8-0.343944000000013</f>
        <v>2400.222033</v>
      </c>
      <c r="AA50" s="3">
        <f>3395+(0-1141.3)+(-10.3887+(0--3.492378))+0--224.6-0.687276000000026</f>
        <v>2470.7164019999996</v>
      </c>
      <c r="AB50" s="3">
        <f>3269.9+(37.6-1040.2)+(-1.667649+(-0.019176--0.530502))+0--224.6-0.114545999999977</f>
        <v>2490.6291310000001</v>
      </c>
      <c r="AC50" s="3">
        <f>3233.4+(67.8-1007.6)+(-4.947102+(-0.103734--1.541628))+0--225.7-0.345321000000013</f>
        <v>2515.4454709999995</v>
      </c>
      <c r="AD50" s="2">
        <v>2494.1999999999998</v>
      </c>
      <c r="AE50" s="3">
        <f>3415.2+(0.5-1144.9)+(0+(0-0))+0--223.4-0</f>
        <v>2494.1999999999998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3261.2+(65.9-1018.7)+(-8.31606+(-0.168045--2.597685))+0--225.5-0.575024999999967</f>
        <v>2527.4385549999997</v>
      </c>
      <c r="G51" s="3">
        <f>3104.1+(94.1-959.5)+(-7.915455+(-0.239955--2.446725))+0--225.9-0.576044999999967</f>
        <v>2458.3152700000001</v>
      </c>
      <c r="H51" s="3">
        <f>2938+(87.7-864.4)+(-5.99352+(-0.178908--1.763376))+0--228.3-0.46573199999999</f>
        <v>2384.7252160000003</v>
      </c>
      <c r="I51" s="3">
        <f>2960.8+(49.2-888.4)+(-1.510008+(-0.025092--0.453084))+0--227.9-0.116228999999977</f>
        <v>2348.3017550000004</v>
      </c>
      <c r="J51" s="3">
        <f>2984.8+(23.9-935.8)+(4.566744+(0.036567-1.431774))+0--229.5--0.351135000000013</f>
        <v>2305.9226720000001</v>
      </c>
      <c r="K51" s="3">
        <f>2879+(26.4-871.2)+(-4.40487+(-0.040392--1.332936))+0--229.5-0.351135000000013</f>
        <v>2260.236539</v>
      </c>
      <c r="L51" s="3">
        <f>2690.1+(129.4-965.8)+(-1.371951+(-0.065994--0.492558))+0--231.6-0.118115999999977</f>
        <v>2084.2364969999999</v>
      </c>
      <c r="M51" s="3">
        <f>2872.4+(110.7-1091.8)+(-5.859696+(-0.225828--2.227272))+0--194.7-0.397187999999991</f>
        <v>2081.7445600000001</v>
      </c>
      <c r="N51" s="3">
        <f>3136.1+(59.3-1160.1)+(-4.798233+(-0.090729--1.774953))+0--163.9-0.250767000000009</f>
        <v>2195.8352239999999</v>
      </c>
      <c r="O51" s="3">
        <f>3143.6+(15.3-1044)+(-3.206472+(-0.015606--1.06488))+0--160-0.163200000000026</f>
        <v>2272.5796019999998</v>
      </c>
      <c r="P51" s="3">
        <f>3257+(9-1109.3)+(-3.32214+(-0.00918--1.131486))+0--195.7-0.199614000000031</f>
        <v>2350.0005519999995</v>
      </c>
      <c r="Q51" s="3">
        <f>3332.6+(9-1116.2)+(-3.399252+(-0.00918--1.138524))+0--215.6-0.219912000000034</f>
        <v>2438.5101799999993</v>
      </c>
      <c r="R51" s="3">
        <f>3331.9+(102.7-877)+(-1.699269+(-0.052377--0.44727))+0--214.3-0.109292999999978</f>
        <v>2770.4863310000005</v>
      </c>
      <c r="S51" s="3">
        <f>3318.4+(113.6-787.8)+(-6.769536+(-0.231744--1.607112))+0--211.1-0.430643999999991</f>
        <v>2849.4751880000003</v>
      </c>
      <c r="T51" s="3">
        <f>3318.4+(113.6-785.4)+(-6.769536+(-0.231744--1.602216))+0--213.8-0.436151999999991</f>
        <v>2854.5647840000006</v>
      </c>
      <c r="U51" s="3">
        <f>3373.9+(108.6-820)+(0+(0-0))+0--222.1-0</f>
        <v>2884.6</v>
      </c>
      <c r="V51" s="3">
        <f>3475.5+(39.8-896.8)+(-7.09002+(-0.081192--1.829472))+0--220.1-0.44900399999999</f>
        <v>2832.809256</v>
      </c>
      <c r="W51" s="3">
        <f>3336.8+(5.2-997.8)+(-10.210608+(-0.015912--3.053268))+0--220-0.673200000000025</f>
        <v>2556.353548</v>
      </c>
      <c r="X51" s="3">
        <f>3232.7+(5.2-1003.3)+(-9.892062+(-0.015912--3.070098))+0--220-0.673200000000025</f>
        <v>2447.0889239999997</v>
      </c>
      <c r="Y51" s="3">
        <f>2906.2+(58.3-914)+(-10.375134+(-0.208131--3.26298))+0--220.6-0.787542000000003</f>
        <v>2262.9921730000001</v>
      </c>
      <c r="Z51" s="3">
        <f>3069+(10-821.1)+(-1.56519+(-0.0051--0.418761))+0--196.5-0.10021499999998</f>
        <v>2453.1482559999999</v>
      </c>
      <c r="AA51" s="3">
        <f>3452.3+(0-1154.8)+(-10.564038+(0--3.533688))+0--224-0.685440000000026</f>
        <v>2513.7842099999998</v>
      </c>
      <c r="AB51" s="3">
        <f>3217.1+(34.3-950.7)+(-4.922163+(-0.052479--1.454571))+0--225.1-0.344403000000013</f>
        <v>2521.9355259999998</v>
      </c>
      <c r="AC51" s="3">
        <f>3174.5+(59.5-907.2)+(-6.47598+(-0.12138--1.850688))+0--227.6-0.46430399999999</f>
        <v>2549.1890239999998</v>
      </c>
      <c r="AD51" s="2">
        <v>2611.3000000000002</v>
      </c>
      <c r="AE51" s="3">
        <f>3438+(0.5-1049.7)+(0+(0-0))+0--222.5-0</f>
        <v>2611.3000000000002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3153.6+(66.7-845.7)+(-8.04168+(-0.170085--2.156535))+0--227.8-0.580889999999967</f>
        <v>2595.76388</v>
      </c>
      <c r="G52" s="3">
        <f>3166.8+(74.6-930.7)+(-6.460272+(-0.152184--1.898628))+0--227.9-0.46491599999999</f>
        <v>2533.4212560000005</v>
      </c>
      <c r="H52" s="3">
        <f>3156+(59.7-969.3)+(-4.82868+(-0.091341--1.483029))+0--228.6-0.349758000000013</f>
        <v>2471.2132500000002</v>
      </c>
      <c r="I52" s="3">
        <f>3117.8+(41-970.9)+(7.95039+(0.10455-2.475795))+0--229.5--0.585224999999967</f>
        <v>2423.5643700000001</v>
      </c>
      <c r="J52" s="3">
        <f>3108.4+(64-1026.5)+(-4.755852+(-0.09792--1.570545))+0--232-0.354960000000013</f>
        <v>2374.2618130000001</v>
      </c>
      <c r="K52" s="3">
        <f>3096.9+(119.7-1130.9)+(-1.579419+(-0.061047--0.576759))+0--232.4-0.118523999999976</f>
        <v>2316.9177690000001</v>
      </c>
      <c r="L52" s="3">
        <f>2781.9+(198.5-1117)+(-2.837538+(-0.20247--1.13934))+0--234.5-0.239190000000037</f>
        <v>2095.7601420000001</v>
      </c>
      <c r="M52" s="3">
        <f>2513.9+(182.7-851.9)+(1.282089+(0.093177-0.434469))+0--230.8--0.117707999999977</f>
        <v>2076.558505</v>
      </c>
      <c r="N52" s="3">
        <f>2650.4+(149.6-849.6)+(0+(0-0))+0--228.8-0</f>
        <v>2179.2000000000003</v>
      </c>
      <c r="O52" s="3">
        <f>3031.8+(70.1-1050)+(-3.092436+(-0.071502--1.071))+0--222.7-0.227154000000035</f>
        <v>2272.279908</v>
      </c>
      <c r="P52" s="3">
        <f>3088.7+(34-846.6)+(1.575237+(0.01734-0.431766))+0--216.2--0.110261999999978</f>
        <v>2493.5710730000001</v>
      </c>
      <c r="Q52" s="3">
        <f>3073.2+(35.3-837.3)+(-1.567332+(-0.018003--0.427023))+0--215.2-0.109751999999978</f>
        <v>2485.1319359999998</v>
      </c>
      <c r="R52" s="3">
        <f>3055.7+(116.4-722.7)+(3.116814+(0.118728-0.737154))+0--221.1--0.225522000000035</f>
        <v>2673.2239099999997</v>
      </c>
      <c r="S52" s="3">
        <f>3033.6+(214.7-763)+(-6.188544+(-0.437988--1.55652))+0--222.4-0.45369599999999</f>
        <v>2702.1762920000001</v>
      </c>
      <c r="T52" s="3">
        <f>3084.5+(229.2-741)+(1.573095+(0.116892-0.37791))+0--219.7--0.112046999999978</f>
        <v>2793.8241239999998</v>
      </c>
      <c r="U52" s="3">
        <f>3134.9+(180.9-742.6)+(-3.197598+(-0.184518--0.757452))+0--218.3-0.222666000000035</f>
        <v>2788.6526699999999</v>
      </c>
      <c r="V52" s="3">
        <f>3049.1+(125.8-698.2)+(-6.220164+(-0.256632--1.424328))+0--218.6-0.44594399999999</f>
        <v>2689.8015879999998</v>
      </c>
      <c r="W52" s="3">
        <f>3058.3+(108-881.3)+(1.559733+(0.05508-0.449463))+0--217--0.110669999999978</f>
        <v>2503.2760200000002</v>
      </c>
      <c r="X52" s="3">
        <f>3070.2+(132.8-1119.2)+(-10.960614+(-0.474096--3.995544))+0--220.2-0.786114000000003</f>
        <v>2295.7747199999994</v>
      </c>
      <c r="Y52" s="3">
        <f>2781.1+(127.6-923.1)+(-4.255083+(-0.195228--1.412343))+0--219.8-0.336294000000013</f>
        <v>2202.0257379999998</v>
      </c>
      <c r="Z52" s="3">
        <f>3088+(32.9-944.5)+(-3.14976+(-0.033558--0.96339))+0--219.5-0.223890000000035</f>
        <v>2393.4561819999999</v>
      </c>
      <c r="AA52" s="3">
        <f>3220.8+(6.5-994.9)+(-9.855648+(-0.01989--3.044394))+0--219.6-0.671976000000025</f>
        <v>2444.4968799999997</v>
      </c>
      <c r="AB52" s="3">
        <f>2867.1+(144.4-786.1)+(0+(0-0))+0--219.5-0</f>
        <v>2444.8999999999996</v>
      </c>
      <c r="AC52" s="3">
        <f>2634.5+(256.4-659)+(-1.343595+(-0.130764--0.33609))+0--220.8-0.112607999999978</f>
        <v>2451.4491230000003</v>
      </c>
      <c r="AD52" s="2">
        <v>2460.6</v>
      </c>
      <c r="AE52" s="3">
        <f>3252+(0.6-1009.4)+(0+(0-0))+0--217.4-0</f>
        <v>2460.6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2567.7+(310.8-596.1)+(-6.547635+(-0.79254--1.520055))+0--221.9-0.565844999999968</f>
        <v>2497.9140349999998</v>
      </c>
      <c r="G53" s="3">
        <f>2647.4+(252.1-669.5)+(-1.350174+(-0.128571--0.341445))+0--224.6-0.114545999999977</f>
        <v>2453.3481540000002</v>
      </c>
      <c r="H53" s="3">
        <f>2735.1+(222.8-774.4)+(-4.184703+(-0.340884--1.184832))+0--224.9-0.344097000000013</f>
        <v>2404.7151479999998</v>
      </c>
      <c r="I53" s="3">
        <f>2733+(202.1-805.6)+(-5.57532+(-0.412284--1.643424))+0--226.3-0.46165199999999</f>
        <v>2350.9941680000002</v>
      </c>
      <c r="J53" s="3">
        <f>2690.1+(193.8-804.5)+(0+(0-0))+0--229.3-0</f>
        <v>2308.6999999999998</v>
      </c>
      <c r="K53" s="3">
        <f>2658.4+(188.2-818.4)+(-5.423136+(-0.383928--1.669536))+0--227.7-0.46450799999999</f>
        <v>2251.2979639999999</v>
      </c>
      <c r="L53" s="3">
        <f>2491+(211.9-877.4)+(-5.08164+(-0.432276--1.789896))+0--163.4-0.333335999999993</f>
        <v>1984.8426440000001</v>
      </c>
      <c r="M53" s="3">
        <f>2375.7+(202.8-727.1)+(0+(0-0))+0--161-0</f>
        <v>2012.3999999999999</v>
      </c>
      <c r="N53" s="3">
        <f>2628.4+(103-843.7)+(-2.680968+(-0.10506--0.860574))+0--158.7-0.161874000000025</f>
        <v>2044.312672</v>
      </c>
      <c r="O53" s="3">
        <f>2697.4+(70.6-820)+(0+(0-0))+0--155.5-0</f>
        <v>2103.5</v>
      </c>
      <c r="P53" s="3">
        <f>2732.3+(66.2-767.7)+(0+(0-0))+0--153.2-0</f>
        <v>2184</v>
      </c>
      <c r="Q53" s="3">
        <f>2808.7+(65.1-733.5)+(-1.432437+(-0.033201--0.374085))+0--152.2-0.0776219999999846</f>
        <v>2291.3308249999995</v>
      </c>
      <c r="R53" s="3">
        <f>2765.7+(170.4-630.5)+(-1.410507+(-0.086904--0.321555))+0--152.6-0.0778259999999845</f>
        <v>2456.9463179999998</v>
      </c>
      <c r="S53" s="3">
        <f>2593.6+(308.8-505.8)+(-2.645472+(-0.314976--0.515916))+0--192.5-0.196350000000031</f>
        <v>2586.4591179999998</v>
      </c>
      <c r="T53" s="3">
        <f>2661.4+(313.2-520.3)+(-4.071942+(-0.479196--0.796059))+0--245.5-0.375615000000014</f>
        <v>2695.6693060000002</v>
      </c>
      <c r="U53" s="3">
        <f>2674.5+(314.1-513.6)+(-2.72799+(-0.320382--0.523872))+0--244.9-0.249798000000039</f>
        <v>2717.1257020000003</v>
      </c>
      <c r="V53" s="3">
        <f>2676.8+(291.1-565.6)+(1.365168+(0.148461-0.288456))+0--246.3--0.125612999999975</f>
        <v>2649.9507860000003</v>
      </c>
      <c r="W53" s="3">
        <f>2679.9+(243-698.7)+(-1.366749+(-0.12393--0.356337))+0--247.8-0.126377999999975</f>
        <v>2470.7392800000002</v>
      </c>
      <c r="X53" s="3">
        <f>2700.9+(179.7-882.1)+(-6.887295+(-0.458235--2.249355))+0--246-0.627299999999964</f>
        <v>2238.7765250000002</v>
      </c>
      <c r="Y53" s="3">
        <f>2545.2+(146-795.5)+(-3.894156+(-0.22338--1.217115))+0--245.3-0.375309000000014</f>
        <v>2137.7242699999997</v>
      </c>
      <c r="Z53" s="3">
        <f>3030.5+(48.9-1014.6)+(-4.636665+(-0.074817--1.552338))+0--245.2-0.375156000000014</f>
        <v>2306.4656999999997</v>
      </c>
      <c r="AA53" s="3">
        <f>3321.4+(34.3-1147.9)+(-5.081742+(-0.052479--1.756287))+0--238-0.364140000000014</f>
        <v>2442.057926</v>
      </c>
      <c r="AB53" s="3">
        <f>3337+(61.3-1155)+(3.40374+(0.062526-1.1781))+0--233.8--0.238476000000037</f>
        <v>2479.6266420000002</v>
      </c>
      <c r="AC53" s="3">
        <f>3342.4+(77.2-1121)+(-3.409248+(-0.078744--1.14342))+0--231.6-0.236232000000037</f>
        <v>2527.6191960000001</v>
      </c>
      <c r="AD53" s="2">
        <v>2452.7000000000003</v>
      </c>
      <c r="AE53" s="3">
        <f>3327+(31.8-1148.9)+(0+(0-0))+0--242.8-0</f>
        <v>2452.6999999999998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3386+(80.6-1179.8)+(-1.72686+(-0.041106--0.601698))+0--232.6-0.118625999999976</f>
        <v>2518.1151060000002</v>
      </c>
      <c r="G54" s="3">
        <f>3293.3+(90.5-1136)+(-8.397915+(-0.230775--2.8968))+0--232.9-0.593894999999966</f>
        <v>2474.3742150000003</v>
      </c>
      <c r="H54" s="3">
        <f>3126.2+(102.4-1036.6)+(0+(0-0))+0--230-0</f>
        <v>2422</v>
      </c>
      <c r="I54" s="3">
        <f>2977.9+(137.8-968.6)+(-4.556187+(-0.210834--1.481958))+0--227.2-0.347616000000013</f>
        <v>2370.6673210000004</v>
      </c>
      <c r="J54" s="3">
        <f>2934.4+(119.3-947.8)+(4.489632+(0.182529-1.450134))+0--226--0.345780000000013</f>
        <v>2335.467807</v>
      </c>
      <c r="K54" s="3">
        <f>2938.5+(113.9-999)+(-2.99727+(-0.116178--1.01898))+0--227.7-0.232254000000036</f>
        <v>2278.7732780000001</v>
      </c>
      <c r="L54" s="3">
        <f>2737.9+(144.9-1000.3)+(-4.188987+(-0.221697--1.530459))+0--230-0.351900000000013</f>
        <v>2109.267875</v>
      </c>
      <c r="M54" s="3">
        <f>2665.7+(127.9-909)+(1.359507+(0.065229-0.46359))+0--229.1--0.116840999999977</f>
        <v>2114.7779869999999</v>
      </c>
      <c r="N54" s="3">
        <f>2778.5+(85.1-844.5)+(5.66814+(0.173604-1.72278))+0--226.7--0.46246799999999</f>
        <v>2250.3814320000001</v>
      </c>
      <c r="O54" s="3">
        <f>2869.8+(47.6-806.3)+(-1.463598+(-0.024276--0.411213))+0--223-0.113729999999977</f>
        <v>2332.9096090000003</v>
      </c>
      <c r="P54" s="3">
        <f>3004.2+(39-839.8)+(0+(0-0))+0--220.4-0</f>
        <v>2423.7999999999997</v>
      </c>
      <c r="Q54" s="3">
        <f>3215.8+(19.5-912)+(-3.280116+(-0.01989--0.93024))+0--219-0.223380000000035</f>
        <v>2539.7068540000005</v>
      </c>
      <c r="R54" s="3">
        <f>3318.8+(88.7-907.9)+(-1.692588+(-0.045237--0.463029))+0-5--0.00254999999999949</f>
        <v>2493.3277540000004</v>
      </c>
      <c r="S54" s="3">
        <f>3296.7+(199.2-886.1)+(-3.362634+(-0.203184--0.903822))+0-5--0.0051000000000008</f>
        <v>2602.1431039999998</v>
      </c>
      <c r="T54" s="3">
        <f>3294.1+(170-822.9)+(-1.679991+(-0.0867--0.419679))+0-5.1--0.00260099999999948</f>
        <v>2634.7555889999999</v>
      </c>
      <c r="U54" s="3">
        <f>3298.9+(227.3-785.3)+(-5.047317+(-0.347769--1.201509))+0-5.1--0.00780300000000029</f>
        <v>2731.6142260000001</v>
      </c>
      <c r="V54" s="3">
        <f>3382.3+(148.9-883.5)+(0+(0-0))+0-5.1-0</f>
        <v>2642.6000000000004</v>
      </c>
      <c r="W54" s="3">
        <f>3361.4+(57.3-969.4)+(-5.142942+(-0.087669--1.483182))+0--212.5-0.325125000000012</f>
        <v>2657.7274460000003</v>
      </c>
      <c r="X54" s="3">
        <f>3252.7+(83.6-1137)+(-8.294385+(-0.21318--2.89935))+0--214.4-0.546719999999969</f>
        <v>2407.5450649999998</v>
      </c>
      <c r="Y54" s="3">
        <f>3020.3+(74.5-1024.7)+(-4.621059+(-0.113985--1.567791))+0--215.7-0.330021000000012</f>
        <v>2282.3027259999999</v>
      </c>
      <c r="Z54" s="3">
        <f>3298+(13.4-1041.3)+(-1.68198+(-0.006834--0.531063))+0--216-0.110159999999978</f>
        <v>2484.832089</v>
      </c>
      <c r="AA54" s="3">
        <f>3404+(41.6-1089.3)+(-6.94416+(-0.084864--2.222172))+0--214.6-0.437783999999991</f>
        <v>2565.6553639999997</v>
      </c>
      <c r="AB54" s="3">
        <f>3347.7+(75.2-1064.6)+(-1.707327+(-0.038352--0.542946))+0--214.8-0.109547999999978</f>
        <v>2571.7877190000004</v>
      </c>
      <c r="AC54" s="3">
        <f>3172.2+(141.2-934.1)+(1.617822+(0.072012-0.476391))+0--216.2--0.110261999999978</f>
        <v>2596.8237049999998</v>
      </c>
      <c r="AD54" s="2">
        <v>2540.3000000000002</v>
      </c>
      <c r="AE54" s="3">
        <f>3382+(42.2-1097.7)+(0+(0-0))+0--213.8-0</f>
        <v>2540.3000000000002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3008.3+(190.8-818.2)+(-3.068466+(-0.194616--0.834564))+0--216.8-0.221136000000035</f>
        <v>2595.050346</v>
      </c>
      <c r="G55" s="3">
        <f>2978.4+(164.1-846.5)+(-7.59492+(-0.418455--2.158575))+0--217.2-0.553859999999968</f>
        <v>2506.7913399999998</v>
      </c>
      <c r="H55" s="3">
        <f>2889.6+(145.9-842.1)+(-4.421088+(-0.223227--1.288413))+0--218.9-0.334917000000013</f>
        <v>2408.6091809999998</v>
      </c>
      <c r="I55" s="3">
        <f>2845+(111.8-862.5)+(-2.9019+(-0.114036--0.87975))+0--220.8-0.225216000000035</f>
        <v>2312.7385980000004</v>
      </c>
      <c r="J55" s="3">
        <f>2853.9+(86.9-884.5)+(-2.910978+(-0.088638--0.90219))+0--221.2-0.225624000000035</f>
        <v>2275.17695</v>
      </c>
      <c r="K55" s="3">
        <f>2766.6+(117.5-877.6)+(-7.05483+(-0.299625--2.23788))+0-5--0.0127499999999993</f>
        <v>1996.3961750000001</v>
      </c>
      <c r="L55" s="3">
        <f>2502.3+(211.6-811.2)+(-5.104692+(-0.431664--1.654848))+0--220.8-0.45043199999999</f>
        <v>2119.1680600000004</v>
      </c>
      <c r="M55" s="3">
        <f>2501.9+(210-803.3)+(3.827907+(0.3213-1.229049))+0--219.1--0.335223000000013</f>
        <v>2130.9553810000002</v>
      </c>
      <c r="N55" s="3">
        <f>2781.4+(121.1-862)+(2.837028+(0.123522-0.87924))+0--216.3--0.220626000000034</f>
        <v>2259.101936</v>
      </c>
      <c r="O55" s="3">
        <f>2822.7+(92.8-792.8)+(0+(0-0))+0--213.7-0</f>
        <v>2336.3999999999996</v>
      </c>
      <c r="P55" s="3">
        <f>2899.9+(43.7-725.9)+(0+(0-0))+0--212.4-0</f>
        <v>2430.1000000000004</v>
      </c>
      <c r="Q55" s="3">
        <f>3078.7+(14.8-769.8)+(0+(0-0))+0--207.9-0</f>
        <v>2531.6</v>
      </c>
      <c r="R55" s="3">
        <f>3159.6+(62.4-680.8)+(-1.611396+(-0.031824--0.347208))+0--205.7-0.104906999999979</f>
        <v>2745.4990809999999</v>
      </c>
      <c r="S55" s="3">
        <f>3133+(174.9-656.8)+(-3.19566+(-0.178398--0.669936))+0--207.5-0.211650000000033</f>
        <v>2855.6842279999996</v>
      </c>
      <c r="T55" s="3">
        <f>3144.2+(316.7-722.5)+(0+(0-0))+0--206.1-0</f>
        <v>2944.4999999999995</v>
      </c>
      <c r="U55" s="3">
        <f>3119.8+(272.8-678)+(-6.364392+(-0.556512--1.38312))+0--208.4-0.425135999999991</f>
        <v>2917.0370800000005</v>
      </c>
      <c r="V55" s="3">
        <f>3076.5+(168.1-597.4)+(-7.845075+(-0.428655--1.52337))+0--210-0.53549999999997</f>
        <v>2849.9141399999999</v>
      </c>
      <c r="W55" s="3">
        <f>3110.2+(84.2-744.6)+(-11.103414+(-0.300594--2.658222))+0--210.4-0.751128000000003</f>
        <v>2650.703086</v>
      </c>
      <c r="X55" s="3">
        <f>3057.8+(105.8-931.6)+(-10.916346+(-0.377706--3.325812))+0--211.6-0.755412000000003</f>
        <v>2434.8763479999998</v>
      </c>
      <c r="Y55" s="3">
        <f>2719.6+(164.6-740.9)+(-1.386996+(-0.083946--0.377859))+0--212.2-0.108221999999978</f>
        <v>2354.298695</v>
      </c>
      <c r="Z55" s="3">
        <f>3109.2+(12-834.2)+(1.585692+(0.00612-0.425442))+0--212.8--0.108527999999978</f>
        <v>2501.0748979999998</v>
      </c>
      <c r="AA55" s="3">
        <f>3422.7+(17.2-1079.9)+(-10.473462+(-0.052632--3.304494))+0--213.4-0.653004000000025</f>
        <v>2565.525396</v>
      </c>
      <c r="AB55" s="3">
        <f>3412.4+(34.4-1097.3)+(-8.70162+(-0.08772--2.798115))+0--215-0.548249999999969</f>
        <v>2557.960525</v>
      </c>
      <c r="AC55" s="3">
        <f>3287.2+(84.1-1002.7)+(-8.38236+(-0.214455--2.556885))+0--215-0.548249999999969</f>
        <v>2577.0118200000002</v>
      </c>
      <c r="AD55" s="2">
        <v>2568</v>
      </c>
      <c r="AE55" s="3">
        <f>3418+(5.2-1068)+(0+(0-0))+0--212.8-0</f>
        <v>2568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3155.6+(293.2-868.7)+(-3.218712+(-0.299064--0.886074))+0--214.2-0.218484000000034</f>
        <v>2791.4498139999996</v>
      </c>
      <c r="G56" s="3">
        <f>3027+(238.6-832.6)+(-1.54377+(-0.121686--0.424626))+0--216.2-0.110261999999978</f>
        <v>2647.8489079999995</v>
      </c>
      <c r="H56" s="3">
        <f>2916.2+(206.5-793.5)+(-5.949048+(-0.42126--1.61874))+0--216.8-0.442271999999991</f>
        <v>2540.8061600000001</v>
      </c>
      <c r="I56" s="3">
        <f>2883.5+(179.7-805.5)+(-4.411755+(-0.274941--1.232415))+0--217.1-0.332163000000013</f>
        <v>2471.0135559999999</v>
      </c>
      <c r="J56" s="3">
        <f>2763.2+(194.7-773.5)+(0+(0-0))+0--219-0</f>
        <v>2403.3999999999996</v>
      </c>
      <c r="K56" s="3">
        <f>2731.8+(207.9-849.2)+(-5.572872+(-0.424116--1.732368))+0--219.6-0.44798399999999</f>
        <v>2305.3873960000001</v>
      </c>
      <c r="L56" s="3">
        <f>2585.1+(353.3-952.9)+(-1.318401+(-0.180183--0.485979))+0--173-0.0882299999999824</f>
        <v>2157.3991650000003</v>
      </c>
      <c r="M56" s="3">
        <f>2656.9+(306.3-934.5)+(-1.355019+(-0.156213--0.476595))+0--153.1-0.0780809999999845</f>
        <v>2180.6872819999999</v>
      </c>
      <c r="N56" s="3">
        <f>3079.6+(148.1-1096.9)+(1.570596+(0.075531-0.559419))+0--151.4--0.0772139999999846</f>
        <v>2283.3639219999995</v>
      </c>
      <c r="O56" s="3">
        <f>3298.1+(72.9-1156.7)+(1.682031+(0.037179-0.589917))+0--154.4--0.0787439999999843</f>
        <v>2369.9080370000001</v>
      </c>
      <c r="P56" s="3">
        <f>3343+(31.1-1113.4)+(-3.40986+(-0.031722--1.135668))+0--205.2-0.209304000000033</f>
        <v>2463.3847819999996</v>
      </c>
      <c r="Q56" s="3">
        <f>3333.9+(16-932.7)+(0+(0-0))+0--203.1-0</f>
        <v>2620.2999999999997</v>
      </c>
      <c r="R56" s="3">
        <f>3297.3+(0-838.9)+(0+(0-0))+0--202.2-0</f>
        <v>2660.6</v>
      </c>
      <c r="S56" s="3">
        <f>3291.2+(117.5-820)+(-5.035536+(-0.179775--1.2546))+0--201.1-0.307683000000012</f>
        <v>2785.5316059999996</v>
      </c>
      <c r="T56" s="3">
        <f>3352.6+(152.8-758)+(-8.54913+(-0.38964--1.9329))+0--201.6-0.514079999999971</f>
        <v>2941.4800499999997</v>
      </c>
      <c r="U56" s="3">
        <f>3385.9+(125.3-758.9)+(-8.634045+(-0.319515--1.935195))+0--202.9-0.517394999999971</f>
        <v>2947.6642400000005</v>
      </c>
      <c r="V56" s="3">
        <f>3396.7+(88-808.6)+(-6.929268+(-0.17952--1.649544))+0--204.9-0.417995999999991</f>
        <v>2875.1227599999997</v>
      </c>
      <c r="W56" s="3">
        <f>3282.5+(54-878.4)+(-3.34815+(-0.05508--0.895968))+0--207-0.211140000000033</f>
        <v>2662.3815979999999</v>
      </c>
      <c r="X56" s="3">
        <f>3057.2+(111-967.5)+(-7.79586+(-0.28305--2.467125))+0--209.9-0.53524499999997</f>
        <v>2404.4529699999998</v>
      </c>
      <c r="Y56" s="3">
        <f>2923.5+(73.4-920)+(1.490985+(0.037434-0.4692))+0--211.1--0.107660999999979</f>
        <v>2289.1668800000002</v>
      </c>
      <c r="Z56" s="3">
        <f>3118.5+(32.7-863.4)+(0+(0-0))+0--212.4-0</f>
        <v>2500.2000000000003</v>
      </c>
      <c r="AA56" s="3">
        <f>3229.8+(59.4-916)+(-9.883188+(-0.181764--2.80296))+0--213.8-0.654228000000025</f>
        <v>2579.0837800000004</v>
      </c>
      <c r="AB56" s="3">
        <f>3226.5+(81.8-918.6)+(-4.936545+(-0.125154--1.405458))+0--212.5-0.325125000000012</f>
        <v>2598.2186339999998</v>
      </c>
      <c r="AC56" s="3">
        <f>3169.1+(121.9-880.5)+(-4.848723+(-0.186507--1.347165))+0--212.3-0.324819000000012</f>
        <v>2618.7871160000004</v>
      </c>
      <c r="AD56" s="2">
        <v>2605.5</v>
      </c>
      <c r="AE56" s="3">
        <f>3253+(49-910.5)+(0+(0-0))+0--214-0</f>
        <v>2605.5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3098.2+(143.2-818.4)+(-3.160164+(-0.146064--0.834768))+0--212.7-0.216954000000034</f>
        <v>2633.0115859999996</v>
      </c>
      <c r="G57" s="3">
        <f>3106.4+(120.8-862.6)+(-4.752792+(-0.184824--1.319778))+0--213.5-0.326655000000012</f>
        <v>2574.1555069999999</v>
      </c>
      <c r="H57" s="3">
        <f>3114+(99.9-914.7)+(-1.58814+(-0.050949--0.466497))+0--216.2-0.110261999999978</f>
        <v>2514.1171459999996</v>
      </c>
      <c r="I57" s="3">
        <f>3102.3+(63.2-925.2)+(1.582173+(0.032232-0.471852))+0--212.6--0.108425999999978</f>
        <v>2454.150979</v>
      </c>
      <c r="J57" s="3">
        <f>3085+(62.6-947.5)+(0+(0-0))+0--212.6-0</f>
        <v>2412.6999999999998</v>
      </c>
      <c r="K57" s="3">
        <f>3009+(39.6-932.7)+(-4.60377+(-0.060588--1.427031))+0--212.8-0.325584000000012</f>
        <v>2325.1370890000003</v>
      </c>
      <c r="L57" s="3">
        <f>2819.1+(101.7-939.3)+(0+(0-0))+0--164.1-0</f>
        <v>2145.6</v>
      </c>
      <c r="M57" s="3">
        <f>2986.2+(50.7-1075.4)+(0+(0-0))+0--201.1-0</f>
        <v>2162.6</v>
      </c>
      <c r="N57" s="3">
        <f>3114.4+(18.1-1052.7)+(-3.176688+(-0.018462--1.073754))+0--213.7-0.217974000000034</f>
        <v>2291.1606299999999</v>
      </c>
      <c r="O57" s="3">
        <f>3121.9+(14-986.5)+(-1.592169+(-0.00714--0.503115))+0--208.4-0.106283999999979</f>
        <v>2356.597522</v>
      </c>
      <c r="P57" s="3">
        <f>3213.2+(14-992.7)+(8.19366+(0.0357-2.531385))+0--205.6--0.52427999999997</f>
        <v>2446.322255</v>
      </c>
      <c r="Q57" s="3">
        <f>3598.5+(6-1214.2)+(1.835235+(0.00306-0.619242))+0--202.1--0.103070999999979</f>
        <v>2593.7221239999999</v>
      </c>
      <c r="R57" s="3">
        <f>3605.2+(42.1-1124.9)+(3.677304+(0.042942-1.147398))+0--200.6--0.204612000000032</f>
        <v>2725.7774599999993</v>
      </c>
      <c r="S57" s="3">
        <f>3587+(144.4-1099.5)+(0+(0-0))+0--201.3-0</f>
        <v>2833.2000000000003</v>
      </c>
      <c r="T57" s="3">
        <f>3580.3+(178.7-1057.6)+(3.651906+(0.182274-1.078752))+0--205.4--0.209508000000033</f>
        <v>2909.7649360000005</v>
      </c>
      <c r="U57" s="3">
        <f>3622.3+(146.3-1056.7)+(0+(0-0))+0--205.1-0</f>
        <v>2917</v>
      </c>
      <c r="V57" s="3">
        <f>3680.4+(87.3-1113.8)+(-9.38502+(-0.222615--2.84019))+0--206.1-0.52555499999997</f>
        <v>2852.7069999999999</v>
      </c>
      <c r="W57" s="3">
        <f>3717.5+(6-1277.9)+(-5.687775+(-0.00918--1.955187))+0--211-0.322830000000012</f>
        <v>2652.535402</v>
      </c>
      <c r="X57" s="3">
        <f>3612.6+(6-1399.8)+(-12.896982+(-0.02142--4.997286))+0--216.3-0.772191000000003</f>
        <v>2426.4066930000004</v>
      </c>
      <c r="Y57" s="3">
        <f>3226.9+(6-1122.7)+(-1.645719+(-0.00306--0.572577))+0--209.7-0.106946999999979</f>
        <v>2318.7168509999997</v>
      </c>
      <c r="Z57" s="3">
        <f>3413+(12.9-1135.5)+(-3.48126+(-0.013158--1.15821))+0--210.3-0.214506000000034</f>
        <v>2498.1492859999998</v>
      </c>
      <c r="AA57" s="3">
        <f>3759.6+(22.3-1415.3)+(-7.669584+(-0.045492--2.887212))+0--216.5-0.441659999999991</f>
        <v>2577.8304760000001</v>
      </c>
      <c r="AB57" s="3">
        <f>3642.8+(63-1303.6)+(-11.146968+(-0.19278--3.989016))+0--218.7-0.669222000000025</f>
        <v>2612.8800460000002</v>
      </c>
      <c r="AC57" s="3">
        <f>3643.8+(73.6-1294.9)+(-7.433352+(-0.150144--2.641596))+0--219.6-0.44798399999999</f>
        <v>2636.7101160000002</v>
      </c>
      <c r="AD57" s="2">
        <v>2579</v>
      </c>
      <c r="AE57" s="3">
        <f>3793+(8-1439.1)+(0+(0-0))+0--217.1-0</f>
        <v>2579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3673.6+(56-1187.4)+(-1.873536+(-0.02856--0.605574))+0--219.9-0.112148999999978</f>
        <v>2760.6913289999998</v>
      </c>
      <c r="G58" s="3">
        <f>3547.9+(61.7-1149.8)+(-9.047145+(-0.157335--2.93199))+0--220.3-0.561764999999968</f>
        <v>2673.2657450000006</v>
      </c>
      <c r="H58" s="3">
        <f>3510.9+(33.7-1164.3)+(-7.162236+(-0.068748--2.375172))+0--220.1-0.44900399999999</f>
        <v>2595.0951840000002</v>
      </c>
      <c r="I58" s="3">
        <f>3259.7+(55-988.8)+(-4.987341+(-0.08415--1.512864))+0--215.8-0.330174000000013</f>
        <v>2537.8111989999998</v>
      </c>
      <c r="J58" s="3">
        <f>3212+(26.7-962.4)+(-8.1906+(-0.068085--2.45412))+0--215.4-0.549269999999969</f>
        <v>2485.3461650000004</v>
      </c>
      <c r="K58" s="3">
        <f>3163.4+(21.3-988.9)+(-8.06667+(-0.054315--2.521695))+0--215.4-0.549269999999969</f>
        <v>2405.0514400000002</v>
      </c>
      <c r="L58" s="3">
        <f>2870.3+(64.5-1044.5)+(1.463853+(0.032895-0.532695))+0--216.5--0.110414999999978</f>
        <v>2107.874468</v>
      </c>
      <c r="M58" s="3">
        <f>2869.1+(53.7-1013.8)+(4.389723+(0.082161-1.551114))+0--216.9--0.331857000000013</f>
        <v>2129.1526269999999</v>
      </c>
      <c r="N58" s="3">
        <f>3008.8+(8.5-939.8)+(3.068976+(0.00867-0.958596))+0--217--0.221340000000035</f>
        <v>2296.8403899999998</v>
      </c>
      <c r="O58" s="3">
        <f>3112.3+(5-1022.6)+(-4.761819+(-0.00765--1.564578))+0--214.8-0.328644000000012</f>
        <v>2305.9664650000004</v>
      </c>
      <c r="P58" s="3">
        <f>3104.7+(5-942.6)+(-4.750191+(-0.00765--1.442178))+0--213.9-0.327267000000012</f>
        <v>2377.35707</v>
      </c>
      <c r="Q58" s="3">
        <f>3198.4+(34-781.3)+(-4.893552+(-0.05202--1.195389))+0--213.6-0.326808000000012</f>
        <v>2660.6230090000004</v>
      </c>
      <c r="R58" s="3">
        <f>3277.8+(86.1-935.3)+(0+(0-0))+0--212.5-0</f>
        <v>2641.1000000000004</v>
      </c>
      <c r="S58" s="3">
        <f>3471.2+(151.3-1063.7)+(3.540624+(0.154326-1.084974))+0--211.8--0.216036000000034</f>
        <v>2773.4260120000004</v>
      </c>
      <c r="T58" s="3">
        <f>3526.6+(169.8-1053)+(-5.395698+(-0.259794--1.61109))+0--211.6-0.323748000000012</f>
        <v>2850.6318499999998</v>
      </c>
      <c r="U58" s="3">
        <f>3178+(305-790.4)+(3.24156+(0.3111-0.806208))+0--207.6--0.211752000000033</f>
        <v>2903.1582039999998</v>
      </c>
      <c r="V58" s="3">
        <f>3201.1+(232-793.4)+(-1.632561+(-0.11832--0.404634))+0--195.4-0.0996539999999802</f>
        <v>2833.6540989999999</v>
      </c>
      <c r="W58" s="3">
        <f>3365.9+(67-989.3)+(-8.583045+(-0.17085--2.522715))+0--204.8-0.52223999999997</f>
        <v>2641.6465800000005</v>
      </c>
      <c r="X58" s="3">
        <f>3231.4+(0-1023.5)+(-8.24007+(0--2.609925))+0--214.4-0.546719999999969</f>
        <v>2416.1231350000003</v>
      </c>
      <c r="Y58" s="3">
        <f>3056.4+(0-996.4)+(-3.117528+(0--1.016328))+0--214.6-0.218892000000034</f>
        <v>2272.279908</v>
      </c>
      <c r="Z58" s="3">
        <f>3378.4+(19.5-1170.1)+(0+(0-0))+0--213.8-0</f>
        <v>2441.6000000000004</v>
      </c>
      <c r="AA58" s="3">
        <f>3718.3+(6.1-1409.1)+(-9.481665+(-0.015555--3.593205))+0--214.5-0.546974999999969</f>
        <v>2523.3490100000004</v>
      </c>
      <c r="AB58" s="3">
        <f>3694.5+(45.5-1411.2)+(-9.420975+(-0.116025--3.59856))+0--216.1-0.551054999999969</f>
        <v>2538.4105050000003</v>
      </c>
      <c r="AC58" s="3">
        <f>3701.3+(51.2-1385.2)+(-1.887663+(-0.026112--0.706452))+0--218.7-0.111536999999978</f>
        <v>2584.6811400000001</v>
      </c>
      <c r="AD58" s="2">
        <v>2547</v>
      </c>
      <c r="AE58" s="3">
        <f>3620+(23-1308.6)+(0+(0-0))+0--212.6-0</f>
        <v>2547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3720.4+(61.8-1363.1)+(-13.281828+(-0.220626--4.866267))+0--218.5-0.780045000000003</f>
        <v>2628.1837680000003</v>
      </c>
      <c r="G59" s="3">
        <f>3738+(42-1437.1)+(-1.90638+(-0.02142--0.732921))+0--218.3-0.111332999999978</f>
        <v>2559.8937880000003</v>
      </c>
      <c r="H59" s="3">
        <f>3743.6+(17-1480.1)+(0+(0-0))+0--218.3-0</f>
        <v>2498.8000000000002</v>
      </c>
      <c r="I59" s="3">
        <f>3707.3+(17-1487.6)+(-5.672169+(-0.02601--2.276028))+0--216.8-0.331704000000013</f>
        <v>2449.7461450000001</v>
      </c>
      <c r="J59" s="3">
        <f>3662.4+(17-1470.8)+(-9.33912+(-0.04335--3.75054))+0--216.1-0.551054999999969</f>
        <v>2418.5170150000004</v>
      </c>
      <c r="K59" s="3">
        <f>3353.1+(17-1224.8)+(-6.840324+(-0.03468--2.498592))+0--214.6-0.437783999999991</f>
        <v>2355.0858039999998</v>
      </c>
      <c r="L59" s="3">
        <f>2961.5+(20.7-1051.3)+(-4.531095+(-0.031671--1.608489))+0--216.6-0.331398000000013</f>
        <v>2144.2143250000004</v>
      </c>
      <c r="M59" s="3">
        <f>3220.9+(18-1294.6)+(0+(0-0))+0--219.1-0</f>
        <v>2163.4</v>
      </c>
      <c r="N59" s="3">
        <f>3429.6+(18-1363.9)+(1.749096+(0.00918-0.695589))+0--218--0.111179999999978</f>
        <v>2302.8738669999998</v>
      </c>
      <c r="O59" s="3">
        <f>3495.5+(20-1363.7)+(-1.782705+(-0.0102--0.695487))+0--213.4-0.108833999999978</f>
        <v>2363.9937480000003</v>
      </c>
      <c r="P59" s="3">
        <f>3499.4+(20-1330.2)+(0+(0-0))+0--266.1-0</f>
        <v>2455.2999999999997</v>
      </c>
      <c r="Q59" s="3">
        <f>3457.4+(12-1240.7)+(-1.763274+(-0.00612--0.632757))+0--267-0.136169999999973</f>
        <v>2494.427193</v>
      </c>
      <c r="R59" s="3">
        <f>3476+(52.6-1142.6)+(3.54552+(0.053652-1.165452))+0--268.2--0.273564000000043</f>
        <v>2656.9072839999999</v>
      </c>
      <c r="S59" s="3">
        <f>3471.3+(143.3-1093.7)+(-5.311089+(-0.219249--1.673361))+0--241.3-0.369189000000014</f>
        <v>2757.9738340000004</v>
      </c>
      <c r="T59" s="3">
        <f>3524+(165.3-1035)+(1.79724+(0.084303-0.52785))+0--212.8--0.108527999999978</f>
        <v>2868.5622210000001</v>
      </c>
      <c r="U59" s="3">
        <f>3602.5+(150.4-1091.1)+(-11.02365+(-0.460224--3.338766))+0--213.6-0.653616000000025</f>
        <v>2866.6012759999999</v>
      </c>
      <c r="V59" s="3">
        <f>3598.4+(97.3-1103.8)+(-7.340736+(-0.198492--2.251752))+0--213.6-0.435743999999991</f>
        <v>2799.7767800000001</v>
      </c>
      <c r="W59" s="3">
        <f>3515.3+(8.2-1152.5)+(-8.964015+(-0.02091--2.938875))+0--215.2-0.548759999999969</f>
        <v>2579.6051899999998</v>
      </c>
      <c r="X59" s="3">
        <f>3356.2+(0-1222.1)+(-10.269972+(0--3.739626))+0--215.5-0.659430000000025</f>
        <v>2342.4102239999997</v>
      </c>
      <c r="Y59" s="3">
        <f>2782.6+(66.3-848.6)+(2.838252+(0.067626-0.865572))+0--216.9--0.221238000000035</f>
        <v>2219.4615439999998</v>
      </c>
      <c r="Z59" s="3">
        <f>3216.2+(23.6-1038.3)+(-1.640262+(-0.012036--0.529533))+0--218.1-0.111230999999978</f>
        <v>2418.366004</v>
      </c>
      <c r="AA59" s="3">
        <f>3511.7+(15.1-1232.1)+(-8.954835+(-0.038505--3.141855))+0--218.2-0.556409999999968</f>
        <v>2506.4921049999994</v>
      </c>
      <c r="AB59" s="3">
        <f>3503.9+(23.6-1235.4)+(-5.360967+(-0.036108--1.890162))+0--218.8-0.334764000000013</f>
        <v>2507.0583229999997</v>
      </c>
      <c r="AC59" s="3">
        <f>3364.6+(72.1-1098.2)+(-3.431892+(-0.073542--1.120164))+0--218.7-0.223074000000035</f>
        <v>2554.5916559999996</v>
      </c>
      <c r="AD59" s="2">
        <v>2524.1</v>
      </c>
      <c r="AE59" s="3">
        <f>3501+(8-1203)+(0+(0-0))+0--218.1-0</f>
        <v>2524.1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3039.3+(161.7-840.4)+(-3.100086+(-0.164934--0.857208))+0-6.1--0.00622200000000097</f>
        <v>2352.0984100000005</v>
      </c>
      <c r="G60" s="3">
        <f>2951.3+(153.7-779.2)+(3.010326+(0.156774-0.794784))+0--217.5--0.221850000000035</f>
        <v>2545.894166</v>
      </c>
      <c r="H60" s="3">
        <f>2921+(131.8-777.4)+(-1.48971+(-0.067218--0.396474))+0--217.9-0.111128999999978</f>
        <v>2492.0284170000004</v>
      </c>
      <c r="I60" s="3">
        <f>2924.1+(130.5-823.6)+(0+(0-0))+0--215.5-0</f>
        <v>2446.5</v>
      </c>
      <c r="J60" s="3">
        <f>3023.6+(88.5-907.4)+(0+(0-0))+0--215.8-0</f>
        <v>2420.5</v>
      </c>
      <c r="K60" s="3">
        <f>3028.4+(102-990.5)+(-4.633452+(-0.15606--1.515465))+0--214.6-0.328338000000012</f>
        <v>2350.8976150000003</v>
      </c>
      <c r="L60" s="3">
        <f>2856.8+(137.1-1028.8)+(-4.370904+(-0.209763--1.574064))+0--213.6-0.326808000000012</f>
        <v>2175.3665890000007</v>
      </c>
      <c r="M60" s="3">
        <f>2651.4+(146.3-921.1)+(-4.056642+(-0.223839--1.409283))+0--216.2-0.330786000000012</f>
        <v>2089.5980159999999</v>
      </c>
      <c r="N60" s="3">
        <f>2542.9+(173.3-813.4)+(0+(0-0))+0--217.6-0</f>
        <v>2120.4</v>
      </c>
      <c r="O60" s="3">
        <f>2695.9+(147-871.6)+(-1.374909+(-0.07497--0.444516))+0--216.3-0.110312999999978</f>
        <v>2186.484324</v>
      </c>
      <c r="P60" s="3">
        <f>2797.5+(94.4-854.7)+(2.85345+(0.096288-0.871794))+0--213.7--0.217974000000034</f>
        <v>2253.1959179999999</v>
      </c>
      <c r="Q60" s="3">
        <f>2925.8+(62-821)+(4.476474+(0.09486-1.25613))+0--213.8--0.327114000000012</f>
        <v>2384.2423180000005</v>
      </c>
      <c r="R60" s="3">
        <f>2917.6+(147.8-747.1)+(0+(0-0))+0--212.7-0</f>
        <v>2531</v>
      </c>
      <c r="S60" s="3">
        <f>2916.1+(247-678.7)+(-1.487211+(-0.12597--0.346137))+0--212.2-0.108221999999978</f>
        <v>2695.2247339999994</v>
      </c>
      <c r="T60" s="3">
        <f>2905.3+(315.9-667.6)+(-2.963406+(-0.322218--0.680952))+0--211.9-0.216138000000034</f>
        <v>2762.6791900000003</v>
      </c>
      <c r="U60" s="3">
        <f>3029.3+(246.7-701.4)+(-3.089886+(-0.251634--0.715428))+0--211.3-0.215526000000034</f>
        <v>2783.0583820000006</v>
      </c>
      <c r="V60" s="3">
        <f>3051.6+(157.5-696.7)+(-6.225264+(-0.3213--1.421268))+0--210.9-0.430235999999991</f>
        <v>2717.7444679999994</v>
      </c>
      <c r="W60" s="3">
        <f>3053.4+(94.8-829.7)+(-6.228936+(-0.193392--1.692588))+0--211.2-0.430847999999991</f>
        <v>2524.5394119999996</v>
      </c>
      <c r="X60" s="3">
        <f>2908.8+(73.1-892.6)+(-4.450464+(-0.111843--1.365678))+0--211.2-0.323136000000012</f>
        <v>2296.980235</v>
      </c>
      <c r="Y60" s="3">
        <f>2711.3+(56.6-833)+(-1.382763+(-0.028866--0.42483))+0--211.3-0.107762999999979</f>
        <v>2145.105438</v>
      </c>
      <c r="Z60" s="3">
        <f>3074.6+(40.3-953.8)+(0+(0-0))+0--211.2-0</f>
        <v>2372.2999999999997</v>
      </c>
      <c r="AA60" s="3">
        <f>3158+(85.7-947.6)+(-4.83174+(-0.131121--1.449828))+0--211.4-0.323442000000012</f>
        <v>2503.6635249999999</v>
      </c>
      <c r="AB60" s="3">
        <f>3158.5+(125.6-936.1)+(-6.44334+(-0.256224--1.909644))+0--211.4-0.431255999999991</f>
        <v>2554.1788240000001</v>
      </c>
      <c r="AC60" s="3">
        <f>2969.3+(213.5-766.8)+(-6.057372+(-0.43554--1.564272))+0--180.8-0.368831999999992</f>
        <v>2591.502528</v>
      </c>
      <c r="AD60" s="2">
        <v>2510.5</v>
      </c>
      <c r="AE60" s="3">
        <f>3151+(71.8-923.3)+(0+(0-0))+0--211-0</f>
        <v>2510.5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2878.8+(261.9-649.9)+(-1.468188+(-0.133569--0.331449))+0--145.1-0.0740009999999853</f>
        <v>2634.555691</v>
      </c>
      <c r="G61" s="3">
        <f>2858.3+(214.2-652.2)+(-7.288665+(-0.54621--1.66311))+0--143.9-0.366944999999979</f>
        <v>2557.6612900000005</v>
      </c>
      <c r="H61" s="3">
        <f>2864.9+(213.2-726.7)+(-5.844396+(-0.434928--1.482468))+0--145.3-0.296411999999994</f>
        <v>2491.6067320000002</v>
      </c>
      <c r="I61" s="3">
        <f>2871+(194.5-750.1)+(-5.85684+(-0.39678--1.530204))+0--144.2-0.294167999999994</f>
        <v>2454.5824160000002</v>
      </c>
      <c r="J61" s="3">
        <f>2792.7+(200-718.5)+(1.424277+(0.102-0.366435))+0--146.6--0.0747659999999851</f>
        <v>2422.0346079999999</v>
      </c>
      <c r="K61" s="3">
        <f>2694.2+(208-689.5)+(-5.496168+(-0.42432--1.40658))+0--146.4-0.298655999999994</f>
        <v>2354.2874360000001</v>
      </c>
      <c r="L61" s="3">
        <f>2386.7+(264.2-617)+(-1.217217+(-0.134742--0.31467))+0--147.1-0.0750209999999851</f>
        <v>2179.8876899999996</v>
      </c>
      <c r="M61" s="3">
        <f>2517.9+(179-675.3)+(2.568258+(0.18258-0.688806))+0--147.2--0.150144000000023</f>
        <v>2171.0121760000002</v>
      </c>
      <c r="N61" s="3">
        <f>2658.5+(163.2-657.3)+(0+(0-0))+0--146.6-0</f>
        <v>2311</v>
      </c>
      <c r="O61" s="3">
        <f>2747.6+(134.7-669.4)+(2.802552+(0.137394-0.682788))+0--186.7--0.19043400000003</f>
        <v>2402.0475919999994</v>
      </c>
      <c r="P61" s="3">
        <f>2852+(121.1-675)+(0+(0-0))+0--204.4-0</f>
        <v>2502.5</v>
      </c>
      <c r="Q61" s="3">
        <f>2986.4+(128.2-611.8)+(0+(0-0))+0--200.6-0</f>
        <v>2703.4</v>
      </c>
      <c r="R61" s="3">
        <f>3069.4+(239.9-670.6)+(-1.565394+(-0.122349--0.342006))+0--198.4-0.10118399999998</f>
        <v>2835.6530789999997</v>
      </c>
      <c r="S61" s="3">
        <f>3108.8+(357.8-693.1)+(-6.341952+(-0.729912--1.413924))+0--197.1-0.402083999999991</f>
        <v>2964.539976</v>
      </c>
      <c r="T61" s="3">
        <f>3128.1+(440.2-696.4)+(0+(0-0))+0--196.2-0</f>
        <v>3068.1</v>
      </c>
      <c r="U61" s="3">
        <f>3165+(380-679.8)+(-6.4566+(-0.7752--1.386792))+0--198.6-0.405143999999991</f>
        <v>3057.5498480000001</v>
      </c>
      <c r="V61" s="3">
        <f>3211.3+(251.7-647.2)+(-8.188815+(-0.641835--1.65036))+0--200.9-0.512294999999971</f>
        <v>3009.0074150000005</v>
      </c>
      <c r="W61" s="3">
        <f>3126+(136.8-668.1)+(-4.78278+(-0.209304--1.022193))+0--202.9-0.310437000000012</f>
        <v>2793.3196719999996</v>
      </c>
      <c r="X61" s="3">
        <f>3252.1+(44.9-972.3)+(-11.609997+(-0.160293--3.471111))+0--207.8-0.741846000000003</f>
        <v>2523.458975</v>
      </c>
      <c r="Y61" s="3">
        <f>3133.8+(7.5-957.6)+(-7.99119+(-0.019125--2.44188))+0--210.5-0.536774999999969</f>
        <v>2388.0947900000001</v>
      </c>
      <c r="Z61" s="3">
        <f>3326.7+(37.5-989.4)+(-1.696617+(-0.019125--0.504594))+0--211.7-0.107966999999979</f>
        <v>2585.1808849999998</v>
      </c>
      <c r="AA61" s="3">
        <f>3514+(41-1083.9)+(-8.9607+(-0.10455--2.763945))+0--213.8-0.545189999999969</f>
        <v>2678.0535050000003</v>
      </c>
      <c r="AB61" s="3">
        <f>3468.7+(84.6-1060.6)+(-7.076148+(-0.172584--2.163624))+0--214.8-0.438191999999991</f>
        <v>2701.9766999999997</v>
      </c>
      <c r="AC61" s="3">
        <f>3416.9+(127.1-1013.9)+(-6.970476+(-0.259284--2.068356))+0--214.4-0.437375999999991</f>
        <v>2738.9012200000006</v>
      </c>
      <c r="AD61" s="2">
        <v>2697.9</v>
      </c>
      <c r="AE61" s="3">
        <f>3507+(42.7-1066.6)+(0+(0-0))+0--214.8-0</f>
        <v>2697.9000000000005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3330.9+(131.3-925.6)+(-8.493795+(-0.334815--2.36028))+0--201.5-0.513824999999971</f>
        <v>2731.1178450000002</v>
      </c>
      <c r="G62" s="3">
        <f>3053+(183.9-721.3)+(-7.78515+(-0.468945--1.839315))+0--150.9-0.384794999999978</f>
        <v>2659.700425</v>
      </c>
      <c r="H62" s="3">
        <f>2960+(163.5-716.5)+(-4.5288+(-0.250155--1.096245))+0--151.7-0.232101000000009</f>
        <v>2554.7851889999997</v>
      </c>
      <c r="I62" s="3">
        <f>3008.7+(125.6-794.3)+(-1.534437+(-0.064056--0.405093))+0--153.2-0.0781319999999845</f>
        <v>2491.9284679999996</v>
      </c>
      <c r="J62" s="3">
        <f>3087.6+(74.1-913.9)+(-4.724028+(-0.113373--1.398267))+0--213.3-0.326349000000012</f>
        <v>2457.3345170000002</v>
      </c>
      <c r="K62" s="3">
        <f>3087.3+(98.6-1000.1)+(-7.872615+(-0.25143--2.550255))+0--218.9-0.558194999999968</f>
        <v>2398.5680150000003</v>
      </c>
      <c r="L62" s="3">
        <f>2961.1+(151.3-1106.9)+(-1.510161+(-0.077163--0.564519))+0--220.2-0.112301999999978</f>
        <v>2224.5648929999998</v>
      </c>
      <c r="M62" s="3">
        <f>2964.1+(149.8-1068.9)+(-3.023382+(-0.152796--1.090278))+0--219.7-0.224094000000035</f>
        <v>2262.3900059999996</v>
      </c>
      <c r="N62" s="3">
        <f>3244.1+(76.5-1159.7)+(1.654491+(0.039015-0.591447))+0--217--0.110669999999978</f>
        <v>2379.1127289999995</v>
      </c>
      <c r="O62" s="3">
        <f>3079.5+(71.1-899.3)+(-3.14109+(-0.072522--0.917286))+0--214-0.218280000000034</f>
        <v>2462.785394</v>
      </c>
      <c r="P62" s="3">
        <f>3009.6+(92.1-769.9)+(4.604688+(0.140913-1.177947))+0--210.9--0.322677000000012</f>
        <v>2546.5903310000003</v>
      </c>
      <c r="Q62" s="3">
        <f>3276.6+(50.1-895.1)+(5.013198+(0.076653-1.369503))+0--210--0.321300000000012</f>
        <v>2645.6416479999998</v>
      </c>
      <c r="R62" s="3">
        <f>3432.2+(101.1-923.8)+(0+(0-0))+0--205.4-0</f>
        <v>2814.9</v>
      </c>
      <c r="S62" s="3">
        <f>3482.7+(155.9-861.6)+(0+(0-0))+0--201.9-0</f>
        <v>2978.9</v>
      </c>
      <c r="T62" s="3">
        <f>3461.2+(199.2-802.8)+(-5.295636+(-0.304776--1.228284))+0--202.2-0.309366000000012</f>
        <v>3055.1185059999998</v>
      </c>
      <c r="U62" s="3">
        <f>3480.6+(175.3-793.8)+(-7.100424+(-0.357612--1.619352))+0--200.1-0.408203999999991</f>
        <v>3055.9531120000001</v>
      </c>
      <c r="V62" s="3">
        <f>3426.6+(135.9-759.4)+(-8.73783+(-0.346545--1.93647))+0--198.6-0.506429999999971</f>
        <v>2994.0456650000001</v>
      </c>
      <c r="W62" s="3">
        <f>3345.7+(128.1-888.4)+(-1.706307+(-0.065331--0.453084))+0--199.1-0.10154099999998</f>
        <v>2783.0799049999996</v>
      </c>
      <c r="X62" s="3">
        <f>3315.1+(125.5-1102.3)+(-6.762804+(-0.25602--2.248692))+0--200.2-0.408407999999991</f>
        <v>2533.3214600000001</v>
      </c>
      <c r="Y62" s="3">
        <f>2940.9+(127-870.5)+(-1.499859+(-0.06477--0.443955))+0--200.2-0.10210199999998</f>
        <v>2396.3772240000003</v>
      </c>
      <c r="Z62" s="3">
        <f>3190.3+(46.9-855.5)+(1.627053+(0.023919-0.436305))+0--200.5--0.10225499999998</f>
        <v>2583.5169220000002</v>
      </c>
      <c r="AA62" s="3">
        <f>3384.8+(49.8-933.9)+(-6.904992+(-0.101592--1.905156))+0--200.4-0.408815999999991</f>
        <v>2695.5897560000003</v>
      </c>
      <c r="AB62" s="3">
        <f>3377.8+(69.2-939.5)+(-5.168034+(-0.105876--1.437435))+0--199.4-0.305082000000012</f>
        <v>2702.7584430000002</v>
      </c>
      <c r="AC62" s="3">
        <f>3414.7+(88.2-949.9)+(-6.965988+(-0.179928--1.937796))+0--192.4-0.392495999999992</f>
        <v>2739.7993840000004</v>
      </c>
      <c r="AD62" s="2">
        <v>2726.9</v>
      </c>
      <c r="AE62" s="3">
        <f>3422+(45.7-942.1)+(0+(0-0))+0--201.3-0</f>
        <v>2726.9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3409.6+(96.1-969)+(-3.477792+(-0.098022--0.98838))+0--199.5-0.203490000000032</f>
        <v>2733.4090759999999</v>
      </c>
      <c r="G63" s="3">
        <f>3182.7+(150.1-874.2)+(-8.115885+(-0.382755--2.22921))+0--200.5-0.511274999999971</f>
        <v>2652.3192950000002</v>
      </c>
      <c r="H63" s="3">
        <f>3062.6+(172.8-842.6)+(-3.123852+(-0.176256--0.859452))+0--200.6-0.204612000000032</f>
        <v>2590.7547319999999</v>
      </c>
      <c r="I63" s="3">
        <f>3050.4+(146.9-860.5)+(-4.667112+(-0.224757--1.316565))+0--202.7-0.310131000000012</f>
        <v>2535.6145649999999</v>
      </c>
      <c r="J63" s="3">
        <f>3061.7+(103.9-866)+(0+(0-0))+0--202.7-0</f>
        <v>2502.2999999999997</v>
      </c>
      <c r="K63" s="3">
        <f>3024.3+(129-915.6)+(-4.627179+(-0.19737--1.400868))+0--202.8-0.310284000000012</f>
        <v>2436.7660350000001</v>
      </c>
      <c r="L63" s="3">
        <f>2757.8+(223-887.8)+(-2.812956+(-0.22746--0.905556))+0--142.9-0.145758000000023</f>
        <v>2233.6193819999999</v>
      </c>
      <c r="M63" s="3">
        <f>2948.3+(161.2-1029.6)+(-4.510899+(-0.246636--1.575288))+0--191-0.292230000000011</f>
        <v>2267.4255230000003</v>
      </c>
      <c r="N63" s="3">
        <f>3118.6+(90.7-1038)+(-1.590486+(-0.046257--0.52938))+0--189.8-0.0967979999999807</f>
        <v>2359.8958390000003</v>
      </c>
      <c r="O63" s="3">
        <f>3184.6+(74.2-998.8)+(0+(0-0))+0--188.6-0</f>
        <v>2448.6</v>
      </c>
      <c r="P63" s="3">
        <f>3308.1+(37.7-947.9)+(0+(0-0))+0--186.7-0</f>
        <v>2584.6</v>
      </c>
      <c r="Q63" s="3">
        <f>3410.4+(21-856.8)+(1.739304+(0.01071-0.436968))+0--185.7--0.0947069999999812</f>
        <v>2761.7077530000006</v>
      </c>
      <c r="R63" s="3">
        <f>3349.7+(125.6-753.8)+(-1.708347+(-0.064056--0.384438))+0--183-0.0933299999999814</f>
        <v>2903.018705</v>
      </c>
      <c r="S63" s="3">
        <f>3327+(257.8-775.8)+(-3.39354+(-0.262956--0.791316))+0--189.6-0.19339200000003</f>
        <v>2995.541428</v>
      </c>
      <c r="T63" s="3">
        <f>3333.1+(335.3-776.3)+(-1.699881+(-0.171003--0.395913))+0--190.3-0.0970529999999807</f>
        <v>3080.827976</v>
      </c>
      <c r="U63" s="3">
        <f>3333.6+(303.5-724.6)+(-3.400272+(-0.30957--0.739092))+0--188.6-0.19237200000003</f>
        <v>3097.936878</v>
      </c>
      <c r="V63" s="3">
        <f>3322+(186.4-669.2)+(-10.16532+(-0.570384--2.047752))+0--188-0.575280000000022</f>
        <v>3017.9367679999996</v>
      </c>
      <c r="W63" s="3">
        <f>3323.1+(125.6-787.4)+(-5.084343+(-0.192168--1.204722))+0--187.3-0.286569000000011</f>
        <v>2844.2416420000004</v>
      </c>
      <c r="X63" s="3">
        <f>3333.6+(97.8-1031.4)+(-11.900952+(-0.349146--3.682098))+0--191.7-0.684369000000003</f>
        <v>2582.4476309999995</v>
      </c>
      <c r="Y63" s="3">
        <f>3185.2+(81.4-1028.2)+(-8.12226+(-0.20757--2.62191))+0--196.3-0.500564999999972</f>
        <v>2428.4915150000002</v>
      </c>
      <c r="Z63" s="3">
        <f>3317.7+(34.8-929.2)+(1.692027+(0.017748-0.473892))+0--196.4--0.10016399999998</f>
        <v>2621.0360469999996</v>
      </c>
      <c r="AA63" s="3">
        <f>3490.8+(67.9-1009.4)+(-5.340924+(-0.103887--1.544382))+0--198.2-0.303246000000011</f>
        <v>2743.2963250000003</v>
      </c>
      <c r="AB63" s="3">
        <f>3505.5+(77.4-1003.9)+(-7.15122+(-0.157896--2.047956))+0--198.5-0.404939999999991</f>
        <v>2771.8339000000001</v>
      </c>
      <c r="AC63" s="3">
        <f>3340.9+(137.6-880.9)+(-3.407718+(-0.140352--0.898518))+0--199.9-0.203898000000032</f>
        <v>2794.6465500000004</v>
      </c>
      <c r="AD63" s="2">
        <v>2800.5</v>
      </c>
      <c r="AE63" s="3">
        <f>3509+(63.4-990)+(0+(0-0))+0--218.1-0</f>
        <v>2800.5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3354.8+(155.7-919.7)+(-5.132844+(-0.238221--1.407141))+0--202-0.309060000000012</f>
        <v>2788.527016</v>
      </c>
      <c r="G64" s="3">
        <f>3237.1+(158.6-858.7)+(-6.603684+(-0.323544--1.751748))+0--197-0.401879999999991</f>
        <v>2728.4226400000002</v>
      </c>
      <c r="H64" s="3">
        <f>3109.7+(170.4-833.5)+(-7.929735+(-0.43452--2.125425))+0--205-0.52274999999997</f>
        <v>2644.83842</v>
      </c>
      <c r="I64" s="3">
        <f>3002.4+(188.3-804.5)+(-4.593672+(-0.288099--1.230885))+0--209-0.319770000000012</f>
        <v>2591.2293439999999</v>
      </c>
      <c r="J64" s="3">
        <f>2796.7+(268.3-715.6)+(-4.278951+(-0.410499--1.094868))+0--209-0.319770000000012</f>
        <v>2554.4856479999994</v>
      </c>
      <c r="K64" s="3">
        <f>2767.5+(255.7-729.7)+(-8.46855+(-0.782442--2.232882))+0--211-0.645660000000024</f>
        <v>2496.8362299999999</v>
      </c>
      <c r="L64" s="3">
        <f>2535.6+(235.2-677.7)+(1.293156+(0.119952-0.345627))+0-5.9-0.0030089999999994</f>
        <v>2088.2644719999998</v>
      </c>
      <c r="M64" s="3">
        <f>2628.6+(190.7-718.7)+(-1.340586+(-0.097257--0.366537))+0-5.9--0.0030089999999994</f>
        <v>2093.631703</v>
      </c>
      <c r="N64" s="3">
        <f>2957.4+(93.2-827.5)+(1.508274+(0.047532-0.422025))+0-6-0.00305999999999939</f>
        <v>2218.2307210000004</v>
      </c>
      <c r="O64" s="3">
        <f>3175.1+(24.4-933.8)+(0+(0-0))+0-6-0</f>
        <v>2259.6999999999998</v>
      </c>
      <c r="P64" s="3">
        <f>3259.1+(44.4-924.1)+(0+(0-0))+0-6-0</f>
        <v>2373.3999999999996</v>
      </c>
      <c r="Q64" s="3">
        <f>3437.6+(81.8-987.7)+(0+(0-0))+0-6.1-0</f>
        <v>2525.6</v>
      </c>
      <c r="R64" s="3">
        <f>3489.4+(195-949.6)+(0+(0-0))+0--255.1-0</f>
        <v>2989.9</v>
      </c>
      <c r="S64" s="3">
        <f>3475.6+(308.1-935.2)+(-7.090224+(-0.628524--1.907808))+0--240.4-0.49041599999999</f>
        <v>3082.5986440000001</v>
      </c>
      <c r="T64" s="3">
        <f>3452.7+(349-880.8)+(-1.760877+(-0.17799--0.449208))+0--231.3-0.117962999999977</f>
        <v>3150.5923779999998</v>
      </c>
      <c r="U64" s="3">
        <f>3428+(327.8-817.8)+(-6.99312+(-0.668712--1.668312))+0--217.8-0.44431199999999</f>
        <v>3149.3621680000001</v>
      </c>
      <c r="V64" s="3">
        <f>3436.7+(228.7-795.3)+(-12.269019+(-0.816459--2.839221))+0--206.5-0.737205000000003</f>
        <v>3065.6165380000002</v>
      </c>
      <c r="W64" s="3">
        <f>3368.2+(120.3-799.4)+(-10.306692+(-0.368118--2.446164))+0--196-0.599760000000023</f>
        <v>2876.2715939999998</v>
      </c>
      <c r="X64" s="3">
        <f>3248.2+(40.6-812.1)+(-3.313164+(-0.041412--0.828342))+0--138-0.140760000000022</f>
        <v>2612.0330059999997</v>
      </c>
      <c r="Y64" s="3">
        <f>3098.3+(34.6-787.2)+(0+(0-0))+0--138.3-0</f>
        <v>2484.0000000000005</v>
      </c>
      <c r="Z64" s="3">
        <f>3375.8+(70.6-933.1)+(-3.443316+(-0.072012--0.951762))+0--196.2-0.200124000000031</f>
        <v>2706.7363100000002</v>
      </c>
      <c r="AA64" s="3">
        <f>3613.9+(87.9-1071.5)+(-9.215445+(-0.224145--2.732325))+0--204.3-0.52096499999997</f>
        <v>2827.3717700000002</v>
      </c>
      <c r="AB64" s="3">
        <f>3528.3+(142.3-1031.7)+(-7.197732+(-0.290292--2.104668))+0--206-0.420239999999991</f>
        <v>2839.0964040000003</v>
      </c>
      <c r="AC64" s="3">
        <f>3443.7+(149.9-979.6)+(-12.294009+(-0.535143--3.497172))+0--205.9-0.735063000000003</f>
        <v>2809.8329570000001</v>
      </c>
      <c r="AD64" s="2">
        <v>2811.2</v>
      </c>
      <c r="AE64" s="3">
        <f>3550.2+(78.5-1020.3)+(0+(0-0))+0--202.8-0</f>
        <v>2811.2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3471.8+(128.8-1001)+(-12.394326+(-0.459816--3.57357))+0--206.4-0.736848000000003</f>
        <v>2795.9825800000003</v>
      </c>
      <c r="G65" s="3">
        <f>3447.1+(99.1-1014.5)+(-10.548126+(-0.303246--3.10437))+0--204.6-0.626076000000024</f>
        <v>2727.9269219999996</v>
      </c>
      <c r="H65" s="3">
        <f>3074.9+(141.1-779.2)+(-6.272796+(-0.287844--1.589568))+0--205.4-0.419015999999991</f>
        <v>2636.8099120000006</v>
      </c>
      <c r="I65" s="3">
        <f>2914.3+(138.1-682.1)+(-5.945172+(-0.281724--1.391484))+0--205.4-0.419015999999991</f>
        <v>2570.4455720000005</v>
      </c>
      <c r="J65" s="3">
        <f>2817.3+(157.5-641)+(-5.747292+(-0.3213--1.30764))+0--204.9-0.417995999999991</f>
        <v>2533.5210520000001</v>
      </c>
      <c r="K65" s="3">
        <f>2738.9+(155.8-627.3)+(-4.190517+(-0.238374--0.959769))+0--205.3-0.314109000000012</f>
        <v>2468.9167690000004</v>
      </c>
      <c r="L65" s="3">
        <f>2672.7+(117-666.9)+(-5.452308+(-0.23868--1.360476))+0--156.3-0.318851999999993</f>
        <v>2274.450636</v>
      </c>
      <c r="M65" s="3">
        <f>2756.8+(64.8-675.4)+(1.405968+(0.033048-0.344454))+0--141.2--0.0720119999999857</f>
        <v>2288.5665740000004</v>
      </c>
      <c r="N65" s="3">
        <f>3050.7+(38.5-855.3)+(-3.111714+(-0.03927--0.872406))+0--141.9-0.144738000000023</f>
        <v>2373.3766839999998</v>
      </c>
      <c r="O65" s="3">
        <f>3147.9+(7-871)+(-9.632574+(-0.02142--2.66526))+0--144-0.440640000000017</f>
        <v>2420.4706260000003</v>
      </c>
      <c r="P65" s="3">
        <f>3218.7+(7-882.2)+(1.641537+(0.00357-0.449922))+0--143.8--0.0733379999999854</f>
        <v>2488.5685230000004</v>
      </c>
      <c r="Q65" s="3">
        <f>3549+(0-1174.5)+(0+(0-0))+0--202.5-0</f>
        <v>2577</v>
      </c>
      <c r="R65" s="3">
        <f>3551.5+(18.5-1075.3)+(0+(0-0))+0--205-0</f>
        <v>2699.7</v>
      </c>
      <c r="S65" s="3">
        <f>3519.3+(69.4-1018)+(-8.974215+(-0.17697--2.5959))+0--204.8-0.52223999999997</f>
        <v>2768.4224750000008</v>
      </c>
      <c r="T65" s="3">
        <f>3518.7+(112.1-961.1)+(-1.794537+(-0.057171--0.490161))+0--202.2-0.103121999999979</f>
        <v>2870.4353309999997</v>
      </c>
      <c r="U65" s="3">
        <f>3419.8+(137.1-894.9)+(-6.976392+(-0.279684--1.825596))+0--202.8-0.413711999999991</f>
        <v>2858.9558080000002</v>
      </c>
      <c r="V65" s="3">
        <f>3317.2+(96-834.2)+(-3.383544+(-0.09792--0.850884))+0--205.1-0.209202000000033</f>
        <v>2781.2602179999999</v>
      </c>
      <c r="W65" s="3">
        <f>2936.2+(77.9-625.1)+(-2.994924+(-0.079458--0.637602))+0--207.4-0.211548000000033</f>
        <v>2593.7516719999999</v>
      </c>
      <c r="X65" s="3">
        <f>2569.2+(81.5-464.4)+(-1.310292+(-0.041565--0.236844))+0--157.7-0.080426999999984</f>
        <v>2342.8045599999996</v>
      </c>
      <c r="Y65" s="3">
        <f>2565.2+(64.5-498.6)+(-3.924756+(-0.098685--0.762858))+0--143.9-0.220167000000008</f>
        <v>2271.5192499999998</v>
      </c>
      <c r="Z65" s="3">
        <f>2706.1+(160.6-536.7)+(-2.760222+(-0.163812--0.547434))+0--143.7-0.146574000000023</f>
        <v>2471.1768259999999</v>
      </c>
      <c r="AA65" s="3">
        <f>2792.5+(209.3-603.7)+(-2.84835+(-0.213486--0.615774))+0--144.5-0.147390000000023</f>
        <v>2540.0065479999998</v>
      </c>
      <c r="AB65" s="3">
        <f>2802.4+(246.4-631.8)+(-7.14612+(-0.62832--1.61109))+0--145-0.369749999999979</f>
        <v>2555.4669000000004</v>
      </c>
      <c r="AC65" s="3">
        <f>2711.6+(356.5-615.9)+(0+(0-0))+0--144.8-0</f>
        <v>2597</v>
      </c>
      <c r="AD65" s="2">
        <v>2546.1999999999998</v>
      </c>
      <c r="AE65" s="3">
        <f>2795.2+(210.5-604.3)+(0+(0-0))+0--144.8-0</f>
        <v>2546.1999999999998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2771.9+(281.7-628.2)+(-2.827338+(-0.287334--0.640764))+0--145.2-0.148104000000023</f>
        <v>2567.9779880000001</v>
      </c>
      <c r="G66" s="3">
        <f>2781+(211.2-616.1)+(-1.41831+(-0.107712--0.314211))+0--144.9-0.0738989999999853</f>
        <v>2519.7142899999999</v>
      </c>
      <c r="H66" s="3">
        <f>2800.5+(136.2-645.1)+(4.284765+(0.208386-0.987003))+0--145.7--0.222921000000008</f>
        <v>2441.0290689999997</v>
      </c>
      <c r="I66" s="3">
        <f>2798.3+(121.4-682.8)+(1.427133+(0.061914-0.348228))+0--145.1--0.0740009999999853</f>
        <v>2383.2148200000001</v>
      </c>
      <c r="J66" s="3">
        <f>2787.7+(113.4-703.4)+(-4.265181+(-0.173502--1.076202))+0--145.4-0.222462000000008</f>
        <v>2339.5150569999996</v>
      </c>
      <c r="K66" s="3">
        <f>2748.3+(131.7-743.8)+(-7.008165+(-0.335835--1.89669))+0--144.4-0.368219999999979</f>
        <v>2274.7844700000005</v>
      </c>
      <c r="L66" s="3">
        <f>2664.2+(115.9-791.6)+(-2.717484+(-0.118218--0.807432))+0--145.6-0.148512000000023</f>
        <v>2131.9232179999995</v>
      </c>
      <c r="M66" s="3">
        <f>2724.8+(77.3-806.2)+(2.779296+(0.078846-0.822324))+0--172--0.175440000000027</f>
        <v>2170.1112579999999</v>
      </c>
      <c r="N66" s="3">
        <f>2920.6+(44.9-939.2)+(-2.979012+(-0.045798--0.957984))+0--210.2-0.214404000000034</f>
        <v>2234.2187699999999</v>
      </c>
      <c r="O66" s="3">
        <f>3048.9+(4-972.5)+(3.109878+(0.00408-0.99195))+0--210.1--0.214302000000033</f>
        <v>2292.8363099999997</v>
      </c>
      <c r="P66" s="3">
        <f>3204.4+(8-1041.3)+(0+(0-0))+0--211.4-0</f>
        <v>2382.5000000000005</v>
      </c>
      <c r="Q66" s="3">
        <f>3225.3+(0-996.7)+(1.644903+(0-0.508317))+0--209.9--0.107048999999979</f>
        <v>2439.7436350000007</v>
      </c>
      <c r="R66" s="3">
        <f>3220.9+(29.6-865.9)+(-6.570636+(-0.060384--1.766436))+0--209.7-0.427787999999991</f>
        <v>2589.0076280000003</v>
      </c>
      <c r="S66" s="3">
        <f>3186.9+(119.6-827.7)+(-3.250638+(-0.121992--0.844254))+0--208.6-0.212772000000033</f>
        <v>2684.658852</v>
      </c>
      <c r="T66" s="3">
        <f>3177.8+(174.6-798.2)+(-1.620678+(-0.089046--0.407082))+0--207.5-0.105824999999979</f>
        <v>2760.2915330000001</v>
      </c>
      <c r="U66" s="3">
        <f>3159.2+(167.9-760.6)+(-6.444768+(-0.342516--1.551624))+0--208.5-0.425339999999991</f>
        <v>2769.3390000000004</v>
      </c>
      <c r="V66" s="3">
        <f>3165.7+(96.9-791.1)+(-8.072535+(-0.247095--2.017305))+0--208.8-0.53243999999997</f>
        <v>2673.4652350000001</v>
      </c>
      <c r="W66" s="3">
        <f>3077.5+(0-769)+(-6.2781+(0--1.56876))+0--209.3-0.426971999999991</f>
        <v>2512.6636880000001</v>
      </c>
      <c r="X66" s="3">
        <f>2815.1+(37.3-775.1)+(-7.178505+(-0.095115--1.976505))+0--212.1-0.540854999999969</f>
        <v>2283.5620299999996</v>
      </c>
      <c r="Y66" s="3">
        <f>2733.5+(8.8-742.3)+(-1.394085+(-0.004488--0.378573))+0--211.2-0.107711999999979</f>
        <v>2210.0722879999998</v>
      </c>
      <c r="Z66" s="3">
        <f>2982.7+(0-800.1)+(-1.521177+(0--0.408051))+0--210.7-0.107456999999979</f>
        <v>2392.0794169999995</v>
      </c>
      <c r="AA66" s="3">
        <f>3223.2+(4.8-976.9)+(-8.21916+(-0.01224--2.491095))+0--211.1-0.538304999999969</f>
        <v>2455.92139</v>
      </c>
      <c r="AB66" s="3">
        <f>3140.3+(42.7-927.6)+(-8.007765+(-0.108885--2.36538))+0--212.3-0.541364999999969</f>
        <v>2461.407365</v>
      </c>
      <c r="AC66" s="3">
        <f>2925.4+(115.9-771.8)+(-1.491954+(-0.059109--0.393618))+0--212.8-0.108527999999978</f>
        <v>2481.0340270000006</v>
      </c>
      <c r="AD66" s="2">
        <v>2481.6999999999998</v>
      </c>
      <c r="AE66" s="3">
        <f>3240+(8-977.3)+(0+(0-0))+0--211-0</f>
        <v>2481.6999999999998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2911.6+(123.3-687.2)+(-1.484916+(-0.062883--0.350472))+0--212.9-0.108578999999978</f>
        <v>2559.2940939999999</v>
      </c>
      <c r="G67" s="3">
        <f>2606+(204.2-520)+(-2.65812+(-0.208284--0.5304))+0--213.3-0.217566000000034</f>
        <v>2500.94643</v>
      </c>
      <c r="H67" s="3">
        <f>2575.3+(185.6-542.8)+(-3.940209+(-0.283968--0.830484))+0--214-0.327420000000012</f>
        <v>2428.3788870000003</v>
      </c>
      <c r="I67" s="3">
        <f>2583.4+(138.9-567.1)+(-2.635068+(-0.141678--0.578442))+0--214.9-0.219198000000034</f>
        <v>2367.6824979999997</v>
      </c>
      <c r="J67" s="3">
        <f>2542.2+(149.7-519.1)+(3.889566+(0.229041-0.794223))+0--156.9--0.240057000000009</f>
        <v>2333.2644409999998</v>
      </c>
      <c r="K67" s="3">
        <f>2450.2+(165-511.2)+(-1.249602+(-0.08415--0.260712))+0--146.8-0.0748679999999851</f>
        <v>2249.6520919999998</v>
      </c>
      <c r="L67" s="3">
        <f>2215+(203.1-505.5)+(1.12965+(0.103581-0.257805))+0--147--0.0749699999999851</f>
        <v>2060.650396</v>
      </c>
      <c r="M67" s="3">
        <f>2257.3+(119.4-541.1)+(-1.151223+(-0.060894--0.275961))+0--174.1-0.0887909999999823</f>
        <v>2008.6750530000002</v>
      </c>
      <c r="N67" s="3">
        <f>2223.7+(187.2-568.3)+(-3.402261+(-0.286416--0.869499))+0--205.5-0.314415000000012</f>
        <v>2044.9664069999999</v>
      </c>
      <c r="O67" s="3">
        <f>2241.1+(181.5-537.4)+(-2.285922+(-0.18513--0.548148))+0--206.8-0.210936000000033</f>
        <v>2089.86616</v>
      </c>
      <c r="P67" s="3">
        <f>2252+(170.9-465.9)+(-1.14852+(-0.087159--0.237609))+0--203.2-0.103631999999979</f>
        <v>2159.0982979999999</v>
      </c>
      <c r="Q67" s="3">
        <f>2460.9+(135.5-494.4)+(-2.510118+(-0.13821--0.504288))+0--200.2-0.204204000000032</f>
        <v>2299.8517559999996</v>
      </c>
      <c r="R67" s="3">
        <f>2419.4+(256.7-466.4)+(1.233894+(0.130917-0.237864))+0--194.7--0.0992969999999802</f>
        <v>2405.6262440000005</v>
      </c>
      <c r="S67" s="3">
        <f>2386.2+(520-523.3)+(-1.216962+(-0.2652--0.266883))+0--195.3-0.0996029999999802</f>
        <v>2576.8851179999997</v>
      </c>
      <c r="T67" s="3">
        <f>2381.3+(618.8-488.6)+(-1.214463+(-0.315588--0.249186))+0--195.2-0.0995519999999802</f>
        <v>2705.3195829999995</v>
      </c>
      <c r="U67" s="3">
        <f>2300.1+(712-461.6)+(5.865255+(1.8156-1.17708))+0--194--0.494699999999972</f>
        <v>2751.4984750000003</v>
      </c>
      <c r="V67" s="3">
        <f>2322.9+(537.8-400.8)+(-1.184679+(-0.274278--0.204408))+0--199.6-0.10179599999998</f>
        <v>2658.1436549999999</v>
      </c>
      <c r="W67" s="3">
        <f>2332.8+(323.9-381)+(-2.379456+(-0.330378--0.38862))+0--200.4-0.204408000000032</f>
        <v>2473.5743780000003</v>
      </c>
      <c r="X67" s="3">
        <f>2234.6+(295.9-491.7)+(-6.837876+(-0.905454--1.504602))+0--204.6-0.626076000000024</f>
        <v>2236.5351959999998</v>
      </c>
      <c r="Y67" s="3">
        <f>2038+(299.7-442.8)+(-3.11814+(-0.458541--0.677484))+0--206.9-0.316557000000012</f>
        <v>2098.5842459999999</v>
      </c>
      <c r="Z67" s="3">
        <f>2420.6+(140.9-464.6)+(-2.469012+(-0.143718--0.473892))+0--207.3-0.211446000000033</f>
        <v>2301.8497159999997</v>
      </c>
      <c r="AA67" s="3">
        <f>2705.2+(107.8-573.3)+(-4.138956+(-0.164934--0.877149))+0--207.9-0.318087000000012</f>
        <v>2443.8551719999996</v>
      </c>
      <c r="AB67" s="3">
        <f>2741.8+(140.3-590.9)+(-4.194954+(-0.214659--0.904077))+0--208.4-0.318852000000012</f>
        <v>2495.7756120000004</v>
      </c>
      <c r="AC67" s="3">
        <f>2701.4+(199.3-549.3)+(-1.377714+(-0.101643--0.280143))+0--209.2-0.106691999999979</f>
        <v>2559.2940939999999</v>
      </c>
      <c r="AD67" s="2">
        <v>2448.8000000000002</v>
      </c>
      <c r="AE67" s="3">
        <f>2729+(111-599.6)+(0+(0-0))+0--208.4-0</f>
        <v>2448.8000000000002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2701.8+(242.6-560)+(-5.511672+(-0.494904--1.1424))+0--209.8-0.427991999999991</f>
        <v>2588.9078320000003</v>
      </c>
      <c r="G68" s="3">
        <f>2709.1+(195.4-563.9)+(-6.908205+(-0.49827--1.437945))+0--210.1-0.535754999999969</f>
        <v>2544.1957149999998</v>
      </c>
      <c r="H68" s="3">
        <f>2688.4+(184.2-580.9)+(-5.484336+(-0.375768--1.185036))+0--195.5-0.398819999999991</f>
        <v>2482.1261120000004</v>
      </c>
      <c r="I68" s="3">
        <f>2602.4+(200.8-535.1)+(-2.654448+(-0.204816--0.545802))+0--144.6-0.147492000000023</f>
        <v>2410.2390459999997</v>
      </c>
      <c r="J68" s="3">
        <f>2511+(221.9-491.4)+(-2.56122+(-0.226338--0.501228))+0--144.9-0.147798000000023</f>
        <v>2383.9658720000002</v>
      </c>
      <c r="K68" s="3">
        <f>2431.2+(193.4-470.1)+(-6.19956+(-0.49317--1.198755))+0--144.4-0.368219999999979</f>
        <v>2293.0378050000004</v>
      </c>
      <c r="L68" s="3">
        <f>2345.5+(239-573.7)+(-1.196205+(-0.12189--0.292587))+0--145.7-0.0743069999999852</f>
        <v>2155.400185</v>
      </c>
      <c r="M68" s="3">
        <f>2355.8+(233.1-566.5)+(2.402916+(0.237762-0.57783))+0--145.9--0.148818000000023</f>
        <v>2170.5116660000003</v>
      </c>
      <c r="N68" s="3">
        <f>2670.8+(129.4-613.7)+(1.362108+(0.065994-0.312987))+0--143.1--0.0729809999999855</f>
        <v>2330.7880959999998</v>
      </c>
      <c r="O68" s="3">
        <f>2894.8+(55.6-690)+(1.476348+(0.028356-0.3519))+0--140.8--0.0718079999999857</f>
        <v>2402.4246120000003</v>
      </c>
      <c r="P68" s="3">
        <f>3203.9+(14-854.3)+(-4.901967+(-0.02142--1.307079))+0--137.8-0.210834000000008</f>
        <v>2497.5728580000005</v>
      </c>
      <c r="Q68" s="3">
        <f>3339.1+(6-989.1)+(-1.702941+(-0.00306--0.504441))+0--161.5-0.0823649999999836</f>
        <v>2516.2160749999998</v>
      </c>
      <c r="R68" s="3">
        <f>3325.6+(77-863.4)+(3.392112+(0.07854-0.880668))+0--196.8--0.200736000000031</f>
        <v>2738.7907200000004</v>
      </c>
      <c r="S68" s="3">
        <f>3309.6+(185-907)+(-3.375792+(-0.1887--0.92514))+0--198.7-0.202674000000032</f>
        <v>2783.4579739999995</v>
      </c>
      <c r="T68" s="3">
        <f>3296.2+(245-882.8)+(-1.681062+(-0.12495--0.450228))+0--201-0.10250999999998</f>
        <v>2857.9417059999996</v>
      </c>
      <c r="U68" s="3">
        <f>3196.6+(271-781.4)+(-8.15133+(-0.69105--1.99257))+0--202.4-0.516119999999971</f>
        <v>2881.23407</v>
      </c>
      <c r="V68" s="3">
        <f>3165.6+(201.6-700.5)+(-1.614456+(-0.102816--0.357255))+0--201.3-0.10266299999998</f>
        <v>2866.5373199999999</v>
      </c>
      <c r="W68" s="3">
        <f>3204.9+(108.7-704.5)+(-6.537996+(-0.221748--1.43718))+0--201.4-0.410855999999991</f>
        <v>2804.7665800000004</v>
      </c>
      <c r="X68" s="3">
        <f>3243.3+(104.9-792.9)+(-8.270415+(-0.267495--2.021895))+0--201.5-0.513824999999971</f>
        <v>2749.77016</v>
      </c>
      <c r="Y68" s="3">
        <f>3054.8+(53.2-743)+(1.557948+(0.027132-0.37893))+0--190.1--0.0969509999999807</f>
        <v>2556.4031009999999</v>
      </c>
      <c r="Z68" s="3">
        <f>3182.1+(11.2-731.6)+(-1.622871+(-0.005712--0.373116))+0--201.5-0.10276499999998</f>
        <v>2661.8417679999998</v>
      </c>
      <c r="AA68" s="3">
        <f>3487+(7-902.1)+(-5.33511+(-0.01071--1.380213))+0--206.1-0.315333000000012</f>
        <v>2793.7190599999999</v>
      </c>
      <c r="AB68" s="3">
        <f>3534.4+(11-934.2)+(-10.815264+(-0.03366--2.858652))+0--207.5-0.634950000000024</f>
        <v>2810.0747779999997</v>
      </c>
      <c r="AC68" s="3">
        <f>3509.6+(33-922.8)+(-8.94948+(-0.08415--2.35314))+0--208.1-0.53065499999997</f>
        <v>2820.6888549999999</v>
      </c>
      <c r="AD68" s="2">
        <v>2801.1</v>
      </c>
      <c r="AE68" s="3">
        <f>3506+(7-915)+(0+(0-0))+0--203.1-0</f>
        <v>2801.1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3537+(15-853)+(0+(0-0))+0--231.7-0</f>
        <v>2930.7</v>
      </c>
      <c r="G69" s="3">
        <f>3492.9+(14-900.3)+(-5.344137+(-0.02142--1.377459))+0--221.7-0.339201000000013</f>
        <v>2823.9727010000001</v>
      </c>
      <c r="H69" s="3">
        <f>3354.2+(14-809.7)+(-6.842568+(-0.02856--1.651788))+0--217.8-0.44431199999999</f>
        <v>2770.636348</v>
      </c>
      <c r="I69" s="3">
        <f>3252.6+(14-776.7)+(-6.635304+(-0.02856--1.584468))+0--216.8-0.442271999999991</f>
        <v>2701.178332</v>
      </c>
      <c r="J69" s="3">
        <f>3200.1+(38.7-754.7)+(-1.632051+(-0.019737--0.384897))+0--208.9-0.106538999999979</f>
        <v>2691.6265699999999</v>
      </c>
      <c r="K69" s="3">
        <f>3050.8+(71.5-703.7)+(-6.223632+(-0.14586--1.435548))+0--163.9-0.334355999999993</f>
        <v>2577.2317000000007</v>
      </c>
      <c r="L69" s="3">
        <f>2789.3+(126.1-689.5)+(-7.112715+(-0.321555--1.758225))+0--145.2-0.370259999999979</f>
        <v>2365.0536949999996</v>
      </c>
      <c r="M69" s="3">
        <f>2866.4+(128.1-732.5)+(1.461864+(0.065331-0.373575))+0--142.4--0.0726239999999856</f>
        <v>2405.626244</v>
      </c>
      <c r="N69" s="3">
        <f>3132.3+(81.8-843.7)+(0+(0-0))+0--200.7-0</f>
        <v>2571.1</v>
      </c>
      <c r="O69" s="3">
        <f>3308.1+(30-914.9)+(-1.687131+(-0.0153--0.466599))+0--200.3-0.10215299999998</f>
        <v>2622.1620150000003</v>
      </c>
      <c r="P69" s="3">
        <f>3264+(24-852)+(1.66464+(0.01224-0.43452))+0--196.4--0.10016399999998</f>
        <v>2633.7425240000002</v>
      </c>
      <c r="Q69" s="3">
        <f>3400.3+(19-905)+(-3.468306+(-0.01938--0.9231))+0--193.1-0.196962000000031</f>
        <v>2704.6384520000001</v>
      </c>
      <c r="R69" s="3">
        <f>3396.7+(110-935.4)+(1.732317+(0.0561-0.477054))+0--189.5--0.0966449999999808</f>
        <v>2762.2080079999996</v>
      </c>
      <c r="S69" s="3">
        <f>3385.2+(202-971.5)+(-1.726452+(-0.10302--0.495465))+0--196.1-0.10001099999998</f>
        <v>2810.3659819999998</v>
      </c>
      <c r="T69" s="3">
        <f>3393.2+(245-972.6)+(0+(0-0))+0--197.7-0</f>
        <v>2863.2999999999997</v>
      </c>
      <c r="U69" s="3">
        <f>3374.5+(244-941.5)+(-1.720995+(-0.12444--0.480165))+0--197.9-0.10092899999998</f>
        <v>2873.4338010000001</v>
      </c>
      <c r="V69" s="3">
        <f>3321+(183-829.8)+(-6.77484+(-0.37332--1.692792))+0--196.5-0.400859999999991</f>
        <v>2864.8437719999997</v>
      </c>
      <c r="W69" s="3">
        <f>3219+(78-707)+(-9.85014+(-0.23868--2.16342))+0--196.2-0.600372000000023</f>
        <v>2777.6742279999999</v>
      </c>
      <c r="X69" s="3">
        <f>3043.4+(107.9-797.6)+(-6.208536+(-0.220116--1.627104))+0--197.3-0.402491999999991</f>
        <v>2545.7959599999999</v>
      </c>
      <c r="Y69" s="3">
        <f>3038.4+(89.1-868.4)+(4.648752+(0.136323-1.328652))+0--199--0.304470000000012</f>
        <v>2461.8608930000005</v>
      </c>
      <c r="Z69" s="3">
        <f>3236.6+(8-912.9)+(0+(0-0))+0--201.2-0</f>
        <v>2532.8999999999996</v>
      </c>
      <c r="AA69" s="3">
        <f>3290.9+(8-968.6)+(-6.713436+(-0.01632--1.975944))+0--203.8-0.415751999999991</f>
        <v>2528.9304360000006</v>
      </c>
      <c r="AB69" s="3">
        <f>3476.2+(28-928.3)+(-5.318586+(-0.04284--1.420299))+0--205.1-0.313803000000012</f>
        <v>2776.7450699999995</v>
      </c>
      <c r="AC69" s="3">
        <f>3384.9+(63-883.8)+(-1.726299+(-0.03213--0.450738))+0--204.3-0.104192999999979</f>
        <v>2766.9881160000004</v>
      </c>
      <c r="AD69" s="2">
        <v>2766.7999999999997</v>
      </c>
      <c r="AE69" s="3">
        <f>3514+(11.4-962.2)+(0+(0-0))+0--203.6-0</f>
        <v>2766.7999999999997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3393.2+(59-909.6)+(-5.191596+(-0.09027--1.391688))+0--201.1-0.307683000000012</f>
        <v>2739.5021389999997</v>
      </c>
      <c r="G70" s="3">
        <f>3228.9+(94-795.3)+(0+(0-0))+0--139.5-0</f>
        <v>2667.1000000000004</v>
      </c>
      <c r="H70" s="3">
        <f>2906+(176-642.2)+(0+(0-0))+0--140.1-0</f>
        <v>2579.9</v>
      </c>
      <c r="I70" s="3">
        <f>2735+(173.2-549.7)+(2.7897+(0.176664-0.560694))+0--141.8--0.144636000000023</f>
        <v>2502.8503060000003</v>
      </c>
      <c r="J70" s="3">
        <f>2760.7+(125.2-549.3)+(-1.407957+(-0.063852--0.280143))+0--142-0.0724199999999856</f>
        <v>2477.3359139999998</v>
      </c>
      <c r="K70" s="3">
        <f>2745.6+(143.4-602)+(-7.00128+(-0.36567--1.5351))+0--142.6-0.363629999999979</f>
        <v>2423.40452</v>
      </c>
      <c r="L70" s="3">
        <f>2634.9+(163.4-612.7)+(-2.687598+(-0.166668--0.624954))+0--144.1-0.146982000000023</f>
        <v>2327.3237059999997</v>
      </c>
      <c r="M70" s="3">
        <f>2763.3+(153.2-650.3)+(2.818566+(0.156264-0.663306))+0--166--0.169320000000026</f>
        <v>2434.6808440000004</v>
      </c>
      <c r="N70" s="3">
        <f>2905.7+(159.8-638.5)+(4.445721+(0.244494-0.976905))+0--166--0.25398000000001</f>
        <v>2596.96729</v>
      </c>
      <c r="O70" s="3">
        <f>2902.2+(103.8-642)+(2.960244+(0.105876-0.65484))+0--181.8--0.185436000000029</f>
        <v>2548.3967160000002</v>
      </c>
      <c r="P70" s="3">
        <f>3073.9+(41.6-702.6)+(4.703067+(0.063648-1.074978))+0--195.6--0.299268000000011</f>
        <v>2612.4910050000003</v>
      </c>
      <c r="Q70" s="3">
        <f>3255.8+(17.3-741.6)+(0+(0-0))+0--190.7-0</f>
        <v>2722.2</v>
      </c>
      <c r="R70" s="3">
        <f>3341.1+(77.9-775.1)+(-1.703961+(-0.039729--0.395301))+0--189.6-0.0966959999999808</f>
        <v>2832.0549149999993</v>
      </c>
      <c r="S70" s="3">
        <f>3337.8+(154.4-753.9)+(-5.106834+(-0.236232--1.153467))+0--189.1-0.289323000000011</f>
        <v>2922.9210780000003</v>
      </c>
      <c r="T70" s="3">
        <f>3318.1+(219.6-696.5)+(5.076693+(0.335988-1.065645))+0--188.7--0.288711000000011</f>
        <v>3034.5357469999999</v>
      </c>
      <c r="U70" s="3">
        <f>3420.6+(183-749.9)+(-3.489012+(-0.18666--0.764898))+0--188.6-0.19237200000003</f>
        <v>3039.1968539999998</v>
      </c>
      <c r="V70" s="3">
        <f>3435.7+(130.2-776.4)+(-8.761035+(-0.33201--1.97982))+0--188.7-0.481184999999973</f>
        <v>2970.6055899999997</v>
      </c>
      <c r="W70" s="3">
        <f>3294.8+(47-743.6)+(-5.041044+(-0.07191--1.137708))+0--194-0.296820000000011</f>
        <v>2787.9279340000003</v>
      </c>
      <c r="X70" s="3">
        <f>3062.5+(60.2-789.9)+(-7.809375+(-0.15351--2.014245))+0--193.7-0.493934999999972</f>
        <v>2520.057425</v>
      </c>
      <c r="Y70" s="3">
        <f>2807.3+(76.2-680.8)+(-2.863446+(-0.077724--0.694416))+0--193.9-0.197778000000031</f>
        <v>2394.1554680000004</v>
      </c>
      <c r="Z70" s="3">
        <f>3030.9+(50.4-698.3)+(-3.091518+(-0.051408--0.712266))+0--193.4-0.197268000000031</f>
        <v>2573.7720720000002</v>
      </c>
      <c r="AA70" s="3">
        <f>3298.2+(58.5-863.1)+(-5.046246+(-0.089505--1.320543))+0--192.9-0.295137000000011</f>
        <v>2682.3896549999999</v>
      </c>
      <c r="AB70" s="3">
        <f>3248.7+(102.1-832.5)+(-8.284185+(-0.260355--2.122875))+0--193.1-0.492404999999972</f>
        <v>2704.4859299999998</v>
      </c>
      <c r="AC70" s="3">
        <f>3111.8+(193.4-779.7)+(-4.761054+(-0.295902--1.192941))+0--193.4-0.295902000000011</f>
        <v>2714.7400830000001</v>
      </c>
      <c r="AD70" s="2">
        <v>2716.2999999999997</v>
      </c>
      <c r="AE70" s="3">
        <f>3354+(51.4-883.7)+(0+(0-0))+0--194.6-0</f>
        <v>2716.2999999999997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3119.5+(189.6-784.2)+(-4.772835+(-0.290088--1.199826))+0--196.9-0.301257000000011</f>
        <v>2717.6356460000002</v>
      </c>
      <c r="G71" s="3">
        <f>3130.5+(146.6-805.9)+(-1.596555+(-0.074766--0.411009))+0--198.9-0.10143899999998</f>
        <v>2668.738249</v>
      </c>
      <c r="H71" s="3">
        <f>3135.8+(120.5-846.5)+(-3.198516+(-0.12291--0.86343))+0--200.9-0.204918000000032</f>
        <v>2608.0370860000003</v>
      </c>
      <c r="I71" s="3">
        <f>3151.6+(73.3-863.2)+(-4.821948+(-0.112149--1.320696))+0--202.9-0.310437000000012</f>
        <v>2560.6761619999997</v>
      </c>
      <c r="J71" s="3">
        <f>3068.3+(70-814.9)+(-6.259332+(-0.1428--1.662396))+0--190.5-0.388619999999992</f>
        <v>2508.7716439999999</v>
      </c>
      <c r="K71" s="3">
        <f>2973.6+(92.9-772)+(-4.549608+(-0.142137--1.18116))+0--137-0.209610000000008</f>
        <v>2427.7798050000001</v>
      </c>
      <c r="L71" s="3">
        <f>2743.4+(106.3-674.4)+(-5.596536+(-0.216852--1.375776))+0--136.2-0.277847999999994</f>
        <v>2306.7845399999997</v>
      </c>
      <c r="M71" s="3">
        <f>2791.2+(104.2-697.4)+(0+(0-0))+0--135.1-0</f>
        <v>2333.1</v>
      </c>
      <c r="N71" s="3">
        <f>2921.1+(82.4-731.5)+(2.979522+(0.084048-0.74613))+0--168.1--0.171462000000027</f>
        <v>2442.588902</v>
      </c>
      <c r="O71" s="3">
        <f>3129.5+(12-843.8)+(6.38418+(0.02448-1.721352))+0--189.3--0.386171999999992</f>
        <v>2492.07348</v>
      </c>
      <c r="P71" s="3">
        <f>3237.6+(12-872.6)+(-3.302352+(-0.01224--0.890052))+0--189.2-0.19298400000003</f>
        <v>2563.5824759999996</v>
      </c>
      <c r="Q71" s="3">
        <f>3206.1+(57.7-892.1)+(0+(0-0))+0--192.3-0</f>
        <v>2564</v>
      </c>
      <c r="R71" s="3">
        <f>3319.3+(126.8-1004.5)+(-5.078529+(-0.194004--1.536885))+0--193.7-0.296361000000011</f>
        <v>2631.2679910000002</v>
      </c>
      <c r="S71" s="3">
        <f>3360.7+(202.5-1070.2)+(3.427914+(0.20655-1.091604))+0--191.2--0.19502400000003</f>
        <v>2686.9378839999999</v>
      </c>
      <c r="T71" s="3">
        <f>3347.4+(256.5-1034.6)+(3.414348+(0.26163-1.055292))+0--191.2--0.19502400000003</f>
        <v>2763.3157100000003</v>
      </c>
      <c r="U71" s="3">
        <f>3332.1+(251.6-981.7)+(0+(0-0))+0--190.4-0</f>
        <v>2792.4</v>
      </c>
      <c r="V71" s="3">
        <f>3328.7+(208-899.3)+(-3.395274+(-0.21216--0.917286))+0--192.1-0.195942000000031</f>
        <v>2826.6139099999996</v>
      </c>
      <c r="W71" s="3">
        <f>3327.9+(65-830.1)+(-6.788916+(-0.1326--1.693404))+0--193.5-0.394739999999992</f>
        <v>2750.6771480000002</v>
      </c>
      <c r="X71" s="3">
        <f>3303.4+(0-841.9)+(-10.108404+(0--2.576214))+0--196.1-0.600066000000023</f>
        <v>2649.467744</v>
      </c>
      <c r="Y71" s="3">
        <f>3176.8+(0-869.8)+(3.240336+(0-0.887196))+0--198.1--0.202062000000032</f>
        <v>2507.6552019999999</v>
      </c>
      <c r="Z71" s="3">
        <f>3423.5+(0-1029.4)+(-1.745985+(0--0.524994))+0--197.3-0.10062299999998</f>
        <v>2590.0783860000001</v>
      </c>
      <c r="AA71" s="3">
        <f>3522.6+(41.7-1109.4)+(-3.593052+(-0.042534--1.131588))+0--197.4-0.201348000000031</f>
        <v>2649.5946539999995</v>
      </c>
      <c r="AB71" s="3">
        <f>3527.5+(85-1121.5)+(-7.1961+(-0.1734--2.28786))+0--199.9-0.407795999999991</f>
        <v>2685.4105640000002</v>
      </c>
      <c r="AC71" s="3">
        <f>3504.6+(90.7-1100.6)+(-5.362038+(-0.138771--1.683918))+0--202.6-0.309978000000012</f>
        <v>2693.1731309999996</v>
      </c>
      <c r="AD71" s="2">
        <v>2669.9</v>
      </c>
      <c r="AE71" s="3">
        <f>3525+(50-1102.5)+(0+(0-0))+0--197.4-0</f>
        <v>2669.9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3527.5+(112.4-1132.8)+(-7.1961+(-0.229296--2.310912))+0--201.8-0.411671999999991</f>
        <v>2703.3738439999997</v>
      </c>
      <c r="G72" s="3">
        <f>3498.7+(78.1-1109.5)+(-7.137348+(-0.159324--2.26338))+0--203.8-0.415751999999991</f>
        <v>2665.650956</v>
      </c>
      <c r="H72" s="3">
        <f>3404.5+(79.3-1058.6)+(-5.208885+(-0.121329--1.619658))+0--201.9-0.308907000000012</f>
        <v>2623.0805369999998</v>
      </c>
      <c r="I72" s="3">
        <f>3302.5+(57.4-980)+(-10.10565+(-0.175644--2.9988))+0--203.7-0.623322000000023</f>
        <v>2575.694184</v>
      </c>
      <c r="J72" s="3">
        <f>3178.4+(59.9-909.1)+(-6.483936+(-0.122196--1.854564))+0--204.1-0.416363999999991</f>
        <v>2528.1320679999994</v>
      </c>
      <c r="K72" s="3">
        <f>3057+(31.9-807.5)+(-7.79535+(-0.081345--2.059125))+0--206.6-0.52682999999997</f>
        <v>2481.6556</v>
      </c>
      <c r="L72" s="3">
        <f>2758.9+(88-745)+(-5.628156+(-0.17952--1.5198))+0--206.4-0.421055999999991</f>
        <v>2303.5910680000002</v>
      </c>
      <c r="M72" s="3">
        <f>2768.8+(72.4-729.5)+(8.472528+(0.221544-2.23227))+0--205.7--0.629442000000024</f>
        <v>2324.4912439999998</v>
      </c>
      <c r="N72" s="3">
        <f>2901.9+(32.9-727.7)+(0+(0-0))+0--204.5-0</f>
        <v>2411.6</v>
      </c>
      <c r="O72" s="3">
        <f>3161+(17-848.8)+(3.22422+(0.01734-0.865776))+0--198.2--0.202164000000032</f>
        <v>2529.9779479999993</v>
      </c>
      <c r="P72" s="3">
        <f>3256.9+(27.4-922.2)+(-3.322038+(-0.027948--0.940644))+0--193.4-0.197268000000031</f>
        <v>2552.8933900000002</v>
      </c>
      <c r="Q72" s="3">
        <f>3424+(66.4-1066.4)+(0+(0-0))+0--191.8-0</f>
        <v>2615.8000000000002</v>
      </c>
      <c r="R72" s="3">
        <f>3415.8+(162.7-1080.9)+(-1.742058+(-0.082977--0.551259))+0--190.2-0.0970019999999807</f>
        <v>2686.4292220000002</v>
      </c>
      <c r="S72" s="3">
        <f>3384.4+(264.2-1086)+(-3.452088+(-0.269484--1.10772))+0--190.4-0.19420800000003</f>
        <v>2750.1919400000006</v>
      </c>
      <c r="T72" s="3">
        <f>3366.6+(349.2-878.3)+(0+(0-0))+0--190-0</f>
        <v>3027.5</v>
      </c>
      <c r="U72" s="3">
        <f>3295.9+(315.9-937.5)+(-3.361818+(-0.322218--0.95625))+0--190.2-0.19400400000003</f>
        <v>2861.5782100000001</v>
      </c>
      <c r="V72" s="3">
        <f>3266.8+(278.2-886.8)+(-4.998204+(-0.425646--1.356804))+0--191-0.292230000000011</f>
        <v>2844.8407240000001</v>
      </c>
      <c r="W72" s="3">
        <f>3259.5+(179.1-864.4)+(-9.97407+(-0.548046--2.645064))+0--191.7-0.586602000000022</f>
        <v>2757.436346</v>
      </c>
      <c r="X72" s="3">
        <f>3278.6+(85.6-922)+(-1.672086+(-0.043656--0.47022))+0--192.6-0.0982259999999805</f>
        <v>2633.4562519999995</v>
      </c>
      <c r="Y72" s="3">
        <f>3161.2+(62.8-927.9)+(-3.224424+(-0.064056--0.946458))+0--194.2-0.198084000000031</f>
        <v>2487.7598939999998</v>
      </c>
      <c r="Z72" s="3">
        <f>3336.1+(107.2-1010.5)+(1.701411+(0.054672-0.515355))+0--197.7--0.10082699999998</f>
        <v>2631.841555</v>
      </c>
      <c r="AA72" s="3">
        <f>3472.2+(117.1-1111.2)+(-3.541644+(-0.119442--1.133424))+0--197.7-0.201654000000032</f>
        <v>2673.0706839999998</v>
      </c>
      <c r="AB72" s="3">
        <f>3376.1+(165.7-1063.6)+(-3.443622+(-0.169014--1.084872))+0--197.8-0.201756000000032</f>
        <v>2673.2704800000001</v>
      </c>
      <c r="AC72" s="3">
        <f>3345.4+(195-1040)+(1.706154+(0.09945-0.5304))+0--197.5--0.10072499999998</f>
        <v>2699.2759289999999</v>
      </c>
      <c r="AD72" s="2">
        <v>2666.5</v>
      </c>
      <c r="AE72" s="3">
        <f>3459+(117.1-1106.9)+(0+(0-0))+0--197.3-0</f>
        <v>2666.5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3352.4+(212.1-1054.8)+(-6.838896+(-0.432684--2.151792))+0--198-0.403919999999991</f>
        <v>2702.1762920000001</v>
      </c>
      <c r="G73" s="3">
        <f>3368.5+(186.6-1094.1)+(0+(0-0))+0--200.1-0</f>
        <v>2661.1</v>
      </c>
      <c r="H73" s="3">
        <f>3400.2+(142.3-1119.3)+(-1.734102+(-0.072573--0.570843))+0--199.3-0.10164299999998</f>
        <v>2621.1625250000002</v>
      </c>
      <c r="I73" s="3">
        <f>3430.8+(102.7-1157.2)+(5.249124+(0.157131-1.770516))+0--199.3--0.304929000000012</f>
        <v>2579.5406680000001</v>
      </c>
      <c r="J73" s="3">
        <f>3432.5+(90.5-1174.5)+(-5.251725+(-0.138465--1.796985))+0--201.5-0.308295000000012</f>
        <v>2546.0985000000001</v>
      </c>
      <c r="K73" s="3">
        <f>3131.4+(164.9-1050.3)+(-7.98507+(-0.420495--2.678265))+0--202.4-0.516119999999971</f>
        <v>2442.1565800000003</v>
      </c>
      <c r="L73" s="3">
        <f>2706.8+(220.2-839.5)+(-2.760936+(-0.224604--0.85629))+0--143.1-0.145962000000023</f>
        <v>2228.3247879999999</v>
      </c>
      <c r="M73" s="3">
        <f>2593+(245.9-775.9)+(-1.32243+(-0.125409--0.395709))+0--149.4-0.0761939999999848</f>
        <v>2211.2716760000003</v>
      </c>
      <c r="N73" s="3">
        <f>3002.8+(140.8-924)+(7.65714+(0.35904-2.3562))+0--195.4--0.498269999999972</f>
        <v>2421.1582500000004</v>
      </c>
      <c r="O73" s="3">
        <f>3234.8+(70.4-1018.1)+(8.24874+(0.17952-2.596155))+0--197.9--0.504644999999971</f>
        <v>2491.3367500000004</v>
      </c>
      <c r="P73" s="3">
        <f>3306.6+(72.1-1040.9)+(6.745464+(0.147084-2.123436))+0--192.3--0.392291999999992</f>
        <v>2535.2614039999999</v>
      </c>
      <c r="Q73" s="3">
        <f>3331.9+(99.7-1098.1)+(3.398538+(0.101694-1.120062))+0--188.8--0.19257600000003</f>
        <v>2524.872746</v>
      </c>
      <c r="R73" s="3">
        <f>3222+(186.9-1116.4)+(1.64322+(0.095319-0.569364))+0--186.3--0.0950129999999811</f>
        <v>2480.0641880000003</v>
      </c>
      <c r="S73" s="3">
        <f>3205.7+(293.2-1088.9)+(-3.269814+(-0.299064--1.110678))+0--189.1-0.19288200000003</f>
        <v>2596.448918</v>
      </c>
      <c r="T73" s="3">
        <f>3254+(350.4-1089.8)+(-1.65954+(-0.178704--0.555798))+0--190.7-0.0972569999999807</f>
        <v>2703.9202969999997</v>
      </c>
      <c r="U73" s="3">
        <f>3248.2+(506.4-864.2)+(-3.313164+(-0.516528--0.881484))+0--192.8-0.196656000000031</f>
        <v>3080.0551359999999</v>
      </c>
      <c r="V73" s="3">
        <f>3240.5+(358.1-757.5)+(1.652655+(0.182631-0.386325))+0--192.1--0.0979709999999805</f>
        <v>3034.746932</v>
      </c>
      <c r="W73" s="3">
        <f>3245+(176.5-770.5)+(-3.3099+(-0.18003--0.78591))+0--196.5-0.200430000000031</f>
        <v>2844.59555</v>
      </c>
      <c r="X73" s="3">
        <f>3287.2+(60.4-962.1)+(-3.352944+(-0.061608--0.981342))+0--197.2-0.201144000000031</f>
        <v>2580.0656459999996</v>
      </c>
      <c r="Y73" s="3">
        <f>3247.2+(40.1-1072.2)+(-3.312144+(-0.040902--1.093644))+0--198.4-0.202368000000032</f>
        <v>2411.0382299999992</v>
      </c>
      <c r="Z73" s="3">
        <f>3495.8+(47.8-1131.6)+(-5.348574+(-0.073134--1.731348))+0--199.3-0.304929000000012</f>
        <v>2607.3047110000002</v>
      </c>
      <c r="AA73" s="3">
        <f>3599.2+(95.2-1146.3)+(-7.342368+(-0.194208--2.338452))+0--204.3-0.416771999999991</f>
        <v>2746.785104</v>
      </c>
      <c r="AB73" s="3">
        <f>3635.7+(98.1-1192.4)+(-5.562621+(-0.150093--1.824372))+0--204.8-0.313344000000012</f>
        <v>2741.9983139999995</v>
      </c>
      <c r="AC73" s="3">
        <f>3606.8+(125.5-1172.4)+(-7.357872+(-0.25602--2.391696))+0--204.4-0.416975999999991</f>
        <v>2758.660828</v>
      </c>
      <c r="AD73" s="2">
        <v>2720.5</v>
      </c>
      <c r="AE73" s="3">
        <f>3595+(84.5-1163.6)+(0+(0-0))+0--204.6-0</f>
        <v>2720.5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3543.3+(147.2-1110)+(-5.421249+(-0.225216--1.6983))+0--202.8-0.310284000000012</f>
        <v>2779.0415510000003</v>
      </c>
      <c r="G74" s="3">
        <f>3474.9+(175.2-1111)+(-1.772199+(-0.089352--0.56661))+0--204-0.104039999999979</f>
        <v>2741.7010190000001</v>
      </c>
      <c r="H74" s="3">
        <f>3389.1+(172.4-1084.4)+(-3.456882+(-0.175848--1.106088))+0--204.8-0.208896000000033</f>
        <v>2679.1644620000002</v>
      </c>
      <c r="I74" s="3">
        <f>3370.4+(140.4-1098.2)+(-1.718904+(-0.071604--0.560082))+0--204.2-0.104141999999979</f>
        <v>2615.4654319999995</v>
      </c>
      <c r="J74" s="3">
        <f>3375.8+(107-1119.1)+(-12.051606+(-0.38199--3.995187))+0--205.6-0.733992000000003</f>
        <v>2560.1275990000004</v>
      </c>
      <c r="K74" s="3">
        <f>3129.7+(128.6-972.8)+(-15.96147+(-0.65586--4.96128))+0--205.8-1.04958000000002</f>
        <v>2478.5943700000003</v>
      </c>
      <c r="L74" s="3">
        <f>2574.2+(227.1-709.7)+(-2.625684+(-0.231642--0.723894))+0--165.1-0.168402000000026</f>
        <v>2254.3981659999995</v>
      </c>
      <c r="M74" s="3">
        <f>2519.5+(200.4-664)+(3.854835+(0.306612-1.01592))+0--138.9--0.212517000000008</f>
        <v>2198.1580440000002</v>
      </c>
      <c r="N74" s="3">
        <f>2691.1+(137.9-729.4)+(5.489844+(0.281316-1.487976))+0--137.4--0.280295999999994</f>
        <v>2241.5634799999998</v>
      </c>
      <c r="O74" s="3">
        <f>2847.7+(105.4-827.3)+(-1.452327+(-0.053754--0.421923))+0--150.9-0.0769589999999847</f>
        <v>2275.5388829999997</v>
      </c>
      <c r="P74" s="3">
        <f>3158.2+(75.1-1039.5)+(0+(0-0))+0--195.9-0</f>
        <v>2389.6999999999998</v>
      </c>
      <c r="Q74" s="3">
        <f>3284.8+(118.7-1025.1)+(0+(0-0))+0--194.3-0</f>
        <v>2572.7000000000007</v>
      </c>
      <c r="R74" s="3">
        <f>3348.3+(180.1-1022.7)+(5.122899+(0.275553-1.564731))+0--193.7--0.296361000000011</f>
        <v>2703.5300820000002</v>
      </c>
      <c r="S74" s="3">
        <f>3310+(281.8-944.2)+(-3.3762+(-0.287436--0.963084))+0--193.6-0.197472000000031</f>
        <v>2838.3019760000002</v>
      </c>
      <c r="T74" s="3">
        <f>3279.2+(396-917.1)+(-3.344784+(-0.40392--0.935442))+0--196-0.199920000000031</f>
        <v>2951.0868179999998</v>
      </c>
      <c r="U74" s="3">
        <f>3266.5+(411.9-888.8)+(0+(0-0))+0--195.7-0</f>
        <v>2985.2999999999997</v>
      </c>
      <c r="V74" s="3">
        <f>3256.9+(346.2-861.4)+(-1.661019+(-0.176562--0.439314))+0--197.4-0.10067399999998</f>
        <v>2937.6010590000001</v>
      </c>
      <c r="W74" s="3">
        <f>3261.3+(191.9-894.7)+(-3.326526+(-0.195738--0.912594))+0--199.1-0.203082000000032</f>
        <v>2754.7872480000001</v>
      </c>
      <c r="X74" s="3">
        <f>3304.7+(19.7-1026.3)+(-8.426985+(-0.050235--2.617065))+0--200.7-0.511784999999971</f>
        <v>2492.4280599999997</v>
      </c>
      <c r="Y74" s="3">
        <f>3074.5+(6.4-983.3)+(-3.13599+(-0.006528--1.002966))+0--201.5-0.205530000000032</f>
        <v>2296.7549179999996</v>
      </c>
      <c r="Z74" s="3">
        <f>3171.5+(69.9-970.9)+(-1.617465+(-0.035649--0.495159))+0--205.6-0.104855999999979</f>
        <v>2474.8371889999999</v>
      </c>
      <c r="AA74" s="3">
        <f>3546.3+(67.4-1170.6)+(-7.234452+(-0.137496--2.388024))+0--206.4-0.421055999999991</f>
        <v>2644.0950200000002</v>
      </c>
      <c r="AB74" s="3">
        <f>3573.9+(106.7-1187.1)+(-1.822689+(-0.054417--0.605421))+0--205.9-0.105008999999979</f>
        <v>2698.023306</v>
      </c>
      <c r="AC74" s="3">
        <f>3458.5+(172.8-1075)+(-8.819175+(-0.44064--2.74125))+0--205.6-0.52427999999997</f>
        <v>2754.8571550000001</v>
      </c>
      <c r="AD74" s="2">
        <v>2649.6000000000004</v>
      </c>
      <c r="AE74" s="3">
        <f>3565+(57.6-1179.8)+(0+(0-0))+0--206.8-0</f>
        <v>2649.6000000000004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3496.8+(173.6-1122.3)+(1.783368+(0.088536-0.572373))+0--205.7--0.104906999999979</f>
        <v>2755.2044380000002</v>
      </c>
      <c r="G75" s="3">
        <f>3497.2+(155.2-1121.9)+(0+(0-0))+0--205-0</f>
        <v>2735.5</v>
      </c>
      <c r="H75" s="3">
        <f>3506+(124.7-1123.7)+(7.15224+(0.254388-2.292348))+0--203.8--0.415751999999991</f>
        <v>2716.3300319999998</v>
      </c>
      <c r="I75" s="3">
        <f>3457.6+(112.6-1114.7)+(-10.580256+(-0.344556--3.410982))+0--205.1-0.627606000000024</f>
        <v>2652.458564</v>
      </c>
      <c r="J75" s="3">
        <f>3434.7+(86.2-1105.3)+(-1.751697+(-0.043962--0.563703))+0--207.8-0.105977999999979</f>
        <v>2622.062066</v>
      </c>
      <c r="K75" s="3">
        <f>3343.1+(52.1-1024.6)+(-10.229886+(-0.159426--3.135276))+0--207.9-0.636174000000024</f>
        <v>2570.60979</v>
      </c>
      <c r="L75" s="3">
        <f>2985.8+(75.5-945.3)+(-7.61379+(-0.192525--2.410515))+0--176.1-0.449054999999974</f>
        <v>2286.2551450000001</v>
      </c>
      <c r="M75" s="3">
        <f>3047.2+(66.4-942.4)+(0+(0-0))+0--140.7-0</f>
        <v>2311.8999999999996</v>
      </c>
      <c r="N75" s="3">
        <f>3260.7+(33.9-1009.8)+(0+(0-0))+0--138.6-0</f>
        <v>2423.3999999999996</v>
      </c>
      <c r="O75" s="3">
        <f>3455.7+(24.6-1144.8)+(0+(0-0))+0--176.5-0</f>
        <v>2512</v>
      </c>
      <c r="P75" s="3">
        <f>3408.8+(61.4-1116.1)+(-1.738488+(-0.031314--0.569211))+0--193.9-0.0988889999999803</f>
        <v>2546.7005200000008</v>
      </c>
      <c r="Q75" s="3">
        <f>3370.9+(115.2-1127.6)+(-1.719159+(-0.058752--0.575076))+0--194.1-0.0989909999999803</f>
        <v>2551.298174</v>
      </c>
      <c r="R75" s="3">
        <f>3383.4+(192.4-1071.9)+(-1.725534+(-0.098124--0.546669))+0--193-0.0984299999999804</f>
        <v>2695.5245810000001</v>
      </c>
      <c r="S75" s="3">
        <f>3352.8+(311.7-1078.4)+(-1.709928+(-0.158967--0.549984))+0--192.1-0.0979709999999805</f>
        <v>2776.7831180000003</v>
      </c>
      <c r="T75" s="3">
        <f>3356.3+(343.3-1029.6)+(-3.423426+(-0.350166--1.050192))+0--190.7-0.19451400000003</f>
        <v>2857.7820859999997</v>
      </c>
      <c r="U75" s="3">
        <f>3349.2+(377.9-1052.5)+(-3.416184+(-0.385458--1.07355))+0--191.9-0.195738000000031</f>
        <v>2863.5761700000003</v>
      </c>
      <c r="V75" s="3">
        <f>3351.5+(314.2-1022.7)+(-5.127795+(-0.480726--1.564731))+0--193.5-0.296055000000011</f>
        <v>2832.160155</v>
      </c>
      <c r="W75" s="3">
        <f>3470.2+(147.8-1020.5)+(-5.309406+(-0.226134--1.561365))+0--195.1-0.298503000000011</f>
        <v>2788.3273220000001</v>
      </c>
      <c r="X75" s="3">
        <f>3494.6+(9.5-1056.7)+(-8.91123+(-0.024225--2.694585))+0--195.9-0.499544999999972</f>
        <v>2636.5595849999995</v>
      </c>
      <c r="Y75" s="3">
        <f>3525.7+(0-1239.6)+(-7.192428+(0--2.528784))+0--196.1-0.400043999999991</f>
        <v>2477.1363119999996</v>
      </c>
      <c r="Z75" s="3">
        <f>3571.5+(41.6-1239.5)+(-3.64293+(-0.042432--1.26429))+0--196.9-0.200838000000031</f>
        <v>2567.8780899999997</v>
      </c>
      <c r="AA75" s="3">
        <f>3609+(92.8-1235.2)+(-9.20295+(-0.23664--3.14976))+0--200.3-0.510764999999971</f>
        <v>2660.0994049999999</v>
      </c>
      <c r="AB75" s="3">
        <f>3638.9+(110.5-1258.9)+(-7.423356+(-0.22542--2.568156))+0--200.8-0.409631999999991</f>
        <v>2685.8097480000001</v>
      </c>
      <c r="AC75" s="3">
        <f>3611.3+(140-1242.4)+(-1.841763+(-0.0714--0.633624))+0--202.5-0.103274999999979</f>
        <v>2710.017186</v>
      </c>
      <c r="AD75" s="2">
        <v>2671.8999999999996</v>
      </c>
      <c r="AE75" s="3">
        <f>3604+(116.7-1249.4)+(0+(0-0))+0--200.6-0</f>
        <v>2671.9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3632+(141-1122.5)+(0+(0-0))+0--204.7-0</f>
        <v>2855.2</v>
      </c>
      <c r="G76" s="3">
        <f>3663.2+(103.6-1152.2)+(-3.736464+(-0.105672--1.175244))+0--205.7-0.209814000000033</f>
        <v>2817.4232939999993</v>
      </c>
      <c r="H76" s="3">
        <f>3558.8+(84.5-1105.1)+(1.814988+(0.043095-0.563601))+0--205.6--0.104855999999979</f>
        <v>2745.1993379999999</v>
      </c>
      <c r="I76" s="3">
        <f>3141.7+(105.7-841.4)+(3.204534+(0.107814-0.858228))+0--205.9--0.210018000000033</f>
        <v>2614.5641380000002</v>
      </c>
      <c r="J76" s="3">
        <f>3037+(88.9-781.7)+(-3.09774+(-0.090678--0.797334))+0--206-0.210120000000033</f>
        <v>2547.5987959999998</v>
      </c>
      <c r="K76" s="3">
        <f>2909.1+(127.4-769)+(-2.967282+(-0.129948--0.78438))+0--200.2-0.204204000000032</f>
        <v>2465.1829459999999</v>
      </c>
      <c r="L76" s="3">
        <f>2556.2+(175.1-658.4)+(-7.821972+(-0.535806--2.014704))+0--140.3-0.429318000000016</f>
        <v>2206.427608</v>
      </c>
      <c r="M76" s="3">
        <f>2580.6+(134.4-676.7)+(5.264424+(0.274176-1.380468))+0--140.2--0.286007999999994</f>
        <v>2182.9441399999996</v>
      </c>
      <c r="N76" s="3">
        <f>2943.7+(78.5-895.9)+(0+(0-0))+0--191-0</f>
        <v>2317.2999999999997</v>
      </c>
      <c r="O76" s="3">
        <f>3128.3+(67.6-1002.9)+(-1.595433+(-0.034476--0.511479))+0--199.3-0.10164299999998</f>
        <v>2391.0799270000002</v>
      </c>
      <c r="P76" s="3">
        <f>3299+(68.4-1087.9)+(0+(0-0))+0--197.8-0</f>
        <v>2477.3000000000002</v>
      </c>
      <c r="Q76" s="3">
        <f>3439.9+(93-1111.8)+(0+(0-0))+0--197.5-0</f>
        <v>2618.6000000000004</v>
      </c>
      <c r="R76" s="3">
        <f>3407.5+(117.8-1178.2)+(0+(0-0))+0--199-0</f>
        <v>2546.1</v>
      </c>
      <c r="S76" s="3">
        <f>3417.8+(203.9-1117.2)+(-6.972312+(-0.415956--2.279088))+0--199.6-0.407183999999991</f>
        <v>2698.5836359999998</v>
      </c>
      <c r="T76" s="3">
        <f>3424.6+(334.6-1123.4)+(1.746546+(0.170646-0.572934))+0--120.1--0.0612509999999878</f>
        <v>2757.3055089999998</v>
      </c>
      <c r="U76" s="3">
        <f>3462.1+(325.7-1060.4)+(-1.765671+(-0.166107--0.540804))+0--66.8-0.0340679999999932</f>
        <v>2792.774958</v>
      </c>
      <c r="V76" s="3">
        <f>3445.8+(253.8-1022.1)+(3.514716+(0.258876-1.042542))+0--94.8--0.0966960000000151</f>
        <v>2775.1277460000001</v>
      </c>
      <c r="W76" s="3">
        <f>3467.6+(106.2-1035.6)+(-5.305428+(-0.162486--1.584468))+0--195.8-0.299574000000011</f>
        <v>2729.8169800000001</v>
      </c>
      <c r="X76" s="3">
        <f>3499+(0-1108.4)+(-3.56898+(0--1.130568))+0--196.6-0.200532000000031</f>
        <v>2584.561056</v>
      </c>
      <c r="Y76" s="3">
        <f>3475.8+(0-1231.9)+(-3.545316+(0--1.256538))+0--198.4-0.202368000000032</f>
        <v>2439.8088539999999</v>
      </c>
      <c r="Z76" s="3">
        <f>3666.2+(0-1296.7)+(0+(0-0))+0--197.6-0</f>
        <v>2567.1</v>
      </c>
      <c r="AA76" s="3">
        <f>3713.6+(36.2-1290.8)+(-5.681808+(-0.055386--1.974924))+0--201.1-0.307683000000012</f>
        <v>2656.0300469999997</v>
      </c>
      <c r="AB76" s="3">
        <f>3733.6+(47.8-1310.4)+(-3.808272+(-0.048756--1.336608))+0--202.4-0.206448000000032</f>
        <v>2670.6731320000004</v>
      </c>
      <c r="AC76" s="3">
        <f>3726.1+(71.1-1291.1)+(3.800622+(0.072522-1.316922))+0--202.2--0.206244000000032</f>
        <v>2711.0624659999999</v>
      </c>
      <c r="AD76" s="2">
        <v>2609.7000000000003</v>
      </c>
      <c r="AE76" s="3">
        <f>3644+(23.4-1259.5)+(0+(0-0))+0--201.8-0</f>
        <v>2609.7000000000003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3719+(96.4-1309.1)+(-3.79338+(-0.098328--1.335282))+0--202.4-0.206448000000032</f>
        <v>2705.9371260000003</v>
      </c>
      <c r="G77" s="3">
        <f>3726.7+(66.9-1318.6)+(3.801234+(0.068238-1.344972))+0--204.5--0.208590000000033</f>
        <v>2682.2330900000002</v>
      </c>
      <c r="H77" s="3">
        <f>3746.8+(34.5-1349)+(-1.910868+(-0.017595--0.68799))+0--206.7-0.105416999999979</f>
        <v>2637.6541100000004</v>
      </c>
      <c r="I77" s="3">
        <f>3758.5+(14-1387.1)+(0+(0-0))+0--207.4-0</f>
        <v>2592.8000000000002</v>
      </c>
      <c r="J77" s="3">
        <f>3751.8+(14-1384.3)+(-5.740254+(-0.02142--2.117979))+0--209.5-0.320535000000012</f>
        <v>2587.03577</v>
      </c>
      <c r="K77" s="3">
        <f>3526.7+(14-1248.4)+(-3.597234+(-0.01428--1.273368))+0--210-0.214200000000033</f>
        <v>2499.7476539999998</v>
      </c>
      <c r="L77" s="3">
        <f>3005.8+(39.8-938.4)+(-7.66479+(-0.10149--2.39292))+0--147.6-0.376379999999979</f>
        <v>2249.05026</v>
      </c>
      <c r="M77" s="3">
        <f>2757.8+(78.3-797.7)+(4.219434+(0.119799-1.220481))+0--139--0.212670000000008</f>
        <v>2180.7314219999998</v>
      </c>
      <c r="N77" s="3">
        <f>2808.4+(65.8-795.5)+(1.432284+(0.033558-0.405705))+0--137--0.0698699999999861</f>
        <v>2216.8300069999996</v>
      </c>
      <c r="O77" s="3">
        <f>2944.9+(27.5-844.8)+(3.003798+(0.02805-0.861696))+0--135.7--0.138414000000022</f>
        <v>2265.6085660000003</v>
      </c>
      <c r="P77" s="3">
        <f>3163.9+(26.9-936.4)+(0+(0-0))+0--133.7-0</f>
        <v>2388.1</v>
      </c>
      <c r="Q77" s="3">
        <f>3479.1+(24.2-1118.5)+(-5.323023+(-0.037026--1.711305))+0--131.6-0.201348000000008</f>
        <v>2512.549908</v>
      </c>
      <c r="R77" s="3">
        <f>3544.4+(83.8-1162.3)+(1.807644+(0.042738-0.592773))+0--152--0.0775199999999846</f>
        <v>2619.2351289999997</v>
      </c>
      <c r="S77" s="3">
        <f>3492.6+(164.5-1150.8)+(-8.90613+(-0.419475--2.93454))+0--197.3-0.503114999999971</f>
        <v>2696.7058200000006</v>
      </c>
      <c r="T77" s="3">
        <f>3462.7+(210.6-1101.2)+(-8.829885+(-0.53703--2.80806))+0--196.6-0.501329999999971</f>
        <v>2761.6398149999995</v>
      </c>
      <c r="U77" s="3">
        <f>3455.3+(222-1076.5)+(0+(0-0))+0--196-0</f>
        <v>2796.8</v>
      </c>
      <c r="V77" s="3">
        <f>3447.7+(196.6-1065.6)+(-5.274981+(-0.300798--1.630368))+0--196.8-0.301104000000011</f>
        <v>2771.2534849999997</v>
      </c>
      <c r="W77" s="3">
        <f>3460.4+(78.9-1024.4)+(-8.82402+(-0.201195--2.61222))+0--197.3-0.503114999999971</f>
        <v>2705.2838900000002</v>
      </c>
      <c r="X77" s="3">
        <f>3292.1+(11.2-976.1)+(-8.394855+(-0.02856--2.489055))+0--199.1-0.507704999999971</f>
        <v>2519.8579349999995</v>
      </c>
      <c r="Y77" s="3">
        <f>2925+(20.5-854.9)+(-4.47525+(-0.031365--1.307997))+0--199.7-0.305541000000012</f>
        <v>2286.7958409999997</v>
      </c>
      <c r="Z77" s="3">
        <f>3082.4+(80-941.4)+(3.144048+(0.0816-0.960228))+0--200.6--0.204612000000032</f>
        <v>2424.0700320000001</v>
      </c>
      <c r="AA77" s="3">
        <f>3514.1+(73.7-1166.9)+(-1.792191+(-0.037587--0.595119))+0--202-0.10301999999998</f>
        <v>2621.5623209999994</v>
      </c>
      <c r="AB77" s="3">
        <f>3645.5+(78.5-1239.3)+(-5.577615+(-0.120105--1.896129))+0--202.5-0.309825000000012</f>
        <v>2683.0885840000001</v>
      </c>
      <c r="AC77" s="3">
        <f>3612+(117.7-1219.4)+(-3.68424+(-0.120054--1.243788))+0--202.7-0.206754000000032</f>
        <v>2710.2327400000004</v>
      </c>
      <c r="AD77" s="2">
        <v>2656.3999999999996</v>
      </c>
      <c r="AE77" s="3">
        <f>3627+(76.2-1248.4)+(0+(0-0))+0--201.6-0</f>
        <v>2656.4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3668.3+(103.2-1206.9)+(0+(0-0))+0--207.1-0</f>
        <v>2771.7000000000003</v>
      </c>
      <c r="G78" s="3">
        <f>3683.4+(88.6-1247.8)+(-7.514136+(-0.180744--2.545512))+0--207.8-0.423911999999991</f>
        <v>2726.4267199999999</v>
      </c>
      <c r="H78" s="3">
        <f>3685.2+(92.4-1297)+(-9.39726+(-0.23562--3.30735))+0--208.7-0.53218499999997</f>
        <v>2682.4422849999996</v>
      </c>
      <c r="I78" s="3">
        <f>3711+(45.8-1299.4)+(-3.78522+(-0.046716--1.325388))+0--208.6-0.212772000000033</f>
        <v>2663.2806799999998</v>
      </c>
      <c r="J78" s="3">
        <f>3715.3+(8-1308)+(-1.894803+(-0.00408--0.66708))+0--210.1-0.107150999999979</f>
        <v>2624.0610459999998</v>
      </c>
      <c r="K78" s="3">
        <f>3570.5+(37.5-1226.2)+(-1.820955+(-0.019125--0.625362))+0--185.2-0.0944519999999812</f>
        <v>2565.69083</v>
      </c>
      <c r="L78" s="3">
        <f>3132.8+(68.7-989.7)+(0+(0-0))+0--139.5-0</f>
        <v>2351.3000000000002</v>
      </c>
      <c r="M78" s="3">
        <f>3188.9+(75-981.3)+(4.879017+(0.11475-1.501389))+0--139.3--0.213129000000008</f>
        <v>2425.6055070000007</v>
      </c>
      <c r="N78" s="3">
        <f>3391.5+(78.9-1125.8)+(-5.188995+(-0.120717--1.722474))+0--194.2-0.297126000000011</f>
        <v>2534.9156360000002</v>
      </c>
      <c r="O78" s="3">
        <f>3552.7+(52.6-1131.3)+(0+(0-0))+0--201.5-0</f>
        <v>2675.5</v>
      </c>
      <c r="P78" s="3">
        <f>3594.6+(8-1071)+(0+(0-0))+0--201.6-0</f>
        <v>2733.2</v>
      </c>
      <c r="Q78" s="3">
        <f>3553.1+(40.5-951.4)+(0+(0-0))+0--197.9-0</f>
        <v>2840.1</v>
      </c>
      <c r="R78" s="3">
        <f>3596.7+(113.8-1028.3)+(3.668634+(0.116076-1.048866))+0--197.3--0.201246000000031</f>
        <v>2882.4370899999999</v>
      </c>
      <c r="S78" s="3">
        <f>3574.6+(213-828.2)+(-1.823046+(-0.10863--0.422382))+0--197.7-0.10082699999998</f>
        <v>3155.4898789999997</v>
      </c>
      <c r="T78" s="3">
        <f>3578.9+(269.3-796)+(-1.825239+(-0.137343--0.40596))+0--196.2-0.10006199999998</f>
        <v>3246.7433159999996</v>
      </c>
      <c r="U78" s="3">
        <f>3601.5+(274.8-761.1)+(0+(0-0))+0--197.3-0</f>
        <v>3312.5</v>
      </c>
      <c r="V78" s="3">
        <f>3591.9+(190.1-728.3)+(-7.327476+(-0.387804--1.485732))+0--198.2-0.404327999999991</f>
        <v>3245.2661240000002</v>
      </c>
      <c r="W78" s="3">
        <f>3485.3+(118.1-839)+(-10.665018+(-0.361386--2.56734))+0--200.2-0.612612000000023</f>
        <v>2955.5283239999999</v>
      </c>
      <c r="X78" s="3">
        <f>3480.9+(101.5-1041)+(-15.977331+(-0.465885--4.77819))+0--201.7-0.925803000000035</f>
        <v>2730.5091709999997</v>
      </c>
      <c r="Y78" s="3">
        <f>3432.1+(50.9-1156.1)+(-8.751855+(-0.129795--2.948055))+0--202.5-0.516374999999971</f>
        <v>2522.95003</v>
      </c>
      <c r="Z78" s="3">
        <f>3552.1+(27.2-1084.1)+(-5.434713+(-0.041616--1.658673))+0--203.4-0.311202000000012</f>
        <v>2694.4711419999999</v>
      </c>
      <c r="AA78" s="3">
        <f>3702.8+(67.5-1129)+(-1.888428+(-0.034425--0.57579))+0--204.3-0.104192999999979</f>
        <v>2844.1487440000001</v>
      </c>
      <c r="AB78" s="3">
        <f>3742.8+(92.9-1174.9)+(-9.54414+(-0.236895--2.995995))+0--206.5-0.52657499999997</f>
        <v>2859.9883850000001</v>
      </c>
      <c r="AC78" s="3">
        <f>3635.5+(132.9-1080.9)+(-7.41642+(-0.271116--2.205036))+0--206.6-0.421463999999991</f>
        <v>2888.1960359999998</v>
      </c>
      <c r="AD78" s="2">
        <v>2715.9999999999995</v>
      </c>
      <c r="AE78" s="3">
        <f>3635.2+(63-1185.8)+(0+(0-0))+0--203.6-0</f>
        <v>2715.9999999999995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3646.6+(106.6-937.7)+(-1.859766+(-0.054366--0.478227))+0--207-0.105569999999979</f>
        <v>3020.958525</v>
      </c>
      <c r="G79" s="3">
        <f>3519.7+(141.9-902.3)+(0+(0-0))+0--206.6-0</f>
        <v>2965.8999999999996</v>
      </c>
      <c r="H79" s="3">
        <f>3439.2+(136.8-894.1)+(-1.753992+(-0.069768--0.455991))+0--207.1-0.105620999999979</f>
        <v>2887.5266099999994</v>
      </c>
      <c r="I79" s="3">
        <f>3448.2+(103.7-903.6)+(-5.275746+(-0.158661--1.382508))+0--206.2-0.315486000000012</f>
        <v>2850.1326149999995</v>
      </c>
      <c r="J79" s="3">
        <f>3402+(86.2-876.2)+(-5.20506+(-0.131886--1.340586))+0--206.6-0.316098000000012</f>
        <v>2814.2875419999996</v>
      </c>
      <c r="K79" s="3">
        <f>3288.8+(139-843.5)+(-8.38644+(-0.35445--2.150925))+0--164.5-0.419474999999976</f>
        <v>2741.7905599999999</v>
      </c>
      <c r="L79" s="3">
        <f>2940.4+(180-882.2)+(-4.498812+(-0.2754--1.349766))+0--138.6-0.212058000000008</f>
        <v>2373.1634959999997</v>
      </c>
      <c r="M79" s="3">
        <f>3002.4+(159.3-920.8)+(4.593672+(0.243729-1.408824))+0--166.2--0.25428600000001</f>
        <v>2410.7828629999999</v>
      </c>
      <c r="N79" s="3">
        <f>3233+(126.8-1029.9)+(8.24415+(0.32334-2.626245))+0--200.5--0.511274999999971</f>
        <v>2536.8525199999995</v>
      </c>
      <c r="O79" s="3">
        <f>3445.9+(112.6-1144.4)+(3.514818+(0.114852-1.167288))+0--198.5--0.202470000000032</f>
        <v>2615.2648520000002</v>
      </c>
      <c r="P79" s="3">
        <f>3539.2+(63.4-1084.3)+(-5.414976+(-0.097002--1.658979))+0--195-0.298350000000011</f>
        <v>2709.1486509999995</v>
      </c>
      <c r="Q79" s="3">
        <f>3539.7+(39-930.5)+(5.415741+(0.05967-1.423665))+0--191.7--0.293301000000011</f>
        <v>2844.2450469999999</v>
      </c>
      <c r="R79" s="3">
        <f>3553.4+(114.2-839.1)+(0+(0-0))+0--190.5-0</f>
        <v>3019</v>
      </c>
      <c r="S79" s="3">
        <f>3603.5+(207.8-853.7)+(-1.837785+(-0.105978--0.435387))+0--194.9-0.0993989999999802</f>
        <v>3150.8922249999996</v>
      </c>
      <c r="T79" s="3">
        <f>3586.5+(281.7-815.5)+(-1.829115+(-0.143667--0.415905))+0--197.5-0.10072499999998</f>
        <v>3248.542398</v>
      </c>
      <c r="U79" s="3">
        <f>3563.1+(307.3-824.4)+(1.817181+(0.156723-0.420444))+0--196--0.0999599999999801</f>
        <v>3243.6534200000001</v>
      </c>
      <c r="V79" s="3">
        <f>3517.8+(323-833.4)+(-3.588156+(-0.32946--0.850068))+0--196.3-0.200226000000031</f>
        <v>3200.4322260000004</v>
      </c>
      <c r="W79" s="3">
        <f>3509.9+(155.3-853.3)+(-7.160196+(-0.316812--1.740732))+0--192.6-0.392903999999992</f>
        <v>2998.3708200000001</v>
      </c>
      <c r="X79" s="3">
        <f>3529+(69.8-1080.5)+(-3.59958+(-0.071196--1.10211))+0--193.2-0.197064000000031</f>
        <v>2708.7342699999999</v>
      </c>
      <c r="Y79" s="3">
        <f>3442.8+(70.7-1177.4)+(-7.023312+(-0.144228--2.401896))+0--193.4-0.394535999999992</f>
        <v>2524.3398200000006</v>
      </c>
      <c r="Z79" s="3">
        <f>3561+(18.3-1066.6)+(-1.81611+(-0.009333--0.543966))+0--195.2-0.0995519999999802</f>
        <v>2706.5189709999995</v>
      </c>
      <c r="AA79" s="3">
        <f>3683.2+(37.5-1116.5)+(-5.635296+(-0.057375--1.708245))+0--199.7-0.305541000000012</f>
        <v>2799.6100329999995</v>
      </c>
      <c r="AB79" s="3">
        <f>3719.3+(48.4-1140.3)+(0+(0-0))+0--199.9-0</f>
        <v>2827.3000000000006</v>
      </c>
      <c r="AC79" s="3">
        <f>3602.8+(130.5-1078.5)+(-5.512284+(-0.199665--1.650105))+0--200.1-0.306153000000012</f>
        <v>2850.5320030000003</v>
      </c>
      <c r="AD79" s="2">
        <v>2785.1</v>
      </c>
      <c r="AE79" s="3">
        <f>3665.2+(46-1127.1)+(0+(0-0))+0--201-0</f>
        <v>2785.1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3543.7+(145.4-1037.4)+(-3.614574+(-0.148308--1.058148))+0--201.1-0.205122000000032</f>
        <v>2849.890144</v>
      </c>
      <c r="G80" s="3">
        <f>3567.8+(122.7-1095.3)+(-3.639156+(-0.125154--1.117206))+0--200.9-0.204918000000032</f>
        <v>2793.2479780000003</v>
      </c>
      <c r="H80" s="3">
        <f>3588.4+(97.9-1168.6)+(0+(0-0))+0--201.2-0</f>
        <v>2718.9</v>
      </c>
      <c r="I80" s="3">
        <f>3601.1+(89-1229.2)+(-1.836561+(-0.04539--0.626892))+0--202.9-0.103478999999979</f>
        <v>2662.4414619999998</v>
      </c>
      <c r="J80" s="3">
        <f>3606.9+(76.8-1266.7)+(-5.518557+(-0.117504--1.938051))+0--202.9-0.310437000000012</f>
        <v>2615.8915529999999</v>
      </c>
      <c r="K80" s="3">
        <f>3323.9+(111.2-1110)+(-3.390378+(-0.113424--1.1322))+0--203.5-0.207570000000032</f>
        <v>2526.0208280000002</v>
      </c>
      <c r="L80" s="3">
        <f>2886.6+(150.5-1007.3)+(-5.888664+(-0.30702--2.054892))+0--205.4-0.419015999999991</f>
        <v>2230.6401920000003</v>
      </c>
      <c r="M80" s="3">
        <f>3018.2+(62.6-946.2)+(4.617846+(0.095778-1.447686))+0--204.4--0.312732000000012</f>
        <v>2342.5786699999999</v>
      </c>
      <c r="N80" s="3">
        <f>3293.4+(34.6-1072.9)+(5.038902+(0.052938-1.641537))+0--197.5--0.302175000000011</f>
        <v>2456.3524779999998</v>
      </c>
      <c r="O80" s="3">
        <f>3499.9+(14-1163.5)+(0+(0-0))+0--195.8-0</f>
        <v>2546.2000000000003</v>
      </c>
      <c r="P80" s="3">
        <f>3489.5+(24.6-1061.9)+(1.779645+(0.012546-0.541569))+0--193.1--0.0984809999999804</f>
        <v>2646.6491029999997</v>
      </c>
      <c r="Q80" s="3">
        <f>3550.9+(63.8-1038.1)+(0+(0-0))+0--193.7-0</f>
        <v>2770.3</v>
      </c>
      <c r="R80" s="3">
        <f>3563+(186.6-990.5)+(0+(0-0))+0--169.5-0</f>
        <v>2928.6</v>
      </c>
      <c r="S80" s="3">
        <f>3536.2+(325.6-989.1)+(-5.410386+(-0.498168--1.513323))+0--192.7-0.294831000000011</f>
        <v>3060.7099379999995</v>
      </c>
      <c r="T80" s="3">
        <f>3514.9+(375.1-930.3)+(-3.585198+(-0.382602--0.948906))+0--187.9-0.19165800000003</f>
        <v>3144.3894480000004</v>
      </c>
      <c r="U80" s="3">
        <f>3568.2+(289.9-888.7)+(-7.279128+(-0.591396--1.812948))+0--188.8-0.385151999999992</f>
        <v>3151.7572719999998</v>
      </c>
      <c r="V80" s="3">
        <f>3550.8+(226.3-881.5)+(1.810908+(0.115413-0.449565))+0--194.7--0.0992969999999802</f>
        <v>3091.8760530000004</v>
      </c>
      <c r="W80" s="3">
        <f>3575.3+(91.4-987.9)+(0+(0-0))+0--196.5-0</f>
        <v>2875.3</v>
      </c>
      <c r="X80" s="3">
        <f>3590.8+(46.9-1249)+(-3.662616+(-0.047838--1.27398))+0--196.5-0.200430000000031</f>
        <v>2582.5630960000003</v>
      </c>
      <c r="Y80" s="3">
        <f>3472.1+(34-1303.3)+(-1.770771+(-0.01734--0.664683))+0--197.6-0.10077599999998</f>
        <v>2399.1757960000004</v>
      </c>
      <c r="Z80" s="3">
        <f>3584.3+(18-1210.9)+(3.655986+(0.01836-1.235118))+0--197.2--0.201144000000031</f>
        <v>2591.2403720000002</v>
      </c>
      <c r="AA80" s="3">
        <f>3755.4+(24.6-1243.9)+(-5.745762+(-0.037638--1.903167))+0--199.3-0.304929000000012</f>
        <v>2731.2148380000003</v>
      </c>
      <c r="AB80" s="3">
        <f>3784+(45.3-1276)+(-3.85968+(-0.046206--1.30152))+0--199.3-0.203286000000032</f>
        <v>2749.7923480000004</v>
      </c>
      <c r="AC80" s="3">
        <f>3692+(82.6-1193.5)+(1.88292+(0.042126-0.608685))+0--200.2--0.10210199999998</f>
        <v>2782.7184629999997</v>
      </c>
      <c r="AD80" s="2">
        <v>2708.7</v>
      </c>
      <c r="AE80" s="3">
        <f>3754.6+(32-1276.2)+(0+(0-0))+0--198.3-0</f>
        <v>2708.7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3683.4+(76.7-1116.6)+(-1.878534+(-0.039117--0.569466))+0--200.7-0.10235699999998</f>
        <v>2842.7494580000002</v>
      </c>
      <c r="G81" s="3">
        <f>3689.2+(77.8-1166.6)+(-1.881492+(-0.039678--0.594966))+0--202.1-0.103070999999979</f>
        <v>2801.0707249999996</v>
      </c>
      <c r="H81" s="3">
        <f>3741.8+(57.4-1266.2)+(0+(0-0))+0--203.4-0</f>
        <v>2736.4</v>
      </c>
      <c r="I81" s="3">
        <f>3751.7+(47.7-1328.4)+(0+(0-0))+0--204.5-0</f>
        <v>2675.5</v>
      </c>
      <c r="J81" s="3">
        <f>3640.7+(42-1264.9)+(-7.427028+(-0.08568--2.580396))+0--206.4-0.421055999999991</f>
        <v>2618.8466319999998</v>
      </c>
      <c r="K81" s="3">
        <f>3401.2+(116.8-1172.6)+(-8.67306+(-0.29784--2.99013))+0--176.8-0.450839999999974</f>
        <v>2515.7683899999997</v>
      </c>
      <c r="L81" s="3">
        <f>2894.2+(244.5-982)+(-7.38021+(-0.623475--2.5041))+0--138.6-0.35342999999998</f>
        <v>2289.4469849999996</v>
      </c>
      <c r="M81" s="3">
        <f>2795.2+(249-936.3)+(2.851104+(0.25398-0.955026))+0--138.3--0.141066000000022</f>
        <v>2248.4911240000001</v>
      </c>
      <c r="N81" s="3">
        <f>2766.9+(237.3-851.2)+(-1.411119+(-0.121023--0.434112))+0--135.7-0.0692069999999862</f>
        <v>2287.5327629999997</v>
      </c>
      <c r="O81" s="3">
        <f>2709.3+(293.9-785.1)+(-2.763486+(-0.299778--0.800802))+0--133.1-0.135762000000021</f>
        <v>2348.8017760000002</v>
      </c>
      <c r="P81" s="3">
        <f>2666.3+(298.2-660.9)+(0+(0-0))+0--131-0</f>
        <v>2434.6000000000004</v>
      </c>
      <c r="Q81" s="3">
        <f>2831.2+(227.8-650)+(1.443912+(0.116178-0.3315))+0--129.7--0.0661469999999868</f>
        <v>2539.994737</v>
      </c>
      <c r="R81" s="3">
        <f>3234.8+(180.5-868.8)+(3.299496+(0.18411-0.886176))+0--166.5--0.169830000000027</f>
        <v>2715.7672599999996</v>
      </c>
      <c r="S81" s="3">
        <f>3499.9+(172.8-981.4)+(-1.784949+(-0.088128--0.500514))+0--188.2-0.0959819999999809</f>
        <v>2878.0314550000003</v>
      </c>
      <c r="T81" s="3">
        <f>3492.5+(206.5-923.8)+(0+(0-0))+0--184.8-0</f>
        <v>2960</v>
      </c>
      <c r="U81" s="3">
        <f>3506.9+(215.5-890.9)+(-3.577038+(-0.21981--0.908718))+0--185.2-0.18890400000003</f>
        <v>3013.6229659999999</v>
      </c>
      <c r="V81" s="3">
        <f>3474.4+(183.2-872)+(0+(0-0))+0--188-0</f>
        <v>2973.6000000000004</v>
      </c>
      <c r="W81" s="3">
        <f>3491.4+(87.2-979.6)+(-3.561228+(-0.088944--0.999192))+0--191.9-0.195738000000031</f>
        <v>2788.0532820000003</v>
      </c>
      <c r="X81" s="3">
        <f>3521.5+(61.9-1268.7)+(-3.59193+(-0.063138--1.294074))+0--193.6-0.197472000000031</f>
        <v>2505.7415339999998</v>
      </c>
      <c r="Y81" s="3">
        <f>3278+(70.5-1253.9)+(-3.34356+(-0.07191--1.278978))+0--194.6-0.198492000000031</f>
        <v>2286.8650159999997</v>
      </c>
      <c r="Z81" s="3">
        <f>3373.2+(16-1145.6)+(3.440664+(0.01632-1.168512))+0--197--0.200940000000031</f>
        <v>2443.0894120000003</v>
      </c>
      <c r="AA81" s="3">
        <f>3653+(21.4-1253.1)+(-1.86303+(-0.010914--0.639081))+0--198.8-0.10138799999998</f>
        <v>2618.7637490000002</v>
      </c>
      <c r="AB81" s="3">
        <f>3688.1+(42.2-1261.4)+(3.761862+(0.043044-1.286628))+0--198.9--0.202878000000032</f>
        <v>2670.5211559999998</v>
      </c>
      <c r="AC81" s="3">
        <f>3670.1+(87.8-1208.8)+(-3.743502+(-0.089556--1.232976))+0--197.7-0.201654000000032</f>
        <v>2743.9982639999998</v>
      </c>
      <c r="AD81" s="2">
        <v>2609.9</v>
      </c>
      <c r="AE81" s="3">
        <f>3641+(16-1246.7)+(0+(0-0))+0--199.6-0</f>
        <v>2609.9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3463+(147.6-957)+(-1.76613+(-0.075276--0.48807))+0--201.5-0.10276499999998</f>
        <v>2853.6438989999997</v>
      </c>
      <c r="G82" s="3">
        <f>3223.6+(220.7-847.5)+(-8.22018+(-0.562785--2.161125))+0--201.9-0.514844999999971</f>
        <v>2791.5633150000003</v>
      </c>
      <c r="H82" s="3">
        <f>3043.8+(260.6-798.9)+(-3.104676+(-0.265812--0.814878))+0--202.7-0.206754000000032</f>
        <v>2705.4376360000001</v>
      </c>
      <c r="I82" s="3">
        <f>3005.3+(260.6-823.4)+(-3.065406+(-0.265812--0.839868))+0--203.5-0.207570000000032</f>
        <v>2643.3010800000002</v>
      </c>
      <c r="J82" s="3">
        <f>3016.5+(231.5-859.1)+(-1.538415+(-0.118065--0.438141))+0--203.9-0.103988999999979</f>
        <v>2591.477672</v>
      </c>
      <c r="K82" s="3">
        <f>2851+(230.5-810.1)+(-7.27005+(-0.587775--2.065755))+0--172.2-0.439109999999975</f>
        <v>2437.3688200000001</v>
      </c>
      <c r="L82" s="3">
        <f>2663.9+(200.4-752.2)+(-2.717178+(-0.204408--0.767244))+0--137.7-0.140454000000022</f>
        <v>2247.505204</v>
      </c>
      <c r="M82" s="3">
        <f>3139.9+(61.5-1050)+(-8.006745+(-0.156825--2.6775))+0--138.3-0.35266499999998</f>
        <v>2283.8612650000005</v>
      </c>
      <c r="N82" s="3">
        <f>3577.6+(14.2-1353.7)+(-1.824576+(-0.007242--0.690387))+0--191.9-0.0978689999999805</f>
        <v>2428.7606999999998</v>
      </c>
      <c r="O82" s="3">
        <f>3776.2+(15.2-1451.7)+(-1.925862+(-0.007752--0.740367))+0--200.8-0.10240799999998</f>
        <v>2539.2043449999996</v>
      </c>
      <c r="P82" s="3">
        <f>3716.5+(16.2-1290.4)+(-3.79083+(-0.016524--1.316208))+0--198.1-0.202062000000032</f>
        <v>2637.7067920000004</v>
      </c>
      <c r="Q82" s="3">
        <f>3667.7+(16.2-1093.5)+(0+(0-0))+0--193-0</f>
        <v>2783.3999999999996</v>
      </c>
      <c r="R82" s="3">
        <f>3649+(120.5-987.3)+(-5.58297+(-0.184365--1.510569))+0--195.8-0.299574000000011</f>
        <v>2973.4436599999999</v>
      </c>
      <c r="S82" s="3">
        <f>3627.7+(173.7-899.5)+(-7.400508+(-0.354348--1.83498))+0--196.4-0.400655999999991</f>
        <v>3091.979468</v>
      </c>
      <c r="T82" s="3">
        <f>3654.4+(225.7-885.3)+(3.727488+(0.230214-0.903006))+0--197.1--0.201042000000031</f>
        <v>3195.1557380000004</v>
      </c>
      <c r="U82" s="3">
        <f>3665.7+(218.8-863.8)+(-1.869507+(-0.111588--0.440538))+0--196-0.0999599999999801</f>
        <v>3215.059483</v>
      </c>
      <c r="V82" s="3">
        <f>3634.2+(174.9-834.5)+(-5.560326+(-0.267597--1.276785))+0--194.1-0.296973000000011</f>
        <v>3163.851889</v>
      </c>
      <c r="W82" s="3">
        <f>3664+(63.8-947.4)+(0+(0-0))+0--195.1-0</f>
        <v>2975.5</v>
      </c>
      <c r="X82" s="3">
        <f>3680+(53.7-1243.2)+(-3.7536+(-0.054774--1.268064))+0--196.7-0.200634000000031</f>
        <v>2684.4590560000001</v>
      </c>
      <c r="Y82" s="3">
        <f>3456.9+(91.5-1171.8)+(0+(0-0))+0--198.9-0</f>
        <v>2575.5000000000005</v>
      </c>
      <c r="Z82" s="3">
        <f>3603.9+(10-1078)+(1.837989+(0.0051-0.54978))+0--200--0.10199999999998</f>
        <v>2737.2953090000001</v>
      </c>
      <c r="AA82" s="3">
        <f>3854.7+(24.3-1287.8)+(-7.863588+(-0.049572--2.627112))+0--200.8-0.409631999999991</f>
        <v>2786.3043200000002</v>
      </c>
      <c r="AB82" s="3">
        <f>3760.4+(53.9-1250.6)+(-9.58902+(-0.137445--3.18903))+0--201.6-0.514079999999971</f>
        <v>2758.2484850000001</v>
      </c>
      <c r="AC82" s="3">
        <f>3735.6+(62.8-1200.7)+(-5.715468+(-0.096084--1.837071))+0--202.4-0.309672000000012</f>
        <v>2795.8158469999998</v>
      </c>
      <c r="AD82" s="2">
        <v>2776.5</v>
      </c>
      <c r="AE82" s="3">
        <f>3862+(17.4-1302.5)+(0+(0-0))+0--199.6-0</f>
        <v>2776.5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3773.6+(93.1-1211.9)+(-9.62268+(-0.237405--3.090345))+0--203-0.517649999999971</f>
        <v>2850.5126099999998</v>
      </c>
      <c r="G83" s="3">
        <f>3687.6+(44.7-1263.5)+(-3.761352+(-0.045594--1.28877))+0--203.8-0.207876000000033</f>
        <v>2669.8739480000004</v>
      </c>
      <c r="H83" s="3">
        <f>3711+(26.1-1232.2)+(1.89261+(0.013311-0.628422))+0--192.1--0.0979709999999805</f>
        <v>2698.3754699999995</v>
      </c>
      <c r="I83" s="3">
        <f>3502.9+(49.1-1071.5)+(7.145916+(0.100164-2.18586))+0--137.6--0.280703999999994</f>
        <v>2623.4409239999995</v>
      </c>
      <c r="J83" s="3">
        <f>3510.7+(15-1088.5)+(-5.371371+(-0.02295--1.665405))+0--137.5-0.210375000000008</f>
        <v>2570.7607089999997</v>
      </c>
      <c r="K83" s="3">
        <f>3256.2+(58.8-962.6)+(-8.30331+(-0.14994--2.45463))+0--138-0.35189999999998</f>
        <v>2484.0494799999997</v>
      </c>
      <c r="L83" s="3">
        <f>2963.4+(137.5-817.9)+(-3.022668+(-0.14025--0.834258))+0--138.8-0.141576000000022</f>
        <v>2419.3297640000001</v>
      </c>
      <c r="M83" s="3">
        <f>3195.7+(80.7-955.2)+(0+(0-0))+0--137.8-0</f>
        <v>2459</v>
      </c>
      <c r="N83" s="3">
        <f>3317.6+(42.4-889.6)+(5.075928+(0.064872-1.361088))+0--136.2--0.208386000000008</f>
        <v>2610.5880979999993</v>
      </c>
      <c r="O83" s="3">
        <f>3401.4+(27.9-863)+(0+(0-0))+0--134.9-0</f>
        <v>2701.2000000000003</v>
      </c>
      <c r="P83" s="3">
        <f>3462.9+(44.8-856.3)+(1.766079+(0.022848-0.436713))+0--134.2--0.0684419999999864</f>
        <v>2787.0206559999997</v>
      </c>
      <c r="Q83" s="3">
        <f>3667.8+(37.4-974.5)+(-3.741156+(-0.038148--0.99399))+0--169.9-0.173298000000027</f>
        <v>2897.641388</v>
      </c>
      <c r="R83" s="3">
        <f>3789.1+(67.9-1119.6)+(-1.932441+(-0.034629--0.570996))+0--190.3-0.0970529999999807</f>
        <v>2926.2068730000001</v>
      </c>
      <c r="S83" s="3">
        <f>3788.6+(171.8-1086)+(-5.796558+(-0.262854--1.66158))+0--192.4-0.294372000000011</f>
        <v>3062.1077959999998</v>
      </c>
      <c r="T83" s="3">
        <f>3770.5+(191.2-960.5)+(-5.768865+(-0.292536--1.469565))+0--193.2-0.295596000000011</f>
        <v>3189.5125679999996</v>
      </c>
      <c r="U83" s="3">
        <f>3742.5+(206.2-930.3)+(-9.543375+(-0.52581--2.372265))+0--194.8-0.496739999999972</f>
        <v>3205.0063400000004</v>
      </c>
      <c r="V83" s="3">
        <f>3707.8+(181-926.1)+(-1.890978+(-0.09231--0.472311))+0--196.6-0.10026599999998</f>
        <v>3157.6887570000004</v>
      </c>
      <c r="W83" s="3">
        <f>3707.5+(86.3-1021.8)+(-7.5633+(-0.176052--2.084472))+0--197.6-0.403103999999991</f>
        <v>2963.5420159999999</v>
      </c>
      <c r="X83" s="3">
        <f>3708.2+(18.9-1238.9)+(-9.45591+(-0.048195--3.159195))+0--199.4-0.508469999999971</f>
        <v>2680.7466200000003</v>
      </c>
      <c r="Y83" s="3">
        <f>3455.5+(26.8-1226)+(-5.286915+(-0.041004--1.87578))+0--201.4-0.308142000000012</f>
        <v>2453.9397190000004</v>
      </c>
      <c r="Z83" s="3">
        <f>3495.9+(17.2-1098.4)+(0+(0-0))+0--202.4-0</f>
        <v>2617.1</v>
      </c>
      <c r="AA83" s="3">
        <f>3708.9+(47.9-1187.2)+(-5.674617+(-0.073287--1.816416))+0--202.1-0.309213000000012</f>
        <v>2767.4592990000001</v>
      </c>
      <c r="AB83" s="3">
        <f>3711.3+(72.7-1192.2)+(-11.356578+(-0.222462--3.648132))+0--201.9-0.617814000000023</f>
        <v>2785.1512780000003</v>
      </c>
      <c r="AC83" s="3">
        <f>3679.3+(94-1167.1)+(0+(0-0))+0--202.6-0</f>
        <v>2808.8</v>
      </c>
      <c r="AD83" s="2">
        <v>2770.8</v>
      </c>
      <c r="AE83" s="3">
        <f>3707+(41-1179.2)+(0+(0-0))+0--202-0</f>
        <v>2770.8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3654.2+(103.2-1140)+(-3.727284+(-0.105264--1.1628))+0--204.2-0.208284000000033</f>
        <v>2818.7219679999998</v>
      </c>
      <c r="G84" s="3">
        <f>3304.1+(171.8-904.8)+(0+(0-0))+0--204.8-0</f>
        <v>2775.9</v>
      </c>
      <c r="H84" s="3">
        <f>3220.2+(145.5-898.4)+(-1.642302+(-0.074205--0.458184))+0--205.4-0.104753999999979</f>
        <v>2671.3369229999998</v>
      </c>
      <c r="I84" s="3">
        <f>3228.2+(143.7-953.8)+(-4.939146+(-0.219861--1.459314))+0--205.4-0.314262000000012</f>
        <v>2619.4860450000001</v>
      </c>
      <c r="J84" s="3">
        <f>3209.7+(133.7-921.5)+(-8.184735+(-0.340935--2.349825))+0--169.4-0.431969999999975</f>
        <v>2584.6921849999994</v>
      </c>
      <c r="K84" s="3">
        <f>2934.5+(188.5-767.8)+(-7.482975+(-0.480675--1.95789))+0--138.7-0.35368499999998</f>
        <v>2487.5405549999996</v>
      </c>
      <c r="L84" s="3">
        <f>2788.9+(115.7-777.7)+(-2.844678+(-0.118014--0.793254))+0--143.8-0.146676000000023</f>
        <v>2268.3838860000005</v>
      </c>
      <c r="M84" s="3">
        <f>2993.1+(82.7-966)+(4.579443+(0.126531-1.47798))+0--187.9--0.287487000000011</f>
        <v>2301.2154810000002</v>
      </c>
      <c r="N84" s="3">
        <f>3204.8+(36.3-1009.3)+(-1.634448+(-0.018513--0.514743))+0--204.2-0.104141999999979</f>
        <v>2434.7576399999998</v>
      </c>
      <c r="O84" s="3">
        <f>3374.6+(8-1084.3)+(-3.442092+(-0.00816--1.105986))+0--202.2-0.206244000000032</f>
        <v>2497.94949</v>
      </c>
      <c r="P84" s="3">
        <f>3680.8+(8-1269.1)+(-3.754416+(-0.00816--1.294482))+0--204.4-0.208488000000033</f>
        <v>2621.4234180000003</v>
      </c>
      <c r="Q84" s="3">
        <f>3688.8+(8-1137.1)+(3.762576+(0.00816-1.159842))+0--200.7--0.204714000000032</f>
        <v>2763.215608</v>
      </c>
      <c r="R84" s="3">
        <f>3715.7+(106.8-1059.1)+(0+(0-0))+0--197.3-0</f>
        <v>2960.7</v>
      </c>
      <c r="S84" s="3">
        <f>3714+(190.1-1028.3)+(-1.89414+(-0.096951--0.524433))+0--200.7-0.10235699999998</f>
        <v>3074.9309850000004</v>
      </c>
      <c r="T84" s="3">
        <f>3711+(243.2-964.5)+(1.89261+(0.124032-0.491895))+0--200.2--0.10210199999998</f>
        <v>3191.5268489999994</v>
      </c>
      <c r="U84" s="3">
        <f>3693.3+(242.3-922.9)+(3.767166+(0.247146-0.941358))+0--196.5--0.200430000000031</f>
        <v>3212.4733840000004</v>
      </c>
      <c r="V84" s="3">
        <f>3673.3+(183.6-888.1)+(-5.620149+(-0.280908--1.358793))+0--197.4-0.302022000000011</f>
        <v>3161.3557140000003</v>
      </c>
      <c r="W84" s="3">
        <f>3624.2+(93.6-923.1)+(-11.090052+(-0.286416--2.824686))+0--195.2-0.597312000000022</f>
        <v>2980.7509059999998</v>
      </c>
      <c r="X84" s="3">
        <f>3645.1+(56.5-1214.4)+(-3.718002+(-0.05763--1.238688))+0--198.2-0.202164000000032</f>
        <v>2682.6608919999999</v>
      </c>
      <c r="Y84" s="3">
        <f>3340.5+(65.6-1146.6)+(-10.22193+(-0.200736--3.508596))+0--199.8-0.611388000000023</f>
        <v>2451.7745420000006</v>
      </c>
      <c r="Z84" s="3">
        <f>3438.4+(17.1-1090.9)+(3.507168+(0.017442-1.112718))+0--199.8--0.203796000000032</f>
        <v>2567.0156880000004</v>
      </c>
      <c r="AA84" s="3">
        <f>3832.5+(17.2-1261)+(-5.863725+(-0.026316--1.92933))+0--201.5-0.308295000000012</f>
        <v>2785.9309939999998</v>
      </c>
      <c r="AB84" s="3">
        <f>3812.8+(39.6-1242.1)+(-1.944528+(-0.020196--0.633471))+0--201.9-0.10296899999998</f>
        <v>2810.7657780000004</v>
      </c>
      <c r="AC84" s="3">
        <f>3723.2+(57.5-1161.5)+(-5.696496+(-0.087975--1.777095))+0--202.5-0.309825000000012</f>
        <v>2817.382799</v>
      </c>
      <c r="AD84" s="2">
        <v>2773</v>
      </c>
      <c r="AE84" s="3">
        <f>3818+(20-1265.6)+(0+(0-0))+0--200.6-0</f>
        <v>2773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3748+(75.2-1213.1)+(-7.64592+(-0.153408--2.474724))+0--204.2-0.416567999999991</f>
        <v>2808.5588280000002</v>
      </c>
      <c r="G85" s="3">
        <f>3777.4+(24.4-1273)+(-3.852948+(-0.024888--1.29846))+0--203.6-0.207672000000032</f>
        <v>2729.612952</v>
      </c>
      <c r="H85" s="3">
        <f>3761.8+(9-1302.9)+(-1.918518+(-0.00459--0.664479))+0--204.6-0.104345999999979</f>
        <v>2671.137025</v>
      </c>
      <c r="I85" s="3">
        <f>3314+(146.5-1005.8)+(-5.07042+(-0.224145--1.538874))+0--205.3-0.314109000000012</f>
        <v>2655.9302000000002</v>
      </c>
      <c r="J85" s="3">
        <f>3092.1+(168.5-909.2)+(-4.730913+(-0.257805--1.391076))+0--205.9-0.315027000000012</f>
        <v>2553.3873309999994</v>
      </c>
      <c r="K85" s="3">
        <f>2974.3+(202.8-878.8)+(-6.067572+(-0.413712--1.792752))+0--165.7-0.338027999999993</f>
        <v>2458.9734399999998</v>
      </c>
      <c r="L85" s="3">
        <f>2889.4+(171-943.8)+(0+(0-0))+0--140-0</f>
        <v>2256.6000000000004</v>
      </c>
      <c r="M85" s="3">
        <f>2982.2+(154.1-981.2)+(-4.562766+(-0.235773--1.501236))+0--138.9-0.212517000000008</f>
        <v>2290.4901800000002</v>
      </c>
      <c r="N85" s="3">
        <f>3023.5+(119-1023.4)+(0+(0-0))+0--195-0</f>
        <v>2314.1</v>
      </c>
      <c r="O85" s="3">
        <f>3423+(25.2-1134.5)+(3.49146+(0.025704-1.15719))+0--197--0.200940000000031</f>
        <v>2513.260914</v>
      </c>
      <c r="P85" s="3">
        <f>3594+(0-1139.9)+(5.49882+(0-1.744047))+0--191.9--0.293607000000011</f>
        <v>2650.0483800000002</v>
      </c>
      <c r="Q85" s="3">
        <f>3691.5+(12.4-1125.2)+(3.76533+(0.012648-1.147704))+0--196.5--0.200430000000031</f>
        <v>2778.0307039999998</v>
      </c>
      <c r="R85" s="3">
        <f>3711.4+(73.8-1015.4)+(7.571256+(0.150552-2.071416))+0--193.1--0.393923999999992</f>
        <v>2968.9443160000001</v>
      </c>
      <c r="S85" s="3">
        <f>3643.7+(207.1-971.4)+(1.858287+(0.105621-0.495414))+0--192--0.0979199999999805</f>
        <v>3072.966414</v>
      </c>
      <c r="T85" s="3">
        <f>3617+(263.2-894.1)+(-1.84467+(-0.134232--0.455991))+0--191.2-0.0975119999999806</f>
        <v>3175.6795769999999</v>
      </c>
      <c r="U85" s="3">
        <f>3643.2+(246.6-878.7)+(0+(0-0))+0--193.7-0</f>
        <v>3204.7999999999997</v>
      </c>
      <c r="V85" s="3">
        <f>3619.2+(182.3-848.6)+(0+(0-0))+0--194.4-0</f>
        <v>3147.2999999999997</v>
      </c>
      <c r="W85" s="3">
        <f>3621.2+(67.5-950)+(-1.846812+(-0.034425--0.4845))+0--193.9-0.0988889999999803</f>
        <v>2931.104374</v>
      </c>
      <c r="X85" s="3">
        <f>3612+(55.2-1170.3)+(-1.84212+(-0.028152--0.596853))+0--196.8-0.10036799999998</f>
        <v>2692.3262130000003</v>
      </c>
      <c r="Y85" s="3">
        <f>3437.6+(51.3-1152)+(-8.76588+(-0.130815--2.9376))+0--199.8-0.509489999999971</f>
        <v>2530.2314149999997</v>
      </c>
      <c r="Z85" s="3">
        <f>3727.5+(10-1248.1)+(3.80205+(0.0102-1.273062))+0--201.6--0.205632000000032</f>
        <v>2693.7448200000003</v>
      </c>
      <c r="AA85" s="3">
        <f>4017.6+(20.4-1410.2)+(-8.195904+(-0.041616--2.876808))+0--202-0.412079999999991</f>
        <v>2824.027208</v>
      </c>
      <c r="AB85" s="3">
        <f>4069.6+(10-1459.3)+(-6.226488+(-0.0153--2.232729))+0--203.4-0.311202000000012</f>
        <v>2819.3797390000004</v>
      </c>
      <c r="AC85" s="3">
        <f>4056.7+(28.9-1435.2)+(-2.068917+(-0.014739--0.731952))+0--204.9-0.104498999999979</f>
        <v>2853.8437969999995</v>
      </c>
      <c r="AD85" s="2">
        <v>2821.3</v>
      </c>
      <c r="AE85" s="3">
        <f>4016+(9.7-1405.7)+(0+(0-0))+0--201.3-0</f>
        <v>2821.3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4006.4+(35.4-1316)+(0+(0-0))+0--205.5-0</f>
        <v>2931.3</v>
      </c>
      <c r="G86" s="3">
        <f>3952.6+(8-1318)+(-8.063304+(-0.01632--2.68872))+0--205.4-0.419015999999991</f>
        <v>2842.1900800000003</v>
      </c>
      <c r="H86" s="3">
        <f>3952+(8-1410.3)+(-4.03104+(-0.00816--1.438506))+0--203-0.207060000000032</f>
        <v>2749.8922459999994</v>
      </c>
      <c r="I86" s="3">
        <f>3741.7+(15.4-1197.4)+(5.724801+(0.023562-1.832022))+0--135.8--0.207774000000008</f>
        <v>2699.6241150000001</v>
      </c>
      <c r="J86" s="3">
        <f>3711.5+(16.2-1225.5)+(-1.892865+(-0.008262--0.625005))+0--135.4-0.0690539999999863</f>
        <v>2636.2548239999996</v>
      </c>
      <c r="K86" s="3">
        <f>3504.3+(84.9-1145.1)+(-8.935965+(-0.216495--2.920005))+0--136.5-0.34807499999998</f>
        <v>2574.0194700000006</v>
      </c>
      <c r="L86" s="3">
        <f>2947.4+(183.2-961.4)+(-3.006348+(-0.186864--0.980628))+0--137-0.139740000000022</f>
        <v>2303.8476759999999</v>
      </c>
      <c r="M86" s="3">
        <f>2897.8+(183-881.4)+(4.433634+(0.27999-1.348542))+0--144.4--0.220932000000008</f>
        <v>2347.3860140000002</v>
      </c>
      <c r="N86" s="3">
        <f>3000.6+(146.2-874.4)+(-1.530306+(-0.074562--0.445944))+0--197.7-0.10082699999998</f>
        <v>2468.8402489999999</v>
      </c>
      <c r="O86" s="3">
        <f>3237.3+(65-977.5)+(4.953069+(0.09945-1.495575))+0--192.7--0.294831000000011</f>
        <v>2521.3517750000001</v>
      </c>
      <c r="P86" s="3">
        <f>3674.7+(9-1177.8)+(1.874097+(0.00459-0.600678))+0--195.4--0.0996539999999802</f>
        <v>2702.6776629999999</v>
      </c>
      <c r="Q86" s="3">
        <f>3711.2+(41.9-1120.3)+(0+(0-0))+0--187.1-0</f>
        <v>2819.9</v>
      </c>
      <c r="R86" s="3">
        <f>3679.6+(122.4-1028.7)+(0+(0-0))+0--186.4-0</f>
        <v>2959.7</v>
      </c>
      <c r="S86" s="3">
        <f>3652.6+(195.7-969.7)+(-3.725652+(-0.199614--0.989094))+0--187.1-0.19084200000003</f>
        <v>3062.5729859999997</v>
      </c>
      <c r="T86" s="3">
        <f>3658.4+(241.5-919)+(-1.865784+(-0.123165--0.46869))+0--191.2-0.0975119999999806</f>
        <v>3170.4822290000002</v>
      </c>
      <c r="U86" s="3">
        <f>3725.4+(188.2-961.5)+(-1.899954+(-0.095982--0.490365))+0--192.1-0.0979709999999805</f>
        <v>3142.596458</v>
      </c>
      <c r="V86" s="3">
        <f>3683.8+(141.8-979.9)+(-7.514952+(-0.289272--1.998996))+0--193.2-0.394127999999992</f>
        <v>3032.700644</v>
      </c>
      <c r="W86" s="3">
        <f>3705.7+(47.4-1106.7)+(-3.779814+(-0.048348--1.128834))+0--194.8-0.198696000000031</f>
        <v>2838.3019759999997</v>
      </c>
      <c r="X86" s="3">
        <f>3607.9+(59.9-1307.1)+(-5.520087+(-0.091647--1.999863))+0--195.4-0.298962000000011</f>
        <v>2552.1891670000005</v>
      </c>
      <c r="Y86" s="3">
        <f>3340.3+(58.4-1085.4)+(-3.407106+(-0.059568--1.107108))+0--195.4-0.199308000000031</f>
        <v>2506.141126</v>
      </c>
      <c r="Z86" s="3">
        <f>3688+(19.7-1185.4)+(1.88088+(0.010047-0.604554))+0--195.2--0.0995519999999802</f>
        <v>2718.885925</v>
      </c>
      <c r="AA86" s="3">
        <f>3997.8+(31.3-1402.9)+(-8.155512+(-0.063852--2.861916))+0--196.6-0.401063999999991</f>
        <v>2817.0414879999994</v>
      </c>
      <c r="AB86" s="3">
        <f>4023.1+(59.2-1413)+(0+(0-0))+0--196.7-0</f>
        <v>2866</v>
      </c>
      <c r="AC86" s="3">
        <f>4041.2+(69.9-1331.5)+(-2.061012+(-0.035649--0.679065))+0--197.9-0.10092899999998</f>
        <v>2975.981475</v>
      </c>
      <c r="AD86" s="2">
        <v>2837.3</v>
      </c>
      <c r="AE86" s="3">
        <f>3995.5+(21.2-1384.2)+(0+(0-0))+0--204.8-0</f>
        <v>2837.3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3925.7+(122.2-1242.7)+(-8.008428+(-0.249288--2.535108))+0--205.1-0.418403999999991</f>
        <v>3004.1589879999997</v>
      </c>
      <c r="G87" s="3">
        <f>3972.4+(59.7-1312.4)+(0+(0-0))+0--205.1-0</f>
        <v>2924.7999999999997</v>
      </c>
      <c r="H87" s="3">
        <f>3953.8+(42.2-1363.4)+(4.032876+(0.043044-1.390668))+0--205--0.209100000000033</f>
        <v>2840.4943520000006</v>
      </c>
      <c r="I87" s="3">
        <f>3937.5+(8-1370.3)+(0+(0-0))+0--206.2-0</f>
        <v>2781.3999999999996</v>
      </c>
      <c r="J87" s="3">
        <f>3782.9+(8-1288)+(3.858558+(0.00816-1.31376))+0--206.8--0.210936000000033</f>
        <v>2712.4638940000004</v>
      </c>
      <c r="K87" s="3">
        <f>3644.6+(8-1225.7)+(-9.29373+(-0.0204--3.125535))+0--207.5-0.52912499999997</f>
        <v>2627.6822799999995</v>
      </c>
      <c r="L87" s="3">
        <f>3241.5+(44.8-1164.5)+(-4.959495+(-0.068544--1.781685))+0--202.9-0.310437000000012</f>
        <v>2321.1432090000003</v>
      </c>
      <c r="M87" s="3">
        <f>3192.6+(11.7-1087.5)+(4.884678+(0.017901-1.663875))+0--201.9--0.308907000000012</f>
        <v>2322.2476110000002</v>
      </c>
      <c r="N87" s="3">
        <f>3320.8+(9-1087.4)+(1.693608+(0.00459-0.554574))+0--197--0.10046999999998</f>
        <v>2440.6440939999998</v>
      </c>
      <c r="O87" s="3">
        <f>3396.5+(21.3-1085.8)+(3.46443+(0.021726-1.107516))+0--192.7--0.196554000000031</f>
        <v>2527.2751939999998</v>
      </c>
      <c r="P87" s="3">
        <f>3740.5+(10-1290)+(3.81531+(0.0102-1.3158))+0--189.6--0.19339200000003</f>
        <v>2652.8031019999999</v>
      </c>
      <c r="Q87" s="3">
        <f>3759+(69.7-1247.5)+(-5.75127+(-0.106641--1.908675))+0--187.1-0.286263000000011</f>
        <v>2764.0645009999998</v>
      </c>
      <c r="R87" s="3">
        <f>3821.6+(125.3-1209.5)+(0+(0-0))+0--186.5-0</f>
        <v>2923.8999999999996</v>
      </c>
      <c r="S87" s="3">
        <f>3806.2+(222.1-1160.2)+(-11.646972+(-0.679626--3.550212))+0--186.7-0.571302000000022</f>
        <v>3045.4523119999999</v>
      </c>
      <c r="T87" s="3">
        <f>3743.7+(263.9-1074.8)+(-3.818574+(-0.269178--1.096296))+0--186.3-0.19002600000003</f>
        <v>3115.9185179999995</v>
      </c>
      <c r="U87" s="3">
        <f>3708.5+(260.7-1059.8)+(-3.78267+(-0.265914--1.080996))+0--186.4-0.19012800000003</f>
        <v>3092.642284</v>
      </c>
      <c r="V87" s="3">
        <f>3687.3+(182.5-1059)+(-5.641569+(-0.279225--1.62027))+0--189.4-0.289782000000011</f>
        <v>2995.6096940000002</v>
      </c>
      <c r="W87" s="3">
        <f>3686.9+(69.5-1116.7)+(-1.880319+(-0.035445--0.569517))+0--188.6-0.0961859999999809</f>
        <v>2826.857567</v>
      </c>
      <c r="X87" s="3">
        <f>3643.1+(9-1298.2)+(-7.431924+(-0.01836--2.648328))+0--193.1-0.393923999999992</f>
        <v>2541.8041199999998</v>
      </c>
      <c r="Y87" s="3">
        <f>3277.2+(12.7-1089.1)+(0+(0-0))+0--194.4-0</f>
        <v>2395.2000000000003</v>
      </c>
      <c r="Z87" s="3">
        <f>3592.4+(20.2-1232.7)+(0+(0-0))+0--194.3-0</f>
        <v>2574.2000000000003</v>
      </c>
      <c r="AA87" s="3">
        <f>3898.1+(43.4-1398.4)+(-5.964093+(-0.066402--2.139552))+0--193.5-0.296055000000011</f>
        <v>2732.4130020000002</v>
      </c>
      <c r="AB87" s="3">
        <f>3911.8+(58.9-1417.7)+(-7.980072+(-0.120156--2.892108))+0--194.1-0.395963999999991</f>
        <v>2741.4959160000003</v>
      </c>
      <c r="AC87" s="3">
        <f>3900.7+(57.8-1374)+(-1.989357+(-0.029478--0.70074))+0--195.2-0.0995519999999802</f>
        <v>2778.2823529999996</v>
      </c>
      <c r="AD87" s="2">
        <v>2708.4</v>
      </c>
      <c r="AE87" s="3">
        <f>3876.5+(49-1409.4)+(0+(0-0))+0--192.3-0</f>
        <v>2708.4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3914.3+(109.2-1358.4)+(-3.992586+(-0.111384--1.385568))+0--195.3-0.199206000000031</f>
        <v>2857.4823920000003</v>
      </c>
      <c r="G88" s="3">
        <f>3934.4+(78.7-1435.7)+(-12.039264+(-0.240822--4.393242))+0--196.7-0.601902000000023</f>
        <v>2765.6112539999999</v>
      </c>
      <c r="H88" s="3">
        <f>3944.9+(59.1-1477.4)+(-8.047596+(-0.120564--3.013896))+0--197-0.401879999999991</f>
        <v>2718.0438560000002</v>
      </c>
      <c r="I88" s="3">
        <f>3969.1+(14.6-1504.9)+(-10.121205+(-0.03723--3.837495))+0--195.4-0.498269999999972</f>
        <v>2667.3807899999997</v>
      </c>
      <c r="J88" s="3">
        <f>3929.4+(14.6-1539.9)+(0+(0-0))+0--199.2-0</f>
        <v>2603.2999999999997</v>
      </c>
      <c r="K88" s="3">
        <f>3753.7+(18.4-1400.6)+(-5.743161+(-0.028152--2.142918))+0--178.2-0.27264600000001</f>
        <v>2545.7989589999997</v>
      </c>
      <c r="L88" s="3">
        <f>3103.7+(88.3-1012.9)+(1.582887+(0.045033-0.516579))+0--134.1--0.0683909999999864</f>
        <v>2314.3797319999994</v>
      </c>
      <c r="M88" s="3">
        <f>2991.1+(97.6-992.6)+(1.525461+(0.049776-0.506226))+0--155.4--0.0792539999999842</f>
        <v>2252.6482649999998</v>
      </c>
      <c r="N88" s="3">
        <f>3383.1+(65.7-1317.4)+(0+(0-0))+0--191.5-0</f>
        <v>2322.8999999999996</v>
      </c>
      <c r="O88" s="3">
        <f>3563+(69.1-1414)+(1.81713+(0.035241-0.72114))+0--187.6--0.095675999999981</f>
        <v>2406.9269069999996</v>
      </c>
      <c r="P88" s="3">
        <f>3503.3+(83.8-1279.7)+(1.786683+(0.042738-0.652647))+0--184.9--0.0942989999999812</f>
        <v>2493.5710730000001</v>
      </c>
      <c r="Q88" s="3">
        <f>3447.8+(119.3-1145.4)+(5.275134+(0.182529-1.752462))+0--184.2--0.281826000000011</f>
        <v>2609.8870269999998</v>
      </c>
      <c r="R88" s="3">
        <f>3591.8+(135.8-1127.6)+(10.990908+(0.415548-3.450456))+0--183.4--0.561204000000021</f>
        <v>2791.9172040000003</v>
      </c>
      <c r="S88" s="3">
        <f>3620.5+(153.3-1095.1)+(3.69291+(0.156366-1.117002))+0--184.4--0.188088000000029</f>
        <v>2866.0203619999997</v>
      </c>
      <c r="T88" s="3">
        <f>3635.5+(243.5-1079.7)+(5.562315+(0.372555-1.651941))+0--186.9--0.285957000000011</f>
        <v>2990.7688860000003</v>
      </c>
      <c r="U88" s="3">
        <f>3663+(255.4-1088)+(1.86813+(0.130254-0.55488))+0--189.8--0.0967979999999807</f>
        <v>3021.7403020000002</v>
      </c>
      <c r="V88" s="3">
        <f>3651.8+(201.5-1089.5)+(1.862418+(0.102765-0.555645))+0--190.4--0.0971039999999807</f>
        <v>2955.7066420000001</v>
      </c>
      <c r="W88" s="3">
        <f>3648.2+(86.9-1147.9)+(0+(0-0))+0--189.4-0</f>
        <v>2776.6</v>
      </c>
      <c r="X88" s="3">
        <f>3661.5+(15.1-1336.2)+(-3.73473+(-0.015402--1.362924))+0--191.6-0.195432000000031</f>
        <v>2529.4173599999995</v>
      </c>
      <c r="Y88" s="3">
        <f>3382.9+(17.9-1259.5)+(0+(0-0))+0--193.9-0</f>
        <v>2335.2000000000003</v>
      </c>
      <c r="Z88" s="3">
        <f>3560.9+(46.7-1307.1)+(5.448177+(0.071451-1.999863))+0--195.4--0.298962000000011</f>
        <v>2499.7187269999999</v>
      </c>
      <c r="AA88" s="3">
        <f>3880+(56.9-1432.6)+(7.9152+(0.116076-2.922504))+0--196--0.399839999999991</f>
        <v>2705.8086120000003</v>
      </c>
      <c r="AB88" s="3">
        <f>3885.5+(83.8-1381.5)+(-1.981605+(-0.042738--0.704565))+0--197.1-0.10052099999998</f>
        <v>2783.4797010000002</v>
      </c>
      <c r="AC88" s="3">
        <f>3898.6+(113.6-1355.3)+(1.988286+(0.057936-0.691203))+0--196.3--0.10011299999998</f>
        <v>2854.6551319999999</v>
      </c>
      <c r="AD88" s="2">
        <v>2679.7000000000003</v>
      </c>
      <c r="AE88" s="3">
        <f>3860.5+(58.9-1435.1)+(0+(0-0))+0--195.4-0</f>
        <v>2679.7000000000003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3859.5+(128.2-1375.1)+(-3.93669+(-0.130764--1.402602))+0--197-0.200940000000031</f>
        <v>2806.7342080000003</v>
      </c>
      <c r="G89" s="3">
        <f>3801.5+(110-1364.6)+(-11.63259+(-0.3366--4.175676))+0--193.4-0.591804000000022</f>
        <v>2731.9146820000001</v>
      </c>
      <c r="H89" s="3">
        <f>3824.7+(65-1425.4)+(-3.901194+(-0.0663--1.453908))+0--193.3-0.197166000000031</f>
        <v>2654.889248</v>
      </c>
      <c r="I89" s="3">
        <f>3843.9+(25.4-1451.6)+(3.920778+(0.025908-1.480632))+0--194.3--0.198186000000031</f>
        <v>2614.6642400000005</v>
      </c>
      <c r="J89" s="3">
        <f>3706+(43-1367.4)+(7.56024+(0.08772-2.789496))+0--195.4--0.398615999999991</f>
        <v>2582.2570799999999</v>
      </c>
      <c r="K89" s="3">
        <f>3486.8+(23.9-1253.5)+(-3.556536+(-0.024378--1.27857))+0--196.8-0.200736000000031</f>
        <v>2451.49692</v>
      </c>
      <c r="L89" s="3">
        <f>2891.8+(67.9-907.3)+(7.37409+(0.173145-2.313615))+0--134.4--0.342719999999981</f>
        <v>2192.3763400000003</v>
      </c>
      <c r="M89" s="3">
        <f>2952.9+(26.9-982.7)+(4.517937+(0.041157-1.503531))+0--168.3--0.25749900000001</f>
        <v>2168.7130619999998</v>
      </c>
      <c r="N89" s="3">
        <f>3612.7+(14-1305.8)+(9.212385+(0.0357-3.32979))+0--192--0.489599999999972</f>
        <v>2519.3078949999995</v>
      </c>
      <c r="O89" s="3">
        <f>3718.5+(14-1334.2)+(9.482175+(0.0357-3.40221))+0--187.8--0.478889999999973</f>
        <v>2592.694555</v>
      </c>
      <c r="P89" s="3">
        <f>3829.3+(14-1311.1)+(3.905886+(0.01428-1.337322))+0--185.5--0.18921000000003</f>
        <v>2720.4720540000003</v>
      </c>
      <c r="Q89" s="3">
        <f>3800.2+(42.5-1159.9)+(9.69051+(0.108375-2.957745))+0--185.7--0.473534999999973</f>
        <v>2875.8146749999996</v>
      </c>
      <c r="R89" s="3">
        <f>3813.5+(107.3-1054.8)+(3.88977+(0.109446-1.075896))+0--186.3--0.19002600000003</f>
        <v>3055.4133460000003</v>
      </c>
      <c r="S89" s="3">
        <f>3817.6+(139.5-1005.2)+(-1.946976+(-0.071145--0.512652))+0--193.6-0.0987359999999804</f>
        <v>3143.8957949999995</v>
      </c>
      <c r="T89" s="3">
        <f>3812+(166.2-980)+(1.94412+(0.084762-0.4998))+0--233.6--0.119135999999976</f>
        <v>3233.4482179999995</v>
      </c>
      <c r="U89" s="3">
        <f>3807.5+(164.8-943.3)+(0+(0-0))+0--233-0</f>
        <v>3262</v>
      </c>
      <c r="V89" s="3">
        <f>3766.8+(168.1-906)+(-1.921068+(-0.085731--0.46206))+0--186.2-0.0949619999999811</f>
        <v>3213.4602989999998</v>
      </c>
      <c r="W89" s="3">
        <f>3711.1+(96.6-965.5)+(-11.355966+(-0.295596--2.95443))+0--185-0.566100000000021</f>
        <v>3017.936768</v>
      </c>
      <c r="X89" s="3">
        <f>3671.1+(49.3-1157.3)+(-7.489044+(-0.100572--2.360892))+0--189.6-0.386783999999992</f>
        <v>2747.084492</v>
      </c>
      <c r="Y89" s="3">
        <f>3523.5+(51.4-1214.2)+(-8.984925+(-0.13107--3.09621))+0--191-0.487049999999972</f>
        <v>2545.1931649999997</v>
      </c>
      <c r="Z89" s="3">
        <f>3633.7+(19.6-1149.8)+(0+(0-0))+0--189.7-0</f>
        <v>2693.2</v>
      </c>
      <c r="AA89" s="3">
        <f>3874.9+(57.6-1254.8)+(-5.928597+(-0.088128--1.919844))+0--191.5-0.292995000000011</f>
        <v>2864.8101240000001</v>
      </c>
      <c r="AB89" s="3">
        <f>3891.9+(64.8-1260.8)+(0+(0-0))+0--192.9-0</f>
        <v>2888.8</v>
      </c>
      <c r="AC89" s="3">
        <f>3863.9+(97.7-1229.1)+(-7.882356+(-0.199308--2.507364))+0--194.3-0.396371999999992</f>
        <v>2920.8293279999998</v>
      </c>
      <c r="AD89" s="2">
        <v>2876.5</v>
      </c>
      <c r="AE89" s="3">
        <f>3868+(65-1247.9)+(0+(0-0))+0--191.4-0</f>
        <v>2876.5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3870.9+(92.3-1211.4)+(-7.896636+(-0.188292--2.471256))+0--194.8-0.397391999999992</f>
        <v>2940.5889360000006</v>
      </c>
      <c r="G90" s="3">
        <f>3888.4+(52.4-1278.2)+(-1.983084+(-0.026724--0.651882))+0--196.3-0.10011299999998</f>
        <v>2857.4419610000004</v>
      </c>
      <c r="H90" s="3">
        <f>3698+(63.9-1191.8)+(-5.65794+(-0.097767--1.823454))+0--195.8-0.299574000000011</f>
        <v>2761.6681730000005</v>
      </c>
      <c r="I90" s="3">
        <f>3617.1+(54.2-1167.8)+(-9.223605+(-0.13821--2.97789))+0--197.4-0.503369999999971</f>
        <v>2694.0127050000001</v>
      </c>
      <c r="J90" s="3">
        <f>3444.9+(94.5-1080.1)+(-1.756899+(-0.048195--0.550851))+0--196.4-0.10016399999998</f>
        <v>2654.3455930000005</v>
      </c>
      <c r="K90" s="3">
        <f>3256+(131.6-968.3)+(-8.3028+(-0.33558--2.469165))+0--162.8-0.415139999999976</f>
        <v>2575.5156450000004</v>
      </c>
      <c r="L90" s="3">
        <f>2890.2+(173.6-823.2)+(1.474002+(0.088536-0.419832))+0--130.3--0.0664529999999868</f>
        <v>2372.1091590000001</v>
      </c>
      <c r="M90" s="3">
        <f>2977.7+(165.7-857.4)+(4.555881+(0.253521-1.311822))+0--127.5--0.195075000000007</f>
        <v>2417.1926550000003</v>
      </c>
      <c r="N90" s="3">
        <f>3101.4+(137.9-889.4)+(4.745142+(0.210987-1.360782))+0--184.2--0.281826000000011</f>
        <v>2537.9771729999998</v>
      </c>
      <c r="O90" s="3">
        <f>3412.6+(75.5-1049.6)+(-1.740426+(-0.038505--0.535296))+0--185.9-0.0948089999999811</f>
        <v>2623.0615560000001</v>
      </c>
      <c r="P90" s="3">
        <f>3685.8+(61.3-1173.1)+(0+(0-0))+0--187.2-0</f>
        <v>2761.2</v>
      </c>
      <c r="Q90" s="3">
        <f>3790.9+(26.7-1146.9)+(0+(0-0))+0--183.6-0</f>
        <v>2854.2999999999997</v>
      </c>
      <c r="R90" s="3">
        <f>3830.7+(113.2-1066.4)+(3.907314+(0.115464-1.087728))+0--181.7--0.185334000000029</f>
        <v>3062.3203840000001</v>
      </c>
      <c r="S90" s="3">
        <f>3804.8+(150.8-975.4)+(-5.821344+(-0.230724--1.492362))+0--180.8-0.27662400000001</f>
        <v>3156.1636700000004</v>
      </c>
      <c r="T90" s="3">
        <f>3769.5+(191.3-898.3)+(-5.767335+(-0.292689--1.374399))+0--182.5-0.279225000000011</f>
        <v>3240.0351499999997</v>
      </c>
      <c r="U90" s="3">
        <f>3652.7+(254.1-809.6)+(-3.725754+(-0.259182--0.825792))+0--180.2-0.183804000000029</f>
        <v>3274.0570519999992</v>
      </c>
      <c r="V90" s="3">
        <f>3619+(172.2-738.5)+(1.84569+(0.087822-0.376635))+0--167.3--0.085322999999983</f>
        <v>3221.6421999999998</v>
      </c>
      <c r="W90" s="3">
        <f>3628.9+(113.7-879.9)+(-5.552217+(-0.173961--1.346247))+0--182.3-0.278919000000011</f>
        <v>3040.3411500000007</v>
      </c>
      <c r="X90" s="3">
        <f>3639+(145.3-1179.1)+(-1.85589+(-0.074103--0.601341))+0--180.4-0.0920039999999817</f>
        <v>2784.1793439999997</v>
      </c>
      <c r="Y90" s="3">
        <f>3465.7+(190.1-1174.8)+(-1.767507+(-0.096951--0.599148))+0--124.6-0.0635459999999874</f>
        <v>2604.2711439999998</v>
      </c>
      <c r="Z90" s="3">
        <f>3753.6+(40.1-1227.7)+(-1.914336+(-0.020451--0.626127))+0--175-0.0892499999999822</f>
        <v>2739.6020899999999</v>
      </c>
      <c r="AA90" s="3">
        <f>3894.9+(18-1223.9)+(-13.904793+(-0.06426--4.369323))+0--192.2-0.686154000000003</f>
        <v>2870.9141159999999</v>
      </c>
      <c r="AB90" s="3">
        <f>3929+(18-1245.2)+(-2.00379+(-0.00918--0.635052))+0--191.3-0.0975629999999806</f>
        <v>2891.6245190000004</v>
      </c>
      <c r="AC90" s="3">
        <f>3917+(21.1-1217.1)+(-1.99767+(-0.010761--0.620721))+0--192.8-0.0983279999999804</f>
        <v>2912.3139620000002</v>
      </c>
      <c r="AD90" s="2">
        <v>2872.9</v>
      </c>
      <c r="AE90" s="3">
        <f>3903.5+(16.7-1237.6)+(0+(0-0))+0--190.3-0</f>
        <v>2872.9000000000005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3896.4+(59.4-1215.6)+(0+(0-0))+0--195-0</f>
        <v>2935.2000000000003</v>
      </c>
      <c r="G91" s="3">
        <f>3877.2+(54.2-1255.5)+(-9.88686+(-0.13821--3.201525))+0--195.9-0.499544999999972</f>
        <v>2864.4769099999994</v>
      </c>
      <c r="H91" s="3">
        <f>3858.1+(39.6-1304.4)+(-1.967631+(-0.020196--0.665244))+0--195.3-0.0996029999999802</f>
        <v>2787.1778139999997</v>
      </c>
      <c r="I91" s="3">
        <f>3714.7+(64.2-1247.1)+(0+(0-0))+0--196.8-0</f>
        <v>2728.6000000000004</v>
      </c>
      <c r="J91" s="3">
        <f>3636.4+(68.5-1221.7)+(-3.709128+(-0.06987--1.246134))+0--198.2-0.202164000000032</f>
        <v>2678.664972</v>
      </c>
      <c r="K91" s="3">
        <f>3484.6+(122.1-1169.4)+(-8.88573+(-0.311355--2.98197))+0--198.2-0.505409999999971</f>
        <v>2628.7794749999998</v>
      </c>
      <c r="L91" s="3">
        <f>2810.8+(293-814.7)+(-2.867016+(-0.29886--0.830994))+0--200.9-0.204918000000032</f>
        <v>2487.4602000000004</v>
      </c>
      <c r="M91" s="3">
        <f>2756.6+(303.8-827.9)+(0+(0-0))+0--201.5-0</f>
        <v>2434</v>
      </c>
      <c r="N91" s="3">
        <f>2746.7+(306-760.6)+(-2.801634+(-0.31212--0.775812))+0--194.5-0.198390000000031</f>
        <v>2484.0636679999998</v>
      </c>
      <c r="O91" s="3">
        <f>2789.8+(267.1-702.8)+(2.845596+(0.272442-0.716856))+0--175.5--0.179010000000028</f>
        <v>2532.1801920000003</v>
      </c>
      <c r="P91" s="3">
        <f>3199.6+(104.3-896.7)+(1.631796+(0.053193-0.457317))+0--190.6--0.0972059999999807</f>
        <v>2599.1248779999996</v>
      </c>
      <c r="Q91" s="3">
        <f>3381+(31.3-875.7)+(3.44862+(0.031926-0.893214))+0--191.9--0.195738000000031</f>
        <v>2731.28307</v>
      </c>
      <c r="R91" s="3">
        <f>3465.5+(93.2-857)+(1.767405+(0.047532-0.43707))+0--194.6--0.0992459999999803</f>
        <v>2897.7771129999996</v>
      </c>
      <c r="S91" s="3">
        <f>3456.1+(168.1-790.1)+(-3.525222+(-0.171462--0.805902))+0--190-0.19380000000003</f>
        <v>3021.015418</v>
      </c>
      <c r="T91" s="3">
        <f>3564.9+(221.3-842)+(-5.454297+(-0.338589--1.28826))+0--183.9-0.281367000000011</f>
        <v>3123.3140069999999</v>
      </c>
      <c r="U91" s="3">
        <f>3602.7+(204.2-834.5)+(-1.837377+(-0.104142--0.425595))+0--183.3-0.0934829999999814</f>
        <v>3154.0905929999999</v>
      </c>
      <c r="V91" s="3">
        <f>3547.5+(185-809.9)+(3.61845+(0.1887-0.826098))+0--184.3--0.187986000000029</f>
        <v>3110.0690380000001</v>
      </c>
      <c r="W91" s="3">
        <f>3547.8+(129.9-896)+(-3.618756+(-0.132498--0.91392))+0--185.5-0.18921000000003</f>
        <v>2964.1734560000004</v>
      </c>
      <c r="X91" s="3">
        <f>3514.8+(160.1-1135.6)+(-7.170192+(-0.326604--2.316624))+0--187.6-0.382703999999992</f>
        <v>2721.3371240000001</v>
      </c>
      <c r="Y91" s="3">
        <f>3344.8+(201.3-1148.5)+(-3.411696+(-0.205326--1.17147))+0--189.7-0.19349400000003</f>
        <v>2584.6609539999999</v>
      </c>
      <c r="Z91" s="3">
        <f>3705.7+(25-1203.7)+(0+(0-0))+0--190.4-0</f>
        <v>2717.4</v>
      </c>
      <c r="AA91" s="3">
        <f>3866.7+(26.1-1197.1)+(-7.888068+(-0.053244--2.442084))+0--191.3-0.390251999999992</f>
        <v>2881.1105199999997</v>
      </c>
      <c r="AB91" s="3">
        <f>3885.7+(44.7-1188.5)+(-7.926828+(-0.091188--2.42454))+0--193.6-0.394943999999992</f>
        <v>2929.5115799999994</v>
      </c>
      <c r="AC91" s="3">
        <f>3814.9+(70.7-1114.2)+(-1.945599+(-0.036057--0.568242))+0--194.4-0.0991439999999803</f>
        <v>2964.2874420000003</v>
      </c>
      <c r="AD91" s="2">
        <v>2923.3</v>
      </c>
      <c r="AE91" s="3">
        <f>3855+(38-1182.7)+(0+(0-0))+0--213-0</f>
        <v>2923.3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3814.9+(78.8-1114.6)+(-3.891198+(-0.080376--1.136892))+0--194.4-0.198288000000031</f>
        <v>2970.4670300000002</v>
      </c>
      <c r="G92" s="3">
        <f>3833.8+(54.7-1181.3)+(-7.820952+(-0.111588--2.409852))+0--194.4-0.396575999999992</f>
        <v>2895.6807360000003</v>
      </c>
      <c r="H92" s="3">
        <f>3595.4+(136-1114.2)+(-5.500962+(-0.20808--1.704726))+0--195.5-0.299115000000011</f>
        <v>2808.396569</v>
      </c>
      <c r="I92" s="3">
        <f>3494.9+(145.9-1078.5)+(-7.129596+(-0.297636--2.20014))+0--196.4-0.400655999999991</f>
        <v>2753.0722520000004</v>
      </c>
      <c r="J92" s="3">
        <f>3503.9+(123.1-1133.6)+(1.786989+(0.062781-0.578136))+0--197.3--0.10062299999998</f>
        <v>2692.0722570000003</v>
      </c>
      <c r="K92" s="3">
        <f>3381.1+(197.2-1072.9)+(-6.897444+(-0.402288--2.188716))+0--199.4-0.406775999999991</f>
        <v>2699.2822080000001</v>
      </c>
      <c r="L92" s="3">
        <f>3091.4+(273.2-1031.7)+(6.306456+(0.557328-2.104668))+0--200.4--0.408815999999991</f>
        <v>2538.4679320000005</v>
      </c>
      <c r="M92" s="3">
        <f>2986.8+(278.4-988.9)+(0+(0-0))+0--199.3-0</f>
        <v>2475.6000000000004</v>
      </c>
      <c r="N92" s="3">
        <f>3258.8+(206.3-1074)+(3.323976+(0.210426-1.09548))+0--195.4--0.199308000000031</f>
        <v>2589.1382300000005</v>
      </c>
      <c r="O92" s="3">
        <f>3441.4+(139.1-1108)+(0+(0-0))+0--192.4-0</f>
        <v>2664.9</v>
      </c>
      <c r="P92" s="3">
        <f>3617.5+(75.4-1099.8)+(3.68985+(0.076908-1.121796))+0--189.4--0.19318800000003</f>
        <v>2785.3381500000005</v>
      </c>
      <c r="Q92" s="3">
        <f>3691.9+(66.1-1006.5)+(1.882869+(0.033711-0.513315))+0--188.4--0.0960839999999809</f>
        <v>2941.3993489999998</v>
      </c>
      <c r="R92" s="3">
        <f>3698.9+(115.3-910.1)+(1.886439+(0.058803-0.464151))+0--185.9--0.0948089999999811</f>
        <v>3091.5759000000003</v>
      </c>
      <c r="S92" s="3">
        <f>3707.7+(170.2-908.6)+(-9.454635+(-0.43401--2.31693))+0--185.1-0.472004999999973</f>
        <v>3146.3562799999995</v>
      </c>
      <c r="T92" s="3">
        <f>3718.7+(192.2-881.2)+(-3.793074+(-0.196044--0.898824))+0--184.8-0.188496000000029</f>
        <v>3211.2212099999997</v>
      </c>
      <c r="U92" s="3">
        <f>3698.3+(198.7-863.3)+(-9.430665+(-0.506685--2.201415))+0--183.9-0.468944999999973</f>
        <v>3209.3951200000001</v>
      </c>
      <c r="V92" s="3">
        <f>3681.6+(156.2-836.7)+(-3.755232+(-0.159324--0.853434))+0--185.9-0.18961800000003</f>
        <v>3183.74926</v>
      </c>
      <c r="W92" s="3">
        <f>3698.1+(68.3-913.4)+(-9.430155+(-0.174165--2.32917))+0--186.1-0.474554999999973</f>
        <v>3031.3502950000002</v>
      </c>
      <c r="X92" s="3">
        <f>3774.2+(97.4-1288.3)+(-9.62421+(-0.24837--3.285165))+0--187.5-0.478124999999973</f>
        <v>2763.7344600000001</v>
      </c>
      <c r="Y92" s="3">
        <f>3655.9+(122.9-1261.6)+(-7.458036+(-0.250716--2.573664))+0--186.2-0.379847999999992</f>
        <v>2697.8850640000001</v>
      </c>
      <c r="Z92" s="3">
        <f>3710.8+(17.6-1043)+(0+(0-0))+0--189-0</f>
        <v>2874.4</v>
      </c>
      <c r="AA92" s="3">
        <f>3969.2+(21.6-1129.1)+(-12.145752+(-0.066096--3.455046))+0--190.3-0.582318000000022</f>
        <v>3042.6608799999999</v>
      </c>
      <c r="AB92" s="3">
        <f>3988.9+(60.8-1162.1)+(-8.137356+(-0.124032--2.370684))+0--191.7-0.391067999999992</f>
        <v>3073.0182280000004</v>
      </c>
      <c r="AC92" s="3">
        <f>3969.2+(89.3-1124.7)+(-4.048584+(-0.091086--1.147194))+0--192.5-0.196350000000031</f>
        <v>3123.1111739999997</v>
      </c>
      <c r="AD92" s="2">
        <v>2922.5</v>
      </c>
      <c r="AE92" s="3">
        <f>3834+(55-1161.5)+(0+(0-0))+0--195-0</f>
        <v>2922.5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3848.1+(67.4-1127.3)+(-5.887593+(-0.103122--1.724769))+0--192.9-0.295137000000011</f>
        <v>2976.5389169999999</v>
      </c>
      <c r="G93" s="3">
        <f>3795.4+(80-1163.8)+(-7.742616+(-0.1632--2.374152))+0--193.3-0.394331999999992</f>
        <v>2898.9740040000006</v>
      </c>
      <c r="H93" s="3">
        <f>3745.3+(59.8-1182.6)+(-5.730309+(-0.091494--1.809378))+0--193.5-0.296055000000011</f>
        <v>2811.6915200000003</v>
      </c>
      <c r="I93" s="3">
        <f>3757+(25.2-1216.6)+(-1.91607+(-0.012852--0.620466))+0--194.4-0.0991439999999803</f>
        <v>2758.5924000000005</v>
      </c>
      <c r="J93" s="3">
        <f>3779.5+(26.6-1284)+(-3.85509+(-0.027132--1.30968))+0--196.2-0.200124000000031</f>
        <v>2715.5273339999999</v>
      </c>
      <c r="K93" s="3">
        <f>3634.3+(77.9-1254)+(-3.706986+(-0.079458--1.27908))+0--195-0.198900000000031</f>
        <v>2650.4937360000004</v>
      </c>
      <c r="L93" s="3">
        <f>3109.5+(189.7-1047.9)+(0+(0-0))+0--194-0</f>
        <v>2445.3000000000002</v>
      </c>
      <c r="M93" s="3">
        <f>3110.8+(159.6-985.5)+(1.586508+(0.081396-0.502605))+0--195.2--0.0995519999999802</f>
        <v>2481.3648509999998</v>
      </c>
      <c r="N93" s="3">
        <f>3268.7+(145.6-1033.6)+(3.334074+(0.148512-1.054272))+0--193.9--0.197778000000031</f>
        <v>2577.2260919999999</v>
      </c>
      <c r="O93" s="3">
        <f>3498.2+(89.2-1180.3)+(3.568164+(0.090984-1.203906))+0--190.9--0.19471800000003</f>
        <v>2600.6499600000002</v>
      </c>
      <c r="P93" s="3">
        <f>3643.6+(37-1124.9)+(0+(0-0))+0--189.8-0</f>
        <v>2745.5</v>
      </c>
      <c r="Q93" s="3">
        <f>3710.4+(60.3-1088.9)+(0+(0-0))+0--193.4-0</f>
        <v>2875.2000000000003</v>
      </c>
      <c r="R93" s="3">
        <f>3792.2+(136.3-1064.3)+(-9.67011+(-0.347565--2.713965))+0--189.4-0.482969999999973</f>
        <v>3045.8133199999997</v>
      </c>
      <c r="S93" s="3">
        <f>3764.5+(198.4-1001.6)+(-9.599475+(-0.50592--2.55408))+0--184.8-0.471239999999973</f>
        <v>3138.0774450000004</v>
      </c>
      <c r="T93" s="3">
        <f>3750.1+(283.4-991.9)+(-1.912551+(-0.144534--0.505869))+0--185.1-0.0944009999999812</f>
        <v>3225.0543830000001</v>
      </c>
      <c r="U93" s="3">
        <f>3735.4+(259.7-938.8)+(-7.620216+(-0.529788--1.915152))+0--185.9-0.379235999999992</f>
        <v>3235.585912</v>
      </c>
      <c r="V93" s="3">
        <f>3688.6+(229.9-899.4)+(-7.524744+(-0.468996--1.834776))+0--186.5-0.380459999999992</f>
        <v>3199.0605759999999</v>
      </c>
      <c r="W93" s="3">
        <f>3606.5+(138.8-892.8)+(-9.196575+(-0.35394--2.27664))+0--193.7-0.493934999999972</f>
        <v>3038.43219</v>
      </c>
      <c r="X93" s="3">
        <f>3463.6+(75.4-924.8)+(-8.83218+(-0.19227--2.35824))+0--186.8-0.476339999999973</f>
        <v>2793.85745</v>
      </c>
      <c r="Y93" s="3">
        <f>2878.7+(201.1-692.3)+(-1.468137+(-0.102561--0.353073))+0--138.3-0.070532999999986</f>
        <v>2524.5118419999999</v>
      </c>
      <c r="Z93" s="3">
        <f>3135.9+(161.6-750.5)+(0+(0-0))+0--137.3-0</f>
        <v>2684.3</v>
      </c>
      <c r="AA93" s="3">
        <f>3713.7+(86.7-1119.8)+(-7.575948+(-0.176868--2.284392))+0--197.9-0.403715999999991</f>
        <v>2872.6278600000001</v>
      </c>
      <c r="AB93" s="3">
        <f>3693.5+(111.4-1098.2)+(-5.651055+(-0.170442--1.680246))+0--201.4-0.308142000000012</f>
        <v>2903.650607</v>
      </c>
      <c r="AC93" s="3">
        <f>3646.4+(130.3-1044.1)+(-3.719328+(-0.132906--1.064982))+0--193.9-0.197778000000031</f>
        <v>2923.5149700000002</v>
      </c>
      <c r="AD93" s="2">
        <v>2883.2</v>
      </c>
      <c r="AE93" s="3">
        <f>3732.5+(86-1130.3)+(0+(0-0))+0--195-0</f>
        <v>2883.2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3589.7+(175-1034.9)+(-3.661494+(-0.1785--1.055598))+0--197.1-0.201042000000031</f>
        <v>2923.9145619999995</v>
      </c>
      <c r="G94" s="3">
        <f>3599.2+(144.1-1076.8)+(-3.671184+(-0.146982--1.098336))+0--197-0.200940000000031</f>
        <v>2860.5792299999998</v>
      </c>
      <c r="H94" s="3">
        <f>3603.4+(130.2-1143.5)+(3.675468+(0.132804-1.16637))+0--198.1--0.202062000000032</f>
        <v>2791.043964</v>
      </c>
      <c r="I94" s="3">
        <f>3529+(180.6-1090.4)+(-3.59958+(-0.184212--1.112208))+0--198.1-0.202062000000032</f>
        <v>2814.4263539999997</v>
      </c>
      <c r="J94" s="3">
        <f>3296.4+(204-1027.3)+(5.043492+(0.31212-1.571769))+0--199.3--0.304929000000012</f>
        <v>2676.4887720000006</v>
      </c>
      <c r="K94" s="3">
        <f>3236.9+(191.9-1028.3)+(-8.254095+(-0.489345--2.622165))+0--200.1-0.510254999999971</f>
        <v>2593.9684699999998</v>
      </c>
      <c r="L94" s="3">
        <f>3074.8+(155.7-1012)+(-1.568148+(-0.079407--0.51612))+0--195.7-0.0998069999999801</f>
        <v>2412.968758</v>
      </c>
      <c r="M94" s="3">
        <f>3030.3+(177.7-983.8)+(3.090906+(0.181254-1.003476))+0--195.1--0.199002000000031</f>
        <v>2421.7676860000001</v>
      </c>
      <c r="N94" s="3">
        <f>3212.4+(100.6-1005.3)+(3.276648+(0.102612-1.025406))+0--192.6--0.196452000000031</f>
        <v>2502.8503060000003</v>
      </c>
      <c r="O94" s="3">
        <f>3414.3+(85.3-1127)+(1.741293+(0.043503-0.57477))+0--191.1--0.0974609999999806</f>
        <v>2565.0074870000003</v>
      </c>
      <c r="P94" s="3">
        <f>3715.8+(27.4-1236)+(0+(0-0))+0--179.2-0</f>
        <v>2686.4</v>
      </c>
      <c r="Q94" s="3">
        <f>3786.5+(18-1175.4)+(5.793345+(0.02754-1.798362))+0--187.2--0.286416000000011</f>
        <v>2820.6089389999997</v>
      </c>
      <c r="R94" s="3">
        <f>3780.6+(90.8-1088.1)+(3.856212+(0.092616-1.109862))+0--184.9--0.188598000000029</f>
        <v>2971.2275640000003</v>
      </c>
      <c r="S94" s="3">
        <f>3761.8+(195.9-1057.5)+(-7.674072+(-0.399636--2.1573))+0--180.4-0.368015999999992</f>
        <v>3074.3155760000004</v>
      </c>
      <c r="T94" s="3">
        <f>3728.1+(229.8-971.9)+(-7.605324+(-0.468792--1.982676))+0--180.5-0.368219999999992</f>
        <v>3160.04034</v>
      </c>
      <c r="U94" s="3">
        <f>3729.4+(266.5-993.7)+(-1.901994+(-0.135915--0.506787))+0--184.4-0.0940439999999813</f>
        <v>3184.9748340000001</v>
      </c>
      <c r="V94" s="3">
        <f>3687+(209.9-958.2)+(-5.64111+(-0.321147--1.466046))+0--185.5-0.283815000000011</f>
        <v>3119.4199739999995</v>
      </c>
      <c r="W94" s="3">
        <f>3659.7+(116.6-1002.7)+(-9.332235+(-0.29733--2.556885))+0--188.4-0.480419999999973</f>
        <v>2954.4468999999999</v>
      </c>
      <c r="X94" s="3">
        <f>3502+(39.1-1193.6)+(-8.9301+(-0.099705--3.04368))+0--188.6-0.480929999999973</f>
        <v>2529.6329449999998</v>
      </c>
      <c r="Y94" s="3">
        <f>3408+(36.7-1159.3)+(-1.73808+(-0.018717--0.591243))+0--190.9-0.0973589999999806</f>
        <v>2475.0370870000002</v>
      </c>
      <c r="Z94" s="3">
        <f>3786.5+(12-1260.6)+(5.793345+(0.01836-1.928718))+0--191.3--0.292689000000011</f>
        <v>2733.3756760000001</v>
      </c>
      <c r="AA94" s="3">
        <f>3872.6+(53.8-1291)+(-5.925078+(-0.082314--1.97523))+0--193.6-0.296208000000011</f>
        <v>2824.6716299999994</v>
      </c>
      <c r="AB94" s="3">
        <f>3894.5+(54.1-1307.5)+(-9.930975+(-0.137955--3.334125))+0--194.5-0.495974999999972</f>
        <v>2828.36922</v>
      </c>
      <c r="AC94" s="3">
        <f>3860.6+(89.7-1267.1)+(-5.906718+(-0.137241--1.938663))+0--194.7-0.297891000000011</f>
        <v>2873.4968129999993</v>
      </c>
      <c r="AD94" s="2">
        <v>2829.7</v>
      </c>
      <c r="AE94" s="3">
        <f>3833.5+(65-1269.8)+(0+(0-0))+0--201-0</f>
        <v>2829.7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3825+(103.9-1212.7)+(-3.9015+(-0.105978--1.236954))+0--201.9-0.205938000000032</f>
        <v>2915.1235379999998</v>
      </c>
      <c r="G95" s="3">
        <f>3813.5+(79.4-1239.2)+(-7.77954+(-0.161976--2.527968))+0--202-0.412079999999991</f>
        <v>2849.8743719999998</v>
      </c>
      <c r="H95" s="3">
        <f>3709+(45.8-1185.2)+(-3.78318+(-0.046716--1.208904))+0--201-0.205020000000032</f>
        <v>2767.7739879999999</v>
      </c>
      <c r="I95" s="3">
        <f>3579+(63.2-1134.1)+(0+(0-0))+0--202.9-0</f>
        <v>2711.0000000000005</v>
      </c>
      <c r="J95" s="3">
        <f>3520.2+(72.9-1138.6)+(-7.181208+(-0.148716--2.322744))+0--203-0.414119999999991</f>
        <v>2652.0787</v>
      </c>
      <c r="K95" s="3">
        <f>3375.6+(117.8-1095.8)+(-8.60778+(-0.30039--2.79429))+0--203-0.517649999999971</f>
        <v>2593.9684700000003</v>
      </c>
      <c r="L95" s="3">
        <f>3047.5+(147.9-944.6)+(-7.771125+(-0.377145--2.40873))+0--141.1-0.35980499999998</f>
        <v>2385.800655</v>
      </c>
      <c r="M95" s="3">
        <f>2935.1+(146.4-890.4)+(-4.490703+(-0.223992--1.362312))+0--132.6-0.202878000000008</f>
        <v>2320.1447389999998</v>
      </c>
      <c r="N95" s="3">
        <f>2921.3+(181.3-745.9)+(-1.489863+(-0.092463--0.380409))+0--130-0.0662999999999868</f>
        <v>2485.4317830000005</v>
      </c>
      <c r="O95" s="3">
        <f>2958.6+(209.5-754.8)+(-3.017772+(-0.21369--0.769896))+0--129-0.131580000000021</f>
        <v>2539.706854</v>
      </c>
      <c r="P95" s="3">
        <f>3003.7+(206.2-689)+(1.531887+(0.105162-0.35139))+0--127.9--0.065228999999987</f>
        <v>2650.1508879999997</v>
      </c>
      <c r="Q95" s="3">
        <f>3197.4+(204-719.6)+(-1.630674+(-0.10404--0.366996))+0--127.1-0.0648209999999871</f>
        <v>2807.4674610000002</v>
      </c>
      <c r="R95" s="3">
        <f>3329.8+(209.4-724)+(-5.094594+(-0.320382--1.10772))+0--127-0.194310000000007</f>
        <v>2937.6984340000004</v>
      </c>
      <c r="S95" s="3">
        <f>3250.9+(332-741.7)+(-4.973877+(-0.50796--1.134801))+0--127.3-0.194769000000007</f>
        <v>2963.9581949999997</v>
      </c>
      <c r="T95" s="3">
        <f>3171.6+(485.7-572.5)+(-1.617516+(-0.247707--0.291975))+0--126.3-0.0644129999999872</f>
        <v>3209.4623389999997</v>
      </c>
      <c r="U95" s="3">
        <f>3119.6+(533.5-530.5)+(-3.181992+(-0.54417--0.54111))+0--126.2-0.12872400000002</f>
        <v>3245.4862239999998</v>
      </c>
      <c r="V95" s="3">
        <f>3109.8+(510.3-548.8)+(-4.757994+(-0.780759--0.839664))+0--126.6-0.193698000000007</f>
        <v>3193.0072129999999</v>
      </c>
      <c r="W95" s="3">
        <f>3289.1+(300.3-659)+(-6.709764+(-0.612612--1.34436))+0--127.1-0.259283999999994</f>
        <v>3051.2626999999998</v>
      </c>
      <c r="X95" s="3">
        <f>3212+(157.5-892.1)+(-4.91436+(-0.240975--1.364913))+0--127.5-0.195075000000007</f>
        <v>2600.914503</v>
      </c>
      <c r="Y95" s="3">
        <f>3222.1+(81.1-1033.4)+(-6.573084+(-0.165444--2.108136))+0--128.3-0.261731999999994</f>
        <v>2393.2078759999999</v>
      </c>
      <c r="Z95" s="3">
        <f>3508.6+(51.7-1149.5)+(0+(0-0))+0--144.4-0</f>
        <v>2555.2000000000003</v>
      </c>
      <c r="AA95" s="3">
        <f>3987.1+(18-1413.5)+(2.033421+(0.00918-0.720885))+0--186.8--0.0952679999999811</f>
        <v>2779.816984</v>
      </c>
      <c r="AB95" s="3">
        <f>4018.3+(18-1364.1)+(-8.197332+(-0.03672--2.782764))+0--188.2-0.383927999999992</f>
        <v>2854.5647839999997</v>
      </c>
      <c r="AC95" s="3">
        <f>3761.1+(89-1116.3)+(-5.754483+(-0.13617--1.707939))+0--190-0.290700000000011</f>
        <v>2919.3265860000001</v>
      </c>
      <c r="AD95" s="2">
        <v>2797.8</v>
      </c>
      <c r="AE95" s="3">
        <f>4016+(18-1426.6)+(0+(0-0))+0--190.4-0</f>
        <v>2797.8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3777.6+(101-1026.5)+(-3.853152+(-0.10302--1.04703))+0--197.5-0.201450000000031</f>
        <v>3046.4894079999999</v>
      </c>
      <c r="G96" s="3">
        <f>3788.8+(91.4-1097.4)+(-1.932288+(-0.046614--0.559674))+0--199.5-0.10174499999998</f>
        <v>2980.779027</v>
      </c>
      <c r="H96" s="3">
        <f>3811.7+(53.2-1171.3)+(-3.887934+(-0.054264--1.194726))+0--200.5-0.204510000000032</f>
        <v>2891.1480179999999</v>
      </c>
      <c r="I96" s="3">
        <f>3824.5+(15-1210.7)+(-3.90099+(-0.0153--1.234914))+0--201.7-0.205734000000032</f>
        <v>2827.6128899999999</v>
      </c>
      <c r="J96" s="3">
        <f>3778.4+(34.1-1235.8)+(-5.780952+(-0.052173--1.890774))+0--200.6-0.306918000000012</f>
        <v>2773.0507309999994</v>
      </c>
      <c r="K96" s="3">
        <f>3402.5+(134.8-1061.9)+(-8.676375+(-0.34374--2.707845))+0--201.6-0.514079999999971</f>
        <v>2670.1736499999997</v>
      </c>
      <c r="L96" s="3">
        <f>2982.2+(209.8-962.9)+(3.041844+(0.213996-0.982158))+0--195.6--0.199512000000031</f>
        <v>2427.173194</v>
      </c>
      <c r="M96" s="3">
        <f>3073.2+(270.5-1059.8)+(0+(0-0))+0--196.5-0</f>
        <v>2480.3999999999996</v>
      </c>
      <c r="N96" s="3">
        <f>3250.7+(220.7-1057.6)+(3.315714+(0.225114-1.078752))+0--195--0.198900000000031</f>
        <v>2611.4609759999998</v>
      </c>
      <c r="O96" s="3">
        <f>3459.2+(131.7-1098.2)+(0+(0-0))+0--192.9-0</f>
        <v>2685.6</v>
      </c>
      <c r="P96" s="3">
        <f>3699.3+(124.5-1203.8)+(1.886643+(0.063495-0.613938))+0--187--0.095369999999981</f>
        <v>2808.4315700000002</v>
      </c>
      <c r="Q96" s="3">
        <f>3714.1+(155.3-1108.5)+(3.788382+(0.158406-1.13067))+0--182--0.185640000000029</f>
        <v>2945.901758</v>
      </c>
      <c r="R96" s="3">
        <f>3722.2+(189-967.9)+(0+(0-0))+0--181.7-0</f>
        <v>3124.9999999999995</v>
      </c>
      <c r="S96" s="3">
        <f>3706.9+(202.7-946.5)+(-1.890519+(-0.103377--0.482715))+0--183.1-0.0933809999999814</f>
        <v>3144.5954380000003</v>
      </c>
      <c r="T96" s="3">
        <f>3695.5+(240-910.7)+(-3.76941+(-0.2448--0.928914))+0--194.1-0.197982000000031</f>
        <v>3215.6167219999998</v>
      </c>
      <c r="U96" s="3">
        <f>3807.4+(336.2-985.4)+(3.883548+(0.342924-1.005108))+0--193.4--0.197268000000031</f>
        <v>3355.0186319999998</v>
      </c>
      <c r="V96" s="3">
        <f>3768.9+(313.6-960.6)+(-5.766417+(-0.479808--1.469718))+0--194.5-0.297585000000011</f>
        <v>3311.3259080000003</v>
      </c>
      <c r="W96" s="3">
        <f>3756.7+(161.1-976.4)+(-9.579585+(-0.410805--2.48982))+0--196.4-0.500819999999972</f>
        <v>3129.7986099999998</v>
      </c>
      <c r="X96" s="3">
        <f>3772.7+(36.4-1115.9)+(-7.696308+(-0.074256--2.276436))+0--197.6-0.403103999999991</f>
        <v>2884.9027679999999</v>
      </c>
      <c r="Y96" s="3">
        <f>3702.4+(32-1259.9)+(-7.552896+(-0.06528--2.570196))+0--199.3-0.406571999999991</f>
        <v>2668.3454480000005</v>
      </c>
      <c r="Z96" s="3">
        <f>3702.9+(53.1-1134.3)+(3.776958+(0.054162-1.156986))+0--197.9--0.201858000000032</f>
        <v>2822.4759919999997</v>
      </c>
      <c r="AA96" s="3">
        <f>3841.3+(98.8-1138.5)+(-5.877189+(-0.151164--1.741905))+0--199-0.304470000000012</f>
        <v>2996.0090820000005</v>
      </c>
      <c r="AB96" s="3">
        <f>3877+(110.5-1158.3)+(1.97727+(0.056355-0.590733))+0--198.9--0.10143899999998</f>
        <v>3029.644331</v>
      </c>
      <c r="AC96" s="3">
        <f>3848+(129.2-1099)+(1.96248+(0.065892-0.56049))+0--200--0.10199999999998</f>
        <v>3079.7698819999996</v>
      </c>
      <c r="AD96" s="2">
        <v>3004.6</v>
      </c>
      <c r="AE96" s="3">
        <f>3823+(113.9-1129.2)+(0+(0-0))+0--196.9-0</f>
        <v>3004.6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3849.5+(135.6-1084.4)+(-7.85298+(-0.276624--2.212176))+0--196.6-0.401063999999991</f>
        <v>3090.9815079999994</v>
      </c>
      <c r="G97" s="3">
        <f>3880.2+(98.9-1160.5)+(-5.936706+(-0.151317--1.775565))+0--194.9-0.298197000000011</f>
        <v>3008.889345</v>
      </c>
      <c r="H97" s="3">
        <f>3906.2+(47.2-1226.8)+(1.992162+(0.024072-0.625668))+0--193.9--0.0988889999999803</f>
        <v>2921.9894549999999</v>
      </c>
      <c r="I97" s="3">
        <f>3677+(111.4-1124.5)+(7.50108+(0.227256-2.29398))+0--191.5--0.390659999999992</f>
        <v>2861.2250160000003</v>
      </c>
      <c r="J97" s="3">
        <f>3502.3+(160.4-1018.3)+(-8.930865+(-0.40902--2.596665))+0--172.4-0.439619999999975</f>
        <v>2809.6171600000002</v>
      </c>
      <c r="K97" s="3">
        <f>3342.7+(197.2-931.3)+(-8.523885+(-0.50286--2.374815))+0--126.9-0.323594999999982</f>
        <v>2728.5244750000002</v>
      </c>
      <c r="L97" s="3">
        <f>3220+(145.5-957.7)+(-4.9266+(-0.222615--1.465281))+0--128.7-0.196911000000007</f>
        <v>2532.6191549999999</v>
      </c>
      <c r="M97" s="3">
        <f>3119+(131.2-849.8)+(4.77207+(0.200736-1.300194))+0--132.8--0.203184000000008</f>
        <v>2537.0757960000001</v>
      </c>
      <c r="N97" s="3">
        <f>2957.1+(248-726.4)+(1.508121+(0.12648-0.370464))+0--132.5--0.0675749999999866</f>
        <v>2612.531712</v>
      </c>
      <c r="O97" s="3">
        <f>3270.5+(149.2-856.1)+(1.667955+(0.076092-0.436611))+0--139.5--0.0711449999999858</f>
        <v>2704.4785809999998</v>
      </c>
      <c r="P97" s="3">
        <f>3657.7+(15-1047.3)+(5.596281+(0.02295-1.602369))+0--190.5--0.291465000000011</f>
        <v>2820.2083269999994</v>
      </c>
      <c r="Q97" s="3">
        <f>3682.6+(67.4-958.8)+(0+(0-0))+0--188.2-0</f>
        <v>2979.3999999999996</v>
      </c>
      <c r="R97" s="3">
        <f>3660.4+(186.3-871.9)+(-7.467216+(-0.380052--1.778676))+0--186-0.379439999999992</f>
        <v>3154.3519679999999</v>
      </c>
      <c r="S97" s="3">
        <f>3659.6+(283-886.3)+(-7.465584+(-0.57732--1.808052))+0--184.7-0.376787999999992</f>
        <v>3234.3883599999999</v>
      </c>
      <c r="T97" s="3">
        <f>3614.1+(326.6-791.5)+(0+(0-0))+0--186.8-0</f>
        <v>3336</v>
      </c>
      <c r="U97" s="3">
        <f>3518+(370.9-714.9)+(-1.79418+(-0.189159--0.364599))+0--184.3-0.0939929999999813</f>
        <v>3356.5872670000003</v>
      </c>
      <c r="V97" s="3">
        <f>3502.4+(315.5-697.8)+(-5.358672+(-0.482715--1.067634))+0--186-0.284580000000011</f>
        <v>3301.0416670000004</v>
      </c>
      <c r="W97" s="3">
        <f>3480+(193-717.5)+(-8.874+(-0.49215--1.829625))+0--188.8-0.481439999999973</f>
        <v>3136.2820350000002</v>
      </c>
      <c r="X97" s="3">
        <f>3501.4+(128.7-942.9)+(-7.142856+(-0.262548--1.923516))+0--187.5-0.382499999999992</f>
        <v>2868.8356119999999</v>
      </c>
      <c r="Y97" s="3">
        <f>3317.4+(137.5-995)+(-6.767496+(-0.2805--2.0298))+0--190.8-0.389231999999992</f>
        <v>2645.2925720000003</v>
      </c>
      <c r="Z97" s="3">
        <f>3595.7+(33.8-1029.5)+(1.833807+(0.017238-0.525045))+0--191.2--0.0975119999999806</f>
        <v>2792.6235119999997</v>
      </c>
      <c r="AA97" s="3">
        <f>4001+(43.4-1245.2)+(-2.04051+(-0.022134--0.635052))+0--190.1-0.0969509999999807</f>
        <v>2987.7754569999997</v>
      </c>
      <c r="AB97" s="3">
        <f>4030.5+(50.7-1242.1)+(-10.277775+(-0.129285--3.167355))+0--190.8-0.486539999999972</f>
        <v>3022.1737550000007</v>
      </c>
      <c r="AC97" s="3">
        <f>4032.2+(81.1-1242.4)+(-4.112844+(-0.082722--1.267248))+0--192.7-0.196554000000031</f>
        <v>3060.4751279999991</v>
      </c>
      <c r="AD97" s="2">
        <v>2980.4</v>
      </c>
      <c r="AE97" s="3">
        <f>3987+(45.6-1241.6)+(0+(0-0))+0--189.4-0</f>
        <v>2980.4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3991.3+(96.8-1198.1)+(-8.142252+(-0.197472--2.444124))+0--196.3-0.400451999999991</f>
        <v>3080.0039480000005</v>
      </c>
      <c r="G98" s="3">
        <f>3890.5+(98.8-1157.3)+(-5.952465+(-0.151164--1.770669))+0--196.4-0.300492000000011</f>
        <v>3023.7665480000001</v>
      </c>
      <c r="H98" s="3">
        <f>3626.5+(128.8-1041.6)+(-7.39806+(-0.262752--2.124864))+0--197.4-0.402695999999991</f>
        <v>2905.1613559999996</v>
      </c>
      <c r="I98" s="3">
        <f>3577.7+(103.2-1036.8)+(-1.824627+(-0.052632--0.528768))+0--199.4-0.10169399999998</f>
        <v>2842.0498149999999</v>
      </c>
      <c r="J98" s="3">
        <f>3576+(69.7-1052.4)+(-7.29504+(-0.142188--2.146896))+0--199.3-0.406571999999991</f>
        <v>2786.9030960000005</v>
      </c>
      <c r="K98" s="3">
        <f>3449.8+(111.1-1025.8)+(-8.79699+(-0.283305--2.61579))+0--200.4-0.511019999999971</f>
        <v>2728.5244750000006</v>
      </c>
      <c r="L98" s="3">
        <f>3091+(164.5-852)+(-4.72923+(-0.251685--1.30356))+0--132.9-0.203337000000008</f>
        <v>2532.5193080000004</v>
      </c>
      <c r="M98" s="3">
        <f>2913.8+(220.7-751.8)+(2.972076+(0.225114-0.766836))+0--133.5--0.136170000000021</f>
        <v>2518.7665240000006</v>
      </c>
      <c r="N98" s="3">
        <f>3349.3+(92.4-946.5)+(3.416286+(0.094248-0.96543))+0--131.4--0.134028000000021</f>
        <v>2629.2791320000001</v>
      </c>
      <c r="O98" s="3">
        <f>3587.7+(24.5-1076.6)+(0+(0-0))+0--158.8-0</f>
        <v>2694.4</v>
      </c>
      <c r="P98" s="3">
        <f>3642.5+(18.6-1049)+(0+(0-0))+0--185.7-0</f>
        <v>2797.7999999999997</v>
      </c>
      <c r="Q98" s="3">
        <f>3712.3+(61.5-1010.4)+(3.786546+(0.06273-1.030608))+0--183.6--0.187272000000029</f>
        <v>2950.00594</v>
      </c>
      <c r="R98" s="3">
        <f>3739.8+(120.2-926)+(5.721894+(0.183906-1.41678))+0--183.7--0.281061000000011</f>
        <v>3122.4700809999999</v>
      </c>
      <c r="S98" s="3">
        <f>3775.4+(211.1-958)+(-7.701816+(-0.430644--1.95432))+0--181.9-0.371075999999992</f>
        <v>3203.8507840000002</v>
      </c>
      <c r="T98" s="3">
        <f>3792.7+(245.4-938.4)+(1.934277+(0.125154-0.478584))+0--183.3--0.0934829999999814</f>
        <v>3284.6743300000003</v>
      </c>
      <c r="U98" s="3">
        <f>3805.9+(241.7-906.1)+(-9.705045+(-0.616335--2.310555))+0--183.2-0.467159999999973</f>
        <v>3316.2220149999998</v>
      </c>
      <c r="V98" s="3">
        <f>3783.5+(181.8-867.3)+(-7.71834+(-0.370872--1.769292))+0--187.7-0.382907999999992</f>
        <v>3278.9971719999999</v>
      </c>
      <c r="W98" s="3">
        <f>3776.8+(103.2-919.9)+(-11.557008+(-0.315792--2.814894))+0--189.3-0.579258000000022</f>
        <v>3139.7628360000003</v>
      </c>
      <c r="X98" s="3">
        <f>3777.2+(58.1-1164.8)+(-11.558232+(-0.177786--3.564288))+0--191.6-0.586296000000022</f>
        <v>2853.3419739999999</v>
      </c>
      <c r="Y98" s="3">
        <f>3576.6+(128.4-1276.3)+(-9.12033+(-0.32742--3.254565))+0--194.7-0.496484999999972</f>
        <v>2616.7103299999994</v>
      </c>
      <c r="Z98" s="3">
        <f>3753.3+(18.1-1204.4)+(-1.914183+(-0.009231--0.614244))+0--194.2-0.0990419999999803</f>
        <v>2759.791788</v>
      </c>
      <c r="AA98" s="3">
        <f>3987.3+(37.9-1276.9)+(-4.067046+(-0.038658--1.302438))+0--194.6-0.198492000000031</f>
        <v>2939.8982420000002</v>
      </c>
      <c r="AB98" s="3">
        <f>4034.5+(31.4-1294.1)+(-2.057595+(-0.016014--0.659991))+0--196.2-0.10006199999998</f>
        <v>2966.48632</v>
      </c>
      <c r="AC98" s="3">
        <f>3979.5+(67.7-1252.4)+(-4.05909+(-0.069054--1.277448))+0--197.4-0.201348000000031</f>
        <v>2989.1479560000002</v>
      </c>
      <c r="AD98" s="2">
        <v>2931.1</v>
      </c>
      <c r="AE98" s="3">
        <f>3982+(25.2-1270.1)+(0+(0-0))+0--194-0</f>
        <v>2931.1000000000004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3959.2+(63.8-1194)+(-8.076768+(-0.130152--2.43576))+0--203.6-0.415343999999991</f>
        <v>3026.4134960000001</v>
      </c>
      <c r="G99" s="3">
        <f>3904.1+(41.6-1193.4)+(-3.982182+(-0.042432--1.217268))+0--204.5-0.208590000000033</f>
        <v>2953.7840639999995</v>
      </c>
      <c r="H99" s="3">
        <f>3692.1+(56.8-1080)+(-7.531884+(-0.115872--2.2032))+0--204.8-0.417791999999991</f>
        <v>2867.8376519999997</v>
      </c>
      <c r="I99" s="3">
        <f>3551.9+(89.2-1033.8)+(-9.057345+(-0.22746--2.63619))+0--205.8-0.52478999999997</f>
        <v>2805.9265950000004</v>
      </c>
      <c r="J99" s="3">
        <f>3328.3+(136.8-927.3)+(3.394866+(0.139536-0.945846))+0--203.9--0.207978000000033</f>
        <v>2744.4965340000003</v>
      </c>
      <c r="K99" s="3">
        <f>3171.3+(189.7-880.2)+(-8.086815+(-0.483735--2.24451))+0--183.8-0.468689999999973</f>
        <v>2657.8052700000003</v>
      </c>
      <c r="L99" s="3">
        <f>2966.2+(204.1-865.6)+(-7.56381+(-0.520455--2.20728))+0--184-0.469199999999973</f>
        <v>2482.3538149999999</v>
      </c>
      <c r="M99" s="3">
        <f>3026.6+(189.5-913.4)+(3.087132+(0.19329-0.931668))+0--182.2--0.185844000000029</f>
        <v>2487.4345979999998</v>
      </c>
      <c r="N99" s="3">
        <f>3160.4+(154.8-906.7)+(1.611804+(0.078948-0.462417))+0--186.1--0.0949109999999811</f>
        <v>2595.9232459999998</v>
      </c>
      <c r="O99" s="3">
        <f>3656.3+(70-1138.3)+(-1.864713+(-0.0357--0.580533))+0--182.8-0.0932279999999815</f>
        <v>2769.386892</v>
      </c>
      <c r="P99" s="3">
        <f>3723+(32.3-1103.4)+(1.89873+(0.016473-0.562734))+0--183.5--0.0935849999999814</f>
        <v>2836.8460539999996</v>
      </c>
      <c r="Q99" s="3">
        <f>3816.1+(31.6-1103.9)+(-5.838633+(-0.048348--1.688967))+21.3--203.5-0.311355000000012</f>
        <v>2964.090631</v>
      </c>
      <c r="R99" s="3">
        <f>3847.2+(93-1092.9)+(-3.924144+(-0.09486--1.114758))+0--186.5-0.19023000000003</f>
        <v>3030.7055239999995</v>
      </c>
      <c r="S99" s="3">
        <f>3811+(169.2-996.9)+(-13.60527+(-0.604044--3.558933))+0--187.3-0.668661000000003</f>
        <v>3159.2809580000003</v>
      </c>
      <c r="T99" s="3">
        <f>3832+(204.7-951)+(-1.95432+(-0.104397--0.48501))+0--188.1-0.0959309999999809</f>
        <v>3272.1303619999999</v>
      </c>
      <c r="U99" s="3">
        <f>3784.8+(191.7-903.8)+(0+(0-0))+0--188.2-0</f>
        <v>3260.9</v>
      </c>
      <c r="V99" s="3">
        <f>3788.5+(167.7-903.7)+(-5.796405+(-0.256581--1.382661))+0--188.6-0.288558000000011</f>
        <v>3236.1411169999997</v>
      </c>
      <c r="W99" s="3">
        <f>3790.8+(64.2-956.7)+(-7.733232+(-0.130968--1.951668))+0--188.8-0.385151999999992</f>
        <v>3080.8023160000007</v>
      </c>
      <c r="X99" s="3">
        <f>3732.6+(85.5-1161.6)+(-5.710878+(-0.130815--1.777248))+0--190.7-0.291771000000011</f>
        <v>2842.8437839999997</v>
      </c>
      <c r="Y99" s="3">
        <f>3262.5+(167.1-990.5)+(-3.32775+(-0.170442--1.01031))+0--189.2-0.19298400000003</f>
        <v>2625.6191339999996</v>
      </c>
      <c r="Z99" s="3">
        <f>3356.8+(45.3-868.2)+(-1.711968+(-0.023103--0.442782))+0--189.7-0.0967469999999808</f>
        <v>2722.2109639999999</v>
      </c>
      <c r="AA99" s="3">
        <f>3959.7+(13-1261.1)+(-6.058341+(-0.01989--1.929483))+0--192.4-0.294372000000011</f>
        <v>2899.5568800000001</v>
      </c>
      <c r="AB99" s="3">
        <f>4048.2+(17.9-1313.9)+(-8.258328+(-0.036516--2.680356))+0--193.9-0.395555999999992</f>
        <v>2940.0899559999998</v>
      </c>
      <c r="AC99" s="3">
        <f>4000.9+(30.7-1274)+(-4.080918+(-0.031314--1.29948))+0--193.3-0.197166000000031</f>
        <v>2947.8900820000008</v>
      </c>
      <c r="AD99" s="2">
        <v>2950.1</v>
      </c>
      <c r="AE99" s="3">
        <f>4024+(18.4-1287.9)+(0+(0-0))+0--195.6-0</f>
        <v>2950.1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4003.4+(55.3-1295.7)+(-2.041734+(-0.028203--0.660807))+0--200.4-0.10220399999998</f>
        <v>2961.8886660000003</v>
      </c>
      <c r="G100" s="3">
        <f>4012.1+(53.5-1359.8)+(-6.138513+(-0.081855--2.080494))+0--199.5-0.305235000000012</f>
        <v>2900.8548910000004</v>
      </c>
      <c r="H100" s="3">
        <f>4035.7+(21.2-1437)+(-6.174621+(-0.032436--2.19861))+0--200.6-0.306918000000012</f>
        <v>2816.1846349999992</v>
      </c>
      <c r="I100" s="3">
        <f>4045.8+(16.3-1490.3)+(0+(0-0))+0--200.7-0</f>
        <v>2772.5</v>
      </c>
      <c r="J100" s="3">
        <f>3787+(16-1307.2)+(-9.65685+(-0.0408--3.33336))+0--201-0.512549999999971</f>
        <v>2689.9231600000003</v>
      </c>
      <c r="K100" s="3">
        <f>3532.2+(62.2-1144.7)+(-7.205688+(-0.126888--2.335188))+0--200.8-0.409631999999991</f>
        <v>2645.0929800000004</v>
      </c>
      <c r="L100" s="3">
        <f>3079.3+(179.5-1018.4)+(-4.711329+(-0.274635--1.558152))+0--203.9-0.311967000000012</f>
        <v>2440.5602210000002</v>
      </c>
      <c r="M100" s="3">
        <f>3151.9+(171.9-1076.7)+(3.214938+(0.175338-1.098234))+0--202.3--0.206346000000032</f>
        <v>2451.8983880000001</v>
      </c>
      <c r="N100" s="3">
        <f>3367.4+(114.2-1128.4)+(3.434748+(0.116484-1.150968))+0--197.9--0.201858000000032</f>
        <v>2553.7021219999997</v>
      </c>
      <c r="O100" s="3">
        <f>3548.3+(67.1-1204.3)+(-3.619266+(-0.068442--1.228386))+0--194.4-0.198288000000031</f>
        <v>2602.8423900000003</v>
      </c>
      <c r="P100" s="3">
        <f>3794.4+(25-1288.8)+(0+(0-0))+0--193.5-0</f>
        <v>2724.1000000000004</v>
      </c>
      <c r="Q100" s="3">
        <f>3811.7+(18-1126.6)+(5.831901+(0.02754-1.723698))+0--191.8--0.293454000000011</f>
        <v>2899.329197</v>
      </c>
      <c r="R100" s="3">
        <f>3799.1+(85.7-1010.8)+(-1.937541+(-0.043707--0.515508))+0--192.5-0.0981749999999805</f>
        <v>3064.9360849999998</v>
      </c>
      <c r="S100" s="3">
        <f>3792+(149.1-977.5)+(-3.86784+(-0.152082--0.99705))+0--190.7-0.19451400000003</f>
        <v>3151.0826139999995</v>
      </c>
      <c r="T100" s="3">
        <f>3787+(169.1-973)+(-1.93137+(-0.086241--0.49623))+0--190.6-0.0972059999999807</f>
        <v>3172.0814129999999</v>
      </c>
      <c r="U100" s="3">
        <f>3736.6+(178.9-913.8)+(5.716998+(0.273717-1.398114))+0--190--0.290700000000011</f>
        <v>3196.5833009999997</v>
      </c>
      <c r="V100" s="3">
        <f>3662.8+(173.7-894.4)+(-3.736056+(-0.177174--0.912288))+0--191.7-0.195534000000031</f>
        <v>3130.6035240000001</v>
      </c>
      <c r="W100" s="3">
        <f>3683.2+(68.8-967.9)+(-5.635296+(-0.105264--1.480887))+0--192.5-0.294525000000011</f>
        <v>2972.0458020000001</v>
      </c>
      <c r="X100" s="3">
        <f>3756.7+(63.6-1220.1)+(-11.495502+(-0.194616--3.733506))+0--193.4-0.591804000000022</f>
        <v>2785.0515839999998</v>
      </c>
      <c r="Y100" s="3">
        <f>3498.9+(164.3-1116.9)+(-7.137756+(-0.335172--2.278476))+0--194.2-0.396167999999991</f>
        <v>2734.9093799999996</v>
      </c>
      <c r="Z100" s="3">
        <f>3628+(38.4-1046.3)+(3.70056+(0.039168-1.067226))+0--194.6--0.198492000000031</f>
        <v>2817.5709939999997</v>
      </c>
      <c r="AA100" s="3">
        <f>3935.3+(37.4-1221.4)+(-4.014006+(-0.038148--1.245828))+0--195.5-0.199410000000031</f>
        <v>2943.7942640000001</v>
      </c>
      <c r="AB100" s="3">
        <f>3954+(50.8-1234.5)+(2.01654+(0.025908-0.629595))+0--197.1--0.10052099999998</f>
        <v>2968.9133739999997</v>
      </c>
      <c r="AC100" s="3">
        <f>3927.6+(70-1192.2)+(0+(0-0))+0--198-0</f>
        <v>3003.3999999999996</v>
      </c>
      <c r="AD100" s="2">
        <v>2930.3</v>
      </c>
      <c r="AE100" s="3">
        <f>3940+(43-1247)+(0+(0-0))+0--194.3-0</f>
        <v>2930.3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3931.8+(82.1-1202)+(2.005218+(0.041871-0.61302))+0--200--0.10199999999998</f>
        <v>3013.4360689999999</v>
      </c>
      <c r="G101" s="3">
        <f>3967.3+(23-1244.9)+(4.046646+(0.02346-1.269798))+0--200--0.204000000000032</f>
        <v>2948.4043080000001</v>
      </c>
      <c r="H101" s="3">
        <f>3927.6+(26-1304)+(0+(0-0))+0--201-0</f>
        <v>2850.6</v>
      </c>
      <c r="I101" s="3">
        <f>3695+(48.6-1179.6)+(1.88445+(0.024786-0.601596))+0--200.9--0.10245899999998</f>
        <v>2766.3100990000003</v>
      </c>
      <c r="J101" s="3">
        <f>3622.9+(63.5-1158.5)+(1.847679+(0.032385-0.590835))+0--202--0.10301999999998</f>
        <v>2731.2922490000001</v>
      </c>
      <c r="K101" s="3">
        <f>3428.9+(123.7-1102.3)+(-3.497478+(-0.126174--1.124346))+0--201-0.205020000000032</f>
        <v>2648.5956740000001</v>
      </c>
      <c r="L101" s="3">
        <f>3117.3+(171.9-1036.3)+(-3.179646+(-0.175338--1.057026))+0--201-0.205020000000032</f>
        <v>2451.3970220000001</v>
      </c>
      <c r="M101" s="3">
        <f>3069.1+(154.9-978.5)+(4.695723+(0.236997-1.497105))+0--202.1--0.309213000000012</f>
        <v>2451.3448279999998</v>
      </c>
      <c r="N101" s="3">
        <f>3400.6+(95.9-1134.6)+(8.67153+(0.244545-2.89323))+0--202.6--0.516629999999971</f>
        <v>2571.039475</v>
      </c>
      <c r="O101" s="3">
        <f>3669.9+(38.7-1247.9)+(7.486596+(0.078948-2.545716))+0--198.7--0.405347999999991</f>
        <v>2664.8251759999994</v>
      </c>
      <c r="P101" s="3">
        <f>3864.5+(10-1295.5)+(7.88358+(0.0204-2.64282))+0--193.3--0.394331999999992</f>
        <v>2777.955492</v>
      </c>
      <c r="Q101" s="3">
        <f>3841.6+(10-1162.7)+(5.877648+(0.0153-1.778931))+0--191.1--0.292383000000011</f>
        <v>2884.4063999999994</v>
      </c>
      <c r="R101" s="3">
        <f>3909+(54.3-1119.1)+(7.97436+(0.110772-2.282964))+0--192.5--0.392699999999992</f>
        <v>3042.8948679999999</v>
      </c>
      <c r="S101" s="3">
        <f>3934+(106.7-1097.7)+(-10.0317+(-0.272085--2.799135))+0--193-0.492149999999972</f>
        <v>3128.0032000000001</v>
      </c>
      <c r="T101" s="3">
        <f>3938.1+(184.8-1114.9)+(0+(0-0))+0--192.4-0</f>
        <v>3200.4</v>
      </c>
      <c r="U101" s="3">
        <f>3836.7+(194.2-999)+(0+(0-0))+0--193-0</f>
        <v>3224.8999999999996</v>
      </c>
      <c r="V101" s="3">
        <f>3767+(175.7-977.2)+(0+(0-0))+0--194.2-0</f>
        <v>3159.7</v>
      </c>
      <c r="W101" s="3">
        <f>3769.2+(80.1-1045.9)+(-7.689168+(-0.163404--2.133636))+0--193.4-0.394535999999992</f>
        <v>2990.6865279999997</v>
      </c>
      <c r="X101" s="3">
        <f>3785.3+(77.9-1306.7)+(-11.583018+(-0.238374--3.998502))+0--194.3-0.594558000000022</f>
        <v>2742.382552</v>
      </c>
      <c r="Y101" s="3">
        <f>3618.6+(72.2-1306.8)+(-7.381944+(-0.147288--2.665872))+0--195.2-0.398207999999991</f>
        <v>2573.9384319999999</v>
      </c>
      <c r="Z101" s="3">
        <f>3749.3+(19-1221.5)+(3.824286+(0.01938-1.24593))+0--195.8--0.199716000000031</f>
        <v>2745.3974520000006</v>
      </c>
      <c r="AA101" s="3">
        <f>3948.3+(35.4-1260.2)+(-14.095431+(-0.126378--4.498914))+0--198.7-0.709359000000003</f>
        <v>2911.767746</v>
      </c>
      <c r="AB101" s="3">
        <f>3956.9+(35.5-1267.8)+(-6.054057+(-0.054315--1.939734))+0--198.8-0.304164000000011</f>
        <v>2918.9271980000003</v>
      </c>
      <c r="AC101" s="3">
        <f>3955.5+(65.4-1237.9)+(-8.06922+(-0.133416--2.525316))+0--199.8-0.407591999999991</f>
        <v>2976.7150880000004</v>
      </c>
      <c r="AD101" s="2">
        <v>2910.2</v>
      </c>
      <c r="AE101" s="3">
        <f>3937+(43-1268.8)+(0+(0-0))+0--199-0</f>
        <v>2910.2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3972.9+(69.5-1255.4)+(4.052358+(0.07089-1.280508))+0--199.5--0.203490000000032</f>
        <v>2989.5462299999999</v>
      </c>
      <c r="G102" s="3">
        <f>3986.6+(42.4-1291.7)+(-8.132664+(-0.086496--2.635068))+0--200.5-0.409019999999991</f>
        <v>2931.8068880000001</v>
      </c>
      <c r="H102" s="3">
        <f>4013.1+(10-1363.5)+(-6.140043+(-0.0153--2.086155))+0--200.7-0.307071000000012</f>
        <v>2855.9237409999996</v>
      </c>
      <c r="I102" s="3">
        <f>3933.7+(10-1342.8)+(-4.012374+(-0.0102--1.369656))+0--201.9-0.205938000000032</f>
        <v>2799.9411439999994</v>
      </c>
      <c r="J102" s="3">
        <f>3616.6+(60.1-1117.4)+(-3.688932+(-0.061302--1.139748))+0--203.6-0.207672000000032</f>
        <v>2760.0818419999996</v>
      </c>
      <c r="K102" s="3">
        <f>3142+(188.7-861.3)+(-4.80726+(-0.288711--1.317789))+0--205.3-0.314109000000012</f>
        <v>2670.6077090000003</v>
      </c>
      <c r="L102" s="3">
        <f>2989.4+(181.2-891)+(-7.62297+(-0.46206--2.27205))+0--205.6-0.52427999999997</f>
        <v>2478.86274</v>
      </c>
      <c r="M102" s="3">
        <f>2900.5+(175.5-880)+(-1.479255+(-0.089505--0.4488))+0--205.5-0.104804999999979</f>
        <v>2400.2752350000001</v>
      </c>
      <c r="N102" s="3">
        <f>3031.6+(96.6-898.5)+(-3.092232+(-0.098532--0.91647))+0--202.8-0.206856000000032</f>
        <v>2430.0188499999999</v>
      </c>
      <c r="O102" s="3">
        <f>3112.1+(41.3-855.9)+(-4.761513+(-0.063189--1.309527))+0--200.3-0.306459000000012</f>
        <v>2493.9783660000003</v>
      </c>
      <c r="P102" s="3">
        <f>3459.1+(10-1065.7)+(0+(0-0))+0--196.8-0</f>
        <v>2600.1999999999998</v>
      </c>
      <c r="Q102" s="3">
        <f>3807+(10-1272.7)+(3.88314+(0.0102-1.298154))+0--194.9--0.198798000000031</f>
        <v>2741.9939840000002</v>
      </c>
      <c r="R102" s="3">
        <f>3818.2+(47.2-1142.5)+(1.947282+(0.024072-0.582675))+0--194.5--0.0991949999999803</f>
        <v>2918.8878739999996</v>
      </c>
      <c r="S102" s="3">
        <f>3728.3+(142.2-1045.3)+(1.901433+(0.072522-0.533103))+0--194.8--0.0993479999999802</f>
        <v>3021.5402000000008</v>
      </c>
      <c r="T102" s="3">
        <f>3708.3+(210.1-1027)+(-1.891233+(-0.107151--0.52377))+0--195.7-0.0998069999999801</f>
        <v>3085.5255789999997</v>
      </c>
      <c r="U102" s="3">
        <f>3710+(263-1061.9)+(-1.8921+(-0.13413--0.541569))+0--195.4-0.0996539999999802</f>
        <v>3104.9156849999999</v>
      </c>
      <c r="V102" s="3">
        <f>3333.8+(326.8-801.2)+(1.700238+(0.166668-0.408612))+0--195.2--0.0995519999999802</f>
        <v>3056.1578460000001</v>
      </c>
      <c r="W102" s="3">
        <f>3449+(113.5-862.3)+(-8.79495+(-0.289425--2.198865))+0--196.4-0.500819999999972</f>
        <v>2889.2136700000001</v>
      </c>
      <c r="X102" s="3">
        <f>3415.1+(67.1-1020.5)+(-8.708505+(-0.171105--2.602275))+0--197.2-0.502859999999971</f>
        <v>2652.1198049999994</v>
      </c>
      <c r="Y102" s="3">
        <f>3185.2+(62.1-962.2)+(-1.624452+(-0.031671--0.490722))+0--196.9-0.10041899999998</f>
        <v>2480.7341799999999</v>
      </c>
      <c r="Z102" s="3">
        <f>3481.9+(44-1057)+(-3.551538+(-0.04488--1.07814))+0--197.7-0.201654000000032</f>
        <v>2663.8800679999999</v>
      </c>
      <c r="AA102" s="3">
        <f>3857.2+(36.6-1287)+(-9.83586+(-0.09333--3.28185))+0--198.9-0.507194999999971</f>
        <v>2798.5454649999997</v>
      </c>
      <c r="AB102" s="3">
        <f>3882.4+(51.8-1287.2)+(-1.980024+(-0.026418--0.656472))+0--199.2-0.10159199999998</f>
        <v>2844.7484379999996</v>
      </c>
      <c r="AC102" s="3">
        <f>3787+(81.8-1219.6)+(-5.79411+(-0.125154--1.865988))+0--199.7-0.305541000000012</f>
        <v>2844.5411829999994</v>
      </c>
      <c r="AD102" s="2">
        <v>2858.7999999999997</v>
      </c>
      <c r="AE102" s="3">
        <f>3898+(54.4-1293.2)+(0+(0-0))+0--199.6-0</f>
        <v>2858.7999999999997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3850.4+(80.6-1191.4)+(0+(0-0))+0--200.3-0</f>
        <v>2939.9</v>
      </c>
      <c r="G103" s="3">
        <f>3914.8+(60.1-1282.6)+(-1.996548+(-0.030651--0.654126))+0--201.5-0.10276499999998</f>
        <v>2892.3241619999999</v>
      </c>
      <c r="H103" s="3">
        <f>3936.4+(22.2-1332)+(2.007564+(0.011322-0.67932))+0--201.8--0.10291799999998</f>
        <v>2829.8424840000007</v>
      </c>
      <c r="I103" s="3">
        <f>3909.9+(8.5-1343.1)+(0+(0-0))+0--202.7-0</f>
        <v>2778</v>
      </c>
      <c r="J103" s="3">
        <f>3876.9+(4.7-1328.8)+(-3.954438+(-0.004794--1.355376))+0--202.5-0.206550000000032</f>
        <v>2752.4895940000001</v>
      </c>
      <c r="K103" s="3">
        <f>3662+(27.1-1195.5)+(-9.3381+(-0.069105--3.048525))+0--203.8-0.51968999999997</f>
        <v>2690.5216300000002</v>
      </c>
      <c r="L103" s="3">
        <f>3170.9+(122-971.7)+(0+(0-0))+0--203.8-0</f>
        <v>2525</v>
      </c>
      <c r="M103" s="3">
        <f>3256.1+(82-1004.7)+(3.321222+(0.08364-1.024794))+0--202.3--0.206346000000032</f>
        <v>2538.2864139999997</v>
      </c>
      <c r="N103" s="3">
        <f>3685.7+(15.5-1220.4)+(3.759414+(0.01581-1.244808))+0--205.5--0.209610000000033</f>
        <v>2689.0400259999997</v>
      </c>
      <c r="O103" s="3">
        <f>3914.6+(15-1366.2)+(0+(0-0))+0--200.1-0</f>
        <v>2763.4999999999995</v>
      </c>
      <c r="P103" s="3">
        <f>3972.7+(16.7-1280.3)+(6.078231+(0.025551-1.958859))+0--199.1--0.304623000000012</f>
        <v>2912.6495459999996</v>
      </c>
      <c r="Q103" s="3">
        <f>3945+(45.6-1140.7)+(0+(0-0))+0--192.9-0</f>
        <v>3042.7999999999997</v>
      </c>
      <c r="R103" s="3">
        <f>3925+(131.3-998.8)+(-2.00175+(-0.066963--0.509388))+0--189.5-0.0966449999999808</f>
        <v>3245.3440299999997</v>
      </c>
      <c r="S103" s="3">
        <f>3907.6+(240.4-1007.6)+(1.992876+(0.122604-0.513876))+0--190.2--0.0970019999999807</f>
        <v>3332.2986059999994</v>
      </c>
      <c r="T103" s="3">
        <f>3889.3+(350.8-1034.1)+(-3.967086+(-0.357816--1.054782))+0--189.9-0.19369800000003</f>
        <v>3392.4361819999999</v>
      </c>
      <c r="U103" s="3">
        <f>3871.2+(312.7-944)+(-3.948624+(-0.318954--0.96288))+0--190.1-0.19390200000003</f>
        <v>3426.5013999999996</v>
      </c>
      <c r="V103" s="3">
        <f>3825.6+(265.7-923.3)+(-1.951056+(-0.135507--0.470883))+0--192.1-0.0979709999999805</f>
        <v>3358.3863489999999</v>
      </c>
      <c r="W103" s="3">
        <f>3900+(105.2-993.1)+(-7.956+(-0.214608--2.025924))+0--193.7-0.395147999999992</f>
        <v>3199.2601679999998</v>
      </c>
      <c r="X103" s="3">
        <f>3830.3+(30.4-1142.6)+(-5.860359+(-0.046512--1.748178))+0--194.5-0.297585000000011</f>
        <v>2908.1437220000007</v>
      </c>
      <c r="Y103" s="3">
        <f>3588.3+(53.4-1115.7)+(-3.660066+(-0.054468--1.138014))+0--195.3-0.199206000000031</f>
        <v>2718.5242739999999</v>
      </c>
      <c r="Z103" s="3">
        <f>3851.4+(32.7-1224.4)+(3.928428+(0.033354-1.248888))+0--195.8--0.199716000000031</f>
        <v>2858.4126099999999</v>
      </c>
      <c r="AA103" s="3">
        <f>4123.4+(61.2-1328.7)+(-8.411736+(-0.124848--2.710548))+0--196.5-0.400859999999991</f>
        <v>3046.1731039999995</v>
      </c>
      <c r="AB103" s="3">
        <f>4144.7+(75.5-1345.6)+(-10.568985+(-0.192525--3.43128))+0--198.4-0.505919999999971</f>
        <v>3065.1638499999999</v>
      </c>
      <c r="AC103" s="3">
        <f>4126.2+(89.3-1311.7)+(-8.417448+(-0.182172--2.675868))+0--198.8-0.405551999999991</f>
        <v>3096.2706959999996</v>
      </c>
      <c r="AD103" s="2">
        <v>3069.6000000000004</v>
      </c>
      <c r="AE103" s="3">
        <f>4116+(76-1323.7)+(0+(0-0))+0--201.3-0</f>
        <v>3069.6000000000004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4097.2+(76.3-1275.7)+(0+(0-0))+0--203.4-0</f>
        <v>3101.2</v>
      </c>
      <c r="G104" s="3">
        <f>4016.7+(59-1263.9)+(-12.291102+(-0.18054--3.867534))+0--203.5-0.622710000000024</f>
        <v>3006.0731819999996</v>
      </c>
      <c r="H104" s="3">
        <f>3910.8+(79.8-1242.4)+(-7.978032+(-0.162792--2.534496))+0--203.4-0.414935999999991</f>
        <v>2945.5787359999999</v>
      </c>
      <c r="I104" s="3">
        <f>3775.5+(57.9-1156.8)+(-9.627525+(-0.147645--2.94984))+0--203.5-0.51892499999997</f>
        <v>2872.7557450000004</v>
      </c>
      <c r="J104" s="3">
        <f>3680.7+(40.5-1095.5)+(-11.262942+(-0.12393--3.35223))+0--203.5-0.622710000000024</f>
        <v>2820.5426479999996</v>
      </c>
      <c r="K104" s="3">
        <f>3333.1+(152.7-935)+(-6.799524+(-0.311508--1.9074))+0--203.6-0.415343999999991</f>
        <v>2748.7810239999999</v>
      </c>
      <c r="L104" s="3">
        <f>3125.6+(175.4-952.5)+(-7.97028+(-0.44727--2.428875))+0--203.8-0.51968999999997</f>
        <v>2545.791635</v>
      </c>
      <c r="M104" s="3">
        <f>3048.1+(182.2-870.3)+(4.663593+(0.278766-1.331559))+0--204--0.312120000000012</f>
        <v>2567.92292</v>
      </c>
      <c r="N104" s="3">
        <f>3315.5+(147.6-1000.4)+(5.072715+(0.225828-1.530612))+0--202.3--0.309519000000012</f>
        <v>2669.0774499999998</v>
      </c>
      <c r="O104" s="3">
        <f>3618.2+(53.7-1115.2)+(3.690564+(0.054774-1.137504))+0--199.9--0.203898000000032</f>
        <v>2759.411732</v>
      </c>
      <c r="P104" s="3">
        <f>3831.4+(20.7-1145.5)+(0+(0-0))+0--196.8-0</f>
        <v>2903.4000000000005</v>
      </c>
      <c r="Q104" s="3">
        <f>3778.4+(67.6-886.8)+(9.63492+(0.17238-2.26134))+0--193.6--0.493679999999972</f>
        <v>3160.8396400000001</v>
      </c>
      <c r="R104" s="3">
        <f>3787.3+(166.1-886.3)+(1.931523+(0.084711-0.452013))+0--192.6--0.0982259999999805</f>
        <v>3261.3624470000004</v>
      </c>
      <c r="S104" s="3">
        <f>3797+(272.8-903.7)+(-3.87294+(-0.278256--0.921774))+0--192.9-0.196758000000031</f>
        <v>3355.5738200000001</v>
      </c>
      <c r="T104" s="3">
        <f>3838+(306.9-915.7)+(-3.91476+(-0.313038--0.934014))+0--192.4-0.196248000000031</f>
        <v>3418.1099679999998</v>
      </c>
      <c r="U104" s="3">
        <f>3831.3+(318.1-899.6)+(-9.769815+(-0.811155--2.29398))+0--193.6-0.493679999999972</f>
        <v>3434.61933</v>
      </c>
      <c r="V104" s="3">
        <f>3908.4+(209.3-923.4)+(-1.993284+(-0.106743--0.470934))+0--192-0.0979199999999805</f>
        <v>3384.572987</v>
      </c>
      <c r="W104" s="3">
        <f>3916.7+(112.2-1000.7)+(-7.990068+(-0.228888--2.041428))+0--194.2-0.396167999999991</f>
        <v>3215.8263039999993</v>
      </c>
      <c r="X104" s="3">
        <f>3891.1+(27.8-1159.9)+(-5.953383+(-0.042534--1.774647))+0--195.7-0.299421000000011</f>
        <v>2950.1793089999996</v>
      </c>
      <c r="Y104" s="3">
        <f>3568.6+(60.7-1098.4)+(-9.09993+(-0.154785--2.80092))+0--197.2-0.502859999999971</f>
        <v>2721.1433449999995</v>
      </c>
      <c r="Z104" s="3">
        <f>3811.4+(19.8-1137.7)+(0+(0-0))+0--198.7-0</f>
        <v>2892.2</v>
      </c>
      <c r="AA104" s="3">
        <f>4097.3+(55.7-1250.2)+(-10.448115+(-0.142035--3.18801))+0--200.9-0.512294999999971</f>
        <v>3095.7855650000001</v>
      </c>
      <c r="AB104" s="3">
        <f>4138.6+(58.5-1272.9)+(-4.221372+(-0.05967--1.298358))+0--201.3-0.205326000000032</f>
        <v>3122.3119900000002</v>
      </c>
      <c r="AC104" s="3">
        <f>4130.7+(105.5-1271.5)+(-4.213314+(-0.10761--1.29693))+0--201.5-0.205530000000032</f>
        <v>3162.9704759999995</v>
      </c>
      <c r="AD104" s="2">
        <v>3170.4</v>
      </c>
      <c r="AE104" s="3">
        <f>4107+(100-1241.2)+(0+(0-0))+0--204.6-0</f>
        <v>3170.4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4131+(123.7-1287)+(-10.53405+(-0.315435--3.28185))+0--202.3-0.515864999999971</f>
        <v>3161.9165000000003</v>
      </c>
      <c r="G105" s="3">
        <f>4166.1+(66.9-1355.3)+(-8.498844+(-0.136476--2.764812))+0--202.4-0.412895999999991</f>
        <v>3073.816596000001</v>
      </c>
      <c r="H105" s="3">
        <f>4190.2+(23.9-1448.7)+(-6.411006+(-0.036567--2.216511))+0--204.4-0.312732000000012</f>
        <v>2965.256206</v>
      </c>
      <c r="I105" s="3">
        <f>4179.4+(16.5-1468.5)+(-8.525976+(-0.03366--2.99574))+0--203.5-0.415139999999991</f>
        <v>2924.9209639999995</v>
      </c>
      <c r="J105" s="3">
        <f>3995.4+(20.6-1350.9)+(-10.18827+(-0.05253--3.444795))+0--203.4-0.518669999999971</f>
        <v>2861.1853249999999</v>
      </c>
      <c r="K105" s="3">
        <f>3727.8+(31.5-1147.1)+(-9.50589+(-0.080325--2.925105))+0--204.4-0.52121999999997</f>
        <v>2809.4176700000003</v>
      </c>
      <c r="L105" s="3">
        <f>3211.5+(109.7-871.1)+(-1.637865+(-0.055947--0.444261))+0--140.4-0.0716039999999858</f>
        <v>2589.1788449999999</v>
      </c>
      <c r="M105" s="3">
        <f>3385.2+(25.8-957.8)+(3.452904+(0.026316-0.976956))+0--137.7--0.140454000000022</f>
        <v>2593.5427179999997</v>
      </c>
      <c r="N105" s="3">
        <f>3887+(15.6-1325.1)+(0+(0-0))+0--145.8-0</f>
        <v>2723.3</v>
      </c>
      <c r="O105" s="3">
        <f>4013.1+(15.6-1462.7)+(-10.233405+(-0.03978--3.729885))+0--197.9-0.504644999999971</f>
        <v>2756.8520550000003</v>
      </c>
      <c r="P105" s="3">
        <f>4023.8+(25.8-1282.1)+(0+(0-0))+0--193.5-0</f>
        <v>2961</v>
      </c>
      <c r="Q105" s="3">
        <f>3968.4+(93.9-1157.2)+(-4.047768+(-0.095778--1.180344))+0--190.8-0.19461600000003</f>
        <v>3092.7421820000004</v>
      </c>
      <c r="R105" s="3">
        <f>3970.6+(152.4-1035.9)+(0+(0-0))+0--187.3-0</f>
        <v>3274.4</v>
      </c>
      <c r="S105" s="3">
        <f>3934+(276.2-1036)+(-4.01268+(-0.281724--1.05672))+0--190.1-0.19390200000003</f>
        <v>3360.8684139999996</v>
      </c>
      <c r="T105" s="3">
        <f>3918.9+(344.7-1008.3)+(-5.995917+(-0.527391--1.542699))+0--189.3-0.289629000000011</f>
        <v>3439.3297620000003</v>
      </c>
      <c r="U105" s="3">
        <f>3894.8+(366-966.8)+(3.972696+(0.37332-0.986136))+0--187.4--0.19114800000003</f>
        <v>3484.951028</v>
      </c>
      <c r="V105" s="3">
        <f>3847.4+(347.4-938.3)+(-1.962174+(-0.177174--0.478533))+0--188-0.0958799999999809</f>
        <v>3442.743305</v>
      </c>
      <c r="W105" s="3">
        <f>3835.7+(201.8-924.4)+(-13.693449+(-0.720426--3.300108))+0--189.9-0.677943000000003</f>
        <v>3291.20829</v>
      </c>
      <c r="X105" s="3">
        <f>3841.5+(68.6-1106.9)+(-13.714155+(-0.244902--3.951633))+0--191.9-0.685083000000003</f>
        <v>2984.4074930000002</v>
      </c>
      <c r="Y105" s="3">
        <f>3870.7+(19.1-1323.3)+(-3.948114+(-0.019482--1.349766))+0--193.3-0.197166000000031</f>
        <v>2756.9850040000001</v>
      </c>
      <c r="Z105" s="3">
        <f>3960.2+(18.9-1265.8)+(0+(0-0))+0--194.6-0</f>
        <v>2907.9</v>
      </c>
      <c r="AA105" s="3">
        <f>3991.6+(80.2-1146.5)+(-4.071432+(-0.081804--1.16943))+0--194.8-0.198696000000031</f>
        <v>3116.9174980000003</v>
      </c>
      <c r="AB105" s="3">
        <f>4007.3+(77.6-1147.8)+(-4.087446+(-0.079152--1.170756))+0--194.6-0.198492000000031</f>
        <v>3128.5056660000005</v>
      </c>
      <c r="AC105" s="3">
        <f>3956.7+(105.5-1118.6)+(0+(0-0))+0--194.9-0</f>
        <v>3138.5</v>
      </c>
      <c r="AD105" s="2">
        <v>3116.6</v>
      </c>
      <c r="AE105" s="3">
        <f>4008+(81-1167.5)+(0+(0-0))+0--195.1-0</f>
        <v>3116.6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3989.4+(83.4-1139.8)+(2.034594+(0.042534-0.581298))+0--195.7--0.0998069999999801</f>
        <v>3130.2956369999997</v>
      </c>
      <c r="G106" s="3">
        <f>4020.7+(78.7-1233.6)+(0+(0-0))+0--197.8-0</f>
        <v>3063.6000000000004</v>
      </c>
      <c r="H106" s="3">
        <f>4029.6+(23.8-1258.4)+(0+(0-0))+0--198.4-0</f>
        <v>2993.4</v>
      </c>
      <c r="I106" s="3">
        <f>4043.9+(11-1319.5)+(0+(0-0))+0--199.1-0</f>
        <v>2934.5</v>
      </c>
      <c r="J106" s="3">
        <f>3966.3+(11-1279.8)+(-6.068439+(-0.01683--1.958094))+0--198.9-0.304317000000011</f>
        <v>2891.9685079999999</v>
      </c>
      <c r="K106" s="3">
        <f>3843.7+(35.1-1249.6)+(-3.920574+(-0.035802--1.274592))+0--199.2-0.203184000000032</f>
        <v>2825.5150319999998</v>
      </c>
      <c r="L106" s="3">
        <f>3419.1+(110.6-1117.7)+(-6.974964+(-0.225624--2.280108))+0--201.8-0.411671999999991</f>
        <v>2608.4678479999998</v>
      </c>
      <c r="M106" s="3">
        <f>3591.7+(56.6-1233.7)+(0+(0-0))+0--203.4-0</f>
        <v>2617.9999999999995</v>
      </c>
      <c r="N106" s="3">
        <f>3795.9+(11-1263.6)+(3.871818+(0.01122-1.288872))+0--198.7--0.202674000000032</f>
        <v>2744.79684</v>
      </c>
      <c r="O106" s="3">
        <f>3876.6+(10-1276.4)+(-7.908264+(-0.0204--2.603856))+0--195.9-0.399635999999991</f>
        <v>2800.375556</v>
      </c>
      <c r="P106" s="3">
        <f>3993.2+(11-1234.9)+(-2.036532+(-0.00561--0.629799))+0--190.9-0.0973589999999806</f>
        <v>2958.690298</v>
      </c>
      <c r="Q106" s="3">
        <f>4076.7+(49.1-1173.9)+(-2.079117+(-0.025041--0.598689))+0--187.4-0.095573999999981</f>
        <v>3137.6989569999996</v>
      </c>
      <c r="R106" s="3">
        <f>3961.9+(155.1-945.5)+(0+(0-0))+0--187.7-0</f>
        <v>3359.2</v>
      </c>
      <c r="S106" s="3">
        <f>3935+(246.9-923.8)+(-8.0274+(-0.503676--1.884552))+0--189.9-0.387395999999992</f>
        <v>3440.9660799999997</v>
      </c>
      <c r="T106" s="3">
        <f>3930.7+(269.3-869.4)+(-4.009314+(-0.274686--0.886788))+0--188.7-0.19247400000003</f>
        <v>3515.7103139999999</v>
      </c>
      <c r="U106" s="3">
        <f>3922.2+(305.8-853.7)+(-2.000322+(-0.155958--0.435387))+0--186.1-0.0949109999999811</f>
        <v>3558.5841959999993</v>
      </c>
      <c r="V106" s="3">
        <f>3853.3+(284.4-771.6)+(-1.965183+(-0.145044--0.393516))+0--185.3-0.0945029999999812</f>
        <v>3549.5887860000007</v>
      </c>
      <c r="W106" s="3">
        <f>3857.4+(158.7-759.2)+(5.901822+(0.242811-1.161576))+0--185.3--0.283509000000011</f>
        <v>3447.4665660000001</v>
      </c>
      <c r="X106" s="3">
        <f>3710+(131.8-902.6)+(-5.6763+(-0.201654--1.380978))+0--188.2-0.287946000000011</f>
        <v>3122.6150779999998</v>
      </c>
      <c r="Y106" s="3">
        <f>3604.6+(61.1-1019.1)+(3.676692+(0.062322-1.039482))+0--190.2--0.19400400000003</f>
        <v>2839.6935359999998</v>
      </c>
      <c r="Z106" s="3">
        <f>3714.5+(55-985.1)+(-1.894395+(-0.02805--0.502401))+0--191.5-0.0976649999999806</f>
        <v>2974.3822910000004</v>
      </c>
      <c r="AA106" s="3">
        <f>4061.6+(81.5-1157.9)+(-8.285664+(-0.16626--2.362116))+0--193.9-0.395555999999992</f>
        <v>3172.6146359999998</v>
      </c>
      <c r="AB106" s="3">
        <f>4090.7+(97.6-1173.1)+(-2.086257+(-0.049776--0.598281))+0--196.2-0.10006199999998</f>
        <v>3209.7621859999995</v>
      </c>
      <c r="AC106" s="3">
        <f>4092.6+(132.3-1150.1)+(-4.174452+(-0.134946--1.173102))+0--194.3-0.198186000000031</f>
        <v>3265.7655180000002</v>
      </c>
      <c r="AD106" s="2">
        <v>3184.5</v>
      </c>
      <c r="AE106" s="3">
        <f>4078+(82-1170.5)+(0+(0-0))+0--195-0</f>
        <v>3184.5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4046.5+(129.8-1051.7)+(-10.318575+(-0.33099--2.681835))+0--195.1-0.497504999999972</f>
        <v>3311.2347650000002</v>
      </c>
      <c r="G107" s="3">
        <f>4066.2+(88.7-1107.6)+(4.147524+(0.090474-1.129752))+0--195.5--0.199410000000031</f>
        <v>3246.1076560000001</v>
      </c>
      <c r="H107" s="3">
        <f>4070.5+(69-1165.5)+(-4.15191+(-0.07038--1.18881))+0--196.3-0.200226000000031</f>
        <v>3167.0662940000002</v>
      </c>
      <c r="I107" s="3">
        <f>3919.8+(71.8-1121.7)+(1.999098+(0.036618-0.572067))+0--195.3--0.0996029999999802</f>
        <v>3066.7632520000002</v>
      </c>
      <c r="J107" s="3">
        <f>3756.7+(87.6-1002.8)+(-5.747751+(-0.134028--1.534284))+0--197.3-0.301869000000011</f>
        <v>3034.1506360000003</v>
      </c>
      <c r="K107" s="3">
        <f>3556.9+(121.8-941.8)+(-5.442057+(-0.186354--1.440954))+0--198.2-0.303246000000011</f>
        <v>2930.609297</v>
      </c>
      <c r="L107" s="3">
        <f>3335.6+(118.3-972.7)+(-5.103468+(-0.180999--1.488231))+0--198.7-0.304011000000011</f>
        <v>2675.7997529999993</v>
      </c>
      <c r="M107" s="3">
        <f>3422.4+(83.7-1026.3)+(3.490848+(0.085374-1.046826))+0--195.6--0.199512000000031</f>
        <v>2678.1289080000001</v>
      </c>
      <c r="N107" s="3">
        <f>3762.1+(49.8-1220.2)+(0+(0-0))+0--192.9-0</f>
        <v>2784.6</v>
      </c>
      <c r="O107" s="3">
        <f>3845.3+(19.5-1076.7)+(-5.883309+(-0.029835--1.647351))+0--189.4-0.289782000000011</f>
        <v>2972.9444250000006</v>
      </c>
      <c r="P107" s="3">
        <f>3808.8+(54.1-993.3)+(-5.827464+(-0.082773--1.519749))+0--184.2-0.281826000000011</f>
        <v>3049.1276860000003</v>
      </c>
      <c r="Q107" s="3">
        <f>3873+(116.5-932.7)+(0+(0-0))+0--181.5-0</f>
        <v>3238.3</v>
      </c>
      <c r="R107" s="3">
        <f>3897.6+(225.2-937.2)+(3.975552+(0.229704-0.955944))+0--183.3--0.186966000000029</f>
        <v>3372.3362780000002</v>
      </c>
      <c r="S107" s="3">
        <f>3907.7+(253.3-887.9)+(-11.957562+(-0.775098--2.716974))+0--183.9-0.562734000000021</f>
        <v>3446.4215799999997</v>
      </c>
      <c r="T107" s="3">
        <f>3781.7+(335.5-786.3)+(-1.928667+(-0.171105--0.401013))+0--181.8-0.0927179999999816</f>
        <v>3510.9085230000001</v>
      </c>
      <c r="U107" s="3">
        <f>3772.6+(333.4-770.9)+(-3.848052+(-0.340068--0.786318))+0--180.6-0.184212000000029</f>
        <v>3512.1139859999998</v>
      </c>
      <c r="V107" s="3">
        <f>3734.8+(307.2-754.5)+(-5.714244+(-0.470016--1.154385))+0--180.6-0.27631800000001</f>
        <v>3462.7938069999996</v>
      </c>
      <c r="W107" s="3">
        <f>3825.7+(196.8-848.1)+(-7.804428+(-0.401472--1.730124))+0--183-0.373319999999992</f>
        <v>3350.5509039999993</v>
      </c>
      <c r="X107" s="3">
        <f>3852.4+(135.7-1098.2)+(-15.717792+(-0.553656--4.480656))+0--184.6-0.753167999999984</f>
        <v>3061.95604</v>
      </c>
      <c r="Y107" s="3">
        <f>3697.4+(127.4-1139.3)+(-5.657022+(-0.194922--1.743129))+0--184.8-0.282744000000011</f>
        <v>2865.908441</v>
      </c>
      <c r="Z107" s="3">
        <f>3873.2+(43.1-1118.2)+(-1.975332+(-0.021981--0.570282))+0--184.8-0.0942479999999813</f>
        <v>2981.3787209999996</v>
      </c>
      <c r="AA107" s="3">
        <f>4171+(71.7-1246.6)+(-12.76326+(-0.219402--3.814596))+0--186-0.569160000000022</f>
        <v>3172.3627740000002</v>
      </c>
      <c r="AB107" s="3">
        <f>4182+(64.2-1262.1)+(-8.53128+(-0.130968--2.574684))+0--187-0.381479999999992</f>
        <v>3164.6309560000004</v>
      </c>
      <c r="AC107" s="3">
        <f>4045+(114.3-1143.1)+(-6.18885+(-0.174879--1.748943))+0--189-0.289170000000011</f>
        <v>3200.2960439999997</v>
      </c>
      <c r="AD107" s="2">
        <v>3152</v>
      </c>
      <c r="AE107" s="3">
        <f>4114+(75-1220.1)+(0+(0-0))+0--183.1-0</f>
        <v>3152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4017+(157.1-1101.6)+(-2.04867+(-0.080121--0.561816))+0--189.4-0.0965939999999808</f>
        <v>3260.2364309999998</v>
      </c>
      <c r="G108" s="3">
        <f>3958.6+(170.3-1104.9)+(2.018886+(0.086853-0.563499))+0--190.4--0.0971039999999807</f>
        <v>3216.0393440000003</v>
      </c>
      <c r="H108" s="3">
        <f>3866.3+(153.9-1082.5)+(-5.915439+(-0.235467--1.656225))+0--189.4-0.289782000000011</f>
        <v>3122.3155370000004</v>
      </c>
      <c r="I108" s="3">
        <f>3852.3+(114.5-1103.2)+(0+(0-0))+0--192.5-0</f>
        <v>3056.1000000000004</v>
      </c>
      <c r="J108" s="3">
        <f>3771.5+(105.9-1043.1)+(0+(0-0))+0--189.6-0</f>
        <v>3023.9</v>
      </c>
      <c r="K108" s="3">
        <f>3620.6+(114.8-994.7)+(-9.23253+(-0.29274--2.536485))+0--192.6-0.491129999999972</f>
        <v>2925.8200849999998</v>
      </c>
      <c r="L108" s="3">
        <f>3286.9+(171.4-929.3)+(-11.734233+(-0.611898--3.317601))+0--192.7-0.687939000000003</f>
        <v>2711.9835309999999</v>
      </c>
      <c r="M108" s="3">
        <f>3014.5+(223.7-780)+(0+(0-0))+0--192.8-0</f>
        <v>2651</v>
      </c>
      <c r="N108" s="3">
        <f>3079.9+(220.6-829.7)+(0+(0-0))+0--193.4-0</f>
        <v>2664.2000000000003</v>
      </c>
      <c r="O108" s="3">
        <f>3058.3+(225.2-739.1)+(1.559733+(0.114852-0.376941))+0--191.7--0.0977669999999806</f>
        <v>2737.4954110000003</v>
      </c>
      <c r="P108" s="3">
        <f>3272.6+(164.4-811.3)+(0+(0-0))+0--188.1-0</f>
        <v>2813.7999999999997</v>
      </c>
      <c r="Q108" s="3">
        <f>3732.6+(67.2-961.4)+(3.807252+(0.068544-0.980628))+0--186.3--0.19002600000003</f>
        <v>3027.7851940000005</v>
      </c>
      <c r="R108" s="3">
        <f>3783.2+(117.8-1027)+(-1.929432+(-0.060078--0.52377))+0--185.5-0.0946049999999812</f>
        <v>3057.9396550000001</v>
      </c>
      <c r="S108" s="3">
        <f>3777.8+(158.2-948.8)+(-1.926678+(-0.080682--0.483888))+0--186.2-0.0949619999999811</f>
        <v>3171.7815660000001</v>
      </c>
      <c r="T108" s="3">
        <f>3761.3+(201.8-904.8)+(-3.836526+(-0.205836--0.922896))+0--182.1-0.185742000000029</f>
        <v>3237.0947919999999</v>
      </c>
      <c r="U108" s="3">
        <f>3740.5+(203.3-855.2)+(0+(0-0))+0--186.4-0</f>
        <v>3275</v>
      </c>
      <c r="V108" s="3">
        <f>3749.2+(178.8-828.4)+(1.912092+(0.091188-0.422484))+0--188.4--0.0960839999999809</f>
        <v>3289.67688</v>
      </c>
      <c r="W108" s="3">
        <f>3758.5+(122-891.2)+(-11.50101+(-0.37332--2.727072))+0--190.4-0.582624000000022</f>
        <v>3169.9701180000002</v>
      </c>
      <c r="X108" s="3">
        <f>3747.6+(93.3-1093.2)+(-9.55638+(-0.237915--2.78766))+0--191.2-0.487559999999972</f>
        <v>2931.4058049999994</v>
      </c>
      <c r="Y108" s="3">
        <f>3430.5+(120.6-900)+(-1.749555+(-0.061506--0.459))+0--193-0.0984299999999804</f>
        <v>2842.6495089999999</v>
      </c>
      <c r="Z108" s="3">
        <f>3410.4+(123.3-771.4)+(1.739304+(0.062883-0.393414))+0--195.5--0.0997049999999802</f>
        <v>2959.3084780000004</v>
      </c>
      <c r="AA108" s="3">
        <f>3719.7+(111-903.2)+(-5.691141+(-0.16983--1.381896))+0--195.8-0.299574000000011</f>
        <v>3118.5213509999999</v>
      </c>
      <c r="AB108" s="3">
        <f>3797.8+(115.3-994)+(-1.936878+(-0.058803--0.50694))+0--197.5-0.10072499999998</f>
        <v>3115.0105340000005</v>
      </c>
      <c r="AC108" s="3">
        <f>3831.5+(158.7-979.7)+(1.954065+(0.080937-0.499647))+0--197.7--0.10082699999998</f>
        <v>3209.8361819999996</v>
      </c>
      <c r="AD108" s="2">
        <v>3026.6</v>
      </c>
      <c r="AE108" s="3">
        <f>3676+(97.1-941.1)+(0+(0-0))+0--194.6-0</f>
        <v>3026.6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3674.9+(178.4-851.9)+(3.748398+(0.181968-0.868938))+0--198.9--0.202878000000032</f>
        <v>3203.5643060000002</v>
      </c>
      <c r="G109" s="3">
        <f>3797.2+(134.3-938.4)+(1.936572+(0.068493-0.478584))+0--199.5--0.10174499999998</f>
        <v>3194.2282259999997</v>
      </c>
      <c r="H109" s="3">
        <f>3684.6+(107.3-946.7)+(5.637438+(0.164169-1.448451))+0--198.7--0.304011000000011</f>
        <v>3048.5571669999999</v>
      </c>
      <c r="I109" s="3">
        <f>3621.4+(113.7-902.9)+(0+(0-0))+0--200-0</f>
        <v>3032.2000000000003</v>
      </c>
      <c r="J109" s="3">
        <f>3626+(92.3-927.6)+(-3.69852+(-0.094146--0.946152))+0--200.7-0.204714000000032</f>
        <v>2988.3487719999998</v>
      </c>
      <c r="K109" s="3">
        <f>3343.7+(155.1-774.7)+(-11.937009+(-0.553707--2.765679))+0--192.8-0.688296000000003</f>
        <v>2906.4866670000001</v>
      </c>
      <c r="L109" s="3">
        <f>2738.4+(314.4-581.4)+(-4.189752+(-0.481032--0.889542))+0--137.6-0.210528000000008</f>
        <v>2605.0082299999999</v>
      </c>
      <c r="M109" s="3">
        <f>2681.7+(300.6-610.8)+(1.367667+(0.153306-0.311508))+0--141.4--0.0721139999999857</f>
        <v>2514.1815790000001</v>
      </c>
      <c r="N109" s="3">
        <f>2888.4+(216.5-744.4)+(-1.473084+(-0.110415--0.379644))+0--198.9-0.10143899999998</f>
        <v>2558.0947059999999</v>
      </c>
      <c r="O109" s="3">
        <f>3023+(137.9-796.7)+(4.62519+(0.210987-1.218951))+0--195.3--0.298809000000011</f>
        <v>2563.4160349999997</v>
      </c>
      <c r="P109" s="3">
        <f>3313.9+(74.6-891)+(1.690089+(0.038046-0.45441))+0--191--0.0974099999999806</f>
        <v>2689.8711349999999</v>
      </c>
      <c r="Q109" s="3">
        <f>3335.4+(124-771.2)+(1.701054+(0.06324-0.393312))+0--187.5--0.095624999999981</f>
        <v>2877.1666069999997</v>
      </c>
      <c r="R109" s="3">
        <f>3407.2+(172.5-775.7)+(3.475344+(0.17595-0.791214))+0--185.9--0.18961800000003</f>
        <v>2992.9496979999999</v>
      </c>
      <c r="S109" s="3">
        <f>3603.3+(219.9-909.7)+(7.350732+(0.448596-1.855788))+0--184.9--0.377195999999992</f>
        <v>3104.7207360000002</v>
      </c>
      <c r="T109" s="3">
        <f>3694.5+(241.1-927.9)+(5.652585+(0.368883-1.419687))+0--186.3--0.285039000000011</f>
        <v>3198.8868199999997</v>
      </c>
      <c r="U109" s="3">
        <f>3697.7+(266.7-921)+(3.771654+(0.272034-0.93942))+0--188.5--0.19227000000003</f>
        <v>3235.1965379999997</v>
      </c>
      <c r="V109" s="3">
        <f>3615.5+(245.9-849.6)+(1.843905+(0.125409-0.433296))+0--192.4--0.0981239999999805</f>
        <v>3205.8341420000002</v>
      </c>
      <c r="W109" s="3">
        <f>3641.1+(140.9-893.9)+(-1.856961+(-0.071859--0.455889))+0--193.2-0.0985319999999804</f>
        <v>3079.728537</v>
      </c>
      <c r="X109" s="3">
        <f>3643.1+(51.2-1085.6)+(-7.431924+(-0.104448--2.214624))+0--193.1-0.393923999999992</f>
        <v>2796.0843279999999</v>
      </c>
      <c r="Y109" s="3">
        <f>3654.4+(52.2-1254.8)+(1.863744+(0.026622-0.639948))+0--193.8--0.0988379999999803</f>
        <v>2646.9492560000003</v>
      </c>
      <c r="Z109" s="3">
        <f>3809.3+(20-1249.8)+(-1.942743+(-0.0102--0.637398))+0--192.7-0.0982769999999804</f>
        <v>2770.7861779999998</v>
      </c>
      <c r="AA109" s="3">
        <f>3989+(69.3-1267.7)+(-4.06878+(-0.070686--1.293054))+0--193.2-0.197064000000031</f>
        <v>2980.7565239999999</v>
      </c>
      <c r="AB109" s="3">
        <f>4026.3+(82.2-1277.5)+(-4.106826+(-0.083844--1.30305))+0--193.4-0.197268000000031</f>
        <v>3021.3151120000002</v>
      </c>
      <c r="AC109" s="3">
        <f>3993.7+(116.4-1242.8)+(-2.036787+(-0.059364--0.633828))+0--194.8-0.0993479999999802</f>
        <v>3060.538329</v>
      </c>
      <c r="AD109" s="2">
        <v>2973.3</v>
      </c>
      <c r="AE109" s="3">
        <f>3975+(89.8-1284.1)+(0+(0-0))+0--192.6-0</f>
        <v>2973.2999999999997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3988.4+(113.5-1184.8)+(-2.034084+(-0.057885--0.604248))+0--194-0.0989399999999803</f>
        <v>3109.5133390000005</v>
      </c>
      <c r="G110" s="3">
        <f>4046.5+(78-1253.2)+(0+(0-0))+0--195-0</f>
        <v>3066.3</v>
      </c>
      <c r="H110" s="3">
        <f>4059+(53.9-1295.2)+(-2.07009+(-0.027489--0.660552))+0--196.5-0.10021499999998</f>
        <v>3012.6627579999999</v>
      </c>
      <c r="I110" s="3">
        <f>3974.9+(52.8-1273.1)+(-2.027199+(-0.026928--0.649281))+0--197.4-0.10067399999998</f>
        <v>2950.4944800000007</v>
      </c>
      <c r="J110" s="3">
        <f>3935+(35.6-1259.5)+(-4.0137+(-0.036312--1.28469))+0--199.8-0.203796000000032</f>
        <v>2907.9308819999997</v>
      </c>
      <c r="K110" s="3">
        <f>3769.1+(39.1-1143.9)+(-9.611205+(-0.099705--2.916945))+0--179.8-0.458489999999974</f>
        <v>2836.8475450000001</v>
      </c>
      <c r="L110" s="3">
        <f>3456.7+(55.1-996.7)+(-3.525834+(-0.056202--1.016634))+0--136.4-0.139128000000022</f>
        <v>2648.79547</v>
      </c>
      <c r="M110" s="3">
        <f>3457.1+(42.3-1026.1)+(5.289363+(0.064719-1.569933))+0--185.8--0.284274000000011</f>
        <v>2663.1684230000005</v>
      </c>
      <c r="N110" s="3">
        <f>3811.9+(28.8-1242)+(0+(0-0))+0--199.6-0</f>
        <v>2798.2999999999997</v>
      </c>
      <c r="O110" s="3">
        <f>3942.2+(16-1257.6)+(4.021044+(0.01632-1.282752))+0--195.4--0.199308000000031</f>
        <v>2898.9539200000004</v>
      </c>
      <c r="P110" s="3">
        <f>3880.6+(48.3-1122)+(5.937318+(0.073899-1.71666))+0--190.6--0.291618000000011</f>
        <v>3002.0861749999999</v>
      </c>
      <c r="Q110" s="3">
        <f>3975.5+(87.8-1107.6)+(6.082515+(0.134334-1.694628))+0--190.2--0.291006000000011</f>
        <v>3150.7132269999997</v>
      </c>
      <c r="R110" s="3">
        <f>3910.7+(177.3-981.7)+(7.977828+(0.361692-2.002668))+0--199--0.405959999999991</f>
        <v>3312.0428119999997</v>
      </c>
      <c r="S110" s="3">
        <f>3900.9+(298.7-980.8)+(1.989459+(0.152337-0.500208))+0--200.1--0.10205099999998</f>
        <v>3420.6436389999999</v>
      </c>
      <c r="T110" s="3">
        <f>3807.1+(368.8-948.7)+(-1.941621+(-0.188088--0.483837))+0--198.9-0.10143899999998</f>
        <v>3424.3526889999998</v>
      </c>
      <c r="U110" s="3">
        <f>3807.7+(384.2-907.9)+(0+(0-0))+0--198.1-0</f>
        <v>3482.1</v>
      </c>
      <c r="V110" s="3">
        <f>3725.3+(357-846)+(-3.799806+(-0.36414--0.86292))+0--195.4-0.199308000000031</f>
        <v>3428.199666</v>
      </c>
      <c r="W110" s="3">
        <f>3793+(205.6-842.4)+(-5.80329+(-0.314568--1.288872))+0--194.7-0.297891000000011</f>
        <v>3345.7731229999995</v>
      </c>
      <c r="X110" s="3">
        <f>3874.1+(65.3-1079.3)+(-9.878955+(-0.166515--2.752215))+0--199.8-0.509489999999971</f>
        <v>3052.0972550000001</v>
      </c>
      <c r="Y110" s="3">
        <f>3549.1+(91-1025)+(-5.430123+(-0.13923--1.56825))+0--200.5-0.306765000000012</f>
        <v>2811.292132</v>
      </c>
      <c r="Z110" s="3">
        <f>3653.9+(93.9-1014.9)+(3.726978+(0.095778-1.035198))+0--200.8--0.204816000000032</f>
        <v>2936.6923740000002</v>
      </c>
      <c r="AA110" s="3">
        <f>3970.2+(98.9-1157.7)+(-6.074406+(-0.151317--1.771281))+0--197.2-0.301716000000011</f>
        <v>3103.8438419999993</v>
      </c>
      <c r="AB110" s="3">
        <f>4013.7+(116.3-1152.8)+(-6.140961+(-0.177939--1.763784))+0--200.5-0.306765000000012</f>
        <v>3172.838119</v>
      </c>
      <c r="AC110" s="3">
        <f>3933+(140.3-1101.6)+(-4.01166+(-0.143106--1.123632))+0--200.5-0.204510000000032</f>
        <v>3168.964356</v>
      </c>
      <c r="AD110" s="2">
        <v>3160.6</v>
      </c>
      <c r="AE110" s="3">
        <f>4021+(98.2-1156.4)+(0+(0-0))+0--197.8-0</f>
        <v>3160.6000000000004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3968+(127.5-1102.8)+(-4.04736+(-0.13005--1.124856))+0--200.7-0.204714000000032</f>
        <v>3190.1427319999998</v>
      </c>
      <c r="G111" s="3">
        <f>3973+(98.4-1159.9)+(-4.05246+(-0.100368--1.183098))+0--200.2-0.204204000000032</f>
        <v>3108.5260659999999</v>
      </c>
      <c r="H111" s="3">
        <f>3888.7+(83.5-1128.7)+(-5.949711+(-0.127755--1.726911))+0--200.2-0.306306000000012</f>
        <v>3039.0431389999999</v>
      </c>
      <c r="I111" s="3">
        <f>3800.2+(77.9-1111.2)+(-11.628612+(-0.238374--3.400272))+0--200.8-0.614448000000023</f>
        <v>2958.6188379999999</v>
      </c>
      <c r="J111" s="3">
        <f>3726.4+(87.7-1082.9)+(-9.50232+(-0.223635--2.761395))+0--201.6-0.514079999999971</f>
        <v>2925.3213599999999</v>
      </c>
      <c r="K111" s="3">
        <f>3456+(161.6-953.5)+(-15.86304+(-0.741744--4.376565))+0--202.3-0.928557000000035</f>
        <v>2853.2432239999998</v>
      </c>
      <c r="L111" s="3">
        <f>2960.3+(285.1-724.6)+(0+(0-0))+0--141-0</f>
        <v>2661.8</v>
      </c>
      <c r="M111" s="3">
        <f>3030.5+(200.6-744.5)+(1.545555+(0.102306-0.379695))+0--169.5--0.0864449999999828</f>
        <v>2657.4546109999997</v>
      </c>
      <c r="N111" s="3">
        <f>3377.7+(87.3-909)+(3.445254+(0.089046-0.92718))+0--197.7--0.201654000000032</f>
        <v>2756.5087739999999</v>
      </c>
      <c r="O111" s="3">
        <f>3617.6+(22.9-1021.5)+(1.844976+(0.011679-0.520965))+0--194.6--0.0992459999999803</f>
        <v>2815.0349359999996</v>
      </c>
      <c r="P111" s="3">
        <f>3780.1+(17.6-1054.6)+(1.927851+(0.008976-0.537846))+0--191.6--0.0977159999999806</f>
        <v>2936.1966969999994</v>
      </c>
      <c r="Q111" s="3">
        <f>3829.7+(75.4-973.5)+(1.953147+(0.038454-0.496485))+0--188.5--0.0961349999999809</f>
        <v>3121.6912509999997</v>
      </c>
      <c r="R111" s="3">
        <f>3934.1+(138.1-938.6)+(0+(0-0))+0--191.5-0</f>
        <v>3325.1</v>
      </c>
      <c r="S111" s="3">
        <f>3925.5+(216.1-921.9)+(-2.002005+(-0.110211--0.470169))+0--191.1-0.0974609999999806</f>
        <v>3409.0604920000001</v>
      </c>
      <c r="T111" s="3">
        <f>3908.1+(266.8-899.8)+(3.986262+(0.272136-0.917796))+0--190.3--0.19410600000003</f>
        <v>3468.9347080000002</v>
      </c>
      <c r="U111" s="3">
        <f>3945.6+(268.4-898.2)+(0+(0-0))+0--191.4-0</f>
        <v>3507.2</v>
      </c>
      <c r="V111" s="3">
        <f>4105.8+(176.1-1006.1)+(0+(0-0))+0--191.4-0</f>
        <v>3467.2000000000003</v>
      </c>
      <c r="W111" s="3">
        <f>4073.4+(93.2-1035.8)+(-12.464604+(-0.285192--3.169548))+0--193.4-0.591804000000022</f>
        <v>3314.0279479999999</v>
      </c>
      <c r="X111" s="3">
        <f>4133.4+(15-1283.3)+(-18.972306+(-0.06885--5.890347))+0--193.3-0.887247000000034</f>
        <v>3044.3619439999993</v>
      </c>
      <c r="Y111" s="3">
        <f>3864.3+(68.3-1307.7)+(-3.941586+(-0.069666--1.333854))+0--195-0.198900000000031</f>
        <v>2817.0237020000004</v>
      </c>
      <c r="Z111" s="3">
        <f>3973.4+(44.6-1218.5)+(0+(0-0))+0--195.4-0</f>
        <v>2994.9</v>
      </c>
      <c r="AA111" s="3">
        <f>4364.1+(44.2-1387.8)+(-4.451382+(-0.045084--1.415556))+0--196.3-0.200226000000031</f>
        <v>3213.5188640000006</v>
      </c>
      <c r="AB111" s="3">
        <f>4358.8+(60.9-1444.7)+(-8.891952+(-0.124236--2.947188))+0--198.6-0.405143999999991</f>
        <v>3167.1258560000001</v>
      </c>
      <c r="AC111" s="3">
        <f>4345.9+(64.3-1415.4)+(-4.432818+(-0.065586--1.443708))+0--199.7-0.203694000000032</f>
        <v>3191.2416099999991</v>
      </c>
      <c r="AD111" s="2">
        <v>3165.3999999999996</v>
      </c>
      <c r="AE111" s="3">
        <f>4295+(46-1370.8)+(0+(0-0))+0--195.2-0</f>
        <v>3165.3999999999996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4152.7+(115.2-1281.3)+(-4.235754+(-0.117504--1.306926))+0--198.3-0.202266000000032</f>
        <v>3181.651402</v>
      </c>
      <c r="G112" s="3">
        <f>3973.8+(134.3-1195.5)+(-6.079914+(-0.205479--1.829115))+0--197.5-0.302175000000011</f>
        <v>3105.3415470000004</v>
      </c>
      <c r="H112" s="3">
        <f>3795.9+(140.7-1093.4)+(-9.679545+(-0.358785--2.78817))+0--197.5-0.503624999999971</f>
        <v>3032.9462149999999</v>
      </c>
      <c r="I112" s="3">
        <f>3565.9+(179.1-982)+(1.818609+(0.091341-0.50082))+0--198.5--0.10123499999998</f>
        <v>2963.0103650000001</v>
      </c>
      <c r="J112" s="3">
        <f>3595.7+(124.9-1010.6)+(-1.833807+(-0.063699--0.515406))+0--199.7-0.10184699999998</f>
        <v>2908.2160530000001</v>
      </c>
      <c r="K112" s="3">
        <f>3573.1+(104.8-1036.8)+(-5.466843+(-0.160344--1.586304))+0--199.6-0.305388000000012</f>
        <v>2836.3537289999995</v>
      </c>
      <c r="L112" s="3">
        <f>3408.4+(86.8-1046.7)+(0+(0-0))+0--201.3-0</f>
        <v>2649.8</v>
      </c>
      <c r="M112" s="3">
        <f>3624.8+(27-1208.1)+(-1.848648+(-0.01377--0.616131))+0--201.1-0.10256099999998</f>
        <v>2643.4511520000001</v>
      </c>
      <c r="N112" s="3">
        <f>3985.3+(20-1446.1)+(8.130012+(0.0408-2.950044))+0--198.1--0.404123999999991</f>
        <v>2762.9248920000005</v>
      </c>
      <c r="O112" s="3">
        <f>4116.7+(20-1485.3)+(-4.199034+(-0.0204--1.515006))+0--193.2-0.197064000000031</f>
        <v>2841.6985079999995</v>
      </c>
      <c r="P112" s="3">
        <f>4282.9+(21-1487)+(-2.184279+(-0.01071--0.75837))+0--189.9-0.0968489999999807</f>
        <v>3005.2665319999996</v>
      </c>
      <c r="Q112" s="3">
        <f>4349.1+(21-1407.6)+(8.872164+(0.04284-2.871504))+0--185.3--0.378011999999992</f>
        <v>3154.221512000001</v>
      </c>
      <c r="R112" s="3">
        <f>4440.6+(73.5-1353.4)+(4.529412+(0.07497-1.380468))+0--187.4--0.19114800000003</f>
        <v>3351.5150620000004</v>
      </c>
      <c r="S112" s="3">
        <f>4417.1+(94.4-1274.7)+(2.252721+(0.048144-0.650097))+0--190.7--0.0972569999999807</f>
        <v>3429.2480249999999</v>
      </c>
      <c r="T112" s="3">
        <f>4410.4+(149.9-1254.3)+(-2.249304+(-0.076449--0.639693))+0--191.4-0.0976139999999806</f>
        <v>3495.6163260000003</v>
      </c>
      <c r="U112" s="3">
        <f>4436.2+(140.2-1267)+(0+(0-0))+0--189.3-0</f>
        <v>3498.7</v>
      </c>
      <c r="V112" s="3">
        <f>4396.2+(141.4-1252.2)+(2.242062+(0.072114-0.638622))+0--189.2--0.0964919999999808</f>
        <v>3476.3720459999995</v>
      </c>
      <c r="W112" s="3">
        <f>4370.6+(58.3-1304)+(0+(0-0))+0--189.3-0</f>
        <v>3314.2000000000007</v>
      </c>
      <c r="X112" s="3">
        <f>4368.6+(19-1513.4)+(-4.455972+(-0.01938--1.543668))+0--192.6-0.196452000000031</f>
        <v>3063.6718639999999</v>
      </c>
      <c r="Y112" s="3">
        <f>4092.3+(19-1500.4)+(8.348292+(0.03876-3.060816))+0--194.3--0.396371999999992</f>
        <v>2810.9226080000003</v>
      </c>
      <c r="Z112" s="3">
        <f>4364.7+(19-1602.3)+(6.677991+(0.02907-2.451519))+0--194.8--0.298044000000011</f>
        <v>2980.7535859999998</v>
      </c>
      <c r="AA112" s="3">
        <f>4566.6+(36.8-1622.8)+(-9.315864+(-0.075072--3.310512))+0--195.6-0.399023999999991</f>
        <v>3169.7205520000002</v>
      </c>
      <c r="AB112" s="3">
        <f>4395.3+(68.5-1471.3)+(-6.724809+(-0.104805--2.251089))+0--195.1-0.298503000000011</f>
        <v>3182.722972</v>
      </c>
      <c r="AC112" s="3">
        <f>4390+(95.3-1482.7)+(-2.2389+(-0.048603--0.756177))+0--196-0.0999599999999801</f>
        <v>3196.9687140000001</v>
      </c>
      <c r="AD112" s="2">
        <v>3190.5</v>
      </c>
      <c r="AE112" s="3">
        <f>4552+(35-1626.5)+(0+(0-0))+0--230-0</f>
        <v>3190.5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4412.1+(83-1390.5)+(-6.750513+(-0.12699--2.127465))+0--211-0.322830000000012</f>
        <v>3310.5271320000002</v>
      </c>
      <c r="G113" s="3">
        <f>4549.8+(35.7-1556.7)+(-11.60199+(-0.091035--3.969585))+0--210-0.53549999999997</f>
        <v>3230.54106</v>
      </c>
      <c r="H113" s="3">
        <f>4379.1+(56.1-1496)+(-8.933364+(-0.114444--3.05184))+0--210-0.428399999999991</f>
        <v>3142.7756320000003</v>
      </c>
      <c r="I113" s="3">
        <f>4130.1+(43.5-1314.8)+(-10.531755+(-0.110925--3.35274))+0--211-0.538049999999969</f>
        <v>3061.97201</v>
      </c>
      <c r="J113" s="3">
        <f>3947+(32.8-1195.9)+(-2.01297+(-0.016728--0.609909))+0--210-0.107099999999979</f>
        <v>2992.3731109999994</v>
      </c>
      <c r="K113" s="3">
        <f>3777.9+(77.5-1090.7)+(0+(0-0))+0--147-0</f>
        <v>2911.7</v>
      </c>
      <c r="L113" s="3">
        <f>3661.2+(83.6-1217.5)+(-5.601636+(-0.127908--1.862775))+0--144-0.220320000000008</f>
        <v>2667.2129109999996</v>
      </c>
      <c r="M113" s="3">
        <f>3489.7+(133.3-1110.4)+(5.339241+(0.203949-1.698912))+0--146--0.223380000000008</f>
        <v>2662.6676579999994</v>
      </c>
      <c r="N113" s="3">
        <f>3558.5+(131.4-1080)+(0+(0-0))+0--145-0</f>
        <v>2754.9</v>
      </c>
      <c r="O113" s="3">
        <f>4017.8+(20-1338.9)+(0+(0-0))+0--180-0</f>
        <v>2878.9</v>
      </c>
      <c r="P113" s="3">
        <f>4130.9+(12-1343)+(0+(0-0))+0--199-0</f>
        <v>2998.8999999999996</v>
      </c>
      <c r="Q113" s="3">
        <f>4352.3+(14.5-1423.2)+(4.439346+(0.01479-1.451664))+0--198--0.201960000000032</f>
        <v>3144.8044320000004</v>
      </c>
      <c r="R113" s="3">
        <f>4400.8+(82.7-1295.2)+(4.488816+(0.084354-1.321104))+0--139.6--0.142392000000022</f>
        <v>3331.2944580000003</v>
      </c>
      <c r="S113" s="3">
        <f>4496.5+(130.9-1277.3)+(-6.879645+(-0.200277--1.954269))+0--65.7-0.100521000000004</f>
        <v>3410.5738260000003</v>
      </c>
      <c r="T113" s="3">
        <f>4504.3+(164.6-1216.5)+(-4.594386+(-0.167892--1.24083))+0--67-0.0683400000000107</f>
        <v>3515.8102120000003</v>
      </c>
      <c r="U113" s="3">
        <f>4481.3+(162.7-1161.9)+(-9.141852+(-0.331908--2.370276))+0--63.6-0.129743999999997</f>
        <v>3538.4667720000002</v>
      </c>
      <c r="V113" s="3">
        <f>4416.9+(161.1-1133.7)+(-2.252619+(-0.082161--0.578187))+0--67.5-0.0344249999999932</f>
        <v>3510.0089819999998</v>
      </c>
      <c r="W113" s="3">
        <f>4316.1+(109.5-1119.8)+(-6.603633+(-0.167535--1.713294))+0--68.6-0.104958000000004</f>
        <v>3369.2371680000001</v>
      </c>
      <c r="X113" s="3">
        <f>4242.5+(44.4-1264.9)+(-10.818375+(-0.11322--3.225495))+0--71.4-0.18206999999999</f>
        <v>3085.5118300000004</v>
      </c>
      <c r="Y113" s="3">
        <f>3990.5+(41.7-1290.3)+(0+(0-0))+0--77.1-0</f>
        <v>2819</v>
      </c>
      <c r="Z113" s="3">
        <f>4322.6+(17.6-1409.9)+(0+(0-0))+0--76-0</f>
        <v>3006.3</v>
      </c>
      <c r="AA113" s="3">
        <f>4667.5+(35.6-1573)+(-7.141275+(-0.054468--2.40669))+0--72.4-0.110772000000004</f>
        <v>3197.600175</v>
      </c>
      <c r="AB113" s="3">
        <f>4674.3+(35.6-1559.1)+(-7.151679+(-0.054468--2.385423))+0--72.5-0.110925000000004</f>
        <v>3218.3683510000001</v>
      </c>
      <c r="AC113" s="3">
        <f>4620.6+(61.4-1509.5)+(-4.713012+(-0.062628--1.53969))+0--74.8-0.0762960000000119</f>
        <v>3243.9877540000007</v>
      </c>
      <c r="AD113" s="2">
        <v>3230.1000000000004</v>
      </c>
      <c r="AE113" s="3">
        <f>4668+(37.6-1559.9)+(0+(0-0))+0--84.4-0</f>
        <v>3230.1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4620.5+(55.3-1518.7)+(-2.356455+(-0.028203--0.774537))+0--260-0.132599999999974</f>
        <v>3415.3572789999998</v>
      </c>
      <c r="G114" s="3">
        <f>4645.1+(22.9-1565.2)+(-9.476004+(-0.046716--3.193008))+0--260-0.530399999999989</f>
        <v>3355.9398879999999</v>
      </c>
      <c r="H114" s="3">
        <f>4537.3+(21-1535.5)+(-2.314023+(-0.01071--0.783105))+0--260-0.132599999999974</f>
        <v>3281.1257720000003</v>
      </c>
      <c r="I114" s="3">
        <f>4501.5+(12-1540.3)+(-6.887295+(-0.01836--2.356659))+0--260-0.397800000000015</f>
        <v>3228.2532039999996</v>
      </c>
      <c r="J114" s="3">
        <f>4325.8+(23.6-1406.8)+(-4.412316+(-0.024072--1.434936))+0--260-0.265200000000041</f>
        <v>3199.3333480000006</v>
      </c>
      <c r="K114" s="3">
        <f>4059.7+(61.6-1270.5)+(-12.422682+(-0.188496--3.88773))+0--260-0.79560000000003</f>
        <v>3101.2809519999996</v>
      </c>
      <c r="L114" s="3">
        <f>3752.7+(110.7-1197.3)+(0+(0-0))+0--75.7-0</f>
        <v>2741.7999999999997</v>
      </c>
      <c r="M114" s="3">
        <f>3714.7+(103.5-1147.2)+(1.894497+(0.052785-0.585072))+0--75.6--0.0385559999999923</f>
        <v>2748.0007659999997</v>
      </c>
      <c r="N114" s="3">
        <f>3861.1+(68.4-1163.3)+(3.938322+(0.069768-1.186566))+0--74--0.0754800000000118</f>
        <v>2843.0970039999997</v>
      </c>
      <c r="O114" s="3">
        <f>4219.7+(12-1375.9)+(0+(0-0))+0--72.2-0</f>
        <v>2927.9999999999995</v>
      </c>
      <c r="P114" s="3">
        <f>4438.9+(13-1478.6)+(6.791517+(0.01989-2.262258))+0--71.2--0.108936000000004</f>
        <v>3049.1580849999996</v>
      </c>
      <c r="Q114" s="3">
        <f>4568.6+(22.5-1490.1)+(-4.659972+(-0.02295--1.519902))+0--69.1-0.070482000000011</f>
        <v>3166.8664980000003</v>
      </c>
      <c r="R114" s="3">
        <f>4666.3+(77.1-1418.5)+(2.379813+(0.039321-0.723435))+0--67.8--0.0345779999999931</f>
        <v>3394.4302769999999</v>
      </c>
      <c r="S114" s="3">
        <f>4626.7+(132.4-1351.5)+(-11.798085+(-0.33762--3.446325))+0--66.4-0.16931999999999</f>
        <v>3465.1413000000002</v>
      </c>
      <c r="T114" s="3">
        <f>4572.6+(181.7-1287.4)+(-4.664052+(-0.185334--1.313148))+0--67.5-0.0688500000000108</f>
        <v>3530.7949120000003</v>
      </c>
      <c r="U114" s="3">
        <f>4659.9+(164.9-1322.1)+(-2.376549+(-0.084099--0.674271))+0--66.9-0.0341189999999932</f>
        <v>3567.7795040000001</v>
      </c>
      <c r="V114" s="3">
        <f>4630+(142.7-1307.4)+(2.3613+(0.072777-0.666774))+0--67.1--0.0342209999999932</f>
        <v>3534.2015240000001</v>
      </c>
      <c r="W114" s="3">
        <f>4638.9+(60.2-1393.7)+(-2.365839+(-0.030702--0.710787))+0--67-0.0341699999999932</f>
        <v>3370.6800759999996</v>
      </c>
      <c r="X114" s="3">
        <f>4655+(11-1617.1)+(-4.7481+(-0.01122--1.649442))+0--68-0.0693600000000108</f>
        <v>3113.7207619999999</v>
      </c>
      <c r="Y114" s="3">
        <f>4622.3+(11-1824.2)+(-9.429492+(-0.02244--3.721368))+0--70.3-0.143411999999997</f>
        <v>2873.5260240000007</v>
      </c>
      <c r="Z114" s="3">
        <f>4695+(14-1754.6)+(9.5778+(0.02856-3.579384))+0--70.7--0.144227999999997</f>
        <v>3031.2712040000001</v>
      </c>
      <c r="AA114" s="3">
        <f>4838.5+(0-1716.1)+(-4.93527+(0--1.750422))+0--70.8-0.0722160000000113</f>
        <v>3189.9429360000004</v>
      </c>
      <c r="AB114" s="3">
        <f>4852.8+(19.5-1700.6)+(-9.899712+(-0.03978--3.469224))+0--71.1-0.145043999999997</f>
        <v>3236.1846880000003</v>
      </c>
      <c r="AC114" s="3">
        <f>4735.4+(39.8-1592)+(2.415054+(0.020298-0.81192))+0--71.4--0.0364139999999928</f>
        <v>3256.2598459999999</v>
      </c>
      <c r="AD114" s="2">
        <v>3205.4</v>
      </c>
      <c r="AE114" s="3">
        <f>4858.5+(0-1711.1)+(0+(0-0))+0--75-0</f>
        <v>3222.4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4647.9+(47.2-1510.5)+(-2.370429+(-0.024072--0.770355))+0--61-0.0311099999999938</f>
        <v>3243.9447439999994</v>
      </c>
      <c r="G115" s="3">
        <f>4559.8+(60.1-1495)+(-2.325498+(-0.030651--0.76245))+0--61-0.0311099999999938</f>
        <v>3184.2751910000002</v>
      </c>
      <c r="H115" s="3">
        <f>4487+(53.9-1498.3)+(-4.57674+(-0.054978--1.528266))+0--64-0.0652800000000102</f>
        <v>3103.4312680000007</v>
      </c>
      <c r="I115" s="3">
        <f>4347.9+(57.2-1428.5)+(-6.652287+(-0.087516--2.185605))+0--65-0.0994500000000038</f>
        <v>3036.9463519999995</v>
      </c>
      <c r="J115" s="3">
        <f>4141.9+(80-1308.9)+(-4.224738+(-0.0816--1.335078))+0--66-0.0673200000000105</f>
        <v>2975.9614199999996</v>
      </c>
      <c r="K115" s="3">
        <f>3964.5+(111.5-1233.6)+(-4.04379+(-0.11373--1.258272))+0--65-0.0663000000000104</f>
        <v>2904.434452</v>
      </c>
      <c r="L115" s="3">
        <f>3731.8+(146-1227.3)+(1.903218+(0.07446-0.625923))+0--62.1--0.0316709999999937</f>
        <v>2713.9834260000002</v>
      </c>
      <c r="M115" s="3">
        <f>3674.5+(160.9-1199)+(5.621985+(0.246177-1.83447))+0--63.5--0.0971550000000037</f>
        <v>2704.030847</v>
      </c>
      <c r="N115" s="3">
        <f>3939.2+(65-1262.4)+(-2.008992+(-0.03315--0.643824))+0--62.2-0.0317219999999937</f>
        <v>2802.5699599999994</v>
      </c>
      <c r="O115" s="3">
        <f>4174.9+(16.4-1351.6)+(8.516796+(0.033456-2.757264))+0--59--0.120359999999997</f>
        <v>2904.6133479999999</v>
      </c>
      <c r="P115" s="3">
        <f>4531.8+(14-1544.8)+(0+(0-0))+0--56.2-0</f>
        <v>3057.2</v>
      </c>
      <c r="Q115" s="3">
        <f>4571.8+(47.8-1472.5)+(9.326472+(0.097512-3.0039))+0--53.8--0.109751999999998</f>
        <v>3207.4298360000003</v>
      </c>
      <c r="R115" s="3">
        <f>4309.7+(149.3-1140.6)+(-2.197947+(-0.076143--0.581706))+0--52.5-0.0267749999999947</f>
        <v>3369.1808409999999</v>
      </c>
      <c r="S115" s="3">
        <f>3988.8+(290.1-911.4)+(-4.068576+(-0.295902--0.929628))+0--53.4-0.0544680000000085</f>
        <v>3417.4106820000002</v>
      </c>
      <c r="T115" s="3">
        <f>3932.4+(310.9-818.8)+(4.011048+(0.317118-0.835176))+0--53.6--0.0546720000000085</f>
        <v>3481.6476620000003</v>
      </c>
      <c r="U115" s="3">
        <f>3928.7+(298.4-807.9)+(-2.003637+(-0.152184--0.412029))+0--54-0.0275399999999945</f>
        <v>3471.4286679999996</v>
      </c>
      <c r="V115" s="3">
        <f>3884.4+(266.6-769.9)+(-3.962088+(-0.271932--0.785298))+0--55-0.0561000000000088</f>
        <v>3432.5951780000005</v>
      </c>
      <c r="W115" s="3">
        <f>3855.6+(183.5-798.2)+(1.966356+(0.093585-0.407082))+0--55.9--0.0285089999999943</f>
        <v>3298.4813679999997</v>
      </c>
      <c r="X115" s="3">
        <f>3882.7+(155.9-1016.6)+(-5.940531+(-0.238527--1.555398))+0--57.2-0.0875160000000033</f>
        <v>3074.4888239999996</v>
      </c>
      <c r="Y115" s="3">
        <f>3939.1+(78.8-1274.9)+(-8.035764+(-0.160752--2.600796))+0--57.9-0.118115999999997</f>
        <v>2795.1861640000002</v>
      </c>
      <c r="Z115" s="3">
        <f>4025+(41.8-1150.9)+(2.05275+(0.021318-0.586959))+0--57.8--0.0294779999999941</f>
        <v>2975.2165869999999</v>
      </c>
      <c r="AA115" s="3">
        <f>4152.1+(91.3-1146.8)+(-6.352713+(-0.139689--1.754604))+0--58.1-0.0888930000000034</f>
        <v>3149.8733090000001</v>
      </c>
      <c r="AB115" s="3">
        <f>4149.8+(97.1-1146.8)+(-4.232796+(-0.099042--1.169736))+0--58.5-0.0596700000000093</f>
        <v>3155.3782280000005</v>
      </c>
      <c r="AC115" s="3">
        <f>4353+(79.7-1319.6)+(-6.66009+(-0.121941--2.018988))+0--59.4-0.0908820000000034</f>
        <v>3167.6460750000006</v>
      </c>
      <c r="AD115" s="2">
        <v>3185.7999999999997</v>
      </c>
      <c r="AE115" s="3">
        <f>4169+(91.9-1144.1)+(0+(0-0))+0--69-0</f>
        <v>3185.8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4476.1+(71.8-1391.2)+(6.848433+(0.109854-2.128536))+0--65--0.0994500000000038</f>
        <v>3226.6292010000006</v>
      </c>
      <c r="G116" s="3">
        <f>4460.3+(57.6-1401)+(0+(0-0))+0--66-0</f>
        <v>3182.9</v>
      </c>
      <c r="H116" s="3">
        <f>4145.2+(82.6-1221.1)+(4.228104+(0.084252-1.245522))+0--66--0.0673200000000105</f>
        <v>3075.8341540000001</v>
      </c>
      <c r="I116" s="3">
        <f>4154.4+(52.8-1261.1)+(-4.237488+(-0.053856--1.286322))+0--66-0.0673200000000105</f>
        <v>3009.0276579999995</v>
      </c>
      <c r="J116" s="3">
        <f>4167.5+(48.5-1301)+(-2.125425+(-0.024735--0.66351))+0--67-0.0341699999999932</f>
        <v>2980.4791800000003</v>
      </c>
      <c r="K116" s="3">
        <f>3996.2+(60.5-1190.7)+(-10.19031+(-0.154275--3.036285))+0--67-0.17084999999999</f>
        <v>2925.5208499999999</v>
      </c>
      <c r="L116" s="3">
        <f>3471.7+(176.2-985.7)+(-7.082268+(-0.359448--2.010828))+0--65-0.132599999999997</f>
        <v>2721.636512</v>
      </c>
      <c r="M116" s="3">
        <f>3273.1+(217.6-913.8)+(-1.669281+(-0.110976--0.466038))+0--65-0.0331499999999934</f>
        <v>2640.552631</v>
      </c>
      <c r="N116" s="3">
        <f>3381.4+(164.7-936.9)+(-3.449028+(-0.167994--0.955638))+0--63-0.06426000000001</f>
        <v>2669.4743559999997</v>
      </c>
      <c r="O116" s="3">
        <f>3456.8+(153.2-945.9)+(-3.525936+(-0.156264--0.964818))+0--62-0.0632400000000099</f>
        <v>2723.3193780000006</v>
      </c>
      <c r="P116" s="3">
        <f>3898.2+(48.1-1147.7)+(-1.988082+(-0.024531--0.585327))+0--59-0.030089999999994</f>
        <v>2856.1426239999992</v>
      </c>
      <c r="Q116" s="3">
        <f>3955.7+(73.3-1118.6)+(-2.017407+(-0.037383--0.570486))+0--120-0.0611999999999878</f>
        <v>3028.8544959999995</v>
      </c>
      <c r="R116" s="3">
        <f>4062.9+(117.1-1142.6)+(0+(0-0))+0--154.3-0</f>
        <v>3191.7000000000003</v>
      </c>
      <c r="S116" s="3">
        <f>4190.2+(135.8-1217.7)+(-4.274004+(-0.138516--1.242054))+0--186.3-0.19002600000003</f>
        <v>3291.2395079999997</v>
      </c>
      <c r="T116" s="3">
        <f>4193.9+(175.7-1194.9)+(4.277778+(0.179214-1.218798))+0--185.8--0.18951600000003</f>
        <v>3363.9277099999999</v>
      </c>
      <c r="U116" s="3">
        <f>4251.8+(174.4-1220.8)+(-4.336836+(-0.177888--1.245216))+0--186.1-0.18982200000003</f>
        <v>3388.0406700000008</v>
      </c>
      <c r="V116" s="3">
        <f>4261.5+(135.2-1255.2)+(-8.69346+(-0.275808--2.560608))+0--187.3-0.382091999999992</f>
        <v>3322.0092480000003</v>
      </c>
      <c r="W116" s="3">
        <f>4239.9+(74-1255)+(-4.324698+(-0.07548--1.2801))+0--187.6-0.19135200000003</f>
        <v>3243.1885699999998</v>
      </c>
      <c r="X116" s="3">
        <f>4130.3+(79.1-1408.5)+(-6.319359+(-0.121023--2.155005))+0--189.3-0.289629000000011</f>
        <v>2985.6249940000002</v>
      </c>
      <c r="Y116" s="3">
        <f>4045.1+(60.5-1563.9)+(-2.063001+(-0.030855--0.797589))+0--190.3-0.0970529999999807</f>
        <v>2730.6066799999999</v>
      </c>
      <c r="Z116" s="3">
        <f>4236+(24-1552)+(0+(0-0))+0--190.5-0</f>
        <v>2898.5</v>
      </c>
      <c r="AA116" s="3">
        <f>4572.5+(25-1660.9)+(6.995925+(0.03825-2.541177))+0--191--0.292230000000011</f>
        <v>3132.3852280000001</v>
      </c>
      <c r="AB116" s="3">
        <f>4580.5+(37-1625.6)+(-7.008165+(-0.05661--2.487168))+0--191.7-0.293301000000011</f>
        <v>3178.7290919999996</v>
      </c>
      <c r="AC116" s="3">
        <f>4569+(66.4-1583)+(-6.99057+(-0.101592--2.42199))+0--192-0.293760000000011</f>
        <v>3239.436068</v>
      </c>
      <c r="AD116" s="2">
        <v>3151.6</v>
      </c>
      <c r="AE116" s="3">
        <f>4554+(30.5-1631.4)+(0+(0-0))+0--198.5-0</f>
        <v>3151.6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4570.5+(59-1564.4)+(-2.330955+(-0.03009--0.797844))+0--205-0.104549999999979</f>
        <v>3268.432249</v>
      </c>
      <c r="G117" s="3">
        <f>4693.4+(17.1-1701.2)+(-7.180902+(-0.026163--2.602836))+0--206-0.315180000000012</f>
        <v>3210.3805909999992</v>
      </c>
      <c r="H117" s="3">
        <f>4527.9+(19.2-1627.6)+(-4.618458+(-0.019584--1.660152))+0--206-0.210120000000033</f>
        <v>3122.3119899999997</v>
      </c>
      <c r="I117" s="3">
        <f>4361.6+(33.1-1594.1)+(-4.448832+(-0.033762--1.625982))+0--206-0.210120000000033</f>
        <v>3003.5332680000001</v>
      </c>
      <c r="J117" s="3">
        <f>4216.1+(33.7-1485.8)+(-4.300422+(-0.034374--1.515516))+0--206-0.210120000000033</f>
        <v>2966.9706000000001</v>
      </c>
      <c r="K117" s="3">
        <f>4038.4+(36.1-1340.4)+(-8.238336+(-0.073644--2.734416))+0--207-0.422279999999991</f>
        <v>2935.100156</v>
      </c>
      <c r="L117" s="3">
        <f>3747.6+(69.1-1257.6)+(0+(0-0))+0--205.8-0</f>
        <v>2764.9</v>
      </c>
      <c r="M117" s="3">
        <f>3768.8+(57-1296.6)+(-1.922088+(-0.02907--0.661266))+0--205.6-0.104855999999979</f>
        <v>2733.4052520000005</v>
      </c>
      <c r="N117" s="3">
        <f>3934.3+(65.4-1317.1)+(4.012986+(0.066708-1.343442))+0--203.3--0.207366000000032</f>
        <v>2888.8436180000008</v>
      </c>
      <c r="O117" s="3">
        <f>4149.3+(24-1372.5)+(-2.116143+(-0.01224--0.699975))+0--200.8-0.10240799999998</f>
        <v>3000.069184</v>
      </c>
      <c r="P117" s="3">
        <f>4467.2+(14-1504.9)+(4.556544+(0.01428-1.534998))+0--197.1--0.201042000000031</f>
        <v>3176.6368679999996</v>
      </c>
      <c r="Q117" s="3">
        <f>4606.2+(15-1482.7)+(2.349162+(0.00765-0.756177))+0--193.6--0.0987359999999804</f>
        <v>3333.7993709999996</v>
      </c>
      <c r="R117" s="3">
        <f>4587.9+(72.8-1343.6)+(2.339829+(0.037128-0.685236))+0--194.5--0.0991949999999803</f>
        <v>3513.3909159999994</v>
      </c>
      <c r="S117" s="3">
        <f>4562+(124.5-1308.3)+(-2.32662+(-0.063495--0.667233))+0--192.6-0.0982259999999805</f>
        <v>3568.9788919999996</v>
      </c>
      <c r="T117" s="3">
        <f>4686.6+(124.6-1371.8)+(-7.170498+(-0.190638--2.098854))+0--191.2-0.292536000000011</f>
        <v>3625.0451820000003</v>
      </c>
      <c r="U117" s="3">
        <f>4747.4+(111-1398.5)+(-9.684696+(-0.22644--2.85294))+0--191.6-0.390863999999992</f>
        <v>3644.0509399999996</v>
      </c>
      <c r="V117" s="3">
        <f>4685.6+(107.6-1379)+(-9.558624+(-0.219504--2.81316))+0--193.4-0.394535999999992</f>
        <v>3600.2404960000003</v>
      </c>
      <c r="W117" s="3">
        <f>4703.3+(31-1460.8)+(-7.196049+(-0.04743--2.235024))+0--196.4-0.300492000000011</f>
        <v>3464.5910530000001</v>
      </c>
      <c r="X117" s="3">
        <f>4701.8+(23.7-1751.1)+(-16.785426+(-0.084609--6.251427))+0--198.2-0.707574000000003</f>
        <v>3161.2738180000001</v>
      </c>
      <c r="Y117" s="3">
        <f>4488.7+(33-1767.3)+(-11.446185+(-0.08415--4.506615))+0--197.4-0.503369999999971</f>
        <v>2944.2729099999997</v>
      </c>
      <c r="Z117" s="3">
        <f>4492.6+(15-1605.8)+(9.164904+(0.0306-3.275832))+0--196.3--0.400451999999991</f>
        <v>3104.4201240000002</v>
      </c>
      <c r="AA117" s="3">
        <f>4888.9+(16-1765.1)+(-2.493339+(-0.00816--0.900201))+0--196.7-0.10031699999998</f>
        <v>3334.7983849999996</v>
      </c>
      <c r="AB117" s="3">
        <f>4808.5+(40-1684.6)+(-14.71401+(-0.1224--5.154876))+0--197-0.602820000000023</f>
        <v>3350.6156460000002</v>
      </c>
      <c r="AC117" s="3">
        <f>4711.5+(49-1594.9)+(2.402865+(0.02499-0.813399))+0--197.2--0.10057199999998</f>
        <v>3364.5150279999993</v>
      </c>
      <c r="AD117" s="2">
        <v>3342.6</v>
      </c>
      <c r="AE117" s="3">
        <f>4882.5+(14-1751.9)+(0+(0-0))+0--198-0</f>
        <v>3342.6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4668.3+(36.9-1574.8)+(-7.142499+(-0.056457--2.409444))+0--199-0.304470000000012</f>
        <v>3324.3060180000007</v>
      </c>
      <c r="G118" s="3">
        <f>4559.3+(44.9-1530.1)+(2.325243+(0.022899-0.780351))+0--199--0.10148999999998</f>
        <v>3274.7692810000003</v>
      </c>
      <c r="H118" s="3">
        <f>4453.6+(42.3-1521.8)+(-2.271336+(-0.021573--0.776118))+0--200-0.10199999999998</f>
        <v>3172.4812090000005</v>
      </c>
      <c r="I118" s="3">
        <f>4259.8+(68.7-1411.9)+(-4.344996+(-0.070074--1.440138))+0--197-0.200940000000031</f>
        <v>3110.4241280000001</v>
      </c>
      <c r="J118" s="3">
        <f>4191+(61.3-1396.3)+(-8.54964+(-0.125052--2.848452))+0--201-0.410039999999991</f>
        <v>3050.7637199999999</v>
      </c>
      <c r="K118" s="3">
        <f>4113.6+(48.9-1370.5)+(-6.293808+(-0.074817--2.096865))+0--201-0.307530000000012</f>
        <v>2988.4207100000003</v>
      </c>
      <c r="L118" s="3">
        <f>3714.9+(127.5-1171)+(-9.472995+(-0.325125--2.98605))+0--149.7-0.381734999999978</f>
        <v>2813.906195</v>
      </c>
      <c r="M118" s="3">
        <f>3674.9+(109.7-1148.5)+(7.496796+(0.223788-2.34294))+0--172.5--0.351899999999993</f>
        <v>2814.3295440000006</v>
      </c>
      <c r="N118" s="3">
        <f>3970+(66.2-1302.2)+(0+(0-0))+0--201.1-0</f>
        <v>2935.1</v>
      </c>
      <c r="O118" s="3">
        <f>4187.2+(11-1372.4)+(4.270944+(0.01122-1.399848))+0--197.9--0.201858000000032</f>
        <v>3026.7841739999999</v>
      </c>
      <c r="P118" s="3">
        <f>4359.2+(11-1379.4)+(4.446384+(0.01122-1.406988))+0--195.6--0.199512000000031</f>
        <v>3189.6501279999998</v>
      </c>
      <c r="Q118" s="3">
        <f>4385+(49.2-1282)+(0+(0-0))+0--191.6-0</f>
        <v>3343.7999999999997</v>
      </c>
      <c r="R118" s="3">
        <f>4392.1+(99.1-1253.4)+(2.239971+(0.050541-0.639234))+0--191.5--0.0976649999999806</f>
        <v>3431.0489429999998</v>
      </c>
      <c r="S118" s="3">
        <f>4437.5+(155.6-1285.4)+(-4.52625+(-0.158712--1.311108))+0--192.1-0.195942000000031</f>
        <v>3496.230204</v>
      </c>
      <c r="T118" s="3">
        <f>4447.8+(161.5-1253.5)+(-9.073512+(-0.32946--2.55714))+0--191.8-0.391271999999992</f>
        <v>3540.3628960000005</v>
      </c>
      <c r="U118" s="3">
        <f>4471.7+(142.8-1286.7)+(2.280567+(0.072828-0.656217))+0--194.1--0.0989909999999803</f>
        <v>3523.6961689999994</v>
      </c>
      <c r="V118" s="3">
        <f>4470.9+(120.7-1242.2)+(-9.120636+(-0.246228--2.534088))+0--195.7-0.399227999999991</f>
        <v>3537.8679959999995</v>
      </c>
      <c r="W118" s="3">
        <f>4478.4+(65.7-1199.2)+(-4.567968+(-0.067014--1.223184))+0--196.8-0.200736000000031</f>
        <v>3538.0874659999995</v>
      </c>
      <c r="X118" s="3">
        <f>4488.5+(75.9-1499.7)+(-4.57827+(-0.077418--1.529694))+0--197.5-0.201450000000031</f>
        <v>3258.8725559999998</v>
      </c>
      <c r="Y118" s="3">
        <f>4256.9+(78.2-1537.1)+(0+(0-0))+0--198.8-0</f>
        <v>2996.8</v>
      </c>
      <c r="Z118" s="3">
        <f>4487.3+(14-1538.2)+(0+(0-0))+0--200.1-0</f>
        <v>3163.2000000000003</v>
      </c>
      <c r="AA118" s="3">
        <f>4703.8+(21-1546.6)+(-9.595752+(-0.04284--3.155064))+0--200.9-0.409835999999991</f>
        <v>3372.2066360000003</v>
      </c>
      <c r="AB118" s="3">
        <f>4602+(54.7-1476.4)+(-9.38808+(-0.111588--3.011856))+0--202-0.412079999999991</f>
        <v>3375.4001080000003</v>
      </c>
      <c r="AC118" s="3">
        <f>4564.6+(72.2-1465.8)+(-11.63973+(-0.18411--3.73779))+0--202.4-0.516119999999971</f>
        <v>3364.7978300000009</v>
      </c>
      <c r="AD118" s="2">
        <v>3364.5</v>
      </c>
      <c r="AE118" s="3">
        <f>4710+(23-1552.9)+(0+(0-0))+0--200.4-0</f>
        <v>3380.5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4593.4+(55.3-1494.4)+(-11.71317+(-0.141015--3.81072))+0--203.3-0.518414999999971</f>
        <v>3349.0381199999993</v>
      </c>
      <c r="G119" s="3">
        <f>4584.9+(30.9-1527)+(-7.014897+(-0.047277--2.33631))+0--203.8-0.311814000000012</f>
        <v>3287.5623219999998</v>
      </c>
      <c r="H119" s="3">
        <f>4434.7+(35.3-1465.6)+(-2.261697+(-0.018003--0.747456))+0--204.5-0.104294999999979</f>
        <v>3207.2634609999996</v>
      </c>
      <c r="I119" s="3">
        <f>4411.1+(26-1493.7)+(-11.248305+(-0.0663--3.808935))+0--206.4-0.52631999999997</f>
        <v>3141.7680100000007</v>
      </c>
      <c r="J119" s="3">
        <f>4340.8+(39.2-1481)+(-8.855232+(-0.079968--3.02124))+0--207.3-0.422891999999991</f>
        <v>3099.9631480000003</v>
      </c>
      <c r="K119" s="3">
        <f>4270.9+(12-1445.5)+(-4.356318+(-0.01224--1.47441))+0--207.1-0.211242000000033</f>
        <v>3041.3946099999998</v>
      </c>
      <c r="L119" s="3">
        <f>3851.4+(89.8-1227.3)+(-9.82107+(-0.22899--3.129615))+0--141.9-0.361844999999979</f>
        <v>2848.5177100000001</v>
      </c>
      <c r="M119" s="3">
        <f>3765.7+(124.7-1184.1)+(7.682028+(0.254388-2.415564))+0--140.1--0.285803999999994</f>
        <v>2852.2066560000003</v>
      </c>
      <c r="N119" s="3">
        <f>3898.2+(113.8-1203.6)+(9.94041+(0.29019-3.06918))+0--158--0.402899999999977</f>
        <v>2973.9643199999996</v>
      </c>
      <c r="O119" s="3">
        <f>4240.1+(24.6-1379.4)+(4.324902+(0.025092-1.406988))+0--200.9--0.204918000000032</f>
        <v>3089.3479240000001</v>
      </c>
      <c r="P119" s="3">
        <f>4294.9+(18.7-1281.8)+(6.571197+(0.028611-1.961154))+0--198.7--0.304011000000011</f>
        <v>3235.4426649999996</v>
      </c>
      <c r="Q119" s="3">
        <f>4446.9+(36.8-1295)+(9.071676+(0.075072-2.6418))+0--195--0.397799999999991</f>
        <v>3390.6027479999998</v>
      </c>
      <c r="R119" s="3">
        <f>4510.6+(96.3-1232.1)+(6.901218+(0.147339-1.885113))+0--192.5--0.294525000000011</f>
        <v>3572.7579689999998</v>
      </c>
      <c r="S119" s="3">
        <f>4497.1+(152.5-1205.4)+(-2.293521+(-0.077775--0.614754))+0--192.8-0.0983279999999804</f>
        <v>3635.1451300000003</v>
      </c>
      <c r="T119" s="3">
        <f>4485.1+(184.7-1190.4)+(0+(0-0))+0--193.8-0</f>
        <v>3673.2000000000007</v>
      </c>
      <c r="U119" s="3">
        <f>4475.5+(183-1152)+(-11.412525+(-0.46665--2.9376))+0--194.8-0.496739999999972</f>
        <v>3691.8616850000003</v>
      </c>
      <c r="V119" s="3">
        <f>4357.4+(181.7-1085.9)+(2.222274+(0.092667-0.553809))+0--194.9--0.0993989999999802</f>
        <v>3649.9605310000002</v>
      </c>
      <c r="W119" s="3">
        <f>4345.5+(88.9-1113.6)+(-6.648615+(-0.136017--1.703808))+0--197.1-0.301563000000011</f>
        <v>3512.517613</v>
      </c>
      <c r="X119" s="3">
        <f>4399.3+(75.8-1434.5)+(-13.461858+(-0.231948--4.38957))+0--200.2-0.612612000000023</f>
        <v>3230.8831520000003</v>
      </c>
      <c r="Y119" s="3">
        <f>4071.5+(84.8-1369.1)+(0+(0-0))+0--201.4-0</f>
        <v>2988.6</v>
      </c>
      <c r="Z119" s="3">
        <f>4274.3+(20-1316)+(-6.539679+(-0.0306--2.01348))+0--202.2-0.309366000000012</f>
        <v>3175.6338350000001</v>
      </c>
      <c r="AA119" s="3">
        <f>4628.2+(36.9-1484.9)+(-7.081146+(-0.056457--2.271897))+0--202.9-0.310437000000012</f>
        <v>3377.9238569999998</v>
      </c>
      <c r="AB119" s="3">
        <f>4692.8+(66-1572.3)+(-14.359968+(-0.20196--4.811238))+0--203.3-0.622098000000024</f>
        <v>3379.4272120000005</v>
      </c>
      <c r="AC119" s="3">
        <f>4724+(71.8-1596.1)+(-7.22772+(-0.109854--2.442033))+0--203.7-0.311661000000012</f>
        <v>3398.1927979999996</v>
      </c>
      <c r="AD119" s="2">
        <v>3387</v>
      </c>
      <c r="AE119" s="3">
        <f>4645+(28-1487.4)+(0+(0-0))+0--201.4-0</f>
        <v>3387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4743.1+(73.4-1618.7)+(-16.932867+(-0.262038--5.778759))+0--203.3-0.725781000000003</f>
        <v>3388.9580730000002</v>
      </c>
      <c r="G120" s="3">
        <f>4699.8+(59.6-1625.9)+(-11.98449+(-0.15198--4.146045))+0--202-0.515099999999971</f>
        <v>3326.994475</v>
      </c>
      <c r="H120" s="3">
        <f>4066.2+(80-1159.8)+(-8.295048+(-0.1632--2.365992))+0--204-0.416159999999991</f>
        <v>3183.8915839999995</v>
      </c>
      <c r="I120" s="3">
        <f>4073.6+(26.2-1178.5)+(-8.310144+(-0.053448--2.40414))+0--204.9-0.417995999999991</f>
        <v>3119.8225520000001</v>
      </c>
      <c r="J120" s="3">
        <f>4096.5+(25.3-1233)+(0+(0-0))+0--203-0</f>
        <v>3091.8</v>
      </c>
      <c r="K120" s="3">
        <f>4037+(22-1212.7)+(-8.23548+(-0.04488--2.473908))+0--198-0.403919999999991</f>
        <v>3038.0896280000002</v>
      </c>
      <c r="L120" s="3">
        <f>3364.3+(192.8-827.7)+(0+(0-0))+0--133.8-0</f>
        <v>2863.2000000000003</v>
      </c>
      <c r="M120" s="3">
        <f>3222.3+(235.9-792.7)+(4.930119+(0.360927-1.212831))+0--134.8--0.206244000000008</f>
        <v>2804.5844590000002</v>
      </c>
      <c r="N120" s="3">
        <f>3631.7+(122.7-1010.2)+(1.852167+(0.062577-0.515202))+0--183.6--0.0936359999999814</f>
        <v>2929.2931779999999</v>
      </c>
      <c r="O120" s="3">
        <f>3983.8+(81.3-1196.3)+(2.031738+(0.041463-0.610113))+0--194.9--0.0993989999999802</f>
        <v>3065.2624870000004</v>
      </c>
      <c r="P120" s="3">
        <f>4069.1+(42-1092.2)+(8.300964+(0.08568-2.228088))+0--191.2--0.390047999999992</f>
        <v>3216.6486039999995</v>
      </c>
      <c r="Q120" s="3">
        <f>4020.3+(71.9-914.7)+(6.151059+(0.110007-1.399491))+0--187--0.286110000000011</f>
        <v>3369.6476849999999</v>
      </c>
      <c r="R120" s="3">
        <f>4052.5+(128.6-886.2)+(-2.066775+(-0.065586--0.451962))+0--186.1-0.0949109999999811</f>
        <v>3479.22469</v>
      </c>
      <c r="S120" s="3">
        <f>4021.5+(173.7-910.5)+(-6.152895+(-0.265761--1.393065))+0--187.4-0.286722000000011</f>
        <v>3466.787687</v>
      </c>
      <c r="T120" s="3">
        <f>3998.9+(211.8-881.3)+(-2.039439+(-0.108018--0.449463))+0--186.9-0.095318999999981</f>
        <v>3514.5066870000001</v>
      </c>
      <c r="U120" s="3">
        <f>4004.8+(202.7-864.1)+(8.169792+(0.413508-1.762764))+0--186.1--0.379643999999992</f>
        <v>3536.7001800000003</v>
      </c>
      <c r="V120" s="3">
        <f>3964.3+(210.9-864.4)+(0+(0-0))+0--187.8-0</f>
        <v>3498.6000000000004</v>
      </c>
      <c r="W120" s="3">
        <f>3974+(125.1-927.7)+(-10.1337+(-0.319005--2.365635))+0--187.6-0.478379999999973</f>
        <v>3350.4345499999999</v>
      </c>
      <c r="X120" s="3">
        <f>3640.7+(157.1-929.5)+(-5.570271+(-0.240363--1.422135))+0--190.5-0.291465000000011</f>
        <v>3054.1200359999998</v>
      </c>
      <c r="Y120" s="3">
        <f>3446+(174.5-892.1)+(-1.75746+(-0.088995--0.454971))+0--192.5-0.0981749999999805</f>
        <v>2919.4103409999998</v>
      </c>
      <c r="Z120" s="3">
        <f>3870.3+(70.8-1018.9)+(3.947706+(0.072216-1.039278))+0--192.7--0.196554000000031</f>
        <v>3118.0771980000004</v>
      </c>
      <c r="AA120" s="3">
        <f>3970.2+(147-994.3)+(-4.049604+(-0.14994--1.014186))+0--193.8-0.197676000000031</f>
        <v>3313.3169659999994</v>
      </c>
      <c r="AB120" s="3">
        <f>3981.8+(134.1-995.1)+(-4.061436+(-0.136782--1.015002))+0--194.9-0.198798000000031</f>
        <v>3312.3179860000005</v>
      </c>
      <c r="AC120" s="3">
        <f>3961.8+(150.6-993.4)+(-4.041036+(-0.153612--1.013268))+0--195.5-0.199410000000031</f>
        <v>3311.1192099999998</v>
      </c>
      <c r="AD120" s="2">
        <v>3287.3</v>
      </c>
      <c r="AE120" s="3">
        <f>3951+(128.5-991.2)+(0+(0-0))+0--199-0</f>
        <v>3287.3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4015.9+(118.9-1027.1)+(-6.144327+(-0.181917--1.571463))+0--195.3-0.298809000000011</f>
        <v>3297.9464100000005</v>
      </c>
      <c r="G121" s="3">
        <f>3968.3+(95.9-1024.1)+(-2.023833+(-0.048909--0.522291))+0--193.9-0.0988889999999803</f>
        <v>3232.3506600000005</v>
      </c>
      <c r="H121" s="3">
        <f>3933+(93.7-1070.4)+(-6.01749+(-0.143361--1.637712))+0--196.2-0.300186000000011</f>
        <v>3147.6766750000002</v>
      </c>
      <c r="I121" s="3">
        <f>3954+(58-1125.5)+(-4.03308+(-0.05916--1.14801))+0--197.6-0.201552000000032</f>
        <v>3080.9542179999999</v>
      </c>
      <c r="J121" s="3">
        <f>4003.4+(34.6-1188.7)+(-10.20867+(-0.08823--3.031185))+0--197-0.502349999999971</f>
        <v>3038.5319350000004</v>
      </c>
      <c r="K121" s="3">
        <f>3673.9+(135.6-1023.9)+(-9.368445+(-0.34578--2.610945))+0--197.2-0.502859999999971</f>
        <v>2975.1938600000003</v>
      </c>
      <c r="L121" s="3">
        <f>3248.4+(195-886.6)+(3.313368+(0.1989-0.904332))+0--198.8--0.202776000000032</f>
        <v>2758.4107120000003</v>
      </c>
      <c r="M121" s="3">
        <f>3409.7+(89-968.7)+(-1.738947+(-0.04539--0.494037))+0--198.7-0.10133699999998</f>
        <v>2727.3083629999996</v>
      </c>
      <c r="N121" s="3">
        <f>3739.1+(63.4-1173.2)+(5.720823+(0.097002-1.794996))+0--196.1--0.300033000000011</f>
        <v>2829.7228620000001</v>
      </c>
      <c r="O121" s="3">
        <f>4096.6+(66.7-1318.2)+(0+(0-0))+0--189.2-0</f>
        <v>3034.3</v>
      </c>
      <c r="P121" s="3">
        <f>4083.8+(14-1157.4)+(4.165476+(0.01428-1.180548))+0--184.8--0.188496000000029</f>
        <v>3128.3877040000007</v>
      </c>
      <c r="Q121" s="3">
        <f>4244.1+(37.3-1159)+(6.493473+(0.057069-1.77327))+0--181.2--0.27723600000001</f>
        <v>3308.6545080000001</v>
      </c>
      <c r="R121" s="3">
        <f>4230+(104-1070.1)+(6.4719+(0.15912-1.637253))+0--187.9--0.287487000000011</f>
        <v>3457.0812540000002</v>
      </c>
      <c r="S121" s="3">
        <f>4190.3+(187.3-1060.9)+(-8.548212+(-0.382092--2.164236))+0--186.7-0.380867999999992</f>
        <v>3496.2530639999995</v>
      </c>
      <c r="T121" s="3">
        <f>4202.7+(223.4-1013.8)+(0+(0-0))+0--185.5-0</f>
        <v>3597.7999999999997</v>
      </c>
      <c r="U121" s="3">
        <f>4203.4+(209.8-973.6)+(-6.431202+(-0.320994--1.489608))+0--182.5-0.279225000000011</f>
        <v>3616.5581869999992</v>
      </c>
      <c r="V121" s="3">
        <f>4144.4+(162.4-913.7)+(2.113644+(0.082824-0.465987))+0--184.3--0.0939929999999813</f>
        <v>3579.2244739999996</v>
      </c>
      <c r="W121" s="3">
        <f>4151.3+(75.8-963.9)+(-6.351489+(-0.115974--1.474767))+0--185.7-0.284121000000011</f>
        <v>3443.6231830000002</v>
      </c>
      <c r="X121" s="3">
        <f>4153.5+(72-1242.9)+(-8.47314+(-0.14688--2.535516))+0--190.6-0.388823999999992</f>
        <v>3166.7266719999998</v>
      </c>
      <c r="Y121" s="3">
        <f>4022.7+(53.8-1289.5)+(-2.051577+(-0.027438--0.657645))+0--192.5-0.0981749999999805</f>
        <v>2977.9804549999999</v>
      </c>
      <c r="Z121" s="3">
        <f>4051.1+(49.5-1157.6)+(10.330305+(0.126225-2.95188))+0--194.1--0.494954999999972</f>
        <v>3145.0996049999999</v>
      </c>
      <c r="AA121" s="3">
        <f>4098.1+(113.5-1092.6)+(2.090031+(0.057885-0.557226))+0--196.2--0.10006199999998</f>
        <v>3316.8907520000002</v>
      </c>
      <c r="AB121" s="3">
        <f>4101.8+(133.4-1124.3)+(4.183836+(0.136068-1.146786))+0--197--0.200940000000031</f>
        <v>3311.2740580000004</v>
      </c>
      <c r="AC121" s="3">
        <f>4083.4+(154.9-1130.7)+(2.082534+(0.078999-0.576657))+0--195.5--0.0997049999999802</f>
        <v>3304.7845809999999</v>
      </c>
      <c r="AD121" s="2">
        <v>3297</v>
      </c>
      <c r="AE121" s="3">
        <f>4079+(100.5-1077)+(0+(0-0))+0--194.5-0</f>
        <v>3297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4075.2+(150.6-1147.8)+(-6.235056+(-0.230418--1.756134))+0--202.8-0.310284000000012</f>
        <v>3275.7803760000002</v>
      </c>
      <c r="G122" s="3">
        <f>4097.2+(129.6-1228.5)+(-4.179144+(-0.132192--1.25307))+0--201.4-0.205428000000032</f>
        <v>3196.4363059999996</v>
      </c>
      <c r="H122" s="3">
        <f>4119.8+(84.9-1286.3)+(-4.202196+(-0.086598--1.312026))+0--202.9-0.206958000000032</f>
        <v>3118.1162740000004</v>
      </c>
      <c r="I122" s="3">
        <f>4023.3+(95.5-1260.6)+(0+(0-0))+0--202.7-0</f>
        <v>3060.9</v>
      </c>
      <c r="J122" s="3">
        <f>4030.1+(59.3-1262.2)+(-2.055351+(-0.030243--0.643722))+0--203.4-0.103733999999979</f>
        <v>3029.0543940000002</v>
      </c>
      <c r="K122" s="3">
        <f>4042.2+(15.6-1287.2)+(-4.123044+(-0.015912--1.312944))+0--205.9-0.210018000000033</f>
        <v>2973.4639699999993</v>
      </c>
      <c r="L122" s="3">
        <f>3813.7+(18.7-1248.7)+(0+(0-0))+0--205.6-0</f>
        <v>2789.2999999999997</v>
      </c>
      <c r="M122" s="3">
        <f>3864.5+(15-1258.1)+(3.94179+(0.0153-1.283262))+0--147.9--0.150858000000024</f>
        <v>2772.1246860000001</v>
      </c>
      <c r="N122" s="3">
        <f>4104.3+(12-1364.2)+(10.465965+(0.0306-3.47871))+0--137.4--0.35036999999998</f>
        <v>2896.8682250000006</v>
      </c>
      <c r="O122" s="3">
        <f>4078.6+(13-1245.2)+(6.240258+(0.01989-1.905156))+0--138.5--0.211905000000008</f>
        <v>2989.4668969999998</v>
      </c>
      <c r="P122" s="3">
        <f>4038.4+(34.4-1182.3)+(4.119168+(0.035088-1.205946))+0--191.4--0.195228000000031</f>
        <v>3085.0435380000004</v>
      </c>
      <c r="Q122" s="3">
        <f>4096.7+(90.6-1155.6)+(6.267951+(0.138618-1.768068))+0--192--0.293760000000011</f>
        <v>3228.6322609999997</v>
      </c>
      <c r="R122" s="3">
        <f>4125.2+(188-1100.3)+(-2.103852+(-0.09588--0.561153))+0--194.1-0.0989909999999803</f>
        <v>3405.2624299999998</v>
      </c>
      <c r="S122" s="3">
        <f>4078.2+(288.4-1089.4)+(-10.39941+(-0.73542--2.77797))+0--194.2-0.495209999999972</f>
        <v>3462.5479299999997</v>
      </c>
      <c r="T122" s="3">
        <f>4081.3+(335.5-1082.5)+(0+(0-0))+0--195-0</f>
        <v>3529.3</v>
      </c>
      <c r="U122" s="3">
        <f>4063+(326.1-1043.3)+(-6.21639+(-0.498933--1.596249))+0--194.9-0.298197000000011</f>
        <v>3535.282729</v>
      </c>
      <c r="V122" s="3">
        <f>4009.8+(268.8-970.4)+(-6.134994+(-0.411264--1.484712))+0--195-0.298350000000011</f>
        <v>3497.8401040000003</v>
      </c>
      <c r="W122" s="3">
        <f>4014.8+(131.8-986.3)+(-4.095096+(-0.134436--1.006026))+0--195.6-0.199512000000031</f>
        <v>3352.4769820000001</v>
      </c>
      <c r="X122" s="3">
        <f>4029.2+(28.8-1186.5)+(-4.109784+(-0.029376--1.21023))+0--195.7-0.199614000000031</f>
        <v>3064.0714559999997</v>
      </c>
      <c r="Y122" s="3">
        <f>3993.3+(12-1360.7)+(6.109749+(0.01836-2.081871))+0--196.3--0.300339000000011</f>
        <v>2845.2465770000003</v>
      </c>
      <c r="Z122" s="3">
        <f>4101.6+(76.1-1281.7)+(4.183632+(0.077622-1.307334))+0--196.8--0.200736000000031</f>
        <v>3095.9546560000003</v>
      </c>
      <c r="AA122" s="3">
        <f>4172.9+(133.5-1246.4)+(-8.512716+(-0.27234--2.542656))+0--198-0.403919999999991</f>
        <v>3251.3536799999993</v>
      </c>
      <c r="AB122" s="3">
        <f>4179.2+(145.5-1259.9)+(-4.262784+(-0.14841--1.285098))+0--197.8-0.201756000000032</f>
        <v>3259.272148</v>
      </c>
      <c r="AC122" s="3">
        <f>4152.6+(161.9-1240.3)+(-2.117826+(-0.082569--0.632553))+0--199.1-0.10154099999998</f>
        <v>3271.6306170000007</v>
      </c>
      <c r="AD122" s="2">
        <v>3249.8</v>
      </c>
      <c r="AE122" s="3">
        <f>4159+(134.5-1240.7)+(0+(0-0))+0--197-0</f>
        <v>3249.8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4023.5+(163.2-1238.4)+(0+(0-0))+0--199.4-0</f>
        <v>3147.7000000000003</v>
      </c>
      <c r="G123" s="3">
        <f>4038.4+(156.7-1181.7)+(-4.119168+(-0.159834--1.205334))+0--199.6-0.203592000000032</f>
        <v>3209.7227400000002</v>
      </c>
      <c r="H123" s="3">
        <f>4048.9+(122.4-1212.5)+(0+(0-0))+0--199.3-0</f>
        <v>3158.1000000000004</v>
      </c>
      <c r="I123" s="3">
        <f>4061.7+(102.9-1268.6)+(-4.142934+(-0.104958--1.293972))+0--200.2-0.204204000000032</f>
        <v>3093.0418759999998</v>
      </c>
      <c r="J123" s="3">
        <f>4073.5+(91.5-1298.5)+(-6.232455+(-0.139995--1.986705))+0--200-0.306000000000012</f>
        <v>3061.8082549999999</v>
      </c>
      <c r="K123" s="3">
        <f>4075.1+(49.8-1328.2)+(-8.313204+(-0.101592--2.709528))+0--200.4-0.408815999999991</f>
        <v>2990.9859159999996</v>
      </c>
      <c r="L123" s="3">
        <f>4060+(11-1454.6)+(-6.2118+(-0.01683--2.225538))+0--202.4-0.309672000000012</f>
        <v>2814.4872360000004</v>
      </c>
      <c r="M123" s="3">
        <f>3993.4+(12-1422.2)+(6.109902+(0.01836-2.175966))+0--159.4--0.243882000000009</f>
        <v>2746.7961780000001</v>
      </c>
      <c r="N123" s="3">
        <f>3891.3+(12-1286.7)+(3.969126+(0.01224-1.312434))+0--137.2--0.139944000000022</f>
        <v>2756.6088760000002</v>
      </c>
      <c r="O123" s="3">
        <f>3858.1+(13-1183.4)+(1.967631+(0.00663-0.603534))+0--135.4--0.0690539999999863</f>
        <v>2824.5397809999999</v>
      </c>
      <c r="P123" s="3">
        <f>3882.2+(30.4-1132.2)+(5.939766+(0.046512-1.732266))+0--133.2--0.203796000000008</f>
        <v>2918.0578079999991</v>
      </c>
      <c r="Q123" s="3">
        <f>3867.1+(119.8-1099.1)+(3.944442+(0.122196-1.121082))+0--151.1--0.154122000000024</f>
        <v>3041.9996780000001</v>
      </c>
      <c r="R123" s="3">
        <f>3907.6+(184-1058.3)+(3.985752+(0.18768-1.079466))+0--189.1--0.19288200000003</f>
        <v>3225.6868479999998</v>
      </c>
      <c r="S123" s="3">
        <f>3900.2+(246.7-994.4)+(3.978204+(0.251634-1.014288))+0--191--0.19482000000003</f>
        <v>3346.9103700000001</v>
      </c>
      <c r="T123" s="3">
        <f>3893.2+(306.9-960.9)+(0+(0-0))+0--192.2-0</f>
        <v>3431.3999999999996</v>
      </c>
      <c r="U123" s="3">
        <f>3883.9+(313.4-944.4)+(0+(0-0))+0--191.3-0</f>
        <v>3444.2000000000003</v>
      </c>
      <c r="V123" s="3">
        <f>3836.7+(284-913.7)+(0+(0-0))+0--191-0</f>
        <v>3398</v>
      </c>
      <c r="W123" s="3">
        <f>3823.5+(188.9-904.6)+(0+(0-0))+0--191.4-0</f>
        <v>3299.2000000000003</v>
      </c>
      <c r="X123" s="3">
        <f>3825+(72.6-1098.1)+(-5.85225+(-0.111078--1.680093))+29.2--193.6-0.296208000000011</f>
        <v>3017.7205569999996</v>
      </c>
      <c r="Y123" s="3">
        <f>3561.3+(97.4-1159.2)+(-7.265052+(-0.198696--2.364768))+102.1--195.7-0.399227999999991</f>
        <v>2791.8017919999998</v>
      </c>
      <c r="Z123" s="3">
        <f>3757.9+(145.9-1078.3)+(0+(0-0))+0--196-0</f>
        <v>3021.5</v>
      </c>
      <c r="AA123" s="3">
        <f>3974.7+(189-1112.3)+(-10.135485+(-0.48195--2.836365))+0--197.6-0.503879999999971</f>
        <v>3240.7150499999998</v>
      </c>
      <c r="AB123" s="3">
        <f>3966.3+(221.7-1088.3)+(2.022813+(0.113067-0.555033))+0--198--0.10097999999998</f>
        <v>3299.3818270000006</v>
      </c>
      <c r="AC123" s="3">
        <f>3935.2+(250.7-1032.5)+(-2.006952+(-0.127857--0.526575))+0--198.4-0.10118399999998</f>
        <v>3350.0905819999998</v>
      </c>
      <c r="AD123" s="2">
        <v>3259.2000000000003</v>
      </c>
      <c r="AE123" s="3">
        <f>3966+(190-1093.2)+(0+(0-0))+0--197.4-0</f>
        <v>3260.2000000000003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3945.7+(238.2-1038.4)+(-4.024614+(-0.242964--1.059168))+0--198.8-0.202776000000032</f>
        <v>3340.8888139999999</v>
      </c>
      <c r="G124" s="3">
        <f>3951.9+(206.9-1095.7)+(-2.015469+(-0.105519--0.558807))+0--198.8-0.10138799999998</f>
        <v>3260.2364310000003</v>
      </c>
      <c r="H124" s="3">
        <f>3944.8+(155.5-1116.2)+(2.011848+(0.079305-0.569262))+0--198.6--0.10128599999998</f>
        <v>3184.3231770000002</v>
      </c>
      <c r="I124" s="3">
        <f>3935.8+(151.9-1142.4)+(2.007258+(0.077469-0.582624))+0--197.6--0.10077599999998</f>
        <v>3144.5028789999997</v>
      </c>
      <c r="J124" s="3">
        <f>3934.5+(137.6-1112.6)+(-6.019785+(-0.210528--1.702278))+0--196.7-0.300951000000011</f>
        <v>3151.3710139999998</v>
      </c>
      <c r="K124" s="3">
        <f>3896.7+(92.3-1131.5)+(-3.974634+(-0.094146--1.15413))+0--196-0.199920000000031</f>
        <v>3050.3854299999998</v>
      </c>
      <c r="L124" s="3">
        <f>3877.8+(55.2-1215.2)+(-3.955356+(-0.056304--1.239504))+0--192.2-0.196044000000031</f>
        <v>2907.0317999999997</v>
      </c>
      <c r="M124" s="3">
        <f>3709.5+(107-1081.5)+(1.891845+(0.05457-0.551565))+0--184.1--0.0938909999999813</f>
        <v>2920.588741</v>
      </c>
      <c r="N124" s="3">
        <f>3692.9+(114.2-937.6)+(7.533516+(0.232968-1.912704))+0--184.1--0.375563999999992</f>
        <v>3059.8293439999998</v>
      </c>
      <c r="O124" s="3">
        <f>3751.7+(130.6-900.9)+(3.826734+(0.133212-0.918918))+0--188.1--0.19186200000003</f>
        <v>3172.7328899999998</v>
      </c>
      <c r="P124" s="3">
        <f>4031.9+(105.7-1045.6)+(2.056269+(0.053907-0.533256))+0--190.7--0.0972569999999807</f>
        <v>3284.3741769999997</v>
      </c>
      <c r="Q124" s="3">
        <f>4114.8+(138-1005.5)+(2.098548+(0.07038-0.512805))+0--188.4--0.0960839999999809</f>
        <v>3437.4522070000003</v>
      </c>
      <c r="R124" s="3">
        <f>4144.7+(249.7-1046.9)+(4.227594+(0.254694-1.067838))+0--190.4--0.19420800000003</f>
        <v>3541.5086580000002</v>
      </c>
      <c r="S124" s="3">
        <f>4196.1+(300.8-1057.6)+(-6.420033+(-0.460224--1.618128))+0--193.5-0.296055000000011</f>
        <v>3627.2418160000002</v>
      </c>
      <c r="T124" s="3">
        <f>4116.4+(397.7-1005.2)+(-2.099364+(-0.202827--0.512652))+0--191.8-0.0978179999999805</f>
        <v>3698.8126429999998</v>
      </c>
      <c r="U124" s="3">
        <f>3826.5+(578-872)+(1.951515+(0.29478-0.44472))+0--190--0.0968999999999807</f>
        <v>3724.398475</v>
      </c>
      <c r="V124" s="3">
        <f>3755.2+(595.1-853.8)+(5.745456+(0.910503-1.306314))+0--190--0.290700000000011</f>
        <v>3692.1403449999998</v>
      </c>
      <c r="W124" s="3">
        <f>3707.1+(456.3-772.7)+(1.890621+(0.232713-0.394077))+0--189.8--0.0967979999999807</f>
        <v>3582.326055</v>
      </c>
      <c r="X124" s="3">
        <f>3779.5+(205.8-857.3)+(-5.782635+(-0.314874--1.311669))+0--190.9-0.292077000000011</f>
        <v>3313.822083</v>
      </c>
      <c r="Y124" s="3">
        <f>3855.9+(147.8-1102.5)+(0+(0-0))+0--192.5-0</f>
        <v>3093.7</v>
      </c>
      <c r="Z124" s="3">
        <f>4186.2+(220.6-1213.1)+(4.269924+(0.225012-1.237362))+0--193.3--0.197166000000031</f>
        <v>3390.4547400000001</v>
      </c>
      <c r="AA124" s="3">
        <f>4259.9+(238.6-1183)+(-10.862745+(-0.60843--3.01665))+0--193.6-0.493679999999972</f>
        <v>3500.1517949999993</v>
      </c>
      <c r="AB124" s="3">
        <f>4276+(199.4-1199.9)+(2.18076+(0.101694-0.611949))+0--194.1--0.0989909999999803</f>
        <v>3471.3694959999998</v>
      </c>
      <c r="AC124" s="3">
        <f>4242+(211.9-1213.8)+(-4.32684+(-0.216138--1.238076))+0--195.1-0.199002000000031</f>
        <v>3431.6960960000001</v>
      </c>
      <c r="AD124" s="2">
        <v>3531</v>
      </c>
      <c r="AE124" s="3">
        <f>4261+(243.5-1166.9)+(0+(0-0))+0--193.4-0</f>
        <v>3531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4249.2+(179.1-1242.3)+(-2.167092+(-0.091341--0.633573))+0--189.6-0.0966959999999808</f>
        <v>3373.8784439999999</v>
      </c>
      <c r="G125" s="3">
        <f>4272.7+(133.5-1313.1)+(0+(0-0))+0--189-0</f>
        <v>3282.1</v>
      </c>
      <c r="H125" s="3">
        <f>4290.8+(82.1-1363.6)+(4.376616+(0.083742-1.390872))+0--190.5--0.19431000000003</f>
        <v>3203.0637959999999</v>
      </c>
      <c r="I125" s="3">
        <f>4304.4+(55-1401.6)+(6.585732+(0.08415-2.144448))+0--191.1--0.292383000000011</f>
        <v>3153.7178169999997</v>
      </c>
      <c r="J125" s="3">
        <f>4327+(65.1-1415.5)+(-4.41354+(-0.066402--1.44381))+0--190.4-0.19420800000003</f>
        <v>3163.7696599999999</v>
      </c>
      <c r="K125" s="3">
        <f>4333.6+(27.1-1470.9)+(-8.840544+(-0.055284--3.000636))+0--191.5-0.390659999999992</f>
        <v>3075.0141480000002</v>
      </c>
      <c r="L125" s="3">
        <f>4108.5+(40.4-1405.2)+(-10.476675+(-0.10302--3.58326))+0--201.1-0.512804999999971</f>
        <v>2937.2907599999999</v>
      </c>
      <c r="M125" s="3">
        <f>3868.1+(38.3-1175.9)+(5.918193+(0.058599-1.799127))+0--197.8--0.302634000000011</f>
        <v>2932.7802990000005</v>
      </c>
      <c r="N125" s="3">
        <f>3779.1+(92.8-1067.6)+(5.782023+(0.141984-1.633428))+0--196.5--0.300645000000011</f>
        <v>3005.391224</v>
      </c>
      <c r="O125" s="3">
        <f>3740.4+(124.3-946.6)+(7.630416+(0.253572-1.931064))+0--195.5--0.398819999999991</f>
        <v>3119.951744</v>
      </c>
      <c r="P125" s="3">
        <f>3916.4+(172.7-988.7)+(1.997364+(0.088077-0.504237))+0--194.4--0.0991439999999803</f>
        <v>3296.480348</v>
      </c>
      <c r="Q125" s="3">
        <f>3915.2+(260.4-932.1)+(3.993504+(0.265608-0.950742))+0--191.5--0.195330000000031</f>
        <v>3438.5037000000002</v>
      </c>
      <c r="R125" s="3">
        <f>3952+(387.7-919)+(6.04656+(0.593181-1.40607))+0--190.7--0.291771000000011</f>
        <v>3616.9254419999997</v>
      </c>
      <c r="S125" s="3">
        <f>3967.1+(451.9-953.2)+(-2.023221+(-0.230469--0.486132))+0--189.5-0.0966449999999808</f>
        <v>3653.4357969999996</v>
      </c>
      <c r="T125" s="3">
        <f>3943.2+(459.5-1089.6)+(4.022064+(0.46869-1.111392))+0--181.7--0.185334000000029</f>
        <v>3498.3646960000001</v>
      </c>
      <c r="U125" s="3">
        <f>3929.9+(416.4-1041.5)+(-2.004249+(-0.212364--0.531165))+0--174.9-0.0891989999999823</f>
        <v>3477.9253530000001</v>
      </c>
      <c r="V125" s="3">
        <f>3884.2+(443.8-938.2)+(3.961884+(0.452676-0.956964))+0--178.6--0.182172000000028</f>
        <v>3572.0397679999996</v>
      </c>
      <c r="W125" s="3">
        <f>3874.5+(340.8-887)+(-7.90398+(-0.695232--1.80948))+0--180.2-0.367607999999992</f>
        <v>3501.3426599999998</v>
      </c>
      <c r="X125" s="3">
        <f>3864.9+(163-933.5)+(-5.913297+(-0.24939--1.428255))+0--193-0.295290000000011</f>
        <v>3282.3702779999999</v>
      </c>
      <c r="Y125" s="3">
        <f>3908.1+(109.5-1120.6)+(3.986262+(0.11169-1.143012))+0--193.6--0.197472000000031</f>
        <v>3093.7524119999998</v>
      </c>
      <c r="Z125" s="3">
        <f>3983.6+(234.2-1051.7)+(10.15818+(0.59721-2.681835))+0--194.7--0.496484999999972</f>
        <v>3369.3700399999998</v>
      </c>
      <c r="AA125" s="3">
        <f>4010.1+(330.4-1060.3)+(-2.045151+(-0.168504--0.540753))+0--191.7-0.0977669999999806</f>
        <v>3470.1293309999996</v>
      </c>
      <c r="AB125" s="3">
        <f>4017.5+(325.9-1088)+(-6.146775+(-0.498627--1.66464))+0--191.5-0.292995000000011</f>
        <v>3441.6262430000002</v>
      </c>
      <c r="AC125" s="3">
        <f>4001.8+(279.9-1053)+(-6.122754+(-0.428247--1.61109))+0--191.9-0.293607000000011</f>
        <v>3415.3664820000004</v>
      </c>
      <c r="AD125" s="2">
        <v>3479.8</v>
      </c>
      <c r="AE125" s="3">
        <f>3996+(317.6-1029.8)+(0+(0-0))+0--196-0</f>
        <v>3479.8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4011.2+(215.7-943.2)+(4.091424+(0.220014-0.962064))+0--152.4--0.155448000000024</f>
        <v>3439.6048219999998</v>
      </c>
      <c r="G126" s="3">
        <f>4025.1+(168.1-997.8)+(0+(0-0))+0--139.6-0</f>
        <v>3335</v>
      </c>
      <c r="H126" s="3">
        <f>4036.6+(143.7-1059)+(4.117332+(0.146574-1.08018))+0--139.9--0.142698000000022</f>
        <v>3264.5264240000006</v>
      </c>
      <c r="I126" s="3">
        <f>4012.3+(140.4-1089.2)+(2.046273+(0.071604-0.555492))+0--139.9--0.0713489999999858</f>
        <v>3205.0337340000001</v>
      </c>
      <c r="J126" s="3">
        <f>4016.8+(129.5-1081.1)+(-2.048568+(-0.066045--0.551361))+0--139.5-0.0711449999999858</f>
        <v>3203.0656030000005</v>
      </c>
      <c r="K126" s="3">
        <f>4020.6+(77.6-1132.5)+(-8.202024+(-0.158304--2.3103))+0--135.3-0.276011999999994</f>
        <v>3094.6739600000001</v>
      </c>
      <c r="L126" s="3">
        <f>3898+(58.2-1177.7)+(0+(0-0))+0--136.2-0</f>
        <v>2914.7</v>
      </c>
      <c r="M126" s="3">
        <f>3782.1+(72.3-1092.3)+(1.928871+(0.036873-0.557073))+0--137.5--0.070124999999986</f>
        <v>2901.0787960000002</v>
      </c>
      <c r="N126" s="3">
        <f>3879.4+(93.9-1069.5)+(1.978494+(0.047889-0.545445))+0--147.2--0.0750719999999851</f>
        <v>3052.5560100000002</v>
      </c>
      <c r="O126" s="3">
        <f>3991.4+(85.7-1109.5)+(2.035614+(0.043707-0.565845))+0--196.9--0.10041899999998</f>
        <v>3166.1138950000004</v>
      </c>
      <c r="P126" s="3">
        <f>3957.3+(138.8-1008.9)+(-2.018223+(-0.070788--0.514539))+0--194.3-0.0990929999999803</f>
        <v>3279.8264350000009</v>
      </c>
      <c r="Q126" s="3">
        <f>3889.3+(244.4-898.3)+(5.950629+(0.373932-1.374399))+0--193.8--0.296514000000011</f>
        <v>3434.4466760000005</v>
      </c>
      <c r="R126" s="3">
        <f>3896.8+(404.8-899.2)+(-5.962104+(-0.619344--1.375776))+0--191.5-0.292995000000011</f>
        <v>3588.4013330000002</v>
      </c>
      <c r="S126" s="3">
        <f>3921.1+(436.1-951.2)+(-1.999761+(-0.222411--0.485112))+0--193.2-0.0985319999999804</f>
        <v>3597.3644079999999</v>
      </c>
      <c r="T126" s="3">
        <f>3968.5+(435.4-999.3)+(-6.071805+(-0.666162--1.528929))+0--189.5-0.289935000000011</f>
        <v>3588.6010270000002</v>
      </c>
      <c r="U126" s="3">
        <f>3963.4+(419.8-951)+(-4.042668+(-0.428196--0.97002))+0--179-0.182580000000029</f>
        <v>3607.5165759999995</v>
      </c>
      <c r="V126" s="3">
        <f>3928.4+(345.4-869.7)+(2.003484+(0.176154-0.443547))+0--176.4--0.0899639999999821</f>
        <v>3582.326055</v>
      </c>
      <c r="W126" s="3">
        <f>3887.5+(244.7-790.9)+(-1.982625+(-0.124797--0.403359))+0--179.6-0.0915959999999818</f>
        <v>3519.1043409999997</v>
      </c>
      <c r="X126" s="3">
        <f>3920+(168.1-941.7)+(-5.9976+(-0.257193--1.440801))+0--182.8-0.279684000000011</f>
        <v>3324.1063240000003</v>
      </c>
      <c r="Y126" s="3">
        <f>3964.1+(80.4-1088.8)+(-2.021691+(-0.041004--0.555288))+0--189.4-0.0965939999999808</f>
        <v>3143.4959989999998</v>
      </c>
      <c r="Z126" s="3">
        <f>4038.1+(179-969.7)+(4.118862+(0.18258-0.989094))+0--194.1--0.197982000000031</f>
        <v>3445.0103299999996</v>
      </c>
      <c r="AA126" s="3">
        <f>4080+(232-951.3)+(2.0808+(0.11832-0.485163))+0--193.5--0.0986849999999804</f>
        <v>3556.0126419999997</v>
      </c>
      <c r="AB126" s="3">
        <f>4096.7+(214.4-981.4)+(-8.357268+(-0.437376--2.002056))+0--186.6-0.380663999999992</f>
        <v>3509.1267480000001</v>
      </c>
      <c r="AC126" s="3">
        <f>4046.6+(225.9-970)+(2.063766+(0.115209-0.4947))+0--187.1--0.095420999999981</f>
        <v>3491.379696</v>
      </c>
      <c r="AD126" s="2">
        <v>3565.8000000000006</v>
      </c>
      <c r="AE126" s="3">
        <f>4071+(243.1-938.7)+(0+(0-0))+0--190.4-0</f>
        <v>3565.8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4073.2+(182.4-799.9)+(2.077332+(0.093024-0.407949))+0--186.9--0.095318999999981</f>
        <v>3644.4577260000001</v>
      </c>
      <c r="G127" s="3">
        <f>4099.9+(153.8-1057.5)+(2.090949+(0.078438-0.539325))+0--187.7--0.095726999999981</f>
        <v>3385.6257889999997</v>
      </c>
      <c r="H127" s="3">
        <f>4110.8+(131.1-1084.4)+(2.096508+(0.066861-0.553044))+0--149.2--0.0760919999999849</f>
        <v>3308.3864169999997</v>
      </c>
      <c r="I127" s="3">
        <f>4102.3+(115.5-1087.8)+(4.184346+(0.11781-1.109556))+0--136.5--0.139230000000022</f>
        <v>3269.8318300000001</v>
      </c>
      <c r="J127" s="3">
        <f>4119.4+(109.4-1079.8)+(2.100894+(0.055794-0.550698))+0--136.4--0.0695639999999862</f>
        <v>3287.0755539999996</v>
      </c>
      <c r="K127" s="3">
        <f>4117.7+(87.5-1158.2)+(-8.400108+(-0.1785--2.362728))+0--130.1-0.265403999999994</f>
        <v>3170.6187159999995</v>
      </c>
      <c r="L127" s="3">
        <f>3923.8+(109.3-1153.6)+(-2.001138+(-0.055743--0.588336))+0--129.2-0.0658919999999869</f>
        <v>3007.1655629999996</v>
      </c>
      <c r="M127" s="3">
        <f>3823.9+(94.2-1131.6)+(3.900378+(0.096084-1.154232))+0--127.9--0.13045800000002</f>
        <v>2917.3726880000004</v>
      </c>
      <c r="N127" s="3">
        <f>3864.3+(118.1-1067.6)+(1.970793+(0.060231-0.544476))+0--131.4--0.0670139999999867</f>
        <v>3047.7535620000003</v>
      </c>
      <c r="O127" s="3">
        <f>4103.8+(79.7-1141.4)+(-4.185876+(-0.081294--1.164228))+0--185.1-0.18880200000003</f>
        <v>3223.9082560000002</v>
      </c>
      <c r="P127" s="3">
        <f>4106.1+(90.7-1053.5)+(8.376444+(0.185028-2.14914))+0--187.9--0.383315999999992</f>
        <v>3337.9956480000001</v>
      </c>
      <c r="Q127" s="3">
        <f>4079.6+(139.2-944.7)+(2.080596+(0.070992-0.481797))+0--188--0.0958799999999809</f>
        <v>3463.8656709999996</v>
      </c>
      <c r="R127" s="3">
        <f>4061.9+(233.1-878.3)+(4.143138+(0.237762-0.895866))+0--187.8--0.19155600000003</f>
        <v>3608.1765900000005</v>
      </c>
      <c r="S127" s="3">
        <f>4119.8+(302.6-944.5)+(-6.303294+(-0.462978--1.445085))+0--189.8-0.290394000000011</f>
        <v>3662.0884190000002</v>
      </c>
      <c r="T127" s="3">
        <f>4218.2+(298.9-980.5)+(-8.605128+(-0.609756--2.00022))+0--188.4-0.384335999999992</f>
        <v>3717.4009999999998</v>
      </c>
      <c r="U127" s="3">
        <f>4229.5+(318.6-989.2)+(-8.62818+(-0.649944--2.017968))+0--187-0.381479999999992</f>
        <v>3738.2583640000003</v>
      </c>
      <c r="V127" s="3">
        <f>4163+(276.2-923.8)+(-4.24626+(-0.281724--0.942276))+0--189.5-0.19329000000003</f>
        <v>3701.1210019999999</v>
      </c>
      <c r="W127" s="3">
        <f>3964.3+(224.3-784.1)+(-2.021793+(-0.114393--0.399891))+0--191.1-0.0974609999999806</f>
        <v>3593.7662439999999</v>
      </c>
      <c r="X127" s="3">
        <f>3970.9+(174.6-998.5)+(-10.125795+(-0.44523--2.546175))+0--192.5-0.490874999999972</f>
        <v>3330.9842750000003</v>
      </c>
      <c r="Y127" s="3">
        <f>3984.5+(87.7-1121.8)+(-12.19257+(-0.268362--3.432708))+0--194.9-0.596394000000023</f>
        <v>3135.6753819999999</v>
      </c>
      <c r="Z127" s="3">
        <f>4060.8+(171.2-1003.5)+(4.142016+(0.174624-1.02357))+0--194.3--0.198186000000031</f>
        <v>3426.2912560000004</v>
      </c>
      <c r="AA127" s="3">
        <f>4098.6+(202.4-972.7)+(-6.270858+(-0.309672--1.488231))+0--194.9-0.298197000000011</f>
        <v>3517.8095040000003</v>
      </c>
      <c r="AB127" s="3">
        <f>4122.7+(191.5-1016.3)+(-10.512885+(-0.488325--2.591565))+0--195.5-0.498524999999972</f>
        <v>3484.4918299999995</v>
      </c>
      <c r="AC127" s="3">
        <f>4094.6+(186.6-1009.9)+(-8.352984+(-0.380664--2.060196))+0--195.9-0.399635999999991</f>
        <v>3460.1269120000002</v>
      </c>
      <c r="AD127" s="2">
        <v>3502.8</v>
      </c>
      <c r="AE127" s="3">
        <f>4040+(234-966.2)+(0+(0-0))+0--195-0</f>
        <v>3502.8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4081.9+(161.8-1042.3)+(-2.081769+(-0.082518--0.531573))+0--195.6-0.0997559999999802</f>
        <v>3395.2675300000001</v>
      </c>
      <c r="G128" s="3">
        <f>4109.6+(137-1123.1)+(-4.191792+(-0.13974--1.145562))+0--196-0.199920000000031</f>
        <v>3316.1141100000004</v>
      </c>
      <c r="H128" s="3">
        <f>3982.6+(119.3-1040.5)+(2.031126+(0.060843-0.530655))+0--198--0.10097999999998</f>
        <v>3261.0622939999998</v>
      </c>
      <c r="I128" s="3">
        <f>3816+(160.5-974.3)+(0+(0-0))+0--197.2-0</f>
        <v>3199.3999999999996</v>
      </c>
      <c r="J128" s="3">
        <f>3838.4+(136.6-972.5)+(-7.830336+(-0.278664--1.9839))+0--197.2-0.402287999999991</f>
        <v>3193.1726119999998</v>
      </c>
      <c r="K128" s="3">
        <f>3848.4+(113.7-1048.4)+(-9.81342+(-0.289935--2.67342))+0--196.2-0.500309999999972</f>
        <v>3101.9697549999996</v>
      </c>
      <c r="L128" s="3">
        <f>3641.4+(164.5-1028.8)+(-9.28557+(-0.419475--2.62344))+0--196.7-0.501584999999971</f>
        <v>2966.2168100000004</v>
      </c>
      <c r="M128" s="3">
        <f>3524.5+(180.2-954.8)+(1.797495+(0.091902-0.486948))+0--197.6--0.10077599999998</f>
        <v>2949.0032249999999</v>
      </c>
      <c r="N128" s="3">
        <f>3619.9+(180-937.6)+(3.692298+(0.1836-0.956352))+0--196.5--0.200430000000031</f>
        <v>3061.9199760000001</v>
      </c>
      <c r="O128" s="3">
        <f>3874.6+(98.2-983.5)+(5.928138+(0.150246-1.504755))+0--185.7--0.284121000000011</f>
        <v>3179.8577500000001</v>
      </c>
      <c r="P128" s="3">
        <f>4041.4+(88-1047.7)+(4.122228+(0.08976-1.068654))+0--181.7--0.185334000000029</f>
        <v>3266.7286679999997</v>
      </c>
      <c r="Q128" s="3">
        <f>4049.7+(122.7-919.1)+(6.196041+(0.187731-1.406223))+0--183.8--0.281214000000011</f>
        <v>3442.3587630000002</v>
      </c>
      <c r="R128" s="3">
        <f>4025.2+(184.5-864.7)+(-6.158556+(-0.282285--1.322991))+2.5--185.8-0.284274000000011</f>
        <v>3527.897876</v>
      </c>
      <c r="S128" s="3">
        <f>4020.8+(178.8-903.3)+(-4.101216+(-0.182376--0.921366))+0--188.8-0.19257600000003</f>
        <v>3481.5451980000003</v>
      </c>
      <c r="T128" s="3">
        <f>3989.8+(318.1-874)+(-4.069596+(-0.324462--0.89148))+0--187.4-0.19114800000003</f>
        <v>3617.6062740000002</v>
      </c>
      <c r="U128" s="3">
        <f>3892.6+(413.8-871.9)+(-5.955678+(-0.633114--1.334007))+0--187.6-0.287028000000011</f>
        <v>3616.5581869999996</v>
      </c>
      <c r="V128" s="3">
        <f>3854.7+(416.4-887.3)+(-5.897691+(-0.637092--1.357569))+0--188.1-0.287793000000011</f>
        <v>3566.4349929999998</v>
      </c>
      <c r="W128" s="3">
        <f>3855.8+(301.7-877)+(-9.83229+(-0.769335--2.23635))+0--188.7-0.481184999999973</f>
        <v>3460.3535399999996</v>
      </c>
      <c r="X128" s="3">
        <f>3998.2+(115.5-971.4)+(-4.078164+(-0.11781--0.990828))+0--191.3-0.195126000000031</f>
        <v>3330.1997280000001</v>
      </c>
      <c r="Y128" s="3">
        <f>4068.2+(39.9-1161)+(-2.074782+(-0.020349--0.59211))+0--193-0.0984299999999804</f>
        <v>3138.4985489999999</v>
      </c>
      <c r="Z128" s="3">
        <f>4277.2+(137.6-1210.4)+(4.362744+(0.140352-1.234608))+0--193.1--0.196962000000031</f>
        <v>3400.9654499999997</v>
      </c>
      <c r="AA128" s="3">
        <f>4400.4+(195-1289.9)+(-8.976816+(-0.3978--2.631396))+0--194.3-0.396371999999992</f>
        <v>3492.6604079999997</v>
      </c>
      <c r="AB128" s="3">
        <f>4406.5+(180.9-1307.2)+(-2.247315+(-0.092259--0.666672))+0--194.8-0.0993479999999802</f>
        <v>3473.22775</v>
      </c>
      <c r="AC128" s="3">
        <f>4381.5+(178.3-1301.2)+(-6.703695+(-0.272799--1.990836))+0--195-0.298350000000011</f>
        <v>3448.3159919999998</v>
      </c>
      <c r="AD128" s="2">
        <v>3495</v>
      </c>
      <c r="AE128" s="3">
        <f>4374+(201.5-1272.9)+(0+(0-0))+0--192.4-0</f>
        <v>3495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4381.7+(163.6-1338.4)+(0+(0-0))+0--195.2-0</f>
        <v>3402.0999999999995</v>
      </c>
      <c r="G129" s="3">
        <f>4400.8+(128.5-1376.2)+(2.244408+(0.065535-0.701862))+0--195.8--0.0998579999999801</f>
        <v>3350.6079390000004</v>
      </c>
      <c r="H129" s="3">
        <f>4410+(97.9-1459.6)+(-4.4982+(-0.099858--1.488792))+0--198.2-0.202164000000032</f>
        <v>3243.1885700000003</v>
      </c>
      <c r="I129" s="3">
        <f>4405.9+(79.7-1500.5)+(-2.247009+(-0.040647--0.765255))+0--197.4-0.10067399999998</f>
        <v>3180.8769249999996</v>
      </c>
      <c r="J129" s="3">
        <f>4422.4+(48.1-1470)+(-6.766272+(-0.073593--2.2491))+0--198.7-0.304011000000011</f>
        <v>3194.3052239999993</v>
      </c>
      <c r="K129" s="3">
        <f>4347.8+(19.1-1453.9)+(-6.652134+(-0.029223--2.224467))+0--195.6-0.299268000000011</f>
        <v>3103.8438419999998</v>
      </c>
      <c r="L129" s="3">
        <f>3945.8+(46.5-1215.2)+(0+(0-0))+0--194-0</f>
        <v>2971.1000000000004</v>
      </c>
      <c r="M129" s="3">
        <f>3691.1+(75.8-1063.1)+(11.294766+(0.231948-3.253086))+0--189.5--0.579870000000022</f>
        <v>2902.1534980000001</v>
      </c>
      <c r="N129" s="3">
        <f>3685.9+(86.4-945)+(9.399045+(0.22032-2.40975))+0--185.4--0.472769999999973</f>
        <v>3020.3823850000003</v>
      </c>
      <c r="O129" s="3">
        <f>4011.9+(59.7-1130.7)+(12.276414+(0.182682-3.459942))+0--184.8--0.565488000000021</f>
        <v>3135.2646420000005</v>
      </c>
      <c r="P129" s="3">
        <f>4327.4+(78.3-1336)+(0+(0-0))+0--183.2-0</f>
        <v>3252.8999999999996</v>
      </c>
      <c r="Q129" s="3">
        <f>4453.8+(120.4-1372.4)+(6.814314+(0.184212-2.099772))+0--180.8--0.27662400000001</f>
        <v>3387.7753780000003</v>
      </c>
      <c r="R129" s="3">
        <f>4507.2+(166.2-1345)+(0+(0-0))+0--184.3-0</f>
        <v>3512.7</v>
      </c>
      <c r="S129" s="3">
        <f>4651.6+(160.7-1451.2)+(-14.233896+(-0.491742--4.440672))+0--186.6-0.570996000000022</f>
        <v>3536.8440380000002</v>
      </c>
      <c r="T129" s="3">
        <f>4787.7+(156.7-1522.2)+(-2.441727+(-0.079917--0.776322))+0--191.5-0.0976649999999806</f>
        <v>3611.8570129999998</v>
      </c>
      <c r="U129" s="3">
        <f>4684.5+(188.8-1415.6)+(-2.389095+(-0.096288--0.721956))+0--190.2-0.0970019999999807</f>
        <v>3646.0395709999998</v>
      </c>
      <c r="V129" s="3">
        <f>4643.2+(177.1-1388.2)+(-2.368032+(-0.090321--0.707982))+0--185.2-0.0944519999999812</f>
        <v>3615.4551769999994</v>
      </c>
      <c r="W129" s="3">
        <f>4552.8+(121.9-1347)+(4.643856+(0.124338-1.37394))+0--185--0.18870000000003</f>
        <v>3516.2829540000002</v>
      </c>
      <c r="X129" s="3">
        <f>4420.1+(49-1394.3)+(2.254251+(0.02499-0.711093))+0--192.5--0.0981749999999805</f>
        <v>3268.9663230000001</v>
      </c>
      <c r="Y129" s="3">
        <f>4159.4+(81.6-1392)+(0+(0-0))+0--192.4-0</f>
        <v>3041.3999999999996</v>
      </c>
      <c r="Z129" s="3">
        <f>4548.6+(50-1475.6)+(-6.959358+(-0.0765--2.257668))+0--194.3-0.297279000000011</f>
        <v>3312.2245310000008</v>
      </c>
      <c r="AA129" s="3">
        <f>4668.8+(58.8-1519.1)+(-2.381088+(-0.029988--0.774741))+0--196.5-0.10021499999998</f>
        <v>3403.2634499999999</v>
      </c>
      <c r="AB129" s="3">
        <f>4685.8+(64.3-1586.8)+(-4.779516+(-0.065586--1.618536))+0--198.4-0.202368000000032</f>
        <v>3358.2710660000002</v>
      </c>
      <c r="AC129" s="3">
        <f>4649.6+(86.4-1594.9)+(-9.485184+(-0.176256--3.253596))+0--199.2-0.406367999999991</f>
        <v>3333.4857880000004</v>
      </c>
      <c r="AD129" s="2">
        <v>3395.8999999999996</v>
      </c>
      <c r="AE129" s="3">
        <f>4645+(54-1497.3)+(0+(0-0))+0--194.2-0</f>
        <v>3395.8999999999996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4515.5+(104-1510.7)+(-2.302905+(-0.05304--0.770457))+0--199.8-0.10189799999998</f>
        <v>3306.9126140000003</v>
      </c>
      <c r="G130" s="3">
        <f>4486+(102-1548.3)+(-2.28786+(-0.05202--0.789633))+0--199.5-0.10174499999998</f>
        <v>3237.5480079999998</v>
      </c>
      <c r="H130" s="3">
        <f>4386.8+(114-1537.9)+(0+(0-0))+0--200.4-0</f>
        <v>3163.3</v>
      </c>
      <c r="I130" s="3">
        <f>4364.8+(101-1526.4)+(-11.13024+(-0.25755--3.89232))+0--201-0.512549999999971</f>
        <v>3132.3919800000003</v>
      </c>
      <c r="J130" s="3">
        <f>4380+(98-1563.5)+(-4.4676+(-0.09996--1.59477))+0--201.1-0.205122000000032</f>
        <v>3112.4220880000003</v>
      </c>
      <c r="K130" s="3">
        <f>4384.9+(38-1604)+(-15.654093+(-0.13566--5.72628))+0--204.1-0.728637000000003</f>
        <v>3012.2078899999992</v>
      </c>
      <c r="L130" s="3">
        <f>4130.2+(47-1417.1)+(-14.744814+(-0.16779--5.059047))+0--143.6-0.512652000000002</f>
        <v>2893.333791</v>
      </c>
      <c r="M130" s="3">
        <f>3459.1+(203.2-1001.6)+(1.764141+(0.103632-0.510816))+0--113.2--0.0577319999999885</f>
        <v>2775.3146889999998</v>
      </c>
      <c r="N130" s="3">
        <f>3418.9+(215.7-958.5)+(-1.743639+(-0.110007--0.488835))+24.5--103.9-0.0529889999999895</f>
        <v>2803.0822000000007</v>
      </c>
      <c r="O130" s="3">
        <f>3446.3+(217.8-865.8)+(5.272839+(0.333234-1.324674))+0--108.1--0.165393000000006</f>
        <v>2910.8467920000003</v>
      </c>
      <c r="P130" s="3">
        <f>3657+(176-995.5)+(0+(0-0))+0--136.7-0</f>
        <v>2974.2</v>
      </c>
      <c r="Q130" s="3">
        <f>3901.3+(158.4-1129)+(5.968989+(0.242352-1.72737))+0--189.4--0.289782000000011</f>
        <v>3124.8737530000003</v>
      </c>
      <c r="R130" s="3">
        <f>4079.8+(180.4-1197.2)+(4.161396+(0.184008-1.221144))+0--189.6--0.19339200000003</f>
        <v>3255.9176520000001</v>
      </c>
      <c r="S130" s="3">
        <f>4107.8+(218.6-1173.2)+(8.379912+(0.445944-2.393328))+0--193--0.393719999999992</f>
        <v>3353.0262480000001</v>
      </c>
      <c r="T130" s="3">
        <f>4139.3+(254.5-1159.4)+(8.444172+(0.51918-2.365176))+0--197.9--0.403715999999991</f>
        <v>3439.301892</v>
      </c>
      <c r="U130" s="3">
        <f>4134.6+(293.5-1159.8)+(4.217292+(0.29937-1.182996))+0--193.9--0.197778000000031</f>
        <v>3465.7314440000005</v>
      </c>
      <c r="V130" s="3">
        <f>4078.9+(278.7-1106.3)+(-2.080239+(-0.142137--0.564213))+0--192-0.0979199999999805</f>
        <v>3441.543917</v>
      </c>
      <c r="W130" s="3">
        <f>4071.8+(214.7-1148)+(4.153236+(0.218994-1.17096))+0--196.7--0.200634000000031</f>
        <v>3338.6019039999996</v>
      </c>
      <c r="X130" s="3">
        <f>4115.3+(71-1284.8)+(-2.098803+(-0.03621--0.655248))+0--199.5-0.10174499999998</f>
        <v>3099.41849</v>
      </c>
      <c r="Y130" s="3">
        <f>4046.4+(43.4-1353)+(-8.254656+(-0.088536--2.76012))+0--201-0.410039999999991</f>
        <v>2931.8068880000001</v>
      </c>
      <c r="Z130" s="3">
        <f>4462.6+(78.6-1557.5)+(0+(0-0))+0--202.1-0</f>
        <v>3185.8</v>
      </c>
      <c r="AA130" s="3">
        <f>4744.4+(68.8-1707)+(-12.09822+(-0.17544--4.35285))+0--203.5-0.51892499999997</f>
        <v>3301.2602649999999</v>
      </c>
      <c r="AB130" s="3">
        <f>4810.3+(58.7-1763.8)+(0+(0-0))+0--200.7-0</f>
        <v>3305.9</v>
      </c>
      <c r="AC130" s="3">
        <f>4766.5+(31.1-1676.9)+(7.292745+(0.047583-2.565657))+0--204.1--0.312273000000012</f>
        <v>3329.8869439999999</v>
      </c>
      <c r="AD130" s="2">
        <v>3322.1</v>
      </c>
      <c r="AE130" s="3">
        <f>4801+(60-1741.3)+(0+(0-0))+0--202.4-0</f>
        <v>3322.1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4765.1+(51.8-1678.3)+(-9.720804+(-0.105672--3.423732))+0--194.9-0.397595999999992</f>
        <v>3326.6996600000007</v>
      </c>
      <c r="G131" s="3">
        <f>4798.2+(13-1729.5)+(-12.23541+(-0.03315--4.410225))+0--193-0.492149999999972</f>
        <v>3266.3495149999999</v>
      </c>
      <c r="H131" s="3">
        <f>4829.3+(13-1833.6)+(-17.240601+(-0.04641--6.545952))+0--195.5-0.697935000000003</f>
        <v>3192.7610060000002</v>
      </c>
      <c r="I131" s="3">
        <f>4857.5+(14-1906.7)+(0+(0-0))+0--196.6-0</f>
        <v>3161.4</v>
      </c>
      <c r="J131" s="3">
        <f>4889.3+(14-1935.1)+(-12.467715+(-0.0357--4.934505))+0--197.2-0.502859999999971</f>
        <v>3157.3282300000001</v>
      </c>
      <c r="K131" s="3">
        <f>4629+(13-1759.5)+(-14.16474+(-0.03978--5.38407))+0--190.5-0.582930000000022</f>
        <v>3063.5966199999998</v>
      </c>
      <c r="L131" s="3">
        <f>3886.2+(107.4-1233.8)+(0+(0-0))+0--136.5-0</f>
        <v>2896.3</v>
      </c>
      <c r="M131" s="3">
        <f>3911+(62.9-1235.3)+(0+(0-0))+0--134.9-0</f>
        <v>2873.5000000000005</v>
      </c>
      <c r="N131" s="3">
        <f>4355.4+(14-1456.6)+(-2.221254+(-0.00714--0.742866))+0--132.8-0.0677279999999865</f>
        <v>3044.0467439999998</v>
      </c>
      <c r="O131" s="3">
        <f>4533+(14-1547.4)+(-6.93549+(-0.02142--2.367522))+0--161-0.246330000000009</f>
        <v>3155.7642820000001</v>
      </c>
      <c r="P131" s="3">
        <f>4700.2+(15-1613.5)+(0+(0-0))+0--183.4-0</f>
        <v>3285.1</v>
      </c>
      <c r="Q131" s="3">
        <f>4699.6+(56.7-1537.9)+(7.190388+(0.086751-2.352987))+0--185.5--0.283815000000011</f>
        <v>3409.1079670000008</v>
      </c>
      <c r="R131" s="3">
        <f>4793.5+(122.2-1542.7)+(4.88937+(0.124644-1.573554))+0--185.2--0.18890400000003</f>
        <v>3561.8293639999997</v>
      </c>
      <c r="S131" s="3">
        <f>4822.4+(146.5-1540.9)+(0+(0-0))+0--182.3-0</f>
        <v>3610.2999999999997</v>
      </c>
      <c r="T131" s="3">
        <f>4791.9+(174.3-1482.5)+(2.443869+(0.088893-0.756075))+0--180.8--0.0922079999999817</f>
        <v>3666.3688950000001</v>
      </c>
      <c r="U131" s="3">
        <f>4785.6+(202.7-1489.6)+(0+(0-0))+0--180.8-0</f>
        <v>3679.5000000000009</v>
      </c>
      <c r="V131" s="3">
        <f>4729.3+(182.1-1444.5)+(2.411943+(0.092871-0.736695))+0--182.5--0.0930749999999815</f>
        <v>3651.2611939999997</v>
      </c>
      <c r="W131" s="3">
        <f>4721.4+(110.7-1477.7)+(2.407914+(0.056457-0.753627))+0--183.6--0.0936359999999814</f>
        <v>3539.8043799999996</v>
      </c>
      <c r="X131" s="3">
        <f>4734.6+(14-1620.6)+(2.414646+(0.00714-0.826506))+0--184.5--0.0940949999999813</f>
        <v>3314.1893750000004</v>
      </c>
      <c r="Y131" s="3">
        <f>4731.6+(14-1806.7)+(4.826232+(0.01428-1.842834))+0--185.4--0.18910800000003</f>
        <v>3127.4867860000008</v>
      </c>
      <c r="Z131" s="3">
        <f>4884.9+(18.4-1684.3)+(0+(0-0))+0--185.9-0</f>
        <v>3404.9</v>
      </c>
      <c r="AA131" s="3">
        <f>4951.3+(42-1691)+(-10.100652+(-0.08568--3.44964))+0--187-0.381479999999992</f>
        <v>3482.1818280000002</v>
      </c>
      <c r="AB131" s="3">
        <f>4925.8+(32.5-1696.4)+(0+(0-0))+0--187.2-0</f>
        <v>3449.1</v>
      </c>
      <c r="AC131" s="3">
        <f>4802+(46.1-1617.9)+(2.44902+(0.023511-0.825129))+0--188.1--0.0959309999999809</f>
        <v>3420.0433329999996</v>
      </c>
      <c r="AD131" s="2">
        <v>3495.2000000000003</v>
      </c>
      <c r="AE131" s="3">
        <f>4917+(38.6-1656.8)+(0+(0-0))+0--196.4-0</f>
        <v>3495.2000000000003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4790.7+(42.4-1523.6)+(4.886514+(0.043248-1.554072))+0--198.5--0.202470000000032</f>
        <v>3511.57816</v>
      </c>
      <c r="G132" s="3">
        <f>4811.8+(12-1587.8)+(-7.362054+(-0.01836--2.429334))+0--199.2-0.304776000000011</f>
        <v>3429.9441440000001</v>
      </c>
      <c r="H132" s="3">
        <f>4623+(26.9-1509.8)+(0+(0-0))+0--200.8-0</f>
        <v>3340.9000000000005</v>
      </c>
      <c r="I132" s="3">
        <f>4473.6+(26.3-1426.1)+(-4.563072+(-0.026826--1.454622))+0--204.3-0.208386000000033</f>
        <v>3274.7563380000001</v>
      </c>
      <c r="J132" s="3">
        <f>4418+(31.1-1394.1)+(-9.01272+(-0.063444--2.843964))+0--203.8-0.415751999999991</f>
        <v>3252.1520480000004</v>
      </c>
      <c r="K132" s="3">
        <f>4252.5+(51.2-1361.4)+(-10.843875+(-0.13056--3.47157))+0--205.1-0.52300499999997</f>
        <v>3139.3741300000002</v>
      </c>
      <c r="L132" s="3">
        <f>3736.4+(156.6-1177.7)+(-3.811128+(-0.159732--1.201254))+0--201.9-0.205938000000032</f>
        <v>2914.2244560000004</v>
      </c>
      <c r="M132" s="3">
        <f>3807.9+(128.6-1252.9)+(1.942029+(0.065586-0.638979))+0--200.3--0.10215299999998</f>
        <v>2885.3707890000001</v>
      </c>
      <c r="N132" s="3">
        <f>4472+(12-1642.7)+(4.56144+(0.01224-1.675554))+0--201.3--0.205326000000032</f>
        <v>3045.7034520000007</v>
      </c>
      <c r="O132" s="3">
        <f>4713.4+(12-1738.7)+(7.211502+(0.01836-2.660211))+0--199.2--0.304776000000011</f>
        <v>3190.7744269999994</v>
      </c>
      <c r="P132" s="3">
        <f>4679.4+(24.3-1613.5)+(4.772988+(0.024786-1.64577))+0--196.4--0.200328000000031</f>
        <v>3289.9523319999998</v>
      </c>
      <c r="Q132" s="3">
        <f>4673.1+(47.2-1501.3)+(9.533124+(0.096288-3.062652))+0--194.8--0.397391999999992</f>
        <v>3420.7641520000006</v>
      </c>
      <c r="R132" s="3">
        <f>4846.5+(94.5-1610.2)+(7.415145+(0.144585-2.463606))+0--195--0.298350000000011</f>
        <v>3531.1944740000004</v>
      </c>
      <c r="S132" s="3">
        <f>4843.6+(116.6-1569.5)+(7.410708+(0.178398-2.401335))+0--194.9--0.298197000000011</f>
        <v>3591.0859680000003</v>
      </c>
      <c r="T132" s="3">
        <f>4770.2+(144.3-1438.7)+(-4.865604+(-0.147186--1.467474))+0--193.8-0.197676000000031</f>
        <v>3665.8570079999995</v>
      </c>
      <c r="U132" s="3">
        <f>4715.3+(177.8-1411.7)+(4.809606+(0.181356-1.439934))+0--193--0.196860000000031</f>
        <v>3678.147888</v>
      </c>
      <c r="V132" s="3">
        <f>4674.5+(161.7-1407.2)+(0+(0-0))+0--194.5-0</f>
        <v>3623.5</v>
      </c>
      <c r="W132" s="3">
        <f>4672.3+(62.8-1499.8)+(0+(0-0))+0--195.4-0</f>
        <v>3430.7000000000003</v>
      </c>
      <c r="X132" s="3">
        <f>4605.5+(12-1562.3)+(2.348805+(0.00612-0.796773))+0--196.5--0.10021499999998</f>
        <v>3253.3583669999998</v>
      </c>
      <c r="Y132" s="3">
        <f>4368+(12-1524.4)+(6.68304+(0.01836-2.332332))+0--196.6--0.300798000000011</f>
        <v>3056.869866</v>
      </c>
      <c r="Z132" s="3">
        <f>4670.7+(43.9-1536.3)+(0+(0-0))+0--197.6-0</f>
        <v>3375.9</v>
      </c>
      <c r="AA132" s="3">
        <f>4759.9+(64.3-1550.1)+(-16.992843+(-0.229551--5.533857))+0--198.7-0.709359000000003</f>
        <v>3460.4021039999993</v>
      </c>
      <c r="AB132" s="3">
        <f>4786.4+(60.1-1598.8)+(-7.323192+(-0.091953--2.446164))+0--198.8-0.304164000000011</f>
        <v>3441.2268549999999</v>
      </c>
      <c r="AC132" s="3">
        <f>4793.7+(49.7-1633.6)+(2.444787+(0.025347-0.833136))+0--199.3--0.10164299999998</f>
        <v>3410.8386410000003</v>
      </c>
      <c r="AD132" s="2">
        <v>3481.6</v>
      </c>
      <c r="AE132" s="3">
        <f>4704+(89.8-1507.4)+(0+(0-0))+0--195.2-0</f>
        <v>3481.5999999999995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4773.9+(35.8-1604.5)+(-4.869378+(-0.036516--1.63659))+0--190.7-0.19451400000003</f>
        <v>3392.4361819999995</v>
      </c>
      <c r="G133" s="3">
        <f>4546.2+(47.1-1449.1)+(-9.274248+(-0.096084--2.956164))+0--191-0.389639999999992</f>
        <v>3328.3961920000002</v>
      </c>
      <c r="H133" s="3">
        <f>4253.3+(65.9-1275.5)+(-6.507549+(-0.100827--1.951515))+0--191.4-0.292842000000011</f>
        <v>3230.1502970000006</v>
      </c>
      <c r="I133" s="3">
        <f>4272.9+(59.2-1350.1)+(-2.179179+(-0.030192--0.688551))+0--192-0.0979199999999805</f>
        <v>3172.3812599999997</v>
      </c>
      <c r="J133" s="3">
        <f>4248.4+(66.8-1335.5)+(-8.666736+(-0.136272--2.72442))+0--193.6-0.394943999999992</f>
        <v>3166.8264679999997</v>
      </c>
      <c r="K133" s="3">
        <f>4099.3+(99.1-1281.1)+(-6.271929+(-0.151623--1.960083))+0--183.5-0.280755000000011</f>
        <v>3096.0557760000002</v>
      </c>
      <c r="L133" s="3">
        <f>3661.9+(213.9-1082.3)+(0+(0-0))+0--141.2-0</f>
        <v>2934.7</v>
      </c>
      <c r="M133" s="3">
        <f>3655.7+(203.6-1093.1)+(5.593221+(0.311508-1.672443))+0--157.4--0.240822000000009</f>
        <v>2928.073108</v>
      </c>
      <c r="N133" s="3">
        <f>4075.3+(127.3-1283.5)+(2.078403+(0.064923-0.654585))+0--139.1--0.0709409999999859</f>
        <v>3059.7596820000003</v>
      </c>
      <c r="O133" s="3">
        <f>4408.9+(51.4-1405.2)+(2.248539+(0.026214-0.716652))+0--143--0.0729299999999855</f>
        <v>3199.7310309999993</v>
      </c>
      <c r="P133" s="3">
        <f>4599.7+(19-1427.5)+(9.383388+(0.03876-2.9121))+0--134.2--0.273767999999994</f>
        <v>3332.1838159999998</v>
      </c>
      <c r="Q133" s="3">
        <f>4661.8+(73.6-1435.1)+(7.132554+(0.112608-2.195703))+0--176.2--0.26958600000001</f>
        <v>3481.8190449999997</v>
      </c>
      <c r="R133" s="3">
        <f>4800+(86.2-1470)+(-9.792+(-0.175848--2.9988))+0--192.4-0.392495999999992</f>
        <v>3601.238456</v>
      </c>
      <c r="S133" s="3">
        <f>4918.1+(75.3-1585.3)+(-7.524693+(-0.115209--2.425509))+0--192.3-0.294219000000011</f>
        <v>3594.8913880000005</v>
      </c>
      <c r="T133" s="3">
        <f>4986.8+(84-1557.9)+(7.629804+(0.12852-2.383587))+0--193.1--0.295443000000011</f>
        <v>3711.6701800000001</v>
      </c>
      <c r="U133" s="3">
        <f>4968+(93.8-1533.7)+(5.06736+(0.095676-1.564374))+0--198.4--0.202368000000032</f>
        <v>3730.3010300000001</v>
      </c>
      <c r="V133" s="3">
        <f>4782.4+(116.9-1403.7)+(2.439024+(0.059619-0.715887))+0--191.2--0.0975119999999806</f>
        <v>3688.6802679999992</v>
      </c>
      <c r="W133" s="3">
        <f>4636.9+(101.7-1344.3)+(-2.364819+(-0.051867--0.685593))+0--198.7-0.10133699999998</f>
        <v>3591.1675699999996</v>
      </c>
      <c r="X133" s="3">
        <f>4468.2+(34.6-1371.4)+(4.557564+(0.035292-1.398828))+0--206.8--0.210936000000033</f>
        <v>3341.6049639999997</v>
      </c>
      <c r="Y133" s="3">
        <f>4408.1+(12.6-1451.6)+(8.992524+(0.025704-2.961264))+0--201.8--0.411671999999991</f>
        <v>3177.3686360000006</v>
      </c>
      <c r="Z133" s="3">
        <f>4789.4+(36.1-1600.1)+(2.442594+(0.018411-0.816051))+0--218.1--0.111230999999978</f>
        <v>3445.2561849999993</v>
      </c>
      <c r="AA133" s="3">
        <f>4846.6+(39.8-1580.3)+(-9.887064+(-0.081192--3.223812))+0--219.4-0.44757599999999</f>
        <v>3518.3079800000005</v>
      </c>
      <c r="AB133" s="3">
        <f>4884.6+(30.9-1630.3)+(4.982292+(0.031518-1.662906))+0--220.3--0.224706000000035</f>
        <v>3509.0756100000008</v>
      </c>
      <c r="AC133" s="3">
        <f>4884.2+(35.1-1653.7)+(0+(0-0))+0--214.7-0</f>
        <v>3480.2999999999993</v>
      </c>
      <c r="AD133" s="2">
        <v>3465.9</v>
      </c>
      <c r="AE133" s="3">
        <f>4840+(26-1596.5)+(0+(0-0))+0--201.4-0</f>
        <v>3470.9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4901+(25-1702.9)+(-7.49853+(-0.03825--2.605437))+0--206-0.315180000000012</f>
        <v>3423.8534769999997</v>
      </c>
      <c r="G134" s="3">
        <f>4849.8+(15.6-1705.4)+(-4.946796+(-0.015912--1.739508))+0--205-0.209100000000033</f>
        <v>3361.5677000000001</v>
      </c>
      <c r="H134" s="3">
        <f>4730+(17-1660.5)+(-2.4123+(-0.00867--0.846855))+0--207-0.105569999999979</f>
        <v>3291.8203149999999</v>
      </c>
      <c r="I134" s="3">
        <f>4749.5+(12-1728.3)+(-4.84449+(-0.01224--1.762866))+0--207-0.211140000000033</f>
        <v>3236.894996</v>
      </c>
      <c r="J134" s="3">
        <f>4758.1+(12-1720.7)+(4.853262+(0.01224-1.755114))+0--207--0.211140000000033</f>
        <v>3259.7215280000005</v>
      </c>
      <c r="K134" s="3">
        <f>4386.9+(12-1432.9)+(2.237319+(0.00612-0.730779))+0--207--0.105569999999979</f>
        <v>3174.6182299999996</v>
      </c>
      <c r="L134" s="3">
        <f>4092.2+(65.4-1344.5)+(-6.261066+(-0.100062--2.057085))+0--214.5-0.328185000000012</f>
        <v>3022.967772</v>
      </c>
      <c r="M134" s="3">
        <f>4029.2+(72.6-1338.3)+(2.054892+(0.037026-0.682533))+0--211.2--0.107711999999979</f>
        <v>2976.2170969999997</v>
      </c>
      <c r="N134" s="3">
        <f>4335.4+(26-1432.4)+(4.422108+(0.02652-1.461048))+0--211.6--0.215832000000034</f>
        <v>3143.8034119999993</v>
      </c>
      <c r="O134" s="3">
        <f>4624.4+(12-1593.6)+(4.716888+(0.01224-1.625472))+0--212--0.216240000000034</f>
        <v>3258.1198959999997</v>
      </c>
      <c r="P134" s="3">
        <f>4691+(14.1-1499.7)+(2.39241+(0.007191-0.764847))+0--214.1--0.109190999999978</f>
        <v>3421.2439449999997</v>
      </c>
      <c r="Q134" s="3">
        <f>4674.2+(68.6-1407.8)+(4.767684+(0.069972-1.435956))+0--208.4--0.212568000000033</f>
        <v>3547.0142679999999</v>
      </c>
      <c r="R134" s="3">
        <f>4685.4+(157.2-1359.1)+(2.389554+(0.080172-0.693141))+0--190.7--0.0972569999999807</f>
        <v>3676.0738419999998</v>
      </c>
      <c r="S134" s="3">
        <f>4696.8+(155-1379.6)+(2.395368+(0.07905-0.703596))+0--191.6--0.0977159999999806</f>
        <v>3665.6685379999999</v>
      </c>
      <c r="T134" s="3">
        <f>4604.1+(193-1266)+(2.348091+(0.09843-0.64566))+0--192.2--0.0980219999999805</f>
        <v>3725.1988830000005</v>
      </c>
      <c r="U134" s="3">
        <f>4629.6+(182.1-1282.7)+(-7.083288+(-0.278613--1.962531))+0--191.3-0.292689000000011</f>
        <v>3714.6079410000002</v>
      </c>
      <c r="V134" s="3">
        <f>4570.9+(184-1260.1)+(2.331159+(0.09384-0.642651))+0--192.4--0.0981239999999805</f>
        <v>3689.0804720000001</v>
      </c>
      <c r="W134" s="3">
        <f>4524.4+(109.5-1249.1)+(-4.614888+(-0.11169--1.274082))+0--204.6-0.208692000000033</f>
        <v>3585.7388119999996</v>
      </c>
      <c r="X134" s="3">
        <f>4525.9+(24.4-1403.9)+(-6.924627+(-0.037332--2.147967))+0--209-0.319770000000012</f>
        <v>3350.2662379999997</v>
      </c>
      <c r="Y134" s="3">
        <f>4572.9+(12.6-1581.5)+(4.664358+(0.012852-1.61313))+0--209.1--0.213282000000033</f>
        <v>3216.3773619999997</v>
      </c>
      <c r="Z134" s="3">
        <f>4716.5+(59.3-1488.7)+(4.81083+(0.060486-1.518474))+0--206.2--0.210324000000033</f>
        <v>3496.8631659999996</v>
      </c>
      <c r="AA134" s="3">
        <f>4762+(89.4-1473.6)+(-4.85724+(-0.091188--1.503072))+0--197.2-0.201144000000031</f>
        <v>3571.3534999999997</v>
      </c>
      <c r="AB134" s="3">
        <f>4779+(79.5-1512.9)+(2.43729+(0.040545-0.771579))+0--201.4--0.10271399999998</f>
        <v>3548.80897</v>
      </c>
      <c r="AC134" s="3">
        <f>4737.1+(76.7-1496.1)+(12.079605+(0.195585-3.815055))+0--199.6--0.508979999999971</f>
        <v>3526.2691150000005</v>
      </c>
      <c r="AD134" s="2">
        <v>3617</v>
      </c>
      <c r="AE134" s="3">
        <f>4762+(86-1438.4)+(0+(0-0))+0--207.4-0</f>
        <v>3617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4747.3+(68.2-1523.6)+(7.263369+(0.104346-2.331108))+0--201--0.307530000000012</f>
        <v>3498.2441370000006</v>
      </c>
      <c r="G135" s="3">
        <f>4770+(50.7-1613.4)+(-2.4327+(-0.025857--0.822834))+0--202-0.10301999999998</f>
        <v>3407.5612570000003</v>
      </c>
      <c r="H135" s="3">
        <f>4721.1+(33.3-1619.4)+(4.815522+(0.033966-1.651788))+0--202--0.206040000000032</f>
        <v>3340.4037400000002</v>
      </c>
      <c r="I135" s="3">
        <f>4588.7+(44.6-1550)+(4.680474+(0.045492-1.581))+0--202--0.206040000000032</f>
        <v>3288.6510059999996</v>
      </c>
      <c r="J135" s="3">
        <f>4504.1+(51.6-1475.7)+(9.188364+(0.105264-3.010428))+0--202--0.412079999999991</f>
        <v>3288.6952799999999</v>
      </c>
      <c r="K135" s="3">
        <f>4323.4+(62.9-1351.5)+(-13.229604+(-0.192474--4.13559))+0--204-0.624240000000024</f>
        <v>3228.8892719999994</v>
      </c>
      <c r="L135" s="3">
        <f>3910+(91.4-1153.2)+(-9.9705+(-0.23307--2.94066))+0--212-0.540599999999969</f>
        <v>3052.3964900000001</v>
      </c>
      <c r="M135" s="3">
        <f>4001.4+(46.1-1207.4)+(0+(0-0))+0--200-0</f>
        <v>3040.1</v>
      </c>
      <c r="N135" s="3">
        <f>4390.6+(12-1430.2)+(-2.239206+(-0.00612--0.729402))+0--196-0.0999599999999801</f>
        <v>3166.7841160000007</v>
      </c>
      <c r="O135" s="3">
        <f>4673.6+(13-1589.9)+(0+(0-0))+0--193-0</f>
        <v>3289.7000000000003</v>
      </c>
      <c r="P135" s="3">
        <f>4629.7+(32-1420)+(7.083441+(0.04896-2.1726))+0--189--0.289170000000011</f>
        <v>3435.9489709999998</v>
      </c>
      <c r="Q135" s="3">
        <f>4603+(80.5-1299.6)+(7.04259+(0.123165-1.988388))+0--186--0.284580000000011</f>
        <v>3575.3619469999999</v>
      </c>
      <c r="R135" s="3">
        <f>4682.5+(133.2-1308.2)+(-4.77615+(-0.135864--1.334364))+0--186-0.18972000000003</f>
        <v>3689.73263</v>
      </c>
      <c r="S135" s="3">
        <f>4659.6+(170.6-1322.1)+(-2.376396+(-0.087006--0.674271))+0--187.2-0.095471999999981</f>
        <v>3693.4153970000002</v>
      </c>
      <c r="T135" s="3">
        <f>4648+(223.4-1291.9)+(-9.48192+(-0.455736--2.635476))+0--188.4-0.384335999999992</f>
        <v>3760.2134839999999</v>
      </c>
      <c r="U135" s="3">
        <f>4638.1+(217.4-1234.4)+(-7.096293+(-0.332622--1.888632))+0--188.8-0.288864000000011</f>
        <v>3804.0708530000006</v>
      </c>
      <c r="V135" s="3">
        <f>4558.6+(226.8-1223)+(0+(0-0))+0--188-0</f>
        <v>3750.4000000000005</v>
      </c>
      <c r="W135" s="3">
        <f>4553.6+(164.4-1248.6)+(6.967008+(0.251532-1.910358))+0--188.4--0.288252000000011</f>
        <v>3663.3964340000007</v>
      </c>
      <c r="X135" s="3">
        <f>4564.9+(61.2-1404)+(6.984297+(0.093636-2.14812))+0--189.6--0.290088000000011</f>
        <v>3416.9199009999998</v>
      </c>
      <c r="Y135" s="3">
        <f>4547.4+(8-1479)+(9.276696+(0.01632-3.01716))+0--189.1--0.385763999999992</f>
        <v>3272.1616199999999</v>
      </c>
      <c r="Z135" s="3">
        <f>4920.3+(40.9-1607.3)+(5.018706+(0.041718-1.639446))+0--190.4--0.19420800000003</f>
        <v>3547.9151860000006</v>
      </c>
      <c r="AA135" s="3">
        <f>4961.3+(50.5-1584)+(-10.121052+(-0.10302--3.23136))+0--191.4-0.390455999999992</f>
        <v>3611.816832</v>
      </c>
      <c r="AB135" s="3">
        <f>4983.2+(49.4-1654.4)+(-2.541432+(-0.025194--0.843744))+0--191.6-0.0977159999999806</f>
        <v>3567.9794019999999</v>
      </c>
      <c r="AC135" s="3">
        <f>4951.2+(53.3-1636.5)+(-2.525112+(-0.027183--0.834615))+0--192-0.0979199999999805</f>
        <v>3558.1843999999996</v>
      </c>
      <c r="AD135" s="2">
        <v>3622.6000000000004</v>
      </c>
      <c r="AE135" s="3">
        <f>4955+(59.6-1582.4)+(0+(0-0))+0--190.4-0</f>
        <v>3622.6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4906.9+(78.6-1535.6)+(2.502519+(0.040086-0.783156))+0--193.9--0.0988889999999803</f>
        <v>3645.6583379999997</v>
      </c>
      <c r="G136" s="3">
        <f>4689.7+(112.5-1491.2)+(7.175241+(0.172125-2.281536))+0--195.2--0.298656000000011</f>
        <v>3511.5644859999998</v>
      </c>
      <c r="H136" s="3">
        <f>4702.5+(83.4-1530.9)+(2.398275+(0.042534-0.780759))+0--195.8--0.0998579999999801</f>
        <v>3452.5599080000002</v>
      </c>
      <c r="I136" s="3">
        <f>4607.1+(71.9-1474.5)+(4.699242+(0.073338-1.50399))+0--196.7--0.200634000000031</f>
        <v>3404.6692240000002</v>
      </c>
      <c r="J136" s="3">
        <f>4612.1+(46.5-1458)+(-4.704342+(-0.04743--1.48716))+0--196.6-0.200532000000031</f>
        <v>3393.7348560000005</v>
      </c>
      <c r="K136" s="3">
        <f>4509.9+(30.8-1419.6)+(-9.200196+(-0.062832--2.895984))+0--198.3-0.404531999999991</f>
        <v>3312.6284239999995</v>
      </c>
      <c r="L136" s="3">
        <f>3888.9+(107.7-1074.8)+(-11.900034+(-0.329562--3.288888))+0--201.9-0.617814000000023</f>
        <v>3114.141478</v>
      </c>
      <c r="M136" s="3">
        <f>3787.8+(111.7-1042.3)+(7.727112+(0.227868-2.126292))+0--199.7--0.407387999999991</f>
        <v>3063.1360760000002</v>
      </c>
      <c r="N136" s="3">
        <f>4229.6+(58.8-1297.9)+(12.942576+(0.179928-3.971574))+0--189--0.578340000000022</f>
        <v>3189.2292699999998</v>
      </c>
      <c r="O136" s="3">
        <f>4707.5+(14-1574.1)+(7.202475+(0.02142-2.408373))+0--194.3--0.297279000000011</f>
        <v>3346.812801</v>
      </c>
      <c r="P136" s="3">
        <f>4674.7+(78.6-1475.4)+(4.768194+(0.080172-1.504908))+0--192.9--0.196758000000031</f>
        <v>3474.3402159999996</v>
      </c>
      <c r="Q136" s="3">
        <f>4642.4+(161.4-1405.1)+(2.367624+(0.082314-0.716601))+0--189.6--0.0966959999999808</f>
        <v>3590.1300329999999</v>
      </c>
      <c r="R136" s="3">
        <f>4676.5+(216.2-1386.3)+(2.385015+(0.110262-0.707013))+0--187.2--0.095471999999981</f>
        <v>3695.4837359999997</v>
      </c>
      <c r="S136" s="3">
        <f>4894.4+(160.7-1521.5)+(-14.976864+(-0.491742--4.65579))+0--189.3-0.579258000000022</f>
        <v>3711.5079259999993</v>
      </c>
      <c r="T136" s="3">
        <f>4872.5+(187.3-1506.8)+(-12.424875+(-0.477615--3.84234))+0--188.3-0.480164999999973</f>
        <v>3731.7596850000004</v>
      </c>
      <c r="U136" s="3">
        <f>4855.6+(190.7-1497.8)+(-2.476356+(-0.097257--0.763878))+0--189-0.0963899999999808</f>
        <v>3735.5938750000005</v>
      </c>
      <c r="V136" s="3">
        <f>4805.4+(203.7-1486.2)+(-7.352262+(-0.311661--2.273886))+0--188.9-0.289017000000011</f>
        <v>3706.1209459999995</v>
      </c>
      <c r="W136" s="3">
        <f>4795.9+(138.4-1527.3)+(-12.229545+(-0.35292--3.894615))+0--188.1-0.479654999999973</f>
        <v>3585.932495</v>
      </c>
      <c r="X136" s="3">
        <f>4714.2+(37.7-1566.2)+(-7.212726+(-0.057681--2.396286))+0--188.2-0.287946000000011</f>
        <v>3368.7379329999999</v>
      </c>
      <c r="Y136" s="3">
        <f>4342.2+(64.1-1362.5)+(0+(0-0))+0--188.5-0</f>
        <v>3232.2999999999997</v>
      </c>
      <c r="Z136" s="3">
        <f>4676.8+(104.7-1468.3)+(4.770336+(0.106794-1.497666))+0--190.9--0.19471800000003</f>
        <v>3507.6741820000007</v>
      </c>
      <c r="AA136" s="3">
        <f>4727.4+(119.1-1474.9)+(-4.821948+(-0.121482--1.504398))+0--193.9-0.197778000000031</f>
        <v>3561.8631899999991</v>
      </c>
      <c r="AB136" s="3">
        <f>4739.8+(111.2-1529.8)+(-7.251894+(-0.170136--2.340594))+0--195.2-0.298656000000011</f>
        <v>3511.0199080000002</v>
      </c>
      <c r="AC136" s="3">
        <f>4697.1+(119-1522.8)+(-7.186563+(-0.18207--2.329884))+0--195.8-0.299574000000011</f>
        <v>3483.7616770000004</v>
      </c>
      <c r="AD136" s="2">
        <v>3571.2</v>
      </c>
      <c r="AE136" s="3">
        <f>4716+(118.7-1455.9)+(0+(0-0))+0--192.4-0</f>
        <v>3571.2000000000003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4649+(120.3-1380.9)+(-7.11297+(-0.184059--2.112777))+0--195.8-0.299574000000011</f>
        <v>3578.7161739999997</v>
      </c>
      <c r="G137" s="3">
        <f>4563.3+(129.7-1359)+(2.327283+(0.066147-0.69309))+0--195.8--0.0998579999999801</f>
        <v>3531.6001980000001</v>
      </c>
      <c r="H137" s="3">
        <f>4480.4+(105.5-1332.3)+(0+(0-0))+0--195.7-0</f>
        <v>3449.2999999999993</v>
      </c>
      <c r="I137" s="3">
        <f>4500.9+(94.3-1386.7)+(-4.590918+(-0.096186--1.414434))+0--196.2-0.200124000000031</f>
        <v>3401.2272059999996</v>
      </c>
      <c r="J137" s="3">
        <f>4504.5+(80.7-1382)+(-6.891885+(-0.123471--2.11446))+0--195.3-0.298809000000011</f>
        <v>3393.300295</v>
      </c>
      <c r="K137" s="3">
        <f>4509+(26.6-1432.1)+(-9.19836+(-0.054264--2.921484))+0--196.5-0.400859999999991</f>
        <v>3293.268</v>
      </c>
      <c r="L137" s="3">
        <f>4118+(51.9-1295)+(-10.5009+(-0.132345--3.30225))+0--196.2-0.500309999999972</f>
        <v>3063.2686950000002</v>
      </c>
      <c r="M137" s="3">
        <f>3575.5+(159.3-971.4)+(-3.64701+(-0.162486--0.990828))+0--195.1-0.199002000000031</f>
        <v>2955.4823300000003</v>
      </c>
      <c r="N137" s="3">
        <f>3555.2+(190-930.3)+(-5.439456+(-0.2907--1.423359))+0--193.3-0.295749000000011</f>
        <v>3003.5974539999997</v>
      </c>
      <c r="O137" s="3">
        <f>3709.1+(174.9-1002.7)+(0+(0-0))+0--191.6-0</f>
        <v>3072.8999999999996</v>
      </c>
      <c r="P137" s="3">
        <f>4196.2+(68.1-1278.7)+(6.420186+(0.104193-1.956411))+0--191.1--0.292383000000011</f>
        <v>3181.5603509999992</v>
      </c>
      <c r="Q137" s="3">
        <f>4398.5+(86.2-1345.5)+(-4.48647+(-0.087924--1.37241))+0--188.4-0.19216800000003</f>
        <v>3324.2058480000001</v>
      </c>
      <c r="R137" s="3">
        <f>4438.2+(142.1-1318)+(2.263482+(0.072471-0.67218))+0--186.6--0.0951659999999811</f>
        <v>3450.6589389999999</v>
      </c>
      <c r="S137" s="3">
        <f>4422.1+(188-1281)+(-2.255271+(-0.09588--0.65331))+0--187.4-0.095573999999981</f>
        <v>3514.7065850000004</v>
      </c>
      <c r="T137" s="3">
        <f>4413.4+(196.1-1211.7)+(2.250834+(0.100011-0.617967))+0--190.7--0.0972569999999807</f>
        <v>3590.3301349999992</v>
      </c>
      <c r="U137" s="3">
        <f>4432.5+(199.7-1200.3)+(2.260575+(0.101847-0.612153))+0--190.8--0.0973079999999806</f>
        <v>3624.5475770000003</v>
      </c>
      <c r="V137" s="3">
        <f>4393.1+(212.3-1209.9)+(2.240481+(0.108273-0.617049))+0--190.5--0.0971549999999807</f>
        <v>3587.8288600000001</v>
      </c>
      <c r="W137" s="3">
        <f>4391.2+(128-1223.3)+(-2.239512+(-0.06528--0.623883))+0--191.3-0.0975629999999806</f>
        <v>3485.4215279999999</v>
      </c>
      <c r="X137" s="3">
        <f>4411.3+(18.8-1386.7)+(0+(0-0))+0--191.8-0</f>
        <v>3235.2000000000003</v>
      </c>
      <c r="Y137" s="3">
        <f>4361.5+(13.6-1485.6)+(-2.224365+(-0.006936--0.757656))+0--192.8-0.0983279999999804</f>
        <v>3080.7280270000001</v>
      </c>
      <c r="Z137" s="3">
        <f>4559.3+(65.7-1457.4)+(2.325243+(0.033507-0.743274))+0--192.9--0.0983789999999804</f>
        <v>3362.2138550000004</v>
      </c>
      <c r="AA137" s="3">
        <f>4582.1+(112.4-1443.7)+(-4.673742+(-0.114648--1.472574))+0--193.2-0.197064000000031</f>
        <v>3440.4871200000002</v>
      </c>
      <c r="AB137" s="3">
        <f>4593.6+(102.1-1474.5)+(2.342736+(0.052071-0.751995))+0--192.9--0.0983789999999804</f>
        <v>3415.8411910000004</v>
      </c>
      <c r="AC137" s="3">
        <f>4561.1+(124.4-1457.5)+(-2.326161+(-0.063444--0.743325))+0--194.1-0.0989909999999803</f>
        <v>3420.3547290000006</v>
      </c>
      <c r="AD137" s="2">
        <v>3469.8</v>
      </c>
      <c r="AE137" s="3">
        <f>4585+(122-1429.7)+(0+(0-0))+0--192.5-0</f>
        <v>3469.8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4559.5+(115.6-1393)+(-2.325345+(-0.058956--0.71043))+0--194-0.0989399999999803</f>
        <v>3474.3271890000001</v>
      </c>
      <c r="G138" s="3">
        <f>4565.9+(102.9-1429.8)+(-6.985827+(-0.157437--2.187594))+0--194.7-0.297891000000011</f>
        <v>3428.4464389999998</v>
      </c>
      <c r="H138" s="3">
        <f>4550.2+(74.7-1455)+(0+(0-0))+0--195.5-0</f>
        <v>3365.3999999999996</v>
      </c>
      <c r="I138" s="3">
        <f>4521.5+(65.8-1460.4)+(2.305965+(0.033558-0.744804))+0--195.3--0.0996029999999802</f>
        <v>3323.8943220000001</v>
      </c>
      <c r="J138" s="3">
        <f>4479.3+(73.6-1424.5)+(-9.137772+(-0.150144--2.90598))+0--195.4-0.398615999999991</f>
        <v>3317.019448</v>
      </c>
      <c r="K138" s="3">
        <f>4505.7+(35.2-1492.7)+(-11.489535+(-0.08976--3.806385))+0--196.1-0.500054999999971</f>
        <v>3236.0270349999996</v>
      </c>
      <c r="L138" s="3">
        <f>4129.5+(48.6-1284)+(-4.21209+(-0.049572--1.30968))+0--188.5-0.19227000000003</f>
        <v>3079.4557479999999</v>
      </c>
      <c r="M138" s="3">
        <f>3999.6+(49.5-1181.8)+(0+(0-0))+0--179.9-0</f>
        <v>3047.2000000000003</v>
      </c>
      <c r="N138" s="3">
        <f>4266.3+(24.5-1243.2)+(2.175813+(0.012495-0.634032))+0--178.3--0.0909329999999819</f>
        <v>3227.5452090000003</v>
      </c>
      <c r="O138" s="3">
        <f>4271.8+(65.8-1161.9)+(0+(0-0))+0--178.8-0</f>
        <v>3354.5</v>
      </c>
      <c r="P138" s="3">
        <f>4307.1+(109.2-1128.7)+(6.589863+(0.167076-1.726911))+0--177.4--0.27142200000001</f>
        <v>3470.3014500000004</v>
      </c>
      <c r="Q138" s="3">
        <f>4388.6+(141.4-1115.4)+(-2.238186+(-0.072114--0.568854))+0--181.6-0.0926159999999816</f>
        <v>3594.3659380000004</v>
      </c>
      <c r="R138" s="3">
        <f>4479.7+(196.4-1183.9)+(0+(0-0))+0--186.7-0</f>
        <v>3678.8999999999996</v>
      </c>
      <c r="S138" s="3">
        <f>4464.8+(187.8-1143.3)+(-2.277048+(-0.095778--0.583083))+0--187-0.095369999999981</f>
        <v>3694.4148870000004</v>
      </c>
      <c r="T138" s="3">
        <f>4470.9+(242.3-1152.4)+(2.280159+(0.123573-0.587724))+0--185.8--0.0947579999999812</f>
        <v>3748.5107659999994</v>
      </c>
      <c r="U138" s="3">
        <f>4457.1+(231.4-1087.8)+(2.273121+(0.118014-0.554778))+0--188.9--0.0963389999999808</f>
        <v>3791.5326960000007</v>
      </c>
      <c r="V138" s="3">
        <f>4284.4+(239.8-957)+(-8.740176+(-0.489192--1.95228))+0--189.1-0.385763999999992</f>
        <v>3748.6371479999998</v>
      </c>
      <c r="W138" s="3">
        <f>4514.1+(130.2-1175.4)+(-9.208764+(-0.265608--2.397816))+0--191.5-0.390659999999992</f>
        <v>3652.9327840000005</v>
      </c>
      <c r="X138" s="3">
        <f>4535.9+(25.4-1353.7)+(-11.566545+(-0.06477--3.451935))+0--191.1-0.487304999999972</f>
        <v>3390.0333149999992</v>
      </c>
      <c r="Y138" s="3">
        <f>4333.3+(53.1-1342)+(0+(0-0))+0--190.9-0</f>
        <v>3235.3</v>
      </c>
      <c r="Z138" s="3">
        <f>4577.3+(76.1-1334.4)+(7.003269+(0.116433-2.041632))+0--190--0.290700000000011</f>
        <v>3514.36877</v>
      </c>
      <c r="AA138" s="3">
        <f>4720.8+(89.7-1412.2)+(-14.445648+(-0.274482--4.321332))+0--190.6-0.583236000000022</f>
        <v>3577.917966</v>
      </c>
      <c r="AB138" s="3">
        <f>4724.7+(92.4-1474.2)+(-4.819194+(-0.094248--1.503684))+0--191.9-0.195738000000031</f>
        <v>3531.1945040000001</v>
      </c>
      <c r="AC138" s="3">
        <f>4685.2+(108.2-1483.8)+(2.389452+(0.055182-0.756738))+0--191.8--0.0978179999999805</f>
        <v>3503.1857140000002</v>
      </c>
      <c r="AD138" s="2">
        <v>3601.5000000000005</v>
      </c>
      <c r="AE138" s="3">
        <f>4710+(86.6-1385.5)+(0+(0-0))+0--190.4-0</f>
        <v>3601.5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4615.5+(119-1445.2)+(0+(0-0))+0--193.1-0</f>
        <v>3482.4</v>
      </c>
      <c r="G139" s="3">
        <f>4493.3+(114.8-1392.1)+(-2.291583+(-0.058548--0.709971))+0--193.5-0.0986849999999804</f>
        <v>3407.7611550000001</v>
      </c>
      <c r="H139" s="3">
        <f>4464.5+(89.8-1411.3)+(-4.55379+(-0.091596--1.439526))+0--193.4-0.197268000000031</f>
        <v>3332.9968720000002</v>
      </c>
      <c r="I139" s="3">
        <f>4479.6+(43.5-1427.5)+(-2.284596+(-0.022185--0.728025))+0--193.1-0.0984809999999804</f>
        <v>3287.0227630000004</v>
      </c>
      <c r="J139" s="3">
        <f>4502.9+(47.6-1461.1)+(-9.185916+(-0.097104--2.980644))+0--195.1-0.398003999999991</f>
        <v>3277.7996199999993</v>
      </c>
      <c r="K139" s="3">
        <f>4259.8+(43.2-1306.8)+(-4.344996+(-0.044064--1.332936))+0--193-0.196860000000031</f>
        <v>3185.9470160000001</v>
      </c>
      <c r="L139" s="3">
        <f>3738.4+(178.1-1079.9)+(-3.813168+(-0.181662--1.101498))+0--195.9-0.199818000000031</f>
        <v>3029.4068499999998</v>
      </c>
      <c r="M139" s="3">
        <f>3734.3+(137.3-1085.9)+(1.904493+(0.070023-0.553809))+0--192.2--0.0980219999999805</f>
        <v>2979.418729</v>
      </c>
      <c r="N139" s="3">
        <f>3889.5+(106.1-1083.5)+(1.983645+(0.054111-0.552585))+0--187.6--0.095675999999981</f>
        <v>3101.2808469999995</v>
      </c>
      <c r="O139" s="3">
        <f>3984.7+(86.3-998.9)+(-2.032197+(-0.044013--0.509439))+0--148.4-0.0756839999999849</f>
        <v>3218.8575450000003</v>
      </c>
      <c r="P139" s="3">
        <f>3961.3+(118.2-832.5)+(-4.040526+(-0.120564--0.84915))+0--61.2-0.0624240000000098</f>
        <v>3304.8256359999996</v>
      </c>
      <c r="Q139" s="3">
        <f>4028.5+(156.2-816.9)+(6.163605+(0.238986-1.249857))+0--59.3--0.0907290000000034</f>
        <v>3432.3434630000002</v>
      </c>
      <c r="R139" s="3">
        <f>4147.2+(263.3-899.7)+(-4.230144+(-0.268566--0.917694))+0--62-0.0632400000000099</f>
        <v>3569.1557439999997</v>
      </c>
      <c r="S139" s="3">
        <f>4173.6+(312.2-943.6)+(-6.385608+(-0.477666--1.443708))+0--62.3-0.0953190000000036</f>
        <v>3598.9851150000004</v>
      </c>
      <c r="T139" s="3">
        <f>4215.5+(352.6-933.7)+(-6.449715+(-0.539478--1.428561))+0--62.7-0.0959310000000036</f>
        <v>3691.4434369999999</v>
      </c>
      <c r="U139" s="3">
        <f>4197.6+(363.7-917.1)+(-4.281552+(-0.370974--0.935442))+0--63.8-0.0650760000000102</f>
        <v>3704.2178400000007</v>
      </c>
      <c r="V139" s="3">
        <f>4129.3+(352.1-854)+(-2.105943+(-0.179571--0.43554))+0--64.3-0.0327929999999935</f>
        <v>3689.8172330000002</v>
      </c>
      <c r="W139" s="3">
        <f>4075.9+(211.6-771)+(-8.314836+(-0.431664--1.57284))+0--65.9-0.134435999999997</f>
        <v>3575.0919040000003</v>
      </c>
      <c r="X139" s="3">
        <f>4068.5+(136.2-942.6)+(-12.44961+(-0.416772--2.884356))+0--66.7-0.204102000000008</f>
        <v>3318.6138719999994</v>
      </c>
      <c r="Y139" s="3">
        <f>4099.9+(33.9-1160.1)+(8.363796+(0.069156-2.366604))+0--181.6--0.370463999999992</f>
        <v>3161.7368119999996</v>
      </c>
      <c r="Z139" s="3">
        <f>4239.7+(106.6-1091.8)+(8.648988+(0.217464-2.227272))+0--192.6--0.392903999999992</f>
        <v>3454.1320839999998</v>
      </c>
      <c r="AA139" s="3">
        <f>4347.7+(125-1149.2)+(-8.869308+(-0.255--2.344368))+0--194.6-0.396983999999992</f>
        <v>3510.923076</v>
      </c>
      <c r="AB139" s="3">
        <f>4300.4+(156-1193.4)+(0+(0-0))+0--195.8-0</f>
        <v>3458.7999999999997</v>
      </c>
      <c r="AC139" s="3">
        <f>4275.7+(142.8-1183.4)+(-4.361214+(-0.145656--1.207068))+0--195.4-0.199308000000031</f>
        <v>3427.0008899999993</v>
      </c>
      <c r="AD139" s="2">
        <v>3568.6</v>
      </c>
      <c r="AE139" s="3">
        <f>4368+(113.2-1104)+(0+(0-0))+0--191.4-0</f>
        <v>3568.6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4061+(142.4-1069.8)+(0+(0-0))+0--195.5-0</f>
        <v>3329.1</v>
      </c>
      <c r="G140" s="3">
        <f>4088.6+(116.7-1060.9)+(0+(0-0))+0--196-0</f>
        <v>3340.3999999999996</v>
      </c>
      <c r="H140" s="3">
        <f>4089.9+(96.5-1132.5)+(4.171698+(0.09843-1.15515))+0--194.8--0.198696000000031</f>
        <v>3252.0136740000003</v>
      </c>
      <c r="I140" s="3">
        <f>4113.7+(68.5-1188.8)+(-4.195974+(-0.06987--1.212576))+0--196-0.199920000000031</f>
        <v>3186.1468119999995</v>
      </c>
      <c r="J140" s="3">
        <f>4109.8+(62.8-1218.4)+(-10.47999+(-0.16014--3.10692))+0--197-0.502349999999971</f>
        <v>3143.16444</v>
      </c>
      <c r="K140" s="3">
        <f>4095.5+(60.9-1260.2)+(-10.443525+(-0.155295--3.21351))+0--199.3-0.508214999999971</f>
        <v>3087.606475</v>
      </c>
      <c r="L140" s="3">
        <f>3964.9+(79.2-1286.9)+(-2.022099+(-0.040392--0.656319))+0--197.9-0.10092899999998</f>
        <v>2953.5928989999998</v>
      </c>
      <c r="M140" s="3">
        <f>3688.3+(130.5-1100.9)+(5.643099+(0.199665-1.684377))+0--197.3--0.301869000000011</f>
        <v>2919.6602560000001</v>
      </c>
      <c r="N140" s="3">
        <f>3737.6+(138.2-1028)+(7.624704+(0.281928-2.09712))+0--195.7--0.399227999999991</f>
        <v>3049.7087399999996</v>
      </c>
      <c r="O140" s="3">
        <f>3919.6+(71-1011.3)+(0+(0-0))+0--191.5-0</f>
        <v>3170.8</v>
      </c>
      <c r="P140" s="3">
        <f>4063.4+(41.3-986.3)+(6.217002+(0.063189-1.509039))+0--186.9--0.285957000000011</f>
        <v>3310.357109</v>
      </c>
      <c r="Q140" s="3">
        <f>4247.7+(76.4-1079.6)+(0+(0-0))+0--184.7-0</f>
        <v>3429.2</v>
      </c>
      <c r="R140" s="3">
        <f>4287.2+(145.9-1020.7)+(-2.186472+(-0.074409--0.520557))+0--183.7-0.0936869999999814</f>
        <v>3594.2659889999995</v>
      </c>
      <c r="S140" s="3">
        <f>4258.7+(194.9-1015.7)+(-6.515811+(-0.298197--1.554021))+0--184.6-0.282438000000011</f>
        <v>3616.9575749999995</v>
      </c>
      <c r="T140" s="3">
        <f>4237.9+(267.9-1014.6)+(0+(0-0))+0--183.9-0</f>
        <v>3675.1</v>
      </c>
      <c r="U140" s="3">
        <f>4230.2+(296.5-1015.4)+(-4.314804+(-0.30243--1.035708))+0--183.8-0.187476000000029</f>
        <v>3691.3309979999999</v>
      </c>
      <c r="V140" s="3">
        <f>4174.7+(234.4-954.3)+(-10.645485+(-0.59772--2.433465))+0--184.4-0.470219999999973</f>
        <v>3629.9200399999995</v>
      </c>
      <c r="W140" s="3">
        <f>4161.2+(138-936.4)+(0+(0-0))+0--184-0</f>
        <v>3546.7999999999997</v>
      </c>
      <c r="X140" s="3">
        <f>4188.1+(49.7-1115.3)+(-8.543724+(-0.101388--2.275212))+0--185.5-0.378419999999992</f>
        <v>3301.2516800000003</v>
      </c>
      <c r="Y140" s="3">
        <f>4209.6+(22.1-1248.5)+(0+(0-0))+0--188.2-0</f>
        <v>3171.4</v>
      </c>
      <c r="Z140" s="3">
        <f>4325.1+(91.4-1157.3)+(-2.205801+(-0.046614--0.590223))+0--189.6-0.0966959999999808</f>
        <v>3447.0411120000008</v>
      </c>
      <c r="AA140" s="3">
        <f>4348.4+(125.7-1159.3)+(-13.306104+(-0.384642--3.547458))+0--191.4-0.585684000000022</f>
        <v>3495.4710279999995</v>
      </c>
      <c r="AB140" s="3">
        <f>4374.1+(124.8-1226.7)+(4.461582+(0.127296-1.251234))+0--193.1--0.196962000000031</f>
        <v>3468.8346060000003</v>
      </c>
      <c r="AC140" s="3">
        <f>4264.8+(118.7-1128.9)+(0+(0-0))+0--192-0</f>
        <v>3446.6000000000004</v>
      </c>
      <c r="AD140" s="2">
        <v>3558.7000000000003</v>
      </c>
      <c r="AE140" s="3">
        <f>4328+(146-1104.7)+(0+(0-0))+0--189.4-0</f>
        <v>3558.7000000000003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4099.1+(121.4-1033.6)+(6.271623+(0.185742-1.581408))+0--194.6--0.297738000000011</f>
        <v>3386.6736950000009</v>
      </c>
      <c r="G141" s="3">
        <f>3999.5+(105-1014.9)+(-6.119235+(-0.16065--1.552797))+0--196-0.299880000000011</f>
        <v>3280.5730319999998</v>
      </c>
      <c r="H141" s="3">
        <f>4013.7+(75.9-1074)+(0+(0-0))+0--197.1-0</f>
        <v>3212.7</v>
      </c>
      <c r="I141" s="3">
        <f>3967.5+(67.2-1083.1)+(-2.023425+(-0.034272--0.552381))+0--197.5-0.10072499999998</f>
        <v>3147.4939590000004</v>
      </c>
      <c r="J141" s="3">
        <f>3975.7+(66.6-1110.3)+(6.082821+(0.101898-1.698759))+0--197--0.301410000000011</f>
        <v>3133.78737</v>
      </c>
      <c r="K141" s="3">
        <f>3918+(90.7-1143.6)+(-9.9909+(-0.231285--2.91618))+0--198.5-0.506174999999971</f>
        <v>3055.7878200000005</v>
      </c>
      <c r="L141" s="3">
        <f>3880.9+(82.4-1238.4)+(-9.896295+(-0.21012--3.15792))+0--198.3-0.505664999999971</f>
        <v>2915.74584</v>
      </c>
      <c r="M141" s="3">
        <f>3893+(41.7-1243.3)+(0+(0-0))+0--200.5-0</f>
        <v>2891.9</v>
      </c>
      <c r="N141" s="3">
        <f>3944.5+(42.9-1159.3)+(6.035085+(0.065637-1.773729))+0--195.7--0.299421000000011</f>
        <v>3028.4264140000005</v>
      </c>
      <c r="O141" s="3">
        <f>3888+(61-1006.8)+(9.9144+(0.15555-2.56734))+0--191.9--0.489344999999972</f>
        <v>3142.0919549999999</v>
      </c>
      <c r="P141" s="3">
        <f>3880.6+(84.2-908.6)+(5.937318+(0.128826-1.390158))+0--189.2--0.289476000000011</f>
        <v>3250.3654619999998</v>
      </c>
      <c r="Q141" s="3">
        <f>3959+(124.7-902.7)+(2.01909+(0.063597-0.460377))+0--187.6--0.095675999999981</f>
        <v>3370.317986</v>
      </c>
      <c r="R141" s="3">
        <f>4008+(199.7-878.7)+(-2.04408+(-0.101847--0.448137))+0--187-0.095369999999981</f>
        <v>3514.2068399999998</v>
      </c>
      <c r="S141" s="3">
        <f>4027.7+(235.7-912.3)+(0+(0-0))+0--188.5-0</f>
        <v>3539.6</v>
      </c>
      <c r="T141" s="3">
        <f>4111.6+(270.5-955.9)+(-6.290748+(-0.413865--1.462527))+0--189.2-0.289476000000011</f>
        <v>3609.868438</v>
      </c>
      <c r="U141" s="3">
        <f>4123.4+(250.3-928.4)+(4.205868+(0.255306-0.946968))+0--188.3--0.19206600000003</f>
        <v>3637.3062719999998</v>
      </c>
      <c r="V141" s="3">
        <f>4080.5+(219-884.1)+(2.081055+(0.11169-0.450891))+0--189.3--0.0965429999999808</f>
        <v>3606.5383970000003</v>
      </c>
      <c r="W141" s="3">
        <f>4072.6+(129.1-889)+(2.077026+(0.065841-0.45339))+0--189.8--0.0967979999999807</f>
        <v>3504.2862749999999</v>
      </c>
      <c r="X141" s="3">
        <f>4094+(59-1094.5)+(4.17588+(0.06018-1.11639))+0--191.1--0.19492200000003</f>
        <v>3252.9145920000001</v>
      </c>
      <c r="Y141" s="3">
        <f>4143+(28.5-1251.2)+(6.33879+(0.043605-1.914336))+0--191.4--0.292842000000011</f>
        <v>3116.4609009999999</v>
      </c>
      <c r="Z141" s="3">
        <f>4222.7+(89.6-1105.4)+(0+(0-0))+0--192.8-0</f>
        <v>3399.7</v>
      </c>
      <c r="AA141" s="3">
        <f>4215.8+(151.7-1084.2)+(-4.300116+(-0.154734--1.105884))+0--193.8-0.197676000000031</f>
        <v>3473.5533580000001</v>
      </c>
      <c r="AB141" s="3">
        <f>4148.4+(150.2-1054.3)+(2.115684+(0.076602-0.537693))+0--195.3--0.0996029999999802</f>
        <v>3441.3541960000002</v>
      </c>
      <c r="AC141" s="3">
        <f>4127.5+(143.1-1056.7)+(-2.105025+(-0.072981--0.538917))+0--195.2-0.0995519999999802</f>
        <v>3407.361359</v>
      </c>
      <c r="AD141" s="2">
        <v>3445.1</v>
      </c>
      <c r="AE141" s="3">
        <f>4098+(174.2-1020.6)+(0+(0-0))+0--193.5-0</f>
        <v>3445.1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3988.2+(161.2-958.6)+(0+(0-0))+0--195.3-0</f>
        <v>3386.1</v>
      </c>
      <c r="G142" s="3">
        <f>3923+(153.3-958.3)+(-6.00219+(-0.234549--1.466199))+0--195.9-0.299727000000011</f>
        <v>3308.829733</v>
      </c>
      <c r="H142" s="3">
        <f>3930.9+(131.3-1006.3)+(-4.009518+(-0.133926--1.026426))+0--206-0.210120000000033</f>
        <v>3258.572862</v>
      </c>
      <c r="I142" s="3">
        <f>3679.7+(194.8-879.2)+(-5.629941+(-0.298044--1.345176))+0--206-0.315180000000012</f>
        <v>3196.4020109999997</v>
      </c>
      <c r="J142" s="3">
        <f>3685.5+(197.9-874.2)+(5.638815+(0.302787-1.337526))+0--197.9--0.302787000000011</f>
        <v>3212.0068630000001</v>
      </c>
      <c r="K142" s="3">
        <f>3621.7+(189.7-884.7)+(-3.694134+(-0.193494--0.902394))+0--200.3-0.204306000000032</f>
        <v>3123.8104599999997</v>
      </c>
      <c r="L142" s="3">
        <f>3238+(303.7-735.9)+(0+(0-0))+0--184-0</f>
        <v>2989.8</v>
      </c>
      <c r="M142" s="3">
        <f>3126.1+(307.4-627.6)+(3.188622+(0.313548-0.640152))+0--136.5--0.139230000000022</f>
        <v>2945.4012479999997</v>
      </c>
      <c r="N142" s="3">
        <f>3407.4+(230.6-769.6)+(3.475548+(0.235212-0.784992))+0--155.3--0.158406000000025</f>
        <v>3026.7841740000003</v>
      </c>
      <c r="O142" s="3">
        <f>3872.5+(100.5-1001)+(3.94995+(0.10251-1.02102))+0--193.4--0.197268000000031</f>
        <v>3168.6287080000002</v>
      </c>
      <c r="P142" s="3">
        <f>3969.6+(80.9-938.2)+(10.12248+(0.206295-2.39241))+0--190.7--0.486284999999972</f>
        <v>3311.4226499999995</v>
      </c>
      <c r="Q142" s="3">
        <f>4024.5+(134.7-946.4)+(6.157485+(0.206091-1.447992))+0--187.9--0.287487000000011</f>
        <v>3405.9030710000002</v>
      </c>
      <c r="R142" s="3">
        <f>4054.9+(261.3-918.9)+(0+(0-0))+0--188.6-0</f>
        <v>3585.9</v>
      </c>
      <c r="S142" s="3">
        <f>4024+(317.2-922.5)+(2.05224+(0.161772-0.470475))+0--191.3--0.0975629999999806</f>
        <v>3611.8410999999996</v>
      </c>
      <c r="T142" s="3">
        <f>4121.4+(367.3-979.5)+(-8.407656+(-0.749292--1.99818))+0--189.9-0.387395999999992</f>
        <v>3691.553836</v>
      </c>
      <c r="U142" s="3">
        <f>4117.4+(336.6-949.1)+(-6.299622+(-0.514998--1.452123))+0--190.1-0.290853000000011</f>
        <v>3689.3466499999995</v>
      </c>
      <c r="V142" s="3">
        <f>4145.4+(260.3-940.9)+(0+(0-0))+0--190-0</f>
        <v>3654.7999999999997</v>
      </c>
      <c r="W142" s="3">
        <f>4067.2+(163-884.9)+(0+(0-0))+0--190.6-0</f>
        <v>3535.8999999999996</v>
      </c>
      <c r="X142" s="3">
        <f>4083.2+(70.6-1068.5)+(-4.164864+(-0.072012--1.08987))+0--192-0.195840000000031</f>
        <v>3273.9571539999997</v>
      </c>
      <c r="Y142" s="3">
        <f>3965.5+(42.5-1070.8)+(6.067215+(0.065025-1.638324))+0--192--0.293760000000011</f>
        <v>3133.9876759999997</v>
      </c>
      <c r="Z142" s="3">
        <f>4244.1+(99.4-1113.4)+(0+(0-0))+0--192.4-0</f>
        <v>3422.5000000000005</v>
      </c>
      <c r="AA142" s="3">
        <f>4289.1+(111.3-1117.4)+(-6.562323+(-0.170289--1.709622))+0--192.6-0.294678000000011</f>
        <v>3470.2823319999998</v>
      </c>
      <c r="AB142" s="3">
        <f>4345.4+(85.6-1183.3)+(-4.432308+(-0.087312--1.206966))+0--191.9-0.195738000000031</f>
        <v>3436.0916080000002</v>
      </c>
      <c r="AC142" s="3">
        <f>4377.1+(74.3-1245.5)+(2.232321+(0.037893-0.635205))+0--192.4--0.0981239999999805</f>
        <v>3400.0331330000008</v>
      </c>
      <c r="AD142" s="2">
        <v>3442.1</v>
      </c>
      <c r="AE142" s="3">
        <f>4249+(110.5-1108.9)+(0+(0-0))+0--191.5-0</f>
        <v>3442.1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4214.6+(109.4-1154.8)+(2.149446+(0.055794-0.588948))+0--192.8--0.0983279999999804</f>
        <v>3363.7146200000011</v>
      </c>
      <c r="G143" s="3">
        <f>4180.3+(104.4-1172.5)+(-2.131953+(-0.053244--0.597975))+0--193.8-0.0988379999999803</f>
        <v>3304.3139400000005</v>
      </c>
      <c r="H143" s="3">
        <f>4185.4+(69.1-1207.1)+(8.538216+(0.140964-2.462484))+0--193.1--0.393923999999992</f>
        <v>3247.1106199999995</v>
      </c>
      <c r="I143" s="3">
        <f>4177.2+(38.1-1222.5)+(-10.65186+(-0.097155--3.117375))+0--191.4-0.488069999999972</f>
        <v>3176.0802899999999</v>
      </c>
      <c r="J143" s="3">
        <f>4179.9+(26-1216.9)+(-6.395247+(-0.03978--1.861857))+0--191.7-0.293301000000011</f>
        <v>3175.8335289999991</v>
      </c>
      <c r="K143" s="3">
        <f>3962.8+(33.5-1079.4)+(-6.063084+(-0.051255--1.651482))+0--192.2-0.294066000000011</f>
        <v>3104.343077</v>
      </c>
      <c r="L143" s="3">
        <f>3367.9+(234.8-834.6)+(-6.870516+(-0.478992--1.702584))+0--193-0.393719999999992</f>
        <v>2955.0593560000002</v>
      </c>
      <c r="M143" s="3">
        <f>3264.7+(274.2-831.3)+(0+(0-0))+0--194.1-0</f>
        <v>2901.7</v>
      </c>
      <c r="N143" s="3">
        <f>3406.4+(189.4-777.3)+(3.474528+(0.193188-0.792846))+0--192--0.195840000000031</f>
        <v>3013.57071</v>
      </c>
      <c r="O143" s="3">
        <f>3543.4+(167.3-785.3)+(1.807134+(0.085323-0.400503))+0--189.3--0.0965429999999808</f>
        <v>3116.2884970000005</v>
      </c>
      <c r="P143" s="3">
        <f>4152.4+(23.4-1117)+(4.235448+(0.023868-1.13934))+0--186--0.18972000000003</f>
        <v>3248.1096959999995</v>
      </c>
      <c r="Q143" s="3">
        <f>4171.2+(80.5-1066)+(4.254624+(0.08211-1.08732))+0--186.6--0.19033200000003</f>
        <v>3375.7397459999997</v>
      </c>
      <c r="R143" s="3">
        <f>4176.4+(134.7-1008.8)+(2.129964+(0.068697-0.514488))+0--185.8--0.0947579999999812</f>
        <v>3489.8789310000002</v>
      </c>
      <c r="S143" s="3">
        <f>4241.6+(202.6-1027.8)+(-2.163216+(-0.103326--0.524178))+0--185.3-0.0945029999999812</f>
        <v>3599.8631330000007</v>
      </c>
      <c r="T143" s="3">
        <f>4221.4+(239.5-1058.7)+(2.152914+(0.122145-0.539937))+0--186.8--0.0952679999999811</f>
        <v>3590.8303900000001</v>
      </c>
      <c r="U143" s="3">
        <f>4206.3+(253-1041.7)+(-2.145213+(-0.12903--0.531267))+0--186.9-0.095318999999981</f>
        <v>3602.6617050000004</v>
      </c>
      <c r="V143" s="3">
        <f>4145.8+(209.3-986.6)+(2.114358+(0.106743-0.503166))+0--188.4--0.0960839999999809</f>
        <v>3558.714019</v>
      </c>
      <c r="W143" s="3">
        <f>4157.8+(116.2-1016.7)+(-2.120478+(-0.059262--0.518517))+0--188.8-0.0962879999999808</f>
        <v>3444.3424890000001</v>
      </c>
      <c r="X143" s="3">
        <f>4188.4+(12-1191.3)+(-6.408252+(-0.01836--1.822689))+0--191.7-0.293301000000011</f>
        <v>3195.902775999999</v>
      </c>
      <c r="Y143" s="3">
        <f>4204.8+(15-1325.6)+(-10.72224+(-0.03825--3.38028))+0--191.9-0.489344999999972</f>
        <v>3078.2304450000006</v>
      </c>
      <c r="Z143" s="3">
        <f>4339.7+(60.3-1242)+(0+(0-0))+0--191.5-0</f>
        <v>3349.5</v>
      </c>
      <c r="AA143" s="3">
        <f>4395.1+(83.1-1274.2)+(-15.690507+(-0.296667--4.548894))+0--192.7-0.687939000000003</f>
        <v>3384.5737810000001</v>
      </c>
      <c r="AB143" s="3">
        <f>4417.6+(40.3-1338.1)+(0+(0-0))+0--193-0</f>
        <v>3312.8</v>
      </c>
      <c r="AC143" s="3">
        <f>4329.9+(41.5-1316)+(2.208249+(0.021165-0.67116))+0--193.7--0.0987869999999803</f>
        <v>3250.7570409999994</v>
      </c>
      <c r="AD143" s="2">
        <v>3418.3</v>
      </c>
      <c r="AE143" s="3">
        <f>4385+(90.1-1247.8)+(0+(0-0))+0--191-0</f>
        <v>3418.3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4226.8+(35.1-1231.5)+(8.622672+(0.071604-2.51226))+0--194.1--0.395963999999991</f>
        <v>3231.07798</v>
      </c>
      <c r="G144" s="3">
        <f>4151+(29-1202.4)+(4.23402+(0.02958-1.226448))+0--194.5--0.198390000000031</f>
        <v>3175.3355419999998</v>
      </c>
      <c r="H144" s="3">
        <f>4038.6+(43.3-1138.3)+(-4.119372+(-0.044166--1.161066))+0--193.9-0.197778000000031</f>
        <v>3134.2997499999997</v>
      </c>
      <c r="I144" s="3">
        <f>3912.7+(72.4-1076.8)+(-1.995477+(-0.036924--0.549168))+0--193.7-0.0987869999999803</f>
        <v>3100.4179799999997</v>
      </c>
      <c r="J144" s="3">
        <f>3929.9+(70.9-1054.8)+(-8.016996+(-0.144636--2.151792))+0--196.6-0.401063999999991</f>
        <v>3136.1890959999996</v>
      </c>
      <c r="K144" s="3">
        <f>3655.9+(109.8-946.8)+(-3.729018+(-0.111996--0.965736))+0--190-0.19380000000003</f>
        <v>3005.8309220000001</v>
      </c>
      <c r="L144" s="3">
        <f>3350.8+(132.7-832.1)+(-3.417816+(-0.135354--0.848742))+0--197.2-0.201144000000031</f>
        <v>2845.6944279999998</v>
      </c>
      <c r="M144" s="3">
        <f>3022.1+(278.1-679)+(0+(0-0))+0--155.8-0</f>
        <v>2777</v>
      </c>
      <c r="N144" s="3">
        <f>2997.7+(275-639.3)+(0+(0-0))+0--149.2-0</f>
        <v>2782.5999999999995</v>
      </c>
      <c r="O144" s="3">
        <f>3164+(200.2-723.2)+(-1.61364+(-0.102102--0.368832))+0--193.9-0.0988889999999803</f>
        <v>2833.454201</v>
      </c>
      <c r="P144" s="3">
        <f>3332.5+(171.9-784.1)+(1.699575+(0.087669-0.399891))+0--191.5--0.0976649999999806</f>
        <v>2913.285018</v>
      </c>
      <c r="Q144" s="3">
        <f>3542.9+(132.5-829.3)+(3.613758+(0.13515-0.845886))+0--188.7--0.19247400000003</f>
        <v>3037.8954960000001</v>
      </c>
      <c r="R144" s="3">
        <f>3534.9+(174.8-735.3)+(1.802799+(0.089148-0.375003))+0--188.1--0.0959309999999809</f>
        <v>3164.1128749999998</v>
      </c>
      <c r="S144" s="3">
        <f>3568.1+(245.5-747.5)+(5.459193+(0.375615-1.143675))+0--188.5--0.288405000000011</f>
        <v>3259.5795379999995</v>
      </c>
      <c r="T144" s="3">
        <f>3639.8+(330.4-798.7)+(-3.712596+(-0.337008--0.814674))+0--188.8-0.19257600000003</f>
        <v>3356.8724940000002</v>
      </c>
      <c r="U144" s="3">
        <f>3688.7+(323.9-804.1)+(3.762474+(0.330378-0.820182))+0--190.4--0.19420800000003</f>
        <v>3402.3668779999998</v>
      </c>
      <c r="V144" s="3">
        <f>3647.9+(334.6-771)+(1.860429+(0.170646-0.39321))+0--190.6--0.0972059999999807</f>
        <v>3403.835071</v>
      </c>
      <c r="W144" s="3">
        <f>3592.4+(229.7-699.8)+(-3.664248+(-0.234294--0.713796))+0--192-0.195840000000031</f>
        <v>3310.9194140000004</v>
      </c>
      <c r="X144" s="3">
        <f>3554.2+(130.7-821.6)+(-7.250568+(-0.266628--1.676064))+0--192.6-0.392903999999992</f>
        <v>3049.6659639999998</v>
      </c>
      <c r="Y144" s="3">
        <f>3555.3+(94-891.5)+(-1.813203+(-0.04794--0.454665))+0--191.5-0.0976649999999806</f>
        <v>2947.7958570000005</v>
      </c>
      <c r="Z144" s="3">
        <f>3742.3+(190.9-860.2)+(0+(0-0))+0--191.7-0</f>
        <v>3264.7</v>
      </c>
      <c r="AA144" s="3">
        <f>3826.7+(230-907)+(-7.806468+(-0.4692--1.85028))+0--192.3-0.392291999999992</f>
        <v>3335.1823199999999</v>
      </c>
      <c r="AB144" s="3">
        <f>3848.2+(241.1-939.5)+(-1.962582+(-0.122961--0.479145))+0--192.8-0.0983279999999804</f>
        <v>3340.895274</v>
      </c>
      <c r="AC144" s="3">
        <f>3815.5+(252.3-897.6)+(-1.945905+(-0.128673--0.457776))+0--192.7-0.0982769999999804</f>
        <v>3361.1849209999996</v>
      </c>
      <c r="AD144" s="2">
        <v>3315.5</v>
      </c>
      <c r="AE144" s="3">
        <f>3803+(221.1-899.6)+(0+(0-0))+0--191-0</f>
        <v>3315.5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3826.8+(220.9-795.9)+(-5.855004+(-0.337977--1.217727))+0--192.9-0.295137000000011</f>
        <v>3439.4296090000003</v>
      </c>
      <c r="G145" s="3">
        <f>3846.3+(180-832.4)+(-7.846452+(-0.3672--1.698096))+0--193.8-0.395351999999992</f>
        <v>3380.7890920000004</v>
      </c>
      <c r="H145" s="3">
        <f>3861.1+(153.7-904.5)+(-9.845805+(-0.391935--2.306475))+0--194.5-0.495974999999972</f>
        <v>3296.3727600000002</v>
      </c>
      <c r="I145" s="3">
        <f>3880.3+(140.8-977.6)+(-5.936859+(-0.215424--1.495728))+0--194.7-0.297891000000011</f>
        <v>3233.2455539999996</v>
      </c>
      <c r="J145" s="3">
        <f>3883.3+(112.3-976.3)+(-5.941449+(-0.171819--1.493739))+0--194.4-0.297432000000011</f>
        <v>3208.7830390000004</v>
      </c>
      <c r="K145" s="3">
        <f>3873.1+(98-1021.3)+(-9.876405+(-0.2499--2.604315))+0--187.6-0.478379999999973</f>
        <v>3129.3996299999999</v>
      </c>
      <c r="L145" s="3">
        <f>3648.3+(130.1-975.3)+(-1.860633+(-0.066351--0.497403))+0--133.5-0.0680849999999865</f>
        <v>2935.1023340000006</v>
      </c>
      <c r="M145" s="3">
        <f>3576.4+(134-951.9)+(1.823964+(0.06834-0.485469))+0--133.4--0.0680339999999865</f>
        <v>2893.3748689999998</v>
      </c>
      <c r="N145" s="3">
        <f>3778.1+(82.9-991)+(3.853662+(0.084558-1.01082))+0--193.1--0.196962000000031</f>
        <v>3066.2243619999999</v>
      </c>
      <c r="O145" s="3">
        <f>3785.1+(101.9-888.3)+(3.860802+(0.103938-0.906066))+0--194.4--0.198288000000031</f>
        <v>3196.3569619999998</v>
      </c>
      <c r="P145" s="3">
        <f>3739.2+(167-774.2)+(1.906992+(0.08517-0.394842))+0--189--0.0963899999999808</f>
        <v>3322.69371</v>
      </c>
      <c r="Q145" s="3">
        <f>3838.4+(232.3-795.1)+(0+(0-0))+0--186.6-0</f>
        <v>3462.2000000000003</v>
      </c>
      <c r="R145" s="3">
        <f>4207.8+(164.1-980)+(0+(0-0))+0--190-0</f>
        <v>3581.9</v>
      </c>
      <c r="S145" s="3">
        <f>4242.6+(217.1-1001.5)+(-6.491178+(-0.332163--1.532295))+0--189.2-0.289476000000011</f>
        <v>3641.8194780000003</v>
      </c>
      <c r="T145" s="3">
        <f>4220.7+(293.6-1000.7)+(-8.610228+(-0.598944--2.041428))+0--189.8-0.387191999999992</f>
        <v>3695.8450640000001</v>
      </c>
      <c r="U145" s="3">
        <f>4210.4+(292.5-989.9)+(-2.147304+(-0.149175--0.504849))+0--188.6-0.0961859999999809</f>
        <v>3699.7121839999995</v>
      </c>
      <c r="V145" s="3">
        <f>4169.2+(220.3-968.2)+(-6.378876+(-0.337059--1.481346))+0--189.9-0.290547000000011</f>
        <v>3605.6748639999996</v>
      </c>
      <c r="W145" s="3">
        <f>4153.9+(135-986.7)+(-2.118489+(-0.06885--0.503217))+0--190.4-0.0971039999999807</f>
        <v>3490.8187739999998</v>
      </c>
      <c r="X145" s="3">
        <f>4187.9+(42.8-1131.5)+(-2.135829+(-0.021828--0.577065))+0--191.4-0.0976139999999806</f>
        <v>3288.9217940000003</v>
      </c>
      <c r="Y145" s="3">
        <f>4168.4+(32.8-1205.3)+(2.125884+(0.016728-0.614703))+0--191.4--0.0976139999999806</f>
        <v>3188.9255229999994</v>
      </c>
      <c r="Z145" s="3">
        <f>4338.6+(103.7-1174)+(-4.425372+(-0.105774--1.19748))+0--191.4-0.195228000000031</f>
        <v>3456.1711060000002</v>
      </c>
      <c r="AA145" s="3">
        <f>4363.5+(109.8-1164.8)+(-6.676155+(-0.167994--1.782144))+0--193.1-0.295443000000011</f>
        <v>3496.2425520000002</v>
      </c>
      <c r="AB145" s="3">
        <f>4398.2+(110.4-1227.8)+(-2.243082+(-0.056304--0.626178))+0--190.6-0.0972059999999807</f>
        <v>3469.629586</v>
      </c>
      <c r="AC145" s="3">
        <f>4326+(100.1-1210.9)+(0+(0-0))+0--190.5-0</f>
        <v>3405.7</v>
      </c>
      <c r="AD145" s="2">
        <v>3485.4</v>
      </c>
      <c r="AE145" s="3">
        <f>4327+(106.5-1140.5)+(0+(0-0))+0--192.4-0</f>
        <v>3485.4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4176.5+(108.3-1140)+(-4.26003+(-0.110466--1.1628))+0--191.4-0.195228000000031</f>
        <v>3332.7970760000003</v>
      </c>
      <c r="G146" s="3">
        <f>4184.1+(99.2-1172.2)+(-12.803346+(-0.303552--3.586932))+0--191.8-0.586908000000022</f>
        <v>3292.7931260000005</v>
      </c>
      <c r="H146" s="3">
        <f>4144+(72.4-1192.6)+(-4.22688+(-0.073848--1.216452))+0--192.8-0.196656000000031</f>
        <v>3213.3190680000002</v>
      </c>
      <c r="I146" s="3">
        <f>4157.8+(56.1-1234.8)+(4.240956+(0.057222-1.259496))+0--192--0.195840000000031</f>
        <v>3174.3345220000001</v>
      </c>
      <c r="J146" s="3">
        <f>4170.2+(52.2-1205.9)+(-8.507208+(-0.106488--2.460036))+0--192-0.391679999999992</f>
        <v>3201.9546599999999</v>
      </c>
      <c r="K146" s="3">
        <f>3993.4+(68-1117.1)+(-2.036634+(-0.03468--0.569721))+0--192-0.0979199999999805</f>
        <v>3134.7004870000001</v>
      </c>
      <c r="L146" s="3">
        <f>3347.6+(282.5-783.1)+(0+(0-0))+0--193.6-0</f>
        <v>3040.6</v>
      </c>
      <c r="M146" s="3">
        <f>3137.3+(333.1-673.4)+(3.200046+(0.339762-0.686868))+0--196.1--0.200022000000031</f>
        <v>2996.1529620000001</v>
      </c>
      <c r="N146" s="3">
        <f>3369.1+(224.8-731.6)+(6.872964+(0.458592-1.492464))+0--194.7--0.397187999999991</f>
        <v>3063.2362799999996</v>
      </c>
      <c r="O146" s="3">
        <f>4015.5+(32.6-1005.5)+(6.143715+(0.049878-1.538415))+0--194.2--0.297126000000011</f>
        <v>3241.7523039999996</v>
      </c>
      <c r="P146" s="3">
        <f>4059+(76.6-933.1)+(4.14018+(0.078132-0.951762))+0--192.2--0.196044000000031</f>
        <v>3398.1625939999999</v>
      </c>
      <c r="Q146" s="3">
        <f>4018.4+(146.4-853.1)+(2.049384+(0.074664-0.435081))+0--189.1--0.0964409999999808</f>
        <v>3502.5854079999999</v>
      </c>
      <c r="R146" s="3">
        <f>4116+(234.3-898.9)+(-2.09916+(-0.119493--0.458439))+0--190-0.0968999999999807</f>
        <v>3639.5428860000002</v>
      </c>
      <c r="S146" s="3">
        <f>4249.9+(232.2-1010.5)+(0+(0-0))+0--190.5-0</f>
        <v>3662.0999999999995</v>
      </c>
      <c r="T146" s="3">
        <f>4236.4+(253.3-965.9)+(0+(0-0))+0--190.1-0</f>
        <v>3713.8999999999996</v>
      </c>
      <c r="U146" s="3">
        <f>4235.7+(191.4-892.4)+(-2.160207+(-0.097614--0.455124))+0--191.6-0.0977159999999806</f>
        <v>3724.3995869999999</v>
      </c>
      <c r="V146" s="3">
        <f>4174.1+(166.8-822.3)+(0+(0-0))+0--191.4-0</f>
        <v>3710.0000000000005</v>
      </c>
      <c r="W146" s="3">
        <f>4188.7+(97.8-886.9)+(-4.272474+(-0.099756--0.904638))+0--191.7-0.195534000000031</f>
        <v>3587.6368739999998</v>
      </c>
      <c r="X146" s="3">
        <f>4178.5+(62-1088.4)+(-6.393105+(-0.09486--1.665252))+0--192.1-0.293913000000011</f>
        <v>3339.0833739999998</v>
      </c>
      <c r="Y146" s="3">
        <f>4102.1+(25.8-1103.5)+(-2.092071+(-0.013158--0.562785))+0--192.9-0.0983789999999804</f>
        <v>3215.6591770000005</v>
      </c>
      <c r="Z146" s="3">
        <f>4310.4+(92.6-1097.5)+(-2.198304+(-0.047226--0.559725))+0--191.6-0.0977159999999806</f>
        <v>3495.3164789999996</v>
      </c>
      <c r="AA146" s="3">
        <f>4334.1+(110.6-1111.3)+(-8.841564+(-0.225624--2.267052))+0--192.7-0.393107999999992</f>
        <v>3518.9067560000003</v>
      </c>
      <c r="AB146" s="3">
        <f>4366.5+(102.6-1166.2)+(-4.45383+(-0.104652--1.189524))+0--194.2-0.198084000000031</f>
        <v>3493.5329579999993</v>
      </c>
      <c r="AC146" s="3">
        <f>4262.9+(128.2-1121.7)+(4.348158+(0.130764-1.144134))+0--193.7--0.197574000000031</f>
        <v>3466.6323619999994</v>
      </c>
      <c r="AD146" s="2">
        <v>3508.2000000000003</v>
      </c>
      <c r="AE146" s="3">
        <f>4301+(105.6-1089.8)+(0+(0-0))+0--191.4-0</f>
        <v>3508.2000000000003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4068.1+(138.9-979.7)+(4.149462+(0.141678-0.999294))+0--192.8--0.196656000000031</f>
        <v>3423.5885020000001</v>
      </c>
      <c r="G147" s="3">
        <f>4082.6+(121.1-1039.2)+(2.082126+(0.061761-0.529992))+0--195.6--0.0997559999999802</f>
        <v>3361.8136509999999</v>
      </c>
      <c r="H147" s="3">
        <f>4089.2+(107.8-1097.6)+(0+(0-0))+0--195.2-0</f>
        <v>3294.5999999999995</v>
      </c>
      <c r="I147" s="3">
        <f>4103.5+(86.4-1141.9)+(8.37114+(0.176256-2.329476))+0--194.6--0.396983999999992</f>
        <v>3249.2149039999999</v>
      </c>
      <c r="J147" s="3">
        <f>4115.7+(59.2-1125.4)+(-2.099007+(-0.030192--0.573954))+0--195.6-0.0997559999999802</f>
        <v>3243.4449989999998</v>
      </c>
      <c r="K147" s="3">
        <f>4140.3+(39.1-1187)+(-10.557765+(-0.099705--3.02685))+0--193.6-0.493679999999972</f>
        <v>3177.8757000000001</v>
      </c>
      <c r="L147" s="3">
        <f>3764.8+(121.1-1001.8)+(-9.60024+(-0.308805--2.55459))+0--195.3-0.498014999999972</f>
        <v>3071.5475300000003</v>
      </c>
      <c r="M147" s="3">
        <f>3387.8+(190.9-783.6)+(5.183334+(0.292077-1.198908))+0--195--0.298350000000011</f>
        <v>2994.6748530000004</v>
      </c>
      <c r="N147" s="3">
        <f>3781.7+(96.7-924.8)+(1.928667+(0.049317-0.471648))+0--194.7--0.0992969999999802</f>
        <v>3149.9056329999999</v>
      </c>
      <c r="O147" s="3">
        <f>3914.9+(83.9-910.9)+(1.996599+(0.042789-0.464559))+0--192.7--0.0982769999999804</f>
        <v>3282.2731060000001</v>
      </c>
      <c r="P147" s="3">
        <f>4006.5+(115-828.5)+(6.129945+(0.17595-1.267605))+0--189--0.289170000000011</f>
        <v>3487.32746</v>
      </c>
      <c r="Q147" s="3">
        <f>4000.7+(154-812)+(6.121071+(0.23562-1.24236))+0--188.2--0.287946000000011</f>
        <v>3536.3022769999998</v>
      </c>
      <c r="R147" s="3">
        <f>4060.9+(232.6-839.7)+(0+(0-0))+0--189.2-0</f>
        <v>3643</v>
      </c>
      <c r="S147" s="3">
        <f>4136.8+(239.9-895.4)+(-6.329304+(-0.367047--1.369962))+0--188.3-0.288099000000011</f>
        <v>3663.9855120000007</v>
      </c>
      <c r="T147" s="3">
        <f>4214.6+(235-925.2)+(2.149446+(0.11985-0.471852))+0--189.2--0.0964919999999808</f>
        <v>3715.4939360000003</v>
      </c>
      <c r="U147" s="3">
        <f>4236.3+(224.5-927.3)+(-2.160513+(-0.114495--0.472923))+0--188.6-0.0961859999999809</f>
        <v>3720.2017290000003</v>
      </c>
      <c r="V147" s="3">
        <f>4201.1+(194.4-887.3)+(-8.570244+(-0.396576--1.810092))+0--188.4-0.384335999999992</f>
        <v>3689.0589360000004</v>
      </c>
      <c r="W147" s="3">
        <f>4173.8+(112.5-897.2)+(-14.900466+(-0.401625--3.203004))+0--190.1-0.678657000000003</f>
        <v>3566.4222560000003</v>
      </c>
      <c r="X147" s="3">
        <f>4039.9+(71.8-984)+(-4.120698+(-0.073236--1.00368))+0--190.8-0.19461600000003</f>
        <v>3315.1151299999997</v>
      </c>
      <c r="Y147" s="3">
        <f>4100.3+(24.1-1061.6)+(2.091153+(0.012291-0.541416))+0--191.1--0.0974609999999806</f>
        <v>3255.5594889999998</v>
      </c>
      <c r="Z147" s="3">
        <f>4297.1+(98.5-1076.5)+(4.383042+(0.10047-1.09803))+0--191.1--0.19492200000003</f>
        <v>3513.7804040000005</v>
      </c>
      <c r="AA147" s="3">
        <f>4364.5+(106.5-1120.5)+(-8.90358+(-0.21726--2.28582))+0--191.7-0.391067999999992</f>
        <v>3534.9739119999999</v>
      </c>
      <c r="AB147" s="3">
        <f>4398.6+(100.6-1165.5)+(-8.973144+(-0.205224--2.37762))+0--193.3-0.394331999999992</f>
        <v>3519.8049200000005</v>
      </c>
      <c r="AC147" s="3">
        <f>4317.4+(101.1-1120.7)+(2.201874+(0.051561-0.571557))+0--193.4--0.0986339999999804</f>
        <v>3492.9805119999996</v>
      </c>
      <c r="AD147" s="2">
        <v>3542.8999999999996</v>
      </c>
      <c r="AE147" s="3">
        <f>4312+(120.7-1079.8)+(0+(0-0))+0--190-0</f>
        <v>3542.9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4249.4+(119.3-1107.9)+(2.167194+(0.060843-0.565029))+0--193--0.0984299999999804</f>
        <v>3455.5614379999993</v>
      </c>
      <c r="G148" s="3">
        <f>4270.1+(82.7-1152.1)+(0+(0-0))+0--193.3-0</f>
        <v>3394.0000000000009</v>
      </c>
      <c r="H148" s="3">
        <f>4132.9+(79.8-1085.4)+(-4.215558+(-0.081396--1.107108))+0--194.3-0.198186000000031</f>
        <v>3318.2119679999992</v>
      </c>
      <c r="I148" s="3">
        <f>4066.5+(73.4-1084.4)+(0+(0-0))+0--194.4-0</f>
        <v>3249.9</v>
      </c>
      <c r="J148" s="3">
        <f>4021.4+(92.6-1068.5)+(-6.152742+(-0.141678--1.634805))+0--194.9-0.298197000000011</f>
        <v>3235.442188</v>
      </c>
      <c r="K148" s="3">
        <f>4017.4+(68.2-1090)+(-12.293244+(-0.208692--3.3354))+0--195.6-0.598536000000023</f>
        <v>3181.4349280000001</v>
      </c>
      <c r="L148" s="3">
        <f>3337.6+(307.8-812.3)+(-3.404352+(-0.313956--0.828546))+0--198.9-0.202878000000032</f>
        <v>3028.9073600000002</v>
      </c>
      <c r="M148" s="3">
        <f>3101.7+(345.7-697.5)+(0+(0-0))+0--199-0</f>
        <v>2948.8999999999996</v>
      </c>
      <c r="N148" s="3">
        <f>3557.5+(145.2-843.6)+(0+(0-0))+0--195-0</f>
        <v>3054.1</v>
      </c>
      <c r="O148" s="3">
        <f>3989.7+(22.3-1030.8)+(4.069494+(0.022746-1.051416))+0--193.8--0.197676000000031</f>
        <v>3178.2385000000004</v>
      </c>
      <c r="P148" s="3">
        <f>3989.3+(46-903.8)+(4.069086+(0.04692-0.921876))+0--191.8--0.195636000000031</f>
        <v>3326.689766</v>
      </c>
      <c r="Q148" s="3">
        <f>4128.9+(71.6-937.9)+(0+(0-0))+0--190.1-0</f>
        <v>3452.6999999999994</v>
      </c>
      <c r="R148" s="3">
        <f>4239.9+(114.8-935.9)+(2.162349+(0.058548-0.477309))+0--186.8--0.0952679999999811</f>
        <v>3607.4388559999998</v>
      </c>
      <c r="S148" s="3">
        <f>4220.8+(190.7-955.6)+(-6.457824+(-0.291771--1.462068))+0--187-0.286110000000011</f>
        <v>3637.3263630000001</v>
      </c>
      <c r="T148" s="3">
        <f>4192.5+(251.2-933.1)+(-2.138175+(-0.128112--0.475881))+0--186.6-0.0951659999999811</f>
        <v>3695.3144279999997</v>
      </c>
      <c r="U148" s="3">
        <f>4187.4+(251.6-917.9)+(-6.406722+(-0.384948--1.404387))+0--187-0.286110000000011</f>
        <v>3702.4266069999994</v>
      </c>
      <c r="V148" s="3">
        <f>4134.7+(212.6-860.8)+(-6.326091+(-0.325278--1.317024))+0--189.9-0.290547000000011</f>
        <v>3670.7751079999998</v>
      </c>
      <c r="W148" s="3">
        <f>4097.6+(129.3-856.6)+(-10.44888+(-0.329715--2.18433))+0--191.2-0.487559999999972</f>
        <v>3552.4181749999998</v>
      </c>
      <c r="X148" s="3">
        <f>4106.9+(61.4-1059)+(-14.661633+(-0.219198--3.78063))+0--191.8-0.684726000000003</f>
        <v>3289.3150729999998</v>
      </c>
      <c r="Y148" s="3">
        <f>4159.1+(38.4-1185)+(0+(0-0))+0--193-0</f>
        <v>3205.5000000000005</v>
      </c>
      <c r="Z148" s="3">
        <f>4256+(141.4-1100.3)+(2.17056+(0.072114-0.561153))+0--191.9--0.0978689999999805</f>
        <v>3490.7793900000001</v>
      </c>
      <c r="AA148" s="3">
        <f>4324.7+(159.5-1162.9)+(-13.233582+(-0.48807--3.558474))+0--192.1-0.587826000000022</f>
        <v>3502.6489959999999</v>
      </c>
      <c r="AB148" s="3">
        <f>4599.9+(109.5-1429.3)+(-14.075694+(-0.33507--4.373658))+0--193-0.590580000000022</f>
        <v>3462.4723139999992</v>
      </c>
      <c r="AC148" s="3">
        <f>4544.7+(102.3-1385.7)+(4.635594+(0.104346-1.413414))+0--192.9--0.196758000000031</f>
        <v>3457.7232839999997</v>
      </c>
      <c r="AD148" s="2">
        <v>3543.8</v>
      </c>
      <c r="AE148" s="3">
        <f>4256+(199.3-1102.9)+(0+(0-0))+0--191.4-0</f>
        <v>3543.7999999999997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4522.4+(103.9-1378.9)+(0+(0-0))+0--194.2-0</f>
        <v>3441.5999999999995</v>
      </c>
      <c r="G149" s="3">
        <f>4512.7+(73.8-1406.6)+(2.301477+(0.037638-0.717366))+0--196.3--0.10011299999998</f>
        <v>3377.9218619999997</v>
      </c>
      <c r="H149" s="3">
        <f>4492.2+(51.3-1438.3)+(0+(0-0))+0--195.5-0</f>
        <v>3300.7</v>
      </c>
      <c r="I149" s="3">
        <f>4500.4+(39.9-1492.4)+(-4.590408+(-0.040698--1.522248))+0--193.4-0.197268000000031</f>
        <v>3237.9938739999998</v>
      </c>
      <c r="J149" s="3">
        <f>4536.9+(22.6-1507.3)+(11.569095+(0.05763-3.843615))+0--168.3--0.429164999999976</f>
        <v>3228.7122749999999</v>
      </c>
      <c r="K149" s="3">
        <f>4471.6+(12.6-1478)+(-11.40258+(-0.03213--3.7689))+0--168.6-0.429929999999976</f>
        <v>3166.7042600000004</v>
      </c>
      <c r="L149" s="3">
        <f>3947.1+(72.4-1144.2)+(-12.078126+(-0.221544--3.501252))+0--142.5-0.436050000000016</f>
        <v>3008.5655320000005</v>
      </c>
      <c r="M149" s="3">
        <f>3570.8+(157.4-956.5)+(5.463324+(0.240822-1.463445))+0--134.7--0.206091000000008</f>
        <v>2910.8467920000003</v>
      </c>
      <c r="N149" s="3">
        <f>3994.3+(34.6-1196.2)+(2.037093+(0.017646-0.610062))+0--187.3--0.095522999999981</f>
        <v>3021.5401999999999</v>
      </c>
      <c r="O149" s="3">
        <f>4293.6+(12.6-1314.5)+(2.189736+(0.006426-0.670395))+0--193.9--0.0988889999999803</f>
        <v>3187.2246560000003</v>
      </c>
      <c r="P149" s="3">
        <f>4421.1+(53.9-1241.5)+(6.764283+(0.082467-1.899495))+0--78.2--0.119646000000005</f>
        <v>3316.7669010000004</v>
      </c>
      <c r="Q149" s="3">
        <f>4400.2+(108.6-1128.6)+(0+(0-0))+0--64.5-0</f>
        <v>3444.7</v>
      </c>
      <c r="R149" s="3">
        <f>4593.5+(137.6-1233.3)+(-4.68537+(-0.140352--1.257966))+0--82.4-0.0840480000000131</f>
        <v>3576.5481960000002</v>
      </c>
      <c r="S149" s="3">
        <f>4710.2+(123.8-1417)+(0+(0-0))+0--189.9-0</f>
        <v>3606.9</v>
      </c>
      <c r="T149" s="3">
        <f>4713.2+(158.5-1381.2)+(-2.403732+(-0.080835--0.704412))+0--180.1-0.0918509999999817</f>
        <v>3668.7279939999999</v>
      </c>
      <c r="U149" s="3">
        <f>4698.2+(157.7-1357.8)+(-4.792164+(-0.160854--1.384956))+0--180.7-0.184314000000029</f>
        <v>3675.0476239999998</v>
      </c>
      <c r="V149" s="3">
        <f>4697.9+(136.6-1388.1)+(-4.791858+(-0.139332--1.415862))+0--180.5-0.184110000000029</f>
        <v>3623.2005619999995</v>
      </c>
      <c r="W149" s="3">
        <f>4703.9+(52.4-1454.6)+(-2.398989+(-0.026724--0.741846))+0--180.7-0.0921569999999817</f>
        <v>3480.6239759999994</v>
      </c>
      <c r="X149" s="3">
        <f>4735.4+(12-1701.1)+(-9.660216+(-0.02448--3.470244))+0--190.9-0.389435999999992</f>
        <v>3230.5961119999997</v>
      </c>
      <c r="Y149" s="3">
        <f>4408.5+(33.3-1444.7)+(-4.49667+(-0.033966--1.473594))+0--192.5-0.196350000000031</f>
        <v>3186.3466079999998</v>
      </c>
      <c r="Z149" s="3">
        <f>4912.3+(46.3-1708.8)+(-2.505273+(-0.023613--0.871488))+0--195.2-0.0995519999999802</f>
        <v>3443.24305</v>
      </c>
      <c r="AA149" s="3">
        <f>5018.4+(60.8-1775.1)+(-2.559384+(-0.031008--0.905301))+0--195.1-0.0995009999999802</f>
        <v>3497.4154079999994</v>
      </c>
      <c r="AB149" s="3">
        <f>4970.8+(61.8-1757.6)+(-12.67554+(-0.15759--4.48188))+0--183.8-0.468689999999973</f>
        <v>3449.9800599999999</v>
      </c>
      <c r="AC149" s="3">
        <f>4969.1+(54.6-1781)+(-2.534241+(-0.027846--0.90831))+0--182.5-0.0930749999999815</f>
        <v>3423.4531480000005</v>
      </c>
      <c r="AD149" s="2">
        <v>3481.2</v>
      </c>
      <c r="AE149" s="3">
        <f>4982+(69-1763.3)+(0+(0-0))+0--193.5-0</f>
        <v>3481.2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4941.3+(41.7-1758.2)+(0+(0-0))+0--175.1-0</f>
        <v>3399.9</v>
      </c>
      <c r="G150" s="3">
        <f>4836.6+(47.5-1727.7)+(-9.866664+(-0.0969--3.524508))+0--175.6-0.358223999999992</f>
        <v>3325.2027200000002</v>
      </c>
      <c r="H150" s="3">
        <f>4872.5+(29.5-1816.3)+(-7.454925+(-0.045135--2.778939))+0--175.9-0.26912700000001</f>
        <v>3256.6097519999998</v>
      </c>
      <c r="I150" s="3">
        <f>4811.1+(31.6-1787.9)+(-12.268305+(-0.08058--4.559145))+0--157.5-0.401624999999977</f>
        <v>3204.108635</v>
      </c>
      <c r="J150" s="3">
        <f>4773.2+(21.3-1740.1)+(4.868664+(0.021726-1.774902))+0--125.7--0.12821400000002</f>
        <v>3183.3437019999992</v>
      </c>
      <c r="K150" s="3">
        <f>4681.5+(13-1697.9)+(-11.937825+(-0.03315--4.329645))+0--126.7-0.323084999999982</f>
        <v>3115.3355849999998</v>
      </c>
      <c r="L150" s="3">
        <f>4197+(22.4-1366.9)+(-10.70235+(-0.05712--3.485595))+0--127.3-0.324614999999982</f>
        <v>2972.2015100000003</v>
      </c>
      <c r="M150" s="3">
        <f>3810.9+(59.3-1093.4)+(1.943559+(0.030243-0.557634))+0--127.4--0.0649739999999871</f>
        <v>2905.6811420000004</v>
      </c>
      <c r="N150" s="3">
        <f>4012.5+(33.6-1199.2)+(4.09275+(0.034272-1.223184))+0--178.1--0.181662000000028</f>
        <v>3028.0854999999997</v>
      </c>
      <c r="O150" s="3">
        <f>4601+(13-1651.4)+(7.03953+(0.01989-2.526642))+0--187.7--0.287181000000011</f>
        <v>3155.1199589999997</v>
      </c>
      <c r="P150" s="3">
        <f>4647+(13-1568.4)+(-2.36997+(-0.00663--0.799884))+0--185.5-0.0946049999999812</f>
        <v>3275.4286790000001</v>
      </c>
      <c r="Q150" s="3">
        <f>4694.9+(21-1519.1)+(4.788798+(0.02142-1.549482))+0--184.9--0.188598000000029</f>
        <v>3385.1493340000002</v>
      </c>
      <c r="R150" s="3">
        <f>4820.5+(60.3-1552.9)+(-4.91691+(-0.061506--1.583958))+0--174.4-0.177888000000028</f>
        <v>3498.7276539999993</v>
      </c>
      <c r="S150" s="3">
        <f>4794.8+(93.9-1532.2)+(2.445348+(0.047889-0.781422))+0--173.9--0.0886889999999824</f>
        <v>3532.2005040000004</v>
      </c>
      <c r="T150" s="3">
        <f>4735+(136.7-1457.2)+(0+(0-0))+0--171.4-0</f>
        <v>3585.9</v>
      </c>
      <c r="U150" s="3">
        <f>4674+(165.8-1410.4)+(-7.15122+(-0.253674--2.157912))+0--170.2-0.26040600000001</f>
        <v>3594.0926119999995</v>
      </c>
      <c r="V150" s="3">
        <f>4679.3+(137.5-1425.2)+(-7.159329+(-0.210375--2.180556))+0--159.7-0.244341000000009</f>
        <v>3545.8665110000002</v>
      </c>
      <c r="W150" s="3">
        <f>4757.3+(40.1-1548.5)+(-12.131115+(-0.102255--3.948675))+0--176.1-0.449054999999974</f>
        <v>3416.2662500000001</v>
      </c>
      <c r="X150" s="3">
        <f>4519.9+(12-1534.1)+(-6.915447+(-0.01836--2.347173))+0--180.7-0.27647100000001</f>
        <v>3173.6368949999996</v>
      </c>
      <c r="Y150" s="3">
        <f>4145.7+(13-1285.3)+(4.228614+(0.01326-1.311006))+0--181.5--0.185130000000029</f>
        <v>3058.0159979999994</v>
      </c>
      <c r="Z150" s="3">
        <f>4246.9+(90.2-1156.5)+(0+(0-0))+0--181.2-0</f>
        <v>3361.7999999999993</v>
      </c>
      <c r="AA150" s="3">
        <f>4266+(105.8-1149.1)+(-2.17566+(-0.053958--0.586041))+0--181.7-0.0926669999999816</f>
        <v>3402.6637559999999</v>
      </c>
      <c r="AB150" s="3">
        <f>4292.4+(81-1191.7)+(-4.378248+(-0.08262--1.215534))+0--182.1-0.185742000000029</f>
        <v>3360.3689239999994</v>
      </c>
      <c r="AC150" s="3">
        <f>4260.2+(89.4-1186.6)+(-8.690808+(-0.182376--2.420664))+0--182.4-0.372095999999992</f>
        <v>3338.5753840000002</v>
      </c>
      <c r="AD150" s="2">
        <v>3396.5</v>
      </c>
      <c r="AE150" s="3">
        <f>4254+(99-1142.9)+(0+(0-0))+0--186.4-0</f>
        <v>3396.5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4272.2+(78.6-1186.4)+(-6.536466+(-0.120258--1.815192))+0--188.5-0.288405000000011</f>
        <v>3347.7700629999999</v>
      </c>
      <c r="G151" s="3">
        <f>4121.5+(74-1082.7)+(0+(0-0))+0--188.9-0</f>
        <v>3301.7000000000003</v>
      </c>
      <c r="H151" s="3">
        <f>4111.4+(80.1-1158.5)+(-10.48407+(-0.204255--2.954175))+0--188.8-0.481439999999973</f>
        <v>3213.5844099999999</v>
      </c>
      <c r="I151" s="3">
        <f>4079.1+(73.1-1168.2)+(-8.321364+(-0.149124--2.383128))+0--188.9-0.385355999999992</f>
        <v>3166.4272840000003</v>
      </c>
      <c r="J151" s="3">
        <f>4065.5+(66.6-1148.3)+(-4.14681+(-0.067932--1.171266))+0--188.6-0.19237200000003</f>
        <v>3169.1641520000003</v>
      </c>
      <c r="K151" s="3">
        <f>3972.4+(67.9-1069.1)+(-10.12962+(-0.173145--2.726205))+0--151.4-0.386069999999978</f>
        <v>3114.6373700000004</v>
      </c>
      <c r="L151" s="3">
        <f>3405.6+(184.3-744.3)+(-5.210568+(-0.281979--1.138779))+0--133.4-0.204102000000008</f>
        <v>2974.4421299999999</v>
      </c>
      <c r="M151" s="3">
        <f>3031.2+(278.4-575.5)+(-3.091824+(-0.283968--0.58701))+0--136.3-0.139026000000022</f>
        <v>2867.4721920000002</v>
      </c>
      <c r="N151" s="3">
        <f>3299.6+(151.4-720.5)+(0+(0-0))+0--157-0</f>
        <v>2887.5</v>
      </c>
      <c r="O151" s="3">
        <f>3847+(20-1074.4)+(-3.92394+(-0.0204--1.095888))+0--194.4-0.198288000000031</f>
        <v>2983.9532599999998</v>
      </c>
      <c r="P151" s="3">
        <f>3918.6+(31.2-1064.5)+(1.998486+(0.015912-0.542895))+0--193.1--0.0984809999999804</f>
        <v>3079.9699840000003</v>
      </c>
      <c r="Q151" s="3">
        <f>3906.6+(40.8-950)+(1.992366+(0.020808-0.4845))+0--191.2--0.0975119999999806</f>
        <v>3190.2261859999994</v>
      </c>
      <c r="R151" s="3">
        <f>3917.2+(98.5-908.2)+(-1.997772+(-0.050235--0.463182))+0--190.3-0.0970529999999807</f>
        <v>3296.1181220000003</v>
      </c>
      <c r="S151" s="3">
        <f>3916+(162.8-907.2)+(-3.99432+(-0.166056--0.925344))+0--191.1-0.19492200000003</f>
        <v>3359.2700459999996</v>
      </c>
      <c r="T151" s="3">
        <f>4021.3+(168-950.9)+(-8.203452+(-0.34272--1.939836))+0--186.7-0.380867999999992</f>
        <v>3418.1127959999999</v>
      </c>
      <c r="U151" s="3">
        <f>4069.9+(148.2-938.2)+(-4.151298+(-0.151164--0.956964))+0--167.1-0.170442000000027</f>
        <v>3443.4840599999998</v>
      </c>
      <c r="V151" s="3">
        <f>4042+(143.9-928.8)+(-2.06142+(-0.073389--0.473688))+0--167.4-0.085373999999983</f>
        <v>3422.7535050000001</v>
      </c>
      <c r="W151" s="3">
        <f>4014.6+(74.1-952.9)+(-8.189784+(-0.151164--1.943916))+0--167.8-0.342311999999993</f>
        <v>3296.8606560000003</v>
      </c>
      <c r="X151" s="3">
        <f>3976.2+(77.2-1164.5)+(-8.111448+(-0.157488--2.37558))+0--169.4-0.345575999999993</f>
        <v>3052.0610679999995</v>
      </c>
      <c r="Y151" s="3">
        <f>4035.9+(20-1272.5)+(-4.116618+(-0.0204--1.29795))+0--195.1-0.199002000000031</f>
        <v>2975.4619299999999</v>
      </c>
      <c r="Z151" s="3">
        <f>4212.5+(38.6-1194.8)+(0+(0-0))+0--196-0</f>
        <v>3252.3</v>
      </c>
      <c r="AA151" s="3">
        <f>4252+(56.1-1191.9)+(-6.50556+(-0.085833--1.823607))+0--188.9-0.289017000000011</f>
        <v>3300.043197</v>
      </c>
      <c r="AB151" s="3">
        <f>4284+(40.1-1237.1)+(0+(0-0))+0--189.2-0</f>
        <v>3276.2</v>
      </c>
      <c r="AC151" s="3">
        <f>4364.2+(42.8-1315.2)+(2.225742+(0.021828-0.670752))+0--189.3--0.0965429999999808</f>
        <v>3282.773361</v>
      </c>
      <c r="AD151" s="2">
        <v>3333.8000000000006</v>
      </c>
      <c r="AE151" s="3">
        <f>4253+(40.6-1150.2)+(0+(0-0))+0--190.4-0</f>
        <v>3333.7999999999997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4440.6+(34.2-1343.1)+(-2.264706+(-0.017442--0.684981))+0--167-0.0851699999999831</f>
        <v>3297.017663000001</v>
      </c>
      <c r="G152" s="3">
        <f>4413.3+(43.4-1319.9)+(-6.752349+(-0.066402--2.019447))+0--135.8-0.207774000000008</f>
        <v>3267.5929220000003</v>
      </c>
      <c r="H152" s="3">
        <f>4381.3+(35-1345)+(-2.234463+(-0.01785--0.68595))+0--136.1-0.0694109999999862</f>
        <v>3205.7642260000002</v>
      </c>
      <c r="I152" s="3">
        <f>4402.6+(19.3-1404)+(-8.981304+(-0.039372--2.86416))+0--136.5-0.278459999999994</f>
        <v>3147.9650240000005</v>
      </c>
      <c r="J152" s="3">
        <f>4486.8+(14-1492.5)+(2.288268+(0.00714-0.761175))+0--136--0.0693599999999862</f>
        <v>3145.903593</v>
      </c>
      <c r="K152" s="3">
        <f>4396+(30.5-1466.3)+(-2.24196+(-0.015555--0.747813))+0--136.5-0.0696149999999861</f>
        <v>3095.1206830000001</v>
      </c>
      <c r="L152" s="3">
        <f>3826.4+(141.7-1164.8)+(-1.951464+(-0.072267--0.594048))+0--135.7-0.0692069999999862</f>
        <v>2937.5011100000002</v>
      </c>
      <c r="M152" s="3">
        <f>3924.1+(76.8-1262.6)+(0+(0-0))+0--138.4-0</f>
        <v>2876.7000000000003</v>
      </c>
      <c r="N152" s="3">
        <f>4257.6+(13-1403.1)+(2.171376+(0.00663-0.715581))+0--136.3--0.0695129999999862</f>
        <v>3005.3319380000007</v>
      </c>
      <c r="O152" s="3">
        <f>4426.5+(14-1471.4)+(2.257515+(0.00714-0.750414))+0--174.2--0.0888419999999823</f>
        <v>3144.9030829999997</v>
      </c>
      <c r="P152" s="3">
        <f>4674.9+(14-1617.4)+(2.384199+(0.00714-0.824874))+0--178.4--0.0909839999999819</f>
        <v>3251.5574489999995</v>
      </c>
      <c r="Q152" s="3">
        <f>4871.7+(14-1696.7)+(7.453701+(0.02142-2.595951))+0--176.9--0.27065700000001</f>
        <v>3371.0498270000003</v>
      </c>
      <c r="R152" s="3">
        <f>4906.2+(15-1577.8)+(2.502162+(0.00765-0.804678))+0--178.2--0.0908819999999819</f>
        <v>3523.3960159999992</v>
      </c>
      <c r="S152" s="3">
        <f>4985.1+(45.5-1642.3)+(-5.084802+(-0.04641--1.675146))+0--176.7-0.180234000000028</f>
        <v>3561.3636999999999</v>
      </c>
      <c r="T152" s="3">
        <f>4993.4+(62.6-1618.7)+(-2.546634+(-0.031926--0.825537))+0--172.6-0.0880259999999825</f>
        <v>3608.0589509999991</v>
      </c>
      <c r="U152" s="3">
        <f>4979.8+(57-1567.8)+(2.539698+(0.02907-0.799578))+0--171--0.0872099999999826</f>
        <v>3641.8564000000001</v>
      </c>
      <c r="V152" s="3">
        <f>4888.6+(58.3-1524.6)+(-2.493186+(-0.029733--0.777546))+0--174.1-0.0887909999999823</f>
        <v>3594.5658359999998</v>
      </c>
      <c r="W152" s="3">
        <f>4879.7+(14-1585.1)+(-2.488647+(-0.00714--0.808401))+0--174.9-0.0891989999999823</f>
        <v>3481.7234149999999</v>
      </c>
      <c r="X152" s="3">
        <f>4703.7+(12-1644.7)+(-7.196661+(-0.01836--2.516391))+0--175.2-0.26805600000001</f>
        <v>3241.2333140000001</v>
      </c>
      <c r="Y152" s="3">
        <f>4522.1+(14-1571.9)+(4.612542+(0.01428-1.603338))+0--176.1--0.179622000000028</f>
        <v>3143.5031060000001</v>
      </c>
      <c r="Z152" s="3">
        <f>5161.8+(16-1922.3)+(2.632518+(0.00816-0.980373))+0--190.7--0.0972569999999807</f>
        <v>3447.9575619999996</v>
      </c>
      <c r="AA152" s="3">
        <f>5264.1+(16-2001.6)+(-10.738764+(-0.03264--4.083264))+0--190.5-0.388619999999992</f>
        <v>3461.9232400000001</v>
      </c>
      <c r="AB152" s="3">
        <f>5333.2+(15-2115.7)+(-5.439864+(-0.0153--2.158014))+0--190.2-0.19400400000003</f>
        <v>3419.208846</v>
      </c>
      <c r="AC152" s="3">
        <f>5285.3+(15-2103.4)+(0+(0-0))+0--188-0</f>
        <v>3384.9</v>
      </c>
      <c r="AD152" s="2">
        <v>3441.2</v>
      </c>
      <c r="AE152" s="3">
        <f>5108+(15.5-1872.8)+(0+(0-0))+0--190.5-0</f>
        <v>3441.2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5122.1+(13-1944.3)+(-5.224542+(-0.01326--1.983186))+0--167.8-0.171156000000027</f>
        <v>3355.1742280000003</v>
      </c>
      <c r="G153" s="3">
        <f>4990+(13-1852.6)+(-10.1796+(-0.02652--3.779304))+0--143.1-0.291923999999994</f>
        <v>3286.7812599999997</v>
      </c>
      <c r="H153" s="3">
        <f>4895.5+(13-1828.7)+(-2.496705+(-0.00663--0.932637))+0--143.2-0.0730319999999855</f>
        <v>3221.3562700000002</v>
      </c>
      <c r="I153" s="3">
        <f>4760+(13-1749.1)+(0+(0-0))+0--142.8-0</f>
        <v>3166.7000000000003</v>
      </c>
      <c r="J153" s="3">
        <f>4486.4+(13-1537.9)+(-6.864192+(-0.01989--2.352987))+0--143.8-0.220014000000008</f>
        <v>3100.5488909999999</v>
      </c>
      <c r="K153" s="3">
        <f>4401.1+(23-1503.3)+(-8.978244+(-0.04692--3.066732))+0--144-0.293759999999994</f>
        <v>3058.5478080000003</v>
      </c>
      <c r="L153" s="3">
        <f>4017.4+(141.3-1400.3)+(-16.390992+(-0.576504--5.713224))+0--145.1-0.592007999999987</f>
        <v>2891.6537199999998</v>
      </c>
      <c r="M153" s="3">
        <f>3734.5+(154.6-1348.3)+(0+(0-0))+0--145.6-0</f>
        <v>2686.4</v>
      </c>
      <c r="N153" s="3">
        <f>3722.3+(131.3-1302.6)+(3.796746+(0.133926-1.328652))+0--144.1--0.146982000000023</f>
        <v>2697.8490019999999</v>
      </c>
      <c r="O153" s="3">
        <f>3700.5+(131.3-1188.5)+(-1.887255+(-0.066963--0.606135))+0--156.6-0.0798659999999841</f>
        <v>2798.4720510000002</v>
      </c>
      <c r="P153" s="3">
        <f>3717+(129.6-1141.6)+(-1.89567+(-0.066096--0.582216))+0--186.8-0.0952679999999811</f>
        <v>2890.325182</v>
      </c>
      <c r="Q153" s="3">
        <f>3810+(112.3-1143.2)+(0+(0-0))+0--186.2-0</f>
        <v>2965.2999999999997</v>
      </c>
      <c r="R153" s="3">
        <f>4122.2+(90.8-1263.7)+(-2.102322+(-0.046308--0.644487))+0--186.3-0.0950129999999811</f>
        <v>3134.0008439999997</v>
      </c>
      <c r="S153" s="3">
        <f>4216.7+(88.9-1283.9)+(-4.301034+(-0.090678--1.309578))+0--179.2-0.182784000000029</f>
        <v>3197.6350819999993</v>
      </c>
      <c r="T153" s="3">
        <f>4292.2+(90.9-1298.1)+(-8.756088+(-0.185436--2.648124))+0--175.5-0.358019999999992</f>
        <v>3253.8485799999999</v>
      </c>
      <c r="U153" s="3">
        <f>4321.6+(101.9-1278.5)+(4.408032+(0.103938-1.30407))+0--148.1--0.151062000000024</f>
        <v>3296.4589620000002</v>
      </c>
      <c r="V153" s="3">
        <f>4365.7+(93.7-1309.8)+(6.679521+(0.143361-2.003994))+0--140.9--0.215577000000008</f>
        <v>3295.5344649999997</v>
      </c>
      <c r="W153" s="3">
        <f>4396.1+(36.6-1500.5)+(-4.484022+(-0.037332--1.53051))+0--140.9-0.143718000000022</f>
        <v>3069.9654380000006</v>
      </c>
      <c r="X153" s="3">
        <f>4452+(17.9-1616.7)+(-6.81156+(-0.027387--2.473551))+0--140.9-0.215577000000008</f>
        <v>2989.5190269999998</v>
      </c>
      <c r="Y153" s="3">
        <f>4283.1+(13-1523.9)+(-2.184381+(-0.00663--0.777189))+0--140.5-0.0716549999999857</f>
        <v>2911.2145230000001</v>
      </c>
      <c r="Z153" s="3">
        <f>4545.9+(15-1651)+(-6.955227+(-0.02295--2.52603))+0--140.8-0.215424000000008</f>
        <v>3046.0324289999999</v>
      </c>
      <c r="AA153" s="3">
        <f>4829.9+(15-1770.1)+(-7.389747+(-0.02295--2.708253))+0--141-0.215730000000008</f>
        <v>3210.8798259999999</v>
      </c>
      <c r="AB153" s="3">
        <f>4859.8+(14-1802.9)+(-2.478498+(-0.00714--0.919479))+0--141.1-0.0719609999999857</f>
        <v>3210.3618799999999</v>
      </c>
      <c r="AC153" s="3">
        <f>4870.3+(14-1772.7)+(-2.483853+(-0.00714--0.904077))+0--141.5-0.0721649999999856</f>
        <v>3251.4409190000001</v>
      </c>
      <c r="AD153" s="2">
        <v>3225.8</v>
      </c>
      <c r="AE153" s="3">
        <f>4859+(15-1787.6)+(0+(0-0))+0--139.4-0</f>
        <v>3225.8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4784.9+(13-1667.9)+(2.440299+(0.00663-0.850629))+0--141.5--0.0721649999999856</f>
        <v>3273.1684649999997</v>
      </c>
      <c r="G154" s="3">
        <f>4774.3+(13-1705.1)+(2.434893+(0.00663-0.869601))+0--141.6--0.0722159999999856</f>
        <v>3225.4441380000003</v>
      </c>
      <c r="H154" s="3">
        <f>4778.2+(13-1765.7)+(-2.436882+(-0.00663--0.900507))+0--141.7-0.0722669999999856</f>
        <v>3165.5847279999998</v>
      </c>
      <c r="I154" s="3">
        <f>4592.6+(13-1641.4)+(-2.342226+(-0.00663--0.837114))+0--141.8-0.0723179999999856</f>
        <v>3104.4159400000003</v>
      </c>
      <c r="J154" s="3">
        <f>4466.5+(13-1571.7)+(-6.833745+(-0.01989--2.404701))+0--142.3-0.217719000000008</f>
        <v>3045.4333470000001</v>
      </c>
      <c r="K154" s="3">
        <f>4299.4+(13-1455.5)+(0+(0-0))+0--142.8-0</f>
        <v>2999.7</v>
      </c>
      <c r="L154" s="3">
        <f>3890.8+(47.3-1252.8)+(-9.92154+(-0.120615--3.19464))+0--141.4-0.36056999999998</f>
        <v>2819.4919150000005</v>
      </c>
      <c r="M154" s="3">
        <f>3626.6+(76-1133)+(-3.699132+(-0.07752--1.15566))+0--142.1-0.144942000000023</f>
        <v>2708.9340659999998</v>
      </c>
      <c r="N154" s="3">
        <f>3653.7+(70.9-1116.1)+(3.726774+(0.072318-1.138422))+0--141--0.143820000000022</f>
        <v>2752.3044900000004</v>
      </c>
      <c r="O154" s="3">
        <f>3688.4+(100.8-1092.1)+(-1.881084+(-0.051408--0.556971))+0--138.6-0.0706859999999859</f>
        <v>2834.2537930000003</v>
      </c>
      <c r="P154" s="3">
        <f>4109.2+(13-1331.8)+(4.191384+(0.01326-1.358436))+0--137--0.139740000000022</f>
        <v>2930.3859479999996</v>
      </c>
      <c r="Q154" s="3">
        <f>4508.4+(13-1576.1)+(-4.598568+(-0.01326--1.607622))+0--147.5-0.150450000000024</f>
        <v>3089.6453439999996</v>
      </c>
      <c r="R154" s="3">
        <f>4674.7+(13.2-1627)+(-2.384097+(-0.006732--0.82977))+0--168.8-0.0860879999999829</f>
        <v>3228.0528529999997</v>
      </c>
      <c r="S154" s="3">
        <f>4690.9+(26.9-1580.6)+(-2.392359+(-0.013719--0.806106))+0--169.3-0.0863429999999828</f>
        <v>3304.8136850000001</v>
      </c>
      <c r="T154" s="3">
        <f>4707+(44.5-1541.9)+(-9.60228+(-0.09078--3.145476))+0--169.3-0.345371999999993</f>
        <v>3372.0070440000004</v>
      </c>
      <c r="U154" s="3">
        <f>4708.2+(56.6-1507.4)+(0+(0-0))+0--169.7-0</f>
        <v>3427.0999999999995</v>
      </c>
      <c r="V154" s="3">
        <f>4692.8+(38.6-1510)+(-2.393328+(-0.019686--0.7701))+0--170.2-0.0868019999999827</f>
        <v>3389.8702840000001</v>
      </c>
      <c r="W154" s="3">
        <f>4676.9+(12.4-1564.7)+(-9.540876+(-0.025296--3.191988))+0--170.8-0.348431999999993</f>
        <v>3288.6773840000001</v>
      </c>
      <c r="X154" s="3">
        <f>4773.7+(12-1902.3)+(-7.303761+(-0.01836--2.910519))+0--183.4-0.280602000000011</f>
        <v>3062.1077959999998</v>
      </c>
      <c r="Y154" s="3">
        <f>4704.5+(13.2-1961.7)+(-7.197885+(-0.020196--3.001401))+0--198.8-0.304164000000011</f>
        <v>2950.2791560000001</v>
      </c>
      <c r="Z154" s="3">
        <f>4813.3+(14.4-1797.8)+(-9.819132+(-0.029376--3.667512))+0--201.3-0.410651999999991</f>
        <v>3224.6083520000007</v>
      </c>
      <c r="AA154" s="3">
        <f>4969.4+(14.4-1864.1)+(-5.068788+(-0.014688--1.901382))+0--201.9-0.205938000000032</f>
        <v>3318.2119680000001</v>
      </c>
      <c r="AB154" s="3">
        <f>4994.1+(13.8-1910.8)+(-10.187964+(-0.028152--3.898032))+0--202.7-0.413507999999991</f>
        <v>3293.0684080000001</v>
      </c>
      <c r="AC154" s="3">
        <f>4972.2+(13.6-1866)+(0+(0-0))+0--203-0</f>
        <v>3322.7999999999997</v>
      </c>
      <c r="AD154" s="2">
        <v>3296.3</v>
      </c>
      <c r="AE154" s="3">
        <f>4969+(15-1888.2)+(0+(0-0))+0--200.5-0</f>
        <v>3296.3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4987.7+(43-1828)+(2.543727+(0.02193-0.93228))+0--202.4--0.103223999999979</f>
        <v>3406.836601</v>
      </c>
      <c r="G155" s="3">
        <f>5010.7+(42-1923.6)+(2.555457+(0.02142-0.981036))+0--202.8--0.103427999999979</f>
        <v>3333.5992689999998</v>
      </c>
      <c r="H155" s="3">
        <f>4584.1+(43.1-1577.4)+(0+(0-0))+0--203.5-0</f>
        <v>3253.3</v>
      </c>
      <c r="I155" s="3">
        <f>4356.9+(56.8-1449)+(0+(0-0))+0--204.4-0</f>
        <v>3169.1</v>
      </c>
      <c r="J155" s="3">
        <f>4334.1+(49.5-1452.3)+(-8.841564+(-0.10098--2.962692))+0--205.2-0.418607999999991</f>
        <v>3130.1015400000001</v>
      </c>
      <c r="K155" s="3">
        <f>4275.1+(39-1414.6)+(-8.721204+(-0.07956--2.885784))+0--205.6-0.419423999999991</f>
        <v>3098.7655960000002</v>
      </c>
      <c r="L155" s="3">
        <f>3943.2+(86.7-1253.9)+(-16.088256+(-0.353736--5.115912))+0--196.1-0.800087999999983</f>
        <v>2959.9738320000001</v>
      </c>
      <c r="M155" s="3">
        <f>3851.9+(85.9-1262.3)+(3.928938+(0.087618-1.287546))+0--187.7--0.19145400000003</f>
        <v>2866.1204640000001</v>
      </c>
      <c r="N155" s="3">
        <f>4157.9+(38-1391.8)+(4.241058+(0.03876-1.419636))+0--186.7--0.19043400000003</f>
        <v>2993.8506159999993</v>
      </c>
      <c r="O155" s="3">
        <f>4401.5+(38-1555.4)+(2.244765+(0.01938-0.793254))+0--185.7--0.0947069999999812</f>
        <v>3071.3655979999999</v>
      </c>
      <c r="P155" s="3">
        <f>4662.4+(38-1635)+(2.377824+(0.01938-0.83385))+0--184.2--0.0939419999999813</f>
        <v>3251.2572959999993</v>
      </c>
      <c r="Q155" s="3">
        <f>4780+(38-1602.2)+(7.3134+(0.05814-2.451366))+0--178.9--0.27371700000001</f>
        <v>3399.8938910000002</v>
      </c>
      <c r="R155" s="3">
        <f>4948+(44.2-1633.4)+(-2.52348+(-0.022542--0.833034))+0--180.3-0.0919529999999817</f>
        <v>3537.295059</v>
      </c>
      <c r="S155" s="3">
        <f>4955.3+(94.1-1622.8)+(-5.054406+(-0.095982--1.655256))+0--180.5-0.184110000000029</f>
        <v>3603.4207580000002</v>
      </c>
      <c r="T155" s="3">
        <f>4998.8+(134.8-1613.4)+(-7.648164+(-0.206244--2.468502))+0--182.3-0.278919000000011</f>
        <v>3696.8351750000002</v>
      </c>
      <c r="U155" s="3">
        <f>5033.7+(125.1-1665.3)+(2.567187+(0.063801-0.849303))+0--180.8--0.0922079999999817</f>
        <v>3676.1738930000001</v>
      </c>
      <c r="V155" s="3">
        <f>5006.2+(107-1602.5)+(-2.553162+(-0.05457--0.817275))+0--181.1-0.0923609999999816</f>
        <v>3689.9171819999997</v>
      </c>
      <c r="W155" s="3">
        <f>4869.1+(74.6-1566.3)+(-2.483241+(-0.038046--0.798813))+0--181.7-0.0926669999999816</f>
        <v>3557.2848590000003</v>
      </c>
      <c r="X155" s="3">
        <f>4680.2+(45.7-1607.3)+(-7.160706+(-0.069921--2.459169))+0--183.3-0.280449000000011</f>
        <v>3296.8480930000001</v>
      </c>
      <c r="Y155" s="3">
        <f>4371.2+(44.1-1458.5)+(-4.458624+(-0.044982--1.48767))+0--197-0.200940000000031</f>
        <v>3150.5831239999998</v>
      </c>
      <c r="Z155" s="3">
        <f>4515.2+(77.4-1361.7)+(2.302752+(0.039474-0.694467))+0--202--0.10301999999998</f>
        <v>3434.6507789999996</v>
      </c>
      <c r="AA155" s="3">
        <f>4541.8+(98.3-1349.5)+(-9.265272+(-0.200532--2.75298))+0--202.5-0.413099999999991</f>
        <v>3485.974076</v>
      </c>
      <c r="AB155" s="3">
        <f>4503.7+(100.1-1341.1)+(2.296887+(0.051051-0.683961))+0--203.2--0.103631999999979</f>
        <v>3467.6676089999996</v>
      </c>
      <c r="AC155" s="3">
        <f>4458.8+(105.6-1322.9)+(4.547976+(0.107712-1.349358))+0--202.4--0.206448000000032</f>
        <v>3447.4127779999999</v>
      </c>
      <c r="AD155" s="2">
        <v>3422.9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4459.6+(67.5-1351.3)+(-4.548792+(-0.06885--1.378326))+0--201-0.205020000000032</f>
        <v>3373.3556640000002</v>
      </c>
      <c r="G156" s="3">
        <f>4474.4+(46-1416.1)+(-2.281944+(-0.02346--0.722211))+0--201-0.10250999999998</f>
        <v>3303.6142969999996</v>
      </c>
      <c r="H156" s="3">
        <f>4478.3+(21-1466.1)+(-9.135732+(-0.04284--2.990844))+0--201-0.410039999999991</f>
        <v>3227.6022320000002</v>
      </c>
      <c r="I156" s="3">
        <f>4472.5+(21-1527.9)+(2.280975+(0.01071-0.779229))+0--201--0.10250999999998</f>
        <v>3168.214966</v>
      </c>
      <c r="J156" s="3">
        <f>4100.7+(44.2-1234)+(12.548142+(0.135252-3.77604))+0--201--0.615060000000023</f>
        <v>3121.4224139999997</v>
      </c>
      <c r="K156" s="3">
        <f>3873.5+(114.9-1091.8)+(1.975485+(0.058599-0.556818))+0--190--0.0968999999999807</f>
        <v>3088.1741659999998</v>
      </c>
      <c r="L156" s="3">
        <f>3475.8+(220.4-885.9)+(-7.090632+(-0.449616--1.807236))+0--146.7-0.299267999999994</f>
        <v>2950.9677199999996</v>
      </c>
      <c r="M156" s="3">
        <f>3311.3+(195.9-757.2)+(-1.688763+(-0.099909--0.386172))+0--162.2-0.0827219999999835</f>
        <v>2910.7147779999996</v>
      </c>
      <c r="N156" s="3">
        <f>3432.1+(156.9-720.3)+(3.500742+(0.160038-0.734706))+0--155.9--0.159018000000025</f>
        <v>3027.6850919999997</v>
      </c>
      <c r="O156" s="3">
        <f>3626.6+(75.2-750.8)+(0+(0-0))+0--142.9-0</f>
        <v>3093.9</v>
      </c>
      <c r="P156" s="3">
        <f>3883.6+(29.9-835.8)+(0+(0-0))+0--136.6-0</f>
        <v>3214.2999999999997</v>
      </c>
      <c r="Q156" s="3">
        <f>4008.6+(59.1-867)+(-4.088772+(-0.060282--0.88434))+0--195.5-0.199410000000031</f>
        <v>3392.7358759999997</v>
      </c>
      <c r="R156" s="3">
        <f>4131.9+(126.3-908.7)+(-4.214538+(-0.128826--0.926874))+0--195.3-0.199206000000031</f>
        <v>3541.1843039999994</v>
      </c>
      <c r="S156" s="3">
        <f>4120.2+(194.9-931.1)+(-4.202604+(-0.198798--0.949722))+0--192.3-0.196146000000031</f>
        <v>3572.6521739999998</v>
      </c>
      <c r="T156" s="3">
        <f>4086.3+(277.9-912.2)+(0+(0-0))+0--196.1-0</f>
        <v>3648.1</v>
      </c>
      <c r="U156" s="3">
        <f>4098.8+(301.3-978.9)+(2.090388+(0.153663-0.499239))+0--195.9--0.0999089999999801</f>
        <v>3618.9447210000003</v>
      </c>
      <c r="V156" s="3">
        <f>4155.5+(212-917.5)+(-10.596525+(-0.5406--2.339625))+0--195.6-0.498779999999972</f>
        <v>3636.3037199999999</v>
      </c>
      <c r="W156" s="3">
        <f>4090.4+(124.2-904.3)+(-8.344416+(-0.253368--1.844772))+0--206.3-0.420851999999991</f>
        <v>3509.426136</v>
      </c>
      <c r="X156" s="3">
        <f>4054.7+(52.2-1064.6)+(-8.271588+(-0.106488--2.171784))+0--210.5-0.429419999999991</f>
        <v>3246.1642880000004</v>
      </c>
      <c r="Y156" s="3">
        <f>4031+(13-1119.6)+(-2.05581+(-0.00663--0.570996))+0--208.5-0.106334999999979</f>
        <v>3131.3022210000004</v>
      </c>
      <c r="Z156" s="3">
        <f>4182+(84.4-1119.1)+(0+(0-0))+0--222.1-0</f>
        <v>3369.4</v>
      </c>
      <c r="AA156" s="3">
        <f>4239.3+(111.9-1168.9)+(-10.810215+(-0.285345--2.980695))+0--224.2-0.571709999999967</f>
        <v>3397.8134249999998</v>
      </c>
      <c r="AB156" s="3">
        <f>4267.5+(92.8-1207.7)+(-8.7057+(-0.189312--2.463708))+0--224.4-0.45777599999999</f>
        <v>3370.1109199999996</v>
      </c>
      <c r="AC156" s="3">
        <f>4261.5+(89.5-1211.1)+(-4.34673+(-0.09129--1.235322))+0--210.4-0.214608000000034</f>
        <v>3346.8826939999999</v>
      </c>
      <c r="AD156" s="2">
        <v>3373.9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4215.6+(108.4-1138.2)+(0+(0-0))+0--204-0</f>
        <v>3389.8</v>
      </c>
      <c r="G157" s="3">
        <f>4134+(98.5-1118.4)+(2.10834+(0.050235-0.570384))+0--204--0.104039999999979</f>
        <v>3319.7922309999999</v>
      </c>
      <c r="H157" s="3">
        <f>4070.6+(72-1109)+(8.304024+(0.14688-2.26236))+0--204--0.416159999999991</f>
        <v>3244.2047040000002</v>
      </c>
      <c r="I157" s="3">
        <f>4067.7+(52.1-1149.8)+(-2.074527+(-0.026571--0.586398))+0--205-0.104549999999979</f>
        <v>3173.3807499999998</v>
      </c>
      <c r="J157" s="3">
        <f>3979.3+(56.5-1082.9)+(-4.058886+(-0.05763--1.104558))+0--205-0.209100000000033</f>
        <v>3154.678942</v>
      </c>
      <c r="K157" s="3">
        <f>3853.7+(62.2-1007.3)+(-5.896161+(-0.095166--1.541169))+0--207-0.316710000000012</f>
        <v>3110.8331319999998</v>
      </c>
      <c r="L157" s="3">
        <f>3344.9+(169-829.9)+(-11.941293+(-0.60333--2.962743))+0--213.7-0.762909000000003</f>
        <v>2887.3552109999996</v>
      </c>
      <c r="M157" s="3">
        <f>3135.4+(195.1-746.7)+(-1.599054+(-0.099501--0.380817))+0--204.9-0.104498999999979</f>
        <v>2787.277763</v>
      </c>
      <c r="N157" s="3">
        <f>3418.8+(78.1-853.8)+(5.230764+(0.119493-1.306314))+0--202.9--0.310437000000012</f>
        <v>2850.3543800000007</v>
      </c>
      <c r="O157" s="3">
        <f>3854.1+(12-1120.2)+(-3.931182+(-0.01224--1.142604))+0--209-0.213180000000033</f>
        <v>2951.8860019999993</v>
      </c>
      <c r="P157" s="3">
        <f>4026.9+(13-1156.1)+(-2.053719+(-0.00663--0.589611))+0--210.9-0.107558999999979</f>
        <v>3093.1217030000003</v>
      </c>
      <c r="Q157" s="3">
        <f>3986+(64.1-1035.6)+(2.03286+(0.032691-0.528156))+0--215.8--0.110057999999978</f>
        <v>3231.9474529999998</v>
      </c>
      <c r="R157" s="3">
        <f>4072.6+(117-1024.3)+(2.077026+(0.05967-0.522393))+0--198.6--0.10128599999998</f>
        <v>3365.615589</v>
      </c>
      <c r="S157" s="3">
        <f>4095.6+(185.7-1070)+(4.177512+(0.189414-1.0914))+0--193.2--0.197064000000031</f>
        <v>3407.9725899999999</v>
      </c>
      <c r="T157" s="3">
        <f>4058.5+(208.3-988.6)+(-8.27934+(-0.424932--2.016744))+0--192.8-0.393311999999992</f>
        <v>3463.9191599999999</v>
      </c>
      <c r="U157" s="3">
        <f>4045.1+(226.7-986.1)+(-4.126002+(-0.231234--1.005822))+0--193.2-0.197064000000031</f>
        <v>3475.3515219999995</v>
      </c>
      <c r="V157" s="3">
        <f>4020.5+(159.9-938.3)+(-2.050455+(-0.081549--0.478533))+0--194.6-0.0992459999999803</f>
        <v>3434.947283</v>
      </c>
      <c r="W157" s="3">
        <f>4022+(68.8-995.3)+(-6.15366+(-0.105264--1.522809))+0--209.7-0.320841000000012</f>
        <v>3300.1430439999995</v>
      </c>
      <c r="X157" s="3">
        <f>3982+(40-1184.5)+(-12.18492+(-0.1224--3.62457))+0--205.9-0.630054000000024</f>
        <v>3034.0871959999999</v>
      </c>
      <c r="Y157" s="3">
        <f>3718.5+(18.4-996.4)+(0+(0-0))+0--203.9-0</f>
        <v>2944.4</v>
      </c>
      <c r="Z157" s="3">
        <f>3786.6+(132.5-894.3)+(1.931166+(0.067575-0.456093))+0--213.7--0.108986999999978</f>
        <v>3240.1516350000002</v>
      </c>
      <c r="AA157" s="3">
        <f>3891.8+(127.1-949.3)+(-5.954454+(-0.194463--1.452429))+0--218.4-0.334152000000013</f>
        <v>3282.9693600000005</v>
      </c>
      <c r="AB157" s="3">
        <f>4020.5+(109.2-1062.2)+(-4.10091+(-0.111384--1.083444))+0--220.9-0.225318000000035</f>
        <v>3285.0458319999998</v>
      </c>
      <c r="AC157" s="3">
        <f>3990.6+(115.8-1036.5)+(-4.070412+(-0.118116--1.05723))+0--223.7-0.228174000000036</f>
        <v>3290.2405279999998</v>
      </c>
      <c r="AD157" s="2">
        <v>3276.2000000000003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3950.4+(130.1-1015.3)+(0+(0-0))+0--202-0</f>
        <v>3267.2000000000003</v>
      </c>
      <c r="G158" s="3">
        <f>3946.8+(105.7-997.9)+(-6.038604+(-0.161721--1.526787))+0--164-0.250920000000009</f>
        <v>3213.6755420000004</v>
      </c>
      <c r="H158" s="3">
        <f>3817.7+(120.1-924.5)+(-5.841081+(-0.183753--1.414485))+0--141-0.215730000000008</f>
        <v>3149.4739209999998</v>
      </c>
      <c r="I158" s="3">
        <f>3792.9+(109.8-948)+(-7.737516+(-0.223992--1.93392))+0--141-0.287639999999994</f>
        <v>3089.3847719999999</v>
      </c>
      <c r="J158" s="3">
        <f>3793.5+(107.8-986.1)+(-9.673425+(-0.27489--2.514555))+0--141-0.35954999999998</f>
        <v>3048.4066899999998</v>
      </c>
      <c r="K158" s="3">
        <f>3612.4+(142.8-865.7)+(-1.842324+(-0.072828--0.441507))+0--142-0.0724199999999856</f>
        <v>3029.953935</v>
      </c>
      <c r="L158" s="3">
        <f>3103.1+(243.5-615.5)+(0+(0-0))+0--148.9-0</f>
        <v>2880</v>
      </c>
      <c r="M158" s="3">
        <f>2844.9+(278.1-535.4)+(-4.352697+(-0.425493--0.819162))+0--178.6-0.27325800000001</f>
        <v>2761.9677139999999</v>
      </c>
      <c r="N158" s="3">
        <f>2910.7+(250.3-607.7)+(0+(0-0))+0--204.8-0</f>
        <v>2758.1</v>
      </c>
      <c r="O158" s="3">
        <f>3055.9+(195.4-659.2)+(1.558509+(0.099654-0.336192))+0--204.3--0.104192999999979</f>
        <v>2797.8261640000001</v>
      </c>
      <c r="P158" s="3">
        <f>3371.5+(135.2-779.6)+(-3.43893+(-0.137904--0.795192))+0--209.4-0.213588000000033</f>
        <v>2933.50477</v>
      </c>
      <c r="Q158" s="3">
        <f>3551.1+(135.8-825.8)+(-1.811061+(-0.069258--0.421158))+0--214.3-0.109292999999978</f>
        <v>3073.8315459999999</v>
      </c>
      <c r="R158" s="3">
        <f>3842.6+(138.3-978.4)+(-1.959726+(-0.070533--0.498984))+0--203-0.103529999999979</f>
        <v>3203.8651950000003</v>
      </c>
      <c r="S158" s="3">
        <f>3777.4+(211.5-902.6)+(-3.852948+(-0.21573--0.920652))+0--202-0.206040000000032</f>
        <v>3284.9459340000003</v>
      </c>
      <c r="T158" s="3">
        <f>3755.3+(286.7-873.7)+(-3.830406+(-0.292434--0.891174))+0--201-0.205020000000032</f>
        <v>3365.8633140000002</v>
      </c>
      <c r="U158" s="3">
        <f>3761.9+(304-882.4)+(9.592845+(0.7752-2.25012))+0--201--0.512549999999971</f>
        <v>3393.1304749999999</v>
      </c>
      <c r="V158" s="3">
        <f>3726.2+(294.2-855.6)+(1.900362+(0.150042-0.436356))+0--202--0.10301999999998</f>
        <v>3368.5170679999997</v>
      </c>
      <c r="W158" s="3">
        <f>3741.4+(125.6-817.2)+(-3.816228+(-0.128112--0.833544))+0--203-0.207060000000032</f>
        <v>3249.4821440000001</v>
      </c>
      <c r="X158" s="3">
        <f>3818.9+(21.2-1005.6)+(1.947639+(0.010812-0.512856))+0--203--0.103529999999979</f>
        <v>3039.049125</v>
      </c>
      <c r="Y158" s="3">
        <f>3871+(16.2-1091.6)+(1.97421+(0.008262-0.556716))+0--205--0.104549999999979</f>
        <v>3002.1303060000005</v>
      </c>
      <c r="Z158" s="3">
        <f>4156+(63.5-1158.9)+(0+(0-0))+0--206-0</f>
        <v>3266.6</v>
      </c>
      <c r="AA158" s="3">
        <f>4294.5+(74.4-1251.2)+(-13.14117+(-0.227664--3.828672))+0--206-0.630360000000024</f>
        <v>3313.5294779999999</v>
      </c>
      <c r="AB158" s="3">
        <f>4553.2+(28.4-1431.7)+(-9.288528+(-0.057936--2.920668))+0--207-0.422279999999991</f>
        <v>3350.0519239999999</v>
      </c>
      <c r="AC158" s="3">
        <f>4611.1+(27.2-1478.1)+(-2.351661+(-0.013872--0.753831))+0--207-0.105569999999979</f>
        <v>3365.4827280000004</v>
      </c>
      <c r="AD158" s="2">
        <v>3272.7000000000003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4706.5+(28.5-1562.7)+(4.80063+(0.02907-1.593954))+0--206--0.210120000000033</f>
        <v>3381.7458660000002</v>
      </c>
      <c r="G159" s="3">
        <f>4866.3+(21-1762.7)+(-7.445439+(-0.03213--2.696931))+0--207-0.316710000000012</f>
        <v>3326.5026520000001</v>
      </c>
      <c r="H159" s="3">
        <f>4906.1+(21-1865.4)+(0+(0-0))+0--207-0</f>
        <v>3268.7000000000003</v>
      </c>
      <c r="I159" s="3">
        <f>4692.2+(21-1695)+(-9.572088+(-0.04284--3.4578))+0--208-0.424319999999991</f>
        <v>3219.6185519999999</v>
      </c>
      <c r="J159" s="3">
        <f>4544.3+(22-1588.8)+(-9.270372+(-0.04488--3.241152))+0--208-0.424319999999991</f>
        <v>3179.0015800000001</v>
      </c>
      <c r="K159" s="3">
        <f>4355.3+(21-1444.4)+(2.221203+(0.01071-0.736644))+0--209--0.106589999999979</f>
        <v>3142.501859</v>
      </c>
      <c r="L159" s="3">
        <f>3962.6+(84.7-1282.5)+(-4.041852+(-0.086394--1.30815))+0--212.7-0.216954000000034</f>
        <v>2974.4629500000001</v>
      </c>
      <c r="M159" s="3">
        <f>3975.3+(85.2-1322.2)+(8.109612+(0.173808-2.697288))+0--207.7--0.423707999999991</f>
        <v>2952.0098399999997</v>
      </c>
      <c r="N159" s="3">
        <f>4254+(50.7-1444.6)+(2.16954+(0.025857-0.736746))+0--208.8--0.106487999999979</f>
        <v>3070.4651390000004</v>
      </c>
      <c r="O159" s="3">
        <f>4564+(22-1630.3)+(4.65528+(0.02244-1.662906))+0--205.1--0.209202000000033</f>
        <v>3164.0240159999998</v>
      </c>
      <c r="P159" s="3">
        <f>4799.8+(22-1723.2)+(2.447898+(0.01122-0.878832))+0--215.5--0.109904999999978</f>
        <v>3315.790191</v>
      </c>
      <c r="Q159" s="3">
        <f>4816.2+(23-1601.1)+(7.368786+(0.03519-2.449683))+0--201.8--0.308754000000012</f>
        <v>3445.163047</v>
      </c>
      <c r="R159" s="3">
        <f>4941.6+(45.1-1604.6)+(-7.560648+(-0.069003--2.455038))+0--205.2-0.313956000000012</f>
        <v>3581.8114310000001</v>
      </c>
      <c r="S159" s="3">
        <f>4996+(79.2-1676.9)+(-5.09592+(-0.080784--1.710438))+0--203.2-0.207264000000032</f>
        <v>3597.82647</v>
      </c>
      <c r="T159" s="3">
        <f>5000.6+(86.2-1618.2)+(2.550306+(0.043962-0.825282))+0--203.5--0.103784999999979</f>
        <v>3673.9727710000002</v>
      </c>
      <c r="U159" s="3">
        <f>4992.5+(78.7-1604.5)+(2.546175+(0.040137-0.818295))+0--200.7--0.10235699999998</f>
        <v>3669.2703739999993</v>
      </c>
      <c r="V159" s="3">
        <f>4966.6+(59.8-1571.8)+(-10.131864+(-0.121992--3.206472))+0--205.3-0.418811999999991</f>
        <v>3652.4338040000007</v>
      </c>
      <c r="W159" s="3">
        <f>4976.6+(15-1662.4)+(-7.614198+(-0.02295--2.543472))+0--204.6-0.313038000000012</f>
        <v>3528.393286</v>
      </c>
      <c r="X159" s="3">
        <f>4743.4+(21.5-1689.4)+(-7.257402+(-0.032895--2.584782))+0--200.4-0.306612000000012</f>
        <v>3270.8878729999997</v>
      </c>
      <c r="Y159" s="3">
        <f>4486.8+(18-1533.1)+(-2.288268+(-0.00918--0.781881))+0--199.3-0.10164299999998</f>
        <v>3169.3827900000006</v>
      </c>
      <c r="Z159" s="3">
        <f>4998.9+(19-1759.1)+(0+(0-0))+0--202.3-0</f>
        <v>3461.1</v>
      </c>
      <c r="AA159" s="3">
        <f>5107.1+(19-1800.2)+(-13.023105+(-0.04845--4.59051))+0--196.5-0.501074999999972</f>
        <v>3513.4178800000004</v>
      </c>
      <c r="AB159" s="3">
        <f>5043.2+(18-1745.4)+(-12.86016+(-0.0459--4.45077))+0--197.3-0.503114999999971</f>
        <v>3504.1415950000001</v>
      </c>
      <c r="AC159" s="3">
        <f>4937+(20.9-1658.7)+(-12.58935+(-0.053295--4.229685))+0--198-0.504899999999971</f>
        <v>3488.2821399999998</v>
      </c>
      <c r="AD159" s="2">
        <v>3602.2000000000003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4778.7+(26.6-1551.2)+(-2.437137+(-0.013566--0.791112))+0--196.9-0.10041899999998</f>
        <v>3449.2399899999996</v>
      </c>
      <c r="G160" s="3">
        <f>4809.1+(17-1651)+(9.810564+(0.03468-3.36804))+0--196--0.399839999999991</f>
        <v>3377.9770440000002</v>
      </c>
      <c r="H160" s="3">
        <f>4620.5+(17-1534.5)+(-7.069365+(-0.02601--2.347785))+0--196.4-0.300492000000011</f>
        <v>3294.3519180000003</v>
      </c>
      <c r="I160" s="3">
        <f>4415.7+(21.4-1403.9)+(4.504014+(0.021828-1.431978))+0--196.3--0.200226000000031</f>
        <v>3232.7940899999999</v>
      </c>
      <c r="J160" s="3">
        <f>4383.3+(23.4-1375.8)+(-8.941932+(-0.047736--2.806632))+0--164.3-0.335171999999993</f>
        <v>3188.6817920000008</v>
      </c>
      <c r="K160" s="3">
        <f>4310.5+(35.4-1321.2)+(-2.198355+(-0.018054--0.673812))+0--135.6-0.0691559999999862</f>
        <v>3158.6882469999996</v>
      </c>
      <c r="L160" s="3">
        <f>4109.1+(144.3-1344.5)+(-10.478205+(-0.367965--3.428475))+0--136.1-0.34705499999998</f>
        <v>3037.2352500000002</v>
      </c>
      <c r="M160" s="3">
        <f>4002.1+(140-1286.8)+(0+(0-0))+0--136.9-0</f>
        <v>2992.2000000000003</v>
      </c>
      <c r="N160" s="3">
        <f>4204.6+(141.9-1411.8)+(2.144346+(0.072369-0.720018))+0--187.5--0.095624999999981</f>
        <v>3123.7923220000007</v>
      </c>
      <c r="O160" s="3">
        <f>4349.7+(109-1469.9)+(2.218347+(0.05559-0.749649))+0--206.6--0.105365999999979</f>
        <v>3197.0296539999995</v>
      </c>
      <c r="P160" s="3">
        <f>4722.6+(44.2-1630)+(-2.408526+(-0.022542--0.8313))+0--195.8-0.0998579999999801</f>
        <v>3330.9003740000003</v>
      </c>
      <c r="Q160" s="3">
        <f>4966.4+(15-1686.5)+(5.065728+(0.0153-1.72023))+0--193.8--0.197676000000031</f>
        <v>3492.2584740000002</v>
      </c>
      <c r="R160" s="3">
        <f>5041.7+(15-1626.6)+(-2.571267+(-0.00765--0.829566))+0--194.9-0.0993989999999802</f>
        <v>3623.1512499999999</v>
      </c>
      <c r="S160" s="3">
        <f>5033.1+(33.8-1624.3)+(-5.133762+(-0.034476--1.656786))+0--194.9-0.198798000000031</f>
        <v>3633.7897500000004</v>
      </c>
      <c r="T160" s="3">
        <f>5016.4+(73.7-1626.3)+(0+(0-0))+0--194.2-0</f>
        <v>3657.9999999999995</v>
      </c>
      <c r="U160" s="3">
        <f>4996.4+(56.6-1574.3)+(2.548164+(0.028866-0.802893))+0--193.6--0.0987359999999804</f>
        <v>3674.1728729999995</v>
      </c>
      <c r="V160" s="3">
        <f>4956.6+(20.9-1551.6)+(-2.527866+(-0.010659--0.791316))+0--195-0.0994499999999802</f>
        <v>3619.0533410000003</v>
      </c>
      <c r="W160" s="3">
        <f>4898+(6-1644.2)+(-4.99596+(-0.00612--1.677084))+0--195.4-0.199308000000031</f>
        <v>3451.6756960000002</v>
      </c>
      <c r="X160" s="3">
        <f>4723.5+(26.2-1771.6)+(4.81797+(0.026724-1.807032))+0--195.9--0.199818000000031</f>
        <v>3177.2374800000007</v>
      </c>
      <c r="Y160" s="3">
        <f>4661+(12-1762.3)+(2.37711+(0.00612-0.898773))+0--196.2--0.10006199999998</f>
        <v>3108.4845189999996</v>
      </c>
      <c r="Z160" s="3">
        <f>5007.1+(14-1824)+(-5.107242+(-0.01428--1.86048))+0--197.7-0.201654000000032</f>
        <v>3391.3373040000001</v>
      </c>
      <c r="AA160" s="3">
        <f>5014.3+(13-1795.5)+(-7.671879+(-0.01989--2.747115))+0--197.9-0.302787000000011</f>
        <v>3424.4525590000003</v>
      </c>
      <c r="AB160" s="3">
        <f>4986.4+(13-1781.3)+(-7.629192+(-0.01989--2.725389))+0--198.6-0.303858000000011</f>
        <v>3411.472448999999</v>
      </c>
      <c r="AC160" s="3">
        <f>4981.3+(13-1776.6)+(-12.702315+(-0.03315--4.53033))+0--198.1-0.505154999999971</f>
        <v>3407.0897100000002</v>
      </c>
      <c r="AD160" s="2">
        <v>3504.6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4997.8+(11-1819.3)+(0+(0-0))+0--199.9-0</f>
        <v>3389.4</v>
      </c>
      <c r="G161" s="3">
        <f>4923.2+(11-1813.7)+(-2.510832+(-0.00561--0.924987))+0--200.3-0.10215299999998</f>
        <v>3319.1063920000001</v>
      </c>
      <c r="H161" s="3">
        <f>4645.2+(11-1614.1)+(0+(0-0))+0--201.8-0</f>
        <v>3243.9</v>
      </c>
      <c r="I161" s="3">
        <f>4548.8+(11-1576.8)+(-9.279552+(-0.02244--3.216672))+0--201.3-0.410651999999991</f>
        <v>3177.804028</v>
      </c>
      <c r="J161" s="3">
        <f>4468.1+(11-1556.7)+(0+(0-0))+0--201.2-0</f>
        <v>3123.6000000000004</v>
      </c>
      <c r="K161" s="3">
        <f>4483.5+(11-1597.8)+(-11.432925+(-0.02805--4.07439))+0--200.6-0.511529999999971</f>
        <v>3089.4018849999998</v>
      </c>
      <c r="L161" s="3">
        <f>4166.7+(83-1416.9)+(-10.625085+(-0.21165--3.613095))+0--137.2-0.34985999999998</f>
        <v>2962.4264999999996</v>
      </c>
      <c r="M161" s="3">
        <f>4150+(86-1453)+(2.1165+(0.04386-0.74103))+0--136.8--0.0697679999999861</f>
        <v>2921.2890980000002</v>
      </c>
      <c r="N161" s="3">
        <f>4209.6+(77.1-1436.5)+(0+(0-0))+0--169.3-0</f>
        <v>3019.5000000000005</v>
      </c>
      <c r="O161" s="3">
        <f>4517.4+(73-1506)+(4.607748+(0.07446-1.53612))+0--177--0.180540000000028</f>
        <v>3264.7266279999994</v>
      </c>
      <c r="P161" s="3">
        <f>4718.4+(11-1563.1)+(0+(0-0))+0--198.5-0</f>
        <v>3364.7999999999997</v>
      </c>
      <c r="Q161" s="3">
        <f>4812.9+(11-1607.2)+(2.454579+(0.00561-0.819672))+0--201--0.10250999999998</f>
        <v>3419.4430269999998</v>
      </c>
      <c r="R161" s="3">
        <f>4869.3+(13-1591.8)+(-4.966686+(-0.01326--1.623636))+0--201-0.205020000000032</f>
        <v>3487.93867</v>
      </c>
      <c r="S161" s="3">
        <f>5003.2+(9-1623.5)+(-2.551632+(-0.00459--0.827985))+0--195-0.0994499999999802</f>
        <v>3581.8723129999998</v>
      </c>
      <c r="T161" s="3">
        <f>5002.6+(48.3-1642.6)+(-5.102652+(-0.049266--1.675452))+0--194.7-0.198594000000031</f>
        <v>3599.32494</v>
      </c>
      <c r="U161" s="3">
        <f>4986.3+(32.8-1655)+(7.629039+(0.050184-2.53215))+0--195.8--0.299574000000011</f>
        <v>3565.3466470000008</v>
      </c>
      <c r="V161" s="3">
        <f>4936.2+(13-1637.2)+(0+(0-0))+0--196-0</f>
        <v>3508</v>
      </c>
      <c r="W161" s="3">
        <f>4919+(11-1760.4)+(-7.52607+(-0.01683--2.693412))+0--196.3-0.300339000000011</f>
        <v>3360.7501730000004</v>
      </c>
      <c r="X161" s="3">
        <f>4831.3+(13.6-1933.2)+(-17.247741+(-0.048552--6.901524))+0--197-0.703290000000003</f>
        <v>3097.6019409999999</v>
      </c>
      <c r="Y161" s="3">
        <f>4753.9+(12-1939.4)+(0+(0-0))+0--196.7-0</f>
        <v>3023.1999999999994</v>
      </c>
      <c r="Z161" s="3">
        <f>5018.8+(14-1934.2)+(2.559588+(0.00714-0.986442))+0--197--0.10046999999998</f>
        <v>3297.2807560000001</v>
      </c>
      <c r="AA161" s="3">
        <f>5061.7+(13-1920.9)+(-10.325868+(-0.02652--3.918636))+0--196.9-0.401675999999991</f>
        <v>3343.864572</v>
      </c>
      <c r="AB161" s="3">
        <f>5047.8+(13-1923.4)+(0+(0-0))+0--197-0</f>
        <v>3334.4</v>
      </c>
      <c r="AC161" s="3">
        <f>4986+(13-1881.8)+(-2.54286+(-0.00663--0.959718))+0--197.8-0.10087799999998</f>
        <v>3313.30935</v>
      </c>
      <c r="AD161" s="2">
        <v>3338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4992.3+(21-1887.9)+(-5.092146+(-0.02142--1.925658))+0--196.9-0.200838000000031</f>
        <v>3318.9112540000001</v>
      </c>
      <c r="G162" s="3">
        <f>4693.7+(21-1660.8)+(-2.393787+(-0.01071--0.847008))+0--197.5-0.10072499999998</f>
        <v>3249.741786</v>
      </c>
      <c r="H162" s="3">
        <f>4489.9+(21-1541.6)+(-6.869547+(-0.03213--2.358648))+0--198-0.302940000000011</f>
        <v>3162.4540309999998</v>
      </c>
      <c r="I162" s="3">
        <f>4329.7+(36.6-1441)+(-2.208147+(-0.018666--0.73491))+0--193.5-0.0986849999999804</f>
        <v>3117.2094119999997</v>
      </c>
      <c r="J162" s="3">
        <f>4033.4+(96.3-1233)+(6.171102+(0.147339-1.88649))+0--136.9--0.209457000000008</f>
        <v>3038.2414079999999</v>
      </c>
      <c r="K162" s="3">
        <f>4032.8+(83.7-1268.2)+(6.170184+(0.128061-1.940346))+0--136.5--0.208845000000008</f>
        <v>2989.3667440000004</v>
      </c>
      <c r="L162" s="3">
        <f>3899.8+(126.5-1323.3)+(3.977796+(0.12903-1.349766))+0--138.3--0.141066000000022</f>
        <v>2844.1981260000002</v>
      </c>
      <c r="M162" s="3">
        <f>3925.6+(58.6-1336.1)+(0+(0-0))+0--139-0</f>
        <v>2787.1</v>
      </c>
      <c r="N162" s="3">
        <f>4326+(27.4-1582.1)+(-6.61878+(-0.041922--2.420613))+0--154-0.235620000000009</f>
        <v>2920.8242910000004</v>
      </c>
      <c r="O162" s="3">
        <f>4455+(23.4-1597.7)+(2.27205+(0.011934-0.814827))+0--136.4--0.0695639999999862</f>
        <v>3018.6387209999998</v>
      </c>
      <c r="P162" s="3">
        <f>4628.7+(21-1652.6)+(11.803185+(0.05355-4.21413))+0--147.8--0.376889999999979</f>
        <v>3152.9194950000001</v>
      </c>
      <c r="Q162" s="3">
        <f>4780+(21-1709.2)+(2.4378+(0.01071-0.871692))+0--195.7--0.0998069999999801</f>
        <v>3289.1766250000001</v>
      </c>
      <c r="R162" s="3">
        <f>4947.1+(12.8-1740.1)+(-2.523021+(-0.006528--0.887451))+0--196.3-0.10011299999998</f>
        <v>3414.3577890000006</v>
      </c>
      <c r="S162" s="3">
        <f>4962.4+(29-1724.9)+(0+(0-0))+0--195.3-0</f>
        <v>3461.7999999999997</v>
      </c>
      <c r="T162" s="3">
        <f>4953+(45.7-1658.6)+(-2.52603+(-0.023307--0.845886))+0--197.3-0.10062299999998</f>
        <v>3535.5959260000009</v>
      </c>
      <c r="U162" s="3">
        <f>4967.7+(50.9-1655)+(-2.533527+(-0.025959--0.84405))+0--196.9-0.10041899999998</f>
        <v>3558.6841450000002</v>
      </c>
      <c r="V162" s="3">
        <f>4961.5+(18.9-1667.8)+(-5.06073+(-0.019278--1.701156))+0--195.9-0.199818000000031</f>
        <v>3504.9213300000006</v>
      </c>
      <c r="W162" s="3">
        <f>4934.8+(11-1783)+(-2.516748+(-0.00561--0.90933))+0--195.9-0.0999089999999801</f>
        <v>3356.987063</v>
      </c>
      <c r="X162" s="3">
        <f>4678.5+(28.2-1799.7)+(-7.158105+(-0.043146--2.753541))+0--197.5-0.302175000000011</f>
        <v>3099.7501150000003</v>
      </c>
      <c r="Y162" s="3">
        <f>4575.9+(13-1756.5)+(0+(0-0))+0--198.5-0</f>
        <v>3030.8999999999996</v>
      </c>
      <c r="Z162" s="3">
        <f>5052.2+(14-1969)+(-5.153244+(-0.01428--2.00838))+0--198.3-0.202266000000032</f>
        <v>3292.1385899999996</v>
      </c>
      <c r="AA162" s="3">
        <f>5104.8+(13.6-1971.8)+(-2.603448+(-0.006936--1.005618))+0--197.1-0.10052099999998</f>
        <v>3341.9947130000005</v>
      </c>
      <c r="AB162" s="3">
        <f>5123+(13.4-2020.5)+(-2.61273+(-0.006834--1.030455))+0--198.2-0.10108199999998</f>
        <v>3312.4098089999998</v>
      </c>
      <c r="AC162" s="3">
        <f>5062.4+(13-1963.7)+(-7.745472+(-0.01989--3.004461))+0--199.2-0.304776000000011</f>
        <v>3305.8343229999996</v>
      </c>
      <c r="AD162" s="2">
        <v>3325.8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4852+(31.3-1804.1)+(-4.94904+(-0.031926--1.840182))+0--189.8-0.19359600000003</f>
        <v>3265.6656199999998</v>
      </c>
      <c r="G163" s="3">
        <f>4621.8+(37.6-1659.2)+(-9.428472+(-0.076704--3.384768))+0--191.5-0.390659999999992</f>
        <v>3185.1889319999996</v>
      </c>
      <c r="H163" s="3">
        <f>4442.1+(29.2-1559.4)+(-6.796413+(-0.044676--2.385882))+0--191-0.292230000000011</f>
        <v>3098.1525630000006</v>
      </c>
      <c r="I163" s="3">
        <f>4263.3+(58.5-1416.7)+(-10.871415+(-0.149175--3.612585))+0--139.1-0.35470499999998</f>
        <v>3036.4372900000003</v>
      </c>
      <c r="J163" s="3">
        <f>4203.1+(45-1393.6)+(8.574324+(0.0918-2.842944))+0--125.4--0.255815999999995</f>
        <v>2985.9789960000003</v>
      </c>
      <c r="K163" s="3">
        <f>4174.7+(24.4-1409.8)+(4.258194+(0.024888-1.437996))+0--126.4--0.12892800000002</f>
        <v>2918.6740140000002</v>
      </c>
      <c r="L163" s="3">
        <f>4052.7+(57.4-1414.1)+(-6.200631+(-0.087822--2.163573))+0--126.6-0.193698000000007</f>
        <v>2818.281422</v>
      </c>
      <c r="M163" s="3">
        <f>3892.7+(66.1-1327.7)+(1.985277+(0.033711-0.677127))+0--128.1--0.065330999999987</f>
        <v>2760.607191999999</v>
      </c>
      <c r="N163" s="3">
        <f>4094.9+(50.6-1431.7)+(0+(0-0))+0--162.1-0</f>
        <v>2875.9</v>
      </c>
      <c r="O163" s="3">
        <f>4665.3+(12-1902.7)+(2.379303+(0.00612-0.970377))+0--188.3--0.0960329999999809</f>
        <v>2964.4110790000004</v>
      </c>
      <c r="P163" s="3">
        <f>5026+(13-2116.6)+(2.56326+(0.00663-1.079466))+0--183.4--0.0935339999999814</f>
        <v>3107.3839580000003</v>
      </c>
      <c r="Q163" s="3">
        <f>5140.4+(14-2107.4)+(7.864812+(0.02142-3.224322))+0--183--0.279990000000011</f>
        <v>3234.9418999999994</v>
      </c>
      <c r="R163" s="3">
        <f>5166.4+(14-1988)+(5.269728+(0.01428-2.02776))+0--181.9--0.185538000000029</f>
        <v>3377.741786</v>
      </c>
      <c r="S163" s="3">
        <f>5140.3+(23.1-1892.4)+(2.621553+(0.011781-0.965124))+0--183.1--0.0933809999999814</f>
        <v>3455.8615909999999</v>
      </c>
      <c r="T163" s="3">
        <f>5126.5+(52.3-1847.3)+(0+(0-0))+0--183.5-0</f>
        <v>3515</v>
      </c>
      <c r="U163" s="3">
        <f>5122.8+(55.8-1819.1)+(-2.612628+(-0.028458--0.927741))+0--182.7-0.0931769999999815</f>
        <v>3540.3934779999995</v>
      </c>
      <c r="V163" s="3">
        <f>5096+(37-1813.2)+(-12.9948+(-0.09435--4.62366))+0--185.1-0.472004999999973</f>
        <v>3495.962505</v>
      </c>
      <c r="W163" s="3">
        <f>5075.6+(13-1922.6)+(-15.531336+(-0.03978--5.883156))+0--184-0.563040000000021</f>
        <v>3339.7490000000003</v>
      </c>
      <c r="X163" s="3">
        <f>5037+(12-2116.2)+(-7.70661+(-0.01836--3.237786))+0--183.9-0.281367000000011</f>
        <v>3111.9314490000002</v>
      </c>
      <c r="Y163" s="3">
        <f>4803.6+(37.8-1943.4)+(2.449836+(0.019278-0.991134))+0--185.1--0.0944009999999812</f>
        <v>3084.6723809999999</v>
      </c>
      <c r="Z163" s="3">
        <f>5186.6+(16-2045.9)+(-5.290332+(-0.01632--2.086818))+0--185.4-0.18910800000003</f>
        <v>3338.6910580000003</v>
      </c>
      <c r="AA163" s="3">
        <f>5250.1+(15-2090.6)+(-10.710204+(-0.0306--4.264824))+0--186.6-0.380663999999992</f>
        <v>3354.2433560000004</v>
      </c>
      <c r="AB163" s="3">
        <f>5280.7+(15-2140.4)+(-8.079471+(-0.02295--3.274812))+0--186.3-0.285039000000011</f>
        <v>3336.4873520000001</v>
      </c>
      <c r="AC163" s="3">
        <f>5156.3+(14-2037.6)+(7.889139+(0.02142-3.117528))+0--188--0.287640000000011</f>
        <v>3325.7806710000004</v>
      </c>
      <c r="AD163" s="2">
        <v>3349.2000000000003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5038.9+(13-1948.8)+(-5.139678+(-0.01326--1.987776))+0--197.1-0.201042000000031</f>
        <v>3296.8337959999994</v>
      </c>
      <c r="G164" s="3">
        <f>5025.8+(13-2003.6)+(2.563158+(0.00663-1.021836))+0--198.4--0.10118399999998</f>
        <v>3235.2491360000004</v>
      </c>
      <c r="H164" s="3">
        <f>4916.7+(13-1969.5)+(5.015034+(0.01326-2.00889))+0--199.6--0.203592000000032</f>
        <v>3163.0229959999997</v>
      </c>
      <c r="I164" s="3">
        <f>4760.2+(13-1874.5)+(-4.855404+(-0.01326--1.91199))+0--199.7-0.203694000000032</f>
        <v>3095.2396319999998</v>
      </c>
      <c r="J164" s="3">
        <f>4624.7+(13-1804.7)+(14.151582+(0.03978-5.522382))+0--200.7--0.614142000000023</f>
        <v>3042.9831219999996</v>
      </c>
      <c r="K164" s="3">
        <f>4466.6+(13-1677.9)+(9.111864+(0.02652-3.422916))+0--199.1--0.406163999999991</f>
        <v>3006.921632</v>
      </c>
      <c r="L164" s="3">
        <f>4227.3+(12-1568.8)+(4.311846+(0.01224-1.600176))+0--199.9--0.203898000000032</f>
        <v>2873.3278080000005</v>
      </c>
      <c r="M164" s="3">
        <f>3906.3+(56.9-1386.9)+(11.953278+(0.174114-4.243914))+0--201.7--0.617202000000023</f>
        <v>2786.5006800000001</v>
      </c>
      <c r="N164" s="3">
        <f>4142.4+(34-1468.1)+(6.337872+(0.05202-2.246193))+0--198.8--0.304164000000011</f>
        <v>2911.5478630000002</v>
      </c>
      <c r="O164" s="3">
        <f>4403.7+(27-1627.1)+(0+(0-0))+0--197-0</f>
        <v>3000.6</v>
      </c>
      <c r="P164" s="3">
        <f>4740.3+(14-1811.5)+(2.417553+(0.00714-0.923865))+0--194--0.0989399999999803</f>
        <v>3138.3997680000002</v>
      </c>
      <c r="Q164" s="3">
        <f>4829.8+(15-1767.6)+(2.463198+(0.00765-0.901476))+0--191--0.0974099999999806</f>
        <v>3269.8667820000001</v>
      </c>
      <c r="R164" s="3">
        <f>4937.4+(14-1739.5)+(-7.554222+(-0.02142--2.661435))+0--191.2-0.292536000000011</f>
        <v>3397.8932569999997</v>
      </c>
      <c r="S164" s="3">
        <f>4937.4+(38-1731.2)+(-7.554222+(-0.05814--2.648736))+0--191.4-0.292842000000011</f>
        <v>3430.3435319999999</v>
      </c>
      <c r="T164" s="3">
        <f>4929.4+(63.2-1691.3)+(-2.513994+(-0.032232--0.862563))+0--192-0.0979199999999805</f>
        <v>3491.5184169999998</v>
      </c>
      <c r="U164" s="3">
        <f>4918.4+(74.7-1666.3)+(0+(0-0))+0--191.2-0</f>
        <v>3517.9999999999995</v>
      </c>
      <c r="V164" s="3">
        <f>4894.5+(43.2-1663.1)+(-2.496195+(-0.022032--0.848181))+0--191-0.0974099999999806</f>
        <v>3463.8325440000003</v>
      </c>
      <c r="W164" s="3">
        <f>4911.8+(13-1800.3)+(0+(0-0))+0--191.8-0</f>
        <v>3316.3</v>
      </c>
      <c r="X164" s="3">
        <f>4626.1+(13-1781)+(-7.077933+(-0.01989--2.72493))+0--192.3-0.294219000000011</f>
        <v>3045.7328880000005</v>
      </c>
      <c r="Y164" s="3">
        <f>4639.1+(14-1846.9)+(0+(0-0))+0--194.4-0</f>
        <v>3000.6000000000004</v>
      </c>
      <c r="Z164" s="3">
        <f>5080+(15-2012.5)+(0+(0-0))+0--196.3-0</f>
        <v>3278.8</v>
      </c>
      <c r="AA164" s="3">
        <f>5096.8+(15-2012.6)+(-7.798104+(-0.02295--3.079278))+0--196.9-0.301257000000011</f>
        <v>3291.0569670000004</v>
      </c>
      <c r="AB164" s="3">
        <f>5107.9+(12-2041.4)+(-13.025145+(-0.0306--5.20557))+0--196.3-0.500564999999972</f>
        <v>3266.4492599999999</v>
      </c>
      <c r="AC164" s="3">
        <f>5097.8+(14-2037)+(-5.199756+(-0.01428--2.07774))+0--196.5-0.200430000000031</f>
        <v>3267.9632740000002</v>
      </c>
      <c r="AD164" s="2">
        <v>3307.7000000000003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5104.1+(12-2031.1)+(-7.809273+(-0.01836--3.107583))+0--198.1-0.303093000000011</f>
        <v>3278.0768570000005</v>
      </c>
      <c r="G165" s="3">
        <f>5049.1+(12-2029.1)+(-7.725123+(-0.01836--3.104523))+0--198.3-0.303399000000011</f>
        <v>3225.3576410000005</v>
      </c>
      <c r="H165" s="3">
        <f>4765.3+(12-1829.9)+(-4.860606+(-0.01224--1.866498))+0--198-0.201960000000032</f>
        <v>3142.1916920000003</v>
      </c>
      <c r="I165" s="3">
        <f>4746.8+(12-1877.1)+(2.420868+(0.00612-0.957321))+0--197.6--0.10077599999998</f>
        <v>3080.8704429999998</v>
      </c>
      <c r="J165" s="3">
        <f>4563.1+(12-1725.2)+(-9.308724+(-0.02448--3.519408))+0--194.2-0.396167999999991</f>
        <v>3037.8900360000002</v>
      </c>
      <c r="K165" s="3">
        <f>4362.8+(12-1519.7)+(-6.675084+(-0.01836--2.325141))+0--134.5-0.205785000000008</f>
        <v>2985.0259120000001</v>
      </c>
      <c r="L165" s="3">
        <f>4133.2+(30.1-1453.4)+(-10.53966+(-0.076755--3.70617))+0--135.1-0.34450499999998</f>
        <v>2837.7452499999995</v>
      </c>
      <c r="M165" s="3">
        <f>3969.2+(53.3-1448)+(2.024292+(0.027183-0.73848))+0--135.5--0.0691049999999863</f>
        <v>2711.3820999999998</v>
      </c>
      <c r="N165" s="3">
        <f>4013.4+(61.4-1485.4)+(2.046834+(0.031314-0.757554))+0--134.4--0.0685439999999864</f>
        <v>2725.1891380000002</v>
      </c>
      <c r="O165" s="3">
        <f>4089.3+(23.7-1457.6)+(-4.171086+(-0.024174--1.486752))+0--133.5-0.136170000000021</f>
        <v>2786.0553220000002</v>
      </c>
      <c r="P165" s="3">
        <f>4198.4+(13-1444.9)+(0+(0-0))+0--132.8-0</f>
        <v>2899.2999999999997</v>
      </c>
      <c r="Q165" s="3">
        <f>4538.9+(13-1672)+(0+(0-0))+0--150.5-0</f>
        <v>3030.3999999999996</v>
      </c>
      <c r="R165" s="3">
        <f>4836.9+(13-1852.2)+(-2.466819+(-0.00663--0.944622))+0--194.7-0.0992969999999802</f>
        <v>3190.7718759999993</v>
      </c>
      <c r="S165" s="3">
        <f>4812.2+(13-1752.4)+(-7.362666+(-0.01989--2.681172))+0--194.3-0.297279000000011</f>
        <v>3262.1013370000001</v>
      </c>
      <c r="T165" s="3">
        <f>4840+(34.5-1724.7)+(-9.8736+(-0.07038--3.518388))+0--194.4-0.396575999999992</f>
        <v>3337.3778320000001</v>
      </c>
      <c r="U165" s="3">
        <f>4830+(53.9-1694)+(2.4633+(0.027489-0.86394))+0--196--0.0999599999999801</f>
        <v>3387.6268090000003</v>
      </c>
      <c r="V165" s="3">
        <f>4793.9+(34.6-1668)+(-12.224445+(-0.08823--4.2534))+0--193.8-0.494189999999972</f>
        <v>3345.7465349999998</v>
      </c>
      <c r="W165" s="3">
        <f>4672+(13-1645.5)+(-11.9136+(-0.03315--4.196025))+0--194.6-0.496229999999972</f>
        <v>3225.8530449999998</v>
      </c>
      <c r="X165" s="3">
        <f>4474.7+(12-1691.5)+(-4.564194+(-0.01224--1.72533))+0--195.3-0.199206000000031</f>
        <v>2987.4496899999999</v>
      </c>
      <c r="Y165" s="3">
        <f>4278.6+(13-1579.2)+(2.182086+(0.00663-0.805392))+0--194.7--0.0992969999999802</f>
        <v>2908.5826210000005</v>
      </c>
      <c r="Z165" s="3">
        <f>4943.2+(14-1963.2)+(0+(0-0))+0--195-0</f>
        <v>3189</v>
      </c>
      <c r="AA165" s="3">
        <f>5074.2+(14-2070.2)+(-10.351368+(-0.02856--4.223208))+0--196.6-0.401063999999991</f>
        <v>3208.0422159999998</v>
      </c>
      <c r="AB165" s="3">
        <f>4925.4+(14-1855.3)+(0+(0-0))+0--196.4-0</f>
        <v>3280.4999999999995</v>
      </c>
      <c r="AC165" s="3">
        <f>4873.5+(13-1785.7)+(-2.485485+(-0.00663--0.910707))+0--196.9-0.10041899999998</f>
        <v>3296.0181730000004</v>
      </c>
      <c r="AD165" s="2">
        <v>3231.1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4875.3+(12-1779.9)+(-4.972806+(-0.01224--1.815498))+0--197.3-0.201246000000031</f>
        <v>3301.3292060000003</v>
      </c>
      <c r="G166" s="3">
        <f>4743.6+(12-1715)+(-2.419236+(-0.00612--0.87465))+0--198-0.10097999999998</f>
        <v>3236.9483140000002</v>
      </c>
      <c r="H166" s="3">
        <f>4589.9+(12-1597.3)+(-4.681698+(-0.01224--1.629246))+0--154.6-0.157692000000025</f>
        <v>3155.9776159999992</v>
      </c>
      <c r="I166" s="3">
        <f>4321.8+(33.9-1399.8)+(6.612354+(0.051867-2.141694))+0--136.8--0.209304000000008</f>
        <v>3097.4318310000008</v>
      </c>
      <c r="J166" s="3">
        <f>4272.4+(25.6-1380.1)+(-2.178924+(-0.013056--0.703851))+0--137.5-0.070124999999986</f>
        <v>3053.8417459999996</v>
      </c>
      <c r="K166" s="3">
        <f>4126.7+(29.1-1265.7)+(-10.523085+(-0.074205--3.227535))+0--137.6-0.35087999999998</f>
        <v>3019.9793649999992</v>
      </c>
      <c r="L166" s="3">
        <f>3883.7+(110.5-1230.7)+(-7.922748+(-0.22542--2.510628))+0--141.5-0.288659999999994</f>
        <v>2899.0737999999997</v>
      </c>
      <c r="M166" s="3">
        <f>3819.5+(106-1225.7)+(1.947945+(0.05406-0.625107))+0--161.1--0.0821609999999837</f>
        <v>2862.3590589999999</v>
      </c>
      <c r="N166" s="3">
        <f>3991.8+(45.3-1251.5)+(0+(0-0))+0--159.1-0</f>
        <v>2944.7000000000003</v>
      </c>
      <c r="O166" s="3">
        <f>4393.7+(12.6-1555.9)+(0+(0-0))+0--147.8-0</f>
        <v>2998.2</v>
      </c>
      <c r="P166" s="3">
        <f>4744.5+(13-1816.8)+(4.83939+(0.01326-1.853136))+0--186.6--0.19033200000003</f>
        <v>3130.4898459999999</v>
      </c>
      <c r="Q166" s="3">
        <f>4997.5+(13.8-1918.3)+(0+(0-0))+0--199.5-0</f>
        <v>3292.5</v>
      </c>
      <c r="R166" s="3">
        <f>5212.4+(12.2-1965.6)+(0+(0-0))+0--195.2-0</f>
        <v>3454.2</v>
      </c>
      <c r="S166" s="3">
        <f>5186.2+(28.8-1857.8)+(-10.579848+(-0.058752--3.789912))+0--184.3-0.375971999999992</f>
        <v>3534.2753400000001</v>
      </c>
      <c r="T166" s="3">
        <f>4905.6+(87.1-1582.3)+(-7.505568+(-0.133263--2.420919))+0--189.2-0.289476000000011</f>
        <v>3594.0926120000004</v>
      </c>
      <c r="U166" s="3">
        <f>4859.4+(66.3-1503.1)+(2.478294+(0.033813-0.766581))+0--197.6--0.10077599999998</f>
        <v>3622.0463019999993</v>
      </c>
      <c r="V166" s="3">
        <f>4728+(48.6-1408.1)+(2.41128+(0.024786-0.718131))+0--198.4--0.10118399999998</f>
        <v>3568.7191190000003</v>
      </c>
      <c r="W166" s="3">
        <f>4714.2+(12-1511.8)+(0+(0-0))+0--197.2-0</f>
        <v>3411.5999999999995</v>
      </c>
      <c r="X166" s="3">
        <f>4601.9+(32.6-1748.6)+(4.693938+(0.033252-1.783572))+0--198.6--0.202572000000032</f>
        <v>3087.6461899999995</v>
      </c>
      <c r="Y166" s="3">
        <f>4653.6+(12.4-1743.6)+(0+(0-0))+0--196.8-0</f>
        <v>3119.2000000000007</v>
      </c>
      <c r="Z166" s="3">
        <f>4930.9+(14-1785)+(-2.514759+(-0.00714--0.91035))+0--197.7-0.10082699999998</f>
        <v>3355.8876239999995</v>
      </c>
      <c r="AA166" s="3">
        <f>4934.2+(14-1774.5)+(-2.516442+(-0.00714--0.904995))+0--198.6-0.10128599999998</f>
        <v>3370.5801269999997</v>
      </c>
      <c r="AB166" s="3">
        <f>4826.1+(13.6-1671.2)+(-4.922622+(-0.013872--1.704624))+0--199.1-0.203082000000032</f>
        <v>3364.1650479999998</v>
      </c>
      <c r="AC166" s="3">
        <f>4774.5+(13-1631.2)+(-4.86999+(-0.01326--1.663824))+0--200.9-0.204918000000032</f>
        <v>3353.7756560000003</v>
      </c>
      <c r="AD166" s="2">
        <v>3384.0000000000005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4751.2+(22-1643.6)+(-7.269336+(-0.03366--2.514708))+0--200.1-0.306153000000012</f>
        <v>3324.6055589999996</v>
      </c>
      <c r="G167" s="3">
        <f>4765.8+(21-1730.8)+(-12.15279+(-0.05355--4.41354))+0--200.4-0.511019999999971</f>
        <v>3248.09618</v>
      </c>
      <c r="H167" s="3">
        <f>4628.4+(21-1685)+(-4.720968+(-0.02142--1.7187))+0--200.6-0.204612000000032</f>
        <v>3161.7716999999993</v>
      </c>
      <c r="I167" s="3">
        <f>4436.2+(21-1544.1)+(-9.049848+(-0.04284--3.149964))+0--182.5-0.372299999999992</f>
        <v>3089.2849759999999</v>
      </c>
      <c r="J167" s="3">
        <f>4250.5+(20-1372.8)+(-2.167755+(-0.0102--0.700128))+0--135.5-0.0691049999999863</f>
        <v>3031.6530679999996</v>
      </c>
      <c r="K167" s="3">
        <f>4265.6+(20-1424.1)+(-2.175456+(-0.0102--0.726291))+0--136.5-0.0696149999999861</f>
        <v>2996.4710200000004</v>
      </c>
      <c r="L167" s="3">
        <f>3995.2+(58.2-1296.4)+(-14.262864+(-0.207774--4.628148))+0--137.5-0.490875000000002</f>
        <v>2884.166635</v>
      </c>
      <c r="M167" s="3">
        <f>3826.6+(86.9-1244.3)+(1.951566+(0.044319-0.634593))+5.6--137.7--0.070226999999986</f>
        <v>2813.9315189999998</v>
      </c>
      <c r="N167" s="3">
        <f>3949.8+(106.3-1314.6)+(-2.014398+(-0.054213--0.670446))+13--137-0.0698699999999861</f>
        <v>2890.0319650000001</v>
      </c>
      <c r="O167" s="3">
        <f>4129.3+(119.5-1409.6)+(0+(0-0))+5.4--134.6-0</f>
        <v>2979.2000000000003</v>
      </c>
      <c r="P167" s="3">
        <f>4265.7+(122.9-1426.5)+(-2.175507+(-0.062679--0.727515))+0--132.9-0.0677789999999865</f>
        <v>3093.42155</v>
      </c>
      <c r="Q167" s="3">
        <f>4411.2+(125-1473.6)+(-2.249712+(-0.06375--0.751536))+0--151.6-0.0773159999999846</f>
        <v>3212.5607580000001</v>
      </c>
      <c r="R167" s="3">
        <f>4647.1+(123.7-1596.8)+(-4.740042+(-0.126174--1.628736))+0--192.6-0.196452000000031</f>
        <v>3363.1660680000005</v>
      </c>
      <c r="S167" s="3">
        <f>4782.7+(14-1513.9)+(-2.439177+(-0.00714--0.772089))+0--193.6-0.0987359999999804</f>
        <v>3474.6270359999999</v>
      </c>
      <c r="T167" s="3">
        <f>4819.9+(44.6-1496.4)+(-12.290745+(-0.11373--3.81582))+0--194.8-0.496739999999972</f>
        <v>3553.8146049999996</v>
      </c>
      <c r="U167" s="3">
        <f>4828.4+(30.8-1462.5)+(-4.924968+(-0.031416--1.49175))+0--195.4-0.199308000000031</f>
        <v>3588.4360579999998</v>
      </c>
      <c r="V167" s="3">
        <f>4791.1+(22-1464.1)+(-2.443461+(-0.01122--0.746691))+0--196.2-0.10006199999998</f>
        <v>3543.3919480000004</v>
      </c>
      <c r="W167" s="3">
        <f>4737.5+(6-1584.3)+(-12.080625+(-0.0153--4.039965))+0--196.2-0.500309999999972</f>
        <v>3346.8437299999996</v>
      </c>
      <c r="X167" s="3">
        <f>4518.6+(18.5-1663.7)+(-9.217944+(-0.03774--3.393948))+0--196-0.399839999999991</f>
        <v>3063.1384240000007</v>
      </c>
      <c r="Y167" s="3">
        <f>4385.9+(16-1551.7)+(2.236809+(0.00816-0.791367))+0--196.4--0.10016399999998</f>
        <v>3048.1537659999999</v>
      </c>
      <c r="Z167" s="3">
        <f>4772.4+(14-1703.2)+(0+(0-0))+0--197.4-0</f>
        <v>3280.6</v>
      </c>
      <c r="AA167" s="3">
        <f>4936.5+(14-1816.9)+(-17.623305+(-0.04998--6.486333))+0--197-0.703290000000003</f>
        <v>3318.709758</v>
      </c>
      <c r="AB167" s="3">
        <f>4913.9+(13-1823.8)+(-7.518267+(-0.01989--2.790414))+0--198.2-0.303246000000011</f>
        <v>3296.2490109999994</v>
      </c>
      <c r="AC167" s="3">
        <f>4778.4+(13-1696.2)+(-7.310952+(-0.01989--2.595186))+0--199.5-0.305235000000012</f>
        <v>3289.6591090000002</v>
      </c>
      <c r="AD167" s="2">
        <v>3294.8000000000006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4720.7+(20-1684.1)+(-12.037785+(-0.051--4.294455))+0--199.1-0.507704999999971</f>
        <v>3247.3979649999997</v>
      </c>
      <c r="G168" s="3">
        <f>4659.4+(20-1690.5)+(-14.257764+(-0.0612--5.17293))+0--199.1-0.609246000000023</f>
        <v>3178.2447199999997</v>
      </c>
      <c r="H168" s="3">
        <f>4601.2+(20-1722.1)+(-7.039836+(-0.0306--2.634813))+0--197.9-0.302787000000011</f>
        <v>3092.2615900000001</v>
      </c>
      <c r="I168" s="3">
        <f>4480.3+(20-1653.4)+(-4.569906+(-0.0204--1.686468))+0--197.9-0.201858000000032</f>
        <v>3041.6943040000001</v>
      </c>
      <c r="J168" s="3">
        <f>4117.5+(47.1-1389.4)+(-2.099925+(-0.024021--0.708594))+0--199.1-0.10154099999998</f>
        <v>2972.7831069999997</v>
      </c>
      <c r="K168" s="3">
        <f>3979.9+(77.9-1331.2)+(-6.089247+(-0.119187--2.036736))+0--198.2-0.303246000000011</f>
        <v>2920.3250560000001</v>
      </c>
      <c r="L168" s="3">
        <f>3838.4+(138.2-1344.5)+(-1.957584+(-0.070482--0.685695))+0--137.9-0.070328999999986</f>
        <v>2768.5873000000001</v>
      </c>
      <c r="M168" s="3">
        <f>3868.8+(130.5-1443.1)+(1.973088+(0.066555-0.735981))+0--139--0.0708899999999859</f>
        <v>2696.574552</v>
      </c>
      <c r="N168" s="3">
        <f>3995+(93.5-1416.9)+(2.03745+(0.047685-0.722619))+0--136.2--0.0694619999999862</f>
        <v>2809.2319779999998</v>
      </c>
      <c r="O168" s="3">
        <f>4213+(107.8-1483.2)+(-2.14863+(-0.054978--0.756432))+0--68.8-0.035087999999993</f>
        <v>2904.9177359999999</v>
      </c>
      <c r="P168" s="3">
        <f>4426+(106-1586.8)+(2.25726+(0.05406-0.809268))+0--65.4--0.0333539999999934</f>
        <v>3012.1354059999999</v>
      </c>
      <c r="Q168" s="3">
        <f>4678.1+(104.6-1797.8)+(2.385831+(0.053346-0.916878))+0--170.6--0.0870059999999827</f>
        <v>3157.1093050000009</v>
      </c>
      <c r="R168" s="3">
        <f>4771.8+(13-1644.5)+(0+(0-0))+0--190.3-0</f>
        <v>3330.6000000000004</v>
      </c>
      <c r="S168" s="3">
        <f>4858.8+(13-1649.5)+(-2.477988+(-0.00663--0.841245))+0--191.5-0.0976649999999806</f>
        <v>3412.0589620000005</v>
      </c>
      <c r="T168" s="3">
        <f>5077.8+(14-1771)+(-2.589678+(-0.00714--0.90321))+0--192.5-0.0981749999999805</f>
        <v>3511.5082170000001</v>
      </c>
      <c r="U168" s="3">
        <f>5122.4+(13-1780.8)+(-13.06212+(-0.03315--4.54104))+0--193.4-0.493169999999972</f>
        <v>3538.9525999999992</v>
      </c>
      <c r="V168" s="3">
        <f>4916.1+(12-1646.3)+(-7.521633+(-0.01836--2.518839))+0--193.5-0.296055000000011</f>
        <v>3469.9827910000004</v>
      </c>
      <c r="W168" s="3">
        <f>4914.4+(12-1823.8)+(-15.038064+(-0.03672--5.580828))+0--195.8-0.599148000000023</f>
        <v>3288.3068959999996</v>
      </c>
      <c r="X168" s="3">
        <f>4505.4+(39.8-1706)+(-16.084278+(-0.142086--6.09042))+0--196.5-0.701505000000003</f>
        <v>3024.8625509999997</v>
      </c>
      <c r="Y168" s="3">
        <f>4117.4+(42-1358.5)+(2.099874+(0.02142-0.692835))+0--197.8--0.10087799999998</f>
        <v>3000.2293370000002</v>
      </c>
      <c r="Z168" s="3">
        <f>5133.4+(14-2093.8)+(-2.618034+(-0.00714--1.067838))+0--199.1-0.10154099999998</f>
        <v>3251.0411229999995</v>
      </c>
      <c r="AA168" s="3">
        <f>5221.2+(13-2138.2)+(-10.651248+(-0.02652--4.361928))+0--199.7-0.407387999999991</f>
        <v>3288.9767719999995</v>
      </c>
      <c r="AB168" s="3">
        <f>5171+(13-2091.5)+(-7.91163+(-0.01989--3.199995))+0--199.6-0.305388000000012</f>
        <v>3287.0630869999995</v>
      </c>
      <c r="AC168" s="3">
        <f>5140.2+(13-2081.3)+(-5.243004+(-0.01326--2.122926))+0--199.7-0.203694000000032</f>
        <v>3268.2629679999995</v>
      </c>
      <c r="AD168" s="2">
        <v>3299.9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5152.5+(13-2106.4)+(-7.883325+(-0.01989--3.222792))+0--199-0.304470000000012</f>
        <v>3253.1151070000001</v>
      </c>
      <c r="G169" s="3">
        <f>4928+(13-1967.7)+(-2.51328+(-0.00663--1.003527))+0--198.7-0.10133699999998</f>
        <v>3170.3822799999998</v>
      </c>
      <c r="H169" s="3">
        <f>4436.1+(13-1567.2)+(-4.524822+(-0.01326--1.598544))+0--197.2-0.201144000000031</f>
        <v>3075.9593180000002</v>
      </c>
      <c r="I169" s="3">
        <f>4185.5+(22.7-1390.5)+(-6.403815+(-0.034731--2.127465))+0--196.4-0.300492000000011</f>
        <v>3009.4884270000002</v>
      </c>
      <c r="J169" s="3">
        <f>4034.4+(64.4-1341.5)+(8.230176+(0.131376-2.73666))+0--198.5--0.404939999999991</f>
        <v>2961.8298319999999</v>
      </c>
      <c r="K169" s="3">
        <f>4018.4+(74.2-1367.2)+(-6.148152+(-0.113526--2.091816))+0--189.9-0.290547000000011</f>
        <v>2910.8395909999999</v>
      </c>
      <c r="L169" s="3">
        <f>4009.7+(99.6-1479.7)+(-10.224735+(-0.25398--3.773235))+0--136.7-0.34858499999998</f>
        <v>2759.245934999999</v>
      </c>
      <c r="M169" s="3">
        <f>4014.9+(109.7-1577.4)+(-2.047599+(-0.055947--0.804474))+0--137.4-0.0700739999999861</f>
        <v>2683.2308539999999</v>
      </c>
      <c r="N169" s="3">
        <f>4146.4+(96.5-1594.6)+(-2.114664+(-0.049215--0.813246))+0--136.6-0.0696659999999861</f>
        <v>2783.4797009999997</v>
      </c>
      <c r="O169" s="3">
        <f>4231.1+(98-1540.4)+(0+(0-0))+0--134.9-0</f>
        <v>2923.6000000000004</v>
      </c>
      <c r="P169" s="3">
        <f>4164.3+(132-1444)+(0+(0-0))+0--133-0</f>
        <v>2985.3</v>
      </c>
      <c r="Q169" s="3">
        <f>4162.8+(139.2-1299.4)+(0+(0-0))+0--131.2-0</f>
        <v>3133.8</v>
      </c>
      <c r="R169" s="3">
        <f>4546.3+(53.1-1427.7)+(-6.955839+(-0.081243--2.184381))+0--130.4-0.199512000000008</f>
        <v>3297.047787</v>
      </c>
      <c r="S169" s="3">
        <f>4782.2+(32.9-1536.2)+(-4.877844+(-0.033558--1.566924))+0--132-0.134640000000021</f>
        <v>3407.4208819999994</v>
      </c>
      <c r="T169" s="3">
        <f>4670.3+(73.4-1384)+(0+(0-0))+0--132.4-0</f>
        <v>3492.1000000000004</v>
      </c>
      <c r="U169" s="3">
        <f>4406.5+(109.4-1148.8)+(6.741945+(0.167382-1.757664))+0--132.4--0.202572000000008</f>
        <v>3504.8542350000007</v>
      </c>
      <c r="V169" s="3">
        <f>4350.4+(77.9-1132.1)+(-11.09352+(-0.198645--2.886855))+0--133.7-0.340934999999981</f>
        <v>3421.1537549999994</v>
      </c>
      <c r="W169" s="3">
        <f>4397.9+(12-1285)+(-11.214645+(-0.0306--3.27675))+0--133-0.339149999999981</f>
        <v>3249.5923549999998</v>
      </c>
      <c r="X169" s="3">
        <f>4357.6+(20.6-1531.4)+(-6.667128+(-0.031518--2.343042))+0--133.9-0.204867000000008</f>
        <v>2976.1395290000005</v>
      </c>
      <c r="Y169" s="3">
        <f>4284.2+(13-1471.4)+(2.184942+(0.00663-0.750414))+0--149.1--0.0760409999999849</f>
        <v>2976.4171989999995</v>
      </c>
      <c r="Z169" s="3">
        <f>4779.4+(14-1760.5)+(-7.312482+(-0.02142--2.693565))+0--195.9-0.299727000000011</f>
        <v>3223.8599359999998</v>
      </c>
      <c r="AA169" s="3">
        <f>4711.5+(14-1676.6)+(-14.41719+(-0.04284--5.130396))+0--197.1-0.603126000000023</f>
        <v>3236.0672399999999</v>
      </c>
      <c r="AB169" s="3">
        <f>4614.2+(13-1593.8)+(-11.76621+(-0.03315--4.06419))+0--197.7-0.504134999999971</f>
        <v>3222.8606949999994</v>
      </c>
      <c r="AC169" s="3">
        <f>4595.6+(13-1579)+(-14.062536+(-0.03978--4.83174))+0--197-0.602820000000023</f>
        <v>3216.7266040000004</v>
      </c>
      <c r="AD169" s="2">
        <v>3219.2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4587.2+(13-1611.8)+(-9.357888+(-0.02652--3.288072))+0--199.8-0.407591999999991</f>
        <v>3181.6960719999997</v>
      </c>
      <c r="G170" s="3">
        <f>4031.7+(64.6-1177.6)+(2.056167+(0.032946-0.600576))+0--201.1--0.10256099999998</f>
        <v>3121.3910980000001</v>
      </c>
      <c r="H170" s="3">
        <f>3618.5+(177.4-932.8)+(1.845435+(0.090474-0.475728))+0--155.9--0.0795089999999842</f>
        <v>3020.5396900000001</v>
      </c>
      <c r="I170" s="3">
        <f>3635.7+(179.9-953.6)+(-5.562621+(-0.275247--1.459008))+0--73-0.111690000000004</f>
        <v>2930.50945</v>
      </c>
      <c r="J170" s="3">
        <f>3820+(104-1111.2)+(-3.8964+(-0.10608--1.133424))+0--74.4-0.0758880000000119</f>
        <v>2884.2550560000004</v>
      </c>
      <c r="K170" s="3">
        <f>3826.5+(84.4-1147.6)+(-5.854545+(-0.129132--1.755828))+0--74.8-0.114444000000004</f>
        <v>2833.7577070000007</v>
      </c>
      <c r="L170" s="3">
        <f>3720.4+(144.1-1208.3)+(-11.384424+(-0.440946--3.697398))+0--74.5-0.227970000000009</f>
        <v>2722.3440579999997</v>
      </c>
      <c r="M170" s="3">
        <f>3634.2+(193.7-1283.4)+(1.853442+(0.098787-0.654534))+0--74--0.0377399999999925</f>
        <v>2619.8354350000004</v>
      </c>
      <c r="N170" s="3">
        <f>3761.9+(196-1330.3)+(-1.918569+(-0.09996--0.678453))+0--71.6-0.0365159999999927</f>
        <v>2697.8234080000002</v>
      </c>
      <c r="O170" s="3">
        <f>3806.3+(221.4-1286.8)+(-1.941213+(-0.112914--0.656268))+0--69.8-0.0355979999999929</f>
        <v>2809.2665430000006</v>
      </c>
      <c r="P170" s="3">
        <f>4161.5+(148.6-1423.1)+(-6.367095+(-0.227358--2.177343))+0--67.1-0.102663000000004</f>
        <v>2949.5802269999999</v>
      </c>
      <c r="Q170" s="3">
        <f>4516.8+(114.1-1612)+(-2.303568+(-0.058191--0.82212))+0--65.2-0.0332519999999934</f>
        <v>3082.5271089999997</v>
      </c>
      <c r="R170" s="3">
        <f>4824+(12.4-1650.4)+(-7.38072+(-0.018972--2.525112))+0--65.8-0.100674000000004</f>
        <v>3246.8247460000002</v>
      </c>
      <c r="S170" s="3">
        <f>4799.2+(13.2-1562.9)+(-7.342776+(-0.020196--2.391237))+0--65.5-0.100215000000004</f>
        <v>3309.92805</v>
      </c>
      <c r="T170" s="3">
        <f>4782.3+(40.1-1492.6)+(-2.438973+(-0.020451--0.761226))+0--65.6-0.0334559999999933</f>
        <v>3393.6683459999999</v>
      </c>
      <c r="U170" s="3">
        <f>4659.6+(63.4-1377.6)+(2.376396+(0.032334-0.702576))+0--66.4--0.0338639999999933</f>
        <v>3413.5400180000006</v>
      </c>
      <c r="V170" s="3">
        <f>4614.3+(50.7-1375.1)+(-4.706586+(-0.051714--1.402602))+0--67.6-0.0689520000000108</f>
        <v>3354.0753500000005</v>
      </c>
      <c r="W170" s="3">
        <f>3959.6+(41.5-908.2)+(-8.077584+(-0.08466--1.852728))+0--68.2-0.139127999999997</f>
        <v>3154.6513559999999</v>
      </c>
      <c r="X170" s="3">
        <f>3923.5+(29.5-1133.5)+(-4.00197+(-0.03009--1.15617))+0--69-0.070380000000011</f>
        <v>2885.5537300000001</v>
      </c>
      <c r="Y170" s="3">
        <f>4021.6+(11.4-1310.8)+(-4.102032+(-0.011628--1.337016))+0--177.2-0.180744000000028</f>
        <v>2896.4426119999994</v>
      </c>
      <c r="Z170" s="3">
        <f>4316.4+(14-1406.7)+(-2.201364+(-0.00714--0.717417))+0--195.8-0.0998579999999801</f>
        <v>3117.9090550000001</v>
      </c>
      <c r="AA170" s="3">
        <f>4292.1+(14-1368.1)+(-15.322797+(-0.04998--4.884117))+0--197.5-0.705075000000003</f>
        <v>3124.3062650000006</v>
      </c>
      <c r="AB170" s="3">
        <f>4084.3+(29.1-1198.2)+(-8.331972+(-0.059364--2.444328))+0--197.2-0.402287999999991</f>
        <v>3106.0507039999998</v>
      </c>
      <c r="AC170" s="3">
        <f>3878+(52.6-985.6)+(0+(0-0))+0--158.1-0</f>
        <v>3103.1</v>
      </c>
      <c r="AD170" s="2">
        <v>3142.5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3716.1+(90.8-857.4)+(-3.790422+(-0.092616--0.874548))+0--133.2-0.135864000000021</f>
        <v>3079.5556459999998</v>
      </c>
      <c r="G171" s="3">
        <f>3557.8+(134.6-831.8)+(-5.443434+(-0.205938--1.272654))+0--134.4-0.205632000000008</f>
        <v>2990.4176500000003</v>
      </c>
      <c r="H171" s="3">
        <f>3574.1+(144.9-944)+(-7.291164+(-0.295596--1.92576))+0--133.9-0.273155999999994</f>
        <v>2902.9658439999998</v>
      </c>
      <c r="I171" s="3">
        <f>3578.7+(110.4-983.7)+(-3.650274+(-0.112608--1.003374))+0--135.4-0.138108000000022</f>
        <v>2837.9023839999995</v>
      </c>
      <c r="J171" s="3">
        <f>3546.2+(119.3-983.9)+(5.425686+(0.182529-1.505367))+0--109.8--0.167994000000006</f>
        <v>2795.670842</v>
      </c>
      <c r="K171" s="3">
        <f>3402.7+(137.7-872.7)+(6.941508+(0.280908-1.780308))+0--74.2--0.151367999999997</f>
        <v>2747.4934759999996</v>
      </c>
      <c r="L171" s="3">
        <f>3291.9+(116.8-867.3)+(-1.678869+(-0.059568--0.442323))+0--74.2-0.0378419999999925</f>
        <v>2614.2660439999995</v>
      </c>
      <c r="M171" s="3">
        <f>3217.5+(132.5-908.4)+(0+(0-0))+0--74.5-0</f>
        <v>2516.1</v>
      </c>
      <c r="N171" s="3">
        <f>3293.3+(149.8-926.8)+(3.359166+(0.152796-0.945336))+0--73.7--0.0751740000000118</f>
        <v>2592.6417999999999</v>
      </c>
      <c r="O171" s="3">
        <f>3478.9+(149.9-1023)+(1.774239+(0.076449-0.52173))+0--71.7--0.0365669999999927</f>
        <v>2678.8655250000002</v>
      </c>
      <c r="P171" s="3">
        <f>3944.5+(118-1351.5)+(2.011695+(0.06018-0.689265))+0--69.5--0.0354449999999929</f>
        <v>2781.9180550000001</v>
      </c>
      <c r="Q171" s="3">
        <f>4004.7+(93.6-1242.7)+(2.042397+(0.047736-0.633777))+0--68.9--0.035138999999993</f>
        <v>2925.9914949999998</v>
      </c>
      <c r="R171" s="3">
        <f>3945.3+(68.5-1055)+(-2.012103+(-0.034935--0.53805))+0--68.2-0.0347819999999931</f>
        <v>3025.4562299999998</v>
      </c>
      <c r="S171" s="3">
        <f>3920.1+(117.4-1024.2)+(-3.998502+(-0.119748--1.044684))+0--68.7-0.070074000000011</f>
        <v>3078.8563599999993</v>
      </c>
      <c r="T171" s="3">
        <f>3903.9+(174.9-971.9)+(-1.990989+(-0.089199--0.495669))+0--68.9-0.035138999999993</f>
        <v>3174.1803420000001</v>
      </c>
      <c r="U171" s="3">
        <f>3900.9+(165.6-929.8)+(3.978918+(0.168912-0.948396))+0--69--0.070380000000011</f>
        <v>3208.9698140000005</v>
      </c>
      <c r="V171" s="3">
        <f>3901.4+(127.8-969.8)+(-7.958856+(-0.260712--1.978392))+0--68.6-0.139943999999997</f>
        <v>3121.61888</v>
      </c>
      <c r="W171" s="3">
        <f>3909.3+(24.4-1033.8)+(-1.993743+(-0.012444--0.527238))+0--68.9-0.035138999999993</f>
        <v>2967.2859120000003</v>
      </c>
      <c r="X171" s="3">
        <f>3803.6+(12-1149.8)+(-5.819508+(-0.01836--1.759194))+0--69.2-0.105876000000004</f>
        <v>2730.8154500000001</v>
      </c>
      <c r="Y171" s="3">
        <f>3905.2+(14-1205)+(3.983304+(0.01428-1.2291))+0--70.1--0.0715020000000112</f>
        <v>2787.1399860000001</v>
      </c>
      <c r="Z171" s="3">
        <f>4049.4+(64.3-1185.9)+(-4.130388+(-0.065586--1.209618))+0--70.5-0.0719100000000112</f>
        <v>2995.2417340000002</v>
      </c>
      <c r="AA171" s="3">
        <f>4087.7+(56.3-1219.7)+(-2.084727+(-0.028713--0.622047))+0--70.8-0.0361079999999928</f>
        <v>2993.5724990000003</v>
      </c>
      <c r="AB171" s="3">
        <f>4096+(59.5-1245.7)+(0+(0-0))+0--70.8-0</f>
        <v>2980.6000000000004</v>
      </c>
      <c r="AC171" s="3">
        <f>4081+(55.7-1231.3)+(-6.24393+(-0.085221--1.883889))+0--71.7-0.109701000000004</f>
        <v>2972.5450369999999</v>
      </c>
      <c r="AD171" s="2">
        <v>2987.9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3905.9+(79.4-1085.6)+(-3.984018+(-0.080988--1.107312))+0--73.6-0.0750720000000117</f>
        <v>2970.2672339999999</v>
      </c>
      <c r="G172" s="3">
        <f>3754.8+(105.4-1005)+(-1.914948+(-0.053754--0.51255))+0--73.4-0.0374339999999926</f>
        <v>2927.1064140000003</v>
      </c>
      <c r="H172" s="3">
        <f>3688.3+(102.1-1010.3)+(-5.643099+(-0.156213--1.545759))+0--74-0.113220000000004</f>
        <v>2849.7332270000002</v>
      </c>
      <c r="I172" s="3">
        <f>3704.7+(77.6-1070.7)+(-1.889397+(-0.039576--0.546057))+0--73.8-0.0376379999999925</f>
        <v>2783.9794460000003</v>
      </c>
      <c r="J172" s="3">
        <f>3505.5+(102-935.6)+(-8.939025+(-0.2601--2.38578))+0--74.3-0.189464999999989</f>
        <v>2739.1971900000003</v>
      </c>
      <c r="K172" s="3">
        <f>3104.2+(221.1-719.3)+(4.749426+(0.338283-1.100529))+0--75.5--0.115515000000004</f>
        <v>2685.602695</v>
      </c>
      <c r="L172" s="3">
        <f>2876.4+(270-674.9)+(-8.801784+(-0.8262--2.065194))+0--76.1-0.232866000000009</f>
        <v>2539.8043440000001</v>
      </c>
      <c r="M172" s="3">
        <f>2808.2+(203.5-701.7)+(-4.296546+(-0.311355--1.073601))+0--75.8-0.115974000000004</f>
        <v>2382.1497260000006</v>
      </c>
      <c r="N172" s="3">
        <f>2796.6+(195.6-669.4)+(-2.852532+(-0.199512--0.682788))+0--74.2-0.0756840000000118</f>
        <v>2394.5550600000001</v>
      </c>
      <c r="O172" s="3">
        <f>3021.8+(126.2-780.6)+(-6.164472+(-0.257448--1.592424))+0--71.9-0.146675999999997</f>
        <v>2434.3238280000005</v>
      </c>
      <c r="P172" s="3">
        <f>3556.5+(20-1096.6)+(-3.62763+(-0.0204--1.118532))+0--70.2-0.0716040000000112</f>
        <v>2547.4988979999998</v>
      </c>
      <c r="Q172" s="3">
        <f>3760.9+(20-1179.1)+(-1.918059+(-0.0102--0.601341))+0--69.3-0.035342999999993</f>
        <v>2669.7377390000001</v>
      </c>
      <c r="R172" s="3">
        <f>3779.6+(65.8-1112.2)+(1.927596+(0.033558-0.567222))+0--68.9--0.035138999999993</f>
        <v>2803.5290709999999</v>
      </c>
      <c r="S172" s="3">
        <f>3782.4+(115.8-1067.4)+(-3.858048+(-0.118116--1.088748))+0--70.2-0.0716040000000112</f>
        <v>2898.0409799999998</v>
      </c>
      <c r="T172" s="3">
        <f>3877.4+(135.4-1195.3)+(-7.909896+(-0.276216--2.438412))+0--188.3-0.384131999999992</f>
        <v>2999.6681680000002</v>
      </c>
      <c r="U172" s="3">
        <f>3986.1+(108.6-1249.6)+(4.065822+(0.110772-1.274592))+0--195.1--0.199002000000031</f>
        <v>3043.3010039999995</v>
      </c>
      <c r="V172" s="3">
        <f>4032.6+(71.5-1289)+(2.056626+(0.036465-0.65739))+0--195.2--0.0995519999999802</f>
        <v>3011.8352529999997</v>
      </c>
      <c r="W172" s="3">
        <f>4047.9+(20-1407.4)+(-2.064429+(-0.0102--0.717774))+0--195.4-0.0996539999999802</f>
        <v>2854.443491</v>
      </c>
      <c r="X172" s="3">
        <f>3893.9+(20-1485.6)+(5.957667+(0.0306-2.272968))+0--196--0.299880000000011</f>
        <v>2628.3151790000002</v>
      </c>
      <c r="Y172" s="3">
        <f>3920.8+(22-1463.4)+(3.999216+(0.02244-1.492668))+0--197.8--0.201756000000032</f>
        <v>2679.9307440000002</v>
      </c>
      <c r="Z172" s="3">
        <f>4246.1+(22-1564.5)+(-4.331022+(-0.02244--1.59579))+0--199.2-0.203184000000032</f>
        <v>2899.839144</v>
      </c>
      <c r="AA172" s="3">
        <f>4167.9+(22-1460.9)+(-2.125629+(-0.01122--0.745059))+0--199.8-0.10189799999998</f>
        <v>2927.3063119999997</v>
      </c>
      <c r="AB172" s="3">
        <f>4182.6+(21-1387.6)+(2.133126+(0.01071-0.707676))+0--200.7--0.10235699999998</f>
        <v>3018.2385170000002</v>
      </c>
      <c r="AC172" s="3">
        <f>4212.8+(21-1399.3)+(-6.445584+(-0.03213--2.140929))+0--202-0.309060000000012</f>
        <v>3031.854155</v>
      </c>
      <c r="AD172" s="2">
        <v>2905.8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4244.4+(20-1502.4)+(-4.329288+(-0.0204--1.532448))+0--200.8-0.204816000000032</f>
        <v>2959.7779439999999</v>
      </c>
      <c r="G173" s="3">
        <f>4155.6+(20-1429.3)+(-6.358068+(-0.0306--2.186829))+0--143.4-0.219402000000008</f>
        <v>2885.2787590000003</v>
      </c>
      <c r="H173" s="3">
        <f>4013.9+(20-1362.9)+(-6.141267+(-0.0306--2.085237))+0--145.2-0.222156000000008</f>
        <v>2811.8912140000002</v>
      </c>
      <c r="I173" s="3">
        <f>4028.5+(20-1434.7)+(-6.163605+(-0.0306--2.195091))+0--142.3-0.217719000000008</f>
        <v>2751.883167</v>
      </c>
      <c r="J173" s="3">
        <f>4033+(20-1464.4)+(-8.22732+(-0.0408--2.987376))+0--144.3-0.294371999999994</f>
        <v>2727.3248840000001</v>
      </c>
      <c r="K173" s="3">
        <f>3961.3+(20-1423.5)+(2.020263+(0.0102-0.725985))+0--143.7--0.0732869999999854</f>
        <v>2702.8777650000002</v>
      </c>
      <c r="L173" s="3">
        <f>3610.6+(19-1193.5)+(-5.524218+(-0.02907--1.826055))+0--143.8-0.220014000000008</f>
        <v>2575.952753</v>
      </c>
      <c r="M173" s="3">
        <f>3382.4+(69.4-1106.3)+(-1.725024+(-0.035394--0.564213))+0--140.9-0.0718589999999857</f>
        <v>2485.1319359999998</v>
      </c>
      <c r="N173" s="3">
        <f>3611.7+(27.8-1209.5)+(3.683934+(0.028356-1.23369))+0--175.2--0.178704000000028</f>
        <v>2607.8573039999997</v>
      </c>
      <c r="O173" s="3">
        <f>4036.7+(21-1533.2)+(-2.058717+(-0.01071--0.781932))+0--197.5-0.10072499999998</f>
        <v>2720.6117800000002</v>
      </c>
      <c r="P173" s="3">
        <f>4277.7+(21-1645.9)+(-2.181627+(-0.01071--0.839409))+0--191.6-0.0977159999999806</f>
        <v>2842.9493560000001</v>
      </c>
      <c r="Q173" s="3">
        <f>4247.3+(21-1468)+(6.498369+(0.03213-2.24604))+0--187--0.286110000000011</f>
        <v>2991.8705690000002</v>
      </c>
      <c r="R173" s="3">
        <f>4189.3+(33.2-1297.8)+(6.409629+(0.050796-1.985634))+0--185.9--0.284427000000011</f>
        <v>3115.3592180000005</v>
      </c>
      <c r="S173" s="3">
        <f>4151.6+(59.3-1230.8)+(-6.351948+(-0.090729--1.883124))+0--188-0.287640000000011</f>
        <v>3163.2528070000003</v>
      </c>
      <c r="T173" s="3">
        <f>4135.5+(98.8-1178.1)+(0+(0-0))+0--187.3-0</f>
        <v>3243.5</v>
      </c>
      <c r="U173" s="3">
        <f>4131.2+(103.4-1185.1)+(-10.53456+(-0.26367--3.022005))+0--189-0.481949999999973</f>
        <v>3230.2418250000001</v>
      </c>
      <c r="V173" s="3">
        <f>3999.5+(99.9-1105.6)+(6.119235+(0.152847-1.691568))+0--188.2--0.287946000000011</f>
        <v>3186.8684600000001</v>
      </c>
      <c r="W173" s="3">
        <f>3908+(27.4-1096.2)+(-7.97232+(-0.055896--2.236248))+0--190.4-0.388415999999992</f>
        <v>3023.4196160000001</v>
      </c>
      <c r="X173" s="3">
        <f>3918.6+(20-1310.7)+(-11.990916+(-0.0612--4.010742))+0--192.5-0.589050000000022</f>
        <v>2811.7695759999997</v>
      </c>
      <c r="Y173" s="3">
        <f>4105.4+(22-1415.9)+(0+(0-0))+0--193.9-0</f>
        <v>2905.3999999999996</v>
      </c>
      <c r="Z173" s="3">
        <f>4248.7+(34.2-1382.4)+(2.166837+(0.017442-0.705024))+0--195.6--0.0997559999999802</f>
        <v>3097.6790110000002</v>
      </c>
      <c r="AA173" s="3">
        <f>4276.6+(40.2-1398.5)+(-4.362132+(-0.041004--1.42647))+0--196.7-0.200634000000031</f>
        <v>3111.8227000000002</v>
      </c>
      <c r="AB173" s="3">
        <f>4293.9+(44.1-1431.6)+(0+(0-0))+0--196.4-0</f>
        <v>3102.7999999999997</v>
      </c>
      <c r="AC173" s="3">
        <f>4328+(23-1455.1)+(-8.82912+(-0.04692--2.968404))+0--197.8-0.403511999999991</f>
        <v>3087.3888520000005</v>
      </c>
      <c r="AD173" s="2">
        <v>3086.2999999999997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4329.2+(16.5-1496.9)+(4.415784+(0.01683-1.526838))+0--197.6--0.201552000000032</f>
        <v>3049.5073279999997</v>
      </c>
      <c r="G174" s="3">
        <f>4167.6+(15.5-1416.2)+(4.250952+(0.01581-1.444524))+0--198.5--0.202470000000032</f>
        <v>2968.4247080000009</v>
      </c>
      <c r="H174" s="3">
        <f>4016+(29.5-1352.9)+(0+(0-0))+0--198.4-0</f>
        <v>2891</v>
      </c>
      <c r="I174" s="3">
        <f>3929.8+(49.2-1348.8)+(2.004198+(0.025092-0.687888))+0--199--0.10148999999998</f>
        <v>2830.6428920000003</v>
      </c>
      <c r="J174" s="3">
        <f>3937.5+(72.9-1419.6)+(-8.0325+(-0.148716--2.895984))+0--199.5-0.406979999999991</f>
        <v>2784.6077879999998</v>
      </c>
      <c r="K174" s="3">
        <f>3957.4+(69.1-1472.3)+(-10.09137+(-0.176205--3.754365))+0--201.4-0.513569999999971</f>
        <v>2748.5732199999998</v>
      </c>
      <c r="L174" s="3">
        <f>3927.5+(127.6-1625.6)+(-16.0242+(-0.520608--6.632448))+0--203.7-0.831095999999982</f>
        <v>2622.4565440000001</v>
      </c>
      <c r="M174" s="3">
        <f>3714.4+(167-1376.7)+(3.788688+(0.17034-1.404234))+0--201.8--0.205836000000032</f>
        <v>2709.2606300000002</v>
      </c>
      <c r="N174" s="3">
        <f>3850.6+(147.3-1429.7)+(3.927612+(0.150246-1.458294))+0--197.7--0.201654000000032</f>
        <v>2768.7212179999997</v>
      </c>
      <c r="O174" s="3">
        <f>3862.7+(86.3-1454.5)+(-1.969977+(-0.044013--0.741795))+0--197.3-0.10062299999998</f>
        <v>2690.4271820000004</v>
      </c>
      <c r="P174" s="3">
        <f>4105.3+(27.5-1490.9)+(6.281109+(0.042075-2.281077))+0--193.7--0.296361000000011</f>
        <v>2839.9384680000003</v>
      </c>
      <c r="Q174" s="3">
        <f>4255.7+(15.5-1452.7)+(6.511221+(0.023715-2.222631))+0--196.6--0.300798000000011</f>
        <v>3019.713103</v>
      </c>
      <c r="R174" s="3">
        <f>4161.8+(16.6-1297.3)+(-2.122518+(-0.008466--0.661623))+0--203.2-0.103631999999979</f>
        <v>3082.7270070000004</v>
      </c>
      <c r="S174" s="3">
        <f>4136.8+(88.1-1213.5)+(-8.439072+(-0.179724--2.47554))+0--190.7-0.389027999999992</f>
        <v>3195.567716</v>
      </c>
      <c r="T174" s="3">
        <f>4126.9+(125.4-1198.7)+(2.104719+(0.063954-0.611337))+0--189.5--0.0966449999999808</f>
        <v>3244.7539809999994</v>
      </c>
      <c r="U174" s="3">
        <f>4148.7+(103.3-1188.3)+(-2.115837+(-0.052683--0.606033))+0--192.4-0.0981239999999805</f>
        <v>3254.4393889999997</v>
      </c>
      <c r="V174" s="3">
        <f>4145.7+(62.7-1217.4)+(-4.228614+(-0.063954--1.241748))+0--192.1-0.195942000000031</f>
        <v>3179.8532380000001</v>
      </c>
      <c r="W174" s="3">
        <f>4167.2+(15-1348.6)+(2.125272+(0.00765-0.687786))+0--193.8--0.0988379999999803</f>
        <v>3028.9439739999998</v>
      </c>
      <c r="X174" s="3">
        <f>4211+(15-1599.5)+(-15.03327+(-0.05355--5.710215))+0--196.4-0.701148000000003</f>
        <v>2812.8222470000001</v>
      </c>
      <c r="Y174" s="3">
        <f>4255.7+(17.4-1555.1)+(4.340814+(0.017748-1.586202))+0--196.1--0.200022000000031</f>
        <v>2917.0723819999998</v>
      </c>
      <c r="Z174" s="3">
        <f>4307+(17.6-1397.9)+(0+(0-0))+0--196.5-0</f>
        <v>3123.2</v>
      </c>
      <c r="AA174" s="3">
        <f>4354.8+(17.4-1444.9)+(-6.662844+(-0.026622--2.210697))+0--197.3-0.301869000000011</f>
        <v>3119.8193620000006</v>
      </c>
      <c r="AB174" s="3">
        <f>4379.7+(17-1490.8)+(-2.233647+(-0.00867--0.760308))+0--197.8-0.10087799999998</f>
        <v>3102.1171129999998</v>
      </c>
      <c r="AC174" s="3">
        <f>4405.3+(18.6-1541.3)+(-6.740109+(-0.028458--2.358189))+0--215.1-0.329103000000012</f>
        <v>3092.9605190000002</v>
      </c>
      <c r="AD174" s="2">
        <v>3102.7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4355.7+(16-1515.1)+(-2.221407+(-0.00816--0.772701))+0--206.7-0.105416999999979</f>
        <v>3061.737717</v>
      </c>
      <c r="G175" s="3">
        <f>4283.4+(16-1525.3)+(-6.553602+(-0.02448--2.333709))+0--200.3-0.306459000000012</f>
        <v>2969.8491679999997</v>
      </c>
      <c r="H175" s="3">
        <f>4108+(16-1358.6)+(-8.38032+(-0.03264--2.771544))+0--158.6-0.323543999999993</f>
        <v>2918.0350400000002</v>
      </c>
      <c r="I175" s="3">
        <f>4028.6+(16-1320)+(-6.163758+(-0.02448--2.0196))+0--140.3-0.214659000000008</f>
        <v>2860.5167029999998</v>
      </c>
      <c r="J175" s="3">
        <f>3849.6+(24.4-1212.9)+(-5.889888+(-0.037332--1.855737))+0--147.6-0.225828000000009</f>
        <v>2804.4026889999996</v>
      </c>
      <c r="K175" s="3">
        <f>3812.7+(16-1158.7)+(3.888954+(0.01632-1.181874))+0--139.5--0.142290000000022</f>
        <v>2812.3656900000001</v>
      </c>
      <c r="L175" s="3">
        <f>3747.9+(15-1221.4)+(-11.468574+(-0.0459--3.737484))+0--137.6-0.421056000000016</f>
        <v>2670.9019539999999</v>
      </c>
      <c r="M175" s="3">
        <f>3438+(15-1011.7)+(-1.75338+(-0.00765--0.515967))+0--136.7-0.0697169999999861</f>
        <v>2576.6852200000003</v>
      </c>
      <c r="N175" s="3">
        <f>3686.5+(15-1177.1)+(0+(0-0))+0--137.6-0</f>
        <v>2662</v>
      </c>
      <c r="O175" s="3">
        <f>3881.9+(16-1243.8)+(0+(0-0))+0--148.9-0</f>
        <v>2803.0000000000005</v>
      </c>
      <c r="P175" s="3">
        <f>4114.2+(17-1393.7)+(0+(0-0))+0--165.9-0</f>
        <v>2903.4</v>
      </c>
      <c r="Q175" s="3">
        <f>4265.2+(16-1441.8)+(8.701008+(0.03264-2.941272))+0--195--0.397799999999991</f>
        <v>3040.5901759999997</v>
      </c>
      <c r="R175" s="3">
        <f>4244+(21-1363.4)+(2.16444+(0.01071-0.695334))+0--202.4--0.103223999999979</f>
        <v>3105.58304</v>
      </c>
      <c r="S175" s="3">
        <f>4291.8+(74.2-1324.9)+(-4.377636+(-0.075684--1.351398))+0--204.6-0.208692000000033</f>
        <v>3242.3893860000003</v>
      </c>
      <c r="T175" s="3">
        <f>4290.5+(104.2-1313.2)+(-2.188155+(-0.053142--0.669732))+0--186.9-0.095318999999981</f>
        <v>3266.7331159999999</v>
      </c>
      <c r="U175" s="3">
        <f>4283.6+(101.2-1246)+(-2.184636+(-0.051612--0.63546))+0--187.8-0.0957779999999809</f>
        <v>3324.9034340000003</v>
      </c>
      <c r="V175" s="3">
        <f>4050+(96.3-1086.9)+(-8.262+(-0.196452--2.217276))+0--208.8-0.425951999999991</f>
        <v>3261.5328719999998</v>
      </c>
      <c r="W175" s="3">
        <f>3923.6+(29.4-1100.3)+(2.001036+(0.014994-0.561153))+0--197.1--0.10052099999998</f>
        <v>3051.3553979999997</v>
      </c>
      <c r="X175" s="3">
        <f>3932.6+(10-1293.5)+(-4.011252+(-0.0102--1.31937))+0--186.6-0.19033200000003</f>
        <v>2832.8075859999999</v>
      </c>
      <c r="Y175" s="3">
        <f>3944.8+(13-1218.3)+(6.035544+(0.01989-1.863999))+0--191.7--0.293301000000011</f>
        <v>2935.6847360000002</v>
      </c>
      <c r="Z175" s="3">
        <f>3976.4+(20-1159.1)+(-8.111856+(-0.0408--2.364564))+0--202.9-0.413915999999991</f>
        <v>3033.9979920000005</v>
      </c>
      <c r="AA175" s="3">
        <f>4129.6+(40.1-1176.9)+(-14.742672+(-0.143157--4.201533))+0--204.7-0.730779000000003</f>
        <v>3186.0849250000001</v>
      </c>
      <c r="AB175" s="3">
        <f>4127.9+(36.7-1217.6)+(-6.315687+(-0.056151--1.862928))+0--206.3-0.315639000000012</f>
        <v>3148.4754510000002</v>
      </c>
      <c r="AC175" s="3">
        <f>4139.8+(35.2-1254.8)+(-2.111298+(-0.017952--0.639948))+0--211.1-0.107660999999979</f>
        <v>3129.7030370000002</v>
      </c>
      <c r="AD175" s="2">
        <v>3122.4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3994.1+(42-1170.2)+(4.073982+(0.04284-1.193604))+0--195.4--0.199308000000031</f>
        <v>3064.4225259999998</v>
      </c>
      <c r="G176" s="3">
        <f>3669.5+(83.3-973.2)+(3.74289+(0.084966-0.992664))+0--195.4--0.199308000000031</f>
        <v>2978.0345000000002</v>
      </c>
      <c r="H176" s="3">
        <f>3602.6+(75.5-971.6)+(-5.511978+(-0.115515--1.486548))+0--197.5-0.302175000000011</f>
        <v>2899.5568800000001</v>
      </c>
      <c r="I176" s="3">
        <f>3615.2+(68.9-1036.1)+(-5.531256+(-0.105417--1.585233))+0--197.5-0.302175000000011</f>
        <v>2841.146385</v>
      </c>
      <c r="J176" s="3">
        <f>3624.8+(67.6-1092.7)+(-1.848648+(-0.034476--0.557277))+0--197.6-0.10077599999998</f>
        <v>2795.8733769999999</v>
      </c>
      <c r="K176" s="3">
        <f>3615.1+(87.7-1139.7)+(-7.374804+(-0.178908--2.324988))+0--198.6-0.405143999999991</f>
        <v>2756.0661319999999</v>
      </c>
      <c r="L176" s="3">
        <f>3137.9+(250.6-932.3)+(-1.600329+(-0.127806--0.475473))+0--197.7-0.10082699999998</f>
        <v>2652.5465110000005</v>
      </c>
      <c r="M176" s="3">
        <f>3091.5+(245.7-968)+(0+(0-0))+0--190.6-0</f>
        <v>2559.7999999999997</v>
      </c>
      <c r="N176" s="3">
        <f>3619.7+(182.4-1377.1)+(1.846047+(0.093024-0.702321))+0--193.2--0.0985319999999804</f>
        <v>2619.5352819999998</v>
      </c>
      <c r="O176" s="3">
        <f>3754.4+(136.5-1339.1)+(3.829488+(0.13923-1.365882))+0--193--0.196860000000031</f>
        <v>2747.5996960000002</v>
      </c>
      <c r="P176" s="3">
        <f>4030.8+(56.5-1372.3)+(8.222832+(0.11526-2.799492))+0--194--0.395759999999992</f>
        <v>2914.9343599999997</v>
      </c>
      <c r="Q176" s="3">
        <f>4100.2+(36-1313.9)+(-2.091102+(-0.01836--0.670089))+0--195.9-0.0999089999999801</f>
        <v>3016.6607179999996</v>
      </c>
      <c r="R176" s="3">
        <f>4075.1+(26.1-1110.3)+(0+(0-0))+0--204.5-0</f>
        <v>3195.3999999999996</v>
      </c>
      <c r="S176" s="3">
        <f>4128.4+(77.3-1139.2)+(-4.210968+(-0.078846--1.161984))+0--195-0.198900000000031</f>
        <v>3258.1732699999998</v>
      </c>
      <c r="T176" s="3">
        <f>4278.8+(89.9-1203.8)+(-6.546564+(-0.137547--1.841814))+0--188-0.287640000000011</f>
        <v>3347.7700630000004</v>
      </c>
      <c r="U176" s="3">
        <f>4350.2+(58.1-1260.1)+(-2.218602+(-0.029631--0.642651))+0--187.1-0.095420999999981</f>
        <v>3333.5989969999996</v>
      </c>
      <c r="V176" s="3">
        <f>4370.5+(22.8-1311.5)+(-8.91582+(-0.046512--2.67546))+0--192.3-0.392291999999992</f>
        <v>3267.4208360000002</v>
      </c>
      <c r="W176" s="3">
        <f>4390.1+(15-1493.5)+(-13.433706+(-0.0459--4.57011))+0--203.5-0.622710000000024</f>
        <v>3105.567794</v>
      </c>
      <c r="X176" s="3">
        <f>4346.2+(28-1679.7)+(-13.299372+(-0.08568--5.139882))+0--191.3-0.585378000000022</f>
        <v>2876.9694519999998</v>
      </c>
      <c r="Y176" s="3">
        <f>4409.8+(17-1654.2)+(-4.497996+(-0.01734--1.687284))+0--199.3-0.203286000000032</f>
        <v>2968.8686620000008</v>
      </c>
      <c r="Z176" s="3">
        <f>4498.9+(17-1572.9)+(-6.883317+(-0.02601--2.406537))+0--207.6-0.317628000000012</f>
        <v>3145.7795819999997</v>
      </c>
      <c r="AA176" s="3">
        <f>4490.7+(17-1576.3)+(-9.161028+(-0.03468--3.215652))+0--209.4-0.427175999999991</f>
        <v>3134.3927679999997</v>
      </c>
      <c r="AB176" s="3">
        <f>4507.5+(16-1612.1)+(-9.1953+(-0.03264--3.288684))+0--213.2-0.434927999999991</f>
        <v>3118.2258159999997</v>
      </c>
      <c r="AC176" s="3">
        <f>4525.5+(16-1646.3)+(9.23202+(0.03264-3.358452))+0--216.7--0.442067999999991</f>
        <v>3118.2482759999994</v>
      </c>
      <c r="AD176" s="2">
        <v>3129.9999999999995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4495.2+(4.5-1635.5)+(-11.46276+(-0.011475--4.170525))+0-4.5--0.0114749999999993</f>
        <v>2852.4077649999995</v>
      </c>
      <c r="G177" s="3">
        <f>4538.8+(4-1714.5)+(2.314788+(0.00204-0.874395))+0-4.5-0.00229499999999954</f>
        <v>2825.2401380000006</v>
      </c>
      <c r="H177" s="3">
        <f>4603+(5-1847.7)+(-11.73765+(-0.01275--4.711635))+0-4.5--0.0114749999999993</f>
        <v>2748.7727100000002</v>
      </c>
      <c r="I177" s="3">
        <f>4623.6+(4-1926.6)+(0+(0-0))+0-4.4-0</f>
        <v>2696.6000000000004</v>
      </c>
      <c r="J177" s="3">
        <f>4633.8+(5-1987.2)+(2.363238+(0.00255-1.013472))+0-4.4-0.00224399999999955</f>
        <v>2648.5500720000005</v>
      </c>
      <c r="K177" s="3">
        <f>4476.6+(4-1875)+(6.849198+(0.00612-2.86875))+0-4.4-0.00673200000000026</f>
        <v>2605.1798360000003</v>
      </c>
      <c r="L177" s="3">
        <f>4256+(14-1746.2)+(-4.34112+(-0.01428--1.781124))+0--144.8-0.147696000000023</f>
        <v>2665.8780280000005</v>
      </c>
      <c r="M177" s="3">
        <f>3486.8+(45.5-1201)+(5.334804+(0.069615-1.83753))+0--147.1--0.225063000000008</f>
        <v>2482.1919520000001</v>
      </c>
      <c r="N177" s="3">
        <f>3840.2+(29.8-1523.5)+(-1.958502+(-0.015198--0.776985))+0--146.2-0.0745619999999852</f>
        <v>2491.428723</v>
      </c>
      <c r="O177" s="3">
        <f>4271.5+(29-1879.7)+(2.178465+(0.01479-0.958647))+0--148.8--0.0758879999999849</f>
        <v>2570.9104960000004</v>
      </c>
      <c r="P177" s="3">
        <f>4503.2+(15-1957.9)+(6.889896+(0.02295-2.995587))+0--149.6--0.228888000000009</f>
        <v>2714.0461469999996</v>
      </c>
      <c r="Q177" s="3">
        <f>4453.1+(16-1783.3)+(0+(0-0))+0--130.6-0</f>
        <v>2816.4</v>
      </c>
      <c r="R177" s="3">
        <f>4375.6+(17-1554.7)+(-2.231556+(-0.00867--0.792897))+0--124.4-0.0634439999999874</f>
        <v>2960.7892270000007</v>
      </c>
      <c r="S177" s="3">
        <f>4346.5+(61.9-1444.1)+(-6.650145+(-0.094707--2.209473))+0--124.7-0.190791000000007</f>
        <v>3084.2738300000001</v>
      </c>
      <c r="T177" s="3">
        <f>4326.8+(81.4-1354)+(0+(0-0))+0--125.9-0</f>
        <v>3180.1000000000004</v>
      </c>
      <c r="U177" s="3">
        <f>4347.8+(62.7-1341.9)+(0+(0-0))+0--126.4-0</f>
        <v>3195.0000000000005</v>
      </c>
      <c r="V177" s="3">
        <f>4597.6+(18-1595.6)+(-11.72388+(-0.0459--4.06878))+0--128.3-0.327164999999981</f>
        <v>3140.2718350000005</v>
      </c>
      <c r="W177" s="3">
        <f>4715.5+(16-1851.9)+(-12.024525+(-0.0408--4.722345))+0--129.5-0.330224999999981</f>
        <v>3001.4267949999999</v>
      </c>
      <c r="X177" s="3">
        <f>4462.9+(16-1814.6)+(-13.656474+(-0.04896--5.552676))+0--148.2-0.453492000000017</f>
        <v>2803.8937499999993</v>
      </c>
      <c r="Y177" s="3">
        <f>4672.8+(17-1969.3)+(7.149384+(0.02601-3.013029))+0--139.5--0.213435000000008</f>
        <v>2864.3758000000003</v>
      </c>
      <c r="Z177" s="3">
        <f>5214.4+(18-2294.5)+(-7.978032+(-0.02754--3.510585))+0--130.6-0.199818000000008</f>
        <v>3063.8051949999995</v>
      </c>
      <c r="AA177" s="3">
        <f>5237.1+(17-2291.1)+(-8.012763+(-0.02601--3.505383))+0--130.8-0.200124000000008</f>
        <v>3089.0664860000006</v>
      </c>
      <c r="AB177" s="3">
        <f>5210.5+(18-2270.1)+(-15.94413+(-0.05508--6.946506))+0--131.8-0.403308000000015</f>
        <v>3080.7439880000002</v>
      </c>
      <c r="AC177" s="3">
        <f>5231.8+(16-2289.7)+(-10.672872+(-0.03264--4.670988))+0--131.8-0.268871999999994</f>
        <v>3083.5966040000003</v>
      </c>
      <c r="AD177" s="2">
        <v>3080.4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4827.8+(16.5-1927.9)+(-4.924356+(-0.01683--1.966458))+0--133.5-0.136170000000021</f>
        <v>3046.7891019999997</v>
      </c>
      <c r="G178" s="3">
        <f>4745.9+(15.5-1923.9)+(-9.681636+(-0.03162--3.924756))+0--133.5-0.272339999999994</f>
        <v>2964.9391599999994</v>
      </c>
      <c r="H178" s="3">
        <f>4669.7+(15.5-1909)+(-11.907735+(-0.039525--4.86795))+0--134.5-0.34297499999998</f>
        <v>2903.2777149999997</v>
      </c>
      <c r="I178" s="3">
        <f>4459.6+(15.5-1782.5)+(-6.823188+(-0.023715--2.727225))+0--133.5-0.204255000000008</f>
        <v>2821.7760670000002</v>
      </c>
      <c r="J178" s="3">
        <f>4431.9+(15.5-1806.6)+(4.520538+(0.01581-1.842732))+0--132.6--0.135252000000021</f>
        <v>2776.2288679999997</v>
      </c>
      <c r="K178" s="3">
        <f>4408.6+(15.5-1827.1)+(-6.745158+(-0.023715--2.795463))+0--133.6-0.204408000000008</f>
        <v>2726.4221820000002</v>
      </c>
      <c r="L178" s="3">
        <f>4271+(14.5-1768.2)+(-4.35642+(-0.01479--1.803564))+0--145.8-0.148716000000023</f>
        <v>2660.3836380000002</v>
      </c>
      <c r="M178" s="3">
        <f>4254.1+(14.5-1822.6)+(0+(0-0))+0--144.9-0</f>
        <v>2590.9000000000005</v>
      </c>
      <c r="N178" s="3">
        <f>4456.5+(15.5-2026.6)+(-2.272815+(-0.007905--1.033566))+0--140.6-0.0717059999999857</f>
        <v>2584.6811399999997</v>
      </c>
      <c r="O178" s="3">
        <f>4536.2+(15.5-2017.3)+(2.313462+(0.007905-1.028823))+0--147.8--0.075377999999985</f>
        <v>2683.5679219999997</v>
      </c>
      <c r="P178" s="3">
        <f>4702.5+(15.5-2093.6)+(-2.398275+(-0.007905--1.067736))+0--152.5-0.0777749999999845</f>
        <v>2775.4837809999999</v>
      </c>
      <c r="Q178" s="3">
        <f>4794+(16.5-2074.6)+(-2.44494+(-0.008415--1.058046))+0--128.4-0.065483999999987</f>
        <v>2862.839207</v>
      </c>
      <c r="R178" s="3">
        <f>4771.2+(16.3-1921)+(2.433312+(0.008313-0.97971))+0--127.6--0.065075999999987</f>
        <v>2995.6269909999996</v>
      </c>
      <c r="S178" s="3">
        <f>4770.1+(17.7-1846.6)+(-7.298253+(-0.027081--2.825298))+0--125.9-0.192627000000007</f>
        <v>3062.407337000001</v>
      </c>
      <c r="T178" s="3">
        <f>4732.9+(64.5-1770.5)+(-2.413779+(-0.032895--0.902955))+0--124.9-0.0636989999999873</f>
        <v>3150.1925820000001</v>
      </c>
      <c r="U178" s="3">
        <f>4717.3+(67.6-1739.1)+(-7.217469+(-0.103428--2.660823))+0--125.4-0.191862000000007</f>
        <v>3166.3480640000002</v>
      </c>
      <c r="V178" s="3">
        <f>4724.7+(26.2-1772.7)+(-4.819194+(-0.026724--1.808154))+0--125.5-0.12801000000002</f>
        <v>3100.5342259999998</v>
      </c>
      <c r="W178" s="3">
        <f>4637.7+(15.9-1855.1)+(-4.730454+(-0.016218--1.892202))+0--127.2-0.12974400000002</f>
        <v>2922.7157859999998</v>
      </c>
      <c r="X178" s="3">
        <f>4588.1+(18-2048.4)+(-9.359724+(-0.03672--4.178736))+0--148.8-0.303551999999994</f>
        <v>2700.9787400000005</v>
      </c>
      <c r="Y178" s="3">
        <f>4785.5+(18.1-2148.4)+(0+(0-0))+0--136.1-0</f>
        <v>2791.2999999999997</v>
      </c>
      <c r="Z178" s="3">
        <f>4984.4+(17.1-2165.1)+(-7.626132+(-0.026163--3.312603))+0--128.6-0.196758000000007</f>
        <v>2960.4635499999995</v>
      </c>
      <c r="AA178" s="3">
        <f>4990.5+(17.2-2178)+(-10.18062+(-0.035088--4.44312))+0--129.2-0.263567999999994</f>
        <v>2952.863844</v>
      </c>
      <c r="AB178" s="3">
        <f>4779.2+(17.2-1994)+(0+(0-0))+0--129.4-0</f>
        <v>2931.7999999999997</v>
      </c>
      <c r="AC178" s="3">
        <f>4736.4+(17.2-1947.2)+(-9.662256+(-0.035088--3.972288))+0--129.5-0.264179999999994</f>
        <v>2929.9107639999993</v>
      </c>
      <c r="AD178" s="2">
        <v>2972.3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4742+(16-1967)+(-2.41842+(-0.00816--1.00317))+0--131.8-0.0672179999999866</f>
        <v>2921.3093720000002</v>
      </c>
      <c r="G179" s="3">
        <f>4760.8+(16-2027.1)+(4.856016+(0.01632-2.067642))+0--131.8--0.134436000000021</f>
        <v>2884.4391300000002</v>
      </c>
      <c r="H179" s="3">
        <f>4735+(16-2040.9)+(-7.24455+(-0.02448--3.122577))+0--116.8-0.178704000000007</f>
        <v>2822.5748430000003</v>
      </c>
      <c r="I179" s="3">
        <f>4638.7+(16-1959.2)+(-2.365737+(-0.00816--0.999192))+0--67.9-0.0346289999999931</f>
        <v>2761.9906660000001</v>
      </c>
      <c r="J179" s="3">
        <f>4445.9+(15-1821.7)+(-2.267409+(-0.00765--0.929067))+0--68.9-0.035138999999993</f>
        <v>2706.7188689999998</v>
      </c>
      <c r="K179" s="3">
        <f>4291.8+(15-1739.8)+(4.377636+(0.0153-1.774596))+0--70--0.0714000000000112</f>
        <v>2639.6897399999998</v>
      </c>
      <c r="L179" s="3">
        <f>4058.6+(15-1593.3)+(4.139772+(0.0153-1.625166))+0--69.6--0.0709920000000111</f>
        <v>2552.5008980000002</v>
      </c>
      <c r="M179" s="3">
        <f>3630.6+(15-1341.5)+(3.703212+(0.0153-1.36833))+0--69.2--0.070584000000011</f>
        <v>2375.7207659999999</v>
      </c>
      <c r="N179" s="3">
        <f>3650.7+(15-1471.3)+(3.723714+(0.0153-1.500726))+0--67.8--0.0691560000000108</f>
        <v>2264.5074439999999</v>
      </c>
      <c r="O179" s="3">
        <f>3788.5+(16-1462.4)+(1.932135+(0.00816-0.745824))+0--66.5--0.0339149999999933</f>
        <v>2409.8283859999997</v>
      </c>
      <c r="P179" s="3">
        <f>4048.2+(16-1640.6)+(0+(0-0))+0--65.6-0</f>
        <v>2489.1999999999998</v>
      </c>
      <c r="Q179" s="3">
        <f>4411.4+(17-1879.2)+(0+(0-0))+0--63.9-0</f>
        <v>2613.1</v>
      </c>
      <c r="R179" s="3">
        <f>4617.7+(17-1928.5)+(-2.355027+(-0.00867--0.983535))+0--63.6-0.0324359999999935</f>
        <v>2768.3874019999998</v>
      </c>
      <c r="S179" s="3">
        <f>4626.8+(27.5-1829.1)+(-7.079004+(-0.042075--2.798523))+0--64.1-0.0980730000000037</f>
        <v>2884.879371</v>
      </c>
      <c r="T179" s="3">
        <f>4661.3+(61.4-1801.2)+(-4.754526+(-0.062628--1.837224))+0--63.3-0.0645660000000101</f>
        <v>2981.7555040000002</v>
      </c>
      <c r="U179" s="3">
        <f>4705.2+(53.8-1803.1)+(-4.799304+(-0.054876--1.839162))+0--63-0.06426000000001</f>
        <v>3015.8207219999995</v>
      </c>
      <c r="V179" s="3">
        <f>4641+(32-1774.8)+(-4.73382+(-0.03264--1.810296))+0--63.7-0.0649740000000102</f>
        <v>2958.8788619999996</v>
      </c>
      <c r="W179" s="3">
        <f>4411.4+(16-1700.2)+(-4.499628+(-0.01632--1.734204))+0--65-0.0663000000000104</f>
        <v>2789.351956</v>
      </c>
      <c r="X179" s="3">
        <f>4156.4+(16-1656.2)+(-2.119764+(-0.00816--0.844662))+0--65.9-0.0336089999999933</f>
        <v>2580.7831289999999</v>
      </c>
      <c r="Y179" s="3">
        <f>4157.4+(19.6-1562.9)+(-2.120274+(-0.009996--0.797079))+0--66.1-0.0337109999999933</f>
        <v>2678.8330979999992</v>
      </c>
      <c r="Z179" s="3">
        <f>4436.1+(42.3-1685.9)+(-4.524822+(-0.043146--1.719618))+0--66.9-0.0682380000000107</f>
        <v>2856.483412</v>
      </c>
      <c r="AA179" s="3">
        <f>4594.8+(37.7-1811.3)+(-7.030044+(-0.057681--2.771289))+0--67.7-0.103581000000004</f>
        <v>2884.4799830000002</v>
      </c>
      <c r="AB179" s="3">
        <f>4577.7+(39.4-1781.5)+(4.669254+(0.040188-1.81713))+0--68--0.0693600000000108</f>
        <v>2906.5616719999998</v>
      </c>
      <c r="AC179" s="3">
        <f>4580.1+(43.9-1755.2)+(-2.335851+(-0.022389--0.895152))+0--68.5-0.034934999999993</f>
        <v>2935.8019770000001</v>
      </c>
      <c r="AD179" s="2">
        <v>2983.7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4601.1+(23.2-1767)+(0+(0-0))+0--75-0</f>
        <v>2932.3</v>
      </c>
      <c r="G180" s="3">
        <f>4610.8+(15.3-1826.2)+(0+(0-0))+0--75-0</f>
        <v>2874.9</v>
      </c>
      <c r="H180" s="3">
        <f>4556+(12.9-1818)+(0+(0-0))+0--75-0</f>
        <v>2825.9</v>
      </c>
      <c r="I180" s="3">
        <f>4413.8+(11-1723.2)+(0+(0-0))+0--75-0</f>
        <v>2776.6000000000004</v>
      </c>
      <c r="J180" s="3">
        <f>4269.2+(11-1633.6)+(10.88646+(0.02805-4.16568))+0--75--0.191249999999989</f>
        <v>2728.5400799999998</v>
      </c>
      <c r="K180" s="3">
        <f>4242.2+(10-1649.6)+(4.327044+(0.0102-1.682592))+0--75--0.076500000000012</f>
        <v>2680.3311520000002</v>
      </c>
      <c r="L180" s="3">
        <f>4243.3+(14-1763)+(2.164083+(0.00714-0.89913))+0--74.7--0.0380969999999924</f>
        <v>2570.3101900000001</v>
      </c>
      <c r="M180" s="3">
        <f>4265.4+(18-1840.9)+(-4.350708+(-0.01836--1.877718))+0--75.1-0.076602000000012</f>
        <v>2515.0320479999996</v>
      </c>
      <c r="N180" s="3">
        <f>4385.3+(17-1846.7)+(11.182515+(0.04335-4.709085))+0--74--0.188699999999989</f>
        <v>2636.3054800000004</v>
      </c>
      <c r="O180" s="3">
        <f>4609.2+(11-1971.6)+(0+(0-0))+0--72.2-0</f>
        <v>2720.7999999999997</v>
      </c>
      <c r="P180" s="3">
        <f>4738.4+(11-1991.1)+(2.416584+(0.00561-1.015461))+0--70.9--0.0361589999999928</f>
        <v>2830.6428919999994</v>
      </c>
      <c r="Q180" s="3">
        <f>4855.9+(12-1987.7)+(2.476509+(0.00612-1.013727))+0--70--0.0356999999999929</f>
        <v>2951.7046019999998</v>
      </c>
      <c r="R180" s="3">
        <f>4897.1+(12-1898.2)+(-4.995042+(-0.01224--1.936164))+0--68.8-0.070176000000011</f>
        <v>3076.5587060000007</v>
      </c>
      <c r="S180" s="3">
        <f>4939.6+(14.4-1858.7)+(2.519196+(0.007344-0.947937))+0--69.3--0.035342999999993</f>
        <v>3166.2139460000003</v>
      </c>
      <c r="T180" s="3">
        <f>4923.3+(32.7-1774.4)+(0+(0-0))+0--69.3-0</f>
        <v>3250.9000000000005</v>
      </c>
      <c r="U180" s="3">
        <f>4932.8+(22.2-1753.4)+(12.57864+(0.05661-4.47117))+0--69.9--0.17824499999999</f>
        <v>3279.8423250000005</v>
      </c>
      <c r="V180" s="3">
        <f>4963.1+(12-1828.1)+(-10.124724+(-0.02448--3.729324))+0--69.8-0.142391999999997</f>
        <v>3210.2377280000005</v>
      </c>
      <c r="W180" s="3">
        <f>4906.9+(11-1927.5)+(-20.020152+(-0.04488--7.8642))+0--71.3-0.290903999999994</f>
        <v>3049.2082639999999</v>
      </c>
      <c r="X180" s="3">
        <f>4824.8+(11-2075.1)+(-12.30324+(-0.02805--5.291505))+0--73.1-0.186404999999989</f>
        <v>2826.5738100000003</v>
      </c>
      <c r="Y180" s="3">
        <f>4837.2+(13-1995)+(4.933944+(0.01326-2.0349))+0--72.8--0.0742560000000116</f>
        <v>2930.9865599999998</v>
      </c>
      <c r="Z180" s="3">
        <f>4977.3+(14-1956.1)+(-5.076846+(-0.01428--1.995222))+0--73.8-0.0752760000000118</f>
        <v>3105.8288200000006</v>
      </c>
      <c r="AA180" s="3">
        <f>4947.4+(13-1933.6)+(-5.046348+(-0.01326--1.972272))+0--73.4-0.0748680000000117</f>
        <v>3097.0377959999996</v>
      </c>
      <c r="AB180" s="3">
        <f>4930.3+(13-1954.5)+(-5.028906+(-0.01326--1.99359))+0--73.8-0.0752760000000118</f>
        <v>3059.4761480000002</v>
      </c>
      <c r="AC180" s="3">
        <f>4904.1+(12-1948.5)+(2.501091+(0.00612-0.993735))+0--73.5--0.0374849999999925</f>
        <v>3042.6509610000003</v>
      </c>
      <c r="AD180" s="2">
        <v>3048.6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4899+(16-1971.2)+(-7.49547+(-0.02448--3.015936))+0--70-0.107100000000004</f>
        <v>3009.1888859999999</v>
      </c>
      <c r="G181" s="3">
        <f>4763.4+(23.8-1902)+(-9.717336+(-0.048552--3.88008))+0--69-0.140759999999997</f>
        <v>2948.173432</v>
      </c>
      <c r="H181" s="3">
        <f>4623.4+(26-1843.9)+(-7.073802+(-0.03978--2.821167))+0--70.1-0.107253000000004</f>
        <v>2871.2003319999994</v>
      </c>
      <c r="I181" s="3">
        <f>4460.4+(23.3-1738.9)+(-2.274804+(-0.011883--0.886839))+0--70-0.0356999999999929</f>
        <v>2813.3644519999993</v>
      </c>
      <c r="J181" s="3">
        <f>4488.1+(16-1815.9)+(9.155724+(0.03264-3.704436))+0--70--0.142799999999997</f>
        <v>2763.8267280000005</v>
      </c>
      <c r="K181" s="3">
        <f>4585.2+(16-1949.8)+(2.338452+(0.00816-0.994398))+0--70--0.0356999999999929</f>
        <v>2722.7879139999995</v>
      </c>
      <c r="L181" s="3">
        <f>4663.5+(18-2132.8)+(-9.51354+(-0.03672--4.350912))+0--70-0.142799999999997</f>
        <v>2613.3578519999996</v>
      </c>
      <c r="M181" s="3">
        <f>4606+(18-2144.1)+(-2.34906+(-0.00918--1.093491))+0--71.1-0.0362609999999928</f>
        <v>2549.6989899999999</v>
      </c>
      <c r="N181" s="3">
        <f>4601.8+(18-2040.3)+(0+(0-0))+0--69.1-0</f>
        <v>2648.6</v>
      </c>
      <c r="O181" s="3">
        <f>4570.9+(19-1972.8)+(-16.318113+(-0.06783--7.042896))+0--116.9-0.417333000000002</f>
        <v>2724.2396199999998</v>
      </c>
      <c r="P181" s="3">
        <f>4591.6+(19-1908.1)+(0+(0-0))+0--130-0</f>
        <v>2832.5000000000005</v>
      </c>
      <c r="Q181" s="3">
        <f>4738.3+(20-1919.6)+(4.833066+(0.0204-1.957992))+0--136--0.138720000000022</f>
        <v>2977.7341940000001</v>
      </c>
      <c r="R181" s="3">
        <f>4780.6+(20-1856.9)+(0+(0-0))+0--188.5-0</f>
        <v>3132.2000000000003</v>
      </c>
      <c r="S181" s="3">
        <f>4774.5+(43.9-1838.1)+(-2.434995+(-0.022389--0.937431))+0--185.8-0.0947579999999812</f>
        <v>3164.4852890000002</v>
      </c>
      <c r="T181" s="3">
        <f>4896.9+(44.5-1860.1)+(-2.497419+(-0.022695--0.948651))+0--185.8-0.0947579999999812</f>
        <v>3265.4337789999995</v>
      </c>
      <c r="U181" s="3">
        <f>4929+(28.5-1848.1)+(0+(0-0))+0--187.6-0</f>
        <v>3297</v>
      </c>
      <c r="V181" s="3">
        <f>4921.7+(20-1916.1)+(-7.530201+(-0.0306--2.931633))+0--186.7-0.285651000000011</f>
        <v>3207.3851809999996</v>
      </c>
      <c r="W181" s="3">
        <f>4851.8+(20-2043.5)+(-2.474418+(-0.0102--1.042185))+0--187.9-0.0958289999999809</f>
        <v>3014.6617380000002</v>
      </c>
      <c r="X181" s="3">
        <f>4819.1+(20-2236.4)+(2.457741+(0.0102-1.140564))+0--189.6--0.0966959999999808</f>
        <v>2793.7240730000003</v>
      </c>
      <c r="Y181" s="3">
        <f>4836.5+(20-2130.6)+(-2.466615+(-0.0102--1.086606))+0--192.1-0.0979709999999805</f>
        <v>2916.5118199999997</v>
      </c>
      <c r="Z181" s="3">
        <f>4515.7+(22-1656.2)+(-4.606014+(-0.02244--1.689324))+0--193.2-0.197064000000031</f>
        <v>3071.5638059999997</v>
      </c>
      <c r="AA181" s="3">
        <f>4249.4+(31.9-1402.9)+(-4.334388+(-0.032538--1.430958))+0--192.5-0.196350000000031</f>
        <v>3067.7676819999997</v>
      </c>
      <c r="AB181" s="3">
        <f>4051.2+(51.8-1249.6)+(0+(0-0))+0--193.4-0</f>
        <v>3046.7999999999997</v>
      </c>
      <c r="AC181" s="3">
        <f>3970.2+(68-1200.9)+(-8.099208+(-0.13872--2.449836))+0--194.7-0.397187999999991</f>
        <v>3025.8147199999999</v>
      </c>
      <c r="AD181" s="2">
        <v>3040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3901.6+(94.6-1180.2)+(-11.938896+(-0.289476--3.611412))+0--196-0.599760000000023</f>
        <v>3002.7832800000001</v>
      </c>
      <c r="G182" s="3">
        <f>3906.4+(83-1258.2)+(-9.96132+(-0.21165--3.20841))+0--196-0.499799999999972</f>
        <v>2919.7356399999999</v>
      </c>
      <c r="H182" s="3">
        <f>3786.4+(88.6-1229.5)+(-5.793192+(-0.135558--1.881135))+0--198-0.302940000000011</f>
        <v>2839.149445</v>
      </c>
      <c r="I182" s="3">
        <f>3733.8+(68.1-1189.5)+(-13.329666+(-0.243117--4.246515))+0--179.1-0.639387000000002</f>
        <v>2781.534345</v>
      </c>
      <c r="J182" s="3">
        <f>3438.4+(127.4-980)+(3.507168+(0.129948-0.9996))+0--134.1--0.136782000000021</f>
        <v>2722.6742979999999</v>
      </c>
      <c r="K182" s="3">
        <f>3380.1+(105.7-941.4)+(-5.171553+(-0.161721--1.440342))+0--135.1-0.206703000000008</f>
        <v>2675.400365</v>
      </c>
      <c r="L182" s="3">
        <f>3309.4+(48.8-935)+(-10.126764+(-0.149328--2.8611))+0--134.9-0.412794000000016</f>
        <v>2550.2722140000001</v>
      </c>
      <c r="M182" s="3">
        <f>3033.3+(53.7-788.9)+(3.093966+(0.054774-0.804678))+0--135.4--0.138108000000022</f>
        <v>2435.9821700000007</v>
      </c>
      <c r="N182" s="3">
        <f>3537+(27-1203.4)+(3.60774+(0.02754-1.227468))+0--135.2--0.137904000000022</f>
        <v>2498.3457159999998</v>
      </c>
      <c r="O182" s="3">
        <f>3874.8+(24-1410.7)+(1.976148+(0.01224-0.719457))+0--140--0.0713999999999858</f>
        <v>2629.4403310000002</v>
      </c>
      <c r="P182" s="3">
        <f>4065.1+(25-1510.9)+(6.219603+(0.03825-2.311677))+0--191.5--0.292995000000011</f>
        <v>2774.9391709999995</v>
      </c>
      <c r="Q182" s="3">
        <f>4221.7+(25-1568.1)+(4.306134+(0.0255-1.599462))+0--191.1--0.19492200000003</f>
        <v>2872.6270939999999</v>
      </c>
      <c r="R182" s="3">
        <f>4207.9+(25-1398.7)+(-2.146029+(-0.01275--0.713337))+0--191.3-0.0975629999999806</f>
        <v>3023.956995</v>
      </c>
      <c r="S182" s="3">
        <f>4216+(48.6-1349.1)+(-6.45048+(-0.074358--2.064123))+0--194.8-0.298044000000011</f>
        <v>3105.5412409999999</v>
      </c>
      <c r="T182" s="3">
        <f>4199.6+(82.3-1262.8)+(-2.141796+(-0.041973--0.644028))+0--189.7-0.0967469999999808</f>
        <v>3207.1635120000001</v>
      </c>
      <c r="U182" s="3">
        <f>4190.5+(66.3-1217.5)+(2.137155+(0.033813-0.620925))+0--188.5--0.0961349999999809</f>
        <v>3229.4461780000001</v>
      </c>
      <c r="V182" s="3">
        <f>4198.2+(47.8-1272.2)+(-2.141082+(-0.024378--0.648822))+0--189.1-0.0964409999999808</f>
        <v>3161.2869209999994</v>
      </c>
      <c r="W182" s="3">
        <f>4182.2+(25-1418.8)+(-2.132922+(-0.01275--0.723588))+0--183.8-0.0937379999999814</f>
        <v>2970.684178</v>
      </c>
      <c r="X182" s="3">
        <f>3961+(23.7-1377.1)+(-8.08044+(-0.048348--2.809284))+0--129.5-0.264179999999994</f>
        <v>2731.5163160000002</v>
      </c>
      <c r="Y182" s="3">
        <f>4158.9+(26-1482.3)+(2.121039+(0.01326-0.755973))+0--155.1--0.0791009999999843</f>
        <v>2859.1574269999992</v>
      </c>
      <c r="Z182" s="3">
        <f>4364.1+(26-1568.2)+(-8.902764+(-0.05304--3.199128))+0--193.2-0.394127999999992</f>
        <v>3008.9491960000005</v>
      </c>
      <c r="AA182" s="3">
        <f>4365.7+(26-1565.8)+(-13.359042+(-0.07956--4.791348))+0--194.8-0.596088000000023</f>
        <v>3011.4566579999996</v>
      </c>
      <c r="AB182" s="3">
        <f>4232.5+(36.4-1410.6)+(-6.475725+(-0.055692--2.158218))+0--146.8-0.224604000000008</f>
        <v>3000.5021970000003</v>
      </c>
      <c r="AC182" s="3">
        <f>4230.1+(40.8-1390.6)+(-2.157351+(-0.020808--0.709206))+0--131.7-0.0671669999999866</f>
        <v>3010.4638799999998</v>
      </c>
      <c r="AD182" s="2">
        <v>2978.2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4171.7+(32.9-1367.2)+(-8.510268+(-0.067116--2.789088))+0--139-0.283559999999994</f>
        <v>2970.3281439999996</v>
      </c>
      <c r="G183" s="3">
        <f>4163.1+(16-1418.3)+(-16.985448+(-0.06528--5.786664))+0--139.1-0.567527999999988</f>
        <v>2888.0684080000001</v>
      </c>
      <c r="H183" s="3">
        <f>4165.4+(16-1503)+(-6.373062+(-0.02448--2.29959))+0--139-0.212670000000008</f>
        <v>2813.0893779999997</v>
      </c>
      <c r="I183" s="3">
        <f>3911.3+(16-1322.3)+(-1.994763+(-0.00816--0.674373))+0--139-0.0708899999999859</f>
        <v>2742.6005599999999</v>
      </c>
      <c r="J183" s="3">
        <f>3820.8+(16-1290.5)+(-1.948608+(-0.00816--0.658155))+0--139.1-0.0709409999999859</f>
        <v>2684.0304460000002</v>
      </c>
      <c r="K183" s="3">
        <f>3763.1+(16-1269.2)+(-1.919181+(-0.00816--0.647292))+0--139.1-0.0709409999999859</f>
        <v>2647.6490099999996</v>
      </c>
      <c r="L183" s="3">
        <f>3328.7+(20-962.3)+(-1.697637+(-0.0102--0.490773))+0--135.4-0.0690539999999863</f>
        <v>2520.5138819999997</v>
      </c>
      <c r="M183" s="3">
        <f>3183.8+(37-968.1)+(3.247476+(0.03774-0.987462))+0--135.1--0.137802000000022</f>
        <v>2390.2355560000005</v>
      </c>
      <c r="N183" s="3">
        <f>3788.1+(16-1447.9)+(5.795793+(0.02448-2.215287))+0--134.6--0.205938000000008</f>
        <v>2494.6109239999996</v>
      </c>
      <c r="O183" s="3">
        <f>4073.1+(16-1617.8)+(-4.154562+(-0.01632--1.650156))+0--131.8-0.134436000000021</f>
        <v>2600.4448380000003</v>
      </c>
      <c r="P183" s="3">
        <f>3995.4+(16-1431.7)+(0+(0-0))+0--129.8-0</f>
        <v>2709.5</v>
      </c>
      <c r="Q183" s="3">
        <f>4034.4+(16-1422.7)+(2.057544+(0.00816-0.725577))+0--127.9--0.065228999999987</f>
        <v>2757.0053559999997</v>
      </c>
      <c r="R183" s="3">
        <f>4000+(17-1174.8)+(2.04+(0.00867-0.599148))+0--128.9--0.0657389999999869</f>
        <v>2972.6152609999999</v>
      </c>
      <c r="S183" s="3">
        <f>4022.1+(55.9-1116.6)+(-2.051271+(-0.028509--0.569466))+0--87-0.0443699999999912</f>
        <v>3046.8453159999999</v>
      </c>
      <c r="T183" s="3">
        <f>4072.9+(77.5-1051.6)+(-2.077179+(-0.039525--0.536316))+0--63.9-0.0325889999999935</f>
        <v>3161.0870230000005</v>
      </c>
      <c r="U183" s="3">
        <f>4070+(79.5-1037.4)+(-2.0757+(-0.040545--0.529074))+0--64.5-0.0328949999999935</f>
        <v>3174.979934</v>
      </c>
      <c r="V183" s="3">
        <f>4077.1+(44.8-1065.7)+(-10.396605+(-0.11424--2.717535))+0--64.6-0.164729999999991</f>
        <v>3112.8419599999997</v>
      </c>
      <c r="W183" s="3">
        <f>4093.2+(16-1252.1)+(-8.350128+(-0.03264--2.554284))+0--64.5-0.131579999999997</f>
        <v>2915.6399359999996</v>
      </c>
      <c r="X183" s="3">
        <f>4061.7+(21.7-1452.1)+(-4.142934+(-0.022134--1.481142))+0--65.4-0.0667080000000104</f>
        <v>2693.9493660000003</v>
      </c>
      <c r="Y183" s="3">
        <f>4119.4+(18-1368.3)+(2.100894+(0.00918-0.697833))+0--77.8--0.0396779999999921</f>
        <v>2848.3519189999997</v>
      </c>
      <c r="Z183" s="3">
        <f>4220.9+(18-1319)+(-4.305318+(-0.01836--1.34538))+0--65-0.0663000000000104</f>
        <v>2981.8554019999997</v>
      </c>
      <c r="AA183" s="3">
        <f>4258.6+(18-1350.3)+(-10.85943+(-0.0459--3.443265))+0--66.3-0.16906499999999</f>
        <v>2984.9688700000002</v>
      </c>
      <c r="AB183" s="3">
        <f>4280.9+(17-1385.8)+(-8.733036+(-0.03468--2.827032))+0--66.4-0.135455999999997</f>
        <v>2972.4238599999994</v>
      </c>
      <c r="AC183" s="3">
        <f>4295.3+(17-1394.9)+(-8.762412+(-0.03468--2.845596))+0--67.4-0.137495999999997</f>
        <v>2978.7110080000002</v>
      </c>
      <c r="AD183" s="2">
        <v>2976.8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4111.4+(20-1247)+(-2.096814+(-0.0102--0.63597))+0--71.9-0.0366689999999927</f>
        <v>2954.7922869999998</v>
      </c>
      <c r="G184" s="3">
        <f>4081.9+(23.9-1298.2)+(-10.408845+(-0.060945--3.31041))+0--72-0.18359999999999</f>
        <v>2872.2570200000005</v>
      </c>
      <c r="H184" s="3">
        <f>3968.1+(27-1260.8)+(-12.142386+(-0.08262--3.858048))+0--72.1-0.220626000000008</f>
        <v>2797.8124160000002</v>
      </c>
      <c r="I184" s="3">
        <f>3848.2+(37.4-1221.7)+(-13.738074+(-0.133518--4.361469))+0--72.1-0.257397000000001</f>
        <v>2726.2324799999997</v>
      </c>
      <c r="J184" s="3">
        <f>3594.4+(83.9-1057.4)+(-7.332576+(-0.171156--2.157096))+0--73.2-0.149327999999997</f>
        <v>2688.6040359999997</v>
      </c>
      <c r="K184" s="3">
        <f>3234.6+(198.7-869.2)+(4.948938+(0.304011-1.329876))+0--73.1--0.111843000000004</f>
        <v>2641.2349159999999</v>
      </c>
      <c r="L184" s="3">
        <f>3108+(223-888.7)+(-6.34032+(-0.45492--1.812948))+0--70.5-0.143819999999997</f>
        <v>2507.6738880000003</v>
      </c>
      <c r="M184" s="3">
        <f>3186.6+(216.7-1073.1)+(0+(0-0))+0--71.8-0</f>
        <v>2402</v>
      </c>
      <c r="N184" s="3">
        <f>3736.9+(150.1-1465.6)+(0+(0-0))+0--70.5-0</f>
        <v>2491.9</v>
      </c>
      <c r="O184" s="3">
        <f>3908.8+(140.6-1526.1)+(3.986976+(0.143412-1.556622))+0--67.9--0.0692580000000108</f>
        <v>2593.8430240000002</v>
      </c>
      <c r="P184" s="3">
        <f>3980+(125.5-1453)+(4.0596+(0.12801-1.48206))+0--67.7--0.0690540000000108</f>
        <v>2722.974604</v>
      </c>
      <c r="Q184" s="3">
        <f>4000.8+(54.3-1270)+(6.121224+(0.083079-1.9431))+0--64--0.0979200000000037</f>
        <v>2853.4591230000005</v>
      </c>
      <c r="R184" s="3">
        <f>3989.1+(21-1063.5)+(6.103323+(0.03213-1.627155))+0--61.9--0.0947070000000036</f>
        <v>3013.1030050000004</v>
      </c>
      <c r="S184" s="3">
        <f>3958.7+(49.2-991.7)+(-4.037874+(-0.050184--1.011534))+0--61.8-0.0630360000000098</f>
        <v>3074.8604399999999</v>
      </c>
      <c r="T184" s="3">
        <f>3949.4+(69-898.6)+(0+(0-0))+0--62-0</f>
        <v>3181.8</v>
      </c>
      <c r="U184" s="3">
        <f>3944.4+(78.3-888.3)+(-4.023288+(-0.079866--0.906066))+0--63.9-0.0651780000000102</f>
        <v>3195.0377340000005</v>
      </c>
      <c r="V184" s="3">
        <f>3941.3+(49.6-954.2)+(-8.040252+(-0.101184--1.946568))+0--63.6-0.129743999999997</f>
        <v>3093.9753880000003</v>
      </c>
      <c r="W184" s="3">
        <f>3942.7+(89.4-1180.1)+(-10.053885+(-0.22797--3.009255))+0--64-0.163199999999991</f>
        <v>2908.5642000000003</v>
      </c>
      <c r="X184" s="3">
        <f>3846+(106.7-1308.6)+(-3.92292+(-0.108834--1.334772))+0--67.3-0.0686460000000107</f>
        <v>2708.6343720000004</v>
      </c>
      <c r="Y184" s="3">
        <f>4015.6+(22-1244.1)+(2.047956+(0.01122-0.634491))+0--65.2--0.0332519999999934</f>
        <v>2860.1579369999999</v>
      </c>
      <c r="Z184" s="3">
        <f>4081.4+(22-1181.5)+(-10.40757+(-0.0561--3.012825))+0--66.8-0.17033999999999</f>
        <v>2981.0788150000003</v>
      </c>
      <c r="AA184" s="3">
        <f>4086.1+(22-1196.1)+(-4.167822+(-0.02244--1.220022))+0--67.1-0.0684420000000107</f>
        <v>2976.0613179999996</v>
      </c>
      <c r="AB184" s="3">
        <f>3905+(49.6-1062.1)+(-5.97465+(-0.075888--1.625013))+0--67.1-0.102663000000004</f>
        <v>2955.0718119999997</v>
      </c>
      <c r="AC184" s="3">
        <f>3788.2+(78.4-994.5)+(-1.931982+(-0.039984--0.507195))+0--67.3-0.0343229999999932</f>
        <v>2937.9009060000003</v>
      </c>
      <c r="AD184" s="2">
        <v>2975.5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3761.1+(134.2-1060)+(-1.918161+(-0.068442--0.5406))+0--73.3-0.0373829999999926</f>
        <v>2907.1166140000005</v>
      </c>
      <c r="G185" s="3">
        <f>3884.6+(55.5-1188.3)+(0+(0-0))+0--73.5-0</f>
        <v>2825.3</v>
      </c>
      <c r="H185" s="3">
        <f>4096.5+(15.4-1428.2)+(-8.35686+(-0.031416--2.913528))+0--73.6-0.150143999999997</f>
        <v>2751.6751079999995</v>
      </c>
      <c r="I185" s="3">
        <f>4007.7+(15.3-1397.9)+(-2.043927+(-0.007803--0.712929))+0--74.7-0.0380969999999924</f>
        <v>2698.4231019999993</v>
      </c>
      <c r="J185" s="3">
        <f>3797+(15.3-1245.8)+(0+(0-0))+0--74.7-0</f>
        <v>2641.2</v>
      </c>
      <c r="K185" s="3">
        <f>3647.4+(15.3-1149.3)+(-7.440696+(-0.031212--2.344572))+0--74.7-0.152387999999997</f>
        <v>2582.8202759999999</v>
      </c>
      <c r="L185" s="3">
        <f>3171.4+(31.3-803.1)+(-8.08707+(-0.079815--2.047905))+0--71.7-0.18283499999999</f>
        <v>2464.9981849999995</v>
      </c>
      <c r="M185" s="3">
        <f>3002.6+(68.3-790.3)+(-1.531326+(-0.034833--0.403053))+0--71.3-0.0363629999999928</f>
        <v>2350.700531</v>
      </c>
      <c r="N185" s="3">
        <f>3172.4+(34.1-825.8)+(3.235848+(0.034782-0.842316))+0--69.5--0.0708900000000111</f>
        <v>2452.699204</v>
      </c>
      <c r="O185" s="3">
        <f>3411.5+(15.3-956.2)+(0+(0-0))+0--67.4-0</f>
        <v>2538</v>
      </c>
      <c r="P185" s="3">
        <f>3675.1+(20.1-1095.9)+(0+(0-0))+0--65.5-0</f>
        <v>2664.7999999999997</v>
      </c>
      <c r="Q185" s="3">
        <f>3747.5+(53.3-1086.4)+(-3.82245+(-0.054366--1.108128))+0--66.3-0.0676260000000106</f>
        <v>2777.8636859999997</v>
      </c>
      <c r="R185" s="3">
        <f>3775+(110.6-1036)+(0+(0-0))+0--62.8-0</f>
        <v>2912.4</v>
      </c>
      <c r="S185" s="3">
        <f>3754.1+(142-992.9)+(0+(0-0))+0--62.6-0</f>
        <v>2965.7999999999997</v>
      </c>
      <c r="T185" s="3">
        <f>3819.4+(158.8-990.2)+(0+(0-0))+0--61.9-0</f>
        <v>3049.9</v>
      </c>
      <c r="U185" s="3">
        <f>4036+(116.7-1148)+(0+(0-0))+0--63.6-0</f>
        <v>3068.2999999999997</v>
      </c>
      <c r="V185" s="3">
        <f>4157.4+(49.9-1294.8)+(0+(0-0))+0--64.4-0</f>
        <v>2976.9</v>
      </c>
      <c r="W185" s="3">
        <f>4179.2+(15.3-1435.9)+(0+(0-0))+0--53.5-0</f>
        <v>2812.0999999999995</v>
      </c>
      <c r="X185" s="3">
        <f>4027+(15.3-1497.2)+(0+(0-0))+0--65.2-0</f>
        <v>2610.2999999999997</v>
      </c>
      <c r="Y185" s="3">
        <f>4166.3+(17.3-1460.2)+(0+(0-0))+0--65.3-0</f>
        <v>2788.7000000000003</v>
      </c>
      <c r="Z185" s="3">
        <f>4554.1+(17.3-1718.2)+(0+(0-0))+0--65.8-0</f>
        <v>2919.0000000000005</v>
      </c>
      <c r="AA185" s="3">
        <f>4596.2+(17.3-1786.7)+(0+(0-0))+0--66.5-0</f>
        <v>2893.2999999999997</v>
      </c>
      <c r="AB185" s="3">
        <f>4495.1+(16.3-1705.7)+(0+(0-0))+0--67.3-0</f>
        <v>2873.0000000000005</v>
      </c>
      <c r="AC185" s="3">
        <f>4500.9+(16.3-1709.6)+(0+(0-0))+0--67.8-0</f>
        <v>2875.3999999999996</v>
      </c>
      <c r="AD185" s="2">
        <v>3001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4369.8+(11-1739.8)+(-4.457196+(-0.01122--1.774596))+0--70.7-0.0721140000000113</f>
        <v>2708.9340659999998</v>
      </c>
      <c r="G186" s="3">
        <f>4382.8+(11-1922)+(-11.17614+(-0.02805--4.9011))+0--69.8-0.17798999999999</f>
        <v>2535.1189200000003</v>
      </c>
      <c r="H186" s="3">
        <f>4515.5+(11-1931)+(-2.302905+(-0.00561--0.98481))+0--70.8-0.0361079999999928</f>
        <v>2664.9401870000006</v>
      </c>
      <c r="I186" s="3">
        <f>4487.5+(10-1941.8)+(-4.57725+(-0.0102--1.980636))+0--70.8-0.0722160000000113</f>
        <v>2623.8209699999998</v>
      </c>
      <c r="J186" s="3">
        <f>4373.9+(10-1877.2)+(2.230689+(0.0051-0.957372))+0--71.8--0.0366179999999927</f>
        <v>2579.8150350000001</v>
      </c>
      <c r="K186" s="3">
        <f>4135.7+(10-1739.4)+(-12.655242+(-0.0306--5.322564))+0--70.9-0.216954000000008</f>
        <v>2469.619768</v>
      </c>
      <c r="L186" s="3">
        <f>3568.5+(10-1359.2)+(-1.819935+(-0.0051--0.693192))+0--70.9-0.0361589999999928</f>
        <v>2289.0319980000004</v>
      </c>
      <c r="M186" s="3">
        <f>3592.2+(10-1395.2)+(1.832022+(0.0051-0.711552))+0--70.9--0.0361589999999928</f>
        <v>2279.061729</v>
      </c>
      <c r="N186" s="3">
        <f>4020.2+(10-1759.4)+(-6.150906+(-0.0153--2.691882))+0--70.8-0.108324000000004</f>
        <v>2338.0173520000003</v>
      </c>
      <c r="O186" s="3">
        <f>4249.7+(10-1887.2)+(-13.004082+(-0.0306--5.774832))+0--70.7-0.216342000000008</f>
        <v>2435.7238079999997</v>
      </c>
      <c r="P186" s="3">
        <f>4303.4+(28-1812.9)+(-8.778936+(-0.05712--3.698316))+0--70.7-0.144227999999997</f>
        <v>2583.9180319999991</v>
      </c>
      <c r="Q186" s="3">
        <f>4305.7+(10-1691.3)+(8.783628+(0.0204-3.450252))+0--70.6--0.144023999999997</f>
        <v>2700.4977999999996</v>
      </c>
      <c r="R186" s="3">
        <f>4360.2+(11.6-1608.9)+(2.223702+(0.005916-0.820539))+0--65.6--0.0334559999999933</f>
        <v>2829.9425349999997</v>
      </c>
      <c r="S186" s="3">
        <f>4386.5+(33.2-1577.9)+(2.237115+(0.016932-0.804729))+0--65.7--0.0335069999999933</f>
        <v>2908.982825</v>
      </c>
      <c r="T186" s="3">
        <f>4526.4+(31.9-1725.1)+(-9.233856+(-0.065076--3.519204))+0--66.6-0.135863999999997</f>
        <v>2893.8844079999999</v>
      </c>
      <c r="U186" s="3">
        <f>4628+(11.2-1818.9)+(-9.44112+(-0.022848--3.710556))+0--67.2-0.137087999999997</f>
        <v>2881.6095</v>
      </c>
      <c r="V186" s="3">
        <f>4617.7+(10.4-1990.9)+(-16.485189+(-0.037128--7.107513))+0--67.7-0.241689000000001</f>
        <v>2695.2435069999997</v>
      </c>
      <c r="W186" s="3">
        <f>4366.3+(11-1935.7)+(-2.226813+(-0.00561--0.987207))+0--68.2-0.0347819999999931</f>
        <v>2508.5200020000002</v>
      </c>
      <c r="X186" s="3">
        <f>4423+(12.6-1811.4)+(-4.51146+(-0.012852--1.847628))+0--68.1-0.0694620000000108</f>
        <v>2689.5538539999998</v>
      </c>
      <c r="Y186" s="3">
        <f>4741.7+(12.6-1986.8)+(-7.254801+(-0.019278--3.039804))+0--68.4-0.104652000000004</f>
        <v>2831.5610730000003</v>
      </c>
      <c r="Z186" s="3">
        <f>4704.5+(12.2-1923.1)+(-9.59718+(-0.024888--3.923124))+0--68.3-0.139331999999997</f>
        <v>2856.0617240000001</v>
      </c>
      <c r="AA186" s="3">
        <f>4635.4+(11.8-1862.4)+(-9.456216+(-0.024072--3.799296))+0--68.5-0.139739999999997</f>
        <v>2847.4792679999991</v>
      </c>
      <c r="AB186" s="3">
        <f>4626.9+(11.2-1835.2)+(-4.719438+(-0.011424--1.871904))+0--68.7-0.070074000000011</f>
        <v>2868.6709679999994</v>
      </c>
      <c r="AC186" s="3">
        <f>4572.5+(10.8-1782.5)+(-13.99185+(-0.033048--5.45445))+0--68.4-0.209304000000008</f>
        <v>2860.4202480000004</v>
      </c>
      <c r="AD186" s="2">
        <v>2833.6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4295+(37.1-1559.9)+(0+(0-0))+0-5-0</f>
        <v>2767.2</v>
      </c>
      <c r="G187" s="3">
        <f>4211.1+(18-1563.3)+(-6.442983+(-0.02754--2.391849))+0-5--0.00765000000000029</f>
        <v>2656.7289760000003</v>
      </c>
      <c r="H187" s="3">
        <f>4229.2+(18-1646.2)+(-4.313784+(-0.01836--1.679124))+0-4.9--0.00499800000000078</f>
        <v>2593.4519779999996</v>
      </c>
      <c r="I187" s="3">
        <f>4119.2+(18-1580)+(-6.302376+(-0.02754--2.4174))+0-4.8--0.00734400000000028</f>
        <v>2548.4948279999999</v>
      </c>
      <c r="J187" s="3">
        <f>3883.6+(18-1400.8)+(0+(0-0))+0-4.8-0</f>
        <v>2496</v>
      </c>
      <c r="K187" s="3">
        <f>3822.5+(24-1460.8)+(-3.89895+(-0.02448--1.490016))+0-4.8--0.00489600000000077</f>
        <v>2378.4714819999995</v>
      </c>
      <c r="L187" s="3">
        <f>3808.3+(32-1630.2)+(0+(0-0))+0--71-0</f>
        <v>2281.1000000000004</v>
      </c>
      <c r="M187" s="3">
        <f>4138.7+(29-1886.6)+(-2.110737+(-0.01479--0.962166))+0--70.1-0.0357509999999929</f>
        <v>2350.000888</v>
      </c>
      <c r="N187" s="3">
        <f>4506.3+(19-2071.7)+(-4.596426+(-0.01938--2.113134))+0--67.3-0.0686460000000107</f>
        <v>2518.3286820000003</v>
      </c>
      <c r="O187" s="3">
        <f>4707.8+(17-2123.7)+(4.801956+(0.01734-2.166174))+0--66.1--0.0674220000000105</f>
        <v>2669.9205440000005</v>
      </c>
      <c r="P187" s="3">
        <f>4906.6+(19-2286.6)+(-2.502366+(-0.00969--1.166166))+0--175.8-0.0896579999999822</f>
        <v>2813.3644520000007</v>
      </c>
      <c r="Q187" s="3">
        <f>4872.8+(20-2111.2)+(-2.485128+(-0.0102--1.076712))+0--167.7-0.085526999999983</f>
        <v>2947.7958570000001</v>
      </c>
      <c r="R187" s="3">
        <f>4840.3+(17-1947)+(-4.937106+(-0.01734--1.98594))+0--159.4-0.162588000000025</f>
        <v>3066.568906</v>
      </c>
      <c r="S187" s="3">
        <f>4819.8+(24.9-1814.6)+(-7.374294+(-0.038097--2.776338))+0--194.1-0.296973000000011</f>
        <v>3219.2669740000001</v>
      </c>
      <c r="T187" s="3">
        <f>4819.8+(34.4-1805.3)+(-7.374294+(-0.052632--2.762109))+0--193.9-0.296667000000011</f>
        <v>3237.8385160000007</v>
      </c>
      <c r="U187" s="3">
        <f>4811.9+(16-1852.4)+(-7.362207+(-0.02448--2.834172))+0--194.7-0.297891000000011</f>
        <v>3165.3495939999993</v>
      </c>
      <c r="V187" s="3">
        <f>4796+(16-2070.1)+(-12.2298+(-0.0408--5.278755))+0--197.9-0.504644999999971</f>
        <v>2932.3035100000002</v>
      </c>
      <c r="W187" s="3">
        <f>4512.1+(31.6-2043.2)+(-6.903513+(-0.048348--3.126096))+0--198.3-0.303399000000011</f>
        <v>2694.6708360000002</v>
      </c>
      <c r="X187" s="3">
        <f>4771.1+(18-2151.8)+(0+(0-0))+0--199.3-0</f>
        <v>2836.6000000000004</v>
      </c>
      <c r="Y187" s="3">
        <f>4893.1+(18-2142.9)+(-12.477405+(-0.0459--5.464395))+0--200.3-0.510764999999971</f>
        <v>2960.9303250000003</v>
      </c>
      <c r="Z187" s="3">
        <f>4801.6+(18-1946)+(-9.795264+(-0.03672--3.96984))+0--79-0.161159999999997</f>
        <v>2946.5766960000001</v>
      </c>
      <c r="AA187" s="3">
        <f>4316.7+(17-1457.9)+(-8.806068+(-0.03468--2.974116))+0--72.2-0.147287999999997</f>
        <v>2941.9860799999992</v>
      </c>
      <c r="AB187" s="3">
        <f>3969.9+(41.8-1274.2)+(-8.098596+(-0.085272--2.599368))+0--72.9-0.148715999999997</f>
        <v>2804.666784</v>
      </c>
      <c r="AC187" s="3">
        <f>3816.8+(65.8-1047.2)+(-5.839704+(-0.100674--1.602216))+0--71.3-0.109089000000004</f>
        <v>2902.2527490000002</v>
      </c>
      <c r="AD187" s="2">
        <v>2965.2000000000003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3772.7+(52.1-1112.8)+(-1.924077+(-0.026571--0.567528))+0--72.9-0.0371789999999926</f>
        <v>2783.4797010000002</v>
      </c>
      <c r="G188" s="3">
        <f>3827.3+(15.2-1211.1)+(-7.807692+(-0.031008--2.470644))+0--74.8-0.152591999999997</f>
        <v>2700.679352000001</v>
      </c>
      <c r="H188" s="3">
        <f>3623.3+(31.4-1081.2)+(-5.543649+(-0.048042--1.654236))+0--60.8-0.0930240000000035</f>
        <v>2630.2695210000002</v>
      </c>
      <c r="I188" s="3">
        <f>3609.6+(36.3-1131.6)+(-5.522688+(-0.055539--1.731348))+0--68.8-0.105264000000004</f>
        <v>2579.1478570000004</v>
      </c>
      <c r="J188" s="3">
        <f>3475.7+(54.2-1049)+(3.545214+(0.055284-1.06998))+0--69.8--0.0711960000000111</f>
        <v>2553.3017139999997</v>
      </c>
      <c r="K188" s="3">
        <f>3357.4+(100.8-1094.5)+(-5.136822+(-0.154224--1.674585))+0--69.8-0.106794000000004</f>
        <v>2429.7767450000001</v>
      </c>
      <c r="L188" s="3">
        <f>2962.6+(115.3-873.7)+(3.021852+(0.117606-0.891174))+0--70.8--0.0722160000000113</f>
        <v>2277.3204999999998</v>
      </c>
      <c r="M188" s="3">
        <f>2982.1+(163.7-862.2)+(3.041742+(0.166974-0.879444))+15--67.8--0.0691560000000108</f>
        <v>2368.7984280000001</v>
      </c>
      <c r="N188" s="3">
        <f>3032.3+(150.4-770.8)+(1.546473+(0.076704-0.393108))+15--68.8--0.035087999999993</f>
        <v>2496.9651570000005</v>
      </c>
      <c r="O188" s="3">
        <f>3354.2+(30.2-849.9)+(-1.710642+(-0.015402--0.433449))+15--65.8-0.0335579999999933</f>
        <v>2613.9738470000002</v>
      </c>
      <c r="P188" s="3">
        <f>3457.3+(37.2-834.3)+(-5.289669+(-0.056916--1.276479))+10--62.8-0.0960840000000036</f>
        <v>2728.8338100000005</v>
      </c>
      <c r="Q188" s="3">
        <f>3578.1+(89.5-856.9)+(-1.824831+(-0.045645--0.437019))+0--63.4-0.0323339999999936</f>
        <v>2872.6342089999998</v>
      </c>
      <c r="R188" s="3">
        <f>3840.5+(125.5-1005.8)+(5.875965+(0.192015-1.538874))+0--61.7--0.0944010000000036</f>
        <v>3026.5235069999994</v>
      </c>
      <c r="S188" s="3">
        <f>3818.5+(201-904.6)+(3.89487+(0.20502-0.922692))+0--61.2--0.0624240000000098</f>
        <v>3179.339622</v>
      </c>
      <c r="T188" s="3">
        <f>3817.7+(159-844.2)+(-3.894054+(-0.16218--0.861084))+0--61.1-0.0623220000000097</f>
        <v>3190.3425279999997</v>
      </c>
      <c r="U188" s="3">
        <f>3827.4+(113.1-871.4)+(-9.75987+(-0.288405--2.22207))+0--61.4-0.156569999999991</f>
        <v>3122.5172250000005</v>
      </c>
      <c r="V188" s="3">
        <f>3841+(15-1010.3)+(-9.79455+(-0.03825--2.576265))+0--63.2-0.161159999999991</f>
        <v>2901.4823049999995</v>
      </c>
      <c r="W188" s="3">
        <f>3714.5+(25.6-1120.2)+(-3.78879+(-0.026112--1.142604))+0--63.2-0.0644640000000101</f>
        <v>2680.3632379999995</v>
      </c>
      <c r="X188" s="3">
        <f>3870.8+(18-1113.3)+(-1.974108+(-0.00918--0.567783))+0--63.1-0.0321809999999936</f>
        <v>2837.1523139999999</v>
      </c>
      <c r="Y188" s="3">
        <f>4249.5+(18-1369.5)+(-8.66898+(-0.03672--2.79378))+0--63.4-0.129335999999997</f>
        <v>2955.3587440000001</v>
      </c>
      <c r="Z188" s="3">
        <f>4317.4+(18-1449.4)+(-6.605622+(-0.02754--2.217582))+0--64.3-0.0983790000000037</f>
        <v>2945.7860409999998</v>
      </c>
      <c r="AA188" s="3">
        <f>4460.3+(17-1571.1)+(-13.648518+(-0.05202--4.807566))+0--64.3-0.196758000000007</f>
        <v>2961.4102700000003</v>
      </c>
      <c r="AB188" s="3">
        <f>4535.1+(17-1656.7)+(-6.938703+(-0.02601--2.534751))+0--64.5-0.0986850000000037</f>
        <v>2955.3713530000005</v>
      </c>
      <c r="AC188" s="3">
        <f>4531.4+(16-1690)+(0+(0-0))+0--66.2-0</f>
        <v>2923.5999999999995</v>
      </c>
      <c r="AD188" s="2">
        <v>2860.1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4330.2+(25-1552.4)+(-2.208402+(-0.01275--0.791724))+0--64.3-0.0327929999999935</f>
        <v>2865.6377790000001</v>
      </c>
      <c r="G189" s="3">
        <f>4203.7+(24-1520.8)+(-8.575548+(-0.04896--3.102432))+0--64.6-0.131783999999997</f>
        <v>2765.8461399999992</v>
      </c>
      <c r="H189" s="3">
        <f>4248.1+(24-1640.4)+(-2.166531+(-0.01224--0.836604))+0--64.9-0.0330989999999934</f>
        <v>2695.2247340000004</v>
      </c>
      <c r="I189" s="3">
        <f>4271.5+(24-1696.4)+(-4.35693+(-0.02448--1.730328))+0--65-0.0663000000000104</f>
        <v>2661.3826180000001</v>
      </c>
      <c r="J189" s="3">
        <f>4107.8+(23-1607.5)+(6.284934+(0.03519-2.459475))+0--65--0.0994500000000038</f>
        <v>2592.2600990000005</v>
      </c>
      <c r="K189" s="3">
        <f>4051.2+(23-1630.1)+(-6.198336+(-0.03519--2.494053))+0--67.6-0.103428000000004</f>
        <v>2507.8570989999998</v>
      </c>
      <c r="L189" s="3">
        <f>3888.2+(24-1677.7)+(-1.982982+(-0.01224--0.855627))+0--67.3-0.0343229999999932</f>
        <v>2300.6260820000002</v>
      </c>
      <c r="M189" s="3">
        <f>3893.3+(25-1594.2)+(7.942332+(0.051-3.252168))+0--67--0.136679999999997</f>
        <v>2395.9778440000005</v>
      </c>
      <c r="N189" s="3">
        <f>4107.1+(23-1684.9)+(-2.094621+(-0.01173--0.859299))+0--66-0.0336599999999933</f>
        <v>2509.9192880000001</v>
      </c>
      <c r="O189" s="3">
        <f>4197.9+(30-1665.9)+(2.140929+(0.0153-0.849609))+0--65--0.0331499999999934</f>
        <v>2628.3397699999996</v>
      </c>
      <c r="P189" s="3">
        <f>4455+(23-1790.6)+(0+(0-0))+0--63.1-0</f>
        <v>2750.5</v>
      </c>
      <c r="Q189" s="3">
        <f>4779.7+(23-1908.2)+(4.875294+(0.02346-1.946364))+0--61.7--0.0629340000000098</f>
        <v>2959.2153239999998</v>
      </c>
      <c r="R189" s="3">
        <f>4786.4+(5-1799.6)+(-7.323192+(-0.00765--2.753388))+0--65.3-0.0999090000000038</f>
        <v>3052.4226369999997</v>
      </c>
      <c r="S189" s="3">
        <f>4788+(5-1673.8)+(-7.32564+(-0.00765--2.560914))+0--63.8-0.0976140000000037</f>
        <v>3178.1300100000003</v>
      </c>
      <c r="T189" s="3">
        <f>4789.2+(5-1642.1)+(-12.21246+(-0.01275--4.187355))+0--64.4-0.164219999999991</f>
        <v>3208.2979249999999</v>
      </c>
      <c r="U189" s="3">
        <f>4757+(5-1692.8)+(-14.55642+(-0.0153--5.179968))+0--65.5-0.200430000000008</f>
        <v>3125.107818</v>
      </c>
      <c r="V189" s="3">
        <f>4650.8+(5-1801.2)+(-16.603356+(-0.01785--6.430284))+0--65.9-0.235263000000001</f>
        <v>2910.0738150000006</v>
      </c>
      <c r="W189" s="3">
        <f>4449.6+(21-1883.6)+(-4.538592+(-0.02142--1.921272))+0--66.7-0.0680340000000106</f>
        <v>2650.9932260000005</v>
      </c>
      <c r="X189" s="3">
        <f>4823.1+(5-2055)+(-7.379343+(-0.00765--3.14415))+0--67.1-0.102663000000004</f>
        <v>2835.8544940000002</v>
      </c>
      <c r="Y189" s="3">
        <f>4894+(5-2043.9)+(-9.98376+(-0.0102--4.169556))+0--67.7-0.138107999999997</f>
        <v>2916.8374879999997</v>
      </c>
      <c r="Z189" s="3">
        <f>4760.6+(5-1931.7)+(-12.13953+(-0.01275--4.925835))+0--68.1-0.17365499999999</f>
        <v>2894.5999000000006</v>
      </c>
      <c r="AA189" s="3">
        <f>4711.2+(5-1872.3)+(-14.416272+(-0.0153--5.729238))+0--67.9-0.207774000000008</f>
        <v>2902.8898919999997</v>
      </c>
      <c r="AB189" s="3">
        <f>4719.1+(5-1891.7)+(-9.626964+(-0.0102--3.859068))+0--67.8-0.138311999999997</f>
        <v>2894.2835920000007</v>
      </c>
      <c r="AC189" s="3">
        <f>4728.6+(4-1935.3)+(-12.05793+(-0.0102--4.935015))+0--67.8-0.17288999999999</f>
        <v>2857.7939950000005</v>
      </c>
      <c r="AD189" s="2">
        <v>2942.4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4742.1+(24-2021.4)+(-2.418471+(-0.01224--1.030914))+0--67-0.0341699999999932</f>
        <v>2810.2660330000003</v>
      </c>
      <c r="G190" s="3">
        <f>4672.7+(24-2028.8)+(-4.766154+(-0.02448--2.069376))+0--68-0.0693600000000108</f>
        <v>2733.1093819999996</v>
      </c>
      <c r="H190" s="3">
        <f>4470.1+(24-1881.7)+(-2.279751+(-0.01224--0.959667))+0--67-0.0341699999999932</f>
        <v>2678.0335060000007</v>
      </c>
      <c r="I190" s="3">
        <f>4038.2+(24-1516.8)+(-10.29741+(-0.0612--3.86784))+0--67-0.17084999999999</f>
        <v>2605.7383799999998</v>
      </c>
      <c r="J190" s="3">
        <f>3838.8+(26-1386.1)+(1.957788+(0.01326-0.706911))+0--67--0.0341699999999932</f>
        <v>2546.9983070000003</v>
      </c>
      <c r="K190" s="3">
        <f>3810.9+(39-1480)+(-9.717795+(-0.09945--3.774))+0--67-0.17084999999999</f>
        <v>2430.6859050000003</v>
      </c>
      <c r="L190" s="3">
        <f>3825.8+(45-1646.2)+(-1.951158+(-0.02295--0.839562))+0--68-0.0346799999999931</f>
        <v>2291.4307740000004</v>
      </c>
      <c r="M190" s="3">
        <f>3823.6+(48-1570.9)+(-1.950036+(-0.02448--0.801159))+0--67.2-0.0342719999999932</f>
        <v>2366.6923709999996</v>
      </c>
      <c r="N190" s="3">
        <f>3893.9+(49-1516.8)+(0+(0-0))+0--66-0</f>
        <v>2492.1000000000004</v>
      </c>
      <c r="O190" s="3">
        <f>4019.6+(25-1519.7)+(0+(0-0))+0--64-0</f>
        <v>2588.8999999999996</v>
      </c>
      <c r="P190" s="3">
        <f>4254+(24-1660.5)+(-4.33908+(-0.02448--1.69371))+0--61.6-0.0628320000000098</f>
        <v>2676.3673179999996</v>
      </c>
      <c r="Q190" s="3">
        <f>4422+(25-1718.4)+(-2.25522+(-0.01275--0.876384))+0--62.1-0.0316709999999937</f>
        <v>2789.2767429999994</v>
      </c>
      <c r="R190" s="3">
        <f>4623.1+(11-1807.5)+(-4.715562+(-0.01122--1.84365))+0--64.4-0.0656880000000103</f>
        <v>2888.0511800000004</v>
      </c>
      <c r="S190" s="3">
        <f>4722+(11-1743.4)+(-7.22466+(-0.01683--2.667402))+0--64.7-0.0989910000000037</f>
        <v>3049.626921</v>
      </c>
      <c r="T190" s="3">
        <f>4763+(12-1751.2)+(-2.42913+(-0.00612--0.893112))+0--64.8-0.0330479999999934</f>
        <v>3087.0248140000008</v>
      </c>
      <c r="U190" s="3">
        <f>4738.7+(11-1779.5)+(-12.083685+(-0.02805--4.537725))+0--64.4-0.164219999999991</f>
        <v>3026.86177</v>
      </c>
      <c r="V190" s="3">
        <f>4391.2+(10-1656.6)+(-4.479024+(-0.0102--1.689732))+0--67.3-0.0686460000000107</f>
        <v>2809.0318619999998</v>
      </c>
      <c r="W190" s="3">
        <f>4169.3+(27.9-1686.7)+(-6.379029+(-0.042687--2.580651))+0--66.1-0.101133000000004</f>
        <v>2572.6578019999997</v>
      </c>
      <c r="X190" s="3">
        <f>4362.5+(21.5-1719.2)+(-2.224875+(-0.010965--0.876792))+0--66.2-0.0337619999999933</f>
        <v>2729.6071900000002</v>
      </c>
      <c r="Y190" s="3">
        <f>4577.4+(12-1829.6)+(-14.006844+(-0.03672--5.598576))+0--66.8-0.204408000000008</f>
        <v>2817.9506039999997</v>
      </c>
      <c r="Z190" s="3">
        <f>4512.8+(12-1792.9)+(-2.301528+(-0.00612--0.914379))+0--66.9-0.0341189999999932</f>
        <v>2797.3726120000001</v>
      </c>
      <c r="AA190" s="3">
        <f>4427.4+(11-1691.7)+(-2.257974+(-0.00561--0.862767))+0--67.3-0.0343229999999932</f>
        <v>2812.56486</v>
      </c>
      <c r="AB190" s="3">
        <f>4397.3+(11-1666.2)+(-11.213115+(-0.02805--4.24881))+0--67.6-0.17237999999999</f>
        <v>2802.5352650000004</v>
      </c>
      <c r="AC190" s="3">
        <f>4453.2+(10-1767.3)+(-6.813396+(-0.0153--2.703969))+0--68.6-0.104958000000004</f>
        <v>2760.2703149999998</v>
      </c>
      <c r="AD190" s="2">
        <v>2828.9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4424.7+(14.6-1825.1)+(-9.026388+(-0.029784--3.723204))+0--127.4-0.259895999999994</f>
        <v>2736.0071359999997</v>
      </c>
      <c r="G191" s="3">
        <f>4417.4+(14.5-1907)+(-11.26437+(-0.036975--4.86285))+0--127.5-0.325124999999982</f>
        <v>2645.6363799999999</v>
      </c>
      <c r="H191" s="3">
        <f>4418.4+(13.5-1953.7)+(-11.26692+(-0.034425--4.981935))+0--128.5-0.327674999999981</f>
        <v>2600.0529149999998</v>
      </c>
      <c r="I191" s="3">
        <f>4073.9+(20.5-1677.3)+(-2.077689+(-0.010455--0.855423))+0--128.5-0.065534999999987</f>
        <v>2544.3017440000003</v>
      </c>
      <c r="J191" s="3">
        <f>3966.2+(24.4-1656.1)+(-4.045524+(-0.024888--1.689222))+0--129.6-0.132192000000021</f>
        <v>2461.5866179999998</v>
      </c>
      <c r="K191" s="3">
        <f>3819.6+(32.4-1581.2)+(-9.73998+(-0.08262--4.03206))+0--130.6-0.333029999999981</f>
        <v>2395.2764300000003</v>
      </c>
      <c r="L191" s="3">
        <f>3756.2+(13.4-1679.2)+(0+(0-0))+0--72.3-0</f>
        <v>2162.6999999999998</v>
      </c>
      <c r="M191" s="3">
        <f>4017.2+(15.5-1830.5)+(-2.048772+(-0.007905--0.933555))+0--71-0.0362099999999928</f>
        <v>2272.0406679999996</v>
      </c>
      <c r="N191" s="3">
        <f>4357.4+(14.4-1989.1)+(-4.444548+(-0.014688--2.028882))+0--69.5-0.0708900000000111</f>
        <v>2449.6987559999998</v>
      </c>
      <c r="O191" s="3">
        <f>4605.8+(14.4-2078.5)+(-2.348958+(-0.007344--1.060035))+0--67.9-0.0346289999999931</f>
        <v>2608.2691040000004</v>
      </c>
      <c r="P191" s="3">
        <f>4727.5+(15.4-2210.6)+(4.82205+(0.015708-2.254812))+0--65.4--0.0667080000000104</f>
        <v>2600.3496540000001</v>
      </c>
      <c r="Q191" s="3">
        <f>4697.9+(15.4-2063.9)+(0+(0-0))+0--64.7-0</f>
        <v>2714.0999999999995</v>
      </c>
      <c r="R191" s="3">
        <f>4683.1+(16-1914.7)+(2.388381+(0.00816-0.976497))+0--66.1--0.0337109999999933</f>
        <v>2851.9537550000005</v>
      </c>
      <c r="S191" s="3">
        <f>4666.5+(15-1751.6)+(4.75983+(0.0153-1.786632))+0--66.1--0.0674220000000105</f>
        <v>2999.0559200000002</v>
      </c>
      <c r="T191" s="3">
        <f>4642.9+(15-1706.3)+(-4.735758+(-0.0153--1.740426))+0--66.8-0.0681360000000106</f>
        <v>3015.3212319999998</v>
      </c>
      <c r="U191" s="3">
        <f>4625.1+(16-1753.7)+(-16.511607+(-0.05712--6.260709))+0--66.7-0.238119000000001</f>
        <v>2943.5538630000001</v>
      </c>
      <c r="V191" s="3">
        <f>4472.6+(14-1819.6)+(-4.562052+(-0.01428--1.855992))+0--66.8-0.0681360000000106</f>
        <v>2731.0115240000009</v>
      </c>
      <c r="W191" s="3">
        <f>4255.1+(28-1809.8)+(0+(0-0))+0--67.8-0</f>
        <v>2541.1000000000004</v>
      </c>
      <c r="X191" s="3">
        <f>4563.2+(17-1926.9)+(-2.327232+(-0.00867--0.982719))+0--67.5-0.0344249999999932</f>
        <v>2719.4123919999997</v>
      </c>
      <c r="Y191" s="3">
        <f>4602.7+(17-1866.3)+(-9.389508+(-0.03468--3.807252))+0--67.9-0.138515999999997</f>
        <v>2815.5445479999998</v>
      </c>
      <c r="Z191" s="3">
        <f>3963.4+(53.3-1306.8)+(-4.042668+(-0.054366--1.332936))+0--68.1-0.0694620000000108</f>
        <v>2775.16644</v>
      </c>
      <c r="AA191" s="3">
        <f>3902.5+(59.8-1261.1)+(-1.990275+(-0.030498--0.643161))+0--68.6-0.034985999999993</f>
        <v>2768.3874019999994</v>
      </c>
      <c r="AB191" s="3">
        <f>3881.4+(71-1266.3)+(-13.856598+(-0.25347--4.520691))+0--69.9-0.249543000000001</f>
        <v>2746.1610800000008</v>
      </c>
      <c r="AC191" s="3">
        <f>3790.7+(91.7-1229.7)+(1.933257+(0.046767-0.627147))+0--69.9--0.0356489999999929</f>
        <v>2723.9885259999996</v>
      </c>
      <c r="AD191" s="2">
        <v>2771.2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3786.9+(95.5-1282.3)+(-5.793957+(-0.146115--1.961919))+0--69.7-0.106641000000004</f>
        <v>2665.7152060000003</v>
      </c>
      <c r="G192" s="3">
        <f>3812.3+(76.2-1387.4)+(-5.832819+(-0.116586--2.122722))+0--69.4-0.106182000000004</f>
        <v>2566.5671350000007</v>
      </c>
      <c r="H192" s="3">
        <f>3817.5+(59.2-1446.3)+(-9.734625+(-0.15096--3.688065))+0--71-0.18104999999999</f>
        <v>2495.0214299999998</v>
      </c>
      <c r="I192" s="3">
        <f>3814.3+(25.3-1458)+(-3.890586+(-0.025806--1.48716))+0--70.3-0.0717060000000112</f>
        <v>2449.3990620000004</v>
      </c>
      <c r="J192" s="3">
        <f>3818.6+(28.6-1498.4)+(0+(0-0))+0--69.3-0</f>
        <v>2418.1</v>
      </c>
      <c r="K192" s="3">
        <f>3817.2+(16-1577.6)+(-5.840316+(-0.02448--2.413728))+0--68.7-0.105111000000004</f>
        <v>2320.743821</v>
      </c>
      <c r="L192" s="3">
        <f>3663+(17-1555.8)+(1.86813+(0.00867-0.793458))+0--70--0.0356999999999929</f>
        <v>2195.3190419999996</v>
      </c>
      <c r="M192" s="3">
        <f>3860.6+(17-1673)+(-1.968906+(-0.00867--0.85323))+0--68.9-0.035138999999993</f>
        <v>2272.3405149999999</v>
      </c>
      <c r="N192" s="3">
        <f>4279.6+(18-1964.4)+(-4.365192+(-0.01836--2.003688))+0--66.6-0.0679320000000106</f>
        <v>2397.3522040000003</v>
      </c>
      <c r="O192" s="3">
        <f>4730.6+(18-2320.3)+(-2.412606+(-0.00918--1.183353))+0--64.8-0.0330479999999934</f>
        <v>2491.8285190000006</v>
      </c>
      <c r="P192" s="3">
        <f>4641.4+(18-2139.6)+(4.734228+(0.01836-2.182392))+0--64--0.0652800000000102</f>
        <v>2586.4354759999997</v>
      </c>
      <c r="Q192" s="3">
        <f>4632.2+(18-2015.6)+(7.087266+(0.02754-3.083868))+0--63.5--0.0971550000000037</f>
        <v>2702.2280929999997</v>
      </c>
      <c r="R192" s="3">
        <f>4619.4+(34.1-1883.3)+(-7.067682+(-0.052173--2.881449))+0--62.6-0.0957780000000036</f>
        <v>2828.4658159999999</v>
      </c>
      <c r="S192" s="3">
        <f>4590.3+(65.4-1813.1)+(0+(0-0))+0--62.8-0</f>
        <v>2905.4000000000005</v>
      </c>
      <c r="T192" s="3">
        <f>4594.7+(53.3-1810.2)+(-7.029891+(-0.081549--2.769606))+0--63.9-0.0977670000000037</f>
        <v>2897.2603989999998</v>
      </c>
      <c r="U192" s="3">
        <f>4612+(19-1884)+(-14.11272+(-0.05814--5.76504))+0--64.3-0.196758000000007</f>
        <v>2802.6974220000002</v>
      </c>
      <c r="V192" s="3">
        <f>4588.7+(18-2085.1)+(-14.041422+(-0.05508--6.380406))+0--66-0.201960000000008</f>
        <v>2579.6819439999999</v>
      </c>
      <c r="W192" s="3">
        <f>4495.6+(18-2141.7)+(-9.171024+(-0.03672--4.369068))+0--66.4-0.135455999999997</f>
        <v>2433.3258680000008</v>
      </c>
      <c r="X192" s="3">
        <f>4527.3+(20-1957.2)+(0+(0-0))+0--66.3-0</f>
        <v>2656.4000000000005</v>
      </c>
      <c r="Y192" s="3">
        <f>3940.7+(46.2-1334)+(-18.087813+(-0.212058--6.12306))+0--67.3-0.308907000000012</f>
        <v>2707.7142819999999</v>
      </c>
      <c r="Z192" s="3">
        <f>3703.1+(69.8-1180.9)+(-9.442905+(-0.17799--3.011295))+0--67.8-0.17288999999999</f>
        <v>2653.0175100000006</v>
      </c>
      <c r="AA192" s="3">
        <f>3720.6+(58.7-1201.5)+(-5.692518+(-0.089811--1.838295))+0--68.2-0.104346000000004</f>
        <v>2641.9516199999998</v>
      </c>
      <c r="AB192" s="3">
        <f>3716+(60.1-1203.6)+(-5.68548+(-0.091953--1.841508))+0--67.9-0.103887000000004</f>
        <v>2636.3601879999997</v>
      </c>
      <c r="AC192" s="3">
        <f>3694.1+(71.2-1204.8)+(-5.651973+(-0.108936--1.843344))+0--68.1-0.104193000000004</f>
        <v>2624.5782419999996</v>
      </c>
      <c r="AD192" s="2">
        <v>2681.5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3636.1+(68.3-1170.2)+(-7.417644+(-0.139332--2.387208))+0--67.3-0.137291999999997</f>
        <v>2596.1929399999999</v>
      </c>
      <c r="G193" s="3">
        <f>3632.7+(28.8-1195)+(1.852677+(0.014688-0.60945))+0--67.9--0.0346289999999931</f>
        <v>2535.692544</v>
      </c>
      <c r="H193" s="3">
        <f>3630.6+(17-1242.3)+(-1.851606+(-0.00867--0.633573))+0--67.3-0.0343229999999932</f>
        <v>2471.3389740000007</v>
      </c>
      <c r="I193" s="3">
        <f>3586.1+(17-1256.4)+(-5.486733+(-0.02601--1.922292))+0--67.5-0.103275000000004</f>
        <v>2410.5062739999998</v>
      </c>
      <c r="J193" s="3">
        <f>3403.7+(20.4-1129.1)+(-1.735887+(-0.010404--0.575841))+0--66.6-0.0339659999999932</f>
        <v>2360.3955839999999</v>
      </c>
      <c r="K193" s="3">
        <f>2997.4+(55.2-853)+(-7.64337+(-0.14076--2.17515))+0--66.4-0.16931999999999</f>
        <v>2260.2217000000005</v>
      </c>
      <c r="L193" s="3">
        <f>2624.5+(39.6-644.5)+(0+(0-0))+0--68.3-0</f>
        <v>2087.9</v>
      </c>
      <c r="M193" s="3">
        <f>2582.7+(71.8-631)+(-7.903062+(-0.219708--1.93086))+0--69-0.211140000000008</f>
        <v>2086.0969499999997</v>
      </c>
      <c r="N193" s="3">
        <f>2793.1+(39.3-763.7)+(-1.424481+(-0.020043--0.389487))+0--66.5-0.0339149999999933</f>
        <v>2134.1110479999998</v>
      </c>
      <c r="O193" s="3">
        <f>3112.7+(16-989.3)+(-4.762431+(-0.02448--1.513629))+0--63.8-0.0976140000000037</f>
        <v>2199.8291039999999</v>
      </c>
      <c r="P193" s="3">
        <f>3308.6+(16-1079)+(-5.062158+(-0.02448--1.65087))+0--62.3-0.0953190000000036</f>
        <v>2304.3689130000002</v>
      </c>
      <c r="Q193" s="3">
        <f>3402.9+(55.7-1103.8)+(-3.470958+(-0.056814--1.125876))+0--62.5-0.06375000000001</f>
        <v>2414.8343540000005</v>
      </c>
      <c r="R193" s="3">
        <f>3405.4+(113.3-1030.8)+(3.473508+(0.115566-1.051416))+0--63.4--0.0646680000000101</f>
        <v>2553.9023260000004</v>
      </c>
      <c r="S193" s="3">
        <f>3402.2+(173.1-981.8)+(-5.205366+(-0.264843--1.502154))+0--63.5-0.0971550000000037</f>
        <v>2652.9347900000002</v>
      </c>
      <c r="T193" s="3">
        <f>3404+(144.9-943.6)+(-5.20812+(-0.221697--1.443708))+0--62.3-0.0953190000000036</f>
        <v>2663.5185720000004</v>
      </c>
      <c r="U193" s="3">
        <f>3357.4+(93.3-916.4)+(-8.56137+(-0.237915--2.33682))+0--62.6-0.159629999999991</f>
        <v>2590.2779049999999</v>
      </c>
      <c r="V193" s="3">
        <f>3359.5+(18-1011.1)+(-8.566725+(-0.0459--2.578305))+0--62.7-0.159884999999991</f>
        <v>2422.9057949999997</v>
      </c>
      <c r="W193" s="3">
        <f>3350.3+(18-1160.7)+(-3.417306+(-0.01836--1.183914))+0--63.1-0.0643620000000101</f>
        <v>2268.3838860000001</v>
      </c>
      <c r="X193" s="3">
        <f>3486.3+(20-1115.5)+(-1.778013+(-0.0102--0.568905))+0--63.4-0.0323339999999936</f>
        <v>2452.9483580000001</v>
      </c>
      <c r="Y193" s="3">
        <f>3550.2+(44.2-1126)+(-3.621204+(-0.045084--1.14852))+0--63.6-0.0648720000000101</f>
        <v>2529.4173599999995</v>
      </c>
      <c r="Z193" s="3">
        <f>3550.1+(63.7-1138.1)+(-9.052755+(-0.162435--2.902155))+0--64.7-0.164984999999991</f>
        <v>2533.9219799999996</v>
      </c>
      <c r="AA193" s="3">
        <f>3515.2+(82.7-1112.6)+(-1.792752+(-0.042177--0.567426))+0--65.5-0.0334049999999934</f>
        <v>2549.499092</v>
      </c>
      <c r="AB193" s="3">
        <f>3521.3+(107.2-1088.7)+(-8.979315+(-0.27336--2.776185))+0--66.1-0.16855499999999</f>
        <v>2599.2549549999999</v>
      </c>
      <c r="AC193" s="3">
        <f>3480.7+(110.9-1075.1)+(-3.550314+(-0.113118--1.096602))+0--66.5-0.0678300000000106</f>
        <v>2580.3653399999998</v>
      </c>
      <c r="AD193" s="2">
        <v>2516.2000000000003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3489.4+(70.2-1129.5)+(-8.89797+(-0.17901--2.880225))+0--69.6-0.17747999999999</f>
        <v>2493.3257650000005</v>
      </c>
      <c r="G194" s="3">
        <f>3400.1+(46.1-1093.1)+(-5.202153+(-0.070533--1.672443))+0--69.3-0.106029000000004</f>
        <v>2418.6937280000002</v>
      </c>
      <c r="H194" s="3">
        <f>3273.1+(51.9-1032.5)+(-8.346405+(-0.132345--2.632875))+0--68.3-0.17416499999999</f>
        <v>2354.7799600000003</v>
      </c>
      <c r="I194" s="3">
        <f>3130.2+(79.9-972)+(-6.385608+(-0.162996--1.98288))+0--70-0.142799999999997</f>
        <v>2303.3914759999998</v>
      </c>
      <c r="J194" s="3">
        <f>2983+(79.5-873.1)+(-4.56399+(-0.121635--1.335843))+0--68.6-0.104958000000004</f>
        <v>2254.5452600000003</v>
      </c>
      <c r="K194" s="3">
        <f>2848.2+(45.5-793)+(-1.452582+(-0.023205--0.40443))+0--69.7-0.0355469999999929</f>
        <v>2169.2930959999999</v>
      </c>
      <c r="L194" s="3">
        <f>2512+(91.6-641.9)+(3.84336+(0.140148-0.982107))+0--69.8--0.106794000000004</f>
        <v>2034.608195</v>
      </c>
      <c r="M194" s="3">
        <f>2670.9+(57.3-670.5)+(4.086477+(0.087669-1.025865))+0--68.9--0.105417000000004</f>
        <v>2129.8536980000003</v>
      </c>
      <c r="N194" s="3">
        <f>3069.9+(27.3-885.5)+(0+(0-0))+0--69-0</f>
        <v>2280.6999999999998</v>
      </c>
      <c r="O194" s="3">
        <f>3264.6+(15.5-973.6)+(0+(0-0))+0--66.8-0</f>
        <v>2373.3000000000002</v>
      </c>
      <c r="P194" s="3">
        <f>3518.4+(26.5-1140.4)+(0+(0-0))+0--65.9-0</f>
        <v>2470.4</v>
      </c>
      <c r="Q194" s="3">
        <f>3576.9+(66.7-1112.2)+(-5.472657+(-0.102051--1.701666))+0--63.9-0.0977670000000037</f>
        <v>2591.3291909999998</v>
      </c>
      <c r="R194" s="3">
        <f>3561.5+(122-1055.4)+(-10.89819+(-0.37332--3.229524))+0--64.8-0.198288000000007</f>
        <v>2684.6597259999999</v>
      </c>
      <c r="S194" s="3">
        <f>3556.5+(194.3-973.8)+(-3.62763+(-0.198186--0.993276))+0--64.8-0.0660960000000103</f>
        <v>2838.9013640000003</v>
      </c>
      <c r="T194" s="3">
        <f>3583.4+(197.3-987.1)+(-1.827534+(-0.100623--0.503421))+0--69.9-0.0356489999999929</f>
        <v>2862.0396150000006</v>
      </c>
      <c r="U194" s="3">
        <f>3607.9+(90.9-946.5)+(-3.680058+(-0.092718--0.96543))+0--64.1-0.0653820000000102</f>
        <v>2813.5272719999998</v>
      </c>
      <c r="V194" s="3">
        <f>3617.2+(15.6-1098.3)+(-5.534316+(-0.023868--1.680399))+0--63.2-0.0966960000000037</f>
        <v>2593.7255189999996</v>
      </c>
      <c r="W194" s="3">
        <f>3645.1+(15.5-1305.2)+(7.436004+(0.03162-2.662608))+0--64.1--0.130763999999997</f>
        <v>2424.4357799999993</v>
      </c>
      <c r="X194" s="3">
        <f>3702.1+(16.6-1181.3)+(3.776142+(0.016932-1.204926))+0--65.9--0.0672180000000105</f>
        <v>2605.9553659999997</v>
      </c>
      <c r="Y194" s="3">
        <f>3736.6+(47.8-1180.6)+(3.811332+(0.048756-1.204212))+0--66--0.0673200000000105</f>
        <v>2672.5231960000001</v>
      </c>
      <c r="Z194" s="3">
        <f>3715.7+(34.9-1166.2)+(0+(0-0))+0--66.5-0</f>
        <v>2650.8999999999996</v>
      </c>
      <c r="AA194" s="3">
        <f>3695.5+(59.4-1161.1)+(1.884705+(0.030294-0.592161))+0--67.9--0.0346289999999931</f>
        <v>2663.0574670000001</v>
      </c>
      <c r="AB194" s="3">
        <f>3691.7+(36.5-1141.9)+(-9.413835+(-0.093075--2.911845))+0--67.4-0.17186999999999</f>
        <v>2646.9330649999997</v>
      </c>
      <c r="AC194" s="3">
        <f>3690.9+(30.9-1190.5)+(-7.529436+(-0.063036--2.42862))+0--68.5-0.139739999999997</f>
        <v>2594.496408</v>
      </c>
      <c r="AD194" s="2">
        <v>2655.3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3754.6+(15-1311.3)+(-7.659384+(-0.0306--2.675052))+0--68.7-0.140147999999997</f>
        <v>2521.84492</v>
      </c>
      <c r="G195" s="3">
        <f>3780.6+(15-1418.5)+(-13.496742+(-0.05355--5.064045))+0--70.2-0.250614000000001</f>
        <v>2438.5631389999999</v>
      </c>
      <c r="H195" s="3">
        <f>3504.1+(15-1216.3)+(3.574182+(0.0153-1.240626))+0--69.4--0.0707880000000111</f>
        <v>2374.6196440000003</v>
      </c>
      <c r="I195" s="3">
        <f>3425.7+(14-1184)+(-6.988428+(-0.02856--2.41536))+0--69.4-0.141575999999997</f>
        <v>2320.356796</v>
      </c>
      <c r="J195" s="3">
        <f>3402.4+(14-1212.7)+(3.470448+(0.01428-1.236954))+0--69.4--0.0707880000000111</f>
        <v>2275.4185619999998</v>
      </c>
      <c r="K195" s="3">
        <f>3329.9+(14-1216.8)+(-5.094747+(-0.02142--1.861704))+0--71.1-0.108783000000004</f>
        <v>2194.8367539999999</v>
      </c>
      <c r="L195" s="3">
        <f>2752.3+(68.5-841.7)+(0+(0-0))+0--71.4-0</f>
        <v>2050.5</v>
      </c>
      <c r="M195" s="3">
        <f>2838.8+(98.3-881.9)+(-4.343364+(-0.150399--1.349307))+0--69.9-0.106947000000004</f>
        <v>2121.8485970000002</v>
      </c>
      <c r="N195" s="3">
        <f>3059.5+(93.6-945.8)+(1.560345+(0.047736-0.482358))+0--68.2--0.0347819999999931</f>
        <v>2276.6605050000003</v>
      </c>
      <c r="O195" s="3">
        <f>3479+(20-1189.8)+(-3.54858+(-0.0204--1.213596))+0--66-0.0673200000000105</f>
        <v>2372.7772959999998</v>
      </c>
      <c r="P195" s="3">
        <f>3506.9+(18-1127.7)+(-1.788519+(-0.00918--0.575127))+0--65-0.0331499999999934</f>
        <v>2460.9442779999995</v>
      </c>
      <c r="Q195" s="3">
        <f>3533.1+(14-1061.3)+(5.405643+(0.02142-1.623789))+0--63.7--0.0974610000000037</f>
        <v>2553.4007349999997</v>
      </c>
      <c r="R195" s="3">
        <f>3513.6+(60.5-996.9)+(-7.167744+(-0.12342--2.033676))+0--63.9-0.130355999999997</f>
        <v>2635.7121559999996</v>
      </c>
      <c r="S195" s="3">
        <f>3500.8+(129.2-907.6)+(7.141632+(0.263568-1.851504))+0--63.9--0.130355999999997</f>
        <v>2791.9840520000002</v>
      </c>
      <c r="T195" s="3">
        <f>3499.4+(125.2-885.6)+(-1.784694+(-0.063852--0.451656))+0--64.8-0.0330479999999934</f>
        <v>2802.3700620000004</v>
      </c>
      <c r="U195" s="3">
        <f>3502+(80.4-902.3)+(-8.9301+(-0.20502--2.300865))+0--63.9-0.162944999999991</f>
        <v>2737.0027999999998</v>
      </c>
      <c r="V195" s="3">
        <f>3393.1+(20-931)+(-12.113367+(-0.0714--3.32367))+0--64.3-0.229551000000001</f>
        <v>2537.3093520000002</v>
      </c>
      <c r="W195" s="3">
        <f>3169.8+(24.8-876)+(-4.849794+(-0.037944--1.34028))+0--65.7-0.100521000000004</f>
        <v>2380.6520210000003</v>
      </c>
      <c r="X195" s="3">
        <f>3402.3+(34.7-948)+(-6.940692+(-0.070788--1.93392))+0--66.3-0.135251999999997</f>
        <v>2550.087188</v>
      </c>
      <c r="Y195" s="3">
        <f>3463.2+(78.5-988.1)+(-8.83116+(-0.200175--2.519655))+0--66.1-0.16855499999999</f>
        <v>2613.0197649999996</v>
      </c>
      <c r="Z195" s="3">
        <f>3458.4+(78.5-1003.6)+(-7.055136+(-0.16014--2.047344))+0--65.7-0.134027999999997</f>
        <v>2593.6980400000002</v>
      </c>
      <c r="AA195" s="3">
        <f>3414.1+(113.4-980.1)+(-8.705955+(-0.28917--2.499255))+0--65.6-0.16727999999999</f>
        <v>2606.3368499999992</v>
      </c>
      <c r="AB195" s="3">
        <f>3161.9+(146.6-764.9)+(1.612569+(0.074766-0.390099))+0--66--0.0336599999999933</f>
        <v>2610.9308960000003</v>
      </c>
      <c r="AC195" s="3">
        <f>3147+(163.2-810)+(-8.02485+(-0.41616--2.0655))+0--66.9-0.17059499999999</f>
        <v>2560.553895</v>
      </c>
      <c r="AD195" s="2">
        <v>2609.1999999999998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3194.3+(123.7-912.9)+(-1.629093+(-0.063087--0.465579))+0--66.3-0.0338129999999933</f>
        <v>2470.1395860000007</v>
      </c>
      <c r="G196" s="3">
        <f>3421.6+(46.3-1130.7)+(-1.745016+(-0.023613--0.576657))+0--67-0.0341699999999932</f>
        <v>2402.9738579999998</v>
      </c>
      <c r="H196" s="3">
        <f>3433+(9-1174.7)+(5.25249+(0.01377-1.797291))+0--65.4--0.100062000000004</f>
        <v>2336.2690310000003</v>
      </c>
      <c r="I196" s="3">
        <f>3328.9+(18.3-1133.6)+(5.093217+(0.027999-1.734408))+0--67.2--0.102816000000004</f>
        <v>2284.2896240000005</v>
      </c>
      <c r="J196" s="3">
        <f>3269.8+(9.9-1105.7)+(-6.670392+(-0.020196--2.255628))+0--67.9-0.138515999999997</f>
        <v>2237.3265240000001</v>
      </c>
      <c r="K196" s="3">
        <f>3034.6+(8-949.3)+(-4.642938+(-0.01224--1.452429))+0--68.2-0.104346000000004</f>
        <v>2158.1929049999999</v>
      </c>
      <c r="L196" s="3">
        <f>2787.8+(29.2-863.2)+(-4.265334+(-0.044676--1.320696))+0--67.4-0.103122000000004</f>
        <v>2018.1075640000004</v>
      </c>
      <c r="M196" s="3">
        <f>2847.5+(25-837.1)+(7.261125+(0.06375-2.134605))+0--66.2--0.16880999999999</f>
        <v>2106.9590800000001</v>
      </c>
      <c r="N196" s="3">
        <f>3273.1+(10-1112.9)+(0+(0-0))+0--66.1-0</f>
        <v>2236.2999999999997</v>
      </c>
      <c r="O196" s="3">
        <f>3469.1+(10-1218.7)+(5.307723+(0.0153-1.864611))+0--63.1--0.0965430000000037</f>
        <v>2327.0549549999996</v>
      </c>
      <c r="P196" s="3">
        <f>3635.4+(10-1274)+(0+(0-0))+0--61.7-0</f>
        <v>2433.1</v>
      </c>
      <c r="Q196" s="3">
        <f>3613.7+(10-1163.6)+(3.685974+(0.0102-1.186872))+0--62.4--0.0636480000000099</f>
        <v>2525.0729499999998</v>
      </c>
      <c r="R196" s="3">
        <f>3609.8+(75.8-1121)+(-1.840998+(-0.038658--0.57171))+0--63.4-0.0323339999999936</f>
        <v>2626.6597200000006</v>
      </c>
      <c r="S196" s="3">
        <f>3602.4+(129-1024)+(3.674448+(0.13158-1.04448))+0--64.2--0.0654840000000102</f>
        <v>2774.4270320000001</v>
      </c>
      <c r="T196" s="3">
        <f>3606.1+(142.3-1008.2)+(5.517333+(0.217719-1.542546))+0--63.5--0.0971550000000037</f>
        <v>2807.9896609999996</v>
      </c>
      <c r="U196" s="3">
        <f>3612.3+(78.9-1024.9)+(0+(0-0))+0--63.4-0</f>
        <v>2729.7000000000003</v>
      </c>
      <c r="V196" s="3">
        <f>3617.1+(10-1163.4)+(-1.844721+(-0.0051--0.593334))+0--63.4-0.0323339999999936</f>
        <v>2525.8111789999998</v>
      </c>
      <c r="W196" s="3">
        <f>3643.5+(9-1334.7)+(5.574555+(0.01377-2.042091))+0--63.9--0.0977670000000037</f>
        <v>2385.3440010000004</v>
      </c>
      <c r="X196" s="3">
        <f>3692+(14.4-1196.1)+(-3.76584+(-0.014688--1.220022))+0--64.9-0.0661980000000104</f>
        <v>2572.5732960000005</v>
      </c>
      <c r="Y196" s="3">
        <f>3734.5+(44.2-1214.6)+(-9.522975+(-0.11271--3.09723))+0--65.4-0.166769999999991</f>
        <v>2622.7947750000008</v>
      </c>
      <c r="Z196" s="3">
        <f>3746.7+(50.6-1248.6)+(-7.643268+(-0.103224--2.547144))+0--66.2-0.135047999999997</f>
        <v>2609.5656039999994</v>
      </c>
      <c r="AA196" s="3">
        <f>3703.1+(58.9-1202.1)+(-5.665743+(-0.090117--1.839213))+0--66.6-0.101898000000004</f>
        <v>2622.4814550000001</v>
      </c>
      <c r="AB196" s="3">
        <f>3659.2+(68.8-1176.5)+(-9.33096+(-0.17544--3.000075))+0--67.1-0.17110499999999</f>
        <v>2611.9225700000002</v>
      </c>
      <c r="AC196" s="3">
        <f>3679.6+(43-1205.6)+(-9.38298+(-0.10965--3.07428))+0--66.8-0.17033999999999</f>
        <v>2577.2113100000001</v>
      </c>
      <c r="AD196" s="2">
        <v>2619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3701.4+(24.1-1264.7)+(-1.887714+(-0.012291--0.644997))+0--67.5-0.0344249999999932</f>
        <v>2527.0105670000003</v>
      </c>
      <c r="G197" s="3">
        <f>3703.3+(16-1346.1)+(1.888683+(0.00816-0.686511))+0--68.2--0.0347819999999931</f>
        <v>2442.6451140000004</v>
      </c>
      <c r="H197" s="3">
        <f>3702+(16-1416.1)+(3.77604+(0.01632-1.444422))+0--68.1--0.0694620000000108</f>
        <v>2372.4173999999998</v>
      </c>
      <c r="I197" s="3">
        <f>3590.1+(16-1354.8)+(-1.830951+(-0.00816--0.690948))+0--68.1-0.0347309999999931</f>
        <v>2318.2171060000001</v>
      </c>
      <c r="J197" s="3">
        <f>3311.9+(16-1130.6)+(1.689069+(0.00816-0.576606))+0--67.9--0.0346289999999931</f>
        <v>2266.3552519999998</v>
      </c>
      <c r="K197" s="3">
        <f>3272.7+(36.8-1200.1)+(-5.007231+(-0.056304--1.836153))+0--68.2-0.104346000000004</f>
        <v>2174.2682719999993</v>
      </c>
      <c r="L197" s="3">
        <f>2907.6+(95.4-1047.2)+(2.965752+(0.097308-1.068144))+0--69.1--0.070482000000011</f>
        <v>2026.9653979999998</v>
      </c>
      <c r="M197" s="3">
        <f>2888+(69-922.6)+(2.94576+(0.07038-0.941052))+0--67.3--0.0686460000000107</f>
        <v>2103.8437340000005</v>
      </c>
      <c r="N197" s="3">
        <f>2810.2+(50.6-701.4)+(-1.433202+(-0.025806--0.357714))+0--65.1-0.0332009999999934</f>
        <v>2223.3655049999993</v>
      </c>
      <c r="O197" s="3">
        <f>2834.7+(53.5-638.3)+(-1.445697+(-0.027285--0.325533))+0--63.4-0.0323339999999936</f>
        <v>2312.1202169999997</v>
      </c>
      <c r="P197" s="3">
        <f>3111.6+(23.3-799.3)+(0+(0-0))+0--62.3-0</f>
        <v>2397.9</v>
      </c>
      <c r="Q197" s="3">
        <f>3469.5+(18-1026)+(-3.53889+(-0.01836--1.04652))+0--62.5-0.06375000000001</f>
        <v>2521.4255200000002</v>
      </c>
      <c r="R197" s="3">
        <f>3486.1+(76.5-1034.7)+(1.777911+(0.039015-0.527697))+0--62.7--0.0319769999999936</f>
        <v>2591.9212059999995</v>
      </c>
      <c r="S197" s="3">
        <f>3535.7+(119.4-973.2)+(0+(0-0))+0--63-0</f>
        <v>2744.8999999999996</v>
      </c>
      <c r="T197" s="3">
        <f>3527.9+(125.6-927.1)+(3.598458+(0.128112-0.945642))+0--62.4--0.0636480000000099</f>
        <v>2791.6445760000001</v>
      </c>
      <c r="U197" s="3">
        <f>3529+(86.5-938.7)+(-8.99895+(-0.220575--2.393685))+0--59.8-0.152489999999991</f>
        <v>2729.6216700000004</v>
      </c>
      <c r="V197" s="3">
        <f>3528.9+(14.6-1046)+(-5.399217+(-0.022338--1.60038))+0--59.5-0.0910350000000034</f>
        <v>2553.08779</v>
      </c>
      <c r="W197" s="3">
        <f>3527.7+(14.6-1176)+(3.598254+(0.014892-1.19952))+0--60.4--0.0616080000000096</f>
        <v>2429.1752339999998</v>
      </c>
      <c r="X197" s="3">
        <f>3607.3+(23.9-1055.9)+(0+(0-0))+0--62.1-0</f>
        <v>2637.4</v>
      </c>
      <c r="Y197" s="3">
        <f>3640.6+(59-1084.6)+(-7.426824+(-0.12036--2.212584))+0--63.1-0.128723999999997</f>
        <v>2672.6366759999996</v>
      </c>
      <c r="Z197" s="3">
        <f>3557.6+(72.8-1047.1)+(-3.628752+(-0.074256--1.068042))+0--63.5-0.0647700000000101</f>
        <v>2644.1002640000002</v>
      </c>
      <c r="AA197" s="3">
        <f>3539.3+(78.4-1022.9)+(-1.805043+(-0.039984--0.521679))+0--64-0.0326399999999935</f>
        <v>2657.4440120000004</v>
      </c>
      <c r="AB197" s="3">
        <f>3538.2+(74.2-1032.1)+(-9.02241+(-0.18921--2.631855))+0--64.8-0.165239999999991</f>
        <v>2638.3549950000006</v>
      </c>
      <c r="AC197" s="3">
        <f>3562.4+(46.8-1096.7)+(-9.08412+(-0.11934--2.796585))+0--65.5-0.16702499999999</f>
        <v>2571.4260999999997</v>
      </c>
      <c r="AD197" s="2">
        <v>2685.6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3618+(8-1208.5)+(-5.53554+(-0.01224--1.849005))+0--66.5-0.101745000000004</f>
        <v>2480.1994800000002</v>
      </c>
      <c r="G198" s="3">
        <f>3651.3+(8-1311.9)+(-9.310815+(-0.0204--3.345345))+0--66.5-0.16957499999999</f>
        <v>2407.7445550000002</v>
      </c>
      <c r="H198" s="3">
        <f>3579.6+(8-1303.6)+(-5.476788+(-0.01224--1.994508))+0--68.5-0.104805000000004</f>
        <v>2348.9006749999999</v>
      </c>
      <c r="I198" s="3">
        <f>3456.7+(8-1238.1)+(0+(0-0))+0--68.5-0</f>
        <v>2295.1</v>
      </c>
      <c r="J198" s="3">
        <f>3423.4+(8-1246.7)+(-1.745934+(-0.00408--0.635817))+0--69.6-0.0354959999999929</f>
        <v>2253.1503069999999</v>
      </c>
      <c r="K198" s="3">
        <f>3401.8+(8.1-1310.3)+(-5.204754+(-0.012393--2.004759))+0--69.6-0.106488000000004</f>
        <v>2165.8811240000005</v>
      </c>
      <c r="L198" s="3">
        <f>3213+(52.3-1318)+(1.63863+(0.026673-0.67218))+0--69.7--0.0355469999999929</f>
        <v>2018.0286699999999</v>
      </c>
      <c r="M198" s="3">
        <f>3211.8+(27-1193.4)+(1.638018+(0.01377-0.608634))+0--68.3--0.0348329999999931</f>
        <v>2114.7779870000004</v>
      </c>
      <c r="N198" s="3">
        <f>3364.9+(7-1190.8)+(1.716099+(0.00357-0.607308))+0--66.3--0.0338129999999933</f>
        <v>2248.5461740000005</v>
      </c>
      <c r="O198" s="3">
        <f>3550.7+(7-1261.7)+(1.810857+(0.00357-0.643467))+0--63.8--0.0325379999999935</f>
        <v>2361.003498</v>
      </c>
      <c r="P198" s="3">
        <f>3535.8+(7-1193)+(0+(0-0))+0--62.5-0</f>
        <v>2412.3000000000002</v>
      </c>
      <c r="Q198" s="3">
        <f>3511.1+(7-1072.8)+(0+(0-0))+0--63.3-0</f>
        <v>2508.6000000000004</v>
      </c>
      <c r="R198" s="3">
        <f>3502.6+(44.9-1016.2)+(0+(0-0))+0--64-0</f>
        <v>2595.2999999999997</v>
      </c>
      <c r="S198" s="3">
        <f>3747.4+(38.9-1132.3)+(-3.822348+(-0.039678--1.154946))+0--63.8-0.0650760000000102</f>
        <v>2715.0278440000002</v>
      </c>
      <c r="T198" s="3">
        <f>3767.5+(39.6-1115.6)+(-1.921425+(-0.020196--0.568956))+0--63.3-0.0322829999999936</f>
        <v>2753.3950520000003</v>
      </c>
      <c r="U198" s="3">
        <f>3759.8+(10-1144.9)+(-13.422486+(-0.0357--4.087293))+0--63.3-0.225981000000001</f>
        <v>2678.6031260000004</v>
      </c>
      <c r="V198" s="3">
        <f>3743+(9-1328.7)+(1.90893+(0.00459-0.677637))+0--63.5--0.0323849999999936</f>
        <v>2488.068268</v>
      </c>
      <c r="W198" s="3">
        <f>3784.7+(9-1490.3)+(-3.860394+(-0.00918--1.520106))+0--64.4-0.0656880000000103</f>
        <v>2365.3848439999997</v>
      </c>
      <c r="X198" s="3">
        <f>3888.4+(11-1416.6)+(-7.932336+(-0.02244--2.889864))+0--65-0.132599999999997</f>
        <v>2542.6024880000004</v>
      </c>
      <c r="Y198" s="3">
        <f>3930.4+(11-1431)+(-8.018016+(-0.02244--2.91924))+0--65.7-0.134027999999997</f>
        <v>2570.844756</v>
      </c>
      <c r="Z198" s="3">
        <f>3810.4+(11-1340.9)+(-3.886608+(-0.01122--1.367718))+0--66.4-0.0677280000000106</f>
        <v>2544.302162</v>
      </c>
      <c r="AA198" s="3">
        <f>3675+(10-1229.6)+(-9.37125+(-0.0255--3.13548))+0--67.2-0.17135999999999</f>
        <v>2516.1673700000001</v>
      </c>
      <c r="AB198" s="3">
        <f>3598.6+(9-1156.8)+(-7.341144+(-0.01836--2.359872))+0--67.1-0.136883999999997</f>
        <v>2512.7634840000001</v>
      </c>
      <c r="AC198" s="3">
        <f>3558.3+(9-1168.3)+(-1.814733+(-0.00459--0.595833))+0--67.8-0.0345779999999931</f>
        <v>2465.5419320000005</v>
      </c>
      <c r="AD198" s="2">
        <v>2573.7000000000003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3467.8+(33.8-1180.9)+(-1.768578+(-0.017238--0.602259))+0--67.2-0.0342719999999932</f>
        <v>2386.6821709999999</v>
      </c>
      <c r="G199" s="3">
        <f>3494.4+(70-1311.7)+(-8.91072+(-0.1785--3.344835))+0--69.3-0.17671499999999</f>
        <v>2316.0789</v>
      </c>
      <c r="H199" s="3">
        <f>3440.2+(46.8-1299.2)+(0+(0-0))+0--69.5-0</f>
        <v>2257.2999999999997</v>
      </c>
      <c r="I199" s="3">
        <f>3422.9+(52.8-1341.9)+(-1.745679+(-0.026928--0.684369))+0--70.5-0.0359549999999928</f>
        <v>2203.1758070000005</v>
      </c>
      <c r="J199" s="3">
        <f>3284+(78.4-1274.8)+(3.34968+(0.079968-1.300296))+0--72.6--0.0740520000000116</f>
        <v>2162.4034040000001</v>
      </c>
      <c r="K199" s="3">
        <f>3297.2+(108.6-1386.2)+(-3.363144+(-0.110772--1.413924))+0--72.5-0.0739500000000116</f>
        <v>2089.966058</v>
      </c>
      <c r="L199" s="3">
        <f>3041.4+(173.2-1363.9)+(1.551114+(0.088332-0.695589))+0--73.5--0.0374849999999925</f>
        <v>1925.1813420000001</v>
      </c>
      <c r="M199" s="3">
        <f>3110.9+(157.6-1355.4)+(0+(0-0))+0--72.9-0</f>
        <v>1986</v>
      </c>
      <c r="N199" s="3">
        <f>3317.3+(84.1-1349.9)+(1.691823+(0.042891-0.688449))+0--71--0.0362099999999928</f>
        <v>2123.5824750000002</v>
      </c>
      <c r="O199" s="3">
        <f>3401.3+(37.7-1299.3)+(1.734663+(0.019227-0.662643))+0--69--0.035189999999993</f>
        <v>2209.8264370000002</v>
      </c>
      <c r="P199" s="3">
        <f>3625.7+(15.5-1380.5)+(-5.547321+(-0.023715--2.112165))+0--67.9-0.103887000000004</f>
        <v>2325.0372419999999</v>
      </c>
      <c r="Q199" s="3">
        <f>3667.2+(14.5-1329.2)+(0+(0-0))+0--67.3-0</f>
        <v>2419.8000000000002</v>
      </c>
      <c r="R199" s="3">
        <f>3567.2+(14.5-1160.2)+(-5.457816+(-0.022185--1.775106))+0--67.2-0.102816000000004</f>
        <v>2484.8922889999999</v>
      </c>
      <c r="S199" s="3">
        <f>3675.8+(14.5-1176.6)+(-3.749316+(-0.01479--1.200132))+0--65.5-0.0668100000000104</f>
        <v>2576.5692160000003</v>
      </c>
      <c r="T199" s="3">
        <f>3775.4+(15.5-1248.7)+(0+(0-0))+0--64.4-0</f>
        <v>2606.6</v>
      </c>
      <c r="U199" s="3">
        <f>3813+(31.8-1373.4)+(-3.88926+(-0.032436--1.400868))+0--64.8-0.0660960000000103</f>
        <v>2533.6130759999996</v>
      </c>
      <c r="V199" s="3">
        <f>3853.2+(14.5-1577.1)+(-5.895396+(-0.022185--2.412963))+0--65.2-0.0997560000000038</f>
        <v>2352.1956259999997</v>
      </c>
      <c r="W199" s="3">
        <f>3609.4+(14.5-1502.4)+(3.681588+(0.01479-1.532448))+0--64.7--0.0659940000000103</f>
        <v>2188.429924</v>
      </c>
      <c r="X199" s="3">
        <f>3947.1+(15.5-1591.4)+(-10.065105+(-0.039525--4.05807))+0--65.7-0.16753499999999</f>
        <v>2430.6859049999994</v>
      </c>
      <c r="Y199" s="3">
        <f>3983.6+(16.5-1611.4)+(-6.094908+(-0.025245--2.465442))+0--66-0.100980000000004</f>
        <v>2450.9443089999995</v>
      </c>
      <c r="Z199" s="3">
        <f>3974.8+(15.5-1627.4)+(-10.13574+(-0.039525--4.14987))+0--66.2-0.16880999999999</f>
        <v>2422.9057949999997</v>
      </c>
      <c r="AA199" s="3">
        <f>3878.7+(15.5-1543.6)+(-5.934411+(-0.023715--2.361708))+0--66.9-0.102357000000004</f>
        <v>2413.8012249999997</v>
      </c>
      <c r="AB199" s="3">
        <f>3848.5+(14.5-1493.2)+(-3.92547+(-0.01479--1.523064))+0--67.2-0.0685440000000107</f>
        <v>2434.5142599999999</v>
      </c>
      <c r="AC199" s="3">
        <f>3800.2+(14.5-1464.7)+(-1.938102+(-0.007395--0.746997))+0--68-0.0346799999999931</f>
        <v>2416.7668199999998</v>
      </c>
      <c r="AD199" s="2">
        <v>2479.1999999999998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3665.6+(16-1391)+(-5.608368+(-0.02448--2.12823))+0-5.6--0.00856800000000032</f>
        <v>2281.5039500000003</v>
      </c>
      <c r="G200" s="3">
        <f>3713.7+(16-1513.3)+(-5.681961+(-0.02448--2.315349))+0-5.6--0.00856800000000032</f>
        <v>2207.4174760000001</v>
      </c>
      <c r="H200" s="3">
        <f>3699.8+(16-1565.5)+(-3.773796+(-0.01632--1.59681))+0-5.9--0.00601800000000094</f>
        <v>2142.212712</v>
      </c>
      <c r="I200" s="3">
        <f>3653.6+(20.1-1577.5)+(-5.590008+(-0.030753--2.413575))+0-5.9--0.00902700000000034</f>
        <v>2087.1018409999997</v>
      </c>
      <c r="J200" s="3">
        <f>3488+(18.2-1474.6)+(5.33664+(0.027846-2.256138))+0-5.9-0.00902700000000034</f>
        <v>2028.799321</v>
      </c>
      <c r="K200" s="3">
        <f>3268.3+(92.1-1389.4)+(-8.334165+(-0.234855--3.54297))+0-5.9--0.0150449999999991</f>
        <v>1960.0889950000001</v>
      </c>
      <c r="L200" s="3">
        <f>2721.6+(194.4-1094.9)+(0+(0-0))+0--73.8-0</f>
        <v>1894.8999999999999</v>
      </c>
      <c r="M200" s="3">
        <f>2667.8+(196.5-1043.1)+(0+(0-0))+0--73.4-0</f>
        <v>1894.6000000000004</v>
      </c>
      <c r="N200" s="3">
        <f>2721.1+(167.3-1015.9)+(-5.551044+(-0.341292--2.072436))+0--71.6-0.146063999999997</f>
        <v>1940.1340359999999</v>
      </c>
      <c r="O200" s="3">
        <f>3061+(83.5-1208.3)+(-3.12222+(-0.08517--1.232466))+0--69.8-0.0711960000000111</f>
        <v>2003.9538799999998</v>
      </c>
      <c r="P200" s="3">
        <f>3542.7+(20.8-1509.1)+(-5.420331+(-0.031824--2.308923))+0--67.8-0.103734000000004</f>
        <v>2118.9530340000001</v>
      </c>
      <c r="Q200" s="3">
        <f>3608.6+(17-1481.5)+(-7.361544+(-0.03468--3.02226))+0--67.4-0.137495999999997</f>
        <v>2206.9885400000003</v>
      </c>
      <c r="R200" s="3">
        <f>3669.6+(17-1446.8)+(0+(0-0))+0--65.8-0</f>
        <v>2305.6000000000004</v>
      </c>
      <c r="S200" s="3">
        <f>3659.4+(16-1316.3)+(-9.33147+(-0.0408--3.356565))+0--62.4-0.159119999999991</f>
        <v>2415.3251750000009</v>
      </c>
      <c r="T200" s="3">
        <f>3674+(19.6-1308)+(-5.62122+(-0.029988--2.00124))+0--62.5-0.0956250000000036</f>
        <v>2444.3544069999998</v>
      </c>
      <c r="U200" s="3">
        <f>3679.3+(17-1360.5)+(-5.629329+(-0.02601--2.081565))+0--62.5-0.0956250000000036</f>
        <v>2394.6306010000003</v>
      </c>
      <c r="V200" s="3">
        <f>3302.8+(140.5-1277.8)+(-3.368856+(-0.14331--1.303356))+0--62.6-0.06385200000001</f>
        <v>2225.8273379999996</v>
      </c>
      <c r="W200" s="3">
        <f>3149.5+(112.2-1204)+(1.606245+(0.057222-0.61404))+0--62.7--0.0319769999999936</f>
        <v>2121.4814039999997</v>
      </c>
      <c r="X200" s="3">
        <f>3185.6+(94.5-1017.6)+(0+(0-0))+0--62.5-0</f>
        <v>2325</v>
      </c>
      <c r="Y200" s="3">
        <f>3153.6+(117.4-1010.3)+(-4.825008+(-0.179622--1.545759))+0--63.3-0.0968490000000037</f>
        <v>2320.4442800000002</v>
      </c>
      <c r="Z200" s="3">
        <f>3224.1+(119.7-1027.6)+(-1.644291+(-0.061047--0.524076))+0--63.2-0.0322319999999936</f>
        <v>2378.1865059999996</v>
      </c>
      <c r="AA200" s="3">
        <f>3236.1+(141.1-1029.5)+(-4.951233+(-0.215883--1.575135))+0--63.4-0.0970020000000037</f>
        <v>2407.4110169999999</v>
      </c>
      <c r="AB200" s="3">
        <f>3255.1+(127.4-1020.2)+(-11.620707+(-0.454818--3.642114))+0--65-0.232050000000001</f>
        <v>2418.6345389999997</v>
      </c>
      <c r="AC200" s="3">
        <f>3127.9+(159.2-963.2)+(-1.595229+(-0.081192--0.491232))+0--66.1-0.0337109999999933</f>
        <v>2388.7811000000002</v>
      </c>
      <c r="AD200" s="2">
        <v>2371.2000000000003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3060.1+(168.5-985.5)+(-6.242604+(-0.34374--2.01042))+0--78.1-0.159323999999997</f>
        <v>2316.4647519999994</v>
      </c>
      <c r="G201" s="3">
        <f>2997.4+(195.2-1025.4)+(-1.528674+(-0.099552--0.522954))+0--78.2-0.0398819999999921</f>
        <v>2244.2548459999998</v>
      </c>
      <c r="H201" s="3">
        <f>2997.5+(185.7-1071.8)+(-7.643625+(-0.473535--2.73309))+0--78.3-0.199664999999989</f>
        <v>2184.1162650000001</v>
      </c>
      <c r="I201" s="3">
        <f>2945.9+(216.8-1098.9)+(-7.512045+(-0.55284--2.802195))+0--78.3-0.199664999999989</f>
        <v>2136.6376450000002</v>
      </c>
      <c r="J201" s="3">
        <f>2780.4+(254.3-1022.6)+(2.836008+(0.259386-1.043052))+0--78.3--0.0798660000000125</f>
        <v>2092.5322080000001</v>
      </c>
      <c r="K201" s="3">
        <f>2700.1+(279.2-1043.8)+(1.377051+(0.142392-0.532338))+0--79.4--0.0404939999999919</f>
        <v>2015.9275990000001</v>
      </c>
      <c r="L201" s="3">
        <f>2731.4+(261.3-1145.9)+(2.786028+(0.266526-1.168818))+0--74.2--0.0756840000000118</f>
        <v>1922.9594199999999</v>
      </c>
      <c r="M201" s="3">
        <f>2913.5+(201.6-1203.1)+(1.485885+(0.102816-0.613581))+0--73.4--0.0374339999999926</f>
        <v>1986.4125540000002</v>
      </c>
      <c r="N201" s="3">
        <f>3248.3+(100-1325.9)+(0+(0-0))+0--73-0</f>
        <v>2095.4</v>
      </c>
      <c r="O201" s="3">
        <f>3567.2+(15-1419.2)+(0+(0-0))+0--72.2-0</f>
        <v>2235.1999999999998</v>
      </c>
      <c r="P201" s="3">
        <f>3599.9+(15-1375.2)+(-1.835949+(-0.00765--0.701352))+0--70.7-0.0360569999999928</f>
        <v>2309.2216959999996</v>
      </c>
      <c r="Q201" s="3">
        <f>3577.8+(15-1262.6)+(5.474034+(0.02295-1.931778))+0--69--0.105570000000004</f>
        <v>2402.8707760000007</v>
      </c>
      <c r="R201" s="3">
        <f>3559.1+(30-1141.9)+(0+(0-0))+0--67.8-0</f>
        <v>2515</v>
      </c>
      <c r="S201" s="3">
        <f>3544+(68.3-1020.2)+(1.80744+(0.034833-0.520302))+0--67.8--0.0345779999999931</f>
        <v>2661.2565489999997</v>
      </c>
      <c r="T201" s="3">
        <f>3542.3+(75.8-1005.6)+(0+(0-0))+0--67.1-0</f>
        <v>2679.6</v>
      </c>
      <c r="U201" s="3">
        <f>3547.3+(51.1-1055.8)+(-12.663861+(-0.182427--3.769206))+0--67-0.239190000000001</f>
        <v>2600.2837280000008</v>
      </c>
      <c r="V201" s="3">
        <f>3566.3+(19-1239.6)+(-7.275252+(-0.03876--2.528784))+0--67.5-0.137699999999997</f>
        <v>2408.2770719999999</v>
      </c>
      <c r="W201" s="3">
        <f>3590.6+(17.3-1361)+(1.831206+(0.008823-0.69411))+0--67.6--0.0344759999999931</f>
        <v>2315.6803949999994</v>
      </c>
      <c r="X201" s="3">
        <f>3612.3+(31.1-1185.7)+(0+(0-0))+0--67.8-0</f>
        <v>2525.5</v>
      </c>
      <c r="Y201" s="3">
        <f>3633.6+(47-1178.3)+(0+(0-0))+0--68.4-0</f>
        <v>2570.7000000000003</v>
      </c>
      <c r="Z201" s="3">
        <f>3644.5+(56.2-1203.5)+(-7.43478+(-0.114648--2.45514))+0--68.6-0.139943999999997</f>
        <v>2560.5657679999999</v>
      </c>
      <c r="AA201" s="3">
        <f>3651.8+(65.6-1188.8)+(-3.724836+(-0.066912--1.212576))+0--68.9-0.070278000000011</f>
        <v>2594.8505500000001</v>
      </c>
      <c r="AB201" s="3">
        <f>3562.6+(70.5-1128.4)+(-5.450778+(-0.107865--1.726452))+0--69.3-0.106029000000004</f>
        <v>2570.06178</v>
      </c>
      <c r="AC201" s="3">
        <f>3471.1+(62.4-1103.1)+(-7.081044+(-0.127296--2.250324))+0--69.6-0.141983999999997</f>
        <v>2494.9</v>
      </c>
      <c r="AD201" s="2">
        <v>2517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3441.2+(67.7-1199.1)+(-7.020048+(-0.138108--2.446164))+0--74.2-0.151367999999997</f>
        <v>2379.1366400000002</v>
      </c>
      <c r="G202" s="3">
        <f>3463.7+(28.2-1255.1)+(-8.832435+(-0.07191--3.200505))+0--74.2-0.189209999999989</f>
        <v>2305.1069499999999</v>
      </c>
      <c r="H202" s="3">
        <f>3560.5+(15-1408.6)+(-5.447565+(-0.02295--2.155158))+0--75.3-0.115209000000004</f>
        <v>2238.7694340000003</v>
      </c>
      <c r="I202" s="3">
        <f>3553.5+(15-1441.5)+(-1.812285+(-0.00765--0.735165))+0--75.4-0.0384539999999924</f>
        <v>2201.2767760000002</v>
      </c>
      <c r="J202" s="3">
        <f>3495+(15-1443)+(5.34735+(0.02295-2.20779))+0--75.5--0.115515000000004</f>
        <v>2145.7780250000001</v>
      </c>
      <c r="K202" s="3">
        <f>3485.6+(25-1510.2)+(-5.332968+(-0.03825--2.310606))+0--77.4-0.118422000000004</f>
        <v>2074.620966</v>
      </c>
      <c r="L202" s="3">
        <f>3010.7+(114.9-1270.4)+(0+(0-0))+0--74.3-0</f>
        <v>1929.4999999999998</v>
      </c>
      <c r="M202" s="3">
        <f>2914.5+(93.6-1073.1)+(-2.97279+(-0.095472--1.094562))+0--73.3-0.0747660000000117</f>
        <v>2006.251534</v>
      </c>
      <c r="N202" s="3">
        <f>3354.3+(26-1324.1)+(5.132079+(0.03978-2.025873))+0--71.3--0.109089000000004</f>
        <v>2130.7550750000005</v>
      </c>
      <c r="O202" s="3">
        <f>3581.3+(16-1412.8)+(1.826463+(0.00816-0.720528))+0--68.7--0.035036999999993</f>
        <v>2254.3491319999998</v>
      </c>
      <c r="P202" s="3">
        <f>3538.5+(16-1285.4)+(0+(0-0))+0--67-0</f>
        <v>2336.1</v>
      </c>
      <c r="Q202" s="3">
        <f>3466.9+(16-1157.5)+(-3.536238+(-0.01632--1.18065))+0--65.4-0.0667080000000104</f>
        <v>2388.3613840000003</v>
      </c>
      <c r="R202" s="3">
        <f>3456.9+(47-1063.3)+(0+(0-0))+0--66.5-0</f>
        <v>2507.1000000000004</v>
      </c>
      <c r="S202" s="3">
        <f>3441.8+(127.3-988.3)+(1.755318+(0.064923-0.504033))+0--66.5--0.0339149999999933</f>
        <v>2648.6501230000003</v>
      </c>
      <c r="T202" s="3">
        <f>3443.3+(127-979.2)+(-3.512166+(-0.12954--0.998784))+0--66.4-0.0677280000000106</f>
        <v>2654.7893500000005</v>
      </c>
      <c r="U202" s="3">
        <f>3444.2+(89.4-1019.2)+(-8.78271+(-0.22797--2.59896))+0--67.1-0.17110499999999</f>
        <v>2574.9171749999996</v>
      </c>
      <c r="V202" s="3">
        <f>3450.9+(11.6-1131.3)+(-3.519918+(-0.011832--1.153926))+0--66.4-0.0677280000000106</f>
        <v>2395.1544479999998</v>
      </c>
      <c r="W202" s="3">
        <f>3261.2+(42.6-1136.9)+(1.663212+(0.021726-0.579819))+0--66.9--0.0341189999999932</f>
        <v>2234.9392379999995</v>
      </c>
      <c r="X202" s="3">
        <f>3441.9+(82.8-1074.4)+(-3.510738+(-0.084456--1.095888))+0--67.7-0.0690540000000108</f>
        <v>2515.4316399999998</v>
      </c>
      <c r="Y202" s="3">
        <f>3460.9+(95.2-1067.9)+(0+(0-0))+0--68-0</f>
        <v>2556.1999999999998</v>
      </c>
      <c r="Z202" s="3">
        <f>3485.6+(87.2-1098.3)+(-1.777656+(-0.044472--0.560133))+0--69.3-0.035342999999993</f>
        <v>2542.5026620000003</v>
      </c>
      <c r="AA202" s="3">
        <f>3461.7+(100.7-1083.7)+(-1.765467+(-0.051357--0.552687))+0--70-0.0356999999999929</f>
        <v>2547.4001629999998</v>
      </c>
      <c r="AB202" s="3">
        <f>3404.5+(103.1-1054.3)+(-6.94518+(-0.210324--2.150772))+0--70.4-0.143615999999997</f>
        <v>2518.5516520000006</v>
      </c>
      <c r="AC202" s="3">
        <f>3328.7+(126-1081.8)+(0+(0-0))+0--71-0</f>
        <v>2443.8999999999996</v>
      </c>
      <c r="AD202" s="2">
        <v>2525.1999999999998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3263.9+(116.1-1103)+(0+(0-0))+0--71.2-0</f>
        <v>2348.1999999999998</v>
      </c>
      <c r="G203" s="3">
        <f>3260.1+(83.2-1143)+(1.662651+(0.042432-0.58293))+0--71.3--0.0363629999999928</f>
        <v>2272.7585160000003</v>
      </c>
      <c r="H203" s="3">
        <f>3261.7+(69.9-1197.2)+(1.663467+(0.035649-0.610572))+0--71.4--0.0364139999999928</f>
        <v>2206.9249580000001</v>
      </c>
      <c r="I203" s="3">
        <f>3212.5+(89.4-1221.1)+(3.27675+(0.091188-1.245522))+0--72.4--0.0738480000000115</f>
        <v>2155.3962640000004</v>
      </c>
      <c r="J203" s="3">
        <f>3126.8+(95.7-1190.1)+(-3.189336+(-0.097614--1.213902))+0--73.5-0.0749700000000117</f>
        <v>2103.7519820000002</v>
      </c>
      <c r="K203" s="3">
        <f>2904.4+(180-1131.2)+(-2.962488+(-0.1836--1.153824))+0--74.6-0.0760920000000119</f>
        <v>2025.731644</v>
      </c>
      <c r="L203" s="3">
        <f>2733.5+(213.2-1130.4)+(6.970425+(0.54366-2.88252))+0--75.4--0.192269999999989</f>
        <v>1896.523835</v>
      </c>
      <c r="M203" s="3">
        <f>2797.9+(186.5-1094.3)+(1.426929+(0.095115-0.558093))+0--74.4--0.0379439999999925</f>
        <v>1965.5018950000001</v>
      </c>
      <c r="N203" s="3">
        <f>3175.6+(144.8-1281.5)+(3.239112+(0.147696-1.30713))+0--72.4--0.0738480000000115</f>
        <v>2113.4535259999998</v>
      </c>
      <c r="O203" s="3">
        <f>3203.1+(99.7-1177)+(4.900743+(0.152541-1.80081))+0--67.7--0.103581000000004</f>
        <v>2196.8560549999997</v>
      </c>
      <c r="P203" s="3">
        <f>3313.2+(52-1166.7)+(1.689732+(0.02652-0.595017))+0--66.9--0.0341189999999932</f>
        <v>2266.5553540000001</v>
      </c>
      <c r="Q203" s="3">
        <f>3554.2+(13-1264.5)+(0+(0-0))+0--66.8-0</f>
        <v>2369.5</v>
      </c>
      <c r="R203" s="3">
        <f>3578.6+(3-1173.7)+(-1.825086+(-0.00153--0.598587))+0--65.9-0.0336089999999933</f>
        <v>2472.5383619999998</v>
      </c>
      <c r="S203" s="3">
        <f>3549.9+(24.9-1037.2)+(5.431347+(0.038097-1.586916))+0--66--0.100980000000004</f>
        <v>2607.5835080000002</v>
      </c>
      <c r="T203" s="3">
        <f>3540.5+(38.8-1017.5)+(1.805655+(0.019788-0.518925))+0--66.4--0.0338639999999933</f>
        <v>2629.5403820000001</v>
      </c>
      <c r="U203" s="3">
        <f>3542.4+(20.4-1107.6)+(-10.839744+(-0.062424--3.389256))+0--65.3-0.199818000000008</f>
        <v>2512.7872700000003</v>
      </c>
      <c r="V203" s="3">
        <f>3521.1+(8-1326.8)+(-7.183044+(-0.01632--2.706672))+0--65.3-0.133211999999997</f>
        <v>2262.9740960000004</v>
      </c>
      <c r="W203" s="3">
        <f>3541.5+(9-1412.6)+(0+(0-0))+0--66.8-0</f>
        <v>2204.7000000000003</v>
      </c>
      <c r="X203" s="3">
        <f>3644.2+(10-1276.8)+(-1.858542+(-0.0051--0.651168))+0--66.7-0.0340169999999932</f>
        <v>2442.8535089999996</v>
      </c>
      <c r="Y203" s="3">
        <f>3667.9+(18-1244.8)+(-1.870629+(-0.00918--0.634848))+0--66.6-0.0339659999999932</f>
        <v>2506.4210730000004</v>
      </c>
      <c r="Z203" s="3">
        <f>3579+(22-1196.2)+(-3.65058+(-0.02244--1.220124))+0--66.5-0.0678300000000106</f>
        <v>2468.7792740000004</v>
      </c>
      <c r="AA203" s="3">
        <f>3394.4+(59.9-1042.3)+(-6.924576+(-0.122196--2.126292))+0--66.9-0.136475999999997</f>
        <v>2473.8430439999997</v>
      </c>
      <c r="AB203" s="3">
        <f>3408+(42-1052.7)+(3.47616+(0.04284-1.073754))+0--67.7--0.0690540000000108</f>
        <v>2467.5143000000003</v>
      </c>
      <c r="AC203" s="3">
        <f>3315.8+(50.8-1031)+(-1.691058+(-0.025908--0.52581))+0--67.9-0.0346289999999931</f>
        <v>2402.2742150000008</v>
      </c>
      <c r="AD203" s="2">
        <v>2509.9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3244.7+(13.9-1047.1)+(-4.964391+(-0.021267--1.602063))+0--68.5-0.104805000000004</f>
        <v>2276.5116000000003</v>
      </c>
      <c r="G204" s="3">
        <f>2847.9+(90.7-900.1)+(-7.262145+(-0.231285--2.295255))+0--68.6-0.17492999999999</f>
        <v>2101.7268949999998</v>
      </c>
      <c r="H204" s="3">
        <f>2797.5+(99.1-961.8)+(-7.133625+(-0.252705--2.45259))+0--67.6-0.17237999999999</f>
        <v>1997.2938800000002</v>
      </c>
      <c r="I204" s="3">
        <f>2805.7+(119.7-1080.8)+(-4.292721+(-0.183141--1.653624))+0--72.7-0.111231000000004</f>
        <v>1914.3665309999999</v>
      </c>
      <c r="J204" s="3">
        <f>2809.4+(91.8-1097.9)+(-2.865588+(-0.093636--1.119858))+0--72.7-0.0741540000000116</f>
        <v>1874.0864800000002</v>
      </c>
      <c r="K204" s="3">
        <f>2816.3+(89-1226.2)+(-4.308939+(-0.13617--1.876086))+0--72.7-0.111231000000004</f>
        <v>1749.1197460000001</v>
      </c>
      <c r="L204" s="3">
        <f>2722.6+(116.3-1318.1)+(-2.777052+(-0.118626--1.344462))+0--70.8-0.0722160000000113</f>
        <v>1589.9765679999998</v>
      </c>
      <c r="M204" s="3">
        <f>2760.7+(109.2-1222.7)+(-1.407957+(-0.055692--0.623577))+0--69.6-0.0354959999999929</f>
        <v>1715.9244319999998</v>
      </c>
      <c r="N204" s="3">
        <f>3066.5+(62.3-1288)+(-1.563915+(-0.031773--0.65688))+0--67.8-0.0345779999999931</f>
        <v>1907.6266139999998</v>
      </c>
      <c r="O204" s="3">
        <f>3294+(14.5-1311)+(0+(0-0))+0--66.4-0</f>
        <v>2063.9</v>
      </c>
      <c r="P204" s="3">
        <f>3458.2+(14.5-1350.9)+(3.527364+(0.01479-1.377918))+0--65.2--0.0665040000000104</f>
        <v>2189.2307399999995</v>
      </c>
      <c r="Q204" s="3">
        <f>3436.4+(13.5-1205.3)+(-1.752564+(-0.006885--0.614703))+0--65-0.0331499999999934</f>
        <v>2308.4221040000002</v>
      </c>
      <c r="R204" s="3">
        <f>3404.1+(13.7-1073.7)+(1.736091+(0.006987-0.547587))+0--64.3--0.0327929999999935</f>
        <v>2409.6282839999999</v>
      </c>
      <c r="S204" s="3">
        <f>3394.3+(31.3-949.9)+(-5.193279+(-0.047889--1.453347))+0--65.3-0.0999090000000038</f>
        <v>2537.1122700000005</v>
      </c>
      <c r="T204" s="3">
        <f>3391.6+(42.3-926.7)+(-1.729716+(-0.021573--0.472617))+0--65.3-0.0333029999999934</f>
        <v>2571.1880249999999</v>
      </c>
      <c r="U204" s="3">
        <f>3399.8+(20-1002.3)+(-8.66949+(-0.051--2.555865))+0--60.3-0.153764999999991</f>
        <v>2471.4816100000003</v>
      </c>
      <c r="V204" s="3">
        <f>3292.1+(28.4-1153.6)+(-5.036913+(-0.043452--1.765008))+0--61.3-0.0937890000000035</f>
        <v>2224.7908540000003</v>
      </c>
      <c r="W204" s="3">
        <f>2992.8+(28.8-929.1)+(-1.526328+(-0.014688--0.473841))+0--59.4-0.030293999999994</f>
        <v>2150.8025309999998</v>
      </c>
      <c r="X204" s="3">
        <f>3096.5+(80.3-829.1)+(-7.896075+(-0.204765--2.114205))+0--60.2-0.153509999999991</f>
        <v>2401.7598549999993</v>
      </c>
      <c r="Y204" s="3">
        <f>3038.9+(110.9-762.5)+(-6.199356+(-0.226236--1.5555))+0--61.2-0.124847999999997</f>
        <v>2443.50506</v>
      </c>
      <c r="Z204" s="3">
        <f>2972.6+(141-744.6)+(-3.032052+(-0.14382--0.759492))+0--61.1-0.0623220000000097</f>
        <v>2427.6212979999996</v>
      </c>
      <c r="AA204" s="3">
        <f>3031+(143-770.1)+(-4.63743+(-0.21879--1.178253))+0--62.1-0.0950130000000036</f>
        <v>2462.2270199999998</v>
      </c>
      <c r="AB204" s="3">
        <f>3083.2+(118.9-819.6)+(-6.289728+(-0.242556--1.671984))+0--63.2-0.128927999999997</f>
        <v>2440.7107719999999</v>
      </c>
      <c r="AC204" s="3">
        <f>3093.5+(103.1-869.4)+(-7.888425+(-0.262905--2.21697))+0--62-0.158099999999991</f>
        <v>2383.1075399999995</v>
      </c>
      <c r="AD204" s="2">
        <v>2442.9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3098.8+(98.7-933.1)+(-6.321552+(-0.201348--1.903524))+0--72.9-0.148715999999997</f>
        <v>2332.5319079999999</v>
      </c>
      <c r="G205" s="3">
        <f>3109.4+(76.1-1049.7)+(-4.757382+(-0.116433--1.606041))+0--73-0.111690000000004</f>
        <v>2205.4205360000001</v>
      </c>
      <c r="H205" s="3">
        <f>3073.7+(64.9-1065.2)+(-3.135174+(-0.066198--1.086504))+0--73.1-0.0745620000000116</f>
        <v>2144.3105699999996</v>
      </c>
      <c r="I205" s="3">
        <f>3048+(71.1-1110.3)+(1.55448+(0.036261-0.566253))+0--73.1--0.0372809999999926</f>
        <v>2082.961769</v>
      </c>
      <c r="J205" s="3">
        <f>2926.9+(117.8-1089.4)+(0+(0-0))+0--73-0</f>
        <v>2028.3</v>
      </c>
      <c r="K205" s="3">
        <f>2746.1+(203.1-1159.7)+(-1.400511+(-0.103581--0.591447))+0--73.1-0.0372809999999926</f>
        <v>1861.6500739999999</v>
      </c>
      <c r="L205" s="3">
        <f>2530.8+(213.3-1165.5)+(-1.290708+(-0.108783--0.594405))+0--71.3-0.0363629999999928</f>
        <v>1649.0585510000001</v>
      </c>
      <c r="M205" s="3">
        <f>2594.6+(197.1-1097.2)+(1.323246+(0.100521-0.559572))+0--69.7--0.0355469999999929</f>
        <v>1765.0997420000001</v>
      </c>
      <c r="N205" s="3">
        <f>2887.4+(140.5-1147.4)+(-1.472574+(-0.071655--0.585174))+0--69.3-0.035342999999993</f>
        <v>1948.8056019999999</v>
      </c>
      <c r="O205" s="3">
        <f>3249.2+(35.9-1268)+(0+(0-0))+0--67.4-0</f>
        <v>2084.5</v>
      </c>
      <c r="P205" s="3">
        <f>3431.3+(13.9-1322.8)+(1.749963+(0.007089-0.674628))+0--66.6--0.0339659999999932</f>
        <v>2190.1163900000006</v>
      </c>
      <c r="Q205" s="3">
        <f>3508.2+(13.9-1291.8)+(3.578364+(0.014178-1.317636))+0--66.2--0.0675240000000106</f>
        <v>2298.8424300000001</v>
      </c>
      <c r="R205" s="3">
        <f>3492.4+(12.9-1174.5)+(-1.781124+(-0.006579--0.598995))+0--66.4-0.0338639999999933</f>
        <v>2395.9774280000001</v>
      </c>
      <c r="S205" s="3">
        <f>3488.8+(68.1-1173.8)+(-10.675728+(-0.208386--3.591828))+0--66.7-0.204102000000008</f>
        <v>2442.3036120000002</v>
      </c>
      <c r="T205" s="3">
        <f>3477.5+(81.1-1159.3)+(-5.320575+(-0.124083--1.773729))+0--66.2-0.101286000000004</f>
        <v>2461.727785</v>
      </c>
      <c r="U205" s="3">
        <f>3480.4+(34-1198.3)+(-5.325012+(-0.05202--1.833399))+0--66.2-0.101286000000004</f>
        <v>2378.6550809999999</v>
      </c>
      <c r="V205" s="3">
        <f>3374.7+(14.9-1226.6)+(-5.163291+(-0.022797--1.876698))+0--67.3-0.102969000000004</f>
        <v>2226.8876410000003</v>
      </c>
      <c r="W205" s="3">
        <f>3295.2+(48.9-1217.7)+(0+(0-0))+0--67.5-0</f>
        <v>2193.8999999999996</v>
      </c>
      <c r="X205" s="3">
        <f>3333.5+(65.1-1126.5)+(-6.80034+(-0.132804--2.29806))+0--67.8-0.138311999999997</f>
        <v>2335.126604</v>
      </c>
      <c r="Y205" s="3">
        <f>3347.8+(88.1-1157.3)+(-8.53689+(-0.224655--2.951115))+0--68.2-0.17390999999999</f>
        <v>2340.8156600000002</v>
      </c>
      <c r="Z205" s="3">
        <f>3351.4+(74-1189.8)+(-8.54607+(-0.1887--3.03399))+0--68.5-0.17467499999999</f>
        <v>2298.224545</v>
      </c>
      <c r="AA205" s="3">
        <f>3204.1+(123-1097.3)+(-3.268182+(-0.12546--1.119246))+0--69-0.070380000000011</f>
        <v>2296.4552240000003</v>
      </c>
      <c r="AB205" s="3">
        <f>3079.9+(166.5-1009.3)+(-3.141498+(-0.16983--1.029486))+0--69.5-0.0708900000000111</f>
        <v>2304.2472680000005</v>
      </c>
      <c r="AC205" s="3">
        <f>3089.2+(137.5-1035.4)+(-4.726476+(-0.210375--1.584162))+0--69.8-0.106794000000004</f>
        <v>2257.6405170000003</v>
      </c>
      <c r="AD205" s="2">
        <v>2361.1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3110.3+(120.1-1100.9)+(0+(0-0))+0--74-0</f>
        <v>2203.5</v>
      </c>
      <c r="G206" s="3">
        <f>3102.1+(119.1-1164.7)+(-4.746213+(-0.182223--1.781991))+0--74-0.113220000000004</f>
        <v>2127.240335</v>
      </c>
      <c r="H206" s="3">
        <f>3052.3+(84.1-1144.5)+(-4.670019+(-0.128673--1.751085))+0--75-0.114750000000004</f>
        <v>2063.7376429999999</v>
      </c>
      <c r="I206" s="3">
        <f>3036.8+(52.1-1143.6)+(0+(0-0))+0--75-0</f>
        <v>2020.3000000000002</v>
      </c>
      <c r="J206" s="3">
        <f>2882.1+(66.6-1054.1)+(2.939742+(0.067932-1.075182))+0--76--0.0775200000000121</f>
        <v>1972.6100119999999</v>
      </c>
      <c r="K206" s="3">
        <f>2679.2+(121.8-969.7)+(2.732784+(0.124236-0.989094))+0--76.1--0.0776220000000121</f>
        <v>1909.3455479999996</v>
      </c>
      <c r="L206" s="3">
        <f>2395+(177.5-866.8)+(2.4429+(0.18105-0.884136))+0--70.7--0.0721140000000113</f>
        <v>1778.2119280000002</v>
      </c>
      <c r="M206" s="3">
        <f>2581.9+(131.1-934.6)+(0+(0-0))+0--68.6-0</f>
        <v>1847</v>
      </c>
      <c r="N206" s="3">
        <f>3000.6+(91.4-1171.7)+(0+(0-0))+0--68.6-0</f>
        <v>1988.8999999999999</v>
      </c>
      <c r="O206" s="3">
        <f>3064.7+(83.5-1113.2)+(0+(0-0))+0--67.6-0</f>
        <v>2102.6</v>
      </c>
      <c r="P206" s="3">
        <f>3068.9+(79.7-1024.5)+(0+(0-0))+0--65.5-0</f>
        <v>2189.6000000000004</v>
      </c>
      <c r="Q206" s="3">
        <f>3138.1+(88.7-1040.4)+(0+(0-0))+0--64.8-0</f>
        <v>2251.1999999999998</v>
      </c>
      <c r="R206" s="3">
        <f>3295+(63.5-1110.3)+(0+(0-0))+0--60.7-0</f>
        <v>2308.8999999999996</v>
      </c>
      <c r="S206" s="3">
        <f>3284.2+(124.2-1096.1)+(0+(0-0))+0--63.6-0</f>
        <v>2375.9</v>
      </c>
      <c r="T206" s="3">
        <f>3274.4+(104.2-1060.3)+(3.339888+(0.106284-1.081506))+0--63.3--0.0645660000000101</f>
        <v>2384.0292320000003</v>
      </c>
      <c r="U206" s="3">
        <f>3292.7+(61.4-1104.7)+(-6.717108+(-0.125256--2.253588))+0--65.2-0.133007999999997</f>
        <v>2309.8782159999996</v>
      </c>
      <c r="V206" s="3">
        <f>3286.8+(33.5-1218.9)+(0+(0-0))+0--65.8-0</f>
        <v>2167.2000000000003</v>
      </c>
      <c r="W206" s="3">
        <f>3315.8+(35.1-1308.2)+(1.691058+(0.017901-0.667182))+0--65.9--0.0336089999999933</f>
        <v>2109.6753859999999</v>
      </c>
      <c r="X206" s="3">
        <f>3418.2+(25.9-1211.2)+(-8.71641+(-0.066045--3.08856))+0--66-0.16829999999999</f>
        <v>2293.0378049999999</v>
      </c>
      <c r="Y206" s="3">
        <f>3466.1+(38.4-1255)+(-8.838555+(-0.09792--3.20025))+0--66.5-0.16957499999999</f>
        <v>2310.0942</v>
      </c>
      <c r="Z206" s="3">
        <f>3453.9+(52.3-1285.8)+(-1.761489+(-0.026673--0.655758))+0--66.3-0.0338129999999933</f>
        <v>2285.5337830000003</v>
      </c>
      <c r="AA206" s="3">
        <f>3455.2+(34.7-1286.7)+(-1.762152+(-0.017697--0.656217))+0--67.3-0.0343229999999932</f>
        <v>2269.3420450000003</v>
      </c>
      <c r="AB206" s="3">
        <f>3474.7+(40.7-1311.5)+(0+(0-0))+0--69.3-0</f>
        <v>2273.1999999999998</v>
      </c>
      <c r="AC206" s="3">
        <f>3406.4+(46.8-1262.1)+(-5.211792+(-0.071604--1.931013))+0--70.3-0.107559000000004</f>
        <v>2257.9400580000006</v>
      </c>
      <c r="AD206" s="2">
        <v>2316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3301.4+(56.9-1187.7)+(-6.734856+(-0.116076--2.422908))+0--75.7-0.154427999999997</f>
        <v>2241.7175480000005</v>
      </c>
      <c r="G207" s="3">
        <f>3256.6+(46.6-1210)+(-6.643464+(-0.095064--2.4684))+0--75.8-0.154631999999997</f>
        <v>2164.5752399999997</v>
      </c>
      <c r="H207" s="3">
        <f>3265.6+(12.7-1266.7)+(-4.996368+(-0.019431--1.938051))+0--75.7-0.115821000000004</f>
        <v>2084.1064310000002</v>
      </c>
      <c r="I207" s="3">
        <f>3119.2+(25.1-1172)+(-1.590792+(-0.012801--0.59772))+0--75.3-0.0384029999999924</f>
        <v>2046.5557239999996</v>
      </c>
      <c r="J207" s="3">
        <f>2918+(37.5-1047.2)+(2.97636+(0.03825-1.068144))+0--74.6--0.0760920000000119</f>
        <v>1984.922558</v>
      </c>
      <c r="K207" s="3">
        <f>2758.7+(75.9-1000.2)+(-5.627748+(-0.154836--2.040408))+0--72.2-0.147287999999997</f>
        <v>1902.7105359999998</v>
      </c>
      <c r="L207" s="3">
        <f>2293.3+(196.7-824.5)+(1.169583+(0.100317-0.420495))+0--71--0.0362099999999928</f>
        <v>1737.3856150000001</v>
      </c>
      <c r="M207" s="3">
        <f>2405.1+(108.3-851.8)+(0+(0-0))+0--69-0</f>
        <v>1730.6</v>
      </c>
      <c r="N207" s="3">
        <f>2733.6+(57.5-1047.8)+(-1.394136+(-0.029325--0.534378))+0--66.8-0.0340679999999932</f>
        <v>1809.1768489999999</v>
      </c>
      <c r="O207" s="3">
        <f>2731.6+(51.9-973.7)+(1.393116+(0.026469-0.496587))+0--65--0.0331499999999934</f>
        <v>1875.7561479999997</v>
      </c>
      <c r="P207" s="3">
        <f>2908.6+(36.1-1044)+(0+(0-0))+0--64-0</f>
        <v>1964.6999999999998</v>
      </c>
      <c r="Q207" s="3">
        <f>3021.4+(62.3-1113.3)+(1.540914+(0.031773-0.567783))+0--63.7--0.0324869999999935</f>
        <v>2035.137391</v>
      </c>
      <c r="R207" s="3">
        <f>3050.5+(108.6-1073.3)+(0+(0-0))+0--63.7-0</f>
        <v>2149.5</v>
      </c>
      <c r="S207" s="3">
        <f>3052+(146.1-1004.9)+(-6.22608+(-0.298044--2.049996))+0--64.1-0.130763999999997</f>
        <v>2252.6951079999999</v>
      </c>
      <c r="T207" s="3">
        <f>3066.7+(148.7-990.5)+(-6.256068+(-0.303348--2.02062))+0--63.9-0.130355999999997</f>
        <v>2284.1308479999998</v>
      </c>
      <c r="U207" s="3">
        <f>3067+(116.1-1020.8)+(-6.25668+(-0.236844--2.082432))+0--64.2-0.130967999999997</f>
        <v>2221.9579400000002</v>
      </c>
      <c r="V207" s="3">
        <f>2869.4+(96.1-949.2)+(-4.390182+(-0.147033--1.452276))+0--64.2-0.0982260000000037</f>
        <v>2077.3168350000001</v>
      </c>
      <c r="W207" s="3">
        <f>2960.4+(69.7-1037.8)+(1.509804+(0.035547-0.529278))+0--64--0.0326399999999935</f>
        <v>2057.3487129999999</v>
      </c>
      <c r="X207" s="3">
        <f>3240.5+(95-1180.4)+(-4.957965+(-0.14535--1.806012))+0--64.3-0.0983790000000037</f>
        <v>2216.0043180000002</v>
      </c>
      <c r="Y207" s="3">
        <f>3215.7+(124.7-1153.9)+(-8.200035+(-0.317985--2.942445))+0--64.2-0.163709999999991</f>
        <v>2244.9607150000002</v>
      </c>
      <c r="Z207" s="3">
        <f>3211.1+(135-1158.4)+(-4.912983+(-0.20655--1.772352))+0--64.5-0.0986850000000037</f>
        <v>2248.7541339999998</v>
      </c>
      <c r="AA207" s="3">
        <f>3226.6+(140.6-1146.3)+(-6.582264+(-0.286824--2.338452))+0--65-0.132599999999997</f>
        <v>2281.2367640000002</v>
      </c>
      <c r="AB207" s="3">
        <f>3233.4+(140.6-1145.2)+(-6.596136+(-0.286824--2.336208))+0--65.6-0.133823999999997</f>
        <v>2289.7194239999999</v>
      </c>
      <c r="AC207" s="3">
        <f>3220.3+(132.4-1158.6)+(-8.211765+(-0.33762--2.95443))+0--66-0.16829999999999</f>
        <v>2254.3367450000005</v>
      </c>
      <c r="AD207" s="2">
        <v>2250.7000000000003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3079.2+(106.3-1064)+(-4.711176+(-0.162639--1.62792))+0--66-0.100980000000004</f>
        <v>2184.1531249999998</v>
      </c>
      <c r="G208" s="3">
        <f>3097.5+(70.9-1134.4)+(-4.739175+(-0.108477--1.735632))+0--65-0.0994500000000038</f>
        <v>2095.7885299999998</v>
      </c>
      <c r="H208" s="3">
        <f>3120.9+(37.2-1189.5)+(-7.958295+(-0.09486--3.033225))+0--65-0.165749999999991</f>
        <v>2028.4143200000003</v>
      </c>
      <c r="I208" s="3">
        <f>3058+(20.6-1150.9)+(-1.55958+(-0.010506--0.586959))+0--65-0.0331499999999934</f>
        <v>1991.6837229999999</v>
      </c>
      <c r="J208" s="3">
        <f>2947.5+(11-1082.3)+(-1.503225+(-0.00561--0.551973))+0--67.1-0.0342209999999932</f>
        <v>1942.3089170000001</v>
      </c>
      <c r="K208" s="3">
        <f>3002.5+(11-1193.6)+(-3.06255+(-0.01122--1.217472))+0--68-0.0693600000000108</f>
        <v>1885.9743420000002</v>
      </c>
      <c r="L208" s="3">
        <f>2753.1+(11-1077.1)+(-1.404081+(-0.00561--0.549321))+0--68.5-0.034934999999993</f>
        <v>1754.604695</v>
      </c>
      <c r="M208" s="3">
        <f>2868.9+(12-1121.7)+(2.926278+(0.01224-1.144134))+0--66.1--0.0674220000000105</f>
        <v>1827.1618060000001</v>
      </c>
      <c r="N208" s="3">
        <f>3089.3+(12-1193.5)+(-4.726629+(-0.01836--1.826055))+0--65.1-0.0996030000000038</f>
        <v>1969.8814629999999</v>
      </c>
      <c r="O208" s="3">
        <f>3165.3+(13-1172.4)+(0+(0-0))+0--62.4-0</f>
        <v>2068.3000000000002</v>
      </c>
      <c r="P208" s="3">
        <f>3261.6+(13-1194.8)+(0+(0-0))+0--61.8-0</f>
        <v>2141.6000000000004</v>
      </c>
      <c r="Q208" s="3">
        <f>3473.3+(13-1303.9)+(0+(0-0))+0--62.1-0</f>
        <v>2244.5</v>
      </c>
      <c r="R208" s="3">
        <f>3512.9+(39.5-1301.5)+(0+(0-0))+0--63-0</f>
        <v>2313.9</v>
      </c>
      <c r="S208" s="3">
        <f>3685.3+(50.4-1343.6)+(0+(0-0))+0--64.2-0</f>
        <v>2456.3000000000002</v>
      </c>
      <c r="T208" s="3">
        <f>3671.9+(69.8-1316.5)+(0+(0-0))+0--64.8-0</f>
        <v>2490</v>
      </c>
      <c r="U208" s="3">
        <f>3663.7+(20.4-1326.2)+(0+(0-0))+0--64.9-0</f>
        <v>2422.7999999999997</v>
      </c>
      <c r="V208" s="3">
        <f>3553.8+(10-1382.3)+(0+(0-0))+0--65-0</f>
        <v>2246.5</v>
      </c>
      <c r="W208" s="3">
        <f>3437.3+(11-1283.8)+(0+(0-0))+0--65-0</f>
        <v>2229.5</v>
      </c>
      <c r="X208" s="3">
        <f>3568.6+(36.1-1364.6)+(0+(0-0))+0--65-0</f>
        <v>2305.1</v>
      </c>
      <c r="Y208" s="3">
        <f>3737.5+(53.6-1479.9)+(0+(0-0))+0--67-0</f>
        <v>2378.1999999999998</v>
      </c>
      <c r="Z208" s="3">
        <f>3650.9+(71.6-1426.6)+(0+(0-0))+0--67.1-0</f>
        <v>2363</v>
      </c>
      <c r="AA208" s="3">
        <f>3564.8+(104-1299.1)+(0+(0-0))+0--68.2-0</f>
        <v>2437.9</v>
      </c>
      <c r="AB208" s="3">
        <f>3360.1+(95.5-1269.8)+(0+(0-0))+0--68.2-0</f>
        <v>2254</v>
      </c>
      <c r="AC208" s="3">
        <f>3371.6+(65-1299.7)+(0+(0-0))+0--70.1-0</f>
        <v>2206.9999999999995</v>
      </c>
      <c r="AD208" s="2">
        <v>2380.8000000000002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3460.8+(26.8-1348.4)+(-5.295024+(-0.041004--2.063052))+0--54.9-0.0839970000000032</f>
        <v>2190.7430269999995</v>
      </c>
      <c r="G209" s="3">
        <f>2833.1+(73.2-907.5)+(1.444881+(0.037332-0.462825))+0--54.5--0.0277949999999945</f>
        <v>2054.3471829999999</v>
      </c>
      <c r="H209" s="3">
        <f>2568.8+(95.3-711.2)+(-2.620176+(-0.097206--0.725424))+0--54.4-0.0554880000000087</f>
        <v>2005.2525540000001</v>
      </c>
      <c r="I209" s="3">
        <f>2506+(85.3-696.9)+(-1.27806+(-0.043503--0.355419))+0--54.3-0.0276929999999945</f>
        <v>1947.7061630000001</v>
      </c>
      <c r="J209" s="3">
        <f>2505.6+(54.4-721.9)+(-3.833568+(-0.083232--1.104507))+0--54.2-0.0829260000000031</f>
        <v>1889.404781</v>
      </c>
      <c r="K209" s="3">
        <f>2510.1+(24.7-755.3)+(-1.280151+(-0.012597--0.385203))+0--54.2-0.0276419999999945</f>
        <v>1832.764813</v>
      </c>
      <c r="L209" s="3">
        <f>2510+(10.8-881.9)+(0+(0-0))+0--70.9-0</f>
        <v>1709.8000000000002</v>
      </c>
      <c r="M209" s="3">
        <f>2558.3+(11.8-844)+(2.609466+(0.012036-0.86088))+0--69.4--0.0707880000000111</f>
        <v>1797.3314100000002</v>
      </c>
      <c r="N209" s="3">
        <f>2704.9+(11.8-878.8)+(2.758998+(0.012036-0.896376))+0--66.3--0.0676260000000106</f>
        <v>1906.142284</v>
      </c>
      <c r="O209" s="3">
        <f>2875.8+(12.8-935.2)+(-1.466658+(-0.006528--0.476952))+0--64.4-0.0328439999999935</f>
        <v>2016.7709220000002</v>
      </c>
      <c r="P209" s="3">
        <f>2999.6+(12.8-999.8)+(0+(0-0))+0--63.4-0</f>
        <v>2076</v>
      </c>
      <c r="Q209" s="3">
        <f>3161.5+(11.8-1096)+(-4.837095+(-0.018054--1.67688))+0--63.1-0.0965430000000037</f>
        <v>2137.125188</v>
      </c>
      <c r="R209" s="3">
        <f>3178.3+(31.5-1098)+(0+(0-0))+0--62.9-0</f>
        <v>2174.7000000000003</v>
      </c>
      <c r="S209" s="3">
        <f>3289.2+(43.5-1103.4)+(0+(0-0))+0--60.8-0</f>
        <v>2290.1</v>
      </c>
      <c r="T209" s="3">
        <f>3323.8+(43.7-1112.8)+(0+(0-0))+0--60.2-0</f>
        <v>2314.9</v>
      </c>
      <c r="U209" s="3">
        <f>3312.5+(12.8-1110.2)+(0+(0-0))+0--60.6-0</f>
        <v>2275.6999999999998</v>
      </c>
      <c r="V209" s="3">
        <f>3097.6+(11.8-1068.7)+(0+(0-0))+0--63.2-0</f>
        <v>2103.8999999999996</v>
      </c>
      <c r="W209" s="3">
        <f>3035.2+(12.8-1028.2)+(0+(0-0))+0--64.3-0</f>
        <v>2084.1</v>
      </c>
      <c r="X209" s="3">
        <f>3441.2+(13.8-1275.6)+(0+(0-0))+0--64.6-0</f>
        <v>2243.9999999999995</v>
      </c>
      <c r="Y209" s="3">
        <f>3488.2+(13.8-1332.4)+(0+(0-0))+0--65.3-0</f>
        <v>2234.8999999999996</v>
      </c>
      <c r="Z209" s="3">
        <f>3338.9+(39.3-1241.3)+(0+(0-0))+0--65.5-0</f>
        <v>2202.4</v>
      </c>
      <c r="AA209" s="3">
        <f>3135.5+(77.7-1060.2)+(0+(0-0))+0--66-0</f>
        <v>2219</v>
      </c>
      <c r="AB209" s="3">
        <f>3015+(86.8-968.2)+(0+(0-0))+0--66.2-0</f>
        <v>2199.7999999999997</v>
      </c>
      <c r="AC209" s="3">
        <f>3019.6+(74.9-993.8)+(0+(0-0))+0--65.9-0</f>
        <v>2166.6</v>
      </c>
      <c r="AD209" s="2">
        <v>2272.9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2992.2+(43.9-981.4)+(-7.63011+(-0.111945--2.50257))+0--74-0.188699999999989</f>
        <v>2123.2718149999996</v>
      </c>
      <c r="G210" s="3">
        <f>2913.1+(22.7-961.2)+(-7.428405+(-0.057885--2.45106))+0--74-0.188699999999989</f>
        <v>2043.37607</v>
      </c>
      <c r="H210" s="3">
        <f>2695.7+(34.7-830.8)+(-1.374807+(-0.017697--0.423708))+0--73-0.0372299999999926</f>
        <v>1971.5939739999999</v>
      </c>
      <c r="I210" s="3">
        <f>2829.1+(13-987.8)+(-4.328523+(-0.01989--1.511334))+0--73-0.111690000000004</f>
        <v>1924.3512310000001</v>
      </c>
      <c r="J210" s="3">
        <f>2830.5+(13-1044.5)+(-4.330665+(-0.01989--1.598085))+0--73-0.111690000000004</f>
        <v>1869.1358400000001</v>
      </c>
      <c r="K210" s="3">
        <f>2837.8+(14-1112.4)+(-2.894556+(-0.01428--1.134648))+0--72-0.0734400000000115</f>
        <v>1809.5523719999999</v>
      </c>
      <c r="L210" s="3">
        <f>2668.3+(22.8-1078.5)+(0+(0-0))+0--69.7-0</f>
        <v>1682.3000000000002</v>
      </c>
      <c r="M210" s="3">
        <f>2553.9+(37.3-909.2)+(0+(0-0))+0--69.7-0</f>
        <v>1751.7</v>
      </c>
      <c r="N210" s="3">
        <f>2569.6+(41.9-876.1)+(0+(0-0))+0--67.8-0</f>
        <v>1803.1999999999998</v>
      </c>
      <c r="O210" s="3">
        <f>3041.5+(15-1168.7)+(0+(0-0))+0--65.9-0</f>
        <v>1953.7</v>
      </c>
      <c r="P210" s="3">
        <f>3198.5+(14-1229.1)+(0+(0-0))+0--65.4-0</f>
        <v>2048.8000000000002</v>
      </c>
      <c r="Q210" s="3">
        <f>3334.2+(14-1274)+(0+(0-0))+0--64.6-0</f>
        <v>2138.7999999999997</v>
      </c>
      <c r="R210" s="3">
        <f>3319.1+(14-1224.1)+(0+(0-0))+0--65.4-0</f>
        <v>2174.4</v>
      </c>
      <c r="S210" s="3">
        <f>3314.1+(27.4-1128.3)+(-3.380382+(-0.027948--1.150866))+0--65.3-0.0666060000000104</f>
        <v>2276.1759300000003</v>
      </c>
      <c r="T210" s="3">
        <f>3301.8+(14-1077.1)+(-1.683918+(-0.00714--0.549321))+0--66-0.0336599999999933</f>
        <v>2303.5246030000003</v>
      </c>
      <c r="U210" s="3">
        <f>3179.6+(14-1013.8)+(-6.486384+(-0.02856--2.068152))+0--65.7-0.134027999999997</f>
        <v>2240.9191799999999</v>
      </c>
      <c r="V210" s="3">
        <f>3143.6+(14-1129.3)+(-3.206472+(-0.01428--1.151886))+0--66.1-0.0674220000000105</f>
        <v>2092.2637119999999</v>
      </c>
      <c r="W210" s="3">
        <f>3213+(15-1220.9)+(-3.27726+(-0.0153--1.245318))+0--65.5-0.0668100000000104</f>
        <v>2070.485948</v>
      </c>
      <c r="X210" s="3">
        <f>3329.3+(38.3-1194.5)+(-5.093829+(-0.058599--1.827585))+0--66.1-0.101133000000004</f>
        <v>2235.7740240000003</v>
      </c>
      <c r="Y210" s="3">
        <f>3322.6+(48.8-1205.6)+(-5.083578+(-0.074664--1.844568))+0--66.2-0.101286000000004</f>
        <v>2228.5850399999999</v>
      </c>
      <c r="Z210" s="3">
        <f>3169.7+(79.7-1091.6)+(-4.849641+(-0.121941--1.670148))+0--65-0.0994500000000038</f>
        <v>2219.399116</v>
      </c>
      <c r="AA210" s="3">
        <f>3137.3+(96.2-1011.6)+(-6.400092+(-0.196248--2.063664))+0--65.3-0.133211999999997</f>
        <v>2282.5341120000003</v>
      </c>
      <c r="AB210" s="3">
        <f>3144.7+(94.2-991.8)+(-1.603797+(-0.048042--0.505818))+0--65.7-0.0335069999999933</f>
        <v>2311.6204719999996</v>
      </c>
      <c r="AC210" s="3">
        <f>3145.2+(100.7-953.4)+(-4.812156+(-0.154071--1.458702))+0--65.3-0.0999090000000038</f>
        <v>2354.1925660000002</v>
      </c>
      <c r="AD210" s="2">
        <v>2201.7999999999997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2953.2+(64.6-1014.9)+(-1.506132+(-0.032946--0.517599))+0--71.5-0.0364649999999927</f>
        <v>2073.3420559999995</v>
      </c>
      <c r="G211" s="3">
        <f>2753.5+(77.3-891.3)+(0+(0-0))+0--69.5-0</f>
        <v>2009</v>
      </c>
      <c r="H211" s="3">
        <f>2285.7+(149.9-587.3)+(1.165707+(0.076449-0.299523))+0--69.4--0.035393999999993</f>
        <v>1918.6780269999997</v>
      </c>
      <c r="I211" s="3">
        <f>2282.4+(92.7-578.9)+(2.328048+(0.094554-0.590478))+0--69.3--0.070686000000011</f>
        <v>1867.40281</v>
      </c>
      <c r="J211" s="3">
        <f>2285.2+(75.9-605)+(2.330904+(0.077418-0.6171))+0--73.3--0.0747660000000117</f>
        <v>1831.2659879999999</v>
      </c>
      <c r="K211" s="3">
        <f>2285.9+(93.7-684.3)+(0+(0-0))+0--73.3-0</f>
        <v>1768.6000000000001</v>
      </c>
      <c r="L211" s="3">
        <f>2234.5+(137.2-794.1)+(4.55838+(0.279888-1.619964))+0--68.1--0.138923999999997</f>
        <v>1649.0572279999999</v>
      </c>
      <c r="M211" s="3">
        <f>2385.4+(105.6-827.1)+(-2.433108+(-0.107712--0.843642))+0--66.8-0.0681360000000106</f>
        <v>1728.9346860000001</v>
      </c>
      <c r="N211" s="3">
        <f>2575.5+(72.2-842.8)+(-5.25402+(-0.147288--1.719312))+0--65-0.132599999999997</f>
        <v>1866.0854040000002</v>
      </c>
      <c r="O211" s="3">
        <f>2578.1+(76.4-740.2)+(-3.944493+(-0.116892--1.132506))+0--63.7-0.0974610000000037</f>
        <v>1974.9736599999997</v>
      </c>
      <c r="P211" s="3">
        <f>2637.5+(71.6-716.2)+(-6.725625+(-0.18258--1.82631))+0--62.4-0.159119999999991</f>
        <v>2050.0589850000001</v>
      </c>
      <c r="Q211" s="3">
        <f>2829.1+(37.4-830.2)+(-4.328523+(-0.057222--1.270206))+0--62.1-0.0950130000000036</f>
        <v>2095.1894479999996</v>
      </c>
      <c r="R211" s="3">
        <f>2975.5+(51.2-925.7)+(-6.07002+(-0.104448--1.888428))+0--62.2-0.126887999999997</f>
        <v>2158.7870720000001</v>
      </c>
      <c r="S211" s="3">
        <f>3060.3+(65.8-912.7)+(1.560753+(0.033558-0.465477))+0--54.8--0.0279479999999944</f>
        <v>2269.3567820000003</v>
      </c>
      <c r="T211" s="3">
        <f>3251.6+(47.8-1045.8)+(-3.316632+(-0.048756--1.066716))+0--49.5-0.0504900000000079</f>
        <v>2300.7508379999999</v>
      </c>
      <c r="U211" s="3">
        <f>3249.1+(31.7-1087.4)+(-8.285205+(-0.080835--2.77287))+0--65.1-0.166004999999991</f>
        <v>2252.7408249999994</v>
      </c>
      <c r="V211" s="3">
        <f>2901+(59.5-908.1)+(-4.43853+(-0.091035--1.389393))+0--69-0.105570000000004</f>
        <v>2118.154258</v>
      </c>
      <c r="W211" s="3">
        <f>2884.4+(73.6-925)+(1.471044+(0.037536-0.47175))+0--69.2--0.035291999999993</f>
        <v>2103.2721219999999</v>
      </c>
      <c r="X211" s="3">
        <f>3233.2+(49-1088)+(-4.946796+(-0.07497--1.66464))+0--70.7-0.108171000000004</f>
        <v>2261.4347029999999</v>
      </c>
      <c r="Y211" s="3">
        <f>3307.7+(40.1-1156.3)+(-6.747708+(-0.081804--2.358852))+0--70.5-0.143819999999997</f>
        <v>2257.3855200000003</v>
      </c>
      <c r="Z211" s="3">
        <f>3236.7+(46.1-1119.1)+(-6.602868+(-0.094044--2.282964))+0--70.3-0.143411999999997</f>
        <v>2229.4426400000002</v>
      </c>
      <c r="AA211" s="3">
        <f>3109.7+(56.6-989)+(-7.929735+(-0.14433--2.52195))+0--70.6-0.18002999999999</f>
        <v>2242.1678549999997</v>
      </c>
      <c r="AB211" s="3">
        <f>3016.4+(63.6-915.7)+(-7.69182+(-0.16218--2.335035))+0--70.9-0.18079499999999</f>
        <v>2229.5002399999998</v>
      </c>
      <c r="AC211" s="3">
        <f>3022.9+(50-961)+(-4.625037+(-0.0765--1.47033))+0--71.4-0.109242000000004</f>
        <v>2179.9595510000004</v>
      </c>
      <c r="AD211" s="2">
        <v>2341.6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2961.9+(26.1-971.6)+(-4.531707+(-0.039933--1.486548))+0--70.5-0.107865000000004</f>
        <v>2083.7070430000003</v>
      </c>
      <c r="G212" s="3">
        <f>2563.1+(68.2-707.4)+(-3.921543+(-0.104346--1.082322))+0--69.5-0.106335000000004</f>
        <v>1990.3500980000001</v>
      </c>
      <c r="H212" s="3">
        <f>2343.8+(95.8-595.2)+(-2.390676+(-0.097716--0.607104))+0--69.5-0.0708900000000111</f>
        <v>1911.9478220000001</v>
      </c>
      <c r="I212" s="3">
        <f>2274.9+(111.5-610.5)+(-1.160199+(-0.056865--0.311355))+0--70.5-0.0359549999999928</f>
        <v>1845.4583360000001</v>
      </c>
      <c r="J212" s="3">
        <f>2277.1+(76.1-626.2)+(1.161321+(0.038811-0.319362))+0--70.5--0.0359549999999928</f>
        <v>1798.416725</v>
      </c>
      <c r="K212" s="3">
        <f>2277.5+(76.7-677.6)+(1.161525+(0.039117-0.345576))+0--71.5--0.0364649999999927</f>
        <v>1748.9915309999999</v>
      </c>
      <c r="L212" s="3">
        <f>2234.9+(120.6-788.5)+(-1.139799+(-0.061506--0.402135))+0--73.1-0.0372809999999926</f>
        <v>1639.263549</v>
      </c>
      <c r="M212" s="3">
        <f>2411.5+(83.2-842.1)+(0+(0-0))+0--72.2-0</f>
        <v>1724.8</v>
      </c>
      <c r="N212" s="3">
        <f>2668+(58.5-927.5)+(-4.08204+(-0.089505--1.419075))+0--71.6-0.109548000000004</f>
        <v>1867.7379820000001</v>
      </c>
      <c r="O212" s="3">
        <f>2859.4+(64.5-1009.5)+(-1.458294+(-0.032895--0.514845))+0--70.8-0.0361079999999928</f>
        <v>1984.1875480000001</v>
      </c>
      <c r="P212" s="3">
        <f>3079.3+(68.5-1148.1)+(-3.140886+(-0.06987--1.171062))+0--69.7-0.0710940000000111</f>
        <v>2067.2892120000001</v>
      </c>
      <c r="Q212" s="3">
        <f>3110.1+(70.5-1114.4)+(-3.172302+(-0.07191--1.136688))+0--69.3-0.070686000000011</f>
        <v>2133.32179</v>
      </c>
      <c r="R212" s="3">
        <f>3111.2+(57.5-1081.9)+(-1.586712+(-0.029325--0.551769))+0--69.6-0.0354959999999929</f>
        <v>2155.3002359999996</v>
      </c>
      <c r="S212" s="3">
        <f>3108.4+(46.5-981.1)+(-4.755852+(-0.071145--1.501083))+0--70-0.107100000000004</f>
        <v>2240.366986</v>
      </c>
      <c r="T212" s="3">
        <f>3109.4+(53.5-981.2)+(-4.757382+(-0.081855--1.501236))+0--69-0.105570000000004</f>
        <v>2247.2564289999996</v>
      </c>
      <c r="U212" s="3">
        <f>2974.5+(90.7-952.4)+(-4.550985+(-0.138771--1.457172))+0--67.3-0.102969000000004</f>
        <v>2176.7644470000005</v>
      </c>
      <c r="V212" s="3">
        <f>2686.2+(98.1-845.9)+(2.739924+(0.100062-0.862818))+0--65.9--0.0672180000000105</f>
        <v>2006.3443859999998</v>
      </c>
      <c r="W212" s="3">
        <f>2702.3+(71.5-811.8)+(1.378173+(0.036465-0.414018))+0--65.7--0.0335069999999933</f>
        <v>2028.7341270000004</v>
      </c>
      <c r="X212" s="3">
        <f>2876.1+(65.5-836.6)+(-4.400433+(-0.100215--1.279998))+0--65.6-0.100368000000004</f>
        <v>2167.2789819999998</v>
      </c>
      <c r="Y212" s="3">
        <f>2968.5+(59.5-956.3)+(-3.02787+(-0.06069--0.975426))+0--65.9-0.0672180000000105</f>
        <v>2135.4196479999996</v>
      </c>
      <c r="Z212" s="3">
        <f>2921.9+(55.5-953.4)+(-2.980338+(-0.05661--0.972468))+0--66.7-0.0680340000000106</f>
        <v>2088.5674859999999</v>
      </c>
      <c r="AA212" s="3">
        <f>2832.1+(51.5-851.5)+(-2.888742+(-0.05253--0.86853))+0--67.4-0.0687480000000108</f>
        <v>2097.3585099999996</v>
      </c>
      <c r="AB212" s="3">
        <f>2826+(43.5-848.9)+(-7.2063+(-0.110925--2.164695))+0--67.9-0.17314499999999</f>
        <v>2083.1743249999995</v>
      </c>
      <c r="AC212" s="3">
        <f>2831.8+(41.5-906.1)+(-8.665308+(-0.12699--2.772666))+0--68.1-0.208386000000008</f>
        <v>2029.0719820000002</v>
      </c>
      <c r="AD212" s="2">
        <v>2197.1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2859.6+(22.7-974.8)+(2.916792+(0.023154-0.994296))+0--70.3--0.0717060000000112</f>
        <v>1979.8173559999998</v>
      </c>
      <c r="G213" s="3">
        <f>2877.9+(17.7-1046.2)+(1.467729+(0.009027-0.533562))+0--70.3--0.0358529999999929</f>
        <v>1920.6790470000001</v>
      </c>
      <c r="H213" s="3">
        <f>2870.8+(19.6-1110.7)+(2.928216+(0.019992-1.132914))+0--70.4--0.0718080000000112</f>
        <v>1851.987102</v>
      </c>
      <c r="I213" s="3">
        <f>2869+(22.6-1157.7)+(-1.46319+(-0.011526--0.590427))+0--70.4-0.0359039999999929</f>
        <v>1803.3798069999998</v>
      </c>
      <c r="J213" s="3">
        <f>2622.7+(39.5-958.6)+(0+(0-0))+0--70.5-0</f>
        <v>1774.1</v>
      </c>
      <c r="K213" s="3">
        <f>2554.7+(44.5-946)+(-5.211588+(-0.09078--1.92984))+0--70.5-0.143819999999997</f>
        <v>1720.1836519999997</v>
      </c>
      <c r="L213" s="3">
        <f>2387.2+(79-929.6)+(2.434944+(0.08058-0.948192))+0--70.9--0.0723180000000113</f>
        <v>1609.1396500000001</v>
      </c>
      <c r="M213" s="3">
        <f>2520.1+(43-942.4)+(0+(0-0))+0--71.9-0</f>
        <v>1692.6</v>
      </c>
      <c r="N213" s="3">
        <f>2959+(33-1258)+(0+(0-0))+0--70.2-0</f>
        <v>1804.2</v>
      </c>
      <c r="O213" s="3">
        <f>3222.3+(36-1401)+(0+(0-0))+0--67.5-0</f>
        <v>1924.8000000000002</v>
      </c>
      <c r="P213" s="3">
        <f>3213.5+(51-1324.4)+(-4.916655+(-0.07803--2.026332))+0--66.6-0.101898000000004</f>
        <v>2003.6297489999999</v>
      </c>
      <c r="Q213" s="3">
        <f>3307.2+(37-1368.6)+(0+(0-0))+0--64.5-0</f>
        <v>2040.1</v>
      </c>
      <c r="R213" s="3">
        <f>3297.4+(32.9-1311.1)+(-5.045022+(-0.050337--2.005983))+0--65.3-0.0999090000000038</f>
        <v>2081.3107150000005</v>
      </c>
      <c r="S213" s="3">
        <f>3279.9+(32.8-1268.9)+(0+(0-0))+0--65.5-0</f>
        <v>2109.3000000000002</v>
      </c>
      <c r="T213" s="3">
        <f>3280.4+(40.7-1278.1)+(0+(0-0))+0--66.2-0</f>
        <v>2109.2000000000003</v>
      </c>
      <c r="U213" s="3">
        <f>3039.9+(64.4-1102.1)+(-6.201396+(-0.131376--2.248284))+0--65.7-0.134027999999997</f>
        <v>2063.6814840000002</v>
      </c>
      <c r="V213" s="3">
        <f>2734.7+(102.8-977.5)+(-4.184091+(-0.157284--1.495575))+0--66.5-0.101745000000004</f>
        <v>1923.5524549999998</v>
      </c>
      <c r="W213" s="3">
        <f>2989.3+(12.9-1147.3)+(-1.524543+(-0.006579--0.585123))+0--66.1-0.0337109999999933</f>
        <v>1920.0202900000002</v>
      </c>
      <c r="X213" s="3">
        <f>3471.1+(13.1-1433.8)+(-5.310783+(-0.020043--2.193714))+0--66-0.100980000000004</f>
        <v>2113.1619079999996</v>
      </c>
      <c r="Y213" s="3">
        <f>3477.1+(13.1-1464.8)+(-1.773321+(-0.006681--0.747048))+0--66.3-0.0338129999999933</f>
        <v>2090.633233</v>
      </c>
      <c r="Z213" s="3">
        <f>3404.2+(13.2-1458.6)+(3.472284+(0.013464-1.487772))+0--66.4--0.0677280000000106</f>
        <v>2027.2657040000001</v>
      </c>
      <c r="AA213" s="3">
        <f>3393+(13.1-1454.4)+(1.73043+(0.006681-0.741744))+0--67.1--0.0342209999999932</f>
        <v>2019.8295879999996</v>
      </c>
      <c r="AB213" s="3">
        <f>3295.6+(12-1345.9)+(-3.361512+(-0.01224--1.372818))+0--67.3-0.0686460000000107</f>
        <v>2026.9304199999999</v>
      </c>
      <c r="AC213" s="3">
        <f>3253.1+(10.9-1310.4)+(-4.977243+(-0.016677--2.004912))+0--68.1-0.104193000000004</f>
        <v>2018.6067989999999</v>
      </c>
      <c r="AD213" s="2">
        <v>2114.4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3260.9+(11-1367)+(-1.663059+(-0.00561--0.69717))+0--77.1-0.0393209999999922</f>
        <v>1980.98918</v>
      </c>
      <c r="G214" s="3">
        <f>3266.8+(11-1430)+(-3.332136+(-0.01122--1.4586))+0--77-0.0785400000000123</f>
        <v>1922.8367040000003</v>
      </c>
      <c r="H214" s="3">
        <f>3278.3+(11-1500.2)+(-5.015799+(-0.01683--2.295306))+0--77.1-0.117963000000004</f>
        <v>1863.3447140000001</v>
      </c>
      <c r="I214" s="3">
        <f>3273.7+(16-1546.7)+(-6.678348+(-0.03264--3.155268))+0--78.2-0.159527999999997</f>
        <v>1817.4847519999998</v>
      </c>
      <c r="J214" s="3">
        <f>3065.9+(13-1384)+(0+(0-0))+0--78.2-0</f>
        <v>1773.1000000000001</v>
      </c>
      <c r="K214" s="3">
        <f>3035.3+(25-1428.7)+(-4.644009+(-0.03825--2.185911))+0--79.2-0.121176000000005</f>
        <v>1708.1824760000002</v>
      </c>
      <c r="L214" s="3">
        <f>2736.7+(40.7-1271.6)+(-4.187151+(-0.062271--1.945548))+0--71.3-0.109089000000004</f>
        <v>1574.6870369999999</v>
      </c>
      <c r="M214" s="3">
        <f>2482.6+(48.8-1002.6)+(1.266126+(0.024888-0.511326))+2.5--64.2--0.0327419999999935</f>
        <v>1596.3124299999999</v>
      </c>
      <c r="N214" s="3">
        <f>2363.5+(46.7-747.9)+(1.205385+(0.023817-0.381429))+10-7.2-0.00367199999999927</f>
        <v>1665.944101</v>
      </c>
      <c r="O214" s="3">
        <f>2395.2+(40.6-687.2)+(-4.886208+(-0.082824--1.401888))+10-17.5--0.0356999999999992</f>
        <v>1737.5685559999997</v>
      </c>
      <c r="P214" s="3">
        <f>2734.4+(12-984.5)+(1.394544+(0.00612-0.502095))+10--20.6--0.0105059999999979</f>
        <v>1793.409075</v>
      </c>
      <c r="Q214" s="3">
        <f>3079.1+(12-1321.7)+(-4.711023+(-0.01836--2.022201))+10--102.5-0.156825000000006</f>
        <v>1879.0359929999997</v>
      </c>
      <c r="R214" s="3">
        <f>3090+(11.8-1264.7)+(1.5759+(0.006018-0.644997))+1.7--98.1--0.05003099999999</f>
        <v>1937.8869519999998</v>
      </c>
      <c r="S214" s="3">
        <f>3085.4+(10.9-1173.1)+(-3.147108+(-0.011118--1.196562))+0--94.5-0.0963900000000151</f>
        <v>2015.6419460000004</v>
      </c>
      <c r="T214" s="3">
        <f>3083.1+(11.8-1152.8)+(-6.289524+(-0.024072--2.351712))+0--88.3-0.180131999999996</f>
        <v>2026.2579839999999</v>
      </c>
      <c r="U214" s="3">
        <f>3032.4+(10.7-1146.4)+(-6.186096+(-0.021828--2.338656))+0--81.9-0.167075999999996</f>
        <v>1974.5636560000003</v>
      </c>
      <c r="V214" s="3">
        <f>2783.7+(10.7-1019.7)+(2.839374+(0.010914-1.040094))+0--76.2--0.0777240000000122</f>
        <v>1852.7879179999998</v>
      </c>
      <c r="W214" s="3">
        <f>2941.9+(12.9-1138.7)+(-1.500369+(-0.006579--0.580737))+0--72.9-0.0371789999999926</f>
        <v>1888.0366100000003</v>
      </c>
      <c r="X214" s="3">
        <f>3287.1+(13-1330.2)+(3.352842+(0.01326-1.356804))+0--71.4--0.0728280000000114</f>
        <v>2043.382126</v>
      </c>
      <c r="Y214" s="3">
        <f>3429.2+(13-1446.2)+(-5.246676+(-0.01989--2.212686))+0--71.1-0.108783000000004</f>
        <v>2063.9373369999998</v>
      </c>
      <c r="Z214" s="3">
        <f>3438.6+(12.9-1458.2)+(-7.014744+(-0.026316--2.974728))+0--71.3-0.145451999999997</f>
        <v>2060.3882159999998</v>
      </c>
      <c r="AA214" s="3">
        <f>3383.2+(13.2-1391.7)+(-3.450864+(-0.013464--1.419534))+0--71.7-0.0731340000000114</f>
        <v>2074.2820719999995</v>
      </c>
      <c r="AB214" s="3">
        <f>3371.9+(25.1-1287.7)+(-3.439338+(-0.025602--1.313454))+0--71.9-0.0733380000000115</f>
        <v>2178.9751759999999</v>
      </c>
      <c r="AC214" s="3">
        <f>3375.2+(10.6-1395)+(-3.442704+(-0.010812--1.4229))+0--71.5-0.0729300000000114</f>
        <v>2060.1964539999999</v>
      </c>
      <c r="AD214" s="2">
        <v>2082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3374.6+(11-1463.3)+(-6.884184+(-0.02244--2.985132))+0--72.3-0.147491999999997</f>
        <v>1990.5310159999999</v>
      </c>
      <c r="G215" s="3">
        <f>3336.9+(10-1503.2)+(-1.701819+(-0.0051--0.766632))+0--73.3-0.0373829999999926</f>
        <v>1916.02233</v>
      </c>
      <c r="H215" s="3">
        <f>3277+(10-1500.7)+(-5.01381+(-0.0153--2.296071))+0--73.4-0.112302000000004</f>
        <v>1856.8546590000001</v>
      </c>
      <c r="I215" s="3">
        <f>3170.9+(10-1438.9)+(-4.851477+(-0.0153--2.201517))+0--73.4-0.112302000000004</f>
        <v>1812.6224380000001</v>
      </c>
      <c r="J215" s="3">
        <f>3061.1+(11-1371)+(-3.122322+(-0.01122--1.39842))+0--74.4-0.0758880000000119</f>
        <v>1773.6889899999999</v>
      </c>
      <c r="K215" s="3">
        <f>3030.6+(10-1389.8)+(0+(0-0))+0--74.3-0</f>
        <v>1725.1</v>
      </c>
      <c r="L215" s="3">
        <f>3033.9+(21-1496.3)+(-1.547289+(-0.01071--0.763113))+0--74.3-0.0378929999999925</f>
        <v>1632.0672210000002</v>
      </c>
      <c r="M215" s="3">
        <f>3081.4+(23-1452)+(-1.571514+(-0.01173--0.74052))+0--73.7-0.0375869999999925</f>
        <v>1725.219689</v>
      </c>
      <c r="N215" s="3">
        <f>3196.8+(21-1437.4)+(0+(0-0))+0--70.9-0</f>
        <v>1851.3000000000002</v>
      </c>
      <c r="O215" s="3">
        <f>3463.1+(22-1528.9)+(-7.064724+(-0.04488--3.118956))+0--69.2-0.141167999999997</f>
        <v>2021.2681839999998</v>
      </c>
      <c r="P215" s="3">
        <f>3461.9+(27-1545.6)+(-1.765569+(-0.01377--0.788256))+0--67-0.0341699999999932</f>
        <v>2009.2747470000004</v>
      </c>
      <c r="Q215" s="3">
        <f>3514.8+(12-1507.5)+(-3.585096+(-0.01224--1.53765))+0--66.6-0.0679320000000106</f>
        <v>2083.7723820000001</v>
      </c>
      <c r="R215" s="3">
        <f>3641.1+(11-1606.7)+(-5.570883+(-0.01683--2.458251))+0--66.1-0.101133000000004</f>
        <v>2108.2694049999996</v>
      </c>
      <c r="S215" s="3">
        <f>3611.7+(11-1483.2)+(-5.525901+(-0.01683--2.269296))+0--66.7-0.102051000000004</f>
        <v>2202.8245139999999</v>
      </c>
      <c r="T215" s="3">
        <f>3404.8+(11-1289.4)+(1.736448+(0.00561-0.657594))+0--66.9--0.0341189999999932</f>
        <v>2194.4185830000001</v>
      </c>
      <c r="U215" s="3">
        <f>3338.3+(12-1312.7)+(-10.215198+(-0.03672--4.016862))+0--67.1-0.205326000000008</f>
        <v>2098.2596180000005</v>
      </c>
      <c r="V215" s="3">
        <f>3307.5+(11-1389.1)+(-3.37365+(-0.01122--1.416882))+0--67.6-0.0689520000000108</f>
        <v>1994.9630599999998</v>
      </c>
      <c r="W215" s="3">
        <f>3454.1+(12-1499.1)+(0+(0-0))+0--67.3-0</f>
        <v>2034.3</v>
      </c>
      <c r="X215" s="3">
        <f>3652.1+(12-1558.4)+(-7.450284+(-0.02448--3.179136))+0--68.7-0.140147999999997</f>
        <v>2169.9642239999998</v>
      </c>
      <c r="Y215" s="3">
        <f>3632.8+(12-1682.8)+(-14.821824+(-0.04896--6.865824))+71.5--68.8-0.280703999999994</f>
        <v>2094.0143360000006</v>
      </c>
      <c r="Z215" s="3">
        <f>3420+(12-1681.2)+(-8.721+(-0.0306--4.28706))+45--69-0.17594999999999</f>
        <v>1860.15951</v>
      </c>
      <c r="AA215" s="3">
        <f>3376.5+(11-1663.2)+(-8.610075+(-0.02805--4.24116))+0--69.5-0.17722499999999</f>
        <v>1789.2258100000001</v>
      </c>
      <c r="AB215" s="3">
        <f>3223.5+(10-1506.9)+(-4.931955+(-0.0153--2.305557))+0--70.1-0.107253000000004</f>
        <v>1793.951049</v>
      </c>
      <c r="AC215" s="3">
        <f>3025.1+(33.1-1367.6)+(-1.542801+(-0.016881--0.697476))+0--71.8-0.0366179999999927</f>
        <v>1761.5011759999998</v>
      </c>
      <c r="AD215" s="2">
        <v>2155.4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3311.1+(29.5-1377.2)+(1.688661+(0.015045-0.702372))+0-5.5-0.00280499999999944</f>
        <v>1958.8985289999998</v>
      </c>
      <c r="G216" s="3">
        <f>3276.1+(29-1394.4)+(-6.683244+(-0.05916--2.844576))+0-5.5--0.0112199999999998</f>
        <v>1901.313392</v>
      </c>
      <c r="H216" s="3">
        <f>3039.9+(28.6-1273.8)+(-6.201396+(-0.058344--2.598552))+0-5.6--0.0114239999999998</f>
        <v>1785.4502360000001</v>
      </c>
      <c r="I216" s="3">
        <f>2897.8+(27.5-1080.8)+(5.911512+(0.0561-2.204832))+0-5.5-0.0112199999999998</f>
        <v>1842.7515600000002</v>
      </c>
      <c r="J216" s="3">
        <f>2698.3+(27.5-918.4)+(6.880665+(0.070125-2.34192))+0-5.5-0.0140249999999992</f>
        <v>1806.4948450000002</v>
      </c>
      <c r="K216" s="3">
        <f>2698.7+(27.5-957.2)+(4.129011+(0.042075-1.464516))+0-5.5-0.00841500000000032</f>
        <v>1766.1981549999998</v>
      </c>
      <c r="L216" s="3">
        <f>2439.4+(9.5-1066.9)+(4.976376+(0.01938-2.176476))+0-5.5-0.0112199999999998</f>
        <v>1379.3080599999998</v>
      </c>
      <c r="M216" s="3">
        <f>2701.9+(9.5-1269.9)+(0+(0-0))+0-5.5-0</f>
        <v>1436</v>
      </c>
      <c r="N216" s="3">
        <f>3113+(9.5-1525.8)+(3.17526+(0.00969-1.556316))+0-5.5-0.00561000000000088</f>
        <v>1592.823024</v>
      </c>
      <c r="O216" s="3">
        <f>3137.1+(9.5-1464.5)+(-4.799763+(-0.014535--2.240685))+0-5.7--0.00872100000000033</f>
        <v>1673.8351079999998</v>
      </c>
      <c r="P216" s="3">
        <f>3117.2+(9.5-1371.8)+(0+(0-0))+0-5.7-0</f>
        <v>1749.1999999999998</v>
      </c>
      <c r="Q216" s="3">
        <f>3084+(9.5-1280)+(-3.14568+(-0.00969--1.3056))+0-5.7--0.00581400000000091</f>
        <v>1805.956044</v>
      </c>
      <c r="R216" s="3">
        <f>3068.9+(10.5-1236.1)+(-6.260556+(-0.02142--2.521644))+0--66.1-0.134843999999997</f>
        <v>1905.5048240000001</v>
      </c>
      <c r="S216" s="3">
        <f>2985.6+(17.1-1078.4)+(-3.045312+(-0.017442--1.099968))+0--65.5-0.0668100000000104</f>
        <v>1987.7704039999996</v>
      </c>
      <c r="T216" s="3">
        <f>2956.4+(11.5-1028.1)+(-7.53882+(-0.029325--2.621655))+0--65.2-0.166259999999991</f>
        <v>1999.8872500000002</v>
      </c>
      <c r="U216" s="3">
        <f>2876.7+(10.5-1029.5)+(-1.467117+(-0.005355--0.525045))+0--64.9-0.0330989999999934</f>
        <v>1921.6194739999999</v>
      </c>
      <c r="V216" s="3">
        <f>2876.9+(10.5-1094.6)+(0+(0-0))+0--65.8-0</f>
        <v>1858.6000000000001</v>
      </c>
      <c r="W216" s="3">
        <f>3032.3+(12.5-1176.4)+(0+(0-0))+0--64.1-0</f>
        <v>1932.5</v>
      </c>
      <c r="X216" s="3">
        <f>3310.8+(12.5-1297.5)+(-3.377016+(-0.01275--1.32345))+0--64.9-0.0661980000000104</f>
        <v>2088.5674860000004</v>
      </c>
      <c r="Y216" s="3">
        <f>3280.1+(12.5-1284.7)+(-3.345702+(-0.01275--1.310394))+0--65.6-0.0669120000000104</f>
        <v>2071.3850299999995</v>
      </c>
      <c r="Z216" s="3">
        <f>3276.9+(11.5-1315.7)+(3.342438+(0.01173-1.342014))+0--69.2--0.070584000000011</f>
        <v>2043.9827380000002</v>
      </c>
      <c r="AA216" s="3">
        <f>3234.5+(11.5-1250.3)+(3.29919+(0.01173-1.275306))+0--69.6--0.0709920000000111</f>
        <v>2067.406606</v>
      </c>
      <c r="AB216" s="3">
        <f>2962.8+(27.8-1025)+(-4.533084+(-0.042534--1.56825))+0--69.4-0.106182000000004</f>
        <v>2031.8864500000002</v>
      </c>
      <c r="AC216" s="3">
        <f>2891.9+(25.7-1001.1)+(-5.899476+(-0.052428--2.042244))+0--70.4-0.143615999999997</f>
        <v>1982.846724</v>
      </c>
      <c r="AD216" s="2">
        <v>2087.6999999999998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2785+(27.2-978.3)+(-1.42035+(-0.013872--0.498933))+0--70.7-0.0360569999999928</f>
        <v>1903.6286540000001</v>
      </c>
      <c r="G217" s="3">
        <f>2770.8+(10-1030.4)+(-4.239324+(-0.0153--1.576512))+0--71.4-0.109242000000004</f>
        <v>1819.0126460000001</v>
      </c>
      <c r="H217" s="3">
        <f>2773.1+(10-1088.1)+(-5.657124+(-0.0204--2.219724))+0--72.4-0.147695999999997</f>
        <v>1763.7945040000002</v>
      </c>
      <c r="I217" s="3">
        <f>2579.9+(10-937.7)+(-2.631498+(-0.0102--0.956454))+0--72.1-0.0735420000000115</f>
        <v>1722.5412139999999</v>
      </c>
      <c r="J217" s="3">
        <f>2480+(22-898.8)+(3.7944+(0.03366-1.375164))+0--71.9--0.110007000000004</f>
        <v>1677.6629030000001</v>
      </c>
      <c r="K217" s="3">
        <f>2449.8+(42.2-926.2)+(-4.997592+(-0.086088--1.889448))+0--72.3-0.147491999999997</f>
        <v>1634.758276</v>
      </c>
      <c r="L217" s="3">
        <f>2396.2+(81.7-1014.6)+(0+(0-0))+0--74.7-0</f>
        <v>1537.9999999999998</v>
      </c>
      <c r="M217" s="3">
        <f>2388.4+(72.5-927.9)+(0+(0-0))+0--73.9-0</f>
        <v>1606.9</v>
      </c>
      <c r="N217" s="3">
        <f>2472.4+(96.9-932.9)+(2.521848+(0.098838-0.951558))+0--70.1--0.0715020000000112</f>
        <v>1708.24063</v>
      </c>
      <c r="O217" s="3">
        <f>2894.9+(16.1-1168.7)+(1.476399+(0.008211-0.596037))+0--67.2--0.0342719999999932</f>
        <v>1810.4228450000001</v>
      </c>
      <c r="P217" s="3">
        <f>3220.5+(14-1380.7)+(-3.28491+(-0.01428--1.408314))+0--66.1-0.0674220000000105</f>
        <v>1917.9417019999999</v>
      </c>
      <c r="Q217" s="3">
        <f>3352.4+(14-1415.1)+(-5.129172+(-0.02142--2.165103))+0--65-0.0994500000000038</f>
        <v>2013.2150610000003</v>
      </c>
      <c r="R217" s="3">
        <f>3389.3+(11-1409.3)+(-10.371258+(-0.03366--4.312458))+0--65-0.198900000000008</f>
        <v>2049.7086400000003</v>
      </c>
      <c r="S217" s="3">
        <f>3405.5+(11-1369.5)+(0+(0-0))+0--65.7-0</f>
        <v>2112.6999999999998</v>
      </c>
      <c r="T217" s="3">
        <f>3526+(11-1478.6)+(-1.79826+(-0.00561--0.754086))+0--65.2-0.0332519999999934</f>
        <v>2122.5169639999999</v>
      </c>
      <c r="U217" s="3">
        <f>3453.6+(12-1444.1)+(0+(0-0))+0--65.1-0</f>
        <v>2086.6</v>
      </c>
      <c r="V217" s="3">
        <f>3433+(11-1524)+(-7.00332+(-0.02244--3.10896))+0--66.1-0.134843999999997</f>
        <v>1982.048356</v>
      </c>
      <c r="W217" s="3">
        <f>3574.2+(13-1625.4)+(-3.645684+(-0.01326--1.657908))+0--66.6-0.0679320000000106</f>
        <v>2026.3310319999996</v>
      </c>
      <c r="X217" s="3">
        <f>3675.9+(13-1557.3)+(-1.874709+(-0.00663--0.794223))+0--66.4-0.0338639999999933</f>
        <v>2196.8790200000003</v>
      </c>
      <c r="Y217" s="3">
        <f>3497.1+(13-1430.9)+(-3.567042+(-0.01326--1.459518))+0--67.4-0.0687480000000108</f>
        <v>2144.4104679999996</v>
      </c>
      <c r="Z217" s="3">
        <f>3266.5+(12-1214.3)+(-8.329575+(-0.0306--3.096465))+0--67.6-0.17237999999999</f>
        <v>2126.3639099999996</v>
      </c>
      <c r="AA217" s="3">
        <f>3187.8+(17.9-1130.5)+(-6.503112+(-0.036516--2.30622))+0--68.3-0.139331999999997</f>
        <v>2139.1272600000002</v>
      </c>
      <c r="AB217" s="3">
        <f>3116.2+(11-1058)+(-4.767786+(-0.01683--1.61874))+0--68.7-0.105111000000004</f>
        <v>2134.6290129999998</v>
      </c>
      <c r="AC217" s="3">
        <f>3121.4+(11-1107.1)+(-3.183828+(-0.01122--1.129242))+0--69.3-0.070686000000011</f>
        <v>2092.4635080000003</v>
      </c>
      <c r="AD217" s="2">
        <v>2324.8000000000002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3079.9+(12-1192.3)+(-1.570749+(-0.00612--0.608073))+0--69.1-0.035240999999993</f>
        <v>1967.6959629999999</v>
      </c>
      <c r="G218" s="3">
        <f>2835.7+(16.9-1035.5)+(1.446207+(0.008619-0.528105))+0--70--0.0356999999999929</f>
        <v>1888.0624209999999</v>
      </c>
      <c r="H218" s="3">
        <f>2548.5+(42.8-920.4)+(0+(0-0))+0--71.8-0</f>
        <v>1742.7</v>
      </c>
      <c r="I218" s="3">
        <f>2518.3+(41-891.2)+(5.137332+(0.08364-1.818048))+0--72.1--0.147083999999997</f>
        <v>1743.750008</v>
      </c>
      <c r="J218" s="3">
        <f>2520+(52.5-940.1)+(1.2852+(0.026775-0.479451))+0--72.2--0.0368219999999927</f>
        <v>1705.4693460000001</v>
      </c>
      <c r="K218" s="3">
        <f>2522.2+(68.6-1018.2)+(2.572644+(0.069972-1.038564))+0--73.2--0.0746640000000117</f>
        <v>1647.4787159999998</v>
      </c>
      <c r="L218" s="3">
        <f>2448.7+(87.3-1061)+(-2.497674+(-0.089046--1.08222))+0--75.6-0.077112000000012</f>
        <v>1549.0183879999997</v>
      </c>
      <c r="M218" s="3">
        <f>2449.8+(64.1-963.8)+(6.24699+(0.163455-2.45769))+0--74.1--0.188954999999989</f>
        <v>1628.3417100000004</v>
      </c>
      <c r="N218" s="3">
        <f>2464.5+(35.2-824)+(-2.51379+(-0.035904--0.84048))+0--70.7-0.0721140000000113</f>
        <v>1744.6186720000001</v>
      </c>
      <c r="O218" s="3">
        <f>2559.8+(39.5-846)+(-1.305498+(-0.020145--0.43146))+0--67.8-0.0345779999999931</f>
        <v>1820.171239</v>
      </c>
      <c r="P218" s="3">
        <f>2677.2+(12-943.1)+(0+(0-0))+0--66.4-0</f>
        <v>1812.5</v>
      </c>
      <c r="Q218" s="3">
        <f>2823.5+(12-1029.6)+(1.439985+(0.00612-0.525096))+0--64.3--0.0327929999999935</f>
        <v>1871.153802</v>
      </c>
      <c r="R218" s="3">
        <f>2972.5+(11-1043.3)+(-3.03195+(-0.01122--1.064166))+0--65.1-0.0664020000000104</f>
        <v>2003.254594</v>
      </c>
      <c r="S218" s="3">
        <f>2959.1+(17-952.3)+(-3.018282+(-0.01734--0.971346))+0--66.1-0.0674220000000105</f>
        <v>2087.7683019999999</v>
      </c>
      <c r="T218" s="3">
        <f>2969.8+(12-962.6)+(3.029196+(0.01224-0.981852))+0--65.7--0.0670140000000105</f>
        <v>2087.0265980000004</v>
      </c>
      <c r="U218" s="3">
        <f>3020.8+(12-1079.3)+(-4.621824+(-0.01836--1.651329))+0--65.9-0.100827000000004</f>
        <v>2016.3103180000003</v>
      </c>
      <c r="V218" s="3">
        <f>3049.9+(10-1199)+(-3.110898+(-0.0102--1.22298))+0--64.7-0.0659940000000103</f>
        <v>1923.635888</v>
      </c>
      <c r="W218" s="3">
        <f>3210.3+(12-1270.8)+(0+(0-0))+0--63.2-0</f>
        <v>2014.7000000000003</v>
      </c>
      <c r="X218" s="3">
        <f>3598.5+(12-1517.4)+(-7.34094+(-0.02448--3.095496))+0--64.8-0.132191999999997</f>
        <v>2153.4978839999999</v>
      </c>
      <c r="Y218" s="3">
        <f>3599+(12-1506.3)+(-9.17745+(-0.0306--3.841065))+0--65.2-0.166259999999991</f>
        <v>2164.3667549999996</v>
      </c>
      <c r="Z218" s="3">
        <f>3553.4+(12-1511.1)+(-1.812234+(-0.00612--0.770661))+0--66.8-0.0340679999999932</f>
        <v>2120.0182390000004</v>
      </c>
      <c r="AA218" s="3">
        <f>3536.5+(12-1468.5)+(-7.21446+(-0.02448--2.99574))+0--66.7-0.136067999999997</f>
        <v>2142.3207320000001</v>
      </c>
      <c r="AB218" s="3">
        <f>3419.2+(10-1366.7)+(-1.743792+(-0.0051--0.697017))+0--66-0.0336599999999933</f>
        <v>2127.4144649999998</v>
      </c>
      <c r="AC218" s="3">
        <f>3395.2+(11-1396.1)+(-10.389312+(-0.03366--4.272066))+0--64.2-0.196452000000007</f>
        <v>2067.9526419999997</v>
      </c>
      <c r="AD218" s="2">
        <v>2199.8000000000002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3108+(9.6-1193.6)+(-3.17016+(-0.009792--1.217472))+0--64.2-0.0654840000000102</f>
        <v>1986.1720360000002</v>
      </c>
      <c r="G219" s="3">
        <f>2846.3+(31.7-1059.7)+(-1.451613+(-0.016167--0.540447))+0--64.7-0.0329969999999934</f>
        <v>1882.0396700000001</v>
      </c>
      <c r="H219" s="3">
        <f>2638.3+(32.3-956.4)+(0+(0-0))+0--65.1-0</f>
        <v>1779.3000000000002</v>
      </c>
      <c r="I219" s="3">
        <f>2563.2+(9.7-877.1)+(3.921696+(0.014841-1.341963))+0--66.3--0.101439000000004</f>
        <v>1764.7960129999997</v>
      </c>
      <c r="J219" s="3">
        <f>2561.5+(13.2-923.5)+(-2.61273+(-0.013464--0.94197))+0--65.9-0.0672180000000105</f>
        <v>1715.3485580000001</v>
      </c>
      <c r="K219" s="3">
        <f>2564.5+(19-985.3)+(-1.307895+(-0.00969--0.502503))+0--66.2-0.0337619999999933</f>
        <v>1663.551156</v>
      </c>
      <c r="L219" s="3">
        <f>2574.3+(26.8-1096.7)+(-3.938679+(-0.041004--1.677951))+0--69.2-0.105876000000004</f>
        <v>1571.1923920000002</v>
      </c>
      <c r="M219" s="3">
        <f>2689.2+(17-1136.6)+(2.742984+(0.01734-1.159332))+0--68.2--0.0695640000000109</f>
        <v>1639.4705559999998</v>
      </c>
      <c r="N219" s="3">
        <f>3139.4+(10.6-1454.1)+(0+(0-0))+0--66.4-0</f>
        <v>1762.3000000000002</v>
      </c>
      <c r="O219" s="3">
        <f>3463.1+(11.6-1660.3)+(-3.532362+(-0.011832--1.693506))+0--67.2-0.0685440000000107</f>
        <v>1879.6807679999999</v>
      </c>
      <c r="P219" s="3">
        <f>3482.6+(11.6-1621.9)+(0+(0-0))+0--65.3-0</f>
        <v>1937.5999999999997</v>
      </c>
      <c r="Q219" s="3">
        <f>3416.9+(10.6-1546.2)+(-5.227857+(-0.016218--2.365686))+0--64.3-0.0983790000000037</f>
        <v>1942.6232319999999</v>
      </c>
      <c r="R219" s="3">
        <f>3421.9+(10.6-1464.2)+(-6.980676+(-0.021624--2.986968))+0--63.5-0.129539999999997</f>
        <v>2027.6551280000001</v>
      </c>
      <c r="S219" s="3">
        <f>3299.9+(9.6-1266.5)+(3.365898+(0.009792-1.29183))+0--64.5--0.0657900000000103</f>
        <v>2109.6496499999998</v>
      </c>
      <c r="T219" s="3">
        <f>3293.9+(10.6-1286.7)+(-1.679889+(-0.005406--0.656217))+0--64.1-0.0326909999999935</f>
        <v>2080.8382310000002</v>
      </c>
      <c r="U219" s="3">
        <f>3252.2+(10.6-1290.7)+(-3.317244+(-0.010812--1.316514))+0--64.8-0.0660960000000103</f>
        <v>2034.8223619999997</v>
      </c>
      <c r="V219" s="3">
        <f>3250.6+(10.6-1403.4)+(0+(0-0))+0--64.4-0</f>
        <v>1922.1999999999998</v>
      </c>
      <c r="W219" s="3">
        <f>3440.4+(11.6-1517.2)+(-3.509208+(-0.011832--1.547544))+0--66-0.0673200000000105</f>
        <v>1998.7591839999998</v>
      </c>
      <c r="X219" s="3">
        <f>3627.5+(12.6-1550.9)+(-7.4001+(-0.025704--3.163836))+0--66.1-0.134843999999997</f>
        <v>2150.9031879999998</v>
      </c>
      <c r="Y219" s="3">
        <f>3542.5+(12.6-1485.4)+(0+(0-0))+0--66.3-0</f>
        <v>2136</v>
      </c>
      <c r="Z219" s="3">
        <f>3268.1+(11.6-1277.3)+(-3.333462+(-0.011832--1.302846))+0--66.6-0.0679320000000106</f>
        <v>2066.8896199999999</v>
      </c>
      <c r="AA219" s="3">
        <f>3269.5+(11.6-1272.7)+(-5.002335+(-0.017748--1.947231))+0--66.9-0.102357000000004</f>
        <v>2072.1247909999997</v>
      </c>
      <c r="AB219" s="3">
        <f>3268.8+(10.6-1276.2)+(-8.33544+(-0.02703--3.25431))+0--65.4-0.166769999999991</f>
        <v>2063.3250700000003</v>
      </c>
      <c r="AC219" s="3">
        <f>3162.6+(9.6-1213.8)+(-3.225852+(-0.009792--1.238076))+0--65-0.0663000000000104</f>
        <v>2021.3361319999999</v>
      </c>
      <c r="AD219" s="2">
        <v>2143.1999999999998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2980.1+(9.9-1119.1)+(-6.079404+(-0.020196--2.282964))+0--65.9-0.134435999999997</f>
        <v>1932.8489280000001</v>
      </c>
      <c r="G220" s="3">
        <f>2753+(10-954)+(-2.80806+(-0.0102--0.97308))+0--66.8-0.0681360000000106</f>
        <v>1873.8866839999998</v>
      </c>
      <c r="H220" s="3">
        <f>2588.6+(9.9-865.7)+(2.640372+(0.010098-0.883014))+0--68.1--0.0694620000000108</f>
        <v>1802.7369179999996</v>
      </c>
      <c r="I220" s="3">
        <f>2457.7+(44.4-816.6)+(-6.267135+(-0.11322--2.08233))+0--69.1-0.17620499999999</f>
        <v>1750.1257699999996</v>
      </c>
      <c r="J220" s="3">
        <f>2354.6+(35.2-749.8)+(-6.00423+(-0.08976--1.91199))+0--70.6-0.18002999999999</f>
        <v>1706.2379699999999</v>
      </c>
      <c r="K220" s="3">
        <f>2335.5+(37.3-784.4)+(-3.573315+(-0.057069--1.200132))+0--72.1-0.110313000000004</f>
        <v>1657.959435</v>
      </c>
      <c r="L220" s="3">
        <f>2321.6+(38.5-882.7)+(-3.552048+(-0.058905--1.350531))+0--70-0.107100000000004</f>
        <v>1545.0324779999999</v>
      </c>
      <c r="M220" s="3">
        <f>2220.4+(38.6-700.8)+(3.397212+(0.059058-1.072224))+0--70.3--0.107559000000004</f>
        <v>1630.9916050000002</v>
      </c>
      <c r="N220" s="3">
        <f>2290.8+(17.3-649.6)+(-1.168308+(-0.008823--0.331296))+0--69.9-0.0356489999999929</f>
        <v>1727.5185160000001</v>
      </c>
      <c r="O220" s="3">
        <f>2543.5+(9.9-794)+(-2.59437+(-0.010098--0.80988))+0--67.7-0.0690540000000108</f>
        <v>1825.2363580000001</v>
      </c>
      <c r="P220" s="3">
        <f>2656.2+(9.9-844.9)+(-1.354662+(-0.005049--0.430899))+0--67.9-0.0346289999999931</f>
        <v>1888.1365589999998</v>
      </c>
      <c r="Q220" s="3">
        <f>2705.5+(9.9-847.9)+(-4.139415+(-0.015147--1.297287))+0--68.1-0.104193000000004</f>
        <v>1932.6385319999999</v>
      </c>
      <c r="R220" s="3">
        <f>2703.1+(9.9-798.8)+(-5.514324+(-0.020196--1.629552))+0--67.1-0.136883999999997</f>
        <v>1977.2581479999997</v>
      </c>
      <c r="S220" s="3">
        <f>2690.4+(10.9-756.8)+(-1.372104+(-0.005559--0.385968))+0--67.3-0.0343229999999932</f>
        <v>2010.7739819999999</v>
      </c>
      <c r="T220" s="3">
        <f>2678.1+(10.9-757.5)+(-4.097493+(-0.016677--1.158975))+0--66.9-0.102357000000004</f>
        <v>1995.3424480000001</v>
      </c>
      <c r="U220" s="3">
        <f>2597.5+(13.3-731.9)+(-2.64945+(-0.013566--0.746538))+0--67.2-0.0685440000000107</f>
        <v>1944.1149780000001</v>
      </c>
      <c r="V220" s="3">
        <f>2413.6+(10.9-664.9)+(0+(0-0))+0--68.1-0</f>
        <v>1827.6999999999998</v>
      </c>
      <c r="W220" s="3">
        <f>2446.7+(17.9-608.8)+(-2.495634+(-0.018258--0.620976))+0--65.6-0.0669120000000104</f>
        <v>1919.4401719999996</v>
      </c>
      <c r="X220" s="3">
        <f>2673.5+(59.8-725.6)+(-1.363485+(-0.030498--0.370056))+0--65.1-0.0332009999999934</f>
        <v>2071.7428719999998</v>
      </c>
      <c r="Y220" s="3">
        <f>2794.4+(46.8-840)+(-5.700576+(-0.095472--1.7136))+0--64.6-0.131783999999997</f>
        <v>2061.5857679999999</v>
      </c>
      <c r="Z220" s="3">
        <f>2801.7+(34-892.9)+(-2.857734+(-0.03468--0.910758))+0--66.4-0.0677280000000106</f>
        <v>2007.1506159999999</v>
      </c>
      <c r="AA220" s="3">
        <f>2826+(26.6-902.2)+(-4.32378+(-0.040698--1.380366))+0--67.5-0.103275000000004</f>
        <v>2014.8126130000001</v>
      </c>
      <c r="AB220" s="3">
        <f>2837.5+(18.7-920.7)+(-4.341375+(-0.028611--1.408671))+0--68-0.104040000000004</f>
        <v>2000.434645</v>
      </c>
      <c r="AC220" s="3">
        <f>2867.1+(10.9-952.4)+(-5.848884+(-0.022236--1.942896))+0--69.5-0.141779999999997</f>
        <v>1991.029996</v>
      </c>
      <c r="AD220" s="2">
        <v>2073.1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2878.3+(9.9-1054)+(-4.403799+(-0.015147--1.61262))+0--69.4-0.106182000000004</f>
        <v>1900.6874920000005</v>
      </c>
      <c r="G221" s="3">
        <f>2857.5+(9.9-1094.5)+(-7.286625+(-0.025245--2.790975))+0--70-0.17849999999999</f>
        <v>1838.200605</v>
      </c>
      <c r="H221" s="3">
        <f>2504.1+(10-826.6)+(0+(0-0))+0--70-0</f>
        <v>1757.5</v>
      </c>
      <c r="I221" s="3">
        <f>2388+(15.7-765.1)+(-6.0894+(-0.040035--1.951005))+0--71.5-0.18232499999999</f>
        <v>1705.739245</v>
      </c>
      <c r="J221" s="3">
        <f>2290.3+(24.1-726.8)+(1.168053+(0.012291-0.370668))+0--70.5--0.0359549999999928</f>
        <v>1658.9456310000005</v>
      </c>
      <c r="K221" s="3">
        <f>2239.8+(14.3-711.2)+(0+(0-0))+0--69.8-0</f>
        <v>1612.7</v>
      </c>
      <c r="L221" s="3">
        <f>2152+(16.9-728.3)+(-2.19504+(-0.017238--0.742866))+0--70.4-0.0718080000000112</f>
        <v>1509.4587800000002</v>
      </c>
      <c r="M221" s="3">
        <f>2137.2+(11.9-706.4)+(-2.179944+(-0.012138--0.720528))+0--70.3-0.0717060000000112</f>
        <v>1511.4567399999999</v>
      </c>
      <c r="N221" s="3">
        <f>2121.4+(22.8-633.3)+(2.163828+(0.023256-0.645966))+0--67.8--0.0691560000000108</f>
        <v>1580.3102740000002</v>
      </c>
      <c r="O221" s="3">
        <f>2111.8+(49.6-580)+(1.077018+(0.025296-0.2958))+0--66.6--0.0339659999999932</f>
        <v>1648.8404800000001</v>
      </c>
      <c r="P221" s="3">
        <f>2239+(52.6-653.1)+(-4.56756+(-0.107304--1.332324))+0--65.6-0.133823999999997</f>
        <v>1700.6236359999998</v>
      </c>
      <c r="Q221" s="3">
        <f>2442.5+(48.9-799.1)+(-1.245675+(-0.024939--0.407541))+0--65-0.0331499999999934</f>
        <v>1756.403777</v>
      </c>
      <c r="R221" s="3">
        <f>2486.7+(106.9-849.1)+(-3.804651+(-0.163557--1.299123))+0--64.7-0.0989910000000037</f>
        <v>1806.4319239999998</v>
      </c>
      <c r="S221" s="3">
        <f>2487.3+(154.1-843.3)+(-5.074092+(-0.314364--1.720332))+0--64.8-0.132191999999997</f>
        <v>1859.0996840000003</v>
      </c>
      <c r="T221" s="3">
        <f>2477.4+(154.6-844.3)+(-5.053896+(-0.315384--1.722372))+0--65.6-0.133823999999997</f>
        <v>1849.5192680000002</v>
      </c>
      <c r="U221" s="3">
        <f>2476.6+(93.3-829.1)+(-2.526132+(-0.095166--0.845682))+0--66.6-0.0679320000000106</f>
        <v>1805.5564519999998</v>
      </c>
      <c r="V221" s="3">
        <f>2381.9+(70.9-810.2)+(-1.214769+(-0.036159--0.413202))+0--68-0.0346799999999931</f>
        <v>1709.727594</v>
      </c>
      <c r="W221" s="3">
        <f>2510.4+(78-875.8)+(-3.840912+(-0.11934--1.339974))+0--67.7-0.103581000000004</f>
        <v>1777.576141</v>
      </c>
      <c r="X221" s="3">
        <f>2754+(75.1-978.6)+(-1.40454+(-0.038301--0.499086))+0--67.5-0.0344249999999932</f>
        <v>1917.0218199999999</v>
      </c>
      <c r="Y221" s="3">
        <f>2901.4+(65-1107.3)+(-5.918856+(-0.1326--2.258892))+0--67.4-0.137495999999997</f>
        <v>1922.5699400000001</v>
      </c>
      <c r="Z221" s="3">
        <f>2846.2+(77.7-1082.6)+(0+(0-0))+0--67.4-0</f>
        <v>1908.7</v>
      </c>
      <c r="AA221" s="3">
        <f>2790.7+(129.4-1057.7)+(0+(0-0))+0--68.1-0</f>
        <v>1930.4999999999995</v>
      </c>
      <c r="AB221" s="3">
        <f>2694.8+(160.8-1003.1)+(-1.374348+(-0.082008--0.511581))+0--68.8-0.035087999999993</f>
        <v>1920.3201370000002</v>
      </c>
      <c r="AC221" s="3">
        <f>2685.7+(142.1-1020.4)+(-4.109121+(-0.217413--1.561212))+0--69.4-0.106182000000004</f>
        <v>1873.928496</v>
      </c>
      <c r="AD221" s="2">
        <v>1948.7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2701.4+(88.8-1041.4)+(-2.755428+(-0.090576--1.062228))+0--70.1-0.0715020000000112</f>
        <v>1817.0447219999999</v>
      </c>
      <c r="G222" s="3">
        <f>2600.7+(81.5-1000.3)+(-2.652714+(-0.08313--1.020306))+0--70.5-0.0719100000000112</f>
        <v>1750.6125519999998</v>
      </c>
      <c r="H222" s="3">
        <f>2455.7+(56.6-899)+(1.252407+(0.028866-0.45849))+0--70.4--0.0359039999999929</f>
        <v>1684.558687</v>
      </c>
      <c r="I222" s="3">
        <f>2429.9+(46.2-901.4)+(-3.717747+(-0.070686--1.379142))+0--72.6-0.111078000000004</f>
        <v>1644.7796310000003</v>
      </c>
      <c r="J222" s="3">
        <f>2289.6+(34.8-785.9)+(-1.167696+(-0.017748--0.400809))+0--73-0.0372299999999926</f>
        <v>1610.6781350000001</v>
      </c>
      <c r="K222" s="3">
        <f>2277.3+(15.7-786.9)+(-4.645692+(-0.032028--1.605276))+0--72.7-0.148307999999997</f>
        <v>1575.5792480000005</v>
      </c>
      <c r="L222" s="3">
        <f>2237.6+(16-827.9)+(-1.141176+(-0.00816--0.422229))+0--73.6-0.0375359999999925</f>
        <v>1498.5353569999997</v>
      </c>
      <c r="M222" s="3">
        <f>2239.7+(49-788.6)+(0+(0-0))+0--72.2-0</f>
        <v>1572.3</v>
      </c>
      <c r="N222" s="3">
        <f>2433.2+(42.3-856.7)+(0+(0-0))+0--72.2-0</f>
        <v>1690.9999999999998</v>
      </c>
      <c r="O222" s="3">
        <f>2865.8+(19-1148.1)+(-5.846232+(-0.03876--2.342124))+0--71.7-0.146267999999997</f>
        <v>1804.7108640000004</v>
      </c>
      <c r="P222" s="3">
        <f>2834.2+(33.8-1079.2)+(5.781768+(0.068952-2.201568))+0--70.4--0.143615999999997</f>
        <v>1862.9927679999998</v>
      </c>
      <c r="Q222" s="3">
        <f>2838.2+(67.6-1051.6)+(1.447482+(0.034476-0.536316))+0--69.3--0.035342999999993</f>
        <v>1924.4809849999997</v>
      </c>
      <c r="R222" s="3">
        <f>2817.8+(131.3-1069.4)+(-7.18539+(-0.334815--2.72697))+0--69.3-0.17671499999999</f>
        <v>1944.0300499999998</v>
      </c>
      <c r="S222" s="3">
        <f>2785.3+(177.4-1009.1)+(2.841006+(0.180948-1.029282))+0--68.2--0.0695640000000109</f>
        <v>2023.8622360000002</v>
      </c>
      <c r="T222" s="3">
        <f>2823+(92.7-970.9)+(0+(0-0))+0--73.9-0</f>
        <v>2018.7000000000003</v>
      </c>
      <c r="U222" s="3">
        <f>2839.3+(64.3-1006.4)+(-2.896086+(-0.065586--1.026528))+0--73.6-0.0750720000000117</f>
        <v>1968.7897840000001</v>
      </c>
      <c r="V222" s="3">
        <f>2676.8+(48.3-908.3)+(2.730336+(0.049266-0.926466))+0--72.8--0.0742560000000116</f>
        <v>1891.5273920000002</v>
      </c>
      <c r="W222" s="3">
        <f>2826.6+(71-1021.1)+(-4.324698+(-0.10863--1.562283))+0--78.4-0.119952000000005</f>
        <v>1951.909003</v>
      </c>
      <c r="X222" s="3">
        <f>3034.6+(63.5-1109.8)+(-7.73823+(-0.161925--2.82999))+0--92.5-0.235874999999987</f>
        <v>2075.4939600000002</v>
      </c>
      <c r="Y222" s="3">
        <f>3050.3+(103.9-1182.5)+(-7.778265+(-0.264945--3.015375))+0--86.5-0.220574999999987</f>
        <v>2052.9515900000001</v>
      </c>
      <c r="Z222" s="3">
        <f>2912+(178.5-1147.1)+(-4.45536+(-0.273105--1.755063))+0--80.1-0.122553000000005</f>
        <v>2020.404045</v>
      </c>
      <c r="AA222" s="3">
        <f>2835.2+(192.5-1083.2)+(-4.337856+(-0.294525--1.657296))+0--77.9-0.119187000000005</f>
        <v>2019.3057279999998</v>
      </c>
      <c r="AB222" s="3">
        <f>2891.9+(163.1-1132.9)+(-2.949738+(-0.166362--1.155558))+0--75.7-0.0772140000000121</f>
        <v>1995.762244</v>
      </c>
      <c r="AC222" s="3">
        <f>2876.7+(108.6-1102.2)+(-2.934234+(-0.110772--1.124244))+0--75.7-0.0772140000000121</f>
        <v>1956.8020240000001</v>
      </c>
      <c r="AD222" s="2">
        <v>2078.3000000000002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2656.9+(98.2-947.5)+(0+(0-0))+0--76.2-0</f>
        <v>1883.8000000000002</v>
      </c>
      <c r="G223" s="3">
        <f>2450.5+(80.7-808.8)+(-3.749265+(-0.123471--1.237464))+0--76.8-0.117504000000004</f>
        <v>1796.447224</v>
      </c>
      <c r="H223" s="3">
        <f>2299.2+(88.3-728.1)+(-5.86296+(-0.225165--1.856655))+0--75.8-0.193289999999989</f>
        <v>1730.7752399999997</v>
      </c>
      <c r="I223" s="3">
        <f>2286.6+(41.3-714.7)+(1.166166+(0.021063-0.364497))+0--76--0.0387599999999923</f>
        <v>1690.0614919999998</v>
      </c>
      <c r="J223" s="3">
        <f>2287.8+(22.9-724.2)+(0+(0-0))+0--76.3-0</f>
        <v>1662.8</v>
      </c>
      <c r="K223" s="3">
        <f>2170.7+(8.5-625.5)+(0+(0-0))+0--75-0</f>
        <v>1628.6999999999998</v>
      </c>
      <c r="L223" s="3">
        <f>2141.9+(23.5-710)+(0+(0-0))+0--78.6-0</f>
        <v>1534</v>
      </c>
      <c r="M223" s="3">
        <f>2143.9+(22.5-641.9)+(-2.186778+(-0.02295--0.654738))+0--75.9-0.0774180000000121</f>
        <v>1598.7675919999999</v>
      </c>
      <c r="N223" s="3">
        <f>2307.1+(19.5-703)+(1.176621+(0.009945-0.35853))+0--72.9--0.0371789999999926</f>
        <v>1697.365215</v>
      </c>
      <c r="O223" s="3">
        <f>2569.2+(26.5-883.3)+(-5.241168+(-0.05406--1.801932))+0--72.5-0.147899999999997</f>
        <v>1781.2588039999998</v>
      </c>
      <c r="P223" s="3">
        <f>2636.4+(29.5-924.7)+(0+(0-0))+0--72.1-0</f>
        <v>1813.3</v>
      </c>
      <c r="Q223" s="3">
        <f>2791.2+(17.5-1029.3)+(-7.11756+(-0.044625--2.624715))+0--71.2-0.18155999999999</f>
        <v>1845.8809699999999</v>
      </c>
      <c r="R223" s="3">
        <f>2641.7+(29.2-877.4)+(-4.041801+(-0.044676--1.342422))+0--70.6-0.108018000000004</f>
        <v>1861.2479270000001</v>
      </c>
      <c r="S223" s="3">
        <f>2501.2+(125.9-763.9)+(1.275612+(0.064209-0.389589))+0--70.2--0.0358019999999929</f>
        <v>1934.3860339999999</v>
      </c>
      <c r="T223" s="3">
        <f>2530.4+(96.3-754.9)+(-2.581008+(-0.098226--0.769998))+0--68.1-0.0694620000000108</f>
        <v>1937.9213020000002</v>
      </c>
      <c r="U223" s="3">
        <f>2544.4+(46.1-761.3)+(-1.297644+(-0.023511--0.388263))+0--68.3-0.0348329999999931</f>
        <v>1896.5322750000003</v>
      </c>
      <c r="V223" s="3">
        <f>2606.9+(28.1-875)+(2.659038+(0.028662-0.8925))+0--68--0.0693600000000108</f>
        <v>1829.86456</v>
      </c>
      <c r="W223" s="3">
        <f>2969.7+(19.8-1169.8)+(0+(0-0))+0--68-0</f>
        <v>1887.6999999999998</v>
      </c>
      <c r="X223" s="3">
        <f>3081.3+(16.5-1175.7)+(-3.142926+(-0.01683--1.199214))+0--69.3-0.070686000000011</f>
        <v>1989.368772</v>
      </c>
      <c r="Y223" s="3">
        <f>3092.4+(12.9-1230.7)+(-4.731372+(-0.019737--1.882971))+0--69.9-0.106947000000004</f>
        <v>1941.5249150000002</v>
      </c>
      <c r="Z223" s="3">
        <f>3106.3+(12-1285.9)+(-4.752639+(-0.01836--1.967427))+0--70.1-0.107253000000004</f>
        <v>1899.5891750000001</v>
      </c>
      <c r="AA223" s="3">
        <f>3114.1+(11.1-1292.1)+(-3.176382+(-0.011322--1.317942))+0--71.1-0.0725220000000113</f>
        <v>1902.2577159999998</v>
      </c>
      <c r="AB223" s="3">
        <f>2979.4+(11.1-1186.9)+(-4.558482+(-0.016983--1.815957))+0--71.2-0.108936000000004</f>
        <v>1871.9315559999998</v>
      </c>
      <c r="AC223" s="3">
        <f>2866.1+(10.1-1135.6)+(-7.308555+(-0.025755--2.89578))+0--71.5-0.18232499999999</f>
        <v>1807.479145</v>
      </c>
      <c r="AD223" s="2">
        <v>2032.8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2867.8+(10-1165.7)+(-1.462578+(-0.0051--0.594507))+0--72.5-0.0369749999999926</f>
        <v>1783.6898540000002</v>
      </c>
      <c r="G224" s="3">
        <f>2732+(10-1083.9)+(0+(0-0))+0--72.7-0</f>
        <v>1730.8</v>
      </c>
      <c r="H224" s="3">
        <f>2271+(36.6-793.3)+(3.47463+(0.055998-1.213749))+0--71.8--0.109854000000004</f>
        <v>1588.5267330000001</v>
      </c>
      <c r="I224" s="3">
        <f>2196.6+(49.4-694.9)+(2.240532+(0.050388-0.708798))+0--73--0.0744600000000116</f>
        <v>1625.756582</v>
      </c>
      <c r="J224" s="3">
        <f>2174.6+(38.8-703.7)+(2.218092+(0.039576-0.717774))+0--74--0.0754800000000118</f>
        <v>1585.3153739999998</v>
      </c>
      <c r="K224" s="3">
        <f>2172.7+(13.9-756.3)+(-1.108077+(-0.007089--0.385713))+0--75.3-0.0384029999999924</f>
        <v>1504.8321439999997</v>
      </c>
      <c r="L224" s="3">
        <f>2169+(16.9-805.9)+(-1.10619+(-0.008619--0.411009))+0--75.7-0.0386069999999923</f>
        <v>1454.9575930000001</v>
      </c>
      <c r="M224" s="3">
        <f>2156.6+(22.9-716.4)+(-4.399464+(-0.046716--1.461456))+0--74.6-0.152183999999997</f>
        <v>1534.5630919999999</v>
      </c>
      <c r="N224" s="3">
        <f>2301+(32.3-733.8)+(3.52053+(0.049419-1.122714))+0--74.5--0.113985000000004</f>
        <v>1676.56122</v>
      </c>
      <c r="O224" s="3">
        <f>2476.1+(26.9-949.2)+(-5.051244+(-0.054876--1.936368))+0--76.3-0.155651999999997</f>
        <v>1626.7745959999997</v>
      </c>
      <c r="P224" s="3">
        <f>2690.6+(36.9-1067.4)+(0+(0-0))+0--75.4-0</f>
        <v>1735.5</v>
      </c>
      <c r="Q224" s="3">
        <f>2767.4+(28.9-1113.4)+(-1.411374+(-0.014739--0.567834))+0--75.3-0.0384029999999924</f>
        <v>1757.303318</v>
      </c>
      <c r="R224" s="3">
        <f>2788.7+(23.6-1150.1)+(-5.688948+(-0.048144--2.346204))+0--74-0.150959999999997</f>
        <v>1732.658152</v>
      </c>
      <c r="S224" s="3">
        <f>2674.5+(23.8-994.3)+(-2.72799+(-0.024276--1.014186))+0--74-0.0754800000000118</f>
        <v>1776.1864399999999</v>
      </c>
      <c r="T224" s="3">
        <f>2554.3+(33.8-868.1)+(-1.302693+(-0.017238--0.442731))+0--73.5-0.0374849999999925</f>
        <v>1792.585315</v>
      </c>
      <c r="U224" s="3">
        <f>2429+(43.6-787.9)+(-3.71637+(-0.066708--1.205487))+0--74-0.113220000000004</f>
        <v>1756.0091890000001</v>
      </c>
      <c r="V224" s="3">
        <f>2440.7+(66.7-870.4)+(-8.713299+(-0.238119--3.107328))+0--73.3-0.261681000000001</f>
        <v>1704.194229</v>
      </c>
      <c r="W224" s="3">
        <f>2742.9+(61.9-1071.6)+(-2.797758+(-0.063138--1.093032))+0--72.5-0.0739500000000116</f>
        <v>1803.8581860000004</v>
      </c>
      <c r="X224" s="3">
        <f>3160+(63.8-1380.6)+(-8.058+(-0.16269--3.52053))+0--73-0.186149999999989</f>
        <v>1911.31369</v>
      </c>
      <c r="Y224" s="3">
        <f>3145.3+(56.9-1406.5)+(-1.604103+(-0.029019--0.717315))+0--71.9-0.0366689999999927</f>
        <v>1866.6475240000002</v>
      </c>
      <c r="Z224" s="3">
        <f>3142.7+(48.9-1439.5)+(-11.219439+(-0.174573--5.139015))+0--72-0.257040000000001</f>
        <v>1817.5879629999999</v>
      </c>
      <c r="AA224" s="3">
        <f>3035.6+(39.9-1352.8)+(-6.192624+(-0.081396--2.759712))+0--73.2-0.149327999999997</f>
        <v>1792.2363640000001</v>
      </c>
      <c r="AB224" s="3">
        <f>2974.3+(32.8-1304.7)+(-7.584465+(-0.08364--3.326985))+0--75.4-0.192269999999989</f>
        <v>1773.2666100000001</v>
      </c>
      <c r="AC224" s="3">
        <f>2678.6+(23.5-1058.8)+(-6.83043+(-0.059925--2.69994))+0--75.6-0.192779999999989</f>
        <v>1714.5168049999997</v>
      </c>
      <c r="AD224" s="2">
        <v>1901.6999999999998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2501.5+(12-963.2)+(-5.10306+(-0.02448--1.964928))+0--75.5-0.154019999999997</f>
        <v>1622.4833679999999</v>
      </c>
      <c r="G225" s="3">
        <f>2451.5+(17-998.8)+(-5.00106+(-0.03468--2.037552))+0--76.3-0.155651999999997</f>
        <v>1542.8461600000001</v>
      </c>
      <c r="H225" s="3">
        <f>2385.3+(16-975.5)+(-2.433006+(-0.01632--0.99501))+0--76.6-0.0781320000000122</f>
        <v>1500.8675519999999</v>
      </c>
      <c r="I225" s="3">
        <f>2345+(16-989.2)+(-2.3919+(-0.01632--1.008984))+0--76.6-0.0781320000000122</f>
        <v>1446.9226319999998</v>
      </c>
      <c r="J225" s="3">
        <f>2268.9+(27-941.3)+(2.314278+(0.02754-0.960126))+0--77.2--0.0787440000000123</f>
        <v>1433.260436</v>
      </c>
      <c r="K225" s="3">
        <f>2283.7+(61.4-1007.4)+(2.329374+(0.062628-1.027548))+0--77.3--0.0788460000000123</f>
        <v>1416.4432999999999</v>
      </c>
      <c r="L225" s="3">
        <f>2286.7+(61-1051.7)+(0+(0-0))+0--78.5-0</f>
        <v>1374.4999999999998</v>
      </c>
      <c r="M225" s="3">
        <f>2430.2+(37-1057.3)+(2.478804+(0.03774-1.078446))+0--78.9--0.0804780000000126</f>
        <v>1490.3185760000001</v>
      </c>
      <c r="N225" s="3">
        <f>2870.4+(18-1393)+(-4.391712+(-0.02754--2.13129))+0--78-0.119340000000005</f>
        <v>1570.992698</v>
      </c>
      <c r="O225" s="3">
        <f>3057.8+(10-1488.5)+(4.678434+(0.0153-2.277405))+0--75.2--0.115056000000004</f>
        <v>1657.0313850000002</v>
      </c>
      <c r="P225" s="3">
        <f>3013.6+(10-1418.6)+(-1.536936+(-0.0051--0.723486))+0--75.9-0.0387089999999923</f>
        <v>1680.0427410000002</v>
      </c>
      <c r="Q225" s="3">
        <f>3036.2+(10-1394)+(0+(0-0))+0--72.7-0</f>
        <v>1724.8999999999999</v>
      </c>
      <c r="R225" s="3">
        <f>3078+(10-1454.9)+(-4.70934+(-0.0153--2.225997))+0--72.8-0.111384000000004</f>
        <v>1703.2899729999999</v>
      </c>
      <c r="S225" s="3">
        <f>3042.6+(10-1375.3)+(0+(0-0))+0--72.3-0</f>
        <v>1749.6</v>
      </c>
      <c r="T225" s="3">
        <f>3026.9+(11.9-1351)+(-3.087438+(-0.012138--1.37802))+0--72.8-0.0742560000000116</f>
        <v>1758.8041880000001</v>
      </c>
      <c r="U225" s="3">
        <f>2990.4+(25.4-1363.5)+(-4.575312+(-0.038862--2.086155))+0--73.5-0.112455000000004</f>
        <v>1723.1595260000001</v>
      </c>
      <c r="V225" s="3">
        <f>2913+(33-1329.3)+(-2.97126+(-0.03366--1.355886))+0--73.8-0.0752760000000118</f>
        <v>1688.7756899999999</v>
      </c>
      <c r="W225" s="3">
        <f>3023+(31.5-1301.8)+(3.08346+(0.03213-1.327836))+0--74.3--0.0757860000000118</f>
        <v>1828.8635400000001</v>
      </c>
      <c r="X225" s="3">
        <f>3120.5+(36.1-1346.1)+(-3.18291+(-0.036822--1.373022))+0--74.4-0.0758880000000119</f>
        <v>1882.977402</v>
      </c>
      <c r="Y225" s="3">
        <f>3150.6+(32.5-1391)+(-8.03403+(-0.082875--3.54705))+0--75-0.191249999999989</f>
        <v>1862.3388949999999</v>
      </c>
      <c r="Z225" s="3">
        <f>3128.6+(29.2-1427.1)+(3.191172+(0.029784-1.455642))+0--73.2--0.0746640000000117</f>
        <v>1805.7399780000001</v>
      </c>
      <c r="AA225" s="3">
        <f>3104.4+(25.8-1429.8)+(-7.91622+(-0.06579--3.64599))+0--74-0.188699999999989</f>
        <v>1769.8752800000002</v>
      </c>
      <c r="AB225" s="3">
        <f>3152.1+(17.2-1530.7)+(-1.607571+(-0.008772--0.780657))+0--75.3-0.0384029999999924</f>
        <v>1713.025911</v>
      </c>
      <c r="AC225" s="3">
        <f>2982.7+(15.2-1438.3)+(-1.521177+(-0.007752--0.733533))+0--76.5-0.0390149999999922</f>
        <v>1635.2655889999999</v>
      </c>
      <c r="AD225" s="2">
        <v>1900.5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2824.9+(11-1333.7)+(-7.203495+(-0.02805--3.400935))+0--76.9-0.196094999999989</f>
        <v>1575.0732950000001</v>
      </c>
      <c r="G226" s="3">
        <f>2488.6+(11-1069.5)+(-1.269186+(-0.00561--0.545445))+0--77-0.0392699999999922</f>
        <v>1506.331379</v>
      </c>
      <c r="H226" s="3">
        <f>2414.4+(9-1042.1)+(-4.925376+(-0.01836--2.125884))+0--76.9-0.156875999999997</f>
        <v>1455.2252720000004</v>
      </c>
      <c r="I226" s="3">
        <f>2188.6+(16-949.9)+(-2.232372+(-0.01632--0.968898))+0--76.9-0.0784380000000123</f>
        <v>1330.2417679999999</v>
      </c>
      <c r="J226" s="3">
        <f>2043+(17-828.8)+(5.20965+(0.04335-2.11344))+0--77.4--0.197369999999989</f>
        <v>1311.9369300000003</v>
      </c>
      <c r="K226" s="3">
        <f>2042.4+(18-831)+(2.083248+(0.01836-0.84762))+0--80.1--0.0817020000000128</f>
        <v>1310.8356899999999</v>
      </c>
      <c r="L226" s="3">
        <f>2299.2+(22-991)+(-1.172592+(-0.01122--0.50541))+0--80.6-0.0411059999999918</f>
        <v>1410.0804919999998</v>
      </c>
      <c r="M226" s="3">
        <f>2369.4+(28-1026.3)+(-3.625182+(-0.04284--1.570239))+0--81.8-0.125154000000005</f>
        <v>1450.6770630000001</v>
      </c>
      <c r="N226" s="3">
        <f>2420.5+(28-961.7)+(-6.172275+(-0.0714--2.452335))+0--79.2-0.201959999999989</f>
        <v>1562.0066999999999</v>
      </c>
      <c r="O226" s="3">
        <f>2564.5+(27-1043.9)+(3.923685+(0.04131-1.597167))+0--76.9--0.117657000000004</f>
        <v>1626.9854849999999</v>
      </c>
      <c r="P226" s="3">
        <f>2677.4+(32-1104.6)+(2.730948+(0.03264-1.126692))+0--75.5--0.077010000000012</f>
        <v>1682.0139060000001</v>
      </c>
      <c r="Q226" s="3">
        <f>2660.9+(23-1051.6)+(0+(0-0))+0--73.1-0</f>
        <v>1705.4</v>
      </c>
      <c r="R226" s="3">
        <f>2651.3+(24.3-1067.7)+(-4.056489+(-0.037179--1.633581))+0--74.1-0.113373000000004</f>
        <v>1679.4265400000002</v>
      </c>
      <c r="S226" s="3">
        <f>2646.1+(28.9-1032)+(-5.398044+(-0.058956--2.10528))+0--74.1-0.151163999999997</f>
        <v>1713.5971159999999</v>
      </c>
      <c r="T226" s="3">
        <f>2501.5+(23.1-870.5)+(-1.275765+(-0.011781--0.443955))+0--73.7-0.0375869999999925</f>
        <v>1726.9188219999999</v>
      </c>
      <c r="U226" s="3">
        <f>2435.9+(18.1-816)+(-6.211545+(-0.046155--2.0808))+0--74.3-0.189464999999989</f>
        <v>1707.9336350000001</v>
      </c>
      <c r="V226" s="3">
        <f>2440+(22.5-852.6)+(-4.9776+(-0.0459--1.739304))+0--73.8-0.150551999999997</f>
        <v>1680.2652519999999</v>
      </c>
      <c r="W226" s="3">
        <f>2635.7+(35.8-924.1)+(-1.344207+(-0.018258--0.471291))+0--73.5-0.0374849999999925</f>
        <v>1819.9713409999995</v>
      </c>
      <c r="X226" s="3">
        <f>2947.9+(33.4-1218.9)+(-3.006858+(-0.034068--1.243278))+0--74-0.0754800000000118</f>
        <v>1834.5268720000001</v>
      </c>
      <c r="Y226" s="3">
        <f>2957.8+(33.3-1276.1)+(-9.050868+(-0.101898--3.904866))+0--74.7-0.228582000000009</f>
        <v>1784.2235180000002</v>
      </c>
      <c r="Z226" s="3">
        <f>2796.3+(30.4-1120.9)+(-8.556678+(-0.093024--3.429954))+0--74.3-0.227358000000009</f>
        <v>1774.6528940000001</v>
      </c>
      <c r="AA226" s="3">
        <f>2551.8+(21.6-906.9)+(-1.301418+(-0.011016--0.462519))+0--74.9-0.0381989999999924</f>
        <v>1740.5118860000002</v>
      </c>
      <c r="AB226" s="3">
        <f>2548.6+(10.7-948.3)+(-5.199144+(-0.021828--1.934532))+0--76-0.155039999999997</f>
        <v>1683.5585199999998</v>
      </c>
      <c r="AC226" s="3">
        <f>2518.1+(10.8-985.9)+(-5.136924+(-0.022032--2.011236))+0--76.2-0.155447999999997</f>
        <v>1615.8968320000001</v>
      </c>
      <c r="AD226" s="2">
        <v>1901.3000000000002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2469.1+(9.8-1000.5)+(-1.259241+(-0.004998--0.510255))+0--76.4-0.0389639999999923</f>
        <v>1554.0070519999999</v>
      </c>
      <c r="G227" s="3">
        <f>2206+(9.8-807.9)+(0+(0-0))+0--75.9-0</f>
        <v>1483.8000000000002</v>
      </c>
      <c r="H227" s="3">
        <f>2181.9+(8.7-835.3)+(2.225538+(0.008874-0.852006))+0--77.7--0.0792540000000124</f>
        <v>1434.4616600000002</v>
      </c>
      <c r="I227" s="3">
        <f>2185.8+(8.7-869.2)+(4.459032+(0.017748-1.773168))+0--79--0.161159999999997</f>
        <v>1407.1647720000003</v>
      </c>
      <c r="J227" s="3">
        <f>2183.5+(9.8-878.8)+(0+(0-0))+0--78.9-0</f>
        <v>1393.4</v>
      </c>
      <c r="K227" s="3">
        <f>2215.7+(14.6-918.6)+(3.390021+(0.022338-1.405458))+0--78.4--0.119952000000005</f>
        <v>1392.2268529999999</v>
      </c>
      <c r="L227" s="3">
        <f>2254.7+(15-947)+(-5.749485+(-0.03825--2.41485))+0--79.2-0.201959999999989</f>
        <v>1398.3251549999998</v>
      </c>
      <c r="M227" s="3">
        <f>2290.8+(21-895.6)+(2.336616+(0.02142-0.913512))+0--80.6--0.0822120000000128</f>
        <v>1498.3267360000002</v>
      </c>
      <c r="N227" s="3">
        <f>2654.1+(29-1127.4)+(0+(0-0))+0--76.6-0</f>
        <v>1632.2999999999997</v>
      </c>
      <c r="O227" s="3">
        <f>2846.6+(35-1225.4)+(0+(0-0))+0--72.6-0</f>
        <v>1728.7999999999997</v>
      </c>
      <c r="P227" s="3">
        <f>2816.8+(35-1151.9)+(1.436568+(0.01785-0.587469))+0--71--0.0362099999999928</f>
        <v>1771.8031590000001</v>
      </c>
      <c r="Q227" s="3">
        <f>2792.9+(35-1126.4)+(-4.273137+(-0.05355--1.723392))+0--71.5-0.109395000000004</f>
        <v>1770.2873100000002</v>
      </c>
      <c r="R227" s="3">
        <f>2761.3+(29.4-1175.5)+(-7.041315+(-0.07497--2.997525))+0--71.9-0.18334499999999</f>
        <v>1682.7978950000004</v>
      </c>
      <c r="S227" s="3">
        <f>2682.9+(30.1-1091.1)+(-4.104837+(-0.046053--1.669383))+0--71.7-0.109701000000004</f>
        <v>1691.0087920000001</v>
      </c>
      <c r="T227" s="3">
        <f>2529.4+(29.5-959.9)+(5.159976+(0.06018-1.958196))+0--70.8--0.144431999999997</f>
        <v>1673.2063920000001</v>
      </c>
      <c r="U227" s="3">
        <f>2440.2+(32.7-898.7)+(-3.733506+(-0.050031--1.375011))+0--71.9-0.110007000000004</f>
        <v>1643.581467</v>
      </c>
      <c r="V227" s="3">
        <f>2456.2+(35-958.6)+(3.757986+(0.05355-1.466658))+0--72.1--0.110313000000004</f>
        <v>1607.1551909999998</v>
      </c>
      <c r="W227" s="3">
        <f>2743.4+(34.5-1094.5)+(-1.399134+(-0.017595--0.558195))+0--72.5-0.0369749999999926</f>
        <v>1755.0044910000001</v>
      </c>
      <c r="X227" s="3">
        <f>2878.7+(37.6-1129.5)+(-5.872548+(-0.076704--2.30418))+0--73.4-0.149735999999997</f>
        <v>1856.4051919999997</v>
      </c>
      <c r="Y227" s="3">
        <f>2798.9+(34-1095)+(1.427439+(0.01734-0.55845))+0--73.7--0.0375869999999925</f>
        <v>1812.5239160000001</v>
      </c>
      <c r="Z227" s="3">
        <f>2711.6+(30.7-1053.8)+(-4.148748+(-0.046971--1.612314))+0--75-0.114750000000004</f>
        <v>1760.801845</v>
      </c>
      <c r="AA227" s="3">
        <f>2470.3+(36.7-868.2)+(-5.039412+(-0.074868--1.771128))+0--75-0.152999999999997</f>
        <v>1710.3038480000002</v>
      </c>
      <c r="AB227" s="3">
        <f>2358.2+(25.2-801.4)+(-2.405364+(-0.025704--0.817428))+0--74.9-0.0763980000000119</f>
        <v>1655.2099620000001</v>
      </c>
      <c r="AC227" s="3">
        <f>2254+(22.8-762.2)+(-3.44862+(-0.034884--1.166166))+0--75.1-0.114903000000004</f>
        <v>1587.2677589999998</v>
      </c>
      <c r="AD227" s="2">
        <v>1857.8000000000002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2268.5+(29.5-843.9)+(-5.784675+(-0.075225--2.151945))+0--76.9-0.196094999999989</f>
        <v>1527.0959499999999</v>
      </c>
      <c r="G228" s="3">
        <f>2183.6+(21.5-815.2)+(0+(0-0))+0--76.4-0</f>
        <v>1466.3</v>
      </c>
      <c r="H228" s="3">
        <f>2116.3+(24.5-801.5)+(-5.396565+(-0.062475--2.043825))+0--76.5-0.195074999999989</f>
        <v>1412.1897100000001</v>
      </c>
      <c r="I228" s="3">
        <f>2038.4+(25.5-759.5)+(-3.118752+(-0.039015--1.162035))+0--76.3-0.116739000000004</f>
        <v>1378.5875289999999</v>
      </c>
      <c r="J228" s="3">
        <f>1996.1+(22.5-741.1)+(0+(0-0))+0--76.8-0</f>
        <v>1354.3</v>
      </c>
      <c r="K228" s="3">
        <f>2001.9+(25.5-748.6)+(2.041938+(0.02601-0.763572))+0--78.2--0.0797640000000125</f>
        <v>1358.3841400000003</v>
      </c>
      <c r="L228" s="3">
        <f>1869.1+(29.3-685.8)+(-6.672687+(-0.104601--2.448306))+0--78.7-0.280959000000001</f>
        <v>1286.690059</v>
      </c>
      <c r="M228" s="3">
        <f>1749.2+(42.1-553.6)+(-2.676276+(-0.064413--0.847008))+0--78.3-0.119799000000005</f>
        <v>1313.9865199999999</v>
      </c>
      <c r="N228" s="3">
        <f>1756.9+(34.8-465.1)+(0+(0-0))+0--76.3-0</f>
        <v>1402.9</v>
      </c>
      <c r="O228" s="3">
        <f>1756.7+(35.3-369.7)+(1.791834+(0.036006-0.377094))+0--72.7--0.0741540000000116</f>
        <v>1496.5249000000001</v>
      </c>
      <c r="P228" s="3">
        <f>1751.5+(76.5-349.3)+(-2.679795+(-0.117045--0.534429))+0--71.4-0.109242000000004</f>
        <v>1547.7283470000002</v>
      </c>
      <c r="Q228" s="3">
        <f>1895.4+(110.4-393)+(0.966654+(0.056304-0.20043))+0--71.4--0.0364139999999928</f>
        <v>1685.0589420000001</v>
      </c>
      <c r="R228" s="3">
        <f>2164.9+(28-681.1)+(-3.312297+(-0.04284--1.042083))+0--71.9-0.110007000000004</f>
        <v>1581.2769390000003</v>
      </c>
      <c r="S228" s="3">
        <f>2076.1+(24-581.1)+(-1.058811+(-0.01224--0.296361))+0--71.9-0.0366689999999927</f>
        <v>1590.0886410000001</v>
      </c>
      <c r="T228" s="3">
        <f>1990+(34.3-501.8)+(-4.0596+(-0.069972--1.023672))+0--71.2-0.145247999999997</f>
        <v>1590.448852</v>
      </c>
      <c r="U228" s="3">
        <f>1985.9+(39.1-501.5)+(-2.025618+(-0.039882--0.51153))+0--71.4-0.0728280000000114</f>
        <v>1593.2732020000001</v>
      </c>
      <c r="V228" s="3">
        <f>1776.8+(77-358.3)+(0+(0-0))+0--72.2-0</f>
        <v>1567.7</v>
      </c>
      <c r="W228" s="3">
        <f>2005.2+(63.3-460)+(-1.022652+(-0.032283--0.2346))+0--72.5-0.0369749999999926</f>
        <v>1680.1426900000001</v>
      </c>
      <c r="X228" s="3">
        <f>2259.7+(49.5-606.4)+(-5.762235+(-0.126225--1.54632))+0--72.7-0.185384999999989</f>
        <v>1770.9724749999998</v>
      </c>
      <c r="Y228" s="3">
        <f>2182.4+(54.5-583.7)+(-4.452096+(-0.11118--1.190748))+0--73-0.148919999999997</f>
        <v>1722.6785519999999</v>
      </c>
      <c r="Z228" s="3">
        <f>2173.6+(29-596.2)+(-2.217072+(-0.02958--0.608124))+0--74.4-0.0758880000000119</f>
        <v>1679.0855839999999</v>
      </c>
      <c r="AA228" s="3">
        <f>2082.6+(34.7-533.6)+(-2.124252+(-0.035394--0.544272))+0--74.8-0.0762960000000119</f>
        <v>1656.8083299999998</v>
      </c>
      <c r="AB228" s="3">
        <f>2077.9+(16-556.5)+(-5.298645+(-0.0408--1.419075))+0--76.3-0.194564999999989</f>
        <v>1609.585065</v>
      </c>
      <c r="AC228" s="3">
        <f>2148.8+(12-666.4)+(-6.575328+(-0.03672--2.039184))+0--75.7-0.231642000000009</f>
        <v>1565.2954940000002</v>
      </c>
      <c r="AD228" s="2">
        <v>1756.2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2149+(8.4-730.3)+(3.28797+(0.012852-1.117359))+0--73.6--0.112608000000004</f>
        <v>1502.9960709999998</v>
      </c>
      <c r="G229" s="3">
        <f>2164.1+(8.4-807)+(-4.414764+(-0.017136--1.64628))+0--77.2-0.157487999999997</f>
        <v>1439.7568919999999</v>
      </c>
      <c r="H229" s="3">
        <f>2202.5+(8.3-889.6)+(1.123275+(0.004233-0.453696))+0--76.9--0.0392189999999922</f>
        <v>1398.8130309999999</v>
      </c>
      <c r="I229" s="3">
        <f>2139.6+(8.4-867.8)+(5.45598+(0.02142-2.21289))+0--76.1--0.194054999999989</f>
        <v>1359.7585649999996</v>
      </c>
      <c r="J229" s="3">
        <f>2154.3+(8.4-909.2)+(-1.098693+(-0.004284--0.463692))+0--76.8-0.0391679999999922</f>
        <v>1329.621547</v>
      </c>
      <c r="K229" s="3">
        <f>2170.5+(8.2-910.3)+(-1.106955+(-0.004182--0.464253))+0--78.7-0.040136999999992</f>
        <v>1346.4129790000002</v>
      </c>
      <c r="L229" s="3">
        <f>2049.5+(10.2-894.7)+(-4.18098+(-0.020808--1.825188))+0--78.5-0.160139999999997</f>
        <v>1240.96326</v>
      </c>
      <c r="M229" s="3">
        <f>2049.3+(11.2-804.9)+(1.045143+(0.005712-0.410499))+0--79.4--0.0404939999999919</f>
        <v>1335.6808500000006</v>
      </c>
      <c r="N229" s="3">
        <f>2400.7+(9.2-1043)+(0+(0-0))+0--77.5-0</f>
        <v>1444.3999999999999</v>
      </c>
      <c r="O229" s="3">
        <f>2472.2+(10.2-1019)+(-1.260822+(-0.005202--0.51969))+0--74.8-0.0381479999999924</f>
        <v>1537.4155179999998</v>
      </c>
      <c r="P229" s="3">
        <f>2621.7+(20.2-1135.8)+(-5.348268+(-0.041208--2.317032))+0--70.2-0.143207999999997</f>
        <v>1573.0843480000001</v>
      </c>
      <c r="Q229" s="3">
        <f>2633.4+(16.2-1117.6)+(2.686068+(0.016524-1.139952))+0--69.4--0.0707880000000111</f>
        <v>1603.0334280000004</v>
      </c>
      <c r="R229" s="3">
        <f>2573.4+(7-1057.9)+(-2.624868+(-0.00714--1.079058))+0--69.6-0.0709920000000111</f>
        <v>1590.476058</v>
      </c>
      <c r="S229" s="3">
        <f>2551.1+(8-1023.2)+(-3.903183+(-0.01224--1.565496))+0--70.5-0.107865000000004</f>
        <v>1603.9422079999999</v>
      </c>
      <c r="T229" s="3">
        <f>2563.1+(6-1031.4)+(1.307181+(0.00306-0.526014))+0--69.6--0.0354959999999929</f>
        <v>1608.1197229999998</v>
      </c>
      <c r="U229" s="3">
        <f>2484.8+(10-964.5)+(1.267248+(0.0051-0.491895))+0--69.5--0.0354449999999929</f>
        <v>1600.6158980000002</v>
      </c>
      <c r="V229" s="3">
        <f>2342+(4-832.7)+(-2.38884+(-0.00408--0.849354))+0--70.7-0.0721140000000113</f>
        <v>1582.3843199999999</v>
      </c>
      <c r="W229" s="3">
        <f>2580.1+(7-941.9)+(-1.315851+(-0.00357--0.480369))+0--72.6-0.0370259999999926</f>
        <v>1716.9239219999997</v>
      </c>
      <c r="X229" s="3">
        <f>2859.2+(6-1124.2)+(-4.374576+(-0.00918--1.720026))+0--74.7-0.114291000000004</f>
        <v>1812.9219789999997</v>
      </c>
      <c r="Y229" s="3">
        <f>2848.5+(6-1151)+(-2.90547+(-0.00612--1.17402))+0--75-0.076500000000012</f>
        <v>1776.6859299999999</v>
      </c>
      <c r="Z229" s="3">
        <f>2797.1+(6-1136.3)+(-4.279563+(-0.00918--1.738539))+0--75.8-0.115974000000004</f>
        <v>1739.933822</v>
      </c>
      <c r="AA229" s="3">
        <f>2673.4+(5-1037)+(-1.363434+(-0.00255--0.52887))+0--76.4-0.0389639999999923</f>
        <v>1716.9239220000002</v>
      </c>
      <c r="AB229" s="3">
        <f>2606.1+(4-1005.8)+(-3.987333+(-0.00612--1.538874))+0--77-0.117810000000004</f>
        <v>1678.727611</v>
      </c>
      <c r="AC229" s="3">
        <f>2473.3+(4-942.6)+(-2.522766+(-0.00408--0.961452))+0--77-0.0785400000000123</f>
        <v>1610.0560660000003</v>
      </c>
      <c r="AD229" s="2">
        <v>1847.1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2204.2+(3-739.9)+(0+(0-0))+0--76.6-0</f>
        <v>1543.8999999999996</v>
      </c>
      <c r="G230" s="3">
        <f>2187.9+(3-785.7)+(-2.231658+(-0.00306--0.801414))+0--77-0.0785400000000123</f>
        <v>1480.6881560000002</v>
      </c>
      <c r="H230" s="3">
        <f>2155.5+(3-801.7)+(-2.19861+(-0.00306--0.817734))+0--76.8-0.0783360000000122</f>
        <v>1432.1377279999999</v>
      </c>
      <c r="I230" s="3">
        <f>2137.9+(3-812.4)+(-3.270987+(-0.00459--1.242972))+0--76.8-0.117504000000004</f>
        <v>1403.1498909999998</v>
      </c>
      <c r="J230" s="3">
        <f>2007.2+(3-701)+(2.047344+(0.00306-0.71502))+0--78.5--0.0800700000000125</f>
        <v>1389.115454</v>
      </c>
      <c r="K230" s="3">
        <f>2026.7+(3-708)+(1.033617+(0.00153-0.36108))+0--77.5--0.0395249999999921</f>
        <v>1399.9135919999999</v>
      </c>
      <c r="L230" s="3">
        <f>2046.5+(10-739)+(-3.131145+(-0.0153--1.13067))+0--79.6-0.121788000000005</f>
        <v>1394.9624369999999</v>
      </c>
      <c r="M230" s="3">
        <f>2282.1+(11-913.5)+(2.327742+(0.01122-0.93177))+0--79.1--0.0806820000000126</f>
        <v>1460.1878739999997</v>
      </c>
      <c r="N230" s="3">
        <f>2720.2+(20-1207.6)+(-1.387302+(-0.0102--0.615876))+0--77.7-0.0396269999999921</f>
        <v>1609.4787470000001</v>
      </c>
      <c r="O230" s="3">
        <f>2733.5+(15-1221.9)+(8.36451+(0.0459-3.739014))+0--74.3--0.227358000000009</f>
        <v>1605.7987539999999</v>
      </c>
      <c r="P230" s="3">
        <f>2739+(13-1173.4)+(-1.39689+(-0.00663--0.598434))+0--72.7-0.0370769999999926</f>
        <v>1650.4578369999999</v>
      </c>
      <c r="Q230" s="3">
        <f>2716.3+(10-1122.6)+(2.770626+(0.0102-1.145052))+0--71--0.0724200000000113</f>
        <v>1676.4081940000003</v>
      </c>
      <c r="R230" s="3">
        <f>2812.1+(4-1165.1)+(-2.868342+(-0.00408--1.188402))+0--70.6-0.0720120000000112</f>
        <v>1719.8439679999999</v>
      </c>
      <c r="S230" s="3">
        <f>2804.7+(4-1125.3)+(-2.860794+(-0.00408--1.147806))+0--72.6-0.0740520000000116</f>
        <v>1754.2088799999999</v>
      </c>
      <c r="T230" s="3">
        <f>2801.6+(4-1113.5)+(1.428816+(0.00204-0.567885))+0--72.8--0.0371279999999926</f>
        <v>1765.8000989999998</v>
      </c>
      <c r="U230" s="3">
        <f>2841.1+(9.4-1184.5)+(-5.795844+(-0.019176--2.41638))+0--73.6-0.150143999999997</f>
        <v>1736.0512160000001</v>
      </c>
      <c r="V230" s="3">
        <f>2899.8+(13.7-1282.9)+(1.478898+(0.006987-0.654279))+0--73.7--0.0375869999999925</f>
        <v>1705.1691930000002</v>
      </c>
      <c r="W230" s="3">
        <f>2882.6+(12.5-1127.4)+(0+(0-0))+0--74-0</f>
        <v>1841.6999999999998</v>
      </c>
      <c r="X230" s="3">
        <f>2909.3+(12.2-1063.2)+(-7.418715+(-0.03111--2.71116))+0--74.3-0.189464999999989</f>
        <v>1927.6718700000001</v>
      </c>
      <c r="Y230" s="3">
        <f>2872.8+(7.2-1105.7)+(-1.465128+(-0.003672--0.563907))+0--74.3-0.0378929999999925</f>
        <v>1847.6572140000003</v>
      </c>
      <c r="Z230" s="3">
        <f>2830.7+(6.5-1082.3)+(-5.774628+(-0.01326--2.207892))+0--74.8-0.152591999999997</f>
        <v>1825.967412</v>
      </c>
      <c r="AA230" s="3">
        <f>2731.1+(10.1-1003.3)+(-8.357166+(-0.030906--3.070098))+0--75.9-0.232254000000009</f>
        <v>1808.2497720000001</v>
      </c>
      <c r="AB230" s="3">
        <f>2730.1+(6.2-1047.6)+(-6.961755+(-0.01581--2.67138))+0--75.9-0.193544999999989</f>
        <v>1760.1002700000001</v>
      </c>
      <c r="AC230" s="3">
        <f>2539+(4-940.8)+(-5.17956+(-0.00816--1.919232))+0--76.4-0.155855999999997</f>
        <v>1675.1756560000001</v>
      </c>
      <c r="AD230" s="2">
        <v>1938.3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2510+(9.5-1018.4)+(0+(0-0))+0--77.3-0</f>
        <v>1578.3999999999999</v>
      </c>
      <c r="G231" s="3">
        <f>2393+(9.5-970.9)+(-4.88172+(-0.01938--1.980636))+0--78.8-0.160751999999997</f>
        <v>1507.3187839999998</v>
      </c>
      <c r="H231" s="3">
        <f>2151.1+(22.9-797.3)+(-1.097061+(-0.011679--0.406623))+0--78.5-0.040034999999992</f>
        <v>1454.4578479999998</v>
      </c>
      <c r="I231" s="3">
        <f>2111.1+(43.5-818.7)+(0+(0-0))+0--77.8-0</f>
        <v>1413.6999999999998</v>
      </c>
      <c r="J231" s="3">
        <f>2175.9+(33-888.9)+(1.109709+(0.01683-0.453339))+0--78.4--0.039983999999992</f>
        <v>1399.113184</v>
      </c>
      <c r="K231" s="3">
        <f>2238.9+(44.3-956.3)+(-1.141839+(-0.022593--0.487713))+0--78.6-0.040085999999992</f>
        <v>1404.783195</v>
      </c>
      <c r="L231" s="3">
        <f>2347.1+(63.1-1088)+(-1.197021+(-0.032181--0.55488))+0--79.1-0.040340999999992</f>
        <v>1400.5853369999998</v>
      </c>
      <c r="M231" s="3">
        <f>2465.6+(40.6-1093.3)+(0+(0-0))+0--79.2-0</f>
        <v>1492.1</v>
      </c>
      <c r="N231" s="3">
        <f>2797.5+(20.4-1279.2)+(-1.426725+(-0.010404--0.652392))+0--77.2-0.0393719999999922</f>
        <v>1615.0758910000002</v>
      </c>
      <c r="O231" s="3">
        <f>2868.9+(18.1-1268.2)+(1.463139+(0.009231-0.646782))+0--74.9--0.0381989999999924</f>
        <v>1694.563787</v>
      </c>
      <c r="P231" s="3">
        <f>2873.6+(12.5-1220)+(0+(0-0))+0--73.5-0</f>
        <v>1739.6</v>
      </c>
      <c r="Q231" s="3">
        <f>2800.2+(14-1098.9)+(-1.428102+(-0.00714--0.560439))+0--71.9-0.0366689999999927</f>
        <v>1786.2885279999998</v>
      </c>
      <c r="R231" s="3">
        <f>2816.4+(4-1156.2)+(-5.745456+(-0.00816--2.358648))+0--72.8-0.148511999999997</f>
        <v>1733.45652</v>
      </c>
      <c r="S231" s="3">
        <f>2810+(4-1109.4)+(-4.2993+(-0.00612--1.697382))+0--70.1-0.107253000000004</f>
        <v>1771.9847089999998</v>
      </c>
      <c r="T231" s="3">
        <f>2790.4+(4-1066.8)+(-2.846208+(-0.00408--1.088136))+0--69.9-0.0712980000000112</f>
        <v>1795.6665500000001</v>
      </c>
      <c r="U231" s="3">
        <f>2734.4+(12-1035.3)+(-4.183632+(-0.01836--1.584009))+0--68.8-0.105264000000004</f>
        <v>1777.176753</v>
      </c>
      <c r="V231" s="3">
        <f>2580.8+(5.1-918.5)+(2.632416+(0.005202-0.93687))+0--68.6--0.0699720000000109</f>
        <v>1737.77072</v>
      </c>
      <c r="W231" s="3">
        <f>2663.3+(6.4-944.2)+(-2.716566+(-0.006528--0.963084))+0--69.6-0.0709920000000111</f>
        <v>1793.268998</v>
      </c>
      <c r="X231" s="3">
        <f>2919.5+(15.6-1063.2)+(-7.444725+(-0.03978--2.71116))+0--71.6-0.18257999999999</f>
        <v>1938.5440749999998</v>
      </c>
      <c r="Y231" s="3">
        <f>2941+(9.6-1132.4)+(-2.99982+(-0.009792--1.155048))+0--72.5-0.0739500000000116</f>
        <v>1888.7714859999999</v>
      </c>
      <c r="Z231" s="3">
        <f>2829.1+(6-1073.6)+(1.442841+(0.00306-0.547536))+0--72.6--0.0370259999999926</f>
        <v>1835.0353909999999</v>
      </c>
      <c r="AA231" s="3">
        <f>2835.4+(5-1100.3)+(-2.892108+(-0.0051--1.122306))+0--72.9-0.0743580000000116</f>
        <v>1811.15074</v>
      </c>
      <c r="AB231" s="3">
        <f>2813.7+(4-1119.1)+(-1.434987+(-0.00204--0.570741))+0--73-0.0372299999999926</f>
        <v>1770.6964840000001</v>
      </c>
      <c r="AC231" s="3">
        <f>2823+(4-1217.7)+(-4.31919+(-0.00612--1.863081))+0--73.6-0.112608000000004</f>
        <v>1680.325163</v>
      </c>
      <c r="AD231" s="2">
        <v>1953.8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2748.6+(9-1216.2)+(-5.607144+(-0.01836--2.481048))+0--74.1-0.151163999999997</f>
        <v>1612.2043799999997</v>
      </c>
      <c r="G232" s="3">
        <f>2339.3+(8-947.6)+(-4.772172+(-0.01632--1.933104))+0--76.1-0.155243999999997</f>
        <v>1472.7893680000002</v>
      </c>
      <c r="H232" s="3">
        <f>2165.2+(40.1-824.4)+(0+(0-0))+0--77.4-0</f>
        <v>1458.3</v>
      </c>
      <c r="I232" s="3">
        <f>2169.2+(49.8-861.2)+(-1.106292+(-0.025398--0.439212))+0--77.4-0.0394739999999922</f>
        <v>1434.468048</v>
      </c>
      <c r="J232" s="3">
        <f>2148.2+(43.1-849.6)+(0+(0-0))+0--76.9-0</f>
        <v>1418.6</v>
      </c>
      <c r="K232" s="3">
        <f>2113.3+(57.4-830.6)+(1.077783+(0.029274-0.423606))+0--81.9--0.0417689999999917</f>
        <v>1422.7252200000003</v>
      </c>
      <c r="L232" s="3">
        <f>2126.6+(91-885.4)+(-4.338264+(-0.18564--1.806216))+0--88.1-0.179723999999996</f>
        <v>1417.4025879999997</v>
      </c>
      <c r="M232" s="3">
        <f>2129.6+(101.2-818.6)+(-3.258288+(-0.154836--1.252458))+0--86.4-0.132192000000005</f>
        <v>1496.3071419999999</v>
      </c>
      <c r="N232" s="3">
        <f>2507+(9-998.6)+(-3.83571+(-0.01377--1.527858))+0--83.9-0.128367000000005</f>
        <v>1598.8500110000002</v>
      </c>
      <c r="O232" s="3">
        <f>2817.2+(21-1203.4)+(-1.436772+(-0.01071--0.613734))+0--81.5-0.0415649999999917</f>
        <v>1715.4246869999997</v>
      </c>
      <c r="P232" s="3">
        <f>2857.7+(20-1191.3)+(0+(0-0))+0--79.2-0</f>
        <v>1765.6</v>
      </c>
      <c r="Q232" s="3">
        <f>2897.9+(19-1152)+(-2.955858+(-0.01938--1.17504))+0--76.8-0.0783360000000122</f>
        <v>1839.8214660000001</v>
      </c>
      <c r="R232" s="3">
        <f>2701.5+(7-989.9)+(-1.377765+(-0.00357--0.504849))+0--76.4-0.0389639999999923</f>
        <v>1794.0845499999998</v>
      </c>
      <c r="S232" s="3">
        <f>2447.9+(3-734.3)+(4.993716+(0.00612-1.497972))+0--78.2--0.159527999999997</f>
        <v>1798.4613920000002</v>
      </c>
      <c r="T232" s="3">
        <f>2688.6+(4-965.6)+(2.742372+(0.00408-0.984912))+0--75.9--0.0774180000000121</f>
        <v>1804.7389580000001</v>
      </c>
      <c r="U232" s="3">
        <f>2791.9+(6-1095.7)+(-7.119345+(-0.0153--2.794035))+0--78.2-0.199409999999989</f>
        <v>1775.8599800000002</v>
      </c>
      <c r="V232" s="3">
        <f>2865.6+(5-1216.9)+(4.384368+(0.00765-1.861857))+0--77.9--0.119187000000005</f>
        <v>1734.2493479999998</v>
      </c>
      <c r="W232" s="3">
        <f>3133.9+(6-1289.8)+(-3.196578+(-0.00612--1.315596))+0--74.2-0.0756840000000118</f>
        <v>1922.3372140000004</v>
      </c>
      <c r="X232" s="3">
        <f>3144.5+(6-1225.6)+(-6.41478+(-0.01224--2.500224))+0--74.1-0.151163999999997</f>
        <v>1994.9220399999999</v>
      </c>
      <c r="Y232" s="3">
        <f>3034.8+(6-1197)+(-9.286488+(-0.01836--3.66282))+0--73.9-0.226134000000009</f>
        <v>1911.8318380000003</v>
      </c>
      <c r="Z232" s="3">
        <f>2963.1+(21-1182.9)+(-9.067086+(-0.06426--3.619674))+0--74.6-0.228276000000009</f>
        <v>1870.0600519999996</v>
      </c>
      <c r="AA232" s="3">
        <f>2869.8+(24-1121.4)+(-4.390794+(-0.03672--1.715742))+0--75-0.114750000000004</f>
        <v>1844.573478</v>
      </c>
      <c r="AB232" s="3">
        <f>2865.6+(21-1175.6)+(0+(0-0))+0--75.3-0</f>
        <v>1786.3</v>
      </c>
      <c r="AC232" s="3">
        <f>2866.3+(15-1234.4)+(-5.847252+(-0.0306--2.518176))+0--75.4-0.153815999999997</f>
        <v>1718.7865080000001</v>
      </c>
      <c r="AD232" s="2">
        <v>1990.6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2792.3+(17-1263.8)+(-9.968511+(-0.06069--4.511766))+0--77.1-0.275247000000001</f>
        <v>1616.8073180000001</v>
      </c>
      <c r="G233" s="3">
        <f>2720.5+(18-1262.9)+(-8.32473+(-0.05508--3.864474))+0--77.4-0.236844000000009</f>
        <v>1548.24782</v>
      </c>
      <c r="H233" s="3">
        <f>2228.7+(111.4-931.4)+(-2.273274+(-0.113628--0.950028))+0--77.4-0.0789480000000123</f>
        <v>1484.5841779999998</v>
      </c>
      <c r="I233" s="3">
        <f>2142.1+(112.1-926.8)+(0+(0-0))+0--76.7-0</f>
        <v>1404.1000000000001</v>
      </c>
      <c r="J233" s="3">
        <f>2143.3+(96.3-887.8)+(2.186166+(0.098226-0.905556))+0--77.3--0.0788460000000123</f>
        <v>1430.5576820000003</v>
      </c>
      <c r="K233" s="3">
        <f>2179.1+(108.1-926.1)+(-1.111341+(-0.055131--0.472311))+0--77.8-0.0396779999999921</f>
        <v>1438.1661609999999</v>
      </c>
      <c r="L233" s="3">
        <f>2260.7+(95.4-1006.2)+(-2.305914+(-0.097308--1.026324))+0--78.5-0.0800700000000125</f>
        <v>1426.9430319999997</v>
      </c>
      <c r="M233" s="3">
        <f>2408.2+(58.2-1034.3)+(-2.456364+(-0.059364--1.054986))+0--77.3-0.0788460000000123</f>
        <v>1507.8604119999998</v>
      </c>
      <c r="N233" s="3">
        <f>2518.4+(43.8-1014.1)+(-2.568768+(-0.044676--1.034382))+0--80.8-0.0824160000000129</f>
        <v>1627.2385219999999</v>
      </c>
      <c r="O233" s="3">
        <f>2616.1+(16-985.3)+(4.002633+(0.02448-1.507509))+0--73.4--0.112302000000004</f>
        <v>1722.8319060000001</v>
      </c>
      <c r="P233" s="3">
        <f>2713.8+(13-1014.7)+(-5.536152+(-0.02652--2.069988))+0--73-0.148919999999997</f>
        <v>1781.458396</v>
      </c>
      <c r="Q233" s="3">
        <f>2710+(13-974.4)+(-5.5284+(-0.02652--1.987776))+0--75.9-0.154835999999997</f>
        <v>1820.77802</v>
      </c>
      <c r="R233" s="3">
        <f>2643.7+(9.4-927.5)+(-2.696574+(-0.009588--0.94605))+0--77-0.0785400000000123</f>
        <v>1800.761348</v>
      </c>
      <c r="S233" s="3">
        <f>2555.2+(8.4-847.3)+(-5.212608+(-0.017136--1.728492))+0--76.7-0.156467999999997</f>
        <v>1789.3422799999998</v>
      </c>
      <c r="T233" s="3">
        <f>2601.8+(9.4-893.7)+(-2.653836+(-0.009588--0.911574))+0--76.3-0.0778260000000122</f>
        <v>1791.9703239999999</v>
      </c>
      <c r="U233" s="3">
        <f>2629.2+(13.4-950.5)+(-2.681784+(-0.013668--0.96951))+0--76.8-0.0783360000000122</f>
        <v>1767.0957219999998</v>
      </c>
      <c r="V233" s="3">
        <f>2567.2+(28.2-939.9)+(1.309272+(0.014382-0.479349))+0--75.9--0.0387089999999923</f>
        <v>1732.2830140000001</v>
      </c>
      <c r="W233" s="3">
        <f>2920.3+(37.3-1131)+(2.978706+(0.038046-1.15362))+0--69.5--0.0708900000000111</f>
        <v>1898.034022</v>
      </c>
      <c r="X233" s="3">
        <f>2969.9+(32.3-1127.9)+(-4.543947+(-0.049419--1.725687))+0--71.1-0.108783000000004</f>
        <v>1942.423538</v>
      </c>
      <c r="Y233" s="3">
        <f>2888.7+(28.4-1101)+(-7.366185+(-0.07242--2.80755))+0--72.9-0.185894999999989</f>
        <v>1884.1830499999999</v>
      </c>
      <c r="Z233" s="3">
        <f>2849.1+(20.6-1111.6)+(1.453041+(0.010506-0.566916))+0--72.9--0.0371789999999926</f>
        <v>1831.93381</v>
      </c>
      <c r="AA233" s="3">
        <f>2864.6+(19.6-1158.1)+(-1.460946+(-0.009996--0.590631))+0--73.1-0.0372809999999926</f>
        <v>1798.282408</v>
      </c>
      <c r="AB233" s="3">
        <f>2873.9+(11.6-1218.2)+(-5.862756+(-0.023664--2.485128))+0--73.4-0.149735999999997</f>
        <v>1737.148972</v>
      </c>
      <c r="AC233" s="3">
        <f>2799.6+(9.5-1244.2)+(-4.283388+(-0.014535--1.903626))+0--71.2-0.108936000000004</f>
        <v>1633.5967669999998</v>
      </c>
      <c r="AD233" s="2">
        <v>1882.3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2737.9+(9.5-1219.3)+(-1.396329+(-0.004845--0.621843))+0--71.8-0.0366179999999927</f>
        <v>1599.084051</v>
      </c>
      <c r="G234" s="3">
        <f>2691+(9.5-1240.2)+(-1.37241+(-0.004845--0.632502))+0--73.9-0.0376889999999925</f>
        <v>1533.4175580000001</v>
      </c>
      <c r="H234" s="3">
        <f>2470.2+(9.5-1067.1)+(-2.519604+(-0.00969--1.088442))+0--73.2-0.0746640000000117</f>
        <v>1484.284484</v>
      </c>
      <c r="I234" s="3">
        <f>2391.9+(9.5-1027.2)+(-1.219869+(-0.004845--0.523872))+0--74.2-0.0378419999999925</f>
        <v>1447.6613160000002</v>
      </c>
      <c r="J234" s="3">
        <f>2338.8+(8.5-977.9)+(-5.96394+(-0.021675--2.493645))+0--75.5-0.192524999999989</f>
        <v>1441.2155050000001</v>
      </c>
      <c r="K234" s="3">
        <f>2163.1+(24.6-811.3)+(2.206362+(0.025092-0.827526))+0--77.2--0.0787440000000123</f>
        <v>1455.082672</v>
      </c>
      <c r="L234" s="3">
        <f>2163.7+(66-901.6)+(-6.620922+(-0.20196--2.758896))+0--78-0.238680000000009</f>
        <v>1401.7973339999999</v>
      </c>
      <c r="M234" s="3">
        <f>2154.7+(57.3-791.2)+(0+(0-0))+0--77.5-0</f>
        <v>1498.2999999999997</v>
      </c>
      <c r="N234" s="3">
        <f>2180.6+(23.1-650.4)+(-2.224212+(-0.023562--0.663408))+0--75.9-0.0774180000000121</f>
        <v>1627.5382159999999</v>
      </c>
      <c r="O234" s="3">
        <f>2247+(25.2-641.3)+(1.14597+(0.012852-0.327063))+0--74.4--0.0379439999999925</f>
        <v>1706.169703</v>
      </c>
      <c r="P234" s="3">
        <f>2283.8+(43-643.1)+(-2.329476+(-0.04386--0.655962))+0--73-0.0744600000000116</f>
        <v>1754.9081660000002</v>
      </c>
      <c r="Q234" s="3">
        <f>2237.5+(35.5-562.9)+(-2.28225+(-0.03621--0.574158))+0--71.9-0.0733380000000115</f>
        <v>1780.18236</v>
      </c>
      <c r="R234" s="3">
        <f>2370.2+(27.5-720.7)+(-6.04401+(-0.070125--1.837785))+0--72-0.18359999999999</f>
        <v>1744.5400499999996</v>
      </c>
      <c r="S234" s="3">
        <f>2293.3+(26.5-647.3)+(-2.339166+(-0.02703--0.660246))+0--72.2-0.0736440000000115</f>
        <v>1742.9204060000002</v>
      </c>
      <c r="T234" s="3">
        <f>2296.6+(26.5-658.1)+(0+(0-0))+0--71.8-0</f>
        <v>1736.8</v>
      </c>
      <c r="U234" s="3">
        <f>2340.3+(27.5-725.5)+(-2.387106+(-0.02805--0.74001))+0--71.4-0.0728280000000114</f>
        <v>1711.9520260000002</v>
      </c>
      <c r="V234" s="3">
        <f>2379+(34.5-784.5)+(0+(0-0))+0--72.3-0</f>
        <v>1701.3</v>
      </c>
      <c r="W234" s="3">
        <f>2534.8+(37.6-790.4)+(1.292748+(0.019176-0.403104))+0--72.4--0.0369239999999927</f>
        <v>1855.3457440000004</v>
      </c>
      <c r="X234" s="3">
        <f>2636.7+(36.7-815.3)+(-8.068302+(-0.112302--2.494818))+0--72.9-0.223074000000008</f>
        <v>1925.09114</v>
      </c>
      <c r="Y234" s="3">
        <f>2565.8+(26.6-795.9)+(-7.851348+(-0.081396--2.435454))+0--73.4-0.224604000000008</f>
        <v>1864.1781060000003</v>
      </c>
      <c r="Z234" s="3">
        <f>2486.2+(22.6-771.4)+(-3.803886+(-0.034578--1.180242))+0--74.3-0.113679000000004</f>
        <v>1808.9280989999997</v>
      </c>
      <c r="AA234" s="3">
        <f>2490.3+(22.6-822.5)+(-3.810159+(-0.034578--1.258425))+0--74.5-0.113985000000004</f>
        <v>1762.1997030000002</v>
      </c>
      <c r="AB234" s="3">
        <f>2507.7+(16.5-890.8)+(-5.115708+(-0.03366--1.817232))+0--75.1-0.153203999999997</f>
        <v>1705.0146599999998</v>
      </c>
      <c r="AC234" s="3">
        <f>2519.7+(9.5-961.8)+(-1.285047+(-0.004845--0.490518))+0--75.6-0.0385559999999923</f>
        <v>1642.1620699999999</v>
      </c>
      <c r="AD234" s="2">
        <v>2062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2520.1+(9.5-1033)+(-6.426255+(-0.024225--2.63415))+0--75.4-0.192269999999989</f>
        <v>1567.9913999999999</v>
      </c>
      <c r="G235" s="3">
        <f>2468+(9.5-1042.5)+(-2.51736+(-0.00969--1.06335))+0--74.4-0.0758880000000119</f>
        <v>1507.860412</v>
      </c>
      <c r="H235" s="3">
        <f>2160.1+(9.5-787)+(-3.304953+(-0.014535--1.20411))+0--76.4-0.116892000000004</f>
        <v>1456.76773</v>
      </c>
      <c r="I235" s="3">
        <f>1940.5+(37.7-643)+(-0.989655+(-0.019227--0.32793))+0--77.6-0.0395759999999921</f>
        <v>1412.0794720000001</v>
      </c>
      <c r="J235" s="3">
        <f>1886.4+(45.1-614.1)+(-0.962064+(-0.023001--0.313191))+0--77.9-0.0397289999999921</f>
        <v>1394.5883970000002</v>
      </c>
      <c r="K235" s="3">
        <f>1887.7+(75.2-658.7)+(0.962727+(0.038352-0.335937))+0--77.6--0.0395759999999921</f>
        <v>1382.5047179999999</v>
      </c>
      <c r="L235" s="3">
        <f>1912.6+(87.8-745.6)+(-1.950852+(-0.089556--0.760512))+0--78.3-0.0798660000000125</f>
        <v>1331.7402379999996</v>
      </c>
      <c r="M235" s="3">
        <f>1960+(35.5-707)+(0+(0-0))+0--78.2-0</f>
        <v>1366.7</v>
      </c>
      <c r="N235" s="3">
        <f>2107.7+(39.8-735)+(-1.074927+(-0.020298--0.37485))+0--76.9-0.0392189999999922</f>
        <v>1488.6404059999998</v>
      </c>
      <c r="O235" s="3">
        <f>2134.1+(30.7-662)+(3.265173+(0.046971-1.01286))+0--74.5--0.113985000000004</f>
        <v>1579.7132689999999</v>
      </c>
      <c r="P235" s="3">
        <f>2344.1+(12.5-791.8)+(3.586473+(0.019125-1.211454))+0--73.1--0.111843000000004</f>
        <v>1640.4059869999999</v>
      </c>
      <c r="Q235" s="3">
        <f>2384.5+(9.5-816.8)+(-3.648285+(-0.014535--1.249704))+0--73-0.111690000000004</f>
        <v>1647.6751940000001</v>
      </c>
      <c r="R235" s="3">
        <f>2376.8+(9.5-804.6)+(-6.06084+(-0.024225--2.05173))+0--74.1-0.188954999999989</f>
        <v>1651.57771</v>
      </c>
      <c r="S235" s="3">
        <f>2412.1+(9.5-836)+(-6.150855+(-0.024225--2.1318))+0--74.6-0.190229999999989</f>
        <v>1655.9664899999998</v>
      </c>
      <c r="T235" s="3">
        <f>2243.6+(14.5-679.9)+(-5.72118+(-0.036975--1.733745))+0--75.1-0.191504999999989</f>
        <v>1649.0840849999997</v>
      </c>
      <c r="U235" s="3">
        <f>2222.8+(16.6-688.8)+(-4.534512+(-0.033864--1.405152))+0--75.1-0.153203999999997</f>
        <v>1622.3835720000004</v>
      </c>
      <c r="V235" s="3">
        <f>2228.1+(22.4-691.7)+(-3.408993+(-0.034272--1.058301))+0--76.1-0.116433000000004</f>
        <v>1632.3986029999996</v>
      </c>
      <c r="W235" s="3">
        <f>2412+(24.9-745.4)+(-2.46024+(-0.025398--0.760308))+0--75.8-0.0773160000000121</f>
        <v>1765.4973539999999</v>
      </c>
      <c r="X235" s="3">
        <f>2671.9+(22.1-913.4)+(-5.450676+(-0.045084--1.863336))+0--75.1-0.153203999999997</f>
        <v>1851.9143720000002</v>
      </c>
      <c r="Y235" s="3">
        <f>2692.3+(21.4-966.7)+(0+(0-0))+0--74.9-0</f>
        <v>1821.9</v>
      </c>
      <c r="Z235" s="3">
        <f>2751.2+(16.2-1062.1)+(-2.806224+(-0.016524--1.083342))+0--75.4-0.076908000000012</f>
        <v>1778.8836860000001</v>
      </c>
      <c r="AA235" s="3">
        <f>2879.7+(10.5-1214.4)+(-2.937294+(-0.01071--1.238688))+0--75.8-0.0773160000000121</f>
        <v>1749.8133679999996</v>
      </c>
      <c r="AB235" s="3">
        <f>2829.1+(9.5-1217.6)+(-5.771364+(-0.01938--2.483904))+0--75.7-0.154427999999997</f>
        <v>1693.238732</v>
      </c>
      <c r="AC235" s="3">
        <f>2740.8+(9.5-1213.3)+(-6.98904+(-0.024225--3.093915))+0--76-0.193799999999989</f>
        <v>1608.8868500000003</v>
      </c>
      <c r="AD235" s="2">
        <v>1838.6999999999998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2792.6+(12-1320.7)+(-2.848452+(-0.01224--1.347114))+0--76.9-0.0784380000000123</f>
        <v>1559.2079839999999</v>
      </c>
      <c r="G236" s="3">
        <f>2790.5+(11-1380.9)+(-5.69262+(-0.02244--2.817036))+0--76.9-0.156875999999997</f>
        <v>1494.4450999999999</v>
      </c>
      <c r="H236" s="3">
        <f>2563.7+(15-1211.7)+(-1.307487+(-0.00765--0.617967))+0--78.6-0.040085999999992</f>
        <v>1444.8627439999998</v>
      </c>
      <c r="I236" s="3">
        <f>2291.1+(41.1-997.1)+(-4.673844+(-0.083844--2.034084))+0--77.8-0.158711999999997</f>
        <v>1410.0176839999999</v>
      </c>
      <c r="J236" s="3">
        <f>2172.7+(46.9-903.9)+(-5.540385+(-0.119595--2.304945))+0--77.6-0.197879999999989</f>
        <v>1389.7470849999997</v>
      </c>
      <c r="K236" s="3">
        <f>2194.6+(47.6-919.6)+(4.476984+(0.097104-1.875984))+0--77.2--0.157487999999997</f>
        <v>1402.6555920000001</v>
      </c>
      <c r="L236" s="3">
        <f>2337.1+(49.7-1072)+(-3.575763+(-0.076041--1.64016))+0--78.3-0.119799000000005</f>
        <v>1390.9685569999999</v>
      </c>
      <c r="M236" s="3">
        <f>2472.3+(39.1-1109.4)+(-2.521746+(-0.039882--1.131588))+0--80.1-0.0817020000000128</f>
        <v>1480.588258</v>
      </c>
      <c r="N236" s="3">
        <f>2750.1+(63-1271.5)+(-4.207653+(-0.09639--1.945395))+0--77.9-0.119187000000005</f>
        <v>1617.0221650000001</v>
      </c>
      <c r="O236" s="3">
        <f>2812.2+(35-1204.8)+(0+(0-0))+0--75.7-0</f>
        <v>1718.1</v>
      </c>
      <c r="P236" s="3">
        <f>2775.3+(33-1116.2)+(0+(0-0))+0--72.9-0</f>
        <v>1765.0000000000002</v>
      </c>
      <c r="Q236" s="3">
        <f>2745.4+(26-1043.8)+(-5.600616+(-0.05304--2.129352))+0--69.1-0.140963999999997</f>
        <v>1793.0347320000001</v>
      </c>
      <c r="R236" s="3">
        <f>2728.6+(25-1049.8)+(-8.349516+(-0.0765--3.212388))+0--69.3-0.212058000000008</f>
        <v>1767.6743139999999</v>
      </c>
      <c r="S236" s="3">
        <f>2719.9+(20-1001.1)+(-5.548596+(-0.0408--2.042244))+0--70.8-0.144431999999997</f>
        <v>1805.908416</v>
      </c>
      <c r="T236" s="3">
        <f>2710.7+(21-995.4)+(-4.147371+(-0.03213--1.522962))+0--70.4-0.107712000000004</f>
        <v>1803.9357489999998</v>
      </c>
      <c r="U236" s="3">
        <f>2715.8+(25-1031.9)+(-5.540232+(-0.051--2.105076))+0--70.5-0.143819999999997</f>
        <v>1775.7700240000001</v>
      </c>
      <c r="V236" s="3">
        <f>2606.6+(33-949.7)+(-2.658732+(-0.03366--0.968694))+0--71.4-0.0728280000000114</f>
        <v>1759.5034739999999</v>
      </c>
      <c r="W236" s="3">
        <f>2750.2+(28-944.5)+(-4.207806+(-0.04284--1.445085))+0--70.7-0.108171000000004</f>
        <v>1901.4862679999999</v>
      </c>
      <c r="X236" s="3">
        <f>2866.2+(21-990.2)+(-7.30881+(-0.05355--2.52501))+0--71-0.18104999999999</f>
        <v>1962.9815999999998</v>
      </c>
      <c r="Y236" s="3">
        <f>2910.3+(21-1075.2)+(-4.452759+(-0.03213--1.645056))+0--70.8-0.108324000000004</f>
        <v>1923.9518430000001</v>
      </c>
      <c r="Z236" s="3">
        <f>2791.8+(16-997.8)+(-2.847636+(-0.01632--1.017756))+0--69.7-0.0710940000000111</f>
        <v>1877.7827060000004</v>
      </c>
      <c r="AA236" s="3">
        <f>2732.7+(17-976.5)+(-6.968385+(-0.04335--2.490075))+0--70.7-0.18028499999999</f>
        <v>1839.1980549999998</v>
      </c>
      <c r="AB236" s="3">
        <f>2698.1+(19-1014.8)+(0+(0-0))+0--72.3-0</f>
        <v>1774.6</v>
      </c>
      <c r="AC236" s="3">
        <f>2429.5+(21-827.7)+(-6.195225+(-0.05355--2.110635))+0--72.7-0.185384999999989</f>
        <v>1691.176475</v>
      </c>
      <c r="AD236" s="2">
        <v>1890.6000000000001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2224.5+(59.7-794.9)+(-3.403485+(-0.091341--1.216197))+0--73.4-0.112302000000004</f>
        <v>1560.3090690000004</v>
      </c>
      <c r="G237" s="3">
        <f>2220+(70.2-874.9)+(-2.2644+(-0.071604--0.892398))+0--75.1-0.076602000000012</f>
        <v>1488.879792</v>
      </c>
      <c r="H237" s="3">
        <f>2139.6+(59.4-831.2)+(-1.091196+(-0.030294--0.423912))+0--75.3-0.0384029999999924</f>
        <v>1442.3640189999996</v>
      </c>
      <c r="I237" s="3">
        <f>2145.8+(62.6-870.8)+(1.094358+(0.031926-0.444108))+0--76.5--0.0390149999999922</f>
        <v>1414.8211910000005</v>
      </c>
      <c r="J237" s="3">
        <f>2116.3+(73.5-874.2)+(-1.079313+(-0.037485--0.445842))+0--76.6-0.0390659999999922</f>
        <v>1391.4899780000001</v>
      </c>
      <c r="K237" s="3">
        <f>2096.4+(78.8-847.8)+(3.207492+(0.120564-1.297134))+0--77.1--0.117963000000004</f>
        <v>1406.6488849999998</v>
      </c>
      <c r="L237" s="3">
        <f>2124.1+(90.1-861.1)+(-4.333164+(-0.183804--1.756644))+0--78.1-0.159323999999997</f>
        <v>1428.2803519999998</v>
      </c>
      <c r="M237" s="3">
        <f>2312.1+(49.2-978.7)+(0+(0-0))+0--83.2-0</f>
        <v>1465.8</v>
      </c>
      <c r="N237" s="3">
        <f>2799.9+(30-1305.6)+(1.427949+(0.0153-0.665856))+0--80.4--0.0410039999999918</f>
        <v>1605.5183970000003</v>
      </c>
      <c r="O237" s="3">
        <f>2942.3+(35-1329.7)+(6.002292+(0.0714-2.712588))+0--76.2--0.155447999999997</f>
        <v>1727.3165520000002</v>
      </c>
      <c r="P237" s="3">
        <f>2910.4+(41-1271.2)+(-1.484304+(-0.02091--0.648312))+0--72.4-0.0369239999999927</f>
        <v>1751.7061740000001</v>
      </c>
      <c r="Q237" s="3">
        <f>2880.2+(35-1215.8)+(-2.937804+(-0.0357--1.240116))+0--72-0.0734400000000115</f>
        <v>1769.5931719999996</v>
      </c>
      <c r="R237" s="3">
        <f>2863.9+(30-1224.5)+(-1.460589+(-0.0153--0.624495))+0--70.8-0.0361079999999928</f>
        <v>1739.312498</v>
      </c>
      <c r="S237" s="3">
        <f>2731.9+(25-1040.5)+(-2.786538+(-0.0255--1.06131))+0--72.2-0.0736440000000115</f>
        <v>1786.7756280000001</v>
      </c>
      <c r="T237" s="3">
        <f>2628+(22-962.3)+(2.68056+(0.02244-0.981546))+0--71.8--0.0732360000000114</f>
        <v>1761.2946899999999</v>
      </c>
      <c r="U237" s="3">
        <f>2689.7+(27-1037.3)+(-4.115241+(-0.04131--1.587069))+0--72.7-0.111231000000004</f>
        <v>1749.4192869999997</v>
      </c>
      <c r="V237" s="3">
        <f>2734.8+(30-1110.6)+(-1.394748+(-0.0153--0.566406))+0--73.3-0.0373829999999926</f>
        <v>1726.6189750000001</v>
      </c>
      <c r="W237" s="3">
        <f>2927.8+(29-1135.2)+(-1.493178+(-0.01479--0.578952))+0--73.8-0.0376379999999925</f>
        <v>1894.433346</v>
      </c>
      <c r="X237" s="3">
        <f>2981.1+(28-1111.8)+(-4.561083+(-0.04284--1.701054))+0--73.9-0.113067000000004</f>
        <v>1968.184064</v>
      </c>
      <c r="Y237" s="3">
        <f>2992.2+(24-1169.3)+(-7.63011+(-0.0612--2.981715))+0--74.7-0.190484999999989</f>
        <v>1916.6999199999998</v>
      </c>
      <c r="Z237" s="3">
        <f>3003+(24-1233.2)+(-6.12612+(-0.04896--2.515728))+0--74.9-0.152795999999997</f>
        <v>1864.8878520000001</v>
      </c>
      <c r="AA237" s="3">
        <f>2987.4+(23-1262.2)+(-3.047148+(-0.02346--1.287444))+0--75-0.076500000000012</f>
        <v>1821.340336</v>
      </c>
      <c r="AB237" s="3">
        <f>2956+(18-1285.3)+(-7.5378+(-0.0459--3.277515))+0--76.2-0.194309999999989</f>
        <v>1760.3995050000001</v>
      </c>
      <c r="AC237" s="3">
        <f>2898.1+(18-1294.1)+(-7.390155+(-0.0459--3.299955))+0--77.4-0.197369999999989</f>
        <v>1695.0665300000001</v>
      </c>
      <c r="AD237" s="2">
        <v>1972.3000000000002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2794.6+(21.1-1300.5)+(-5.700984+(-0.043044--2.65302))+0--77.7-0.158507999999997</f>
        <v>1589.6504839999998</v>
      </c>
      <c r="G238" s="3">
        <f>2439.1+(38.2-1018.1)+(-1.243941+(-0.019482--0.519231))+0--77.9-0.0397289999999921</f>
        <v>1536.3160789999997</v>
      </c>
      <c r="H238" s="3">
        <f>2241.5+(67.4-937.6)+(-2.28633+(-0.068748--0.956352))+0--79.3-0.0808860000000126</f>
        <v>1449.120388</v>
      </c>
      <c r="I238" s="3">
        <f>2241.5+(60-962.2)+(-2.28633+(-0.0612--0.981444))+0--79.3-0.0808860000000126</f>
        <v>1417.1530279999999</v>
      </c>
      <c r="J238" s="3">
        <f>2242.9+(58-986.5)+(-3.431637+(-0.08874--1.509345))+0--78.5-0.120105000000005</f>
        <v>1390.7688630000002</v>
      </c>
      <c r="K238" s="3">
        <f>2247.9+(63.5-980.7)+(0+(0-0))+0--79.1-0</f>
        <v>1409.8</v>
      </c>
      <c r="L238" s="3">
        <f>2186.2+(71.7-937.3)+(-1.114962+(-0.036567--0.478023))+0--78.7-0.040136999999992</f>
        <v>1398.5863569999999</v>
      </c>
      <c r="M238" s="3">
        <f>2175.5+(60.5-837.9)+(-1.109505+(-0.030855--0.427329))+0--79-0.040289999999992</f>
        <v>1476.346679</v>
      </c>
      <c r="N238" s="3">
        <f>2438.7+(24-956.1)+(-2.487474+(-0.02448--0.975222))+0--76-0.0775200000000121</f>
        <v>1580.9857479999998</v>
      </c>
      <c r="O238" s="3">
        <f>2661.3+(42-1097.1)+(-1.357263+(-0.02142--0.559521))+0--73.9-0.0376889999999925</f>
        <v>1679.2431490000004</v>
      </c>
      <c r="P238" s="3">
        <f>2696.5+(41-1060.7)+(2.75043+(0.04182-1.081914))+0--68.4--0.0697680000000109</f>
        <v>1746.9801040000002</v>
      </c>
      <c r="Q238" s="3">
        <f>2692.7+(38-1028.1)+(-1.373277+(-0.01938--0.524331))+0--68.2-0.0347819999999931</f>
        <v>1769.896892</v>
      </c>
      <c r="R238" s="3">
        <f>2787.8+(35.8-1139.6)+(-5.687112+(-0.073032--2.324784))+0--68.6-0.139943999999997</f>
        <v>1749.0246960000002</v>
      </c>
      <c r="S238" s="3">
        <f>2693.2+(24.2-993.3)+(-4.120596+(-0.037026--1.519749))+0--68.6-0.104958000000004</f>
        <v>1789.957169</v>
      </c>
      <c r="T238" s="3">
        <f>2649.3+(20.4-944.3)+(1.351143+(0.010404-0.481593))+0--68.4--0.0348839999999931</f>
        <v>1794.7148380000001</v>
      </c>
      <c r="U238" s="3">
        <f>2658.8+(28.4-993.6)+(-1.355988+(-0.014484--0.506736))+0--65.8-0.0335579999999933</f>
        <v>1758.502706</v>
      </c>
      <c r="V238" s="3">
        <f>2695.7+(36.2-1066.5)+(4.124421+(0.055386-1.631745))+0--66.6--0.101898000000004</f>
        <v>1734.6499599999997</v>
      </c>
      <c r="W238" s="3">
        <f>2946.9+(45.2-1235.1)+(-3.005838+(-0.046104--1.259802))+0--66.8-0.0681360000000106</f>
        <v>1821.9397240000001</v>
      </c>
      <c r="X238" s="3">
        <f>3106.6+(50-1243.6)+(-6.337464+(-0.102--2.536944))+0--67.4-0.137495999999997</f>
        <v>1976.3599839999999</v>
      </c>
      <c r="Y238" s="3">
        <f>3029.6+(45.8-1196.2)+(-7.72548+(-0.11679--3.05031))+0--67.3-0.17161499999999</f>
        <v>1941.5364249999998</v>
      </c>
      <c r="Z238" s="3">
        <f>2810.9+(41.6-1030.4)+(-4.300677+(-0.063648--1.576512))+0--67.9-0.103887000000004</f>
        <v>1887.1083000000001</v>
      </c>
      <c r="AA238" s="3">
        <f>2739.4+(39-1004.6)+(-4.191282+(-0.05967--1.537038))+0--69.2-0.105876000000004</f>
        <v>1840.1802100000002</v>
      </c>
      <c r="AB238" s="3">
        <f>2588.6+(23.6-904.5)+(-1.320186+(-0.012036--0.461295))+0--69-0.035189999999993</f>
        <v>1775.7938829999998</v>
      </c>
      <c r="AC238" s="3">
        <f>2531+(19-931.8)+(-3.87243+(-0.02907--1.425654))+0--70.5-0.107865000000004</f>
        <v>1686.1162890000001</v>
      </c>
      <c r="AD238" s="2">
        <v>1975.1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2516.2+(18-1012.4)+(-1.283262+(-0.00918--0.516324))+0--70.7-0.0360569999999928</f>
        <v>1591.6878249999997</v>
      </c>
      <c r="G239" s="3">
        <f>2297.6+(55.3-904.8)+(-2.343552+(-0.056406--0.922896))+0--73.6-0.0750720000000117</f>
        <v>1520.1478659999998</v>
      </c>
      <c r="H239" s="3">
        <f>2159.4+(42.8-817.7)+(0+(0-0))+0--75.1-0</f>
        <v>1459.6</v>
      </c>
      <c r="I239" s="3">
        <f>2122.9+(33.9-798.5)+(-2.165358+(-0.034578--0.81447))+0--73.8-0.0752760000000118</f>
        <v>1430.6392580000002</v>
      </c>
      <c r="J239" s="3">
        <f>2122.8+(35.6-824.9)+(0+(0-0))+0--72.3-0</f>
        <v>1405.8000000000002</v>
      </c>
      <c r="K239" s="3">
        <f>2124+(51.6-827.2)+(-2.16648+(-0.052632--0.843744))+0--74.5-0.0759900000000119</f>
        <v>1421.4486420000001</v>
      </c>
      <c r="L239" s="3">
        <f>2125.6+(92.9-863.5)+(-3.252168+(-0.142137--1.321155))+0--74.5-0.113985000000004</f>
        <v>1427.3128650000001</v>
      </c>
      <c r="M239" s="3">
        <f>2220.2+(102.5-885.6)+(-2.264604+(-0.10455--0.903312))+0--75.8-0.0773160000000121</f>
        <v>1511.3568419999997</v>
      </c>
      <c r="N239" s="3">
        <f>2247.2+(108.8-783.9)+(-4.584288+(-0.221952--1.599156))+0--72.6-0.148103999999997</f>
        <v>1641.3448119999998</v>
      </c>
      <c r="O239" s="3">
        <f>2254.7+(108.6-713.7)+(0+(0-0))+0--69.7-0</f>
        <v>1719.3</v>
      </c>
      <c r="P239" s="3">
        <f>2398.6+(71-764.3)+(-2.446572+(-0.07242--0.779586))+0--68.6-0.0699720000000109</f>
        <v>1772.0906219999999</v>
      </c>
      <c r="Q239" s="3">
        <f>2613.3+(46-942.8)+(-1.332783+(-0.02346--0.480828))+0--67.5-0.0344249999999932</f>
        <v>1783.0901600000002</v>
      </c>
      <c r="R239" s="3">
        <f>2694.5+(42.2-1048.8)+(-6.870975+(-0.10761--2.67444))+0--67.1-0.17110499999999</f>
        <v>1750.52475</v>
      </c>
      <c r="S239" s="3">
        <f>2691.1+(36.8-1012.5)+(-1.372461+(-0.018768--0.516375))+0--66.4-0.0338639999999933</f>
        <v>1780.891282</v>
      </c>
      <c r="T239" s="3">
        <f>2698.3+(37.3-1024.7)+(-2.752266+(-0.038046--1.045194))+0--66.7-0.0680340000000106</f>
        <v>1775.7868480000002</v>
      </c>
      <c r="U239" s="3">
        <f>2707.6+(40-1068.7)+(-2.761752+(-0.0408--1.090074))+0--68.6-0.0699720000000109</f>
        <v>1745.7175499999998</v>
      </c>
      <c r="V239" s="3">
        <f>2816.9+(46.4-1189.8)+(-4.309857+(-0.070992--1.820394))+0--69.4-0.106182000000004</f>
        <v>1740.2333630000003</v>
      </c>
      <c r="W239" s="3">
        <f>2756.9+(46.7-935.2)+(-2.812038+(-0.047634--0.953904))+0--67.8-0.0691560000000108</f>
        <v>1934.2250759999999</v>
      </c>
      <c r="X239" s="3">
        <f>2915.3+(48.6-1061.6)+(-5.947212+(-0.099144--2.165664))+0--70.9-0.144635999999997</f>
        <v>1969.1746720000003</v>
      </c>
      <c r="Y239" s="3">
        <f>2939+(44.6-1120.6)+(-5.99556+(-0.090984--2.286024))+0--73.2-0.149327999999997</f>
        <v>1932.2501520000001</v>
      </c>
      <c r="Z239" s="3">
        <f>2849.9+(37.4-1069.3)+(-7.267245+(-0.09537--2.726715))+0--73.5-0.187424999999989</f>
        <v>1886.6766750000002</v>
      </c>
      <c r="AA239" s="3">
        <f>2797.6+(31.2-1043.9)+(-4.280328+(-0.047736--1.597167))+0--73.7-0.112761000000004</f>
        <v>1855.7563419999999</v>
      </c>
      <c r="AB239" s="3">
        <f>2753.4+(23-1047.2)+(-7.02117+(-0.05865--2.67036))+0--74.3-0.189464999999989</f>
        <v>1798.901075</v>
      </c>
      <c r="AC239" s="3">
        <f>2641.2+(18.3-1012.2)+(-5.388048+(-0.037332--2.064888))+0--75.2-0.153407999999997</f>
        <v>1718.9860999999999</v>
      </c>
      <c r="AD239" s="2">
        <v>2030.4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2522.6+(21-1000.8)+(-3.859578+(-0.03213--1.531224))+0--75.1-0.114903000000004</f>
        <v>1615.4246129999999</v>
      </c>
      <c r="G240" s="3">
        <f>2290.4+(12-868.1)+(-3.504312+(-0.01836--1.328193))+0--75.5-0.115515000000004</f>
        <v>1507.4900060000002</v>
      </c>
      <c r="H240" s="3">
        <f>2136.8+(14-770.5)+(-1.089768+(-0.00714--0.392955))+0--74.4-0.0379439999999925</f>
        <v>1453.9581030000004</v>
      </c>
      <c r="I240" s="3">
        <f>2113.5+(11-779.6)+(-1.077885+(-0.00561--0.397596))+0--73.2-0.0373319999999926</f>
        <v>1417.376769</v>
      </c>
      <c r="J240" s="3">
        <f>2117.3+(14-804.6)+(-2.159646+(-0.01428--0.820692))+0--74.2-0.0756840000000118</f>
        <v>1399.4710820000005</v>
      </c>
      <c r="K240" s="3">
        <f>2126+(16-819.1)+(3.25278+(0.02448-1.253223))+0--74.6--0.114138000000004</f>
        <v>1399.6381749999998</v>
      </c>
      <c r="L240" s="3">
        <f>2187.8+(28-890.4)+(-1.115778+(-0.01428--0.454104))+0--76.2-0.0388619999999923</f>
        <v>1400.8851840000002</v>
      </c>
      <c r="M240" s="3">
        <f>2242.5+(36-875.3)+(2.28735+(0.03672-0.892806))+0--75.7--0.0772140000000121</f>
        <v>1480.4084780000001</v>
      </c>
      <c r="N240" s="3">
        <f>2641.1+(42-1169.4)+(2.693922+(0.04284-1.192788))+0--74.9--0.0763980000000119</f>
        <v>1590.2203719999998</v>
      </c>
      <c r="O240" s="3">
        <f>2907.1+(47-1363.5)+(-2.965242+(-0.04794--1.39077))+0--77.3-0.0788460000000123</f>
        <v>1666.1987419999998</v>
      </c>
      <c r="P240" s="3">
        <f>2909.7+(43-1324.4)+(-2.967894+(-0.04386--1.350888))+0--74.5-0.0759900000000119</f>
        <v>1701.0631439999997</v>
      </c>
      <c r="Q240" s="3">
        <f>2923.2+(42-1333.5)+(2.981664+(0.04284-1.36017))+0--73.2--0.0746640000000117</f>
        <v>1706.6389979999999</v>
      </c>
      <c r="R240" s="3">
        <f>2810.4+(41-1303.7)+(-5.733216+(-0.08364--2.659548))+0--73.1-0.149123999999997</f>
        <v>1617.4935679999999</v>
      </c>
      <c r="S240" s="3">
        <f>2775.2+(13-1290.3)+(0+(0-0))+0--71.9-0</f>
        <v>1569.8</v>
      </c>
      <c r="T240" s="3">
        <f>2784.8+(32-1293.6)+(-1.420248+(-0.01632--0.659736))+0--70.4-0.0359039999999929</f>
        <v>1592.7872640000003</v>
      </c>
      <c r="U240" s="3">
        <f>2809.3+(41-1331.3)+(0+(0-0))+0--71.3-0</f>
        <v>1590.3000000000002</v>
      </c>
      <c r="V240" s="3">
        <f>2910.4+(34-1421.2)+(1.484304+(0.01734-0.724812))+0--72.8--0.0371279999999926</f>
        <v>1596.81396</v>
      </c>
      <c r="W240" s="3">
        <f>3277.3+(13-1629)+(1.671423+(0.00663-0.83079))+0--73.6--0.0375359999999925</f>
        <v>1735.7847990000002</v>
      </c>
      <c r="X240" s="3">
        <f>3564.8+(13-1885.3)+(-10.908288+(-0.03978--5.769018))+0--74.2-0.227052000000009</f>
        <v>1761.2938980000004</v>
      </c>
      <c r="Y240" s="3">
        <f>3473.4+(13-1837.6)+(-1.771434+(-0.00663--0.937176))+0--74.5-0.0379949999999924</f>
        <v>1722.4211170000003</v>
      </c>
      <c r="Z240" s="3">
        <f>3291.7+(13-1720.2)+(-6.715068+(-0.02652--3.509208))+0--75.1-0.153203999999997</f>
        <v>1656.2144159999998</v>
      </c>
      <c r="AA240" s="3">
        <f>3164.4+(13-1643.9)+(-4.841532+(-0.01989--2.515167))+0--75.1-0.114903000000004</f>
        <v>1606.1388420000001</v>
      </c>
      <c r="AB240" s="3">
        <f>3127.6+(12-1671.3)+(-6.380304+(-0.02448--3.409452))+0--75.9-0.154835999999997</f>
        <v>1541.0498320000002</v>
      </c>
      <c r="AC240" s="3">
        <f>3118.5+(12-1744.1)+(-4.771305+(-0.01836--2.668473))+0--75.5-0.115515000000004</f>
        <v>1459.6632930000001</v>
      </c>
      <c r="AD240" s="2">
        <v>1768.1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2785.4+(8.4-1470)+(-7.10277+(-0.02142--3.7485))+0--70.6-0.18002999999999</f>
        <v>1390.84428</v>
      </c>
      <c r="G241" s="3">
        <f>2150.4+(8.4-919.8)+(-5.48352+(-0.02142--2.34549))+0--70.6-0.18002999999999</f>
        <v>1306.2605199999998</v>
      </c>
      <c r="H241" s="3">
        <f>2073.9+(8.4-892.7)+(-3.173067+(-0.012852--1.365831))+0--70.6-0.108018000000004</f>
        <v>1258.271894</v>
      </c>
      <c r="I241" s="3">
        <f>2023.6+(8.3-864.6)+(1.032036+(0.004233-0.440946))+0--70.7--0.0360569999999928</f>
        <v>1238.6313799999998</v>
      </c>
      <c r="J241" s="3">
        <f>1978.7+(8.3-839.5)+(0+(0-0))+0--75.7-0</f>
        <v>1223.2</v>
      </c>
      <c r="K241" s="3">
        <f>2155.8+(8.3-1013.6)+(0+(0-0))+0--75.7-0</f>
        <v>1226.2</v>
      </c>
      <c r="L241" s="3">
        <f>2406.9+(3-1258.6)+(-4.910076+(-0.00612--2.567544))+0--79.2-0.161567999999997</f>
        <v>1227.9897800000003</v>
      </c>
      <c r="M241" s="3">
        <f>2519.8+(3-1279.4)+(-2.570196+(-0.00306--1.304988))+0--78.5-0.0800700000000125</f>
        <v>1320.5516620000001</v>
      </c>
      <c r="N241" s="3">
        <f>2609.3+(10-1232.6)+(2.661486+(0.0102-1.257252))+0--77.1--0.0786420000000123</f>
        <v>1465.2930760000002</v>
      </c>
      <c r="O241" s="3">
        <f>2854.6+(12-1377.7)+(0+(0-0))+0--74.7-0</f>
        <v>1563.6</v>
      </c>
      <c r="P241" s="3">
        <f>3005.3+(21-1460.2)+(-4.598109+(-0.03213--2.234106))+0--67.6-0.103428000000004</f>
        <v>1631.2004390000002</v>
      </c>
      <c r="Q241" s="3">
        <f>3274.3+(19-1694.5)+(-6.679572+(-0.03876--3.45678))+0--66.9-0.136475999999997</f>
        <v>1662.3019720000004</v>
      </c>
      <c r="R241" s="3">
        <f>3233+(4-1721.3)+(-4.94649+(-0.00612--2.633589))+0--66.8-0.102204000000004</f>
        <v>1580.078775</v>
      </c>
      <c r="S241" s="3">
        <f>2795.2+(4-1306.3)+(-5.702208+(-0.00816--2.664852))+0--67-0.136679999999997</f>
        <v>1556.7178039999999</v>
      </c>
      <c r="T241" s="3">
        <f>2563.6+(3-1122.6)+(2.614872+(0.00306-1.145052))+0--67.7--0.0690540000000108</f>
        <v>1513.2419340000001</v>
      </c>
      <c r="U241" s="3">
        <f>2558+(3-1164.2)+(-3.91374+(-0.00459--1.781226))+0--68.8-0.105264000000004</f>
        <v>1463.357632</v>
      </c>
      <c r="V241" s="3">
        <f>2655.8+(4-1295.1)+(0+(0-0))+0--68.8-0</f>
        <v>1433.5000000000002</v>
      </c>
      <c r="W241" s="3">
        <f>3255.6+(4-1649)+(-4.981068+(-0.00612--2.52297))+0--68.3-0.104499000000004</f>
        <v>1676.3312829999998</v>
      </c>
      <c r="X241" s="3">
        <f>3353.2+(6-1691.5)+(-3.420264+(-0.00612--1.72533))+0--70.6-0.0720120000000112</f>
        <v>1736.5269339999995</v>
      </c>
      <c r="Y241" s="3">
        <f>3361.9+(6-1758.6)+(0+(0-0))+0--70.2-0</f>
        <v>1679.5000000000002</v>
      </c>
      <c r="Z241" s="3">
        <f>3371.3+(6-1826.9)+(0+(0-0))+0--71.2-0</f>
        <v>1621.6000000000001</v>
      </c>
      <c r="AA241" s="3">
        <f>3376.5+(5-1865.8)+(-5.166045+(-0.00765--2.854674))+0--72.8-0.111384000000004</f>
        <v>1586.0695949999999</v>
      </c>
      <c r="AB241" s="3">
        <f>3065.3+(5-1604.6)+(0+(0-0))+0--73.7-0</f>
        <v>1539.4000000000003</v>
      </c>
      <c r="AC241" s="3">
        <f>2885.1+(4-1532.8)+(-5.885604+(-0.00816--3.126912))+0--74.2-0.151367999999997</f>
        <v>1427.58178</v>
      </c>
      <c r="AD241" s="2">
        <v>1742.8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2763.7+(9.3-1491.4)+(-1.409487+(-0.004743--0.760614))+0--82.7-0.0421769999999916</f>
        <v>1363.6042069999996</v>
      </c>
      <c r="G242" s="3">
        <f>2512.3+(8.3-1309.8)+(-2.562546+(-0.008466--1.335996))+0--82.8-0.0844560000000132</f>
        <v>1292.280528</v>
      </c>
      <c r="H242" s="3">
        <f>2190.3+(8.3-1031.9)+(-5.585265+(-0.021165--2.631345))+0--82.5-0.210374999999988</f>
        <v>1246.0145400000001</v>
      </c>
      <c r="I242" s="3">
        <f>2150.9+(8.3-1017.2)+(-2.193918+(-0.008466--1.037544))+0--82.7-0.0843540000000132</f>
        <v>1223.4508060000001</v>
      </c>
      <c r="J242" s="3">
        <f>2054.5+(8.3-929.2)+(0+(0-0))+0--82.7-0</f>
        <v>1216.3</v>
      </c>
      <c r="K242" s="3">
        <f>2188.8+(8.3-1042.6)+(0+(0-0))+0--82.7-0</f>
        <v>1237.2000000000003</v>
      </c>
      <c r="L242" s="3">
        <f>2077.3+(8.3-945.6)+(-5.297115+(-0.021165--2.41128))+0--76.8-0.195839999999989</f>
        <v>1213.6971599999999</v>
      </c>
      <c r="M242" s="3">
        <f>2037.1+(8.3-873.9)+(-2.077842+(-0.008466--0.891378))+0--76.3-0.0778260000000122</f>
        <v>1246.5272439999999</v>
      </c>
      <c r="N242" s="3">
        <f>2218+(32.3-1001.1)+(3.39354+(0.049419-1.531683))+0--74.8--0.114444000000004</f>
        <v>1326.0257199999999</v>
      </c>
      <c r="O242" s="3">
        <f>2454.7+(8.3-1118.7)+(-2.503794+(-0.008466--1.141074))+0--72.6-0.0740520000000116</f>
        <v>1415.4547619999996</v>
      </c>
      <c r="P242" s="3">
        <f>2638.4+(8.3-1257.5)+(2.691168+(0.008466-1.28265))+0--70.4--0.0718080000000112</f>
        <v>1461.088792</v>
      </c>
      <c r="Q242" s="3">
        <f>2992.4+(8.3-1629.5)+(-7.63062+(-0.021165--4.155225))+0--71.2-0.18155999999999</f>
        <v>1438.7218800000001</v>
      </c>
      <c r="R242" s="3">
        <f>2887.5+(8.3-1490.2)+(-10.308375+(-0.029631--5.320014))+0--73.8-0.263466000000001</f>
        <v>1474.1185419999997</v>
      </c>
      <c r="S242" s="3">
        <f>2724.1+(8.2-1357.3)+(-4.167873+(-0.012546--2.076669))+0--73.9-0.113067000000004</f>
        <v>1446.6831830000001</v>
      </c>
      <c r="T242" s="3">
        <f>2576.5+(9.2-1226.5)+(-3.942045+(-0.014076--1.876545))+0--74.6-0.114138000000004</f>
        <v>1431.606286</v>
      </c>
      <c r="U242" s="3">
        <f>2424.9+(9.3-1080)+(0+(0-0))+0--74.1-0</f>
        <v>1428.3</v>
      </c>
      <c r="V242" s="3">
        <f>2420.8+(9.4-1061.5)+(-2.469216+(-0.009588--1.08273))+0--73.8-0.0752760000000118</f>
        <v>1441.0286500000002</v>
      </c>
      <c r="W242" s="3">
        <f>3073.1+(11.5-1515.8)+(0+(0-0))+0--73.6-0</f>
        <v>1642.3999999999999</v>
      </c>
      <c r="X242" s="3">
        <f>3350.1+(11.5-1699.7)+(-6.834204+(-0.02346--3.467388))+0--74.3-0.151571999999997</f>
        <v>1732.6581519999997</v>
      </c>
      <c r="Y242" s="3">
        <f>3310.7+(11.6-1705.8)+(0+(0-0))+0--74.8-0</f>
        <v>1691.2999999999997</v>
      </c>
      <c r="Z242" s="3">
        <f>3319.5+(10.5-1765.7)+(-5.078835+(-0.016065--2.701521))+0--75.4-0.115362000000004</f>
        <v>1637.1912589999999</v>
      </c>
      <c r="AA242" s="3">
        <f>3336.4+(10.4-1825.1)+(0+(0-0))+0--75.5-0</f>
        <v>1597.2000000000003</v>
      </c>
      <c r="AB242" s="3">
        <f>3336.4+(10.4-1880.6)+(-5.104692+(-0.015912--2.877318))+0--74.7-0.114291000000004</f>
        <v>1538.5424230000003</v>
      </c>
      <c r="AC242" s="3">
        <f>3335.6+(8.4-1966.6)+(-6.804624+(-0.017136--4.011864))+0--75.6-0.154223999999997</f>
        <v>1450.0358800000001</v>
      </c>
      <c r="AD242" s="2">
        <v>1733.6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3021.9+(8.3-1745.8)+(-1.541169+(-0.004233--0.890358))+0--75.7-0.0386069999999923</f>
        <v>1359.4063490000001</v>
      </c>
      <c r="G243" s="3">
        <f>2535.3+(8.3-1337.1)+(-2.586006+(-0.008466--1.363842))+0--76.7-0.0782340000000122</f>
        <v>1281.8911360000002</v>
      </c>
      <c r="H243" s="3">
        <f>2323+(8.3-1160.3)+(-7.10838+(-0.025398--3.550518))+0--76.5-0.234090000000009</f>
        <v>1243.68265</v>
      </c>
      <c r="I243" s="3">
        <f>2227+(8.3-1090.7)+(2.27154+(0.008466-1.112514))+0--76.6--0.0781320000000122</f>
        <v>1222.445624</v>
      </c>
      <c r="J243" s="3">
        <f>2254.5+(8.3-1116.1)+(-2.29959+(-0.008466--1.138422))+0--76.6-0.0781320000000122</f>
        <v>1222.0522339999998</v>
      </c>
      <c r="K243" s="3">
        <f>2426.9+(8.3-1256.6)+(-2.475438+(-0.008466--1.281732))+0--77.6-0.0791520000000124</f>
        <v>1254.918676</v>
      </c>
      <c r="L243" s="3">
        <f>2694.7+(3-1451.2)+(-6.871485+(-0.00765--3.70056))+0--77.6-0.197879999999989</f>
        <v>1320.7235449999998</v>
      </c>
      <c r="M243" s="3">
        <f>2640.1+(8-1334.8)+(-2.692902+(-0.00816--1.361496))+0--79.6-0.0811920000000127</f>
        <v>1391.4792419999997</v>
      </c>
      <c r="N243" s="3">
        <f>2838.6+(4-1430.1)+(-4.343058+(-0.00612--2.188053))+0--78.7-0.120411000000005</f>
        <v>1488.9184639999999</v>
      </c>
      <c r="O243" s="3">
        <f>3223.5+(4-1734.7)+(-6.57594+(-0.00816--3.538788))+0--77-0.157079999999997</f>
        <v>1566.597608</v>
      </c>
      <c r="P243" s="3">
        <f>3509.2+(4-1982.9)+(-1.789692+(-0.00204--1.011279))+0--74.9-0.0381989999999924</f>
        <v>1604.3813479999997</v>
      </c>
      <c r="Q243" s="3">
        <f>3573.9+(4-2024)+(-1.822689+(-0.00204--1.03224))+0--73.9-0.0376889999999925</f>
        <v>1626.9698220000002</v>
      </c>
      <c r="R243" s="3">
        <f>3495.4+(8.1-1983.4)+(-8.91327+(-0.020655--5.05767))+0--73.5-0.187424999999989</f>
        <v>1589.5363199999999</v>
      </c>
      <c r="S243" s="3">
        <f>3340.8+(9.1-1834.8)+(0+(0-0))+0--72.7-0</f>
        <v>1587.8000000000002</v>
      </c>
      <c r="T243" s="3">
        <f>3390.5+(9.1-1865.1)+(0+(0-0))+0--72.9-0</f>
        <v>1607.4</v>
      </c>
      <c r="U243" s="3">
        <f>3177.9+(9.1-1674.5)+(-1.620729+(-0.004641--0.853995))+0--74.3-0.0378929999999925</f>
        <v>1585.990732</v>
      </c>
      <c r="V243" s="3">
        <f>3136.5+(9-1620.8)+(0+(0-0))+0--73.9-0</f>
        <v>1598.6000000000001</v>
      </c>
      <c r="W243" s="3">
        <f>3323.9+(11.3-1618)+(3.390378+(0.011526-1.65036))+0--72.3--0.0737460000000115</f>
        <v>1791.32529</v>
      </c>
      <c r="X243" s="3">
        <f>3727.3+(11.4-1946.4)+(-9.504615+(-0.02907--4.96332))+0--72.2-0.18410999999999</f>
        <v>1859.7455250000003</v>
      </c>
      <c r="Y243" s="3">
        <f>3663.3+(11.4-1952.2)+(-3.736566+(-0.011628--1.991244))+0--73-0.0744600000000116</f>
        <v>1793.6685900000002</v>
      </c>
      <c r="Z243" s="3">
        <f>3560.6+(11.6-1920.3)+(-5.447718+(-0.017748--2.938059))+0--73.4-0.112302000000004</f>
        <v>1722.6602909999999</v>
      </c>
      <c r="AA243" s="3">
        <f>3536.1+(10.5-1959.3)+(-9.017055+(-0.026775--4.996215))+0--74.5-0.189974999999989</f>
        <v>1657.56241</v>
      </c>
      <c r="AB243" s="3">
        <f>3435.6+(9.5-1929.3)+(1.752156+(0.004845-0.983943))+0--75.2--0.0383519999999924</f>
        <v>1591.81141</v>
      </c>
      <c r="AC243" s="3">
        <f>3346.3+(9.5-1940.7)+(-8.533065+(-0.024225--4.948785))+0--76.4-0.194819999999989</f>
        <v>1487.6966750000004</v>
      </c>
      <c r="AD243" s="2">
        <v>1864.6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2835.5+(9.5-1537)+(-4.338315+(-0.014535--2.35161))+0--76.5-0.117045000000004</f>
        <v>1382.381715</v>
      </c>
      <c r="G244" s="3">
        <f>2587.9+(8.5-1357.5)+(-6.599145+(-0.021675--3.461625))+0--76.4-0.194819999999989</f>
        <v>1311.9459850000003</v>
      </c>
      <c r="H244" s="3">
        <f>2345.5+(8.5-1149.9)+(2.39241+(0.00867-1.172898))+0--75.4--0.076908000000012</f>
        <v>1280.8050900000001</v>
      </c>
      <c r="I244" s="3">
        <f>2328.5+(8.5-1162.5)+(0+(0-0))+0--75.4-0</f>
        <v>1249.9000000000001</v>
      </c>
      <c r="J244" s="3">
        <f>2212.4+(8.5-1042.2)+(1.128324+(0.004335-0.531522))+0--76.5--0.0390149999999922</f>
        <v>1255.8401520000002</v>
      </c>
      <c r="K244" s="3">
        <f>2262+(8.5-1058.1)+(-3.46086+(-0.013005--1.618893))+0--75.5-0.115515000000004</f>
        <v>1285.929513</v>
      </c>
      <c r="L244" s="3">
        <f>2345+(8.5-1099.3)+(-1.19595+(-0.004335--0.560643))+0--76-0.0387599999999923</f>
        <v>1329.521598</v>
      </c>
      <c r="M244" s="3">
        <f>2817+(7.5-1470.7)+(-4.31001+(-0.011475--2.250171))+0--76.4-0.116892000000004</f>
        <v>1428.011794</v>
      </c>
      <c r="N244" s="3">
        <f>3070.3+(5.5-1618.1)+(-3.131706+(-0.00561--1.650462))+0--73.6-0.0750720000000117</f>
        <v>1529.7380740000001</v>
      </c>
      <c r="O244" s="3">
        <f>3428+(5.5-1889.7)+(-3.49656+(-0.00561--1.927494))+0--72.2-0.0736440000000115</f>
        <v>1614.35168</v>
      </c>
      <c r="P244" s="3">
        <f>3509.6+(5.5-1947.3)+(-8.94948+(-0.014025--4.965615))+0--70.1-0.17875499999999</f>
        <v>1633.7233549999999</v>
      </c>
      <c r="Q244" s="3">
        <f>3552.3+(5.5-1957.3)+(-9.058365+(-0.014025--4.991115))+0--70.8-0.18053999999999</f>
        <v>1667.0381850000001</v>
      </c>
      <c r="R244" s="3">
        <f>3552.4+(9.3-2021.7)+(-5.435172+(-0.014229--3.093201))+0--69.9-0.106947000000004</f>
        <v>1607.4368530000002</v>
      </c>
      <c r="S244" s="3">
        <f>3626.1+(9.3-2060.5)+(-3.698622+(-0.009486--2.10171))+0--69.4-0.0707880000000111</f>
        <v>1642.6228140000003</v>
      </c>
      <c r="T244" s="3">
        <f>3481.8+(9.7-1958.8)+(1.775718+(0.004947-0.998988))+0--67.9--0.0346289999999931</f>
        <v>1601.4163060000003</v>
      </c>
      <c r="U244" s="3">
        <f>3370.6+(9.1-1843.1)+(3.438012+(0.009282-1.879962))+0--69--0.070380000000011</f>
        <v>1607.2377120000001</v>
      </c>
      <c r="V244" s="3">
        <f>3537.3+(9-1985.5)+(0+(0-0))+0--68.7-0</f>
        <v>1629.5000000000002</v>
      </c>
      <c r="W244" s="3">
        <f>3669.9+(11.5-1902.3)+(-1.871649+(-0.005865--0.970173))+0--68.2-0.0347819999999931</f>
        <v>1846.3578770000001</v>
      </c>
      <c r="X244" s="3">
        <f>3659.8+(11.6-1863.2)+(-1.866498+(-0.005916--0.950232))+0--68.5-0.034934999999993</f>
        <v>1875.7428830000001</v>
      </c>
      <c r="Y244" s="3">
        <f>3667.2+(11.4-1928.6)+(-1.870272+(-0.005814--0.983586))+0--69-0.035189999999993</f>
        <v>1818.07231</v>
      </c>
      <c r="Z244" s="3">
        <f>3623.6+(10.4-1964.5)+(-3.696072+(-0.010608--2.00379))+0--68.9-0.070278000000011</f>
        <v>1736.6268320000001</v>
      </c>
      <c r="AA244" s="3">
        <f>3540.4+(10.5-1936.7)+(-1.805604+(-0.005355--0.987717))+0--69.9-0.0356489999999929</f>
        <v>1683.2411090000003</v>
      </c>
      <c r="AB244" s="3">
        <f>3510.3+(9.4-1972)+(-8.951265+(-0.02397--5.0286))+0--71-0.18104999999999</f>
        <v>1614.5723150000003</v>
      </c>
      <c r="AC244" s="3">
        <f>3309.6+(9.4-1888.8)+(-5.063688+(-0.014382--2.889864))+0--71.1-0.108783000000004</f>
        <v>1499.003011</v>
      </c>
      <c r="AD244" s="2">
        <v>1911.6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2809.4+(10-1487.5)+(-2.865588+(-0.0102--1.51725))+0--71.6-0.0730320000000114</f>
        <v>1402.06843</v>
      </c>
      <c r="G245" s="3">
        <f>2476.9+(10-1250.1)+(-6.316095+(-0.0255--3.187755))+0--71.4-0.18206999999999</f>
        <v>1304.8640900000003</v>
      </c>
      <c r="H245" s="3">
        <f>2329.9+(10-1150.4)+(1.188249+(0.0051-0.586704))+0--75.6--0.0385559999999923</f>
        <v>1265.745201</v>
      </c>
      <c r="I245" s="3">
        <f>2256.2+(14.3-1100.5)+(-5.75331+(-0.036465--2.806275))+0--74.6-0.190229999999989</f>
        <v>1241.4262699999997</v>
      </c>
      <c r="J245" s="3">
        <f>2262.6+(12.2-1104.4)+(-1.153926+(-0.006222--0.563244))+0--72.6-0.0370259999999926</f>
        <v>1242.3660699999998</v>
      </c>
      <c r="K245" s="3">
        <f>2376+(10-1178)+(-1.21176+(-0.0051--0.60078))+0--72.7-0.0370769999999926</f>
        <v>1280.0468430000001</v>
      </c>
      <c r="L245" s="3">
        <f>2664.3+(10-1411.4)+(2.717586+(0.0102-1.439628))+0--74.7--0.0761940000000119</f>
        <v>1338.9643520000002</v>
      </c>
      <c r="M245" s="3">
        <f>2816.8+(12-1468.2)+(1.436568+(0.00612-0.748782))+0--75.8--0.0386579999999923</f>
        <v>1437.132564</v>
      </c>
      <c r="N245" s="3">
        <f>3088.2+(10-1633.8)+(0+(0-0))+0--73.7-0</f>
        <v>1538.1</v>
      </c>
      <c r="O245" s="3">
        <f>3425.1+(8-1864.7)+(-6.987204+(-0.01632--3.803988))+0--73.6-0.150143999999997</f>
        <v>1638.6503199999997</v>
      </c>
      <c r="P245" s="3">
        <f>3382.6+(11-1788.4)+(-6.900504+(-0.02244--3.648336))+0--70.6-0.144023999999997</f>
        <v>1672.3813679999998</v>
      </c>
      <c r="Q245" s="3">
        <f>3425.2+(10-1836.2)+(-1.746852+(-0.0051--0.936462))+0--68.6-0.034985999999993</f>
        <v>1666.7495239999998</v>
      </c>
      <c r="R245" s="3">
        <f>3290.2+(11-1823.6)+(-6.712008+(-0.02244--3.720144))+0--69-0.140759999999997</f>
        <v>1543.4449359999999</v>
      </c>
      <c r="S245" s="3">
        <f>3170.7+(11-1635.1)+(-1.617057+(-0.00561--0.833901))+0--69.3-0.035342999999993</f>
        <v>1615.075891</v>
      </c>
      <c r="T245" s="3">
        <f>2857.5+(11-1419.7)+(-4.371975+(-0.01683--2.172141))+0--70.2-0.107406000000004</f>
        <v>1516.6759299999999</v>
      </c>
      <c r="U245" s="3">
        <f>2939.7+(11-1411.2)+(-1.499247+(-0.00561--0.719712))+0--70.5-0.0359549999999928</f>
        <v>1609.1788999999997</v>
      </c>
      <c r="V245" s="3">
        <f>3025.3+(11-1455.9)+(4.628709+(0.01683-2.227527))+0--71--0.108630000000004</f>
        <v>1653.9266420000001</v>
      </c>
      <c r="W245" s="3">
        <f>3559.2+(12-1826.1)+(-9.07596+(-0.0306--4.656555))+0--71.5-0.18232499999999</f>
        <v>1811.96767</v>
      </c>
      <c r="X245" s="3">
        <f>3529.9+(12-1776)+(-7.200996+(-0.02448--3.62304))+0--72.1-0.147083999999997</f>
        <v>1834.2504800000002</v>
      </c>
      <c r="Y245" s="3">
        <f>3393.5+(12-1720.2)+(-8.653425+(-0.0306--4.38651))+0--71.9-0.18334499999999</f>
        <v>1752.7191400000002</v>
      </c>
      <c r="Z245" s="3">
        <f>3318.7+(12-1717.5)+(-6.770148+(-0.02448--3.5037))+0--72-0.146879999999997</f>
        <v>1681.7621919999999</v>
      </c>
      <c r="AA245" s="3">
        <f>3241.8+(11-1688.8)+(-1.653318+(-0.00561--0.861288))+0--72.3-0.0368729999999927</f>
        <v>1635.4654870000002</v>
      </c>
      <c r="AB245" s="3">
        <f>3218.6+(11-1753.8)+(-4.924458+(-0.01683--2.683314))+0--72.6-0.111078000000004</f>
        <v>1546.0309479999999</v>
      </c>
      <c r="AC245" s="3">
        <f>3218.9+(10-1869.8)+(-6.566556+(-0.0204--3.814392))+0--73.1-0.149123999999997</f>
        <v>1429.2783119999999</v>
      </c>
      <c r="AD245" s="2">
        <v>1831.5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3101.8+(8-1827.9)+(3.163836+(0.00816-1.864458))+0--73--0.0744600000000116</f>
        <v>1356.2819980000002</v>
      </c>
      <c r="G246" s="3">
        <f>2888.8+(8-1684.3)+(-2.946576+(-0.00816--1.717986))+0--73-0.0744600000000116</f>
        <v>1284.1887900000002</v>
      </c>
      <c r="H246" s="3">
        <f>2507.5+(8-1343.5)+(-2.55765+(-0.00816--1.37037))+0--74.1-0.0755820000000118</f>
        <v>1244.828978</v>
      </c>
      <c r="I246" s="3">
        <f>2165.1+(8-1058.6)+(2.208402+(0.00816-1.079772))+0--74.1--0.0755820000000118</f>
        <v>1189.8123719999999</v>
      </c>
      <c r="J246" s="3">
        <f>2022.2+(8-930.2)+(-1.031322+(-0.00408--0.474402))+0--78.1-0.0398309999999921</f>
        <v>1177.4991689999999</v>
      </c>
      <c r="K246" s="3">
        <f>1839.5+(8-734.8)+(4.690725+(0.0204-1.87374))+0--77.1--0.196604999999989</f>
        <v>1192.8339900000001</v>
      </c>
      <c r="L246" s="3">
        <f>1942.4+(12-793.9)+(0+(0-0))+0--79.1-0</f>
        <v>1239.5999999999999</v>
      </c>
      <c r="M246" s="3">
        <f>2031.3+(8-858)+(2.071926+(0.00816-0.87516))+0--79.2--0.0807840000000126</f>
        <v>1261.7857099999999</v>
      </c>
      <c r="N246" s="3">
        <f>2179.7+(8-914)+(3.334941+(0.01224-1.39842))+0--78--0.119340000000005</f>
        <v>1353.7681009999999</v>
      </c>
      <c r="O246" s="3">
        <f>2475.2+(9-1137.4)+(-1.262352+(-0.00459--0.580074))+0--75-0.0382499999999924</f>
        <v>1421.0748819999997</v>
      </c>
      <c r="P246" s="3">
        <f>2712+(9-1353.9)+(0+(0-0))+0--74-0</f>
        <v>1441.1</v>
      </c>
      <c r="Q246" s="3">
        <f>2823.9+(13-1538)+(-1.440189+(-0.00663--0.78438))+0--75-0.0382499999999924</f>
        <v>1373.1993110000001</v>
      </c>
      <c r="R246" s="3">
        <f>2821.9+(8.4-1573.8)+(-10.074183+(-0.029988--5.618466))+0--77-0.274890000000001</f>
        <v>1328.7394050000003</v>
      </c>
      <c r="S246" s="3">
        <f>2707.2+(9-1371.6)+(1.380672+(0.00459-0.699516))+0--78.9--0.040238999999992</f>
        <v>1424.225985</v>
      </c>
      <c r="T246" s="3">
        <f>2663.6+(10.3-1326.6)+(-4.075308+(-0.015759--2.029698))+0--79.1-0.121023000000005</f>
        <v>1424.2176079999999</v>
      </c>
      <c r="U246" s="3">
        <f>2645.6+(11-1320.4)+(1.349256+(0.00561-0.673404))+0--79.1--0.040340999999992</f>
        <v>1416.0218029999996</v>
      </c>
      <c r="V246" s="3">
        <f>2743.8+(17-1383.6)+(-4.198014+(-0.02601--2.116908))+0--76.2-0.116586000000004</f>
        <v>1451.1762980000003</v>
      </c>
      <c r="W246" s="3">
        <f>2946.2+(22.6-1377.2)+(-6.010248+(-0.046104--2.809488))+0--78.3-0.159731999999997</f>
        <v>1666.4934039999996</v>
      </c>
      <c r="X246" s="3">
        <f>2921.4+(22.6-1311.4)+(-5.959656+(-0.046104--2.675256))+0--79.1-0.161363999999997</f>
        <v>1708.2081319999998</v>
      </c>
      <c r="Y246" s="3">
        <f>2911.2+(20.9-1345)+(-7.42356+(-0.053295--3.42975))+0--78.8-0.200939999999989</f>
        <v>1661.6519549999998</v>
      </c>
      <c r="Z246" s="3">
        <f>2858.2+(23.1-1353.5)+(-4.373046+(-0.035343--2.070855))+0--79.2-0.121176000000005</f>
        <v>1604.5412899999997</v>
      </c>
      <c r="AA246" s="3">
        <f>2765.1+(25.2-1315.9)+(-2.820402+(-0.025704--1.342218))+0--79.1-0.0806820000000126</f>
        <v>1551.9154299999998</v>
      </c>
      <c r="AB246" s="3">
        <f>2567.2+(29.7-1177.1)+(-3.927816+(-0.045441--1.800963))+0--79.1-0.121023000000005</f>
        <v>1496.606683</v>
      </c>
      <c r="AC246" s="3">
        <f>2156+(62.3-909)+(0+(0-0))+0--80-0</f>
        <v>1389.3</v>
      </c>
      <c r="AD246" s="2">
        <v>1684.9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1992.1+(78.2-887.2)+(-5.079855+(-0.19941--2.26236))+0--80.4-0.205019999999988</f>
        <v>1260.2780750000002</v>
      </c>
      <c r="G247" s="3">
        <f>1905+(45.5-835.7)+(0.97155+(0.023205-0.426207))+0--79.8--0.0406979999999919</f>
        <v>1195.2092459999999</v>
      </c>
      <c r="H247" s="3">
        <f>1828+(47.7-793.2)+(-1.86456+(-0.048654--0.809064))+0--78.9-0.0804780000000126</f>
        <v>1160.2153720000001</v>
      </c>
      <c r="I247" s="3">
        <f>1554.3+(72.5-569.8)+(0.792693+(0.036975-0.290598))+0--78.9--0.040238999999992</f>
        <v>1136.4793090000001</v>
      </c>
      <c r="J247" s="3">
        <f>1527.6+(88-553.1)+(3.89538+(0.2244-1.410405))+0--78.6--0.200429999999989</f>
        <v>1144.0098049999999</v>
      </c>
      <c r="K247" s="3">
        <f>1591.9+(65-547.5)+(1.623738+(0.0663-0.55845))+0--78.7--0.0802740000000126</f>
        <v>1189.311862</v>
      </c>
      <c r="L247" s="3">
        <f>1766.3+(76.9-679.8)+(2.702439+(0.117657-1.040094))+0--79.5--0.121635000000005</f>
        <v>1244.801637</v>
      </c>
      <c r="M247" s="3">
        <f>1835.1+(76.7-665.6)+(3.743604+(0.156468-1.357824))+0--80.6--0.164423999999996</f>
        <v>1329.5066719999998</v>
      </c>
      <c r="N247" s="3">
        <f>1877.4+(86.3-599.8)+(-0.957474+(-0.044013--0.305898))+0--78.8-0.040187999999992</f>
        <v>1441.9642230000002</v>
      </c>
      <c r="O247" s="3">
        <f>1918.6+(96.2-577.6)+(-1.956972+(-0.098124--0.589152))+0--80-0.0816000000000128</f>
        <v>1515.6524559999998</v>
      </c>
      <c r="P247" s="3">
        <f>1976.4+(68.9-590.2)+(-3.023892+(-0.105417--0.903006))+0--79-0.120870000000005</f>
        <v>1531.752827</v>
      </c>
      <c r="Q247" s="3">
        <f>2106.5+(55-692.6)+(-5.371575+(-0.14025--1.76613))+0--77.7-0.198134999999989</f>
        <v>1542.65617</v>
      </c>
      <c r="R247" s="3">
        <f>2162.4+(61.8-795.8)+(-1.102824+(-0.031518--0.405858))+0--77.5-0.0395249999999921</f>
        <v>1505.1319910000002</v>
      </c>
      <c r="S247" s="3">
        <f>2104.3+(59.5-736.2)+(-5.365965+(-0.151725--1.87731))+0--77.6-0.197879999999989</f>
        <v>1501.3617400000001</v>
      </c>
      <c r="T247" s="3">
        <f>2090.3+(58.5-728.8)+(0+(0-0))+0--78.2-0</f>
        <v>1498.2000000000003</v>
      </c>
      <c r="U247" s="3">
        <f>2205.4+(64.2-860.6)+(-5.62377+(-0.16371--2.19453))+0--78.4-0.199919999999989</f>
        <v>1483.6071300000001</v>
      </c>
      <c r="V247" s="3">
        <f>2265.1+(64.7-889.4)+(-1.155201+(-0.032997--0.453594))+0--78.9-0.040238999999992</f>
        <v>1518.5251570000003</v>
      </c>
      <c r="W247" s="3">
        <f>2341.5+(73-765)+(1.194165+(0.03723-0.39015))+0--78.6--0.040085999999992</f>
        <v>1728.981331</v>
      </c>
      <c r="X247" s="3">
        <f>2352.3+(81-763.6)+(-1.199673+(-0.04131--0.389436))+0--79.5-0.0405449999999919</f>
        <v>1748.3079080000002</v>
      </c>
      <c r="Y247" s="3">
        <f>2328.6+(71-784.9)+(-4.750344+(-0.14484--1.601196))+0--80.5-0.164219999999996</f>
        <v>1691.741792</v>
      </c>
      <c r="Z247" s="3">
        <f>2226.6+(61.1-745.1)+(-2.271132+(-0.062322--0.760002))+0--80.5-0.0821100000000128</f>
        <v>1621.4444379999998</v>
      </c>
      <c r="AA247" s="3">
        <f>2137.4+(64.5-724)+(-2.180148+(-0.06579--0.73848))+0--81.1-0.0827220000000129</f>
        <v>1557.4098199999999</v>
      </c>
      <c r="AB247" s="3">
        <f>2141.8+(60.6-781.1)+(-1.092318+(-0.030906--0.398361))+0--81.1-0.0413609999999918</f>
        <v>1501.6337760000001</v>
      </c>
      <c r="AC247" s="3">
        <f>2085.6+(55.7-803.2)+(-4.254624+(-0.113628--1.638528))+0--81.2-0.165647999999996</f>
        <v>1416.404628</v>
      </c>
      <c r="AD247" s="2">
        <v>1732.5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2094.6+(52-961.5)+(0+(0-0))+0--81.1-0</f>
        <v>1266.1999999999998</v>
      </c>
      <c r="G248" s="3">
        <f>2154+(57-1050.7)+(-3.29562+(-0.08721--1.607571))+0--82.8-0.126684000000005</f>
        <v>1241.1980569999998</v>
      </c>
      <c r="H248" s="3">
        <f>2112.3+(55-1058.3)+(1.077273+(0.02805-0.539733))+0--83.6--0.0426359999999915</f>
        <v>1193.208226</v>
      </c>
      <c r="I248" s="3">
        <f>1971.8+(52-895.5)+(-1.005618+(-0.02652--0.456705))+0--82.5-0.0420749999999916</f>
        <v>1210.1824919999999</v>
      </c>
      <c r="J248" s="3">
        <f>1862.5+(43-801.8)+(3.7995+(0.08772-1.635672))+0--81.7--0.166667999999996</f>
        <v>1187.8182160000001</v>
      </c>
      <c r="K248" s="3">
        <f>1921.4+(47-866)+(0.979914+(0.02397-0.44166))+0--81.1--0.0413609999999918</f>
        <v>1184.1035850000001</v>
      </c>
      <c r="L248" s="3">
        <f>2130.6+(57-1029.4)+(-5.43303+(-0.14535--2.62497))+0--82-0.209099999999988</f>
        <v>1237.0374899999997</v>
      </c>
      <c r="M248" s="3">
        <f>2145.7+(55-938.9)+(1.094307+(0.02805-0.478839))+0--81.8--0.0417179999999917</f>
        <v>1344.2852359999997</v>
      </c>
      <c r="N248" s="3">
        <f>2149.7+(59-841.8)+(2.192694+(0.06018-0.858636))+0--81--0.0826200000000129</f>
        <v>1449.3768579999999</v>
      </c>
      <c r="O248" s="3">
        <f>2279.6+(71-902.3)+(-2.325192+(-0.07242--0.920346))+0--80.4-0.0820080000000128</f>
        <v>1527.1407259999999</v>
      </c>
      <c r="P248" s="3">
        <f>2283.5+(88.8-895.7)+(-2.32917+(-0.090576--0.913614))+0--80-0.0816000000000128</f>
        <v>1555.0122679999999</v>
      </c>
      <c r="Q248" s="3">
        <f>2264+(77.2-875.5)+(-1.15464+(-0.039372--0.446505))+0--79-0.040289999999992</f>
        <v>1543.9122030000001</v>
      </c>
      <c r="R248" s="3">
        <f>2241.9+(76.2-889.9)+(-8.003583+(-0.272034--3.176943))+0--78.8-0.281316000000001</f>
        <v>1501.6200100000001</v>
      </c>
      <c r="S248" s="3">
        <f>2091.4+(64-753.7)+(-3.199842+(-0.09792--1.153161))+0--78.5-0.120105000000005</f>
        <v>1477.9352940000001</v>
      </c>
      <c r="T248" s="3">
        <f>2116.9+(86.4-825.9)+(-4.318476+(-0.176256--1.684836))+0--77.4-0.157895999999997</f>
        <v>1451.8322080000003</v>
      </c>
      <c r="U248" s="3">
        <f>2240.2+(72-937.8)+(0+(0-0))+0--75.6-0</f>
        <v>1449.9999999999998</v>
      </c>
      <c r="V248" s="3">
        <f>2278.5+(73-946.4)+(0+(0-0))+0--77.2-0</f>
        <v>1482.3</v>
      </c>
      <c r="W248" s="3">
        <f>2376.7+(76-834.4)+(1.212117+(0.03876-0.425544))+0--75.9--0.0387089999999923</f>
        <v>1695.0640419999997</v>
      </c>
      <c r="X248" s="3">
        <f>2486.7+(86-912.9)+(-3.804651+(-0.13158--1.396737))+0--76.4-0.116892000000004</f>
        <v>1733.5436139999997</v>
      </c>
      <c r="Y248" s="3">
        <f>2485.1+(92.4-967.4)+(-7.604406+(-0.282744--2.960244))+0--77.4-0.236844000000009</f>
        <v>1682.3362500000001</v>
      </c>
      <c r="Z248" s="3">
        <f>2495.4+(103.4-1065.2)+(-3.817962+(-0.158202--1.629756))+0--77.9-0.119187000000005</f>
        <v>1609.0344049999999</v>
      </c>
      <c r="AA248" s="3">
        <f>2356.7+(100.6-977.4)+(-2.403834+(-0.102612--0.996948))+0--78-0.0795600000000124</f>
        <v>1556.3109420000001</v>
      </c>
      <c r="AB248" s="3">
        <f>2284.7+(112.7-967)+(-1.165197+(-0.057477--0.49317))+0--78.6-0.040085999999992</f>
        <v>1508.2304099999999</v>
      </c>
      <c r="AC248" s="3">
        <f>2243.7+(141.5-1033.3)+(-3.432861+(-0.216495--1.580949))+0--79.6-0.121788000000005</f>
        <v>1429.3098049999999</v>
      </c>
      <c r="AD248" s="2">
        <v>1721.3999999999999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2020.8+(216-976.4)+(-5.15304+(-0.5508--2.48982))+0--80-0.203999999999988</f>
        <v>1336.9819800000002</v>
      </c>
      <c r="G249" s="3">
        <f>1991.9+(260-1050.1)+(-2.031738+(-0.2652--1.071102))+0--80.1-0.0817020000000128</f>
        <v>1280.5924620000001</v>
      </c>
      <c r="H249" s="3">
        <f>1876.8+(271.4-1005.2)+(0.957168+(0.138414-0.512652))+0--80.5--0.0410549999999918</f>
        <v>1224.1239849999999</v>
      </c>
      <c r="I249" s="3">
        <f>1802.4+(266.5-941.9)+(-2.757672+(-0.407745--1.441107))+0--82.9-0.126837000000005</f>
        <v>1208.048853</v>
      </c>
      <c r="J249" s="3">
        <f>1643.7+(263.4-794.6)+(-0.838287+(-0.134334--0.405246))+0--83.4-0.0425339999999915</f>
        <v>1195.2900910000001</v>
      </c>
      <c r="K249" s="3">
        <f>1522+(236.1-634.1)+(-0.77622+(-0.120411--0.323391))+0--84.5-0.0430949999999914</f>
        <v>1207.8836650000001</v>
      </c>
      <c r="L249" s="3">
        <f>1516.5+(258.4-637.7)+(-3.09366+(-0.527136--1.300908))+0--84.5-0.172379999999996</f>
        <v>1219.2077319999999</v>
      </c>
      <c r="M249" s="3">
        <f>1532+(271-629.5)+(-0.78132+(-0.13821--0.321045))+0--84.5-0.0430949999999914</f>
        <v>1257.35842</v>
      </c>
      <c r="N249" s="3">
        <f>1792.2+(276.3-798.4)+(2.742066+(0.422739-1.221552))+0--80.9--0.123777000000005</f>
        <v>1353.0670300000002</v>
      </c>
      <c r="O249" s="3">
        <f>1943.9+(240.4-821.3)+(-0.991389+(-0.122604--0.418863))+0--80.4-0.0410039999999918</f>
        <v>1442.6638660000001</v>
      </c>
      <c r="P249" s="3">
        <f>1953.3+(243.4-795.5)+(0.996183+(0.124134-0.405705))+0--78.8--0.040187999999992</f>
        <v>1480.7547999999997</v>
      </c>
      <c r="Q249" s="3">
        <f>1939.9+(215.8-752)+(-5.936094+(-0.660348--2.30112))+0--78-0.238680000000009</f>
        <v>1477.1659980000002</v>
      </c>
      <c r="R249" s="3">
        <f>1933.5+(225.7-796)+(-0.986085+(-0.115107--0.40596))+0--78.4-0.039983999999992</f>
        <v>1440.8647840000001</v>
      </c>
      <c r="S249" s="3">
        <f>1925.9+(269.4-848)+(-4.911045+(-0.68697--2.1624))+0--78.2-0.199409999999989</f>
        <v>1421.8649750000002</v>
      </c>
      <c r="T249" s="3">
        <f>1929.6+(275-880.4)+(0.984096+(0.14025-0.449004))+0--77.6--0.0395759999999921</f>
        <v>1402.5149179999996</v>
      </c>
      <c r="U249" s="3">
        <f>1912.9+(234.7-838)+(-1.951158+(-0.239394--0.85476))+0--78.4-0.0799680000000125</f>
        <v>1386.5842400000001</v>
      </c>
      <c r="V249" s="3">
        <f>2024.1+(133.3-846.7)+(1.032291+(0.067983-0.431817))+0--78.7--0.040136999999992</f>
        <v>1390.1085939999998</v>
      </c>
      <c r="W249" s="3">
        <f>2372+(91.2-930.1)+(-2.41944+(-0.093024--0.948702))+0--78.9-0.0804780000000126</f>
        <v>1610.3557599999999</v>
      </c>
      <c r="X249" s="3">
        <f>2447.1+(85.3-971.6)+(-2.496042+(-0.087006--0.991032))+0--79.4-0.0809880000000127</f>
        <v>1638.5269959999998</v>
      </c>
      <c r="Y249" s="3">
        <f>2439.4+(107-1031.4)+(-3.732282+(-0.16371--1.578042))+0--79.6-0.121788000000005</f>
        <v>1592.1602619999999</v>
      </c>
      <c r="Z249" s="3">
        <f>2443.7+(86.6-1080.5)+(-1.246287+(-0.044166--0.551055))+0--79.3-0.040442999999992</f>
        <v>1528.3201589999996</v>
      </c>
      <c r="AA249" s="3">
        <f>2446.8+(39-1079)+(0+(0-0))+0--79.3-0</f>
        <v>1486.1000000000001</v>
      </c>
      <c r="AB249" s="3">
        <f>2442.3+(41-1120.4)+(-2.491146+(-0.04182--1.142808))+0--79.9-0.0814980000000127</f>
        <v>1441.3283440000002</v>
      </c>
      <c r="AC249" s="3">
        <f>2276.2+(64-1030.9)+(-3.482586+(-0.09792--1.577277))+0--81.1-0.124083000000005</f>
        <v>1388.2726879999998</v>
      </c>
      <c r="AD249" s="2">
        <v>1658.6999999999998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2139.7+(71-1006.9)+(-4.364988+(-0.14484--2.054076))+0--82.4-0.168095999999996</f>
        <v>1283.5761519999996</v>
      </c>
      <c r="G250" s="3">
        <f>1998.5+(53-924.5)+(-6.11541+(-0.16218--2.82897))+0--83-0.25398000000001</f>
        <v>1206.2974000000002</v>
      </c>
      <c r="H250" s="3">
        <f>1941.2+(57-918.3)+(-0.990012+(-0.02907--0.468333))+0--82-0.0418199999999917</f>
        <v>1161.3074310000002</v>
      </c>
      <c r="I250" s="3">
        <f>1830.6+(55.8-823.3)+(-1.867212+(-0.056916--0.839766))+0--82.4-0.0840480000000131</f>
        <v>1144.33159</v>
      </c>
      <c r="J250" s="3">
        <f>1666.1+(60.6-666.1)+(-1.699422+(-0.061812--0.679422))+0--82-0.0836400000000131</f>
        <v>1141.4345479999999</v>
      </c>
      <c r="K250" s="3">
        <f>1625.1+(90.7-651.7)+(0.828801+(0.046257-0.332367))+0--83.5--0.0425849999999915</f>
        <v>1148.1852759999999</v>
      </c>
      <c r="L250" s="3">
        <f>1660.8+(59.3-653.6)+(-2.541024+(-0.090729--1.000008))+0--82.8-0.126684000000005</f>
        <v>1147.541571</v>
      </c>
      <c r="M250" s="3">
        <f>1679.1+(50-667.3)+(-0.856341+(-0.0255--0.340323))+0--82.1-0.0418709999999917</f>
        <v>1143.316611</v>
      </c>
      <c r="N250" s="3">
        <f>1623+(46-535.1)+(-1.65546+(-0.04692--0.545802))+0--81.4-0.083028000000013</f>
        <v>1214.0603940000001</v>
      </c>
      <c r="O250" s="3">
        <f>1605.6+(72.4-492.7)+(-1.637712+(-0.073848--0.502554))+0--81-0.0826200000000129</f>
        <v>1265.008374</v>
      </c>
      <c r="P250" s="3">
        <f>1493.6+(91.3-403.8)+(-2.285208+(-0.139689--0.617814))+0--83.6-0.127908000000005</f>
        <v>1262.765009</v>
      </c>
      <c r="Q250" s="3">
        <f>1478.2+(65.8-402.3)+(-0.753882+(-0.033558--0.205173))+0--89-0.045389999999991</f>
        <v>1230.072343</v>
      </c>
      <c r="R250" s="3">
        <f>1421.8+(91-428.6)+(0+(0-0))+0--87.6-0</f>
        <v>1171.7999999999997</v>
      </c>
      <c r="S250" s="3">
        <f>1418.1+(67.6-409.1)+(0.723231+(0.034476-0.208641))+0--84.6--0.0431459999999914</f>
        <v>1161.7922119999998</v>
      </c>
      <c r="T250" s="3">
        <f>1460.4+(51.1-468)+(0.744804+(0.026061-0.23868))+0--84.4--0.0430439999999914</f>
        <v>1128.4752290000001</v>
      </c>
      <c r="U250" s="3">
        <f>1444.5+(47.6-457.9)+(0.736695+(0.024276-0.233529))+0--84.4--0.0430439999999914</f>
        <v>1119.1704860000002</v>
      </c>
      <c r="V250" s="3">
        <f>1595.2+(104.5-579.3)+(0.813552+(0.053295-0.295443))+0--84.4--0.0430439999999914</f>
        <v>1205.4144480000002</v>
      </c>
      <c r="W250" s="3">
        <f>1841.9+(64-661.8)+(0+(0-0))+0--84-0</f>
        <v>1328.1000000000001</v>
      </c>
      <c r="X250" s="3">
        <f>1883.8+(73.9-684.9)+(0+(0-0))+0--82.7-0</f>
        <v>1355.5</v>
      </c>
      <c r="Y250" s="3">
        <f>1896+(79-726)+(-3.86784+(-0.16116--1.48104))+0--82.9-0.169115999999996</f>
        <v>1329.182924</v>
      </c>
      <c r="Z250" s="3">
        <f>1817.1+(68.1-672.4)+(-1.853442+(-0.069462--0.685848))+0--83.4-0.0850680000000133</f>
        <v>1294.877876</v>
      </c>
      <c r="AA250" s="3">
        <f>1636+(51.5-513.8)+(-2.50308+(-0.078795--0.786114))+0--83.4-0.127602000000005</f>
        <v>1255.176637</v>
      </c>
      <c r="AB250" s="3">
        <f>1639.5+(53-557.5)+(0.836145+(0.02703-0.284325))+0--84.1--0.0428909999999915</f>
        <v>1219.7217410000001</v>
      </c>
      <c r="AC250" s="3">
        <f>1638.5+(65.2-614.5)+(0+(0-0))+0--83.6-0</f>
        <v>1172.8</v>
      </c>
      <c r="AD250" s="2">
        <v>1338.8999999999999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1621.6+(87.3-695.4)+(-5.789112+(-0.311661--2.482578))+0--83-0.296310000000001</f>
        <v>1092.585495</v>
      </c>
      <c r="G251" s="3">
        <f>1616.5+(89.3-762.1)+(-1.64883+(-0.091086--0.777342))+0--85.2-0.0869040000000136</f>
        <v>1027.850522</v>
      </c>
      <c r="H251" s="3">
        <f>1584.5+(72.1-746.5)+(-2.424285+(-0.110313--1.142145))+0--85.1-0.130203000000005</f>
        <v>993.67734399999995</v>
      </c>
      <c r="I251" s="3">
        <f>1543.5+(73.8-729.8)+(1.57437+(0.075276-0.744396))+0--84.3--0.0859860000000134</f>
        <v>972.79123600000003</v>
      </c>
      <c r="J251" s="3">
        <f>1539.9+(69.6-727.5)+(-0.785349+(-0.035496--0.371025))+0--85-0.0433499999999914</f>
        <v>966.50683000000004</v>
      </c>
      <c r="K251" s="3">
        <f>1542.9+(51.7-692.2)+(1.573758+(0.052734-0.706044))+0--84.8--0.0864960000000135</f>
        <v>988.20694400000002</v>
      </c>
      <c r="L251" s="3">
        <f>1518.6+(85.2-729.3)+(-5.421402+(-0.304164--2.603601))+0--85.5-0.305235000000001</f>
        <v>956.57279999999992</v>
      </c>
      <c r="M251" s="3">
        <f>1434.2+(72.8-646.1)+(-0.731442+(-0.037128--0.329511))+0--86.2-0.0439619999999913</f>
        <v>946.61697900000001</v>
      </c>
      <c r="N251" s="3">
        <f>1507.1+(52.3-678.9)+(3.074484+(0.106692-1.384956))+0--88.7--0.180947999999996</f>
        <v>971.17716799999982</v>
      </c>
      <c r="O251" s="3">
        <f>1618+(97.5-803.2)+(-1.65036+(-0.09945--0.819264))+0--88.4-0.0901680000000141</f>
        <v>999.67928599999982</v>
      </c>
      <c r="P251" s="3">
        <f>1563+(109.2-770.6)+(-5.57991+(-0.389844--2.751042))+0--87.8-0.313446000000001</f>
        <v>985.867842</v>
      </c>
      <c r="Q251" s="3">
        <f>1450.3+(109.7-667.8)+(2.218959+(0.167841-1.021734))+0--88--0.134640000000005</f>
        <v>981.69970599999999</v>
      </c>
      <c r="R251" s="3">
        <f>1308+(75.1-510.3)+(2.00124+(0.114903-0.780759))+0--86.5--0.132345000000005</f>
        <v>960.76772899999992</v>
      </c>
      <c r="S251" s="3">
        <f>1517.6+(88.5-693)+(1.547952+(0.09027-0.70686))+0--86.3--0.0880260000000138</f>
        <v>1000.4193879999999</v>
      </c>
      <c r="T251" s="3">
        <f>1679.9+(115.5-851.3)+(-3.426996+(-0.23562--1.736652))+0--86.8-0.177071999999996</f>
        <v>1028.7969640000001</v>
      </c>
      <c r="U251" s="3">
        <f>1666+(136.5-837)+(2.54898+(0.208845-1.28061))+0--85.7--0.131121000000005</f>
        <v>1052.8083359999998</v>
      </c>
      <c r="V251" s="3">
        <f>1776.5+(109.5-867)+(0+(0-0))+0--85.7-0</f>
        <v>1104.7</v>
      </c>
      <c r="W251" s="3">
        <f>2120.6+(104.3-951.7)+(1.081506+(0.053193-0.485367))+0--84.9--0.0432989999999914</f>
        <v>1358.7926309999998</v>
      </c>
      <c r="X251" s="3">
        <f>2166.1+(115.2-929.7)+(-4.418844+(-0.235008--1.896588))+0--86.6-0.176663999999996</f>
        <v>1435.2660719999997</v>
      </c>
      <c r="Y251" s="3">
        <f>2141.4+(120.4-923.7)+(-4.368456+(-0.245616--1.884348))+0--85.1-0.173603999999996</f>
        <v>1420.2966719999997</v>
      </c>
      <c r="Z251" s="3">
        <f>2098.2+(134.7-934)+(2.140164+(0.137394-0.95268))+0--84--0.0856800000000134</f>
        <v>1384.3105579999997</v>
      </c>
      <c r="AA251" s="3">
        <f>2100.6+(146.6-970)+(-1.071306+(-0.074766--0.4947))+0--84-0.0428399999999915</f>
        <v>1360.5057879999997</v>
      </c>
      <c r="AB251" s="3">
        <f>2103.8+(173.3-1048.4)+(-5.36469+(-0.441915--2.67342))+0--84.5-0.215474999999988</f>
        <v>1309.8513400000002</v>
      </c>
      <c r="AC251" s="3">
        <f>2052.6+(197.9-1097.7)+(-4.187304+(-0.403716--2.239308))+0--82.8-0.168911999999996</f>
        <v>1233.0793759999997</v>
      </c>
      <c r="AD251" s="2">
        <v>1434.8999999999999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2018.9+(158.5-1099.8)+(-3.088917+(-0.242505--1.682694))+0--81.9-0.125307000000005</f>
        <v>1157.7259650000003</v>
      </c>
      <c r="G252" s="3">
        <f>1857.6+(72-919.3)+(-0.947376+(-0.03672--0.468843))+0--81.8-0.0417179999999917</f>
        <v>1091.5430289999999</v>
      </c>
      <c r="H252" s="3">
        <f>1756.5+(58-834.8)+(-1.79163+(-0.05916--0.851496))+0--81.8-0.083436000000013</f>
        <v>1060.4172699999999</v>
      </c>
      <c r="I252" s="3">
        <f>1706.5+(57.1-804.4)+(0.870315+(0.029121-0.410244))+0--82.2--0.0419219999999917</f>
        <v>1041.931114</v>
      </c>
      <c r="J252" s="3">
        <f>1625+(53.1-717.9)+(0.82875+(0.027081-0.366129))+0--81.1--0.0413609999999918</f>
        <v>1041.8310630000001</v>
      </c>
      <c r="K252" s="3">
        <f>1622.5+(47-681.6)+(3.3099+(0.09588-1.390464))+0--80.7--0.164627999999996</f>
        <v>1070.7799439999999</v>
      </c>
      <c r="L252" s="3">
        <f>1833.9+(58-825.5)+(-3.741156+(-0.11832--1.68402))+0--81.4-0.166055999999996</f>
        <v>1145.4584880000002</v>
      </c>
      <c r="M252" s="3">
        <f>2072.8+(65-974.9)+(4.228512+(0.1326-1.988796))+0--80.7--0.164627999999996</f>
        <v>1246.1369440000001</v>
      </c>
      <c r="N252" s="3">
        <f>2090+(67-880.3)+(3.1977+(0.10251-1.346859))+0--78.8--0.120564000000005</f>
        <v>1357.5739150000002</v>
      </c>
      <c r="O252" s="3">
        <f>2134.8+(69-862.8)+(1.088748+(0.03519-0.440028))+0--81.8--0.0417179999999917</f>
        <v>1423.5256280000001</v>
      </c>
      <c r="P252" s="3">
        <f>2243.1+(64-866.2)+(0+(0-0))+0--80-0</f>
        <v>1520.8999999999999</v>
      </c>
      <c r="Q252" s="3">
        <f>2307.8+(64-968.4)+(-1.176978+(-0.03264--0.493884))+0--78.9-0.040238999999992</f>
        <v>1481.5440270000001</v>
      </c>
      <c r="R252" s="3">
        <f>2436.8+(59.9-1170.7)+(-8.699376+(-0.213843--4.179399))+0--75.5-0.269535000000001</f>
        <v>1396.4966450000004</v>
      </c>
      <c r="S252" s="3">
        <f>2467.4+(62.6-1197.3)+(0+(0-0))+0--77.2-0</f>
        <v>1409.9</v>
      </c>
      <c r="T252" s="3">
        <f>2500.1+(66.2-1215.8)+(0+(0-0))+0--30.8-0</f>
        <v>1381.3</v>
      </c>
      <c r="U252" s="3">
        <f>2506+(67.9-1208.1)+(2.55612+(0.069258-1.232262))+0-4.9-0.00499800000000078</f>
        <v>1362.2881179999999</v>
      </c>
      <c r="V252" s="3">
        <f>2511.8+(65-1163.2)+(-3.843054+(-0.09945--1.779696))+0-4.8--0.00734400000000028</f>
        <v>1406.6445360000002</v>
      </c>
      <c r="W252" s="3">
        <f>2514.1+(66.4-1054.7)+(-3.846573+(-0.101592--1.613691))+0-5--0.00765000000000029</f>
        <v>1518.4731759999997</v>
      </c>
      <c r="X252" s="3">
        <f>2487.8+(65.3-1054.3)+(0+(0-0))+0--76.5-0</f>
        <v>1575.3000000000002</v>
      </c>
      <c r="Y252" s="3">
        <f>2410.5+(68.2-1021.9)+(4.91742+(0.139128-2.084676))+0-4.9-0.00999599999999979</f>
        <v>1454.8618760000002</v>
      </c>
      <c r="Z252" s="3">
        <f>2333.7+(65.9-1010.8)+(3.570561+(0.100827-1.546524))+0--34.7--0.053091000000002</f>
        <v>1425.6779549999997</v>
      </c>
      <c r="AA252" s="3">
        <f>2343.3+(65.2-1079.2)+(3.585249+(0.099756-1.651176))+0--76.4--0.116892000000004</f>
        <v>1407.8507210000002</v>
      </c>
      <c r="AB252" s="3">
        <f>2312.2+(70.8-1136.6)+(-2.358444+(-0.072216--1.159332))+0--76.4-0.0779280000000122</f>
        <v>1321.450744</v>
      </c>
      <c r="AC252" s="3">
        <f>1879.5+(52.4-856.2)+(-2.875635+(-0.080172--1.309986))+0--77.8-0.119034000000004</f>
        <v>1151.7351449999996</v>
      </c>
      <c r="AD252" s="2">
        <v>1574.4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1898.2+(57.7-1001.6)+(-1.936164+(-0.058854--1.021632))+0--82.5-0.0841500000000132</f>
        <v>1035.7424640000002</v>
      </c>
      <c r="G253" s="3">
        <f>1972.1+(58.5-1136.7)+(-7.040397+(-0.208845--4.058019))+0--82.1-0.293097000000001</f>
        <v>972.51567999999986</v>
      </c>
      <c r="H253" s="3">
        <f>1974.8+(68-1201.4)+(1.007148+(0.03468-0.612714))+0--82.5--0.0420749999999916</f>
        <v>924.37118899999984</v>
      </c>
      <c r="I253" s="3">
        <f>1969.8+(83.9-1252.5)+(2.009196+(0.085578-1.27755))+0--83--0.0846600000000132</f>
        <v>885.10188400000004</v>
      </c>
      <c r="J253" s="3">
        <f>2104+(65.4-1350.6)+(-1.07304+(-0.033354--0.688806))+0--82-0.0418199999999917</f>
        <v>900.34059200000013</v>
      </c>
      <c r="K253" s="3">
        <f>2084.1+(81.6-1307.7)+(0+(0-0))+0--81.6-0</f>
        <v>939.5999999999998</v>
      </c>
      <c r="L253" s="3">
        <f>2120.4+(83.1-1276.3)+(-3.244212+(-0.127143--1.952739))+0--82.3-0.125919000000005</f>
        <v>1007.955465</v>
      </c>
      <c r="M253" s="3">
        <f>2099.4+(192-1291.8)+(-2.141388+(-0.19584--1.317636))+0--84.1-0.0857820000000134</f>
        <v>1082.5946260000001</v>
      </c>
      <c r="N253" s="3">
        <f>2253.6+(157.9-1325.5)+(0+(0-0))+0--83.7-0</f>
        <v>1169.7</v>
      </c>
      <c r="O253" s="3">
        <f>2561.9+(114.5-1486.3)+(-1.306569+(-0.058395--0.758013))+0--82.9-0.0422789999999916</f>
        <v>1272.3507700000002</v>
      </c>
      <c r="P253" s="3">
        <f>2707.9+(100.4-1601.2)+(-2.762058+(-0.102408--1.633224))+0--82.4-0.0840480000000131</f>
        <v>1288.1847100000002</v>
      </c>
      <c r="Q253" s="3">
        <f>2818.5+(71.1-1667.2)+(-4.312305+(-0.108783--2.550816))+0--81.1-0.124083000000005</f>
        <v>1301.505645</v>
      </c>
      <c r="R253" s="3">
        <f>2773.2+(66-1649.8)+(-1.414332+(-0.03366--0.841398))+0--79.8-0.0406979999999919</f>
        <v>1268.5527079999997</v>
      </c>
      <c r="S253" s="3">
        <f>2650.1+(67.8-1534.2)+(-2.703102+(-0.069156--1.564884))+0--81.1-0.0827220000000129</f>
        <v>1263.5099039999996</v>
      </c>
      <c r="T253" s="3">
        <f>2576.5+(111-1511.5)+(2.62803+(0.11322-1.54173))+0--80.9--0.0825180000000129</f>
        <v>1258.1820379999999</v>
      </c>
      <c r="U253" s="3">
        <f>2641.3+(134.4-1604.3)+(-4.041189+(-0.205632--2.454579))+0--80.5-0.123165000000005</f>
        <v>1249.9845930000004</v>
      </c>
      <c r="V253" s="3">
        <f>2679.6+(79.6-1550)+(-2.733192+(-0.081192--1.581))+0--80.1-0.0817020000000128</f>
        <v>1287.9849139999999</v>
      </c>
      <c r="W253" s="3">
        <f>2911.9+(63.3-1542)+(-4.455207+(-0.096849--2.35926))+0--80.1-0.122553000000005</f>
        <v>1510.984651</v>
      </c>
      <c r="X253" s="3">
        <f>3028.9+(62.4-1597)+(-7.723695+(-0.15912--4.07235))+0--80.6-0.205529999999988</f>
        <v>1570.8840050000001</v>
      </c>
      <c r="Y253" s="3">
        <f>3033.6+(63.3-1636.3)+(1.547136+(0.032283-0.834513))+0--81.5--0.0415649999999917</f>
        <v>1542.8864709999998</v>
      </c>
      <c r="Z253" s="3">
        <f>2864.9+(69.3-1516.3)+(-4.383297+(-0.106029--2.319939))+0--82-0.125460000000005</f>
        <v>1497.6051530000002</v>
      </c>
      <c r="AA253" s="3">
        <f>2800.8+(71.2-1503.8)+(-7.14204+(-0.18156--3.83469))+0--83-0.211649999999988</f>
        <v>1447.4994400000003</v>
      </c>
      <c r="AB253" s="3">
        <f>2757+(76.4-1551.9)+(-1.40607+(-0.038964--0.791469))+0--83.6-0.0426359999999915</f>
        <v>1364.4037989999999</v>
      </c>
      <c r="AC253" s="3">
        <f>2622.7+(73.3-1529.9)+(-4.012731+(-0.112149--2.340747))+0--83.8-0.128214000000005</f>
        <v>1247.9876529999995</v>
      </c>
      <c r="AD253" s="2">
        <v>1566.6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2636.8+(104.6-1631.2)+(-5.379072+(-0.213384--3.327648))+0--83.6-0.170543999999996</f>
        <v>1191.364648</v>
      </c>
      <c r="G254" s="3">
        <f>2471.8+(95.8-1520.1)+(0+(0-0))+0--83-0</f>
        <v>1130.5000000000002</v>
      </c>
      <c r="H254" s="3">
        <f>2331+(103.4-1427)+(-4.75524+(-0.210936--2.91108))+0--84.2-0.171767999999996</f>
        <v>1089.3731360000002</v>
      </c>
      <c r="I254" s="3">
        <f>2151.7+(124-1288.4)+(-1.097367+(-0.06324--0.657084))+0--84.6-0.0431459999999914</f>
        <v>1071.3533309999998</v>
      </c>
      <c r="J254" s="3">
        <f>2023.1+(117-1165.6)+(3.095343+(0.17901-1.783368))+0--83.5--0.127755000000005</f>
        <v>1059.6187399999999</v>
      </c>
      <c r="K254" s="3">
        <f>2284.4+(100.5-1365.7)+(4.660176+(0.20502-2.786028))+0--84.6--0.172583999999996</f>
        <v>1106.0517519999999</v>
      </c>
      <c r="L254" s="3">
        <f>2326.7+(122.3-1395.8)+(1.186617+(0.062373-0.711858))+0--85.3--0.0435029999999913</f>
        <v>1139.0806349999998</v>
      </c>
      <c r="M254" s="3">
        <f>2430.4+(119.4-1444.7)+(-2.479008+(-0.121788--1.473594))+0--85.1-0.0868020000000136</f>
        <v>1188.9859960000001</v>
      </c>
      <c r="N254" s="3">
        <f>2729.8+(78.5-1621)+(0+(0-0))+0--84.1-0</f>
        <v>1271.4000000000001</v>
      </c>
      <c r="O254" s="3">
        <f>2992.4+(74-1805.6)+(-7.63062+(-0.1887--4.60428))+0--83.1-0.211904999999988</f>
        <v>1340.4730550000002</v>
      </c>
      <c r="P254" s="3">
        <f>2986.4+(74-1777.7)+(-7.61532+(-0.1887--4.533135))+0--81.8-0.208589999999988</f>
        <v>1361.0205250000001</v>
      </c>
      <c r="Q254" s="3">
        <f>2979.1+(72-1762.2)+(-4.558023+(-0.11016--2.696166))+0--80.6-0.123318000000005</f>
        <v>1367.4046649999998</v>
      </c>
      <c r="R254" s="3">
        <f>2779.5+(72-1582.4)+(-2.83509+(-0.07344--1.614048))+0--76.6-0.0781320000000122</f>
        <v>1344.3273859999997</v>
      </c>
      <c r="S254" s="3">
        <f>2685+(73-1565.4)+(-1.36935+(-0.03723--0.798354))+0--77-0.0392699999999922</f>
        <v>1268.9525039999999</v>
      </c>
      <c r="T254" s="3">
        <f>2438.1+(80-1296.6)+(-2.486862+(-0.0816--1.322532))+0--77.7-0.0792540000000124</f>
        <v>1297.874816</v>
      </c>
      <c r="U254" s="3">
        <f>2410.3+(100-1267.6)+(-2.458506+(-0.102--1.292952))+0--77.7-0.0792540000000124</f>
        <v>1319.0531920000003</v>
      </c>
      <c r="V254" s="3">
        <f>2614.6+(66-1392.3)+(0+(0-0))+0--78.1-0</f>
        <v>1366.3999999999999</v>
      </c>
      <c r="W254" s="3">
        <f>3057.4+(38-1574)+(4.677822+(0.05814-2.40822))+0--77.6--0.118728000000004</f>
        <v>1601.4464699999999</v>
      </c>
      <c r="X254" s="3">
        <f>3224.3+(20-1684.7)+(-1.644393+(-0.0102--0.859197))+0--78.3-0.0399329999999921</f>
        <v>1637.0646710000001</v>
      </c>
      <c r="Y254" s="3">
        <f>3373.4+(11-1843)+(0+(0-0))+0--79.2-0</f>
        <v>1620.6000000000001</v>
      </c>
      <c r="Z254" s="3">
        <f>3421.5+(10-1933.9)+(-1.744965+(-0.0051--0.986289))+0--79.5-0.0405449999999919</f>
        <v>1576.2956789999998</v>
      </c>
      <c r="AA254" s="3">
        <f>3320.2+(10-1881.7)+(-3.386604+(-0.0102--1.919334))+0--80.6-0.0822120000000128</f>
        <v>1527.5403179999996</v>
      </c>
      <c r="AB254" s="3">
        <f>3228.2+(9-1863.9)+(-4.939146+(-0.01377--2.851767))+0--80.7-0.123471000000005</f>
        <v>1451.7753799999996</v>
      </c>
      <c r="AC254" s="3">
        <f>2918.6+(14-1662.9)+(-7.44243+(-0.0357--4.240395))+0--81-0.206549999999988</f>
        <v>1347.255715</v>
      </c>
      <c r="AD254" s="2">
        <v>1664.2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2716.8+(8.1-1581.1)+(-5.542272+(-0.016524--3.225444))+0--81.3-0.165851999999996</f>
        <v>1222.6007959999999</v>
      </c>
      <c r="G255" s="3">
        <f>2611.1+(8.1-1543.6)+(-1.331661+(-0.004131--0.787236))+0--82.1-0.0418709999999917</f>
        <v>1157.109573</v>
      </c>
      <c r="H255" s="3">
        <f>2529.8+(8-1506.3)+(-5.160792+(-0.01632--3.072852))+0--84.2-0.171767999999996</f>
        <v>1113.4239720000003</v>
      </c>
      <c r="I255" s="3">
        <f>2444.9+(8.1-1444.5)+(1.246899+(0.004131-0.736695))+0--83.2--0.0424319999999916</f>
        <v>1092.2567669999999</v>
      </c>
      <c r="J255" s="3">
        <f>2429.3+(8.2-1433.7)+(-3.716829+(-0.012546--2.193561))+0--84.9-0.129897000000005</f>
        <v>1087.0342890000002</v>
      </c>
      <c r="K255" s="3">
        <f>2363.1+(8-1336)+(3.615543+(0.01224-2.04408))+0--84.2--0.128826000000005</f>
        <v>1121.0125290000001</v>
      </c>
      <c r="L255" s="3">
        <f>2318.7+(8-1261.6)+(-1.182537+(-0.00408--0.643416))+0--84.6-0.0431459999999914</f>
        <v>1149.1136529999999</v>
      </c>
      <c r="M255" s="3">
        <f>2552.4+(8-1428.9)+(6.50862+(0.0204-3.643695))+0--85.3--0.217514999999988</f>
        <v>1219.90284</v>
      </c>
      <c r="N255" s="3">
        <f>2743.7+(9-1509.8)+(6.996435+(0.02295-3.84999))+0--85.3--0.217514999999988</f>
        <v>1331.5869099999998</v>
      </c>
      <c r="O255" s="3">
        <f>2787.3+(9-1472.5)+(1.421523+(0.00459-0.750975))+0--83.4--0.0425339999999915</f>
        <v>1407.9176720000003</v>
      </c>
      <c r="P255" s="3">
        <f>2691.7+(9-1347.4)+(1.372767+(0.00459-0.687174))+0--80.5--0.0410549999999918</f>
        <v>1434.5312379999996</v>
      </c>
      <c r="Q255" s="3">
        <f>2810.4+(9-1477.5)+(-2.866608+(-0.00918--1.50705))+0--79.4-0.0809880000000127</f>
        <v>1419.8502740000004</v>
      </c>
      <c r="R255" s="3">
        <f>3005.8+(8-1699.7)+(-9.197748+(-0.02448--5.201082))+0--78.5-0.240210000000009</f>
        <v>1388.3386440000002</v>
      </c>
      <c r="S255" s="3">
        <f>3013.3+(9-1685.6)+(-7.683915+(-0.02295--4.29828))+0--77.8-0.198389999999989</f>
        <v>1410.8930250000003</v>
      </c>
      <c r="T255" s="3">
        <f>2872+(9-1650.1)+(1.46472+(0.00459-0.841551))+0--77.9--0.0397289999999921</f>
        <v>1309.4674880000002</v>
      </c>
      <c r="U255" s="3">
        <f>2835.1+(9-1613.2)+(1.445901+(0.00459-0.822732))+0--78.2--0.0398819999999921</f>
        <v>1309.7676409999999</v>
      </c>
      <c r="V255" s="3">
        <f>2865.7+(10-1617.6)+(-4.384521+(-0.0153--2.474928))+0--78.4-0.119952000000005</f>
        <v>1334.4551549999999</v>
      </c>
      <c r="W255" s="3">
        <f>3043.9+(11-1586.7)+(1.552389+(0.00561-0.809217))+0--78--0.0397799999999921</f>
        <v>1546.988562</v>
      </c>
      <c r="X255" s="3">
        <f>3048.3+(11-1560.1)+(-7.773165+(-0.02805--3.978255))+0--78.9-0.201194999999989</f>
        <v>1574.0758450000003</v>
      </c>
      <c r="Y255" s="3">
        <f>2994.9+(11-1548.9)+(-1.527399+(-0.00561--0.789939))+0--78.7-0.040136999999992</f>
        <v>1534.9167930000001</v>
      </c>
      <c r="Z255" s="3">
        <f>2954.9+(10-1552.5)+(0+(0-0))+0--78.8-0</f>
        <v>1491.2</v>
      </c>
      <c r="AA255" s="3">
        <f>2985.9+(10-1597.1)+(-1.522809+(-0.0051--0.814521))+0--78.7-0.040136999999992</f>
        <v>1476.7464750000004</v>
      </c>
      <c r="AB255" s="3">
        <f>2879.1+(10-1561)+(-7.341705+(-0.0255--3.98055))+0--80.5-0.205274999999988</f>
        <v>1405.0080699999999</v>
      </c>
      <c r="AC255" s="3">
        <f>2813.6+(9-1589.5)+(-2.869872+(-0.00918--1.62129))+0--81.7-0.083334000000013</f>
        <v>1313.4589040000001</v>
      </c>
      <c r="AD255" s="2">
        <v>1595.6999999999998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2730.9+(8-1608.4)+(4.178277+(0.01224-2.460852))+0--80.9--0.123777000000005</f>
        <v>1213.2534420000002</v>
      </c>
      <c r="G256" s="3">
        <f>2604.1+(8-1537.9)+(0+(0-0))+0--80.4-0</f>
        <v>1154.5999999999999</v>
      </c>
      <c r="H256" s="3">
        <f>2607+(8-1585.7)+(1.32957+(0.00408-0.808707))+0--80.7--0.0411569999999918</f>
        <v>1110.5660999999998</v>
      </c>
      <c r="I256" s="3">
        <f>2619.3+(8-1622.1)+(-1.335843+(-0.00408--0.827271))+0--80.2-0.0409019999999919</f>
        <v>1084.8464460000002</v>
      </c>
      <c r="J256" s="3">
        <f>2628.7+(8-1629)+(0+(0-0))+0--81.7-0</f>
        <v>1089.3999999999999</v>
      </c>
      <c r="K256" s="3">
        <f>2470.2+(8-1452.4)+(2.519604+(0.00816-1.481448))+0--83--0.0846600000000132</f>
        <v>1109.9309759999996</v>
      </c>
      <c r="L256" s="3">
        <f>2196.9+(8-1183.6)+(-10.083771+(-0.03672--5.432724))+0--83.5-0.383265000000015</f>
        <v>1099.7289680000004</v>
      </c>
      <c r="M256" s="3">
        <f>2003.6+(8-992.8)+(2.043672+(0.00816-1.012656))+0--83.5--0.0851700000000133</f>
        <v>1103.424346</v>
      </c>
      <c r="N256" s="3">
        <f>2195.6+(8-1110.1)+(-2.239512+(-0.00816--1.132302))+0--82.6-0.0842520000000132</f>
        <v>1174.9003779999998</v>
      </c>
      <c r="O256" s="3">
        <f>2630.7+(8-1465.1)+(2.683314+(0.00816-1.494402))+0--83.2--0.0848640000000133</f>
        <v>1258.0819359999998</v>
      </c>
      <c r="P256" s="3">
        <f>2775.9+(8-1543.7)+(1.415709+(0.00408-0.787287))+0--83.5--0.0425849999999915</f>
        <v>1324.3750869999999</v>
      </c>
      <c r="Q256" s="3">
        <f>2765.7+(8-1530.1)+(-2.821014+(-0.00816--1.560702))+0--83.2-0.0848640000000133</f>
        <v>1325.4466640000001</v>
      </c>
      <c r="R256" s="3">
        <f>2747.7+(8-1544.7)+(-5.605308+(-0.01632--3.151188))+0--83-0.169319999999996</f>
        <v>1291.3602399999997</v>
      </c>
      <c r="S256" s="3">
        <f>2744.3+(8-1569.8)+(-2.799186+(-0.00816--1.601196))+0--82.1-0.0837420000000131</f>
        <v>1263.3101080000001</v>
      </c>
      <c r="T256" s="3">
        <f>2766.1+(8-1617.9)+(-5.642844+(-0.01632--3.300516))+0--81.4-0.166055999999996</f>
        <v>1235.075296</v>
      </c>
      <c r="U256" s="3">
        <f>2771.6+(9-1636.5)+(-2.827032+(-0.00918--1.66923))+0--80.5-0.0821100000000128</f>
        <v>1223.3509079999999</v>
      </c>
      <c r="V256" s="3">
        <f>2799.3+(9-1618.2)+(0+(0-0))+0--80.9-0</f>
        <v>1271.0000000000002</v>
      </c>
      <c r="W256" s="3">
        <f>2873.8+(11-1465.2)+(0+(0-0))+0--80.7-0</f>
        <v>1500.3000000000002</v>
      </c>
      <c r="X256" s="3">
        <f>2890.6+(11-1423.9)+(-5.896824+(-0.02244--2.904756))+0--81-0.165239999999996</f>
        <v>1555.5202519999998</v>
      </c>
      <c r="Y256" s="3">
        <f>2901.2+(11-1473.4)+(4.438836+(0.01683-2.254302))+0--81--0.123930000000005</f>
        <v>1522.1252939999997</v>
      </c>
      <c r="Z256" s="3">
        <f>2909.5+(10-1504.1)+(-4.451535+(-0.0153--2.301273))+0--81-0.123930000000005</f>
        <v>1494.1105080000002</v>
      </c>
      <c r="AA256" s="3">
        <f>2917.1+(10-1564.2)+(-2.975442+(-0.0102--1.595484))+0--82.2-0.0838440000000131</f>
        <v>1443.625998</v>
      </c>
      <c r="AB256" s="3">
        <f>2912.7+(9-1643.7)+(-4.456431+(-0.01377--2.514861))+0--82.7-0.126531000000005</f>
        <v>1358.6181289999997</v>
      </c>
      <c r="AC256" s="3">
        <f>2914.1+(9-1736.8)+(-5.944764+(-0.01836--3.543072))+0--82.5-0.168299999999996</f>
        <v>1266.211648</v>
      </c>
      <c r="AD256" s="2">
        <v>1537.9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2679.8+(8-1590.6)+(-6.83349+(-0.0204--4.05603))+0--82.9-0.211394999999988</f>
        <v>1177.0907450000004</v>
      </c>
      <c r="G257" s="3">
        <f>2608.4+(8-1592.8)+(-5.321136+(-0.01632--3.249312))+0--82.7-0.168707999999996</f>
        <v>1104.0431480000002</v>
      </c>
      <c r="H257" s="3">
        <f>2613.4+(8-1616.5)+(-2.665668+(-0.00816--1.64883))+0--83-0.0846600000000132</f>
        <v>1086.7903420000002</v>
      </c>
      <c r="I257" s="3">
        <f>2525.7+(8-1542.8)+(-3.864321+(-0.01224--2.360484))+0--83.4-0.127602000000005</f>
        <v>1072.6563209999999</v>
      </c>
      <c r="J257" s="3">
        <f>2558.5+(8-1576.4)+(0+(0-0))+0--84.3-0</f>
        <v>1074.3999999999999</v>
      </c>
      <c r="K257" s="3">
        <f>2563.6+(8-1550)+(3.922308+(0.01224-2.3715))+0--84.7--0.129591000000005</f>
        <v>1107.9926390000001</v>
      </c>
      <c r="L257" s="3">
        <f>2638.7+(8-1535.9)+(-2.691474+(-0.00816--1.566618))+0--84.5-0.0861900000000135</f>
        <v>1194.0807939999997</v>
      </c>
      <c r="M257" s="3">
        <f>2731.8+(8-1583.6)+(6.96609+(0.0204-4.03818))+0--86.1--0.219554999999987</f>
        <v>1245.4678650000001</v>
      </c>
      <c r="N257" s="3">
        <f>2868.5+(8-1594.2)+(2.92587+(0.00816-1.626084))+0--84.3--0.0859860000000134</f>
        <v>1367.9939319999999</v>
      </c>
      <c r="O257" s="3">
        <f>2855.5+(9-1518.9)+(2.91261+(0.00918-1.549278))+0--82.6--0.0842520000000132</f>
        <v>1429.6567639999998</v>
      </c>
      <c r="P257" s="3">
        <f>2837.9+(8-1474.2)+(-1.447329+(-0.00408--0.751842))+0--80.5-0.0410549999999918</f>
        <v>1451.4593780000002</v>
      </c>
      <c r="Q257" s="3">
        <f>2819.9+(8-1462)+(-2.876298+(-0.00816--1.49124))+0--78.6-0.0801720000000125</f>
        <v>1443.0266100000001</v>
      </c>
      <c r="R257" s="3">
        <f>2808.3+(8-1506.6)+(-7.161165+(-0.0204--3.84183))+0--77.7-0.198134999999989</f>
        <v>1383.8621300000002</v>
      </c>
      <c r="S257" s="3">
        <f>2809.4+(7-1505.2)+(1.432794+(0.00357-0.767652))+0--77.9--0.0397289999999921</f>
        <v>1389.8084410000001</v>
      </c>
      <c r="T257" s="3">
        <f>2797.3+(9-1507.3)+(0+(0-0))+0--78.1-0</f>
        <v>1377.1000000000001</v>
      </c>
      <c r="U257" s="3">
        <f>2824.6+(9-1544.9)+(-4.321638+(-0.01377--2.363697))+0--78.2-0.119646000000005</f>
        <v>1364.8086429999998</v>
      </c>
      <c r="V257" s="3">
        <f>2864.6+(9-1551.6)+(1.460946+(0.00459-0.791316))+0--78.1--0.0398309999999921</f>
        <v>1400.8140510000001</v>
      </c>
      <c r="W257" s="3">
        <f>2947.9+(12-1421)+(-3.006858+(-0.01224--1.44942))+0--77.6-0.0791520000000124</f>
        <v>1614.8511699999999</v>
      </c>
      <c r="X257" s="3">
        <f>3073.2+(12-1500.7)+(1.567332+(0.00612-0.765357))+0--78.4--0.039983999999992</f>
        <v>1663.748079</v>
      </c>
      <c r="Y257" s="3">
        <f>3105.8+(11-1562.2)+(-4.751874+(-0.01683--2.390166))+0--79.4-0.121482000000005</f>
        <v>1631.4999800000003</v>
      </c>
      <c r="Z257" s="3">
        <f>3109.3+(10-1607.3)+(-9.514458+(-0.0306--4.918338))+0--79.7-0.243882000000009</f>
        <v>1586.8293980000003</v>
      </c>
      <c r="AA257" s="3">
        <f>3086.7+(10-1596.6)+(-11.019519+(-0.0357--5.699862))+0--78.8-0.281316000000001</f>
        <v>1573.2633269999999</v>
      </c>
      <c r="AB257" s="3">
        <f>2967.9+(9-1557.6)+(-7.568145+(-0.02295--3.97188))+0--77.3-0.197114999999989</f>
        <v>1492.7836700000003</v>
      </c>
      <c r="AC257" s="3">
        <f>2698.2+(9-1431)+(-6.88041+(-0.02295--3.64905))+0--79.1-0.201704999999989</f>
        <v>1351.8439849999997</v>
      </c>
      <c r="AD257" s="2">
        <v>1635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2715.9+(3-1574.5)+(-1.385109+(-0.00153--0.802995))+0--79.8-0.0406979999999919</f>
        <v>1223.575658</v>
      </c>
      <c r="G258" s="3">
        <f>2682+(8.2-1599.6)+(-5.47128+(-0.016728--3.263184))+0--79.9-0.162995999999997</f>
        <v>1168.1121800000003</v>
      </c>
      <c r="H258" s="3">
        <f>2633.8+(8.2-1584.9)+(0+(0-0))+0--79.7-0</f>
        <v>1136.8000000000002</v>
      </c>
      <c r="I258" s="3">
        <f>2455.3+(9.1-1429)+(3.756609+(0.013923-2.18637))+0--80.1--0.122553000000005</f>
        <v>1117.206715</v>
      </c>
      <c r="J258" s="3">
        <f>2430.9+(10.3-1404.7)+(4.959036+(0.021012-2.865588))+0--80.5--0.164219999999996</f>
        <v>1119.2786799999999</v>
      </c>
      <c r="K258" s="3">
        <f>2345.1+(8.1-1276.8)+(-2.392002+(-0.008262--1.302336))+0--82-0.0836400000000131</f>
        <v>1157.2184319999999</v>
      </c>
      <c r="L258" s="3">
        <f>2286.1+(8.1-1143.7)+(0+(0-0))+0--83.3-0</f>
        <v>1233.7999999999997</v>
      </c>
      <c r="M258" s="3">
        <f>2595.2+(8.1-1400.2)+(3.970656+(0.012393-2.142306))+0--83.9--0.128367000000005</f>
        <v>1288.9691099999998</v>
      </c>
      <c r="N258" s="3">
        <f>2742.7+(8.1-1453.9)+(0+(0-0))+0--84.2-0</f>
        <v>1381.0999999999997</v>
      </c>
      <c r="O258" s="3">
        <f>2577.7+(8.1-1234.2)+(0+(0-0))+0--82.8-0</f>
        <v>1434.3999999999996</v>
      </c>
      <c r="P258" s="3">
        <f>2488.8+(8.1-1128.2)+(0+(0-0))+0--80.9-0</f>
        <v>1449.6000000000001</v>
      </c>
      <c r="Q258" s="3">
        <f>2695.6+(8.1-1325)+(-4.124268+(-0.012393--2.02725))+0--79.5-0.121635000000005</f>
        <v>1455.9689539999999</v>
      </c>
      <c r="R258" s="3">
        <f>2742.2+(8.1-1407.4)+(-6.99261+(-0.020655--3.58887))+0--79-0.201449999999989</f>
        <v>1418.2741549999996</v>
      </c>
      <c r="S258" s="3">
        <f>2731.6+(9.1-1397.8)+(-2.786232+(-0.009282--1.425756))+0--79.7-0.0812940000000127</f>
        <v>1421.1489479999998</v>
      </c>
      <c r="T258" s="3">
        <f>2731.6+(9.1-1407.3)+(-1.393116+(-0.004641--0.717723))+0--79.6-0.0405959999999919</f>
        <v>1412.2793699999997</v>
      </c>
      <c r="U258" s="3">
        <f>2665.7+(9.1-1354.2)+(4.078521+(0.013923-2.071926))+0--79.3--0.121329000000005</f>
        <v>1402.0418469999997</v>
      </c>
      <c r="V258" s="3">
        <f>2707.8+(9.1-1349)+(1.380978+(0.004641-0.68799))+0--79.7--0.0406469999999919</f>
        <v>1448.3382760000002</v>
      </c>
      <c r="W258" s="3">
        <f>2774.7+(11.1-1196.4)+(2.830194+(0.011322-1.220328))+0--79.7--0.0812940000000127</f>
        <v>1670.8024819999998</v>
      </c>
      <c r="X258" s="3">
        <f>2751.5+(11.1-1134.3)+(0+(0-0))+0--80.3-0</f>
        <v>1708.6</v>
      </c>
      <c r="Y258" s="3">
        <f>2755.5+(11.1-1177.4)+(2.81061+(0.011322-1.200948))+0--80.8--0.0824160000000129</f>
        <v>1671.7033999999996</v>
      </c>
      <c r="Z258" s="3">
        <f>2762+(11.1-1243.7)+(0+(0-0))+0--80.6-0</f>
        <v>1609.9999999999998</v>
      </c>
      <c r="AA258" s="3">
        <f>2697.8+(10.1-1217.1)+(-2.751756+(-0.010302--1.241442))+0--80.9-0.0825180000000129</f>
        <v>1570.0968660000003</v>
      </c>
      <c r="AB258" s="3">
        <f>2613.9+(9.1-1214.9)+(-6.665445+(-0.023205--3.097995))+0--81.2-0.207059999999988</f>
        <v>1485.502285</v>
      </c>
      <c r="AC258" s="3">
        <f>2367.6+(9.1-1097.5)+(-6.03738+(-0.023205--2.798625))+0--81.7-0.208334999999988</f>
        <v>1357.4297049999998</v>
      </c>
      <c r="AD258" s="2">
        <v>1675.5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2293.3+(9.5-1150.5)+(-3.508749+(-0.014535--1.760265))+0--81.6-0.124848000000005</f>
        <v>1232.0121330000002</v>
      </c>
      <c r="G259" s="3">
        <f>2270.1+(10.2-1189.3)+(-2.315502+(-0.010404--1.213086))+0--82.3-0.0839460000000131</f>
        <v>1172.1032339999999</v>
      </c>
      <c r="H259" s="3">
        <f>1986.6+(26.1-953.4)+(-2.026332+(-0.026622--0.972468))+0--82.5-0.0841500000000132</f>
        <v>1140.635364</v>
      </c>
      <c r="I259" s="3">
        <f>1797.4+(33.1-793.6)+(-2.750022+(-0.050643--1.214208))+0--83-0.126990000000005</f>
        <v>1118.186553</v>
      </c>
      <c r="J259" s="3">
        <f>1840.3+(32.1-847.8)+(0.938553+(0.016371-0.432378))+0--83.5--0.0425849999999915</f>
        <v>1108.6651309999997</v>
      </c>
      <c r="K259" s="3">
        <f>2048.7+(37.2-1005.9)+(0+(0-0))+0--84.1-0</f>
        <v>1164.0999999999999</v>
      </c>
      <c r="L259" s="3">
        <f>2212.5+(35.2-1088.6)+(-5.641875+(-0.08976--2.77593))+0--85.1-0.217004999999988</f>
        <v>1241.02729</v>
      </c>
      <c r="M259" s="3">
        <f>2395.7+(33.2-1220.1)+(6.109035+(0.08466-3.111255))+0--85--0.216749999999988</f>
        <v>1297.0991899999999</v>
      </c>
      <c r="N259" s="3">
        <f>2596.9+(42.2-1332.2)+(2.648838+(0.043044-1.358844))+0--84.1--0.0857820000000134</f>
        <v>1392.4188200000001</v>
      </c>
      <c r="O259" s="3">
        <f>2589.9+(44.2-1256)+(3.962547+(0.067626-1.92168))+0--81.8--0.125154000000005</f>
        <v>1462.1336470000001</v>
      </c>
      <c r="P259" s="3">
        <f>2567+(35.2-1229.8)+(-6.54585+(-0.08976--3.13599))+0--80.1-0.204254999999988</f>
        <v>1448.7961250000001</v>
      </c>
      <c r="Q259" s="3">
        <f>2548.9+(28.2-1211.3)+(-5.199756+(-0.057528--2.471052))+0--78.5-0.160139999999997</f>
        <v>1441.3536280000003</v>
      </c>
      <c r="R259" s="3">
        <f>2542+(35.2-1251.1)+(-10.37136+(-0.143616--5.104488))+0--78.2-0.319055999999993</f>
        <v>1398.5704560000001</v>
      </c>
      <c r="S259" s="3">
        <f>2468.8+(47.2-1191.3)+(-3.777264+(-0.072216--1.822689))+0--77.6-0.118728000000004</f>
        <v>1400.1544810000003</v>
      </c>
      <c r="T259" s="3">
        <f>2461.3+(55.2-1206.5)+(-1.255263+(-0.028152--0.615315))+0--77.6-0.0395759999999921</f>
        <v>1386.8923240000001</v>
      </c>
      <c r="U259" s="3">
        <f>2462.7+(56.2-1208.5)+(-1.255977+(-0.028662--0.616335))+0--78-0.0397799999999921</f>
        <v>1387.6919159999998</v>
      </c>
      <c r="V259" s="3">
        <f>2482.4+(49.2-1186.2)+(1.266024+(0.025092-0.604962))+0--77.8--0.0396779999999921</f>
        <v>1423.9258320000001</v>
      </c>
      <c r="W259" s="3">
        <f>2553.6+(44.2-1026.7)+(0+(0-0))+0--78.1-0</f>
        <v>1649.1999999999998</v>
      </c>
      <c r="X259" s="3">
        <f>2573+(49.2-1001)+(-6.56115+(-0.12546--2.55255))+0--78.9-0.201194999999989</f>
        <v>1695.7647449999999</v>
      </c>
      <c r="Y259" s="3">
        <f>2511.6+(51.2-976.4)+(-5.123664+(-0.104448--1.991856))+0--78.4-0.159935999999997</f>
        <v>1661.4038080000003</v>
      </c>
      <c r="Z259" s="3">
        <f>2470.7+(56.2-994)+(-2.520114+(-0.057324--1.01388))+0--79-0.0805800000000126</f>
        <v>1610.2558619999998</v>
      </c>
      <c r="AA259" s="3">
        <f>2474.3+(53.2-1036.9)+(-7.571358+(-0.162792--3.172914))+0--79-0.241740000000009</f>
        <v>1564.7970240000002</v>
      </c>
      <c r="AB259" s="3">
        <f>2439.8+(52.2-1090.9)+(-6.22149+(-0.13311--2.781795))+0--79.7-0.203234999999988</f>
        <v>1477.0239600000002</v>
      </c>
      <c r="AC259" s="3">
        <f>2402.7+(46.2-1162.9)+(-3.676131+(-0.070686--1.779237))+0--80.1-0.122553000000005</f>
        <v>1364.0098669999998</v>
      </c>
      <c r="AD259" s="2">
        <v>1692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2316.6+(41-1195.5)+(0+(0-0))+0--81-0</f>
        <v>1243.0999999999999</v>
      </c>
      <c r="G260" s="3">
        <f>2276.3+(37-1220.8)+(-2.321826+(-0.03774--1.245216))+0--81-0.0826200000000129</f>
        <v>1172.3030300000003</v>
      </c>
      <c r="H260" s="3">
        <f>2259.6+(34-1225.4)+(1.152396+(0.01734-0.624954))+0--81--0.0413099999999918</f>
        <v>1149.7860919999998</v>
      </c>
      <c r="I260" s="3">
        <f>2218+(24.1-1201.9)+(3.39354+(0.036873-1.838907))+0--80.9--0.123777000000005</f>
        <v>1122.8152829999999</v>
      </c>
      <c r="J260" s="3">
        <f>2212.1+(35.2-1205.3)+(0+(0-0))+0--79.8-0</f>
        <v>1121.8</v>
      </c>
      <c r="K260" s="3">
        <f>2366.7+(45.1-1327.3)+(2.414034+(0.046002-1.353846))+0--80.8--0.0824160000000129</f>
        <v>1166.4886059999997</v>
      </c>
      <c r="L260" s="3">
        <f>2532.1+(33.1-1391.2)+(-2.582742+(-0.033762--1.419024))+0--82.4-0.0840480000000131</f>
        <v>1255.1184719999999</v>
      </c>
      <c r="M260" s="3">
        <f>2614.8+(25.1-1407.6)+(2.667096+(0.025602-1.435752))+0--82.8--0.0844560000000132</f>
        <v>1316.4414020000002</v>
      </c>
      <c r="N260" s="3">
        <f>2620.8+(23.1-1314.9)+(2.673216+(0.023562-1.341198))+0--81.7--0.083334000000013</f>
        <v>1412.1389139999999</v>
      </c>
      <c r="O260" s="3">
        <f>2748.7+(8.1-1352.1)+(-8.411022+(-0.024786--4.137426))+0--79.6-0.243576000000009</f>
        <v>1479.7580419999997</v>
      </c>
      <c r="P260" s="3">
        <f>2519.8+(16.1-1180.9)+(0+(0-0))+0--76.6-0</f>
        <v>1431.6</v>
      </c>
      <c r="Q260" s="3">
        <f>2819.9+(8.1-1428)+(1.438149+(0.004131-0.72828))+0--75.2--0.0383519999999924</f>
        <v>1475.952352</v>
      </c>
      <c r="R260" s="3">
        <f>2936.2+(3-1572.2)+(-2.994924+(-0.00306--1.603644))+0--74.7-0.0761940000000119</f>
        <v>1440.2294659999998</v>
      </c>
      <c r="S260" s="3">
        <f>2870.9+(4-1515.2)+(-4.392477+(-0.00612--2.318256))+0--73.8-0.112914000000004</f>
        <v>1431.3067449999999</v>
      </c>
      <c r="T260" s="3">
        <f>2836.3+(4-1498.5)+(2.893026+(0.00408-1.52847))+0--73.3--0.0747660000000117</f>
        <v>1416.543402</v>
      </c>
      <c r="U260" s="3">
        <f>2834.9+(4-1491.3)+(-2.891598+(-0.00408--1.521126))+0--73.2-0.0746640000000117</f>
        <v>1419.3507840000002</v>
      </c>
      <c r="V260" s="3">
        <f>2931.1+(4-1553.6)+(-1.494861+(-0.00204--0.792336))+0--73.9-0.0376889999999925</f>
        <v>1454.6577460000001</v>
      </c>
      <c r="W260" s="3">
        <f>3092.7+(6-1513.2)+(1.577277+(0.00306-0.771732))+0--74.7--0.0380969999999924</f>
        <v>1661.0467019999996</v>
      </c>
      <c r="X260" s="3">
        <f>3104.4+(6-1488.3)+(-7.91622+(-0.0153--3.795165))+0--75.4-0.192269999999989</f>
        <v>1693.1713750000001</v>
      </c>
      <c r="Y260" s="3">
        <f>3108.1+(6-1539.8)+(-6.340524+(-0.01224--3.141192))+0--76.6-0.156263999999997</f>
        <v>1647.532164</v>
      </c>
      <c r="Z260" s="3">
        <f>3045.9+(6-1525.3)+(-6.213636+(-0.01224--3.111612))+0--77.9-0.158915999999997</f>
        <v>1601.2268200000001</v>
      </c>
      <c r="AA260" s="3">
        <f>3034.7+(5-1557.9)+(-4.643091+(-0.00765--2.383587))+0--77.9-0.119187000000005</f>
        <v>1557.3136589999999</v>
      </c>
      <c r="AB260" s="3">
        <f>3044.5+(4-1643.7)+(-7.763475+(-0.0102--4.191435))+0--79-0.201449999999989</f>
        <v>1480.01631</v>
      </c>
      <c r="AC260" s="3">
        <f>3022.3+(4-1736.4)+(-6.165492+(-0.00816--3.542256))+0--79.1-0.161363999999997</f>
        <v>1366.20724</v>
      </c>
      <c r="AD260" s="2">
        <v>1726.7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2936.1+(8.1-1764.6)+(-8.984466+(-0.024786--5.399676))+0--79.3-0.242658000000009</f>
        <v>1255.0477659999997</v>
      </c>
      <c r="G261" s="3">
        <f>2803.1+(8.2-1693.9)+(1.429581+(0.004182-0.863889))+0--79.3--0.040442999999992</f>
        <v>1197.3103169999999</v>
      </c>
      <c r="H261" s="3">
        <f>2633.5+(8.1-1565.5)+(0+(0-0))+0--79-0</f>
        <v>1155.0999999999999</v>
      </c>
      <c r="I261" s="3">
        <f>2371.4+(8.2-1321.2)+(0+(0-0))+0--78.8-0</f>
        <v>1137.2</v>
      </c>
      <c r="J261" s="3">
        <f>2249.3+(8.3-1229)+(4.588572+(0.016932-2.50716))+0--79.2--0.161567999999997</f>
        <v>1110.0599120000002</v>
      </c>
      <c r="K261" s="3">
        <f>2553.5+(8.3-1482.8)+(5.20914+(0.016932-3.024912))+0--80.4--0.164015999999996</f>
        <v>1161.7651760000001</v>
      </c>
      <c r="L261" s="3">
        <f>2897.9+(4-1737.2)+(2.955858+(0.00408-1.771944))+0--80.6--0.0822120000000128</f>
        <v>1246.5702059999999</v>
      </c>
      <c r="M261" s="3">
        <f>2996.6+(4-1756.2)+(-3.056532+(-0.00408--1.791324))+0--80.8-0.0824160000000129</f>
        <v>1323.8482959999999</v>
      </c>
      <c r="N261" s="3">
        <f>3025.3+(4-1691.5)+(4.628709+(0.00612-2.587995))+0--80--0.122400000000005</f>
        <v>1419.9692340000001</v>
      </c>
      <c r="O261" s="3">
        <f>3065.2+(4-1665.4)+(1.563252+(0.00204-0.849354))+0--77.6--0.0395759999999921</f>
        <v>1482.1555139999996</v>
      </c>
      <c r="P261" s="3">
        <f>3018.5+(4-1602.1)+(-1.539435+(-0.00204--0.817071))+0--75.4-0.0384539999999924</f>
        <v>1495.0371420000001</v>
      </c>
      <c r="Q261" s="3">
        <f>2942.4+(3-1510.4)+(-6.002496+(-0.00612--3.081216))+0--74.5-0.151979999999997</f>
        <v>1506.4206199999999</v>
      </c>
      <c r="R261" s="3">
        <f>2936.3+(3-1539.3)+(-7.487565+(-0.00765--3.925215))+0--74.3-0.189464999999989</f>
        <v>1470.5405350000003</v>
      </c>
      <c r="S261" s="3">
        <f>2900.6+(4-1512.5)+(-11.834448+(-0.01632--6.171))+0--72.2-0.294575999999994</f>
        <v>1458.325656</v>
      </c>
      <c r="T261" s="3">
        <f>2929.2+(4-1574.7)+(1.493892+(0.00204-0.803097))+0--72.8--0.0371279999999926</f>
        <v>1432.0299629999997</v>
      </c>
      <c r="U261" s="3">
        <f>2987.1+(4-1636.2)+(-4.570263+(-0.00612--2.503386))+0--73-0.111690000000004</f>
        <v>1425.7153129999999</v>
      </c>
      <c r="V261" s="3">
        <f>3070.5+(4-1670.4)+(-6.26382+(-0.00816--3.407616))+0--77.1-0.157283999999997</f>
        <v>1478.1783519999999</v>
      </c>
      <c r="W261" s="3">
        <f>3107.7+(6-1528.8)+(-3.169854+(-0.00612--1.559376))+0--76.3-0.0778260000000122</f>
        <v>1659.5055759999998</v>
      </c>
      <c r="X261" s="3">
        <f>3062.6+(6-1473.8)+(-9.371556+(-0.01836--4.509828))+0--77.4-0.236844000000009</f>
        <v>1667.0830679999999</v>
      </c>
      <c r="Y261" s="3">
        <f>3070.4+(5-1528.7)+(-6.263616+(-0.0102--3.118548))+0--77.1-0.157283999999997</f>
        <v>1620.4874480000001</v>
      </c>
      <c r="Z261" s="3">
        <f>3037.2+(5-1545.7)+(-7.74486+(-0.01275--3.941535))+0--77.2-0.196859999999989</f>
        <v>1569.6870649999998</v>
      </c>
      <c r="AA261" s="3">
        <f>3017.7+(4-1550.6)+(-4.617081+(-0.00612--2.372418))+0--77.2-0.118116000000004</f>
        <v>1545.9311009999999</v>
      </c>
      <c r="AB261" s="3">
        <f>3018.9+(4-1628.1)+(-6.158556+(-0.00816--3.321324))+0--77.5-0.158099999999997</f>
        <v>1469.2965080000001</v>
      </c>
      <c r="AC261" s="3">
        <f>2969.4+(3-1690.3)+(-1.514394+(-0.00153--0.862053))+0--77.3-0.0394229999999922</f>
        <v>1358.7067060000002</v>
      </c>
      <c r="AD261" s="2">
        <v>1710.8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2919.4+(8-1732.8)+(-5.955576+(-0.01632--3.534912))+0--78.3-0.159731999999997</f>
        <v>1270.3032840000001</v>
      </c>
      <c r="G262" s="3">
        <f>2971.8+(8-1847.7)+(-3.031236+(-0.00816--1.884654))+0--78.1-0.0796620000000124</f>
        <v>1208.965596</v>
      </c>
      <c r="H262" s="3">
        <f>2776.5+(8-1689.8)+(-1.416015+(-0.00408--0.861798))+0--78.8-0.040187999999992</f>
        <v>1172.901515</v>
      </c>
      <c r="I262" s="3">
        <f>2518.3+(8-1471.2)+(1.284333+(0.00408-0.750312))+0--79--0.040289999999992</f>
        <v>1134.6783910000001</v>
      </c>
      <c r="J262" s="3">
        <f>2502.8+(8-1455)+(-5.105712+(-0.01632--2.9682))+0--77.9-0.158915999999997</f>
        <v>1131.3872520000002</v>
      </c>
      <c r="K262" s="3">
        <f>2651.7+(8-1565.7)+(2.704734+(0.00816-1.597014))+0--78.6--0.0801720000000125</f>
        <v>1173.7960519999997</v>
      </c>
      <c r="L262" s="3">
        <f>2835.4+(8-1734.9)+(-1.446054+(-0.00408--0.884799))+0--78.4-0.039983999999992</f>
        <v>1186.2946810000001</v>
      </c>
      <c r="M262" s="3">
        <f>2963.6+(8-1793.9)+(-1.511436+(-0.00408--0.914889))+0--79.6-0.0405959999999919</f>
        <v>1256.6587769999996</v>
      </c>
      <c r="N262" s="3">
        <f>2976.5+(9-1683.5)+(4.554045+(0.01377-2.575755))+0--79.3--0.121329000000005</f>
        <v>1383.4133890000001</v>
      </c>
      <c r="O262" s="3">
        <f>3001.2+(9-1644.3)+(1.530612+(0.00459-0.838593))+0--77.6--0.0395759999999921</f>
        <v>1444.2361849999998</v>
      </c>
      <c r="P262" s="3">
        <f>3019.6+(9-1643)+(6.159984+(0.01836-3.35172))+0--77.3--0.157691999999997</f>
        <v>1465.8843159999999</v>
      </c>
      <c r="Q262" s="3">
        <f>3013.8+(9-1642.5)+(-4.611114+(-0.01377--2.513025))+0--80.4-0.123012000000005</f>
        <v>1458.4651290000002</v>
      </c>
      <c r="R262" s="3">
        <f>3004.5+(9-1701.2)+(-9.19377+(-0.02754--5.205672))+0--79.1-0.242046000000009</f>
        <v>1387.1423159999997</v>
      </c>
      <c r="S262" s="3">
        <f>3029.1+(9-1766.7)+(-3.089682+(-0.00918--1.802034))+0--78.9-0.0804780000000126</f>
        <v>1348.9226939999999</v>
      </c>
      <c r="T262" s="3">
        <f>2967.6+(9-1747)+(-1.513476+(-0.00459--0.89097))+0--78.8-0.040187999999992</f>
        <v>1307.732716</v>
      </c>
      <c r="U262" s="3">
        <f>2793.9+(9-1598.4)+(2.849778+(0.00918-1.630368))+0--76.6--0.0781320000000122</f>
        <v>1282.4067219999999</v>
      </c>
      <c r="V262" s="3">
        <f>2802.7+(9-1556.1)+(-5.717508+(-0.01836--3.174444))+0--76-0.155039999999997</f>
        <v>1328.8835359999998</v>
      </c>
      <c r="W262" s="3">
        <f>3017.8+(10-1597.4)+(1.539078+(0.0051-0.814674))+0--77.4--0.0394739999999922</f>
        <v>1508.568978</v>
      </c>
      <c r="X262" s="3">
        <f>3097.4+(10-1641.3)+(-9.478044+(-0.0306--5.022378))+0--78-0.238680000000009</f>
        <v>1539.3750540000001</v>
      </c>
      <c r="Y262" s="3">
        <f>3077.3+(10-1652.9)+(-6.277692+(-0.0204--3.371916))+0--78.8-0.160751999999997</f>
        <v>1510.1130720000001</v>
      </c>
      <c r="Z262" s="3">
        <f>3081+(10-1707.1)+(-6.28524+(-0.0204--3.482484))+0--78.9-0.160955999999997</f>
        <v>1459.8158880000003</v>
      </c>
      <c r="AA262" s="3">
        <f>3083.7+(9-1745.1)+(-3.145374+(-0.00918--1.780002))+0--79.4-0.0809880000000127</f>
        <v>1425.5444600000001</v>
      </c>
      <c r="AB262" s="3">
        <f>2913.3+(9-1620)+(-1.485783+(-0.00459--0.8262))+0--79.3-0.040442999999992</f>
        <v>1380.8953840000001</v>
      </c>
      <c r="AC262" s="3">
        <f>2637.6+(18-1453.1)+(-6.72588+(-0.0459--3.705405))+0--80.3-0.204764999999988</f>
        <v>1279.5288599999999</v>
      </c>
      <c r="AD262" s="2">
        <v>1541.6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2561.7+(38.8-1495.5)+(0+(0-0))+0--80.4-0</f>
        <v>1185.3999999999999</v>
      </c>
      <c r="G263" s="3">
        <f>2478.1+(41.5-1481.4)+(-3.791493+(-0.063495--2.266542))+0--80-0.122400000000005</f>
        <v>1116.4891539999999</v>
      </c>
      <c r="H263" s="3">
        <f>2349.5+(33.5-1381.9)+(0+(0-0))+0--80.4-0</f>
        <v>1081.5</v>
      </c>
      <c r="I263" s="3">
        <f>2490.3+(16.9-1534.8)+(2.540106+(0.017238-1.565496))+0--80.8--0.0824160000000129</f>
        <v>1054.2742640000004</v>
      </c>
      <c r="J263" s="3">
        <f>2454.2+(18.9-1502.6)+(-3.754926+(-0.028917--2.298978))+0--80.5-0.123165000000005</f>
        <v>1049.3919700000001</v>
      </c>
      <c r="K263" s="3">
        <f>2377.9+(24.7-1414.7)+(3.638187+(0.037791-2.164491))+0--81.4--0.124542000000005</f>
        <v>1070.9360290000002</v>
      </c>
      <c r="L263" s="3">
        <f>2433.7+(23.3-1437.5)+(-2.482374+(-0.023766--1.46625))+0--81.5-0.083130000000013</f>
        <v>1099.8769799999998</v>
      </c>
      <c r="M263" s="3">
        <f>2248.6+(27.3-1245.9)+(-6.880716+(-0.083538--3.812454))+0--84-0.25704000000001</f>
        <v>1110.5911599999997</v>
      </c>
      <c r="N263" s="3">
        <f>2115.4+(23.3-1040.9)+(-3.236562+(-0.035649--1.592577))+0--81-0.123930000000005</f>
        <v>1176.9964359999999</v>
      </c>
      <c r="O263" s="3">
        <f>2264.3+(16.3-1119)+(0+(0-0))+0--79.5-0</f>
        <v>1241.1000000000001</v>
      </c>
      <c r="P263" s="3">
        <f>2361.4+(18.3-1162.2)+(0+(0-0))+0--78.1-0</f>
        <v>1295.5999999999999</v>
      </c>
      <c r="Q263" s="3">
        <f>2409.1+(23.3-1192.2)+(-2.457282+(-0.023766--1.216044))+0--76.8-0.0783360000000122</f>
        <v>1315.6566599999996</v>
      </c>
      <c r="R263" s="3">
        <f>2324.3+(29.1-1155.9)+(-4.741572+(-0.059364--2.358036))+0--76.2-0.155447999999997</f>
        <v>1271.1016520000001</v>
      </c>
      <c r="S263" s="3">
        <f>2253+(31-1120.4)+(-1.14903+(-0.01581--0.571404))+0--76.6-0.0390659999999922</f>
        <v>1239.5674979999997</v>
      </c>
      <c r="T263" s="3">
        <f>2154.9+(28.1-1034.8)+(-7.692993+(-0.100317--3.694236))+0--76.8-0.274176000000001</f>
        <v>1220.6267500000004</v>
      </c>
      <c r="U263" s="3">
        <f>2023.1+(14.1-909.8)+(1.031781+(0.007191-0.463998))+0--77--0.0392699999999922</f>
        <v>1205.0142440000002</v>
      </c>
      <c r="V263" s="3">
        <f>2333.1+(12.2-1185.2)+(-1.189881+(-0.006222--0.604452))+0--77.4-0.0394739999999922</f>
        <v>1236.8688750000001</v>
      </c>
      <c r="W263" s="3">
        <f>2571.7+(11.2-1169.1)+(0+(0-0))+0--77.8-0</f>
        <v>1491.6</v>
      </c>
      <c r="X263" s="3">
        <f>2577.6+(11.4-1112.6)+(-3.943728+(-0.017442--1.702278))+0--78.6-0.120258000000005</f>
        <v>1552.62085</v>
      </c>
      <c r="Y263" s="3">
        <f>2584.6+(13.3-1145.2)+(-3.954438+(-0.020349--1.752156))+0--78.6-0.120258000000005</f>
        <v>1528.9571109999997</v>
      </c>
      <c r="Z263" s="3">
        <f>2576+(16.1-1178.5)+(-6.5688+(-0.041055--3.005175))+0--79-0.201449999999989</f>
        <v>1488.79387</v>
      </c>
      <c r="AA263" s="3">
        <f>2479.8+(26.2-1136.6)+(0+(0-0))+0--79.5-0</f>
        <v>1448.9000000000003</v>
      </c>
      <c r="AB263" s="3">
        <f>2378.2+(28.2-1114.6)+(-4.851528+(-0.057528--2.273784))+0--80.4-0.164015999999996</f>
        <v>1369.4007120000001</v>
      </c>
      <c r="AC263" s="3">
        <f>2175+(39.2-1030.1)+(-7.76475+(-0.139944--3.677457))+0--80.6-0.287742000000001</f>
        <v>1260.185021</v>
      </c>
      <c r="AD263" s="2">
        <v>1547.9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1933.4+(42-885.2)+(4.93017+(0.1071-2.25726))+0--80.5--0.205274999999988</f>
        <v>1173.685285</v>
      </c>
      <c r="G264" s="3">
        <f>1908.7+(42-930.4)+(1.946874+(0.04284-0.949008))+0--80.4--0.0820080000000128</f>
        <v>1101.8227140000001</v>
      </c>
      <c r="H264" s="3">
        <f>1839.9+(39-880)+(-2.815047+(-0.05967--1.3464))+0--80.9-0.123777000000005</f>
        <v>1078.1479060000001</v>
      </c>
      <c r="I264" s="3">
        <f>1711.5+(34-770.7)+(0+(0-0))+0--82.1-0</f>
        <v>1056.8999999999999</v>
      </c>
      <c r="J264" s="3">
        <f>1832.8+(41-892.8)+(0.934728+(0.02091-0.455328))+0--82.9--0.0422789999999916</f>
        <v>1064.442589</v>
      </c>
      <c r="K264" s="3">
        <f>2051.7+(43-1066.2)+(4.185468+(0.08772-2.175048))+0--81.7--0.166667999999996</f>
        <v>1112.4648079999999</v>
      </c>
      <c r="L264" s="3">
        <f>2074.3+(44-1000.4)+(3.173679+(0.06732-1.530612))+0--82.7--0.126531000000005</f>
        <v>1202.4369180000003</v>
      </c>
      <c r="M264" s="3">
        <f>2124.8+(32-977.7)+(-3.250944+(-0.04896--1.495881))+0--83.2-0.127296000000005</f>
        <v>1260.3686810000002</v>
      </c>
      <c r="N264" s="3">
        <f>2082.8+(24-845.1)+(1.062228+(0.01224-0.431001))+0--81.2--0.0414119999999918</f>
        <v>1343.5848790000005</v>
      </c>
      <c r="O264" s="3">
        <f>2309.4+(25-1008.5)+(-4.711176+(-0.051--2.05734))+0--80.8-0.164831999999996</f>
        <v>1403.8303320000002</v>
      </c>
      <c r="P264" s="3">
        <f>2357.7+(30-1019.7)+(2.404854+(0.0306-1.040094))+0--76.6--0.0781320000000122</f>
        <v>1446.0734919999998</v>
      </c>
      <c r="Q264" s="3">
        <f>2382.6+(32-1046.2)+(-2.430252+(-0.03264--1.067124))+0--78.9-0.0804780000000126</f>
        <v>1445.8237539999998</v>
      </c>
      <c r="R264" s="3">
        <f>2446.7+(25-1146)+(-3.743451+(-0.03825--1.75338))+0--79.8-0.122094000000005</f>
        <v>1403.3495849999997</v>
      </c>
      <c r="S264" s="3">
        <f>2461.2+(31-1183.4)+(-1.255212+(-0.01581--0.603534))+0--78.9-0.040238999999992</f>
        <v>1386.9922729999998</v>
      </c>
      <c r="T264" s="3">
        <f>2461+(29.1-1191.3)+(1.25511+(0.014841-0.607563))+0--78.4--0.039983999999992</f>
        <v>1377.902372</v>
      </c>
      <c r="U264" s="3">
        <f>2462.7+(29.3-1200.4)+(-1.255977+(-0.014943--0.612204))+0--75.2-0.0383519999999924</f>
        <v>1366.1029319999998</v>
      </c>
      <c r="V264" s="3">
        <f>2519+(21.1-1221.8)+(1.28469+(0.010761-0.623118))+0--74.5--0.0379949999999924</f>
        <v>1393.5103279999998</v>
      </c>
      <c r="W264" s="3">
        <f>2522.2+(18.1-1000.8)+(-2.572644+(-0.018462--1.020816))+0--76.7-0.0782340000000122</f>
        <v>1614.5514759999999</v>
      </c>
      <c r="X264" s="3">
        <f>2482.1+(28.3-928.2)+(-2.531742+(-0.028866--0.946764))+0--80-0.0816000000000128</f>
        <v>1660.5045559999999</v>
      </c>
      <c r="Y264" s="3">
        <f>2467.5+(29.3-956.1)+(-5.0337+(-0.059772--1.950444))+0--80.7-0.164627999999996</f>
        <v>1618.0923439999999</v>
      </c>
      <c r="Z264" s="3">
        <f>2469.1+(26.1-1007.1)+(0+(0-0))+0--81.2-0</f>
        <v>1569.3</v>
      </c>
      <c r="AA264" s="3">
        <f>2467.3+(33.1-1044.7)+(-8.808261+(-0.118167--3.729579))+0--82.1-0.293097000000001</f>
        <v>1532.3100540000003</v>
      </c>
      <c r="AB264" s="3">
        <f>2408+(34-1067.9)+(-2.45616+(-0.03468--1.089258))+0--82.1-0.0837420000000131</f>
        <v>1454.7146759999998</v>
      </c>
      <c r="AC264" s="3">
        <f>2321.5+(37.1-1092.7)+(-4.73586+(-0.075684--2.229108))+0--81.9-0.167075999999996</f>
        <v>1345.0504880000001</v>
      </c>
      <c r="AD264" s="2">
        <v>1659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2332.5+(39-1212.5)+(-4.7583+(-0.07956--2.4735))+0--82.5-0.168299999999996</f>
        <v>1238.9673399999999</v>
      </c>
      <c r="G265" s="3">
        <f>2192.5+(28-1136)+(0+(0-0))+0--82.6-0</f>
        <v>1167.0999999999999</v>
      </c>
      <c r="H265" s="3">
        <f>2124.6+(31-1103.4)+(-4.334184+(-0.06324--2.250936))+0--81.9-0.167075999999996</f>
        <v>1131.7864359999999</v>
      </c>
      <c r="I265" s="3">
        <f>1990.6+(38-1002.4)+(4.060824+(0.07752-2.044896))+0--81.4--0.166055999999996</f>
        <v>1109.859504</v>
      </c>
      <c r="J265" s="3">
        <f>2139.9+(44-1161.3)+(1.091349+(0.02244-0.592263))+0--81.5--0.0415649999999917</f>
        <v>1104.6630910000001</v>
      </c>
      <c r="K265" s="3">
        <f>2181.6+(42-1162.8)+(0+(0-0))+0--80.8-0</f>
        <v>1141.5999999999999</v>
      </c>
      <c r="L265" s="3">
        <f>2438.2+(29-1319.6)+(0+(0-0))+0--79.2-0</f>
        <v>1226.8</v>
      </c>
      <c r="M265" s="3">
        <f>2481.9+(21-1288.5)+(2.531538+(0.02142-1.31427))+0--79.1--0.0806820000000126</f>
        <v>1294.8193699999999</v>
      </c>
      <c r="N265" s="3">
        <f>2361.4+(21-1086.1)+(-2.408628+(-0.02142--1.107822))+0--80.4-0.0820080000000128</f>
        <v>1375.2957660000002</v>
      </c>
      <c r="O265" s="3">
        <f>2469.6+(17-1135.4)+(3.778488+(0.02601-1.737162))+0--81.1--0.124083000000005</f>
        <v>1434.4914189999997</v>
      </c>
      <c r="P265" s="3">
        <f>2494.3+(15-1128.6)+(-1.272093+(-0.00765--0.575586))+0--80.8-0.0412079999999918</f>
        <v>1460.7546350000002</v>
      </c>
      <c r="Q265" s="3">
        <f>2472+(15-1110.8)+(-7.56432+(-0.0459--3.399048))+0--79.7-0.243882000000009</f>
        <v>1451.4449460000001</v>
      </c>
      <c r="R265" s="3">
        <f>2424.4+(16.6-1125.8)+(2.472888+(0.016932-1.148316))+0--78.8--0.0803760000000126</f>
        <v>1395.4218800000001</v>
      </c>
      <c r="S265" s="3">
        <f>2373.9+(17.8-1066.6)+(0+(0-0))+0--79.4-0</f>
        <v>1404.5000000000002</v>
      </c>
      <c r="T265" s="3">
        <f>2414.7+(17.4-1112.6)+(0+(0-0))+0--79.2-0</f>
        <v>1398.7</v>
      </c>
      <c r="U265" s="3">
        <f>2430.9+(22.3-1144.8)+(-2.479518+(-0.022746--1.167696))+0--80.1-0.0817020000000128</f>
        <v>1387.0837300000001</v>
      </c>
      <c r="V265" s="3">
        <f>2417.1+(21.9-1101.6)+(0+(0-0))+0--80.5-0</f>
        <v>1417.9</v>
      </c>
      <c r="W265" s="3">
        <f>2511.2+(13.6-969.4)+(-1.280712+(-0.006936--0.494394))+0--80.6-0.0411059999999918</f>
        <v>1635.1656399999999</v>
      </c>
      <c r="X265" s="3">
        <f>2519.7+(19.3-916.2)+(-6.425235+(-0.049215--2.33631))+0--79.2-0.201959999999989</f>
        <v>1697.6598999999997</v>
      </c>
      <c r="Y265" s="3">
        <f>2441+(28.6-893.9)+(-4.97964+(-0.058344--1.823556))+0--80-0.163199999999997</f>
        <v>1652.3223720000001</v>
      </c>
      <c r="Z265" s="3">
        <f>2480.1+(32-998.6)+(-2.529702+(-0.03264--1.018572))+0--80.7-0.0823140000000129</f>
        <v>1592.5739160000001</v>
      </c>
      <c r="AA265" s="3">
        <f>2598+(40-1153.2)+(-2.64996+(-0.0408--1.176264))+0--82.5-0.0841500000000132</f>
        <v>1565.701354</v>
      </c>
      <c r="AB265" s="3">
        <f>2574.5+(43.7-1218.9)+(-3.938985+(-0.066861--1.864917))+0--83.9-0.128367000000005</f>
        <v>1480.9307040000001</v>
      </c>
      <c r="AC265" s="3">
        <f>2269.8+(60.7-1053.1)+(-5.78799+(-0.154785--2.685405))+0--83.8-0.213689999999988</f>
        <v>1357.7289400000002</v>
      </c>
      <c r="AD265" s="2">
        <v>1703.3999999999999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2043.3+(60-940.4)+(2.084166+(0.0612-0.959208))+0--84--0.0856800000000134</f>
        <v>1248.171838</v>
      </c>
      <c r="G266" s="3">
        <f>1876.1+(56-822.5)+(-1.913622+(-0.05712--0.83895))+0--84.7-0.0863940000000135</f>
        <v>1193.0818140000001</v>
      </c>
      <c r="H266" s="3">
        <f>1671.3+(47-661.1)+(-1.704726+(-0.04794--0.674322))+0--83.2-0.0848640000000133</f>
        <v>1139.2367919999999</v>
      </c>
      <c r="I266" s="3">
        <f>1665.1+(46-681.7)+(2.547603+(0.07038-1.043001))+0--83.5--0.127755000000005</f>
        <v>1114.6027369999999</v>
      </c>
      <c r="J266" s="3">
        <f>1676.8+(42-686.1)+(0.855168+(0.02142-0.349911))+0--82.8--0.0422279999999916</f>
        <v>1116.0689049999999</v>
      </c>
      <c r="K266" s="3">
        <f>2055.5+(42-1033.6)+(-2.09661+(-0.04284--1.054272))+0--82-0.0836400000000131</f>
        <v>1144.731182</v>
      </c>
      <c r="L266" s="3">
        <f>2128.5+(41-1019.2)+(-1.085535+(-0.02091--0.519792))+0--83.8-0.0427379999999915</f>
        <v>1233.4706089999997</v>
      </c>
      <c r="M266" s="3">
        <f>2147.5+(46-974.8)+(-1.095225+(-0.02346--0.497148))+0--85.7-0.0437069999999913</f>
        <v>1303.7347560000001</v>
      </c>
      <c r="N266" s="3">
        <f>2211+(51-967.1)+(1.12761+(0.02601-0.493221))+0--85.5--0.0436049999999913</f>
        <v>1381.1040040000003</v>
      </c>
      <c r="O266" s="3">
        <f>2378.9+(45-1071.5)+(4.852956+(0.0918-2.18586))+0--83.3--0.169931999999996</f>
        <v>1438.6288280000001</v>
      </c>
      <c r="P266" s="3">
        <f>2424.1+(35-1088.3)+(-1.236291+(-0.01785--0.555033))+0--80.9-0.0412589999999918</f>
        <v>1450.9596329999999</v>
      </c>
      <c r="Q266" s="3">
        <f>2411.1+(33-1106.2)+(-2.459322+(-0.03366--1.128324))+0--80.1-0.0817020000000128</f>
        <v>1416.5536399999999</v>
      </c>
      <c r="R266" s="3">
        <f>2496.3+(35.2-1212.8)+(-2.546226+(-0.035904--1.237056))+0--79.6-0.0811920000000127</f>
        <v>1396.873734</v>
      </c>
      <c r="S266" s="3">
        <f>2492.6+(42.8-1207.8)+(1.271226+(0.021828-0.615978))+0--79.7--0.0406469999999919</f>
        <v>1408.0177229999999</v>
      </c>
      <c r="T266" s="3">
        <f>2491.9+(45.6-1207.3)+(3.812607+(0.069768-1.847169))+0--79.9--0.122247000000005</f>
        <v>1412.2574530000002</v>
      </c>
      <c r="U266" s="3">
        <f>2492+(43.6-1225.7)+(1.27092+(0.022236-0.625107))+0--79.7--0.0406469999999919</f>
        <v>1390.3086960000001</v>
      </c>
      <c r="V266" s="3">
        <f>2516+(39.2-1211.7)+(-1.28316+(-0.019992--0.617967))+0--80.4-0.0410039999999918</f>
        <v>1423.1738110000001</v>
      </c>
      <c r="W266" s="3">
        <f>2557.1+(34.4-1026.4)+(-2.608242+(-0.035088--1.046928))+0--80.2-0.0818040000000128</f>
        <v>1643.6217940000001</v>
      </c>
      <c r="X266" s="3">
        <f>2564.3+(36.6-993.6)+(1.307793+(0.018666-0.506736))+0--81.1--0.0413609999999918</f>
        <v>1689.2610840000002</v>
      </c>
      <c r="Y266" s="3">
        <f>2568.3+(41.2-1049)+(-1.309833+(-0.021012--0.53499))+0--83.2-0.0424319999999916</f>
        <v>1642.8617130000002</v>
      </c>
      <c r="Z266" s="3">
        <f>2568.8+(44-1102.9)+(-9.170616+(-0.15708--3.937353))+0--81.3-0.290241000000001</f>
        <v>1585.5194160000001</v>
      </c>
      <c r="AA266" s="3">
        <f>2556+(46.8-1130)+(-6.5178+(-0.11934--2.8815))+0--81.6-0.208079999999988</f>
        <v>1550.4362799999999</v>
      </c>
      <c r="AB266" s="3">
        <f>2435.5+(50.2-1102.4)+(0+(0-0))+0--81.8-0</f>
        <v>1465.1</v>
      </c>
      <c r="AC266" s="3">
        <f>2174.2+(52.6-960.6)+(-3.326526+(-0.080478--1.469718))+0--81.2-0.124236000000005</f>
        <v>1345.3384779999997</v>
      </c>
      <c r="AD266" s="2">
        <v>1670.3999999999999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2112.3+(56-988.2)+(-4.309092+(-0.11424--2.015928))+0--82.9-0.169115999999996</f>
        <v>1260.4234800000002</v>
      </c>
      <c r="G267" s="3">
        <f>1868.8+(47-815.7)+(-1.906176+(-0.04794--0.832014))+0--82.1-0.0837420000000131</f>
        <v>1180.9941559999997</v>
      </c>
      <c r="H267" s="3">
        <f>1833.2+(47-814.1)+(-3.739728+(-0.09588--1.660764))+0--82.9-0.169115999999996</f>
        <v>1146.6560400000001</v>
      </c>
      <c r="I267" s="3">
        <f>1617.5+(34-602.3)+(0.824925+(0.01734-0.307173))+0--85.6--0.0436559999999913</f>
        <v>1135.3787480000001</v>
      </c>
      <c r="J267" s="3">
        <f>1639.7+(36-629.4)+(0+(0-0))+0--84.9-0</f>
        <v>1131.2000000000003</v>
      </c>
      <c r="K267" s="3">
        <f>1715.8+(35-665.9)+(2.625174+(0.05355-1.018827))+0--83.8--0.128214000000005</f>
        <v>1170.4881110000001</v>
      </c>
      <c r="L267" s="3">
        <f>1999.3+(52-884)+(0+(0-0))+0--86-0</f>
        <v>1253.3</v>
      </c>
      <c r="M267" s="3">
        <f>2147.9+(51-961.5)+(2.190858+(0.05202-0.98073))+0--86.4--0.0881280000000138</f>
        <v>1325.1502760000003</v>
      </c>
      <c r="N267" s="3">
        <f>2178.2+(51-889.5)+(2.221764+(0.05202-0.90729))+0--84.8--0.0864960000000135</f>
        <v>1425.95299</v>
      </c>
      <c r="O267" s="3">
        <f>2275+(52-932.6)+(0+(0-0))+0--83-0</f>
        <v>1477.4</v>
      </c>
      <c r="P267" s="3">
        <f>2342+(49-954)+(0+(0-0))+0--82.2-0</f>
        <v>1519.2</v>
      </c>
      <c r="Q267" s="3">
        <f>2479.1+(45-1071.7)+(-3.793023+(-0.06885--1.639701))+0--81.3-0.124389000000005</f>
        <v>1531.3534389999998</v>
      </c>
      <c r="R267" s="3">
        <f>2446.5+(42.5-1102.2)+(-1.247715+(-0.021675--0.562122))+0--80.7-0.0411569999999918</f>
        <v>1466.751575</v>
      </c>
      <c r="S267" s="3">
        <f>2453.4+(42.5-1102)+(-5.004936+(-0.0867--2.24808))+0--79.9-0.162995999999997</f>
        <v>1470.7934480000001</v>
      </c>
      <c r="T267" s="3">
        <f>2484+(41.5-1152.3)+(-1.26684+(-0.021165--0.587673))+0--79.2-0.040391999999992</f>
        <v>1451.6592760000003</v>
      </c>
      <c r="U267" s="3">
        <f>2512.1+(39.8-1188.2)+(2.562342+(0.040596-1.211964))+0--79.2--0.0807840000000126</f>
        <v>1444.3717579999998</v>
      </c>
      <c r="V267" s="3">
        <f>2537.4+(32.3-1211)+(-2.588148+(-0.032946--1.23522))+9.9--79.8-0.0813960000000127</f>
        <v>1446.93273</v>
      </c>
      <c r="W267" s="3">
        <f>2554.9+(33.3-1075.2)+(3.908997+(0.050949-1.645056))+0--80.8--0.123624000000005</f>
        <v>1596.2385140000001</v>
      </c>
      <c r="X267" s="3">
        <f>2557.9+(35.2-1060.8)+(-5.218116+(-0.071808--2.164032))+0--79.3-0.161771999999997</f>
        <v>1608.3123360000002</v>
      </c>
      <c r="Y267" s="3">
        <f>2562.3+(38.5-1114.8)+(-3.920319+(-0.058905--1.705644))+0--78.9-0.120717000000005</f>
        <v>1562.5057030000003</v>
      </c>
      <c r="Z267" s="3">
        <f>2471+(38.2-1084.7)+(2.52042+(0.038964-1.106394))+0--80--0.0816000000000128</f>
        <v>1506.03459</v>
      </c>
      <c r="AA267" s="3">
        <f>2426.1+(43.6-1075.1)+(-6.186555+(-0.11118--2.741505))+0--81.2-0.207059999999988</f>
        <v>1472.0367100000001</v>
      </c>
      <c r="AB267" s="3">
        <f>2409.5+(43.9-1130.4)+(-1.228845+(-0.022389--0.576504))+0--81.3-0.0414629999999918</f>
        <v>1403.583807</v>
      </c>
      <c r="AC267" s="3">
        <f>2331.4+(45.3-1172.9)+(-5.94507+(-0.115515--2.990895))+0--81.4-0.207569999999988</f>
        <v>1281.92274</v>
      </c>
      <c r="AD267" s="2">
        <v>1622.8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2058.3+(49.1-1014.3)+(-3.149199+(-0.075123--1.551879))+0--80.3-0.122859000000005</f>
        <v>1171.6046980000003</v>
      </c>
      <c r="G268" s="3">
        <f>1815.2+(39.2-832.9)+(-2.777256+(-0.059976--1.274337))+0--82.3-0.125919000000005</f>
        <v>1102.1111860000001</v>
      </c>
      <c r="H268" s="3">
        <f>1742.4+(35.2-803.6)+(0.888624+(0.017952-0.409836))+0--84.3--0.0429929999999914</f>
        <v>1058.8397330000003</v>
      </c>
      <c r="I268" s="3">
        <f>1735.9+(28.2-810.7)+(-4.426545+(-0.07191--2.067285))+0--84.1-0.214454999999988</f>
        <v>1034.8543750000001</v>
      </c>
      <c r="J268" s="3">
        <f>1750.9+(36.1-820.9)+(3.571836+(0.073644-1.674636))+0--83.6--0.170543999999996</f>
        <v>1051.8413880000003</v>
      </c>
      <c r="K268" s="3">
        <f>1852.5+(32.1-883.4)+(1.88955+(0.032742-0.901068))+0--84--0.0856800000000134</f>
        <v>1086.3069039999998</v>
      </c>
      <c r="L268" s="3">
        <f>1997.2+(25.1-937.7)+(2.037144+(0.025602-0.956454))+0--84.4--0.0860880000000135</f>
        <v>1170.19238</v>
      </c>
      <c r="M268" s="3">
        <f>2013.5+(30.1-901.3)+(2.05377+(0.030702-0.919326))+0--84.9--0.0865980000000135</f>
        <v>1228.4517440000004</v>
      </c>
      <c r="N268" s="3">
        <f>2073.1+(33.4-870)+(2.114562+(0.034068-0.8874))+0--85.5--0.0872100000000136</f>
        <v>1323.34844</v>
      </c>
      <c r="O268" s="3">
        <f>2114+(31.4-925)+(1.07814+(0.016014-0.47175))+0--85.1--0.0434009999999914</f>
        <v>1306.1658049999999</v>
      </c>
      <c r="P268" s="3">
        <f>2169.4+(32.3-923.6)+(-5.53197+(-0.082365--2.35518))+0--85.2-0.217259999999988</f>
        <v>1359.8235850000001</v>
      </c>
      <c r="Q268" s="3">
        <f>2250.5+(30.3-961.8)+(-3.443265+(-0.046359--1.471554))+0--85.2-0.130356000000005</f>
        <v>1402.0515740000001</v>
      </c>
      <c r="R268" s="3">
        <f>2306.9+(26.3-1085.8)+(-5.882595+(-0.067065--2.76879))+0--84.7-0.215984999999988</f>
        <v>1328.7031450000002</v>
      </c>
      <c r="S268" s="3">
        <f>2467+(29.5-1239)+(-2.51634+(-0.03009--1.26378))+0--83.4-0.0850680000000133</f>
        <v>1339.5322819999999</v>
      </c>
      <c r="T268" s="3">
        <f>2496.1+(33.4-1265.5)+(-1.273011+(-0.017034--0.645405))+0--83.2-0.0424319999999916</f>
        <v>1346.5129280000001</v>
      </c>
      <c r="U268" s="3">
        <f>2495.8+(35.4-1268.7)+(-2.545716+(-0.036108--1.294074))+0--84.6-0.0862920000000135</f>
        <v>1345.7259580000002</v>
      </c>
      <c r="V268" s="3">
        <f>2582.5+(34.1-1330.3)+(-3.951225+(-0.052173--2.035359))+0--84.9-0.129897000000005</f>
        <v>1369.1020639999999</v>
      </c>
      <c r="W268" s="3">
        <f>2844.7+(27.7-1363.5)+(5.803188+(0.056508-2.78154))+0--84.7--0.172787999999996</f>
        <v>1596.850944</v>
      </c>
      <c r="X268" s="3">
        <f>3000.8+(27.7-1450.8)+(-7.65204+(-0.070635--3.69954))+0--85.5-0.218024999999988</f>
        <v>1658.9588400000005</v>
      </c>
      <c r="Y268" s="3">
        <f>2961.1+(26.6-1459.6)+(-3.020322+(-0.027132--1.488792))+0--86.6-0.0883320000000138</f>
        <v>1613.0530059999999</v>
      </c>
      <c r="Z268" s="3">
        <f>2872.1+(32.1-1444.6)+(-2.929542+(-0.032742--1.473492))+0--87-0.0887400000000139</f>
        <v>1545.0224679999999</v>
      </c>
      <c r="AA268" s="3">
        <f>2852.8+(42.8-1466.6)+(-5.819712+(-0.087312--2.991864))+0--86.8-0.177071999999996</f>
        <v>1512.7077680000002</v>
      </c>
      <c r="AB268" s="3">
        <f>2765.5+(42.4-1454.7)+(-5.64162+(-0.086496--2.967588))+0--87.4-0.178295999999996</f>
        <v>1437.6611760000001</v>
      </c>
      <c r="AC268" s="3">
        <f>2342.7+(61.4-1149.6)+(-1.194777+(-0.031314--0.586296))+0--88.1-0.0449309999999911</f>
        <v>1341.915274</v>
      </c>
      <c r="AD268" s="2">
        <v>1647.8000000000002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2094.7+(69.3-1022.6)+(-4.273188+(-0.141372--2.086104))+0--88.7-0.180947999999996</f>
        <v>1227.5905959999998</v>
      </c>
      <c r="G269" s="3">
        <f>2011.6+(70.3-1008.7)+(-2.051832+(-0.071706--1.028874))+0--88.3-0.0900660000000141</f>
        <v>1160.3152699999998</v>
      </c>
      <c r="H269" s="3">
        <f>2002.4+(74.2-1038.3)+(-2.042448+(-0.075684--1.059066))+0--88.4-0.0901680000000141</f>
        <v>1125.5507660000003</v>
      </c>
      <c r="I269" s="3">
        <f>1989.2+(69.2-1030.6)+(-3.043476+(-0.105876--1.576818))+0--88-0.134640000000005</f>
        <v>1114.0928260000003</v>
      </c>
      <c r="J269" s="3">
        <f>1822.4+(64.2-869.2)+(-0.929424+(-0.032742--0.443292))+0--87.4-0.0445739999999911</f>
        <v>1104.2365520000001</v>
      </c>
      <c r="K269" s="3">
        <f>1912.8+(60.1-917.2)+(4.87764+(0.153255-2.33886))+0--87.6--0.223379999999987</f>
        <v>1146.2154149999997</v>
      </c>
      <c r="L269" s="3">
        <f>2061.6+(59.1-1001)+(-8.411328+(-0.241128--4.08408))+0--88.6-0.361487999999992</f>
        <v>1203.3701359999998</v>
      </c>
      <c r="M269" s="3">
        <f>2280.8+(42.1-1143.8)+(1.163208+(0.021471-0.583338))+0--89.5--0.0456449999999909</f>
        <v>1269.2469860000001</v>
      </c>
      <c r="N269" s="3">
        <f>2346.5+(37.1-1103.9)+(3.590145+(0.056763-1.688967))+0--88.3--0.135099000000005</f>
        <v>1370.0930399999997</v>
      </c>
      <c r="O269" s="3">
        <f>2502.9+(25.1-1156.5)+(3.829437+(0.038403-1.769445))+0--86.9--0.132957000000005</f>
        <v>1460.6313520000001</v>
      </c>
      <c r="P269" s="3">
        <f>2490.2+(20.1-1117.5)+(0+(0-0))+0--85.4-0</f>
        <v>1478.1999999999998</v>
      </c>
      <c r="Q269" s="3">
        <f>2480.3+(20.1-1122.3)+(1.264953+(0.010251-0.572373))+0--84.6--0.0431459999999914</f>
        <v>1463.4459770000001</v>
      </c>
      <c r="R269" s="3">
        <f>2466+(16.1-1168.8)+(-5.03064+(-0.032844--2.384352))+0--84.6-0.172583999999996</f>
        <v>1395.048284</v>
      </c>
      <c r="S269" s="3">
        <f>2452.5+(20.1-1192.7)+(0+(0-0))+0--84.5-0</f>
        <v>1364.3999999999999</v>
      </c>
      <c r="T269" s="3">
        <f>2453.6+(18.1-1215)+(3.754008+(0.027693-1.85895))+0--83.5--0.127755000000005</f>
        <v>1342.2505059999999</v>
      </c>
      <c r="U269" s="3">
        <f>2396.2+(24.1-1178.2)+(1.222062+(0.012291-0.600882))+0--84.3--0.0429929999999914</f>
        <v>1327.0764639999998</v>
      </c>
      <c r="V269" s="3">
        <f>2476.1+(23.1-1227.5)+(-1.262811+(-0.011781--0.626025))+0--84.4-0.0430439999999914</f>
        <v>1355.4083889999999</v>
      </c>
      <c r="W269" s="3">
        <f>2761.1+(10.1-1299.5)+(1.408161+(0.005151-0.662745))+0--83.8--0.0427379999999915</f>
        <v>1556.2933049999999</v>
      </c>
      <c r="X269" s="3">
        <f>2800.5+(14.1-1290.2)+(-2.85651+(-0.014382--1.316004))+0--84.6-0.0862920000000135</f>
        <v>1607.3588199999999</v>
      </c>
      <c r="Y269" s="3">
        <f>2801.5+(17.1-1333.5)+(-7.143825+(-0.043605--3.400425))+0--85.1-0.217004999999988</f>
        <v>1566.1959899999999</v>
      </c>
      <c r="Z269" s="3">
        <f>2764.7+(29.1-1344.2)+(-1.409997+(-0.014841--0.685542))+0--85.5-0.0436049999999913</f>
        <v>1534.3170989999996</v>
      </c>
      <c r="AA269" s="3">
        <f>2766.2+(44.1-1379.1)+(-4.232286+(-0.067473--2.110023))+0--85.2-0.130356000000005</f>
        <v>1514.0799079999999</v>
      </c>
      <c r="AB269" s="3">
        <f>2599.1+(51.1-1284.7)+(-2.651082+(-0.052122--1.310394))+0--85.2-0.0869040000000136</f>
        <v>1449.2202859999998</v>
      </c>
      <c r="AC269" s="3">
        <f>2120.9+(73.1-935.1)+(-3.244977+(-0.111843--1.430703))+0--85.8-0.131274000000005</f>
        <v>1342.642609</v>
      </c>
      <c r="AD269" s="2">
        <v>1606.1000000000001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2020+(66.3-916.6)+(-5.151+(-0.169065--2.33733))+0--87.7-0.223634999999987</f>
        <v>1254.1936299999998</v>
      </c>
      <c r="G270" s="3">
        <f>1635.4+(61.3-613.8)+(-2.502162+(-0.093789--0.939114))+0--88.7-0.135711000000005</f>
        <v>1169.8074520000002</v>
      </c>
      <c r="H270" s="3">
        <f>1593.1+(57.3-611.1)+(-4.062405+(-0.146115--1.558305))+0--88.1-0.224654999999987</f>
        <v>1124.5251299999998</v>
      </c>
      <c r="I270" s="3">
        <f>1465.3+(56.2-501.2)+(-1.494606+(-0.057324--0.511224))+0--87.3-0.0890460000000139</f>
        <v>1106.4702479999999</v>
      </c>
      <c r="J270" s="3">
        <f>1440.2+(51.2-474.4)+(0+(0-0))+0--87.2-0</f>
        <v>1104.2</v>
      </c>
      <c r="K270" s="3">
        <f>1597.7+(53.3-604.1)+(-3.259308+(-0.108732--1.232364))+0--87.1-0.177683999999996</f>
        <v>1131.6866399999999</v>
      </c>
      <c r="L270" s="3">
        <f>1653.7+(51.7-615.5)+(-4.216935+(-0.131835--1.569525))+0--87.5-0.223124999999987</f>
        <v>1174.3976300000002</v>
      </c>
      <c r="M270" s="3">
        <f>1599.5+(49.5-578.4)+(-1.63149+(-0.05049--0.589968))+0--88.6-0.0903720000000141</f>
        <v>1158.0176159999996</v>
      </c>
      <c r="N270" s="3">
        <f>1728.6+(55.5-640.5)+(2.644758+(0.084915-0.979965))+0--87.7--0.134181000000005</f>
        <v>1233.1838889999999</v>
      </c>
      <c r="O270" s="3">
        <f>1907.5+(61.3-741.6)+(-1.94565+(-0.062526--0.756432))+0--86.6-0.0883320000000138</f>
        <v>1312.4599239999998</v>
      </c>
      <c r="P270" s="3">
        <f>2048.1+(62.8-833.9)+(-3.133593+(-0.096084--1.275867))+0--85.9-0.131427000000005</f>
        <v>1360.8147630000001</v>
      </c>
      <c r="Q270" s="3">
        <f>2133.8+(67.1-905.5)+(-2.176476+(-0.068442--0.92361))+0--84.5-0.0861900000000135</f>
        <v>1378.4925020000001</v>
      </c>
      <c r="R270" s="3">
        <f>2097.2+(65-900.7)+(-3.208716+(-0.09945--1.378071))+0--83.8-0.128214000000005</f>
        <v>1343.2416909999997</v>
      </c>
      <c r="S270" s="3">
        <f>2046.6+(62-875.4)+(-5.21883+(-0.1581--2.23227))+0--84.6-0.215729999999988</f>
        <v>1314.4396099999999</v>
      </c>
      <c r="T270" s="3">
        <f>2035.8+(67-894.8)+(1.038258+(0.03417-0.456348))+0--84.7--0.0431969999999914</f>
        <v>1293.359277</v>
      </c>
      <c r="U270" s="3">
        <f>1801.4+(53-653.3)+(0+(0-0))+0--85-0</f>
        <v>1286.1000000000001</v>
      </c>
      <c r="V270" s="3">
        <f>1660.5+(75.8-531.5)+(-0.846855+(-0.038658--0.271065))+0--84.8-0.0432479999999914</f>
        <v>1288.9423039999999</v>
      </c>
      <c r="W270" s="3">
        <f>2228.9+(18.8-822.7)+(-1.136739+(-0.009588--0.419577))+0--84.5-0.0430949999999914</f>
        <v>1508.730155</v>
      </c>
      <c r="X270" s="3">
        <f>2402.7+(12-908.1)+(-3.676131+(-0.01836--1.389393))+0--84.6-0.129438000000005</f>
        <v>1588.7654639999998</v>
      </c>
      <c r="Y270" s="3">
        <f>2419.2+(13-944.8)+(-4.935168+(-0.02652--1.927392))+0--84.9-0.173195999999996</f>
        <v>1569.092508</v>
      </c>
      <c r="Z270" s="3">
        <f>2477.4+(25-1036)+(-1.263474+(-0.01275--0.52836))+0--85.2-0.0434519999999914</f>
        <v>1550.8086840000003</v>
      </c>
      <c r="AA270" s="3">
        <f>2458+(46-1076.4)+(-3.76074+(-0.07038--1.646892))+0--86-0.131580000000005</f>
        <v>1511.2841919999998</v>
      </c>
      <c r="AB270" s="3">
        <f>2494.6+(51-1204.6)+(-6.36123+(-0.13005--3.07173))+0--86.3-0.220064999999987</f>
        <v>1423.6603849999999</v>
      </c>
      <c r="AC270" s="3">
        <f>2545.7+(63-1363.6)+(-5.193228+(-0.12852--2.781744))+0--87.4-0.178295999999996</f>
        <v>1329.7817</v>
      </c>
      <c r="AD270" s="2">
        <v>1610.3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2205.4+(73-1127.3)+(-3.374262+(-0.11169--1.724769))+0--88.4-0.135252000000005</f>
        <v>1237.6035650000001</v>
      </c>
      <c r="G271" s="3">
        <f>2111.9+(79-1102.1)+(-2.154138+(-0.08058--1.124142))+0--88.6-0.0903720000000141</f>
        <v>1176.1990519999999</v>
      </c>
      <c r="H271" s="3">
        <f>2116.3+(75-1145.1)+(0+(0-0))+0--89.6-0</f>
        <v>1135.8000000000002</v>
      </c>
      <c r="I271" s="3">
        <f>2108.4+(72-1140.8)+(-1.075284+(-0.03672--0.581808))+0--89-0.045389999999991</f>
        <v>1128.0244140000002</v>
      </c>
      <c r="J271" s="3">
        <f>1981.3+(63-1001.4)+(1.010463+(0.03213-0.510714))+0--89.7--0.0457469999999909</f>
        <v>1133.1776259999999</v>
      </c>
      <c r="K271" s="3">
        <f>2024.7+(63-1005.8)+(0+(0-0))+0--89.7-0</f>
        <v>1171.6000000000001</v>
      </c>
      <c r="L271" s="3">
        <f>2126.3+(61-994.1)+(1.084413+(0.03111-0.506991))+0--89.4--0.0455939999999909</f>
        <v>1283.2541260000003</v>
      </c>
      <c r="M271" s="3">
        <f>2222.4+(71-1042.5)+(1.133424+(0.03621-0.531675))+0--90.3--0.0460529999999908</f>
        <v>1341.884012</v>
      </c>
      <c r="N271" s="3">
        <f>2221.1+(81-949.8)+(3.398283+(0.12393-1.453194))+0--90.1--0.137853000000005</f>
        <v>1444.6068719999998</v>
      </c>
      <c r="O271" s="3">
        <f>2221.9+(81-878.7)+(1.133169+(0.04131-0.448137))+0--88.2--0.0449819999999911</f>
        <v>1513.1713239999999</v>
      </c>
      <c r="P271" s="3">
        <f>2205.7+(81-855.9)+(4.499628+(0.16524-1.746036))+0--87.4--0.178295999999996</f>
        <v>1521.2971279999999</v>
      </c>
      <c r="Q271" s="3">
        <f>2190.8+(80-843.2)+(-3.351924+(-0.1224--1.290096))+0--86.7-0.132651000000005</f>
        <v>1511.9831210000002</v>
      </c>
      <c r="R271" s="3">
        <f>2095.9+(76-819.6)+(-4.275636+(-0.15504--1.671984))+0--85.9-0.175235999999996</f>
        <v>1435.2660720000001</v>
      </c>
      <c r="S271" s="3">
        <f>2020.1+(74.5-729.3)+(0+(0-0))+0--85.9-0</f>
        <v>1451.2</v>
      </c>
      <c r="T271" s="3">
        <f>2050.2+(75.2-763.4)+(0+(0-0))+0--85.5-0</f>
        <v>1447.5</v>
      </c>
      <c r="U271" s="3">
        <f>2093.5+(74.7-819.6)+(-1.067685+(-0.038097--0.417996))+0--85.4-0.0435539999999913</f>
        <v>1433.26866</v>
      </c>
      <c r="V271" s="3">
        <f>2140.7+(68.5-805.5)+(-3.275271+(-0.104805--1.232415))+0--90.2-0.138006000000005</f>
        <v>1491.614333</v>
      </c>
      <c r="W271" s="3">
        <f>2190.5+(147.7-728.1)+(-2.23431+(-0.150654--0.742662))+0--85.4-0.0871080000000136</f>
        <v>1693.7705900000001</v>
      </c>
      <c r="X271" s="3">
        <f>2192.4+(163.9-700.9)+(-4.472496+(-0.334356--1.429836))+0--86.8-0.177071999999996</f>
        <v>1738.6459120000002</v>
      </c>
      <c r="Y271" s="3">
        <f>2195.3+(119.1-697.9)+(-4.478412+(-0.242964--1.423716))+0--86.4-0.176255999999996</f>
        <v>1699.4260840000004</v>
      </c>
      <c r="Z271" s="3">
        <f>2195+(20.9-721.4)+(0+(0-0))+0--87.5-0</f>
        <v>1582</v>
      </c>
      <c r="AA271" s="3">
        <f>2201.7+(6.2-747.9)+(-2.245734+(-0.006324--0.762858))+0--88.7-0.0904740000000141</f>
        <v>1547.120326</v>
      </c>
      <c r="AB271" s="3">
        <f>2203.5+(4-836.2)+(-1.123785+(-0.00204--0.426462))+0--89.1-0.045440999999991</f>
        <v>1459.6551959999999</v>
      </c>
      <c r="AC271" s="3">
        <f>2067.1+(4-815.6)+(-3.162663+(-0.00612--1.247868))+0--88.7-0.135711000000005</f>
        <v>1342.1433740000002</v>
      </c>
      <c r="AD271" s="2">
        <v>1699.2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1760.7+(73-591.4)+(-1.795914+(-0.07446--0.603228))+0--90-0.0918000000000144</f>
        <v>1330.9410540000003</v>
      </c>
      <c r="G272" s="3">
        <f>1540.2+(65-469.6)+(-3.92751+(-0.16575--1.19748))+0--90.7-0.231284999999987</f>
        <v>1223.1729349999998</v>
      </c>
      <c r="H272" s="3">
        <f>1339.2+(78.1-329.3)+(1.365984+(0.079662-0.335886))+0--90.9--0.0927180000000145</f>
        <v>1180.1024780000002</v>
      </c>
      <c r="I272" s="3">
        <f>1309.4+(66.6-309.8)+(0+(0-0))+0--90.1-0</f>
        <v>1156.3</v>
      </c>
      <c r="J272" s="3">
        <f>1316.5+(58-294)+(1.34283+(0.05916-0.29988))+0--90.8--0.0926160000000145</f>
        <v>1172.4947259999999</v>
      </c>
      <c r="K272" s="3">
        <f>1313.1+(66.7-250.2)+(-2.678724+(-0.136068--0.510408))+0--92.2-0.188087999999996</f>
        <v>1219.3075279999998</v>
      </c>
      <c r="L272" s="3">
        <f>1439.6+(75.1-295.5)+(0+(0-0))+0--90.8-0</f>
        <v>1309.9999999999998</v>
      </c>
      <c r="M272" s="3">
        <f>1733.7+(48.1-494.3)+(-1.768374+(-0.049062--0.504186))+0--91.8-0.0936360000000146</f>
        <v>1377.893114</v>
      </c>
      <c r="N272" s="3">
        <f>2120.1+(31-765.3)+(2.162502+(0.03162-0.780606))+0--92.7--0.0945540000000148</f>
        <v>1480.0080700000001</v>
      </c>
      <c r="O272" s="3">
        <f>2263.9+(23-834.7)+(1.154589+(0.01173-0.425697))+0--92--0.0469199999999907</f>
        <v>1544.9875420000001</v>
      </c>
      <c r="P272" s="3">
        <f>2263.9+(16-787.1)+(0+(0-0))+0--89.6-0</f>
        <v>1582.4</v>
      </c>
      <c r="Q272" s="3">
        <f>2260.2+(15-781.4)+(-3.458106+(-0.02295--1.195542))+0--89.5-0.136935000000005</f>
        <v>1580.8775509999998</v>
      </c>
      <c r="R272" s="3">
        <f>2248.6+(6.3-819.3)+(-6.880716+(-0.019278--2.507058))+0--89.1-0.27264600000001</f>
        <v>1520.0344179999997</v>
      </c>
      <c r="S272" s="3">
        <f>2245.6+(7.5-801.6)+(-3.435768+(-0.011475--1.226448))+0--88.8-0.135864000000005</f>
        <v>1537.9433409999999</v>
      </c>
      <c r="T272" s="3">
        <f>2242.9+(10.7-809.1)+(4.575516+(0.021828-1.650564))+0--89--0.181559999999996</f>
        <v>1536.62834</v>
      </c>
      <c r="U272" s="3">
        <f>2222.6+(10.6-790.9)+(-3.400578+(-0.016218--1.210077))+0--88.8-0.135864000000005</f>
        <v>1528.7574169999998</v>
      </c>
      <c r="V272" s="3">
        <f>2287.4+(4-815.5)+(1.166574+(0.00204-0.415905))+0--88.6--0.045185999999991</f>
        <v>1565.2978950000002</v>
      </c>
      <c r="W272" s="3">
        <f>2583.9+(5-944)+(-5.271156+(-0.0102--1.92576))+0--90.3-0.184211999999996</f>
        <v>1731.6601920000001</v>
      </c>
      <c r="X272" s="3">
        <f>2478+(18.5-833.1)+(-2.52756+(-0.01887--0.849762))+0--90.9-0.0927180000000145</f>
        <v>1752.510614</v>
      </c>
      <c r="Y272" s="3">
        <f>2359.3+(13.8-766)+(-4.812972+(-0.028152--1.56264))+0--88.9-0.181355999999996</f>
        <v>1692.5401600000002</v>
      </c>
      <c r="Z272" s="3">
        <f>2136.1+(47.2-628.3)+(1.089411+(0.024072-0.320433))+0--88.8--0.045287999999991</f>
        <v>1644.638338</v>
      </c>
      <c r="AA272" s="3">
        <f>1951.1+(75.3-521.8)+(-3.980244+(-0.153612--1.064472))+0--89.2-0.181967999999996</f>
        <v>1590.548648</v>
      </c>
      <c r="AB272" s="3">
        <f>1842.1+(75.1-494.3)+(-2.818413+(-0.114903--0.756279))+0--91.3-0.139689000000005</f>
        <v>1511.8832739999998</v>
      </c>
      <c r="AC272" s="3">
        <f>1692.1+(68.2-468.2)+(0.862971+(0.034782-0.238782))+0--91--0.0464099999999908</f>
        <v>1383.8053809999999</v>
      </c>
      <c r="AD272" s="2">
        <v>1790.2999999999997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1650.8+(64.2-520.6)+(-4.20954+(-0.16371--1.32753))+0--89.6-0.228479999999987</f>
        <v>1280.7257999999997</v>
      </c>
      <c r="G273" s="3">
        <f>1579.2+(59.3-512.5)+(0+(0-0))+0--89.3-0</f>
        <v>1215.3</v>
      </c>
      <c r="H273" s="3">
        <f>1511.6+(109.5-534.1)+(-0.770916+(-0.055845--0.272391))+0--89.9-0.0458489999999909</f>
        <v>1176.2997809999999</v>
      </c>
      <c r="I273" s="3">
        <f>1494.2+(84.7-503.1)+(1.524084+(0.086394-0.513162))+0--89.3--0.0910860000000142</f>
        <v>1166.2884019999999</v>
      </c>
      <c r="J273" s="3">
        <f>1492.3+(88.9-490.7)+(0.761073+(0.045339-0.250257))+0--87.5--0.0446249999999911</f>
        <v>1178.60078</v>
      </c>
      <c r="K273" s="3">
        <f>1404.7+(75.9-365.4)+(2.865588+(0.154836-0.745416))+0--87.3--0.178091999999996</f>
        <v>1204.9531000000002</v>
      </c>
      <c r="L273" s="3">
        <f>1520.4+(85.6-390)+(-2.326212+(-0.130968--0.5967))+0--89.9-0.137547000000005</f>
        <v>1303.901973</v>
      </c>
      <c r="M273" s="3">
        <f>1704.1+(64.8-481.4)+(0+(0-0))+0--90.1-0</f>
        <v>1377.6</v>
      </c>
      <c r="N273" s="3">
        <f>1988.3+(50-656.9)+(3.042099+(0.0765-1.005057))+0--90.2--0.138006000000005</f>
        <v>1473.8515480000001</v>
      </c>
      <c r="O273" s="3">
        <f>2222.9+(29-808.8)+(3.401037+(0.04437-1.237464))+0--88.6--0.135558000000005</f>
        <v>1534.0435010000001</v>
      </c>
      <c r="P273" s="3">
        <f>2177.9+(8-746.3)+(0+(0-0))+0--88.8-0</f>
        <v>1528.4</v>
      </c>
      <c r="Q273" s="3">
        <f>2167.9+(8-739)+(1.105629+(0.00408-0.37689))+0--89.8--0.0457979999999909</f>
        <v>1527.4786170000002</v>
      </c>
      <c r="R273" s="3">
        <f>2165.8+(8-771.1)+(-5.52279+(-0.0204--1.966305))+0--87-0.221849999999987</f>
        <v>1485.9012650000004</v>
      </c>
      <c r="S273" s="3">
        <f>2194.4+(26.4-800.9)+(-2.238288+(-0.026928--0.816918))+0--86.2-0.0879240000000137</f>
        <v>1504.5637780000002</v>
      </c>
      <c r="T273" s="3">
        <f>2175.5+(31.7-800.2)+(0+(0-0))+0--86.1-0</f>
        <v>1493.1</v>
      </c>
      <c r="U273" s="3">
        <f>2171.7+(32.9-795.7)+(-4.430268+(-0.067116--1.623228))+0--85.7-0.174827999999996</f>
        <v>1491.5510159999997</v>
      </c>
      <c r="V273" s="3">
        <f>2179.5+(35.2-789.4)+(2.22309+(0.035904-0.805188))+0--85.8--0.0875160000000137</f>
        <v>1512.6413220000002</v>
      </c>
      <c r="W273" s="3">
        <f>2277+(34.3-662.1)+(0+(0-0))+0--85.2-0</f>
        <v>1734.3999999999999</v>
      </c>
      <c r="X273" s="3">
        <f>2270.9+(34.7-618.7)+(-6.948954+(-0.106182--1.893222))+0--87.5-0.26775000000001</f>
        <v>1768.9703360000001</v>
      </c>
      <c r="Y273" s="3">
        <f>2301.8+(29.6-679.4)+(-3.521754+(-0.045288--1.039482))+0--88-0.134640000000005</f>
        <v>1737.3378000000002</v>
      </c>
      <c r="Z273" s="3">
        <f>2303.9+(30.2-747.3)+(-2.349978+(-0.030804--0.762246))+0--87.6-0.089352000000014</f>
        <v>1672.6921120000002</v>
      </c>
      <c r="AA273" s="3">
        <f>2305.5+(39.4-806.5)+(-2.35161+(-0.040188--0.82263))+0--87.2-0.0889440000000139</f>
        <v>1623.9418880000001</v>
      </c>
      <c r="AB273" s="3">
        <f>2155.4+(52.6-735.8)+(-4.397016+(-0.107304--1.501032))+0--87.6-0.178703999999996</f>
        <v>1556.6180080000001</v>
      </c>
      <c r="AC273" s="3">
        <f>2044.9+(54-754.7)+(-2.085798+(-0.05508--0.769794))+0--91.1-0.0929220000000145</f>
        <v>1433.8359939999998</v>
      </c>
      <c r="AD273" s="2">
        <v>1788.4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1875+(52.7-854)+(-2.86875+(-0.080631--1.30662))+0--92.1-0.140913000000005</f>
        <v>1164.0163259999999</v>
      </c>
      <c r="G274" s="3">
        <f>1575.3+(62.7-540.1)+(-4.820418+(-0.191862--1.652706))+0--93.4-0.285804000000011</f>
        <v>1187.6546219999998</v>
      </c>
      <c r="H274" s="3">
        <f>1522.2+(75.2-515.5)+(-3.105288+(-0.153408--1.05162))+0--93-0.189719999999996</f>
        <v>1172.5032040000001</v>
      </c>
      <c r="I274" s="3">
        <f>1424.2+(99.6-400.8)+(0+(0-0))+0--93.5-0</f>
        <v>1216.5</v>
      </c>
      <c r="J274" s="3">
        <f>1400.6+(93.9-400.2)+(1.428612+(0.095778-0.408204))+0--92.3--0.0941460000000147</f>
        <v>1187.8103319999998</v>
      </c>
      <c r="K274" s="3">
        <f>1510.1+(73.2-484.6)+(0+(0-0))+0--91.9-0</f>
        <v>1190.5999999999999</v>
      </c>
      <c r="L274" s="3">
        <f>1780.1+(61.2-716.3)+(-1.815702+(-0.062424--0.730626))+0--93.4-0.0952680000000149</f>
        <v>1217.157232</v>
      </c>
      <c r="M274" s="3">
        <f>1905.8+(46.1-873.7)+(1.943916+(0.047022-0.891174))+0--93.5--0.0953700000000149</f>
        <v>1172.8951339999999</v>
      </c>
      <c r="N274" s="3">
        <f>2065.7+(30.6-877.5)+(2.107014+(0.031212-0.89505))+0--89.4--0.0911880000000143</f>
        <v>1309.5343639999999</v>
      </c>
      <c r="O274" s="3">
        <f>2130.5+(25.4-719.9)+(3.259665+(0.038862-1.101447))+0--89.6--0.137088000000005</f>
        <v>1527.9341679999998</v>
      </c>
      <c r="P274" s="3">
        <f>2196.6+(25.1-707)+(0+(0-0))+0--88.6-0</f>
        <v>1603.2999999999997</v>
      </c>
      <c r="Q274" s="3">
        <f>2244+(20.8-703.2)+(1.14444+(0.010608-0.358632))+0--85.3--0.0435029999999913</f>
        <v>1647.7399189999999</v>
      </c>
      <c r="R274" s="3">
        <f>2282.8+(11.6-811.9)+(-6.985368+(-0.035496--2.484414))+0--82.5-0.25245000000001</f>
        <v>1560.2111000000002</v>
      </c>
      <c r="S274" s="3">
        <f>2327.7+(28.8-841.4)+(0+(0-0))+0--83-0</f>
        <v>1598.1</v>
      </c>
      <c r="T274" s="3">
        <f>2298.4+(33.2-860.8)+(0+(0-0))+0--83-0</f>
        <v>1553.8000000000002</v>
      </c>
      <c r="U274" s="3">
        <f>2266+(36.1-831.6)+(0+(0-0))+0--82.5-0</f>
        <v>1553</v>
      </c>
      <c r="V274" s="3">
        <f>2282.9+(25.2-874.9)+(0+(0-0))+0--83.2-0</f>
        <v>1516.4000000000003</v>
      </c>
      <c r="W274" s="3">
        <f>2345.2+(27.4-909.4)+(-1.196052+(-0.013974--0.463794))+0--86.9-0.0443189999999912</f>
        <v>1549.3094489999999</v>
      </c>
      <c r="X274" s="3">
        <f>2335.8+(26.5-884.1)+(-2.382516+(-0.02703--0.901782))+0--87-0.0887400000000139</f>
        <v>1563.6034960000004</v>
      </c>
      <c r="Y274" s="3">
        <f>2359.7+(22.6-939.6)+(0+(0-0))+0--87.3-0</f>
        <v>1529.9999999999998</v>
      </c>
      <c r="Z274" s="3">
        <f>2342.3+(20.2-959.4)+(-1.194573+(-0.010302--0.489294))+0--93.9-0.0478889999999905</f>
        <v>1496.2365300000006</v>
      </c>
      <c r="AA274" s="3">
        <f>2154.4+(30.4-661.5)+(-2.197488+(-0.031008--0.67473))+0--93.1-0.0949620000000148</f>
        <v>1614.751272</v>
      </c>
      <c r="AB274" s="3">
        <f>1961.7+(42.4-574.3)+(1.000467+(0.021624-0.292893))+0--89.2--0.0454919999999909</f>
        <v>1519.7746900000002</v>
      </c>
      <c r="AC274" s="3">
        <f>1844.8+(56.5-540)+(-6.585936+(-0.201705--1.9278))+0--89-0.317730000000001</f>
        <v>1445.122429</v>
      </c>
      <c r="AD274" s="2">
        <v>1834.6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1714.6+(51.2-507.2)+(-4.37223+(-0.13056--1.29336))+0--90.7-0.231284999999987</f>
        <v>1345.8592849999998</v>
      </c>
      <c r="G275" s="3">
        <f>1584.4+(57-463.8)+(-4.04022+(-0.14535--1.18269))+0--91.8-0.234089999999987</f>
        <v>1266.1630300000002</v>
      </c>
      <c r="H275" s="3">
        <f>1515.1+(66.1-430.9)+(0.772701+(0.033711-0.219759))+0--92.4--0.0471239999999906</f>
        <v>1243.3337770000001</v>
      </c>
      <c r="I275" s="3">
        <f>1470.1+(109.9-454.4)+(2.249253+(0.168147-0.695232))+0--93.1--0.142443000000005</f>
        <v>1220.5646109999998</v>
      </c>
      <c r="J275" s="3">
        <f>1523.1+(90-478.3)+(0+(0-0))+0--92.6-0</f>
        <v>1227.3999999999999</v>
      </c>
      <c r="K275" s="3">
        <f>1560+(88.2-475.3)+(3.978+(0.22491-1.212015))+0--92--0.234599999999987</f>
        <v>1268.125495</v>
      </c>
      <c r="L275" s="3">
        <f>1694+(88.4-510.7)+(1.72788+(0.090168-0.520914))+0--92.1--0.0939420000000147</f>
        <v>1365.1910759999998</v>
      </c>
      <c r="M275" s="3">
        <f>2004.5+(47.2-723.1)+(0+(0-0))+0--91.6-0</f>
        <v>1420.1999999999998</v>
      </c>
      <c r="N275" s="3">
        <f>2270.6+(30.6-896.4)+(2.316012+(0.031212-0.914328))+0--111.5--0.113730000000018</f>
        <v>1517.846626</v>
      </c>
      <c r="O275" s="3">
        <f>2271.5+(34.9-814.4)+(2.31693+(0.035598-0.830688))+0--104.9--0.106998000000017</f>
        <v>1598.5288380000002</v>
      </c>
      <c r="P275" s="3">
        <f>2449.1+(30.6-960.1)+(-6.245205+(-0.07803--2.448255))+0--102.9-0.262394999999985</f>
        <v>1618.362625</v>
      </c>
      <c r="Q275" s="3">
        <f>2502.8+(27-1003.7)+(-1.276428+(-0.01377--0.511887))+0--95.8-0.0488579999999903</f>
        <v>1621.0728310000002</v>
      </c>
      <c r="R275" s="3">
        <f>2488+(10.4-1038.9)+(-6.3444+(-0.02652--2.649195))+0--94.4-0.240719999999986</f>
        <v>1549.937555</v>
      </c>
      <c r="S275" s="3">
        <f>2484.4+(25.6-1042.6)+(-2.534088+(-0.026112--1.063452))+0--94-0.095880000000015</f>
        <v>1559.807372</v>
      </c>
      <c r="T275" s="3">
        <f>2480.1+(29.4-1044.1)+(-5.059404+(-0.059976--2.129964))+0--94.5-0.192779999999996</f>
        <v>1556.7178040000001</v>
      </c>
      <c r="U275" s="3">
        <f>2256+(31.7-805)+(3.45168+(0.048501-1.23165))+0--61.1--0.0934830000000035</f>
        <v>1546.162014</v>
      </c>
      <c r="V275" s="3">
        <f>2285+(21.9-831.2)+(0+(0-0))+0--91.3-0</f>
        <v>1566.9999999999998</v>
      </c>
      <c r="W275" s="3">
        <f>2706.6+(25.3-1068.1)+(-1.380366+(-0.012903--0.544731))+0--91.3-0.0465629999999907</f>
        <v>1754.2048990000001</v>
      </c>
      <c r="X275" s="3">
        <f>2775.9+(23.5-1092.9)+(-1.415709+(-0.011985--0.557379))+0--91.8-0.0468179999999907</f>
        <v>1797.382867</v>
      </c>
      <c r="Y275" s="3">
        <f>2715.2+(18.5-1076.4)+(-8.308512+(-0.05661--3.293784))+0--92.2-0.282132000000011</f>
        <v>1744.1465299999998</v>
      </c>
      <c r="Z275" s="3">
        <f>2454.4+(10.3-888.9)+(-2.503488+(-0.010506--0.906678))+0--93.7-0.0955740000000149</f>
        <v>1667.7971100000002</v>
      </c>
      <c r="AA275" s="3">
        <f>2294+(13.2-752.1)+(-5.8497+(-0.03366--1.917855))+0--94.6-0.241229999999986</f>
        <v>1645.4932649999998</v>
      </c>
      <c r="AB275" s="3">
        <f>2097.9+(23-645.4)+(0+(0-0))+0--95.4-0</f>
        <v>1570.9</v>
      </c>
      <c r="AC275" s="3">
        <f>1889.1+(51.6-587.2)+(-2.890323+(-0.078948--0.898416))+0--94.8-0.145044000000005</f>
        <v>1446.0841009999999</v>
      </c>
      <c r="AD275" s="2">
        <v>1677.6000000000001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1773.5+(39.2-564.4)+(-2.713455+(-0.059976--0.863532))+0--96.8-0.148104000000006</f>
        <v>1343.041997</v>
      </c>
      <c r="G276" s="3">
        <f>1753.5+(37.2-607.5)+(0+(0-0))+0--95.8-0</f>
        <v>1279</v>
      </c>
      <c r="H276" s="3">
        <f>1686.5+(34.2-572)+(-0.860115+(-0.017442--0.29172))+0--96.8-0.0493679999999902</f>
        <v>1244.864795</v>
      </c>
      <c r="I276" s="3">
        <f>1623.7+(33.2-528.3)+(0.828087+(0.016932-0.269433))+0--95.8--0.0488579999999903</f>
        <v>1225.0244439999999</v>
      </c>
      <c r="J276" s="3">
        <f>1507.8+(68.6-411.8)+(0.768978+(0.034986-0.210018))+0--96.3--0.0491129999999902</f>
        <v>1261.5430589999999</v>
      </c>
      <c r="K276" s="3">
        <f>1508.8+(88.4-397.3)+(0.769488+(0.045084-0.202623))+0--98.3--0.05013299999999</f>
        <v>1298.8620820000001</v>
      </c>
      <c r="L276" s="3">
        <f>1573.1+(94.2-444.6)+(-3.209124+(-0.192168--0.906984))+0.4--97.9-0.199715999999996</f>
        <v>1318.3059759999999</v>
      </c>
      <c r="M276" s="3">
        <f>1708.5+(117.8-539.3)+(2.614005+(0.180234-0.825129))+0.3--98.3--0.150399000000006</f>
        <v>1387.719509</v>
      </c>
      <c r="N276" s="3">
        <f>1912.2+(100.2-600.6)+(2.925666+(0.153306-0.918918))+0--96.5--0.147645000000006</f>
        <v>1510.6076989999999</v>
      </c>
      <c r="O276" s="3">
        <f>1910.7+(115.5-552.4)+(1.948914+(0.11781-0.563448))+0--95.4--0.0973080000000152</f>
        <v>1570.8005840000003</v>
      </c>
      <c r="P276" s="3">
        <f>1899.5+(105.5-503.4)+(0.968745+(0.053805-0.256734))+0--94.7--0.0482969999999904</f>
        <v>1597.1141130000001</v>
      </c>
      <c r="Q276" s="3">
        <f>1916.1+(57.9-457.1)+(0.977211+(0.029529-0.233121))+0--93.1--0.0474809999999906</f>
        <v>1610.8210999999999</v>
      </c>
      <c r="R276" s="3">
        <f>1968.3+(73.4-599.5)+(-2.007666+(-0.074868--0.61149))+0--91.7-0.0935340000000146</f>
        <v>1532.3354219999999</v>
      </c>
      <c r="S276" s="3">
        <f>1993.7+(56.2-628.5)+(-5.083935+(-0.14331--1.602675))+0--91.4-0.233069999999987</f>
        <v>1508.9423600000002</v>
      </c>
      <c r="T276" s="3">
        <f>1923.9+(83.6-605.6)+(4.905945+(0.21318-1.54428))+0--90.9--0.231794999999987</f>
        <v>1496.6066400000002</v>
      </c>
      <c r="U276" s="3">
        <f>1917.2+(85.5-616.5)+(0+(0-0))+0--90.9-0</f>
        <v>1477.1000000000001</v>
      </c>
      <c r="V276" s="3">
        <f>1923.2+(103.3-597.9)+(0.980832+(0.052683-0.304929))+0--90.9--0.0463589999999908</f>
        <v>1520.2749450000001</v>
      </c>
      <c r="W276" s="3">
        <f>1928+(297.2-637.6)+(-0.98328+(-0.151572--0.325176))+0--91.1-0.0464609999999908</f>
        <v>1677.8438629999998</v>
      </c>
      <c r="X276" s="3">
        <f>1927.5+(319.9-625.5)+(-2.949075+(-0.489447--0.957015))+0--91.7-0.140301000000005</f>
        <v>1710.9781920000003</v>
      </c>
      <c r="Y276" s="3">
        <f>1928.5+(228.7-599.1)+(-5.90121+(-0.699822--1.833246))+0--92.5-0.283050000000011</f>
        <v>1645.549164</v>
      </c>
      <c r="Z276" s="3">
        <f>1930.4+(115-561.6)+(-3.938016+(-0.2346--1.145664))+0--91.7-0.187067999999996</f>
        <v>1572.2859800000003</v>
      </c>
      <c r="AA276" s="3">
        <f>1864.7+(109.4-533.4)+(2.852991+(0.167382-0.816102))+0--92--0.140760000000005</f>
        <v>1535.0450310000001</v>
      </c>
      <c r="AB276" s="3">
        <f>1817.9+(86.3-504.7)+(-1.854258+(-0.088026--0.514794))+0--92.2-0.0940440000000147</f>
        <v>1490.1784660000001</v>
      </c>
      <c r="AC276" s="3">
        <f>1818.8+(59.4-554)+(-2.782764+(-0.090882--0.84762))+0--92.1-0.140913000000005</f>
        <v>1414.1330609999998</v>
      </c>
      <c r="AD276" s="2">
        <v>1721.8999999999999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1522.6+(119.6-383.9)+(-3.106104+(-0.243984--0.783156))+0--93.7-0.191147999999996</f>
        <v>1349.2419200000002</v>
      </c>
      <c r="G277" s="3">
        <f>1239.6+(231.2-281.8)+(1.264392+(0.235824-0.287436))+0--94.5--0.0963900000000151</f>
        <v>1284.80917</v>
      </c>
      <c r="H277" s="3">
        <f>1222.4+(189.4-277.9)+(-1.870272+(-0.289782--0.425187))+0--93.1-0.142443000000005</f>
        <v>1225.1226900000001</v>
      </c>
      <c r="I277" s="3">
        <f>1184.5+(198-286.3)+(-1.20819+(-0.20196--0.292026))+0--94.8-0.0966960000000151</f>
        <v>1189.7851799999999</v>
      </c>
      <c r="J277" s="3">
        <f>1191.8+(193.6-301.6)+(-0.607818+(-0.098736--0.153816))+0--94.7-0.0482969999999904</f>
        <v>1177.8989649999999</v>
      </c>
      <c r="K277" s="3">
        <f>1312.1+(175.3-376.6)+(-3.345855+(-0.447015--0.96033))+0--94.3-0.240464999999986</f>
        <v>1202.0269949999997</v>
      </c>
      <c r="L277" s="3">
        <f>1320.9+(193.8-367.9)+(-2.694636+(-0.395352--0.750516))+0--95.6-0.195023999999996</f>
        <v>1239.8655040000001</v>
      </c>
      <c r="M277" s="3">
        <f>1192+(277.3-316.7)+(-1.21584+(-0.282846--0.323034))+0--95.7-0.0976140000000153</f>
        <v>1247.026734</v>
      </c>
      <c r="N277" s="3">
        <f>1197+(367.2-340.6)+(-0.61047+(-0.187272--0.173706))+0--94.9-0.0483989999999904</f>
        <v>1317.827565</v>
      </c>
      <c r="O277" s="3">
        <f>1270.9+(402.4-350.3)+(1.296318+(0.410448-0.357306))+0--93.6--0.0954720000000149</f>
        <v>1418.0449319999998</v>
      </c>
      <c r="P277" s="3">
        <f>1382.8+(328-339)+(-0.705228+(-0.16728--0.17289))+0--92.1-0.0469709999999907</f>
        <v>1463.1534109999998</v>
      </c>
      <c r="Q277" s="3">
        <f>1597.4+(239-439.3)+(-2.444022+(-0.36567--0.672129))+0--90.8-0.138924000000005</f>
        <v>1485.623513</v>
      </c>
      <c r="R277" s="3">
        <f>1605.2+(210-460.6)+(-2.455956+(-0.3213--0.704718))+0--90.5-0.138465000000005</f>
        <v>1442.888997</v>
      </c>
      <c r="S277" s="3">
        <f>1511.1+(268.2-450.3)+(-3.082644+(-0.547128--0.918612))+0--90-0.183599999999996</f>
        <v>1416.1052399999999</v>
      </c>
      <c r="T277" s="3">
        <f>1514.9+(217.9-435)+(-1.545198+(-0.222258--0.4437))+0--91-0.0928200000000145</f>
        <v>1387.3834240000001</v>
      </c>
      <c r="U277" s="3">
        <f>1752+(137.8-590.6)+(-0.89352+(-0.070278--0.301206))+0--89.8-0.0457979999999909</f>
        <v>1388.29161</v>
      </c>
      <c r="V277" s="3">
        <f>1820.5+(146.3-637)+(-1.85691+(-0.149226--0.64974))+0--88.5-0.0902700000000141</f>
        <v>1416.8533340000001</v>
      </c>
      <c r="W277" s="3">
        <f>2242.6+(128.9-846.7)+(2.287452+(0.131478-0.863634))+0--91.1--0.0929220000000145</f>
        <v>1617.5482179999997</v>
      </c>
      <c r="X277" s="3">
        <f>2408.9+(106.8-912.7)+(0+(0-0))+0--90.9-0</f>
        <v>1693.9</v>
      </c>
      <c r="Y277" s="3">
        <f>2412.7+(94.1-928.9)+(-4.921908+(-0.191964--1.894956))+0--90.9-0.185435999999996</f>
        <v>1665.3956479999999</v>
      </c>
      <c r="Z277" s="3">
        <f>2407.6+(80.3-946.5)+(-2.455752+(-0.081906--0.96543))+0--91.6-0.0934320000000146</f>
        <v>1631.3343399999997</v>
      </c>
      <c r="AA277" s="3">
        <f>2281.9+(93.4-876.1)+(0+(0-0))+0--92.5-0</f>
        <v>1591.7</v>
      </c>
      <c r="AB277" s="3">
        <f>2161.3+(84.7-839.8)+(-4.409052+(-0.172788--1.713192))+0--93.8-0.191351999999996</f>
        <v>1496.9400000000003</v>
      </c>
      <c r="AC277" s="3">
        <f>1908.5+(106.7-689.6)+(-4.866675+(-0.272085--1.75848))+0--93.8-0.239189999999986</f>
        <v>1415.7805299999998</v>
      </c>
      <c r="AD277" s="2">
        <v>1799.8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1745.6+(99.8-616.3)+(1.780512+(0.101796-0.628626))+0--94.5--0.0963900000000151</f>
        <v>1324.9500719999999</v>
      </c>
      <c r="G278" s="3">
        <f>1702+(78.8-618.6)+(-4.3401+(-0.20094--1.57743))+0--93.8-0.239189999999986</f>
        <v>1252.7971999999997</v>
      </c>
      <c r="H278" s="3">
        <f>1591.1+(64.9-533.2)+(0.811461+(0.033099-0.271932))+0--94.9--0.0483989999999904</f>
        <v>1218.3210269999997</v>
      </c>
      <c r="I278" s="3">
        <f>1608+(63-560.3)+(-0.82008+(-0.03213--0.285753))+0--94.8-0.0483479999999904</f>
        <v>1204.8851950000001</v>
      </c>
      <c r="J278" s="3">
        <f>1631.3+(61.3-566.7)+(-0.831963+(-0.031263--0.289017))+0--95-0.0484499999999904</f>
        <v>1220.2773409999998</v>
      </c>
      <c r="K278" s="3">
        <f>1684.5+(74.9-590.8)+(3.43638+(0.152796-1.205232))+0--94.8--0.193391999999996</f>
        <v>1265.9773359999997</v>
      </c>
      <c r="L278" s="3">
        <f>1703.4+(122.9-567.5)+(-1.737468+(-0.125358--0.57885))+0--95.2-0.0971040000000152</f>
        <v>1352.6189200000003</v>
      </c>
      <c r="M278" s="3">
        <f>1856.7+(120.4-646.5)+(0.946917+(0.061404-0.329715))+0--95.2--0.0485519999999903</f>
        <v>1426.5271579999999</v>
      </c>
      <c r="N278" s="3">
        <f>2069.7+(104.7-750.6)+(0+(0-0))+0--95.5-0</f>
        <v>1519.2999999999997</v>
      </c>
      <c r="O278" s="3">
        <f>2210.8+(79.1-779.8)+(0+(0-0))+0--94.3-0</f>
        <v>1604.4000000000003</v>
      </c>
      <c r="P278" s="3">
        <f>2352.5+(49.3-823.4)+(-4.7991+(-0.100572--1.679736))+0--91.5-0.186659999999996</f>
        <v>1666.4934040000001</v>
      </c>
      <c r="Q278" s="3">
        <f>2457.3+(27-873.9)+(-5.012892+(-0.05508--1.782756))+0--89.9-0.183395999999996</f>
        <v>1696.8313880000003</v>
      </c>
      <c r="R278" s="3">
        <f>2448.5+(14.9-920.7)+(-3.746205+(-0.022797--1.408671))+0--89.2-0.136476000000005</f>
        <v>1629.4031929999999</v>
      </c>
      <c r="S278" s="3">
        <f>2204.5+(27.4-721.2)+(-2.24859+(-0.027948--0.735624))+0--89-0.0907800000000142</f>
        <v>1598.0683059999999</v>
      </c>
      <c r="T278" s="3">
        <f>2143.2+(43.2-709.3)+(-2.186064+(-0.044064--0.723486))+0--88.4-0.0901680000000141</f>
        <v>1563.90319</v>
      </c>
      <c r="U278" s="3">
        <f>2049.4+(44.4-629.8)+(0+(0-0))+0--88.7-0</f>
        <v>1552.7</v>
      </c>
      <c r="V278" s="3">
        <f>2186.1+(38.6-745.9)+(-4.459644+(-0.078744--1.521636))+0--86.3-0.176051999999996</f>
        <v>1561.9071959999999</v>
      </c>
      <c r="W278" s="3">
        <f>2350.2+(69.6-761.8)+(2.397204+(0.070992-0.777036))+0--88.5--0.0902700000000141</f>
        <v>1748.28143</v>
      </c>
      <c r="X278" s="3">
        <f>2340.2+(83-749.7)+(-7.161012+(-0.25398--2.294082))+0--89.7-0.27448200000001</f>
        <v>1757.8046079999997</v>
      </c>
      <c r="Y278" s="3">
        <f>2345.8+(62-799.6)+(1.196358+(0.03162-0.407796))+0--90.2--0.0460019999999908</f>
        <v>1699.2661840000003</v>
      </c>
      <c r="Z278" s="3">
        <f>2350.8+(63-843.5)+(-4.795632+(-0.12852--1.72074))+0--90.4-0.184415999999996</f>
        <v>1657.3121720000001</v>
      </c>
      <c r="AA278" s="3">
        <f>2364.9+(62.3-867.3)+(-3.618297+(-0.095319--1.326969))+0--88.9-0.136017000000005</f>
        <v>1646.2773360000001</v>
      </c>
      <c r="AB278" s="3">
        <f>2313.8+(25.5-858.9)+(-1.180038+(-0.013005--0.438039))+0--87.9-0.0448289999999911</f>
        <v>1567.5001670000001</v>
      </c>
      <c r="AC278" s="3">
        <f>1985.2+(74-715)+(-6.074712+(-0.22644--2.1879))+0--88.3-0.27019800000001</f>
        <v>1428.11655</v>
      </c>
      <c r="AD278" s="2">
        <v>1797.4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1809.5+(107-664.6)+(-1.84569+(-0.10914--0.677892))+0--88.9-0.0906780000000142</f>
        <v>1339.4323840000002</v>
      </c>
      <c r="G279" s="3">
        <f>1801.4+(69.3-700.3)+(0.918714+(0.035343-0.357153))+0--88.9--0.045338999999991</f>
        <v>1259.9422430000002</v>
      </c>
      <c r="H279" s="3">
        <f>1795.9+(38.8-689)+(-0.915909+(-0.019788--0.35139))+0--88.8-0.045287999999991</f>
        <v>1233.8704049999999</v>
      </c>
      <c r="I279" s="3">
        <f>1791.7+(39.2-693.1)+(0.913767+(0.019992-0.353481))+0--84.8--0.0432479999999914</f>
        <v>1223.223526</v>
      </c>
      <c r="J279" s="3">
        <f>1797.2+(39.2-703.1)+(-0.916572+(-0.019992--0.358581))+0--86.8-0.0442679999999912</f>
        <v>1219.4777490000001</v>
      </c>
      <c r="K279" s="3">
        <f>1805.3+(42.7-682.3)+(0+(0-0))+0--88.8-0</f>
        <v>1254.5</v>
      </c>
      <c r="L279" s="3">
        <f>1863.6+(85.1-673.3)+(-3.801744+(-0.173604--1.373532))+0--89.9-0.183395999999996</f>
        <v>1362.5147880000002</v>
      </c>
      <c r="M279" s="3">
        <f>1899.9+(109.6-665.5)+(-3.875796+(-0.223584--1.35762))+0--90-0.183599999999996</f>
        <v>1431.0746399999998</v>
      </c>
      <c r="N279" s="3">
        <f>2030.9+(98.9-707)+(3.107277+(0.151317-1.08171))+0--88.9--0.136017000000005</f>
        <v>1514.0129010000003</v>
      </c>
      <c r="O279" s="3">
        <f>2087.1+(124.2-706)+(-3.193263+(-0.190026--1.08018))+0--86.9-0.132957000000005</f>
        <v>1589.7639340000001</v>
      </c>
      <c r="P279" s="3">
        <f>2101.6+(101.9-728)+(0+(0-0))+0--87-0</f>
        <v>1562.5</v>
      </c>
      <c r="Q279" s="3">
        <f>2150.9+(83.8-718.4)+(-5.484795+(-0.21369--1.83192))+0--88-0.224399999999987</f>
        <v>1600.2090350000001</v>
      </c>
      <c r="R279" s="3">
        <f>2142.8+(46.2-789.1)+(-5.46414+(-0.11781--2.012205))+0--88-0.224399999999987</f>
        <v>1484.105855</v>
      </c>
      <c r="S279" s="3">
        <f>2141.7+(49.3-774.3)+(-3.276801+(-0.075429--1.184679))+0--88.6-0.135558000000005</f>
        <v>1502.9968909999998</v>
      </c>
      <c r="T279" s="3">
        <f>2147.6+(37.1-779.1)+(-1.095276+(-0.018921--0.397341))+0--88.6-0.045185999999991</f>
        <v>1493.4379579999998</v>
      </c>
      <c r="U279" s="3">
        <f>2139.9+(29.6-783.6)+(-1.091349+(-0.015096--0.399636))+0--88.4-0.045083999999991</f>
        <v>1473.5481070000001</v>
      </c>
      <c r="V279" s="3">
        <f>2122.8+(68.4-808)+(-1.082628+(-0.034884--0.41208))+0--88.7-0.045236999999991</f>
        <v>1471.1493310000003</v>
      </c>
      <c r="W279" s="3">
        <f>2376.3+(118.7-877.7)+(-2.423826+(-0.121074--0.895254))+0--88.4-0.0901680000000141</f>
        <v>1703.9601860000002</v>
      </c>
      <c r="X279" s="3">
        <f>2463.3+(125.7-905.3)+(-5.025132+(-0.256428--1.846812))+0--89.2-0.181967999999996</f>
        <v>1769.2832840000003</v>
      </c>
      <c r="Y279" s="3">
        <f>2409.6+(108.6-869.6)+(-3.686688+(-0.166158--1.330488))+0--89.9-0.137547000000005</f>
        <v>1735.840095</v>
      </c>
      <c r="Z279" s="3">
        <f>2229.4+(115.8-776.9)+(-3.410982+(-0.177174--1.188657))+0--89.8-0.137394000000005</f>
        <v>1655.5631069999999</v>
      </c>
      <c r="AA279" s="3">
        <f>2180.7+(91.7-731.1)+(-2.224314+(-0.093534--0.745722))+0--90.5-0.0923100000000144</f>
        <v>1630.1355639999997</v>
      </c>
      <c r="AB279" s="3">
        <f>2156.1+(56.3-754.7)+(-5.498055+(-0.143565--1.924485))+0--90.8-0.231539999999987</f>
        <v>1544.5513249999997</v>
      </c>
      <c r="AC279" s="3">
        <f>1982.5+(65.5-718)+(-6.06645+(-0.20043--2.19708))+0--91.2-0.279072000000011</f>
        <v>1416.851128</v>
      </c>
      <c r="AD279" s="2">
        <v>1836.8999999999999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1662.1+(84.6-534.2)+(-3.390684+(-0.172584--1.089768))+0--92.3-0.188291999999996</f>
        <v>1302.1382079999998</v>
      </c>
      <c r="G280" s="3">
        <f>1520.1+(107.8-475)+(-0.775251+(-0.054978--0.24225))+0--91.6-0.0467159999999907</f>
        <v>1243.8653049999998</v>
      </c>
      <c r="H280" s="3">
        <f>1350.9+(104.9-350)+(-3.444795+(-0.267495--0.8925))+0--91.6-0.233579999999987</f>
        <v>1194.34663</v>
      </c>
      <c r="I280" s="3">
        <f>1302.1+(111.5-335.7)+(0.664071+(0.056865-0.171207))+0--92.4--0.0471239999999906</f>
        <v>1170.896853</v>
      </c>
      <c r="J280" s="3">
        <f>1267.6+(108.7-297.9)+(-0.646476+(-0.055437--0.151929))+0--92.9-0.0473789999999906</f>
        <v>1170.7026369999999</v>
      </c>
      <c r="K280" s="3">
        <f>1307.1+(106-314.4)+(0.666621+(0.05406-0.160344))+0--92.7--0.0472769999999906</f>
        <v>1192.0076139999996</v>
      </c>
      <c r="L280" s="3">
        <f>1493.2+(110.6-398)+(-1.523064+(-0.112812--0.40596))+0--94-0.095880000000015</f>
        <v>1298.4742040000001</v>
      </c>
      <c r="M280" s="3">
        <f>1675.5+(120.7-526.7)+(1.70901+(0.123114-0.537234))+0--94.2--0.096084000000015</f>
        <v>1365.090974</v>
      </c>
      <c r="N280" s="3">
        <f>1751.2+(106.2-493.6)+(-3.572448+(-0.216648--1.006944))+0--94.2-0.192167999999996</f>
        <v>1455.02568</v>
      </c>
      <c r="O280" s="3">
        <f>1747.7+(130.5-462.5)+(0.891327+(0.066555-0.235875))+0--91.5--0.0466649999999907</f>
        <v>1507.9686720000002</v>
      </c>
      <c r="P280" s="3">
        <f>1737.9+(143.5-425.5)+(-3.545316+(-0.29274--0.86802))+0--91.3-0.186251999999996</f>
        <v>1544.0437120000001</v>
      </c>
      <c r="Q280" s="3">
        <f>1776.4+(127.1-443.6)+(-3.623856+(-0.259284--0.904944))+0--89.3-0.182171999999996</f>
        <v>1546.039632</v>
      </c>
      <c r="R280" s="3">
        <f>1760.9+(115.3-487.1)+(-2.694177+(-0.176409--0.745263))+0--90-0.137700000000005</f>
        <v>1476.8369770000002</v>
      </c>
      <c r="S280" s="3">
        <f>1746.4+(140.8-501)+(0.890664+(0.071808-0.25551))+0--89.2--0.0454919999999909</f>
        <v>1476.152454</v>
      </c>
      <c r="T280" s="3">
        <f>1815.3+(129.2-552.6)+(-0.925803+(-0.065892--0.281826))+0--86.6-0.0441659999999912</f>
        <v>1477.7459649999998</v>
      </c>
      <c r="U280" s="3">
        <f>1879.4+(104.1-599.1)+(-0.958494+(-0.053091--0.305541))+0--87.4-0.0445739999999911</f>
        <v>1471.0493820000002</v>
      </c>
      <c r="V280" s="3">
        <f>1881.6+(130.6-611.4)+(-2.878848+(-0.199818--0.935442))+0--86.9-0.132957000000005</f>
        <v>1485.4238190000001</v>
      </c>
      <c r="W280" s="3">
        <f>1908.5+(315.6-623.1)+(-1.94667+(-0.321912--0.635562))+0--84.5-0.0861900000000135</f>
        <v>1683.78079</v>
      </c>
      <c r="X280" s="3">
        <f>1909.5+(388.9-631.2)+(-3.89538+(-0.793356--1.287648))+0--84.8-0.172991999999996</f>
        <v>1748.4259199999997</v>
      </c>
      <c r="Y280" s="3">
        <f>1891.7+(327.5-595)+(0+(0-0))+0--84.8-0</f>
        <v>1709</v>
      </c>
      <c r="Z280" s="3">
        <f>1896.8+(241.7-567.3)+(1.934736+(0.246534-0.578646))+0--85.1--0.0868020000000136</f>
        <v>1657.9894260000001</v>
      </c>
      <c r="AA280" s="3">
        <f>1895.5+(182.1-549)+(-2.900115+(-0.278613--0.83997))+0--85.5-0.130815000000005</f>
        <v>1611.6304269999998</v>
      </c>
      <c r="AB280" s="3">
        <f>1780.7+(160.3-535.3)+(-0.908157+(-0.081753--0.273003))+0--85.5-0.0436049999999913</f>
        <v>1490.439488</v>
      </c>
      <c r="AC280" s="3">
        <f>1738.8+(152.7-558.5)+(-4.43394+(-0.389385--1.424175))+0--87.3-0.222614999999987</f>
        <v>1416.6782350000001</v>
      </c>
      <c r="AD280" s="2">
        <v>1751.3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1721.4+(113.9-604.8)+(-3.511656+(-0.232356--1.233792))+0--88.6-0.180743999999996</f>
        <v>1316.409036</v>
      </c>
      <c r="G281" s="3">
        <f>1633.8+(89.6-556.8)+(-2.499714+(-0.137088--0.851904))+0--85.9-0.131427000000005</f>
        <v>1250.5836749999999</v>
      </c>
      <c r="H281" s="3">
        <f>1447.9+(147.5-471.8)+(-1.476858+(-0.15045--0.481236))+0--84.8-0.0864960000000135</f>
        <v>1207.167432</v>
      </c>
      <c r="I281" s="3">
        <f>1309.2+(168.2-382.5)+(0+(0-0))+0--84.9-0</f>
        <v>1179.8000000000002</v>
      </c>
      <c r="J281" s="3">
        <f>1300.8+(169.8-375)+(0+(0-0))+0--85.7-0</f>
        <v>1181.3</v>
      </c>
      <c r="K281" s="3">
        <f>1449.4+(167.7-480.8)+(0+(0-0))+0--88-0</f>
        <v>1224.3000000000002</v>
      </c>
      <c r="L281" s="3">
        <f>1475.7+(174.6-421.7)+(-1.505214+(-0.178092--0.430134))+0--87.3-0.0890460000000139</f>
        <v>1314.5577820000001</v>
      </c>
      <c r="M281" s="3">
        <f>1567.9+(169-463)+(-0.799629+(-0.08619--0.23613))+0--87-0.0443699999999912</f>
        <v>1360.2059409999999</v>
      </c>
      <c r="N281" s="3">
        <f>1835+(120.4-575.7)+(1.8717+(0.122808-0.587214))+0--88.3--0.0900660000000141</f>
        <v>1469.4973599999998</v>
      </c>
      <c r="O281" s="3">
        <f>1990.4+(109.5-643.6)+(2.030208+(0.11169-0.656472))+0--84.2--0.0858840000000134</f>
        <v>1542.0713100000003</v>
      </c>
      <c r="P281" s="3">
        <f>1988+(114.4-615.4)+(3.04164+(0.175032-0.941562))+0--83--0.126990000000005</f>
        <v>1572.4021</v>
      </c>
      <c r="Q281" s="3">
        <f>2022+(118-655.4)+(1.03122+(0.06018-0.334254))+0--81.6--0.0416159999999917</f>
        <v>1566.9987619999997</v>
      </c>
      <c r="R281" s="3">
        <f>2008.6+(117.2-695.3)+(-3.073158+(-0.179316--1.063809))+0--75.1-0.114903000000004</f>
        <v>1503.2964320000001</v>
      </c>
      <c r="S281" s="3">
        <f>2007.8+(112.1-674.7)+(-2.047956+(-0.114342--0.688194))+0--77.5-0.0790500000000124</f>
        <v>1521.1468459999999</v>
      </c>
      <c r="T281" s="3">
        <f>2002.8+(109.9-681)+(-5.10714+(-0.280245--1.73655))+0--77.8-0.198389999999989</f>
        <v>1505.6507749999998</v>
      </c>
      <c r="U281" s="3">
        <f>2008+(94.8-703.8)+(1.02408+(0.048348-0.358938))+0--82.4--0.0420239999999916</f>
        <v>1482.1555140000003</v>
      </c>
      <c r="V281" s="3">
        <f>2019.5+(121-718.7)+(-3.089835+(-0.18513--1.099611))+0--82.4-0.126072000000005</f>
        <v>1501.8985740000001</v>
      </c>
      <c r="W281" s="3">
        <f>2056.1+(209.5-650.1)+(-1.048611+(-0.106845--0.331551))+0--82.5-0.0420749999999916</f>
        <v>1697.13402</v>
      </c>
      <c r="X281" s="3">
        <f>2059.2+(211.9-613.4)+(-4.200768+(-0.432276--1.251336))+0--83-0.169319999999996</f>
        <v>1737.148972</v>
      </c>
      <c r="Y281" s="3">
        <f>2071.2+(137.8-606.4)+(-2.112624+(-0.140556--0.618528))+0--82.7-0.0843540000000132</f>
        <v>1683.5809939999999</v>
      </c>
      <c r="Z281" s="3">
        <f>1919.2+(200.4-577.4)+(0+(0-0))+0--84.3-0</f>
        <v>1626.5</v>
      </c>
      <c r="AA281" s="3">
        <f>1721.7+(252.7-474.6)+(-2.634201+(-0.386631--0.726138))+0--84.1-0.128673000000005</f>
        <v>1581.476633</v>
      </c>
      <c r="AB281" s="3">
        <f>1616.7+(186-402.1)+(-3.298068+(-0.37944--0.820284))+0--84.7-0.172787999999996</f>
        <v>1482.2699879999998</v>
      </c>
      <c r="AC281" s="3">
        <f>1465.7+(171.9-358.7)+(-3.737535+(-0.438345--0.914685))+0--84.8-0.216239999999988</f>
        <v>1360.222565</v>
      </c>
      <c r="AD281" s="2">
        <v>1759.0000000000002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1343.7+(110.8-282.9)+(-2.055861+(-0.169524--0.432837))+0--84.9-0.129897000000005</f>
        <v>1254.5775550000003</v>
      </c>
      <c r="G282" s="3">
        <f>1219.8+(150.1-267.2)+(-1.866294+(-0.229653--0.408816))+0--84.9-0.129897000000005</f>
        <v>1185.7829720000002</v>
      </c>
      <c r="H282" s="3">
        <f>1195+(133.3-252.8)+(-2.4378+(-0.271932--0.515712))+0--84.9-0.173195999999996</f>
        <v>1158.0327840000002</v>
      </c>
      <c r="I282" s="3">
        <f>1177.8+(141.3-260.7)+(0+(0-0))+0--85-0</f>
        <v>1143.4000000000001</v>
      </c>
      <c r="J282" s="3">
        <f>1175.9+(155.4-271.4)+(1.199418+(0.158508-0.276828))+0--84.1--0.0857820000000134</f>
        <v>1145.1668800000002</v>
      </c>
      <c r="K282" s="3">
        <f>1238.4+(159.3-300.1)+(0+(0-0))+0--85.5-0</f>
        <v>1183.1000000000001</v>
      </c>
      <c r="L282" s="3">
        <f>1390.1+(193-385.2)+(0+(0-0))+0--83.9-0</f>
        <v>1281.8</v>
      </c>
      <c r="M282" s="3">
        <f>1608.7+(166.3-481.7)+(0+(0-0))+0--83-0</f>
        <v>1376.3000000000002</v>
      </c>
      <c r="N282" s="3">
        <f>1850.1+(167-599)+(-0.943551+(-0.08517--0.30549))+0--83.9-0.0427889999999915</f>
        <v>1501.23398</v>
      </c>
      <c r="O282" s="3">
        <f>1925.3+(167.9-613.5)+(1.963806+(0.171258-0.62577))+0--85.3--0.0870060000000136</f>
        <v>1566.5962999999997</v>
      </c>
      <c r="P282" s="3">
        <f>1910.9+(179.5-620.4)+(0.974559+(0.091545-0.316404))+0--83.7--0.0426869999999915</f>
        <v>1554.492387</v>
      </c>
      <c r="Q282" s="3">
        <f>2083.8+(99.8-715.5)+(-4.250952+(-0.203592--1.45962))+0--86.2-0.175847999999996</f>
        <v>1551.129228</v>
      </c>
      <c r="R282" s="3">
        <f>2015.9+(141.6-727.5)+(1.028109+(0.072216-0.371025))+0--84.3--0.0429929999999914</f>
        <v>1515.0722929999999</v>
      </c>
      <c r="S282" s="3">
        <f>1975.3+(143.9-719.7)+(1.007403+(0.073389-0.367047))+0--82.9--0.0422789999999916</f>
        <v>1483.1560240000001</v>
      </c>
      <c r="T282" s="3">
        <f>1972.1+(112.8-724.2)+(1.005771+(0.057528-0.369342))+0--82.3--0.0419729999999916</f>
        <v>1443.7359299999998</v>
      </c>
      <c r="U282" s="3">
        <f>1972.8+(112.1-748.2)+(-4.024512+(-0.228684--1.526328))+0--82.9-0.169115999999996</f>
        <v>1416.7040159999999</v>
      </c>
      <c r="V282" s="3">
        <f>2016.7+(97.8-760.1)+(-4.114068+(-0.199512--1.550604))+0--84.6-0.172583999999996</f>
        <v>1436.0644400000001</v>
      </c>
      <c r="W282" s="3">
        <f>2091.6+(140.1-721.3)+(-3.200148+(-0.214353--1.103589))+0--84.6-0.129438000000005</f>
        <v>1592.5596500000001</v>
      </c>
      <c r="X282" s="3">
        <f>2004.5+(164.8-609.7)+(0+(0-0))+0--84.1-0</f>
        <v>1643.6999999999998</v>
      </c>
      <c r="Y282" s="3">
        <f>1978+(151-612.3)+(-1.00878+(-0.07701--0.312273))+0--84.4-0.0430439999999914</f>
        <v>1600.283439</v>
      </c>
      <c r="Z282" s="3">
        <f>1981.3+(122.8-636.9)+(-3.031389+(-0.187884--0.974457))+0--84.7-0.129591000000005</f>
        <v>1549.5255929999998</v>
      </c>
      <c r="AA282" s="3">
        <f>1940.5+(124.4-630.8)+(-5.93793+(-0.380664--1.930248))+0--85.2-0.26071200000001</f>
        <v>1514.650942</v>
      </c>
      <c r="AB282" s="3">
        <f>1714.7+(155.3-518.9)+(-0.874497+(-0.079203--0.264639))+0--85.6-0.0436559999999913</f>
        <v>1435.967283</v>
      </c>
      <c r="AC282" s="3">
        <f>1524.9+(184.5-467.9)+(-3.110796+(-0.37638--0.954516))+0--84.8-0.172991999999996</f>
        <v>1323.5943479999999</v>
      </c>
      <c r="AD282" s="2">
        <v>1622.5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1376.8+(193.9-436.7)+(-2.106504+(-0.296667--0.668151))+0--84.8-0.129744000000005</f>
        <v>1216.9352359999998</v>
      </c>
      <c r="G283" s="3">
        <f>1256.2+(161.3-359)+(-1.921986+(-0.246789--0.54927))+0--85-0.130050000000005</f>
        <v>1141.7504450000001</v>
      </c>
      <c r="H283" s="3">
        <f>1240.8+(145.2-369.7)+(-2.531232+(-0.296208--0.754188))+0--84.5-0.172379999999996</f>
        <v>1098.5543680000001</v>
      </c>
      <c r="I283" s="3">
        <f>1241.7+(123.6-363.8)+(-0.633267+(-0.063036--0.185538))+0--85.9-0.0438089999999913</f>
        <v>1086.8454260000001</v>
      </c>
      <c r="J283" s="3">
        <f>1234.4+(135.3-360.1)+(-1.259088+(-0.138006--0.367302))+0--85.8-0.0875160000000137</f>
        <v>1094.282692</v>
      </c>
      <c r="K283" s="3">
        <f>1234.7+(146.1-339.1)+(1.259394+(0.149022-0.345882))+0--85.4--0.0871080000000136</f>
        <v>1128.249642</v>
      </c>
      <c r="L283" s="3">
        <f>1272.6+(157.3-331.3)+(-1.947078+(-0.240669--0.506889))+0--86.2-0.131886000000005</f>
        <v>1182.9872560000001</v>
      </c>
      <c r="M283" s="3">
        <f>1404.3+(185-431.7)+(0+(0-0))+0--86.9-0</f>
        <v>1244.5</v>
      </c>
      <c r="N283" s="3">
        <f>1422.9+(312.1-473.9)+(1.451358+(0.318342-0.483378))+0--87--0.0887400000000139</f>
        <v>1349.475062</v>
      </c>
      <c r="O283" s="3">
        <f>1579.2+(329.3-559)+(-2.416176+(-0.503829--0.85527))+0--86-0.131580000000005</f>
        <v>1433.3036850000001</v>
      </c>
      <c r="P283" s="3">
        <f>1706.4+(319.1-623.6)+(-1.740528+(-0.325482--0.636072))+0--84.3-0.0859860000000134</f>
        <v>1484.684076</v>
      </c>
      <c r="Q283" s="3">
        <f>1818.1+(239-664.1)+(1.854462+(0.24378-0.677382))+0--82.4--0.0840480000000131</f>
        <v>1476.904908</v>
      </c>
      <c r="R283" s="3">
        <f>1771.2+(207.6-640)+(-6.323184+(-0.741132--2.2848))+0--82.3-0.293811000000001</f>
        <v>1416.0266730000001</v>
      </c>
      <c r="S283" s="3">
        <f>1812.7+(138.3-646.9)+(0+(0-0))+0--80.7-0</f>
        <v>1384.8000000000002</v>
      </c>
      <c r="T283" s="3">
        <f>1816.1+(120.2-673.1)+(-2.778633+(-0.183906--1.029843))+0--83-0.126990000000005</f>
        <v>1344.1403139999998</v>
      </c>
      <c r="U283" s="3">
        <f>1741.4+(128.7-631.9)+(-1.776228+(-0.131274--0.644538))+0--83.5-0.0851700000000133</f>
        <v>1320.351866</v>
      </c>
      <c r="V283" s="3">
        <f>1794.7+(136.2-659.6)+(-0.915297+(-0.069462--0.336396))+0--82.8-0.0422279999999916</f>
        <v>1353.4094089999999</v>
      </c>
      <c r="W283" s="3">
        <f>1896.4+(195.6-621.5)+(2.901492+(0.299268-0.950895))+0--83.7--0.128061000000005</f>
        <v>1556.5779260000002</v>
      </c>
      <c r="X283" s="3">
        <f>1925.2+(232.9-595.1)+(-2.945556+(-0.356337--0.910503))+0--84.2-0.128826000000005</f>
        <v>1644.6797839999999</v>
      </c>
      <c r="Y283" s="3">
        <f>1928.3+(202.1-604.3)+(0+(0-0))+0--84.1-0</f>
        <v>1610.1999999999998</v>
      </c>
      <c r="Z283" s="3">
        <f>1932.6+(188.2-645.5)+(-3.942504+(-0.383928--1.31682))+0--84.7-0.172787999999996</f>
        <v>1556.8175999999999</v>
      </c>
      <c r="AA283" s="3">
        <f>1935.8+(161-647.8)+(-1.974516+(-0.16422--0.660756))+0--85.8-0.0875160000000137</f>
        <v>1533.234504</v>
      </c>
      <c r="AB283" s="3">
        <f>1910.6+(138.3-662.1)+(-2.923218+(-0.211599--1.013013))+0--84.7-0.129591000000005</f>
        <v>1469.2486049999998</v>
      </c>
      <c r="AC283" s="3">
        <f>1681.9+(147.5-535.7)+(0.857769+(0.075225-0.273207))+0--84.3--0.0429929999999914</f>
        <v>1378.7027800000001</v>
      </c>
      <c r="AD283" s="2">
        <v>1654.4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1668.5+(123.6-601.2)+(-2.552805+(-0.189108--0.919836))+0--86.9-0.132957000000005</f>
        <v>1275.8449660000001</v>
      </c>
      <c r="G284" s="3">
        <f>1626.6+(105-620.8)+(-1.659132+(-0.1071--0.633216))+0--87-0.0887400000000139</f>
        <v>1196.578244</v>
      </c>
      <c r="H284" s="3">
        <f>1441.2+(117.3-481.9)+(-0.735012+(-0.059823--0.245769))+0--86.6-0.0441659999999912</f>
        <v>1162.6067680000001</v>
      </c>
      <c r="I284" s="3">
        <f>1308.1+(120.9-376.3)+(-4.669917+(-0.431613--1.343391))+0--86.9-0.310233000000001</f>
        <v>1135.531628</v>
      </c>
      <c r="J284" s="3">
        <f>1222.9+(141.3-315.1)+(0.623679+(0.072063-0.160701))+0--87.2--0.0444719999999912</f>
        <v>1136.8795130000003</v>
      </c>
      <c r="K284" s="3">
        <f>1223.4+(167.7-310.9)+(-1.871802+(-0.256581--0.475677))+0--87.1-0.133263000000005</f>
        <v>1165.5140309999999</v>
      </c>
      <c r="L284" s="3">
        <f>1225+(221.3-325.7)+(-3.12375+(-0.564315--0.830535))+0--87-0.221849999999987</f>
        <v>1204.52062</v>
      </c>
      <c r="M284" s="3">
        <f>1253.1+(174.5-321.3)+(0+(0-0))+0--87.9-0</f>
        <v>1194.2</v>
      </c>
      <c r="N284" s="3">
        <f>1394.8+(259.6-471.2)+(0.711348+(0.132396-0.240312))+0--87.7--0.0447269999999911</f>
        <v>1271.5481590000002</v>
      </c>
      <c r="O284" s="3">
        <f>1468.1+(285.6-501.1)+(0.748731+(0.145656-0.255561))+0--87.3--0.0445229999999911</f>
        <v>1340.583349</v>
      </c>
      <c r="P284" s="3">
        <f>1514.5+(321.7-529.9)+(-1.54479+(-0.328134--0.540498))+0--86.9-0.0886380000000139</f>
        <v>1391.7789360000002</v>
      </c>
      <c r="Q284" s="3">
        <f>1544+(340.8-571.9)+(0+(0-0))+0--85.9-0</f>
        <v>1398.8000000000002</v>
      </c>
      <c r="R284" s="3">
        <f>1502.2+(303.7-526.1)+(-3.064488+(-0.619548--1.073244))+0--85.7-0.174827999999996</f>
        <v>1362.7143800000001</v>
      </c>
      <c r="S284" s="3">
        <f>1354.8+(338.9-448.3)+(-1.381896+(-0.345678--0.457266))+0--85.1-0.0868020000000136</f>
        <v>1329.1428899999999</v>
      </c>
      <c r="T284" s="3">
        <f>1342.4+(338.2-463.5)+(-2.738496+(-0.689928--0.94554))+0--85.9-0.175235999999996</f>
        <v>1300.3418800000002</v>
      </c>
      <c r="U284" s="3">
        <f>1341.8+(297.5-433.9)+(0.684318+(0.151725-0.221289))+0--87--0.0443699999999912</f>
        <v>1293.0591240000001</v>
      </c>
      <c r="V284" s="3">
        <f>1420.9+(282.3-464.9)+(-2.173977+(-0.431919--0.711297))+0--86.7-0.132651000000005</f>
        <v>1322.9727500000004</v>
      </c>
      <c r="W284" s="3">
        <f>1633+(373.5-555.2)+(1.66566+(0.38097-0.566304))+0--85.8--0.0875160000000137</f>
        <v>1538.6678420000001</v>
      </c>
      <c r="X284" s="3">
        <f>1670.8+(452.1-557.4)+(-1.704216+(-0.461142--0.568548))+0--87-0.0887400000000139</f>
        <v>1650.8144500000001</v>
      </c>
      <c r="Y284" s="3">
        <f>1647.9+(447.3-547.1)+(2.521287+(0.684369-0.837063))+0--87.4--0.133722000000005</f>
        <v>1638.0023150000002</v>
      </c>
      <c r="Z284" s="3">
        <f>1598.9+(435.7-520.5)+(2.446317+(0.666621-0.796365))+0--86.5--0.132345000000005</f>
        <v>1603.0489180000002</v>
      </c>
      <c r="AA284" s="3">
        <f>1602.9+(342.9-473.5)+(1.634958+(0.349758-0.48297))+0--86.8--0.0885360000000138</f>
        <v>1560.690282</v>
      </c>
      <c r="AB284" s="3">
        <f>1606+(222-431.7)+(-3.27624+(-0.45288--0.880668))+0--87.8-0.179111999999996</f>
        <v>1481.0724359999999</v>
      </c>
      <c r="AC284" s="3">
        <f>1565.7+(223.7-512.6)+(-4.791042+(-0.684522--1.568556))+0--89.1-0.27264600000001</f>
        <v>1361.7203459999998</v>
      </c>
      <c r="AD284" s="2">
        <v>1658.4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1474.8+(194-483.5)+(0+(0-0))+0--89.6-0</f>
        <v>1274.8999999999999</v>
      </c>
      <c r="G285" s="3">
        <f>1335.2+(190.8-411.2)+(0+(0-0))+0--88.7-0</f>
        <v>1203.5000000000002</v>
      </c>
      <c r="H285" s="3">
        <f>1266.1+(179.6-372.9)+(-0.645711+(-0.091596--0.190179))+0--88.7-0.045236999999991</f>
        <v>1160.907635</v>
      </c>
      <c r="I285" s="3">
        <f>1267.2+(166.3-380.3)+(1.938816+(0.254439-0.581859))+0--89.5--0.136935000000005</f>
        <v>1144.4483310000001</v>
      </c>
      <c r="J285" s="3">
        <f>1265.6+(183.3-389.2)+(2.581824+(0.373932-0.793968))+0--88.6--0.180743999999996</f>
        <v>1150.6425319999996</v>
      </c>
      <c r="K285" s="3">
        <f>1334.9+(180.9-417)+(3.403995+(0.461295-1.06335))+0--87.6--0.223379999999987</f>
        <v>1189.4253200000001</v>
      </c>
      <c r="L285" s="3">
        <f>1368.8+(213.7-378.6)+(-0.698088+(-0.108987--0.193086))+0--90.4-0.0461039999999908</f>
        <v>1293.639907</v>
      </c>
      <c r="M285" s="3">
        <f>1526+(176.4-440.2)+(1.55652+(0.179928-0.449004))+0--91.9--0.0937380000000147</f>
        <v>1355.4811820000002</v>
      </c>
      <c r="N285" s="3">
        <f>1686+(168.5-502.3)+(3.43944+(0.34374-1.024692))+0--91.5--0.186659999999996</f>
        <v>1446.6451480000001</v>
      </c>
      <c r="O285" s="3">
        <f>1811.3+(143.1-527.8)+(0.923763+(0.072981-0.269178))+0--90--0.0458999999999909</f>
        <v>1517.373466</v>
      </c>
      <c r="P285" s="3">
        <f>1837.4+(233.2-609.8)+(1.874148+(0.237864-0.621996))+0--87.4--0.0891480000000139</f>
        <v>1549.7791640000003</v>
      </c>
      <c r="Q285" s="3">
        <f>1987.9+(124.1-647.3)+(-4.055316+(-0.253164--1.320492))+0--86.8-0.177071999999996</f>
        <v>1548.3349400000002</v>
      </c>
      <c r="R285" s="3">
        <f>1995.5+(111.3-696.4)+(-3.053115+(-0.170289--1.065492))+0--84.7-0.129591000000005</f>
        <v>1492.8124970000001</v>
      </c>
      <c r="S285" s="3">
        <f>2005.1+(120.9-715.4)+(2.045202+(0.123318-0.729708))+0--83.7--0.0853740000000134</f>
        <v>1495.8241860000001</v>
      </c>
      <c r="T285" s="3">
        <f>2067.9+(100.3-829.8)+(0+(0-0))+0--84-0</f>
        <v>1422.4</v>
      </c>
      <c r="U285" s="3">
        <f>2238.1+(57-912.6)+(0+(0-0))+0--85.9-0</f>
        <v>1468.4</v>
      </c>
      <c r="V285" s="3">
        <f>2246.9+(67-911.6)+(1.145919+(0.03417-0.464916))+0--86.3--0.0440129999999912</f>
        <v>1489.3591860000001</v>
      </c>
      <c r="W285" s="3">
        <f>2339.2+(104.8-827.1)+(2.385984+(0.106896-0.843642))+0--86.1--0.0878220000000137</f>
        <v>1704.7370599999995</v>
      </c>
      <c r="X285" s="3">
        <f>2438.3+(108-844.6)+(-1.243533+(-0.05508--0.430746))+0--86.3-0.0440129999999912</f>
        <v>1787.0881200000003</v>
      </c>
      <c r="Y285" s="3">
        <f>2442.9+(94-867.5)+(-7.475274+(-0.28764--2.65455))+0--86.9-0.26591400000001</f>
        <v>1750.9257220000002</v>
      </c>
      <c r="Z285" s="3">
        <f>2403.3+(79.6-864.4)+(-2.451366+(-0.081192--0.881688))+0--86.5-0.0882300000000138</f>
        <v>1703.2609000000002</v>
      </c>
      <c r="AA285" s="3">
        <f>2460+(38.6-922.3)+(-2.5092+(-0.039372--0.940746))+0--86.9-0.0886380000000139</f>
        <v>1661.5035360000004</v>
      </c>
      <c r="AB285" s="3">
        <f>2379.3+(20.8-902.5)+(-2.426886+(-0.021216--0.92055))+0--87.4-0.0891480000000139</f>
        <v>1583.3833000000002</v>
      </c>
      <c r="AC285" s="3">
        <f>2060.3+(68.5-752)+(-6.304518+(-0.20961--2.30112))+0--89-0.27234000000001</f>
        <v>1461.3146520000003</v>
      </c>
      <c r="AD285" s="2">
        <v>1763.5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1482.3+(224.8-453.4)+(2.267919+(0.343944-0.693702))+0--89.1--0.136323000000005</f>
        <v>1344.854484</v>
      </c>
      <c r="G286" s="3">
        <f>1227+(347.9-405.3)+(3.12885+(0.887145-1.033515))+0--89.7--0.228734999999987</f>
        <v>1262.5112149999998</v>
      </c>
      <c r="H286" s="3">
        <f>1194.5+(275.1-340.5)+(2.43678+(0.561204-0.69462))+0--90.3--0.184211999999996</f>
        <v>1221.8875759999999</v>
      </c>
      <c r="I286" s="3">
        <f>1201.9+(239.2-327.8)+(3.064845+(0.60996-0.83589))+0--91.1--0.232304999999987</f>
        <v>1207.4712200000001</v>
      </c>
      <c r="J286" s="3">
        <f>1284.1+(213.1-377)+(0+(0-0))+0--91.2-0</f>
        <v>1211.3999999999999</v>
      </c>
      <c r="K286" s="3">
        <f>1318.9+(233-406.5)+(1.345278+(0.23766-0.41463))+0--90.7--0.0925140000000145</f>
        <v>1237.3608220000001</v>
      </c>
      <c r="L286" s="3">
        <f>1547.6+(201-506.5)+(-0.789276+(-0.10251--0.258315))+0--92.3-0.0470729999999906</f>
        <v>1333.7194559999998</v>
      </c>
      <c r="M286" s="3">
        <f>1653.3+(198.3-557.2)+(0.843183+(0.101133-0.284172))+0--91.9--0.0468689999999907</f>
        <v>1387.0070129999999</v>
      </c>
      <c r="N286" s="3">
        <f>1874.8+(133.5-618.2)+(-2.868444+(-0.204255--0.945846))+0--92.1-0.140913000000005</f>
        <v>1479.9322339999999</v>
      </c>
      <c r="O286" s="3">
        <f>2123.6+(104-775.6)+(-5.41518+(-0.2652--1.97778))+0--90.2-0.230009999999987</f>
        <v>1538.26739</v>
      </c>
      <c r="P286" s="3">
        <f>2214.7+(88.6-818.3)+(-4.517988+(-0.180744--1.669332))+0--88.4-0.180335999999996</f>
        <v>1570.1902640000003</v>
      </c>
      <c r="Q286" s="3">
        <f>2222.6+(86.5-815.1)+(-5.66763+(-0.220575--2.078505))+0--87.4-0.222869999999987</f>
        <v>1577.36743</v>
      </c>
      <c r="R286" s="3">
        <f>2185.4+(73.7-830.2)+(-3.343662+(-0.112761--1.270206))+0--85.8-0.131274000000005</f>
        <v>1512.382509</v>
      </c>
      <c r="S286" s="3">
        <f>2165.1+(60.7-809.4)+(0+(0-0))+0--85.7-0</f>
        <v>1502.1000000000001</v>
      </c>
      <c r="T286" s="3">
        <f>2190+(66.6-840.9)+(1.1169+(0.033966-0.428859))+0--86.2--0.0439619999999913</f>
        <v>1502.6659690000001</v>
      </c>
      <c r="U286" s="3">
        <f>2222.9+(75.6-822.9)+(2.267358+(0.077112-0.839358))+0--85.1--0.0868020000000136</f>
        <v>1562.2919140000001</v>
      </c>
      <c r="V286" s="3">
        <f>2247.1+(59.6-859.1)+(2.292042+(0.060792-0.876282))+0--86.3--0.0880260000000138</f>
        <v>1535.4645780000001</v>
      </c>
      <c r="W286" s="3">
        <f>2372.7+(98.3-772.5)+(2.420154+(0.100266-0.78795))+0--85.2--0.0869040000000136</f>
        <v>1785.5193739999997</v>
      </c>
      <c r="X286" s="3">
        <f>2463.6+(92.1-820.5)+(-3.769308+(-0.140913--1.255365))+0--86.5-0.132345000000005</f>
        <v>1818.9127989999997</v>
      </c>
      <c r="Y286" s="3">
        <f>2497.8+(88.3-891)+(-1.273878+(-0.045033--0.45441))+0--85.6-0.0436559999999913</f>
        <v>1779.791843</v>
      </c>
      <c r="Z286" s="3">
        <f>2491.3+(68.3-923.8)+(-2.541126+(-0.069666--0.942276))+0--86-0.0877200000000137</f>
        <v>1720.0437640000002</v>
      </c>
      <c r="AA286" s="3">
        <f>2410.3+(81.3-890.6)+(-1.229253+(-0.041463--0.454206))+0--86.9-0.0443189999999912</f>
        <v>1687.0391709999999</v>
      </c>
      <c r="AB286" s="3">
        <f>2241.8+(86.9-818.3)+(-1.143318+(-0.044319--0.417333))+0--86.7-0.0442169999999912</f>
        <v>1596.2854790000004</v>
      </c>
      <c r="AC286" s="3">
        <f>2125.2+(103.9-780.1)+(-2.167704+(-0.105978--0.795702))+0--86.9-0.0886380000000139</f>
        <v>1534.333382</v>
      </c>
      <c r="AD286" s="2">
        <v>1803.3999999999999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1516.4+(193.7-438.4)+(0+(0-0))+0--87.5-0</f>
        <v>1359.2</v>
      </c>
      <c r="G287" s="3">
        <f>1328.8+(233.5-374.4)+(2.033064+(0.357255-0.572832))+0--87.9--0.134487000000005</f>
        <v>1277.7519740000002</v>
      </c>
      <c r="H287" s="3">
        <f>1340.1+(220.7-407.9)+(2.733804+(0.450228-0.832116))+0--88.2--0.179927999999996</f>
        <v>1243.631844</v>
      </c>
      <c r="I287" s="3">
        <f>1378+(186.4-433.1)+(0+(0-0))+0--88.5-0</f>
        <v>1219.8</v>
      </c>
      <c r="J287" s="3">
        <f>1415.3+(187.6-471.9)+(-1.443606+(-0.191352--0.481338))+0--88.5-0.0902700000000141</f>
        <v>1218.25611</v>
      </c>
      <c r="K287" s="3">
        <f>1588.2+(178.1-585.8)+(1.619964+(0.181662-0.597516))+0--88.8--0.0905760000000142</f>
        <v>1270.5946859999999</v>
      </c>
      <c r="L287" s="3">
        <f>1595.1+(250.4-564.2)+(-4.067505+(-0.63852--1.43871))+0--89.9-0.229244999999987</f>
        <v>1367.7034399999998</v>
      </c>
      <c r="M287" s="3">
        <f>1707.7+(245.2-634.2)+(-1.741854+(-0.250104--0.646884))+0--91.2-0.0930240000000145</f>
        <v>1408.461902</v>
      </c>
      <c r="N287" s="3">
        <f>2000.6+(201.8-774.6)+(-2.040612+(-0.205836--0.790092))+0--91.2-0.0930240000000145</f>
        <v>1517.4506200000001</v>
      </c>
      <c r="O287" s="3">
        <f>2017.6+(242.9-778.6)+(4.115904+(0.495516-1.588344))+0--88.8--0.181151999999996</f>
        <v>1573.9042279999996</v>
      </c>
      <c r="P287" s="3">
        <f>2025.2+(290.7-801.2)+(1.032852+(0.148257-0.408612))+0--85.6--0.0436559999999913</f>
        <v>1601.1161529999999</v>
      </c>
      <c r="Q287" s="3">
        <f>2015+(319-810)+(-5.13825+(-0.81345--2.0655))+0--85.6-0.218279999999988</f>
        <v>1605.4955199999999</v>
      </c>
      <c r="R287" s="3">
        <f>1982.4+(268.3-802.8)+(-4.044096+(-0.547332--1.637712))+0--84.7-0.172787999999996</f>
        <v>1529.4734960000001</v>
      </c>
      <c r="S287" s="3">
        <f>1904.2+(282.9-728.3)+(0.971142+(0.144279-0.371433))+0--83.8--0.0427379999999915</f>
        <v>1543.3867260000002</v>
      </c>
      <c r="T287" s="3">
        <f>1896.3+(232.5-682.9)+(0+(0-0))+0--83.2-0</f>
        <v>1529.1000000000001</v>
      </c>
      <c r="U287" s="3">
        <f>1893.5+(213.8-694.7)+(-3.86274+(-0.436152--1.417188))+0--84.7-0.172787999999996</f>
        <v>1494.245508</v>
      </c>
      <c r="V287" s="3">
        <f>1942.9+(193.8-705.6)+(1.981758+(0.197676-0.719712))+0--83.7--0.0853740000000134</f>
        <v>1516.3450960000002</v>
      </c>
      <c r="W287" s="3">
        <f>2019.3+(417.3-809.3)+(3.089529+(0.638469-1.238229))+0--83.7--0.128061000000005</f>
        <v>1713.6178300000001</v>
      </c>
      <c r="X287" s="3">
        <f>2134.2+(376.5-802)+(-4.353768+(-0.76806--1.63608))+0--84.4-0.172175999999996</f>
        <v>1789.4420759999998</v>
      </c>
      <c r="Y287" s="3">
        <f>2174.1+(253.5-768.6)+(2.217582+(0.25857-0.783972))+0--84.2--0.0858840000000134</f>
        <v>1744.9780640000001</v>
      </c>
      <c r="Z287" s="3">
        <f>2138.4+(266.1-760.2)+(0+(0-0))+0--84-0</f>
        <v>1728.3000000000002</v>
      </c>
      <c r="AA287" s="3">
        <f>2139.1+(206.3-685)+(-2.181882+(-0.210426--0.6987))+0--83.3-0.0849660000000133</f>
        <v>1741.9214259999997</v>
      </c>
      <c r="AB287" s="3">
        <f>2114.7+(169.3-694.3)+(-2.156994+(-0.172686--0.708186))+0--83.1-0.0847620000000132</f>
        <v>1671.0937439999998</v>
      </c>
      <c r="AC287" s="3">
        <f>2010+(141.1-666.5)+(-3.0753+(-0.215883--1.019745))+0--82.7-0.126531000000005</f>
        <v>1564.9020309999999</v>
      </c>
      <c r="AD287" s="2">
        <v>1790.5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1614.7+(165.6-515.2)+(-0.823497+(-0.084456--0.262752))+0--80.8-0.0412079999999918</f>
        <v>1345.2135909999997</v>
      </c>
      <c r="G288" s="3">
        <f>1534+(145-490.8)+(-3.12936+(-0.2958--1.001232))+0--80.8-0.164831999999996</f>
        <v>1266.4112400000001</v>
      </c>
      <c r="H288" s="3">
        <f>1534.9+(130-513.9)+(0+(0-0))+0--80.8-0</f>
        <v>1231.8</v>
      </c>
      <c r="I288" s="3">
        <f>1533.7+(129.5-526.5)+(-0.782187+(-0.066045--0.268515))+0--79.7-0.0406469999999919</f>
        <v>1215.779636</v>
      </c>
      <c r="J288" s="3">
        <f>1545.9+(124.5-535.9)+(-0.788409+(-0.063495--0.273309))+0--79.5-0.0405449999999919</f>
        <v>1213.38086</v>
      </c>
      <c r="K288" s="3">
        <f>1630.9+(142.4-584.7)+(-2.495277+(-0.217872--0.894591))+0--80.6-0.123318000000005</f>
        <v>1267.258124</v>
      </c>
      <c r="L288" s="3">
        <f>1709.9+(134.4-586.7)+(-2.616147+(-0.205632--0.897651))+0--80.6-0.123318000000005</f>
        <v>1336.1525539999998</v>
      </c>
      <c r="M288" s="3">
        <f>1713.4+(160.3-540.3)+(-0.873834+(-0.081753--0.275553))+0--84-0.0428399999999915</f>
        <v>1416.677126</v>
      </c>
      <c r="N288" s="3">
        <f>1810.1+(167.3-576.4)+(0+(0-0))+0--85.5-0</f>
        <v>1486.5</v>
      </c>
      <c r="O288" s="3">
        <f>2232.4+(39.2-781.5)+(-2.277048+(-0.039984--0.79713))+0--84.1-0.0857820000000134</f>
        <v>1572.5943159999999</v>
      </c>
      <c r="P288" s="3">
        <f>2332.1+(29.6-840.4)+(-2.378742+(-0.030192--0.857208))+0--84.3-0.0859860000000134</f>
        <v>1603.9622879999999</v>
      </c>
      <c r="Q288" s="3">
        <f>2360.1+(16.1-858.3)+(6.018255+(0.041055-2.188665))+0--82.9--0.211394999999988</f>
        <v>1604.8820400000002</v>
      </c>
      <c r="R288" s="3">
        <f>2345.7+(26.4-926.5)+(-8.374149+(-0.094248--3.307605))+0--82.2-0.293454000000001</f>
        <v>1522.3457539999999</v>
      </c>
      <c r="S288" s="3">
        <f>2330.7+(24.2-931.7)+(-4.754628+(-0.049368--1.900668))+0--81.8-0.166871999999996</f>
        <v>1501.9297999999997</v>
      </c>
      <c r="T288" s="3">
        <f>2385.2+(9-989.4)+(1.216452+(0.00459-0.504594))+0--81.4--0.0415139999999917</f>
        <v>1486.9579619999997</v>
      </c>
      <c r="U288" s="3">
        <f>2417.3+(9-1021.1)+(-1.232823+(-0.00459--0.520761))+0--82.6-0.0421259999999916</f>
        <v>1487.0412220000001</v>
      </c>
      <c r="V288" s="3">
        <f>2408+(15.3-1004.1)+(0+(0-0))+0--83.8-0</f>
        <v>1502.9999999999998</v>
      </c>
      <c r="W288" s="3">
        <f>2392.4+(153.3-938.8)+(3.660372+(0.234549-1.436364))+0--84.4--0.129132000000005</f>
        <v>1693.8876890000001</v>
      </c>
      <c r="X288" s="3">
        <f>2463.6+(198-963.2)+(-5.025744+(-0.40392--1.964928))+0--85.5-0.174419999999996</f>
        <v>1780.2608439999999</v>
      </c>
      <c r="Y288" s="3">
        <f>2466.9+(120.3-929)+(-2.516238+(-0.122706--0.94758))+0--85.4-0.0871080000000136</f>
        <v>1741.8215280000002</v>
      </c>
      <c r="Z288" s="3">
        <f>2445.9+(82.1-926.3)+(-2.494818+(-0.083742--0.944826))+0--86.1-0.0878220000000137</f>
        <v>1686.0784440000002</v>
      </c>
      <c r="AA288" s="3">
        <f>2421.5+(53.8-916.7)+(0+(0-0))+0--85.9-0</f>
        <v>1644.5</v>
      </c>
      <c r="AB288" s="3">
        <f>2357.9+(48.2-924.4)+(-3.607587+(-0.073746--1.414332))+0--87.1-0.133263000000005</f>
        <v>1566.3997360000003</v>
      </c>
      <c r="AC288" s="3">
        <f>2051.7+(90-774.9)+(-1.046367+(-0.0459--0.395199))+0--87.4-0.0445739999999911</f>
        <v>1453.4583579999999</v>
      </c>
      <c r="AD288" s="2">
        <v>1774.0999999999997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1807.9+(99.1-643.2)+(-2.766087+(-0.151623--0.984096))+0--87.5-0.133875000000005</f>
        <v>1349.2325110000002</v>
      </c>
      <c r="G289" s="3">
        <f>1538.3+(119.7-478)+(0+(0-0))+0--90-0</f>
        <v>1270</v>
      </c>
      <c r="H289" s="3">
        <f>1528.2+(118.2-504.6)+(0.779382+(0.060282-0.257346))+0--89.5--0.0456449999999909</f>
        <v>1231.9279629999999</v>
      </c>
      <c r="I289" s="3">
        <f>1530.4+(121.4-525)+(1.561008+(0.123828-0.5355))+0--88.9--0.0906780000000142</f>
        <v>1216.9400140000002</v>
      </c>
      <c r="J289" s="3">
        <f>1531.1+(143.8-547.9)+(3.123444+(0.293352-1.117716))+0--90.5--0.184619999999996</f>
        <v>1219.9837</v>
      </c>
      <c r="K289" s="3">
        <f>1531+(197-561)+(1.56162+(0.20094-0.57222))+0--89.2--0.0909840000000142</f>
        <v>1257.4813240000001</v>
      </c>
      <c r="L289" s="3">
        <f>1563.2+(276.1-574.1)+(0+(0-0))+0--89-0</f>
        <v>1354.2</v>
      </c>
      <c r="M289" s="3">
        <f>1693.4+(256.8-617.1)+(-1.727268+(-0.261936--0.629442))+0--90.8-0.0926160000000145</f>
        <v>1422.4476220000001</v>
      </c>
      <c r="N289" s="3">
        <f>1913+(197-697.8)+(1.95126+(0.20094-0.711756))+0--89.9--0.0916980000000143</f>
        <v>1503.6321420000002</v>
      </c>
      <c r="O289" s="3">
        <f>2020.3+(208.8-751.7)+(-1.030353+(-0.106488--0.383367))+0--88.2-0.0449819999999911</f>
        <v>1564.8015439999999</v>
      </c>
      <c r="P289" s="3">
        <f>2179.4+(105.9-786.8)+(-2.222988+(-0.108018--0.802536))+0--85.5-0.0872100000000136</f>
        <v>1582.3843200000001</v>
      </c>
      <c r="Q289" s="3">
        <f>2320.9+(50.8-870.3)+(-1.183659+(-0.025908--0.443853))+0--85.1-0.0434009999999914</f>
        <v>1585.6908850000002</v>
      </c>
      <c r="R289" s="3">
        <f>2212.8+(74.9-834.9)+(0+(0-0))+0--84.5-0</f>
        <v>1537.3000000000002</v>
      </c>
      <c r="S289" s="3">
        <f>2201.3+(81.7-846.5)+(-2.245326+(-0.083334--0.86343))+0--83.8-0.0854760000000134</f>
        <v>1518.7492940000002</v>
      </c>
      <c r="T289" s="3">
        <f>2226.3+(79.1-825.8)+(-1.135413+(-0.040341--0.421158))+0--83.6-0.0426359999999915</f>
        <v>1562.4027680000004</v>
      </c>
      <c r="U289" s="3">
        <f>2206.6+(67.1-823.9)+(1.125366+(0.034221-0.420189))+0--83.6--0.0426359999999915</f>
        <v>1534.1820339999997</v>
      </c>
      <c r="V289" s="3">
        <f>2298+(70.2-930.8)+(-7.03188+(-0.214812--2.848248))+0--83.3-0.25489800000001</f>
        <v>1516.0466580000002</v>
      </c>
      <c r="W289" s="3">
        <f>2427.8+(108.2-915.4)+(2.476356+(0.110364-0.933708))+0--83.8--0.0854760000000134</f>
        <v>1706.1384880000003</v>
      </c>
      <c r="X289" s="3">
        <f>2456.1+(139.3-890.6)+(-3.757833+(-0.213129--1.362618))+0--79.4-0.121482000000005</f>
        <v>1781.470174</v>
      </c>
      <c r="Y289" s="3">
        <f>2457.7+(111.4-909.8)+(-5.013708+(-0.227256--1.855992))+0--80.8-0.164831999999996</f>
        <v>1736.5501959999997</v>
      </c>
      <c r="Z289" s="3">
        <f>2458.7+(84.4-955.5)+(-3.761811+(-0.129132--1.461915))+0--80.5-0.123165000000005</f>
        <v>1665.5478069999999</v>
      </c>
      <c r="AA289" s="3">
        <f>2442.7+(75.5-965.9)+(-3.737331+(-0.115515--1.477827))+0--81.4-0.124542000000005</f>
        <v>1631.2004389999997</v>
      </c>
      <c r="AB289" s="3">
        <f>2297+(116.9-857.4)+(0+(0-0))+0--81.2-0</f>
        <v>1637.7</v>
      </c>
      <c r="AC289" s="3">
        <f>2157.5+(109.6-789.6)+(-4.4013+(-0.223584--1.610784))+0--81.2-0.165647999999996</f>
        <v>1555.520252</v>
      </c>
      <c r="AD289" s="2">
        <v>1787.8999999999999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1772.3+(163-671.3)+(0+(0-0))+0--82.5-0</f>
        <v>1346.5</v>
      </c>
      <c r="G290" s="3">
        <f>1444.5+(293.9-552.1)+(2.210085+(0.449667-0.844713))+0--81.4--0.124542000000005</f>
        <v>1269.6395810000001</v>
      </c>
      <c r="H290" s="3">
        <f>1462.3+(279.9-587)+(0.745773+(0.142749-0.29937))+0--82--0.0418199999999917</f>
        <v>1237.8309719999997</v>
      </c>
      <c r="I290" s="3">
        <f>1462.5+(230.4-558)+(2.237625+(0.352512-0.85374))+0--82--0.125460000000005</f>
        <v>1218.761857</v>
      </c>
      <c r="J290" s="3">
        <f>1462.8+(224.8-555.3)+(1.492056+(0.229296-0.566406))+0--83.1--0.0847620000000132</f>
        <v>1216.6397079999999</v>
      </c>
      <c r="K290" s="3">
        <f>1501.4+(259.7-606.7)+(1.531428+(0.264894-0.618834))+0--83.7--0.0853740000000134</f>
        <v>1239.3628620000002</v>
      </c>
      <c r="L290" s="3">
        <f>1753.9+(231.9-708.4)+(-7.155912+(-0.946152--2.890272))+0--84.6-0.345167999999993</f>
        <v>1356.4430399999999</v>
      </c>
      <c r="M290" s="3">
        <f>1603.6+(259.7-626)+(4.907016+(0.794682-1.91556))+0--84.4--0.25826400000001</f>
        <v>1325.744402</v>
      </c>
      <c r="N290" s="3">
        <f>1647.3+(278.3-642.5)+(3.360492+(0.567732-1.3107))+0--85.4--0.174215999999996</f>
        <v>1371.2917399999999</v>
      </c>
      <c r="O290" s="3">
        <f>1764.6+(261.9-699.3)+(2.699838+(0.400707-1.069929))+0--85.7--0.131121000000005</f>
        <v>1415.0617369999998</v>
      </c>
      <c r="P290" s="3">
        <f>1823.8+(253.6-701.2)+(-3.720552+(-0.517344--1.430448))+0--85.5-0.174419999999996</f>
        <v>1458.7181319999997</v>
      </c>
      <c r="Q290" s="3">
        <f>1696.1+(288.6-621.7)+(-2.595033+(-0.441558--0.951201))+0--84.2-0.128826000000005</f>
        <v>1444.985784</v>
      </c>
      <c r="R290" s="3">
        <f>1769.2+(206-645.2)+(-1.804584+(-0.21012--0.658104))+0--78-0.0795600000000124</f>
        <v>1406.56384</v>
      </c>
      <c r="S290" s="3">
        <f>1811.8+(105.2-603.3)+(-0.924018+(-0.053652--0.307683))+0--75.8-0.0386579999999923</f>
        <v>1388.7913550000001</v>
      </c>
      <c r="T290" s="3">
        <f>1779.5+(108.3-598.2)+(-0.907545+(-0.055233--0.305082))+0--77.7-0.0396269999999921</f>
        <v>1366.6026770000001</v>
      </c>
      <c r="U290" s="3">
        <f>1779.1+(103.6-611.4)+(-3.629364+(-0.211344--1.247256))+0--87.3-0.178091999999996</f>
        <v>1355.8284559999997</v>
      </c>
      <c r="V290" s="3">
        <f>1787.8+(129.9-630.9)+(0.911778+(0.066249-0.321759))+0--84.3--0.0429929999999914</f>
        <v>1371.7992609999999</v>
      </c>
      <c r="W290" s="3">
        <f>1933.1+(322.1-799.8)+(-0.985881+(-0.164271--0.407898))+0--81.9-0.0417689999999917</f>
        <v>1536.5159770000002</v>
      </c>
      <c r="X290" s="3">
        <f>1945.8+(375-754.9)+(-0.992358+(-0.19125--0.384999))+0--81.7-0.0416669999999917</f>
        <v>1646.7597240000002</v>
      </c>
      <c r="Y290" s="3">
        <f>1868.4+(353.8-686.1)+(-0.952884+(-0.180438--0.349911))+0--82.3-0.0419729999999916</f>
        <v>1617.5746160000001</v>
      </c>
      <c r="Z290" s="3">
        <f>1810.8+(331.9-651.4)+(-0.923508+(-0.169269--0.332214))+0--82.8-0.0422279999999916</f>
        <v>1573.2972089999998</v>
      </c>
      <c r="AA290" s="3">
        <f>1558.4+(489.9-586.7)+(2.384352+(0.749547-0.897651))+0--82.6--0.126378000000005</f>
        <v>1546.5626259999997</v>
      </c>
      <c r="AB290" s="3">
        <f>1472.9+(431.6-497.3)+(0+(0-0))+0--84.1-0</f>
        <v>1491.3</v>
      </c>
      <c r="AC290" s="3">
        <f>1488.7+(344.3-518.3)+(-1.518474+(-0.351186--0.528666))+0--84.6-0.0862920000000135</f>
        <v>1397.8727140000001</v>
      </c>
      <c r="AD290" s="2">
        <v>1629.8999999999996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1563.1+(176.3-491.5)+(-2.391543+(-0.269739--0.751995))+0--85.6-0.130968000000005</f>
        <v>1331.4597449999999</v>
      </c>
      <c r="G291" s="3">
        <f>1532.5+(148.1-499.7)+(0+(0-0))+0--84.9-0</f>
        <v>1265.8000000000002</v>
      </c>
      <c r="H291" s="3">
        <f>1502.1+(116.5-478.5)+(0.766071+(0.059415-0.244035))+0--85.7--0.0437069999999913</f>
        <v>1226.425158</v>
      </c>
      <c r="I291" s="3">
        <f>1520.6+(123.9-504.3)+(0.775506+(0.063189-0.257193))+0--85.6--0.0436559999999913</f>
        <v>1226.4251579999998</v>
      </c>
      <c r="J291" s="3">
        <f>1560.9+(107.7-525.3)+(-0.796059+(-0.054927--0.267903))+0--85.8-0.0437579999999913</f>
        <v>1228.4731590000001</v>
      </c>
      <c r="K291" s="3">
        <f>1584+(118.3-532.4)+(2.42352+(0.180999-0.814572))+0--86.2--0.131886000000005</f>
        <v>1258.021833</v>
      </c>
      <c r="L291" s="3">
        <f>1657.3+(132-574.6)+(2.535669+(0.20196-0.879138))+0--89--0.136170000000005</f>
        <v>1305.6946609999998</v>
      </c>
      <c r="M291" s="3">
        <f>1662.3+(135.8-566.3)+(-0.847773+(-0.069258--0.288813))+0--88.9-0.045338999999991</f>
        <v>1320.026443</v>
      </c>
      <c r="N291" s="3">
        <f>1708.5+(186.8-557.3)+(0.871335+(0.095268-0.284223))+0--88.6--0.045185999999991</f>
        <v>1427.3275659999999</v>
      </c>
      <c r="O291" s="3">
        <f>1765.1+(256.7-597.1)+(0.900201+(0.130917-0.304521))+0--87.4--0.0445739999999911</f>
        <v>1512.871171</v>
      </c>
      <c r="P291" s="3">
        <f>1831+(278.1-651.2)+(-0.93381+(-0.141831--0.332112))+0--86.3-0.0440129999999912</f>
        <v>1543.412458</v>
      </c>
      <c r="Q291" s="3">
        <f>1845+(277.4-675)+(-2.82285+(-0.424422--1.03275))+0--85-0.130050000000005</f>
        <v>1530.0554280000001</v>
      </c>
      <c r="R291" s="3">
        <f>1825.9+(237.1-696.8)+(-1.862418+(-0.241842--0.710736))+0--84.2-0.0858840000000134</f>
        <v>1448.9205920000002</v>
      </c>
      <c r="S291" s="3">
        <f>1824.5+(162.9-660)+(-1.86099+(-0.166158--0.6732))+0--84.5-0.0861900000000135</f>
        <v>1410.4598620000002</v>
      </c>
      <c r="T291" s="3">
        <f>1824.7+(150.2-675)+(-3.722388+(-0.306408--1.377))+0--84.7-0.172787999999996</f>
        <v>1381.775416</v>
      </c>
      <c r="U291" s="3">
        <f>1825+(144.9-689)+(4.65375+(0.369495-1.75695))+0--85.1--0.217004999999988</f>
        <v>1369.4832999999999</v>
      </c>
      <c r="V291" s="3">
        <f>1859.3+(142.9-698.4)+(0+(0-0))+0--86.5-0</f>
        <v>1390.3</v>
      </c>
      <c r="W291" s="3">
        <f>2068.1+(263.7-852.5)+(2.109462+(0.268974-0.86955))+0--84.8--0.0864960000000135</f>
        <v>1565.6953820000001</v>
      </c>
      <c r="X291" s="3">
        <f>2129.7+(342-868)+(-3.258441+(-0.52326--1.32804))+0--86.1-0.131733000000005</f>
        <v>1687.2146059999998</v>
      </c>
      <c r="Y291" s="3">
        <f>2096.4+(329.2-833.7)+(1.069164+(0.167892-0.425187))+0--85--0.0433499999999914</f>
        <v>1677.7552189999999</v>
      </c>
      <c r="Z291" s="3">
        <f>2027.3+(364.6-789.2)+(1.033923+(0.185946-0.402492))+0--84.4--0.0430439999999914</f>
        <v>1687.960421</v>
      </c>
      <c r="AA291" s="3">
        <f>1944.8+(371.2-700.7)+(1.983696+(0.378624-0.714714))+0--85.3--0.0870060000000136</f>
        <v>1702.3346119999999</v>
      </c>
      <c r="AB291" s="3">
        <f>1948.6+(231.8-627.6)+(-1.987572+(-0.236436--0.640152))+0--86.5-0.0882300000000138</f>
        <v>1637.6279139999999</v>
      </c>
      <c r="AC291" s="3">
        <f>1911.8+(125.1-606.6)+(-4.87509+(-0.319005--1.54683))+0--87.3-0.222614999999987</f>
        <v>1513.7301199999999</v>
      </c>
      <c r="AD291" s="2">
        <v>1683.2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1714.6+(144.2-615.1)+(-2.623338+(-0.220626--0.941103))+0--87.4-0.133722000000005</f>
        <v>1329.0634169999998</v>
      </c>
      <c r="G292" s="3">
        <f>1612.6+(113.9-544.2)+(0+(0-0))+0--87.5-0</f>
        <v>1269.7999999999997</v>
      </c>
      <c r="H292" s="3">
        <f>1638.4+(89.8-587.5)+(0.835584+(0.045798-0.299625))+0--87.6--0.0446759999999911</f>
        <v>1228.9264329999999</v>
      </c>
      <c r="I292" s="3">
        <f>1876.1+(46.9-795)+(2.870433+(0.071757-1.21635))+0--88.9--0.136017000000005</f>
        <v>1218.7618570000002</v>
      </c>
      <c r="J292" s="3">
        <f>1899.3+(52-818.2)+(4.843215+(0.1326-2.08641))+0--88.8--0.226439999999987</f>
        <v>1225.0158449999997</v>
      </c>
      <c r="K292" s="3">
        <f>1922.6+(84.2-840.3)+(1.961052+(0.085884-0.857106))+0--88.7--0.0904740000000141</f>
        <v>1256.4803040000002</v>
      </c>
      <c r="L292" s="3">
        <f>2181.8+(67.8-940.1)+(-6.676308+(-0.207468--2.876706))+0--90.1-0.27570600000001</f>
        <v>1395.3172239999999</v>
      </c>
      <c r="M292" s="3">
        <f>2239.4+(89.5-959.6)+(3.426282+(0.136935-1.468188))+0--92--0.140760000000005</f>
        <v>1463.5357890000002</v>
      </c>
      <c r="N292" s="3">
        <f>2417+(95.2-1055.2)+(0+(0-0))+0--89.6-0</f>
        <v>1546.6</v>
      </c>
      <c r="O292" s="3">
        <f>2627+(73.9-1160)+(-5.35908+(-0.150756--2.3664))+0--88.2-0.179927999999996</f>
        <v>1625.7766360000001</v>
      </c>
      <c r="P292" s="3">
        <f>2741.8+(37.2-1208.5)+(2.796636+(0.037944-1.23267))+0--87.1--0.0888420000000139</f>
        <v>1659.2907520000003</v>
      </c>
      <c r="Q292" s="3">
        <f>2846.1+(30.7-1309.2)+(0+(0-0))+0--86.7-0</f>
        <v>1654.3</v>
      </c>
      <c r="R292" s="3">
        <f>2953.5+(5.6-1466.1)+(-4.518855+(-0.008568--2.243133))+0--85.2-0.130356000000005</f>
        <v>1575.7853540000001</v>
      </c>
      <c r="S292" s="3">
        <f>3019.3+(8.6-1524)+(-3.079686+(-0.008772--1.55448))+0--85.1-0.0868020000000136</f>
        <v>1587.37922</v>
      </c>
      <c r="T292" s="3">
        <f>3029+(11.5-1544.3)+(1.54479+(0.005865-0.787593))+0--83.2--0.0424319999999916</f>
        <v>1580.205494</v>
      </c>
      <c r="U292" s="3">
        <f>3030.4+(5.5-1563)+(4.636512+(0.008415-2.39139))+0--81--0.123930000000005</f>
        <v>1556.2774670000001</v>
      </c>
      <c r="V292" s="3">
        <f>3055.2+(7.5-1562.4)+(1.558152+(0.003825-0.796824))+0--81.2--0.0414119999999918</f>
        <v>1582.3065649999999</v>
      </c>
      <c r="W292" s="3">
        <f>3052.9+(84.7-1433.9)+(0+(0-0))+0--81-0</f>
        <v>1784.7</v>
      </c>
      <c r="X292" s="3">
        <f>3062+(113-1382.3)+(-1.56162+(-0.05763--0.704973))+0--82-0.0418199999999917</f>
        <v>1873.743903</v>
      </c>
      <c r="Y292" s="3">
        <f>3050.1+(96.9-1405.5)+(-6.222204+(-0.197676--2.86722))+0--85.4-0.174215999999996</f>
        <v>1823.1731240000001</v>
      </c>
      <c r="Z292" s="3">
        <f>3050.5+(78.7-1456)+(-1.555755+(-0.040137--0.74256))+0--85.7-0.0437069999999913</f>
        <v>1758.0029610000001</v>
      </c>
      <c r="AA292" s="3">
        <f>2766.3+(102-1231.5)+(0+(0-0))+0--86-0</f>
        <v>1722.8000000000002</v>
      </c>
      <c r="AB292" s="3">
        <f>2593.8+(116.3-1162.7)+(-3.968514+(-0.177939--1.778931))+0--86.2-0.131886000000005</f>
        <v>1631.1005920000002</v>
      </c>
      <c r="AC292" s="3">
        <f>2405.2+(111.3-1102.4)+(-1.226652+(-0.056763--0.562224))+0--86.6-0.0441659999999912</f>
        <v>1499.9346429999996</v>
      </c>
      <c r="AD292" s="2">
        <v>1864.2999999999997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2318+(98.7-1106.1)+(-2.36436+(-0.100674--1.128222))+0--87.5-0.089250000000014</f>
        <v>1396.6739380000001</v>
      </c>
      <c r="G293" s="3">
        <f>2198.9+(88.1-1035.1)+(1.121439+(0.044931-0.527901))+0--87--0.0443699999999912</f>
        <v>1339.5828390000001</v>
      </c>
      <c r="H293" s="3">
        <f>2187.4+(69.4-1038.2)+(-2.231148+(-0.070788--1.058964))+0--88.5-0.0902700000000141</f>
        <v>1305.766758</v>
      </c>
      <c r="I293" s="3">
        <f>2189.8+(59.6-1052.6)+(1.116798+(0.030396-0.536826))+0--88.4--0.045083999999991</f>
        <v>1285.8554520000005</v>
      </c>
      <c r="J293" s="3">
        <f>2192.1+(58.1-1050.7)+(4.471884+(0.118524-2.143428))+0--88.2--0.179927999999996</f>
        <v>1290.326908</v>
      </c>
      <c r="K293" s="3">
        <f>2219.9+(72.3-1056.9)+(2.264298+(0.073746-1.078038))+0--87.5--0.089250000000014</f>
        <v>1324.1492559999999</v>
      </c>
      <c r="L293" s="3">
        <f>2406.2+(59.7-1146.7)+(2.454324+(0.060894-1.169634))+0--89--0.0907800000000142</f>
        <v>1409.6363639999997</v>
      </c>
      <c r="M293" s="3">
        <f>2586.4+(75.3-1239.9)+(-2.638128+(-0.076806--1.264698))+0--87.5-0.089250000000014</f>
        <v>1507.7605140000001</v>
      </c>
      <c r="N293" s="3">
        <f>2606.9+(78.5-1177.5)+(2.659038+(0.08007-1.20105))+0--88.5--0.0902700000000141</f>
        <v>1598.0283280000001</v>
      </c>
      <c r="O293" s="3">
        <f>2827.6+(24.1-1182)+(2.884152+(0.024582-1.20564))+0--85.8--0.0875160000000137</f>
        <v>1757.2906099999998</v>
      </c>
      <c r="P293" s="3">
        <f>2886.5+(32-1221.5)+(1.472115+(0.01632-0.622965))+0--84.3--0.0429929999999914</f>
        <v>1782.2084629999999</v>
      </c>
      <c r="Q293" s="3">
        <f>2936.6+(93.5-1340.9)+(-1.497666+(-0.047685--0.683859))+0--83.7-0.0426869999999915</f>
        <v>1771.995821</v>
      </c>
      <c r="R293" s="3">
        <f>2951.6+(59.2-1487.9)+(-6.021264+(-0.120768--3.035316))+0--82.4-0.168095999999996</f>
        <v>1602.0251879999998</v>
      </c>
      <c r="S293" s="3">
        <f>2936.3+(56.4-1479.8)+(-4.492539+(-0.086292--2.264094))+0--81.6-0.124848000000005</f>
        <v>1592.0604150000004</v>
      </c>
      <c r="T293" s="3">
        <f>2912.8+(8-1407.7)+(-8.913168+(-0.02448--4.307562))+0--81.8-0.250308000000009</f>
        <v>1590.0196060000003</v>
      </c>
      <c r="U293" s="3">
        <f>2905+(8.1-1434.6)+(4.44465+(0.012393-2.194938))+0--80.4--0.123012000000005</f>
        <v>1561.2851170000001</v>
      </c>
      <c r="V293" s="3">
        <f>2952.7+(13.5-1467.1)+(0+(0-0))+0--81.4-0</f>
        <v>1580.5</v>
      </c>
      <c r="W293" s="3">
        <f>3048+(74.4-1421.2)+(1.55448+(0.037944-0.724812))+0--81.1--0.0413609999999918</f>
        <v>1783.208973</v>
      </c>
      <c r="X293" s="3">
        <f>3078.5+(91.3-1367.3)+(-7.850175+(-0.232815--3.486615))+0--82.5-0.210374999999988</f>
        <v>1880.19325</v>
      </c>
      <c r="Y293" s="3">
        <f>2975.3+(114.7-1329.5)+(-3.034806+(-0.116994--1.35609))+0--82.5-0.0841500000000132</f>
        <v>1841.1201400000002</v>
      </c>
      <c r="Z293" s="3">
        <f>3006.2+(77.3-1390.1)+(-1.533162+(-0.039423--0.708951))+0--83.4-0.0425339999999915</f>
        <v>1775.893832</v>
      </c>
      <c r="AA293" s="3">
        <f>2919.9+(87.2-1328)+(-5.956596+(-0.177888--2.70912))+0--82.6-0.168503999999996</f>
        <v>1758.1061320000001</v>
      </c>
      <c r="AB293" s="3">
        <f>2857.6+(61.1-1339.4)+(-1.457376+(-0.031161--0.683094))+0--82.5-0.0420749999999916</f>
        <v>1660.9524819999997</v>
      </c>
      <c r="AC293" s="3">
        <f>2688.7+(95.8-1281.2)+(-6.856185+(-0.24429--3.26706))+0--82.8-0.211139999999988</f>
        <v>1582.0554449999997</v>
      </c>
      <c r="AD293" s="2">
        <v>1866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2367.2+(108.2-1154)+(-6.03636+(-0.27591--2.9427))+0--81.1-0.206804999999988</f>
        <v>1398.9236249999997</v>
      </c>
      <c r="G294" s="3">
        <f>2257+(105.1-1121.4)+(-5.75535+(-0.268005--2.85957))+0--80.1-0.204254999999988</f>
        <v>1317.4319599999999</v>
      </c>
      <c r="H294" s="3">
        <f>2249.3+(77.7-1129)+(2.294286+(0.079254-1.15158))+0--81--0.0826200000000129</f>
        <v>1280.3045800000002</v>
      </c>
      <c r="I294" s="3">
        <f>2296.5+(41.7-1151.6)+(1.171215+(0.021267-0.587316))+0--82.5--0.0420749999999916</f>
        <v>1269.7472410000003</v>
      </c>
      <c r="J294" s="3">
        <f>2381+(37.6-1225.3)+(-2.42862+(-0.038352--1.249806))+0--81.6-0.083232000000013</f>
        <v>1273.599602</v>
      </c>
      <c r="K294" s="3">
        <f>2419.6+(51.3-1240.3)+(2.467992+(0.052326-1.265106))+0--80.9--0.0825180000000129</f>
        <v>1312.83773</v>
      </c>
      <c r="L294" s="3">
        <f>2516.6+(85.2-1261.1)+(5.133864+(0.173808-2.572644))+0--81.5--0.166259999999996</f>
        <v>1425.1012880000001</v>
      </c>
      <c r="M294" s="3">
        <f>2652.8+(79.4-1303.3)+(-2.705856+(-0.080988--1.329366))+0--81.3-0.082926000000013</f>
        <v>1508.6595960000002</v>
      </c>
      <c r="N294" s="3">
        <f>2867+(45.9-1410.4)+(-1.46217+(-0.023409--0.719304))+0--82-0.0418199999999917</f>
        <v>1583.6919050000001</v>
      </c>
      <c r="O294" s="3">
        <f>3004.6+(23-1481.9)+(-3.064692+(-0.02346--1.511538))+0--81.2-0.082824000000013</f>
        <v>1625.2405619999997</v>
      </c>
      <c r="P294" s="3">
        <f>3101.4+(14-1556.4)+(-3.163428+(-0.01428--1.587528))+0--80.8-0.0824160000000129</f>
        <v>1638.1274040000001</v>
      </c>
      <c r="Q294" s="3">
        <f>3161.8+(13.2-1604)+(-3.225036+(-0.013464--1.63608))+0--82.4-0.0840480000000131</f>
        <v>1651.7135320000004</v>
      </c>
      <c r="R294" s="3">
        <f>3152.1+(9.6-1641.6)+(-6.430284+(-0.019584--3.348864))+0--82.2-0.167687999999996</f>
        <v>1599.0313079999999</v>
      </c>
      <c r="S294" s="3">
        <f>2996.9+(24.6-1504.3)+(1.528419+(0.012546-0.767193))+0--81.9--0.0417689999999917</f>
        <v>1599.9155410000001</v>
      </c>
      <c r="T294" s="3">
        <f>2868.6+(20.1-1386.8)+(-1.462986+(-0.010251--0.707268))+0--80.6-0.0411059999999918</f>
        <v>1581.6929249999998</v>
      </c>
      <c r="U294" s="3">
        <f>2760.6+(24.5-1318.3)+(-2.815812+(-0.02499--1.344666))+0--79.3-0.0808860000000126</f>
        <v>1544.522978</v>
      </c>
      <c r="V294" s="3">
        <f>2813.4+(29.7-1381.3)+(-2.869668+(-0.030294--1.408926))+0--77.1-0.0786420000000123</f>
        <v>1537.3303220000003</v>
      </c>
      <c r="W294" s="3">
        <f>2921.6+(75.3-1414.9)+(1.490016+(0.038403-0.721599))+0--76.8--0.0391679999999922</f>
        <v>1659.6459879999998</v>
      </c>
      <c r="X294" s="3">
        <f>2926.6+(100.6-1361.1)+(-4.477698+(-0.153918--2.082483))+0--78.4-0.119952000000005</f>
        <v>1741.830915</v>
      </c>
      <c r="Y294" s="3">
        <f>2354.5+(264.4-999.6)+(1.200795+(0.134844-0.509796))+0--78--0.0397799999999921</f>
        <v>1698.1656230000001</v>
      </c>
      <c r="Z294" s="3">
        <f>2179.9+(292.7-910.8)+(-1.111749+(-0.149277--0.464508))+0--77.5-0.0395249999999921</f>
        <v>1638.4639570000002</v>
      </c>
      <c r="AA294" s="3">
        <f>2163.9+(249.8-895.5)+(-2.207178+(-0.254796--0.91341))+0--77.6-0.0791520000000124</f>
        <v>1594.172284</v>
      </c>
      <c r="AB294" s="3">
        <f>2143.3+(191.8-895.6)+(-4.372332+(-0.391272--1.827024))+0--79-0.161159999999997</f>
        <v>1515.4022600000001</v>
      </c>
      <c r="AC294" s="3">
        <f>2118.6+(149.8-937.6)+(-5.40243+(-0.38199--2.39088))+0--78.7-0.200684999999989</f>
        <v>1405.9057749999999</v>
      </c>
      <c r="AD294" s="2">
        <v>1731.7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1991.8+(101.1-924.4)+(-1.015818+(-0.051561--0.471444))+0--78.2-0.0398819999999921</f>
        <v>1246.064183</v>
      </c>
      <c r="G295" s="3">
        <f>2093.3+(51.9-1018.2)+(-4.270332+(-0.105876--2.077128))+0--79.2-0.161567999999997</f>
        <v>1203.7393520000001</v>
      </c>
      <c r="H295" s="3">
        <f>2075.9+(38.1-1031.8)+(1.058709+(0.019431-0.526218))+0--79.6--0.0405959999999919</f>
        <v>1162.3925180000003</v>
      </c>
      <c r="I295" s="3">
        <f>2060.9+(33.8-1029.9)+(-3.153177+(-0.051714--1.575747))+0--80.4-0.123012000000005</f>
        <v>1143.447844</v>
      </c>
      <c r="J295" s="3">
        <f>2023.5+(41.4-1019.1)+(1.031985+(0.021114-0.519741))+0--80.8--0.0412079999999918</f>
        <v>1127.1745659999999</v>
      </c>
      <c r="K295" s="3">
        <f>2193.9+(47.7-1160.9)+(1.118889+(0.024327-0.592059))+0--81.3--0.0414629999999918</f>
        <v>1162.5926200000001</v>
      </c>
      <c r="L295" s="3">
        <f>2371.6+(40.1-1284.6)+(-6.04758+(-0.102255--3.27573))+0--81.7-0.208334999999988</f>
        <v>1205.7175599999998</v>
      </c>
      <c r="M295" s="3">
        <f>2576+(56.4-1323.9)+(-3.94128+(-0.086292--2.025567))+0--83.3-0.127449000000005</f>
        <v>1389.6705459999998</v>
      </c>
      <c r="N295" s="3">
        <f>2605.2+(68.5-1274.4)+(2.657304+(0.06987-1.299888))+0--82.3--0.0839460000000131</f>
        <v>1483.1112319999997</v>
      </c>
      <c r="O295" s="3">
        <f>2679.8+(56-1275.5)+(-1.366698+(-0.02856--0.650505))+0--81.5-0.0415649999999917</f>
        <v>1541.0136820000002</v>
      </c>
      <c r="P295" s="3">
        <f>2788.1+(44.3-1368.8)+(4.265793+(0.067779-2.094264))+0--80.7--0.123471000000005</f>
        <v>1546.662779</v>
      </c>
      <c r="Q295" s="3">
        <f>2793.3+(37.2-1399.2)+(0+(0-0))+0--80.7-0</f>
        <v>1512.0000000000002</v>
      </c>
      <c r="R295" s="3">
        <f>2587.6+(62.3-1286.6)+(-1.319676+(-0.031773--0.656166))+0--82.5-0.0420749999999916</f>
        <v>1445.0626419999999</v>
      </c>
      <c r="S295" s="3">
        <f>2463.4+(86.1-1109.1)+(-1.256334+(-0.043911--0.565641))+0--82.2-0.0419219999999917</f>
        <v>1521.8234740000003</v>
      </c>
      <c r="T295" s="3">
        <f>2456.5+(77.7-1114.5)+(-1.252815+(-0.039627--0.568395))+0--82.3-0.0419729999999916</f>
        <v>1501.23398</v>
      </c>
      <c r="U295" s="3">
        <f>2536.8+(67.7-1194.1)+(0+(0-0))+0--81.8-0</f>
        <v>1492.2000000000003</v>
      </c>
      <c r="V295" s="3">
        <f>2615.6+(76.6-1255.5)+(-1.333956+(-0.039066--0.640305))+0--82.4-0.0420239999999916</f>
        <v>1518.3252589999997</v>
      </c>
      <c r="W295" s="3">
        <f>2704.3+(115.8-1210.2)+(1.379193+(0.059058-0.617202))+0--81.9--0.0417689999999917</f>
        <v>1692.662818</v>
      </c>
      <c r="X295" s="3">
        <f>2752.3+(141.4-1176.4)+(-5.614692+(-0.288456--2.399856))+0--82.4-0.168095999999996</f>
        <v>1796.0286120000001</v>
      </c>
      <c r="Y295" s="3">
        <f>2752.3+(134-1209.6)+(-1.403673+(-0.06834--0.616896))+0--83.5-0.0425849999999915</f>
        <v>1759.3022980000003</v>
      </c>
      <c r="Z295" s="3">
        <f>2683.6+(132.3-1191.8)+(-2.737272+(-0.134946--1.215636))+0--82.4-0.0840480000000131</f>
        <v>1704.75937</v>
      </c>
      <c r="AA295" s="3">
        <f>2704.3+(116.7-1234.8)+(0+(0-0))+0--83.3-0</f>
        <v>1669.5000000000002</v>
      </c>
      <c r="AB295" s="3">
        <f>2566.5+(102.4-1225.1)+(-3.926745+(-0.156672--1.874403))+0--83.6-0.127908000000005</f>
        <v>1525.0630780000001</v>
      </c>
      <c r="AC295" s="3">
        <f>2404.2+(102.2-1126.5)+(-2.452284+(-0.104244--1.14903))+0--84.7-0.0863940000000135</f>
        <v>1463.1061079999999</v>
      </c>
      <c r="AD295" s="2">
        <v>1788.1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2344.8+(70.9-1082.6)+(-5.97924+(-0.180795--2.76063))+0--85.4-0.217769999999988</f>
        <v>1414.8828250000006</v>
      </c>
      <c r="G296" s="3">
        <f>2145+(118-1013)+(0+(0-0))+0--84.5-0</f>
        <v>1334.5</v>
      </c>
      <c r="H296" s="3">
        <f>2157.5+(98.3-1050)+(-2.20065+(-0.100266--1.071))+0--85.3-0.0870060000000136</f>
        <v>1289.7830779999999</v>
      </c>
      <c r="I296" s="3">
        <f>2139.4+(91.5-1040.4)+(-2.182188+(-0.09333--1.061208))+0--86.2-0.0879240000000137</f>
        <v>1275.397766</v>
      </c>
      <c r="J296" s="3">
        <f>2134+(87.3-1030.7)+(0+(0-0))+0--85.4-0</f>
        <v>1276</v>
      </c>
      <c r="K296" s="3">
        <f>2138.8+(105.3-1016)+(-1.090788+(-0.053703--0.51816))+0--85.6-0.0436559999999913</f>
        <v>1313.0300130000001</v>
      </c>
      <c r="L296" s="3">
        <f>2227.8+(140.4-1108.4)+(0+(0-0))+0--87-0</f>
        <v>1346.8000000000002</v>
      </c>
      <c r="M296" s="3">
        <f>2381.1+(146.9-1174.3)+(2.428722+(0.149838-1.197786))+0--87.7--0.089454000000014</f>
        <v>1442.870228</v>
      </c>
      <c r="N296" s="3">
        <f>2434.7+(161.1-1147.8)+(2.483394+(0.164322-1.170756))+0--86.2--0.0879240000000137</f>
        <v>1535.7648839999999</v>
      </c>
      <c r="O296" s="3">
        <f>2490.9+(155-1154)+(0+(0-0))+0--86.9-0</f>
        <v>1578.8000000000002</v>
      </c>
      <c r="P296" s="3">
        <f>2506.7+(160.8-1137.4)+(3.835251+(0.246024-1.740222))+0--85--0.130050000000005</f>
        <v>1617.5711029999998</v>
      </c>
      <c r="Q296" s="3">
        <f>2512.4+(159.5-1152)+(-2.562648+(-0.16269--1.17504))+0--83-0.0846600000000132</f>
        <v>1601.265042</v>
      </c>
      <c r="R296" s="3">
        <f>2527.5+(146.5-1202.1)+(-6.445125+(-0.373575--3.065355))+0--80.5-0.205274999999988</f>
        <v>1548.44138</v>
      </c>
      <c r="S296" s="3">
        <f>2550.1+(117.5-1194.4)+(-1.300551+(-0.059925--0.609144))+0--79.9-0.0407489999999919</f>
        <v>1552.3079189999999</v>
      </c>
      <c r="T296" s="3">
        <f>2559.8+(103.8-1225.6)+(-1.305498+(-0.052938--0.625056))+0--80.3-0.0409529999999919</f>
        <v>1517.5256670000003</v>
      </c>
      <c r="U296" s="3">
        <f>2677.3+(79-1327)+(1.365423+(0.04029-0.67677))+0--80.5--0.0410549999999918</f>
        <v>1510.5699980000002</v>
      </c>
      <c r="V296" s="3">
        <f>2699.8+(100.5-1333.4)+(0+(0-0))+0--81.4-0</f>
        <v>1548.3000000000002</v>
      </c>
      <c r="W296" s="3">
        <f>2761.9+(135.8-1361.5)+(1.408569+(0.069258-0.694365))+0--80.3--0.0409529999999919</f>
        <v>1617.324415</v>
      </c>
      <c r="X296" s="3">
        <f>2770.3+(152-1346.6)+(-7.064265+(-0.3876--3.43383))+0--81.2-0.207059999999988</f>
        <v>1652.6749050000003</v>
      </c>
      <c r="Y296" s="3">
        <f>2780.8+(130.8-1348.7)+(-5.672832+(-0.266832--2.751348))+0--82-0.167279999999996</f>
        <v>1641.5444040000002</v>
      </c>
      <c r="Z296" s="3">
        <f>2763.2+(117.2-1341.6)+(-7.04616+(-0.29886--3.42108))+0--81.4-0.207569999999988</f>
        <v>1616.0684900000001</v>
      </c>
      <c r="AA296" s="3">
        <f>2728.9+(117-1285.1)+(-2.783478+(-0.11934--1.310802))+0--82.6-0.0842520000000132</f>
        <v>1641.7237319999999</v>
      </c>
      <c r="AB296" s="3">
        <f>2665.2+(95.7-1280.6)+(-4.077756+(-0.146421--1.959318))+0--82.1-0.125613000000005</f>
        <v>1560.009528</v>
      </c>
      <c r="AC296" s="3">
        <f>2632.8+(84.9-1298)+(-2.685456+(-0.086598--1.32396))+0--83.4-0.0850680000000133</f>
        <v>1501.5668380000002</v>
      </c>
      <c r="AD296" s="2">
        <v>1651.1000000000004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2482.2+(60.5-1291)+(-1.265922+(-0.030855--0.65841))+0--83.4-0.0425339999999915</f>
        <v>1334.419099</v>
      </c>
      <c r="G297" s="3">
        <f>2482.7+(53.7-1359.9)+(3.798531+(0.082161-2.080647))+0--81.7--0.125001000000005</f>
        <v>1260.1250459999999</v>
      </c>
      <c r="H297" s="3">
        <f>2487.9+(55.6-1403.5)+(-1.268829+(-0.028356--0.715785))+0--81.4-0.0415139999999917</f>
        <v>1220.7770860000001</v>
      </c>
      <c r="I297" s="3">
        <f>2427.7+(51.6-1360.4)+(3.714381+(0.078948-2.081412))+0--81--0.123930000000005</f>
        <v>1201.7358469999997</v>
      </c>
      <c r="J297" s="3">
        <f>2399.8+(42.7-1327.2)+(0+(0-0))+0--81.4-0</f>
        <v>1196.7000000000003</v>
      </c>
      <c r="K297" s="3">
        <f>2448.1+(43.6-1344.6)+(4.994124+(0.088944-2.742984))+0--80.3--0.163811999999996</f>
        <v>1229.9038959999998</v>
      </c>
      <c r="L297" s="3">
        <f>2516.3+(45.4-1333.4)+(-5.133252+(-0.092616--2.720136))+0--82.3-0.167891999999996</f>
        <v>1307.9263760000001</v>
      </c>
      <c r="M297" s="3">
        <f>2541.7+(55.7-1320.1)+(-1.296267+(-0.028407--0.673251))+0--82.9-0.0422789999999916</f>
        <v>1359.506298</v>
      </c>
      <c r="N297" s="3">
        <f>2582.8+(94.5-1241.3)+(-1.317228+(-0.048195--0.633063))+0--80.2-0.0409019999999919</f>
        <v>1515.4267380000003</v>
      </c>
      <c r="O297" s="3">
        <f>2664.8+(82.9-1284)+(2.718096+(0.084558-1.30968))+0--79.9--0.0814980000000127</f>
        <v>1545.1744720000004</v>
      </c>
      <c r="P297" s="3">
        <f>2772.8+(59-1355.1)+(-1.414128+(-0.03009--0.691101))+0--78.9-0.040238999999992</f>
        <v>1554.8066440000005</v>
      </c>
      <c r="Q297" s="3">
        <f>2829.2+(44.7-1408.5)+(0+(0-0))+0--79-0</f>
        <v>1544.3999999999999</v>
      </c>
      <c r="R297" s="3">
        <f>2805.4+(26.8-1425.3)+(-4.292262+(-0.041004--2.180709))+0--78.1-0.119493000000004</f>
        <v>1482.7279500000002</v>
      </c>
      <c r="S297" s="3">
        <f>2854.5+(21-1543.8)+(0+(0-0))+0--77.3-0</f>
        <v>1409</v>
      </c>
      <c r="T297" s="3">
        <f>3072.5+(35-1804)+(-7.834875+(-0.08925--4.6002))+0--77.6-0.197879999999989</f>
        <v>1377.5781950000001</v>
      </c>
      <c r="U297" s="3">
        <f>3088.6+(15-1817.5)+(-4.725558+(-0.02295--2.780775))+0--78.2-0.119646000000005</f>
        <v>1362.2126209999999</v>
      </c>
      <c r="V297" s="3">
        <f>3143.6+(9-1857)+(-4.809708+(-0.01377--2.84121))+0--78.7-0.120411000000005</f>
        <v>1372.1973209999999</v>
      </c>
      <c r="W297" s="3">
        <f>3239.8+(10-1791.6)+(1.652298+(0.0051-0.913716))+0--78.7--0.040136999999992</f>
        <v>1537.6838190000003</v>
      </c>
      <c r="X297" s="3">
        <f>3321+(9-1755)+(-3.38742+(-0.00918--1.7901))+0--79.7-0.0812940000000127</f>
        <v>1653.0122059999999</v>
      </c>
      <c r="Y297" s="3">
        <f>3323.2+(9-1795)+(-3.389664+(-0.00918--1.8309))+0--81.1-0.0827220000000129</f>
        <v>1616.6493339999997</v>
      </c>
      <c r="Z297" s="3">
        <f>3315.8+(9-1832.6)+(-8.45529+(-0.02295--4.67313))+0--83.1-0.211904999999988</f>
        <v>1571.2829850000003</v>
      </c>
      <c r="AA297" s="3">
        <f>3278.7+(9-1830.7)+(0+(0-0))+0--83.2-0</f>
        <v>1540.1999999999998</v>
      </c>
      <c r="AB297" s="3">
        <f>3235.8+(9-1850.9)+(-8.25129+(-0.02295--4.719795))+0--84.6-0.215729999999988</f>
        <v>1474.7298250000001</v>
      </c>
      <c r="AC297" s="3">
        <f>3251.2+(7-1953.8)+(-3.316224+(-0.00714--1.992876))+0--85.7-0.0874140000000137</f>
        <v>1388.6820979999998</v>
      </c>
      <c r="AD297" s="2">
        <v>1626.6000000000001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3306+(7.2-2097.2)+(-3.37212+(-0.007344--2.139144))+0--85.5-0.0872100000000136</f>
        <v>1300.17247</v>
      </c>
      <c r="G298" s="3">
        <f>3319+(7.2-2177.6)+(0+(0-0))+0--85.9-0</f>
        <v>1234.5</v>
      </c>
      <c r="H298" s="3">
        <f>3164.3+(7.1-2065.4)+(-1.613793+(-0.003621--1.053354))+0--86.4-0.0440639999999912</f>
        <v>1191.7918760000002</v>
      </c>
      <c r="I298" s="3">
        <f>3132.3+(7.1-2077.9)+(4.792419+(0.010863-3.179187))+0--86.6--0.132498000000005</f>
        <v>1149.8565929999997</v>
      </c>
      <c r="J298" s="3">
        <f>3212.5+(7.1-2151.2)+(-8.191875+(-0.018105--5.48556))+0--88-0.224399999999987</f>
        <v>1153.45118</v>
      </c>
      <c r="K298" s="3">
        <f>3180.3+(7.1-2107.5)+(1.621953+(0.003621-1.074825))+0--89.3--0.0455429999999909</f>
        <v>1169.796292</v>
      </c>
      <c r="L298" s="3">
        <f>3154+(2-2045.8)+(-8.0427+(-0.0051--5.21679))+0--90.2-0.230009999999987</f>
        <v>1197.33898</v>
      </c>
      <c r="M298" s="3">
        <f>3078.2+(2-1956.3)+(-12.559056+(-0.00816--7.981704))+0--90.9-0.370871999999992</f>
        <v>1209.8436159999999</v>
      </c>
      <c r="N298" s="3">
        <f>2930.5+(2-1757.5)+(-1.494555+(-0.00102--0.896325))+0--90.6-0.0462059999999908</f>
        <v>1264.9545439999999</v>
      </c>
      <c r="O298" s="3">
        <f>3114+(2-1877.2)+(-3.17628+(-0.00204--1.914744))+0--89.1-0.0908820000000142</f>
        <v>1326.5455419999998</v>
      </c>
      <c r="P298" s="3">
        <f>3132.1+(2-1865.8)+(4.792113+(0.00306-2.854674))+0--89.1--0.136323000000005</f>
        <v>1359.4768219999999</v>
      </c>
      <c r="Q298" s="3">
        <f>3272+(2-2006.1)+(-8.3436+(-0.0051--5.115555))+0--90.1-0.229754999999987</f>
        <v>1354.5371</v>
      </c>
      <c r="R298" s="3">
        <f>3292.1+(7.2-2038.7)+(-8.394855+(-0.01836--5.198685))+0--89.9-0.229244999999987</f>
        <v>1347.056225</v>
      </c>
      <c r="S298" s="3">
        <f>3090.7+(8.2-1846.1)+(0+(0-0))+0--89.8-0</f>
        <v>1342.6</v>
      </c>
      <c r="T298" s="3">
        <f>2948.4+(8.2-1734.1)+(-3.007368+(-0.008364--1.768782))+0--89.2-0.0909840000000142</f>
        <v>1310.3620660000004</v>
      </c>
      <c r="U298" s="3">
        <f>2890.7+(7.2-1692.3)+(0+(0-0))+0--89-0</f>
        <v>1294.5999999999999</v>
      </c>
      <c r="V298" s="3">
        <f>3078.1+(7.2-1877.1)+(1.569831+(0.003672-0.957321))+0--90.7--0.0462569999999908</f>
        <v>1299.562439</v>
      </c>
      <c r="W298" s="3">
        <f>3444.8+(8.2-2046.3)+(-1.756848+(-0.004182--1.043613))+0--90.4-0.0461039999999908</f>
        <v>1496.3364790000003</v>
      </c>
      <c r="X298" s="3">
        <f>3465.9+(9.2-1932.4)+(-1.767609+(-0.004692--0.985524))+0--90.4-0.0461039999999908</f>
        <v>1632.2671190000001</v>
      </c>
      <c r="Y298" s="3">
        <f>3396.1+(9.8-1876.7)+(0+(0-0))+0--90.7-0</f>
        <v>1619.8999999999999</v>
      </c>
      <c r="Z298" s="3">
        <f>3303.5+(9.8-1812)+(1.684785+(0.004998-0.92412))+0--91.2--0.0465119999999907</f>
        <v>1593.3121749999998</v>
      </c>
      <c r="AA298" s="3">
        <f>3232.9+(9.6-1770.5)+(6.595116+(0.019584-3.61182))+0--91.1--0.185843999999996</f>
        <v>1566.288724</v>
      </c>
      <c r="AB298" s="3">
        <f>3218.3+(9.6-1800.8)+(0+(0-0))+0--91.1-0</f>
        <v>1518.2</v>
      </c>
      <c r="AC298" s="3">
        <f>3194.4+(6.4-1862.3)+(-11.404008+(-0.022848--6.648411))+0--92.6-0.330582000000001</f>
        <v>1425.9909730000002</v>
      </c>
      <c r="AD298" s="2">
        <v>1628.8999999999999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3212.5+(7.4-1970.4)+(-6.5535+(-0.015096--4.019616))+0--92.3-0.188291999999996</f>
        <v>1339.0627279999999</v>
      </c>
      <c r="G299" s="3">
        <f>3059+(7.5-1906.8)+(-6.24036+(-0.0153--3.889872))+0--92.3-0.188291999999996</f>
        <v>1249.4459199999999</v>
      </c>
      <c r="H299" s="3">
        <f>3084.9+(7.4-1948.2)+(-4.719897+(-0.011322--2.980746))+0--92.6-0.141678000000005</f>
        <v>1234.807849</v>
      </c>
      <c r="I299" s="3">
        <f>2873.1+(7.4-1747.6)+(-4.395843+(-0.011322--2.673828))+0--92.7-0.141831000000005</f>
        <v>1223.7248320000003</v>
      </c>
      <c r="J299" s="3">
        <f>2762.4+(7.4-1650)+(2.817648+(0.007548-1.683))+0--92.4--0.0942480000000147</f>
        <v>1213.4364440000004</v>
      </c>
      <c r="K299" s="3">
        <f>2845.5+(7.3-1712.8)+(5.80482+(0.014892-3.494112))+0--92.4--0.188495999999996</f>
        <v>1234.914096</v>
      </c>
      <c r="L299" s="3">
        <f>3106.3+(7.3-1917.8)+(-6.336852+(-0.014892--3.912312))+0--92.6-0.188903999999996</f>
        <v>1285.7716640000001</v>
      </c>
      <c r="M299" s="3">
        <f>2897+(7.3-1678.6)+(1.47747+(0.003723-0.856086))+0--56.1--0.0286109999999943</f>
        <v>1282.453718</v>
      </c>
      <c r="N299" s="3">
        <f>2941+(7.3-1641.6)+(-4.49973+(-0.011169--2.511648))+0--58.9-0.0901170000000034</f>
        <v>1363.5106320000002</v>
      </c>
      <c r="O299" s="3">
        <f>3169.6+(7.3-1788.4)+(-1.616496+(-0.003723--0.912084))+0--64.2-0.0327419999999935</f>
        <v>1451.9591229999996</v>
      </c>
      <c r="P299" s="3">
        <f>3414+(8.3-2001.3)+(-6.96456+(-0.016932--4.082652))+0--88.3-0.180131999999996</f>
        <v>1506.2210279999999</v>
      </c>
      <c r="Q299" s="3">
        <f>3400.2+(7.3-1933.7)+(-1.734102+(-0.003723--0.986187))+0--38.1-0.0194309999999961</f>
        <v>1511.1289309999997</v>
      </c>
      <c r="R299" s="3">
        <f>3381.8+(7.3-1962.2)+(-12.073026+(-0.026061--7.005054))+0--69.8-0.249186000000001</f>
        <v>1491.356781</v>
      </c>
      <c r="S299" s="3">
        <f>3309.3+(7.3-1826.4)+(0+(0-0))+0--78.5-0</f>
        <v>1568.7</v>
      </c>
      <c r="T299" s="3">
        <f>3288.4+(7.3-1807.2)+(-3.354168+(-0.007446--1.843344))+0--81.3-0.082926000000013</f>
        <v>1568.1988039999999</v>
      </c>
      <c r="U299" s="3">
        <f>3322.4+(7.3-1874.5)+(0+(0-0))+0--86.5-0</f>
        <v>1541.7</v>
      </c>
      <c r="V299" s="3">
        <f>3290.8+(7.3-1907.4)+(-1.678308+(-0.003723--0.972774))+0--82.6-0.0421259999999916</f>
        <v>1472.5486169999999</v>
      </c>
      <c r="W299" s="3">
        <f>3367.8+(9.3-1822.9)+(1.717578+(0.004743-0.929679))+0--86.7--0.0442169999999912</f>
        <v>1641.7368589999999</v>
      </c>
      <c r="X299" s="3">
        <f>3465.1+(9.3-1792)+(-5.301603+(-0.014229--2.74176))+0--87-0.133110000000005</f>
        <v>1766.692818</v>
      </c>
      <c r="Y299" s="3">
        <f>3464.8+(9.3-1820)+(-5.301144+(-0.014229--2.7846))+0--87.7-0.134181000000005</f>
        <v>1739.1350460000003</v>
      </c>
      <c r="Z299" s="3">
        <f>3380.8+(9.3-1739.7)+(-1.724208+(-0.004743--0.887247))+0--86.9-0.0443189999999912</f>
        <v>1736.4139770000002</v>
      </c>
      <c r="AA299" s="3">
        <f>3312.4+(8.3-1709.9)+(-1.689324+(-0.004233--0.872049))+0--87.9-0.0448289999999911</f>
        <v>1697.8336630000001</v>
      </c>
      <c r="AB299" s="3">
        <f>3298.2+(8.3-1770.5)+(-6.728328+(-0.016932--3.61182))+0--88-0.179519999999996</f>
        <v>1620.6870399999998</v>
      </c>
      <c r="AC299" s="3">
        <f>3263.9+(7.3-1856.2)+(-4.993767+(-0.011169--2.839986))+0--90.1-0.137853000000005</f>
        <v>1502.7971969999999</v>
      </c>
      <c r="AD299" s="2">
        <v>1787.7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2849.1+(7.6-1584.4)+(1.453041+(0.003876-0.808044))+0--88.5--0.045134999999991</f>
        <v>1361.4940079999999</v>
      </c>
      <c r="G300" s="3">
        <f>2578.1+(21-1396.1)+(2.629662+(0.02142-1.424022))+0--88.6--0.0903720000000141</f>
        <v>1292.917432</v>
      </c>
      <c r="H300" s="3">
        <f>2559.8+(22.5-1404.3)+(1.305498+(0.011475-0.716193))+0--88.5--0.045134999999991</f>
        <v>1267.1459150000003</v>
      </c>
      <c r="I300" s="3">
        <f>2463.9+(78.4-1384)+(3.769767+(0.119952-2.11752))+0--89.1--0.136323000000005</f>
        <v>1249.308522</v>
      </c>
      <c r="J300" s="3">
        <f>2464.9+(73.8-1377.6)+(5.028396+(0.150552-2.810304))+0--90.5--0.184619999999996</f>
        <v>1254.153264</v>
      </c>
      <c r="K300" s="3">
        <f>2465.1+(103.2-1362.9)+(0+(0-0))+0--90.3-0</f>
        <v>1295.6999999999998</v>
      </c>
      <c r="L300" s="3">
        <f>2658.2+(104.1-1430.5)+(2.711364+(0.106182-1.45911))+0--90.7--0.0925140000000145</f>
        <v>1423.9509499999997</v>
      </c>
      <c r="M300" s="3">
        <f>2808.1+(75.6-1467.4)+(4.296393+(0.115668-2.245122))+0--91--0.139230000000005</f>
        <v>1509.6061689999997</v>
      </c>
      <c r="N300" s="3">
        <f>2853.7+(71.6-1456.6)+(4.366161+(0.109548-2.228598))+0--90.6--0.138618000000005</f>
        <v>1561.6857289999996</v>
      </c>
      <c r="O300" s="3">
        <f>2879.5+(69.5-1418.4)+(7.342725+(0.177225-3.61692))+0--88.7--0.226184999999987</f>
        <v>1623.4292149999999</v>
      </c>
      <c r="P300" s="3">
        <f>2906.7+(66.5-1396.3)+(2.964834+(0.06783-1.424226))+0--88.9--0.0906780000000142</f>
        <v>1667.499116</v>
      </c>
      <c r="Q300" s="3">
        <f>2943.2+(48.4-1432.9)+(6.004128+(0.098736-2.923116))+0--88.8--0.181151999999996</f>
        <v>1650.8608999999997</v>
      </c>
      <c r="R300" s="3">
        <f>2957.2+(39.3-1456)+(-3.016344+(-0.040086--1.48512))+0--88-0.089760000000014</f>
        <v>1626.8389299999997</v>
      </c>
      <c r="S300" s="3">
        <f>2959.5+(33.5-1476.8)+(1.509345+(0.017085-0.753168))+0--87.8--0.0447779999999911</f>
        <v>1604.8180399999999</v>
      </c>
      <c r="T300" s="3">
        <f>2960.1+(26.6-1504.9)+(0+(0-0))+0--88.2-0</f>
        <v>1569.9999999999998</v>
      </c>
      <c r="U300" s="3">
        <f>2986.2+(27.6-1538.5)+(-3.045924+(-0.028152--1.56927))+0--87.8-0.089556000000014</f>
        <v>1561.5056379999999</v>
      </c>
      <c r="V300" s="3">
        <f>3007.8+(35.6-1567.1)+(0+(0-0))+0--88.7-0</f>
        <v>1565.0000000000002</v>
      </c>
      <c r="W300" s="3">
        <f>3224.6+(28.6-1592.6)+(0+(0-0))+0--87.8-0</f>
        <v>1748.3999999999999</v>
      </c>
      <c r="X300" s="3">
        <f>3339.6+(28.6-1574.7)+(-5.109588+(-0.043758--2.409291))+0--87.1-0.133263000000005</f>
        <v>1877.7226819999998</v>
      </c>
      <c r="Y300" s="3">
        <f>3289.5+(27.6-1568.4)+(-3.35529+(-0.028152--1.599768))+0--87.3-0.0890460000000139</f>
        <v>1834.1272799999997</v>
      </c>
      <c r="Z300" s="3">
        <f>3210.5+(33.6-1541.5)+(-3.27471+(-0.034272--1.57233))+0--87-0.0887400000000139</f>
        <v>1787.7746079999999</v>
      </c>
      <c r="AA300" s="3">
        <f>2802.3+(66.1-1212.4)+(-1.429173+(-0.033711--0.618324))+0--87.8-0.0447779999999911</f>
        <v>1742.910662</v>
      </c>
      <c r="AB300" s="3">
        <f>2540.3+(63.4-1034.7)+(-3.886659+(-0.097002--1.583091))+0--88.4-0.135252000000005</f>
        <v>1654.864178</v>
      </c>
      <c r="AC300" s="3">
        <f>2383.3+(61.6-991)+(-4.861932+(-0.125664--2.02164))+0--88.7-0.180947999999996</f>
        <v>1539.4530960000002</v>
      </c>
      <c r="AD300" s="2">
        <v>1879.8999999999996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2174.2+(80.5-920.4)+(-5.54421+(-0.205275--2.34702))+0--88.3-0.225164999999987</f>
        <v>1418.9723699999997</v>
      </c>
      <c r="G301" s="3">
        <f>1948.3+(85.7-771.8)+(-4.968165+(-0.218535--1.96809))+0--88.6-0.225929999999987</f>
        <v>1347.35546</v>
      </c>
      <c r="H301" s="3">
        <f>1849.1+(92.9-718.8)+(-3.772164+(-0.189516--1.466352))+0--88.9-0.181355999999996</f>
        <v>1309.4233159999999</v>
      </c>
      <c r="I301" s="3">
        <f>1790.4+(76-668.7)+(-0.913104+(-0.03876--0.341037))+0--89.7-0.0457469999999909</f>
        <v>1286.7434260000002</v>
      </c>
      <c r="J301" s="3">
        <f>1790.1+(88.8-673.4)+(-3.651804+(-0.181152--1.373736))+0--89.9-0.183395999999996</f>
        <v>1292.7573840000002</v>
      </c>
      <c r="K301" s="3">
        <f>1938.9+(90.6-784.7)+(4.944195+(0.23103-2.000985))+0--89.7--0.228734999999987</f>
        <v>1337.9029750000002</v>
      </c>
      <c r="L301" s="3">
        <f>2249.1+(90.7-976.6)+(0+(0-0))+0--90.5-0</f>
        <v>1453.6999999999998</v>
      </c>
      <c r="M301" s="3">
        <f>2450.8+(59.7-1112.5)+(-1.249908+(-0.030447--0.567375))+0--91.9-0.0468689999999907</f>
        <v>1489.1401510000003</v>
      </c>
      <c r="N301" s="3">
        <f>2764.9+(53-1323.9)+(-2.820198+(-0.05406--1.350378))+0--91-0.0928200000000145</f>
        <v>1583.3833</v>
      </c>
      <c r="O301" s="3">
        <f>2970+(44-1465.2)+(1.5147+(0.02244-0.747252))+0--89.5--0.0456449999999909</f>
        <v>1639.1355329999999</v>
      </c>
      <c r="P301" s="3">
        <f>3179.4+(33-1589.1)+(-1.621494+(-0.01683--0.810441))+0--88.5-0.045134999999991</f>
        <v>1710.9269820000002</v>
      </c>
      <c r="Q301" s="3">
        <f>3201.5+(8-1577.7)+(-4.898295+(-0.01224--2.413881))+0--87.4-0.133722000000005</f>
        <v>1716.569624</v>
      </c>
      <c r="R301" s="3">
        <f>3160+(7-1642.6)+(-8.058+(-0.01785--4.18863))+0--86.9-0.221594999999987</f>
        <v>1607.1911850000001</v>
      </c>
      <c r="S301" s="3">
        <f>3147.7+(7-1632.5)+(-1.605327+(-0.00357--0.832575))+0--86.3-0.0440129999999912</f>
        <v>1607.6796649999999</v>
      </c>
      <c r="T301" s="3">
        <f>3143.1+(22.1-1665.2)+(1.602981+(0.011271-0.849252))+0--86--0.0438599999999913</f>
        <v>1586.8088599999999</v>
      </c>
      <c r="U301" s="3">
        <f>3121.4+(44.6-1684.4)+(1.591914+(0.022746-0.859044))+0--86--0.0438599999999913</f>
        <v>1568.3994759999998</v>
      </c>
      <c r="V301" s="3">
        <f>3159.9+(36.2-1710)+(1.611549+(0.018462-0.8721))+0--86.3--0.0440129999999912</f>
        <v>1573.201924</v>
      </c>
      <c r="W301" s="3">
        <f>3260.7+(33.1-1621.4)+(1.662957+(0.016881-0.826914))+0--86.4--0.0440639999999912</f>
        <v>1759.6969879999997</v>
      </c>
      <c r="X301" s="3">
        <f>3357.2+(32.9-1584.2)+(-3.424344+(-0.033558--1.615884))+0--86.6-0.0883320000000138</f>
        <v>1890.5696499999997</v>
      </c>
      <c r="Y301" s="3">
        <f>3357.3+(37.4-1629.8)+(-3.424446+(-0.038148--1.662396))+0--87.1-0.0888420000000139</f>
        <v>1850.1109600000002</v>
      </c>
      <c r="Z301" s="3">
        <f>3238+(36.8-1547.3)+(1.65138+(0.018768-0.789123))+0--87.6--0.0446759999999911</f>
        <v>1816.0257009999998</v>
      </c>
      <c r="AA301" s="3">
        <f>2711.5+(81.2-1139.6)+(1.382865+(0.041412-0.581196))+0--88.6--0.045185999999991</f>
        <v>1742.5882670000001</v>
      </c>
      <c r="AB301" s="3">
        <f>2282.6+(135.4-879.4)+(-1.164126+(-0.069054--0.448494))+0--89.2-0.0454919999999909</f>
        <v>1626.969822</v>
      </c>
      <c r="AC301" s="3">
        <f>1876.3+(170.4-638.8)+(-0.956913+(-0.086904--0.325788))+0--89.3-0.0455429999999909</f>
        <v>1496.4364280000002</v>
      </c>
      <c r="AD301" s="2">
        <v>1901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1792.7+(139.3-651.6)+(-1.828554+(-0.142086--0.664632))+0--89.6-0.0913920000000143</f>
        <v>1368.6025999999999</v>
      </c>
      <c r="G302" s="3">
        <f>1729+(104.9-628.8)+(-0.88179+(-0.053499--0.320688))+0--89.8-0.0457979999999909</f>
        <v>1294.2396009999998</v>
      </c>
      <c r="H302" s="3">
        <f>1796.4+(82.2-724.1)+(1.832328+(0.083844-0.738582))+0--90.5--0.0923100000000144</f>
        <v>1246.2699</v>
      </c>
      <c r="I302" s="3">
        <f>1837+(59.9-753.3)+(-2.81061+(-0.091647--1.152549))+0--90.7-0.138771000000005</f>
        <v>1232.411521</v>
      </c>
      <c r="J302" s="3">
        <f>1871.6+(70.6-797.7)+(0+(0-0))+0--90.9-0</f>
        <v>1235.4000000000001</v>
      </c>
      <c r="K302" s="3">
        <f>1984.8+(92.3-885.2)+(1.012248+(0.047073-0.451452))+0--90.9--0.0463589999999908</f>
        <v>1283.4542279999998</v>
      </c>
      <c r="L302" s="3">
        <f>2210.7+(164.7-982.8)+(-1.127457+(-0.083997--0.501228))+0--92-0.0469199999999907</f>
        <v>1483.842854</v>
      </c>
      <c r="M302" s="3">
        <f>2339.4+(163.5-1037.2)+(1.193094+(0.083385-0.528972))+0--93--0.0474299999999906</f>
        <v>1559.4949370000002</v>
      </c>
      <c r="N302" s="3">
        <f>2661.2+(124.6-1245.8)+(0+(0-0))+0--91.9-0</f>
        <v>1631.8999999999999</v>
      </c>
      <c r="O302" s="3">
        <f>2721.6+(126.1-1265.7)+(1.388016+(0.064311-0.645507))+0--90.5--0.0461549999999908</f>
        <v>1673.3529749999998</v>
      </c>
      <c r="P302" s="3">
        <f>2881.8+(111-1394.5)+(0+(0-0))+0--89-0</f>
        <v>1687.3000000000002</v>
      </c>
      <c r="Q302" s="3">
        <f>2938.2+(107.5-1446.2)+(-4.495446+(-0.164475--2.212686))+0--88.9-0.136017000000005</f>
        <v>1685.8167479999997</v>
      </c>
      <c r="R302" s="3">
        <f>2857.4+(90.4-1390.7)+(1.457274+(0.046104-0.709257))+0--87.7--0.0447269999999911</f>
        <v>1645.6388480000001</v>
      </c>
      <c r="S302" s="3">
        <f>2776.8+(87.7-1305.7)+(2.832336+(0.089454-1.331814))+0--87.1--0.0888420000000139</f>
        <v>1647.5788180000002</v>
      </c>
      <c r="T302" s="3">
        <f>2898.6+(61.7-1431.2)+(0+(0-0))+0--86.4-0</f>
        <v>1615.5</v>
      </c>
      <c r="U302" s="3">
        <f>3163.9+(40.4-1689.2)+(-6.454356+(-0.082416--3.445968))+0--86.8-0.177071999999996</f>
        <v>1598.6321240000002</v>
      </c>
      <c r="V302" s="3">
        <f>3171.8+(42.6-1666)+(-4.852854+(-0.065178--2.54898))+0--87.2-0.133416000000005</f>
        <v>1633.0975320000002</v>
      </c>
      <c r="W302" s="3">
        <f>3200.5+(37.1-1540.1)+(8.161275+(0.094605-3.927255))+0--86.5--0.220574999999987</f>
        <v>1788.5492000000002</v>
      </c>
      <c r="X302" s="3">
        <f>3214.7+(60.1-1432.1)+(-4.918491+(-0.091953--2.191113))+0--86.6-0.132498000000005</f>
        <v>1926.3481709999999</v>
      </c>
      <c r="Y302" s="3">
        <f>3187.5+(55.2-1467)+(-4.876875+(-0.084456--2.24451))+0--87.2-0.133416000000005</f>
        <v>1860.0497630000002</v>
      </c>
      <c r="Z302" s="3">
        <f>2767.8+(133.3-1247.6)+(-2.823156+(-0.135966--1.272552))+0--87.8-0.089556000000014</f>
        <v>1739.5238740000002</v>
      </c>
      <c r="AA302" s="3">
        <f>2484+(206.5-1015.3)+(1.26684+(0.105315-0.517803))+0--88.3--0.045032999999991</f>
        <v>1764.3993850000002</v>
      </c>
      <c r="AB302" s="3">
        <f>2149.8+(218-776.3)+(0+(0-0))+0--88.8-0</f>
        <v>1680.3000000000002</v>
      </c>
      <c r="AC302" s="3">
        <f>1977+(202.4-709.8)+(1.00827+(0.103224-0.361998))+0--88.7--0.045236999999991</f>
        <v>1559.0947329999999</v>
      </c>
      <c r="AD302" s="2">
        <v>1924.9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1973.6+(160.5-786.2)+(-1.006536+(-0.081855--0.400962))+0--89.5-0.0456449999999909</f>
        <v>1436.6669259999999</v>
      </c>
      <c r="G303" s="3">
        <f>1945.3+(146.1-817.4)+(-2.976309+(-0.223533--1.250622))+0--90.2-0.138006000000005</f>
        <v>1362.1127740000002</v>
      </c>
      <c r="H303" s="3">
        <f>1700.2+(174.4-638.1)+(-2.601306+(-0.266832--0.976293))+0--90.6-0.138618000000005</f>
        <v>1325.0695369999999</v>
      </c>
      <c r="I303" s="3">
        <f>1580.3+(183.7-545.8)+(0.805953+(0.093687-0.278358))+0--90.6--0.0462059999999908</f>
        <v>1309.467488</v>
      </c>
      <c r="J303" s="3">
        <f>1646.9+(181.5-613.6)+(0+(0-0))+0--90.7-0</f>
        <v>1305.5000000000002</v>
      </c>
      <c r="K303" s="3">
        <f>1785+(176-667.9)+(0+(0-0))+0--91-0</f>
        <v>1384.1</v>
      </c>
      <c r="L303" s="3">
        <f>2049.3+(170-856.1)+(-2.090286+(-0.1734--0.873222))+0--91.1-0.0929220000000145</f>
        <v>1452.8166140000001</v>
      </c>
      <c r="M303" s="3">
        <f>2302.6+(131.7-1025.7)+(1.174326+(0.067167-0.523107))+0--90.4--0.0461039999999908</f>
        <v>1499.76449</v>
      </c>
      <c r="N303" s="3">
        <f>2465.1+(94.4-1086.1)+(2.514402+(0.096288-1.107822))+0--88.2--0.0899640000000141</f>
        <v>1563.1928320000002</v>
      </c>
      <c r="O303" s="3">
        <f>2559.4+(115.4-1137.5)+(3.915882+(0.176562-1.740375))+0--87.5--0.133875000000005</f>
        <v>1627.2859440000002</v>
      </c>
      <c r="P303" s="3">
        <f>2749.6+(78.7-1258.3)+(-2.804592+(-0.080274--1.283466))+0--87.3-0.0890460000000139</f>
        <v>1655.6095539999999</v>
      </c>
      <c r="Q303" s="3">
        <f>2802.5+(69.4-1281.8)+(2.85855+(0.070788-1.307436))+0--86.8--0.0885360000000138</f>
        <v>1678.6104380000002</v>
      </c>
      <c r="R303" s="3">
        <f>2790.9+(67.6-1337.5)+(-4.270077+(-0.103428--2.046375))+0--86.6-0.132498000000005</f>
        <v>1605.1403720000001</v>
      </c>
      <c r="S303" s="3">
        <f>2782.6+(66.5-1322.1)+(1.419126+(0.033915-0.674271))+0--85--0.0433499999999914</f>
        <v>1612.8221199999998</v>
      </c>
      <c r="T303" s="3">
        <f>2783.5+(56.9-1320.8)+(-4.258755+(-0.087057--2.020824))+0--84.7-0.129591000000005</f>
        <v>1601.845421</v>
      </c>
      <c r="U303" s="3">
        <f>2720+(54.9-1269.6)+(-2.7744+(-0.055998--1.294992))+0--84.4-0.0860880000000135</f>
        <v>1588.0785060000003</v>
      </c>
      <c r="V303" s="3">
        <f>2676.1+(84.6-1257)+(-1.364811+(-0.043146--0.64107))+0--84.4-0.0430439999999914</f>
        <v>1587.2900689999999</v>
      </c>
      <c r="W303" s="3">
        <f>2806.5+(120.8-1265.8)+(0+(0-0))+0--83.8-0</f>
        <v>1745.3</v>
      </c>
      <c r="X303" s="3">
        <f>2837.3+(140.3-1183.8)+(-4.341069+(-0.214659--1.811214))+0--83.2-0.127296000000005</f>
        <v>1874.1281900000001</v>
      </c>
      <c r="Y303" s="3">
        <f>2869.1+(110-1214.9)+(-4.389723+(-0.1683--1.858797))+0--85.1-0.130203000000005</f>
        <v>1846.4705709999998</v>
      </c>
      <c r="Z303" s="3">
        <f>2783.7+(98.9-1219.1)+(-2.839374+(-0.100878--1.243482))+0--84.8-0.0864960000000135</f>
        <v>1746.5167339999998</v>
      </c>
      <c r="AA303" s="3">
        <f>2560.9+(131.9-1040.1)+(-2.612118+(-0.134538--1.060902))+0--86-0.0877200000000137</f>
        <v>1736.9265260000002</v>
      </c>
      <c r="AB303" s="3">
        <f>2262.5+(138-811.2)+(-3.461625+(-0.21114--1.241136))+0--86.4-0.132192000000005</f>
        <v>1673.1361790000001</v>
      </c>
      <c r="AC303" s="3">
        <f>2078.4+(121.7-741.4)+(-3.179952+(-0.186201--1.134342))+0--86.7-0.132651000000005</f>
        <v>1543.0355380000003</v>
      </c>
      <c r="AD303" s="2">
        <v>1879.3999999999999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2057+(126.9-840.8)+(-4.19628+(-0.258876--1.715232))+0--86.9-0.177275999999996</f>
        <v>1427.0828000000001</v>
      </c>
      <c r="G304" s="3">
        <f>1950.9+(133.5-805.3)+(0+(0-0))+0--87.5-0</f>
        <v>1366.6000000000001</v>
      </c>
      <c r="H304" s="3">
        <f>1875.9+(115-757.1)+(-4.783545+(-0.29325--1.930605))+0--87.8-0.223889999999987</f>
        <v>1318.2299200000002</v>
      </c>
      <c r="I304" s="3">
        <f>1879.6+(112.4-767.6)+(-2.875788+(-0.171972--1.174428))+0--87-0.133110000000005</f>
        <v>1309.393558</v>
      </c>
      <c r="J304" s="3">
        <f>1860.9+(132.6-778.1)+(0.949059+(0.067626-0.396831))+0--86.1--0.0439109999999913</f>
        <v>1302.163765</v>
      </c>
      <c r="K304" s="3">
        <f>1999.5+(135.6-882.5)+(4.07898+(0.276624-1.8003))+0--84.6--0.172583999999996</f>
        <v>1339.9278879999997</v>
      </c>
      <c r="L304" s="3">
        <f>2314.9+(97.6-1163.2)+(-2.361198+(-0.099552--1.186464))+0--85.6-0.0873120000000136</f>
        <v>1333.5384019999997</v>
      </c>
      <c r="M304" s="3">
        <f>2585.8+(48.3-1219.7)+(-1.318758+(-0.024633--0.622047))+0--86.5-0.0441149999999912</f>
        <v>1500.1345410000001</v>
      </c>
      <c r="N304" s="3">
        <f>2649.9+(69.7-1227.8)+(0+(0-0))+0--84.7-0</f>
        <v>1576.5000000000002</v>
      </c>
      <c r="O304" s="3">
        <f>2784+(86.9-1291.7)+(1.41984+(0.044319-0.658767))+0--83.3--0.0424829999999915</f>
        <v>1663.3478749999999</v>
      </c>
      <c r="P304" s="3">
        <f>2835.1+(91.5-1349.5)+(4.337703+(0.139995-2.064735))+0--82.9--0.126837000000005</f>
        <v>1662.5398</v>
      </c>
      <c r="Q304" s="3">
        <f>2859.6+(94.6-1354.1)+(-2.916792+(-0.096492--1.381182))+0--81.5-0.083130000000013</f>
        <v>1679.8847679999999</v>
      </c>
      <c r="R304" s="3">
        <f>2869.5+(85.1-1417.6)+(-2.92689+(-0.086802--1.445952))+0--82.4-0.0840480000000131</f>
        <v>1617.7482120000002</v>
      </c>
      <c r="S304" s="3">
        <f>2863.7+(71.3-1414.6)+(-1.460487+(-0.036363--0.721446))+0--82.2-0.0419219999999917</f>
        <v>1601.782674</v>
      </c>
      <c r="T304" s="3">
        <f>2855+(43.5-1417.7)+(0+(0-0))+0--82.3-0</f>
        <v>1563.1</v>
      </c>
      <c r="U304" s="3">
        <f>2855+(42.7-1440.4)+(-2.9121+(-0.043554--1.469208))+0--84.8-0.0864960000000135</f>
        <v>1540.5270579999999</v>
      </c>
      <c r="V304" s="3">
        <f>2872.8+(43.1-1449.5)+(0+(0-0))+0--85.1-0</f>
        <v>1551.5</v>
      </c>
      <c r="W304" s="3">
        <f>3012.3+(79.7-1481.1)+(-1.536273+(-0.040647--0.755361))+0--84.9-0.0432989999999914</f>
        <v>1694.9351420000005</v>
      </c>
      <c r="X304" s="3">
        <f>3053.7+(106.1-1401.2)+(-4.672161+(-0.162333--2.143836))+0--84.5-0.129285000000005</f>
        <v>1840.2800569999997</v>
      </c>
      <c r="Y304" s="3">
        <f>3062.6+(90.3-1434.8)+(-3.123852+(-0.092106--1.463496))+0--84.6-0.0862920000000135</f>
        <v>1800.8612459999999</v>
      </c>
      <c r="Z304" s="3">
        <f>3018.2+(77.4-1425.1)+(1.539282+(0.039474-0.726801))+0--85.9--0.0438089999999913</f>
        <v>1757.2957640000002</v>
      </c>
      <c r="AA304" s="3">
        <f>2829.4+(82.8-1286.8)+(-1.442994+(-0.042228--0.656268))+0--86.3-0.0440129999999912</f>
        <v>1710.827033</v>
      </c>
      <c r="AB304" s="3">
        <f>2539.6+(80.2-1070.1)+(-6.47598+(-0.20451--2.728755))+0--86.5-0.220574999999987</f>
        <v>1632.0276899999999</v>
      </c>
      <c r="AC304" s="3">
        <f>2335.1+(84.7-983.3)+(-5.954505+(-0.215985--2.507415))+0--86.4-0.220319999999987</f>
        <v>1519.0166050000003</v>
      </c>
      <c r="AD304" s="2">
        <v>1842.5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2244+(74.8-974.9)+(-4.57776+(-0.152592--1.988796))+0--86.4-0.176255999999996</f>
        <v>1427.3821880000003</v>
      </c>
      <c r="G305" s="3">
        <f>2127.7+(77.7-928.7)+(-5.425635+(-0.198135--2.368185))+0--86.4-0.220319999999987</f>
        <v>1359.6240949999999</v>
      </c>
      <c r="H305" s="3">
        <f>1996.3+(79-843.9)+(-4.072452+(-0.16116--1.721556))+0--87.9-0.179315999999996</f>
        <v>1316.6086280000002</v>
      </c>
      <c r="I305" s="3">
        <f>1933.8+(88.6-843.7)+(0.986238+(0.045186-0.430287))+0--89.5--0.0456449999999909</f>
        <v>1268.8467819999998</v>
      </c>
      <c r="J305" s="3">
        <f>1876.3+(102.6-844.9)+(-0.956913+(-0.052326--0.430899))+0--89-0.045389999999991</f>
        <v>1222.37627</v>
      </c>
      <c r="K305" s="3">
        <f>2147+(94.4-1016.4)+(2.18994+(0.096288-1.036728))+0--89.5--0.0912900000000143</f>
        <v>1315.84079</v>
      </c>
      <c r="L305" s="3">
        <f>2486.9+(45.7-1262.6)+(-2.536638+(-0.046614--1.287852))+0--90.6-0.0924120000000144</f>
        <v>1359.2121880000002</v>
      </c>
      <c r="M305" s="3">
        <f>2456.6+(46-1218.7)+(-3.758598+(-0.07038--1.864611))+0--91.6-0.140148000000005</f>
        <v>1373.3954849999998</v>
      </c>
      <c r="N305" s="3">
        <f>2445.8+(80.7-1185.6)+(-1.247358+(-0.041157--0.604656))+0--89.8-0.0457979999999909</f>
        <v>1429.9703430000002</v>
      </c>
      <c r="O305" s="3">
        <f>2662.1+(67.5-1289)+(2.715342+(0.06885-1.31478))+0--87.2--0.0889440000000139</f>
        <v>1529.358356</v>
      </c>
      <c r="P305" s="3">
        <f>2806.1+(57.2-1369.9)+(0+(0-0))+0--86.3-0</f>
        <v>1579.6999999999998</v>
      </c>
      <c r="Q305" s="3">
        <f>2801.3+(74-1361)+(-4.285989+(-0.11322--2.08233))+0--85.5-0.130815000000005</f>
        <v>1597.3523060000002</v>
      </c>
      <c r="R305" s="3">
        <f>2801.6+(82.1-1403.5)+(0+(0-0))+0--85.1-0</f>
        <v>1565.2999999999997</v>
      </c>
      <c r="S305" s="3">
        <f>2801.4+(62.4-1410)+(-1.428714+(-0.031824--0.7191))+0--84.6-0.0431459999999914</f>
        <v>1537.6154160000001</v>
      </c>
      <c r="T305" s="3">
        <f>2790.4+(43.5-1407.2)+(2.846208+(0.04437-1.435344))+0--84.3--0.0859860000000134</f>
        <v>1512.5412200000001</v>
      </c>
      <c r="U305" s="3">
        <f>2799.7+(42.2-1410)+(-2.855694+(-0.043044--1.4382))+0--84.2-0.0858840000000134</f>
        <v>1514.5535779999998</v>
      </c>
      <c r="V305" s="3">
        <f>2806.6+(51.2-1393.1)+(-1.431366+(-0.026112--0.710481))+0--84.7-0.0431969999999914</f>
        <v>1548.6098060000002</v>
      </c>
      <c r="W305" s="3">
        <f>2909.5+(86-1380.7)+(1.483845+(0.04386-0.704157))+0--84.8--0.0432479999999914</f>
        <v>1700.4667959999999</v>
      </c>
      <c r="X305" s="3">
        <f>2979.9+(91.9-1333.1)+(-3.039498+(-0.093738--1.359762))+0--85.2-0.0869040000000136</f>
        <v>1822.0396220000002</v>
      </c>
      <c r="Y305" s="3">
        <f>2938+(51-1281.4)+(0+(0-0))+0--84.4-0</f>
        <v>1792</v>
      </c>
      <c r="Z305" s="3">
        <f>2956.1+(25.7-1309.6)+(-3.015222+(-0.026214--1.335792))+0--84.5-0.0861900000000135</f>
        <v>1754.9081660000002</v>
      </c>
      <c r="AA305" s="3">
        <f>2963.5+(11.6-1345.8)+(1.511385+(0.005916-0.686358))+0--85.5--0.0436049999999913</f>
        <v>1715.674548</v>
      </c>
      <c r="AB305" s="3">
        <f>2546.5+(33.3-1038.8)+(2.59743+(0.033966-1.059576))+0--85.2--0.0869040000000136</f>
        <v>1627.8587239999999</v>
      </c>
      <c r="AC305" s="3">
        <f>2144.6+(80.6-806.7)+(-2.187492+(-0.082212--0.822834))+0--85.9-0.0876180000000137</f>
        <v>1502.8655120000001</v>
      </c>
      <c r="AD305" s="2">
        <v>1801.5999999999997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2068.2+(43.3-673.2)+(0+(0-0))+0--85.7-0</f>
        <v>1523.9999999999998</v>
      </c>
      <c r="G306" s="3">
        <f>1987.2+(32.8-634.8)+(1.013472+(0.016728-0.323748))+0--87.1--0.0444209999999912</f>
        <v>1473.0508729999999</v>
      </c>
      <c r="H306" s="3">
        <f>1738.3+(60-506)+(-2.659599+(-0.0918--0.77418))+0--87.1-0.133263000000005</f>
        <v>1377.2895179999998</v>
      </c>
      <c r="I306" s="3">
        <f>1628.8+(81.5-463.4)+(1.661376+(0.08313-0.472668))+0--88.6--0.0903720000000141</f>
        <v>1336.86221</v>
      </c>
      <c r="J306" s="3">
        <f>1628.5+(71-459.9)+(1.66107+(0.07242-0.469098))+0--88.3--0.0900660000000141</f>
        <v>1329.2544579999999</v>
      </c>
      <c r="K306" s="3">
        <f>1631.3+(85.5-440.6)+(1.663926+(0.08721-0.449412))+0--87.9--0.089658000000014</f>
        <v>1365.4913819999999</v>
      </c>
      <c r="L306" s="3">
        <f>1717.5+(158.6-547.8)+(0+(0-0))+0--88.8-0</f>
        <v>1417.1000000000001</v>
      </c>
      <c r="M306" s="3">
        <f>1756.8+(178.9-555)+(-0.895968+(-0.091239--0.28305))+0--89.4-0.0455939999999909</f>
        <v>1469.3502490000001</v>
      </c>
      <c r="N306" s="3">
        <f>1975+(139.9-638.9)+(1.00725+(0.071349-0.325839))+0--88.9--0.045338999999991</f>
        <v>1565.6980990000002</v>
      </c>
      <c r="O306" s="3">
        <f>2133.7+(87.6-674.2)+(0+(0-0))+0--86.7-0</f>
        <v>1633.8</v>
      </c>
      <c r="P306" s="3">
        <f>2253.6+(80.5-755)+(0+(0-0))+0--85.8-0</f>
        <v>1664.8999999999999</v>
      </c>
      <c r="Q306" s="3">
        <f>2235.2+(82.6-739)+(-1.139952+(-0.042126--0.37689))+0--83.9-0.0427889999999915</f>
        <v>1661.8520229999997</v>
      </c>
      <c r="R306" s="3">
        <f>2215.7+(85.4-785)+(-3.390021+(-0.130662--1.20105))+0--81-0.123930000000005</f>
        <v>1594.6564369999999</v>
      </c>
      <c r="S306" s="3">
        <f>2196.6+(92.9-767.5)+(-1.120266+(-0.047379--0.391425))+0--82.2-0.0419219999999917</f>
        <v>1603.3818580000002</v>
      </c>
      <c r="T306" s="3">
        <f>2191.9+(92.6-768)+(-2.235738+(-0.094452--0.78336))+0--82-0.0836400000000131</f>
        <v>1596.8695299999999</v>
      </c>
      <c r="U306" s="3">
        <f>2194.1+(94.6-793)+(2.237982+(0.096492-0.80886))+0--81.3--0.082926000000013</f>
        <v>1578.6085399999997</v>
      </c>
      <c r="V306" s="3">
        <f>2221+(104.7-829.8)+(-1.13271+(-0.053397--0.423198))+0--80.5-0.0410549999999918</f>
        <v>1575.5960360000001</v>
      </c>
      <c r="W306" s="3">
        <f>2186.1+(204.3-770.6)+(0+(0-0))+0--81.1-0</f>
        <v>1700.8999999999999</v>
      </c>
      <c r="X306" s="3">
        <f>2276+(317.3-825.6)+(-1.16076+(-0.161823--0.421056))+0--80.5-0.0410549999999918</f>
        <v>1847.2574180000001</v>
      </c>
      <c r="Y306" s="3">
        <f>2310.1+(258.9-831.5)+(-3.534453+(-0.396117--1.272195))+0--81.8-0.125154000000005</f>
        <v>1816.5164709999999</v>
      </c>
      <c r="Z306" s="3">
        <f>2327.6+(150.5-795.5)+(0+(0-0))+0--82.6-0</f>
        <v>1765.1999999999998</v>
      </c>
      <c r="AA306" s="3">
        <f>2370.6+(108-833.3)+(0+(0-0))+0--83.1-0</f>
        <v>1728.3999999999999</v>
      </c>
      <c r="AB306" s="3">
        <f>2384.8+(66.4-894.1)+(-4.864992+(-0.135456--1.823964))+0--83.2-0.169727999999996</f>
        <v>1636.953788</v>
      </c>
      <c r="AC306" s="3">
        <f>2236.2+(74-872.5)+(-5.70231+(-0.1887--2.224875))+0--83.7-0.213434999999988</f>
        <v>1517.52043</v>
      </c>
      <c r="AD306" s="2">
        <v>1839.3999999999999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1833.9+(128.1-704.1)+(0+(0-0))+0--84.1-0</f>
        <v>1342</v>
      </c>
      <c r="G307" s="3">
        <f>1757.8+(114.5-637.6)+(0.896478+(0.058395-0.325176))+0--84.1--0.0428909999999915</f>
        <v>1319.4725879999999</v>
      </c>
      <c r="H307" s="3">
        <f>1697.2+(91.8-637)+(0+(0-0))+0--84.4-0</f>
        <v>1236.4000000000001</v>
      </c>
      <c r="I307" s="3">
        <f>1683.8+(89.1-597)+(-2.576214+(-0.136323--0.91341))+0--86.6-0.132498000000005</f>
        <v>1260.5683750000001</v>
      </c>
      <c r="J307" s="3">
        <f>1682.3+(93.2-602.5)+(-3.431892+(-0.190128--1.2291))+0--88.1-0.179723999999996</f>
        <v>1258.5273559999998</v>
      </c>
      <c r="K307" s="3">
        <f>1719.3+(89.8-584.8)+(3.507372+(0.183192-1.192992))+0--88.8--0.181151999999996</f>
        <v>1315.7787239999998</v>
      </c>
      <c r="L307" s="3">
        <f>1811.9+(134.6-626.1)+(-0.924069+(-0.068646--0.319311))+0--88.5-0.045134999999991</f>
        <v>1408.1814610000001</v>
      </c>
      <c r="M307" s="3">
        <f>1849.7+(166.3-635.3)+(-1.886694+(-0.169626--0.648006))+0--90-0.0918000000000144</f>
        <v>1469.1998860000001</v>
      </c>
      <c r="N307" s="3">
        <f>1998.6+(142.7-670.7)+(-1.019286+(-0.072777--0.342057))+0--88.9-0.045338999999991</f>
        <v>1558.704655</v>
      </c>
      <c r="O307" s="3">
        <f>2030+(153-663.5)+(3.1059+(0.23409-1.015155))+0--86.7--0.132651000000005</f>
        <v>1608.6574859999998</v>
      </c>
      <c r="P307" s="3">
        <f>2017.8+(209.2-672.8)+(2.058156+(0.213384-0.686256))+0--85.7--0.0874140000000137</f>
        <v>1641.5726980000002</v>
      </c>
      <c r="Q307" s="3">
        <f>2047.9+(171-672.7)+(-2.088858+(-0.17442--0.686154))+0--84.6-0.0862920000000135</f>
        <v>1629.1365840000001</v>
      </c>
      <c r="R307" s="3">
        <f>2058.7+(158.6-730.9)+(-4.199748+(-0.323544--1.491036))+0--83.5-0.170339999999996</f>
        <v>1566.697404</v>
      </c>
      <c r="S307" s="3">
        <f>2173.4+(147.4-828.5)+(2.216868+(0.150348-0.84507))+0--83.1--0.0847620000000132</f>
        <v>1577.0069080000001</v>
      </c>
      <c r="T307" s="3">
        <f>2159.7+(147.5-842.7)+(1.101447+(0.075225-0.429777))+0--82.2--0.0419219999999917</f>
        <v>1547.4888169999997</v>
      </c>
      <c r="U307" s="3">
        <f>2156.8+(151.3-852.7)+(-5.49984+(-0.385815--2.174385))+0--83.9-0.213944999999988</f>
        <v>1535.3747850000002</v>
      </c>
      <c r="V307" s="3">
        <f>2185.3+(144.2-877.1)+(1.114503+(0.073542-0.447321))+0--83.6--0.0426359999999915</f>
        <v>1536.7833599999999</v>
      </c>
      <c r="W307" s="3">
        <f>2206.4+(205.5-824.1)+(3.375792+(0.314415-1.260873))+0--83.2--0.127296000000005</f>
        <v>1673.5566300000003</v>
      </c>
      <c r="X307" s="3">
        <f>2232+(319.1-810)+(-1.13832+(-0.162741--0.4131))+0--83.4-0.0425339999999915</f>
        <v>1823.5695050000002</v>
      </c>
      <c r="Y307" s="3">
        <f>2243.8+(258.9-797.1)+(-3.433014+(-0.396117--1.219563))+0--84.4-0.129132000000005</f>
        <v>1787.2613000000001</v>
      </c>
      <c r="Z307" s="3">
        <f>2249.3+(159-766.7)+(-3.441429+(-0.24327--1.173051))+0--84-0.128520000000005</f>
        <v>1722.9598320000002</v>
      </c>
      <c r="AA307" s="3">
        <f>2236.5+(125.6-774.6)+(-4.56246+(-0.256224--1.580184))+0--84.7-0.172787999999996</f>
        <v>1668.788712</v>
      </c>
      <c r="AB307" s="3">
        <f>2240.7+(88.3-821.1)+(-3.428271+(-0.135099--1.256283))+0--84.7-0.129591000000005</f>
        <v>1590.1633219999997</v>
      </c>
      <c r="AC307" s="3">
        <f>1969.1+(104.1-698.9)+(-1.004241+(-0.053091--0.356439))+0--85.8-0.0437579999999913</f>
        <v>1459.3553489999999</v>
      </c>
      <c r="AD307" s="2">
        <v>1866.5000000000002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1863+(95.5-667.6)+(0+(0-0))+0--85.3-0</f>
        <v>1376.2</v>
      </c>
      <c r="G308" s="3">
        <f>1929.2+(51.1-754.3)+(-3.935568+(-0.104244--1.538772))+0--86.3-0.176051999999996</f>
        <v>1309.6229079999998</v>
      </c>
      <c r="H308" s="3">
        <f>1689.1+(90.5-582.3)+(1.722882+(0.09231-0.593946))+0--86--0.0877200000000137</f>
        <v>1284.608966</v>
      </c>
      <c r="I308" s="3">
        <f>1684.6+(81.5-591)+(0.859146+(0.041565-0.30141))+0--87.3--0.0445229999999911</f>
        <v>1263.0438239999999</v>
      </c>
      <c r="J308" s="3">
        <f>1685.9+(76.8-594.6)+(-0.859809+(-0.039168--0.303246))+0--87.5-0.0446249999999911</f>
        <v>1254.959644</v>
      </c>
      <c r="K308" s="3">
        <f>1711.8+(85.5-591.1)+(0.873018+(0.043605-0.301461))+0--86.9--0.0443189999999912</f>
        <v>1293.7594810000001</v>
      </c>
      <c r="L308" s="3">
        <f>1796.5+(102.3-598.9)+(0+(0-0))+0--88.4-0</f>
        <v>1388.3000000000002</v>
      </c>
      <c r="M308" s="3">
        <f>1828.7+(156.9-614.9)+(3.730548+(0.320076-1.254396))+0--89--0.181559999999996</f>
        <v>1462.677788</v>
      </c>
      <c r="N308" s="3">
        <f>2054.2+(128.3-721.9)+(2.095284+(0.130866-0.736338))+0--89.2--0.0909840000000142</f>
        <v>1551.3807959999999</v>
      </c>
      <c r="O308" s="3">
        <f>2058.1+(159.2-709.4)+(-2.099262+(-0.162384--0.723588))+0--86.9-0.0886380000000139</f>
        <v>1593.1733039999999</v>
      </c>
      <c r="P308" s="3">
        <f>2044+(217-723.8)+(1.04244+(0.11067-0.369138))+0--84.5--0.0430949999999914</f>
        <v>1622.527067</v>
      </c>
      <c r="Q308" s="3">
        <f>2067.2+(201.6-736.6)+(-1.054272+(-0.102816--0.375666))+0--83.2-0.0424319999999916</f>
        <v>1614.5761459999999</v>
      </c>
      <c r="R308" s="3">
        <f>2085.7+(189.3-795.5)+(-4.254828+(-0.386172--1.62282))+0--82.9-0.169115999999996</f>
        <v>1559.2127039999998</v>
      </c>
      <c r="S308" s="3">
        <f>2075.2+(179.5-760.4)+(-4.233408+(-0.36618--1.551216))+0--82.4-0.168095999999996</f>
        <v>1573.4835319999997</v>
      </c>
      <c r="T308" s="3">
        <f>2047.9+(190.3-736.7)+(-2.088858+(-0.194106--0.751434))+0--82.3-0.0839460000000131</f>
        <v>1582.184524</v>
      </c>
      <c r="U308" s="3">
        <f>2035+(183.1-731.4)+(-2.0757+(-0.186762--0.746028))+0--81.6-0.083232000000013</f>
        <v>1566.7003340000001</v>
      </c>
      <c r="V308" s="3">
        <f>2036.5+(157.6-706.7)+(0+(0-0))+0--81.7-0</f>
        <v>1569.1000000000001</v>
      </c>
      <c r="W308" s="3">
        <f>2050.2+(224.8-673.1)+(2.091204+(0.229296-0.686562))+0--81.6--0.083232000000013</f>
        <v>1685.2171699999997</v>
      </c>
      <c r="X308" s="3">
        <f>2062.1+(384.9-684.9)+(0+(0-0))+0--82.1-0</f>
        <v>1844.1999999999998</v>
      </c>
      <c r="Y308" s="3">
        <f>2076.3+(297.5-655.8)+(-2.117826+(-0.30345--0.668916))+0--82.3-0.0839460000000131</f>
        <v>1798.4636940000003</v>
      </c>
      <c r="Z308" s="3">
        <f>2087.5+(187.9-612.6)+(-5.323125+(-0.479145--1.56213))+0--82.4-0.210119999999988</f>
        <v>1740.74974</v>
      </c>
      <c r="AA308" s="3">
        <f>2031.1+(153.5-575.7)+(-1.035861+(-0.078285--0.293607))+0--82.9-0.0422789999999916</f>
        <v>1690.9371819999999</v>
      </c>
      <c r="AB308" s="3">
        <f>2120.8+(104.5-701.7)+(-3.244824+(-0.159885--1.073601))+0--84-0.128520000000005</f>
        <v>1605.1403720000001</v>
      </c>
      <c r="AC308" s="3">
        <f>1878.2+(108.1-581.1)+(-1.915764+(-0.110262--0.592722))+0--83.9-0.0855780000000134</f>
        <v>1487.5811180000003</v>
      </c>
      <c r="AD308" s="2">
        <v>1900.6000000000001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1866.2+(59.4-637.2)+(-3.807048+(-0.121176--1.299888))+0--84-0.171359999999996</f>
        <v>1369.6003040000001</v>
      </c>
      <c r="G309" s="3">
        <f>1849.1+(38.9-673.9)+(-2.829123+(-0.059517--1.031067))+0--85.5-0.130815000000005</f>
        <v>1297.6116119999999</v>
      </c>
      <c r="H309" s="3">
        <f>1774.6+(41.6-636.7)+(-0.905046+(-0.021216--0.324717))+0--84.7-0.0431969999999914</f>
        <v>1263.5552580000001</v>
      </c>
      <c r="I309" s="3">
        <f>1670.9+(63.1-571.8)+(-0.852159+(-0.032181--0.291618))+0--84.6-0.0431459999999914</f>
        <v>1246.1641320000001</v>
      </c>
      <c r="J309" s="3">
        <f>1670.2+(75.4-582.3)+(-1.703604+(-0.076908--0.593946))+0--85-0.0867000000000136</f>
        <v>1247.026734</v>
      </c>
      <c r="K309" s="3">
        <f>1672.8+(118-583.7)+(1.706256+(0.12036-0.595374))+0--85.2--0.0869040000000136</f>
        <v>1293.618146</v>
      </c>
      <c r="L309" s="3">
        <f>1724.3+(162.5-584.8)+(-1.758786+(-0.16575--0.596496))+0--88.3-0.0900660000000141</f>
        <v>1388.8818939999999</v>
      </c>
      <c r="M309" s="3">
        <f>1728.3+(195.1-566.1)+(2.644299+(0.298503-0.866133))+0--86.2--0.131886000000005</f>
        <v>1445.7085549999999</v>
      </c>
      <c r="N309" s="3">
        <f>1924.7+(135.9-601.1)+(2.944791+(0.207927-0.919683))+0--86--0.131580000000005</f>
        <v>1547.864615</v>
      </c>
      <c r="O309" s="3">
        <f>2045+(117.2-614)+(1.04295+(0.059772-0.31314))+0--84.8--0.0432479999999914</f>
        <v>1633.8328300000001</v>
      </c>
      <c r="P309" s="3">
        <f>2036.7+(143.5-627.8)+(1.038717+(0.073185-0.320178))+0--83.7--0.0426869999999915</f>
        <v>1636.934411</v>
      </c>
      <c r="Q309" s="3">
        <f>2069.9+(109.8-574.7)+(-7.389543+(-0.391986--2.051679))+0--80.5-0.287385000000001</f>
        <v>1679.482765</v>
      </c>
      <c r="R309" s="3">
        <f>2065.7+(95.7-687.3)+(-3.160521+(-0.146421--1.051569))+0--79.6-0.121788000000005</f>
        <v>1551.3228389999999</v>
      </c>
      <c r="S309" s="3">
        <f>1978.5+(132.4-616.5)+(-6.05421+(-0.405144--1.88649))+0--78.9-0.241434000000009</f>
        <v>1568.4857020000002</v>
      </c>
      <c r="T309" s="3">
        <f>1845.5+(167-527.4)+(0+(0-0))+0--78.7-0</f>
        <v>1563.8</v>
      </c>
      <c r="U309" s="3">
        <f>1846.6+(166.6-537)+(-1.883532+(-0.169932--0.54774))+0--78.1-0.0796620000000124</f>
        <v>1552.7146139999995</v>
      </c>
      <c r="V309" s="3">
        <f>1950.3+(149.7-624.9)+(0+(0-0))+0--80.9-0</f>
        <v>1556</v>
      </c>
      <c r="W309" s="3">
        <f>2130.9+(180.7-679.3)+(1.086759+(0.092157-0.346443))+0--81.1--0.0413609999999918</f>
        <v>1714.2738340000001</v>
      </c>
      <c r="X309" s="3">
        <f>2142.7+(364.1-757.6)+(0+(0-0))+0--80.6-0</f>
        <v>1829.7999999999997</v>
      </c>
      <c r="Y309" s="3">
        <f>2165.1+(328.2-788.1)+(-4.416804+(-0.669528--1.607724))+0--80.7-0.164627999999996</f>
        <v>1782.256764</v>
      </c>
      <c r="Z309" s="3">
        <f>2164.3+(243-758.8)+(-2.207586+(-0.24786--0.773976))+0--81.6-0.083232000000013</f>
        <v>1728.3352980000002</v>
      </c>
      <c r="AA309" s="3">
        <f>2184.1+(147.3-720.9)+(-6.683346+(-0.450738--2.205954))+0--82.5-0.25245000000001</f>
        <v>1687.81942</v>
      </c>
      <c r="AB309" s="3">
        <f>2175.2+(106.9-752.3)+(-4.437408+(-0.218076--1.534692))+0--83.5-0.170339999999996</f>
        <v>1610.0088679999999</v>
      </c>
      <c r="AC309" s="3">
        <f>2043.5+(81.3-712.5)+(-5.210925+(-0.207315--1.816875))+0--84.8-0.216239999999988</f>
        <v>1493.282395</v>
      </c>
      <c r="AD309" s="2">
        <v>1839.4999999999998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1926.4+(57.5-681.9)+(-4.91232+(-0.146625--1.738845))+0--85.4-0.217769999999988</f>
        <v>1383.8621300000002</v>
      </c>
      <c r="G310" s="3">
        <f>1783.3+(67.3-635.5)+(-1.818966+(-0.068646--0.64821))+0--85.6-0.0873120000000136</f>
        <v>1299.3732859999998</v>
      </c>
      <c r="H310" s="3">
        <f>1747.4+(64.3-634.1)+(-4.45587+(-0.163965--1.616955))+0--85.5-0.218024999999988</f>
        <v>1259.879095</v>
      </c>
      <c r="I310" s="3">
        <f>1656.4+(80.6-575.4)+(2.534292+(0.123318-0.880362))+0--85.5--0.130815000000005</f>
        <v>1249.0080630000002</v>
      </c>
      <c r="J310" s="3">
        <f>1672+(74.2-586.4)+(2.55816+(0.113526-0.897192))+0--86--0.131580000000005</f>
        <v>1247.7060740000002</v>
      </c>
      <c r="K310" s="3">
        <f>1770.7+(58.6-629.5)+(0+(0-0))+0--86.5-0</f>
        <v>1286.3000000000002</v>
      </c>
      <c r="L310" s="3">
        <f>1889.7+(83.6-660.7)+(0+(0-0))+0--86.5-0</f>
        <v>1399.1</v>
      </c>
      <c r="M310" s="3">
        <f>2110+(64.4-794.2)+(-1.0761+(-0.032844--0.405042))+0--87-0.0443699999999912</f>
        <v>1466.4517279999998</v>
      </c>
      <c r="N310" s="3">
        <f>2298.3+(35.1-863.8)+(-1.172133+(-0.017901--0.440538))+0--85.3-0.0435029999999913</f>
        <v>1554.1070010000003</v>
      </c>
      <c r="O310" s="3">
        <f>2329+(42.8-826.9)+(-1.18779+(-0.021828--0.421719))+0--79.7-0.0406469999999919</f>
        <v>1623.7714540000002</v>
      </c>
      <c r="P310" s="3">
        <f>2390.1+(39.7-815.8)+(2.437902+(0.040494-0.832116))+0--79.4--0.0809880000000127</f>
        <v>1695.127268</v>
      </c>
      <c r="Q310" s="3">
        <f>2511.7+(5.5-957.3)+(-1.280967+(-0.002805--0.488223))+0--74.7-0.0380969999999924</f>
        <v>1633.7663540000001</v>
      </c>
      <c r="R310" s="3">
        <f>2596.7+(5.5-1092.8)+(-5.297268+(-0.01122--2.229312))+0--74.3-0.151571999999997</f>
        <v>1580.4692519999999</v>
      </c>
      <c r="S310" s="3">
        <f>2542.3+(5.5-1029.6)+(0+(0-0))+0--74.7-0</f>
        <v>1592.9000000000003</v>
      </c>
      <c r="T310" s="3">
        <f>2422.4+(5.5-927.5)+(1.235424+(0.002805-0.473025))+0--78.5--0.040034999999992</f>
        <v>1579.7052390000001</v>
      </c>
      <c r="U310" s="3">
        <f>2418.2+(5.5-939.1)+(-6.16641+(-0.014025--2.394705))+0--81.6-0.208079999999988</f>
        <v>1562.2061899999999</v>
      </c>
      <c r="V310" s="3">
        <f>2392.9+(5.5-947.3)+(-2.440758+(-0.00561--0.966246))+0--82.8-0.0844560000000132</f>
        <v>1532.3354220000001</v>
      </c>
      <c r="W310" s="3">
        <f>2595.6+(18.5-1019.7)+(3.971268+(0.028305-1.560141))+0--84.4--0.129132000000005</f>
        <v>1681.3685639999999</v>
      </c>
      <c r="X310" s="3">
        <f>2608.1+(154.8-994.8)+(-1.330131+(-0.078948--0.507348))+0--79.4-0.0404939999999919</f>
        <v>1846.557775</v>
      </c>
      <c r="Y310" s="3">
        <f>2618.6+(48.3-944.6)+(-1.335486+(-0.024633--0.481746))+0--79.8-0.0406979999999919</f>
        <v>1801.1809289999997</v>
      </c>
      <c r="Z310" s="3">
        <f>2660.6+(20-1019.1)+(-1.356906+(-0.0102--0.519741))+0--80.3-0.0409529999999919</f>
        <v>1740.9116819999999</v>
      </c>
      <c r="AA310" s="3">
        <f>2675.9+(5.5-1070.2)+(-4.094127+(-0.008415--1.637406))+0--80.2-0.122706000000005</f>
        <v>1688.812158</v>
      </c>
      <c r="AB310" s="3">
        <f>2666.4+(5.5-1137.5)+(-6.79932+(-0.014025--2.900625))+0--81.2-0.207059999999988</f>
        <v>1611.4802200000001</v>
      </c>
      <c r="AC310" s="3">
        <f>2577.8+(9.5-1168.8)+(-6.57339+(-0.024225--2.98044))+0--82.4-0.210119999999988</f>
        <v>1497.0727050000003</v>
      </c>
      <c r="AD310" s="2">
        <v>1849.0000000000002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2608.9+(8-1297.3)+(-1.330539+(-0.00408--0.661623))+0--82.7-0.0421769999999916</f>
        <v>1401.5848270000001</v>
      </c>
      <c r="G311" s="3">
        <f>2374.2+(8-1124.9)+(-4.843368+(-0.01632--2.294796))+0--83.7-0.170747999999996</f>
        <v>1338.2643599999997</v>
      </c>
      <c r="H311" s="3">
        <f>2086.3+(8-905.2)+(0+(0-0))+0--84.2-0</f>
        <v>1273.3000000000002</v>
      </c>
      <c r="I311" s="3">
        <f>2077.6+(8-925.5)+(-3.178728+(-0.01224--1.416015))+0--82.7-0.126531000000005</f>
        <v>1240.8985159999997</v>
      </c>
      <c r="J311" s="3">
        <f>2108+(9-953.3)+(1.07508+(0.00459-0.486183))+0--83.7--0.0426869999999915</f>
        <v>1248.0361740000001</v>
      </c>
      <c r="K311" s="3">
        <f>2299.5+(8-1109.4)+(2.34549+(0.00816-1.131588))+0--84.7--0.0863940000000135</f>
        <v>1284.1084559999999</v>
      </c>
      <c r="L311" s="3">
        <f>2521.3+(3-1250.4)+(0+(0-0))+0--85.8-0</f>
        <v>1359.7</v>
      </c>
      <c r="M311" s="3">
        <f>2564.6+(3-1225)+(2.615892+(0.00306-1.2495))+0--87.2--0.0889440000000139</f>
        <v>1431.2583959999999</v>
      </c>
      <c r="N311" s="3">
        <f>2569.5+(3-1092.4)+(1.310445+(0.00153-0.557124))+0--86.1--0.0439109999999913</f>
        <v>1566.9987619999997</v>
      </c>
      <c r="O311" s="3">
        <f>2575.8+(3-1028.7)+(0+(0-0))+0--86.2-0</f>
        <v>1636.3000000000002</v>
      </c>
      <c r="P311" s="3">
        <f>2563.4+(3-1000.3)+(1.307334+(0.00153-0.510153))+0--84.1--0.0428909999999915</f>
        <v>1651.041602</v>
      </c>
      <c r="Q311" s="3">
        <f>2631.2+(3-974.9)+(-4.025736+(-0.00459--1.491597))+0--82.3-0.125919000000005</f>
        <v>1738.9353519999995</v>
      </c>
      <c r="R311" s="3">
        <f>2617+(0-1119.8)+(-5.33868+(0--2.284392))+0--81.6-0.166463999999996</f>
        <v>1575.579248</v>
      </c>
      <c r="S311" s="3">
        <f>2634+(0-1170.6)+(-1.34334+(0--0.597006))+0--81.2-0.0414119999999918</f>
        <v>1543.8122540000002</v>
      </c>
      <c r="T311" s="3">
        <f>2647+(0-1204.2)+(-5.39988+(0--2.456568))+0--81.2-0.165647999999996</f>
        <v>1520.89104</v>
      </c>
      <c r="U311" s="3">
        <f>2628.4+(0-1195.9)+(-8.042904+(0--3.659454))+0--81.9-0.25061400000001</f>
        <v>1509.765936</v>
      </c>
      <c r="V311" s="3">
        <f>2497.5+(0-1091.6)+(1.273725+(0-0.556716))+0--80.8--0.0412079999999918</f>
        <v>1487.4582170000001</v>
      </c>
      <c r="W311" s="3">
        <f>2603+(0-1097.5)+(2.65506+(0-1.11945))+0--81.2--0.082824000000013</f>
        <v>1588.318434</v>
      </c>
      <c r="X311" s="3">
        <f>2670.5+(24.4-1024.1)+(1.361955+(0.012444-0.522291))+0--81.6--0.0416159999999917</f>
        <v>1753.2937240000001</v>
      </c>
      <c r="Y311" s="3">
        <f>2681.3+(10.3-1025.3)+(-6.837315+(-0.026265--2.614515))+0--81.3-0.207314999999988</f>
        <v>1743.1436200000003</v>
      </c>
      <c r="Z311" s="3">
        <f>2689.9+(0-1122.3)+(-5.487396+(0--2.289492))+0--82.7-0.168707999999996</f>
        <v>1646.9333880000001</v>
      </c>
      <c r="AA311" s="3">
        <f>2697.3+(0-1167.4)+(2.751246+(0-1.190748))+0--83--0.0846600000000132</f>
        <v>1614.5451580000001</v>
      </c>
      <c r="AB311" s="3">
        <f>2703.5+(0-1232.8)+(-4.136355+(0--1.886184))+0--83.3-0.127449000000005</f>
        <v>1551.62238</v>
      </c>
      <c r="AC311" s="3">
        <f>2665+(4-1301.6)+(0+(0-0))+0--84.4-0</f>
        <v>1451.8000000000002</v>
      </c>
      <c r="AD311" s="2">
        <v>1755.1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2668.6+(8-1396.7)+(-2.721972+(-0.00816--1.424634))+0--84.8-0.0864960000000135</f>
        <v>1363.3080059999998</v>
      </c>
      <c r="G312" s="3">
        <f>2568.6+(8-1362.9)+(-5.239944+(-0.01632--2.780316))+0--84.8-0.172991999999996</f>
        <v>1295.8510599999997</v>
      </c>
      <c r="H312" s="3">
        <f>2375.4+(8-1213.1)+(-4.845816+(-0.01632--2.474724))+0--84.8-0.172991999999996</f>
        <v>1252.5395960000001</v>
      </c>
      <c r="I312" s="3">
        <f>2320.4+(9-1187.8)+(-1.183404+(-0.00459--0.605778))+0--84.8-0.0432479999999914</f>
        <v>1225.7745360000001</v>
      </c>
      <c r="J312" s="3">
        <f>2263.3+(9-1125.1)+(0+(0-0))+0--84.9-0</f>
        <v>1232.1000000000004</v>
      </c>
      <c r="K312" s="3">
        <f>2321.7+(8-1174.8)+(3.552201+(0.01224-1.797444))+0--83.7--0.128061000000005</f>
        <v>1240.495058</v>
      </c>
      <c r="L312" s="3">
        <f>2524.1+(8-1315)+(-6.436455+(-0.0204--3.35325))+0--81.9-0.208844999999988</f>
        <v>1295.6875500000001</v>
      </c>
      <c r="M312" s="3">
        <f>2470.2+(8-1245.1)+(-6.29901+(-0.0204--3.175005))+0--87-0.221849999999987</f>
        <v>1316.733745</v>
      </c>
      <c r="N312" s="3">
        <f>2499.9+(8-1190.1)+(1.274949+(0.00408-0.606951))+0--83.1--0.0423809999999916</f>
        <v>1401.6144590000001</v>
      </c>
      <c r="O312" s="3">
        <f>2534.5+(8-1155.2)+(-3.877785+(-0.01224--1.767456))+0--84.8-0.129744000000005</f>
        <v>1469.8476869999997</v>
      </c>
      <c r="P312" s="3">
        <f>2515.4+(18.6-1101.1)+(0+(0-0))+0--79.9-0</f>
        <v>1512.8000000000002</v>
      </c>
      <c r="Q312" s="3">
        <f>2538+(14.8-1064.4)+(-1.29438+(-0.007548--0.542844))+0--78.1-0.0398309999999921</f>
        <v>1565.7010849999997</v>
      </c>
      <c r="R312" s="3">
        <f>2519+(5-1115.8)+(-2.56938+(-0.0051--1.138116))+0--77.5-0.0790500000000124</f>
        <v>1484.1845860000001</v>
      </c>
      <c r="S312" s="3">
        <f>2506.9+(5-1136.1)+(-2.557038+(-0.0051--1.158822))+0--77.7-0.0792540000000124</f>
        <v>1452.0174300000003</v>
      </c>
      <c r="T312" s="3">
        <f>2497.1+(5-1145.4)+(-1.273521+(-0.00255--0.584154))+0--78.4-0.039983999999992</f>
        <v>1434.3680989999998</v>
      </c>
      <c r="U312" s="3">
        <f>2495.6+(5-1149.8)+(-3.818268+(-0.00765--1.759194))+0--78.8-0.120564000000005</f>
        <v>1427.4127119999998</v>
      </c>
      <c r="V312" s="3">
        <f>2550.1+(5-1183.5)+(-1.300551+(-0.00255--0.603585))+0--79.5-0.0405449999999919</f>
        <v>1450.3599389999999</v>
      </c>
      <c r="W312" s="3">
        <f>2580.6+(18.2-1110.5)+(0+(0-0))+0--80.1-0</f>
        <v>1568.3999999999999</v>
      </c>
      <c r="X312" s="3">
        <f>2718.8+(49.6-1109.8)+(-2.773176+(-0.050592--1.131996))+0--79.3-0.0808860000000126</f>
        <v>1736.1273420000002</v>
      </c>
      <c r="Y312" s="3">
        <f>2740.7+(39.6-1137.2)+(-8.386542+(-0.121176--3.479832))+0--80.6-0.246636000000009</f>
        <v>1718.4254779999994</v>
      </c>
      <c r="Z312" s="3">
        <f>2751.1+(18.7-1163.6)+(-7.015305+(-0.047685--2.96718))+0--80.2-0.204509999999988</f>
        <v>1682.09968</v>
      </c>
      <c r="AA312" s="3">
        <f>2710+(5-1146.6)+(-5.5284+(-0.0102--2.339064))+0--80.8-0.164831999999996</f>
        <v>1645.835632</v>
      </c>
      <c r="AB312" s="3">
        <f>2583.6+(5-1114)+(-2.635272+(-0.0051--1.13628))+0--81.8-0.083436000000013</f>
        <v>1554.8124719999998</v>
      </c>
      <c r="AC312" s="3">
        <f>2483.4+(8-1134.3)+(-5.066136+(-0.01632--2.313972))+0--82.1-0.167483999999996</f>
        <v>1436.264032</v>
      </c>
      <c r="AD312" s="2">
        <v>1721.5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2454.1+(8-1208.7)+(-1.251591+(-0.00408--0.616437))+0--81.8-0.0417179999999917</f>
        <v>1334.5190479999999</v>
      </c>
      <c r="G313" s="3">
        <f>2342.1+(8-1169.7)+(-3.583413+(-0.01224--1.789641))+0--82.6-0.126378000000005</f>
        <v>1261.0676099999998</v>
      </c>
      <c r="H313" s="3">
        <f>2101+(8-1048.6)+(-2.14302+(-0.00816--1.069572))+0--82.7-0.0843540000000132</f>
        <v>1141.9340380000001</v>
      </c>
      <c r="I313" s="3">
        <f>2090.3+(8-986.8)+(-4.264212+(-0.01632--2.013072))+0--82.7-0.168707999999996</f>
        <v>1191.7638320000003</v>
      </c>
      <c r="J313" s="3">
        <f>2118.6+(8-988.9)+(-1.080486+(-0.00408--0.504339))+0--82.7-0.0421769999999916</f>
        <v>1219.7775959999999</v>
      </c>
      <c r="K313" s="3">
        <f>2105.3+(9-946.5)+(4.294812+(0.01836-1.93086))+0--82.2--0.167687999999996</f>
        <v>1252.5500000000002</v>
      </c>
      <c r="L313" s="3">
        <f>2128+(14.9-877.1)+(0+(0-0))+0--82.7-0</f>
        <v>1348.5</v>
      </c>
      <c r="M313" s="3">
        <f>2221.2+(16.4-909.1)+(-1.132812+(-0.008364--0.463641))+0--84.7-0.0431969999999914</f>
        <v>1412.4792679999998</v>
      </c>
      <c r="N313" s="3">
        <f>2441.8+(10-989)+(-1.245318+(-0.0051--0.50439))+0--83.8-0.0427379999999915</f>
        <v>1545.811234</v>
      </c>
      <c r="O313" s="3">
        <f>2495+(34.5-999.1)+(0+(0-0))+0--82.6-0</f>
        <v>1613</v>
      </c>
      <c r="P313" s="3">
        <f>2492.6+(26.3-939)+(1.271226+(0.013413-0.47889))+0--75.7--0.0386069999999923</f>
        <v>1656.444356</v>
      </c>
      <c r="Q313" s="3">
        <f>2518.4+(21.6-954.5)+(-2.568768+(-0.022032--0.97359))+0--76.1-0.0776220000000121</f>
        <v>1659.905168</v>
      </c>
      <c r="R313" s="3">
        <f>2499.6+(5-990.5)+(-7.648776+(-0.0153--3.03093))+0--75.6-0.231336000000009</f>
        <v>1584.8355179999999</v>
      </c>
      <c r="S313" s="3">
        <f>2458.1+(23.2-967)+(-6.268155+(-0.05916--2.46585))+0--74.8-0.190739999999989</f>
        <v>1585.047795</v>
      </c>
      <c r="T313" s="3">
        <f>2415.7+(26.5-951)+(0+(0-0))+0--75.1-0</f>
        <v>1566.2999999999997</v>
      </c>
      <c r="U313" s="3">
        <f>2484.6+(5-992.1)+(-3.801438+(-0.00765--1.517913))+0--76.7-0.117351000000004</f>
        <v>1571.7914739999999</v>
      </c>
      <c r="V313" s="3">
        <f>2499.9+(5-1004.7)+(3.824847+(0.00765-1.537191))+0--74.8--0.114444000000004</f>
        <v>1577.40975</v>
      </c>
      <c r="W313" s="3">
        <f>2520.7+(58.2-959)+(5.142228+(0.118728-1.95636))+0--75.7--0.154427999999997</f>
        <v>1699.0590239999999</v>
      </c>
      <c r="X313" s="3">
        <f>2582.6+(156.3-995.8)+(-3.951378+(-0.239139--1.523574))+0--77.8-0.119034000000004</f>
        <v>1818.1140229999999</v>
      </c>
      <c r="Y313" s="3">
        <f>2596.4+(88.8-987.6)+(0+(0-0))+0--78.1-0</f>
        <v>1775.6999999999998</v>
      </c>
      <c r="Z313" s="3">
        <f>2606.8+(46.7-1004.4)+(-2.658936+(-0.047634--1.024488))+0--78.2-0.0797640000000125</f>
        <v>1725.5381540000003</v>
      </c>
      <c r="AA313" s="3">
        <f>2615.3+(5-1003.1)+(-4.001409+(-0.00765--1.534743))+0--78.1-0.119493000000004</f>
        <v>1692.7061910000002</v>
      </c>
      <c r="AB313" s="3">
        <f>2585+(10.4-1064.5)+(-2.6367+(-0.010608--1.08579))+0--78.6-0.0801720000000125</f>
        <v>1607.8583100000001</v>
      </c>
      <c r="AC313" s="3">
        <f>2478.7+(13-1096.2)+(-5.056548+(-0.02652--2.236248))+0--78.6-0.160343999999997</f>
        <v>1471.0928359999998</v>
      </c>
      <c r="AD313" s="2">
        <v>1831.6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2289.8+(8.5-1014.8)+(-4.671192+(-0.01734--2.070192))+0--78.4-0.159935999999997</f>
        <v>1359.1217240000003</v>
      </c>
      <c r="G314" s="3">
        <f>2223.9+(10.5-1027.3)+(-2.268378+(-0.01071--1.047846))+0--77.6-0.0791520000000124</f>
        <v>1283.389606</v>
      </c>
      <c r="H314" s="3">
        <f>1996.2+(11.5-843.2)+(-1.018062+(-0.005865--0.430032))+0--78.5-0.040034999999992</f>
        <v>1242.36607</v>
      </c>
      <c r="I314" s="3">
        <f>1942.4+(9.5-808.6)+(1.981248+(0.00969-0.824772))+0--78.9--0.0804780000000126</f>
        <v>1223.4466440000003</v>
      </c>
      <c r="J314" s="3">
        <f>1970.3+(8.5-830.5)+(-5.024265+(-0.021675--2.117775))+0--79.4-0.202469999999988</f>
        <v>1224.5693650000001</v>
      </c>
      <c r="K314" s="3">
        <f>2042.8+(8.5-881.1)+(5.20914+(0.021675-2.246805))+0--79.7--0.203234999999988</f>
        <v>1253.0872449999997</v>
      </c>
      <c r="L314" s="3">
        <f>2195.1+(23.4-924.5)+(0+(0-0))+0--79.6-0</f>
        <v>1373.6</v>
      </c>
      <c r="M314" s="3">
        <f>2196.6+(67.6-884.7)+(-3.360798+(-0.103428--1.353591))+0--79.8-0.122094000000005</f>
        <v>1457.0672709999999</v>
      </c>
      <c r="N314" s="3">
        <f>2210.8+(53.3-824.3)+(-2.255016+(-0.054366--0.840786))+0--80.7-0.0823140000000129</f>
        <v>1518.9490900000003</v>
      </c>
      <c r="O314" s="3">
        <f>2468.2+(8.5-980.1)+(-3.776346+(-0.013005--1.499553))+0--80.8-0.123624000000005</f>
        <v>1574.9865779999998</v>
      </c>
      <c r="P314" s="3">
        <f>2477.7+(8.5-960.4)+(-2.527254+(-0.00867--0.979608))+0--74.6-0.0760920000000119</f>
        <v>1598.7675919999997</v>
      </c>
      <c r="Q314" s="3">
        <f>2529.3+(8.5-946)+(-6.449715+(-0.021675--2.4123))+0--74.9-0.190994999999989</f>
        <v>1662.4499150000004</v>
      </c>
      <c r="R314" s="3">
        <f>2502.3+(5-1020.6)+(-5.104692+(-0.0102--2.082024))+0--71.1-0.145043999999997</f>
        <v>1554.6220880000001</v>
      </c>
      <c r="S314" s="3">
        <f>2439.2+(16.4-930.7)+(-4.975968+(-0.033456--1.898628))+0--70.6-0.144023999999997</f>
        <v>1592.2451799999997</v>
      </c>
      <c r="T314" s="3">
        <f>2250.5+(12.6-785.2)+(-2.29551+(-0.012852--0.800904))+0--71-0.0724200000000113</f>
        <v>1547.3201220000001</v>
      </c>
      <c r="U314" s="3">
        <f>2246.5+(8.8-789.2)+(2.29143+(0.008976-0.804984))+0--71.8--0.0732360000000114</f>
        <v>1539.4686579999998</v>
      </c>
      <c r="V314" s="3">
        <f>2437+(12.1-987.3)+(1.24287+(0.006171-0.503523))+0--72.5--0.0369749999999926</f>
        <v>1535.0824930000001</v>
      </c>
      <c r="W314" s="3">
        <f>2535.2+(20.3-954.2)+(2.585904+(0.020706-0.973284))+0--73.5--0.0749700000000117</f>
        <v>1676.5082959999997</v>
      </c>
      <c r="X314" s="3">
        <f>2567.2+(70.6-876.9)+(-7.855632+(-0.216036--2.683314))+0--73.6-0.225216000000008</f>
        <v>1828.8864299999998</v>
      </c>
      <c r="Y314" s="3">
        <f>2578.9+(53.1-910)+(-6.576195+(-0.135405--2.3205))+0--72.7-0.185384999999989</f>
        <v>1790.123515</v>
      </c>
      <c r="Z314" s="3">
        <f>2585.7+(27-945.8)+(-3.956121+(-0.04131--1.447074))+0--74.1-0.113373000000004</f>
        <v>1738.3362699999998</v>
      </c>
      <c r="AA314" s="3">
        <f>2552.8+(27.8-957.1)+(-1.301928+(-0.014178--0.488121))+0--73.9-0.0376889999999925</f>
        <v>1696.5343260000002</v>
      </c>
      <c r="AB314" s="3">
        <f>2558.3+(32.7-1045.3)+(-2.609466+(-0.033354--1.066206))+0--76-0.0775200000000121</f>
        <v>1620.0458660000002</v>
      </c>
      <c r="AC314" s="3">
        <f>2512+(40-1136.2)+(-6.4056+(-0.102--2.89731))+0--77.3-0.197114999999989</f>
        <v>1489.2925949999999</v>
      </c>
      <c r="AD314" s="2">
        <v>1837.6000000000001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2403.3+(44.5-1139.3)+(-2.451366+(-0.04539--1.162086))+0--76.7-0.0782340000000122</f>
        <v>1383.7870960000002</v>
      </c>
      <c r="G315" s="3">
        <f>2366.4+(45.5-1175.3)+(-3.620592+(-0.069615--1.798209))+0--87.7-0.134181000000005</f>
        <v>1322.2738210000002</v>
      </c>
      <c r="H315" s="3">
        <f>2284.4+(29.5-1119.8)+(0+(0-0))+0--77.5-0</f>
        <v>1271.6000000000001</v>
      </c>
      <c r="I315" s="3">
        <f>2245.1+(29.5-1101.7)+(-2.290002+(-0.03009--1.123734))+0--79.4-0.0809880000000127</f>
        <v>1251.0226540000001</v>
      </c>
      <c r="J315" s="3">
        <f>2153+(24.5-1012.7)+(1.09803+(0.012495-0.516477))+0--80.1--0.0408509999999919</f>
        <v>1245.5348989999998</v>
      </c>
      <c r="K315" s="3">
        <f>2157+(22.5-971.1)+(-1.10007+(-0.011475--0.495261))+0--90.6-0.0462059999999908</f>
        <v>1298.3375100000001</v>
      </c>
      <c r="L315" s="3">
        <f>2157.8+(14.5-864.5)+(-1.100478+(-0.007395--0.440895))+0--78.4-0.039983999999992</f>
        <v>1385.4930380000003</v>
      </c>
      <c r="M315" s="3">
        <f>2163+(20.5-807.2)+(0+(0-0))+0--79-0</f>
        <v>1455.3</v>
      </c>
      <c r="N315" s="3">
        <f>2334.7+(28.5-886.6)+(0+(0-0))+0--77.2-0</f>
        <v>1553.8</v>
      </c>
      <c r="O315" s="3">
        <f>2376.2+(38.5-878.2)+(-2.423724+(-0.03927--0.895764))+0--77.2-0.0787440000000123</f>
        <v>1612.0540259999998</v>
      </c>
      <c r="P315" s="3">
        <f>2363.1+(34.5-833.9)+(0+(0-0))+0--77.3-0</f>
        <v>1640.9999999999998</v>
      </c>
      <c r="Q315" s="3">
        <f>2394.8+(31.5-810.9)+(-1.221348+(-0.016065--0.413559))+0--75.9-0.0387089999999923</f>
        <v>1690.4374370000003</v>
      </c>
      <c r="R315" s="3">
        <f>2400.3+(26.2-890.3)+(-6.120765+(-0.06681--2.270265))+0--73.9-0.188444999999989</f>
        <v>1605.9942450000003</v>
      </c>
      <c r="S315" s="3">
        <f>2254+(36.1-765.4)+(0+(0-0))+0--73.8-0</f>
        <v>1598.5</v>
      </c>
      <c r="T315" s="3">
        <f>2311.9+(34.7-839.2)+(-1.179069+(-0.017697--0.427992))+0--74.6-0.0380459999999924</f>
        <v>1581.1931800000002</v>
      </c>
      <c r="U315" s="3">
        <f>2281.9+(27.3-825.3)+(-2.327538+(-0.027846--0.841806))+0--74.6-0.0760920000000119</f>
        <v>1556.9103299999999</v>
      </c>
      <c r="V315" s="3">
        <f>2298.5+(28.4-826.4)+(1.172235+(0.014484-0.421464))+0--74.5--0.0379949999999924</f>
        <v>1575.8032499999999</v>
      </c>
      <c r="W315" s="3">
        <f>2429.2+(31.3-878.6)+(1.238892+(0.015963-0.448086))+0--75.4--0.0384539999999924</f>
        <v>1658.1452229999998</v>
      </c>
      <c r="X315" s="3">
        <f>2540.1+(46.3-852.9)+(-5.181804+(-0.094452--1.739916))+0--75.3-0.153611999999997</f>
        <v>1805.1100479999998</v>
      </c>
      <c r="Y315" s="3">
        <f>2547.6+(30.2-884.2)+(-5.197104+(-0.061608--1.803768))+0--74.9-0.152795999999997</f>
        <v>1764.8922599999999</v>
      </c>
      <c r="Z315" s="3">
        <f>2452.2+(23.4-888.2)+(-2.501244+(-0.023868--0.905964))+0--75.5-0.077010000000012</f>
        <v>1661.2038419999997</v>
      </c>
      <c r="AA315" s="3">
        <f>2427.3+(27.8-889.9)+(-2.475846+(-0.028356--0.907698))+0--75.5-0.077010000000012</f>
        <v>1639.0264860000002</v>
      </c>
      <c r="AB315" s="3">
        <f>2485.2+(17.6-966.4)+(-3.802356+(-0.026928--1.478592))+0--76.8-0.117504000000004</f>
        <v>1610.7318039999998</v>
      </c>
      <c r="AC315" s="3">
        <f>2383+(19.9-992.3)+(-2.43066+(-0.020298--1.012146))+0--77.1-0.0786420000000123</f>
        <v>1486.1825459999998</v>
      </c>
      <c r="AD315" s="2">
        <v>1812.0999999999997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2232.2+(28-933.2)+(-5.69211+(-0.0714--2.37966))+0--77.4-0.197369999999989</f>
        <v>1400.8187799999998</v>
      </c>
      <c r="G316" s="3">
        <f>2092.1+(29-881.2)+(0+(0-0))+0--76.7-0</f>
        <v>1316.6</v>
      </c>
      <c r="H316" s="3">
        <f>2003.5+(30-831.4)+(-5.108925+(-0.0765--2.12007))+0--77.9-0.198644999999989</f>
        <v>1276.7360000000001</v>
      </c>
      <c r="I316" s="3">
        <f>1845.8+(17-697.2)+(-0.941358+(-0.00867--0.355572))+0--77.7-0.0396269999999921</f>
        <v>1242.665917</v>
      </c>
      <c r="J316" s="3">
        <f>1898.1+(13-745.3)+(1.936062+(0.01326-0.760206))+0--75.8--0.0773160000000121</f>
        <v>1242.866432</v>
      </c>
      <c r="K316" s="3">
        <f>1970.3+(10-785)+(2.009706+(0.0102-0.8007))+0--77.6--0.0791520000000124</f>
        <v>1274.1983579999999</v>
      </c>
      <c r="L316" s="3">
        <f>2156.5+(18-929.7)+(-3.299445+(-0.02754--1.422441))+0--76-0.116280000000004</f>
        <v>1318.779176</v>
      </c>
      <c r="M316" s="3">
        <f>2034.5+(32-774.3)+(-2.07519+(-0.03264--0.789786))+0--78.2-0.0797640000000125</f>
        <v>1369.0021919999999</v>
      </c>
      <c r="N316" s="3">
        <f>1988.3+(24-633.1)+(-1.014033+(-0.01224--0.322881))+0--79.2-0.040391999999992</f>
        <v>1457.6562160000001</v>
      </c>
      <c r="O316" s="3">
        <f>2178.5+(22-704.1)+(3.333105+(0.03366-1.077273))+0--79.3--0.121329000000005</f>
        <v>1578.1108210000002</v>
      </c>
      <c r="P316" s="3">
        <f>2175+(34-665.7)+(4.437+(0.06936-1.358028))+0--79.4--0.161975999999997</f>
        <v>1626.0103080000001</v>
      </c>
      <c r="Q316" s="3">
        <f>2207.6+(25-624.5)+(-1.125876+(-0.01275--0.318495))+0--84.3-0.0429929999999914</f>
        <v>1691.5368759999999</v>
      </c>
      <c r="R316" s="3">
        <f>2204.2+(28-750.7)+(-4.496568+(-0.05712--1.531428))+0--78.5-0.160139999999997</f>
        <v>1556.8175999999999</v>
      </c>
      <c r="S316" s="3">
        <f>2196.9+(37-769.5)+(-4.481676+(-0.07548--1.56978))+0--78.1-0.159323999999997</f>
        <v>1539.3533</v>
      </c>
      <c r="T316" s="3">
        <f>2210.9+(36.3-798.6)+(0+(0-0))+0--77.7-0</f>
        <v>1526.3</v>
      </c>
      <c r="U316" s="3">
        <f>2212.2+(50-821)+(-6.769332+(-0.153--2.51226))+0--78.3-0.239598000000009</f>
        <v>1514.8503299999998</v>
      </c>
      <c r="V316" s="3">
        <f>2227.3+(52.9-840.1)+(0+(0-0))+0--78.4-0</f>
        <v>1518.5000000000002</v>
      </c>
      <c r="W316" s="3">
        <f>2237.7+(38.1-744)+(0+(0-0))+0--78.4-0</f>
        <v>1610.1999999999998</v>
      </c>
      <c r="X316" s="3">
        <f>2238.8+(68.3-660.7)+(-5.70894+(-0.174165--1.684785))+0--78.9-0.201194999999989</f>
        <v>1720.9004850000001</v>
      </c>
      <c r="Y316" s="3">
        <f>2228.6+(58.5-694.8)+(-5.68293+(-0.149175--1.77174))+0--79.7-0.203234999999988</f>
        <v>1667.7364</v>
      </c>
      <c r="Z316" s="3">
        <f>2236.9+(38.3-745)+(-2.281638+(-0.039066--0.7599))+0--79.9-0.0814980000000127</f>
        <v>1608.4576980000002</v>
      </c>
      <c r="AA316" s="3">
        <f>2249.8+(43.8-790.3)+(-4.589592+(-0.089352--1.612212))+0--80.1-0.163403999999996</f>
        <v>1580.1698640000002</v>
      </c>
      <c r="AB316" s="3">
        <f>2228.5+(47.8-848.7)+(-1.136535+(-0.024378--0.432837))+0--81.6-0.0416159999999917</f>
        <v>1508.4303079999997</v>
      </c>
      <c r="AC316" s="3">
        <f>2224.1+(57.1-972.8)+(-4.537164+(-0.116484--1.984512))+0--81.4-0.166055999999996</f>
        <v>1386.9648080000002</v>
      </c>
      <c r="AD316" s="2">
        <v>1730.8999999999999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2123.8+(29-942.1)+(-1.083138+(-0.01479--0.480471))+0--82.4-0.0420239999999916</f>
        <v>1292.4405190000002</v>
      </c>
      <c r="G317" s="3">
        <f>1984.6+(27-875.8)+(-1.012146+(-0.01377--0.446658))+0--82.7-0.0421769999999916</f>
        <v>1217.878565</v>
      </c>
      <c r="H317" s="3">
        <f>1866.4+(32-812.6)+(0+(0-0))+0--82.4-0</f>
        <v>1168.2000000000003</v>
      </c>
      <c r="I317" s="3">
        <f>1869.2+(25-823.8)+(-0.953292+(-0.01275--0.420138))+0--82.1-0.0418709999999917</f>
        <v>1151.912225</v>
      </c>
      <c r="J317" s="3">
        <f>1870.6+(27-822.9)+(-2.862018+(-0.04131--1.259037))+0--82.6-0.126378000000005</f>
        <v>1155.5293309999997</v>
      </c>
      <c r="K317" s="3">
        <f>1912.7+(21-820.2)+(0.975477+(0.01071-0.418302))+0--82.3--0.0419729999999916</f>
        <v>1196.409858</v>
      </c>
      <c r="L317" s="3">
        <f>2030.3+(28-833.9)+(-2.070906+(-0.02856--0.850578))+0--84-0.0856800000000134</f>
        <v>1307.0654320000001</v>
      </c>
      <c r="M317" s="3">
        <f>2066.1+(30-792.4)+(-3.161133+(-0.0459--1.212372))+0--85.1-0.130203000000005</f>
        <v>1386.6751359999998</v>
      </c>
      <c r="N317" s="3">
        <f>2142.4+(31-775.4)+(-2.185248+(-0.03162--0.790908))+0--84.2-0.0858840000000134</f>
        <v>1480.6881559999999</v>
      </c>
      <c r="O317" s="3">
        <f>2285.9+(45-852.4)+(-1.165809+(-0.02295--0.434724))+0--83.6-0.0426359999999915</f>
        <v>1561.3033290000001</v>
      </c>
      <c r="P317" s="3">
        <f>2316.7+(46-872.1)+(-3.544551+(-0.07038--1.334313))+0--83.9-0.128367000000005</f>
        <v>1572.091015</v>
      </c>
      <c r="Q317" s="3">
        <f>2285.8+(44-828.1)+(0+(0-0))+0--84.6-0</f>
        <v>1586.3000000000002</v>
      </c>
      <c r="R317" s="3">
        <f>2250+(57-845.6)+(-4.59+(-0.11628--1.725024))+0--84-0.171359999999996</f>
        <v>1542.247384</v>
      </c>
      <c r="S317" s="3">
        <f>2168.9+(58-757.1)+(-4.424556+(-0.11832--1.544484))+0--83.3-0.169931999999996</f>
        <v>1549.9316760000002</v>
      </c>
      <c r="T317" s="3">
        <f>2133.9+(50-724.2)+(1.088289+(0.0255-0.369342))+0--82.8--0.0422279999999916</f>
        <v>1543.2866750000001</v>
      </c>
      <c r="U317" s="3">
        <f>2174.5+(45-780)+(-4.43598+(-0.0918--1.5912))+0--83.4-0.170135999999996</f>
        <v>1519.7932840000001</v>
      </c>
      <c r="V317" s="3">
        <f>2177.5+(45-768.1)+(-1.110525+(-0.02295--0.391731))+0--83.2-0.0424319999999916</f>
        <v>1536.8158240000002</v>
      </c>
      <c r="W317" s="3">
        <f>2256.2+(54.7-766)+(2.301324+(0.055794-0.78132))+0--82.9--0.0845580000000132</f>
        <v>1629.460356</v>
      </c>
      <c r="X317" s="3">
        <f>2276.6+(97.2-666.3)+(-1.161066+(-0.049572--0.339813))+0--82.6-0.0421259999999916</f>
        <v>1789.1870489999999</v>
      </c>
      <c r="Y317" s="3">
        <f>2283.9+(82.2-697.6)+(-3.494367+(-0.125766--1.067328))+0--83-0.126990000000005</f>
        <v>1748.820205</v>
      </c>
      <c r="Z317" s="3">
        <f>2292.6+(53-737)+(1.169226+(0.02703-0.37587))+0--82.2--0.0419219999999917</f>
        <v>1691.6623079999999</v>
      </c>
      <c r="AA317" s="3">
        <f>2297.9+(58-765.3)+(-3.515787+(-0.08874--1.170909))+0--83.8-0.128214000000005</f>
        <v>1671.838168</v>
      </c>
      <c r="AB317" s="3">
        <f>2337+(85.9-903.7)+(-5.95935+(-0.219045--2.304435))+0--83.1-0.211904999999988</f>
        <v>1598.2141349999999</v>
      </c>
      <c r="AC317" s="3">
        <f>2234.5+(89.7-904.8)+(-2.27919+(-0.091494--0.922896))+0--84.3-0.0859860000000134</f>
        <v>1502.1662260000001</v>
      </c>
      <c r="AD317" s="2">
        <v>1777.3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2137.4+(86.8-919.8)+(-4.360296+(-0.177072--1.876392))+0--83.4-0.170135999999996</f>
        <v>1384.9688880000003</v>
      </c>
      <c r="G318" s="3">
        <f>1992.1+(47.8-815.9)+(-2.031942+(-0.048756--0.832218))+0--83.2-0.0848640000000133</f>
        <v>1305.8666560000001</v>
      </c>
      <c r="H318" s="3">
        <f>1910.3+(38.8-781.6)+(0+(0-0))+0--84-0</f>
        <v>1251.5</v>
      </c>
      <c r="I318" s="3">
        <f>1823.4+(46.8-727)+(-0.929934+(-0.023868--0.37077))+0--83.5-0.0425849999999915</f>
        <v>1226.0743830000001</v>
      </c>
      <c r="J318" s="3">
        <f>1768.8+(51.8-683.9)+(0+(0-0))+0--83.1-0</f>
        <v>1219.7999999999997</v>
      </c>
      <c r="K318" s="3">
        <f>1900.3+(54.7-785.4)+(0.969153+(0.027897-0.400554))+0--84--0.0428399999999915</f>
        <v>1254.2393359999999</v>
      </c>
      <c r="L318" s="3">
        <f>2055.2+(48.7-865.6)+(-2.096304+(-0.049674--0.882912))+0--85.1-0.0868020000000136</f>
        <v>1322.0501319999996</v>
      </c>
      <c r="M318" s="3">
        <f>2121.2+(41.7-855)+(3.245436+(0.063801-1.30815))+0--85.4--0.130662000000005</f>
        <v>1395.4317490000001</v>
      </c>
      <c r="N318" s="3">
        <f>2205.3+(47.7-825.7)+(0+(0-0))+0--84.6-0</f>
        <v>1511.9</v>
      </c>
      <c r="O318" s="3">
        <f>2167.3+(65.8-733.5)+(1.105323+(0.033558-0.374085))+0--82.5--0.0420749999999916</f>
        <v>1582.9068710000001</v>
      </c>
      <c r="P318" s="3">
        <f>2158.7+(65.5-690.6)+(0+(0-0))+0--82.1-0</f>
        <v>1615.6999999999998</v>
      </c>
      <c r="Q318" s="3">
        <f>2195.4+(57.5-722.7)+(-2.239308+(-0.05865--0.737154))+0--82.5-0.0841500000000132</f>
        <v>1611.0550460000002</v>
      </c>
      <c r="R318" s="3">
        <f>2196.2+(46.1-747.7)+(-4.480248+(-0.094044--1.525308))+0--81.4-0.166055999999996</f>
        <v>1572.78496</v>
      </c>
      <c r="S318" s="3">
        <f>2202.6+(41.7-754.9)+(2.246652+(0.042534-0.769998))+0--80.1--0.0817020000000128</f>
        <v>1571.1008899999999</v>
      </c>
      <c r="T318" s="3">
        <f>2132.3+(35.6-701.9)+(-2.174946+(-0.036312--0.715938))+0--79.5-0.0810900000000127</f>
        <v>1543.9235900000003</v>
      </c>
      <c r="U318" s="3">
        <f>1998.9+(33-608.3)+(4.077756+(0.06732-1.240932))+0--79.8--0.162791999999997</f>
        <v>1506.4669360000003</v>
      </c>
      <c r="V318" s="3">
        <f>2026+(47.4-646.7)+(0+(0-0))+0--79.9-0</f>
        <v>1506.6</v>
      </c>
      <c r="W318" s="3">
        <f>2270.8+(42.7-813.2)+(-1.158108+(-0.021777--0.414732))+0--79.3-0.040442999999992</f>
        <v>1578.794404</v>
      </c>
      <c r="X318" s="3">
        <f>2365.8+(41.8-814.4)+(-2.413116+(-0.042636--0.830688))+0--79.3-0.0808860000000126</f>
        <v>1670.7940500000002</v>
      </c>
      <c r="Y318" s="3">
        <f>2356.1+(27.1-843.8)+(-7.209666+(-0.082926--2.582028))+0--80.4-0.246024000000009</f>
        <v>1614.8434120000002</v>
      </c>
      <c r="Z318" s="3">
        <f>2361.5+(21.4-910.1)+(2.40873+(0.021828-0.928302))+0--80.3--0.0819060000000128</f>
        <v>1554.684162</v>
      </c>
      <c r="AA318" s="3">
        <f>2250.5+(30.7-847.3)+(-5.738775+(-0.078285--2.160615))+0--79.7-0.203234999999988</f>
        <v>1509.7403200000001</v>
      </c>
      <c r="AB318" s="3">
        <f>2158.1+(24.6-847.7)+(-4.402524+(-0.050184--1.729308))+0--80.3-0.163811999999996</f>
        <v>1412.4127879999999</v>
      </c>
      <c r="AC318" s="3">
        <f>2116.7+(33.8-915.6)+(-4.318068+(-0.068952--1.867824))+0--81-0.165239999999996</f>
        <v>1313.2155639999996</v>
      </c>
      <c r="AD318" s="2">
        <v>1672.9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2004.8+(38.7-880.4)+(-3.067344+(-0.059211--1.347012))+0--81.4-0.124542000000005</f>
        <v>1242.5959149999999</v>
      </c>
      <c r="G319" s="3">
        <f>1857.8+(20.8-806.9)+(-4.73739+(-0.05304--2.057595))+0--81-0.206549999999988</f>
        <v>1149.7606149999999</v>
      </c>
      <c r="H319" s="3">
        <f>1839.8+(38.7-854.5)+(1.876596+(0.039474-0.87159))+0--81.2--0.082824000000013</f>
        <v>1106.3273040000001</v>
      </c>
      <c r="I319" s="3">
        <f>1909.1+(49.8-957)+(-0.973641+(-0.025398--0.48807))+0--80.3-0.0409529999999919</f>
        <v>1081.6480779999999</v>
      </c>
      <c r="J319" s="3">
        <f>1844.2+(41.8-898.8)+(-0.940542+(-0.021318--0.458388))+0--80.5-0.0410549999999918</f>
        <v>1067.155473</v>
      </c>
      <c r="K319" s="3">
        <f>1796.1+(35.8-834.2)+(1.832022+(0.036516-0.850884))+0--79.5--0.0810900000000127</f>
        <v>1078.2987439999997</v>
      </c>
      <c r="L319" s="3">
        <f>1793.5+(34.8-807.3)+(-1.82937+(-0.035496--0.823446))+0--79.8-0.0813960000000127</f>
        <v>1099.6771839999999</v>
      </c>
      <c r="M319" s="3">
        <f>1849.4+(33.8-885.9)+(0+(0-0))+0--81.4-0</f>
        <v>1078.7</v>
      </c>
      <c r="N319" s="3">
        <f>2038.4+(34.8-1006.9)+(1.039584+(0.017748-0.513519))+0--81--0.0413099999999918</f>
        <v>1147.8851230000002</v>
      </c>
      <c r="O319" s="3">
        <f>2088.6+(32.8-969.5)+(1.065186+(0.016728-0.494445))+0--82.1--0.0418709999999917</f>
        <v>1234.6293399999997</v>
      </c>
      <c r="P319" s="3">
        <f>2082.2+(32.8-927.1)+(-3.185766+(-0.050184--1.418463))+0--81.7-0.125001000000005</f>
        <v>1267.6575119999995</v>
      </c>
      <c r="Q319" s="3">
        <f>2098.5+(24.8-928.6)+(-4.28094+(-0.050592--1.894344))+0--80.6-0.164423999999996</f>
        <v>1272.6983879999996</v>
      </c>
      <c r="R319" s="3">
        <f>1949.3+(8.8-798.9)+(-0.994143+(-0.004488--0.407439))+0--81.6-0.0416159999999917</f>
        <v>1240.1671919999997</v>
      </c>
      <c r="S319" s="3">
        <f>1912+(16.8-803)+(-3.90048+(-0.034272--1.63812))+0--81.1-0.165443999999996</f>
        <v>1204.4379239999998</v>
      </c>
      <c r="T319" s="3">
        <f>1832+(29.8-769.1)+(-2.80296+(-0.045594--1.176723))+0--81.2-0.124236000000005</f>
        <v>1172.1039329999996</v>
      </c>
      <c r="U319" s="3">
        <f>1804.8+(21.8-757.4)+(2.761344+(0.033354-1.158822))+0--81.3--0.124389000000005</f>
        <v>1152.2602649999999</v>
      </c>
      <c r="V319" s="3">
        <f>1956+(28.8-899.1)+(-1.99512+(-0.029376--0.917082))+0--80.6-0.0822120000000128</f>
        <v>1165.1103739999996</v>
      </c>
      <c r="W319" s="3">
        <f>1964.6+(27.6-787.9)+(-5.00973+(-0.07038--2.009145))+0--79.1-0.201704999999989</f>
        <v>1280.12733</v>
      </c>
      <c r="X319" s="3">
        <f>2113.6+(63.1-749)+(-3.233808+(-0.096543--1.14597))+0--78.7-0.120411000000005</f>
        <v>1504.0952079999997</v>
      </c>
      <c r="Y319" s="3">
        <f>2150.5+(59.8-769.6)+(-1.096755+(-0.030498--0.392496))+0--79-0.040289999999992</f>
        <v>1518.924953</v>
      </c>
      <c r="Z319" s="3">
        <f>2157+(53.8-789.9)+(-1.10007+(-0.027438--0.402849))+0--80.7-0.0411569999999918</f>
        <v>1500.8341840000003</v>
      </c>
      <c r="AA319" s="3">
        <f>2199.7+(55.8-870.9)+(1.121847+(0.028458-0.444159))+0--81.3--0.0414629999999918</f>
        <v>1466.6476089999999</v>
      </c>
      <c r="AB319" s="3">
        <f>2190.8+(60.6-944.2)+(-3.351924+(-0.092718--1.444626))+0--81.5-0.124695000000005</f>
        <v>1386.5752890000003</v>
      </c>
      <c r="AC319" s="3">
        <f>2129.4+(101.6-977.6)+(-4.343976+(-0.207264--1.994304))+0--82-0.167279999999996</f>
        <v>1332.6757840000002</v>
      </c>
      <c r="AD319" s="2">
        <v>1493.1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1981.7+(73.6-924.7)+(-4.042668+(-0.150144--1.886388))+0--82.3-0.167891999999996</f>
        <v>1210.4256839999998</v>
      </c>
      <c r="G320" s="3">
        <f>1699.2+(59.2-706.7)+(-0.866592+(-0.030192--0.360417))+0--80.9-0.0412589999999918</f>
        <v>1132.0223740000001</v>
      </c>
      <c r="H320" s="3">
        <f>1641.5+(47.9-680.2)+(-3.34866+(-0.097716--1.387608))+0--80.8-0.164831999999996</f>
        <v>1087.7764</v>
      </c>
      <c r="I320" s="3">
        <f>1644.6+(40.7-691.6)+(-0.838746+(-0.020757--0.352716))+0--82.5-0.0420749999999916</f>
        <v>1075.6511379999999</v>
      </c>
      <c r="J320" s="3">
        <f>1647+(46.6-692.3)+(4.19985+(0.11883-1.765365))+0--82.9--0.211394999999988</f>
        <v>1086.9647100000002</v>
      </c>
      <c r="K320" s="3">
        <f>1723.8+(36.5-724.8)+(2.637414+(0.055845-1.108944))+0--81.7--0.125001000000005</f>
        <v>1118.9093160000002</v>
      </c>
      <c r="L320" s="3">
        <f>1952.6+(40.5-873.1)+(2.987478+(0.061965-1.335843))+0--83.4--0.127602000000005</f>
        <v>1205.2412020000002</v>
      </c>
      <c r="M320" s="3">
        <f>2093.7+(35.5-959.5)+(-3.203361+(-0.054315--1.468035))+0--83.3-0.127449000000005</f>
        <v>1251.0829099999996</v>
      </c>
      <c r="N320" s="3">
        <f>2149+(51.5-939.5)+(2.19198+(0.05253-0.95829))+0--83.5--0.0851700000000133</f>
        <v>1345.87139</v>
      </c>
      <c r="O320" s="3">
        <f>2295.4+(56.5-1023.5)+(0+(0-0))+0--82.4-0</f>
        <v>1410.8000000000002</v>
      </c>
      <c r="P320" s="3">
        <f>2300.7+(55.5-998.7)+(2.346714+(0.05661-1.018674))+0--83--0.0846600000000132</f>
        <v>1441.9693099999997</v>
      </c>
      <c r="Q320" s="3">
        <f>2328.3+(47.5-1015.5)+(-2.374866+(-0.04845--1.03581))+0--80.9-0.0825180000000129</f>
        <v>1439.7299760000003</v>
      </c>
      <c r="R320" s="3">
        <f>2316.9+(49.5-1054.3)+(-5.908095+(-0.126225--2.688465))+0--80.6-0.205529999999988</f>
        <v>1389.1486150000001</v>
      </c>
      <c r="S320" s="3">
        <f>2313.7+(49.5-1042.4)+(-1.179987+(-0.025245--0.531624))+0--81.5-0.0415649999999917</f>
        <v>1401.5848269999997</v>
      </c>
      <c r="T320" s="3">
        <f>2309+(53.5-1041.3)+(-5.88795+(-0.136425--2.655315))+0--81.9-0.208844999999988</f>
        <v>1399.5220950000003</v>
      </c>
      <c r="U320" s="3">
        <f>2310.7+(57.5-1049.4)+(-2.356914+(-0.05865--1.070388))+0--79.7-0.0812940000000127</f>
        <v>1397.0735299999997</v>
      </c>
      <c r="V320" s="3">
        <f>2314.2+(57.5-1062.2)+(1.180242+(0.029325-0.541722))+0--76.2--0.0388619999999923</f>
        <v>1386.4067069999996</v>
      </c>
      <c r="W320" s="3">
        <f>2331.2+(43.5-979.5)+(0+(0-0))+0--76.8-0</f>
        <v>1471.9999999999998</v>
      </c>
      <c r="X320" s="3">
        <f>2346.7+(47.3-801.1)+(-1.196817+(-0.024123--0.408561))+0--76.3-0.0389129999999923</f>
        <v>1668.3487079999995</v>
      </c>
      <c r="Y320" s="3">
        <f>2352.6+(45.5-820.8)+(-7.198956+(-0.13923--2.511648))+0--76.7-0.234702000000009</f>
        <v>1648.93876</v>
      </c>
      <c r="Z320" s="3">
        <f>2353.7+(50.5-876.4)+(-4.801548+(-0.10302--1.787856))+0--77-0.157079999999997</f>
        <v>1601.5262079999998</v>
      </c>
      <c r="AA320" s="3">
        <f>2360.9+(50.5-919.3)+(-1.204059+(-0.025755--0.468843))+0--77.5-0.0395249999999921</f>
        <v>1568.7995040000003</v>
      </c>
      <c r="AB320" s="3">
        <f>2182.4+(60.5-830.7)+(-4.452096+(-0.12342--1.694628))+0--77.9-0.158915999999997</f>
        <v>1487.0601960000001</v>
      </c>
      <c r="AC320" s="3">
        <f>2109.1+(76.2-900.1)+(-3.226923+(-0.116586--1.377153))+0--77.2-0.118116000000004</f>
        <v>1360.3155279999999</v>
      </c>
      <c r="AD320" s="2">
        <v>1679.3999999999999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2088.5+(78-998.3)+(-4.26054+(-0.15912--2.036532))+0--75.9-0.154835999999997</f>
        <v>1241.5620360000003</v>
      </c>
      <c r="G321" s="3">
        <f>1906.6+(60.4-870.2)+(-2.917098+(-0.092412--1.331406))+0--75.6-0.115668000000004</f>
        <v>1170.6062279999996</v>
      </c>
      <c r="H321" s="3">
        <f>1832.9+(73.4-858.3)+(0+(0-0))+0--77.7-0</f>
        <v>1125.7</v>
      </c>
      <c r="I321" s="3">
        <f>1850.1+(86.9-896.7)+(-0.943551+(-0.044319--0.457317))+0--77.4-0.0394739999999922</f>
        <v>1117.1299729999998</v>
      </c>
      <c r="J321" s="3">
        <f>1816.8+(72.6-843.2)+(0.926568+(0.037026-0.430032))+0--75.5--0.0385049999999923</f>
        <v>1122.2720669999999</v>
      </c>
      <c r="K321" s="3">
        <f>1872.9+(59.8-847.7)+(1.910358+(0.060996-0.864654))+0--76.9--0.0784380000000123</f>
        <v>1163.0851380000001</v>
      </c>
      <c r="L321" s="3">
        <f>1967.4+(35-812.4)+(2.006748+(0.0357-0.828648))+0--77.4--0.0789480000000123</f>
        <v>1268.6927480000002</v>
      </c>
      <c r="M321" s="3">
        <f>2026.2+(41-833.1)+(1.033362+(0.02091-0.424881))+0--84.3--0.0429929999999914</f>
        <v>1319.0723839999998</v>
      </c>
      <c r="N321" s="3">
        <f>2207.9+(60-948.3)+(-4.504116+(-0.1224--1.934532))+0--82.7-0.168707999999996</f>
        <v>1399.4393080000002</v>
      </c>
      <c r="O321" s="3">
        <f>2249.5+(64-938.7)+(3.441735+(0.09792-1.436211))+0--81.9--0.125307000000005</f>
        <v>1458.9287510000001</v>
      </c>
      <c r="P321" s="3">
        <f>2229.9+(65-876.7)+(-2.274498+(-0.0663--0.894234))+0--81.9-0.0835380000000131</f>
        <v>1498.569898</v>
      </c>
      <c r="Q321" s="3">
        <f>2282.8+(57-916.7)+(-4.656912+(-0.11628--1.870068))+0--81.4-0.166055999999996</f>
        <v>1501.4308200000003</v>
      </c>
      <c r="R321" s="3">
        <f>2329+(53-1001.7)+(-5.93895+(-0.13515--2.554335))+0--81.4-0.207569999999988</f>
        <v>1457.972665</v>
      </c>
      <c r="S321" s="3">
        <f>2412.4+(60-1095.6)+(1.230324+(0.0306-0.558756))+0--82.4--0.0420239999999916</f>
        <v>1459.9441920000004</v>
      </c>
      <c r="T321" s="3">
        <f>2339.9+(63-1037.6)+(-2.386698+(-0.06426--1.058352))+0--82-0.0836400000000131</f>
        <v>1445.8237540000002</v>
      </c>
      <c r="U321" s="3">
        <f>2260.3+(64-990.6)+(-1.152753+(-0.03264--0.505206))+0--82.2-0.0419219999999917</f>
        <v>1415.1778910000005</v>
      </c>
      <c r="V321" s="3">
        <f>2269.7+(59-992)+(0+(0-0))+0--82.3-0</f>
        <v>1418.9999999999998</v>
      </c>
      <c r="W321" s="3">
        <f>2323.1+(45-940.5)+(0+(0-0))+0--82.3-0</f>
        <v>1509.8999999999999</v>
      </c>
      <c r="X321" s="3">
        <f>2484.8+(41-890.4)+(1.267248+(0.02091-0.454104))+0--82.4--0.0420239999999916</f>
        <v>1718.6760780000002</v>
      </c>
      <c r="Y321" s="3">
        <f>2510+(43-940.3)+(-3.8403+(-0.06579--1.438659))+0--83.4-0.127602000000005</f>
        <v>1693.5049670000001</v>
      </c>
      <c r="Z321" s="3">
        <f>2442.8+(42-928)+(-2.491656+(-0.04284--0.94656))+0--83.4-0.0850680000000133</f>
        <v>1638.5269960000003</v>
      </c>
      <c r="AA321" s="3">
        <f>2426.3+(56-951.9)+(-3.712239+(-0.08568--1.456407))+0--82.2-0.125766000000005</f>
        <v>1610.1327220000001</v>
      </c>
      <c r="AB321" s="3">
        <f>2470.7+(57-1072)+(-2.520114+(-0.05814--1.09344))+0--83.1-0.0847620000000132</f>
        <v>1537.2304239999999</v>
      </c>
      <c r="AC321" s="3">
        <f>2453.5+(60-1190.6)+(-6.256425+(-0.153--3.03603))+0--84.7-0.215984999999988</f>
        <v>1404.01062</v>
      </c>
      <c r="AD321" s="2">
        <v>1712.7000000000003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2439.7+(107.3-1323)+(-1.244247+(-0.054723--0.67473))+0--83.7-0.0426869999999915</f>
        <v>1307.0330729999998</v>
      </c>
      <c r="G322" s="3">
        <f>2263.9+(109.7-1232.6)+(0+(0-0))+0--86.1-0</f>
        <v>1227.1000000000001</v>
      </c>
      <c r="H322" s="3">
        <f>2231.5+(80-1209.8)+(0+(0-0))+0--85.4-0</f>
        <v>1187.1000000000001</v>
      </c>
      <c r="I322" s="3">
        <f>2235.9+(91.5-1242)+(0+(0-0))+0--84.5-0</f>
        <v>1169.9000000000001</v>
      </c>
      <c r="J322" s="3">
        <f>2240.7+(53.6-1197.7)+(4.571028+(0.109344-2.443308))+0--84.4--0.172175999999996</f>
        <v>1183.4092399999997</v>
      </c>
      <c r="K322" s="3">
        <f>2270.5+(59-1200.3)+(3.473865+(0.09027-1.836459))+0--84.7--0.129591000000005</f>
        <v>1215.7572670000002</v>
      </c>
      <c r="L322" s="3">
        <f>2440.8+(48-1244.7)+(2.489616+(0.04896-1.269594))+0--85--0.0867000000000136</f>
        <v>1330.4556820000003</v>
      </c>
      <c r="M322" s="3">
        <f>2443+(62.3-1210.2)+(-2.49186+(-0.063546--1.234404))+0--84.6-0.0862920000000135</f>
        <v>1378.292706</v>
      </c>
      <c r="N322" s="3">
        <f>2327.6+(59.3-1002)+(-3.561228+(-0.090729--1.53306))+0--84.5-0.129285000000005</f>
        <v>1467.1518179999998</v>
      </c>
      <c r="O322" s="3">
        <f>2239.4+(74.5-880)+(1.142094+(0.037995-0.4488))+0--83.6--0.0426359999999915</f>
        <v>1518.273925</v>
      </c>
      <c r="P322" s="3">
        <f>2237.2+(58-843.9)+(0+(0-0))+0--82.8-0</f>
        <v>1534.0999999999997</v>
      </c>
      <c r="Q322" s="3">
        <f>2420+(58-1018.9)+(1.2342+(0.02958-0.519639))+0--84.2--0.0429419999999915</f>
        <v>1544.0870829999999</v>
      </c>
      <c r="R322" s="3">
        <f>2421.2+(48-1072.5)+(-6.17406+(-0.1224--2.734875))+0--82.7-0.210884999999988</f>
        <v>1475.62753</v>
      </c>
      <c r="S322" s="3">
        <f>2412.1+(46-1064.9)+(0+(0-0))+2.1--82.1-0</f>
        <v>1477.3999999999996</v>
      </c>
      <c r="T322" s="3">
        <f>2401.4+(47-1053.1)+(-1.224714+(-0.02397--0.537081))+0--82.3-0.0419729999999916</f>
        <v>1476.8464240000001</v>
      </c>
      <c r="U322" s="3">
        <f>2398.8+(48-1067.8)+(-6.11694+(-0.1224--2.72289))+0--80.6-0.205529999999988</f>
        <v>1455.8780200000001</v>
      </c>
      <c r="V322" s="3">
        <f>2450.1+(44-1132.6)+(-3.748653+(-0.06732--1.732878))+0--80.7-0.123471000000005</f>
        <v>1439.993434</v>
      </c>
      <c r="W322" s="3">
        <f>2592.9+(18-1161.1)+(-1.322379+(-0.00918--0.592161))+0--81-0.0413099999999918</f>
        <v>1530.0192920000002</v>
      </c>
      <c r="X322" s="3">
        <f>2730.7+(6-1058.4)+(-4.177971+(-0.00918--1.619352))+0--80.9-0.123777000000005</f>
        <v>1756.5084239999999</v>
      </c>
      <c r="Y322" s="3">
        <f>2744.3+(6-1090.4)+(-8.397558+(-0.01836--3.336624))+0--81.3-0.248778000000009</f>
        <v>1735.8719280000003</v>
      </c>
      <c r="Z322" s="3">
        <f>2754.4+(8-1161.9)+(-4.214232+(-0.01224--1.777707))+0--82.3-0.125919000000005</f>
        <v>1680.2253159999998</v>
      </c>
      <c r="AA322" s="3">
        <f>2762.1+(17-1210.2)+(-5.634684+(-0.03468--2.468808))+0--84.7-0.172787999999996</f>
        <v>1650.2266559999998</v>
      </c>
      <c r="AB322" s="3">
        <f>2694.3+(28-1231.6)+(-6.870465+(-0.0714--3.14058))+0--85.2-0.217259999999988</f>
        <v>1571.8814550000004</v>
      </c>
      <c r="AC322" s="3">
        <f>2467.1+(13-1131.1)+(-2.516442+(-0.01326--1.153722))+0--84.5-0.0861900000000135</f>
        <v>1432.03783</v>
      </c>
      <c r="AD322" s="2">
        <v>1765.6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2472+(26-1252.9)+(-5.04288+(-0.05304--2.555916))+0--84.2-0.171767999999996</f>
        <v>1326.5882280000001</v>
      </c>
      <c r="G323" s="3">
        <f>2449.7+(19-1295.9)+(-1.249347+(-0.00969--0.660909))+0--85.4-0.0435539999999913</f>
        <v>1257.5583179999996</v>
      </c>
      <c r="H323" s="3">
        <f>2381.9+(12-1267.7)+(0+(0-0))+0--86.3-0</f>
        <v>1212.5</v>
      </c>
      <c r="I323" s="3">
        <f>2251.7+(18-1153.9)+(0+(0-0))+0--84.5-0</f>
        <v>1200.2999999999997</v>
      </c>
      <c r="J323" s="3">
        <f>2213.6+(16-1114.4)+(3.386808+(0.02448-1.705032))+0--84.9--0.129897000000005</f>
        <v>1201.9361529999999</v>
      </c>
      <c r="K323" s="3">
        <f>2213.3+(11-1067.2)+(-3.386349+(-0.01683--1.632816))+0--85.9-0.131427000000005</f>
        <v>1241.0982100000001</v>
      </c>
      <c r="L323" s="3">
        <f>2249.5+(9-1022.4)+(0+(0-0))+0--87.4-0</f>
        <v>1323.5</v>
      </c>
      <c r="M323" s="3">
        <f>2516.3+(11.2-1239.2)+(0+(0-0))+0--88.6-0</f>
        <v>1376.9</v>
      </c>
      <c r="N323" s="3">
        <f>2671.7+(15.8-1294)+(0+(0-0))+0--87.2-0</f>
        <v>1480.6999999999998</v>
      </c>
      <c r="O323" s="3">
        <f>2651.7+(22.5-1214.3)+(0+(0-0))+0--86.3-0</f>
        <v>1546.1999999999998</v>
      </c>
      <c r="P323" s="3">
        <f>2638+(21-1178.3)+(-4.03614+(-0.03213--1.802799))+0--82.5-0.126225000000005</f>
        <v>1560.8083040000001</v>
      </c>
      <c r="Q323" s="3">
        <f>2661.9+(17.1-1201.8)+(-2.715138+(-0.017442--1.225836))+0--80.5-0.0821100000000128</f>
        <v>1556.111146</v>
      </c>
      <c r="R323" s="3">
        <f>2636.8+(16.7-1240.3)+(-4.034304+(-0.025551--1.897659))+0--79.4-0.121482000000005</f>
        <v>1490.3163220000004</v>
      </c>
      <c r="S323" s="3">
        <f>2625.8+(21.3-1223)+(-4.017474+(-0.032589--1.87119))+0--79.3-0.121329000000005</f>
        <v>1501.099798</v>
      </c>
      <c r="T323" s="3">
        <f>2612.9+(24.4-1226)+(-1.332579+(-0.012444--0.62526))+0--80.2-0.0409019999999919</f>
        <v>1490.7393350000002</v>
      </c>
      <c r="U323" s="3">
        <f>2611.8+(17.8-1229.3)+(-2.664036+(-0.018156--1.253886))+0--80.2-0.0818040000000128</f>
        <v>1478.9898900000003</v>
      </c>
      <c r="V323" s="3">
        <f>2619.3+(16.6-1228.2)+(-4.007529+(-0.025398--1.879146))+0--80.2-0.122706000000005</f>
        <v>1485.623513</v>
      </c>
      <c r="W323" s="3">
        <f>2647.3+(5.6-1172.1)+(0+(0-0))+0--83.4-0</f>
        <v>1564.2000000000003</v>
      </c>
      <c r="X323" s="3">
        <f>2671.8+(5.7-988.9)+(0+(0-0))+0--83.3-0</f>
        <v>1771.9000000000003</v>
      </c>
      <c r="Y323" s="3">
        <f>2680.3+(5.8-1020.9)+(-8.201718+(-0.017748--3.123954))+0--84.2-0.25765200000001</f>
        <v>1744.0468360000002</v>
      </c>
      <c r="Z323" s="3">
        <f>2689+(9.2-1086.9)+(0+(0-0))+0--84.1-0</f>
        <v>1695.3999999999999</v>
      </c>
      <c r="AA323" s="3">
        <f>2695.1+(11.4-1126.4)+(-1.374501+(-0.005814--0.574464))+0--84.1-0.0428909999999915</f>
        <v>1663.3512579999997</v>
      </c>
      <c r="AB323" s="3">
        <f>2703.5+(14.6-1212.3)+(-2.75757+(-0.014892--1.236546))+0--84.2-0.0858840000000134</f>
        <v>1588.3781999999999</v>
      </c>
      <c r="AC323" s="3">
        <f>2579.8+(17-1214.8)+(-3.947094+(-0.02601--1.858644))+0--84.3-0.128979000000005</f>
        <v>1464.0565610000001</v>
      </c>
      <c r="AD323" s="2">
        <v>1772.4000000000003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2496.7+(18.5-1251.5)+(-6.366585+(-0.047175--3.191325))+0--92.3-0.235364999999987</f>
        <v>1352.5421999999999</v>
      </c>
      <c r="G324" s="3">
        <f>2263.2+(20.5-1096)+(-4.616928+(-0.04182--2.23584))+0--94.3-0.192371999999996</f>
        <v>1279.3847199999998</v>
      </c>
      <c r="H324" s="3">
        <f>2175.8+(12.5-1039.1)+(-1.109658+(-0.006375--0.529941))+0--93.3-0.0475829999999905</f>
        <v>1241.8663250000002</v>
      </c>
      <c r="I324" s="3">
        <f>2155.6+(12.5-1032.9)+(0+(0-0))+0--94.2-0</f>
        <v>1229.3999999999999</v>
      </c>
      <c r="J324" s="3">
        <f>2036.8+(13.5-909.2)+(0+(0-0))+0--92.3-0</f>
        <v>1233.3999999999999</v>
      </c>
      <c r="K324" s="3">
        <f>2068.7+(8.5-907.6)+(3.165111+(0.013005-1.388628))+0--94.4--0.144432000000005</f>
        <v>1265.9339199999999</v>
      </c>
      <c r="L324" s="3">
        <f>2193.2+(8.5-922.3)+(0+(0-0))+0--87.7-0</f>
        <v>1367.1</v>
      </c>
      <c r="M324" s="3">
        <f>2010.1+(16.1-699.9)+(4.100604+(0.032844-1.427796))+0--87.7--0.178907999999996</f>
        <v>1416.8845600000002</v>
      </c>
      <c r="N324" s="3">
        <f>2217.1+(15.5-811.6)+(0+(0-0))+0--87.9-0</f>
        <v>1508.9</v>
      </c>
      <c r="O324" s="3">
        <f>2326.7+(16.5-865.8)+(0+(0-0))+0--86.4-0</f>
        <v>1563.8</v>
      </c>
      <c r="P324" s="3">
        <f>2366.8+(12.5-891.7)+(-2.414136+(-0.01275--0.909534))+0--83.7-0.0853740000000134</f>
        <v>1569.6972740000001</v>
      </c>
      <c r="Q324" s="3">
        <f>2441.4+(8.5-962)+(-2.490228+(-0.00867--0.98124))+0--81.8-0.083436000000013</f>
        <v>1568.0989059999999</v>
      </c>
      <c r="R324" s="3">
        <f>2467.3+(8.6-1037.9)+(-7.549938+(-0.026316--3.175974))+0--82.4-0.25214400000001</f>
        <v>1515.747576</v>
      </c>
      <c r="S324" s="3">
        <f>2497.2+(12.6-1059.8)+(-3.820716+(-0.019278--1.621494))+0--81.9-0.125307000000005</f>
        <v>1529.5561929999999</v>
      </c>
      <c r="T324" s="3">
        <f>2531.5+(11.6-1113.6)+(-6.455325+(-0.02958--2.83968))+0--83.3-0.212414999999988</f>
        <v>1508.94236</v>
      </c>
      <c r="U324" s="3">
        <f>2577.5+(9.6-1167.5)+(-1.314525+(-0.004896--0.595425))+0--83.2-0.0424319999999916</f>
        <v>1502.033572</v>
      </c>
      <c r="V324" s="3">
        <f>2766+(5.7-1358.5)+(-1.41066+(-0.002907--0.692835))+0--83.3-0.0424829999999915</f>
        <v>1495.7367850000001</v>
      </c>
      <c r="W324" s="3">
        <f>2873.8+(5.6-1405)+(-4.396914+(-0.008568--2.14965))+0--82.7-0.126531000000005</f>
        <v>1554.717637</v>
      </c>
      <c r="X324" s="3">
        <f>2895.5+(5.7-1214.1)+(-5.90682+(-0.011628--2.476764))+0--83.2-0.169727999999996</f>
        <v>1766.6885880000002</v>
      </c>
      <c r="Y324" s="3">
        <f>2791.7+(5.7-1145.2)+(-4.271301+(-0.008721--1.752156))+0--83.9-0.128367000000005</f>
        <v>1733.443767</v>
      </c>
      <c r="Z324" s="3">
        <f>2788.8+(5.7-1203)+(-2.844576+(-0.005814--1.22706))+0--84.6-0.0862920000000135</f>
        <v>1674.3903780000003</v>
      </c>
      <c r="AA324" s="3">
        <f>2790.5+(5.7-1238.6)+(-2.84631+(-0.005814--1.263372))+0--85-0.0867000000000136</f>
        <v>1640.924548</v>
      </c>
      <c r="AB324" s="3">
        <f>2758.5+(5.6-1278.4)+(-4.220505+(-0.008568--1.955952))+0--84.5-0.129285000000005</f>
        <v>1567.7975939999999</v>
      </c>
      <c r="AC324" s="3">
        <f>2381.8+(49.6-1059.3)+(-4.858872+(-0.101184--2.160972))+0--85.6-0.174623999999996</f>
        <v>1454.7262920000003</v>
      </c>
      <c r="AD324" s="2">
        <v>1764.8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2308.5+(61.5-1101.5)+(-3.532005+(-0.094095--1.685295))+0--85.4-0.130662000000005</f>
        <v>1351.8285330000001</v>
      </c>
      <c r="G325" s="3">
        <f>2008.4+(48.5-854.1)+(-5.12142+(-0.123675--2.177955))+0--84.3-0.214964999999988</f>
        <v>1283.8178950000001</v>
      </c>
      <c r="H325" s="3">
        <f>2009+(43.5-901.9)+(-3.07377+(-0.066555--1.379907))+0--84.3-0.128979000000005</f>
        <v>1233.0106029999997</v>
      </c>
      <c r="I325" s="3">
        <f>1867.9+(40.5-768.7)+(-2.857887+(-0.061965--1.176111))+0--85.1-0.130203000000005</f>
        <v>1222.926056</v>
      </c>
      <c r="J325" s="3">
        <f>1825+(39.5-724.4)+(-0.93075+(-0.020145--0.369444))+0--84.3-0.0429929999999914</f>
        <v>1223.7755559999998</v>
      </c>
      <c r="K325" s="3">
        <f>1922+(39.5-802.8)+(1.96044+(0.04029-0.818856))+0--85.3--0.0870060000000136</f>
        <v>1245.2688800000001</v>
      </c>
      <c r="L325" s="3">
        <f>2285.3+(45.5-1144.5)+(-3.496509+(-0.069615--1.751085))+0--86.3-0.132039000000005</f>
        <v>1270.652922</v>
      </c>
      <c r="M325" s="3">
        <f>2219.9+(38.5-1011.7)+(-1.132149+(-0.019635--0.515967))+0--87.6-0.0446759999999911</f>
        <v>1333.6195069999999</v>
      </c>
      <c r="N325" s="3">
        <f>2299.1+(52.5-974.8)+(0+(0-0))+0--87.8-0</f>
        <v>1464.6</v>
      </c>
      <c r="O325" s="3">
        <f>2284.7+(73.6-889.2)+(2.330394+(0.075072-0.906984))+0--85.1--0.0868020000000136</f>
        <v>1555.7852839999998</v>
      </c>
      <c r="P325" s="3">
        <f>2158.6+(146.9-815)+(1.100886+(0.074919-0.41565))+0--82.4--0.0420239999999916</f>
        <v>1573.7021790000001</v>
      </c>
      <c r="Q325" s="3">
        <f>2180.6+(112.3-773.7)+(-2.224212+(-0.114546--0.789174))+0--82.2-0.0838440000000131</f>
        <v>1599.7665719999998</v>
      </c>
      <c r="R325" s="3">
        <f>2155+(100.9-799.5)+(-6.5943+(-0.308754--2.44647))+0--82.6-0.25275600000001</f>
        <v>1534.2906599999999</v>
      </c>
      <c r="S325" s="3">
        <f>2120.1+(90.5-782.2)+(-4.325004+(-0.18462--1.595688))+0--82.4-0.168095999999996</f>
        <v>1507.7179679999999</v>
      </c>
      <c r="T325" s="3">
        <f>2121.5+(61.1-811.4)+(0+(0-0))+0--82.9-0</f>
        <v>1454.1000000000001</v>
      </c>
      <c r="U325" s="3">
        <f>2150.2+(50.5-864.1)+(-3.289806+(-0.077265--1.322073))+0--82.8-0.126684000000005</f>
        <v>1417.2283179999997</v>
      </c>
      <c r="V325" s="3">
        <f>2253.4+(43.7-968.5)+(-2.298468+(-0.044574--0.98787))+0--83.7-0.0853740000000134</f>
        <v>1410.8594540000001</v>
      </c>
      <c r="W325" s="3">
        <f>2274.6+(77.4-959.3)+(3.480138+(0.118422-1.467729))+0--81.8--0.125154000000005</f>
        <v>1476.7559849999998</v>
      </c>
      <c r="X325" s="3">
        <f>2299.2+(201.5-894.8)+(-2.345184+(-0.20553--0.912696))+0--83.4-0.0850680000000133</f>
        <v>1687.5769139999998</v>
      </c>
      <c r="Y325" s="3">
        <f>2314.3+(110.5-823.8)+(-2.360586+(-0.11271--0.840276))+0--84.5-0.0861900000000135</f>
        <v>1683.7807900000003</v>
      </c>
      <c r="Z325" s="3">
        <f>2321+(75.9-845.6)+(-3.55113+(-0.116127--1.293768))+0--85.4-0.130662000000005</f>
        <v>1634.195849</v>
      </c>
      <c r="AA325" s="3">
        <f>2343.1+(57.3-879.5)+(-3.584943+(-0.087669--1.345635))+0--85.4-0.130662000000005</f>
        <v>1603.842361</v>
      </c>
      <c r="AB325" s="3">
        <f>2353+(51.5-955)+(1.20003+(0.026265-0.48705))+0--85--0.0433499999999914</f>
        <v>1535.2825949999999</v>
      </c>
      <c r="AC325" s="3">
        <f>2312.1+(62.5-1014.5)+(-2.358342+(-0.06375--1.03479))+0--85.7-0.0874140000000137</f>
        <v>1444.3252839999998</v>
      </c>
      <c r="AD325" s="2">
        <v>1699.2999999999997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2290.9+(70-1088.8)+(-1.168359+(-0.0357--0.555288))+0--91.4-0.0466139999999907</f>
        <v>1362.8046150000002</v>
      </c>
      <c r="G326" s="3">
        <f>2005.8+(80-892.3)+(-1.022958+(-0.0408--0.455073))+0--91.5-0.0466649999999907</f>
        <v>1284.34465</v>
      </c>
      <c r="H326" s="3">
        <f>1901.9+(75-831.4)+(-0.969969+(-0.03825--0.424014))+0--90.5-0.0461549999999908</f>
        <v>1235.3696399999999</v>
      </c>
      <c r="I326" s="3">
        <f>1907.9+(72-861.6)+(0.973029+(0.03672-0.439416))+0--90.5--0.0461549999999908</f>
        <v>1209.4164880000001</v>
      </c>
      <c r="J326" s="3">
        <f>1910.1+(68-856.8)+(-2.922453+(-0.10404--1.310904))+0--90.4-0.138312000000005</f>
        <v>1209.8460990000001</v>
      </c>
      <c r="K326" s="3">
        <f>1913.8+(67-844.6)+(0+(0-0))+0--91.4-0</f>
        <v>1227.5999999999999</v>
      </c>
      <c r="L326" s="3">
        <f>1851.3+(58.6-729.4)+(-5.664978+(-0.179316--2.231964))+0--86.4-0.26438400000001</f>
        <v>1263.0232860000001</v>
      </c>
      <c r="M326" s="3">
        <f>1723.3+(52.2-596.6)+(-1.757766+(-0.053244--0.608532))+0--86.4-0.0881280000000138</f>
        <v>1264.0093940000002</v>
      </c>
      <c r="N326" s="3">
        <f>1801+(86.3-622.8)+(1.83702+(0.088026-0.635256))+0--85.5--0.0872100000000136</f>
        <v>1351.377</v>
      </c>
      <c r="O326" s="3">
        <f>1874.2+(105.4-621.7)+(4.77921+(0.26877-1.585335))+0--86.4--0.220319999999987</f>
        <v>1447.9829650000001</v>
      </c>
      <c r="P326" s="3">
        <f>1810.1+(151.6-571.2)+(1.846302+(0.154632-0.582624))+0--82.5--0.0841500000000132</f>
        <v>1474.5024599999999</v>
      </c>
      <c r="Q326" s="3">
        <f>1865.8+(124.3-553.2)+(-3.806232+(-0.253572--1.128528))+0--82.4-0.168095999999996</f>
        <v>1516.2006279999998</v>
      </c>
      <c r="R326" s="3">
        <f>1872.8+(113.6-645)+(0+(0-0))+0--82.7-0</f>
        <v>1424.1000000000001</v>
      </c>
      <c r="S326" s="3">
        <f>1885.1+(86.8-647.1)+(-1.922802+(-0.088536--0.660042))+0--81.1-0.0827220000000129</f>
        <v>1404.4659819999995</v>
      </c>
      <c r="T326" s="3">
        <f>1835.4+(85.9-621.8)+(2.808162+(0.131427-0.951354))+0--80.9--0.123777000000005</f>
        <v>1382.5120120000001</v>
      </c>
      <c r="U326" s="3">
        <f>1792.5+(86.2-591.1)+(-1.82835+(-0.087924--0.602922))+0--80.9-0.0825180000000129</f>
        <v>1367.1041300000002</v>
      </c>
      <c r="V326" s="3">
        <f>1847.9+(84-643.2)+(0.942429+(0.04284-0.328032))+0--82--0.0418199999999917</f>
        <v>1371.3990569999999</v>
      </c>
      <c r="W326" s="3">
        <f>2016.3+(110.4-756.4)+(-2.056626+(-0.112608--0.771528))+0--83.3-0.0849660000000133</f>
        <v>1452.1173279999998</v>
      </c>
      <c r="X326" s="3">
        <f>2165.7+(217.3-811.7)+(2.209014+(0.221646-0.827934))+0--83--0.0846600000000132</f>
        <v>1655.9873859999998</v>
      </c>
      <c r="Y326" s="3">
        <f>2175.4+(183.2-780.9)+(-3.328362+(-0.280296--1.194777))+0--81.9-0.125307000000005</f>
        <v>1657.0608120000002</v>
      </c>
      <c r="Z326" s="3">
        <f>2184.1+(93.5-741.9)+(-3.341673+(-0.143055--1.135107))+0--83.9-0.128367000000005</f>
        <v>1617.1220119999998</v>
      </c>
      <c r="AA326" s="3">
        <f>2197.1+(78.8-765)+(-5.602605+(-0.20094--1.95075))+0--84.1-0.214454999999988</f>
        <v>1590.9327499999997</v>
      </c>
      <c r="AB326" s="3">
        <f>2196.4+(58.8-829.7)+(-1.120164+(-0.029988--0.423147))+0--84.1-0.0428909999999915</f>
        <v>1508.8301039999999</v>
      </c>
      <c r="AC326" s="3">
        <f>2159.9+(61.2-895.7)+(-5.507745+(-0.15606--2.284035))+0--84.6-0.215729999999988</f>
        <v>1406.4045000000001</v>
      </c>
      <c r="AD326" s="2">
        <v>1665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2156+(62-996.7)+(-3.29868+(-0.09486--1.524951))+0--84.4-0.129132000000005</f>
        <v>1303.7022790000001</v>
      </c>
      <c r="G327" s="3">
        <f>1948.1+(62-850.7)+(-4.967655+(-0.1581--2.169285))+0--83.1-0.211904999999988</f>
        <v>1239.3316249999998</v>
      </c>
      <c r="H327" s="3">
        <f>1808.9+(62-746.8)+(-0.922539+(-0.03162--0.380868))+0--84.9-0.0432989999999914</f>
        <v>1208.3834100000004</v>
      </c>
      <c r="I327" s="3">
        <f>1807.5+(56-768)+(-0.921825+(-0.02856--0.39168))+0--83.7-0.0426869999999915</f>
        <v>1178.5986080000002</v>
      </c>
      <c r="J327" s="3">
        <f>1733.1+(48-678.3)+(-1.767762+(-0.04896--0.691866))+0--86.7-0.0884340000000138</f>
        <v>1188.2867100000001</v>
      </c>
      <c r="K327" s="3">
        <f>1771.3+(46-677.7)+(3.613452+(0.09384-1.382508))+0--85.6--0.174623999999996</f>
        <v>1227.6994079999997</v>
      </c>
      <c r="L327" s="3">
        <f>1834.9+(50.1-656.6)+(-0.935799+(-0.025551--0.334866))+0--85.9-0.0438089999999913</f>
        <v>1313.6297070000003</v>
      </c>
      <c r="M327" s="3">
        <f>1873.9+(68.7-654.8)+(0.955689+(0.035037-0.333948))+0--85.9--0.0438089999999913</f>
        <v>1374.4005870000003</v>
      </c>
      <c r="N327" s="3">
        <f>2168.3+(58.9-818.2)+(-2.211666+(-0.060078--0.834564))+0--84.7-0.0863940000000135</f>
        <v>1492.1764260000002</v>
      </c>
      <c r="O327" s="3">
        <f>2153+(72.2-728.3)+(2.19606+(0.073644-0.742866))+0--83.4--0.0850680000000133</f>
        <v>1581.9119060000003</v>
      </c>
      <c r="P327" s="3">
        <f>2133.7+(78.3-687.9)+(-5.440935+(-0.199665--1.754145))+0--82.6-0.210629999999988</f>
        <v>1602.6029149999997</v>
      </c>
      <c r="Q327" s="3">
        <f>2157.5+(75.7-716.3)+(1.100325+(0.038607-0.365313))+0--81.6--0.0416159999999917</f>
        <v>1599.315235</v>
      </c>
      <c r="R327" s="3">
        <f>2086.3+(55-682.6)+(-1.064013+(-0.02805--0.348126))+0--80.8-0.0412079999999918</f>
        <v>1538.7148550000002</v>
      </c>
      <c r="S327" s="3">
        <f>1801.1+(125.1-480.9)+(0.918561+(0.063801-0.245259))+0--81.7--0.0416669999999917</f>
        <v>1527.7787699999999</v>
      </c>
      <c r="T327" s="3">
        <f>1851.5+(66.4-495)+(0+(0-0))+0--81.8-0</f>
        <v>1504.7</v>
      </c>
      <c r="U327" s="3">
        <f>1922.6+(66.9-568.2)+(0+(0-0))+0--81.9-0</f>
        <v>1503.1999999999998</v>
      </c>
      <c r="V327" s="3">
        <f>1930.3+(65.4-579)+(-0.984453+(-0.033354--0.29529))+0--81.9-0.0417689999999917</f>
        <v>1497.8357140000001</v>
      </c>
      <c r="W327" s="3">
        <f>2053.5+(66.6-643.7)+(3.141855+(0.101898-0.984861))+0--81.8--0.125154000000005</f>
        <v>1560.5840460000002</v>
      </c>
      <c r="X327" s="3">
        <f>2159.6+(159.1-628)+(-3.304188+(-0.243423--0.96084))+0--81.7-0.125001000000005</f>
        <v>1769.6882279999998</v>
      </c>
      <c r="Y327" s="3">
        <f>2078.2+(145.2-551.6)+(-4.239528+(-0.296208--1.125264))+0--81.6-0.166463999999996</f>
        <v>1749.8230639999997</v>
      </c>
      <c r="Z327" s="3">
        <f>2024.9+(80-510.8)+(-2.065398+(-0.0816--0.521016))+0--81.6-0.083232000000013</f>
        <v>1673.9907860000001</v>
      </c>
      <c r="AA327" s="3">
        <f>2027.7+(63.3-549.4)+(-2.068254+(-0.064566--0.560388))+0--81.6-0.083232000000013</f>
        <v>1621.5443360000002</v>
      </c>
      <c r="AB327" s="3">
        <f>2013.4+(67-589.6)+(-1.026834+(-0.03417--0.300696))+0--81.7-0.0416669999999917</f>
        <v>1571.6980250000004</v>
      </c>
      <c r="AC327" s="3">
        <f>1997.2+(94.9-705.7)+(-5.09286+(-0.241995--1.799535))+0--81.1-0.206804999999988</f>
        <v>1463.757875</v>
      </c>
      <c r="AD327" s="2">
        <v>1789.2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2012.3+(99.4-820)+(-4.105092+(-0.202776--1.6728))+0--84.9-0.173195999999996</f>
        <v>1373.7917359999999</v>
      </c>
      <c r="G328" s="3">
        <f>2014.1+(83-878.1)+(2.054382+(0.08466-0.895662))+0--83.9--0.0855780000000134</f>
        <v>1304.2289579999999</v>
      </c>
      <c r="H328" s="3">
        <f>1962.2+(81-869)+(-1.000722+(-0.04131--0.44319))+0--83.9-0.0427889999999915</f>
        <v>1257.4583689999999</v>
      </c>
      <c r="I328" s="3">
        <f>1839.1+(61-757.3)+(0.937941+(0.03111-0.386223))+0--85--0.0433499999999914</f>
        <v>1228.4261779999999</v>
      </c>
      <c r="J328" s="3">
        <f>1842.2+(65-770.1)+(-0.939522+(-0.03315--0.392751))+0--85-0.0433499999999914</f>
        <v>1221.476729</v>
      </c>
      <c r="K328" s="3">
        <f>1843.4+(58-738.6)+(2.820402+(0.08874-1.130058))+0--85--0.130050000000005</f>
        <v>1249.7091340000002</v>
      </c>
      <c r="L328" s="3">
        <f>1847.8+(49.5-703.4)+(0+(0-0))+0--83.1-0</f>
        <v>1277</v>
      </c>
      <c r="M328" s="3">
        <f>1844.1+(44.4-658.1)+(0.940491+(0.022644-0.335631))+0--85.1--0.0434009999999914</f>
        <v>1316.1709049999997</v>
      </c>
      <c r="N328" s="3">
        <f>1928.1+(60.7-656.6)+(0.983331+(0.030957-0.334866))+0--83.7--0.0426869999999915</f>
        <v>1416.6221089999997</v>
      </c>
      <c r="O328" s="3">
        <f>1998.2+(71.6-666.2)+(0+(0-0))+0--81.3-0</f>
        <v>1484.8999999999999</v>
      </c>
      <c r="P328" s="3">
        <f>1980.7+(80-622)+(-1.010157+(-0.0408--0.31722))+0--79.7-0.0406469999999919</f>
        <v>1517.625616</v>
      </c>
      <c r="Q328" s="3">
        <f>1955.1+(88.3-595.4)+(-0.997101+(-0.045033--0.303654))+0--79.9-0.0407489999999919</f>
        <v>1527.1207710000001</v>
      </c>
      <c r="R328" s="3">
        <f>1856.5+(94.8-555.3)+(-0.946815+(-0.048348--0.283203))+0--78.9-0.040238999999992</f>
        <v>1474.1478010000001</v>
      </c>
      <c r="S328" s="3">
        <f>1761.7+(105.3-491.9)+(0.898467+(0.053703-0.250869))+0--78.9--0.040238999999992</f>
        <v>1454.7415400000002</v>
      </c>
      <c r="T328" s="3">
        <f>1715.3+(108-465.9)+(0.874803+(0.05508-0.237609))+0--78.9--0.040238999999992</f>
        <v>1437.0325130000001</v>
      </c>
      <c r="U328" s="3">
        <f>1764.7+(95.8-508.7)+(-3.599988+(-0.195432--1.037748))+0--79-0.161159999999997</f>
        <v>1427.8811680000001</v>
      </c>
      <c r="V328" s="3">
        <f>1725+(122.3-497.1)+(2.63925+(0.187119-0.760563))+0--77--0.117810000000004</f>
        <v>1429.3836160000001</v>
      </c>
      <c r="W328" s="3">
        <f>1836+(112.7-547.2)+(0.93636+(0.057477-0.279072))+0--79--0.040289999999992</f>
        <v>1481.2550549999999</v>
      </c>
      <c r="X328" s="3">
        <f>1997.6+(290.3-649.9)+(0+(0-0))+0--79-0</f>
        <v>1717</v>
      </c>
      <c r="Y328" s="3">
        <f>2017.8+(245.6-632.5)+(-3.087234+(-0.375768--0.967725))+0--80.9-0.123777000000005</f>
        <v>1709.1809460000002</v>
      </c>
      <c r="Z328" s="3">
        <f>2023.8+(170.2-606.7)+(-4.128552+(-0.347208--1.237668))+0--80.9-0.165035999999996</f>
        <v>1664.7968719999999</v>
      </c>
      <c r="AA328" s="3">
        <f>2030.5+(110.6-594.6)+(-5.177775+(-0.28203--1.51623))+0--80.9-0.206294999999988</f>
        <v>1623.2501300000001</v>
      </c>
      <c r="AB328" s="3">
        <f>1980+(82.2-592.8)+(-1.0098+(-0.041922--0.302328))+0--80.9-0.0412589999999918</f>
        <v>1549.5093470000002</v>
      </c>
      <c r="AC328" s="3">
        <f>1895.5+(71.5-606.1)+(-2.900115+(-0.109395--0.927333))+0--82-0.125460000000005</f>
        <v>1440.6923630000001</v>
      </c>
      <c r="AD328" s="2">
        <v>1728.6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1901.8+(71-700.4)+(0+(0-0))+0--82-0</f>
        <v>1354.4</v>
      </c>
      <c r="G329" s="3">
        <f>1880.9+(75-743.9)+(-0.959259+(-0.03825--0.379389))+0--82.9-0.0422789999999916</f>
        <v>1294.239601</v>
      </c>
      <c r="H329" s="3">
        <f>1668.8+(85.9-588.8)+(0+(0-0))+0--80.9-0</f>
        <v>1246.8000000000002</v>
      </c>
      <c r="I329" s="3">
        <f>1645.4+(63-558.8)+(-0.839154+(-0.03213--0.284988))+0--82.9-0.0422789999999916</f>
        <v>1231.8714250000003</v>
      </c>
      <c r="J329" s="3">
        <f>1647.6+(62-552.7)+(0+(0-0))+0--81.9-0</f>
        <v>1238.8</v>
      </c>
      <c r="K329" s="3">
        <f>1650.9+(53-511.1)+(1.683918+(0.05406-0.521322))+0--81.9--0.0835380000000131</f>
        <v>1276.0001940000004</v>
      </c>
      <c r="L329" s="3">
        <f>1866.9+(46-648.1)+(-1.904238+(-0.04692--0.661062))+0--84.9-0.0865980000000135</f>
        <v>1348.3233060000002</v>
      </c>
      <c r="M329" s="3">
        <f>2057+(37-744.9)+(-1.04907+(-0.01887--0.379899))+0--84.5-0.0430949999999914</f>
        <v>1432.8688639999998</v>
      </c>
      <c r="N329" s="3">
        <f>2144+(50-722.1)+(-2.18688+(-0.051--0.736542))+0--83.5-0.0851700000000133</f>
        <v>1553.813492</v>
      </c>
      <c r="O329" s="3">
        <f>2241.6+(54-751.5)+(-5.71608+(-0.1377--1.916325))+0--83.4-0.212669999999988</f>
        <v>1623.3498750000001</v>
      </c>
      <c r="P329" s="3">
        <f>2225.4+(59-719.1)+(-3.404862+(-0.09027--1.100223))+0--80.8-0.123624000000005</f>
        <v>1643.581467</v>
      </c>
      <c r="Q329" s="3">
        <f>2255.8+(50-725)+(-5.75229+(-0.1275--1.84875))+0--79.3-0.202214999999988</f>
        <v>1655.866745</v>
      </c>
      <c r="R329" s="3">
        <f>2083+(45-625.5)+(-2.12466+(-0.0459--0.63801))+0--78.9-0.0804780000000126</f>
        <v>1579.7869720000001</v>
      </c>
      <c r="S329" s="3">
        <f>2012.7+(49.7-545.5)+(-5.132385+(-0.126735--1.391025))+0--79.5-0.202724999999988</f>
        <v>1592.32918</v>
      </c>
      <c r="T329" s="3">
        <f>1989+(51.6-539.9)+(-1.01439+(-0.026316--0.275349))+0--78.7-0.040136999999992</f>
        <v>1578.5945060000001</v>
      </c>
      <c r="U329" s="3">
        <f>1993.6+(47-554)+(1.016736+(0.02397-0.28254))+0--77.8--0.0396779999999921</f>
        <v>1565.197844</v>
      </c>
      <c r="V329" s="3">
        <f>2027.7+(49.5-594.4)+(-2.068254+(-0.05049--0.606288))+0--78-0.0795600000000124</f>
        <v>1559.2079840000004</v>
      </c>
      <c r="W329" s="3">
        <f>2150.4+(67.2-680.5)+(-1.096704+(-0.034272--0.347055))+0--78.2-0.0398819999999921</f>
        <v>1614.4761970000002</v>
      </c>
      <c r="X329" s="3">
        <f>2343.4+(166-766.9)+(0+(0-0))+0--79.3-0</f>
        <v>1821.8</v>
      </c>
      <c r="Y329" s="3">
        <f>2307.6+(160.5-775)+(-1.176876+(-0.081855--0.39525))+0--77.8-0.0396779999999921</f>
        <v>1769.9968409999997</v>
      </c>
      <c r="Z329" s="3">
        <f>2309.3+(92.8-760.8)+(0+(0-0))+0--77.5-0</f>
        <v>1718.8000000000002</v>
      </c>
      <c r="AA329" s="3">
        <f>2307.6+(50.1-751.3)+(-3.530628+(-0.076653--1.149489))+0--77.2-0.118116000000004</f>
        <v>1681.0240920000001</v>
      </c>
      <c r="AB329" s="3">
        <f>2284.3+(34-789.8)+(-4.659972+(-0.06936--1.611192))+0--77.2-0.157487999999997</f>
        <v>1602.4243720000002</v>
      </c>
      <c r="AC329" s="3">
        <f>2239+(47-879.5)+(-5.70945+(-0.11985--2.242725))+0--78-0.198899999999989</f>
        <v>1480.7145249999999</v>
      </c>
      <c r="AD329" s="2">
        <v>1805.1999999999998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2155.9+(3-871)+(-1.099509+(-0.00153--0.44421))+0--78.9-0.040238999999992</f>
        <v>1366.1029320000002</v>
      </c>
      <c r="G330" s="3">
        <f>2036.1+(3-833.7)+(-2.076822+(-0.00306--0.850374))+0--78.8-0.0803760000000126</f>
        <v>1282.8901159999998</v>
      </c>
      <c r="H330" s="3">
        <f>2033.1+(4.8-883.2)+(1.036881+(0.002448-0.450432))+0--79.9--0.0407489999999919</f>
        <v>1235.229646</v>
      </c>
      <c r="I330" s="3">
        <f>2000.2+(3-860.3)+(-2.040204+(-0.00306--0.877506))+0--80.9-0.0825180000000129</f>
        <v>1222.5517240000001</v>
      </c>
      <c r="J330" s="3">
        <f>1936.3+(4-759)+(-1.975026+(-0.00408--0.77418))+0--81.9-0.0835380000000131</f>
        <v>1261.9115360000001</v>
      </c>
      <c r="K330" s="3">
        <f>1893.2+(3-711.6)+(-2.896596+(-0.00459--1.088748))+0--80.9-0.123777000000005</f>
        <v>1263.5637850000001</v>
      </c>
      <c r="L330" s="3">
        <f>1956.2+(50-735.8)+(-2.992986+(-0.0765--1.125774))+0--82.3-0.125919000000005</f>
        <v>1350.630369</v>
      </c>
      <c r="M330" s="3">
        <f>1982.1+(58-684.4)+(-3.032613+(-0.08874--1.047132))+0--81.7-0.125001000000005</f>
        <v>1435.2007779999997</v>
      </c>
      <c r="N330" s="3">
        <f>2057.4+(65-651.3)+(0+(0-0))+0--81.4-0</f>
        <v>1552.5000000000002</v>
      </c>
      <c r="O330" s="3">
        <f>2144.2+(61-654.7)+(-2.187084+(-0.06222--0.667794))+0--85-0.0867000000000136</f>
        <v>1633.8317899999997</v>
      </c>
      <c r="P330" s="3">
        <f>2145.3+(58-625.9)+(-1.094103+(-0.02958--0.319209))+0--82.4-0.0420239999999916</f>
        <v>1658.9535020000001</v>
      </c>
      <c r="Q330" s="3">
        <f>2180.1+(51-650.6)+(-2.223702+(-0.05202--0.663612))+0--80-0.0816000000000128</f>
        <v>1658.80629</v>
      </c>
      <c r="R330" s="3">
        <f>2169.4+(48-694.4)+(-4.425576+(-0.09792--1.416576))+0--79-0.161159999999997</f>
        <v>1598.7319199999999</v>
      </c>
      <c r="S330" s="3">
        <f>2163.7+(50-696.6)+(0+(0-0))+0--78.1-0</f>
        <v>1595.1999999999998</v>
      </c>
      <c r="T330" s="3">
        <f>2166.4+(52-721.3)+(2.209728+(0.05304-0.735726))+0--77.2--0.0787440000000123</f>
        <v>1575.905786</v>
      </c>
      <c r="U330" s="3">
        <f>2169.3+(54-730.4)+(-1.106343+(-0.02754--0.372504))+0--76.1-0.0388109999999923</f>
        <v>1568.1998100000001</v>
      </c>
      <c r="V330" s="3">
        <f>2218.4+(54-768.3)+(-2.262768+(-0.05508--0.783666))+0--77-0.0785400000000123</f>
        <v>1579.4872780000001</v>
      </c>
      <c r="W330" s="3">
        <f>2343.2+(40-839)+(3.585096+(0.0612-1.28367))+0--77--0.117810000000004</f>
        <v>1623.6804359999999</v>
      </c>
      <c r="X330" s="3">
        <f>2441.2+(130.4-868.8)+(-2.490024+(-0.133008--0.886176))+0--76.9-0.0784380000000123</f>
        <v>1777.8847059999998</v>
      </c>
      <c r="Y330" s="3">
        <f>2504.3+(31.3-860)+(-1.277193+(-0.015963--0.4386))+0--77.8-0.0396779999999921</f>
        <v>1752.505766</v>
      </c>
      <c r="Z330" s="3">
        <f>2409.8+(43.9-843)+(0+(0-0))+0--78.8-0</f>
        <v>1689.5000000000002</v>
      </c>
      <c r="AA330" s="3">
        <f>2427.5+(30-876.5)+(0+(0-0))+0--77.9-0</f>
        <v>1658.9</v>
      </c>
      <c r="AB330" s="3">
        <f>2397.6+(37-923.2)+(-8.559432+(-0.13209--3.295824))+0--77.8-0.277746000000001</f>
        <v>1583.5265559999998</v>
      </c>
      <c r="AC330" s="3">
        <f>2365.4+(40.8-1011.8)+(-8.444478+(-0.145656--3.612126))+0--77.2-0.275604000000001</f>
        <v>1466.3463880000002</v>
      </c>
      <c r="AD330" s="2">
        <v>1818.4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2365.9+(47.1-1113.5)+(0+(0-0))+0--78.9-0</f>
        <v>1378.4</v>
      </c>
      <c r="G331" s="3">
        <f>2310+(39.1-1136.5)+(0+(0-0))+0--76.9-0</f>
        <v>1289.5</v>
      </c>
      <c r="H331" s="3">
        <f>2160.2+(56.1-1020.3)+(1.101702+(0.028611-0.520353))+0--76.9--0.0392189999999922</f>
        <v>1273.5491790000001</v>
      </c>
      <c r="I331" s="3">
        <f>2117.4+(35.1-1002.5)+(0+(0-0))+0--78.9-0</f>
        <v>1228.9000000000001</v>
      </c>
      <c r="J331" s="3">
        <f>2180.3+(44.1-1076.9)+(0+(0-0))+0--79.9-0</f>
        <v>1227.4000000000001</v>
      </c>
      <c r="K331" s="3">
        <f>2214.6+(34.1-1060.1)+(2.258892+(0.034782-1.081302))+0--78.9--0.0804780000000126</f>
        <v>1268.79285</v>
      </c>
      <c r="L331" s="3">
        <f>2242.5+(32.1-994.7)+(0+(0-0))+0--80-0</f>
        <v>1359.9</v>
      </c>
      <c r="M331" s="3">
        <f>2355.4+(39.1-1032.4)+(-2.402508+(-0.039882--1.053048))+0--80.8-0.0824160000000129</f>
        <v>1441.428242</v>
      </c>
      <c r="N331" s="3">
        <f>2428.4+(43.1-1001.7)+(2.476968+(0.043962-1.021734))+0--80.3--0.0819060000000128</f>
        <v>1551.6811020000002</v>
      </c>
      <c r="O331" s="3">
        <f>2434.8+(47.1-929.7)+(-6.20874+(-0.120105--2.370735))+0--79.2-0.201959999999989</f>
        <v>1627.2399300000002</v>
      </c>
      <c r="P331" s="3">
        <f>2443.4+(41.1-913)+(-1.246134+(-0.020961--0.46563))+0--77.6-0.0395759999999921</f>
        <v>1648.258959</v>
      </c>
      <c r="Q331" s="3">
        <f>2493.8+(45.1-895.5)+(-3.815514+(-0.069003--1.370115))+0--77.5-0.118575000000004</f>
        <v>1718.2670230000001</v>
      </c>
      <c r="R331" s="3">
        <f>2407.8+(39.1-917.9)+(-1.227978+(-0.019941--0.468129))+0--78.5-0.040034999999992</f>
        <v>1606.6801750000002</v>
      </c>
      <c r="S331" s="3">
        <f>2260.6+(41.5-784.1)+(-2.305812+(-0.04233--0.799782))+0--79-0.0805800000000126</f>
        <v>1595.3710599999999</v>
      </c>
      <c r="T331" s="3">
        <f>2210.7+(45.3-736.8)+(2.254914+(0.046206-0.751536))+0--77--0.0785400000000123</f>
        <v>1597.8281239999999</v>
      </c>
      <c r="U331" s="3">
        <f>2297.3+(50.1-860.3)+(-1.171623+(-0.025551--0.438753))+0--77.9-0.0397289999999921</f>
        <v>1564.2018500000004</v>
      </c>
      <c r="V331" s="3">
        <f>2566.8+(45.5-1118.3)+(-6.54534+(-0.116025--2.851665))+0--78.4-0.199919999999989</f>
        <v>1568.3903800000003</v>
      </c>
      <c r="W331" s="3">
        <f>2647.7+(35-1145.9)+(4.050981+(0.05355-1.753227))+0--78.3--0.119799000000005</f>
        <v>1617.5711029999998</v>
      </c>
      <c r="X331" s="3">
        <f>2687.2+(36.7-962.8)+(0+(0-0))+0--77.7-0</f>
        <v>1838.8</v>
      </c>
      <c r="Y331" s="3">
        <f>2699.1+(38.2-994)+(-5.506164+(-0.077928--2.02776))+0--78.6-0.160343999999997</f>
        <v>1818.1833239999999</v>
      </c>
      <c r="Z331" s="3">
        <f>2708.1+(45.9-1076.6)+(-5.524524+(-0.093636--2.196264))+0--78.8-0.160751999999997</f>
        <v>1752.617352</v>
      </c>
      <c r="AA331" s="3">
        <f>2660.2+(39.6-1060.1)+(-1.356702+(-0.020196--0.540651))+0--78.7-0.040136999999992</f>
        <v>1717.5236159999999</v>
      </c>
      <c r="AB331" s="3">
        <f>2628.8+(43.9-1102.8)+(-5.362752+(-0.089556--2.249712))+0--79.7-0.162587999999997</f>
        <v>1646.2348160000004</v>
      </c>
      <c r="AC331" s="3">
        <f>2554+(49.4-1137.4)+(-5.21016+(-0.100776--2.320296))+0--80.7-0.164627999999996</f>
        <v>1543.5447320000001</v>
      </c>
      <c r="AD331" s="2">
        <v>1849.9999999999998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2483.8+(44-1168.2)+(-5.066952+(-0.08976--2.383128))+0--80.8-0.164831999999996</f>
        <v>1437.4615840000001</v>
      </c>
      <c r="G332" s="3">
        <f>2385.6+(40-1163.8)+(-1.216656+(-0.0204--0.593538))+0--81.8-0.0417179999999917</f>
        <v>1342.9147639999999</v>
      </c>
      <c r="H332" s="3">
        <f>2282.3+(49-1066.1)+(-2.327946+(-0.04998--1.087422))+0--80.7-0.0823140000000129</f>
        <v>1344.5271820000003</v>
      </c>
      <c r="I332" s="3">
        <f>2220.9+(51-1023.8)+(-2.265318+(-0.05202--1.044276))+0--81.8-0.083436000000013</f>
        <v>1328.543502</v>
      </c>
      <c r="J332" s="3">
        <f>2227.6+(44-1078.4)+(1.136076+(0.02244-0.549984))+0--82.8--0.0422279999999916</f>
        <v>1276.6507599999998</v>
      </c>
      <c r="K332" s="3">
        <f>2312.5+(39-1125.8)+(-1.179375+(-0.01989--0.574158))+0--80.8-0.0412079999999918</f>
        <v>1305.8336849999998</v>
      </c>
      <c r="L332" s="3">
        <f>2383.6+(24-1139.9)+(-4.862544+(-0.04896--2.325396))+0--81.8-0.166871999999996</f>
        <v>1346.7470199999998</v>
      </c>
      <c r="M332" s="3">
        <f>2390.8+(17-1075.1)+(2.438616+(0.01734-1.096602))+0--81.8--0.083436000000013</f>
        <v>1415.9427900000003</v>
      </c>
      <c r="N332" s="3">
        <f>2610.3+(16-1139.5)+(-2.662506+(-0.01632--1.16229))+0--80.8-0.0824160000000129</f>
        <v>1566.0010480000001</v>
      </c>
      <c r="O332" s="3">
        <f>2653.6+(18-1112.5)+(6.76668+(0.0459-2.836875))+0--81.6--0.208079999999988</f>
        <v>1644.8837849999998</v>
      </c>
      <c r="P332" s="3">
        <f>2709.4+(19-1134.8)+(-4.145382+(-0.02907--1.736244))+0--81.7-0.125001000000005</f>
        <v>1672.736791</v>
      </c>
      <c r="Q332" s="3">
        <f>2793.8+(21-1214.4)+(-2.849676+(-0.02142--1.238688))+0--81.7-0.083334000000013</f>
        <v>1680.3842580000003</v>
      </c>
      <c r="R332" s="3">
        <f>2712.8+(24-1196.2)+(-9.684696+(-0.08568--4.270434))+0--79.2-0.282744000000001</f>
        <v>1614.0173140000002</v>
      </c>
      <c r="S332" s="3">
        <f>2448.2+(20-970.3)+(-1.248582+(-0.0102--0.494853))+0--79.5-0.0405449999999919</f>
        <v>1576.5955259999998</v>
      </c>
      <c r="T332" s="3">
        <f>2384.9+(17-939.7)+(-1.216299+(-0.00867--0.479247))+0--77.9-0.0397289999999921</f>
        <v>1539.3145490000002</v>
      </c>
      <c r="U332" s="3">
        <f>2380.4+(19-965.6)+(-2.428008+(-0.01938--0.984912))+0--78.2-0.0797640000000125</f>
        <v>1510.4577600000002</v>
      </c>
      <c r="V332" s="3">
        <f>2397.2+(19-987.6)+(2.445144+(0.01938-1.007352))+0--77.9--0.0794580000000124</f>
        <v>1508.0366299999998</v>
      </c>
      <c r="W332" s="3">
        <f>2581.7+(13-1147.8)+(2.633334+(0.01326-1.170756))+0--77.7--0.0792540000000124</f>
        <v>1526.155092</v>
      </c>
      <c r="X332" s="3">
        <f>2695.1+(14-1045.1)+(-4.123503+(-0.02142--1.599003))+0--77.7-0.118881000000004</f>
        <v>1739.0351989999999</v>
      </c>
      <c r="Y332" s="3">
        <f>2722.2+(10-1085.5)+(1.388322+(0.0051-0.553605))+0--77.2--0.0393719999999922</f>
        <v>1724.7791889999999</v>
      </c>
      <c r="Z332" s="3">
        <f>2725.5+(12-1139.1)+(-2.78001+(-0.01224--1.161882))+0--77.1-0.0786420000000123</f>
        <v>1673.79099</v>
      </c>
      <c r="AA332" s="3">
        <f>2682.3+(22-1125.8)+(0+(0-0))+0--78.1-0</f>
        <v>1656.6000000000001</v>
      </c>
      <c r="AB332" s="3">
        <f>2683.1+(22-1199.8)+(-2.736762+(-0.02244--1.223796))+0--78.5-0.0800700000000125</f>
        <v>1582.184524</v>
      </c>
      <c r="AC332" s="3">
        <f>2637.7+(28-1271.1)+(1.345227+(0.01428-0.648261))+0--79.1--0.040340999999992</f>
        <v>1474.4515869999998</v>
      </c>
      <c r="AD332" s="2">
        <v>1759.6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2616.4+(26.7-1328.4)+(1.334364+(0.013617-0.677484))+0--81.3--0.0414629999999918</f>
        <v>1396.7119600000001</v>
      </c>
      <c r="G333" s="3">
        <f>2620.1+(29.7-1406.6)+(1.336251+(0.015147-0.717366))+0--81.3--0.0414629999999918</f>
        <v>1325.175495</v>
      </c>
      <c r="H333" s="3">
        <f>2395.9+(35.8-1230.9)+(0+(0-0))+0--82.2-0</f>
        <v>1283</v>
      </c>
      <c r="I333" s="3">
        <f>2340.5+(29.7-1189)+(-1.193655+(-0.015147--0.60639))+0--80.3-0.0409529999999919</f>
        <v>1260.8566350000001</v>
      </c>
      <c r="J333" s="3">
        <f>2268+(24.7-1119.4)+(-2.31336+(-0.025194--1.141788))+0--81.3-0.082926000000013</f>
        <v>1253.3203079999998</v>
      </c>
      <c r="K333" s="3">
        <f>2274.8+(26.6-1104)+(3.480444+(0.040698-1.68912))+0--82.4--0.126072000000005</f>
        <v>1281.7580940000003</v>
      </c>
      <c r="L333" s="3">
        <f>2271.7+(22.6-1057.1)+(-1.158567+(-0.011526--0.539121))+0--83.5-0.0425849999999915</f>
        <v>1320.026443</v>
      </c>
      <c r="M333" s="3">
        <f>2239.5+(27.6-993.8)+(2.28429+(0.028152-1.013676))+0--82.7--0.0843540000000132</f>
        <v>1357.3831200000002</v>
      </c>
      <c r="N333" s="3">
        <f>2228.5+(22.6-878.3)+(-1.136535+(-0.011526--0.447933))+0--80.6-0.0411059999999918</f>
        <v>1452.6587660000002</v>
      </c>
      <c r="O333" s="3">
        <f>2263.4+(19.6-843)+(-1.154334+(-0.009996--0.42993))+0--77.5-0.0395249999999921</f>
        <v>1516.726075</v>
      </c>
      <c r="P333" s="3">
        <f>2463.4+(12.6-988.5)+(-5.025336+(-0.025704--2.01654))+0--77.3-0.157691999999997</f>
        <v>1561.607808</v>
      </c>
      <c r="Q333" s="3">
        <f>2494.5+(6.6-1017.3)+(-3.816585+(-0.010098--1.556469))+0--76.3-0.116739000000004</f>
        <v>1557.7130470000002</v>
      </c>
      <c r="R333" s="3">
        <f>2479.8+(8.6-1036.4)+(-8.852886+(-0.030702--3.699948))+0--77.4-0.276318000000001</f>
        <v>1523.9400420000002</v>
      </c>
      <c r="S333" s="3">
        <f>2475.6+(15.6-1077.7)+(-2.525112+(-0.015912--1.099254))+0--79.1-0.0806820000000126</f>
        <v>1491.0775479999998</v>
      </c>
      <c r="T333" s="3">
        <f>2366.2+(25.6-1004.4)+(-1.206762+(-0.013056--0.512244))+0--79.2-0.040391999999992</f>
        <v>1465.852034</v>
      </c>
      <c r="U333" s="3">
        <f>2316+(24.6-984)+(1.18116+(0.012546-0.50184))+0--79.7--0.0406469999999919</f>
        <v>1437.0325129999999</v>
      </c>
      <c r="V333" s="3">
        <f>2310.8+(22.6-978.3)+(0+(0-0))+0--79.4-0</f>
        <v>1434.5000000000005</v>
      </c>
      <c r="W333" s="3">
        <f>2377.9+(18.6-991.8)+(0+(0-0))+0--79.8-0</f>
        <v>1484.5000000000002</v>
      </c>
      <c r="X333" s="3">
        <f>2595.3+(19.7-980.1)+(-1.323603+(-0.010047--0.499851))+0--79.6-0.0405959999999919</f>
        <v>1713.625605</v>
      </c>
      <c r="Y333" s="3">
        <f>2599.8+(32.6-961)+(-5.303592+(-0.066504--1.96044))+0--78.5-0.160139999999997</f>
        <v>1746.3302040000001</v>
      </c>
      <c r="Z333" s="3">
        <f>2614.4+(17.6-1018.4)+(-1.333344+(-0.008976--0.519384))+0--79.1-0.040340999999992</f>
        <v>1691.8367230000001</v>
      </c>
      <c r="AA333" s="3">
        <f>2614.8+(22.7-1057.7)+(-5.334192+(-0.046308--2.157708))+0--78.8-0.160751999999997</f>
        <v>1655.2164560000001</v>
      </c>
      <c r="AB333" s="3">
        <f>2588.7+(19.6-1099.5)+(-6.601185+(-0.04998--2.803725))+0--80-0.203999999999988</f>
        <v>1584.7485599999998</v>
      </c>
      <c r="AC333" s="3">
        <f>2395+(20.6-1025.2)+(-8.55015+(-0.073542--3.659964))+0--81.9-0.292383000000001</f>
        <v>1467.0438890000003</v>
      </c>
      <c r="AD333" s="2">
        <v>1728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2365.7+(30.5-1103.6)+(-6.032535+(-0.077775--2.81418))+0--81.4-0.207569999999988</f>
        <v>1370.4963</v>
      </c>
      <c r="G334" s="3">
        <f>2266.6+(28.5-1071.7)+(-5.77983+(-0.072675--2.732835))+0--80.4-0.205019999999988</f>
        <v>1300.47531</v>
      </c>
      <c r="H334" s="3">
        <f>2181.1+(31.5-1026.2)+(-4.449444+(-0.06426--2.093448))+0--79.5-0.162179999999997</f>
        <v>1263.3175639999997</v>
      </c>
      <c r="I334" s="3">
        <f>2036.1+(18.5-894)+(1.038411+(0.009435-0.45594))+0--82.5--0.0420749999999916</f>
        <v>1243.7339810000001</v>
      </c>
      <c r="J334" s="3">
        <f>2014.8+(19.5-870.3)+(-1.027548+(-0.009945--0.443853))+0--82.5-0.0420749999999916</f>
        <v>1245.8642849999999</v>
      </c>
      <c r="K334" s="3">
        <f>2128.6+(36.5-963.5)+(-2.171172+(-0.03723--0.98277))+0--81.5-0.083130000000013</f>
        <v>1281.791238</v>
      </c>
      <c r="L334" s="3">
        <f>2161.9+(35.5-887.5)+(-4.410276+(-0.07242--1.8105))+0--81.5-0.166259999999996</f>
        <v>1388.5615440000001</v>
      </c>
      <c r="M334" s="3">
        <f>2300.5+(31.5-948.1)+(-1.173255+(-0.016065--0.483531))+0--82.6-0.0421259999999916</f>
        <v>1465.7520849999999</v>
      </c>
      <c r="N334" s="3">
        <f>2514.1+(27.5-1019.3)+(1.282191+(0.014025-0.519843))+0--81.7--0.0416669999999917</f>
        <v>1604.8180399999999</v>
      </c>
      <c r="O334" s="3">
        <f>2511.2+(26.5-947.5)+(5.122848+(0.05406-1.9329))+0--81.7--0.166667999999996</f>
        <v>1675.3106759999998</v>
      </c>
      <c r="P334" s="3">
        <f>2486.4+(25.5-883.3)+(-2.536128+(-0.02601--0.900966))+0--78.7-0.0802740000000126</f>
        <v>1705.5585540000002</v>
      </c>
      <c r="Q334" s="3">
        <f>2557.9+(17.5-956.9)+(0+(0-0))+0--77.2-0</f>
        <v>1695.7</v>
      </c>
      <c r="R334" s="3">
        <f>2561.2+(19.1-1032.2)+(-6.53106+(-0.048705--2.63211))+0--77.4-0.197369999999989</f>
        <v>1621.354975</v>
      </c>
      <c r="S334" s="3">
        <f>2540.5+(17.5-1027)+(1.295655+(0.008925-0.52377))+0--77.8--0.0396779999999921</f>
        <v>1609.620488</v>
      </c>
      <c r="T334" s="3">
        <f>2525.5+(17.7-1023.9)+(0+(0-0))+0--78-0</f>
        <v>1597.3000000000002</v>
      </c>
      <c r="U334" s="3">
        <f>2522.1+(19.3-1037.4)+(0+(0-0))+0--78.6-0</f>
        <v>1582.5999999999997</v>
      </c>
      <c r="V334" s="3">
        <f>2535.2+(16-1053)+(3.878856+(0.02448-1.61109))+0--79.3--0.121329000000005</f>
        <v>1579.9135749999998</v>
      </c>
      <c r="W334" s="3">
        <f>2650.2+(13.6-1126.7)+(4.054806+(0.020808-1.723851))+0--80.5--0.123165000000005</f>
        <v>1620.0749279999995</v>
      </c>
      <c r="X334" s="3">
        <f>3134+(0-1387.9)+(4.79502+(0-2.123487))+0--80.4--0.123012000000005</f>
        <v>1829.294545</v>
      </c>
      <c r="Y334" s="3">
        <f>3291.1+(0.2-1555.8)+(-5.035383+(-0.000306--2.380374))+0--80.7-0.123471000000005</f>
        <v>1813.421214</v>
      </c>
      <c r="Z334" s="3">
        <f>3300+(4.7-1623.8)+(-3.366+(-0.004794--1.656276))+0--80.7-0.0823140000000129</f>
        <v>1759.8031680000001</v>
      </c>
      <c r="AA334" s="3">
        <f>3309.2+(4.5-1672.6)+(-3.375384+(-0.00459--1.706052))+0--81.1-0.0827220000000129</f>
        <v>1720.4433559999998</v>
      </c>
      <c r="AB334" s="3">
        <f>3311+(8.6-1767.1)+(-11.82027+(-0.030702--6.308547))+0--81.2-0.289884000000001</f>
        <v>1627.8676909999999</v>
      </c>
      <c r="AC334" s="3">
        <f>3178+(27.1-1776.9)+(-6.48312+(-0.055284--3.624876))+0--80.5-0.164219999999996</f>
        <v>1505.6222519999999</v>
      </c>
      <c r="AD334" s="2">
        <v>1866.1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2958.2+(38.5-1673.6)+(-3.017364+(-0.03927--1.707072))+0--82.5-0.0841500000000132</f>
        <v>1404.1662879999999</v>
      </c>
      <c r="G335" s="3">
        <f>2425.9+(32.5-1209.1)+(-4.948836+(-0.0663--2.466564))+0--81.4-0.166055999999996</f>
        <v>1327.9853720000003</v>
      </c>
      <c r="H335" s="3">
        <f>2551.2+(24.5-1373.5)+(0+(0-0))+0--82.5-0</f>
        <v>1284.6999999999998</v>
      </c>
      <c r="I335" s="3">
        <f>2598.7+(24.5-1429.9)+(-3.976011+(-0.037485--2.187747))+0--83.4-0.127602000000005</f>
        <v>1274.7466489999997</v>
      </c>
      <c r="J335" s="3">
        <f>2505.3+(26.5-1341.3)+(1.277703+(0.013515-0.684063))+0--81.5--0.0415649999999917</f>
        <v>1272.6487200000001</v>
      </c>
      <c r="K335" s="3">
        <f>2527.6+(23.5-1323.4)+(0+(0-0))+0--81.5-0</f>
        <v>1309.1999999999998</v>
      </c>
      <c r="L335" s="3">
        <f>2664.8+(18.5-1366.4)+(-2.718096+(-0.01887--1.393728))+0--83.8-0.0854760000000134</f>
        <v>1399.2712860000001</v>
      </c>
      <c r="M335" s="3">
        <f>2800+(26.5-1428.4)+(0+(0-0))+0--85.1-0</f>
        <v>1483.1999999999998</v>
      </c>
      <c r="N335" s="3">
        <f>3087.6+(34.5-1629.7)+(-1.574676+(-0.017595--0.831147))+0--83.4-0.0425339999999915</f>
        <v>1574.9963419999999</v>
      </c>
      <c r="O335" s="3">
        <f>3109.2+(33.5-1588.3)+(4.757076+(0.051255-2.430099))+0--82--0.125460000000005</f>
        <v>1638.9036919999999</v>
      </c>
      <c r="P335" s="3">
        <f>3058.1+(27.5-1472.6)+(3.119262+(0.02805-1.502052))+0--80--0.0816000000000128</f>
        <v>1694.72686</v>
      </c>
      <c r="Q335" s="3">
        <f>3198.7+(15.5-1548)+(-1.631337+(-0.007905--0.78948))+0--77.7-0.0396269999999921</f>
        <v>1743.0106109999999</v>
      </c>
      <c r="R335" s="3">
        <f>3190.6+(5.5-1647.2)+(0+(0-0))+0--76.5-0</f>
        <v>1625.3999999999999</v>
      </c>
      <c r="S335" s="3">
        <f>3183.3+(7.5-1622.7)+(-6.493932+(-0.0153--3.310308))+0--78.5-0.160139999999997</f>
        <v>1643.2409360000001</v>
      </c>
      <c r="T335" s="3">
        <f>3195.5+(9.5-1647.8)+(-1.629705+(-0.004845--0.840378))+0--79.2-0.040391999999992</f>
        <v>1635.5654360000003</v>
      </c>
      <c r="U335" s="3">
        <f>3215.8+(14.5-1680.6)+(-3.280116+(-0.01479--1.714212))+0--78.9-0.0804780000000126</f>
        <v>1626.9388280000003</v>
      </c>
      <c r="V335" s="3">
        <f>3229.8+(7.5-1681.9)+(-1.647198+(-0.003825--0.857769))+0--79.9-0.0407489999999919</f>
        <v>1634.4659970000002</v>
      </c>
      <c r="W335" s="3">
        <f>3260+(5.5-1662.4)+(1.6626+(0.002805-0.847824))+0--80.4--0.0410039999999918</f>
        <v>1684.3585849999999</v>
      </c>
      <c r="X335" s="3">
        <f>3317.9+(5.5-1524.4)+(1.692129+(0.002805-0.777444))+0--80--0.0407999999999919</f>
        <v>1879.95829</v>
      </c>
      <c r="Y335" s="3">
        <f>3329.5+(5.5-1555.6)+(-6.79218+(-0.01122--3.173424))+0--79.4-0.161975999999997</f>
        <v>1855.0080480000001</v>
      </c>
      <c r="Z335" s="3">
        <f>3306.2+(5.5-1593.7)+(-3.372324+(-0.00561--1.625574))+0--80.1-0.0817020000000128</f>
        <v>1796.2659379999998</v>
      </c>
      <c r="AA335" s="3">
        <f>3300.5+(12.5-1638.1)+(0+(0-0))+0--79.9-0</f>
        <v>1754.8000000000002</v>
      </c>
      <c r="AB335" s="3">
        <f>3304+(17.5-1726)+(0+(0-0))+0--79.9-0</f>
        <v>1675.4</v>
      </c>
      <c r="AC335" s="3">
        <f>3260.6+(21.5-1809.4)+(-8.31453+(-0.054825--4.61397))+0--80.9-0.206294999999988</f>
        <v>1549.63832</v>
      </c>
      <c r="AD335" s="2">
        <v>1893.4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3263.8+(14.5-1917.9)+(-3.329076+(-0.01479--1.956258))+0--80.4-0.0820080000000128</f>
        <v>1439.3303840000001</v>
      </c>
      <c r="G336" s="3">
        <f>3272.6+(14.5-2002.7)+(5.007078+(0.022185-3.064131))+0--80.4--0.123012000000005</f>
        <v>1366.888144</v>
      </c>
      <c r="H336" s="3">
        <f>3280.7+(12.5-2046.1)+(0+(0-0))+0--79.4-0</f>
        <v>1326.5</v>
      </c>
      <c r="I336" s="3">
        <f>3280.9+(14.5-2062.9)+(0+(0-0))+0--79.4-0</f>
        <v>1311.9</v>
      </c>
      <c r="J336" s="3">
        <f>3283+(12.5-2064.9)+(0+(0-0))+0--79.4-0</f>
        <v>1310</v>
      </c>
      <c r="K336" s="3">
        <f>3289.7+(11.5-2026.9)+(6.710988+(0.02346-4.134876))+0--80.4--0.164015999999996</f>
        <v>1357.4635879999998</v>
      </c>
      <c r="L336" s="3">
        <f>3281.5+(11.5-1935.8)+(-8.367825+(-0.029325--4.93629))+0-5.5--0.0140249999999992</f>
        <v>1348.2531650000001</v>
      </c>
      <c r="M336" s="3">
        <f>3321.7+(10.5-1894.4)+(1.694067+(0.005355-0.966144))+0-5.4-0.00275399999999945</f>
        <v>1433.1305239999995</v>
      </c>
      <c r="N336" s="3">
        <f>3340.9+(9.5-1793.4)+(-1.703859+(-0.004845--0.914634))+0-5.6--0.00285599999999943</f>
        <v>1550.6087860000002</v>
      </c>
      <c r="O336" s="3">
        <f>3310.5+(10.5-1697.2)+(5.065065+(0.016065-2.596716))+0-5.7-0.00872100000000033</f>
        <v>1620.575693</v>
      </c>
      <c r="P336" s="3">
        <f>3280.9+(10.5-1641.2)+(-1.673259+(-0.005355--0.837012))+0-5.6--0.00285599999999943</f>
        <v>1643.7612540000002</v>
      </c>
      <c r="Q336" s="3">
        <f>3297.2+(9.5-1604.5)+(5.044716+(0.014535-2.454885))+0-5.6-0.00856800000000032</f>
        <v>1699.195798</v>
      </c>
      <c r="R336" s="3">
        <f>3278.3+(5.5-1699.3)+(-10.031598+(-0.01683--5.199858))+0--78.4-0.239904000000009</f>
        <v>1657.8115260000002</v>
      </c>
      <c r="S336" s="3">
        <f>3265.2+(5.5-1690.5)+(-4.995756+(-0.008415--2.586465))+0--77.7-0.118881000000004</f>
        <v>1655.3634129999998</v>
      </c>
      <c r="T336" s="3">
        <f>3269.8+(5.5-1691.5)+(1.667598+(0.002805-0.862665))+0--77.4--0.0394739999999922</f>
        <v>1662.0472120000002</v>
      </c>
      <c r="U336" s="3">
        <f>3286.8+(5.5-1730.3)+(0+(0-0))+0--79.4-0</f>
        <v>1641.4000000000003</v>
      </c>
      <c r="V336" s="3">
        <f>3157.1+(5.5-1534.9)+(-3.220242+(-0.00561--1.565598))+0--79.9-0.0814980000000127</f>
        <v>1705.858248</v>
      </c>
      <c r="W336" s="3">
        <f>3148.2+(5.5-1490.9)+(-6.422328+(-0.01122--3.041436))+0--79.9-0.162995999999997</f>
        <v>1739.1448919999998</v>
      </c>
      <c r="X336" s="3">
        <f>3328+(11.5-1464.7)+(-1.69728+(-0.005865--0.746997))+0--79.6-0.0405959999999919</f>
        <v>1953.4032559999998</v>
      </c>
      <c r="Y336" s="3">
        <f>3352.3+(11.5-1513.1)+(-5.129019+(-0.017595--2.315043))+0--79.9-0.122247000000005</f>
        <v>1927.6461820000004</v>
      </c>
      <c r="Z336" s="3">
        <f>3368.9+(12-1537.1)+(-5.154417+(-0.01836--2.351763))+0--79.8-0.122094000000005</f>
        <v>1920.656892</v>
      </c>
      <c r="AA336" s="3">
        <f>3367.1+(15.1-1580.2)+(-8.586105+(-0.038505--4.02951))+0--79.4-0.202469999999988</f>
        <v>1876.6024299999999</v>
      </c>
      <c r="AB336" s="3">
        <f>3285.9+(10.5-1587.2)+(-5.027427+(-0.016065--2.428416))+0--80.1-0.122553000000005</f>
        <v>1786.562371</v>
      </c>
      <c r="AC336" s="3">
        <f>3290.3+(9.5-1697)+(-8.390265+(-0.024225--4.32735))+0--80.9-0.206294999999988</f>
        <v>1679.4065650000002</v>
      </c>
      <c r="AD336" s="2">
        <v>1905.8000000000002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3188.6+(3-1815.7)+(-3.252372+(-0.00306--1.852014))+0--82.4-0.0840480000000131</f>
        <v>1456.8125339999999</v>
      </c>
      <c r="G337" s="3">
        <f>2912.1+(3-1620.7)+(1.485171+(0.00153-0.826557))+0--82.4--0.0420239999999916</f>
        <v>1377.502168</v>
      </c>
      <c r="H337" s="3">
        <f>2689.8+(3-1444.3)+(5.487192+(0.00612-2.946372))+0--82.5--0.168299999999996</f>
        <v>1333.7152400000002</v>
      </c>
      <c r="I337" s="3">
        <f>2676.3+(4-1447.3)+(0+(0-0))+0--82.3-0</f>
        <v>1315.3000000000002</v>
      </c>
      <c r="J337" s="3">
        <f>2576.1+(4-1344.5)+(-1.313811+(-0.00204--0.685695))+0--82.4-0.0420239999999916</f>
        <v>1317.32782</v>
      </c>
      <c r="K337" s="3">
        <f>2767.5+(4-1512)+(-7.057125+(-0.0102--3.8556))+0--82.4-0.210119999999988</f>
        <v>1338.4781550000002</v>
      </c>
      <c r="L337" s="3">
        <f>2910.2+(4-1576.3)+(-2.968404+(-0.00408--1.607826))+0--83.4-0.0850680000000133</f>
        <v>1419.8502739999999</v>
      </c>
      <c r="M337" s="3">
        <f>3073.9+(8-1646.7)+(-1.567689+(-0.00408--0.839817))+0--83.4-0.0425339999999915</f>
        <v>1517.8255140000001</v>
      </c>
      <c r="N337" s="3">
        <f>3363.8+(4-1820.1)+(0+(0-0))+0--82.4-0</f>
        <v>1630.1000000000004</v>
      </c>
      <c r="O337" s="3">
        <f>3343.2+(4-1731.8)+(0+(0-0))+0--81.3-0</f>
        <v>1696.6999999999998</v>
      </c>
      <c r="P337" s="3">
        <f>3302.3+(4-1671.5)+(0+(0-0))+0--81.1-0</f>
        <v>1715.9</v>
      </c>
      <c r="Q337" s="3">
        <f>3321.6+(0-1679.3)+(-5.082048+(0--2.569329))+0--79.3-0.121329000000005</f>
        <v>1718.9659519999998</v>
      </c>
      <c r="R337" s="3">
        <f>3307.7+(0-1714.7)+(-3.373854+(0--1.748994))+0--79.4-0.0809880000000127</f>
        <v>1670.694152</v>
      </c>
      <c r="S337" s="3">
        <f>2892.1+(4-1313.4)+(2.949942+(0.00408-1.339668))+0--79.3--0.0808860000000126</f>
        <v>1663.6952399999998</v>
      </c>
      <c r="T337" s="3">
        <f>2952.4+(2-1399.5)+(1.505724+(0.00102-0.713745))+0--79.4--0.0404939999999919</f>
        <v>1635.1334930000003</v>
      </c>
      <c r="U337" s="3">
        <f>3167.1+(0-1632.4)+(-1.615221+(0--0.832524))+0--80.5-0.0410549999999918</f>
        <v>1614.3762479999998</v>
      </c>
      <c r="V337" s="3">
        <f>3360.5+(0-1803.5)+(0+(0-0))+0--80.5-0</f>
        <v>1637.5</v>
      </c>
      <c r="W337" s="3">
        <f>3376.9+(0-1782.4)+(5.166657+(0-2.727072))+0--79.4--0.121482000000005</f>
        <v>1676.4610670000002</v>
      </c>
      <c r="X337" s="3">
        <f>3440.9+(0-1648.8)+(-3.509718+(0--1.681776))+0--79.3-0.0808860000000126</f>
        <v>1869.4911720000002</v>
      </c>
      <c r="Y337" s="3">
        <f>3449+(0-1681)+(3.51798+(0-1.71462))+0--78.3--0.0798660000000125</f>
        <v>1848.1832260000001</v>
      </c>
      <c r="Z337" s="3">
        <f>3426.5+(0-1724.2)+(0+(0-0))+0--81.3-0</f>
        <v>1783.6</v>
      </c>
      <c r="AA337" s="3">
        <f>3437.6+(0-1775.7)+(-1.753176+(0--0.905607))+0--81.2-0.0414119999999918</f>
        <v>1742.2110189999999</v>
      </c>
      <c r="AB337" s="3">
        <f>3446.3+(0-1849.5)+(-8.788065+(0--4.716225))+0--81.2-0.207059999999988</f>
        <v>1673.7211000000002</v>
      </c>
      <c r="AC337" s="3">
        <f>3402.5+(4-1920.2)+(-5.205825+(-0.00612--2.937906))+0--81.1-0.124083000000005</f>
        <v>1565.001878</v>
      </c>
      <c r="AD337" s="2">
        <v>1908.7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3258.3+(9-1847.6)+(-3.323466+(-0.00918--1.884552))+0--81-0.0826200000000129</f>
        <v>1499.1692860000003</v>
      </c>
      <c r="G338" s="3">
        <f>3064.7+(8.8-1727)+(-6.251988+(-0.017952--3.52308))+0--80.2-0.163607999999997</f>
        <v>1423.7895319999998</v>
      </c>
      <c r="H338" s="3">
        <f>2602.6+(9.8-1308.5)+(0+(0-0))+0--81.2-0</f>
        <v>1385.1</v>
      </c>
      <c r="I338" s="3">
        <f>2523.6+(8.8-1252.9)+(0+(0-0))+0--81.2-0</f>
        <v>1360.6999999999998</v>
      </c>
      <c r="J338" s="3">
        <f>2525.7+(12.8-1259.1)+(1.288107+(0.006528-0.642141))+0--80.2--0.0409019999999919</f>
        <v>1360.2933959999998</v>
      </c>
      <c r="K338" s="3">
        <f>2741.5+(12.8-1436.1)+(2.79633+(0.013056-1.464822))+0--81.1--0.0827220000000129</f>
        <v>1400.727286</v>
      </c>
      <c r="L338" s="3">
        <f>2894.4+(9.8-1541.7)+(1.476144+(0.004998-0.786267))+0--79.7--0.0406469999999919</f>
        <v>1442.935522</v>
      </c>
      <c r="M338" s="3">
        <f>3149.5+(9.8-1690.1)+(0+(0-0))+0--79.9-0</f>
        <v>1549.1000000000001</v>
      </c>
      <c r="N338" s="3">
        <f>3271.6+(9.8-1709)+(-1.668516+(-0.004998--0.87159))+0--79.9-0.0407489999999919</f>
        <v>1651.4573269999999</v>
      </c>
      <c r="O338" s="3">
        <f>3234.7+(10.8-1636.5)+(3.299394+(0.011016-1.66923))+0--78.4--0.0799680000000125</f>
        <v>1689.1211479999999</v>
      </c>
      <c r="P338" s="3">
        <f>3216.9+(9.8-1564.5)+(0+(0-0))+0--78.2-0</f>
        <v>1740.4</v>
      </c>
      <c r="Q338" s="3">
        <f>3254+(5.8-1593.8)+(-4.97862+(-0.008874--2.438514))+0--76.9-0.117657000000004</f>
        <v>1740.2333630000001</v>
      </c>
      <c r="R338" s="3">
        <f>3272.8+(6-1668.9)+(-6.676512+(-0.01224--3.404556))+0--77.3-0.157691999999997</f>
        <v>1683.758112</v>
      </c>
      <c r="S338" s="3">
        <f>3230.5+(6-1640.6)+(3.29511+(0.00612-1.673412))+0--77.3--0.0788460000000123</f>
        <v>1674.9066640000001</v>
      </c>
      <c r="T338" s="3">
        <f>3267.1+(6-1696.4)+(-1.666221+(-0.00306--0.865164))+0--76.1-0.0388109999999923</f>
        <v>1651.9570719999999</v>
      </c>
      <c r="U338" s="3">
        <f>3267.7+(6-1710.9)+(3.333054+(0.00612-1.745118))+0--75.3--0.076806000000012</f>
        <v>1639.7708619999996</v>
      </c>
      <c r="V338" s="3">
        <f>3303.5+(6-1756.9)+(-1.684785+(-0.00306--0.896019))+0--78.5-0.040034999999992</f>
        <v>1630.268139</v>
      </c>
      <c r="W338" s="3">
        <f>3436.3+(6-1854.7)+(-5.257539+(-0.00918--2.837691))+0--79.1-0.121023000000005</f>
        <v>1664.1499490000001</v>
      </c>
      <c r="X338" s="3">
        <f>3611.6+(6-1814)+(1.841916+(0.00306-0.92514))+0--79.1--0.040340999999992</f>
        <v>1883.6601769999997</v>
      </c>
      <c r="Y338" s="3">
        <f>3677.6+(6-1889.9)+(-9.37788+(-0.0153--4.819245))+0--80.2-0.204509999999988</f>
        <v>1869.1215549999999</v>
      </c>
      <c r="Z338" s="3">
        <f>3696.8+(6-1971.9)+(-1.885368+(-0.00306--1.005669))+0--82.1-0.0418709999999917</f>
        <v>1812.07537</v>
      </c>
      <c r="AA338" s="3">
        <f>3611+(6-1932.5)+(-5.52483+(-0.00918--2.956725))+0--82.3-0.125919000000005</f>
        <v>1764.0967959999998</v>
      </c>
      <c r="AB338" s="3">
        <f>3565.6+(6-1960.4)+(-5.455368+(-0.00918--2.999412))+0--82.2-0.125766000000005</f>
        <v>1690.8090979999997</v>
      </c>
      <c r="AC338" s="3">
        <f>3436.1+(10-1935.4)+(-8.762055+(-0.0255--4.93527))+0--82.3-0.209864999999988</f>
        <v>1588.9378499999998</v>
      </c>
      <c r="AD338" s="2">
        <v>1971.4000000000003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3342.4+(14.6-1941.8)+(-5.113872+(-0.022338--2.970954))+0--83.4-0.127602000000005</f>
        <v>1496.3071420000001</v>
      </c>
      <c r="G339" s="3">
        <f>2912.1+(8.8-1605.4)+(0+(0-0))+0--83.2-0</f>
        <v>1398.6999999999998</v>
      </c>
      <c r="H339" s="3">
        <f>2826.3+(9-1571.3)+(4.324239+(0.01377-2.404089))+0--82--0.125460000000005</f>
        <v>1348.0593800000001</v>
      </c>
      <c r="I339" s="3">
        <f>2877.3+(8.9-1637.9)+(-2.934846+(-0.009078--1.670658))+0--82.1-0.0837420000000131</f>
        <v>1329.0429920000001</v>
      </c>
      <c r="J339" s="3">
        <f>2824.5+(9.7-1581.8)+(4.321485+(0.014841-2.420154))+0--83.3--0.127449000000005</f>
        <v>1337.7436210000001</v>
      </c>
      <c r="K339" s="3">
        <f>2907.6+(9.8-1632.1)+(0+(0-0))+0--84.2-0</f>
        <v>1369.5</v>
      </c>
      <c r="L339" s="3">
        <f>2961.8+(9.8-1638.6)+(-6.042072+(-0.019992--3.342744))+0--85.9-0.175235999999996</f>
        <v>1416.0054440000004</v>
      </c>
      <c r="M339" s="3">
        <f>3124.9+(9.8-1714.9)+(1.593699+(0.004998-0.874599))+0--85.5--0.0436049999999913</f>
        <v>1506.0677029999999</v>
      </c>
      <c r="N339" s="3">
        <f>3458.2+(10.8-1916.2)+(3.527364+(0.011016-1.954524))+0--84--0.0856800000000134</f>
        <v>1638.4695359999996</v>
      </c>
      <c r="O339" s="3">
        <f>3546.1+(10.8-1908.1)+(5.425533+(0.016524-2.919393))+0--82.8--0.126684000000005</f>
        <v>1734.2493480000001</v>
      </c>
      <c r="P339" s="3">
        <f>3515+(10.8-1857.9)+(0+(0-0))+0--82.6-0</f>
        <v>1750.4999999999998</v>
      </c>
      <c r="Q339" s="3">
        <f>3527.9+(5.8-1865.8)+(0+(0-0))+0--80.8-0</f>
        <v>1748.7</v>
      </c>
      <c r="R339" s="3">
        <f>3489.9+(0-1809.4)+(-3.559698+(0--1.845588))+0-5.7--0.00581400000000091</f>
        <v>1673.0917040000002</v>
      </c>
      <c r="S339" s="3">
        <f>3469.4+(0-1812.8)+(1.769394+(0-0.924528))+0-5.6-0.00285599999999943</f>
        <v>1651.8420100000001</v>
      </c>
      <c r="T339" s="3">
        <f>3329.3+(0-1743.2)+(-3.395886+(0--1.778064))+0-5.6--0.00571200000000089</f>
        <v>1578.8878900000002</v>
      </c>
      <c r="U339" s="3">
        <f>3221.8+(0-1693.1)+(-3.286236+(0--1.726962))+0-5.7--0.00581400000000091</f>
        <v>1521.4465400000004</v>
      </c>
      <c r="V339" s="3">
        <f>3251.6+(0-1697.1)+(4.974948+(0-2.596563))+0-5.6-0.00856800000000032</f>
        <v>1551.2698170000001</v>
      </c>
      <c r="W339" s="3">
        <f>3433.3+(0-1812.8)+(-5.252949+(0--2.773584))+0-5.7--0.00872100000000033</f>
        <v>1612.3293560000002</v>
      </c>
      <c r="X339" s="3">
        <f>3523.6+(0-1680.6)+(0+(0-0))+0-5.8-0</f>
        <v>1837.2</v>
      </c>
      <c r="Y339" s="3">
        <f>3542.8+(0-1707)+(-10.840968+(0--5.22342))+0-5.9--0.0180540000000007</f>
        <v>1824.300506</v>
      </c>
      <c r="Z339" s="3">
        <f>3563.6+(0-1792.8)+(3.634872+(0-1.828656))+0-5.8-0.00591600000000092</f>
        <v>1766.8002999999999</v>
      </c>
      <c r="AA339" s="3">
        <f>3576.3+(0-1853.1)+(-1.823913+(0--0.945081))+0-5.7--0.00290699999999942</f>
        <v>1716.6240750000002</v>
      </c>
      <c r="AB339" s="3">
        <f>3584.2+(0-1935.4)+(0+(0-0))+0-5.8-0</f>
        <v>1642.9999999999998</v>
      </c>
      <c r="AC339" s="3">
        <f>3387.4+(3-1863.6)+(-5.182722+(-0.00459--2.851308))+0-5.8--0.00887400000000033</f>
        <v>1518.6728700000003</v>
      </c>
      <c r="AD339" s="2">
        <v>1867.3999999999999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3107.2+(11-1814.6)+(-4.754016+(-0.01683--2.776338))+0--90.2-0.138006000000005</f>
        <v>1391.6674860000001</v>
      </c>
      <c r="G340" s="3">
        <f>2794.7+(10-1558)+(-7.126485+(-0.0255--3.9729))+0--90.1-0.229754999999987</f>
        <v>1333.3911599999997</v>
      </c>
      <c r="H340" s="3">
        <f>2708.6+(10-1470.3)+(-1.381386+(-0.0051--0.749853))+0--91.3-0.0465629999999907</f>
        <v>1338.916804</v>
      </c>
      <c r="I340" s="3">
        <f>2707.1+(15-1499.5)+(1.380621+(0.00765-0.764745))+0--92.2--0.0470219999999906</f>
        <v>1315.470548</v>
      </c>
      <c r="J340" s="3">
        <f>2724.4+(20-1475.5)+(1.389444+(0.0102-0.752505))+0--91.2--0.0465119999999907</f>
        <v>1360.793651</v>
      </c>
      <c r="K340" s="3">
        <f>2775.7+(11-1551.2)+(5.662428+(0.02244-3.164448))+0--90.3--0.184211999999996</f>
        <v>1328.5046319999997</v>
      </c>
      <c r="L340" s="3">
        <f>2833.3+(11-1580.4)+(-2.889966+(-0.01122--1.612008))+0--91.3-0.0931260000000146</f>
        <v>1353.8176960000001</v>
      </c>
      <c r="M340" s="3">
        <f>2677.6+(11-1383.8)+(-1.365576+(-0.00561--0.705738))+0--92.4-0.0471239999999906</f>
        <v>1396.4874280000001</v>
      </c>
      <c r="N340" s="3">
        <f>2912.1+(12-1512.4)+(-2.970342+(-0.01224--1.542648))+0--91.3-0.0931260000000146</f>
        <v>1501.4669399999998</v>
      </c>
      <c r="O340" s="3">
        <f>2892.9+(12-1410.2)+(2.950758+(0.01224-1.438404))+0--92.2--0.0940440000000147</f>
        <v>1588.518638</v>
      </c>
      <c r="P340" s="3">
        <f>2930.5+(12-1412.1)+(0+(0-0))+0--88.2-0</f>
        <v>1618.6000000000001</v>
      </c>
      <c r="Q340" s="3">
        <f>2993.6+(7-1458.9)+(0+(0-0))+0--85.2-0</f>
        <v>1626.8999999999999</v>
      </c>
      <c r="R340" s="3">
        <f>2990.7+(7-1491.3)+(-4.575771+(-0.01071--2.281689))+0--85.3-0.130509000000005</f>
        <v>1589.2646989999998</v>
      </c>
      <c r="S340" s="3">
        <f>2988.1+(7-1519.7)+(-1.523931+(-0.00357--0.775047))+0--85.3-0.0435029999999913</f>
        <v>1559.9040429999998</v>
      </c>
      <c r="T340" s="3">
        <f>2984.8+(7-1537)+(-3.044496+(-0.00714--1.56774))+0--84.3-0.0859860000000134</f>
        <v>1537.5301180000001</v>
      </c>
      <c r="U340" s="3">
        <f>3030.4+(7-1594.6)+(-3.091008+(-0.00714--1.626492))+0--84.2-0.0858840000000134</f>
        <v>1525.4424600000002</v>
      </c>
      <c r="V340" s="3">
        <f>3027.8+(7-1591.9)+(0+(0-0))+0--84.3-0</f>
        <v>1527.2</v>
      </c>
      <c r="W340" s="3">
        <f>3050.4+(7-1553.3)+(-1.555704+(-0.00357--0.792183))+0--85.2-0.0434519999999914</f>
        <v>1588.4894570000004</v>
      </c>
      <c r="X340" s="3">
        <f>3152.8+(7-1448.6)+(-1.607928+(-0.00357--0.738786))+0--85.1-0.0434009999999914</f>
        <v>1795.3838870000002</v>
      </c>
      <c r="Y340" s="3">
        <f>3223.5+(7-1501.6)+(0+(0-0))+0--86.2-0</f>
        <v>1815.1000000000001</v>
      </c>
      <c r="Z340" s="3">
        <f>3242.2+(7-1565.9)+(-3.307044+(-0.00714--1.597218))+0--93.2-0.0950640000000149</f>
        <v>1774.6879699999997</v>
      </c>
      <c r="AA340" s="3">
        <f>3258.4+(7-1635.3)+(-1.661784+(-0.00357--0.834003))+0--93.2-0.0475319999999905</f>
        <v>1722.4211170000001</v>
      </c>
      <c r="AB340" s="3">
        <f>3263.5+(7-1735.1)+(-8.321925+(-0.01785--4.424505))+0--91.2-0.232559999999987</f>
        <v>1622.4521700000003</v>
      </c>
      <c r="AC340" s="3">
        <f>3171.2+(11-1765.5)+(-8.08656+(-0.02805--4.502025))+0--89.3-0.227714999999987</f>
        <v>1502.1596999999997</v>
      </c>
      <c r="AD340" s="2">
        <v>1807.0000000000002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3080.9+(9-1769.6)+(-3.142518+(-0.00918--1.804992))+0--90.3-0.0921060000000144</f>
        <v>1409.161188</v>
      </c>
      <c r="G341" s="3">
        <f>2939.3+(9-1761.8)+(2.998086+(0.00918-1.797036))+0--91.2--0.0930240000000145</f>
        <v>1279.0032540000002</v>
      </c>
      <c r="H341" s="3">
        <f>2933.4+(9-1732.9)+(2.992068+(0.00918-1.767558))+0--91.2--0.0930240000000145</f>
        <v>1302.0267140000001</v>
      </c>
      <c r="I341" s="3">
        <f>2931.1+(10-1741.6)+(1.494861+(0.0051-0.888216))+0--91.3--0.0465629999999907</f>
        <v>1291.4583079999998</v>
      </c>
      <c r="J341" s="3">
        <f>2936.7+(10-1745)+(-1.497717+(-0.0051--0.88995))+0--89.4-0.0455939999999909</f>
        <v>1290.4415389999999</v>
      </c>
      <c r="K341" s="3">
        <f>2957.5+(10-1791.6)+(3.01665+(0.0102-1.827432))+0--92--0.0938400000000147</f>
        <v>1269.193258</v>
      </c>
      <c r="L341" s="3">
        <f>3116.9+(10-1813.7)+(1.589619+(0.0051-0.924987))+0--92--0.0469199999999907</f>
        <v>1405.9166520000001</v>
      </c>
      <c r="M341" s="3">
        <f>3453.2+(10-2050.5)+(1.761132+(0.0051-1.045755))+0--91.4--0.0466139999999907</f>
        <v>1504.8670910000001</v>
      </c>
      <c r="N341" s="3">
        <f>3631.3+(11-2094)+(3.703926+(0.01122-2.13588))+0--89.3--0.0910860000000142</f>
        <v>1639.270352</v>
      </c>
      <c r="O341" s="3">
        <f>3620.7+(11-2015.9)+(7.386228+(0.02244-4.112436))+0--88.4--0.180335999999996</f>
        <v>1707.6765679999996</v>
      </c>
      <c r="P341" s="3">
        <f>3559+(11-1974.5)+(0+(0-0))+0--84.3-0</f>
        <v>1679.8</v>
      </c>
      <c r="Q341" s="3">
        <f>3685.4+(6-2043.9)+(0+(0-0))+0--82.3-0</f>
        <v>1729.8</v>
      </c>
      <c r="R341" s="3">
        <f>3633.5+(6-2043)+(-3.70617+(-0.00612--2.08386))+0--81.6-0.083232000000013</f>
        <v>1676.388338</v>
      </c>
      <c r="S341" s="3">
        <f>3603.5+(6-2023.4)+(-7.35114+(-0.01224--4.127736))+0--83.3-0.169931999999996</f>
        <v>1665.9944239999998</v>
      </c>
      <c r="T341" s="3">
        <f>3581+(6-2020.6)+(0+(0-0))+0--83.1-0</f>
        <v>1649.5</v>
      </c>
      <c r="U341" s="3">
        <f>3596.6+(6-2026.3)+(1.834266+(0.00306-1.033413))+0--83.6--0.0426359999999915</f>
        <v>1660.7465489999997</v>
      </c>
      <c r="V341" s="3">
        <f>3611+(6-2043.9)+(0+(0-0))+0--84.6-0</f>
        <v>1657.6999999999998</v>
      </c>
      <c r="W341" s="3">
        <f>3657.8+(6-2069.6)+(-3.730956+(-0.00612--2.110992))+0--85.1-0.0868020000000136</f>
        <v>1677.5871140000002</v>
      </c>
      <c r="X341" s="3">
        <f>3697.5+(6-1911.6)+(-5.657175+(-0.00918--2.924748))+0--85.7-0.131121000000005</f>
        <v>1874.7272720000003</v>
      </c>
      <c r="Y341" s="3">
        <f>3729.9+(6-1954.4)+(-3.804498+(-0.00612--1.993488))+0--86.3-0.0880260000000138</f>
        <v>1865.8948439999999</v>
      </c>
      <c r="Z341" s="3">
        <f>3673.2+(6-1945.3)+(1.873332+(0.00306-0.992103))+0--86.7--0.0442169999999912</f>
        <v>1821.5285059999999</v>
      </c>
      <c r="AA341" s="3">
        <f>3645+(6-1960.1)+(-3.7179+(-0.00612--1.999302))+0--85.7-0.0874140000000137</f>
        <v>1774.7878680000001</v>
      </c>
      <c r="AB341" s="3">
        <f>3641.9+(6-2061.3)+(-3.714738+(-0.00612--2.102526))+0--85.5-0.0872100000000136</f>
        <v>1670.394458</v>
      </c>
      <c r="AC341" s="3">
        <f>3599.2+(10-2145.6)+(-1.835592+(-0.0051--1.094256))+0--85.5-0.0436049999999913</f>
        <v>1548.3099589999999</v>
      </c>
      <c r="AD341" s="2">
        <v>1902.7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3163.7+(9.9-1788.7)+(-8.067435+(-0.025245--4.561185))+0--85.1-0.217004999999988</f>
        <v>1466.2514999999999</v>
      </c>
      <c r="G342" s="3">
        <f>2760.7+(8.8-1476.7)+(-1.407957+(-0.004488--0.753117))+0--85.2-0.0434519999999914</f>
        <v>1377.2972199999999</v>
      </c>
      <c r="H342" s="3">
        <f>2726.3+(8.8-1494.9)+(-2.780826+(-0.008976--1.524798))+0--86.2-0.0879240000000137</f>
        <v>1325.0470720000001</v>
      </c>
      <c r="I342" s="3">
        <f>2728.8+(9.8-1511.1)+(-4.175064+(-0.014994--2.311983))+0--86.2-0.131886000000005</f>
        <v>1311.6900390000003</v>
      </c>
      <c r="J342" s="3">
        <f>2759.6+(9.8-1561.8)+(1.407396+(0.004998-0.796518))+0--86.2--0.0439619999999913</f>
        <v>1294.459838</v>
      </c>
      <c r="K342" s="3">
        <f>3045.4+(8.8-1802.1)+(-1.553154+(-0.004488--0.919071))+0--85.2-0.0434519999999914</f>
        <v>1336.6179770000003</v>
      </c>
      <c r="L342" s="3">
        <f>3368.4+(8.8-2035.7)+(-1.717884+(-0.004488--1.038207))+0--84.8-0.0432479999999914</f>
        <v>1425.5725870000001</v>
      </c>
      <c r="M342" s="3">
        <f>3602.4+(9.8-2206.7)+(1.837224+(0.004998-1.125417))+0--86.4--0.0440639999999912</f>
        <v>1492.6608690000005</v>
      </c>
      <c r="N342" s="3">
        <f>3730.8+(9.8-2242)+(1.902708+(0.004998-1.14342))+0--86.4--0.0440639999999912</f>
        <v>1585.8083500000005</v>
      </c>
      <c r="O342" s="3">
        <f>3755.9+(9.8-2228.2)+(0+(0-0))+0--83.4-0</f>
        <v>1620.9000000000005</v>
      </c>
      <c r="P342" s="3">
        <f>3769.1+(9.8-2197.8)+(0+(0-0))+0--82.9-0</f>
        <v>1664</v>
      </c>
      <c r="Q342" s="3">
        <f>3661.1+(5.8-2072.8)+(-1.867161+(-0.002958--1.057128))+0--87.1-0.0444209999999912</f>
        <v>1680.3425879999998</v>
      </c>
      <c r="R342" s="3">
        <f>3336.1+(5.8-1806.3)+(-6.805644+(-0.011832--3.684852))+0--84.4-0.172175999999996</f>
        <v>1616.6951999999999</v>
      </c>
      <c r="S342" s="3">
        <f>3327.6+(5.8-1801.4)+(3.394152+(0.005916-1.837428))+0--82--0.0836400000000131</f>
        <v>1615.6462799999999</v>
      </c>
      <c r="T342" s="3">
        <f>3259.3+(5.8-1742.9)+(1.662243+(0.002958-0.888879))+0--82.1--0.0418709999999917</f>
        <v>1605.1181929999998</v>
      </c>
      <c r="U342" s="3">
        <f>3294.2+(5.8-1801)+(3.360084+(0.005916-1.83702))+0--82.4--0.0840480000000131</f>
        <v>1583.0130279999998</v>
      </c>
      <c r="V342" s="3">
        <f>3523.5+(5.8-2034.2)+(3.59397+(0.005916-2.074884))+0--83.1--0.0847620000000132</f>
        <v>1579.8097639999999</v>
      </c>
      <c r="W342" s="3">
        <f>3799.2+(5.8-2272.7)+(-7.750368+(-0.011832--4.636308))+0--84.5-0.172379999999996</f>
        <v>1613.5017280000002</v>
      </c>
      <c r="X342" s="3">
        <f>3921+(5.8-2187.6)+(-1.99971+(-0.002958--1.115676))+0--84.7-0.0431969999999914</f>
        <v>1822.9698110000004</v>
      </c>
      <c r="Y342" s="3">
        <f>3735.5+(5.8-1985.6)+(-7.62042+(-0.011832--4.050624))+0--85.7-0.174827999999996</f>
        <v>1837.6435440000002</v>
      </c>
      <c r="Z342" s="3">
        <f>3559.6+(5.8-1832.7)+(-9.07698+(-0.01479--4.673385))+0--86.3-0.220064999999987</f>
        <v>1814.3615499999999</v>
      </c>
      <c r="AA342" s="3">
        <f>3363+(5.8-1733.1)+(0+(0-0))+0--86.7-0</f>
        <v>1722.4</v>
      </c>
      <c r="AB342" s="3">
        <f>3317.1+(5.8-1781.8)+(-1.691721+(-0.002958--0.908718))+0--87.2-0.0444719999999912</f>
        <v>1627.4695669999999</v>
      </c>
      <c r="AC342" s="3">
        <f>3280.7+(9.8-1872)+(-5.019471+(-0.014994--2.86416))+0--87.6-0.134028000000005</f>
        <v>1503.7956669999996</v>
      </c>
      <c r="AD342" s="2">
        <v>1858.3999999999996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3206+(4-1880.4)+(-3.27012+(-0.00408--1.918008))+0--88.1-0.089862000000014</f>
        <v>1416.2539459999998</v>
      </c>
      <c r="G343" s="3">
        <f>2937.5+(3-1687.4)+(1.498125+(0.00153-0.860574))+0--88.1--0.0449309999999911</f>
        <v>1341.8840119999998</v>
      </c>
      <c r="H343" s="3">
        <f>2952.1+(3-1727.6)+(-3.011142+(-0.00306--1.762152))+0--86.2-0.0879240000000137</f>
        <v>1312.3600260000001</v>
      </c>
      <c r="I343" s="3">
        <f>2957.1+(3-1771.7)+(1.508121+(0.00153-0.903567))+0--86.3--0.0440129999999912</f>
        <v>1275.3500969999998</v>
      </c>
      <c r="J343" s="3">
        <f>3129+(4-1938.8)+(0+(0-0))+0--86.2-0</f>
        <v>1280.4000000000001</v>
      </c>
      <c r="K343" s="3">
        <f>3177.4+(3-1942)+(-4.861422+(-0.00459--2.97126))+0--87.3-0.133569000000005</f>
        <v>1323.671679</v>
      </c>
      <c r="L343" s="3">
        <f>3341.6+(6-2070.7)+(0+(0-0))+0--87.3-0</f>
        <v>1364.2</v>
      </c>
      <c r="M343" s="3">
        <f>3521.8+(6-2163.4)+(1.796118+(0.00306-1.103334))+0--87.4--0.0445739999999911</f>
        <v>1452.5404180000003</v>
      </c>
      <c r="N343" s="3">
        <f>3727.9+(6-2242.7)+(-1.901229+(-0.00306--1.143777))+0--85.4-0.0435539999999913</f>
        <v>1575.7959340000002</v>
      </c>
      <c r="O343" s="3">
        <f>3945.4+(5-2375)+(-6.036462+(-0.00765--3.63375))+0--84.3-0.128979000000005</f>
        <v>1657.1606589999999</v>
      </c>
      <c r="P343" s="3">
        <f>3998.8+(5-2409.3)+(-6.118164+(-0.00765--3.686229))+0--85.3-0.130509000000005</f>
        <v>1677.2299059999998</v>
      </c>
      <c r="Q343" s="3">
        <f>4005.5+(0-2405.4)+(-8.17122+(0--4.907016))+0--84.4-0.172175999999996</f>
        <v>1681.0636199999999</v>
      </c>
      <c r="R343" s="3">
        <f>3870.5+(5.6-2303.4)+(0+(0-0))+0--84.6-0</f>
        <v>1657.2999999999997</v>
      </c>
      <c r="S343" s="3">
        <f>3356.1+(5.8-1796.1)+(-5.134833+(-0.008874--2.748033))+0--84.3-0.128979000000005</f>
        <v>1647.5753469999997</v>
      </c>
      <c r="T343" s="3">
        <f>3200.3+(5.9-1755)+(3.264306+(0.006018-1.7901))+0--84.7--0.0863940000000135</f>
        <v>1537.4666180000002</v>
      </c>
      <c r="U343" s="3">
        <f>3286.6+(5.7-1762.5)+(-1.676166+(-0.002907--0.898875))+0--84.2-0.0429419999999915</f>
        <v>1613.17686</v>
      </c>
      <c r="V343" s="3">
        <f>3289.9+(5.7-1759.2)+(0+(0-0))+0--84-0</f>
        <v>1620.4</v>
      </c>
      <c r="W343" s="3">
        <f>3362.4+(5.7-1810)+(-3.429648+(-0.005814--1.8462))+0--85.2-0.0869040000000136</f>
        <v>1641.6238340000002</v>
      </c>
      <c r="X343" s="3">
        <f>4017+(5.9-2259)+(-2.04867+(-0.003009--1.15209))+0--85.9-0.0438089999999913</f>
        <v>1848.8566020000001</v>
      </c>
      <c r="Y343" s="3">
        <f>4158.9+(5.9-2366.2)+(-10.605195+(-0.015045--6.03381))+0--86.2-0.219809999999987</f>
        <v>1879.9937599999998</v>
      </c>
      <c r="Z343" s="3">
        <f>3943.4+(5.9-2218.8)+(0+(0-0))+0--86.1-0</f>
        <v>1816.6</v>
      </c>
      <c r="AA343" s="3">
        <f>3846.8+(5.7-2168.1)+(-3.923736+(-0.005814--2.211462))+0--87-0.0887400000000139</f>
        <v>1769.5931720000001</v>
      </c>
      <c r="AB343" s="3">
        <f>3789.9+(5.6-2204.1)+(-3.865698+(-0.005712--2.248182))+0--87.2-0.0889440000000139</f>
        <v>1676.8878280000001</v>
      </c>
      <c r="AC343" s="3">
        <f>3747.7+(9.6-2270)+(-9.556635+(-0.02448--5.7885))+0--87.9-0.224144999999987</f>
        <v>1571.1832399999998</v>
      </c>
      <c r="AD343" s="2">
        <v>1902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3682.7+(9.5-2320.2)+(-5.634531+(-0.014535--3.549906))+0--88.6-0.135558000000005</f>
        <v>1458.365282</v>
      </c>
      <c r="G344" s="3">
        <f>3492.2+(9.5-2188.8)+(-5.343066+(-0.014535--3.348864))+0--88.6-0.135558000000005</f>
        <v>1399.3557049999995</v>
      </c>
      <c r="H344" s="3">
        <f>3141.7+(9.5-1908.6)+(-1.602267+(-0.004845--0.973386))+0--88.5-0.045134999999991</f>
        <v>1330.4211389999998</v>
      </c>
      <c r="I344" s="3">
        <f>2983.3+(9.5-1779)+(-3.042966+(-0.00969--1.81458))+0--88.3-0.0900660000000141</f>
        <v>1300.7718580000001</v>
      </c>
      <c r="J344" s="3">
        <f>2973.2+(9.5-1773.2)+(1.516332+(0.004845-0.904332))+0--88.2--0.0449819999999911</f>
        <v>1298.3618269999997</v>
      </c>
      <c r="K344" s="3">
        <f>3067.8+(9.5-1839.1)+(6.258312+(0.01938-3.751764))+0--88.3--0.180131999999996</f>
        <v>1329.2060600000002</v>
      </c>
      <c r="L344" s="3">
        <f>3358.8+(9.5-2026.4)+(-1.712988+(-0.004845--1.033464))+0--88.2-0.0449819999999911</f>
        <v>1429.3706490000002</v>
      </c>
      <c r="M344" s="3">
        <f>3437.4+(5.5-2021.1)+(-1.753074+(-0.002805--1.030761))+0--87.3-0.0445229999999911</f>
        <v>1508.330359</v>
      </c>
      <c r="N344" s="3">
        <f>3577.4+(10.5-2056.1)+(-1.824474+(-0.005355--1.048611))+0--86.3-0.0440129999999912</f>
        <v>1617.2747690000001</v>
      </c>
      <c r="O344" s="3">
        <f>3629.3+(11.5-2029.2)+(-7.403772+(-0.02346--4.139568))+0--85.2-0.173807999999996</f>
        <v>1693.3385280000002</v>
      </c>
      <c r="P344" s="3">
        <f>3769.9+(11.5-2140.5)+(-1.922649+(-0.005865--1.091655))+0--84-0.0428399999999915</f>
        <v>1724.020301</v>
      </c>
      <c r="Q344" s="3">
        <f>3823.3+(5.5-2181.9)+(-3.899766+(-0.00561--2.225538))+0--84.1-0.0857820000000134</f>
        <v>1729.2343799999999</v>
      </c>
      <c r="R344" s="3">
        <f>3805.8+(5.9-2227.9)+(-7.763832+(-0.012036--4.544916))+0--83.8-0.170951999999996</f>
        <v>1664.1980960000003</v>
      </c>
      <c r="S344" s="3">
        <f>3790.1+(5.8-2198.4)+(-5.798853+(-0.008874--3.363552))+0--83.3-0.127449000000005</f>
        <v>1678.2283759999998</v>
      </c>
      <c r="T344" s="3">
        <f>3785+(5.8-2192.7)+(1.93035+(0.002958-1.118277))+0--83.2--0.0424319999999916</f>
        <v>1682.1574630000005</v>
      </c>
      <c r="U344" s="3">
        <f>3811.9+(5.8-2214.1)+(3.888138+(0.005916-2.258382))+0--82.7--0.0843540000000132</f>
        <v>1688.0200260000006</v>
      </c>
      <c r="V344" s="3">
        <f>3793.6+(5.8-2198.2)+(1.934736+(0.002958-1.121082))+0--82.3--0.0419729999999916</f>
        <v>1684.3585850000004</v>
      </c>
      <c r="W344" s="3">
        <f>3842.5+(5.9-2236.7)+(1.959675+(0.003009-1.140717))+0--83.9--0.0427889999999915</f>
        <v>1696.4647560000005</v>
      </c>
      <c r="X344" s="3">
        <f>3891.7+(5.9-2067.9)+(0+(0-0))+0--85.3-0</f>
        <v>1914.9999999999998</v>
      </c>
      <c r="Y344" s="3">
        <f>3911.4+(5.8-2089)+(0+(0-0))+0--85.9-0</f>
        <v>1914.1000000000004</v>
      </c>
      <c r="Z344" s="3">
        <f>3933.1+(6-2168.8)+(-2.005881+(-0.00306--1.106088))+0--85.9-0.0438089999999913</f>
        <v>1855.2533379999998</v>
      </c>
      <c r="AA344" s="3">
        <f>3943+(6-2230.6)+(0+(0-0))+0--85.9-0</f>
        <v>1804.3000000000002</v>
      </c>
      <c r="AB344" s="3">
        <f>3953.3+(6-2333.3)+(-8.064732+(-0.01224--4.759932))+0--87.5-0.178499999999996</f>
        <v>1710.0044600000001</v>
      </c>
      <c r="AC344" s="3">
        <f>3795.1+(10.9-2295.3)+(-1.935501+(-0.005559--1.170603))+0--88.3-0.045032999999991</f>
        <v>1598.1845099999996</v>
      </c>
      <c r="AD344" s="2">
        <v>1920.5000000000002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3651.3+(9.5-2258.5)+(-9.310815+(-0.024225--5.759175))+0--88.2-0.224909999999987</f>
        <v>1486.6992250000003</v>
      </c>
      <c r="G345" s="3">
        <f>3018.3+(9.5-1707.7)+(-4.617999+(-0.014535--2.612781))+0--88.5-0.135405000000005</f>
        <v>1406.4448420000001</v>
      </c>
      <c r="H345" s="3">
        <f>2772+(9.5-1530.3)+(0+(0-0))+0--88.3-0</f>
        <v>1339.5</v>
      </c>
      <c r="I345" s="3">
        <f>2728.7+(9.5-1514.1)+(1.391637+(0.004845-0.772191))+0--90.3--0.0460529999999908</f>
        <v>1315.070344</v>
      </c>
      <c r="J345" s="3">
        <f>2735.6+(9.5-1521.4)+(-5.580624+(-0.01938--3.103656))+0--89.4-0.182375999999996</f>
        <v>1310.421276</v>
      </c>
      <c r="K345" s="3">
        <f>2933.2+(9.5-1680.7)+(1.495932+(0.004845-0.857157))+0--89.4--0.0455939999999909</f>
        <v>1352.0892139999999</v>
      </c>
      <c r="L345" s="3">
        <f>3294.7+(5.5-1961.8)+(1.680297+(0.002805-1.000518))+0--90.3--0.0460529999999908</f>
        <v>1429.4286369999998</v>
      </c>
      <c r="M345" s="3">
        <f>3677.7+(5.5-2241.4)+(-1.875627+(-0.002805--1.143114))+0--91.5-0.0466649999999907</f>
        <v>1532.5180169999996</v>
      </c>
      <c r="N345" s="3">
        <f>3913.5+(5.5-2349.6)+(0+(0-0))+0--88.4-0</f>
        <v>1657.8000000000002</v>
      </c>
      <c r="O345" s="3">
        <f>3928.3+(5.5-2291.2)+(-2.003433+(-0.002805--1.168512))+0--86.5-0.0441149999999912</f>
        <v>1728.2181590000005</v>
      </c>
      <c r="P345" s="3">
        <f>3935.9+(5.5-2274.7)+(-6.021927+(-0.008415--3.480291))+0--85.1-0.130203000000005</f>
        <v>1749.1197460000003</v>
      </c>
      <c r="Q345" s="3">
        <f>3892.2+(5.5-2224.8)+(-1.985022+(-0.002805--1.134648))+0--84.2-0.0429419999999915</f>
        <v>1756.2038789999997</v>
      </c>
      <c r="R345" s="3">
        <f>3730.4+(5.5-2089.8)+(-1.902504+(-0.002805--1.065798))+0--85.3-0.0435029999999913</f>
        <v>1730.5169859999999</v>
      </c>
      <c r="S345" s="3">
        <f>3231.8+(5.5-1609.2)+(4.944654+(0.008415-2.462076))+0--86.4--0.132192000000005</f>
        <v>1717.1231850000001</v>
      </c>
      <c r="T345" s="3">
        <f>3117.6+(5.5-1508.8)+(3.179952+(0.00561-1.538976))+0--86.5--0.0882300000000138</f>
        <v>1702.5348160000001</v>
      </c>
      <c r="U345" s="3">
        <f>3072.9+(5.5-1484.4)+(-3.134358+(-0.00561--1.514088))+0--86.4-0.0881280000000138</f>
        <v>1678.6859919999999</v>
      </c>
      <c r="V345" s="3">
        <f>3158.9+(5.5-1590)+(1.611039+(0.002805-0.8109))+0--84.3--0.0429929999999914</f>
        <v>1659.5459370000001</v>
      </c>
      <c r="W345" s="3">
        <f>3475.5+(5.5-1897.2)+(1.772505+(0.002805-0.967572))+0--84.2--0.0429419999999915</f>
        <v>1668.85068</v>
      </c>
      <c r="X345" s="3">
        <f>3879.3+(5.5-2102.9)+(-1.978443+(-0.002805--1.072479))+0--86.3-0.0440129999999912</f>
        <v>1867.2472180000002</v>
      </c>
      <c r="Y345" s="3">
        <f>4032.1+(5.5-2224)+(-10.281855+(-0.014025--5.6712))+0--86.3-0.220064999999987</f>
        <v>1895.055255</v>
      </c>
      <c r="Z345" s="3">
        <f>4047+(5.5-2305.2)+(-8.25588+(-0.01122--4.702608))+0--86.2-0.175847999999996</f>
        <v>1829.7596600000002</v>
      </c>
      <c r="AA345" s="3">
        <f>4061.8+(5.5-2366.6)+(-10.35759+(-0.014025--6.03483))+0--86.2-0.219809999999987</f>
        <v>1782.3434050000003</v>
      </c>
      <c r="AB345" s="3">
        <f>3871.5+(5.5-2244.6)+(-1.974465+(-0.002805--1.144746))+0--86.3-0.0440129999999912</f>
        <v>1717.8234630000002</v>
      </c>
      <c r="AC345" s="3">
        <f>3683.8+(10.5-2178.9)+(-5.636214+(-0.016065--3.333717))+0--88-0.134640000000005</f>
        <v>1600.9467980000002</v>
      </c>
      <c r="AD345" s="2">
        <v>1940.9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3465.6+(10-2144.5)+(-1.767456+(-0.0051--1.093695))+0--88-0.0448799999999911</f>
        <v>1418.3762589999999</v>
      </c>
      <c r="G346" s="3">
        <f>3368.4+(10-2130.7)+(-1.717884+(-0.0051--1.086657))+0--88.2-0.0449819999999911</f>
        <v>1335.2186910000005</v>
      </c>
      <c r="H346" s="3">
        <f>2530.4+(10-1478.7)+(1.290504+(0.0051-0.754137))+0--88.3--0.045032999999991</f>
        <v>1150.5865000000001</v>
      </c>
      <c r="I346" s="3">
        <f>2389.6+(11-1343.8)+(-2.437392+(-0.01122--1.370676))+0--88.4-0.0901680000000141</f>
        <v>1144.0318960000002</v>
      </c>
      <c r="J346" s="3">
        <f>2409.9+(11-1375.6)+(2.458098+(0.01122-1.403112))+0--88.4--0.0901680000000141</f>
        <v>1134.8563740000002</v>
      </c>
      <c r="K346" s="3">
        <f>2678.7+(10-1667.6)+(1.366137+(0.0051-0.850476))+0--89.3--0.0455429999999909</f>
        <v>1110.9663039999998</v>
      </c>
      <c r="L346" s="3">
        <f>3307.5+(11-2019.4)+(-10.12095+(-0.03366--6.179364))+0--90.2-0.27601200000001</f>
        <v>1385.0487419999999</v>
      </c>
      <c r="M346" s="3">
        <f>3336.8+(11-1914.9)+(1.701768+(0.00561-0.976599))+0--90.3--0.0460529999999908</f>
        <v>1523.9768320000001</v>
      </c>
      <c r="N346" s="3">
        <f>3329+(12-1784.2)+(0+(0-0))+0--87.2-0</f>
        <v>1644</v>
      </c>
      <c r="O346" s="3">
        <f>3469+(12-1848)+(-3.53838+(-0.01224--1.88496))+0--86.1-0.0878220000000137</f>
        <v>1717.3465180000001</v>
      </c>
      <c r="P346" s="3">
        <f>3445.1+(12-1778.1)+(1.757001+(0.00612-0.906831))+0--85.1--0.0434009999999914</f>
        <v>1764.9996909999998</v>
      </c>
      <c r="Q346" s="3">
        <f>3451.7+(6-1774.6)+(-7.041468+(-0.01224--3.620184))+0--84.1-0.171563999999996</f>
        <v>1763.5949119999998</v>
      </c>
      <c r="R346" s="3">
        <f>3428.2+(6-1811.5)+(-3.496764+(-0.00612--1.84773))+0--83.1-0.0847620000000132</f>
        <v>1704.0600839999997</v>
      </c>
      <c r="S346" s="3">
        <f>3451.4+(6-1858)+(-8.80107+(-0.0153--4.7379))+0--84.1-0.214454999999988</f>
        <v>1679.207075</v>
      </c>
      <c r="T346" s="3">
        <f>3418.7+(6-1847)+(-3.487074+(-0.00612--1.88394))+0--82.2-0.0838440000000131</f>
        <v>1658.2069019999999</v>
      </c>
      <c r="U346" s="3">
        <f>3405.6+(6-1853.6)+(-10.421136+(-0.01836--5.672016))+0--82.2-0.25153200000001</f>
        <v>1635.1809880000001</v>
      </c>
      <c r="V346" s="3">
        <f>3368.5+(6-1830.6)+(0+(0-0))+0--82.3-0</f>
        <v>1626.2</v>
      </c>
      <c r="W346" s="3">
        <f>3435.5+(6-2012.4)+(-3.50421+(-0.00612--2.052648))+0--83.3-0.0849660000000133</f>
        <v>1510.8573519999998</v>
      </c>
      <c r="X346" s="3">
        <f>3462.1+(6-1840.2)+(3.531342+(0.00612-1.877004))+0--83.2--0.0848640000000133</f>
        <v>1712.8453219999999</v>
      </c>
      <c r="Y346" s="3">
        <f>3498+(6-1862.8)+(-5.35194+(-0.00918--2.850084))+0--84.1-0.128673000000005</f>
        <v>1722.6602909999999</v>
      </c>
      <c r="Z346" s="3">
        <f>3490.4+(6-1891.4)+(-7.120416+(-0.01224--3.858456))+0--84.1-0.171563999999996</f>
        <v>1685.6542359999999</v>
      </c>
      <c r="AA346" s="3">
        <f>3259.4+(6-1619.4)+(-1.662294+(-0.00306--0.825894))+0--84.1-0.0428909999999915</f>
        <v>1729.2176489999999</v>
      </c>
      <c r="AB346" s="3">
        <f>3207.2+(6-1709.4)+(-3.271344+(-0.00612--1.743588))+0--85.1-0.0868020000000136</f>
        <v>1587.2793219999996</v>
      </c>
      <c r="AC346" s="3">
        <f>3121.2+(12-1779.2)+(-1.591812+(-0.00612--0.907392))+0--85.1-0.0434009999999914</f>
        <v>1438.3660589999997</v>
      </c>
      <c r="AD346" s="2">
        <v>1863.2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3210.8+(5-1816.6)+(-3.275016+(-0.0051--1.852932))+0--86-0.0877200000000137</f>
        <v>1483.6850960000004</v>
      </c>
      <c r="G347" s="3">
        <f>3159.9+(5-1843.4)+(-1.611549+(-0.00255--0.940134))+0--86.1-0.0439109999999913</f>
        <v>1406.882124</v>
      </c>
      <c r="H347" s="3">
        <f>2810.8+(5-1550.7)+(-2.867016+(-0.0051--1.581714))+0--86.1-0.0878220000000137</f>
        <v>1349.821776</v>
      </c>
      <c r="I347" s="3">
        <f>2788.6+(5-1563.7)+(1.422186+(0.00255-0.797487))+0--87.2--0.0444719999999912</f>
        <v>1317.7717209999998</v>
      </c>
      <c r="J347" s="3">
        <f>2785+(5-1555.9)+(-5.6814+(-0.0102--3.174036))+0--89.2-0.181967999999996</f>
        <v>1320.6004679999999</v>
      </c>
      <c r="K347" s="3">
        <f>2713.8+(5-1458.5)+(1.384038+(0.00255-0.743835))+0--90.2--0.0460019999999908</f>
        <v>1351.1887550000004</v>
      </c>
      <c r="L347" s="3">
        <f>2814.7+(5-1571.7)+(-8.612982+(-0.0153--4.809402))+0--88.3-0.27019800000001</f>
        <v>1332.2109219999998</v>
      </c>
      <c r="M347" s="3">
        <f>2777.4+(5-1500.6)+(-4.249422+(-0.00765--2.295918))+0--89.4-0.136782000000005</f>
        <v>1369.1020640000002</v>
      </c>
      <c r="N347" s="3">
        <f>3096.9+(5-1707)+(-1.579419+(-0.00255--0.87057))+0--87.3-0.0445229999999911</f>
        <v>1481.444078</v>
      </c>
      <c r="O347" s="3">
        <f>3316.4+(5-1829.3)+(-1.691364+(-0.00255--0.932943))+0--87.3-0.0445229999999911</f>
        <v>1578.5945060000001</v>
      </c>
      <c r="P347" s="3">
        <f>3261.2+(5-1723.8)+(-1.663212+(-0.00255--0.879138))+0--90.4-0.0461039999999908</f>
        <v>1631.9672719999999</v>
      </c>
      <c r="Q347" s="3">
        <f>3266.2+(5-1674.2)+(0+(0-0))+0--92.3-0</f>
        <v>1689.2999999999997</v>
      </c>
      <c r="R347" s="3">
        <f>3260.9+(6-1730.3)+(-4.989177+(-0.00918--2.647359))+0--80.1-0.122553000000005</f>
        <v>1614.2264490000002</v>
      </c>
      <c r="S347" s="3">
        <f>3237.4+(6-1735.4)+(3.302148+(0.00612-1.770108))+0--80--0.0816000000000128</f>
        <v>1589.61976</v>
      </c>
      <c r="T347" s="3">
        <f>3222.3+(6-1715.6)+(0+(0-0))+0--81.1-0</f>
        <v>1593.8000000000002</v>
      </c>
      <c r="U347" s="3">
        <f>3225.4+(6-1730.5)+(-4.934862+(-0.00918--2.647665))+0--81.5-0.124695000000005</f>
        <v>1579.9789280000002</v>
      </c>
      <c r="V347" s="3">
        <f>3247.8+(6-1740.4)+(3.312756+(0.00612-1.775208))+0--82--0.0836400000000131</f>
        <v>1597.0273080000002</v>
      </c>
      <c r="W347" s="3">
        <f>3272.7+(6-1736.8)+(1.669077+(0.00306-0.885768))+0--82.9--0.0422789999999916</f>
        <v>1625.6286479999999</v>
      </c>
      <c r="X347" s="3">
        <f>3319.7+(6-1578.6)+(0+(0-0))+0--83-0</f>
        <v>1830.1</v>
      </c>
      <c r="Y347" s="3">
        <f>3331.2+(6-1565.1)+(-1.698912+(-0.00306--0.798201))+0--84.4-0.0430439999999914</f>
        <v>1855.553185</v>
      </c>
      <c r="Z347" s="3">
        <f>3338.9+(6-1616.5)+(-1.702839+(-0.00306--0.824415))+0--84.6-0.0431459999999914</f>
        <v>1812.07537</v>
      </c>
      <c r="AA347" s="3">
        <f>3345+(6-1663.4)+(-1.70595+(-0.00306--0.848334))+0--84.8-0.0432479999999914</f>
        <v>1771.4960759999999</v>
      </c>
      <c r="AB347" s="3">
        <f>3352.6+(6-1762.4)+(-3.419652+(-0.00612--1.797648))+0--84.6-0.0862920000000135</f>
        <v>1679.0855839999997</v>
      </c>
      <c r="AC347" s="3">
        <f>3308.3+(11-1807.3)+(1.687233+(0.00561-0.921723))+0--84.7--0.0431969999999914</f>
        <v>1597.5143170000003</v>
      </c>
      <c r="AD347" s="2">
        <v>1869.5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3252.6+(8.9-1892.4)+(-8.29413+(-0.022695--4.82562))+0--85.1-0.217004999999988</f>
        <v>1450.4917899999998</v>
      </c>
      <c r="G348" s="3">
        <f>2891.3+(8.8-1589.8)+(2.949126+(0.008976-1.621596))+0--84.2--0.0858840000000134</f>
        <v>1395.9223900000004</v>
      </c>
      <c r="H348" s="3">
        <f>2727.1+(8.9-1474.7)+(-5.563284+(-0.018156--3.008388))+0--85.1-0.173603999999996</f>
        <v>1343.6533439999998</v>
      </c>
      <c r="I348" s="3">
        <f>2592.3+(8.9-1360)+(-2.644146+(-0.009078--1.3872))+0--87.1-0.0888420000000139</f>
        <v>1326.9451340000001</v>
      </c>
      <c r="J348" s="3">
        <f>2603.7+(9.8-1380.1)+(1.327887+(0.004998-0.703851))+0--88.2--0.0449819999999911</f>
        <v>1322.2740159999998</v>
      </c>
      <c r="K348" s="3">
        <f>2758.6+(9.8-1491.6)+(0+(0-0))+0--87.2-0</f>
        <v>1364</v>
      </c>
      <c r="L348" s="3">
        <f>2752.4+(10.8-1409.6)+(-1.403724+(-0.005508--0.718896))+0--87.2-0.0444719999999912</f>
        <v>1440.0651920000003</v>
      </c>
      <c r="M348" s="3">
        <f>3054.3+(11.8-1626.2)+(3.115386+(0.012036-1.658724))+0--87.3--0.0890460000000139</f>
        <v>1528.757744</v>
      </c>
      <c r="N348" s="3">
        <f>3462.2+(12.8-1884.5)+(0+(0-0))+0--85.3-0</f>
        <v>1675.7999999999997</v>
      </c>
      <c r="O348" s="3">
        <f>3456.8+(12.8-1796)+(5.288904+(0.019584-2.74788))+0--83--0.126990000000005</f>
        <v>1759.2875980000001</v>
      </c>
      <c r="P348" s="3">
        <f>3408.9+(12.8-1703)+(1.738539+(0.006528-0.86853))+0--81--0.0413099999999918</f>
        <v>1800.6178470000002</v>
      </c>
      <c r="Q348" s="3">
        <f>3438.2+(5.8-1722.1)+(0+(0-0))+0--78.1-0</f>
        <v>1799.9999999999998</v>
      </c>
      <c r="R348" s="3">
        <f>3364.6+(0-1703.1)+(-1.715946+(0--0.868581))+0--76.9-0.0392189999999922</f>
        <v>1737.513416</v>
      </c>
      <c r="S348" s="3">
        <f>3348.6+(0-1699.9)+(-3.415572+(0--1.733898))+24.5--78-0.0795600000000124</f>
        <v>1749.438766</v>
      </c>
      <c r="T348" s="3">
        <f>3292.3+(0-1635.5)+(-3.358146+(0--1.66821))+20.4--78.3-0.0798660000000125</f>
        <v>1753.7301980000002</v>
      </c>
      <c r="U348" s="3">
        <f>3323+(0-1657.1)+(-1.69473+(0--0.845121))+0--79.5-0.0405449999999919</f>
        <v>1744.5098459999999</v>
      </c>
      <c r="V348" s="3">
        <f>3417.9+(0-1753)+(-1.743129+(0--0.89403))+0--79.3-0.040442999999992</f>
        <v>1743.3104579999999</v>
      </c>
      <c r="W348" s="3">
        <f>3396.7+(0-1737.9)+(-1.732317+(0--0.886329))+0--79.1-0.040340999999992</f>
        <v>1737.0136709999997</v>
      </c>
      <c r="X348" s="3">
        <f>3412.5+(0-1507.8)+(3.48075+(0-1.537956))+0--82.1--0.0837420000000131</f>
        <v>1988.826536</v>
      </c>
      <c r="Y348" s="3">
        <f>3367.8+(0-1508.4)+(-8.58789+(0--3.84642))+0--82.1-0.209354999999988</f>
        <v>1936.5491750000001</v>
      </c>
      <c r="Z348" s="3">
        <f>3293.6+(0-1492.5)+(-3.359472+(0--1.52235))+0--83-0.0846600000000132</f>
        <v>1882.178218</v>
      </c>
      <c r="AA348" s="3">
        <f>3151.9+(0-1390)+(-8.037345+(0--3.5445))+0--83.9-0.213944999999988</f>
        <v>1841.0932100000002</v>
      </c>
      <c r="AB348" s="3">
        <f>2988.1+(0-1253.5)+(-7.619655+(0--3.196425))+0--84-0.214199999999988</f>
        <v>1813.9625699999999</v>
      </c>
      <c r="AC348" s="3">
        <f>2819.8+(5-1224)+(-1.438098+(-0.00255--0.62424))+0--84-0.0428399999999915</f>
        <v>1683.9407520000002</v>
      </c>
      <c r="AD348" s="2">
        <v>1959.5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2902.8+(9.9-1478.6)+(-5.921712+(-0.020196--3.016344))+0--85.1-0.173603999999996</f>
        <v>1516.1008320000003</v>
      </c>
      <c r="G349" s="3">
        <f>2551.6+(9.8-1196.4)+(-2.602632+(-0.009996--1.220328))+0--86.2-0.0879240000000137</f>
        <v>1449.7197759999999</v>
      </c>
      <c r="H349" s="3">
        <f>2288.7+(9.9-998)+(-3.501711+(-0.015147--1.52694))+0--86.1-0.131733000000005</f>
        <v>1384.5783489999999</v>
      </c>
      <c r="I349" s="3">
        <f>2282+(10.9-1011.1)+(-4.65528+(-0.022236--2.062644))+0--85.1-0.173603999999996</f>
        <v>1364.1115239999997</v>
      </c>
      <c r="J349" s="3">
        <f>2282.6+(10.9-1016.4)+(1.164126+(0.005559-0.518364))+0--85.1--0.0434009999999914</f>
        <v>1362.8947219999998</v>
      </c>
      <c r="K349" s="3">
        <f>2284.2+(10.9-984.4)+(3.494826+(0.016677-1.506132))+0--84.1--0.128673000000005</f>
        <v>1396.9340439999996</v>
      </c>
      <c r="L349" s="3">
        <f>2335.4+(12.9-1001.3)+(3.573162+(0.019737-1.531989))+0--84.1--0.128673000000005</f>
        <v>1433.2895829999998</v>
      </c>
      <c r="M349" s="3">
        <f>2841.3+(11.9-1398.9)+(2.898126+(0.012138-1.426878))+0--85.3--0.0870060000000136</f>
        <v>1541.1703920000002</v>
      </c>
      <c r="N349" s="3">
        <f>3090+(11.9-1434.6)+(0+(0-0))+0--83.3-0</f>
        <v>1750.6000000000001</v>
      </c>
      <c r="O349" s="3">
        <f>3203.6+(12.9-1593.1)+(-4.901508+(-0.019737--2.437443))+0--81.4-0.124542000000005</f>
        <v>1702.1916560000002</v>
      </c>
      <c r="P349" s="3">
        <f>3086.9+(12.9-1414.9)+(0+(0-0))+0--78.4-0</f>
        <v>1763.3000000000002</v>
      </c>
      <c r="Q349" s="3">
        <f>3112.2+(5.9-1462.8)+(-7.93611+(-0.015045--3.73014))+0--131.2-0.334559999999981</f>
        <v>1781.9444249999999</v>
      </c>
      <c r="R349" s="3">
        <f>3065.2+(5.9-1487)+(-3.126504+(-0.006018--1.51674))+0--145.1-0.148002000000023</f>
        <v>1727.4362159999996</v>
      </c>
      <c r="S349" s="3">
        <f>2986.9+(5.8-1411.8)+(3.046638+(0.005916-1.440036))+0--147.2--0.150144000000023</f>
        <v>1729.862662</v>
      </c>
      <c r="T349" s="3">
        <f>3009.5+(6-1477.9)+(-6.13938+(-0.01224--3.014916))+0--147-0.299879999999994</f>
        <v>1681.1634159999999</v>
      </c>
      <c r="U349" s="3">
        <f>3091+(6-1544.5)+(0+(0-0))+0--147-0</f>
        <v>1699.5</v>
      </c>
      <c r="V349" s="3">
        <f>3169.9+(6.1-1623)+(-1.616649+(-0.003111--0.82773))+0--148.9-0.0759389999999849</f>
        <v>1701.032031</v>
      </c>
      <c r="W349" s="3">
        <f>3176.5+(6-1612.8)+(0+(0-0))+0--151-0</f>
        <v>1720.7</v>
      </c>
      <c r="X349" s="3">
        <f>3290.8+(6-1537.9)+(0+(0-0))+0--151-0</f>
        <v>1909.9</v>
      </c>
      <c r="Y349" s="3">
        <f>3407.9+(6-1601.8)+(-1.738029+(-0.00306--0.816918))+0--112-0.0571199999999886</f>
        <v>1923.1187090000003</v>
      </c>
      <c r="Z349" s="3">
        <f>3420.3+(6.1-1643)+(-8.721765+(-0.015555--4.18965))+0--82.9-0.211394999999988</f>
        <v>1861.5409350000002</v>
      </c>
      <c r="AA349" s="3">
        <f>3514.3+(6.1-1704.7)+(0+(0-0))+0--82.9-0</f>
        <v>1898.6000000000001</v>
      </c>
      <c r="AB349" s="3">
        <f>3539.8+(6.1-1847.1)+(-9.02649+(-0.015555--4.710105))+0--82.9-0.211394999999988</f>
        <v>1777.1566650000002</v>
      </c>
      <c r="AC349" s="3">
        <f>3515.6+(11.1-1958.6)+(-8.96478+(-0.028305--4.99443))+0--83.9-0.213944999999988</f>
        <v>1647.7873999999999</v>
      </c>
      <c r="AD349" s="2">
        <v>1958.7000000000003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3293.2+(9.9-1864)+(-3.359064+(-0.010098--1.90128))+0--84.1-0.0857820000000134</f>
        <v>1521.6463359999998</v>
      </c>
      <c r="G350" s="3">
        <f>2677.3+(9.9-1336.4)+(1.365423+(0.005049-0.681564))+0--84.1--0.0428909999999915</f>
        <v>1435.6317990000002</v>
      </c>
      <c r="H350" s="3">
        <f>2504+(9.9-1214.1)+(0+(0-0))+0--84.1-0</f>
        <v>1383.9</v>
      </c>
      <c r="I350" s="3">
        <f>2441+(10.9-1172.2)+(-3.73473+(-0.016677--1.793466))+0--84.1-0.128673000000005</f>
        <v>1361.7133860000001</v>
      </c>
      <c r="J350" s="3">
        <f>2501.3+(10.9-1244.3)+(2.551326+(0.011118-1.269186))+0--84.1--0.0857820000000134</f>
        <v>1353.3790400000003</v>
      </c>
      <c r="K350" s="3">
        <f>2730.4+(11.9-1425.9)+(-2.785008+(-0.012138--1.454418))+0--84.1-0.0857820000000134</f>
        <v>1399.0714899999998</v>
      </c>
      <c r="L350" s="3">
        <f>2778.5+(11.9-1412.6)+(-2.83407+(-0.012138--1.440852))+0--85.1-0.0868020000000136</f>
        <v>1461.4078420000001</v>
      </c>
      <c r="M350" s="3">
        <f>2871.8+(11.9-1389)+(2.929236+(0.012138-1.41678))+0--83.3--0.0849660000000133</f>
        <v>1579.6095600000003</v>
      </c>
      <c r="N350" s="3">
        <f>3039+(11.9-1435.3)+(0+(0-0))+0--82.1-0</f>
        <v>1697.7</v>
      </c>
      <c r="O350" s="3">
        <f>3257.1+(11.9-1564.9)+(0+(0-0))+0--81.2-0</f>
        <v>1785.3</v>
      </c>
      <c r="P350" s="3">
        <f>3177.5+(11.9-1450.5)+(1.620525+(0.006069-0.739755))+0--79.1--0.040340999999992</f>
        <v>1818.9271799999999</v>
      </c>
      <c r="Q350" s="3">
        <f>3114.2+(11.9-1323.6)+(4.764726+(0.018207-2.025108))+0--77.3--0.118269000000004</f>
        <v>1882.6760939999999</v>
      </c>
      <c r="R350" s="3">
        <f>3087.7+(6.1-1386.4)+(-6.298908+(-0.012444--2.828256))+0--76.2-0.155447999999997</f>
        <v>1779.9614559999998</v>
      </c>
      <c r="S350" s="3">
        <f>3182.2+(6.1-1482.9)+(-3.245844+(-0.006222--1.512558))+0--77-0.0785400000000123</f>
        <v>1780.5819519999998</v>
      </c>
      <c r="T350" s="3">
        <f>3175.2+(6.2-1526.7)+(0+(0-0))+0--77.6-0</f>
        <v>1732.2999999999997</v>
      </c>
      <c r="U350" s="3">
        <f>3296.9+(6.1-1587.3)+(1.681419+(0.003111-0.809523))+0--78--0.0397799999999921</f>
        <v>1794.6147870000002</v>
      </c>
      <c r="V350" s="3">
        <f>3277.2+(6.4-1582.2)+(-1.671372+(-0.003264--0.806922))+0--78.1-0.0398309999999921</f>
        <v>1778.5924549999997</v>
      </c>
      <c r="W350" s="3">
        <f>3294.6+(6.3-1608.6)+(-1.680246+(-0.003213--0.820386))+0--80-0.0407999999999919</f>
        <v>1771.396127</v>
      </c>
      <c r="X350" s="3">
        <f>3478.6+(6.2-1575.4)+(-3.548172+(-0.006324--1.606908))+0--80.1-0.0817020000000128</f>
        <v>1987.4707099999998</v>
      </c>
      <c r="Y350" s="3">
        <f>3365.2+(6.3-1447.7)+(-5.148756+(-0.009639--2.214981))+0--80-0.122400000000005</f>
        <v>2000.7341859999997</v>
      </c>
      <c r="Z350" s="3">
        <f>3169.8+(6.2-1332.6)+(0+(0-0))+0--80.4-0</f>
        <v>1923.8000000000004</v>
      </c>
      <c r="AA350" s="3">
        <f>3180.6+(6.2-1387.7)+(0+(0-0))+0--81-0</f>
        <v>1880.1</v>
      </c>
      <c r="AB350" s="3">
        <f>3175.1+(6.2-1460.8)+(-8.096505+(-0.01581--3.72504))+0--80.9-0.206294999999988</f>
        <v>1796.8064300000001</v>
      </c>
      <c r="AC350" s="3">
        <f>3131+(11.1-1549.3)+(-12.77448+(-0.045288--6.321144))+0--81.9-0.334151999999993</f>
        <v>1667.8672240000001</v>
      </c>
      <c r="AD350" s="2">
        <v>2016.8000000000002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3140.4+(10-1677.9)+(-6.406416+(-0.0204--3.422916))+0--82.2-0.167687999999996</f>
        <v>1551.5284120000001</v>
      </c>
      <c r="G351" s="3">
        <f>3100+(10-1712.6)+(-4.743+(-0.0153--2.620278))+0--82.1-0.125613000000005</f>
        <v>1477.236365</v>
      </c>
      <c r="H351" s="3">
        <f>3129.1+(10-1775)+(-6.383364+(-0.0204--3.621))+0--82.9-0.169115999999996</f>
        <v>1444.0481199999999</v>
      </c>
      <c r="I351" s="3">
        <f>2868.9+(11-1537.2)+(-2.926278+(-0.01122--1.567944))+0--83.4-0.0850680000000133</f>
        <v>1424.6453779999999</v>
      </c>
      <c r="J351" s="3">
        <f>2669.3+(11-1365.7)+(5.445372+(0.02244-2.786028))+0--84.1--0.171563999999996</f>
        <v>1401.5533480000001</v>
      </c>
      <c r="K351" s="3">
        <f>3198.9+(11-1840.3)+(0+(0-0))+0--84-0</f>
        <v>1453.6000000000001</v>
      </c>
      <c r="L351" s="3">
        <f>3676.9+(11-2227.3)+(5.625657+(0.01683-3.407769))+0--83.8--0.128214000000005</f>
        <v>1546.7629319999999</v>
      </c>
      <c r="M351" s="3">
        <f>3882.8+(11-2290.2)+(1.980228+(0.00561-1.168002))+0--83.9--0.0427889999999915</f>
        <v>1688.3606250000005</v>
      </c>
      <c r="N351" s="3">
        <f>3965.8+(12-2251.1)+(2.022558+(0.00612-1.148061))+0--80.7--0.0411569999999918</f>
        <v>1808.3217740000002</v>
      </c>
      <c r="O351" s="3">
        <f>4164.1+(12-2355.6)+(4.247382+(0.01224-2.402712))+0--76.8--0.0783360000000122</f>
        <v>1899.2352460000004</v>
      </c>
      <c r="P351" s="3">
        <f>4157.5+(12-2309.4)+(0+(0-0))+0--75.1-0</f>
        <v>1935.1999999999998</v>
      </c>
      <c r="Q351" s="3">
        <f>4171.3+(6-2300.9)+(-6.382089+(-0.00918--3.520377))+0--73-0.111690000000004</f>
        <v>1946.4174180000002</v>
      </c>
      <c r="R351" s="3">
        <f>4153.5+(0-2371)+(-12.70971+(0--7.25526))+0--72.3-0.221238000000008</f>
        <v>1849.1243119999999</v>
      </c>
      <c r="S351" s="3">
        <f>4154.5+(0-2366.8)+(4.23759+(0-2.414136))+0--72.8--0.0742560000000116</f>
        <v>1862.39771</v>
      </c>
      <c r="T351" s="3">
        <f>4187.1+(0-2415.6)+(0+(0-0))+0--73.7-0</f>
        <v>1845.2000000000005</v>
      </c>
      <c r="U351" s="3">
        <f>4317.2+(0-2540.8)+(-2.201772+(0--1.295808))+0--73.9-0.0376889999999925</f>
        <v>1849.3563469999997</v>
      </c>
      <c r="V351" s="3">
        <f>4340.8+(0-2575.4)+(-2.213808+(0--1.313454))+0--73.8-0.0376379999999925</f>
        <v>1838.2620079999999</v>
      </c>
      <c r="W351" s="3">
        <f>4361.7+(0-2597.9)+(-2.224467+(0--1.324929))+0--76.7-0.0391169999999922</f>
        <v>1839.5613449999998</v>
      </c>
      <c r="X351" s="3">
        <f>4393.7+(0-2442)+(-2.240787+(0--1.24542))+0--76.9-0.0392189999999922</f>
        <v>2027.5654139999999</v>
      </c>
      <c r="Y351" s="3">
        <f>4463.7+(0-2498)+(-2.276487+(0--1.27398))+0--77.1-0.0393209999999922</f>
        <v>2041.7581719999998</v>
      </c>
      <c r="Z351" s="3">
        <f>4465.4+(0-2557.8)+(-6.832062+(0--3.913434))+0--77.8-0.119034000000004</f>
        <v>1982.3623379999995</v>
      </c>
      <c r="AA351" s="3">
        <f>4482.5+(0-2605.7)+(-9.1443+(0--5.315628))+0--78.4-0.159935999999997</f>
        <v>1951.2113920000002</v>
      </c>
      <c r="AB351" s="3">
        <f>4333.8+(0-2548.5)+(-11.05119+(0--6.498675))+0--78.7-0.200684999999989</f>
        <v>1859.2468000000001</v>
      </c>
      <c r="AC351" s="3">
        <f>3862.7+(4-2205.7)+(-5.909931+(-0.00612--3.374721))+0--79.2-0.121176000000005</f>
        <v>1737.5374939999999</v>
      </c>
      <c r="AD351" s="2">
        <v>2106.6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3640.7+(10-2114.2)+(-3.713514+(-0.0102--2.156484))+0--79.5-0.0810900000000127</f>
        <v>1614.35168</v>
      </c>
      <c r="G352" s="3">
        <f>3622.5+(10-2180.4)+(-7.3899+(-0.0204--4.448016))+0--78.8-0.160751999999997</f>
        <v>1527.7769639999999</v>
      </c>
      <c r="H352" s="3">
        <f>3637.8+(10-2251.1)+(5.565834+(0.0153-3.444183))+0--80.2--0.122706000000005</f>
        <v>1479.1596570000004</v>
      </c>
      <c r="I352" s="3">
        <f>3653.2+(10-2279.2)+(1.863132+(0.0051-1.162392))+0--79.7--0.0406469999999919</f>
        <v>1464.4464870000002</v>
      </c>
      <c r="J352" s="3">
        <f>3643+(10-2272.9)+(7.43172+(0.0204-4.636716))+0--80.7--0.164627999999996</f>
        <v>1463.7800319999999</v>
      </c>
      <c r="K352" s="3">
        <f>3662.1+(10-2249.4)+(-9.338355+(-0.0255--5.73597))+0--79.6-0.202979999999988</f>
        <v>1498.4691349999996</v>
      </c>
      <c r="L352" s="3">
        <f>3689.5+(10-2231)+(0+(0-0))+0--79.2-0</f>
        <v>1547.7</v>
      </c>
      <c r="M352" s="3">
        <f>4051.3+(10-2481.1)+(0+(0-0))+0--78.3-0</f>
        <v>1658.5000000000002</v>
      </c>
      <c r="N352" s="3">
        <f>4266.8+(10-2555.3)+(6.528204+(0.0153-3.909609))+0--76.5--0.117045000000004</f>
        <v>1800.7509399999999</v>
      </c>
      <c r="O352" s="3">
        <f>4398.1+(10-2599.9)+(6.729093+(0.0153-3.977847))+0--74.9--0.114597000000004</f>
        <v>1885.9811430000004</v>
      </c>
      <c r="P352" s="3">
        <f>4408.4+(10-2571.8)+(2.248284+(0.0051-1.311618))+0--73.3--0.0373829999999926</f>
        <v>1920.8791489999994</v>
      </c>
      <c r="Q352" s="3">
        <f>4437.9+(10-2564.5)+(-6.789987+(-0.0153--3.923685))+0--72.8-0.111384000000004</f>
        <v>1953.2070139999996</v>
      </c>
      <c r="R352" s="3">
        <f>4419.6+(6-2635.6)+(-6.761988+(-0.00918--4.032468))+0--72.3-0.110619000000004</f>
        <v>1859.4506810000003</v>
      </c>
      <c r="S352" s="3">
        <f>4413.7+(6-2629.8)+(-6.752961+(-0.00918--4.023594))+0--72.1-0.110313000000004</f>
        <v>1859.1511399999997</v>
      </c>
      <c r="T352" s="3">
        <f>4441.2+(6-2699.5)+(-2.265012+(-0.00306--1.376745))+0--72.3-0.0368729999999927</f>
        <v>1819.0717999999997</v>
      </c>
      <c r="U352" s="3">
        <f>4422.6+(6-2688.7)+(-4.511052+(-0.00612--2.742474))+0--73.6-0.0750720000000117</f>
        <v>1811.6502300000004</v>
      </c>
      <c r="V352" s="3">
        <f>4412.8+(6-2666)+(0+(0-0))+0--74.8-0</f>
        <v>1827.6000000000001</v>
      </c>
      <c r="W352" s="3">
        <f>4305.4+(6-2510.2)+(0+(0-0))+0--73.8-0</f>
        <v>1874.9999999999998</v>
      </c>
      <c r="X352" s="3">
        <f>4391.1+(6-2477.2)+(-4.478922+(-0.00612--2.526744))+0--74-0.0754800000000118</f>
        <v>1991.8662220000006</v>
      </c>
      <c r="Y352" s="3">
        <f>4467.5+(6-2544.2)+(-15.948975+(-0.02142--9.082794))+0--74.1-0.264537000000001</f>
        <v>1996.2478620000002</v>
      </c>
      <c r="Z352" s="3">
        <f>4141.6+(6-2275.7)+(0+(0-0))+0--72-0</f>
        <v>1943.9000000000005</v>
      </c>
      <c r="AA352" s="3">
        <f>3712.8+(6-1911.9)+(-11.361168+(-0.01836--5.850414))+0--73.4-0.224604000000008</f>
        <v>1874.5462820000002</v>
      </c>
      <c r="AB352" s="3">
        <f>3669.3+(6-1946.4)+(-14.970744+(-0.02448--7.941312))+0--73.3-0.299063999999994</f>
        <v>1794.8470239999999</v>
      </c>
      <c r="AC352" s="3">
        <f>3547+(10-1944.7)+(-7.23588+(-0.0204--3.967188))+0--73.7-0.150347999999997</f>
        <v>1682.5605600000001</v>
      </c>
      <c r="AD352" s="2">
        <v>2034.6999999999998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3583.1+(3-2099.6)+(-1.827381+(-0.00153--1.070796))+0--74.6-0.0380459999999924</f>
        <v>1560.3038389999999</v>
      </c>
      <c r="G353" s="3">
        <f>3589.7+(3-2182.1)+(-3.661494+(-0.00306--2.225742))+0--75.7-0.0772140000000121</f>
        <v>1484.7839739999999</v>
      </c>
      <c r="H353" s="3">
        <f>3373.2+(3-2010.5)+(1.720332+(0.00153-1.025355))+0--76.8--0.0391679999999922</f>
        <v>1443.2356749999999</v>
      </c>
      <c r="I353" s="3">
        <f>3261.2+(3-1926)+(1.663212+(0.00153-0.98226))+0--76.1--0.0388109999999923</f>
        <v>1415.0212929999996</v>
      </c>
      <c r="J353" s="3">
        <f>3227.9+(3-1895.3)+(4.938687+(0.00459-2.899809))+0--77.2--0.118116000000004</f>
        <v>1414.9615840000004</v>
      </c>
      <c r="K353" s="3">
        <f>3331.3+(3-1989.5)+(-5.096889+(-0.00459--3.043935))+0--77.6-0.118728000000004</f>
        <v>1420.2237280000002</v>
      </c>
      <c r="L353" s="3">
        <f>3365.5+(4-2011.1)+(-1.716405+(-0.00204--1.025661))+0--79-0.040289999999992</f>
        <v>1436.6669260000001</v>
      </c>
      <c r="M353" s="3">
        <f>3610.8+(4-2156.7)+(3.683016+(0.00408-2.199834))+0--79.6--0.0811920000000127</f>
        <v>1539.2684540000005</v>
      </c>
      <c r="N353" s="3">
        <f>3783.8+(4-2180)+(1.929738+(0.00204-1.1118))+0--77.7--0.0396269999999921</f>
        <v>1686.3596050000001</v>
      </c>
      <c r="O353" s="3">
        <f>3966.6+(5-2267)+(0+(0-0))+0--77.2-0</f>
        <v>1781.8</v>
      </c>
      <c r="P353" s="3">
        <f>4016.1+(4-2287.1)+(0+(0-0))+0--78.2-0</f>
        <v>1811.2</v>
      </c>
      <c r="Q353" s="3">
        <f>4091.7+(0-2332.6)+(-2.086767+(0--1.189626))+0--79.4-0.0404939999999919</f>
        <v>1837.562365</v>
      </c>
      <c r="R353" s="3">
        <f>4014+(5.8-2329.4)+(-8.18856+(-0.011832--4.751976))+0--78.7-0.160547999999997</f>
        <v>1765.4910360000001</v>
      </c>
      <c r="S353" s="3">
        <f>3776.5+(5.9-2130.8)+(-1.926015+(-0.003009--1.086708))+0--78.3-0.0399329999999921</f>
        <v>1729.0177509999999</v>
      </c>
      <c r="T353" s="3">
        <f>3770.6+(5.9-2131.2)+(1.923006+(0.003009-1.086912))+0--77.8--0.0396779999999921</f>
        <v>1723.9787810000003</v>
      </c>
      <c r="U353" s="3">
        <f>3674.9+(5.9-2017.9)+(3.748398+(0.006018-2.058258))+0--77.9--0.0794580000000124</f>
        <v>1742.5756160000001</v>
      </c>
      <c r="V353" s="3">
        <f>3691.6+(5.9-2069.2)+(-5.648148+(-0.009027--3.165876))+0--78.4-0.119952000000005</f>
        <v>1704.0887490000002</v>
      </c>
      <c r="W353" s="3">
        <f>3857+(5.9-2237.3)+(7.86828+(0.012036-4.564092))+0--79.5--0.162179999999997</f>
        <v>1708.5784039999999</v>
      </c>
      <c r="X353" s="3">
        <f>4204.6+(5.9-2365.6)+(-4.288692+(-0.006018--2.412912))+0--79.2-0.0807840000000126</f>
        <v>1922.1374180000007</v>
      </c>
      <c r="Y353" s="3">
        <f>4194.6+(5.9-2347.5)+(-8.556984+(-0.012036--4.7889))+0--80.5-0.164219999999996</f>
        <v>1929.5556600000007</v>
      </c>
      <c r="Z353" s="3">
        <f>4183.3+(5.9-2380.4)+(-8.533932+(-0.012036--4.856016))+0--81-0.165239999999996</f>
        <v>1885.9448080000002</v>
      </c>
      <c r="AA353" s="3">
        <f>4042.5+(5.9-2291)+(6.185025+(0.009027-3.50523))+0--81.9--0.125307000000005</f>
        <v>1842.1141290000003</v>
      </c>
      <c r="AB353" s="3">
        <f>3955+(5.8-2272.6)+(-10.08525+(-0.01479--5.79513))+0--83.2-0.212159999999988</f>
        <v>1766.8829300000002</v>
      </c>
      <c r="AC353" s="3">
        <f>3895.1+(9.7-2326.1)+(0+(0-0))+0--83.9-0</f>
        <v>1662.6</v>
      </c>
      <c r="AD353" s="2">
        <v>2045.7999999999993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3724.9+(8.6-2261.4)+(-3.799398+(-0.008772--2.306628))+0--84.3-0.0859860000000134</f>
        <v>1554.8124719999998</v>
      </c>
      <c r="G354" s="3">
        <f>3746.9+(8.5-2358.2)+(0+(0-0))+0--84.4-0</f>
        <v>1481.6000000000004</v>
      </c>
      <c r="H354" s="3">
        <f>3478.7+(8.5-2116.9)+(0+(0-0))+0--84.6-0</f>
        <v>1454.8999999999996</v>
      </c>
      <c r="I354" s="3">
        <f>2956.7+(8.5-1671.9)+(-7.539585+(-0.021675--4.263345))+0--85-0.216749999999988</f>
        <v>1374.7853349999996</v>
      </c>
      <c r="J354" s="3">
        <f>2928.3+(8.5-1656.3)+(-1.493433+(-0.004335--0.844713))+0--85.6-0.0436559999999913</f>
        <v>1365.4032890000001</v>
      </c>
      <c r="K354" s="3">
        <f>2934.4+(8.4-1635.3)+(0+(0-0))+0--86-0</f>
        <v>1393.5000000000002</v>
      </c>
      <c r="L354" s="3">
        <f>2927.3+(8.4-1609.1)+(-2.985846+(-0.008568--1.641282))+0--87-0.0887400000000139</f>
        <v>1412.1581280000005</v>
      </c>
      <c r="M354" s="3">
        <f>2984.1+(9.4-1596)+(1.521891+(0.004794-0.81396))+0--86.8--0.0442679999999912</f>
        <v>1485.0569930000001</v>
      </c>
      <c r="N354" s="3">
        <f>3407.7+(9.4-1899.9)+(-5.213781+(-0.014382--2.906847))+0--85.2-0.130356000000005</f>
        <v>1599.9483279999999</v>
      </c>
      <c r="O354" s="3">
        <f>3687.2+(9.4-2098.1)+(5.641416+(0.014382-3.210093))+0--84.2--0.128826000000005</f>
        <v>1685.2745310000003</v>
      </c>
      <c r="P354" s="3">
        <f>3896.8+(9.4-2219.8)+(0+(0-0))+0--84.3-0</f>
        <v>1770.7</v>
      </c>
      <c r="Q354" s="3">
        <f>3544.3+(5.4-1867.9)+(3.615186+(0.005508-1.905258))+0--83.7--0.0853740000000134</f>
        <v>1767.3008100000002</v>
      </c>
      <c r="R354" s="3">
        <f>3579.3+(5.5-1963.7)+(-1.825443+(-0.002805--1.001487))+0--83-0.0423299999999916</f>
        <v>1703.2309090000001</v>
      </c>
      <c r="S354" s="3">
        <f>3781.6+(5.5-2187.9)+(-7.714464+(-0.01122--4.463316))+0--82.4-0.168095999999996</f>
        <v>1678.1695359999999</v>
      </c>
      <c r="T354" s="3">
        <f>3902.5+(5.5-2312.4)+(-3.98055+(-0.00561--2.358648))+0--82.3-0.0839460000000131</f>
        <v>1676.1885419999999</v>
      </c>
      <c r="U354" s="3">
        <f>3875.4+(5.4-2299)+(-1.976454+(-0.002754--1.17249))+0--82.3-0.0419729999999916</f>
        <v>1663.251309</v>
      </c>
      <c r="V354" s="3">
        <f>3885.3+(5.5-2294.1)+(-3.963006+(-0.00561--2.339982))+0--82.4-0.0840480000000131</f>
        <v>1677.3873180000005</v>
      </c>
      <c r="W354" s="3">
        <f>3983.3+(5.7-2369.8)+(-6.094449+(-0.008721--3.625794))+0--82.5-0.126225000000005</f>
        <v>1699.0963989999998</v>
      </c>
      <c r="X354" s="3">
        <f>4036.4+(11.8-2147.1)+(6.175692+(0.018054-3.285063))+0--81.9--0.125307000000005</f>
        <v>1986.0339900000006</v>
      </c>
      <c r="Y354" s="3">
        <f>4060.2+(11.8-2147.9)+(-4.141404+(-0.012036--2.190858))+0--82.3-0.0839460000000131</f>
        <v>2004.3534719999998</v>
      </c>
      <c r="Z354" s="3">
        <f>4049.1+(11.8-2176.5)+(-8.260164+(-0.024072--4.44006))+0--82.3-0.167891999999996</f>
        <v>1962.687932</v>
      </c>
      <c r="AA354" s="3">
        <f>3968.3+(10.8-2143.3)+(-8.095332+(-0.022032--4.372332))+0--82.6-0.168503999999996</f>
        <v>1914.4864640000001</v>
      </c>
      <c r="AB354" s="3">
        <f>3827.4+(9.7-2106.5)+(-11.711844+(-0.029682--6.44589))+0--83-0.25398000000001</f>
        <v>1808.0503839999999</v>
      </c>
      <c r="AC354" s="3">
        <f>3371.6+(9.7-1794.7)+(-6.878064+(-0.019788--3.661188))+0--83.3-0.169931999999996</f>
        <v>1666.4934039999998</v>
      </c>
      <c r="AD354" s="2">
        <v>1985.3999999999999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2930.9+(13-1479.7)+(-4.484277+(-0.01989--2.263941))+0--83.9-0.128367000000005</f>
        <v>1545.7314070000002</v>
      </c>
      <c r="G355" s="3">
        <f>2660.3+(13-1289.6)+(0+(0-0))+0--84.3-0</f>
        <v>1468.0000000000002</v>
      </c>
      <c r="H355" s="3">
        <f>2591.2+(13-1267.4)+(-3.964536+(-0.01989--1.939122))+0--84.4-0.129132000000005</f>
        <v>1419.0255639999998</v>
      </c>
      <c r="I355" s="3">
        <f>2484+(14-1178.2)+(1.26684+(0.00714-0.600882))+0--84.8--0.0432479999999914</f>
        <v>1405.3163459999998</v>
      </c>
      <c r="J355" s="3">
        <f>2459.6+(14-1157.5)+(6.27198+(0.0357-2.951625))+0--84.8--0.216239999999988</f>
        <v>1404.4722949999998</v>
      </c>
      <c r="K355" s="3">
        <f>2546.3+(14-1203.3)+(3.895839+(0.02142-1.841049))+0--84.6--0.129438000000005</f>
        <v>1443.805648</v>
      </c>
      <c r="L355" s="3">
        <f>2910.4+(14-1487.8)+(-1.484304+(-0.00714--0.758778))+0--85.4-0.0435539999999913</f>
        <v>1521.22378</v>
      </c>
      <c r="M355" s="3">
        <f>3105.4+(14-1576.6)+(3.167508+(0.01428-1.608132))+0--85.7--0.0874140000000137</f>
        <v>1630.1610700000003</v>
      </c>
      <c r="N355" s="3">
        <f>3345+(14-1675.5)+(1.70595+(0.00714-0.854505))+0--87.3--0.0445229999999911</f>
        <v>1771.7031079999999</v>
      </c>
      <c r="O355" s="3">
        <f>3231.3+(15-1481.5)+(4.943889+(0.02295-2.266695))+0--82.9--0.126837000000005</f>
        <v>1850.5269810000002</v>
      </c>
      <c r="P355" s="3">
        <f>3257.5+(15-1472.7)+(4.983975+(0.02295-2.253231))+0--81.5--0.124695000000005</f>
        <v>1884.1783889999999</v>
      </c>
      <c r="Q355" s="3">
        <f>3281.9+(10-1484.1)+(-8.368845+(-0.0255--3.784455))+0--81-0.206549999999988</f>
        <v>1883.9835600000004</v>
      </c>
      <c r="R355" s="3">
        <f>3118.7+(10-1388)+(0+(0-0))+0--81.1-0</f>
        <v>1821.7999999999997</v>
      </c>
      <c r="S355" s="3">
        <f>3026.4+(10-1291.8)+(0+(0-0))+0--79.9-0</f>
        <v>1824.5000000000002</v>
      </c>
      <c r="T355" s="3">
        <f>2921.7+(10-1197.1)+(0+(0-0))+0--79.4-0</f>
        <v>1814</v>
      </c>
      <c r="U355" s="3">
        <f>2923.7+(10-1214.9)+(2.982174+(0.0102-1.239198))+0--81.7--0.083334000000013</f>
        <v>1802.3365099999996</v>
      </c>
      <c r="V355" s="3">
        <f>2938.3+(10-1237.4)+(4.495599+(0.0153-1.893222))+0--83.4--0.127602000000005</f>
        <v>1797.0452790000002</v>
      </c>
      <c r="W355" s="3">
        <f>3061.3+(10-1356.6)+(3.122526+(0.0102-1.383732))+0--79.4--0.0809880000000127</f>
        <v>1795.9299820000003</v>
      </c>
      <c r="X355" s="3">
        <f>3291.3+(10-1372.4)+(3.357126+(0.0102-1.399848))+0--79.9--0.0814980000000127</f>
        <v>2010.8489760000002</v>
      </c>
      <c r="Y355" s="3">
        <f>3344.1+(10-1409.4)+(0+(0-0))+0--80.5-0</f>
        <v>2025.1999999999998</v>
      </c>
      <c r="Z355" s="3">
        <f>3358.5+(10-1489.2)+(0+(0-0))+0--80.9-0</f>
        <v>1960.2</v>
      </c>
      <c r="AA355" s="3">
        <f>3572+(10-1736.3)+(1.82172+(0.0051-0.885513))+0--81.5--0.0415649999999917</f>
        <v>1928.1828720000001</v>
      </c>
      <c r="AB355" s="3">
        <f>3450.2+(10-1703.9)+(-5.278806+(-0.0153--2.606967))+0--81.9-0.125307000000005</f>
        <v>1835.3875539999999</v>
      </c>
      <c r="AC355" s="3">
        <f>3127.6+(14-1504.5)+(4.785228+(0.02142-2.301885))+0--81.5--0.124695000000005</f>
        <v>1721.2294579999998</v>
      </c>
      <c r="AD355" s="2">
        <v>2044.4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2816.6+(10-1326.3)+(-5.745864+(-0.0204--2.705652))+0--81.6-0.166463999999996</f>
        <v>1578.672924</v>
      </c>
      <c r="G356" s="3">
        <f>2814.8+(9-1395.8)+(-5.742192+(-0.01836--2.847432))+0--82.6-0.168503999999996</f>
        <v>1507.5183760000002</v>
      </c>
      <c r="H356" s="3">
        <f>2758.5+(9-1367.1)+(-4.220505+(-0.01377--2.091663))+0--81.8-0.125154000000005</f>
        <v>1479.9322339999999</v>
      </c>
      <c r="I356" s="3">
        <f>2720.8+(10-1358.6)+(-2.775216+(-0.0102--1.385772))+0--82.1-0.0837420000000131</f>
        <v>1452.8166140000001</v>
      </c>
      <c r="J356" s="3">
        <f>2703+(10-1330)+(-1.37853+(-0.0051--0.6783))+0--82.6-0.0421259999999916</f>
        <v>1464.8525439999999</v>
      </c>
      <c r="K356" s="3">
        <f>2655.6+(10-1259.4)+(-2.708712+(-0.0102--1.284588))+0--82.6-0.0842520000000132</f>
        <v>1487.2814239999996</v>
      </c>
      <c r="L356" s="3">
        <f>2937.3+(10-1470.6)+(-2.996046+(-0.0102--1.500012))+0--82.9-0.0845580000000132</f>
        <v>1558.0092080000004</v>
      </c>
      <c r="M356" s="3">
        <f>3117.5+(10-1526.5)+(0+(0-0))+0--83.7-0</f>
        <v>1684.7</v>
      </c>
      <c r="N356" s="3">
        <f>3132.6+(10-1413.9)+(7.98813+(0.0255-3.605445))+0--82.6--0.210629999999988</f>
        <v>1815.9188149999998</v>
      </c>
      <c r="O356" s="3">
        <f>3089.3+(15.1-1278.3)+(0+(0-0))+0--79.7-0</f>
        <v>1905.8000000000002</v>
      </c>
      <c r="P356" s="3">
        <f>2742.8+(91.4-1006.2)+(0+(0-0))+0--77.7-0</f>
        <v>1905.7</v>
      </c>
      <c r="Q356" s="3">
        <f>2772.4+(90.6-984.4)+(-1.413924+(-0.046206--0.502044))+0--76.6-0.0390659999999922</f>
        <v>1954.2028479999999</v>
      </c>
      <c r="R356" s="3">
        <f>2784.1+(42.2-1063.7)+(-8.519346+(-0.129132--3.254922))+0--75.9-0.232254000000009</f>
        <v>1832.87419</v>
      </c>
      <c r="S356" s="3">
        <f>3101.3+(6-1360.1)+(-1.581663+(-0.00306--0.693651))+0--77-0.0392699999999922</f>
        <v>1823.2696580000004</v>
      </c>
      <c r="T356" s="3">
        <f>3345.3+(6-1646.2)+(-10.236618+(-0.01836--5.037372))+0--78.3-0.239598000000009</f>
        <v>1777.942796</v>
      </c>
      <c r="U356" s="3">
        <f>3496.3+(6-1812.9)+(1.783113+(0.00306-0.924579))+0--79.5--0.0405449999999919</f>
        <v>1769.8021390000001</v>
      </c>
      <c r="V356" s="3">
        <f>3529.7+(6-1838.6)+(3.600294+(0.00612-1.875372))+0--79.7--0.0812940000000127</f>
        <v>1778.6123359999999</v>
      </c>
      <c r="W356" s="3">
        <f>3565.6+(6-1829.1)+(3.636912+(0.00612-1.865682))+0--80.5--0.0821100000000128</f>
        <v>1824.8594600000001</v>
      </c>
      <c r="X356" s="3">
        <f>3701.4+(6-1830.5)+(0+(0-0))+0--79.4-0</f>
        <v>1956.3000000000002</v>
      </c>
      <c r="Y356" s="3">
        <f>3794.1+(6-1937.5)+(0+(0-0))+0--79.2-0</f>
        <v>1941.8</v>
      </c>
      <c r="Z356" s="3">
        <f>3755+(6-1968.9)+(-7.6602+(-0.01224--4.016556))+0--80-0.163199999999997</f>
        <v>1868.2809159999999</v>
      </c>
      <c r="AA356" s="3">
        <f>3681.2+(6-1938.5)+(-5.632236+(-0.00918--2.965905))+0--79.4-0.121482000000005</f>
        <v>1825.303007</v>
      </c>
      <c r="AB356" s="3">
        <f>3626.1+(6-1991.8)+(-3.698622+(-0.00612--2.031636))+0--79.9-0.0814980000000127</f>
        <v>1718.4453960000001</v>
      </c>
      <c r="AC356" s="3">
        <f>3597.4+(10-2071.4)+(-9.17337+(-0.0255--5.28207))+0--79.6-0.202979999999988</f>
        <v>1611.4802199999999</v>
      </c>
      <c r="AD356" s="2">
        <v>1970.4999999999998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3559.3+(8-2169)+(-3.630486+(-0.00816--2.21238))+0--77.6-0.0791520000000124</f>
        <v>1474.3945820000001</v>
      </c>
      <c r="G357" s="3">
        <f>3553.8+(8-2242.6)+(-3.624876+(-0.00816--2.287452))+0--80.2-0.0818040000000128</f>
        <v>1397.9726120000005</v>
      </c>
      <c r="H357" s="3">
        <f>3381.9+(8-2115.9)+(0+(0-0))+0--76.9-0</f>
        <v>1350.9</v>
      </c>
      <c r="I357" s="3">
        <f>3138+(8-1916.2)+(4.80114+(0.01224-2.931786))+0--79.6--0.121788000000005</f>
        <v>1311.4033819999997</v>
      </c>
      <c r="J357" s="3">
        <f>3145.9+(9-1934.7)+(-1.604409+(-0.00459--0.986697))+0--80.2-0.0409019999999919</f>
        <v>1299.7367960000001</v>
      </c>
      <c r="K357" s="3">
        <f>3350.1+(8-2098.8)+(1.708551+(0.00408-1.070388))+0--79.3--0.040442999999992</f>
        <v>1339.2826859999998</v>
      </c>
      <c r="L357" s="3">
        <f>3486.7+(9-2160.5)+(0+(0-0))+0--79.9-0</f>
        <v>1415.1</v>
      </c>
      <c r="M357" s="3">
        <f>3521.2+(9-2101.5)+(3.591624+(0.00918-2.14353))+0--81.5--0.083130000000013</f>
        <v>1511.7404039999999</v>
      </c>
      <c r="N357" s="3">
        <f>3745.9+(9-2210.7)+(1.910409+(0.00459-1.127457))+0--81.4--0.0415139999999917</f>
        <v>1626.4290560000004</v>
      </c>
      <c r="O357" s="3">
        <f>3868.3+(9-2231.4)+(3.945666+(0.00918-2.276028))+0--81.1--0.0827220000000129</f>
        <v>1728.7615400000002</v>
      </c>
      <c r="P357" s="3">
        <f>3867.1+(9-2196.9)+(-1.972221+(-0.00459--1.120419))+0--80.7-0.0411569999999918</f>
        <v>1759.0024510000001</v>
      </c>
      <c r="Q357" s="3">
        <f>3838.3+(5-2141.1)+(-9.787665+(-0.01275--5.459805))+0--80.8-0.206039999999988</f>
        <v>1778.4533500000002</v>
      </c>
      <c r="R357" s="3">
        <f>3651.5+(5-2029.1)+(-7.44906+(-0.0102--4.139364))+0--80-0.163199999999997</f>
        <v>1703.9169040000002</v>
      </c>
      <c r="S357" s="3">
        <f>3511+(6-1886.2)+(0+(0-0))+0--79.6-0</f>
        <v>1710.3999999999999</v>
      </c>
      <c r="T357" s="3">
        <f>3505.8+(6-1891.2)+(-1.787958+(-0.00306--0.964512))+0--79.8-0.0406979999999919</f>
        <v>1699.532796</v>
      </c>
      <c r="U357" s="3">
        <f>3507.6+(50-1851.7)+(0+(0-0))+0--80.5-0</f>
        <v>1786.3999999999999</v>
      </c>
      <c r="V357" s="3">
        <f>3511.6+(5-1907.4)+(-7.163664+(-0.0102--3.891096))+0--81.4-0.166055999999996</f>
        <v>1687.1511759999999</v>
      </c>
      <c r="W357" s="3">
        <f>3526+(5-1906.6)+(0+(0-0))+0--82-0</f>
        <v>1706.4</v>
      </c>
      <c r="X357" s="3">
        <f>3750.9+(5-1935)+(-1.912959+(-0.00255--0.98685))+0--81.9-0.0417689999999917</f>
        <v>1901.8295720000003</v>
      </c>
      <c r="Y357" s="3">
        <f>3933.8+(5-2070.3)+(-4.012476+(-0.0051--2.111706))+0--82-0.0836400000000131</f>
        <v>1948.5104899999999</v>
      </c>
      <c r="Z357" s="3">
        <f>3935.9+(6-2119.8)+(-4.014618+(-0.00612--2.162196))+0--82.5-0.0841500000000132</f>
        <v>1902.6573080000001</v>
      </c>
      <c r="AA357" s="3">
        <f>3788.6+(5-2021.9)+(-9.66093+(-0.01275--5.155845))+0--83.5-0.212924999999988</f>
        <v>1850.4692399999997</v>
      </c>
      <c r="AB357" s="3">
        <f>3718.6+(5-2033.4)+(-5.689458+(-0.00765--3.111102))+0--84-0.128520000000005</f>
        <v>1771.4854739999998</v>
      </c>
      <c r="AC357" s="3">
        <f>3641.8+(9-2084.7)+(-5.571954+(-0.01377--3.189591))+0--84.6-0.129438000000005</f>
        <v>1648.1744290000004</v>
      </c>
      <c r="AD357" s="2">
        <v>1976.2000000000003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3851.6+(8.4-2431.4)+(1.964316+(0.004284-1.240014))+0--84.7--0.0431969999999914</f>
        <v>1514.0717829999999</v>
      </c>
      <c r="G358" s="3">
        <f>3994.8+(8.4-2626.4)+(-6.112044+(-0.012852--4.018392))+0--84.7-0.129591000000005</f>
        <v>1459.263905</v>
      </c>
      <c r="H358" s="3">
        <f>3766.4+(8.4-2437.7)+(0+(0-0))+0--85-0</f>
        <v>1422.1000000000004</v>
      </c>
      <c r="I358" s="3">
        <f>3682+(9.4-2384.1)+(-9.3891+(-0.02397--6.079455))+0--85-0.216749999999988</f>
        <v>1388.7496350000001</v>
      </c>
      <c r="J358" s="3">
        <f>3690.9+(9.4-2393.3)+(0+(0-0))+0--84.2-0</f>
        <v>1391.2</v>
      </c>
      <c r="K358" s="3">
        <f>3802.9+(9.4-2467.2)+(3.878958+(0.009588-2.516544))+0--82.4--0.0840480000000131</f>
        <v>1428.9560500000005</v>
      </c>
      <c r="L358" s="3">
        <f>3891.1+(9.4-2511.9)+(-3.968922+(-0.009588--2.562138))+0--83.1-0.0847620000000132</f>
        <v>1470.198866</v>
      </c>
      <c r="M358" s="3">
        <f>4032.5+(9.4-2534.5)+(4.11315+(0.009588-2.58519))+0--82.8--0.0844560000000132</f>
        <v>1591.8220040000001</v>
      </c>
      <c r="N358" s="3">
        <f>4019.5+(9.4-2408)+(-2.049945+(-0.004794--1.22808))+0--82.5-0.0420749999999916</f>
        <v>1702.531266</v>
      </c>
      <c r="O358" s="3">
        <f>4029.6+(9.4-2377.9)+(2.055096+(0.004794-1.212729))+0--94.7--0.0482969999999904</f>
        <v>1756.6954579999999</v>
      </c>
      <c r="P358" s="3">
        <f>4035.4+(9.4-2349.7)+(-6.174162+(-0.014382--3.595041))+0--104.7-0.160191000000006</f>
        <v>1797.0463060000004</v>
      </c>
      <c r="Q358" s="3">
        <f>4073+(5.4-2343.9)+(0+(0-0))+0--80.8-0</f>
        <v>1815.3</v>
      </c>
      <c r="R358" s="3">
        <f>4000.2+(5.5-2324.7)+(-4.080204+(-0.00561--2.371194))+0--81.1-0.0827220000000129</f>
        <v>1760.3026579999998</v>
      </c>
      <c r="S358" s="3">
        <f>3817.2+(5.5-2155.5)+(-3.893544+(-0.00561--2.19861))+0--82.5-0.0841500000000132</f>
        <v>1747.9153059999999</v>
      </c>
      <c r="T358" s="3">
        <f>3877.3+(5.5-2220.2)+(3.954846+(0.00561-2.264604))+0--82.4--0.0840480000000131</f>
        <v>1746.7799000000005</v>
      </c>
      <c r="U358" s="3">
        <f>3956.3+(5.5-2293.1)+(2.017713+(0.002805-1.169481))+0--81.9--0.0417689999999917</f>
        <v>1751.4928060000002</v>
      </c>
      <c r="V358" s="3">
        <f>4019.7+(5.5-2341.7)+(0+(0-0))+0--83-0</f>
        <v>1766.5</v>
      </c>
      <c r="W358" s="3">
        <f>4053.1+(5.5-2389.1)+(2.067081+(0.002805-1.218441))+0--82.5--0.0420749999999916</f>
        <v>1752.8935200000001</v>
      </c>
      <c r="X358" s="3">
        <f>4048.8+(5.5-2183.1)+(0+(0-0))+0--83.1-0</f>
        <v>1954.3000000000002</v>
      </c>
      <c r="Y358" s="3">
        <f>4055.7+(5.5-2154.3)+(-12.410442+(-0.01683--6.592158))+0--84.9-0.25979400000001</f>
        <v>1985.7050919999997</v>
      </c>
      <c r="Z358" s="3">
        <f>4028.8+(5.5-2185)+(-4.109376+(-0.00561--2.2287))+0--84.7-0.0863940000000135</f>
        <v>1932.0273200000004</v>
      </c>
      <c r="AA358" s="3">
        <f>4028.4+(5.5-2224.4)+(-8.217936+(-0.01122--4.537776))+0--85.8-0.175031999999996</f>
        <v>1891.4335879999999</v>
      </c>
      <c r="AB358" s="3">
        <f>3977.2+(5.5-2260.8)+(-8.113488+(-0.01122--4.612032))+0--86.3-0.176051999999996</f>
        <v>1804.5112719999995</v>
      </c>
      <c r="AC358" s="3">
        <f>3732.5+(10.5-2140.8)+(-9.517875+(-0.026775--5.45904))+0--86.7-0.221084999999987</f>
        <v>1684.5933049999999</v>
      </c>
      <c r="AD358" s="2">
        <v>2006.1000000000006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3593.9+(8-2107.9)+(-9.164445+(-0.0204--5.375145))+0--84.6-0.215729999999988</f>
        <v>1574.57457</v>
      </c>
      <c r="G359" s="3">
        <f>3412.3+(8-2013.7)+(-8.701365+(-0.0204--5.134935))+0--83.8-0.213689999999988</f>
        <v>1486.5994800000001</v>
      </c>
      <c r="H359" s="3">
        <f>3094.2+(8-1752.7)+(-1.578042+(-0.00408--0.893877))+0--83.7-0.0426869999999915</f>
        <v>1432.4690679999999</v>
      </c>
      <c r="I359" s="3">
        <f>2996.1+(9-1689.1)+(-1.528011+(-0.00459--0.861441))+0--82.9-0.0422789999999916</f>
        <v>1398.186561</v>
      </c>
      <c r="J359" s="3">
        <f>3050.9+(9-1742.1)+(-7.779795+(-0.02295--4.442355))+0--82.2-0.209609999999988</f>
        <v>1396.4300000000003</v>
      </c>
      <c r="K359" s="3">
        <f>3023.7+(9-1681.7)+(-1.542087+(-0.00459--0.857667))+0--84.7-0.0431969999999914</f>
        <v>1434.9677929999998</v>
      </c>
      <c r="L359" s="3">
        <f>3014.4+(9-1631.1)+(-4.612032+(-0.01377--2.495583))+0--85.8-0.131274000000005</f>
        <v>1475.8385070000002</v>
      </c>
      <c r="M359" s="3">
        <f>3257.5+(9-1779.2)+(0+(0-0))+0--85.3-0</f>
        <v>1572.6</v>
      </c>
      <c r="N359" s="3">
        <f>3369.5+(10-1746.8)+(1.718445+(0.0051-0.890868))+0--83.8--0.0427379999999915</f>
        <v>1717.3754150000002</v>
      </c>
      <c r="O359" s="3">
        <f>3406.2+(10-1683.7)+(-6.948648+(-0.0204--3.434748))+0--81.9-0.167075999999996</f>
        <v>1810.6986239999999</v>
      </c>
      <c r="P359" s="3">
        <f>3493.1+(10-1761.3)+(-3.562962+(-0.0102--1.796526))+0--79.5-0.0810900000000127</f>
        <v>1819.442274</v>
      </c>
      <c r="Q359" s="3">
        <f>3634.3+(5-1876.6)+(0+(0-0))+0--80.2-0</f>
        <v>1842.9000000000003</v>
      </c>
      <c r="R359" s="3">
        <f>3604.9+(5-1793)+(-7.353996+(-0.0102--3.65772))+0--70.7-0.144227999999997</f>
        <v>1883.7492960000002</v>
      </c>
      <c r="S359" s="3">
        <f>3479.1+(5-1688.4)+(-1.774341+(-0.00255--0.861084))+0--71.3-0.0363629999999928</f>
        <v>1866.0478299999997</v>
      </c>
      <c r="T359" s="3">
        <f>3474.8+(5-1661.4)+(0+(0-0))+0--70.8-0</f>
        <v>1889.2</v>
      </c>
      <c r="U359" s="3">
        <f>3469.9+(5-1696.1)+(3.539298+(0.0051-1.730022))+0--70.2--0.0716040000000112</f>
        <v>1850.8859800000002</v>
      </c>
      <c r="V359" s="3">
        <f>3488.5+(5-1722.1)+(-8.895675+(-0.01275--4.391355))+0--71.6-0.18257999999999</f>
        <v>1838.30035</v>
      </c>
      <c r="W359" s="3">
        <f>3557.2+(5-1771.7)+(0+(0-0))+0--72.7-0</f>
        <v>1863.1999999999998</v>
      </c>
      <c r="X359" s="3">
        <f>3627+(5-1639.8)+(-3.69954+(-0.0051--1.672596))+0--73.3-0.0747660000000117</f>
        <v>2063.3931899999998</v>
      </c>
      <c r="Y359" s="3">
        <f>3654+(5-1642.1)+(-9.3177+(-0.01275--4.187355))+0--74-0.188699999999989</f>
        <v>2085.568205</v>
      </c>
      <c r="Z359" s="3">
        <f>3662.1+(5-1721.4)+(-7.470684+(-0.0102--3.511656))+0--74.5-0.151979999999997</f>
        <v>2016.0787919999998</v>
      </c>
      <c r="AA359" s="3">
        <f>3562.3+(5-1675.4)+(-12.717411+(-0.01785--5.981178))+0--75.3-0.268821000000001</f>
        <v>1960.1770960000001</v>
      </c>
      <c r="AB359" s="3">
        <f>3374.4+(5-1579.6)+(-6.883776+(-0.0102--3.222384))+0--75.7-0.154427999999997</f>
        <v>1871.6739800000003</v>
      </c>
      <c r="AC359" s="3">
        <f>3233.9+(5-1593)+(-3.298578+(-0.0051--1.62486))+0--75.7-0.0772140000000121</f>
        <v>1719.8439680000001</v>
      </c>
      <c r="AD359" s="2">
        <v>2041.2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3233.1+(12-1732.6)+(-9.893286+(-0.03672--5.301756))+0--75.3-0.230418000000009</f>
        <v>1582.9413319999999</v>
      </c>
      <c r="G360" s="3">
        <f>3144.9+(12-1734.7)+(-4.811697+(-0.01836--2.654091))+0--76-0.116280000000004</f>
        <v>1495.9077540000001</v>
      </c>
      <c r="H360" s="3">
        <f>3087.1+(12-1725.3)+(-4.723263+(-0.01836--2.639709))+0--76.2-0.116586000000004</f>
        <v>1447.7814999999998</v>
      </c>
      <c r="I360" s="3">
        <f>3069.9+(12-1726.8)+(-1.565649+(-0.00612--0.880668))+0--77.3-0.0394229999999922</f>
        <v>1431.6694760000003</v>
      </c>
      <c r="J360" s="3">
        <f>3069.5+(12-1731.2)+(-3.13089+(-0.01224--1.765824))+0--77.2-0.0787440000000123</f>
        <v>1426.04395</v>
      </c>
      <c r="K360" s="3">
        <f>3075.3+(12-1701.9)+(3.136806+(0.01224-1.735938))+0--78.5--0.0800700000000125</f>
        <v>1465.393178</v>
      </c>
      <c r="L360" s="3">
        <f>3066+(12-1667.8)+(-6.25464+(-0.02448--3.402312))+0--79.6-0.162383999999997</f>
        <v>1486.760808</v>
      </c>
      <c r="M360" s="3">
        <f>3071.6+(12-1549.1)+(1.566516+(0.00612-0.790041))+0--75.9--0.0387089999999923</f>
        <v>1611.2213039999999</v>
      </c>
      <c r="N360" s="3">
        <f>3414.4+(13-1758.3)+(1.741344+(0.00663-0.896733))+0--73.7--0.0375869999999925</f>
        <v>1743.6888280000003</v>
      </c>
      <c r="O360" s="3">
        <f>3738+(13-1995.2)+(7.62552+(0.02652-4.070208))+0--71.8--0.146471999999997</f>
        <v>1831.3283039999999</v>
      </c>
      <c r="P360" s="3">
        <f>3725.7+(13-1943.6)+(-3.800214+(-0.01326--1.982472))+0--71.1-0.0725220000000113</f>
        <v>1864.296476</v>
      </c>
      <c r="Q360" s="3">
        <f>3734.6+(8-1930.9)+(-9.52323+(-0.0204--4.923795))+0--71.1-0.18130499999999</f>
        <v>1877.9988599999997</v>
      </c>
      <c r="R360" s="3">
        <f>3722.3+(8-1940.2)+(-9.491865+(-0.0204--4.94751))+0--73.5-0.187424999999989</f>
        <v>1858.84782</v>
      </c>
      <c r="S360" s="3">
        <f>3652.5+(8-1865)+(-7.4511+(-0.01632--3.8046))+0--73.1-0.149123999999997</f>
        <v>1864.7880559999999</v>
      </c>
      <c r="T360" s="3">
        <f>3558.6+(8-1801.4)+(3.629772+(0.00816-1.837428))+0--73.5--0.0749700000000117</f>
        <v>1840.575474</v>
      </c>
      <c r="U360" s="3">
        <f>3538.1+(8-1797)+(0+(0-0))+0--73.7-0</f>
        <v>1822.8</v>
      </c>
      <c r="V360" s="3">
        <f>3472.1+(8-1728.8)+(-5.312313+(-0.01224--2.645064))+0--74-0.113220000000004</f>
        <v>1822.5072909999999</v>
      </c>
      <c r="W360" s="3">
        <f>3251.6+(8-1528.7)+(3.316632+(0.00816-1.559274))+0--74.1--0.0755820000000118</f>
        <v>1806.8410999999996</v>
      </c>
      <c r="X360" s="3">
        <f>3118.3+(8-1199.2)+(3.180666+(0.00816-1.223184))+0--76--0.0775200000000121</f>
        <v>2005.1431620000001</v>
      </c>
      <c r="Y360" s="3">
        <f>2789.6+(49.1-907.2)+(-4.268088+(-0.075123--1.388016))+0--76.4-0.116892000000004</f>
        <v>2004.8279130000001</v>
      </c>
      <c r="Z360" s="3">
        <f>2803.4+(29.4-955.4)+(-4.289202+(-0.044982--1.461762))+0--76.6-0.117198000000004</f>
        <v>1951.0103800000002</v>
      </c>
      <c r="AA360" s="3">
        <f>2812.9+(8-1000.1)+(-1.434579+(-0.00408--0.510051))+0--78.8-0.040187999999992</f>
        <v>1898.6312040000003</v>
      </c>
      <c r="AB360" s="3">
        <f>2821.2+(8-1093)+(-7.19406+(-0.0204--2.78715))+0--79.5-0.202724999999988</f>
        <v>1811.0699649999997</v>
      </c>
      <c r="AC360" s="3">
        <f>2797.5+(8-1208.7)+(-4.280175+(-0.01224--1.849311))+0--80.4-0.123012000000005</f>
        <v>1674.6338840000001</v>
      </c>
      <c r="AD360" s="2">
        <v>1965.6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2738.9+(9.3-1237.3)+(-5.587356+(-0.018972--2.524092))+0--80-0.163199999999997</f>
        <v>1587.6545640000002</v>
      </c>
      <c r="G361" s="3">
        <f>2575+(11.3-1165.3)+(-5.253+(-0.023052--2.377212))+0--80.9-0.165035999999996</f>
        <v>1498.8361239999999</v>
      </c>
      <c r="H361" s="3">
        <f>2485+(9.3-1130.8)+(-2.5347+(-0.009486--1.153416))+0--81-0.0826200000000129</f>
        <v>1443.0266100000001</v>
      </c>
      <c r="I361" s="3">
        <f>2406.7+(9.3-1092.6)+(3.682251+(0.014229-1.671678))+0--81.4--0.124542000000005</f>
        <v>1406.9493439999999</v>
      </c>
      <c r="J361" s="3">
        <f>2396.6+(9.3-1074.5)+(-4.889064+(-0.018972--2.19198))+0--82-0.167279999999996</f>
        <v>1410.516664</v>
      </c>
      <c r="K361" s="3">
        <f>2249.9+(9.3-908.6)+(-2.294898+(-0.009486--0.926772))+0--83.3-0.0849660000000133</f>
        <v>1432.4374219999997</v>
      </c>
      <c r="L361" s="3">
        <f>2102+(17.3-765.2)+(-1.07202+(-0.008823--0.390252))+0--82.9-0.0422789999999916</f>
        <v>1436.26713</v>
      </c>
      <c r="M361" s="3">
        <f>2150.4+(22.3-740.3)+(1.096704+(0.011373-0.377553))+0--79.9--0.0407489999999919</f>
        <v>1513.0712730000002</v>
      </c>
      <c r="N361" s="3">
        <f>2330.5+(18.3-797.3)+(-1.188555+(-0.009333--0.406623))+0--77.9-0.0397289999999921</f>
        <v>1628.5690059999999</v>
      </c>
      <c r="O361" s="3">
        <f>2406.1+(16.3-792.1)+(-1.227111+(-0.008313--0.403971))+0--73.9-0.0376889999999925</f>
        <v>1703.3308579999998</v>
      </c>
      <c r="P361" s="3">
        <f>2467.9+(23.9-799.9)+(3.775887+(0.036567-1.223847))+0--72--0.110160000000004</f>
        <v>1766.598767</v>
      </c>
      <c r="Q361" s="3">
        <f>2481.6+(37.8-791.5)+(-5.062464+(-0.077112--1.61466))+0--73-0.148919999999997</f>
        <v>1797.2261639999997</v>
      </c>
      <c r="R361" s="3">
        <f>2459.6+(34.2-795.5)+(-2.508792+(-0.034884--0.81141))+0--73.6-0.0750720000000117</f>
        <v>1770.0926619999998</v>
      </c>
      <c r="S361" s="3">
        <f>2394.3+(52.4-794.7)+(-4.884372+(-0.106896--1.621188))+0--74.9-0.152795999999997</f>
        <v>1723.3771240000001</v>
      </c>
      <c r="T361" s="3">
        <f>2207.4+(80.2-667.5)+(2.251548+(0.081804-0.68085))+0--75.5--0.077010000000012</f>
        <v>1697.329512</v>
      </c>
      <c r="U361" s="3">
        <f>2206.7+(48.4-637.8)+(1.125417+(0.024684-0.325278))+0--76.3--0.0389129999999923</f>
        <v>1694.4637359999997</v>
      </c>
      <c r="V361" s="3">
        <f>2213.9+(60.4-653.1)+(2.258178+(0.061608-0.666162))+0--75.9--0.0774180000000121</f>
        <v>1698.8310420000003</v>
      </c>
      <c r="W361" s="3">
        <f>2228.8+(57.1-656.7)+(0+(0-0))+0--76.8-0</f>
        <v>1706.0000000000002</v>
      </c>
      <c r="X361" s="3">
        <f>2357+(212.1-761.1)+(2.40414+(0.216342-0.776322))+0--77--0.0785400000000123</f>
        <v>1886.9227000000001</v>
      </c>
      <c r="Y361" s="3">
        <f>2522.2+(151-814.2)+(-1.286322+(-0.07701--0.415242))+0--78-0.0397799999999921</f>
        <v>1936.0121299999996</v>
      </c>
      <c r="Z361" s="3">
        <f>2540.7+(92.1-825)+(-2.591514+(-0.093942--0.8415))+0--78.6-0.0801720000000125</f>
        <v>1884.4758719999998</v>
      </c>
      <c r="AA361" s="3">
        <f>2564.8+(76.9-875.1)+(-2.616096+(-0.078438--0.892602))+0--79.4-0.0809880000000127</f>
        <v>1844.1170800000002</v>
      </c>
      <c r="AB361" s="3">
        <f>2570.4+(33.8-922.6)+(-6.55452+(-0.08619--2.35263))+0--79.1-0.201704999999989</f>
        <v>1756.2102149999998</v>
      </c>
      <c r="AC361" s="3">
        <f>2537.7+(9.3-973.4)+(-3.882681+(-0.014229--1.489302))+0--79.9-0.122247000000005</f>
        <v>1650.970145</v>
      </c>
      <c r="AD361" s="2">
        <v>1932.9999999999998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2387+(9-913)+(-7.30422+(-0.02754--2.79378))+0--80.3-0.245718000000009</f>
        <v>1558.516302</v>
      </c>
      <c r="G362" s="3">
        <f>2205.2+(11.4-830.8)+(-5.62326+(-0.02907--2.11854))+0--81.8-0.208589999999988</f>
        <v>1463.8576199999998</v>
      </c>
      <c r="H362" s="3">
        <f>2163.3+(11-845.3)+(-4.413132+(-0.02244--1.724412))+0--81.6-0.166463999999996</f>
        <v>1407.7223760000002</v>
      </c>
      <c r="I362" s="3">
        <f>2146.3+(17-863.3)+(0+(0-0))+0--82.2-0</f>
        <v>1382.2000000000003</v>
      </c>
      <c r="J362" s="3">
        <f>2118.1+(15-826.8)+(3.240693+(0.02295-1.265004))+0--81.9--0.125307000000005</f>
        <v>1390.323946</v>
      </c>
      <c r="K362" s="3">
        <f>2117.3+(15-794.2)+(0+(0-0))+0--81.4-0</f>
        <v>1419.5000000000002</v>
      </c>
      <c r="L362" s="3">
        <f>2115.3+(16-770)+(-1.078803+(-0.00816--0.3927))+0--84-0.0428399999999915</f>
        <v>1444.562897</v>
      </c>
      <c r="M362" s="3">
        <f>2309.2+(14-848.7)+(0+(0-0))+0--81.1-0</f>
        <v>1555.5999999999997</v>
      </c>
      <c r="N362" s="3">
        <f>2602.2+(10-988)+(-1.327122+(-0.0051--0.50388))+0--78.4-0.039983999999992</f>
        <v>1701.7316739999999</v>
      </c>
      <c r="O362" s="3">
        <f>2610.2+(11-880.6)+(-1.331202+(-0.00561--0.449106))+0--75.5-0.0385049999999923</f>
        <v>1815.1737889999999</v>
      </c>
      <c r="P362" s="3">
        <f>2572.1+(11-797.8)+(1.311771+(0.00561-0.406878))+0--72.6--0.0370259999999926</f>
        <v>1858.8475289999999</v>
      </c>
      <c r="Q362" s="3">
        <f>2544.1+(22.8-775.8)+(0+(0-0))+0--72.2-0</f>
        <v>1863.3</v>
      </c>
      <c r="R362" s="3">
        <f>2562.1+(5-823.3)+(-3.920013+(-0.00765--1.259649))+0--73.9-0.113067000000004</f>
        <v>1814.918919</v>
      </c>
      <c r="S362" s="3">
        <f>2547.5+(6-814.8)+(1.299225+(0.00306-0.415548))+0--73.1--0.0372809999999926</f>
        <v>1812.7240179999999</v>
      </c>
      <c r="T362" s="3">
        <f>2530.3+(6-817.4)+(-2.580906+(-0.00612--0.833748))+0--73.1-0.0745620000000116</f>
        <v>1790.1721600000001</v>
      </c>
      <c r="U362" s="3">
        <f>2509.8+(12.1-820.4)+(-5.119992+(-0.024684--1.673616))+0--72.6-0.148103999999997</f>
        <v>1770.480836</v>
      </c>
      <c r="V362" s="3">
        <f>2486.3+(21.2-802.1)+(-7.608078+(-0.064872--2.454426))+0--72.8-0.222768000000008</f>
        <v>1772.7587080000001</v>
      </c>
      <c r="W362" s="3">
        <f>2519+(10.7-845)+(-10.27752+(-0.043656--3.4476))+0--75.6-0.308447999999993</f>
        <v>1753.117976</v>
      </c>
      <c r="X362" s="3">
        <f>2701.4+(40.5-891.9)+(0+(0-0))+0--77.1-0</f>
        <v>1927.1</v>
      </c>
      <c r="Y362" s="3">
        <f>2852.5+(30-1002.2)+(-7.273875+(-0.0765--2.55561))+0--76.9-0.196094999999989</f>
        <v>1952.2091399999999</v>
      </c>
      <c r="Z362" s="3">
        <f>2753.8+(28.2-950.3)+(-7.02219+(-0.07191--2.423265))+0--77.7-0.198134999999989</f>
        <v>1904.5310300000003</v>
      </c>
      <c r="AA362" s="3">
        <f>2489.1+(54.1-773.5)+(-5.077764+(-0.110364--1.57794))+0--75.7-0.154427999999997</f>
        <v>1841.6353839999997</v>
      </c>
      <c r="AB362" s="3">
        <f>2380.7+(38.5-733.8)+(-1.214157+(-0.019635--0.374238))+0--78.4-0.039983999999992</f>
        <v>1762.9004620000001</v>
      </c>
      <c r="AC362" s="3">
        <f>2387.8+(20-823.9)+(-6.08889+(-0.051--2.100945))+0--82.4-0.210119999999988</f>
        <v>1662.0509350000002</v>
      </c>
      <c r="AD362" s="2">
        <v>1972.6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2388.6+(30.3-935.2)+(-7.309116+(-0.092718--2.861712))+0--63-0.192780000000007</f>
        <v>1541.9670979999996</v>
      </c>
      <c r="G363" s="3">
        <f>2228.6+(28.1-866.9)+(-5.68293+(-0.071655--2.210595))+0--74.2-0.189209999999989</f>
        <v>1460.2668000000001</v>
      </c>
      <c r="H363" s="3">
        <f>2160.9+(14.3-850.7)+(-4.408236+(-0.029172--1.735428))+0--76.4-0.155855999999997</f>
        <v>1398.042164</v>
      </c>
      <c r="I363" s="3">
        <f>2142.1+(10-849.4)+(-6.554826+(-0.0306--2.599164))+0--76.1-0.232866000000009</f>
        <v>1374.5808719999998</v>
      </c>
      <c r="J363" s="3">
        <f>2108.2+(10-808.4)+(-3.225546+(-0.0153--1.236852))+0--75.6-0.115668000000004</f>
        <v>1383.2803379999998</v>
      </c>
      <c r="K363" s="3">
        <f>2178.9+(10-853.5)+(-1.111239+(-0.0051--0.435285))+0--75.1-0.0383009999999924</f>
        <v>1409.780645</v>
      </c>
      <c r="L363" s="3">
        <f>2178.9+(10-826)+(0+(0-0))+0--76.6-0</f>
        <v>1439.5</v>
      </c>
      <c r="M363" s="3">
        <f>2243.2+(15.9-774.2)+(2.288064+(0.016218-0.789684))+0--75.9--0.0774180000000121</f>
        <v>1562.3920159999998</v>
      </c>
      <c r="N363" s="3">
        <f>2474.8+(23-885.4)+(-1.262148+(-0.01173--0.451554))+0--73.1-0.0372809999999926</f>
        <v>1684.6403950000001</v>
      </c>
      <c r="O363" s="3">
        <f>2557.6+(12-882)+(0+(0-0))+0--69.4-0</f>
        <v>1757</v>
      </c>
      <c r="P363" s="3">
        <f>2628.5+(12-906.1)+(-6.702675+(-0.0306--2.310555))+0--69.1-0.17620499999999</f>
        <v>1798.901075</v>
      </c>
      <c r="Q363" s="3">
        <f>2637.2+(12-892)+(-1.344972+(-0.00612--0.45492))+0--67.8-0.0345779999999931</f>
        <v>1824.0692499999998</v>
      </c>
      <c r="R363" s="3">
        <f>2629.7+(12-915.7)+(-8.046882+(-0.03672--2.802042))+0--67.4-0.206244000000008</f>
        <v>1787.912196</v>
      </c>
      <c r="S363" s="3">
        <f>2568.1+(13.3-866.3)+(1.309731+(0.006783-0.441813))+0--67.3--0.0343229999999932</f>
        <v>1783.3090239999999</v>
      </c>
      <c r="T363" s="3">
        <f>2576.6+(13.7-874.4)+(-5.256264+(-0.027948--1.783776))+0--67.4-0.137495999999997</f>
        <v>1779.6620680000001</v>
      </c>
      <c r="U363" s="3">
        <f>2554+(11-869)+(-3.90762+(-0.01683--1.32957))+0--68.5-0.104805000000004</f>
        <v>1761.800315</v>
      </c>
      <c r="V363" s="3">
        <f>2568.2+(12-888.6)+(0+(0-0))+0--70-0</f>
        <v>1761.6</v>
      </c>
      <c r="W363" s="3">
        <f>2633+(12-973.9)+(0+(0-0))+0--71.6-0</f>
        <v>1742.6999999999998</v>
      </c>
      <c r="X363" s="3">
        <f>2795+(60-1000.5)+(1.42545+(0.0306-0.510255))+0--72--0.0367199999999927</f>
        <v>1927.4825150000001</v>
      </c>
      <c r="Y363" s="3">
        <f>2838.7+(78.5-1032.3)+(-1.447737+(-0.040035--0.526473))+0--73.1-0.0372809999999926</f>
        <v>1957.0014199999998</v>
      </c>
      <c r="Z363" s="3">
        <f>2854.3+(44.2-1085.2)+(-1.455693+(-0.022542--0.553452))+0--73.7-0.0375869999999925</f>
        <v>1886.0376300000003</v>
      </c>
      <c r="AA363" s="3">
        <f>2829.4+(33.6-1093.7)+(-1.442994+(-0.017136--0.557787))+0--70.3-0.0358529999999929</f>
        <v>1838.6618039999998</v>
      </c>
      <c r="AB363" s="3">
        <f>2850.1+(20.5-1160)+(-7.267755+(-0.052275--2.958))+0--51.9-0.132344999999992</f>
        <v>1758.005625</v>
      </c>
      <c r="AC363" s="3">
        <f>2789.2+(11-1187.2)+(-5.689968+(-0.02244--2.421888))+0--48.9-0.0997559999999979</f>
        <v>1658.5097239999998</v>
      </c>
      <c r="AD363" s="2">
        <v>1948.1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2599.9+(10-1085.1)+(-5.303796+(-0.0204--2.213604))+0--24.5-0.0499799999999989</f>
        <v>1546.1394280000002</v>
      </c>
      <c r="G364" s="3">
        <f>2406.6+(10-975)+(-3.682098+(-0.0153--1.49175))+0--15.9-0.0243270000000009</f>
        <v>1455.2700249999998</v>
      </c>
      <c r="H364" s="3">
        <f>2208.5+(28.2-874.9)+(-5.631675+(-0.07191--2.230995))+0--37.3-0.0951149999999946</f>
        <v>1395.532295</v>
      </c>
      <c r="I364" s="3">
        <f>2031.2+(29.7-754.2)+(1.035912+(0.015147-0.384642))+0--67.9--0.0346289999999931</f>
        <v>1375.301046</v>
      </c>
      <c r="J364" s="3">
        <f>2026+(24.7-749)+(-4.13304+(-0.050388--1.52796))+0--63.2-0.128927999999997</f>
        <v>1362.1156040000001</v>
      </c>
      <c r="K364" s="3">
        <f>2029.2+(24.6-716.3)+(-2.069784+(-0.025092--0.730626))+0--57-0.0581400000000091</f>
        <v>1393.0776099999998</v>
      </c>
      <c r="L364" s="3">
        <f>2032.3+(25.6-707.2)+(0+(0-0))+0--65.5-0</f>
        <v>1416.1999999999998</v>
      </c>
      <c r="M364" s="3">
        <f>2121.5+(36.3-706.6)+(-3.245895+(-0.055539--1.081098))+0--69.8-0.106794000000004</f>
        <v>1518.6728699999996</v>
      </c>
      <c r="N364" s="3">
        <f>2319.6+(31.1-725.5)+(-1.182996+(-0.015861--0.370005))+0--69.8-0.0355979999999929</f>
        <v>1694.1355499999997</v>
      </c>
      <c r="O364" s="3">
        <f>2372+(47.1-710.1)+(-6.0486+(-0.120105--1.810755))+0--70.2-0.17900999999999</f>
        <v>1774.6630399999999</v>
      </c>
      <c r="P364" s="3">
        <f>2364+(48.4-665.3)+(1.20564+(0.024684-0.339303))+0--69.8--0.0355979999999929</f>
        <v>1817.8266189999997</v>
      </c>
      <c r="Q364" s="3">
        <f>2355.9+(82.7-663.6)+(1.201509+(0.042177-0.338436))+0--69--0.035189999999993</f>
        <v>1844.9404400000001</v>
      </c>
      <c r="R364" s="3">
        <f>2340.9+(93.1-674.8)+(-7.163154+(-0.284886--2.064888))+0--68.3-0.208998000000008</f>
        <v>1821.9078500000001</v>
      </c>
      <c r="S364" s="3">
        <f>2334.5+(91.1-676.8)+(-4.76238+(-0.185844--1.380672))+0--68.8-0.140351999999997</f>
        <v>1813.8920960000003</v>
      </c>
      <c r="T364" s="3">
        <f>2311.6+(92.9-665.8)+(-2.357832+(-0.094758--0.679116))+0--69-0.070380000000011</f>
        <v>1805.8561459999996</v>
      </c>
      <c r="U364" s="3">
        <f>2280.2+(81.9-646.8)+(-1.162902+(-0.041769--0.329868))+0--74-0.0377399999999925</f>
        <v>1788.3874569999998</v>
      </c>
      <c r="V364" s="3">
        <f>2287.7+(63-641.2)+(-3.500181+(-0.09639--0.981036))+0--70-0.107100000000004</f>
        <v>1776.7773649999999</v>
      </c>
      <c r="W364" s="3">
        <f>2303.6+(68.8-661.2)+(2.349672+(0.070176-0.674424))+0--73--0.0744600000000116</f>
        <v>1786.0198839999998</v>
      </c>
      <c r="X364" s="3">
        <f>2440.4+(237.8-814.6)+(2.489208+(0.242556-0.830892))+0--72--0.0734400000000115</f>
        <v>1937.5743120000002</v>
      </c>
      <c r="Y364" s="3">
        <f>2532.7+(220.8-877.7)+(-1.291677+(-0.112608--0.447627))+0--73-0.0372299999999926</f>
        <v>1947.8061119999998</v>
      </c>
      <c r="Z364" s="3">
        <f>2469.7+(195.2-834.6)+(-6.297735+(-0.49776--2.12823))+0--74-0.188699999999989</f>
        <v>1899.4440349999998</v>
      </c>
      <c r="AA364" s="3">
        <f>2344.9+(255.2-824)+(0+(0-0))+0--74.3-0</f>
        <v>1850.4</v>
      </c>
      <c r="AB364" s="3">
        <f>2320.6+(189.3-819.1)+(-4.734024+(-0.386172--1.670964))+0--74.1-0.151163999999997</f>
        <v>1761.2996039999998</v>
      </c>
      <c r="AC364" s="3">
        <f>2373+(65.3-838.4)+(-6.05115+(-0.166515--2.13792))+0--75.1-0.191504999999989</f>
        <v>1670.72875</v>
      </c>
      <c r="AD364" s="2">
        <v>1962.1999999999998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2379.4+(17.1-907.7)+(0+(0-0))+0--77.5-0</f>
        <v>1566.3000000000002</v>
      </c>
      <c r="G365" s="3">
        <f>2341.4+(9-951.7)+(-4.776456+(-0.01836--1.941468))+0--78-0.159119999999997</f>
        <v>1473.6875319999999</v>
      </c>
      <c r="H365" s="3">
        <f>2227.3+(9-899.4)+(-6.815538+(-0.02754--2.752164))+0--79.4-0.242964000000009</f>
        <v>1411.966122</v>
      </c>
      <c r="I365" s="3">
        <f>2070.1+(23.5-796.2)+(-2.111502+(-0.02397--0.812124))+0--80.7-0.0823140000000129</f>
        <v>1376.694338</v>
      </c>
      <c r="J365" s="3">
        <f>2035.1+(23.3-762.4)+(-2.075802+(-0.023766--0.777648))+0--78.7-0.0802740000000126</f>
        <v>1373.297806</v>
      </c>
      <c r="K365" s="3">
        <f>2042.6+(22.6-752.9)+(2.083452+(0.023052-0.767958))+0--79.6--0.0811920000000127</f>
        <v>1393.3197379999999</v>
      </c>
      <c r="L365" s="3">
        <f>1929.3+(56.4-684.4)+(-1.967886+(-0.057528--0.698088))+0--79.1-0.0806820000000126</f>
        <v>1378.9919919999998</v>
      </c>
      <c r="M365" s="3">
        <f>1929.5+(85.6-633.2)+(1.96809+(0.087312-0.645864))+0--78.2--0.0797640000000125</f>
        <v>1461.5893020000003</v>
      </c>
      <c r="N365" s="3">
        <f>1938.8+(162.3-589)+(-0.988788+(-0.082773--0.30039))+0--77.5-0.0395249999999921</f>
        <v>1588.7893039999999</v>
      </c>
      <c r="O365" s="3">
        <f>2019.5+(158.9-593.4)+(0+(0-0))+0--71.8-0</f>
        <v>1656.8</v>
      </c>
      <c r="P365" s="3">
        <f>2072.6+(194.3-645)+(-1.057026+(-0.099093--0.32895))+0--74.4-0.0379439999999925</f>
        <v>1695.4348870000001</v>
      </c>
      <c r="Q365" s="3">
        <f>2092.1+(240.8-690.8)+(4.267884+(0.491232-1.409232))+0--63--0.128519999999997</f>
        <v>1708.5784039999999</v>
      </c>
      <c r="R365" s="3">
        <f>2273.6+(158.5-798.3)+(-4.638144+(-0.32334--1.628532))+0--54.3-0.110771999999998</f>
        <v>1684.6562759999999</v>
      </c>
      <c r="S365" s="3">
        <f>2272.7+(126.8-790.3)+(-2.318154+(-0.129336--0.806106))+0--41.2-0.0420240000000066</f>
        <v>1648.7165919999998</v>
      </c>
      <c r="T365" s="3">
        <f>2261.7+(115.9-799.4)+(-4.613868+(-0.236436--1.630776))+0--52.2-0.106487999999998</f>
        <v>1627.0739839999999</v>
      </c>
      <c r="U365" s="3">
        <f>2258+(109.8-772.3)+(-3.45474+(-0.167994--1.181619))+0--18.7-0.0286110000000011</f>
        <v>1611.730274</v>
      </c>
      <c r="V365" s="3">
        <f>2257.6+(105.6-775.9)+(4.605504+(0.215424-1.582836))+0--31.7--0.0646679999999986</f>
        <v>1622.30276</v>
      </c>
      <c r="W365" s="3">
        <f>2259.8+(114-778.6)+(-4.609992+(-0.23256--1.588344))+0--37.2-0.0758879999999984</f>
        <v>1629.0699040000002</v>
      </c>
      <c r="X365" s="3">
        <f>2274.7+(283.8-779.9)+(2.320194+(0.289476-0.795498))+0--36.7--0.0374340000000059</f>
        <v>1817.1516060000001</v>
      </c>
      <c r="Y365" s="3">
        <f>2379.8+(237.3-781.9)+(-3.641094+(-0.363069--1.196307))+0--22.5-0.0344250000000013</f>
        <v>1854.8577190000003</v>
      </c>
      <c r="Z365" s="3">
        <f>2391.4+(177.6-830.2)+(2.439228+(0.181152-0.846804))+0--54.2--0.0552840000000086</f>
        <v>1794.8288600000003</v>
      </c>
      <c r="AA365" s="3">
        <f>2401.4+(111.4-821.4)+(2.449428+(0.113628-0.837828))+0--57.4--0.0585480000000091</f>
        <v>1750.5837760000002</v>
      </c>
      <c r="AB365" s="3">
        <f>2408.6+(93.5-842.6)+(-3.685158+(-0.143055--1.289178))+0--29.4-0.0449820000000017</f>
        <v>1686.3159830000002</v>
      </c>
      <c r="AC365" s="3">
        <f>2177.5+(135.7-750.8)+(-2.22105+(-0.138414--0.765816))+0--48.3-0.0492660000000077</f>
        <v>1609.057086</v>
      </c>
      <c r="AD365" s="2">
        <v>1950.1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1548.7123299999998</v>
      </c>
      <c r="G366" s="1">
        <v>1433.9333519999998</v>
      </c>
      <c r="H366" s="1">
        <v>1363.8451090000003</v>
      </c>
      <c r="I366" s="1">
        <v>1327.8469400000001</v>
      </c>
      <c r="J366" s="1">
        <v>1315.6301559999999</v>
      </c>
      <c r="K366" s="1">
        <v>1329.96199</v>
      </c>
      <c r="L366" s="1">
        <v>1316.9379540000002</v>
      </c>
      <c r="M366" s="1">
        <v>1397.9</v>
      </c>
      <c r="N366" s="1">
        <v>1520.1000000000001</v>
      </c>
      <c r="O366" s="1">
        <v>1616.6</v>
      </c>
      <c r="P366" s="1">
        <v>1645.6</v>
      </c>
      <c r="Q366" s="1">
        <v>1662.109013</v>
      </c>
      <c r="R366" s="1">
        <v>1640.9005009999996</v>
      </c>
      <c r="S366" s="1">
        <v>1609.86248</v>
      </c>
      <c r="T366" s="1">
        <v>1565.8885150000001</v>
      </c>
      <c r="U366" s="1">
        <v>1494.2716049999999</v>
      </c>
      <c r="V366" s="1">
        <v>1479.6453010000002</v>
      </c>
      <c r="W366" s="1">
        <v>1492.3269410000003</v>
      </c>
      <c r="X366" s="1">
        <v>1636.7029720000003</v>
      </c>
      <c r="Y366" s="1">
        <v>1657.8918539999997</v>
      </c>
      <c r="Z366" s="1">
        <v>1604.1842199999999</v>
      </c>
      <c r="AA366" s="1">
        <v>1559.69795</v>
      </c>
      <c r="AB366" s="1">
        <v>1489.5787449999998</v>
      </c>
      <c r="AC366" s="1">
        <v>1418.538325</v>
      </c>
      <c r="AD366" s="1">
        <v>1687.4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408.1+(173-156.5)+(-0.416262+(-0.17646--0.15963))+0-53.5--0.0545700000000085</f>
        <v>370.72147800000005</v>
      </c>
      <c r="G1" s="3">
        <f>384.5+(175.1-160.3)+(-0.78438+(-0.357204--0.327012))+0-46.4--0.094655999999998</f>
        <v>352.18008399999997</v>
      </c>
      <c r="H1" s="3">
        <f>355+(194.7-182.2)+(-0.90525+(-0.496485--0.46461))+0-30.1--0.0767549999999956</f>
        <v>336.53962999999999</v>
      </c>
      <c r="I1" s="3">
        <f>326.6+(201.8-167.8)+(-0.499698+(-0.308754--0.256734))+0-27.4--0.0419220000000016</f>
        <v>332.69020400000005</v>
      </c>
      <c r="J1" s="3">
        <f>280.3+(219.6-149.7)+(-0.142953+(-0.111996--0.076347))+0-24.5--0.0124949999999975</f>
        <v>325.53389300000003</v>
      </c>
      <c r="K1" s="3">
        <f>278.7+(202.1-138.5)+(0+(0-0))+0-24-0</f>
        <v>318.29999999999995</v>
      </c>
      <c r="L1" s="3">
        <f>279.3+(177.4-131.5)+(-0.142443+(-0.090474--0.067065))+0-21.9--0.0111689999999978</f>
        <v>303.14531700000009</v>
      </c>
      <c r="M1" s="3">
        <f>279.4+(177.7-129.7)+(0+(0-0))+0-19.7-0</f>
        <v>307.7</v>
      </c>
      <c r="N1" s="3">
        <f>279.2+(174.6-124.4)+(-0.284784+(-0.178092--0.126888))+0-16.8--0.0171360000000027</f>
        <v>312.28114799999997</v>
      </c>
      <c r="O1" s="3">
        <f>280+(172.5-130.6)+(-0.4284+(-0.263925--0.199818))+0-16.9--0.025857000000001</f>
        <v>304.53334999999998</v>
      </c>
      <c r="P1" s="3">
        <f>280.4+(163.2-131.2)+(-0.429012+(-0.249696--0.200736))+0-20.9--0.0319770000000012</f>
        <v>291.05400499999996</v>
      </c>
      <c r="Q1" s="3">
        <f>281.2+(162.5-129.2)+(-0.143412+(-0.082875--0.065892))+0-20.1--0.010250999999998</f>
        <v>294.24985599999997</v>
      </c>
      <c r="R1" s="3">
        <f>281.8+(157.4-125.9)+(0+(0-0))+0-17.8-0</f>
        <v>295.5</v>
      </c>
      <c r="S1" s="3">
        <f>281.1+(150.9-120.2)+(0.143361+(0.076959-0.061302))+0-19.4-0.00989399999999803</f>
        <v>292.54912400000006</v>
      </c>
      <c r="T1" s="3">
        <f>281.5+(152-121.1)+(-0.717825+(-0.3876--0.308805))+0-21.3--0.0543149999999969</f>
        <v>290.35769499999992</v>
      </c>
      <c r="U1" s="3">
        <f>282.2+(155.9-125.1)+(-0.431766+(-0.238527--0.191403))+0-21.6--0.0330480000000013</f>
        <v>290.95415800000001</v>
      </c>
      <c r="V1" s="3">
        <f>282.3+(152.2-119.9)+(-0.431919+(-0.232866--0.183447))+0-21.4--0.0327420000000012</f>
        <v>292.75140400000004</v>
      </c>
      <c r="W1" s="3">
        <f>281.9+(154.5-118.8)+(-0.287538+(-0.15759--0.121176))+0-21.1--0.0215220000000034</f>
        <v>296.19756999999993</v>
      </c>
      <c r="X1" s="3">
        <f>323.2+(165.3-114.3)+(-0.329664+(-0.168606--0.116586))+0-27.8--0.0283560000000044</f>
        <v>346.046672</v>
      </c>
      <c r="Y1" s="3">
        <f>375.8+(150.4-131.5)+(-0.383316+(-0.153408--0.13413))+0-27.4--0.0279480000000044</f>
        <v>366.92535400000003</v>
      </c>
      <c r="Z1" s="3">
        <f>322.2+(171.2-101.9)+(-0.492966+(-0.261936--0.155907))+0-27.5--0.0420750000000016</f>
        <v>363.44308000000001</v>
      </c>
      <c r="AA1" s="3">
        <f>317.2+(169.6-91.8)+(-0.485316+(-0.259488--0.140454))+0-27.5--0.0420750000000016</f>
        <v>366.937725</v>
      </c>
      <c r="AB1" s="3">
        <f>316.2+(159.2-89.8)+(-0.483786+(-0.243576--0.137394))+0-26.3--0.0402390000000015</f>
        <v>358.75027099999994</v>
      </c>
      <c r="AC1" s="3">
        <f>316.3+(161-107.1)+(-1.129191+(-0.57477--0.382347))+0-27.9--0.0996030000000004</f>
        <v>341.07798900000006</v>
      </c>
      <c r="AD1" s="2">
        <v>364.8</v>
      </c>
      <c r="AE1" s="3">
        <f>328+(169.3-107)+(0+(0-0))+0-25.5-0</f>
        <v>364.8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326.13899450000002</v>
      </c>
      <c r="G2" s="3">
        <f>316+(191-180)+(0+(0-0))+0-15.8-0</f>
        <v>311.2</v>
      </c>
      <c r="H2" s="3">
        <f>316+(207-180.4)+(-0.48348+(-0.31671--0.276012))+0-19.8--0.0302940000000011</f>
        <v>322.30611600000003</v>
      </c>
      <c r="I2" s="3">
        <f>312.4+(214.5-183.8)+(-0.477972+(-0.328185--0.281214))+0-28.2--0.0431460000000016</f>
        <v>314.41820299999995</v>
      </c>
      <c r="J2" s="3">
        <f>313.9+(222.3-196.2)+(-0.480267+(-0.340119--0.300186))+0-28.2--0.0431460000000016</f>
        <v>311.322946</v>
      </c>
      <c r="K2" s="3">
        <f>313.8+(217.5-191.9)+(0.480114+(0.332775-0.293607))+0-28.6-0.0437580000000017</f>
        <v>311.2755239999999</v>
      </c>
      <c r="L2" s="3">
        <f>314.1+(184-166)+(-0.480573+(-0.28152--0.25398))+0-28.4--0.0434520000000016</f>
        <v>303.23533900000007</v>
      </c>
      <c r="M2" s="3">
        <f>314.2+(153.3-149.2)+(0.160242+(0.078183-0.076092))+0-27.9-0.0142289999999972</f>
        <v>290.54810400000002</v>
      </c>
      <c r="N2" s="3">
        <f>314.5+(161.3-127.5)+(0.160395+(0.082263-0.065025))+0-51.1-0.0260609999999948</f>
        <v>297.35157200000003</v>
      </c>
      <c r="O2" s="3">
        <f>315+(168.2-124.3)+(0.16065+(0.085782-0.063393))+0-48.5-0.0247349999999951</f>
        <v>310.55830399999996</v>
      </c>
      <c r="P2" s="3">
        <f>315.9+(168.2-122)+(0+(0-0))+0-40.9-0</f>
        <v>321.2</v>
      </c>
      <c r="Q2" s="3">
        <f>377.7+(158.9-159.1)+(-0.385254+(-0.162078--0.162282))+0-42.2--0.0430440000000067</f>
        <v>334.95799400000004</v>
      </c>
      <c r="R2" s="3">
        <f>385.5+(155.7-157.3)+(0+(0-0))+0-50.2-0</f>
        <v>333.7</v>
      </c>
      <c r="S2" s="3">
        <f>386.6+(162.9-184.7)+(0+(0-0))+0-33.4-0</f>
        <v>331.40000000000009</v>
      </c>
      <c r="T2" s="3">
        <f>387.1+(149.5-180.5)+(-0.394842+(-0.15249--0.18411))+0-27--0.0275400000000043</f>
        <v>328.764318</v>
      </c>
      <c r="U2" s="3">
        <f>386.4+(142.9-172.4)+(-0.788256+(-0.291516--0.351696))+0-28.5--0.0581399999999988</f>
        <v>327.73006399999997</v>
      </c>
      <c r="V2" s="3">
        <f>387.7+(157.2-173.4)+(0.395454+(0.160344-0.176868))+0-45.6-0.0465120000000073</f>
        <v>326.232418</v>
      </c>
      <c r="W2" s="3">
        <f>388.5+(184.3-168.9)+(-0.39627+(-0.187986--0.172278))+0-70.5--0.0719100000000112</f>
        <v>333.059932</v>
      </c>
      <c r="X2" s="3">
        <f>391.5+(171.3-153.9)+(-0.39933+(-0.174726--0.156978))+0-69--0.070380000000011</f>
        <v>339.55330199999997</v>
      </c>
      <c r="Y2" s="3">
        <f>411+(197.2-146.5)+(0+(0-0))+0-79-0</f>
        <v>382.7</v>
      </c>
      <c r="Z2" s="3">
        <f>410+(184.5-122.2)+(-0.6273+(-0.282285--0.186966))+0-80.8--0.123624000000005</f>
        <v>390.901005</v>
      </c>
      <c r="AA2" s="3">
        <f>409+(159.9-113.2)+(-0.41718+(-0.163098--0.115464))+0-72.3--0.0737460000000115</f>
        <v>383.00893200000002</v>
      </c>
      <c r="AB2" s="3">
        <f>411+(146.9-106.3)+(0.41922+(0.149838-0.108426))+0-69.9-0.0712980000000112</f>
        <v>382.08933399999995</v>
      </c>
      <c r="AC2" s="3">
        <f>411+(162.7-134.2)+(-0.20961+(-0.082977--0.068442))+0-69.4--0.035393999999993</f>
        <v>369.911249</v>
      </c>
      <c r="AD2" s="2">
        <v>393.79999999999995</v>
      </c>
      <c r="AE2" s="3">
        <f>411+(214.3-124.3)+(0+(0-0))+0-107.2-0</f>
        <v>393.8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415+(147.3-131.5)+(-0.63495+(-0.225369--0.201195))+0-68.5--0.104805000000004</f>
        <v>361.74568099999999</v>
      </c>
      <c r="G3" s="3">
        <f>416+(146.4-144)+(-0.21216+(-0.074664--0.07344))+0-73.6--0.0375359999999925</f>
        <v>344.62415199999992</v>
      </c>
      <c r="H3" s="3">
        <f>414+(124.7-158.4)+(-0.21114+(-0.063597--0.080784))+0-46.9--0.0239189999999952</f>
        <v>333.22996599999999</v>
      </c>
      <c r="I3" s="3">
        <f>414+(131.2-170.4)+(0.84456+(0.267648-0.347616))+0-48.4-0.0987359999999979</f>
        <v>327.065856</v>
      </c>
      <c r="J3" s="3">
        <f>417+(131.8-162.8)+(0+(0-0))+0-56.5-0</f>
        <v>329.5</v>
      </c>
      <c r="K3" s="3">
        <f>412+(142.2-155.4)+(0.21012+(0.072522-0.079254))+0-79.1-0.040340999999992</f>
        <v>319.86304699999994</v>
      </c>
      <c r="L3" s="3">
        <f>412+(136.2-160.2)+(0.21012+(0.069462-0.081702))+0-72.4-0.0369239999999927</f>
        <v>315.76095599999996</v>
      </c>
      <c r="M3" s="3">
        <f>412+(130.4-175.2)+(-0.84048+(-0.266016--0.357408))+0-53.6--0.109343999999998</f>
        <v>312.96025600000007</v>
      </c>
      <c r="N3" s="3">
        <f>414+(129.9-165.6)+(-0.21114+(-0.066249--0.084456))+0-57.3--0.0292229999999942</f>
        <v>320.83629000000002</v>
      </c>
      <c r="O3" s="3">
        <f>414+(130-155.4)+(0.21114+(0.0663-0.079254))+0-60.4-0.0308039999999939</f>
        <v>328.36738200000008</v>
      </c>
      <c r="P3" s="3">
        <f>413+(131.9-152.7)+(-0.21063+(-0.067269--0.077877))+0-56.5--0.0288149999999943</f>
        <v>335.52879300000006</v>
      </c>
      <c r="Q3" s="3">
        <f>411+(144.8-143.6)+(0+(0-0))+0-59-0</f>
        <v>353.20000000000005</v>
      </c>
      <c r="R3" s="3">
        <f>403+(153-143.1)+(-1.02765+(-0.39015--0.364905))+0-52--0.132599999999992</f>
        <v>359.97970499999997</v>
      </c>
      <c r="S3" s="3">
        <f>401.1+(158.9-155.2)+(0.409122+(0.162078-0.158304))+0-56.3-0.057426000000009</f>
        <v>348.85547000000003</v>
      </c>
      <c r="T3" s="3">
        <f>400.8+(153-160.3)+(-0.408816+(-0.15606--0.163506))+0-54.1--0.0551820000000086</f>
        <v>339.05381199999999</v>
      </c>
      <c r="U3" s="3">
        <f>400.8+(150.4-166.4)+(-0.817632+(-0.306816--0.339456))+0-46.9--0.0956759999999979</f>
        <v>337.21068400000007</v>
      </c>
      <c r="V3" s="3">
        <f>399.7+(146.7-159.7)+(0+(0-0))+0-48.4-0</f>
        <v>338.3</v>
      </c>
      <c r="W3" s="3">
        <f>401+(153.4-159.4)+(0.20451+(0.078234-0.081294))+0-56.6-0.0288659999999943</f>
        <v>338.57258400000001</v>
      </c>
      <c r="X3" s="3">
        <f>400.8+(190-182.8)+(-0.613224+(-0.2907--0.279684))+0-66.3--0.101439000000004</f>
        <v>341.17719900000003</v>
      </c>
      <c r="Y3" s="3">
        <f>400.5+(257.8-208.1)+(0+(0-0))+0-60.8-0</f>
        <v>389.40000000000003</v>
      </c>
      <c r="Z3" s="3">
        <f>399.7+(256.1-180.6)+(-1.223082+(-0.783666--0.552636))+0-88--0.26928000000001</f>
        <v>386.01516800000007</v>
      </c>
      <c r="AA3" s="3">
        <f>401.1+(192.6-140.1)+(-0.204561+(-0.098226--0.071451))+0-68.1--0.0347309999999931</f>
        <v>385.30339500000002</v>
      </c>
      <c r="AB3" s="3">
        <f>401.3+(181.2-127.2)+(-0.409326+(-0.184824--0.129744))+0-76.6--0.0781320000000122</f>
        <v>378.31372600000003</v>
      </c>
      <c r="AC3" s="3">
        <f>402.3+(154.6-120.1)+(-0.615519+(-0.236538--0.183753))+0-68.9--0.105417000000004</f>
        <v>367.33711300000004</v>
      </c>
      <c r="AD3" s="2">
        <v>394.1</v>
      </c>
      <c r="AE3" s="3">
        <f>399+(282.6-196.9)+(0+(0-0))+0-90.6-0</f>
        <v>394.1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404.4+(127.7-143.1)+(-0.412488+(-0.130254--0.145962))+0-48.6--0.0495720000000077</f>
        <v>340.05279200000001</v>
      </c>
      <c r="G4" s="3">
        <f>396.8+(124.9-159.2)+(-0.607104+(-0.191097--0.243576))+0-35.6--0.0544680000000021</f>
        <v>326.39984299999998</v>
      </c>
      <c r="H4" s="3">
        <f>334.5+(131.1-127.6)+(-0.170595+(-0.066861--0.065076))+0-31.4--0.0160139999999968</f>
        <v>306.44363400000003</v>
      </c>
      <c r="I4" s="3">
        <f>334.3+(136.5-128.1)+(0+(0-0))+0-47.2-0</f>
        <v>295.50000000000006</v>
      </c>
      <c r="J4" s="3">
        <f>333+(135.6-120.2)+(-0.50949+(-0.207468--0.183906))+0-48.9--0.0748170000000028</f>
        <v>299.041765</v>
      </c>
      <c r="K4" s="3">
        <f>330+(149.7-103.8)+(-0.1683+(-0.076347--0.052938))+0-72.4--0.0369239999999927</f>
        <v>303.34521499999994</v>
      </c>
      <c r="L4" s="3">
        <f>383.4+(142-151)+(-0.782136+(-0.28968--0.30804))+0-57.1--0.116483999999998</f>
        <v>316.65270799999996</v>
      </c>
      <c r="M4" s="3">
        <f>407.8+(130.8-160.5)+(-1.247868+(-0.400248--0.49113))+0-68.9--0.210834000000008</f>
        <v>308.253848</v>
      </c>
      <c r="N4" s="3">
        <f>412+(145-169.8)+(0.42024+(0.1479-0.173196))+0-56.6-0.057732000000009</f>
        <v>330.93721199999999</v>
      </c>
      <c r="O4" s="3">
        <f>410+(152.7-168)+(0.2091+(0.077877-0.08568))+0-68.7-0.035036999999993</f>
        <v>326.16626000000002</v>
      </c>
      <c r="P4" s="3">
        <f>407.4+(174.9-181.9)+(0.415548+(0.178398-0.185538))+0-62.8-0.06405600000001</f>
        <v>337.94435199999998</v>
      </c>
      <c r="Q4" s="3">
        <f>399.1+(201.7-199)+(0+(0-0))+0-59.9-0</f>
        <v>341.90000000000003</v>
      </c>
      <c r="R4" s="3">
        <f>398.9+(197.2-189.4)+(-1.017195+(-0.50286--0.48297))+0-64.2--0.163709999999991</f>
        <v>341.62662499999993</v>
      </c>
      <c r="S4" s="3">
        <f>398.6+(206.9-197.7)+(-0.813144+(-0.422076--0.403308))+0-68.6--0.139943999999997</f>
        <v>338.50803200000007</v>
      </c>
      <c r="T4" s="3">
        <f>397.9+(175.1-165.7)+(-0.405858+(-0.178602--0.169014))+0-73.2--0.0746640000000117</f>
        <v>333.75921799999998</v>
      </c>
      <c r="U4" s="3">
        <f>397.8+(172.4-164.9)+(-0.608634+(-0.263772--0.252297))+0-75.4--0.115362000000004</f>
        <v>329.39525300000003</v>
      </c>
      <c r="V4" s="3">
        <f>397.1+(201.8-193)+(0.202521+(0.102918-0.09843))+0-76.3-0.0389129999999923</f>
        <v>329.76809600000007</v>
      </c>
      <c r="W4" s="3">
        <f>294.6+(275-166.3)+(0.600984+(0.561-0.339252))+0-71.7-0.146267999999997</f>
        <v>332.27646399999998</v>
      </c>
      <c r="X4" s="3">
        <f>261.8+(314.3-155.6)+(-0.133518+(-0.160293--0.079356))+0-78.5--0.040034999999992</f>
        <v>341.82558</v>
      </c>
      <c r="Y4" s="3">
        <f>348+(286.3-181.8)+(0+(0-0))+0-60.5-0</f>
        <v>392</v>
      </c>
      <c r="Z4" s="3">
        <f>405.6+(221.4-152.4)+(-1.03428+(-0.56457--0.38862))+0-65.5--0.16702499999999</f>
        <v>408.05679499999997</v>
      </c>
      <c r="AA4" s="3">
        <f>409.9+(215.8-149.1)+(-0.836196+(-0.440232--0.304164))+0-71.8--0.146471999999997</f>
        <v>403.97420800000003</v>
      </c>
      <c r="AB4" s="3">
        <f>411+(192.4-136.5)+(0+(0-0))+0-65.8-0</f>
        <v>401.09999999999997</v>
      </c>
      <c r="AC4" s="3">
        <f>412.1+(167.9-124)+(0.210171+(0.085629-0.06324))+0-66.2-0.0337619999999933</f>
        <v>389.99879800000002</v>
      </c>
      <c r="AD4" s="2">
        <v>410.6</v>
      </c>
      <c r="AE4" s="3">
        <f>406+(211.6-143.6)+(0+(0-0))+0-63.4-0</f>
        <v>410.6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400.9+(147.7-111.5)+(-1.022295+(-0.376635--0.284325))+0-89.9--0.229244999999987</f>
        <v>346.31463999999994</v>
      </c>
      <c r="G5" s="3">
        <f>333.2+(170.7-74.7)+(-0.679728+(-0.348228--0.152388))+0-102.5--0.209099999999996</f>
        <v>326.03353199999998</v>
      </c>
      <c r="H5" s="3">
        <f>332.6+(156.7-62.4)+(0.169626+(0.079917-0.031824))+0-112.8-0.0575279999999886</f>
        <v>314.26019099999996</v>
      </c>
      <c r="I5" s="3">
        <f>333.9+(151.5-64.1)+(-1.021734+(-0.46359--0.196146))+0-105.5--0.322830000000012</f>
        <v>314.83365199999997</v>
      </c>
      <c r="J5" s="3">
        <f>333.1+(152.5-83.8)+(-0.339762+(-0.15555--0.085476))+0-89.2--0.0909840000000142</f>
        <v>312.28114800000003</v>
      </c>
      <c r="K5" s="3">
        <f>332.1+(155.9-77.4)+(0.338742+(0.159018-0.078948))+0-93.8-0.095676000000015</f>
        <v>317.12313599999999</v>
      </c>
      <c r="L5" s="3">
        <f>331.5+(187-61.6)+(-0.507195+(-0.28611--0.094248))+0-108.5--0.166005000000006</f>
        <v>347.86694799999998</v>
      </c>
      <c r="M5" s="3">
        <f>331.4+(192.1-55.9)+(-0.169014+(-0.097971--0.028509))+0-108.9--0.055538999999989</f>
        <v>358.51706299999995</v>
      </c>
      <c r="N5" s="3">
        <f>333.2+(230.5-83.3)+(0.169932+(0.117555-0.042483))+0-106-0.0540599999999892</f>
        <v>374.59094399999998</v>
      </c>
      <c r="O5" s="3">
        <f>367.2+(268.4-138)+(0.187272+(0.136884-0.07038))+0-99.5-0.0507449999999899</f>
        <v>398.30303099999998</v>
      </c>
      <c r="P5" s="3">
        <f>407.7+(306.7-188)+(0+(0-0))+0-109.5-0</f>
        <v>416.9</v>
      </c>
      <c r="Q5" s="3">
        <f>409.1+(343.3-215.6)+(0.208641+(0.175083-0.109956))+0-103.9-0.0529889999999895</f>
        <v>433.12077900000014</v>
      </c>
      <c r="R5" s="3">
        <f>403.2+(357.9-218)+(-0.822528+(-0.730116--0.44472))+0-107.2--0.218687999999995</f>
        <v>435.01076399999988</v>
      </c>
      <c r="S5" s="3">
        <f>401.4+(327.8-191.3)+(-0.614142+(-0.501534--0.292689))+0-113.1--0.173043000000007</f>
        <v>424.15005599999995</v>
      </c>
      <c r="T5" s="3">
        <f>401+(318.2-193.7)+(-0.20451+(-0.162282--0.098787))+0-113--0.0576299999999885</f>
        <v>412.28962499999994</v>
      </c>
      <c r="U5" s="3">
        <f>400+(266.2-160.2)+(-1.02+(-0.67881--0.40851))+0-100.2--0.255509999999985</f>
        <v>404.76520999999997</v>
      </c>
      <c r="V5" s="3">
        <f>400.8+(274.9-172.7)+(0+(0-0))+0-97.1-0</f>
        <v>405.9</v>
      </c>
      <c r="W5" s="3">
        <f>401.4+(299.2-171.8)+(0.204714+(0.152592-0.087618))+0-115.3-0.0588029999999883</f>
        <v>413.71088499999991</v>
      </c>
      <c r="X5" s="3">
        <f>401.4+(298.8-168.4)+(0+(0-0))+0-113.9-0</f>
        <v>417.9</v>
      </c>
      <c r="Y5" s="3">
        <f>402.9+(370.9-182.8)+(0.410958+(0.378318-0.186456))+0-122.9-0.12535800000002</f>
        <v>468.57746199999997</v>
      </c>
      <c r="Z5" s="3">
        <f>405.5+(351.5-152.8)+(-0.41361+(-0.35853--0.155856))+0-134.1--0.136782000000021</f>
        <v>469.62049800000011</v>
      </c>
      <c r="AA5" s="3">
        <f>404.7+(306.9-126.4)+(-0.619191+(-0.469557--0.193392))+0-134--0.205020000000008</f>
        <v>450.50966399999993</v>
      </c>
      <c r="AB5" s="3">
        <f>407.9+(277-101.6)+(0.208029+(0.14127-0.051816))+0-143.1-0.0729809999999855</f>
        <v>440.42450200000002</v>
      </c>
      <c r="AC5" s="3">
        <f>407.5+(247.8-91.9)+(-0.8313+(-0.505512--0.187476))+0-127.4--0.259895999999994</f>
        <v>435.11056000000002</v>
      </c>
      <c r="AD5" s="2">
        <v>493.6</v>
      </c>
      <c r="AE5" s="3">
        <f>404+(367.7-127.2)+(0+(0-0))+0-150.9-0</f>
        <v>493.6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411.8+(252.9-124.2)+(-0.630054+(-0.386937--0.190026))+0-121.5--0.185895000000007</f>
        <v>418.35893000000004</v>
      </c>
      <c r="G6" s="3">
        <f>411.1+(209.2-97)+(-1.048305+(-0.53346--0.24735))+0-124.5--0.317474999999982</f>
        <v>397.78305999999992</v>
      </c>
      <c r="H6" s="3">
        <f>326.9+(267.3-86.2)+(-0.500157+(-0.408969--0.131886))+0-120.9--0.184977000000007</f>
        <v>386.50773700000002</v>
      </c>
      <c r="I6" s="3">
        <f>261.1+(310.4-53.5)+(0+(0-0))+0-139-0</f>
        <v>379</v>
      </c>
      <c r="J6" s="3">
        <f>259.1+(297.8-56.1)+(0+(0-0))+0-123.2-0</f>
        <v>377.60000000000008</v>
      </c>
      <c r="K6" s="3">
        <f>259.4+(302.7-59.3)+(0.132294+(0.154377-0.030243))+0-123.3-0.0628829999999875</f>
        <v>379.69354499999997</v>
      </c>
      <c r="L6" s="3">
        <f>259.6+(296.2-62.5)+(-0.132396+(-0.151062--0.031875))+0-115.5--0.0589049999999883</f>
        <v>377.60732200000001</v>
      </c>
      <c r="M6" s="3">
        <f>259.2+(314.5-67.6)+(0+(0-0))+0-118.5-0</f>
        <v>387.6</v>
      </c>
      <c r="N6" s="3">
        <f>350.9+(271.1-88)+(0+(0-0))+0-131.3-0</f>
        <v>402.7</v>
      </c>
      <c r="O6" s="3">
        <f>387.3+(298.5-143.6)+(0.790092+(0.60894-0.292944))+0-124.5-0.253979999999995</f>
        <v>418.55210800000003</v>
      </c>
      <c r="P6" s="3">
        <f>388.3+(344.7-182.2)+(0.396066+(0.351594-0.185844))+0-124.4-0.12688800000002</f>
        <v>426.83492799999999</v>
      </c>
      <c r="Q6" s="3">
        <f>388+(294.6-127.8)+(-0.79152+(-0.600984--0.260712))+0-113--0.230519999999995</f>
        <v>440.89872799999995</v>
      </c>
      <c r="R6" s="3">
        <f>388.5+(332.5-161.6)+(-0.39627+(-0.33915--0.164832))+0-117.2--0.119544000000019</f>
        <v>441.74895599999996</v>
      </c>
      <c r="S6" s="3">
        <f>387.7+(307.5-137.8)+(-0.790908+(-0.6273--0.281112))+0-123.3--0.251531999999995</f>
        <v>433.21443599999992</v>
      </c>
      <c r="T6" s="3">
        <f>389.8+(326.1-181.4)+(0.198798+(0.166311-0.092514))+0-120-0.0611999999999878</f>
        <v>414.71139500000004</v>
      </c>
      <c r="U6" s="3">
        <f>351.8+(344.8-163.8)+(-0.538254+(-0.527544--0.250614))+0-124.9--0.191097000000007</f>
        <v>407.27591299999995</v>
      </c>
      <c r="V6" s="3">
        <f>283.6+(373-128.9)+(-0.289272+(-0.38046--0.131478))+0-116.6--0.118932000000019</f>
        <v>410.680678</v>
      </c>
      <c r="W6" s="3">
        <f>284.1+(385.3-132.6)+(-1.014237+(-1.375521--0.473382))+0-118.3--0.422331000000002</f>
        <v>417.00595500000003</v>
      </c>
      <c r="X6" s="3">
        <f>283.4+(372.4-108.6)+(-0.144534+(-0.189924--0.055386))+0-130--0.0662999999999868</f>
        <v>416.9872279999999</v>
      </c>
      <c r="Y6" s="3">
        <f>351.3+(418.9-171.9)+(0.358326+(0.427278-0.175338))+0-131.9-0.134538000000021</f>
        <v>466.87572799999998</v>
      </c>
      <c r="Z6" s="3">
        <f>402.7+(375.1-162.8)+(-0.616131+(-0.573903--0.249084))+0-131.2--0.200736000000008</f>
        <v>483.05978599999997</v>
      </c>
      <c r="AA6" s="3">
        <f>404.6+(319.6-118.2)+(-0.412692+(-0.325992--0.120564))+0-138.7--0.141474000000022</f>
        <v>466.82335400000005</v>
      </c>
      <c r="AB6" s="3">
        <f>410.8+(283.1-117.2)+(-0.209508+(-0.144381--0.059772))+0-120.9--0.0616589999999877</f>
        <v>455.567542</v>
      </c>
      <c r="AC6" s="3">
        <f>412.2+(245.2-86.8)+(0+(0-0))+0-123.9-0</f>
        <v>446.69999999999993</v>
      </c>
      <c r="AD6" s="2">
        <v>460.49999999999994</v>
      </c>
      <c r="AE6" s="3">
        <f>401+(398.5-183.7)+(0+(0-0))+0-155.3-0</f>
        <v>460.49999999999994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414.4+(212.8-77.5)+(-0.422688+(-0.217056--0.07905))+0-116.4--0.118728000000019</f>
        <v>432.85803400000009</v>
      </c>
      <c r="G7" s="3">
        <f>406.4+(210.7-76.1)+(-0.414528+(-0.214914--0.077622))+0-131.3--0.133926000000021</f>
        <v>409.282106</v>
      </c>
      <c r="H7" s="3">
        <f>326+(242.4-49.2)+(-0.33252+(-0.247248--0.050184))+0-131.1--0.133722000000021</f>
        <v>387.70413800000006</v>
      </c>
      <c r="I7" s="3">
        <f>324.5+(243.5-56.4)+(0.165495+(0.124185-0.028764))+0-126.6-0.0645659999999871</f>
        <v>385.19635000000005</v>
      </c>
      <c r="J7" s="3">
        <f>323.8+(267.6-69.3)+(-0.330276+(-0.272952--0.070686))+0-136.4--0.139128000000022</f>
        <v>385.30658600000004</v>
      </c>
      <c r="K7" s="3">
        <f>324.7+(258.5-84.5)+(0.827985+(0.659175-0.215475))+0-117.3-0.299114999999983</f>
        <v>382.37257</v>
      </c>
      <c r="L7" s="3">
        <f>324.4+(243.2-69)+(0.165444+(0.124032-0.03519))+0-117.1-0.0597209999999881</f>
        <v>381.69456500000001</v>
      </c>
      <c r="M7" s="3">
        <f>324.6+(238-56.6)+(0+(0-0))+0-111.3-0</f>
        <v>394.7</v>
      </c>
      <c r="N7" s="3">
        <f>328.2+(243.9-35)+(-0.502146+(-0.373167--0.05355))+0-126.9--0.194157000000007</f>
        <v>409.57239400000003</v>
      </c>
      <c r="O7" s="3">
        <f>384+(218.1-60.6)+(-0.39168+(-0.222462--0.061812))+0-111.5--0.113730000000018</f>
        <v>429.56140000000005</v>
      </c>
      <c r="P7" s="3">
        <f>387.5+(233-74.5)+(0.39525+(0.23766-0.07599))+0-102.7-0.104754000000016</f>
        <v>443.75216599999999</v>
      </c>
      <c r="Q7" s="3">
        <f>387.2+(246-60.3)+(-0.789888+(-0.50184--0.123012))+0-112--0.228479999999995</f>
        <v>459.95976399999995</v>
      </c>
      <c r="R7" s="3">
        <f>388.3+(242.8-55.9)+(-0.594099+(-0.371484--0.085527))+0-116.9--0.178857000000007</f>
        <v>457.59880100000009</v>
      </c>
      <c r="S7" s="3">
        <f>388.4+(238.4-54.4)+(-0.792336+(-0.486336--0.110976))+0-120.8--0.246431999999995</f>
        <v>450.67873599999996</v>
      </c>
      <c r="T7" s="3">
        <f>389.2+(223.6-68.2)+(-0.793968+(-0.456144--0.139128))+0-106.8--0.217871999999995</f>
        <v>436.90688799999987</v>
      </c>
      <c r="U7" s="3">
        <f>389.7+(215.6-51.4)+(0+(0-0))+0-125.5-0</f>
        <v>428.4</v>
      </c>
      <c r="V7" s="3">
        <f>388.3+(226.8-55)+(-0.594099+(-0.347004--0.08415))+0-126.1--0.192933000000007</f>
        <v>433.33598000000001</v>
      </c>
      <c r="W7" s="3">
        <f>389.1+(229.9-44.1)+(0.396882+(0.234498-0.044982))+0-141.3-0.144126000000023</f>
        <v>434.04227200000008</v>
      </c>
      <c r="X7" s="3">
        <f>388.9+(237.3-58.9)+(-0.991695+(-0.605115--0.150195))+0-128.7--0.328184999999981</f>
        <v>437.48156999999998</v>
      </c>
      <c r="Y7" s="3">
        <f>389+(279.6-48.2)+(0.19839+(0.142596-0.024582))+0-131.5-0.0670649999999867</f>
        <v>489.14933900000011</v>
      </c>
      <c r="Z7" s="3">
        <f>387.5+(273-52.1)+(-0.39525+(-0.27846--0.053142))+0-128.5--0.13107000000002</f>
        <v>479.41050199999995</v>
      </c>
      <c r="AA7" s="3">
        <f>385.9+(261.2-52.1)+(-0.984045+(-0.66606--0.132855))+0-126.3--0.322064999999982</f>
        <v>467.50481500000001</v>
      </c>
      <c r="AB7" s="3">
        <f>386+(233.3-54.4)+(-0.9843+(-0.594915--0.13872))+0-112.7--0.287384999999984</f>
        <v>451.04688999999991</v>
      </c>
      <c r="AC7" s="3">
        <f>386.2+(250-79.4)+(0.393924+(0.255-0.080988))+0-117.4-0.119748000000019</f>
        <v>439.84818799999999</v>
      </c>
      <c r="AD7" s="2">
        <v>487.39999999999992</v>
      </c>
      <c r="AE7" s="3">
        <f>389+(265.8-54.1)+(0+(0-0))+0-113.3-0</f>
        <v>487.40000000000003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385.6+(256.8-74.4)+(-0.786624+(-0.523872--0.151776))+0-133.5--0.272339999999994</f>
        <v>433.61361999999997</v>
      </c>
      <c r="G8" s="3">
        <f>385.3+(249.8-119.3)+(-0.786012+(-0.509592--0.243372))+0-101.8--0.207671999999996</f>
        <v>413.15543999999994</v>
      </c>
      <c r="H8" s="3">
        <f>386.2+(270-123.1)+(0.787848+(0.5508-0.251124))+0-129.5-0.264179999999994</f>
        <v>404.42334400000004</v>
      </c>
      <c r="I8" s="3">
        <f>385+(297.7-159.4)+(0.3927+(0.303654-0.162588))+0-122.7-0.12515400000002</f>
        <v>401.00861199999997</v>
      </c>
      <c r="J8" s="3">
        <f>384.4+(288.5-151.4)+(-0.98022+(-0.735675--0.38607))+0-129.2--0.329459999999981</f>
        <v>391.29963499999997</v>
      </c>
      <c r="K8" s="3">
        <f>384.7+(293.3-152.6)+(-0.392394+(-0.299166--0.155652))+0-135.2--0.137904000000022</f>
        <v>389.80199600000009</v>
      </c>
      <c r="L8" s="3">
        <f>382.5+(258.6-131.3)+(0.975375+(0.65943-0.334815))+0-121.7-0.310334999999982</f>
        <v>389.08965499999999</v>
      </c>
      <c r="M8" s="3">
        <f>380.4+(256.1-103.4)+(-0.582012+(-0.391833--0.158202))+0-130.6--0.199818000000008</f>
        <v>401.88417499999997</v>
      </c>
      <c r="N8" s="3">
        <f>373.4+(247.5-94.6)+(0.380868+(0.25245-0.096492))+0-110.2-0.112404000000018</f>
        <v>416.52442199999996</v>
      </c>
      <c r="O8" s="3">
        <f>379+(262.9-76.5)+(0.38658+(0.268158-0.07803))+0-124.3-0.12678600000002</f>
        <v>441.54992199999998</v>
      </c>
      <c r="P8" s="3">
        <f>380+(244.2-64.5)+(0.3876+(0.249084-0.06579))+0-112.6-0.114852000000018</f>
        <v>447.55604199999993</v>
      </c>
      <c r="Q8" s="3">
        <f>384.8+(251.9-61.6)+(0.196248+(0.128469-0.031416))+0-110.3-0.0562529999999888</f>
        <v>465.03704800000008</v>
      </c>
      <c r="R8" s="3">
        <f>390.1+(260.6-62.2)+(0+(0-0))+0-122.4-0</f>
        <v>466.1</v>
      </c>
      <c r="S8" s="3">
        <f>386.4+(257.9-64.3)+(-0.788256+(-0.526116--0.131172))+0-116.9--0.238475999999995</f>
        <v>462.15527599999996</v>
      </c>
      <c r="T8" s="3">
        <f>387.6+(246.1-66.7)+(-0.593028+(-0.376533--0.102051))+0-120.8--0.184824000000007</f>
        <v>445.51731399999994</v>
      </c>
      <c r="U8" s="3">
        <f>383.7+(233.8-63.1)+(-0.391374+(-0.238476--0.064362))+0-119--0.121380000000019</f>
        <v>434.95589200000006</v>
      </c>
      <c r="V8" s="3">
        <f>387.3+(232.6-63)+(-0.592569+(-0.355878--0.09639))+0-109.3--0.167229000000006</f>
        <v>446.91517200000004</v>
      </c>
      <c r="W8" s="3">
        <f>385.4+(238.7-61.8)+(-0.393108+(-0.243474--0.063036))+0-112.8--0.115056000000018</f>
        <v>449.04151000000002</v>
      </c>
      <c r="X8" s="3">
        <f>386.7+(248.3-62.4)+(0.197217+(0.126633-0.031824))+0-114.1-0.0581909999999884</f>
        <v>458.733835</v>
      </c>
      <c r="Y8" s="3">
        <f>381.4+(314.9-73.6)+(0.389028+(0.321198-0.075072))+0-125.4-0.12790800000002</f>
        <v>497.80724599999985</v>
      </c>
      <c r="Z8" s="3">
        <f>387.6+(297.3-70.9)+(-0.593028+(-0.454869--0.108477))+0-116.7--0.178551000000007</f>
        <v>496.539131</v>
      </c>
      <c r="AA8" s="3">
        <f>393.2+(281.7-69.2)+(-0.200532+(-0.143667--0.035292))+0-124.3--0.0633929999999874</f>
        <v>481.15448600000002</v>
      </c>
      <c r="AB8" s="3">
        <f>395.9+(251.3-65)+(0+(0-0))+0-126.4-0</f>
        <v>455.80000000000007</v>
      </c>
      <c r="AC8" s="3">
        <f>396.5+(251.9-66)+(-0.202215+(-0.128469--0.03366))+0-136.7--0.0697169999999861</f>
        <v>445.47269299999999</v>
      </c>
      <c r="AD8" s="2">
        <v>492.79999999999995</v>
      </c>
      <c r="AE8" s="3">
        <f>386+(303.8-66.4)+(0+(0-0))+0-130.6-0</f>
        <v>492.79999999999995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398.2+(243.3-74.2)+(-0.406164+(-0.248166--0.075684))+0-130.6--0.133212000000021</f>
        <v>436.2545659999999</v>
      </c>
      <c r="G9" s="3">
        <f>399.5+(228.9-81.4)+(-0.611235+(-0.350217--0.124542))+0-130.9--0.200277000000008</f>
        <v>415.46336700000006</v>
      </c>
      <c r="H9" s="3">
        <f>397.5+(238.9-103.6)+(-0.202725+(-0.121839--0.052836))+0-124.9--0.0636989999999873</f>
        <v>407.69197099999991</v>
      </c>
      <c r="I9" s="3">
        <f>363.5+(271.8-100.5)+(-0.37077+(-0.277236--0.10251))+0-135.3--0.138006000000022</f>
        <v>399.09251</v>
      </c>
      <c r="J9" s="3">
        <f>332.7+(289.3-104.3)+(-0.339354+(-0.295086--0.106386))+0-124.2--0.12668400000002</f>
        <v>393.09863000000007</v>
      </c>
      <c r="K9" s="3">
        <f>333.7+(296.9-97)+(0.170187+(0.151419-0.04947))+0-138-0.070379999999986</f>
        <v>395.80175599999995</v>
      </c>
      <c r="L9" s="3">
        <f>334.3+(274.8-101.7)+(0.340986+(0.280296-0.103734))+0-108.8-0.110976000000017</f>
        <v>399.00657200000001</v>
      </c>
      <c r="M9" s="3">
        <f>334+(261.4-60.5)+(-0.17034+(-0.133314--0.030855))+0-129.6--0.0660959999999868</f>
        <v>405.09329699999995</v>
      </c>
      <c r="N9" s="3">
        <f>333.3+(256.6-48.9)+(-0.169983+(-0.130866--0.024939))+0-113.1--0.0576809999999885</f>
        <v>427.68177100000003</v>
      </c>
      <c r="O9" s="3">
        <f>333.7+(280.7-45.2)+(-0.170187+(-0.143157--0.023052))+0-126.3--0.0644129999999872</f>
        <v>442.67412100000001</v>
      </c>
      <c r="P9" s="3">
        <f>333.7+(290.1-43.6)+(0+(0-0))+0-129.8-0</f>
        <v>450.40000000000003</v>
      </c>
      <c r="Q9" s="3">
        <f>334+(303.5-46)+(0.34068+(0.30957-0.04692))+0-129.2-0.131784000000021</f>
        <v>462.771546</v>
      </c>
      <c r="R9" s="3">
        <f>333.8+(300.1-47.6)+(0+(0-0))+0-112.8-0</f>
        <v>473.50000000000006</v>
      </c>
      <c r="S9" s="3">
        <f>333.9+(292.2-57.8)+(-0.851445+(-0.74511--0.14739))+0-99.9--0.254744999999986</f>
        <v>467.20558</v>
      </c>
      <c r="T9" s="3">
        <f>323.7+(281.3-53.3)+(-0.330174+(-0.286926--0.054366))+0-101.5--0.103530000000016</f>
        <v>449.7407960000001</v>
      </c>
      <c r="U9" s="3">
        <f>332+(269.1-63.5)+(-0.50796+(-0.411723--0.097155))+0-97.9--0.149787000000006</f>
        <v>439.02725900000002</v>
      </c>
      <c r="V9" s="3">
        <f>326.9+(278.8-70.7)+(0+(0-0))+0-106-0</f>
        <v>429</v>
      </c>
      <c r="W9" s="3">
        <f>336.4+(292.6-74.8)+(0.85782+(0.74613-0.19074))+0-128.4-0.327419999999981</f>
        <v>426.88579000000016</v>
      </c>
      <c r="X9" s="3">
        <f>332.5+(276.7-75.1)+(0.6783+(0.564468-0.153204))+0-106.1-0.216443999999995</f>
        <v>428.87312000000003</v>
      </c>
      <c r="Y9" s="3">
        <f>398.6+(312-100.9)+(0.406572+(0.31824-0.102918))+0-135-0.137700000000022</f>
        <v>475.18419400000005</v>
      </c>
      <c r="Z9" s="3">
        <f>388.6+(311.9-92.6)+(0.198186+(0.159069-0.047226))+0-134.4-0.0685439999999864</f>
        <v>473.74148500000001</v>
      </c>
      <c r="AA9" s="3">
        <f>398.1+(295.6-87.5)+(0+(0-0))+0-132.2-0</f>
        <v>474.00000000000006</v>
      </c>
      <c r="AB9" s="3">
        <f>401.9+(264.1-78.2)+(-0.614907+(-0.404073--0.119646))+0-123.8--0.189414000000007</f>
        <v>463.29007999999999</v>
      </c>
      <c r="AC9" s="3">
        <f>403.9+(245.6-66.4)+(-0.205989+(-0.125256--0.033864))+0-130.5--0.0665549999999868</f>
        <v>452.36917399999993</v>
      </c>
      <c r="AD9" s="2">
        <v>499.40000000000003</v>
      </c>
      <c r="AE9" s="3">
        <f>397+(310.6-103.9)+(0+(0-0))+0-104.3-0</f>
        <v>499.40000000000003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400+(256.4-88.1)+(-0.612+(-0.392292--0.134793))+0-131.5--0.201195000000008</f>
        <v>436.13169599999992</v>
      </c>
      <c r="G10" s="3">
        <f>399.5+(214.3-64.7)+(0+(0-0))+0-128.9-0</f>
        <v>420.20000000000005</v>
      </c>
      <c r="H10" s="3">
        <f>390.4+(211.2-64.1)+(-0.597312+(-0.323136--0.098073))+0-129.3--0.197829000000007</f>
        <v>407.57545400000004</v>
      </c>
      <c r="I10" s="3">
        <f>269+(297.4-41.7)+(-0.41157+(-0.455022--0.063801))+0-132.6--0.202878000000008</f>
        <v>391.50008700000006</v>
      </c>
      <c r="J10" s="3">
        <f>261.8+(294-41.1)+(-0.400554+(-0.44982--0.062883))+0-125.4--0.191862000000007</f>
        <v>388.70437100000004</v>
      </c>
      <c r="K10" s="3">
        <f>260.8+(296.9-40.7)+(0+(0-0))+0-132.1-0</f>
        <v>384.9</v>
      </c>
      <c r="L10" s="3">
        <f>259.8+(291.8-41.5)+(0+(0-0))+0-129-0</f>
        <v>381.1</v>
      </c>
      <c r="M10" s="3">
        <f>259.8+(285.7-38.8)+(-0.132498+(-0.145707--0.019788))+0-109.7--0.0559469999999889</f>
        <v>396.79752999999999</v>
      </c>
      <c r="N10" s="3">
        <f>349.6+(255.6-58.8)+(0+(0-0))+0-134.8-0</f>
        <v>411.60000000000008</v>
      </c>
      <c r="O10" s="3">
        <f>396.5+(278.4-100.3)+(-0.40443+(-0.283968--0.102306))+0-137.2--0.139944000000022</f>
        <v>436.95385199999993</v>
      </c>
      <c r="P10" s="3">
        <f>391.7+(292.4-120.5)+(-0.199767+(-0.149124--0.061455))+0-118.1--0.060230999999988</f>
        <v>445.27279499999992</v>
      </c>
      <c r="Q10" s="3">
        <f>393.2+(326.4-134)+(-0.401064+(-0.332928--0.13668))+0-130--0.132600000000021</f>
        <v>455.13528799999995</v>
      </c>
      <c r="R10" s="3">
        <f>388.2+(323.9-142.1)+(-0.197982+(-0.165189--0.072471))+0-123--0.0627299999999875</f>
        <v>446.77202999999997</v>
      </c>
      <c r="S10" s="3">
        <f>380.7+(347.3-156.2)+(-0.776628+(-0.708492--0.318648))+0-135.6--0.276623999999994</f>
        <v>435.3101519999999</v>
      </c>
      <c r="T10" s="3">
        <f>330.7+(373.6-180.9)+(0.168657+(0.190536-0.092259))+0-106.5-0.0543149999999892</f>
        <v>417.112619</v>
      </c>
      <c r="U10" s="3">
        <f>333.4+(334.8-140.6)+(-0.340068+(-0.341496--0.143412))+0-115.2--0.117504000000018</f>
        <v>411.97935200000006</v>
      </c>
      <c r="V10" s="3">
        <f>354.1+(295.3-139.8)+(-0.180591+(-0.150603--0.071298))+0-96.6--0.0492659999999902</f>
        <v>412.78936999999996</v>
      </c>
      <c r="W10" s="3">
        <f>391.3+(285.1-145.9)+(-0.598689+(-0.436203--0.223227))+0-111.3--0.170289000000006</f>
        <v>418.55862400000007</v>
      </c>
      <c r="X10" s="3">
        <f>390+(285.1-117.2)+(-0.3978+(-0.290802--0.119544))+0-121.7--0.124134000000019</f>
        <v>435.75507600000009</v>
      </c>
      <c r="Y10" s="3">
        <f>396.5+(393.1-182.9)+(0.40443+(0.400962-0.186558))+0-142.4-0.145248000000023</f>
        <v>464.77358600000002</v>
      </c>
      <c r="Z10" s="3">
        <f>399.2+(382.6-180.6)+(-1.221552+(-1.170756--0.552636))+0-135.6--0.414936000000016</f>
        <v>464.17526400000008</v>
      </c>
      <c r="AA10" s="3">
        <f>398.7+(320.1-163)+(0+(0-0))+0-109-0</f>
        <v>446.79999999999995</v>
      </c>
      <c r="AB10" s="3">
        <f>399+(312-159.8)+(-0.20349+(-0.15912--0.081498))+0-112.9--0.0575789999999885</f>
        <v>438.07646700000004</v>
      </c>
      <c r="AC10" s="3">
        <f>396+(287.8-131.7)+(-0.80784+(-0.587112--0.268668))+0-117.7--0.240107999999995</f>
        <v>433.513824</v>
      </c>
      <c r="AD10" s="2">
        <v>467</v>
      </c>
      <c r="AE10" s="3">
        <f>399+(385.5-181.5)+(0+(0-0))+0-136-0</f>
        <v>467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396.2+(279.8-118)+(-0.404124+(-0.285396--0.12036))+0-134.3--0.136986000000021</f>
        <v>423.26782600000001</v>
      </c>
      <c r="G11" s="3">
        <f>393.9+(234.9-105.2)+(-0.602667+(-0.359397--0.160956))+0-118--0.180540000000007</f>
        <v>404.97943199999992</v>
      </c>
      <c r="H11" s="3">
        <f>389.8+(206.2-101.5)+(-0.596394+(-0.315486--0.155295))+0-103.7--0.158661000000006</f>
        <v>390.20207600000003</v>
      </c>
      <c r="I11" s="3">
        <f>390.3+(193.1-92.7)+(-0.199053+(-0.098481--0.047277))+0-104--0.0530399999999895</f>
        <v>386.50278300000002</v>
      </c>
      <c r="J11" s="3">
        <f>390.1+(194.4-91.4)+(0.397902+(0.198288-0.093228))+0-111.7-0.113934000000018</f>
        <v>381.78902800000003</v>
      </c>
      <c r="K11" s="3">
        <f>391.6+(195.1-95)+(0+(0-0))+0-105-0</f>
        <v>386.70000000000005</v>
      </c>
      <c r="L11" s="3">
        <f>390.6+(185.2-99.9)+(-0.796824+(-0.377808--0.203796))+0-99.1--0.202163999999996</f>
        <v>376.03132799999997</v>
      </c>
      <c r="M11" s="3">
        <f>391.5+(185.7-97)+(-0.199665+(-0.094707--0.04947))+0-105.1--0.0536009999999893</f>
        <v>374.90869900000001</v>
      </c>
      <c r="N11" s="3">
        <f>391.1+(191.7-102.8)+(-0.398922+(-0.195534--0.104856))+0-95.5--0.0974100000000152</f>
        <v>384.10781000000003</v>
      </c>
      <c r="O11" s="3">
        <f>391.4+(191.3-126.4)+(-0.199614+(-0.097563--0.064464))+0-64.6--0.0329459999999934</f>
        <v>391.50023299999992</v>
      </c>
      <c r="P11" s="3">
        <f>391.5+(237.6-170.9)+(-0.39933+(-0.242352--0.174318))+0-61.2--0.0624240000000098</f>
        <v>396.59506000000005</v>
      </c>
      <c r="Q11" s="3">
        <f>391.1+(258.2-185.2)+(-0.598383+(-0.395046--0.283356))+0-60.9--0.0931770000000035</f>
        <v>402.58310400000005</v>
      </c>
      <c r="R11" s="3">
        <f>390.4+(293.9-205.2)+(-0.398208+(-0.299778--0.209304))+0-74.6--0.0760920000000119</f>
        <v>404.08740999999998</v>
      </c>
      <c r="S11" s="3">
        <f>389.9+(310.9-211)+(-0.596547+(-0.475677--0.32283))+0-92.6--0.141678000000005</f>
        <v>396.59228400000001</v>
      </c>
      <c r="T11" s="3">
        <f>390.5+(302.7-187.4)+(-0.597465+(-0.463131--0.286722))+0-102.7--0.157131000000006</f>
        <v>402.48325699999998</v>
      </c>
      <c r="U11" s="3">
        <f>389.3+(310.6-190.3)+(-0.595629+(-0.475218--0.291159))+0-113.8--0.174114000000007</f>
        <v>395.19442600000002</v>
      </c>
      <c r="V11" s="3">
        <f>387.2+(310.1-181.9)+(-1.184832+(-0.948906--0.556614))+0-121.1--0.370566000000014</f>
        <v>393.09344199999992</v>
      </c>
      <c r="W11" s="3">
        <f>387.6+(267.9-133.8)+(-0.395352+(-0.273258--0.136476))+0-122.7--0.12515400000002</f>
        <v>398.59302000000002</v>
      </c>
      <c r="X11" s="3">
        <f>388.8+(280-127.6)+(0.198288+(0.1428-0.065076))+0-128.6-0.0655859999999869</f>
        <v>412.81042600000006</v>
      </c>
      <c r="Y11" s="3">
        <f>389.4+(354.9-158.3)+(0+(0-0))+0-136-0</f>
        <v>450</v>
      </c>
      <c r="Z11" s="3">
        <f>397.4+(350.5-185.8)+(-0.810696+(-0.71502--0.379032))+0-114.3--0.233171999999995</f>
        <v>446.88648799999982</v>
      </c>
      <c r="AA11" s="3">
        <f>393.4+(350-195.6)+(-0.401268+(-0.357--0.199512))+0-113.8--0.116076000000018</f>
        <v>433.55731999999995</v>
      </c>
      <c r="AB11" s="3">
        <f>349.7+(360.2-180.8)+(-0.178347+(-0.183702--0.092208))+0-94.6--0.0482459999999904</f>
        <v>434.27840499999985</v>
      </c>
      <c r="AC11" s="3">
        <f>322.7+(361.4-143.3)+(-0.493731+(-0.552942--0.219249))+0-114.4--0.175032000000007</f>
        <v>425.74760800000001</v>
      </c>
      <c r="AD11" s="2">
        <v>454.49999999999989</v>
      </c>
      <c r="AE11" s="3">
        <f>398+(308.3-159.7)+(0+(0-0))+0-92.1-0</f>
        <v>454.5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324.9+(354.8-154.2)+(-0.497097+(-0.542844--0.235926))+0-122--0.186660000000007</f>
        <v>402.88264499999997</v>
      </c>
      <c r="G12" s="3">
        <f>324.9+(316.8-148.6)+(-0.331398+(-0.323136--0.151572))+0-110.5--0.112710000000018</f>
        <v>382.20974799999999</v>
      </c>
      <c r="H12" s="3">
        <f>324.7+(285.9-113.3)+(0.331194+(0.291618-0.115566))+0-124.2-0.12668400000002</f>
        <v>373.48056199999996</v>
      </c>
      <c r="I12" s="3">
        <f>324.8+(254.9-93)+(0.496944+(0.389997-0.14229))+0-125.3-0.191709000000007</f>
        <v>361.95294200000001</v>
      </c>
      <c r="J12" s="3">
        <f>324.8+(225-92.7)+(0.165648+(0.11475-0.047277))+0-97.1-0.0495209999999901</f>
        <v>360.18360000000001</v>
      </c>
      <c r="K12" s="3">
        <f>323.8+(227.4-77.8)+(0.495414+(0.347922-0.119034))+0-114-0.174420000000007</f>
        <v>359.94988200000006</v>
      </c>
      <c r="L12" s="3">
        <f>325.8+(198.6-75.9)+(-0.498474+(-0.303858--0.116127))+0-96.8--0.148104000000006</f>
        <v>351.16189900000001</v>
      </c>
      <c r="M12" s="3">
        <f>325.8+(192.1-72.9)+(-0.332316+(-0.195942--0.074358))+0-99.4--0.101388000000016</f>
        <v>345.24748800000009</v>
      </c>
      <c r="N12" s="3">
        <f>326+(211.9-70.6)+(-0.16626+(-0.108069--0.036006))+0-101--0.0515099999999898</f>
        <v>366.11318700000004</v>
      </c>
      <c r="O12" s="3">
        <f>319.5+(222.8-60.3)+(0.32589+(0.227256-0.061506))+0-110.4-0.112608000000018</f>
        <v>371.97903199999996</v>
      </c>
      <c r="P12" s="3">
        <f>338.3+(237-88.8)+(0.517599+(0.36261-0.135864))+0-99.7-0.152541000000006</f>
        <v>387.39180400000004</v>
      </c>
      <c r="Q12" s="3">
        <f>395.3+(228.1-101)+(-0.201603+(-0.116331--0.05151))+0-127.1--0.0648209999999871</f>
        <v>395.09839699999992</v>
      </c>
      <c r="R12" s="3">
        <f>394.9+(235.5-129.5)+(-0.402798+(-0.24021--0.13209))+0-109.2--0.111384000000017</f>
        <v>391.30046600000003</v>
      </c>
      <c r="S12" s="3">
        <f>393.8+(279.9-176.6)+(0+(0-0))+0-116.8-0</f>
        <v>380.3</v>
      </c>
      <c r="T12" s="3">
        <f>393+(293.2-207.6)+(0.20043+(0.149532-0.105876))+0-108.5-0.055334999999989</f>
        <v>370.28875099999999</v>
      </c>
      <c r="U12" s="3">
        <f>392.1+(301.3-205.1)+(-0.199971+(-0.153663--0.104601))+0-119--0.0606899999999879</f>
        <v>369.11165700000004</v>
      </c>
      <c r="V12" s="3">
        <f>389.6+(279.5-165.6)+(0.596088+(0.427635-0.253368))+0-130.1-0.199053000000008</f>
        <v>373.97130199999998</v>
      </c>
      <c r="W12" s="3">
        <f>389.7+(211.6-108.9)+(-0.397494+(-0.215832--0.111078))+0-114.7--0.116994000000018</f>
        <v>377.31474600000001</v>
      </c>
      <c r="X12" s="3">
        <f>390.4+(242.4-124.2)+(-0.199104+(-0.123624--0.063342))+0-125.3--0.0639029999999873</f>
        <v>383.10451699999993</v>
      </c>
      <c r="Y12" s="3">
        <f>395.4+(309.6-162.7)+(0.403308+(0.315792-0.165954))+0-112.4-0.114648000000018</f>
        <v>430.3384979999999</v>
      </c>
      <c r="Z12" s="3">
        <f>396.7+(310.4-132.9)+(0.202317+(0.158304-0.067779))+0-141.5-0.0721649999999856</f>
        <v>432.9206769999999</v>
      </c>
      <c r="AA12" s="3">
        <f>396.8+(301.6-132.8)+(0.202368+(0.153816-0.067728))+0-140.8-0.0718079999999857</f>
        <v>425.01664800000003</v>
      </c>
      <c r="AB12" s="3">
        <f>396.3+(266-112.4)+(-0.404226+(-0.27132--0.114648))+0-134--0.136680000000021</f>
        <v>415.47578200000004</v>
      </c>
      <c r="AC12" s="3">
        <f>399.5+(271.1-150.6)+(-0.203745+(-0.138261--0.076806))+0-115.9--0.0591089999999882</f>
        <v>403.89390899999995</v>
      </c>
      <c r="AD12" s="2">
        <v>433.59999999999991</v>
      </c>
      <c r="AE12" s="3">
        <f>396+(334.3-153.2)+(0+(0-0))+0-143.5-0</f>
        <v>433.6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387.7+(192.9-106.9)+(-0.197727+(-0.098379--0.054519))+0-117.3--0.0598229999999881</f>
        <v>356.21823599999999</v>
      </c>
      <c r="G13" s="3">
        <f>386.9+(178.1-97.4)+(-0.394638+(-0.181662--0.099348))+0-127.6--0.13015200000002</f>
        <v>339.65320000000003</v>
      </c>
      <c r="H13" s="3">
        <f>377.2+(159.4-76)+(-0.384744+(-0.162588--0.07752))+0-131.1--0.133722000000021</f>
        <v>329.1639100000001</v>
      </c>
      <c r="I13" s="3">
        <f>334.7+(171-47.2)+(0+(0-0))+0-127.9-0</f>
        <v>330.6</v>
      </c>
      <c r="J13" s="3">
        <f>335+(167.6-58)+(0.17085+(0.085476-0.02958))+0-114.5-0.0583949999999884</f>
        <v>330.26835100000005</v>
      </c>
      <c r="K13" s="3">
        <f>333+(169.5-57.5)+(0.33966+(0.17289-0.05865))+0-122.7-0.12515400000002</f>
        <v>322.62874599999998</v>
      </c>
      <c r="L13" s="3">
        <f>334.6+(184.3-74.5)+(0+(0-0))+0-122.8-0</f>
        <v>321.60000000000002</v>
      </c>
      <c r="M13" s="3">
        <f>333.9+(169.4-86.5)+(-0.170289+(-0.086394--0.044115))+0-110.7--0.0564569999999888</f>
        <v>305.94388899999996</v>
      </c>
      <c r="N13" s="3">
        <f>333.9+(171.1-78.1)+(0.340578+(0.174522-0.079662))+0-117.2-0.119544000000019</f>
        <v>310.01589399999995</v>
      </c>
      <c r="O13" s="3">
        <f>334.2+(166.6-78.6)+(-0.170442+(-0.084966--0.040086))+0-107.2--0.0546719999999891</f>
        <v>314.83934999999997</v>
      </c>
      <c r="P13" s="3">
        <f>333.1+(164-77.9)+(-0.849405+(-0.4182--0.198645))+0-103.3--0.263414999999985</f>
        <v>315.09445500000004</v>
      </c>
      <c r="Q13" s="3">
        <f>334.4+(167.5-71)+(-0.170544+(-0.085425--0.03621))+0-114.4--0.0583439999999884</f>
        <v>316.33858499999991</v>
      </c>
      <c r="R13" s="3">
        <f>334+(175.9-72.8)+(0+(0-0))+0-123.9-0</f>
        <v>313.20000000000005</v>
      </c>
      <c r="S13" s="3">
        <f>334+(170.5-81.2)+(0+(0-0))+0-117.1-0</f>
        <v>306.20000000000005</v>
      </c>
      <c r="T13" s="3">
        <f>334.8+(174.2-89.6)+(-0.341496+(-0.177684--0.091392))+0-116.7--0.119034000000019</f>
        <v>302.39124599999997</v>
      </c>
      <c r="U13" s="3">
        <f>334.4+(165.1-79.5)+(-0.170544+(-0.084201--0.040545))+0-114.6--0.0584459999999884</f>
        <v>305.24424599999998</v>
      </c>
      <c r="V13" s="3">
        <f>335.3+(174.7-85)+(0.171003+(0.089097-0.04335))+0-112.7-0.0574769999999886</f>
        <v>312.459273</v>
      </c>
      <c r="W13" s="3">
        <f>335.1+(184.3-99.3)+(-0.170901+(-0.093993--0.050643))+0-105.9--0.0540089999999893</f>
        <v>314.03975800000006</v>
      </c>
      <c r="X13" s="3">
        <f>342.4+(171-103.8)+(-0.349248+(-0.17442--0.105876))+0-87.3--0.0890460000000139</f>
        <v>321.97125399999993</v>
      </c>
      <c r="Y13" s="3">
        <f>396.4+(234.8-137.6)+(0.202164+(0.119748-0.070176))+0-122.6-0.0625259999999876</f>
        <v>371.18921000000006</v>
      </c>
      <c r="Z13" s="3">
        <f>396.9+(273.5-156.6)+(-0.404838+(-0.27897--0.159732))+0-113.6--0.115872000000018</f>
        <v>399.79179599999992</v>
      </c>
      <c r="AA13" s="3">
        <f>397.9+(273.4-135.2)+(-0.202929+(-0.139434--0.068952))+0-135.1--0.0689009999999863</f>
        <v>400.79548999999986</v>
      </c>
      <c r="AB13" s="3">
        <f>400.4+(268.7-151.8)+(-0.408408+(-0.274074--0.154836))+0-125.2--0.12770400000002</f>
        <v>391.70005799999996</v>
      </c>
      <c r="AC13" s="3">
        <f>405.4+(212.2-114)+(-0.206754+(-0.108222--0.05814))+0-126.1--0.0643109999999872</f>
        <v>377.30747499999995</v>
      </c>
      <c r="AD13" s="2">
        <v>393.1</v>
      </c>
      <c r="AE13" s="3">
        <f>396+(278.5-162.8)+(0+(0-0))+0-118.6-0</f>
        <v>393.1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405.1+(203-122.2)+(-0.413202+(-0.20706--0.124644))+0-127.4--0.12994800000002</f>
        <v>358.13433000000009</v>
      </c>
      <c r="G14" s="3">
        <f>404.6+(180.5-118.1)+(-0.412692+(-0.18411--0.120462))+0-116.8--0.119136000000019</f>
        <v>349.84279600000002</v>
      </c>
      <c r="H14" s="3">
        <f>404.8+(175.8-115.2)+(-0.412896+(-0.179316--0.117504))+0-125.9--0.12841800000002</f>
        <v>339.15371000000005</v>
      </c>
      <c r="I14" s="3">
        <f>406.1+(174.4-116.6)+(-0.414222+(-0.177888--0.118932))+0-124.7--0.12719400000002</f>
        <v>338.85401600000006</v>
      </c>
      <c r="J14" s="3">
        <f>410.1+(172.5-116.1)+(-0.418302+(-0.17595--0.118422))+0-124.4--0.12688800000002</f>
        <v>341.75105800000006</v>
      </c>
      <c r="K14" s="3">
        <f>410.4+(180.5-108.6)+(0.209304+(0.092055-0.055386))+0-133.8-0.0682379999999864</f>
        <v>348.67773499999993</v>
      </c>
      <c r="L14" s="3">
        <f>331.9+(222.3-63.2)+(0+(0-0))+0-114.9-0</f>
        <v>376.1</v>
      </c>
      <c r="M14" s="3">
        <f>258.5+(277.1-25.1)+(0.131835+(0.141321-0.012801))+0-100.5-0.0512549999999898</f>
        <v>410.20910000000003</v>
      </c>
      <c r="N14" s="3">
        <f>258.6+(306.4-29.6)+(-0.131886+(-0.156264--0.015096))+0-89.8--0.0457979999999909</f>
        <v>445.37274399999995</v>
      </c>
      <c r="O14" s="3">
        <f>258+(341.3-34.8)+(0+(0-0))+0-98.5-0</f>
        <v>466</v>
      </c>
      <c r="P14" s="3">
        <f>256+(374.6-37.1)+(0+(0-0))+0-113.9-0</f>
        <v>479.6</v>
      </c>
      <c r="Q14" s="3">
        <f>230+(425.2-31.4)+(-0.1173+(-0.216852--0.016014))+0-121.3--0.0618629999999877</f>
        <v>502.24372499999993</v>
      </c>
      <c r="R14" s="3">
        <f>168+(476.1-23)+(-0.17136+(-0.485622--0.02346))+0-119.1--0.121482000000019</f>
        <v>501.48796000000004</v>
      </c>
      <c r="S14" s="3">
        <f>199.2+(453.9-44.8)+(-0.406368+(-0.925956--0.091392))+0-109.5--0.223379999999995</f>
        <v>497.78244799999993</v>
      </c>
      <c r="T14" s="3">
        <f>215.9+(424.3-49.6)+(-0.330327+(-0.649179--0.075888))+0-100.8--0.154224000000006</f>
        <v>489.05060599999996</v>
      </c>
      <c r="U14" s="3">
        <f>174.1+(454.8-30.7)+(-0.177582+(-0.463896--0.031314))+0-117.7--0.120054000000019</f>
        <v>480.00989000000004</v>
      </c>
      <c r="V14" s="3">
        <f>179.1+(436.2-17.6)+(0+(0-0))+0-114.2-0</f>
        <v>483.49999999999994</v>
      </c>
      <c r="W14" s="3">
        <f>302.7+(347.5-46.9)+(-0.154377+(-0.177225--0.023919))+0-115.7--0.0590069999999883</f>
        <v>487.35132399999998</v>
      </c>
      <c r="X14" s="3">
        <f>367.4+(299.6-55.4)+(-0.187374+(-0.152796--0.028254))+0-122.6--0.0625259999999876</f>
        <v>488.75060999999999</v>
      </c>
      <c r="Y14" s="3">
        <f>365+(312.5-22.4)+(0.18615+(0.159375-0.011424))+0-124-0.0632399999999874</f>
        <v>531.3708610000001</v>
      </c>
      <c r="Z14" s="3">
        <f>364.4+(328.4-23.8)+(-1.115064+(-1.004904--0.072828))+0-126.7--0.387702000000015</f>
        <v>540.64056199999993</v>
      </c>
      <c r="AA14" s="3">
        <f>368.5+(306-19.4)+(-0.563805+(-0.46818--0.029682))+0-126.5--0.193545000000007</f>
        <v>527.79124200000001</v>
      </c>
      <c r="AB14" s="3">
        <f>391.7+(333.7-97.6)+(-0.199767+(-0.170187--0.049776))+0-116.2--0.0592619999999882</f>
        <v>511.3390839999999</v>
      </c>
      <c r="AC14" s="3">
        <f>433.4+(272.2-84.1)+(-0.663102+(-0.416466--0.128673))+0-124.9--0.191097000000007</f>
        <v>495.84020200000009</v>
      </c>
      <c r="AD14" s="2">
        <v>538.29999999999995</v>
      </c>
      <c r="AE14" s="3">
        <f>360+(351.4-46.6)+(0+(0-0))+0-126.5-0</f>
        <v>538.29999999999995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397.7+(273.8-68.4)+(-0.811308+(-0.558552--0.139536))+0-123.1--0.251123999999995</f>
        <v>479.02080000000001</v>
      </c>
      <c r="G15" s="3">
        <f>410.1+(247.4-66)+(-1.045755+(-0.63087--0.1683))+0-126.2--0.321809999999982</f>
        <v>464.11348499999997</v>
      </c>
      <c r="H15" s="3">
        <f>454.9+(228.6-114.3)+(-1.159995+(-0.58293--0.291465))+0-107.3--0.273614999999984</f>
        <v>460.72215499999993</v>
      </c>
      <c r="I15" s="3">
        <f>435.5+(247.2-138.7)+(-0.44421+(-0.252144--0.141474))+0-89.2--0.0909840000000142</f>
        <v>454.33610399999998</v>
      </c>
      <c r="J15" s="3">
        <f>388.5+(289.7-131)+(0.198135+(0.147747-0.06681))+0-98.7-0.05033699999999</f>
        <v>448.72873500000009</v>
      </c>
      <c r="K15" s="3">
        <f>386.1+(287.5-114.1)+(-0.196911+(-0.146625--0.058191))+0-111.7--0.0569669999999887</f>
        <v>447.57162199999999</v>
      </c>
      <c r="L15" s="3">
        <f>386.4+(298.7-141)+(0.197064+(0.152337-0.07191))+0-95.1-0.0485009999999904</f>
        <v>449.22898999999995</v>
      </c>
      <c r="M15" s="3">
        <f>387.2+(310.1-125.1)+(-0.197472+(-0.158151--0.063801))+0-99.4--0.0506939999999899</f>
        <v>472.55887200000001</v>
      </c>
      <c r="N15" s="3">
        <f>386.2+(311.4-100.1)+(0+(0-0))+0-98.7-0</f>
        <v>498.8</v>
      </c>
      <c r="O15" s="3">
        <f>450.1+(278.6-101.1)+(-0.459102+(-0.284172--0.103122))+0-107.2--0.109344000000017</f>
        <v>519.869192</v>
      </c>
      <c r="P15" s="3">
        <f>461.1+(281.2-117.2)+(-0.235161+(-0.143412--0.059772))+0-97.2--0.0495719999999901</f>
        <v>527.63077099999998</v>
      </c>
      <c r="Q15" s="3">
        <f>460.4+(220.8-117.1)+(-1.17402+(-0.56304--0.298605))+0-108.6--0.276929999999984</f>
        <v>454.33847500000002</v>
      </c>
      <c r="R15" s="3">
        <f>376+(274.1-64)+(-0.38352+(-0.279582--0.06528))+0-96--0.0979200000000153</f>
        <v>489.60009800000006</v>
      </c>
      <c r="S15" s="3">
        <f>436+(259.5-80)+(-1.1118+(-0.661725--0.204))+0-91--0.232049999999987</f>
        <v>523.16252499999996</v>
      </c>
      <c r="T15" s="3">
        <f>438+(259.6-87)+(-1.1169+(-0.66198--0.22185))+0-94--0.239699999999986</f>
        <v>515.28266999999994</v>
      </c>
      <c r="U15" s="3">
        <f>438+(271.6-89)+(-0.44676+(-0.277032--0.09078))+0-102--0.104040000000016</f>
        <v>518.07102800000007</v>
      </c>
      <c r="V15" s="3">
        <f>434+(257.9-65)+(-0.88536+(-0.526116--0.1326))+0-97--0.197879999999996</f>
        <v>528.81900399999995</v>
      </c>
      <c r="W15" s="3">
        <f>441+(246.7-80)+(-0.22491+(-0.125817--0.0408))+0-94--0.0479399999999905</f>
        <v>513.43801300000007</v>
      </c>
      <c r="X15" s="3">
        <f>442+(254.9-81)+(0+(0-0))+0-99-0</f>
        <v>516.9</v>
      </c>
      <c r="Y15" s="3">
        <f>456+(230-13)+(0.23256+(0.1173-0.00663))+0-98-0.0499799999999901</f>
        <v>575.29324999999994</v>
      </c>
      <c r="Z15" s="3">
        <f>474+(241.1-23)+(0.48348+(0.245922-0.02346))+0-99-0.100980000000016</f>
        <v>593.70496200000002</v>
      </c>
      <c r="AA15" s="3">
        <f>474+(245.5-40)+(-0.72522+(-0.375615--0.0612))+0-108--0.165240000000006</f>
        <v>570.62560500000006</v>
      </c>
      <c r="AB15" s="3">
        <f>481+(221.1-49)+(0+(0-0))+0-99-0</f>
        <v>554.1</v>
      </c>
      <c r="AC15" s="3">
        <f>478+(244.3-85)+(-0.48756+(-0.249186--0.0867))+0-104--0.106080000000017</f>
        <v>532.756034</v>
      </c>
      <c r="AD15" s="2">
        <v>593</v>
      </c>
      <c r="AE15" s="3">
        <f>475+(258-31.7)+(0+(0-0))+0-108.3-0</f>
        <v>593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485+(246-103.1)+(0+(0-0))+0-119.8-0</f>
        <v>508.09999999999997</v>
      </c>
      <c r="G16" s="3">
        <f>481+(260.5-131.9)+(0+(0-0))+0-112.7-0</f>
        <v>496.90000000000003</v>
      </c>
      <c r="H16" s="3">
        <f>422+(272.7-102.1)+(0+(0-0))+0-126.5-0</f>
        <v>466.1</v>
      </c>
      <c r="I16" s="3">
        <f>377+(320.2-101.4)+(0+(0-0))+0-121.8-0</f>
        <v>473.99999999999994</v>
      </c>
      <c r="J16" s="3">
        <f>377+(328.5-122.2)+(0+(0-0))+0-108.6-0</f>
        <v>474.69999999999993</v>
      </c>
      <c r="K16" s="3">
        <f>383+(345.9-135.6)+(0+(0-0))+0-118.4-0</f>
        <v>474.9</v>
      </c>
      <c r="L16" s="3">
        <f>376.5+(336.1-134.9)+(0.192015+(0.171411-0.068799))+0-112.5-0.0573749999999886</f>
        <v>465.43725200000006</v>
      </c>
      <c r="M16" s="3">
        <f>375.8+(354.2-116.9)+(0.574974+(0.541926-0.178857))+0-122.3-0.187119000000007</f>
        <v>491.55092400000001</v>
      </c>
      <c r="N16" s="3">
        <f>373.2+(349.9-92)+(-0.380664+(-0.356898--0.09384))+0-114--0.116280000000018</f>
        <v>516.57255799999996</v>
      </c>
      <c r="O16" s="3">
        <f>373+(339.3-57.3)+(-0.38046+(-0.346086--0.058446))+0-116.4--0.118728000000019</f>
        <v>538.05062800000007</v>
      </c>
      <c r="P16" s="3">
        <f>370.8+(349-49.9)+(-0.567324+(-0.53397--0.076347))+0-126.7--0.193851000000007</f>
        <v>542.36890400000004</v>
      </c>
      <c r="Q16" s="3">
        <f>372.5+(331.9-50.1)+(0+(0-0))+0-101.2-0</f>
        <v>553.09999999999991</v>
      </c>
      <c r="R16" s="3">
        <f>368.5+(332.1-40.7)+(-1.12761+(-1.016226--0.124542))+0-101.7--0.311202000000012</f>
        <v>556.49190800000008</v>
      </c>
      <c r="S16" s="3">
        <f>372.6+(373.7-102.6)+(0.190026+(0.190587-0.052326))+0-95.8-0.0488579999999903</f>
        <v>548.17942900000014</v>
      </c>
      <c r="T16" s="3">
        <f>370.5+(358.5-107.6)+(-0.37791+(-0.36567--0.109752))+0-95.2--0.0971040000000152</f>
        <v>525.663276</v>
      </c>
      <c r="U16" s="3">
        <f>370.6+(360.5-106.1)+(-0.189006+(-0.183855--0.054111))+0-112.4--0.0573239999999886</f>
        <v>512.33857399999999</v>
      </c>
      <c r="V16" s="3">
        <f>370.6+(365.2-89.9)+(-0.378012+(-0.372504--0.091698))+0-116.2--0.118524000000019</f>
        <v>529.15970599999991</v>
      </c>
      <c r="W16" s="3">
        <f>372.1+(356.1-63.8)+(0+(0-0))+0-122.9-0</f>
        <v>541.50000000000011</v>
      </c>
      <c r="X16" s="3">
        <f>375.7+(331.4-37.3)+(-0.191607+(-0.169014--0.019023))+0-120.1--0.0612509999999878</f>
        <v>549.41965299999993</v>
      </c>
      <c r="Y16" s="3">
        <f>470.9+(291.3-57.5)+(0.240159+(0.148563-0.029325))+0-128.6-0.0655859999999869</f>
        <v>576.39381100000003</v>
      </c>
      <c r="Z16" s="3">
        <f>467.5+(300-55.2)+(-0.715275+(-0.459--0.084456))+0-119.2--0.182376000000007</f>
        <v>592.19255699999985</v>
      </c>
      <c r="AA16" s="3">
        <f>465.9+(298.9-84.7)+(-1.425654+(-0.914634--0.259182))+0-105.4--0.322524000000012</f>
        <v>572.941418</v>
      </c>
      <c r="AB16" s="3">
        <f>465.2+(292.1-81)+(-1.18626+(-0.744855--0.20655))+0-132.9--0.338894999999981</f>
        <v>542.01432999999997</v>
      </c>
      <c r="AC16" s="3">
        <f>466.5+(258.8-83.3)+(-0.95166+(-0.527952--0.169932))+0-113.9--0.232355999999995</f>
        <v>527.02267600000005</v>
      </c>
      <c r="AD16" s="2">
        <v>605.4</v>
      </c>
      <c r="AE16" s="3">
        <f>467+(310.5-56.5)+(0+(0-0))+0-115.6-0</f>
        <v>605.4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470.8+(247-72.5)+(-0.240108+(-0.12597--0.036975))+0-132.3--0.0674729999999866</f>
        <v>512.73836999999992</v>
      </c>
      <c r="G17" s="3">
        <f>444+(247.8-61.5)+(-0.67932+(-0.379134--0.094095))+0-130.3--0.199359000000008</f>
        <v>499.23500000000001</v>
      </c>
      <c r="H17" s="3">
        <f>425.3+(235.9-61.4)+(0.433806+(0.240618-0.062628))+0-113.6-0.115872000000018</f>
        <v>486.69592399999993</v>
      </c>
      <c r="I17" s="3">
        <f>398.5+(252.9-43)+(0.40647+(0.257958-0.04386))+0-127.7-0.13025400000002</f>
        <v>481.190314</v>
      </c>
      <c r="J17" s="3">
        <f>381.2+(244.9-53.9)+(-0.388824+(-0.249798--0.054978))+0-105.7--0.107814000000017</f>
        <v>466.02417000000003</v>
      </c>
      <c r="K17" s="3">
        <f>383.2+(283.9-85.6)+(0.195432+(0.144789-0.043656))+0-117.1-0.0597209999999881</f>
        <v>464.636844</v>
      </c>
      <c r="L17" s="3">
        <f>380.1+(280.7-88.3)+(-0.387702+(-0.286314--0.090066))+0-102.7--0.104754000000016</f>
        <v>469.32080400000007</v>
      </c>
      <c r="M17" s="3">
        <f>383.1+(320.7-89.5)+(0.390762+(0.327114-0.09129))+0-121-0.123420000000019</f>
        <v>493.80316599999992</v>
      </c>
      <c r="N17" s="3">
        <f>439.4+(289.6-92.7)+(0.448188+(0.295392-0.094554))+0-112.2-0.114444000000018</f>
        <v>524.63458199999991</v>
      </c>
      <c r="O17" s="3">
        <f>445.5+(269.6-72.1)+(0.681615+(0.412488-0.110313))+0-100.6-0.153918000000006</f>
        <v>543.229872</v>
      </c>
      <c r="P17" s="3">
        <f>444.5+(280.2-57.9)+(0.680085+(0.428706-0.088587))+0-117-0.179010000000007</f>
        <v>550.64119399999993</v>
      </c>
      <c r="Q17" s="3">
        <f>441.4+(303.5-59.7)+(0+(0-0))+0-123-0</f>
        <v>562.20000000000005</v>
      </c>
      <c r="R17" s="3">
        <f>441.5+(330.6-82.1)+(0+(0-0))+0-118.1-0</f>
        <v>571.9</v>
      </c>
      <c r="S17" s="3">
        <f>435.7+(326.2-99.1)+(-1.333242+(-0.998172--0.303246))+0-106.4--0.325584000000012</f>
        <v>554.69741599999998</v>
      </c>
      <c r="T17" s="3">
        <f>441.4+(327.8-112.7)+(0+(0-0))+0-125.5-0</f>
        <v>531</v>
      </c>
      <c r="U17" s="3">
        <f>445.3+(328.1-143.6)+(0+(0-0))+0-109.2-0</f>
        <v>520.6</v>
      </c>
      <c r="V17" s="3">
        <f>462.2+(266.6-105.2)+(-0.471444+(-0.271932--0.107304))+0-100.4--0.102408000000016</f>
        <v>522.666336</v>
      </c>
      <c r="W17" s="3">
        <f>500+(208.9-87.2)+(-0.765+(-0.319617--0.133416))+0-101.5--0.155295000000006</f>
        <v>519.4040940000001</v>
      </c>
      <c r="X17" s="3">
        <f>516+(215-98.1)+(-0.26316+(-0.10965--0.050031))+0-108.9--0.055538999999989</f>
        <v>523.73275999999998</v>
      </c>
      <c r="Y17" s="3">
        <f>481.2+(266.6-67.8)+(0.736236+(0.407898-0.103734))+0-121-0.185130000000007</f>
        <v>559.85527000000002</v>
      </c>
      <c r="Z17" s="3">
        <f>482.5+(301.1-80.9)+(0+(0-0))+0-130.2-0</f>
        <v>572.5</v>
      </c>
      <c r="AA17" s="3">
        <f>483.4+(305.4-107.7)+(-0.739602+(-0.467262--0.164781))+0-127.2--0.194616000000007</f>
        <v>553.05253299999981</v>
      </c>
      <c r="AB17" s="3">
        <f>483.1+(274.5-94.1)+(-0.985524+(-0.55998--0.191964))+0-120.4--0.245615999999995</f>
        <v>541.99207600000011</v>
      </c>
      <c r="AC17" s="3">
        <f>476.4+(268.4-107.8)+(-1.21482+(-0.68442--0.27489))+0-111.2--0.283559999999984</f>
        <v>524.45920999999987</v>
      </c>
      <c r="AD17" s="2">
        <v>574.6</v>
      </c>
      <c r="AE17" s="3">
        <f>479+(302.4-62.8)+(0+(0-0))+0-144-0</f>
        <v>574.59999999999991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476+(213.5-100.4)+(0.72828+(0.326655-0.153612))+0-111.6-0.170748000000006</f>
        <v>478.23057500000004</v>
      </c>
      <c r="G18" s="3">
        <f>396.5+(230-78.1)+(-0.606645+(-0.3519--0.119493))+0-93.5--0.143055000000005</f>
        <v>454.20400299999994</v>
      </c>
      <c r="H18" s="3">
        <f>350.5+(237.1-48.8)+(-0.178755+(-0.120921--0.024888))+0-106.2--0.0541619999999892</f>
        <v>432.37937399999998</v>
      </c>
      <c r="I18" s="3">
        <f>345.3+(251.5-45.8)+(-0.880515+(-0.641325--0.11679))+0-126--0.321299999999982</f>
        <v>423.91625000000005</v>
      </c>
      <c r="J18" s="3">
        <f>353.5+(251.3-47.6)+(0.72114+(0.512652-0.097104))+0-119.6-0.243983999999995</f>
        <v>438.49270400000006</v>
      </c>
      <c r="K18" s="3">
        <f>349.8+(271-61.4)+(-0.178398+(-0.13821--0.031314))+0-124.4--0.0634439999999874</f>
        <v>434.77814999999998</v>
      </c>
      <c r="L18" s="3">
        <f>347.5+(285.6-77.4)+(-0.7089+(-0.582624--0.157896))+0-116.8--0.238271999999995</f>
        <v>438.00464399999998</v>
      </c>
      <c r="M18" s="3">
        <f>348.1+(269.7-79.9)+(-0.532593+(-0.412641--0.122247))+0-123.5--0.188955000000007</f>
        <v>413.76596799999999</v>
      </c>
      <c r="N18" s="3">
        <f>350.1+(238.7-53.7)+(-0.178551+(-0.121737--0.027387))+0-104.5--0.0532949999999894</f>
        <v>430.38039399999997</v>
      </c>
      <c r="O18" s="3">
        <f>351.4+(274.1-100.9)+(0+(0-0))+0-87.9-0</f>
        <v>436.70000000000005</v>
      </c>
      <c r="P18" s="3">
        <f>377.1+(214.9-61)+(0+(0-0))+0-78.2-0</f>
        <v>452.8</v>
      </c>
      <c r="Q18" s="3">
        <f>411.5+(202.9-77.7)+(0.209865+(0.103479-0.039627))+0-74-0.0377399999999925</f>
        <v>462.93597700000009</v>
      </c>
      <c r="R18" s="3">
        <f>408.8+(228.8-117.2)+(-0.208488+(-0.116688--0.059772))+0-58.5--0.0298349999999941</f>
        <v>461.66443099999998</v>
      </c>
      <c r="S18" s="3">
        <f>408.8+(303.1-188.2)+(-0.416976+(-0.309162--0.191964))+0-69.9--0.0712980000000112</f>
        <v>453.33712400000007</v>
      </c>
      <c r="T18" s="3">
        <f>407.7+(366.5-249.2)+(-0.207927+(-0.186915--0.127092))+0-84.5--0.0430949999999914</f>
        <v>440.27534500000002</v>
      </c>
      <c r="U18" s="3">
        <f>406.9+(358.4-208.6)+(-1.037595+(-0.91392--0.53193))+0-119.2--0.303959999999983</f>
        <v>436.38437499999992</v>
      </c>
      <c r="V18" s="3">
        <f>405.3+(300.2-150.1)+(0+(0-0))+0-118.5-0</f>
        <v>436.9</v>
      </c>
      <c r="W18" s="3">
        <f>399.4+(262.7-98)+(-1.01847+(-0.669885--0.2499))+0-122--0.311099999999982</f>
        <v>440.97264499999994</v>
      </c>
      <c r="X18" s="3">
        <f>402.1+(246.9-89.5)+(-0.205071+(-0.125919--0.045645))+0-104.4--0.0532439999999894</f>
        <v>454.86789900000002</v>
      </c>
      <c r="Y18" s="3">
        <f>399+(318.3-95)+(-0.20349+(-0.162333--0.04845))+0-104--0.0530399999999895</f>
        <v>518.03566699999999</v>
      </c>
      <c r="Z18" s="3">
        <f>400.5+(361.1-98.3)+(-0.612765+(-0.552483--0.150399))+0-132--0.201960000000008</f>
        <v>530.48711099999991</v>
      </c>
      <c r="AA18" s="3">
        <f>401.1+(375.5-120.9)+(-0.818244+(-0.76602--0.246636))+0-131.3--0.267851999999994</f>
        <v>523.33022400000004</v>
      </c>
      <c r="AB18" s="3">
        <f>414.2+(383.5-161.8)+(-0.211242+(-0.195585--0.082518))+0-123.2--0.0628319999999875</f>
        <v>512.43852299999992</v>
      </c>
      <c r="AC18" s="3">
        <f>415.1+(384.5-185.1)+(0.211701+(0.196095-0.094401))+0-128.2-0.065381999999987</f>
        <v>486.54801300000003</v>
      </c>
      <c r="AD18" s="2">
        <v>536.20000000000005</v>
      </c>
      <c r="AE18" s="3">
        <f>404+(368.5-111.8)+(0+(0-0))+0-124.5-0</f>
        <v>536.20000000000005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413.6+(349-183.8)+(-1.05468+(-0.88995--0.46869))+0-101.5--0.258824999999985</f>
        <v>476.08288499999992</v>
      </c>
      <c r="G19" s="3">
        <f>411.3+(294.3-121.8)+(-1.048815+(-0.750465--0.31059))+0-115.7--0.295034999999983</f>
        <v>466.90634499999993</v>
      </c>
      <c r="H19" s="3">
        <f>415.5+(291.8-123.8)+(0.635715+(0.446454-0.189414))+0-122-0.186660000000007</f>
        <v>462.20609499999995</v>
      </c>
      <c r="I19" s="3">
        <f>415.6+(277.1-108.6)+(1.05978+(0.706605-0.27693))+0-124.7-0.317984999999982</f>
        <v>460.57147000000009</v>
      </c>
      <c r="J19" s="3">
        <f>334.5+(332.6-86.6)+(-0.852975+(-0.84813--0.22083))+0-121.5--0.309824999999982</f>
        <v>457.82954999999998</v>
      </c>
      <c r="K19" s="3">
        <f>357+(267.1-66.6)+(0+(0-0))+0-116.8-0</f>
        <v>440.7</v>
      </c>
      <c r="L19" s="3">
        <f>389+(241.2-57.8)+(-0.79356+(-0.492048--0.117912))+0-119.3--0.243371999999995</f>
        <v>452.17567600000001</v>
      </c>
      <c r="M19" s="3">
        <f>403.5+(248.4-50.2)+(0.205785+(0.126684-0.025602))+0-119-0.0606899999999879</f>
        <v>482.94617700000009</v>
      </c>
      <c r="N19" s="3">
        <f>400.5+(307.2-48.2)+(0.40851+(0.313344-0.049164))+0-122.1-0.124542000000019</f>
        <v>537.94814799999995</v>
      </c>
      <c r="O19" s="3">
        <f>396+(332.6-53.2)+(0+(0-0))+0-123.6-0</f>
        <v>551.80000000000007</v>
      </c>
      <c r="P19" s="3">
        <f>427.3+(315.3-50)+(-0.217923+(-0.160803--0.0255))+0-132.1--0.0673709999999866</f>
        <v>560.21414500000003</v>
      </c>
      <c r="Q19" s="3">
        <f>455.6+(350.3-99.7)+(-0.929424+(-0.714612--0.203388))+0-138.9--0.283355999999994</f>
        <v>566.14270800000008</v>
      </c>
      <c r="R19" s="3">
        <f>486.4+(382.6-162.6)+(0.496128+(0.390252-0.165852))+0-126.1-0.12862200000002</f>
        <v>580.89190599999984</v>
      </c>
      <c r="S19" s="3">
        <f>494.5+(420.4-225.8)+(-0.756585+(-0.643212--0.345474))+0-128.7--0.196911000000007</f>
        <v>559.54258800000002</v>
      </c>
      <c r="T19" s="3">
        <f>489.3+(435-250.8)+(-0.249543+(-0.22185--0.127908))+0-122.2--0.0623219999999876</f>
        <v>551.01883699999996</v>
      </c>
      <c r="U19" s="3">
        <f>480.6+(401-231.4)+(-0.735318+(-0.61353--0.354042))+0-118.8--0.181764000000007</f>
        <v>530.5869580000001</v>
      </c>
      <c r="V19" s="3">
        <f>485.3+(355.8-175.2)+(0.247503+(0.181458-0.089352))+0-128.1-0.065330999999987</f>
        <v>538.07427800000005</v>
      </c>
      <c r="W19" s="3">
        <f>504.9+(294.3-135.3)+(-0.514998+(-0.300186--0.138006))+0-122.8--0.12525600000002</f>
        <v>540.54807800000003</v>
      </c>
      <c r="X19" s="3">
        <f>549.4+(254.1-131.3)+(-1.120776+(-0.518364--0.267852))+0-132.9--0.271115999999994</f>
        <v>538.19982799999991</v>
      </c>
      <c r="Y19" s="3">
        <f>566.4+(280.6-160.8)+(0.288864+(0.143106-0.082008))+0-120.1-0.0612509999999878</f>
        <v>566.38871100000006</v>
      </c>
      <c r="Z19" s="3">
        <f>562.6+(304.4-159.8)+(-0.860778+(-0.465732--0.244494))+0-119.8--0.183294000000007</f>
        <v>586.50127800000018</v>
      </c>
      <c r="AA19" s="3">
        <f>560.4+(335.7-184.9)+(-1.42902+(-0.856035--0.471495))+0-136.9--0.34909499999998</f>
        <v>572.83553499999994</v>
      </c>
      <c r="AB19" s="3">
        <f>561.4+(326.4-200.2)+(-1.145256+(-0.665856--0.408408))+0-130.2--0.265607999999994</f>
        <v>556.26290400000005</v>
      </c>
      <c r="AC19" s="3">
        <f>563.4+(329.4-238.1)+(-1.149336+(-0.671976--0.485724))+0-117.1--0.238883999999995</f>
        <v>536.50329599999986</v>
      </c>
      <c r="AD19" s="2">
        <v>599.20000000000005</v>
      </c>
      <c r="AE19" s="3">
        <f>566+(288.2-162.4)+(0+(0-0))+0-92.6-0</f>
        <v>599.19999999999993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569.2+(275.7-216.8)+(0+(0-0))+0-114.1-0</f>
        <v>514</v>
      </c>
      <c r="G20" s="3">
        <f>561.9+(257.6-190.3)+(-1.146276+(-0.525504--0.388212))+0-125.8--0.256631999999994</f>
        <v>502.37306400000006</v>
      </c>
      <c r="H20" s="3">
        <f>532.3+(244.3-155.9)+(-1.085892+(-0.498372--0.318036))+0-128.4--0.261935999999994</f>
        <v>491.29570799999999</v>
      </c>
      <c r="I20" s="3">
        <f>535.4+(211-142)+(-0.546108+(-0.21522--0.14484))+0-123.5--0.12597000000002</f>
        <v>480.40948199999997</v>
      </c>
      <c r="J20" s="3">
        <f>534.1+(207.2-128)+(-0.817173+(-0.317016--0.19584))+0-129.9--0.198747000000008</f>
        <v>482.66039799999999</v>
      </c>
      <c r="K20" s="3">
        <f>538.2+(200.1-143.5)+(0.274482+(0.102051-0.073185))+0-105.8-0.0539579999999893</f>
        <v>489.24939000000012</v>
      </c>
      <c r="L20" s="3">
        <f>537.3+(182.6-146.3)+(0+(0-0))+0-93.9-0</f>
        <v>479.69999999999993</v>
      </c>
      <c r="M20" s="3">
        <f>563.3+(175.6-141.2)+(-0.287283+(-0.089556--0.072012))+0-94.6--0.0482459999999904</f>
        <v>502.84341899999987</v>
      </c>
      <c r="N20" s="3">
        <f>565.1+(195.3-124.1)+(-0.864603+(-0.298809--0.189873))+0-109.7--0.167841000000006</f>
        <v>525.79430200000002</v>
      </c>
      <c r="O20" s="3">
        <f>561.9+(210.2-107.2)+(0.286569+(0.107202-0.054672))+0-127.9-0.065228999999987</f>
        <v>537.2738700000001</v>
      </c>
      <c r="P20" s="3">
        <f>556+(222.4-110)+(0+(0-0))+0-130.1-0</f>
        <v>538.29999999999995</v>
      </c>
      <c r="Q20" s="3">
        <f>549.7+(261.3-118.2)+(0.560694+(0.266526-0.120564))+0-133-0.135660000000021</f>
        <v>560.37099599999999</v>
      </c>
      <c r="R20" s="3">
        <f>532.8+(346.7-183)+(0.271728+(0.176817-0.09333))+0-127.1-0.0648209999999871</f>
        <v>569.69039400000008</v>
      </c>
      <c r="S20" s="3">
        <f>521.8+(395.9-214)+(-1.596708+(-1.211454--0.65484))+0-143.1--0.437886000000017</f>
        <v>558.88456399999995</v>
      </c>
      <c r="T20" s="3">
        <f>526.8+(317.6-181.6)+(-0.537336+(-0.323952--0.185232))+0-121.4--0.123828000000019</f>
        <v>540.84777199999996</v>
      </c>
      <c r="U20" s="3">
        <f>526.3+(290-155)+(-0.805239+(-0.4437--0.23715))+0-120.5--0.184365000000007</f>
        <v>539.97257599999989</v>
      </c>
      <c r="V20" s="3">
        <f>459.3+(321.2-128.2)+(-0.234243+(-0.163812--0.065382))+0-112.3--0.0572729999999886</f>
        <v>539.72460000000001</v>
      </c>
      <c r="W20" s="3">
        <f>489.1+(267.8-104.9)+(0.249441+(0.136578-0.053499))+0-111.6-0.0569159999999887</f>
        <v>540.67560400000002</v>
      </c>
      <c r="X20" s="3">
        <f>555.5+(201.2-81.3)+(-0.849915+(-0.307836--0.124389))+0-127.5--0.195075000000007</f>
        <v>547.06171299999994</v>
      </c>
      <c r="Y20" s="3">
        <f>568.4+(227.6-84.7)+(-0.579768+(-0.232152--0.086394))+0-116.9--0.119238000000019</f>
        <v>593.79371200000003</v>
      </c>
      <c r="Z20" s="3">
        <f>569.2+(282.6-101.6)+(-1.45146+(-0.72063--0.25908))+0-143--0.364649999999979</f>
        <v>605.65164000000004</v>
      </c>
      <c r="AA20" s="3">
        <f>596.9+(306-168.2)+(-1.217676+(-0.62424--0.343128))+0-150.7--0.307427999999993</f>
        <v>582.80864000000008</v>
      </c>
      <c r="AB20" s="3">
        <f>575.3+(370.1-255.3)+(-0.586806+(-0.377502--0.260406))+0-131.4--0.134028000000021</f>
        <v>558.13012600000002</v>
      </c>
      <c r="AC20" s="3">
        <f>574.4+(393.1-289.1)+(-0.878832+(-0.601443--0.442323))+0-136.6--0.208998000000008</f>
        <v>540.97104599999989</v>
      </c>
      <c r="AD20" s="2">
        <v>588.20000000000005</v>
      </c>
      <c r="AE20" s="3">
        <f>570+(283-108.5)+(0+(0-0))+0-156.3-0</f>
        <v>588.20000000000005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574.7+(345-274.1)+(-0.879291+(-0.52785--0.419373))+0-118.1--0.180693000000007</f>
        <v>526.69292500000006</v>
      </c>
      <c r="G21" s="3">
        <f>584.9+(301.3-266)+(-1.193196+(-0.614652--0.54264))+0-109.4--0.223175999999995</f>
        <v>509.75796800000001</v>
      </c>
      <c r="H21" s="3">
        <f>554.5+(272.1-194.3)+(-0.56559+(-0.277542--0.198186))+0-126--0.12852000000002</f>
        <v>505.78357399999999</v>
      </c>
      <c r="I21" s="3">
        <f>537.6+(247.9-163.5)+(-0.822528+(-0.379287--0.250155))+0-125.8--0.192474000000007</f>
        <v>495.44081400000005</v>
      </c>
      <c r="J21" s="3">
        <f>539.8+(225.5-149.5)+(-0.275298+(-0.115005--0.076245))+0-124.8--0.0636479999999873</f>
        <v>490.7495899999999</v>
      </c>
      <c r="K21" s="3">
        <f>542.4+(218.2-151.4)+(0.276624+(0.111282-0.077214))+0-111-0.0566099999999887</f>
        <v>498.45408199999997</v>
      </c>
      <c r="L21" s="3">
        <f>534.1+(216.7-132.4)+(-1.906737+(-0.773619--0.472668))+0-108.1--0.385917000000002</f>
        <v>508.478229</v>
      </c>
      <c r="M21" s="3">
        <f>542.7+(211-112.7)+(0+(0-0))+0-130-0</f>
        <v>511</v>
      </c>
      <c r="N21" s="3">
        <f>540.3+(216.4-98.7)+(0.275553+(0.110364-0.050337))+0-121.6-0.0620159999999877</f>
        <v>536.67356400000006</v>
      </c>
      <c r="O21" s="3">
        <f>585.5+(219.4-135.4)+(-0.59721+(-0.223788--0.138108))+0-117.8--0.120156000000019</f>
        <v>551.13726600000007</v>
      </c>
      <c r="P21" s="3">
        <f>582.1+(314.2-203.3)+(0.296871+(0.160242-0.103683))+0-129.7-0.0661469999999868</f>
        <v>563.58728300000007</v>
      </c>
      <c r="Q21" s="3">
        <f>575.7+(370.3-256.9)+(0+(0-0))+0-119.2-0</f>
        <v>569.90000000000009</v>
      </c>
      <c r="R21" s="3">
        <f>570.6+(363.5-255.3)+(0+(0-0))+0-111.9-0</f>
        <v>566.9</v>
      </c>
      <c r="S21" s="3">
        <f>566.7+(482.8-360)+(-1.445085+(-1.23114--0.918))+0-134.1--0.341954999999981</f>
        <v>553.98372999999992</v>
      </c>
      <c r="T21" s="3">
        <f>568.1+(474.8-366)+(0+(0-0))+0-133-0</f>
        <v>543.90000000000009</v>
      </c>
      <c r="U21" s="3">
        <f>561.2+(394.7-291.6)+(-0.572424+(-0.402594--0.297432))+0-117.9--0.120258000000019</f>
        <v>545.84267199999999</v>
      </c>
      <c r="V21" s="3">
        <f>557.3+(346.4-221.8)+(-0.852669+(-0.529992--0.339354))+0-131.8--0.201654000000008</f>
        <v>549.25834699999973</v>
      </c>
      <c r="W21" s="3">
        <f>559+(254.9-137.2)+(-0.28509+(-0.129999--0.069972))+0-130.5--0.0665549999999868</f>
        <v>545.92143800000008</v>
      </c>
      <c r="X21" s="3">
        <f>555.2+(220.8-114.5)+(-0.849456+(-0.337824--0.175185))+0-106.8--0.163404000000006</f>
        <v>553.85130900000001</v>
      </c>
      <c r="Y21" s="3">
        <f>564.2+(272.6-120.2)+(-0.287742+(-0.139026--0.061302))+0-120.5--0.0614549999999878</f>
        <v>595.79598900000019</v>
      </c>
      <c r="Z21" s="3">
        <f>571.9+(265.6-97.5)+(-0.583338+(-0.270912--0.09945))+0-128.4--0.13096800000002</f>
        <v>610.97616800000003</v>
      </c>
      <c r="AA21" s="3">
        <f>554.1+(278.5-110.1)+(-0.282591+(-0.142035--0.056151))+0-135.3--0.0690029999999863</f>
        <v>586.90052800000001</v>
      </c>
      <c r="AB21" s="3">
        <f>532.5+(302.3-130.8)+(-1.0863+(-0.616692--0.266832))+0-131.3--0.267851999999994</f>
        <v>571.53169200000002</v>
      </c>
      <c r="AC21" s="3">
        <f>537.6+(279.4-137)+(0.274176+(0.142494-0.06987))+0-128.9-0.0657389999999869</f>
        <v>551.38106100000005</v>
      </c>
      <c r="AD21" s="2">
        <v>610.90000000000009</v>
      </c>
      <c r="AE21" s="3">
        <f>577+(272.5-92.3)+(0+(0-0))+0-146.3-0</f>
        <v>610.90000000000009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538.4+(334.2-167.2)+(0.274584+(0.170442-0.085272))+0-134.4-0.0685439999999864</f>
        <v>571.29120999999998</v>
      </c>
      <c r="G22" s="3">
        <f>540.6+(274.5-184.2)+(-0.275706+(-0.139995--0.093942))+0-113.1--0.0576809999999885</f>
        <v>517.53592200000003</v>
      </c>
      <c r="H22" s="3">
        <f>543.3+(246.7-190)+(-0.277083+(-0.125817--0.0969))+0-92.3--0.0470729999999906</f>
        <v>507.44107299999996</v>
      </c>
      <c r="I22" s="3">
        <f>545.7+(230.6-172)+(0+(0-0))+0-105.7-0</f>
        <v>498.60000000000008</v>
      </c>
      <c r="J22" s="3">
        <f>544.4+(199.2-152.6)+(0+(0-0))+0-94.3-0</f>
        <v>496.7</v>
      </c>
      <c r="K22" s="3">
        <f>541.9+(196-139.6)+(-0.829107+(-0.29988--0.213588))+0-95--0.145350000000006</f>
        <v>502.52995099999998</v>
      </c>
      <c r="L22" s="3">
        <f>544.3+(145.1-102.7)+(-0.555186+(-0.148002--0.104754))+0-82.9--0.0845580000000132</f>
        <v>503.28612399999997</v>
      </c>
      <c r="M22" s="3">
        <f>547.4+(172-83)+(0.558348+(0.17544-0.08466))+0-102.6-0.104652000000016</f>
        <v>534.34447599999999</v>
      </c>
      <c r="N22" s="3">
        <f>544.4+(180.4-75.2)+(1.110576+(0.368016-0.153408))+0-83.5-0.170339999999996</f>
        <v>567.25484400000005</v>
      </c>
      <c r="O22" s="3">
        <f>525.3+(209.5-80.5)+(-0.535806+(-0.21369--0.08211))+0-76.3--0.0778260000000122</f>
        <v>577.41043999999999</v>
      </c>
      <c r="P22" s="3">
        <f>529.4+(225.1-80.2)+(-0.269994+(-0.114801--0.040902))+0-90.2--0.0460019999999908</f>
        <v>583.80210899999997</v>
      </c>
      <c r="Q22" s="3">
        <f>526.2+(275.9-104)+(0.536724+(0.281418-0.10608))+0-101.5-0.103530000000016</f>
        <v>597.20853199999999</v>
      </c>
      <c r="R22" s="3">
        <f>461.2+(369.4-132.1)+(0+(0-0))+0-98.8-0</f>
        <v>599.70000000000005</v>
      </c>
      <c r="S22" s="3">
        <f>443.6+(464.2-235.3)+(-0.904944+(-0.946968--0.480012))+0-98--0.199919999999996</f>
        <v>573.32802000000004</v>
      </c>
      <c r="T22" s="3">
        <f>477.3+(450.8-275.6)+(0.486846+(0.459816-0.281112))+0-97.5-0.0994500000000155</f>
        <v>555.56610000000001</v>
      </c>
      <c r="U22" s="3">
        <f>499.5+(435.5-282.1)+(0.50949+(0.44421-0.287742))+0-101.7-0.103734000000016</f>
        <v>551.76222399999995</v>
      </c>
      <c r="V22" s="3">
        <f>517.7+(383.6-241.6)+(-0.792081+(-0.586908--0.369648))+0-111.3--0.170289000000006</f>
        <v>547.56094800000017</v>
      </c>
      <c r="W22" s="3">
        <f>561.7+(277.1-173)+(-0.286467+(-0.141321--0.08823))+0-106.6--0.0543659999999892</f>
        <v>558.91480799999999</v>
      </c>
      <c r="X22" s="3">
        <f>572.6+(232.1-141.3)+(-1.46013+(-0.591855--0.360315))+0-91.2--0.232559999999987</f>
        <v>570.74088999999992</v>
      </c>
      <c r="Y22" s="3">
        <f>586.3+(312-189.2)+(0.598026+(0.31824-0.192984))+0-102.7-0.104754000000016</f>
        <v>607.01852799999983</v>
      </c>
      <c r="Z22" s="3">
        <f>584.2+(372.6-224.1)+(-0.297942+(-0.190026--0.114291))+0-115.9--0.0591089999999882</f>
        <v>616.48543200000006</v>
      </c>
      <c r="AA22" s="3">
        <f>559.7+(405.7-254.5)+(-1.141788+(-0.827628--0.51918))+0-108.9--0.222155999999995</f>
        <v>600.77192000000014</v>
      </c>
      <c r="AB22" s="3">
        <f>524.7+(488.1-325.4)+(-0.535194+(-0.497862--0.331908))+0-108.9--0.111078000000017</f>
        <v>577.90993000000014</v>
      </c>
      <c r="AC22" s="3">
        <f>524.1+(470.4-319.5)+(-1.069164+(-0.959616--0.65178))+0-114.2--0.232967999999995</f>
        <v>559.65596800000003</v>
      </c>
      <c r="AD22" s="2">
        <v>582.59999999999991</v>
      </c>
      <c r="AE22" s="3">
        <f>585+(361-240.2)+(0+(0-0))+0-123.2-0</f>
        <v>582.59999999999991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527.5+(454.6-365.1)+(-0.269025+(-0.231846--0.186201))+0-99--0.05048999999999</f>
        <v>517.73581999999999</v>
      </c>
      <c r="G23" s="3">
        <f>526.6+(412.5-327.8)+(-0.805698+(-0.631125--0.501534))+0-114.8--0.175644000000007</f>
        <v>495.74035499999997</v>
      </c>
      <c r="H23" s="3">
        <f>533.9+(350.9-297.2)+(0+(0-0))+0-100.1-0</f>
        <v>487.49999999999989</v>
      </c>
      <c r="I23" s="3">
        <f>550.6+(286-254.2)+(-1.40403+(-0.7293--0.64821))+0-98.7--0.251684999999986</f>
        <v>482.46656500000006</v>
      </c>
      <c r="J23" s="3">
        <f>563.3+(244.6-227)+(0.574566+(0.249492-0.23154))+0-102.6-0.104652000000016</f>
        <v>478.78786599999995</v>
      </c>
      <c r="K23" s="3">
        <f>560.4+(201-180.1)+(-0.285804+(-0.10251--0.091851))+0-103.3--0.0526829999999895</f>
        <v>477.75621999999993</v>
      </c>
      <c r="L23" s="3">
        <f>574.4+(163.2-140.9)+(-1.46472+(-0.41616--0.359295))+0-102.3--0.260864999999985</f>
        <v>493.13927999999993</v>
      </c>
      <c r="M23" s="3">
        <f>583.3+(158.2-108.9)+(-0.297483+(-0.080682--0.055539))+0-97.2--0.0495719999999901</f>
        <v>535.12694599999986</v>
      </c>
      <c r="N23" s="3">
        <f>493.4+(218.5-64.1)+(-0.251634+(-0.111435--0.032691))+0-97.9--0.0499289999999901</f>
        <v>549.619551</v>
      </c>
      <c r="O23" s="3">
        <f>453.3+(275-79.1)+(0.231183+(0.14025-0.040341))+0-99.5-0.0507449999999899</f>
        <v>549.98034700000005</v>
      </c>
      <c r="P23" s="3">
        <f>412.1+(351.5-122.2)+(0.420342+(0.35853-0.124644))+0-102.2-0.104244000000016</f>
        <v>539.74998400000004</v>
      </c>
      <c r="Q23" s="3">
        <f>411.8+(414.9-168.2)+(0+(0-0))+0-104-0</f>
        <v>554.5</v>
      </c>
      <c r="R23" s="3">
        <f>396.7+(515-262.4)+(-0.404634+(-0.5253--0.267648))+0-103.5--0.105570000000016</f>
        <v>545.24328400000002</v>
      </c>
      <c r="S23" s="3">
        <f>434+(554-307.4)+(-0.22134+(-0.28254--0.156774))+0-108.2--0.055181999999989</f>
        <v>572.10807599999987</v>
      </c>
      <c r="T23" s="3">
        <f>435.1+(523.5-293.5)+(-0.887604+(-1.06794--0.59874))+0-109.3--0.222971999999995</f>
        <v>554.66616800000008</v>
      </c>
      <c r="U23" s="3">
        <f>434.9+(480.6-282.7)+(0+(0-0))+0-99.9-0</f>
        <v>532.9</v>
      </c>
      <c r="V23" s="3">
        <f>436.9+(361.8-151.9)+(-0.668457+(-0.553554--0.232407))+0-103.9--0.158967000000006</f>
        <v>542.06936299999995</v>
      </c>
      <c r="W23" s="3">
        <f>434.4+(350-99.4)+(-0.221544+(-0.1785--0.050694))+0-118.4--0.060383999999988</f>
        <v>566.31103400000006</v>
      </c>
      <c r="X23" s="3">
        <f>434.8+(333.3-86.4)+(-0.886992+(-0.679932--0.176256))+0-109.4--0.223175999999995</f>
        <v>571.13250800000003</v>
      </c>
      <c r="Y23" s="3">
        <f>435.7+(379.7-99.2)+(0.222207+(0.193647-0.050592))+0-114.6-0.0584459999999884</f>
        <v>601.90681600000005</v>
      </c>
      <c r="Z23" s="3">
        <f>440.8+(409.7-113.8)+(-0.224808+(-0.208947--0.058038))+0-121.3--0.0618629999999877</f>
        <v>615.0861460000001</v>
      </c>
      <c r="AA23" s="3">
        <f>443.3+(409.5-142.7)+(-0.452166+(-0.41769--0.145554))+0-115.3--0.117606000000018</f>
        <v>594.19330400000013</v>
      </c>
      <c r="AB23" s="3">
        <f>449.5+(404.6-173.3)+(0+(0-0))+0-110.6-0</f>
        <v>570.19999999999993</v>
      </c>
      <c r="AC23" s="3">
        <f>456.7+(393.8-188.5)+(-0.931668+(-0.803352--0.38454))+0-113.4--0.231335999999995</f>
        <v>547.48085600000002</v>
      </c>
      <c r="AD23" s="2">
        <v>614.9</v>
      </c>
      <c r="AE23" s="3">
        <f>439+(409.9-111.3)+(0+(0-0))+0-122.7-0</f>
        <v>614.89999999999986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451.7+(405.7-212)+(-0.460734+(-0.413814--0.21624))+0-113--0.115260000000018</f>
        <v>531.85695199999998</v>
      </c>
      <c r="G24" s="3">
        <f>414+(417.7-207.9)+(-0.42228+(-0.426054--0.212058))+0-110--0.112200000000018</f>
        <v>513.27592400000003</v>
      </c>
      <c r="H24" s="3">
        <f>415+(396.8-185.1)+(-1.05825+(-1.01184--0.472005))+0-119.1--0.303704999999983</f>
        <v>506.30562000000003</v>
      </c>
      <c r="I24" s="3">
        <f>415.9+(347.7-154.2)+(-0.424218+(-0.354654--0.157284))+0-107.6--0.109752000000017</f>
        <v>501.28816399999999</v>
      </c>
      <c r="J24" s="3">
        <f>417.5+(320.8-131.4)+(0.212925+(0.163608-0.067014))+0-110.7-0.0564569999999888</f>
        <v>496.45306200000005</v>
      </c>
      <c r="K24" s="3">
        <f>417.9+(284.8-94.1)+(0.213129+(0.145248-0.047991))+0-112.8-0.0575279999999886</f>
        <v>496.05285800000001</v>
      </c>
      <c r="L24" s="3">
        <f>418.4+(234.1-57.8)+(-0.426768+(-0.238782--0.058956))+0-106.5--0.108630000000017</f>
        <v>487.70203600000008</v>
      </c>
      <c r="M24" s="3">
        <f>418.2+(263.3-56.4)+(0.426564+(0.268566-0.057528))+0-107.4-0.109548000000017</f>
        <v>518.22805400000004</v>
      </c>
      <c r="N24" s="3">
        <f>414.5+(296.3-54.6)+(0.84558+(0.604452-0.111384))+0-108.1-0.220523999999995</f>
        <v>549.2181240000001</v>
      </c>
      <c r="O24" s="3">
        <f>411.5+(366.1-87.9)+(0.209865+(0.186711-0.044829))+0-127.4-0.0649739999999871</f>
        <v>562.58677300000011</v>
      </c>
      <c r="P24" s="3">
        <f>406+(344.9-64.6)+(0+(0-0))+0-114.4-0</f>
        <v>571.9</v>
      </c>
      <c r="Q24" s="3">
        <f>400.7+(419.4-114.1)+(-0.204357+(-0.213894--0.058191))+0-120--0.0611999999999878</f>
        <v>585.70114000000001</v>
      </c>
      <c r="R24" s="3">
        <f>397+(471.4-150.3)+(-0.40494+(-0.480828--0.153306))+0-131.2--0.133824000000021</f>
        <v>586.30136199999993</v>
      </c>
      <c r="S24" s="3">
        <f>394.1+(479.9-189)+(-0.401982+(-0.489498--0.19278))+0-112.7--0.114954000000018</f>
        <v>571.71625399999994</v>
      </c>
      <c r="T24" s="3">
        <f>391.4+(474.9-194.7)+(-0.399228+(-0.484398--0.198594))+0-122.6--0.12505200000002</f>
        <v>548.44001999999989</v>
      </c>
      <c r="U24" s="3">
        <f>390.3+(413.7-137.3)+(-0.199053+(-0.210987--0.070023))+0-127--0.0647699999999871</f>
        <v>539.42475300000001</v>
      </c>
      <c r="V24" s="3">
        <f>391.4+(366.9-116.2)+(0+(0-0))+0-105.8-0</f>
        <v>536.29999999999995</v>
      </c>
      <c r="W24" s="3">
        <f>393.5+(346.3-69.9)+(-0.40137+(-0.353226--0.071298))+0-118.7--0.121074000000019</f>
        <v>550.63777599999992</v>
      </c>
      <c r="X24" s="3">
        <f>396.2+(331.8-59.6)+(0.404124+(0.338436-0.060792))+0-118-0.120360000000019</f>
        <v>550.96140800000001</v>
      </c>
      <c r="Y24" s="3">
        <f>398.1+(367.1-55.9)+(0+(0-0))+0-122.9-0</f>
        <v>586.40000000000009</v>
      </c>
      <c r="Z24" s="3">
        <f>390.3+(395.4-78.5)+(-0.796212+(-0.806616--0.16014))+0-110.7--0.225827999999995</f>
        <v>595.28314</v>
      </c>
      <c r="AA24" s="3">
        <f>391.2+(426.6-120.4)+(-0.399024+(-0.435132--0.122808))+0-114.4--0.116688000000018</f>
        <v>582.40534000000014</v>
      </c>
      <c r="AB24" s="3">
        <f>314.8+(459.1-88.4)+(-0.642192+(-0.936564--0.180336))+0-121.3--0.247451999999995</f>
        <v>563.04903200000001</v>
      </c>
      <c r="AC24" s="3">
        <f>321.3+(462.6-109.3)+(-0.491589+(-0.707778--0.167229))+0-129.2--0.197676000000007</f>
        <v>544.56553800000006</v>
      </c>
      <c r="AD24" s="2">
        <v>591.20000000000005</v>
      </c>
      <c r="AE24" s="3">
        <f>394+(390.5-79.8)+(0+(0-0))+0-113.5-0</f>
        <v>591.20000000000005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371.6+(413.4-138.8)+(-0.379032+(-0.421668--0.141576))+0-119.6--0.121992000000019</f>
        <v>526.06286799999998</v>
      </c>
      <c r="G25" s="3">
        <f>381.4+(398.3-150.3)+(-0.583542+(-0.609399--0.229959))+0-129.5--0.198135000000007</f>
        <v>499.13515299999995</v>
      </c>
      <c r="H25" s="3">
        <f>395.2+(335-129.1)+(-0.403104+(-0.3417--0.131682))+0-102.1--0.104142000000016</f>
        <v>498.49102000000005</v>
      </c>
      <c r="I25" s="3">
        <f>396+(293.9-91.8)+(-0.40392+(-0.299778--0.093636))+0-113.6--0.115872000000018</f>
        <v>484.00580999999994</v>
      </c>
      <c r="J25" s="3">
        <f>396.8+(288.3-81.8)+(0.404736+(0.294066-0.083436))+0-124.8-0.12729600000002</f>
        <v>478.98806999999994</v>
      </c>
      <c r="K25" s="3">
        <f>395.4+(252.8-57)+(-0.201654+(-0.128928--0.02907))+0-116.8--0.0595679999999882</f>
        <v>474.15805600000004</v>
      </c>
      <c r="L25" s="3">
        <f>392.4+(232.3-53.9)+(-1.200744+(-0.710838--0.164934))+0-117.7--0.360162000000014</f>
        <v>451.71351399999992</v>
      </c>
      <c r="M25" s="3">
        <f>384.5+(228.5-52.9)+(-0.196095+(-0.116535--0.026979))+0-105.8--0.0539579999999893</f>
        <v>454.06830699999995</v>
      </c>
      <c r="N25" s="3">
        <f>371.8+(265.3-63)+(0.189618+(0.135303-0.03213))+0-112.4-0.0573239999999886</f>
        <v>461.93546700000002</v>
      </c>
      <c r="O25" s="3">
        <f>373.8+(286.4-92)+(-0.190638+(-0.146064--0.04692))+0-91--0.0464099999999908</f>
        <v>476.95662800000008</v>
      </c>
      <c r="P25" s="3">
        <f>391+(277-90.8)+(0.19941+(0.14127-0.046308))+0-86.8-0.0442679999999912</f>
        <v>490.650104</v>
      </c>
      <c r="Q25" s="3">
        <f>444.9+(268.3-130.2)+(-0.453798+(-0.273666--0.132804))+0-83--0.0846600000000132</f>
        <v>499.49</v>
      </c>
      <c r="R25" s="3">
        <f>459.1+(293-155.3)+(0.234141+(0.14943-0.079203))+0-97.1-0.0495209999999901</f>
        <v>499.95484699999992</v>
      </c>
      <c r="S25" s="3">
        <f>459.9+(322.3-178.6)+(0.234549+(0.164373-0.091086))+0-112.3-0.0572729999999886</f>
        <v>491.55056299999995</v>
      </c>
      <c r="T25" s="3">
        <f>460.3+(359.4-221.8)+(0.234753+(0.183294-0.113118))+0-114.4-0.0583439999999884</f>
        <v>483.74658500000004</v>
      </c>
      <c r="U25" s="3">
        <f>455.1+(346.8-209)+(-0.464202+(-0.353736--0.21318))+0-121--0.123420000000019</f>
        <v>471.41866200000015</v>
      </c>
      <c r="V25" s="3">
        <f>456.8+(293.5-173.6)+(0.465936+(0.29937-0.177072))+0-110.6-0.112812000000018</f>
        <v>466.57542200000006</v>
      </c>
      <c r="W25" s="3">
        <f>457.3+(255-114.7)+(0.699669+(0.39015-0.175491))+0-126.4-0.193392000000007</f>
        <v>471.92093599999998</v>
      </c>
      <c r="X25" s="3">
        <f>458.2+(213.3-72.4)+(-0.701046+(-0.326349--0.110772))+0-120.3--0.184059000000007</f>
        <v>478.06743600000004</v>
      </c>
      <c r="Y25" s="3">
        <f>478.6+(274.9-108.9)+(0.244086+(0.140199-0.055539))+0-140.4-0.0716039999999858</f>
        <v>504.45714200000009</v>
      </c>
      <c r="Z25" s="3">
        <f>479.2+(294.4-121.3)+(-0.733176+(-0.450432--0.185589))+0-128.5--0.196605000000007</f>
        <v>522.99858599999993</v>
      </c>
      <c r="AA25" s="3">
        <f>476.5+(295.8-122.7)+(-1.215075+(-0.75429--0.312885))+0-121.9--0.310844999999982</f>
        <v>526.35436500000003</v>
      </c>
      <c r="AB25" s="3">
        <f>430.7+(351.4-141.5)+(-0.439314+(-0.358428--0.14433))+0-127.7--0.13025400000002</f>
        <v>512.3768419999999</v>
      </c>
      <c r="AC25" s="3">
        <f>397.7+(361.2-138.1)+(-0.202827+(-0.184212--0.070431))+0-128.5--0.065534999999987</f>
        <v>492.04892699999999</v>
      </c>
      <c r="AD25" s="2">
        <v>521.9</v>
      </c>
      <c r="AE25" s="3">
        <f>481+(277.8-118.4)+(0+(0-0))+0-118.5-0</f>
        <v>521.9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415.6+(315-154.7)+(-0.211956+(-0.16065--0.078897))+0-119.3--0.0608429999999879</f>
        <v>456.36713400000002</v>
      </c>
      <c r="G26" s="3">
        <f>445.1+(259.3-139.3)+(0.227001+(0.132243-0.071043))+0-118.9-0.0606389999999879</f>
        <v>446.42756200000002</v>
      </c>
      <c r="H26" s="3">
        <f>496.3+(232.6-173.7)+(-0.253113+(-0.118626--0.088587))+0-108.1--0.055130999999989</f>
        <v>446.87197900000007</v>
      </c>
      <c r="I26" s="3">
        <f>505.4+(187-149.2)+(-0.515508+(-0.19074--0.152184))+0-100.3--0.102306000000016</f>
        <v>442.44824199999999</v>
      </c>
      <c r="J26" s="3">
        <f>471.4+(206.2-122.3)+(0.961656+(0.420648-0.249492))+0-116.5-0.237659999999995</f>
        <v>439.69515199999989</v>
      </c>
      <c r="K26" s="3">
        <f>458.2+(196.8-99.7)+(-0.467364+(-0.200736--0.101694))+0-113.2--0.115464000000018</f>
        <v>441.64905799999997</v>
      </c>
      <c r="L26" s="3">
        <f>462.2+(213.3-79.6)+(0.707166+(0.326349-0.121788))+0-113.4-0.173502000000007</f>
        <v>483.23822500000006</v>
      </c>
      <c r="M26" s="3">
        <f>465.8+(240.5-75.8)+(-0.237558+(-0.122655--0.038658))+0-110.8--0.0565079999999888</f>
        <v>519.43495300000006</v>
      </c>
      <c r="N26" s="3">
        <f>474.6+(267-105)+(-0.242046+(-0.13617--0.05355))+0-122.3--0.0623729999999876</f>
        <v>514.03770700000007</v>
      </c>
      <c r="O26" s="3">
        <f>479.4+(280.8-99.9)+(-0.488988+(-0.286416--0.101898))+0-106.8--0.108936000000017</f>
        <v>552.93543</v>
      </c>
      <c r="P26" s="3">
        <f>491.6+(277.5-71.8)+(-0.752148+(-0.424575--0.109854))+0-120.3--0.184059000000007</f>
        <v>576.11719000000005</v>
      </c>
      <c r="Q26" s="3">
        <f>511.4+(260.4-67.2)+(-1.043256+(-0.531216--0.137088))+0-124.9--0.254795999999995</f>
        <v>578.51741199999992</v>
      </c>
      <c r="R26" s="3">
        <f>513.1+(275.8-69.9)+(-0.785043+(-0.421974--0.106947))+0-132.9--0.203337000000008</f>
        <v>585.2032670000001</v>
      </c>
      <c r="S26" s="3">
        <f>511.6+(281.3-102.2)+(-1.043664+(-0.573852--0.208488))+0-107.7--0.219707999999995</f>
        <v>581.81067999999993</v>
      </c>
      <c r="T26" s="3">
        <f>514.5+(285.1-131.6)+(-0.787185+(-0.436203--0.201348))+0-107.3--0.164169000000006</f>
        <v>559.84212900000011</v>
      </c>
      <c r="U26" s="3">
        <f>510.7+(277.2-123.9)+(-1.562742+(-0.848232--0.379134))+0-109.9--0.336294000000013</f>
        <v>552.4044540000001</v>
      </c>
      <c r="V26" s="3">
        <f>515.3+(272.3-122)+(-0.262803+(-0.138873--0.06222))+0-113.4--0.0578339999999885</f>
        <v>551.91837799999985</v>
      </c>
      <c r="W26" s="3">
        <f>505.2+(239-92.6)+(-1.28826+(-0.60945--0.23613))+0-94.7--0.241484999999986</f>
        <v>555.47990500000003</v>
      </c>
      <c r="X26" s="3">
        <f>492.6+(252.8-86.1)+(-0.251226+(-0.128928--0.043911))+0-92.3--0.0470729999999906</f>
        <v>566.7108300000001</v>
      </c>
      <c r="Y26" s="3">
        <f>498.8+(337-123.1)+(0.254388+(0.17187-0.062781))+0-114.2-0.0582419999999884</f>
        <v>598.80523500000004</v>
      </c>
      <c r="Z26" s="3">
        <f>506.8+(354.6-130.2)+(-1.29234+(-0.90423--0.33201))+0-121.7--0.310334999999982</f>
        <v>607.94577500000003</v>
      </c>
      <c r="AA26" s="3">
        <f>512.6+(359.2-169.8)+(-1.30713+(-0.91596--0.43299))+0-119.7--0.305234999999983</f>
        <v>580.81513499999994</v>
      </c>
      <c r="AB26" s="3">
        <f>512.2+(353.2-165.7)+(-0.261222+(-0.180132--0.084507))+0-125.5--0.0640049999999873</f>
        <v>573.90715799999998</v>
      </c>
      <c r="AC26" s="3">
        <f>514.5+(317.9-152.7)+(-1.04958+(-0.648516--0.311508))+0-127.6--0.260303999999994</f>
        <v>550.97371600000008</v>
      </c>
      <c r="AD26" s="2">
        <v>610.19999999999993</v>
      </c>
      <c r="AE26" s="3">
        <f>506+(382.5-139.2)+(0+(0-0))+0-139.1-0</f>
        <v>610.19999999999993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514.7+(260.3-150.5)+(-1.049988+(-0.531012--0.30702))+0-101.2--0.206447999999996</f>
        <v>522.23246799999993</v>
      </c>
      <c r="G27" s="3">
        <f>513.2+(238.4-137)+(-0.785196+(-0.364752--0.20961))+0-99.5--0.152235000000006</f>
        <v>514.31189700000004</v>
      </c>
      <c r="H27" s="3">
        <f>513.1+(227-114.5)+(0+(0-0))+0-122.8-0</f>
        <v>502.8</v>
      </c>
      <c r="I27" s="3">
        <f>515.5+(213-97.2)+(-0.52581+(-0.21726--0.099144))+0-132.2--0.134844000000021</f>
        <v>498.59091800000004</v>
      </c>
      <c r="J27" s="3">
        <f>516.6+(199.3-91.8)+(0+(0-0))+0-131.3-0</f>
        <v>492.8</v>
      </c>
      <c r="K27" s="3">
        <f>516.2+(192.9-92.9)+(0+(0-0))+0-124.2-0</f>
        <v>492.00000000000006</v>
      </c>
      <c r="L27" s="3">
        <f>515.9+(184.2-71.3)+(0.789327+(0.281826-0.109089))+0-129.3-0.197829000000007</f>
        <v>500.26423499999999</v>
      </c>
      <c r="M27" s="3">
        <f>514.8+(197.8-61.5)+(-0.525096+(-0.201756--0.06273))+0-125.2--0.12770400000002</f>
        <v>525.36358199999984</v>
      </c>
      <c r="N27" s="3">
        <f>536+(223.6-88.7)+(-0.27336+(-0.114036--0.045237))+0-122.1--0.0622709999999876</f>
        <v>548.52011199999993</v>
      </c>
      <c r="O27" s="3">
        <f>544.2+(232.5-78.8)+(0+(0-0))+0-137-0</f>
        <v>560.90000000000009</v>
      </c>
      <c r="P27" s="3">
        <f>468+(290.3-69.9)+(-0.47736+(-0.296106--0.071298))+0-122.6--0.12505200000002</f>
        <v>565.22288399999991</v>
      </c>
      <c r="Q27" s="3">
        <f>336.5+(421.3-51.7)+(-0.514845+(-0.644589--0.079101))+0-130.8--0.200124000000008</f>
        <v>574.41979100000003</v>
      </c>
      <c r="R27" s="3">
        <f>336.5+(443.6-69)+(-0.34323+(-0.452472--0.07038))+0-131.2--0.133824000000021</f>
        <v>579.30850200000009</v>
      </c>
      <c r="S27" s="3">
        <f>336+(490.1-159.6)+(-0.68544+(-0.999804--0.325584))+0-100--0.203999999999996</f>
        <v>565.34433999999999</v>
      </c>
      <c r="T27" s="3">
        <f>335.2+(515.3-189.1)+(-0.170952+(-0.262803--0.096441))+0-110.4--0.0563039999999888</f>
        <v>550.71898999999985</v>
      </c>
      <c r="U27" s="3">
        <f>338+(498.6-194.7)+(-0.8619+(-1.27143--0.496485))+0-118.8--0.302939999999983</f>
        <v>521.76609500000018</v>
      </c>
      <c r="V27" s="3">
        <f>406.3+(434.5-194.5)+(-1.243278+(-1.32957--0.59517))+0-109.2--0.334152000000013</f>
        <v>535.45647399999996</v>
      </c>
      <c r="W27" s="3">
        <f>475.1+(351-161.2)+(-0.726903+(-0.53703--0.246636))+0-124.4--0.190332000000007</f>
        <v>539.67303500000014</v>
      </c>
      <c r="X27" s="3">
        <f>496.8+(261.7-107.4)+(-0.506736+(-0.266934--0.109548))+0-107.3--0.109446000000017</f>
        <v>543.2453240000001</v>
      </c>
      <c r="Y27" s="3">
        <f>517+(351.9-176)+(0.26367+(0.179469-0.08976))+0-111.7-0.0569669999999887</f>
        <v>581.49641199999996</v>
      </c>
      <c r="Z27" s="3">
        <f>521.6+(387.3-195.6)+(-0.798048+(-0.592569--0.299268))+0-122.5--0.187425000000007</f>
        <v>589.89607599999999</v>
      </c>
      <c r="AA27" s="3">
        <f>498.7+(416.5-213.6)+(-0.763011+(-0.637245--0.326808))+0-130.8--0.200124000000008</f>
        <v>569.92667600000004</v>
      </c>
      <c r="AB27" s="3">
        <f>433+(480-223.2)+(-0.44166+(-0.4896--0.227664))+0-132.3--0.134946000000021</f>
        <v>556.93134999999995</v>
      </c>
      <c r="AC27" s="3">
        <f>385+(513.9-236.3)+(0+(0-0))+0-120-0</f>
        <v>542.59999999999991</v>
      </c>
      <c r="AD27" s="2">
        <v>591.4</v>
      </c>
      <c r="AE27" s="3">
        <f>519+(375.4-209.4)+(0+(0-0))+0-93.6-0</f>
        <v>591.4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357.5+(483.4-200.5)+(-0.546975+(-0.739602--0.306765))+0-123.8--0.189414000000007</f>
        <v>515.80960200000004</v>
      </c>
      <c r="G28" s="3">
        <f>357.3+(440.4-185.4)+(-0.546669+(-0.673812--0.283662))+0-112.7--0.172431000000007</f>
        <v>498.83561199999997</v>
      </c>
      <c r="H28" s="3">
        <f>356.9+(396-142.4)+(-0.546057+(-0.60588--0.217872))+0-121--0.185130000000007</f>
        <v>488.75106499999998</v>
      </c>
      <c r="I28" s="3">
        <f>359.2+(338.1-107.6)+(0+(0-0))+0-102.8-0</f>
        <v>486.90000000000003</v>
      </c>
      <c r="J28" s="3">
        <f>360.8+(325.9-102)+(0.368016+(0.332418-0.10404))+0-103.9-0.105978000000017</f>
        <v>481.29041600000011</v>
      </c>
      <c r="K28" s="3">
        <f>358.9+(307.3-87.2)+(0+(0-0))+0-91.4-0</f>
        <v>487.6</v>
      </c>
      <c r="L28" s="3">
        <f>355.2+(328.4-70.7)+(-0.543456+(-0.502452--0.108171))+0-120.1--0.183753000000007</f>
        <v>492.04601600000001</v>
      </c>
      <c r="M28" s="3">
        <f>372.2+(331-66.1)+(0+(0-0))+0-115.1-0</f>
        <v>521.99999999999989</v>
      </c>
      <c r="N28" s="3">
        <f>434.1+(314.9-107.4)+(-0.221391+(-0.160599--0.054774))+0-96.9--0.0494189999999902</f>
        <v>544.42220299999997</v>
      </c>
      <c r="O28" s="3">
        <f>469.3+(298.6-108.1)+(-0.478686+(-0.304572--0.110262))+0-90--0.0918000000000144</f>
        <v>569.21880400000009</v>
      </c>
      <c r="P28" s="3">
        <f>472.7+(324-105.8)+(0.241077+(0.16524-0.053958))+0-119.9-0.0611489999999878</f>
        <v>571.29120999999998</v>
      </c>
      <c r="Q28" s="3">
        <f>413.5+(418.9-136.4)+(0.210885+(0.213639-0.069564))+0-120.2-0.0613019999999878</f>
        <v>576.093658</v>
      </c>
      <c r="R28" s="3">
        <f>331.4+(481.9-127.8)+(0.169014+(0.245769-0.065178))+0-122.5-0.0624749999999876</f>
        <v>563.28713000000005</v>
      </c>
      <c r="S28" s="3">
        <f>332+(536-183.7)+(0.16932+(0.27336-0.093687))+0-112-0.0571199999999886</f>
        <v>572.59187299999996</v>
      </c>
      <c r="T28" s="3">
        <f>337.6+(514.6-181.8)+(0.516528+(0.787338-0.278154))+0-118.3-0.180999000000007</f>
        <v>552.94471300000009</v>
      </c>
      <c r="U28" s="3">
        <f>339+(500.8-179.7)+(-0.34578+(-0.510816--0.183294))+0-115.4--0.117708000000018</f>
        <v>544.144406</v>
      </c>
      <c r="V28" s="3">
        <f>371.9+(457.3-176.5)+(-0.189669+(-0.233223--0.090015))+0-105--0.0535499999999893</f>
        <v>547.42067299999997</v>
      </c>
      <c r="W28" s="3">
        <f>378.1+(386.6-111.8)+(-0.192831+(-0.197166--0.057018))+0-109.1--0.0556409999999889</f>
        <v>543.52266200000008</v>
      </c>
      <c r="X28" s="3">
        <f>443.9+(396.2-97)+(-0.905556+(-0.808248--0.19788))+0-111--0.226439999999995</f>
        <v>630.81051599999989</v>
      </c>
      <c r="Y28" s="3">
        <f>502.6+(413.2-210.3)+(0.768978+(0.632196-0.321759))+0-121.6-0.186048000000007</f>
        <v>584.79336699999999</v>
      </c>
      <c r="Z28" s="3">
        <f>515.3+(444.4-232.4)+(-0.262803+(-0.226644--0.118524))+0-132.2--0.0674219999999866</f>
        <v>594.79649899999993</v>
      </c>
      <c r="AA28" s="3">
        <f>511.8+(472.2-274.8)+(-0.783054+(-0.722466--0.420444))+0-130.8--0.200124000000008</f>
        <v>577.51504799999998</v>
      </c>
      <c r="AB28" s="3">
        <f>505+(508.7-325.1)+(-1.28775+(-1.297185--0.829005))+0-134.8--0.34373999999998</f>
        <v>552.38780999999994</v>
      </c>
      <c r="AC28" s="3">
        <f>516+(480.2-338.8)+(0.26316+(0.244902-0.172788))+0-117.8-0.0600779999999881</f>
        <v>539.87519600000007</v>
      </c>
      <c r="AD28" s="2">
        <v>620.20000000000005</v>
      </c>
      <c r="AE28" s="3">
        <f>513+(475.5-239.9)+(0+(0-0))+0-128.4-0</f>
        <v>620.20000000000005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513.6+(412.7-319.1)+(-0.523872+(-0.420954--0.325482))+0-113.4--0.115668000000018</f>
        <v>493.29632400000014</v>
      </c>
      <c r="G29" s="3">
        <f>511.7+(380.2-301.6)+(-1.043868+(-0.775608--0.615264))+0-115.9--0.236435999999995</f>
        <v>473.43222399999996</v>
      </c>
      <c r="H29" s="3">
        <f>513.2+(330.5-262.6)+(-0.261732+(-0.168555--0.133926))+0-107.8--0.0549779999999891</f>
        <v>473.05861699999997</v>
      </c>
      <c r="I29" s="3">
        <f>515.7+(298.9-227.7)+(0.263007+(0.152439-0.116127))+0-124.2-0.0633419999999874</f>
        <v>462.93597700000009</v>
      </c>
      <c r="J29" s="3">
        <f>513.6+(221.6-157.2)+(-0.261936+(-0.113016--0.080172))+0-119.2--0.0607919999999879</f>
        <v>458.56601200000006</v>
      </c>
      <c r="K29" s="3">
        <f>514.9+(203.9-133.9)+(0.262599+(0.103989-0.068289))+0-117.1-0.0597209999999881</f>
        <v>468.03857800000003</v>
      </c>
      <c r="L29" s="3">
        <f>515.7+(194.6-91.2)+(-0.526014+(-0.198492--0.093024))+0-118.1--0.120462000000019</f>
        <v>500.48898000000003</v>
      </c>
      <c r="M29" s="3">
        <f>518.5+(221.8-83.4)+(0.52887+(0.226236-0.085068))+0-122.2-0.124644000000019</f>
        <v>535.24539399999992</v>
      </c>
      <c r="N29" s="3">
        <f>518.3+(258.6-113.1)+(0.528666+(0.263772-0.115362))+0-109.9-0.112098000000018</f>
        <v>554.46497799999997</v>
      </c>
      <c r="O29" s="3">
        <f>517.3+(281.9-140.9)+(0.527646+(0.287538-0.143718))+0-87.7-0.089454000000014</f>
        <v>571.18201199999987</v>
      </c>
      <c r="P29" s="3">
        <f>511.5+(292.9-142.8)+(0.52173+(0.298758-0.145656))+0-90.2-0.0920040000000144</f>
        <v>571.98282799999993</v>
      </c>
      <c r="Q29" s="3">
        <f>497.7+(356-161.4)+(-1.522962+(-1.08936--0.493884))+0-102--0.312120000000012</f>
        <v>588.49368200000004</v>
      </c>
      <c r="R29" s="3">
        <f>512+(380-198.2)+(0.52224+(0.3876-0.202164))+0-111.9-0.114138000000018</f>
        <v>582.49353799999994</v>
      </c>
      <c r="S29" s="3">
        <f>504.7+(452.5-263.9)+(-0.514794+(-0.46155--0.269178))+0-123.4--0.12586800000002</f>
        <v>569.31870199999992</v>
      </c>
      <c r="T29" s="3">
        <f>497.6+(494.3-317.6)+(-1.522656+(-1.512558--0.971856))+0-132.7--0.406062000000015</f>
        <v>539.94270400000005</v>
      </c>
      <c r="U29" s="3">
        <f>502.1+(459.5-313.3)+(-1.024284+(-0.93738--0.639132))+0-119.6--0.243983999999995</f>
        <v>527.62145199999986</v>
      </c>
      <c r="V29" s="3">
        <f>506.6+(449.7-315.3)+(-0.258366+(-0.229347--0.160803))+0-109--0.0555899999999889</f>
        <v>531.72867999999994</v>
      </c>
      <c r="W29" s="3">
        <f>513.8+(384.2-261.4)+(1.048152+(0.783768-0.533256))+0-101.3-0.206651999999996</f>
        <v>536.39201200000002</v>
      </c>
      <c r="X29" s="3">
        <f>506.7+(360.8-209.2)+(-0.516834+(-0.368016--0.213384))+0-127.2--0.12974400000002</f>
        <v>530.55827799999997</v>
      </c>
      <c r="Y29" s="3">
        <f>507.5+(389.2-225.2)+(-0.51765+(-0.396984--0.229704))+0-109--0.111180000000017</f>
        <v>561.92624999999998</v>
      </c>
      <c r="Z29" s="3">
        <f>508.8+(426.4-246.1)+(-0.778464+(-0.652392--0.376533))+0-110--0.168300000000006</f>
        <v>578.21397700000011</v>
      </c>
      <c r="AA29" s="3">
        <f>513.2+(457-274.7)+(-0.523464+(-0.46614--0.280194))+0-132.8--0.135456000000021</f>
        <v>562.12604599999986</v>
      </c>
      <c r="AB29" s="3">
        <f>514.7+(433.4-309.2)+(-0.524994+(-0.442068--0.315384))+0-101.2--0.103224000000016</f>
        <v>537.15154600000017</v>
      </c>
      <c r="AC29" s="3">
        <f>519+(421.7-304.5)+(-0.52938+(-0.430134--0.31059))+0-120.2--0.122604000000019</f>
        <v>515.47368000000006</v>
      </c>
      <c r="AD29" s="2">
        <v>560.20000000000005</v>
      </c>
      <c r="AE29" s="3">
        <f>507+(415.6-256.6)+(0+(0-0))+0-105.8-0</f>
        <v>560.20000000000005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517+(440.2-338.4)+(-0.79101+(-0.673506--0.517752))+0-118.6--0.181458000000007</f>
        <v>499.43469399999992</v>
      </c>
      <c r="G30" s="3">
        <f>523+(403.9-318.7)+(-0.26673+(-0.205989--0.162537))+0-126.5--0.0645149999999872</f>
        <v>481.45433299999996</v>
      </c>
      <c r="H30" s="3">
        <f>528.3+(374.5-315.9)+(0.808299+(0.572985-0.483327))+0-117.6-0.179928000000007</f>
        <v>470.01802899999996</v>
      </c>
      <c r="I30" s="3">
        <f>521.4+(434.3-372.2)+(-0.531828+(-0.442986--0.379644))+0-119--0.121380000000019</f>
        <v>464.02620999999999</v>
      </c>
      <c r="J30" s="3">
        <f>521.8+(386.6-327.9)+(-0.532236+(-0.394332--0.334458))+0-118.5--0.120870000000019</f>
        <v>461.52875999999998</v>
      </c>
      <c r="K30" s="3">
        <f>519.6+(336.8-281)+(-1.059984+(-0.687072--0.57324))+0-117.7--0.240107999999995</f>
        <v>456.76629200000013</v>
      </c>
      <c r="L30" s="3">
        <f>517.6+(253.7-207.4)+(-1.055904+(-0.517548--0.423096))+0-100.3--0.204611999999996</f>
        <v>462.65425599999998</v>
      </c>
      <c r="M30" s="3">
        <f>523.8+(227.7-152.3)+(0.267138+(0.116127-0.077673))+0-100.1-0.0510509999999898</f>
        <v>499.35454099999998</v>
      </c>
      <c r="N30" s="3">
        <f>520.5+(251.8-150.2)+(0.265455+(0.128418-0.076602))+0-96.7-0.0493169999999902</f>
        <v>525.66795400000001</v>
      </c>
      <c r="O30" s="3">
        <f>516.5+(288.2-173.5)+(0.263415+(0.146982-0.088485))+0-87.5-0.0446249999999911</f>
        <v>543.97728700000005</v>
      </c>
      <c r="P30" s="3">
        <f>516.7+(327.8-193.7)+(0.263517+(0.167178-0.098787))+0-104.8-0.0534479999999894</f>
        <v>546.27846000000011</v>
      </c>
      <c r="Q30" s="3">
        <f>514.4+(405.1-248.9)+(-0.262344+(-0.206601--0.126939))+0-105.4--0.0537539999999893</f>
        <v>564.9117480000001</v>
      </c>
      <c r="R30" s="3">
        <f>516.9+(455.7-288.3)+(0.263619+(0.232407-0.147033))+0-117-0.0596699999999881</f>
        <v>567.58932299999992</v>
      </c>
      <c r="S30" s="3">
        <f>507.4+(495.4-325)+(-1.29387+(-1.26327--0.82875))+0-118.4--0.301919999999983</f>
        <v>557.97352999999998</v>
      </c>
      <c r="T30" s="3">
        <f>519.4+(430.3-323.9)+(-0.264894+(-0.219453--0.165189))+0-95.8--0.0488579999999903</f>
        <v>529.72969999999998</v>
      </c>
      <c r="U30" s="3">
        <f>515.4+(398.2-288.8)+(-1.051416+(-0.812328--0.589152))+0-110.4--0.225215999999995</f>
        <v>513.35062400000004</v>
      </c>
      <c r="V30" s="3">
        <f>518.3+(318.3-212.1)+(-0.264333+(-0.162333--0.108171))+0-118.3--0.060332999999988</f>
        <v>505.94183800000002</v>
      </c>
      <c r="W30" s="3">
        <f>515+(237.4-144.7)+(-1.0506+(-0.484296--0.295188))+0-95.2--0.194207999999996</f>
        <v>511.45450000000011</v>
      </c>
      <c r="X30" s="3">
        <f>516.4+(197.1-99.3)+(-0.790092+(-0.301563--0.151929))+0-98.5--0.150705000000006</f>
        <v>514.910979</v>
      </c>
      <c r="Y30" s="3">
        <f>514.1+(262-128.1)+(-1.310955+(-0.6681--0.326655))+0-94.7--0.241484999999986</f>
        <v>551.88908500000002</v>
      </c>
      <c r="Z30" s="3">
        <f>525.9+(292.6-139.5)+(-0.804627+(-0.447678--0.213435))+0-97.3--0.148869000000006</f>
        <v>580.80999900000006</v>
      </c>
      <c r="AA30" s="3">
        <f>523.8+(318-148.3)+(-1.33569+(-0.8109--0.378165))+0-128.1--0.326654999999981</f>
        <v>563.95822999999996</v>
      </c>
      <c r="AB30" s="3">
        <f>526.9+(342-198.6)+(-0.806157+(-0.52326--0.303858))+0-122.7--0.187731000000007</f>
        <v>546.76217199999985</v>
      </c>
      <c r="AC30" s="3">
        <f>529.3+(301.4-195.4)+(-1.079772+(-0.614856--0.398616))+0-107.3--0.218891999999995</f>
        <v>526.92287999999996</v>
      </c>
      <c r="AD30" s="2">
        <v>580.6</v>
      </c>
      <c r="AE30" s="3">
        <f>532+(278.1-119.6)+(0+(0-0))+0-109.9-0</f>
        <v>580.6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528.3+(264.9-160.2)+(-1.077732+(-0.540396--0.326808))+0-123.4--0.251735999999995</f>
        <v>508.56041599999998</v>
      </c>
      <c r="G31" s="3">
        <f>529+(230.9-158.1)+(-0.80937+(-0.353277--0.241893))+0-102.9--0.157437000000006</f>
        <v>498.136683</v>
      </c>
      <c r="H31" s="3">
        <f>506.3+(216.6-108.2)+(-1.291065+(-0.55233--0.27591))+0-124.5--0.317474999999982</f>
        <v>488.94999000000001</v>
      </c>
      <c r="I31" s="3">
        <f>436.6+(251.5-84.5)+(0+(0-0))+0-120-0</f>
        <v>483.6</v>
      </c>
      <c r="J31" s="3">
        <f>436.3+(215.6-62.9)+(-0.222513+(-0.109956--0.032079))+0-104.8--0.0534479999999894</f>
        <v>483.953058</v>
      </c>
      <c r="K31" s="3">
        <f>438.5+(214.5-52.5)+(0.223635+(0.109395-0.026775))+0-112.3-0.0572729999999886</f>
        <v>488.44898199999994</v>
      </c>
      <c r="L31" s="3">
        <f>433.6+(214.7-43.8)+(-0.221136+(-0.109497--0.022338))+0-118.2--0.060281999999988</f>
        <v>486.05198699999994</v>
      </c>
      <c r="M31" s="3">
        <f>432.2+(246.8-48.5)+(0.220422+(0.125868-0.024735))+0-111.1-0.0566609999999887</f>
        <v>519.664894</v>
      </c>
      <c r="N31" s="3">
        <f>430.9+(253.5-56.1)+(-0.219759+(-0.129285--0.028611))+0-85.5--0.0436049999999913</f>
        <v>542.52317199999993</v>
      </c>
      <c r="O31" s="3">
        <f>430.7+(284.8-59.9)+(-0.439314+(-0.290496--0.061098))+0-87.4--0.0891480000000139</f>
        <v>567.62043600000004</v>
      </c>
      <c r="P31" s="3">
        <f>433.5+(296.1-58)+(0.221085+(0.151011-0.02958))+0-98.1-0.05003099999999</f>
        <v>573.79248500000006</v>
      </c>
      <c r="Q31" s="3">
        <f>426.2+(312.2-57.5)+(-1.304172+(-0.955332--0.17595))+0-99.4--0.304164000000011</f>
        <v>579.72060999999997</v>
      </c>
      <c r="R31" s="3">
        <f>429.6+(349.7-78.5)+(-0.876384+(-0.713388--0.16014))+0-120.7--0.246227999999995</f>
        <v>578.91659599999991</v>
      </c>
      <c r="S31" s="3">
        <f>428.5+(349.3-94.3)+(-1.092675+(-0.890715--0.240465))+0-117.8--0.300389999999983</f>
        <v>564.25746500000002</v>
      </c>
      <c r="T31" s="3">
        <f>433.3+(300.9-101.5)+(0+(0-0))+0-94.8-0</f>
        <v>537.90000000000009</v>
      </c>
      <c r="U31" s="3">
        <f>448+(293.4-99.7)+(-0.45696+(-0.299268--0.101694))+0-113.4--0.115668000000018</f>
        <v>527.76113400000008</v>
      </c>
      <c r="V31" s="3">
        <f>471.7+(247.2-94.6)+(-0.240567+(-0.126072--0.048246))+0-95.2--0.0485519999999903</f>
        <v>528.83015899999987</v>
      </c>
      <c r="W31" s="3">
        <f>475+(243.6-98.1)+(-0.4845+(-0.248472--0.100062))+0-87.2--0.0889440000000139</f>
        <v>532.75603399999989</v>
      </c>
      <c r="X31" s="3">
        <f>479.6+(250.7-94.9)+(0.489192+(0.255714-0.096798))+0-105.7-0.107814000000017</f>
        <v>530.24029399999995</v>
      </c>
      <c r="Y31" s="3">
        <f>497.9+(269.5-90.3)+(0.253929+(0.137445-0.046053))+0-121.3-0.0618629999999877</f>
        <v>556.08345799999995</v>
      </c>
      <c r="Z31" s="3">
        <f>552.5+(210.7-74.2)+(-0.845325+(-0.322371--0.113526))+0-111.4--0.170442000000006</f>
        <v>576.716272</v>
      </c>
      <c r="AA31" s="3">
        <f>551+(224.7-73.1)+(-0.84303+(-0.343791--0.111843))+0-138.5--0.211905000000008</f>
        <v>563.23692700000004</v>
      </c>
      <c r="AB31" s="3">
        <f>552.2+(212.7-84.5)+(-0.844866+(-0.325431--0.129285))+0-131.7--0.201501000000008</f>
        <v>547.86048900000014</v>
      </c>
      <c r="AC31" s="3">
        <f>545.4+(200.7-90.2)+(-0.556308+(-0.204714--0.092004))+0-124--0.12648000000002</f>
        <v>531.35746199999994</v>
      </c>
      <c r="AD31" s="2">
        <v>585.1</v>
      </c>
      <c r="AE31" s="3">
        <f>553.9+(225.6-73.5)+(0+(0-0))+0-120.9-0</f>
        <v>585.1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380+(274.6-42.9)+(-0.1938+(-0.140046--0.021879))+0-102.6--0.0523259999999896</f>
        <v>508.84035900000003</v>
      </c>
      <c r="G32" s="3">
        <f>357.1+(298-43.2)+(-0.364242+(-0.30396--0.044064))+0-119.2--0.121584000000019</f>
        <v>492.19744600000013</v>
      </c>
      <c r="H32" s="3">
        <f>358.1+(276.1-39.1)+(-0.365262+(-0.281622--0.039882))+0-113--0.115260000000018</f>
        <v>481.60825800000009</v>
      </c>
      <c r="I32" s="3">
        <f>359.6+(273.7-39.9)+(0+(0-0))+0-122-0</f>
        <v>471.4</v>
      </c>
      <c r="J32" s="3">
        <f>359.3+(278.9-40.7)+(0+(0-0))+0-131.5-0</f>
        <v>466</v>
      </c>
      <c r="K32" s="3">
        <f>356.1+(278.6-54.1)+(-0.363222+(-0.284172--0.055182))+0-116--0.118320000000018</f>
        <v>464.12610800000004</v>
      </c>
      <c r="L32" s="3">
        <f>359+(268.2-85.3)+(0+(0-0))+0-98.8-0</f>
        <v>443.09999999999997</v>
      </c>
      <c r="M32" s="3">
        <f>358.3+(273.7-69.5)+(0+(0-0))+0-129.8-0</f>
        <v>432.7</v>
      </c>
      <c r="N32" s="3">
        <f>358.7+(232-54.7)+(0.365874+(0.23664-0.055794))+0-96.3-0.0982260000000154</f>
        <v>440.14849400000003</v>
      </c>
      <c r="O32" s="3">
        <f>356.9+(231.9-40.4)+(0.364038+(0.236538-0.041208))+0-94.6-0.0964920000000151</f>
        <v>454.26287599999989</v>
      </c>
      <c r="P32" s="3">
        <f>354.3+(252.1-52.8)+(0+(0-0))+0-75.3-0</f>
        <v>478.3</v>
      </c>
      <c r="Q32" s="3">
        <f>349.4+(297.8-74.5)+(-0.534582+(-0.455634--0.113985))+0-86.4--0.132192000000005</f>
        <v>485.55596100000014</v>
      </c>
      <c r="R32" s="3">
        <f>352.6+(319.4-89.1)+(0+(0-0))+0-92.5-0</f>
        <v>490.4</v>
      </c>
      <c r="S32" s="3">
        <f>348.6+(372.6-123.4)+(-0.711144+(-0.760104--0.251736))+0-124.9--0.254795999999995</f>
        <v>471.93528400000008</v>
      </c>
      <c r="T32" s="3">
        <f>350.6+(380.1-140.5)+(0+(0-0))+0-130.3-0</f>
        <v>459.90000000000003</v>
      </c>
      <c r="U32" s="3">
        <f>340.5+(381.8-161)+(-1.04193+(-1.168308--0.49266))+0-100.5--0.307530000000012</f>
        <v>459.38995199999994</v>
      </c>
      <c r="V32" s="3">
        <f>350.2+(311.5-97.2)+(0.178602+(0.158865-0.049572))+0-106.7-0.0544169999999892</f>
        <v>458.03347800000006</v>
      </c>
      <c r="W32" s="3">
        <f>346.7+(287.4-66.3)+(-0.176817+(-0.146574--0.033813))+0-109.7--0.0559469999999889</f>
        <v>457.86636899999996</v>
      </c>
      <c r="X32" s="3">
        <f>375.5+(264-46.3)+(0+(0-0))+0-128.1-0</f>
        <v>465.1</v>
      </c>
      <c r="Y32" s="3">
        <f>354.1+(315.5-43.7)+(0+(0-0))+0-115.6-0</f>
        <v>510.30000000000007</v>
      </c>
      <c r="Z32" s="3">
        <f>355.2+(354.5-53.4)+(-0.362304+(-0.36159--0.054468))+0-110.9--0.113118000000018</f>
        <v>544.84369199999992</v>
      </c>
      <c r="AA32" s="3">
        <f>354.4+(376.3-59.5)+(-0.542232+(-0.575739--0.091035))+0-135.1--0.206703000000008</f>
        <v>535.27976700000011</v>
      </c>
      <c r="AB32" s="3">
        <f>353.9+(409.9-123.8)+(-0.721956+(-0.836196--0.252552))+0-117.8--0.240311999999995</f>
        <v>521.13471200000004</v>
      </c>
      <c r="AC32" s="3">
        <f>358.1+(417.4-141.5)+(-0.182631+(-0.212874--0.072165))+0-131--0.0668099999999867</f>
        <v>502.74346999999995</v>
      </c>
      <c r="AD32" s="2">
        <v>536.19999999999993</v>
      </c>
      <c r="AE32" s="3">
        <f>354+(397.8-56.2)+(0+(0-0))+0-159.4-0</f>
        <v>536.20000000000005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352.8+(342-142.6)+(-0.359856+(-0.34884--0.145452))+0-95--0.0969000000000152</f>
        <v>456.733656</v>
      </c>
      <c r="G33" s="3">
        <f>351.7+(326.3-109.3)+(-0.358734+(-0.332826--0.111486))+0-124.8--0.12729600000002</f>
        <v>443.44722200000007</v>
      </c>
      <c r="H33" s="3">
        <f>350.1+(280.1-94.5)+(-0.892755+(-0.714255--0.240975))+0-98.8--0.251939999999986</f>
        <v>435.78590500000001</v>
      </c>
      <c r="I33" s="3">
        <f>359.8+(274.5-102.4)+(0.366996+(0.27999-0.104448))+0-98.9-0.100878000000016</f>
        <v>433.44166000000001</v>
      </c>
      <c r="J33" s="3">
        <f>360.1+(263.7-77.3)+(0.367302+(0.268974-0.078846))+0-116.6-0.118932000000019</f>
        <v>430.3384979999999</v>
      </c>
      <c r="K33" s="3">
        <f>358.9+(251.5-57.4)+(0.183039+(0.128265-0.029274))+0-127.7-0.065126999999987</f>
        <v>425.51690300000001</v>
      </c>
      <c r="L33" s="3">
        <f>356.2+(259.5-45.6)+(-0.181662+(-0.132345--0.023256))+0-107.4--0.0547739999999891</f>
        <v>462.46402300000005</v>
      </c>
      <c r="M33" s="3">
        <f>361.4+(290.3-34)+(0.184314+(0.148053-0.01734))+0-115.5-0.0589049999999883</f>
        <v>502.45612200000005</v>
      </c>
      <c r="N33" s="3">
        <f>368+(330.2-40.7)+(0+(0-0))+0-116.3-0</f>
        <v>541.20000000000005</v>
      </c>
      <c r="O33" s="3">
        <f>389.8+(317.1-42.8)+(0.198798+(0.161721-0.021828))+0-110.3-0.0562529999999888</f>
        <v>554.08243800000014</v>
      </c>
      <c r="P33" s="3">
        <f>406.4+(320.8-49.1)+(0.414528+(0.327216-0.050082))+0-105.6-0.107712000000017</f>
        <v>573.08394999999985</v>
      </c>
      <c r="Q33" s="3">
        <f>402.9+(335.4-54.2)+(-0.205479+(-0.171054--0.027642))+0-101.6--0.0518159999999897</f>
        <v>582.20292499999994</v>
      </c>
      <c r="R33" s="3">
        <f>448.4+(316.7-72.5)+(-0.914736+(-0.646068--0.1479))+0-107.6--0.219503999999995</f>
        <v>583.80659999999989</v>
      </c>
      <c r="S33" s="3">
        <f>478.9+(285-78.1)+(-1.221195+(-0.72675--0.199155))+0-112.5--0.286874999999984</f>
        <v>571.83808499999998</v>
      </c>
      <c r="T33" s="3">
        <f>510+(253.7-101.9)+(-0.5202+(-0.258774--0.103938))+0-105.7--0.107814000000017</f>
        <v>555.53277799999989</v>
      </c>
      <c r="U33" s="3">
        <f>507.8+(270.3-110.7)+(0.517956+(0.275706-0.112914))+0-105.3-0.107406000000017</f>
        <v>562.67334200000016</v>
      </c>
      <c r="V33" s="3">
        <f>498.3+(269.6-109.4)+(-0.762399+(-0.412488--0.167382))+0-85.1--0.130203000000005</f>
        <v>572.52269799999999</v>
      </c>
      <c r="W33" s="3">
        <f>496.8+(246.1-63)+(-0.253368+(-0.125511--0.03213))+0-107.4--0.0547739999999891</f>
        <v>572.20802499999991</v>
      </c>
      <c r="X33" s="3">
        <f>512.2+(369.5-207.4)+(-1.30611+(-0.942225--0.52887))+0-104.3--0.265964999999985</f>
        <v>568.54650000000004</v>
      </c>
      <c r="Y33" s="3">
        <f>525.7+(264.6-89.6)+(0.268107+(0.134946-0.045696))+0-102-0.0520199999999897</f>
        <v>599.00533700000005</v>
      </c>
      <c r="Z33" s="3">
        <f>519.9+(281.6-70.6)+(-1.060596+(-0.574464--0.144024))+0-106.8--0.217871999999995</f>
        <v>622.82683599999996</v>
      </c>
      <c r="AA33" s="3">
        <f>521.9+(256.3-69.4)+(-1.330845+(-0.653565--0.17697))+0-95.6--0.243779999999986</f>
        <v>611.6363399999999</v>
      </c>
      <c r="AB33" s="3">
        <f>522.7+(245.6-73.6)+(-1.332885+(-0.62628--0.18768))+0-99.6--0.253979999999986</f>
        <v>593.58249499999999</v>
      </c>
      <c r="AC33" s="3">
        <f>523.8+(235-80.6)+(-0.801414+(-0.35955--0.123318))+0-103.5--0.158355000000006</f>
        <v>573.82070899999997</v>
      </c>
      <c r="AD33" s="2">
        <v>630.20000000000005</v>
      </c>
      <c r="AE33" s="3">
        <f>521+(277.5-70.5)+(0+(0-0))+0-97.8-0</f>
        <v>630.20000000000005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529.9+(210.1-91.3)+(-0.540498+(-0.214302--0.093126))+0-106.3--0.108426000000017</f>
        <v>541.84675200000004</v>
      </c>
      <c r="G34" s="3">
        <f>531.8+(200.6-103.1)+(-0.542436+(-0.204612--0.105162))+0-102.3--0.104346000000016</f>
        <v>526.46245999999996</v>
      </c>
      <c r="H34" s="3">
        <f>530+(218-131.4)+(-0.5406+(-0.22236--0.134028))+0-101.1--0.103122000000016</f>
        <v>514.97419000000002</v>
      </c>
      <c r="I34" s="3">
        <f>527.1+(233.8-151.6)+(-0.268821+(-0.119238--0.077316))+0-104.8--0.0534479999999894</f>
        <v>504.24270500000006</v>
      </c>
      <c r="J34" s="3">
        <f>525.2+(249.8-186)+(-1.071408+(-0.509592--0.37944))+0-87--0.177479999999996</f>
        <v>500.97592000000003</v>
      </c>
      <c r="K34" s="3">
        <f>504.1+(271.7-171.5)+(0.514182+(0.277134-0.17493))+0-102.3-0.104346000000016</f>
        <v>502.51203999999996</v>
      </c>
      <c r="L34" s="3">
        <f>485.8+(317.5-197.3)+(-0.247758+(-0.161925--0.100623))+0-93.7--0.0477869999999905</f>
        <v>512.03872699999999</v>
      </c>
      <c r="M34" s="3">
        <f>488.8+(279.9-152.9)+(0.747864+(0.428247-0.233937))+0-87.2-0.133416000000005</f>
        <v>529.40875799999992</v>
      </c>
      <c r="N34" s="3">
        <f>489.5+(298.5-131.2)+(0.49929+(0.30447-0.133824))+0-94.4-0.0962880000000151</f>
        <v>562.97364800000003</v>
      </c>
      <c r="O34" s="3">
        <f>420.4+(304.7-56.4)+(-0.214404+(-0.155397--0.028764))+0-96.3--0.0491129999999902</f>
        <v>572.10807599999998</v>
      </c>
      <c r="P34" s="3">
        <f>521.2+(233-71.3)+(-0.265812+(-0.11883--0.036363))+0-100.5--0.0512549999999898</f>
        <v>582.10297600000001</v>
      </c>
      <c r="Q34" s="3">
        <f>486.3+(254.6-66.1)+(-0.744039+(-0.389538--0.101133))+0-79.9--0.122247000000005</f>
        <v>593.98980299999994</v>
      </c>
      <c r="R34" s="3">
        <f>422+(319.1-54.3)+(0+(0-0))+0-89.4-0</f>
        <v>597.4</v>
      </c>
      <c r="S34" s="3">
        <f>421.9+(314.7-60.6)+(-1.075845+(-0.802485--0.15453))+0-92.9--0.236894999999987</f>
        <v>581.61309500000004</v>
      </c>
      <c r="T34" s="3">
        <f>434.2+(306.3-97.5)+(0.442884+(0.312426-0.09945))+0-91.5-0.0933300000000146</f>
        <v>552.06252999999992</v>
      </c>
      <c r="U34" s="3">
        <f>479.7+(270.2-107.8)+(-0.733941+(-0.413406--0.164934))+0-102.3--0.156519000000006</f>
        <v>538.97410600000001</v>
      </c>
      <c r="V34" s="3">
        <f>482.1+(234-65.2)+(-0.245871+(-0.11934--0.033252))+0-93.9--0.0478889999999905</f>
        <v>556.71593000000007</v>
      </c>
      <c r="W34" s="3">
        <f>482.7+(235.5-59.4)+(-0.738531+(-0.360315--0.090882))+0-81.9--0.125307000000005</f>
        <v>576.01734299999998</v>
      </c>
      <c r="X34" s="3">
        <f>489.9+(266.2-100.9)+(-0.249849+(-0.135762--0.051459))+0-85.5--0.0436049999999913</f>
        <v>569.40945299999987</v>
      </c>
      <c r="Y34" s="3">
        <f>506.9+(259.2-61.1)+(0+(0-0))+0-104.3-0</f>
        <v>600.70000000000005</v>
      </c>
      <c r="Z34" s="3">
        <f>577.6+(251.6-93.5)+(0+(0-0))+0-109.9-0</f>
        <v>625.80000000000007</v>
      </c>
      <c r="AA34" s="3">
        <f>598.4+(228.6-115.9)+(-1.220736+(-0.466344--0.236436))+0-94.9--0.193595999999996</f>
        <v>614.94295199999988</v>
      </c>
      <c r="AB34" s="3">
        <f>547+(242.9-95.7)+(-0.55794+(-0.247758--0.097614))+0-100--0.102000000000016</f>
        <v>593.59391600000004</v>
      </c>
      <c r="AC34" s="3">
        <f>538.3+(223.4-88.5)+(-0.274533+(-0.113934--0.045135))+0-108.4--0.055283999999989</f>
        <v>564.51195199999995</v>
      </c>
      <c r="AD34" s="2">
        <v>627.80000000000007</v>
      </c>
      <c r="AE34" s="3">
        <f>579+(257-90.9)+(0+(0-0))+0-117.3-0</f>
        <v>627.80000000000007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456+(248.4-58.9)+(-0.93024+(-0.506736--0.120156))+0-99.5--0.202979999999996</f>
        <v>544.88616000000002</v>
      </c>
      <c r="G35" s="3">
        <f>346+(313.4-35.6)+(-0.17646+(-0.159834--0.018156))+0-98.9--0.05043899999999</f>
        <v>524.63230099999998</v>
      </c>
      <c r="H35" s="3">
        <f>349.7+(309.9-42.7)+(-0.178347+(-0.158049--0.021777))+0-98.5--0.05023499999999</f>
        <v>518.13561600000003</v>
      </c>
      <c r="I35" s="3">
        <f>351.9+(326.8-62.3)+(0.538407+(0.500004-0.095319))+0-95.2-0.145656000000006</f>
        <v>521.99743599999988</v>
      </c>
      <c r="J35" s="3">
        <f>347.5+(352.1-77.6)+(-0.531675+(-0.538713--0.118728))+0-99.8--0.152694000000006</f>
        <v>521.4010340000001</v>
      </c>
      <c r="K35" s="3">
        <f>347.7+(356.3-91.3)+(-0.177327+(-0.181713--0.046563))+0-97.6--0.0497759999999901</f>
        <v>514.83729900000003</v>
      </c>
      <c r="L35" s="3">
        <f>345.2+(394.1-117.8)+(-0.704208+(-0.803964--0.240312))+0-97.4--0.198695999999996</f>
        <v>523.03083600000002</v>
      </c>
      <c r="M35" s="3">
        <f>351.1+(432.4-119)+(0.716244+(0.882096-0.24276))+0-110.2-0.224807999999995</f>
        <v>555.43077200000005</v>
      </c>
      <c r="N35" s="3">
        <f>348.9+(439.2-99.9)+(0.177939+(0.223992-0.050949))+0-105.1-0.0536009999999893</f>
        <v>583.397381</v>
      </c>
      <c r="O35" s="3">
        <f>348+(507.8-152.8)+(0.17748+(0.258978-0.077928))+0-106.9-0.0545189999999892</f>
        <v>596.40401099999997</v>
      </c>
      <c r="P35" s="3">
        <f>351.3+(425.8-55.9)+(-0.179163+(-0.217158--0.028509))+0-120.2--0.0613019999999878</f>
        <v>600.69349</v>
      </c>
      <c r="Q35" s="3">
        <f>349.7+(418.4-56.5)+(0.356694+(0.426768-0.05763))+0-101-0.103020000000016</f>
        <v>611.22281199999986</v>
      </c>
      <c r="R35" s="3">
        <f>346.9+(412.8-51.3)+(-0.353838+(-0.421056--0.052326))+0-103.8--0.105876000000017</f>
        <v>603.98330799999997</v>
      </c>
      <c r="S35" s="3">
        <f>346.1+(407-34)+(0.353022+(0.41514-0.03468))+0-125.6-0.12811200000002</f>
        <v>594.10536999999999</v>
      </c>
      <c r="T35" s="3">
        <f>339.7+(382.2-37)+(0.346494+(0.389844-0.03774))+0-119.2-0.121584000000019</f>
        <v>566.27701399999989</v>
      </c>
      <c r="U35" s="3">
        <f>341+(372.8-40.6)+(-0.17391+(-0.190128--0.020706))+0-113.1--0.0576809999999885</f>
        <v>559.81434899999999</v>
      </c>
      <c r="V35" s="3">
        <f>351.9+(379.8-38.6)+(-0.717876+(-0.774792--0.078744))+0-114.8--0.234191999999995</f>
        <v>577.12026800000001</v>
      </c>
      <c r="W35" s="3">
        <f>353.7+(383.3-47.3)+(-0.901935+(-0.977415--0.120615))+0-111.2--0.283559999999984</f>
        <v>577.02482499999996</v>
      </c>
      <c r="X35" s="3">
        <f>353.5+(401.5-45.8)+(-1.261995+(-1.433355--0.163506))+0-129.5--0.462315000000002</f>
        <v>577.63047100000006</v>
      </c>
      <c r="Y35" s="3">
        <f>352.3+(426.4-43.8)+(0.179673+(0.217464-0.022338))+0-126.5-0.0645149999999872</f>
        <v>608.710284</v>
      </c>
      <c r="Z35" s="3">
        <f>359.6+(431.8-45.7)+(-0.183396+(-0.220218--0.023307))+0-132.3--0.0674729999999866</f>
        <v>613.08716599999991</v>
      </c>
      <c r="AA35" s="3">
        <f>372+(408.8-42.8)+(-1.51776+(-1.667904--0.174624))+0-139.1--0.567527999999988</f>
        <v>596.45648800000004</v>
      </c>
      <c r="AB35" s="3">
        <f>374.3+(373.5-37.2)+(-0.954465+(-0.952425--0.09486))+0-133.1--0.339404999999981</f>
        <v>576.02737499999989</v>
      </c>
      <c r="AC35" s="3">
        <f>374.3+(361.6-42.3)+(-0.572679+(-0.553248--0.064719))+0-129.2--0.197676000000007</f>
        <v>563.53646800000001</v>
      </c>
      <c r="AD35" s="2">
        <v>626.29999999999995</v>
      </c>
      <c r="AE35" s="3">
        <f>393+(428.5-40.9)+(0+(0-0))+0-154.3-0</f>
        <v>626.29999999999995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387.2+(335.7-44.9)+(-0.789888+(-0.684828--0.091596))+0-132.5--0.270299999999994</f>
        <v>544.38718000000006</v>
      </c>
      <c r="G36" s="3">
        <f>397+(289.5-39.7)+(-0.80988+(-0.59058--0.080988))+0-112.8--0.230111999999995</f>
        <v>532.91063999999994</v>
      </c>
      <c r="H36" s="3">
        <f>398+(277.4-52.7)+(-1.0149+(-0.70737--0.134385))+0-94.8--0.241739999999986</f>
        <v>526.553855</v>
      </c>
      <c r="I36" s="3">
        <f>399.6+(282.4-71.7)+(0.407592+(0.288048-0.073134))+0-90.4-0.0922080000000144</f>
        <v>520.43029799999999</v>
      </c>
      <c r="J36" s="3">
        <f>398.8+(304.8-81)+(-0.203388+(-0.155448--0.04131))+0-111.5--0.0568649999999887</f>
        <v>510.839339</v>
      </c>
      <c r="K36" s="3">
        <f>400.5+(279.4-86.8)+(0+(0-0))+0-106.6-0</f>
        <v>486.49999999999989</v>
      </c>
      <c r="L36" s="3">
        <f>399.5+(325.4-113.8)+(-0.203745+(-0.165954--0.058038))+0-101.1--0.0515609999999897</f>
        <v>509.73989999999992</v>
      </c>
      <c r="M36" s="3">
        <f>399.9+(345.9-107.5)+(0.407898+(0.352818-0.10965))+0-91.5-0.0933300000000146</f>
        <v>547.35773599999993</v>
      </c>
      <c r="N36" s="3">
        <f>398.4+(338-71.2)+(0.203184+(0.17238-0.036312))+0-101.8-0.0519179999999897</f>
        <v>563.68733400000008</v>
      </c>
      <c r="O36" s="3">
        <f>401.7+(363.1-52.4)+(0.204867+(0.185181-0.026724))+0-124.7-0.0635969999999874</f>
        <v>587.99972700000012</v>
      </c>
      <c r="P36" s="3">
        <f>391.1+(366.7-49.2)+(-0.598383+(-0.561051--0.075276))+0-124.9--0.191097000000007</f>
        <v>582.80693900000006</v>
      </c>
      <c r="Q36" s="3">
        <f>389.5+(375.1-51.1)+(-0.198645+(-0.191301--0.026061))+0-123--0.0627299999999875</f>
        <v>590.19884500000001</v>
      </c>
      <c r="R36" s="3">
        <f>404.7+(381.1-60.2)+(-0.825588+(-0.777444--0.122808))+0-121.5--0.247859999999995</f>
        <v>602.86763599999995</v>
      </c>
      <c r="S36" s="3">
        <f>423.5+(382-84.6)+(-0.43197+(-0.38964--0.086292))+0-122.8--0.12525600000002</f>
        <v>597.48993800000005</v>
      </c>
      <c r="T36" s="3">
        <f>385.2+(402.4-124.7)+(0.392904+(0.410448-0.127194))+0-136.1-0.138822000000022</f>
        <v>527.33733599999994</v>
      </c>
      <c r="U36" s="3">
        <f>466.1+(329.7-113)+(-0.713133+(-0.504441--0.17289))+0-115.6--0.176868000000007</f>
        <v>566.33218399999998</v>
      </c>
      <c r="V36" s="3">
        <f>465.2+(311-83.4)+(-0.711756+(-0.47583--0.127602))+0-122.9--0.188037000000007</f>
        <v>569.028053</v>
      </c>
      <c r="W36" s="3">
        <f>462.8+(297.3-60.6)+(-1.416168+(-0.909738--0.185436))+0-121--0.370260000000014</f>
        <v>576.72978999999998</v>
      </c>
      <c r="X36" s="3">
        <f>464+(323.2-92.7)+(-0.94656+(-0.659328--0.189108))+0-119.8--0.244391999999995</f>
        <v>573.52761199999998</v>
      </c>
      <c r="Y36" s="3">
        <f>465.4+(348.7-98.3)+(0+(0-0))+0-106.5-0</f>
        <v>609.29999999999995</v>
      </c>
      <c r="Z36" s="3">
        <f>467.7+(344.4-73.4)+(-0.715581+(-0.526932--0.112302))+0-125.8--0.192474000000007</f>
        <v>611.96226300000012</v>
      </c>
      <c r="AA36" s="3">
        <f>479.4+(300.3-59.6)+(-0.977976+(-0.612612--0.121584))+0-136.3--0.278051999999994</f>
        <v>582.60904799999992</v>
      </c>
      <c r="AB36" s="3">
        <f>505.7+(289.8-103.2)+(0+(0-0))+0-128-0</f>
        <v>564.29999999999995</v>
      </c>
      <c r="AC36" s="3">
        <f>515.5+(268.2-118.1)+(-0.52581+(-0.273564--0.120462))+0-114.9--0.117198000000018</f>
        <v>550.13828600000011</v>
      </c>
      <c r="AD36" s="2">
        <v>606.70000000000005</v>
      </c>
      <c r="AE36" s="3">
        <f>468+(325.7-73.3)+(0+(0-0))+0-113.7-0</f>
        <v>606.69999999999993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525.5+(222.8-82.4)+(-0.53601+(-0.227256--0.084048))+0-123.7--0.12617400000002</f>
        <v>541.64695599999993</v>
      </c>
      <c r="G37" s="3">
        <f>566.5+(199.4-112.9)+(-0.57783+(-0.203388--0.115158))+0-129.7--0.132294000000021</f>
        <v>522.76623399999994</v>
      </c>
      <c r="H37" s="3">
        <f>639.8+(162.3-172.9)+(-0.652596+(-0.165546--0.176358))+0-110.1--0.112302000000018</f>
        <v>518.57051799999988</v>
      </c>
      <c r="I37" s="3">
        <f>648.6+(162.4-174.8)+(0+(0-0))+0-124.5-0</f>
        <v>511.70000000000005</v>
      </c>
      <c r="J37" s="3">
        <f>659.3+(169.3-192)+(-0.672486+(-0.172686--0.19584))+0-131.3--0.133926000000021</f>
        <v>504.78459399999997</v>
      </c>
      <c r="K37" s="3">
        <f>655.8+(186.4-217.4)+(-1.003374+(-0.285192--0.332622))+0-127.5--0.195075000000007</f>
        <v>496.53913099999994</v>
      </c>
      <c r="L37" s="3">
        <f>657.8+(227.2-289.2)+(-1.67739+(-0.57936--0.73746))+0-116.3--0.296564999999983</f>
        <v>478.27727499999997</v>
      </c>
      <c r="M37" s="3">
        <f>658.3+(233.2-297.5)+(0+(0-0))+0-113.2-0</f>
        <v>480.8</v>
      </c>
      <c r="N37" s="3">
        <f>649.9+(202-271.7)+(0+(0-0))+0-89-0</f>
        <v>491.20000000000005</v>
      </c>
      <c r="O37" s="3">
        <f>647.1+(215.5-240.6)+(0+(0-0))+0-112.8-0</f>
        <v>509.2</v>
      </c>
      <c r="P37" s="3">
        <f>643.1+(190.1-197.9)+(-1.311924+(-0.387804--0.403716))+0-118.5--0.241739999999995</f>
        <v>515.74572799999999</v>
      </c>
      <c r="Q37" s="3">
        <f>641.8+(149.2-157.6)+(0.327318+(0.076092-0.080376))+0-111.3-0.0567629999999887</f>
        <v>522.3662710000001</v>
      </c>
      <c r="R37" s="3">
        <f>640.8+(148.8-143.2)+(-1.307232+(-0.303552--0.292128))+0-120.3--0.245411999999995</f>
        <v>525.02675599999998</v>
      </c>
      <c r="S37" s="3">
        <f>639.1+(153-145.3)+(0+(0-0))+0-131.1-0</f>
        <v>515.69999999999993</v>
      </c>
      <c r="T37" s="3">
        <f>636.3+(229.2-230.4)+(-0.324513+(-0.116892--0.117504))+0-132.1--0.0673709999999866</f>
        <v>502.74346999999989</v>
      </c>
      <c r="U37" s="3">
        <f>632.8+(204.9-196.5)+(-1.290912+(-0.417996--0.40086))+0-130.5--0.266219999999994</f>
        <v>509.65817199999992</v>
      </c>
      <c r="V37" s="3">
        <f>627.7+(196.5-185.6)+(-0.320127+(-0.100215--0.094656))+0-120.1--0.0612509999999878</f>
        <v>518.23556499999995</v>
      </c>
      <c r="W37" s="3">
        <f>622.5+(153.1-129.8)+(-1.2699+(-0.312324--0.264792))+0-124.5--0.253979999999995</f>
        <v>520.23654799999986</v>
      </c>
      <c r="X37" s="3">
        <f>621.3+(152-128.4)+(-1.267452+(-0.31008--0.261936))+0-125.7--0.256427999999994</f>
        <v>518.14083199999993</v>
      </c>
      <c r="Y37" s="3">
        <f>630.9+(170.6-138.3)+(-0.321759+(-0.087006--0.070533))+0-124.8--0.0636479999999873</f>
        <v>538.12541599999997</v>
      </c>
      <c r="Z37" s="3">
        <f>640+(208.5-155.8)+(-0.9792+(-0.319005--0.238374))+0-130.2--0.199206000000008</f>
        <v>561.63937499999997</v>
      </c>
      <c r="AA37" s="3">
        <f>638.3+(180.3-163.3)+(-0.976599+(-0.275859--0.249849))+0-101.1--0.154683000000006</f>
        <v>553.3520739999999</v>
      </c>
      <c r="AB37" s="3">
        <f>640.1+(203.2-215.4)+(-0.326451+(-0.103632--0.109854))+0-84.5--0.0430949999999914</f>
        <v>543.12286599999993</v>
      </c>
      <c r="AC37" s="3">
        <f>605.8+(218.2-204.8)+(-0.308958+(-0.111282--0.104448))+0-94.5--0.0481949999999904</f>
        <v>524.43240299999991</v>
      </c>
      <c r="AD37" s="2">
        <v>539.20000000000005</v>
      </c>
      <c r="AE37" s="3">
        <f>635+(187.1-161.5)+(0+(0-0))+0-121.4-0</f>
        <v>539.20000000000005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586+(196.2-159)+(-0.29886+(-0.100062--0.08109))+0-116.4--0.0593639999999882</f>
        <v>506.54153200000013</v>
      </c>
      <c r="G38" s="3">
        <f>591+(180-163.1)+(-1.20564+(-0.3672--0.332724))+0-112.8--0.230111999999995</f>
        <v>494.08999600000004</v>
      </c>
      <c r="H38" s="3">
        <f>592.6+(172.2-166.1)+(-0.302226+(-0.087822--0.084711))+0-110.4--0.0563039999999888</f>
        <v>488.05096700000007</v>
      </c>
      <c r="I38" s="3">
        <f>593.9+(166.8-166.7)+(-0.302889+(-0.085068--0.085017))+0-106.4--0.0542639999999892</f>
        <v>487.35132399999998</v>
      </c>
      <c r="J38" s="3">
        <f>594.6+(165.1-163.5)+(-0.606492+(-0.168402--0.16677))+0-107.3--0.109446000000017</f>
        <v>488.40132200000005</v>
      </c>
      <c r="K38" s="3">
        <f>595.8+(170.9-160.2)+(-0.607716+(-0.174318--0.163404))+0-119.2--0.121584000000019</f>
        <v>486.802954</v>
      </c>
      <c r="L38" s="3">
        <f>598.5+(176.9-175.1)+(-1.22094+(-0.360876--0.357204))+0-103.3--0.210731999999995</f>
        <v>495.98611999999997</v>
      </c>
      <c r="M38" s="3">
        <f>604.7+(219.7-182.6)+(0.308397+(0.112047-0.093126))+0-116.1-0.0592109999999882</f>
        <v>525.96810700000003</v>
      </c>
      <c r="N38" s="3">
        <f>604.2+(208.4-153.7)+(0.308142+(0.106284-0.078387))+0-99.1-0.0505409999999899</f>
        <v>560.08549800000014</v>
      </c>
      <c r="O38" s="3">
        <f>598.6+(188.8-121.5)+(-0.305286+(-0.096288--0.061965))+0-97.2--0.0495719999999901</f>
        <v>568.40996300000006</v>
      </c>
      <c r="P38" s="3">
        <f>599.1+(180.8-99.3)+(0.611082+(0.184416-0.101286))+0-101.5-0.103530000000016</f>
        <v>579.69068200000004</v>
      </c>
      <c r="Q38" s="3">
        <f>598.7+(198.2-124.4)+(0+(0-0))+0-83.2-0</f>
        <v>589.29999999999995</v>
      </c>
      <c r="R38" s="3">
        <f>596.5+(227.6-124.8)+(-0.60843+(-0.232152--0.127296))+0-116.1--0.118422000000019</f>
        <v>582.6051359999999</v>
      </c>
      <c r="S38" s="3">
        <f>592.8+(253.8-185.1)+(-0.302328+(-0.129438--0.094401))+0-91.7--0.0467669999999907</f>
        <v>569.50940200000002</v>
      </c>
      <c r="T38" s="3">
        <f>589.7+(231.3-189.3)+(-0.601494+(-0.235926--0.193086))+0-87.7--0.089454000000014</f>
        <v>543.44512000000009</v>
      </c>
      <c r="U38" s="3">
        <f>588.4+(234.9-198.1)+(-0.900252+(-0.359397--0.303093))+0-88.8--0.135864000000005</f>
        <v>535.57930800000008</v>
      </c>
      <c r="V38" s="3">
        <f>590.3+(209.1-153.6)+(0+(0-0))+0-100.7-0</f>
        <v>545.09999999999991</v>
      </c>
      <c r="W38" s="3">
        <f>588.8+(177.5-116.9)+(-0.300288+(-0.090525--0.059619))+0-108.3--0.055232999999989</f>
        <v>540.82403900000008</v>
      </c>
      <c r="X38" s="3">
        <f>586.5+(191.8-119.9)+(-0.897345+(-0.293454--0.183447))+0-113.4--0.173502000000007</f>
        <v>544.16615000000002</v>
      </c>
      <c r="Y38" s="3">
        <f>585.4+(205.7-103.5)+(-0.298554+(-0.104907--0.052785))+0-117.8--0.0600779999999881</f>
        <v>569.50940199999991</v>
      </c>
      <c r="Z38" s="3">
        <f>587.2+(204-100.7)+(-0.598944+(-0.20808--0.102714))+0-98.9--0.100878000000016</f>
        <v>590.99656800000002</v>
      </c>
      <c r="AA38" s="3">
        <f>591.4+(227.2-122.6)+(-0.904842+(-0.347616--0.187578))+0-122.5--0.187425000000007</f>
        <v>572.62254499999995</v>
      </c>
      <c r="AB38" s="3">
        <f>593+(221.2-155.9)+(-0.60486+(-0.225624--0.159018))+0-102.5--0.104550000000016</f>
        <v>555.23308399999996</v>
      </c>
      <c r="AC38" s="3">
        <f>596.4+(219.5-150)+(0.912492+(0.335835-0.2295))+0-119.5-0.182835000000007</f>
        <v>547.23599200000001</v>
      </c>
      <c r="AD38" s="2">
        <v>579.4</v>
      </c>
      <c r="AE38" s="3">
        <f>587+(223.5-116.7)+(0+(0-0))+0-114.4-0</f>
        <v>579.4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591.8+(180.6-125.1)+(0+(0-0))+0-108.2-0</f>
        <v>539.09999999999991</v>
      </c>
      <c r="G39" s="3">
        <f>595.2+(178.5-148.1)+(-0.303552+(-0.091035--0.075531))+0-100.1--0.0510509999999898</f>
        <v>525.23199499999998</v>
      </c>
      <c r="H39" s="3">
        <f>602.6+(173.3-150.8)+(0.921978+(0.265149-0.230724))+0-110.5-0.169065000000006</f>
        <v>515.387338</v>
      </c>
      <c r="I39" s="3">
        <f>600+(169.2-150)+(-1.224+(-0.345168--0.306))+0-109.7--0.223787999999995</f>
        <v>508.46062000000012</v>
      </c>
      <c r="J39" s="3">
        <f>601.4+(173.4-157.7)+(-0.920142+(-0.265302--0.241281))+0-115.2--0.176256000000007</f>
        <v>501.13209300000005</v>
      </c>
      <c r="K39" s="3">
        <f>602.2+(176.5-170.8)+(-0.614244+(-0.18003--0.174216))+0-115.2--0.117504000000018</f>
        <v>492.19744600000013</v>
      </c>
      <c r="L39" s="3">
        <f>601.9+(162.4-182.8)+(-2.148783+(-0.579768--0.652596))+0-113.7--0.405909000000002</f>
        <v>466.129954</v>
      </c>
      <c r="M39" s="3">
        <f>608.5+(155.9-176.7)+(0.310335+(0.079509-0.090117))+0-108.4-0.055283999999989</f>
        <v>479.54444300000006</v>
      </c>
      <c r="N39" s="3">
        <f>603.2+(159.3-157.8)+(0.307632+(0.081243-0.080478))+0-109.3-0.0557429999999889</f>
        <v>495.65265400000004</v>
      </c>
      <c r="O39" s="3">
        <f>595+(153.1-140.3)+(-0.6069+(-0.156162--0.143106))+0-107.4--0.109548000000017</f>
        <v>499.88959199999999</v>
      </c>
      <c r="P39" s="3">
        <f>593.9+(162.2-156)+(-0.908667+(-0.248166--0.23868))+0-83.1--0.127143000000005</f>
        <v>516.20898999999997</v>
      </c>
      <c r="Q39" s="3">
        <f>603.2+(176.6-158.2)+(-1.230528+(-0.360264--0.322728))+0-96.9--0.197675999999996</f>
        <v>523.62961200000007</v>
      </c>
      <c r="R39" s="3">
        <f>600.4+(203.9-168)+(0+(0-0))+0-111.6-0</f>
        <v>524.69999999999993</v>
      </c>
      <c r="S39" s="3">
        <f>577.4+(231.6-176.4)+(-0.883422+(-0.354348--0.269892))+0-112.8--0.172584000000007</f>
        <v>519.00470599999994</v>
      </c>
      <c r="T39" s="3">
        <f>602.5+(233.2-224.9)+(-0.307275+(-0.118932--0.114699))+0-107.3--0.0547229999999891</f>
        <v>503.24321499999991</v>
      </c>
      <c r="U39" s="3">
        <f>625+(174.7-194)+(-0.6375+(-0.178194--0.19788))+0-100.5--0.102510000000016</f>
        <v>504.68469600000009</v>
      </c>
      <c r="V39" s="3">
        <f>699+(127.3-201.5)+(-0.71298+(-0.129846--0.20553))+0-117--0.119340000000019</f>
        <v>507.28204399999998</v>
      </c>
      <c r="W39" s="3">
        <f>713.8+(122.3-203.2)+(-1.092114+(-0.187119--0.310896))+0-121.7--0.186201000000007</f>
        <v>510.41786399999995</v>
      </c>
      <c r="X39" s="3">
        <f>712.3+(141.8-211.9)+(-1.089819+(-0.216954--0.324207))+0-124--0.189720000000007</f>
        <v>517.40715399999988</v>
      </c>
      <c r="Y39" s="3">
        <f>716.4+(136.7-187)+(-0.730728+(-0.139434--0.19074))+0-121.9--0.124338000000019</f>
        <v>543.64491599999985</v>
      </c>
      <c r="Z39" s="3">
        <f>723.8+(149.6-174)+(-0.369138+(-0.076296--0.08874))+0-133.5--0.0680849999999865</f>
        <v>565.61139100000003</v>
      </c>
      <c r="AA39" s="3">
        <f>732.4+(175-214.9)+(-0.747048+(-0.1785--0.219198))+0-127.4--0.12994800000002</f>
        <v>564.52359799999999</v>
      </c>
      <c r="AB39" s="3">
        <f>740.2+(209-278.2)+(0.377502+(0.10659-0.141882))+0-125.9-0.0642089999999872</f>
        <v>545.37800100000004</v>
      </c>
      <c r="AC39" s="3">
        <f>740.9+(255.3-321.2)+(-1.133577+(-0.390609--0.491436))+0-142.5--0.218025000000008</f>
        <v>531.68527500000005</v>
      </c>
      <c r="AD39" s="2">
        <v>587.70000000000005</v>
      </c>
      <c r="AE39" s="3">
        <f>733+(173.1-207.4)+(0+(0-0))+0-111-0</f>
        <v>587.70000000000005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743.6+(209.3-310.2)+(-0.379236+(-0.106743--0.158202))+0-118.1--0.060230999999988</f>
        <v>524.3324540000001</v>
      </c>
      <c r="G40" s="3">
        <f>747+(180.9-292.4)+(-1.14291+(-0.276777--0.447372))+0-126--0.192780000000007</f>
        <v>508.72046500000005</v>
      </c>
      <c r="H40" s="3">
        <f>754.5+(143.4-255.9)+(0.76959+(0.146268-0.261018))+0-137.1-0.139842000000022</f>
        <v>505.41499799999997</v>
      </c>
      <c r="I40" s="3">
        <f>671+(158.5-220.7)+(0.34221+(0.080835-0.112557))+0-107.3-0.0547229999999891</f>
        <v>501.75576499999994</v>
      </c>
      <c r="J40" s="3">
        <f>628+(173-185.2)+(0+(0-0))+0-123.3-0</f>
        <v>492.49999999999994</v>
      </c>
      <c r="K40" s="3">
        <f>626.4+(172.8-177.8)+(-0.958392+(-0.264384--0.272034))+0-124.5--0.190485000000007</f>
        <v>496.13974300000001</v>
      </c>
      <c r="L40" s="3">
        <f>628+(193-203.4)+(-0.32028+(-0.09843--0.103734))+0-108--0.055079999999989</f>
        <v>509.340104</v>
      </c>
      <c r="M40" s="3">
        <f>631.2+(213.3-177.5)+(0.321912+(0.108783-0.090525))+0-111.8-0.0570179999999887</f>
        <v>555.48315200000002</v>
      </c>
      <c r="N40" s="3">
        <f>683.2+(208.5-202.7)+(0.348432+(0.106335-0.103377))+0-99.9-0.0509489999999899</f>
        <v>589.40044100000011</v>
      </c>
      <c r="O40" s="3">
        <f>705.9+(136.5-154)+(0+(0-0))+0-85.1-0</f>
        <v>603.29999999999995</v>
      </c>
      <c r="P40" s="3">
        <f>728.3+(133.8-172.4)+(0+(0-0))+0-62.5-0</f>
        <v>627.19999999999993</v>
      </c>
      <c r="Q40" s="3">
        <f>762.3+(124.8-174.1)+(-1.166319+(-0.190944--0.266373))+0-70.6--0.108018000000004</f>
        <v>641.41712800000005</v>
      </c>
      <c r="R40" s="3">
        <f>756+(144-149.6)+(-1.54224+(-0.29376--0.305184))+0-96.1--0.196043999999996</f>
        <v>652.96522800000002</v>
      </c>
      <c r="S40" s="3">
        <f>757.5+(189.9-195.6)+(-0.77265+(-0.193698--0.199512))+0-111.9--0.114138000000018</f>
        <v>639.24730199999999</v>
      </c>
      <c r="T40" s="3">
        <f>648+(209.7-252)+(0+(0-0))+0-109-0</f>
        <v>496.70000000000005</v>
      </c>
      <c r="U40" s="3">
        <f>705+(195.2-196.8)+(-0.7191+(-0.199104--0.200736))+0-120.6--0.123012000000019</f>
        <v>582.20554399999992</v>
      </c>
      <c r="V40" s="3">
        <f>696.8+(169.6-172.6)+(-0.710736+(-0.172992--0.176052))+0-97.2--0.0991440000000155</f>
        <v>595.99146799999994</v>
      </c>
      <c r="W40" s="3">
        <f>698.2+(218.1-168.8)+(-0.712164+(-0.222462--0.172176))+0-121.9--0.124338000000019</f>
        <v>624.96188800000004</v>
      </c>
      <c r="X40" s="3">
        <f>695.5+(282.4-234.4)+(-1.064115+(-0.432072--0.358632))+0-121.6--0.186048000000007</f>
        <v>620.94849299999998</v>
      </c>
      <c r="Y40" s="3">
        <f>716.2+(219-160.2)+(-1.095786+(-0.33507--0.245106))+0-130.3--0.199359000000008</f>
        <v>643.71360899999991</v>
      </c>
      <c r="Z40" s="3">
        <f>740.6+(185.3-139.2)+(-1.510824+(-0.378012--0.283968))+0-127--0.259079999999994</f>
        <v>658.35421200000008</v>
      </c>
      <c r="AA40" s="3">
        <f>761.2+(174.7-175)+(-0.776424+(-0.178194--0.1785))+0-118.5--0.120870000000019</f>
        <v>641.74475200000006</v>
      </c>
      <c r="AB40" s="3">
        <f>757.7+(168.9-207.7)+(-1.159281+(-0.258417--0.317781))+0-98.4--0.150552000000006</f>
        <v>619.55063500000017</v>
      </c>
      <c r="AC40" s="3">
        <f>760.8+(175.6-232.7)+(-1.552032+(-0.358224--0.474708))+0-106.4--0.217055999999995</f>
        <v>596.08150799999987</v>
      </c>
      <c r="AD40" s="2">
        <v>626.29999999999995</v>
      </c>
      <c r="AE40" s="3">
        <f>739+(168.1-155.6)+(0+(0-0))+0-125.2-0</f>
        <v>626.29999999999995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762.1+(175.5-226.4)+(-1.166013+(-0.268515--0.346392))+0-127--0.194310000000007</f>
        <v>583.30617400000006</v>
      </c>
      <c r="G41" s="3">
        <f>732.2+(182-211.3)+(-1.120266+(-0.27846--0.323289))+0-131.3--0.200889000000008</f>
        <v>570.72545200000013</v>
      </c>
      <c r="H41" s="3">
        <f>611.6+(216.2-142.9)+(0.311916+(0.110262-0.072879))+0-135-0.0688499999999863</f>
        <v>550.18044899999995</v>
      </c>
      <c r="I41" s="3">
        <f>613.3+(221.2-150.3)+(0.625566+(0.225624-0.153306))+0-131-0.133620000000021</f>
        <v>553.76426399999991</v>
      </c>
      <c r="J41" s="3">
        <f>611.1+(234-195.8)+(-0.311661+(-0.11934--0.099858))+0-99.8--0.0508979999999899</f>
        <v>549.21975499999996</v>
      </c>
      <c r="K41" s="3">
        <f>608.4+(267.7-221)+(-1.241136+(-0.546108--0.45084))+0-108--0.220319999999995</f>
        <v>545.98391599999991</v>
      </c>
      <c r="L41" s="3">
        <f>608.9+(364.8-308.3)+(-0.931617+(-0.558144--0.471699))+0-118.1--0.180693000000007</f>
        <v>546.46263099999999</v>
      </c>
      <c r="M41" s="3">
        <f>611.2+(406.4-311.1)+(0+(0-0))+0-122.4-0</f>
        <v>584.1</v>
      </c>
      <c r="N41" s="3">
        <f>623.4+(367.5-254.2)+(0.317934+(0.187425-0.129642))+0-126.1-0.0643109999999872</f>
        <v>610.91140600000006</v>
      </c>
      <c r="O41" s="3">
        <f>645.6+(264.1-150.9)+(0.329256+(0.134691-0.076959))+0-131.7-0.0671669999999866</f>
        <v>627.41982100000007</v>
      </c>
      <c r="P41" s="3">
        <f>649.4+(221.8-123.1)+(-0.331194+(-0.113118--0.062781))+0-117.4--0.0598739999999881</f>
        <v>630.37834300000009</v>
      </c>
      <c r="Q41" s="3">
        <f>743.8+(173.9-159.3)+(-1.138014+(-0.266067--0.243729))+0-113.4--0.173502000000007</f>
        <v>644.01315</v>
      </c>
      <c r="R41" s="3">
        <f>743.1+(197.7-216)+(-0.757962+(-0.201654--0.22032))+0-89.9--0.0916980000000143</f>
        <v>634.25240200000007</v>
      </c>
      <c r="S41" s="3">
        <f>689.6+(312.2-266.2)+(-1.406784+(-0.636888--0.543048))+0-110--0.224399999999995</f>
        <v>624.32377599999995</v>
      </c>
      <c r="T41" s="3">
        <f>685.5+(389.3-354.5)+(-0.349605+(-0.198543--0.180795))+0-102.6--0.0523259999999896</f>
        <v>617.38497299999995</v>
      </c>
      <c r="U41" s="3">
        <f>674.3+(365.5-308.9)+(-1.375572+(-0.74562--0.630156))+0-112.8--0.230111999999995</f>
        <v>616.83907599999998</v>
      </c>
      <c r="V41" s="3">
        <f>669.6+(251.9-188.9)+(-0.682992+(-0.256938--0.192678))+0-113.5--0.115770000000018</f>
        <v>618.46851800000002</v>
      </c>
      <c r="W41" s="3">
        <f>694.7+(185.5-137.5)+(-1.771485+(-0.473025--0.350625))+0-117.1--0.298604999999983</f>
        <v>624.00472000000002</v>
      </c>
      <c r="X41" s="3">
        <f>790+(161.7-223.2)+(-3.6261+(-0.742203--1.024488))+0-102.8--0.471852000000018</f>
        <v>622.82803700000011</v>
      </c>
      <c r="Y41" s="3">
        <f>860.1+(135.9-232.2)+(0+(0-0))+0-111.5-0</f>
        <v>652.30000000000007</v>
      </c>
      <c r="Z41" s="3">
        <f>870.5+(136.1-235.6)+(-0.443955+(-0.069411--0.120156))+0-107--0.0545699999999891</f>
        <v>663.66136000000006</v>
      </c>
      <c r="AA41" s="3">
        <f>848.5+(158.3-249.2)+(-2.59641+(-0.484398--0.762552))+0-111--0.339660000000013</f>
        <v>644.62140399999998</v>
      </c>
      <c r="AB41" s="3">
        <f>672.6+(297.5-227)+(0+(0-0))+0-134.1-0</f>
        <v>609</v>
      </c>
      <c r="AC41" s="3">
        <f>662.3+(308-259.1)+(0+(0-0))+0-125.8-0</f>
        <v>585.4</v>
      </c>
      <c r="AD41" s="2">
        <v>660.60000000000014</v>
      </c>
      <c r="AE41" s="3">
        <f>872+(132.6-250.2)+(0+(0-0))+0-93.8-0</f>
        <v>660.6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663+(265.6-237.7)+(-0.67626+(-0.270912--0.242454))+0-120.9--0.123318000000019</f>
        <v>569.4186000000002</v>
      </c>
      <c r="G42" s="3">
        <f>664.2+(248-258)+(-0.677484+(-0.25296--0.26316))+0-100--0.102000000000016</f>
        <v>553.63471600000003</v>
      </c>
      <c r="H42" s="3">
        <f>665.4+(211.9-225.2)+(0+(0-0))+0-97.7-0</f>
        <v>554.4</v>
      </c>
      <c r="I42" s="3">
        <f>665+(213.1-217.2)+(0.6783+(0.217362-0.221544))+0-118.3-0.120666000000019</f>
        <v>543.15345200000002</v>
      </c>
      <c r="J42" s="3">
        <f>665.3+(196.1-191.8)+(-0.678606+(-0.200022--0.195636))+0-128.7--0.131274000000021</f>
        <v>540.34828199999993</v>
      </c>
      <c r="K42" s="3">
        <f>665.8+(190.8-206.8)+(-0.339558+(-0.097308--0.105468))+0-122.1--0.0622709999999876</f>
        <v>527.43087299999991</v>
      </c>
      <c r="L42" s="3">
        <f>666.5+(182.7-197.3)+(-1.699575+(-0.465885--0.503115))+0-128.9--0.328694999999981</f>
        <v>521.66634999999997</v>
      </c>
      <c r="M42" s="3">
        <f>664.8+(193.2-212)+(1.017144+(0.295596-0.32436))+0-98.4-0.150552000000006</f>
        <v>548.43782799999997</v>
      </c>
      <c r="N42" s="3">
        <f>718.5+(203.8-261.9)+(0+(0-0))+0-81.9-0</f>
        <v>578.50000000000011</v>
      </c>
      <c r="O42" s="3">
        <f>734.7+(158.4-190.4)+(0.374697+(0.080784-0.097104))+0-113.7-0.0579869999999885</f>
        <v>589.30038999999999</v>
      </c>
      <c r="P42" s="3">
        <f>677.9+(161.2-153.4)+(-0.345729+(-0.082212--0.078234))+0-90.3--0.0460529999999908</f>
        <v>595.09634600000004</v>
      </c>
      <c r="Q42" s="3">
        <f>644.9+(198.7-125.2)+(-1.644495+(-0.506685--0.31926))+0-120.5--0.307274999999983</f>
        <v>596.37535500000001</v>
      </c>
      <c r="R42" s="3">
        <f>655.8+(299.7-215.2)+(-1.337832+(-0.611388--0.439008))+0-130.4--0.266015999999994</f>
        <v>608.65580399999999</v>
      </c>
      <c r="S42" s="3">
        <f>699.6+(381-343.2)+(-1.070388+(-0.58293--0.525096))+0-135.7--0.207621000000008</f>
        <v>600.77939900000001</v>
      </c>
      <c r="T42" s="3">
        <f>693.8+(390.4-393.9)+(1.061514+(0.597312-0.602667))+0-120.7-0.184671000000007</f>
        <v>570.47148799999991</v>
      </c>
      <c r="U42" s="3">
        <f>621.9+(397.6-321.1)+(-1.585845+(-1.01388--0.818805))+0-134.2--0.34220999999998</f>
        <v>562.76128999999992</v>
      </c>
      <c r="V42" s="3">
        <f>606.4+(331.2-238.1)+(-0.618528+(-0.337824--0.242862))+0-128.4--0.13096800000002</f>
        <v>570.5174780000001</v>
      </c>
      <c r="W42" s="3">
        <f>606.7+(214.2-122.3)+(-1.547085+(-0.54621--0.311865))+0-126.2--0.321809999999982</f>
        <v>570.94038</v>
      </c>
      <c r="X42" s="3">
        <f>606.7+(219-122.3)+(-1.547085+(-0.55845--0.311865))+0-126.6--0.322829999999982</f>
        <v>575.32916</v>
      </c>
      <c r="Y42" s="3">
        <f>615.6+(218.7-117.3)+(-1.56978+(-0.557685--0.299115))+0-136.9--0.34909499999998</f>
        <v>578.62074500000006</v>
      </c>
      <c r="Z42" s="3">
        <f>636.1+(237.2-134.1)+(-0.973233+(-0.362916--0.205173))+0-129.2--0.197676000000007</f>
        <v>609.06670000000008</v>
      </c>
      <c r="AA42" s="3">
        <f>633.1+(282.5-188.3)+(-0.968643+(-0.432225--0.288099))+0-129--0.197370000000007</f>
        <v>597.38460099999998</v>
      </c>
      <c r="AB42" s="3">
        <f>603.2+(343.9-245.1)+(0.922896+(0.526167-0.375003))+0-127.2-0.194616000000007</f>
        <v>575.67944399999999</v>
      </c>
      <c r="AC42" s="3">
        <f>598+(364.3-282.9)+(-1.5249+(-0.928965--0.721395))+0-131.9--0.336344999999981</f>
        <v>546.10387500000002</v>
      </c>
      <c r="AD42" s="2">
        <v>608.80000000000007</v>
      </c>
      <c r="AE42" s="3">
        <f>639+(262.1-163.7)+(0+(0-0))+0-128.6-0</f>
        <v>608.80000000000007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601.6+(325.1-258.5)+(-0.920448+(-0.497403--0.395505))+0-119.2--0.182376000000007</f>
        <v>548.16003000000001</v>
      </c>
      <c r="G43" s="3">
        <f>600.6+(314.8-261.9)+(-1.225224+(-0.642192--0.534276))+0-119.8--0.244391999999995</f>
        <v>532.61125200000004</v>
      </c>
      <c r="H43" s="3">
        <f>600.7+(257.1-216)+(-0.919071+(-0.393363--0.33048))+0-112.6--0.172278000000007</f>
        <v>528.39032400000008</v>
      </c>
      <c r="I43" s="3">
        <f>605.8+(231.9-200)+(-1.54479+(-0.591345--0.51))+0-117.5--0.299624999999983</f>
        <v>518.87348999999995</v>
      </c>
      <c r="J43" s="3">
        <f>600.6+(232.2-184.2)+(0.306306+(0.118422-0.093942))+0-128.8-0.0656879999999869</f>
        <v>520.06509799999992</v>
      </c>
      <c r="K43" s="3">
        <f>600.4+(193.2-170.5)+(-1.224816+(-0.394128--0.34782))+0-106.7--0.217667999999995</f>
        <v>515.34654399999988</v>
      </c>
      <c r="L43" s="3">
        <f>601.6+(189.6-187.4)+(0.613632+(0.193392-0.191148))+0-94.3-0.096186000000015</f>
        <v>510.01968999999991</v>
      </c>
      <c r="M43" s="3">
        <f>600.2+(246.1-159)+(0+(0-0))+0-92.9-0</f>
        <v>594.40000000000009</v>
      </c>
      <c r="N43" s="3">
        <f>599.6+(227.4-120.1)+(0.611592+(0.231948-0.122502))+0-80.3-0.0819060000000128</f>
        <v>627.23913200000015</v>
      </c>
      <c r="O43" s="3">
        <f>597.9+(201.2-123)+(0+(0-0))+0-71-0</f>
        <v>605.09999999999991</v>
      </c>
      <c r="P43" s="3">
        <f>587.2+(205.1-103.2)+(-0.299472+(-0.104601--0.052632))+0-90.5--0.0461549999999908</f>
        <v>598.294714</v>
      </c>
      <c r="Q43" s="3">
        <f>592.1+(308.3-214.4)+(0.301971+(0.157233-0.109344))+0-86-0.0438599999999913</f>
        <v>600.30600000000004</v>
      </c>
      <c r="R43" s="3">
        <f>609.7+(398.3-313.5)+(-1.243788+(-0.812532--0.63954))+0-82.9--0.169115999999996</f>
        <v>610.35233600000004</v>
      </c>
      <c r="S43" s="3">
        <f>612.3+(484.6-394.8)+(-0.624546+(-0.494292--0.402696))+0-94.5--0.0963900000000151</f>
        <v>606.98024799999996</v>
      </c>
      <c r="T43" s="3">
        <f>610.9+(428.1-369.4)+(-0.623118+(-0.436662--0.376788))+0-78.9--0.0804780000000126</f>
        <v>590.097486</v>
      </c>
      <c r="U43" s="3">
        <f>613.3+(315.6-251.6)+(-1.876698+(-0.965736--0.769896))+0-97.2--0.297432000000011</f>
        <v>578.32489399999986</v>
      </c>
      <c r="V43" s="3">
        <f>612.3+(223.8-148.8)+(-1.249092+(-0.456552--0.303552))+0-93.2--0.190127999999996</f>
        <v>592.88803599999983</v>
      </c>
      <c r="W43" s="3">
        <f>610.6+(174.4-89.4)+(-0.934218+(-0.266832--0.136782))+0-95.5--0.146115000000006</f>
        <v>599.18184700000006</v>
      </c>
      <c r="X43" s="3">
        <f>613.7+(194.6-103.5)+(-1.251948+(-0.396984--0.21114))+0-97.4--0.198695999999996</f>
        <v>606.16090400000019</v>
      </c>
      <c r="Y43" s="3">
        <f>620+(184.8-88.9)+(-0.3162+(-0.094248--0.045339))+0-96.5--0.0492149999999902</f>
        <v>619.08410600000002</v>
      </c>
      <c r="Z43" s="3">
        <f>621.3+(219.5-93.4)+(-0.633726+(-0.22389--0.095268))+0-102.1--0.104142000000016</f>
        <v>644.641794</v>
      </c>
      <c r="AA43" s="3">
        <f>618.4+(214.2-104.8)+(-1.261536+(-0.436968--0.213792))+0-101.2--0.206447999999996</f>
        <v>625.32173599999999</v>
      </c>
      <c r="AB43" s="3">
        <f>605.8+(249-149.3)+(-0.926874+(-0.38097--0.228429))+0-99.4--0.152082000000006</f>
        <v>605.17266699999993</v>
      </c>
      <c r="AC43" s="3">
        <f>617.1+(231.3-175.7)+(-1.573605+(-0.589815--0.448035))+0-86--0.219299999999988</f>
        <v>585.20391500000005</v>
      </c>
      <c r="AD43" s="2">
        <v>628.20000000000005</v>
      </c>
      <c r="AE43" s="3">
        <f>618+(220.1-89.9)+(0+(0-0))+0-120-0</f>
        <v>628.20000000000005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584.8+(222.8-152.7)+(-0.596496+(-0.227256--0.155754))+0-101.3--0.103326000000016</f>
        <v>553.03532800000005</v>
      </c>
      <c r="G44" s="3">
        <f>594.3+(185.5-126.4)+(0+(0-0))+0-105.7-0</f>
        <v>547.69999999999993</v>
      </c>
      <c r="H44" s="3">
        <f>593.2+(176.1-122.5)+(-1.51266+(-0.449055--0.312375))+0-108.2--0.275909999999984</f>
        <v>537.22656999999992</v>
      </c>
      <c r="I44" s="3">
        <f>594.2+(177-133.9)+(0+(0-0))+0-104.9-0</f>
        <v>532.40000000000009</v>
      </c>
      <c r="J44" s="3">
        <f>593+(179.8-115)+(-1.20972+(-0.366792--0.2346))+0-123.9--0.252755999999995</f>
        <v>532.81084399999997</v>
      </c>
      <c r="K44" s="3">
        <f>591.7+(161.1-114.4)+(-1.508835+(-0.410805--0.29172))+0-116.8--0.297839999999983</f>
        <v>520.26992000000007</v>
      </c>
      <c r="L44" s="3">
        <f>591.7+(189.6-114.4)+(-1.508835+(-0.48348--0.29172))+0-116.8--0.297839999999983</f>
        <v>548.69724500000007</v>
      </c>
      <c r="M44" s="3">
        <f>591.3+(226.9-185.6)+(-2.110941+(-0.810033--0.662592))+0-117.5--0.419475000000002</f>
        <v>513.26109299999996</v>
      </c>
      <c r="N44" s="3">
        <f>593.3+(237.7-148.7)+(0.302583+(0.121227-0.075837))+0-98.5-0.05023499999999</f>
        <v>584.09773799999994</v>
      </c>
      <c r="O44" s="3">
        <f>594.1+(244.4-115.5)+(0.302991+(0.124644-0.058905))+0-121.2-0.0618119999999877</f>
        <v>602.10691799999995</v>
      </c>
      <c r="P44" s="3">
        <f>623.8+(231.7-120.4)+(0+(0-0))+0-110.1-0</f>
        <v>624.99999999999989</v>
      </c>
      <c r="Q44" s="3">
        <f>636.6+(186-76.3)+(0.324666+(0.09486-0.038913))+0-107.7-0.0549269999999891</f>
        <v>638.92568600000004</v>
      </c>
      <c r="R44" s="3">
        <f>658.2+(251.5-160.1)+(-1.007046+(-0.384795--0.244953))+0-115.6--0.176868000000007</f>
        <v>633.02998000000002</v>
      </c>
      <c r="S44" s="3">
        <f>639.9+(371.4-269.3)+(0+(0-0))+0-118.8-0</f>
        <v>623.20000000000005</v>
      </c>
      <c r="T44" s="3">
        <f>619+(387.5-287.7)+(-1.26276+(-0.7905--0.586908))+0-114.2--0.232967999999995</f>
        <v>603.36661599999991</v>
      </c>
      <c r="U44" s="3">
        <f>620.5+(322-232.2)+(-1.26582+(-0.65688--0.473688))+0-110--0.224399999999995</f>
        <v>599.07538799999986</v>
      </c>
      <c r="V44" s="3">
        <f>620.8+(311-220.2)+(-1.266432+(-0.63444--0.449208))+0-104.7--0.213587999999995</f>
        <v>605.66192399999977</v>
      </c>
      <c r="W44" s="3">
        <f>613.5+(185.7-86.9)+(-2.50308+(-0.757656--0.354552))+0-95.6--0.390047999999992</f>
        <v>614.18386399999986</v>
      </c>
      <c r="X44" s="3">
        <f>609+(224-94.6)+(-2.79531+(-1.02816--0.434214))+0-117.4--0.53886600000002</f>
        <v>618.14960999999994</v>
      </c>
      <c r="Y44" s="3">
        <f>624.3+(201.3-58.6)+(0+(0-0))+0-127-0</f>
        <v>640</v>
      </c>
      <c r="Z44" s="3">
        <f>671.4+(242.2-111.3)+(0.684828+(0.247044-0.113526))+0-143.6-0.146472000000023</f>
        <v>659.37187399999993</v>
      </c>
      <c r="AA44" s="3">
        <f>709.4+(213.2-148.3)+(-2.532558+(-0.761124--0.529431))+0-135.9--0.485163000000002</f>
        <v>636.12091200000009</v>
      </c>
      <c r="AB44" s="3">
        <f>718.2+(229.4-212.8)+(-0.732564+(-0.233988--0.217056))+0-125.1--0.12760200000002</f>
        <v>609.07810600000005</v>
      </c>
      <c r="AC44" s="3">
        <f>717.9+(285.9-273.6)+(-1.464516+(-0.583236--0.558144))+0-134--0.273359999999994</f>
        <v>594.98375199999998</v>
      </c>
      <c r="AD44" s="2">
        <v>636.4</v>
      </c>
      <c r="AE44" s="3">
        <f>716+(222.6-149.3)+(0+(0-0))+0-152.9-0</f>
        <v>636.4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726.2+(251.5-310.3)+(-0.370362+(-0.128265--0.158253))+0-101.7--0.0518669999999897</f>
        <v>565.41149300000006</v>
      </c>
      <c r="G45" s="3">
        <f>726.4+(202.4-300.5)+(-0.740928+(-0.206448--0.30651))+0-79.8--0.0813960000000127</f>
        <v>547.94053000000008</v>
      </c>
      <c r="H45" s="3">
        <f>651.1+(212.1-213)+(-1.660305+(-0.540855--0.54315))+0-113.5--0.289424999999984</f>
        <v>535.33141499999999</v>
      </c>
      <c r="I45" s="3">
        <f>560.8+(217-142.4)+(-0.286008+(-0.11067--0.072624))+0-113--0.0576299999999885</f>
        <v>522.13357599999995</v>
      </c>
      <c r="J45" s="3">
        <f>557.1+(186-121.1)+(-0.568242+(-0.18972--0.123522))+0-104.1--0.106182000000017</f>
        <v>517.37174199999993</v>
      </c>
      <c r="K45" s="3">
        <f>553.8+(192.8-106.8)+(-1.129752+(-0.393312--0.217872))+0-122.7--0.250307999999995</f>
        <v>516.04511599999989</v>
      </c>
      <c r="L45" s="3">
        <f>556.7+(269.2-176.4)+(-0.567834+(-0.274584--0.179928))+0-103.4--0.105468000000016</f>
        <v>545.54297799999995</v>
      </c>
      <c r="M45" s="3">
        <f>572.8+(287.6-179)+(-0.292128+(-0.146676--0.09129))+0-104.4--0.0532439999999894</f>
        <v>576.7057299999999</v>
      </c>
      <c r="N45" s="3">
        <f>579.9+(248.7-110.9)+(0+(0-0))+0-111.4-0</f>
        <v>606.29999999999995</v>
      </c>
      <c r="O45" s="3">
        <f>634.6+(210-116)+(0.323646+(0.1071-0.05916))+0-107.9-0.0550289999999891</f>
        <v>621.01655700000003</v>
      </c>
      <c r="P45" s="3">
        <f>671.6+(190.1-141.1)+(1.027548+(0.290853-0.215883))+0-102.4-0.156672000000006</f>
        <v>619.14584600000012</v>
      </c>
      <c r="Q45" s="3">
        <f>707.9+(207.1-168.9)+(-0.361029+(-0.105621--0.086139))+0-108.2--0.055181999999989</f>
        <v>637.57467099999985</v>
      </c>
      <c r="R45" s="3">
        <f>707.5+(261.4-218.8)+(-0.72165+(-0.266628--0.223176))+0-97.1--0.0990420000000155</f>
        <v>652.33393999999998</v>
      </c>
      <c r="S45" s="3">
        <f>683.7+(352.2-301.4)+(-1.046061+(-0.538866--0.461142))+0-99--0.151470000000006</f>
        <v>634.52768500000002</v>
      </c>
      <c r="T45" s="3">
        <f>653.5+(376.6-341.3)+(-0.999855+(-0.576198--0.522189))+0-80.1--0.122553000000005</f>
        <v>607.76868899999999</v>
      </c>
      <c r="U45" s="3">
        <f>654.7+(371.4-344.3)+(-0.667794+(-0.378828--0.351186))+0-88.2--0.0899640000000141</f>
        <v>592.99452799999995</v>
      </c>
      <c r="V45" s="3">
        <f>654.4+(279.5-253.4)+(-2.002464+(-0.85527--0.775404))+0-84.2--0.25765200000001</f>
        <v>594.47532200000001</v>
      </c>
      <c r="W45" s="3">
        <f>661+(188.9-162.4)+(-1.01133+(-0.289017--0.248472))+0-94.3--0.144279000000005</f>
        <v>592.29240400000003</v>
      </c>
      <c r="X45" s="3">
        <f>663.3+(209.1-169)+(-0.338283+(-0.106641--0.08619))+0-125--0.0637499999999873</f>
        <v>578.10501599999998</v>
      </c>
      <c r="Y45" s="3">
        <f>682+(199.2-172.7)+(0.34782+(0.101592-0.088077))+0-125-0.0637499999999873</f>
        <v>583.79758500000003</v>
      </c>
      <c r="Z45" s="3">
        <f>688.5+(221.8-179.5)+(-0.70227+(-0.226236--0.18309))+0-125--0.12750000000002</f>
        <v>605.18208400000003</v>
      </c>
      <c r="AA45" s="3">
        <f>660.1+(252.2-186.4)+(-1.009953+(-0.385866--0.285192))+0-110.1--0.168453000000006</f>
        <v>614.85782599999993</v>
      </c>
      <c r="AB45" s="3">
        <f>649.7+(287.2-232.5)+(-1.988082+(-0.878832--0.71145))+0-111.8--0.342108000000013</f>
        <v>590.78664400000014</v>
      </c>
      <c r="AC45" s="3">
        <f>674.1+(288.8-267.4)+(-0.687582+(-0.294576--0.272748))+0-118.4--0.120768000000019</f>
        <v>576.51135799999997</v>
      </c>
      <c r="AD45" s="2">
        <v>617.6</v>
      </c>
      <c r="AE45" s="3">
        <f>689+(232.8-185.9)+(0+(0-0))+0-118.3-0</f>
        <v>617.6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679.3+(293.9-316.1)+(-1.385772+(-0.599556--0.644844))+0-102.2--0.208487999999996</f>
        <v>553.76800399999991</v>
      </c>
      <c r="G46" s="3">
        <f>679.8+(256.5-280)+(-0.693396+(-0.26163--0.2856))+0-114.9--0.117198000000018</f>
        <v>540.84777199999996</v>
      </c>
      <c r="H46" s="3">
        <f>681.5+(228.9-260.1)+(-0.347565+(-0.116739--0.132651))+0-118.9--0.0606389999999879</f>
        <v>531.12898600000005</v>
      </c>
      <c r="I46" s="3">
        <f>690.5+(190.6-243.7)+(1.40862+(0.388824-0.497148))+0-123.5-0.251939999999995</f>
        <v>514.94835599999999</v>
      </c>
      <c r="J46" s="3">
        <f>687.6+(182.7-237.5)+(0+(0-0))+0-118.6-0</f>
        <v>514.19999999999993</v>
      </c>
      <c r="K46" s="3">
        <f>690.7+(172.8-259.8)+(-1.056771+(-0.264384--0.397494))+0-97.3--0.148869000000006</f>
        <v>505.62520799999999</v>
      </c>
      <c r="L46" s="3">
        <f>619.8+(183.7-234)+(-0.632196+(-0.187374--0.23868))+0-81--0.0826200000000129</f>
        <v>488.00173000000007</v>
      </c>
      <c r="M46" s="3">
        <f>584.9+(196.6-196.1)+(-0.596598+(-0.200532--0.200022))+0-95.3--0.0972060000000152</f>
        <v>489.60009799999995</v>
      </c>
      <c r="N46" s="3">
        <f>584.5+(204.5-164.6)+(-0.298095+(-0.104295--0.083946))+0-115--0.0586499999999883</f>
        <v>509.14020599999998</v>
      </c>
      <c r="O46" s="3">
        <f>593.3+(200.3-155.9)+(0+(0-0))+0-114.5-0</f>
        <v>523.19999999999993</v>
      </c>
      <c r="P46" s="3">
        <f>593.1+(195.6-140.1)+(0+(0-0))+0-112.8-0</f>
        <v>535.80000000000007</v>
      </c>
      <c r="Q46" s="3">
        <f>587.4+(228.5-151.4)+(-0.898722+(-0.349605--0.231642))+0-121.1--0.185283000000007</f>
        <v>542.56859799999995</v>
      </c>
      <c r="R46" s="3">
        <f>582.7+(329.4-249.5)+(-0.297177+(-0.167994--0.127245))+0-121.5--0.0619649999999877</f>
        <v>540.82403899999997</v>
      </c>
      <c r="S46" s="3">
        <f>580.4+(423.1-346.1)+(0+(0-0))+0-120.5-0</f>
        <v>536.9</v>
      </c>
      <c r="T46" s="3">
        <f>628.3+(394.4-384)+(-1.602165+(-1.00572--0.9792))+0-116.3--0.296564999999983</f>
        <v>521.06787999999995</v>
      </c>
      <c r="U46" s="3">
        <f>648+(305.6-339.5)+(-0.99144+(-0.467568--0.519435))+0-92.9--0.142137000000005</f>
        <v>520.4025640000001</v>
      </c>
      <c r="V46" s="3">
        <f>647.4+(193.3-218.8)+(-1.65087+(-0.492915--0.55794))+0-102--0.260099999999985</f>
        <v>518.57425499999999</v>
      </c>
      <c r="W46" s="3">
        <f>659.6+(176-204.2)+(-0.672792+(-0.17952--0.208284))+0-110.3--0.112506000000018</f>
        <v>520.56847800000014</v>
      </c>
      <c r="X46" s="3">
        <f>669.9+(174.6-221.6)+(-1.024947+(-0.267138--0.339048))+0-98.3--0.150399000000006</f>
        <v>523.79736200000002</v>
      </c>
      <c r="Y46" s="3">
        <f>670.4+(192.1-210.4)+(-0.341904+(-0.097971--0.107304))+0-103--0.0525299999999896</f>
        <v>548.81995899999981</v>
      </c>
      <c r="Z46" s="3">
        <f>673.2+(208.5-169.5)+(0+(0-0))+0-122.7-0</f>
        <v>589.5</v>
      </c>
      <c r="AA46" s="3">
        <f>680+(212.9-172.6)+(-1.3872+(-0.434316--0.352104))+0-138.4--0.282335999999994</f>
        <v>580.71292399999993</v>
      </c>
      <c r="AB46" s="3">
        <f>675.5+(243.2-221.2)+(-1.37802+(-0.496128--0.451248))+0-129.5--0.264179999999994</f>
        <v>566.84127999999998</v>
      </c>
      <c r="AC46" s="3">
        <f>682.6+(259.3-268.1)+(-1.044378+(-0.396729--0.410193))+0-116.7--0.178551000000007</f>
        <v>556.24763699999983</v>
      </c>
      <c r="AD46" s="2">
        <v>595.20000000000005</v>
      </c>
      <c r="AE46" s="3">
        <f>683+(225.7-169.6)+(0+(0-0))+0-143.9-0</f>
        <v>595.20000000000005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686.4+(237.7-258.6)+(-0.350064+(-0.121227--0.131886))+0-119.1--0.0607409999999879</f>
        <v>546.12133599999993</v>
      </c>
      <c r="G47" s="3">
        <f>686.2+(203.3-247.9)+(-1.049886+(-0.311049--0.379287))+0-104--0.159120000000006</f>
        <v>536.7774720000001</v>
      </c>
      <c r="H47" s="3">
        <f>689.7+(183.3-231.7)+(-0.703494+(-0.186966--0.236334))+0-117.5--0.119850000000019</f>
        <v>523.26572400000009</v>
      </c>
      <c r="I47" s="3">
        <f>687.7+(177.6-240.6)+(-1.753635+(-0.45288--0.61353))+0-104.3--0.265964999999985</f>
        <v>519.07298000000003</v>
      </c>
      <c r="J47" s="3">
        <f>690.4+(193.2-248.2)+(-1.76052+(-0.49266--0.63291))+0-119.9--0.305744999999983</f>
        <v>514.185475</v>
      </c>
      <c r="K47" s="3">
        <f>691.5+(188.6-263.8)+(-1.057995+(-0.288558--0.403614))+0-103.1--0.157743000000006</f>
        <v>512.41480399999989</v>
      </c>
      <c r="L47" s="3">
        <f>687.2+(189.8-237.6)+(-2.102832+(-0.580788--0.727056))+0-110.6--0.338436000000013</f>
        <v>527.18187200000011</v>
      </c>
      <c r="M47" s="3">
        <f>697.2+(206.3-228.8)+(-0.355572+(-0.105213--0.116688))+0-100.6--0.0513059999999898</f>
        <v>573.80720899999994</v>
      </c>
      <c r="N47" s="3">
        <f>698.8+(214.1-209.3)+(1.78194+(0.545955-0.533715))+0-92.1-0.234854999999987</f>
        <v>613.05932499999983</v>
      </c>
      <c r="O47" s="3">
        <f>697.7+(212.2-184.1)+(-0.711654+(-0.216444--0.187782))+0-93.6--0.0954720000000149</f>
        <v>631.55515600000001</v>
      </c>
      <c r="P47" s="3">
        <f>699.2+(200.5-147.9)+(-0.713184+(-0.20451--0.150858))+0-110.9--0.113118000000018</f>
        <v>640.24628200000006</v>
      </c>
      <c r="Q47" s="3">
        <f>698.2+(195.3-137.5)+(-1.424328+(-0.398412--0.2805))+0-105.7--0.215627999999995</f>
        <v>648.973388</v>
      </c>
      <c r="R47" s="3">
        <f>689.2+(294-213)+(0.351492+(0.14994-0.10863))+0-111.3-0.0567629999999887</f>
        <v>659.23603900000012</v>
      </c>
      <c r="S47" s="3">
        <f>683+(399.1-317.3)+(-1.04499+(-0.610623--0.485469))+0-112.4--0.171972000000007</f>
        <v>651.40182799999991</v>
      </c>
      <c r="T47" s="3">
        <f>687.7+(413.5-374.6)+(0.350727+(0.210885-0.191046))+0-101-0.0515099999999898</f>
        <v>625.91905600000007</v>
      </c>
      <c r="U47" s="3">
        <f>677.7+(396-350.6)+(0.345627+(0.20196-0.178806))+0-105.4-0.0537539999999893</f>
        <v>618.01502700000003</v>
      </c>
      <c r="V47" s="3">
        <f>673.7+(317.1-277.3)+(-1.374348+(-0.646884--0.565692))+0-90.7--0.185027999999996</f>
        <v>621.5294879999999</v>
      </c>
      <c r="W47" s="3">
        <f>671.8+(200.3-124.5)+(-2.055708+(-0.612918--0.38097))+0-125--0.382500000000014</f>
        <v>620.69484399999999</v>
      </c>
      <c r="X47" s="3">
        <f>665.4+(204.3-128.6)+(-2.375478+(-0.729351--0.459102))+0-119.9--0.428043000000002</f>
        <v>618.98231600000008</v>
      </c>
      <c r="Y47" s="3">
        <f>669.8+(214.9-133.3)+(-1.366392+(-0.438396--0.271932))+0-101.2--0.206447999999996</f>
        <v>648.87359199999992</v>
      </c>
      <c r="Z47" s="3">
        <f>673.4+(214.8-110.4)+(-0.686868+(-0.219096--0.112608))+0-102.9--0.104958000000016</f>
        <v>674.21160199999997</v>
      </c>
      <c r="AA47" s="3">
        <f>662.3+(249.4-132.6)+(-2.026638+(-0.763164--0.405756))+0-122.9--0.376074000000014</f>
        <v>654.19202799999994</v>
      </c>
      <c r="AB47" s="3">
        <f>657+(292.7-192.1)+(-1.34028+(-0.597108--0.391884))+0-125.1--0.255203999999995</f>
        <v>631.2097</v>
      </c>
      <c r="AC47" s="3">
        <f>639.4+(350-256.9)+(-0.652188+(-0.357--0.262038))+0-120.8--0.123216000000019</f>
        <v>611.07606600000008</v>
      </c>
      <c r="AD47" s="2">
        <v>671</v>
      </c>
      <c r="AE47" s="3">
        <f>667+(233.3-114)+(0+(0-0))+0-115.3-0</f>
        <v>671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647.1+(290.4-262.1)+(-0.990063+(-0.444312--0.401013))+0-86.2--0.131886000000005</f>
        <v>588.29852399999993</v>
      </c>
      <c r="G48" s="3">
        <f>668.1+(239.2-243.8)+(-1.022193+(-0.365976--0.373014))+0-103.7--0.158661000000006</f>
        <v>558.94350599999996</v>
      </c>
      <c r="H48" s="3">
        <f>691+(193.9-216.7)+(0+(0-0))+0-119.6-0</f>
        <v>548.6</v>
      </c>
      <c r="I48" s="3">
        <f>679.6+(198.7-218)+(-0.693192+(-0.202674--0.22236))+0-119.2--0.121584000000019</f>
        <v>540.54807799999992</v>
      </c>
      <c r="J48" s="3">
        <f>660.3+(202.3-217.8)+(-1.010259+(-0.309519--0.333234))+0-107.5--0.164475000000006</f>
        <v>536.47793100000001</v>
      </c>
      <c r="K48" s="3">
        <f>661.3+(199.1-221.8)+(-1.686315+(-0.507705--0.56559))+0-95.2--0.242759999999986</f>
        <v>542.01432999999986</v>
      </c>
      <c r="L48" s="3">
        <f>629.8+(215.5-206.9)+(0+(0-0))+0-111.6-0</f>
        <v>526.79999999999995</v>
      </c>
      <c r="M48" s="3">
        <f>587.2+(209.6-171.3)+(-0.299472+(-0.106896--0.087363))+0-107.6--0.0548759999999891</f>
        <v>517.63587100000007</v>
      </c>
      <c r="N48" s="3">
        <f>588.5+(152.4-202.5)+(0+(0-0))+0-106.9-0</f>
        <v>431.5</v>
      </c>
      <c r="O48" s="3">
        <f>595.8+(156.5-167.6)+(-0.303858+(-0.079815--0.085476))+0-117.6--0.0599759999999881</f>
        <v>466.86177899999996</v>
      </c>
      <c r="P48" s="3">
        <f>677.1+(132.8-174)+(-0.345321+(-0.067728--0.08874))+0-112.5--0.0573749999999886</f>
        <v>523.1330660000001</v>
      </c>
      <c r="Q48" s="3">
        <f>684.8+(120.4-152.7)+(-0.349248+(-0.061404--0.077877))+0-123.3--0.0628829999999875</f>
        <v>528.93010800000002</v>
      </c>
      <c r="R48" s="3">
        <f>693+(138.5-266.7)+(0+(0-0))+0-122.3-0</f>
        <v>442.49999999999994</v>
      </c>
      <c r="S48" s="3">
        <f>685.2+(188-379)+(-1.397808+(-0.38352--0.77316))+0-115.1--0.234803999999995</f>
        <v>378.32663600000006</v>
      </c>
      <c r="T48" s="3">
        <f>687.7+(201.8-449.2)+(-0.350727+(-0.102918--0.229092))+0-117.5--0.0599249999999881</f>
        <v>322.63537200000002</v>
      </c>
      <c r="U48" s="3">
        <f>682+(136-403.9)+(-0.69564+(-0.13872--0.411978))+0-95--0.0969000000000152</f>
        <v>318.774518</v>
      </c>
      <c r="V48" s="3">
        <f>675.2+(114.8-314.5)+(-1.72176+(-0.29274--0.801975))+0-112.7--0.287384999999984</f>
        <v>361.87486000000001</v>
      </c>
      <c r="W48" s="3">
        <f>673.6+(124.6-280.1)+(-0.687072+(-0.127092--0.285702))+0-113.2--0.115464000000018</f>
        <v>404.48700200000007</v>
      </c>
      <c r="X48" s="3">
        <f>667.9+(324.2-375.5)+(-2.043774+(-0.992052--1.14903))+0-114.1--0.349146000000013</f>
        <v>500.9623499999999</v>
      </c>
      <c r="Y48" s="3">
        <f>679.1+(242-299.6)+(0+(0-0))+0-112.6-0</f>
        <v>508.9</v>
      </c>
      <c r="Z48" s="3">
        <f>684.1+(133.4-191.7)+(-0.697782+(-0.136068--0.195534))+0-114.5--0.116790000000018</f>
        <v>510.77847400000007</v>
      </c>
      <c r="AA48" s="3">
        <f>684.2+(144.7-180.5)+(-1.74471+(-0.368985--0.460275))+0-120.5--0.307274999999983</f>
        <v>526.55385500000011</v>
      </c>
      <c r="AB48" s="3">
        <f>686.2+(132.2-238.2)+(-1.049886+(-0.202266--0.364446))+0-115.1--0.176103000000007</f>
        <v>464.38839700000005</v>
      </c>
      <c r="AC48" s="3">
        <f>688.8+(130-233.2)+(-1.405152+(-0.2652--0.475728))+0-114.7--0.233987999999995</f>
        <v>469.93936399999996</v>
      </c>
      <c r="AD48" s="2">
        <v>636.90000000000009</v>
      </c>
      <c r="AE48" s="3">
        <f>684+(123.7-204.9)+(0+(0-0))+0-85.9-0</f>
        <v>516.9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668.8+(130.6-316.6)+(-2.387616+(-0.466242--1.130262))+0-117.8--0.420546000000002</f>
        <v>363.69694999999996</v>
      </c>
      <c r="G49" s="3">
        <f>686.8+(102.1-369.9)+(-2.451876+(-0.364497--1.320543))+0-100.9--0.360213000000001</f>
        <v>316.96438299999994</v>
      </c>
      <c r="H49" s="3">
        <f>695.2+(83.7-348.6)+(-0.709104+(-0.085374--0.355572))+0-105.1--0.107202000000017</f>
        <v>324.8682960000001</v>
      </c>
      <c r="I49" s="3">
        <f>703.6+(76.6-320.8)+(-0.358836+(-0.039066--0.163608))+0-115.8--0.0590579999999883</f>
        <v>343.42476399999998</v>
      </c>
      <c r="J49" s="3">
        <f>696.9+(74.6-291.5)+(-0.355419+(-0.038046--0.148665))+0-91.3--0.0465629999999907</f>
        <v>388.50176299999998</v>
      </c>
      <c r="K49" s="3">
        <f>695.5+(129.4-293.6)+(-1.41882+(-0.263976--0.598944))+0-93--0.189719999999996</f>
        <v>437.405868</v>
      </c>
      <c r="L49" s="3">
        <f>664.6+(221.2-341.4)+(-1.355784+(-0.451248--0.696456))+0-85.5--0.174419999999996</f>
        <v>457.96384400000005</v>
      </c>
      <c r="M49" s="3">
        <f>662.1+(214.1-253.5)+(1.688355+(0.545955-0.646425))+0-84.5-0.215474999999988</f>
        <v>539.5724100000001</v>
      </c>
      <c r="N49" s="3">
        <f>656+(199.1-253.9)+(0.33456+(0.101541-0.129489))+0-89.3-0.0455429999999909</f>
        <v>512.16106900000011</v>
      </c>
      <c r="O49" s="3">
        <f>683+(181.2-298.5)+(-0.34833+(-0.092412--0.152235))+0-66.7--0.0340169999999932</f>
        <v>498.74551000000008</v>
      </c>
      <c r="P49" s="3">
        <f>688.2+(197.1-298.1)+(-0.350982+(-0.100521--0.152031))+0-67.4--0.0343739999999932</f>
        <v>519.53490199999999</v>
      </c>
      <c r="Q49" s="3">
        <f>700.5+(83.2-245.3)+(-0.357255+(-0.042432--0.125103))+0-52.6--0.0268259999999947</f>
        <v>485.55224199999992</v>
      </c>
      <c r="R49" s="3">
        <f>727.1+(118.3-278.8)+(-2.224926+(-0.361998--0.853128))+0-52.7--0.161262000000006</f>
        <v>512.32746599999996</v>
      </c>
      <c r="S49" s="3">
        <f>740.1+(150.8-360.2)+(-1.132353+(-0.230724--0.551106))+0-63.1--0.0965430000000037</f>
        <v>466.88457200000005</v>
      </c>
      <c r="T49" s="3">
        <f>737.6+(172-377.3)+(0.376176+(0.08772-0.192423))+0-95.1-0.0485009999999904</f>
        <v>437.42297199999996</v>
      </c>
      <c r="U49" s="3">
        <f>728.4+(131.3-340.6)+(-1.85742+(-0.334815--0.86853))+0-76.4--0.194819999999989</f>
        <v>441.57111499999991</v>
      </c>
      <c r="V49" s="3">
        <f>735+(91-283.1)+(-1.87425+(-0.23205--0.721905))+0-72.6--0.185129999999989</f>
        <v>469.10073499999993</v>
      </c>
      <c r="W49" s="3">
        <f>723.6+(112.4-254)+(-1.84518+(-0.28662--0.6477))+0-92--0.234599999999987</f>
        <v>488.75049999999999</v>
      </c>
      <c r="X49" s="3">
        <f>718.8+(261.3-269.4)+(-0.733176+(-0.266526--0.274788))+0-105.6--0.107712000000017</f>
        <v>604.482798</v>
      </c>
      <c r="Y49" s="3">
        <f>734.8+(261.2-216.5)+(-0.374748+(-0.133212--0.110415))+0-96.6--0.0492659999999902</f>
        <v>682.55172099999993</v>
      </c>
      <c r="Z49" s="3">
        <f>738.3+(159.7-172.7)+(-1.129599+(-0.244341--0.264231))+0-117.7--0.180081000000007</f>
        <v>606.67037199999993</v>
      </c>
      <c r="AA49" s="3">
        <f>749.6+(125.9-251.9)+(-1.91148+(-0.321045--0.642345))+0-117--0.298349999999983</f>
        <v>505.30816999999996</v>
      </c>
      <c r="AB49" s="3">
        <f>755.9+(119.5-344.6)+(-1.156527+(-0.182835--0.527238))+0-96.6--0.147798000000006</f>
        <v>433.53567399999991</v>
      </c>
      <c r="AC49" s="3">
        <f>759.3+(137.3-433.9)+(-1.161729+(-0.210069--0.663867))+0-105.7--0.161721000000006</f>
        <v>356.45379000000003</v>
      </c>
      <c r="AD49" s="2">
        <v>644.69999999999993</v>
      </c>
      <c r="AE49" s="3">
        <f>750+(120.5-237.6)+(0+(0-0))+0-87.2-0</f>
        <v>545.69999999999993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723.2+(133.9-383.5)+(-1.84416+(-0.341445--0.977925))+0-88--0.224399999999987</f>
        <v>384.61672000000004</v>
      </c>
      <c r="G50" s="3">
        <f>590.5+(159.6-315.6)+(-0.903465+(-0.244188--0.482868))+0-86.7--0.132651000000005</f>
        <v>347.26786600000003</v>
      </c>
      <c r="H50" s="3">
        <f>562.3+(153.7-238.7)+(-1.433865+(-0.391935--0.608685))+0-86.7--0.221084999999987</f>
        <v>389.60396999999995</v>
      </c>
      <c r="I50" s="3">
        <f>565.7+(137.8-219.6)+(-1.154028+(-0.281112--0.447984))+0-116.2--0.237047999999995</f>
        <v>366.94989200000009</v>
      </c>
      <c r="J50" s="3">
        <f>564.9+(145.2-216.4)+(-0.864297+(-0.222156--0.331092))+0-121.4--0.185742000000007</f>
        <v>371.73038099999997</v>
      </c>
      <c r="K50" s="3">
        <f>567.4+(139.4-229.4)+(-0.578748+(-0.142188--0.233988))+0-106.7--0.108834000000017</f>
        <v>370.32188600000001</v>
      </c>
      <c r="L50" s="3">
        <f>565.2+(251.2-240.2)+(-1.153008+(-0.512448--0.490008))+0-118.7--0.242147999999995</f>
        <v>456.56670000000008</v>
      </c>
      <c r="M50" s="3">
        <f>569.6+(286-235.9)+(0.580992+(0.29172-0.240618))+0-112.2-0.114444000000018</f>
        <v>508.01765000000012</v>
      </c>
      <c r="N50" s="3">
        <f>575.1+(296.1-204.8)+(-0.586602+(-0.302022--0.208896))+0-110.4--0.112608000000018</f>
        <v>555.43288000000018</v>
      </c>
      <c r="O50" s="3">
        <f>589.8+(322.2-178.7)+(0+(0-0))+0-108-0</f>
        <v>625.29999999999995</v>
      </c>
      <c r="P50" s="3">
        <f>583.7+(230.3-129.6)+(0+(0-0))+0-110.2-0</f>
        <v>574.20000000000005</v>
      </c>
      <c r="Q50" s="3">
        <f>586.7+(131.1-135)+(0+(0-0))+0-93.3-0</f>
        <v>489.50000000000006</v>
      </c>
      <c r="R50" s="3">
        <f>531+(186.8-138)+(0+(0-0))+0-96-0</f>
        <v>483.79999999999995</v>
      </c>
      <c r="S50" s="3">
        <f>605+(213.6-260.1)+(-1.54275+(-0.54468--0.663255))+0-99.5--0.253724999999986</f>
        <v>457.82954999999998</v>
      </c>
      <c r="T50" s="3">
        <f>519+(190-272)+(-1.32345+(-0.4845--0.6936))+0-102--0.260099999999985</f>
        <v>334.14574999999996</v>
      </c>
      <c r="U50" s="3">
        <f>587.4+(176-248.2)+(-0.898722+(-0.26928--0.379746))+0-107.1--0.163863000000006</f>
        <v>407.47560699999997</v>
      </c>
      <c r="V50" s="3">
        <f>594.9+(106.7-174.8)+(-1.213596+(-0.217668--0.356592))+0-104.9--0.213995999999995</f>
        <v>421.03932400000002</v>
      </c>
      <c r="W50" s="3">
        <f>601.4+(165.7-171.9)+(-1.53357+(-0.422535--0.438345))+0-83.9--0.213944999999988</f>
        <v>509.99618499999997</v>
      </c>
      <c r="X50" s="3">
        <f>601.2+(330.9-271.8)+(-1.53306+(-0.843795--0.69309))+0-97--0.247349999999986</f>
        <v>561.86358499999994</v>
      </c>
      <c r="Y50" s="3">
        <f>605.2+(267.2-184.1)+(-0.617304+(-0.272544--0.187782))+0-91.7--0.0935340000000146</f>
        <v>595.99146800000005</v>
      </c>
      <c r="Z50" s="3">
        <f>607.5+(197-102.6)+(-0.929475+(-0.30141--0.156978))+0-111.5--0.170595000000006</f>
        <v>589.49668800000006</v>
      </c>
      <c r="AA50" s="3">
        <f>606.1+(174.2-111.9)+(-1.854666+(-0.533052--0.342414))+0-111.3--0.340578000000013</f>
        <v>555.39527400000009</v>
      </c>
      <c r="AB50" s="3">
        <f>607.8+(197.4-148.1)+(-0.309978+(-0.100674--0.075531))+0-106.8--0.0544679999999892</f>
        <v>550.01934700000004</v>
      </c>
      <c r="AC50" s="3">
        <f>601.4+(197.6-237.8)+(-0.920142+(-0.302328--0.363834))+0-86.5--0.132345000000005</f>
        <v>473.97370899999987</v>
      </c>
      <c r="AD50" s="2">
        <v>675.30000000000007</v>
      </c>
      <c r="AE50" s="3">
        <f>602+(169.2-113.6)+(0+(0-0))+0-112.3-0</f>
        <v>545.30000000000007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608.5+(173.3-280.5)+(-1.551675+(-0.441915--0.715275))+0-100.1--0.255254999999985</f>
        <v>400.17694</v>
      </c>
      <c r="G51" s="3">
        <f>615.3+(195.4-279.9)+(-1.569015+(-0.49827--0.713745))+0-117.5--0.299624999999983</f>
        <v>412.24608499999999</v>
      </c>
      <c r="H51" s="3">
        <f>618.3+(161.4-286.8)+(-1.261332+(-0.329256--0.585072))+0-127.7--0.260507999999994</f>
        <v>364.454992</v>
      </c>
      <c r="I51" s="3">
        <f>622.5+(140.6-251.7)+(-0.317475+(-0.071706--0.128367))+0-115.4--0.0588539999999883</f>
        <v>395.79804000000001</v>
      </c>
      <c r="J51" s="3">
        <f>624.3+(151-220.6)+(0.955179+(0.23103-0.337518))+0-124.5-0.190485000000007</f>
        <v>430.85820599999994</v>
      </c>
      <c r="K51" s="3">
        <f>621+(169.6-210.6)+(-0.95013+(-0.259488--0.322218))+0-132.1--0.202113000000008</f>
        <v>447.21471300000002</v>
      </c>
      <c r="L51" s="3">
        <f>621.6+(316.9-316.2)+(-0.317016+(-0.161619--0.161262))+0-93.4--0.0476339999999905</f>
        <v>528.63026100000002</v>
      </c>
      <c r="M51" s="3">
        <f>618.7+(407.5-344.9)+(-1.262148+(-0.8313--0.703596))+0-83--0.169319999999996</f>
        <v>597.07946800000002</v>
      </c>
      <c r="N51" s="3">
        <f>615.2+(402.1-367.2)+(-0.941256+(-0.615213--0.561816))+0-84.2--0.128826000000005</f>
        <v>565.03417300000012</v>
      </c>
      <c r="O51" s="3">
        <f>614.9+(357.4-289.9)+(-0.627198+(-0.364548--0.295698))+0-92.5--0.0943500000000148</f>
        <v>589.29830199999992</v>
      </c>
      <c r="P51" s="3">
        <f>660.6+(296.5-252.2)+(-0.673812+(-0.30243--0.257244))+0-117.9--0.120258000000019</f>
        <v>586.40126000000009</v>
      </c>
      <c r="Q51" s="3">
        <f>658.3+(258.2-194.2)+(-0.671466+(-0.263364--0.198084))+0-119.4--0.121788000000019</f>
        <v>602.28504199999998</v>
      </c>
      <c r="R51" s="3">
        <f>654+(231.3-271.5)+(-0.33354+(-0.117963--0.138465))+0-125--0.0637499999999873</f>
        <v>488.55071199999992</v>
      </c>
      <c r="S51" s="3">
        <f>648.5+(194.7-277.8)+(-1.32294+(-0.397188--0.566712))+0-119.5--0.243779999999995</f>
        <v>444.990364</v>
      </c>
      <c r="T51" s="3">
        <f>648.5+(195.3-277.8)+(-1.32294+(-0.398412--0.566712))+0-119.5--0.243779999999995</f>
        <v>445.58914000000004</v>
      </c>
      <c r="U51" s="3">
        <f>648.9+(156.9-258)+(0+(0-0))+0-127.1-0</f>
        <v>420.69999999999993</v>
      </c>
      <c r="V51" s="3">
        <f>648.7+(113.1-195.4)+(-1.323348+(-0.230724--0.398616))+0-107.1--0.218483999999995</f>
        <v>458.3630280000001</v>
      </c>
      <c r="W51" s="3">
        <f>651+(273.1-268.9)+(-1.99206+(-0.835686--0.822834))+0-123.8--0.378828000000014</f>
        <v>529.7739160000001</v>
      </c>
      <c r="X51" s="3">
        <f>651+(410-268.9)+(-1.99206+(-1.2546--0.822834))+0-123.8--0.378828000000014</f>
        <v>666.2550020000001</v>
      </c>
      <c r="Y51" s="3">
        <f>648.5+(416.7-357.2)+(-2.315145+(-1.487619--1.275204))+0-126.4--0.451248000000002</f>
        <v>579.52368799999999</v>
      </c>
      <c r="Z51" s="3">
        <f>665.4+(182.5-170.9)+(-0.339354+(-0.093075--0.087159))+0-135.8--0.0692579999999862</f>
        <v>540.92398800000001</v>
      </c>
      <c r="AA51" s="3">
        <f>669.2+(168.8-211.8)+(-2.047752+(-0.516528--0.648108))+0-134.4--0.411264000000016</f>
        <v>490.29509200000012</v>
      </c>
      <c r="AB51" s="3">
        <f>668.7+(132.1-203.3)+(-1.023111+(-0.202113--0.311049))+0-139.2--0.212976000000008</f>
        <v>457.59880100000004</v>
      </c>
      <c r="AC51" s="3">
        <f>663.3+(129.6-217.4)+(-1.353132+(-0.264384--0.443496))+0-148.5--0.302939999999993</f>
        <v>426.12891999999994</v>
      </c>
      <c r="AD51" s="2">
        <v>638.59999999999991</v>
      </c>
      <c r="AE51" s="3">
        <f>668+(176.7-177.6)+(0+(0-0))+0-145.3-0</f>
        <v>521.79999999999995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673.8+(81.4-257.5)+(-1.71819+(-0.20757--0.656625))+0-113.7--0.289934999999984</f>
        <v>383.02079999999989</v>
      </c>
      <c r="G52" s="3">
        <f>683.5+(73.8-296.6)+(-1.39434+(-0.150552--0.605064))+0-122--0.248879999999995</f>
        <v>338.009052</v>
      </c>
      <c r="H52" s="3">
        <f>685.9+(116.8-270.2)+(-1.049427+(-0.178704--0.413406))+0-137.6--0.210528000000008</f>
        <v>394.29580300000003</v>
      </c>
      <c r="I52" s="3">
        <f>697.1+(111.9-319.5)+(1.777605+(0.285345-0.814725))+0-135.5-0.34552499999998</f>
        <v>354.90270000000004</v>
      </c>
      <c r="J52" s="3">
        <f>693.2+(159.2-333)+(-1.060596+(-0.243576--0.50949))+0-131.4--0.201042000000008</f>
        <v>387.40636000000018</v>
      </c>
      <c r="K52" s="3">
        <f>696+(264.1-405.3)+(-0.35496+(-0.134691--0.206703))+0-132.5--0.0675749999999866</f>
        <v>422.0846269999999</v>
      </c>
      <c r="L52" s="3">
        <f>697.8+(390.6-472.4)+(-0.711756+(-0.398412--0.481848))+0-135.2--0.137904000000022</f>
        <v>480.30958400000003</v>
      </c>
      <c r="M52" s="3">
        <f>698.9+(362.3-390.3)+(0.356439+(0.184773-0.199053))+0-127.7-0.065126999999987</f>
        <v>543.47703200000001</v>
      </c>
      <c r="N52" s="3">
        <f>692.2+(322.4-381.7)+(0+(0-0))+0-114.1-0</f>
        <v>518.80000000000007</v>
      </c>
      <c r="O52" s="3">
        <f>688+(297.9-346.4)+(-0.70176+(-0.303858--0.353328))+0-143.2--0.146064000000023</f>
        <v>495.79377400000004</v>
      </c>
      <c r="P52" s="3">
        <f>674+(243-274.6)+(0.34374+(0.12393-0.140046))+0-131-0.0668099999999867</f>
        <v>511.66081400000002</v>
      </c>
      <c r="Q52" s="3">
        <f>633.7+(157-155.4)+(-0.323187+(-0.08007--0.079254))+0-114--0.0581399999999884</f>
        <v>521.0341370000001</v>
      </c>
      <c r="R52" s="3">
        <f>670.4+(119.3-193.7)+(0.683808+(0.121686-0.197574))+0-119-0.121380000000019</f>
        <v>477.48653999999999</v>
      </c>
      <c r="S52" s="3">
        <f>666.8+(217-300.3)+(-1.360272+(-0.44268--0.612612))+0-124.7--0.254387999999995</f>
        <v>457.86404800000003</v>
      </c>
      <c r="T52" s="3">
        <f>672.2+(179.8-357.3)+(0.342822+(0.091698-0.182223))+0-122-0.0622199999999876</f>
        <v>372.89007700000008</v>
      </c>
      <c r="U52" s="3">
        <f>666.9+(140.7-323.7)+(-0.680238+(-0.143514--0.330174))+0-124--0.12648000000002</f>
        <v>359.53290199999998</v>
      </c>
      <c r="V52" s="3">
        <f>704+(93.2-290.8)+(-1.43616+(-0.190128--0.593232))+0-143.8--0.293351999999994</f>
        <v>361.86029599999995</v>
      </c>
      <c r="W52" s="3">
        <f>712+(137.9-347.3)+(0.36312+(0.070329-0.177123))+0-139.7-0.0712469999999858</f>
        <v>363.08507900000006</v>
      </c>
      <c r="X52" s="3">
        <f>792.6+(324.2-515.3)+(-2.829582+(-1.157394--1.839621))+0-133.2--0.475524000000002</f>
        <v>466.62816900000007</v>
      </c>
      <c r="Y52" s="3">
        <f>811.1+(275.9-438.3)+(-1.240983+(-0.422127--0.670599))+0-140.6--0.215118000000008</f>
        <v>507.322607</v>
      </c>
      <c r="Z52" s="3">
        <f>824.6+(162.2-325.4)+(-0.841092+(-0.165444--0.331908))+0-147.2--0.150144000000023</f>
        <v>513.67551600000013</v>
      </c>
      <c r="AA52" s="3">
        <f>826.4+(142-356.3)+(-2.528784+(-0.43452--1.090278))+0-133.7--0.409122000000015</f>
        <v>476.93609599999996</v>
      </c>
      <c r="AB52" s="3">
        <f>816.6+(78.8-389)+(0+(0-0))+0-134.7-0</f>
        <v>371.70000000000005</v>
      </c>
      <c r="AC52" s="3">
        <f>786.1+(80.3-459.4)+(-0.400911+(-0.040953--0.234294))+0-142.6--0.0727259999999855</f>
        <v>264.26515600000005</v>
      </c>
      <c r="AD52" s="2">
        <v>648.59999999999991</v>
      </c>
      <c r="AE52" s="3">
        <f>824+(149.1-310.7)+(0+(0-0))+0-163.8-0</f>
        <v>498.59999999999997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776.5+(112.7-473.5)+(-1.980075+(-0.287385--1.207425))+0-119.2--0.303959999999983</f>
        <v>295.74392499999993</v>
      </c>
      <c r="G53" s="3">
        <f>782.2+(101.6-393.1)+(-0.398922+(-0.051816--0.200481))+0-112.3--0.0572729999999886</f>
        <v>378.20701600000007</v>
      </c>
      <c r="H53" s="3">
        <f>782.6+(92.1-378.2)+(-1.197378+(-0.140913--0.578646))+0-115.9--0.177327000000007</f>
        <v>380.01768200000004</v>
      </c>
      <c r="I53" s="3">
        <f>779+(92.6-362.8)+(-1.58916+(-0.188904--0.740112))+0-108--0.220319999999995</f>
        <v>399.98236799999995</v>
      </c>
      <c r="J53" s="3">
        <f>791.1+(90.2-384)+(0+(0-0))+0-110.5-0</f>
        <v>386.8</v>
      </c>
      <c r="K53" s="3">
        <f>781.6+(110.6-396.2)+(-1.594464+(-0.225624--0.808248))+0-110.9--0.226235999999995</f>
        <v>384.31439599999999</v>
      </c>
      <c r="L53" s="3">
        <f>787.6+(208-481.1)+(-1.606704+(-0.42432--0.981444))+0-115--0.234599999999995</f>
        <v>398.68502000000001</v>
      </c>
      <c r="M53" s="3">
        <f>716.2+(203.5-393.5)+(0+(0-0))+0-93.6-0</f>
        <v>432.6</v>
      </c>
      <c r="N53" s="3">
        <f>685.4+(258.2-373.1)+(-0.699108+(-0.263364--0.380562))+0-93--0.0948600000000148</f>
        <v>477.01295000000005</v>
      </c>
      <c r="O53" s="3">
        <f>691.2+(217.8-328.8)+(0+(0-0))+0-97.6-0</f>
        <v>482.6</v>
      </c>
      <c r="P53" s="3">
        <f>701.9+(187.3-270.2)+(0+(0-0))+0-112.2-0</f>
        <v>506.8</v>
      </c>
      <c r="Q53" s="3">
        <f>698+(186-300.7)+(-0.35598+(-0.09486--0.153357))+0-122.6--0.0625259999999876</f>
        <v>460.46504299999987</v>
      </c>
      <c r="R53" s="3">
        <f>693.5+(114.8-278.9)+(-0.353685+(-0.058548--0.142239))+0-127.8--0.065177999999987</f>
        <v>401.39518400000009</v>
      </c>
      <c r="S53" s="3">
        <f>688.1+(189.1-423.1)+(-0.701862+(-0.192882--0.431562))+0-131.1--0.133722000000021</f>
        <v>322.67054000000007</v>
      </c>
      <c r="T53" s="3">
        <f>684+(194.5-478.5)+(-1.04652+(-0.297585--0.732105))+0-131.5--0.201195000000008</f>
        <v>268.08919499999996</v>
      </c>
      <c r="U53" s="3">
        <f>673.5+(186.4-480.9)+(-0.68697+(-0.190128--0.490518))+0-132.6--0.135252000000021</f>
        <v>246.14867200000003</v>
      </c>
      <c r="V53" s="3">
        <f>671.4+(122.9-396.2)+(0.342414+(0.062679-0.202062))+0-110.1-0.0561509999999888</f>
        <v>288.14688000000001</v>
      </c>
      <c r="W53" s="3">
        <f>680.2+(79.9-317.8)+(-0.346902+(-0.040749--0.162078))+0-108.3--0.055232999999989</f>
        <v>333.82966000000005</v>
      </c>
      <c r="X53" s="3">
        <f>675.8+(227.8-378.9)+(-1.72329+(-0.58089--0.966195))+0-122.9--0.313394999999982</f>
        <v>400.77541000000002</v>
      </c>
      <c r="Y53" s="3">
        <f>682.7+(179.6-265)+(-1.044531+(-0.274788--0.40545))+0-134.4--0.205632000000008</f>
        <v>462.19176300000009</v>
      </c>
      <c r="Z53" s="3">
        <f>707+(123.3-286.4)+(-1.08171+(-0.188649--0.438192))+0-142.3--0.217719000000008</f>
        <v>400.98555200000004</v>
      </c>
      <c r="AA53" s="3">
        <f>789+(79.4-371.9)+(-1.20717+(-0.121482--0.569007))+0-132.7--0.203031000000008</f>
        <v>363.24338600000004</v>
      </c>
      <c r="AB53" s="3">
        <f>795.3+(76-436.3)+(0.811206+(0.07752-0.445026))+0-135.3-0.138006000000022</f>
        <v>300.00569399999989</v>
      </c>
      <c r="AC53" s="3">
        <f>798.6+(74-446.2)+(-0.814572+(-0.07548--0.455124))+0-138.8--0.141576000000022</f>
        <v>287.30664800000005</v>
      </c>
      <c r="AD53" s="2">
        <v>592.70000000000005</v>
      </c>
      <c r="AE53" s="3">
        <f>788+(94.5-380.4)+(0+(0-0))+0-134.4-0</f>
        <v>367.70000000000005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775.7+(71-464.7)+(-0.395607+(-0.03621--0.236997))+0-128.4--0.065483999999987</f>
        <v>253.47066400000006</v>
      </c>
      <c r="G54" s="3">
        <f>769.4+(71-414.8)+(-1.96197+(-0.18105--1.05774))+0-136.9--0.34909499999998</f>
        <v>287.9638149999999</v>
      </c>
      <c r="H54" s="3">
        <f>787.9+(72.1-374.9)+(0+(0-0))+0-147.5-0</f>
        <v>337.6</v>
      </c>
      <c r="I54" s="3">
        <f>771.9+(84.6-385)+(-1.181007+(-0.129438--0.58905))+0-138.9--0.212517000000008</f>
        <v>332.09112199999998</v>
      </c>
      <c r="J54" s="3">
        <f>715.3+(92.8-351.6)+(1.094409+(0.141984-0.537948))+0-145.3-0.222309000000008</f>
        <v>311.67613599999993</v>
      </c>
      <c r="K54" s="3">
        <f>708.6+(144.2-365.3)+(-0.722772+(-0.147084--0.372606))+0-141.2--0.144024000000022</f>
        <v>345.946774</v>
      </c>
      <c r="L54" s="3">
        <f>704.8+(231.7-377.1)+(-1.078344+(-0.354501--0.576963))+0-136.1--0.208233000000008</f>
        <v>422.6523509999999</v>
      </c>
      <c r="M54" s="3">
        <f>711.7+(239.1-359.7)+(0.362967+(0.121941-0.183447))+0-128-0.065279999999987</f>
        <v>463.33618100000007</v>
      </c>
      <c r="N54" s="3">
        <f>712.9+(202.2-323)+(1.454316+(0.412488-0.65892))+0-130.7-0.266627999999994</f>
        <v>462.34125599999999</v>
      </c>
      <c r="O54" s="3">
        <f>700.9+(174.3-259.4)+(-0.357459+(-0.088893--0.132294))+0-137.7--0.070226999999986</f>
        <v>477.85616899999991</v>
      </c>
      <c r="P54" s="3">
        <f>744.3+(206.2-284.2)+(0+(0-0))+0-136.5-0</f>
        <v>529.79999999999995</v>
      </c>
      <c r="Q54" s="3">
        <f>768+(142.1-245.8)+(-0.78336+(-0.144942--0.250716))+0-129.5--0.132090000000021</f>
        <v>534.254504</v>
      </c>
      <c r="R54" s="3">
        <f>766.8+(93.5-224.7)+(-0.391068+(-0.047685--0.114597))+0-134.4--0.0685439999999864</f>
        <v>500.94438799999989</v>
      </c>
      <c r="S54" s="3">
        <f>756.7+(154.9-321.9)+(-0.771834+(-0.157998--0.328338))+0-146.5--0.149430000000023</f>
        <v>442.74793600000004</v>
      </c>
      <c r="T54" s="3">
        <f>758.6+(151.7-387.6)+(-0.386886+(-0.077367--0.197676))+0-140.4--0.0716039999999858</f>
        <v>382.10502700000006</v>
      </c>
      <c r="U54" s="3">
        <f>766.7+(144.1-407)+(-1.173051+(-0.220473--0.62271))+0-133.1--0.203643000000008</f>
        <v>370.13282900000007</v>
      </c>
      <c r="V54" s="3">
        <f>763.1+(95.3-357)+(0+(0-0))+0-141.9-0</f>
        <v>359.5</v>
      </c>
      <c r="W54" s="3">
        <f>745+(89-282.7)+(-1.13985+(-0.13617--0.432531))+0-135.5--0.207315000000008</f>
        <v>415.16382599999997</v>
      </c>
      <c r="X54" s="3">
        <f>740.8+(241.1-390.6)+(-1.88904+(-0.614805--0.99603))+0-129.9--0.331244999999981</f>
        <v>460.22342999999989</v>
      </c>
      <c r="Y54" s="3">
        <f>744.9+(258.6-316.8)+(-1.139697+(-0.395658--0.484704))+0-129.1--0.197523000000007</f>
        <v>556.74687200000005</v>
      </c>
      <c r="Z54" s="3">
        <f>761.9+(150.8-235.8)+(-0.388569+(-0.076908--0.120258))+0-110.5--0.0563549999999888</f>
        <v>566.11113599999987</v>
      </c>
      <c r="AA54" s="3">
        <f>766.4+(112.9-214.8)+(-1.563456+(-0.230316--0.438192))+0-141.9--0.289475999999994</f>
        <v>521.53389600000003</v>
      </c>
      <c r="AB54" s="3">
        <f>774+(74-317.2)+(-0.39474+(-0.03774--0.161772))+0-152.8--0.0779279999999845</f>
        <v>377.80721999999992</v>
      </c>
      <c r="AC54" s="3">
        <f>779.5+(76.5-435.8)+(0.397545+(0.039015-0.222258))+0-148.1-0.075530999999985</f>
        <v>272.23877099999999</v>
      </c>
      <c r="AD54" s="2">
        <v>655.80000000000007</v>
      </c>
      <c r="AE54" s="3">
        <f>769+(117.2-194.4)+(0+(0-0))+0-154.5-0</f>
        <v>537.29999999999995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778.1+(108.3-469.3)+(-0.793662+(-0.110466--0.478686))+0-141.2--0.144024000000022</f>
        <v>275.61858200000006</v>
      </c>
      <c r="G55" s="3">
        <f>769.9+(106.2-407.1)+(-1.963245+(-0.27081--1.038105))+0-150.4--0.383519999999978</f>
        <v>317.78756999999996</v>
      </c>
      <c r="H55" s="3">
        <f>778.3+(94.2-350.6)+(-1.190799+(-0.144126--0.536418))+0-140.8--0.215424000000008</f>
        <v>380.51691699999986</v>
      </c>
      <c r="I55" s="3">
        <f>783.5+(88-338.5)+(-0.79917+(-0.08976--0.34527))+0-141.7--0.144534000000023</f>
        <v>390.90087399999999</v>
      </c>
      <c r="J55" s="3">
        <f>788.3+(92.8-374.9)+(-0.804066+(-0.094656--0.382398))+0-113.8--0.116076000000018</f>
        <v>391.999752</v>
      </c>
      <c r="K55" s="3">
        <f>783.1+(144.1-377.1)+(-1.996905+(-0.367455--0.961605))+0-136.8--0.34883999999998</f>
        <v>412.24608500000005</v>
      </c>
      <c r="L55" s="3">
        <f>791.5+(206.8-381.5)+(-1.61466+(-0.421872--0.77826))+0-142.5--0.290699999999994</f>
        <v>473.33242799999994</v>
      </c>
      <c r="M55" s="3">
        <f>799.2+(246.1-427.7)+(1.222776+(0.376533-0.654381))+0-133.9-0.204867000000008</f>
        <v>484.44006100000001</v>
      </c>
      <c r="N55" s="3">
        <f>793.9+(234.4-444.6)+(0.809778+(0.239088-0.453492))+0-108.7-0.110874000000017</f>
        <v>475.48449999999991</v>
      </c>
      <c r="O55" s="3">
        <f>787.3+(183.7-368.9)+(0+(0-0))+0-136.4-0</f>
        <v>465.69999999999993</v>
      </c>
      <c r="P55" s="3">
        <f>780.9+(136.8-294.7)+(0+(0-0))+0-128.6-0</f>
        <v>494.4</v>
      </c>
      <c r="Q55" s="3">
        <f>774.2+(118.7-214.6)+(0+(0-0))+0-125.8-0</f>
        <v>552.50000000000011</v>
      </c>
      <c r="R55" s="3">
        <f>757.2+(260.3-291.7)+(-0.386172+(-0.132753--0.148767))+0-129.7--0.0661469999999868</f>
        <v>595.79598900000019</v>
      </c>
      <c r="S55" s="3">
        <f>750.1+(332.8-481.4)+(-0.765102+(-0.339456--0.491028))+0-132.7--0.135354000000021</f>
        <v>468.32182400000005</v>
      </c>
      <c r="T55" s="3">
        <f>746.6+(303.7-500.4)+(0+(0-0))+0-125.3-0</f>
        <v>424.60000000000008</v>
      </c>
      <c r="U55" s="3">
        <f>742.7+(212.9-409.3)+(-1.515108+(-0.434316--0.834972))+0-118.9--0.242555999999995</f>
        <v>426.52810400000004</v>
      </c>
      <c r="V55" s="3">
        <f>741.8+(134.6-333)+(-1.89159+(-0.34323--0.84915))+0-121.9--0.310844999999982</f>
        <v>420.42517499999997</v>
      </c>
      <c r="W55" s="3">
        <f>738.3+(180.1-321.9)+(-2.635731+(-0.642957--1.149183))+0-129.9--0.463743000000002</f>
        <v>464.93423800000005</v>
      </c>
      <c r="X55" s="3">
        <f>738+(405.2-444.3)+(-2.63466+(-1.446564--1.586151))+0-122.9--0.438753000000002</f>
        <v>573.94367999999997</v>
      </c>
      <c r="Y55" s="3">
        <f>748.1+(338-342.2)+(-0.381531+(-0.17238--0.174522))+0-152.1--0.0775709999999846</f>
        <v>591.49818200000016</v>
      </c>
      <c r="Z55" s="3">
        <f>757.6+(224.1-229.8)+(0.386376+(0.114291-0.117198))+0-132.8-0.0677279999999865</f>
        <v>619.41574100000003</v>
      </c>
      <c r="AA55" s="3">
        <f>743.6+(198.5-189.6)+(-2.275416+(-0.60741--0.580176))+0-130--0.397800000000015</f>
        <v>620.59514999999999</v>
      </c>
      <c r="AB55" s="3">
        <f>743.2+(166.8-230.6)+(-1.89516+(-0.42534--0.58803))+0-157.1--0.400604999999977</f>
        <v>520.96813499999996</v>
      </c>
      <c r="AC55" s="3">
        <f>745.3+(138.6-269.9)+(-1.900515+(-0.35343--0.688245))+0-151.1--0.385304999999978</f>
        <v>461.71960499999994</v>
      </c>
      <c r="AD55" s="2">
        <v>655.6</v>
      </c>
      <c r="AE55" s="3">
        <f>755+(174.6-230.9)+(0+(0-0))+0-126.8-0</f>
        <v>571.90000000000009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740.3+(139.3-271.1)+(-0.755106+(-0.142086--0.276522))+0-128.8--0.131376000000021</f>
        <v>479.21070600000002</v>
      </c>
      <c r="G56" s="3">
        <f>740.8+(146.4-272.5)+(-0.377808+(-0.074664--0.138975))+0-146.4--0.0746639999999851</f>
        <v>468.06116699999995</v>
      </c>
      <c r="H56" s="3">
        <f>683+(175.7-248.6)+(-1.39332+(-0.358428--0.507144))+0-144.8--0.295391999999994</f>
        <v>464.35078800000002</v>
      </c>
      <c r="I56" s="3">
        <f>688.5+(191.1-265)+(-1.053405+(-0.292383--0.40545))+0-146.2--0.223686000000008</f>
        <v>467.68334800000002</v>
      </c>
      <c r="J56" s="3">
        <f>689.7+(204.1-311.9)+(0+(0-0))+0-145.3-0</f>
        <v>436.60000000000008</v>
      </c>
      <c r="K56" s="3">
        <f>686.2+(299.1-385.8)+(-1.399848+(-0.610164--0.787032))+0-141.5--0.288659999999994</f>
        <v>457.06567999999999</v>
      </c>
      <c r="L56" s="3">
        <f>674.7+(391.4-473)+(-0.344097+(-0.199614--0.24123))+0-120.6--0.0615059999999878</f>
        <v>472.25902500000007</v>
      </c>
      <c r="M56" s="3">
        <f>681.3+(457.6-499.3)+(-0.347463+(-0.233376--0.254643))+0-126.8--0.0646679999999871</f>
        <v>512.53847199999996</v>
      </c>
      <c r="N56" s="3">
        <f>689.3+(548.2-540.2)+(0.351543+(0.279582-0.275502))+0-125.3-0.0639029999999873</f>
        <v>572.29172000000005</v>
      </c>
      <c r="O56" s="3">
        <f>700.4+(559.1-562.1)+(0.357204+(0.285141-0.286671))+0-130.1-0.0663509999999868</f>
        <v>567.58932300000004</v>
      </c>
      <c r="P56" s="3">
        <f>693.5+(481.8-481)+(-0.70737+(-0.491436--0.49062))+0-141.6--0.144432000000023</f>
        <v>552.13624600000003</v>
      </c>
      <c r="Q56" s="3">
        <f>668.5+(352.6-326.6)+(0+(0-0))+0-145.1-0</f>
        <v>549.4</v>
      </c>
      <c r="R56" s="3">
        <f>695.5+(115.9-182.8)+(0+(0-0))+0-128.3-0</f>
        <v>500.3</v>
      </c>
      <c r="S56" s="3">
        <f>734.9+(122.9-275.9)+(-1.124397+(-0.188037--0.422127))+0-129.4--0.197982000000007</f>
        <v>451.80767500000002</v>
      </c>
      <c r="T56" s="3">
        <f>733+(128.8-325.9)+(-1.86915+(-0.32844--0.831045))+0-136--0.34679999999998</f>
        <v>398.88025500000009</v>
      </c>
      <c r="U56" s="3">
        <f>737.3+(87.6-302.6)+(-1.880115+(-0.22338--0.77163))+0-113.7--0.289934999999984</f>
        <v>407.55806999999993</v>
      </c>
      <c r="V56" s="3">
        <f>737.4+(86.6-264.2)+(-1.504296+(-0.176664--0.538968))+0-121.3--0.247451999999995</f>
        <v>437.60545999999999</v>
      </c>
      <c r="W56" s="3">
        <f>714.7+(176.8-257.6)+(-0.728994+(-0.180336--0.262752))+0-132.7--0.135354000000021</f>
        <v>500.68877600000013</v>
      </c>
      <c r="X56" s="3">
        <f>687.9+(303.5-361.6)+(-1.754145+(-0.773925--0.92208))+0-141.9--0.361844999999979</f>
        <v>486.65585499999992</v>
      </c>
      <c r="Y56" s="3">
        <f>707.9+(284.9-332.9)+(0.361029+(0.145299-0.169779))+0-140.4-0.0716039999999858</f>
        <v>519.76494500000001</v>
      </c>
      <c r="Z56" s="3">
        <f>729.5+(126.2-218.9)+(0+(0-0))+0-147.8-0</f>
        <v>488.99999999999994</v>
      </c>
      <c r="AA56" s="3">
        <f>738.7+(84.3-238.2)+(-2.260422+(-0.257958--0.728892))+0-143--0.437580000000017</f>
        <v>440.44809200000009</v>
      </c>
      <c r="AB56" s="3">
        <f>745.2+(90.7-361.1)+(-1.140156+(-0.138771--0.552483))+0-136.8--0.209304000000008</f>
        <v>337.48286000000002</v>
      </c>
      <c r="AC56" s="3">
        <f>745.3+(104.7-368.7)+(-1.140309+(-0.160191--0.564111))+0-132.8--0.203184000000008</f>
        <v>347.96679499999999</v>
      </c>
      <c r="AD56" s="2">
        <v>640.5</v>
      </c>
      <c r="AE56" s="3">
        <f>740+(82.6-241.4)+(0+(0-0))+0-130.7-0</f>
        <v>450.50000000000006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754.5+(103.9-419.6)+(-0.76959+(-0.105978--0.427992))+0-138.5--0.141270000000022</f>
        <v>299.99369399999995</v>
      </c>
      <c r="G57" s="3">
        <f>755.8+(103.2-352)+(-1.156374+(-0.157896--0.53856))+0-136.4--0.208692000000008</f>
        <v>370.03298199999989</v>
      </c>
      <c r="H57" s="3">
        <f>716+(108.4-290.5)+(-0.36516+(-0.055284--0.148155))+0-141.7--0.0722669999999856</f>
        <v>391.999978</v>
      </c>
      <c r="I57" s="3">
        <f>641.3+(112.5-269.3)+(0.327063+(0.057375-0.137343))+0-139.5-0.0711449999999858</f>
        <v>345.17594999999994</v>
      </c>
      <c r="J57" s="3">
        <f>648+(97.4-267.7)+(0+(0-0))+0-115.3-0</f>
        <v>362.40000000000003</v>
      </c>
      <c r="K57" s="3">
        <f>649.8+(106.7-275.2)+(-0.994194+(-0.163251--0.421056))+0-126.2--0.193086000000007</f>
        <v>354.55669699999999</v>
      </c>
      <c r="L57" s="3">
        <f>646.9+(211.5-308.2)+(0+(0-0))+0-132.8-0</f>
        <v>417.40000000000003</v>
      </c>
      <c r="M57" s="3">
        <f>650.1+(310.5-328.7)+(0+(0-0))+0-127.6-0</f>
        <v>504.30000000000007</v>
      </c>
      <c r="N57" s="3">
        <f>722.9+(245.8-349.4)+(-0.737358+(-0.250716--0.356388))+0-115.2--0.117504000000018</f>
        <v>503.58581800000002</v>
      </c>
      <c r="O57" s="3">
        <f>732.4+(176.3-358.2)+(-0.373524+(-0.089913--0.182682))+0-68.8--0.035087999999993</f>
        <v>481.45433299999996</v>
      </c>
      <c r="P57" s="3">
        <f>736.7+(142.5-306.2)+(1.878585+(0.363375-0.78081))+0-69.6-0.17747999999999</f>
        <v>504.68366999999995</v>
      </c>
      <c r="Q57" s="3">
        <f>730.5+(145.5-252.1)+(0.372555+(0.074205-0.128571))+0-82.7-0.0421769999999916</f>
        <v>541.47601199999986</v>
      </c>
      <c r="R57" s="3">
        <f>724.1+(112.4-235.5)+(0.738582+(0.114648-0.24021))+0-96.5-0.0984300000000154</f>
        <v>505.01459</v>
      </c>
      <c r="S57" s="3">
        <f>721.3+(199.9-395.1)+(0+(0-0))+0-98.4-0</f>
        <v>427.69999999999993</v>
      </c>
      <c r="T57" s="3">
        <f>725.3+(194.2-442.5)+(0.739806+(0.198084-0.45135))+0-107.9-0.110058000000017</f>
        <v>369.47648199999986</v>
      </c>
      <c r="U57" s="3">
        <f>720+(144.2-377)+(0+(0-0))+0-131.8-0</f>
        <v>355.4</v>
      </c>
      <c r="V57" s="3">
        <f>707.8+(111.9-254.4)+(-1.80489+(-0.285345--0.64872))+0-123.9--0.315944999999982</f>
        <v>440.27443</v>
      </c>
      <c r="W57" s="3">
        <f>719.2+(175.1-275.7)+(-1.100376+(-0.267903--0.421821))+0-119.2--0.182376000000007</f>
        <v>498.63591800000006</v>
      </c>
      <c r="X57" s="3">
        <f>693.5+(384.6-352.5)+(-2.475795+(-1.373022--1.258425))+0-129.5--0.462315000000002</f>
        <v>593.97192300000006</v>
      </c>
      <c r="Y57" s="3">
        <f>717+(244.6-231.8)+(-0.36567+(-0.124746--0.118218))+0-132.8--0.0677279999999865</f>
        <v>596.69552999999996</v>
      </c>
      <c r="Z57" s="3">
        <f>740.1+(129.5-199.6)+(-0.754902+(-0.13209--0.203592))+0-138.4--0.141168000000022</f>
        <v>531.05776800000001</v>
      </c>
      <c r="AA57" s="3">
        <f>744.5+(130.1-198.3)+(-1.51878+(-0.265404--0.404532))+0-144--0.293759999999994</f>
        <v>531.21410800000001</v>
      </c>
      <c r="AB57" s="3">
        <f>731.8+(120.2-311.1)+(-2.239308+(-0.367812--0.951966))+0-127--0.388620000000015</f>
        <v>412.63346599999983</v>
      </c>
      <c r="AC57" s="3">
        <f>735.2+(103.8-378)+(-1.499808+(-0.211752--0.77112))+0-120.7--0.246227999999995</f>
        <v>339.60578800000002</v>
      </c>
      <c r="AD57" s="2">
        <v>635.20000000000005</v>
      </c>
      <c r="AE57" s="3">
        <f>742+(118.5-209.1)+(0+(0-0))+0-129.2-0</f>
        <v>522.20000000000005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747.8+(79.4-362.6)+(-0.381378+(-0.040494--0.184926))+0-136.7--0.0697169999999861</f>
        <v>327.7327709999999</v>
      </c>
      <c r="G58" s="3">
        <f>737.6+(89.8-322.3)+(-1.88088+(-0.22899--0.821865))+0-135.4--0.34526999999998</f>
        <v>368.75726500000002</v>
      </c>
      <c r="H58" s="3">
        <f>722.8+(68.6-311.6)+(-1.474512+(-0.139944--0.635664))+0-133.9--0.273155999999994</f>
        <v>345.19436399999995</v>
      </c>
      <c r="I58" s="3">
        <f>723.5+(70.2-328.2)+(-1.106955+(-0.107406--0.502146))+0-136--0.208080000000008</f>
        <v>328.99586499999998</v>
      </c>
      <c r="J58" s="3">
        <f>721.5+(58.5-320.9)+(-1.839825+(-0.149175--0.818295))+0-121.7--0.310334999999982</f>
        <v>336.53963000000005</v>
      </c>
      <c r="K58" s="3">
        <f>716.8+(113.1-326.7)+(-1.82784+(-0.288405--0.833085))+0-134.9--0.34399499999998</f>
        <v>367.36083499999989</v>
      </c>
      <c r="L58" s="3">
        <f>679.4+(245.4-317.2)+(0.346494+(0.125154-0.161772))+0-135.6-0.0691559999999862</f>
        <v>472.24072000000007</v>
      </c>
      <c r="M58" s="3">
        <f>688.3+(264-310.4)+(1.053099+(0.40392-0.474912))+0-136.6-0.208998000000008</f>
        <v>506.07310899999999</v>
      </c>
      <c r="N58" s="3">
        <f>708.7+(191.3-295.8)+(0.722874+(0.195126-0.301716))+0-112.4-0.114648000000018</f>
        <v>492.30163599999997</v>
      </c>
      <c r="O58" s="3">
        <f>712.7+(201.7-304)+(-1.090431+(-0.308601--0.46512))+0-132.8--0.203184000000008</f>
        <v>476.86927200000014</v>
      </c>
      <c r="P58" s="3">
        <f>739.7+(137.9-251.1)+(-1.131741+(-0.210987--0.384183))+0-115.8--0.177174000000007</f>
        <v>509.91862900000001</v>
      </c>
      <c r="Q58" s="3">
        <f>743.2+(122.7-203.2)+(-1.137096+(-0.187731--0.310896))+0-131.1--0.200583000000008</f>
        <v>530.78665200000012</v>
      </c>
      <c r="R58" s="3">
        <f>742.4+(143.6-256.7)+(0+(0-0))+0-108.5-0</f>
        <v>520.79999999999995</v>
      </c>
      <c r="S58" s="3">
        <f>743.2+(222-395.4)+(0.758064+(0.22644-0.403308))+0-127.3-0.12984600000002</f>
        <v>442.95134999999999</v>
      </c>
      <c r="T58" s="3">
        <f>728.8+(225.9-397.9)+(-1.115064+(-0.345627--0.608787))+0-130.9--0.200277000000008</f>
        <v>425.24837300000002</v>
      </c>
      <c r="U58" s="3">
        <f>711.5+(218-391.8)+(0.72573+(0.22236-0.399636))+0-124.1-0.12658200000002</f>
        <v>414.02187199999997</v>
      </c>
      <c r="V58" s="3">
        <f>721.5+(181.6-404)+(-0.367965+(-0.092616--0.20604))+0-124.1--0.0632909999999874</f>
        <v>374.80874999999997</v>
      </c>
      <c r="W58" s="3">
        <f>712.5+(119.5-239.1)+(-1.816875+(-0.304725--0.609705))+0-144.2--0.367709999999979</f>
        <v>447.555815</v>
      </c>
      <c r="X58" s="3">
        <f>713.2+(131.6-223.7)+(-1.81866+(-0.33558--0.570435))+0-120.2--0.306509999999983</f>
        <v>499.62270500000005</v>
      </c>
      <c r="Y58" s="3">
        <f>722.1+(157.8-199)+(-0.736542+(-0.160956--0.20298))+0-140.3--0.143106000000022</f>
        <v>540.04858800000011</v>
      </c>
      <c r="Z58" s="3">
        <f>741.6+(119.7-213.9)+(0+(0-0))+0-139.8-0</f>
        <v>507.59999999999997</v>
      </c>
      <c r="AA58" s="3">
        <f>737.1+(113.5-255.7)+(-1.879605+(-0.289425--0.652035))+0-124.7--0.317984999999982</f>
        <v>469.00099000000012</v>
      </c>
      <c r="AB58" s="3">
        <f>730.4+(142.9-291.5)+(-1.86252+(-0.364395--0.743325))+0-144.7--0.368984999999979</f>
        <v>435.98539499999987</v>
      </c>
      <c r="AC58" s="3">
        <f>740.1+(132.6-344.1)+(-0.377451+(-0.067626--0.175491))+0-129.4--0.0659939999999869</f>
        <v>398.99640800000003</v>
      </c>
      <c r="AD58" s="2">
        <v>662.10000000000014</v>
      </c>
      <c r="AE58" s="3">
        <f>750+(116.2-242.3)+(0+(0-0))+0-161.8-0</f>
        <v>462.09999999999997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742.8+(122.3-393.4)+(-2.651796+(-0.436611--1.404438))+0-104.5--0.373065000000001</f>
        <v>365.889096</v>
      </c>
      <c r="G59" s="3">
        <f>750+(117.4-297.2)+(-0.3825+(-0.059874--0.151572))+0-123.8--0.0631379999999874</f>
        <v>446.17233600000003</v>
      </c>
      <c r="H59" s="3">
        <f>739.8+(112.9-241.3)+(0+(0-0))+0-140-0</f>
        <v>471.4</v>
      </c>
      <c r="I59" s="3">
        <f>736.6+(106-249.7)+(-1.126998+(-0.16218--0.382041))+0-138.4--0.211752000000008</f>
        <v>453.80461500000007</v>
      </c>
      <c r="J59" s="3">
        <f>734.7+(104.8-252.5)+(-1.873485+(-0.26724--0.643875))+0-132.6--0.338129999999981</f>
        <v>453.24127999999996</v>
      </c>
      <c r="K59" s="3">
        <f>736.1+(121.6-291.4)+(-1.501644+(-0.248064--0.594456))+0-135.7--0.276827999999994</f>
        <v>429.72157600000003</v>
      </c>
      <c r="L59" s="3">
        <f>708.9+(189.6-322.5)+(-1.084617+(-0.290088--0.493425))+0-130.5--0.199665000000008</f>
        <v>444.81838500000003</v>
      </c>
      <c r="M59" s="3">
        <f>663+(304.4-365.9)+(0+(0-0))+0-129.2-0</f>
        <v>472.3</v>
      </c>
      <c r="N59" s="3">
        <f>660.7+(273.5-337)+(0.336957+(0.139485-0.17187))+0-104.5-0.0532949999999894</f>
        <v>492.95127700000006</v>
      </c>
      <c r="O59" s="3">
        <f>636.5+(243.7-260.3)+(-0.324615+(-0.124287--0.132753))+0-119.3--0.0608429999999879</f>
        <v>500.34469399999995</v>
      </c>
      <c r="P59" s="3">
        <f>673+(156.6-241.2)+(0+(0-0))+0-120.3-0</f>
        <v>468.09999999999997</v>
      </c>
      <c r="Q59" s="3">
        <f>673.3+(73-150.8)+(-0.343383+(-0.03723--0.076908))+0-123--0.0627299999999875</f>
        <v>472.25902499999995</v>
      </c>
      <c r="R59" s="3">
        <f>676+(96.7-201.1)+(0.68952+(0.098634-0.205122))+0-124.2-0.12668400000002</f>
        <v>447.85634800000003</v>
      </c>
      <c r="S59" s="3">
        <f>668.9+(180.7-347.3)+(-1.023417+(-0.276471--0.531369))+0-119.2--0.182376000000007</f>
        <v>382.51385699999997</v>
      </c>
      <c r="T59" s="3">
        <f>672.7+(150.6-395.8)+(0.343077+(0.076806-0.201858))+0-114.5-0.0583949999999884</f>
        <v>313.15963000000005</v>
      </c>
      <c r="U59" s="3">
        <f>659.7+(138-358.6)+(-2.018682+(-0.42228--1.097316))+0-131.7--0.403002000000015</f>
        <v>306.45935600000007</v>
      </c>
      <c r="V59" s="3">
        <f>662.8+(114.5-347.4)+(-1.352112+(-0.23358--0.708696))+0-131.6--0.268463999999994</f>
        <v>297.69146799999999</v>
      </c>
      <c r="W59" s="3">
        <f>662.2+(86.1-250.6)+(-1.68861+(-0.219555--0.63903))+0-127.6--0.325379999999981</f>
        <v>369.15624500000001</v>
      </c>
      <c r="X59" s="3">
        <f>659.3+(278.1-333.3)+(-2.017458+(-0.850986--1.019898))+0-105--0.321300000000012</f>
        <v>497.57275399999986</v>
      </c>
      <c r="Y59" s="3">
        <f>692.3+(244.8-321.6)+(0.706146+(0.249696-0.328032))+0-115.7-0.118014000000018</f>
        <v>500.30979599999995</v>
      </c>
      <c r="Z59" s="3">
        <f>752.9+(119.1-251.7)+(-0.383979+(-0.060741--0.128367))+0-135.2--0.0689519999999863</f>
        <v>484.85259899999988</v>
      </c>
      <c r="AA59" s="3">
        <f>756.4+(104.6-262)+(-1.92882+(-0.26673--0.6681))+0-132.7--0.338384999999981</f>
        <v>465.11093499999993</v>
      </c>
      <c r="AB59" s="3">
        <f>756.6+(112.7-277.3)+(-1.157598+(-0.172431--0.424269))+0-121.9--0.186507000000007</f>
        <v>469.38074700000004</v>
      </c>
      <c r="AC59" s="3">
        <f>763.4+(85.2-273.4)+(-0.778668+(-0.086904--0.278868))+0-119--0.121380000000019</f>
        <v>455.73467600000004</v>
      </c>
      <c r="AD59" s="2">
        <v>635.79999999999995</v>
      </c>
      <c r="AE59" s="3">
        <f>748+(117.9-245.3)+(0+(0-0))+0-124.8-0</f>
        <v>495.8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769.5+(98.8-330)+(-0.78489+(-0.100776--0.3366))+0-108.7--0.110874000000017</f>
        <v>429.16180799999995</v>
      </c>
      <c r="G60" s="3">
        <f>718.2+(103.6-260.8)+(0.732564+(0.105672-0.266016))+0-119-0.121380000000019</f>
        <v>442.45083999999997</v>
      </c>
      <c r="H60" s="3">
        <f>664.8+(118.1-237.3)+(-0.339048+(-0.060231--0.121023))+0-136.6--0.0696659999999861</f>
        <v>408.79140999999981</v>
      </c>
      <c r="I60" s="3">
        <f>665.9+(98.3-259.7)+(0+(0-0))+0-131.4-0</f>
        <v>373.1</v>
      </c>
      <c r="J60" s="3">
        <f>667.8+(111.3-297.2)+(0+(0-0))+0-122.9-0</f>
        <v>359</v>
      </c>
      <c r="K60" s="3">
        <f>663.9+(197.9-329.5)+(-1.015767+(-0.302787--0.504135))+0-139.3--0.213129000000008</f>
        <v>392.39870999999988</v>
      </c>
      <c r="L60" s="3">
        <f>659.8+(247.5-402.1)+(-1.009494+(-0.378675--0.615213))+0-107.9--0.165087000000006</f>
        <v>396.69213099999996</v>
      </c>
      <c r="M60" s="3">
        <f>659.5+(264.8-361.5)+(-1.009035+(-0.405144--0.553095))+0-124.7--0.190791000000007</f>
        <v>437.42970699999995</v>
      </c>
      <c r="N60" s="3">
        <f>662.6+(250.2-366.5)+(0+(0-0))+0-109.4-0</f>
        <v>436.9</v>
      </c>
      <c r="O60" s="3">
        <f>660.7+(222.7-361.1)+(-0.336957+(-0.113577--0.184161))+0-112.5--0.0573749999999886</f>
        <v>409.59100199999989</v>
      </c>
      <c r="P60" s="3">
        <f>679.4+(162.7-317.6)+(0.692988+(0.165954-0.323952))+0-119.8-0.122196000000019</f>
        <v>405.11279399999995</v>
      </c>
      <c r="Q60" s="3">
        <f>752.1+(105.5-321.5)+(1.150713+(0.161415-0.491895))+0-129.5-0.198135000000007</f>
        <v>407.22209800000007</v>
      </c>
      <c r="R60" s="3">
        <f>746.5+(93.6-348.7)+(0+(0-0))+0-142.8-0</f>
        <v>348.59999999999997</v>
      </c>
      <c r="S60" s="3">
        <f>741.1+(127.7-443)+(-0.377961+(-0.065127--0.22593))+0-132.8--0.0677279999999865</f>
        <v>292.85057</v>
      </c>
      <c r="T60" s="3">
        <f>733.5+(150.1-467.6)+(-0.74817+(-0.153102--0.476952))+0-144.8--0.147696000000023</f>
        <v>270.92337599999996</v>
      </c>
      <c r="U60" s="3">
        <f>731.5+(125.6-459.6)+(-0.74613+(-0.128112--0.468792))+0-135.3--0.138006000000022</f>
        <v>261.93255600000003</v>
      </c>
      <c r="V60" s="3">
        <f>723.8+(92-403.8)+(-1.476552+(-0.18768--0.823752))+0-138.7--0.282947999999994</f>
        <v>272.74246799999992</v>
      </c>
      <c r="W60" s="3">
        <f>724.6+(80.2-317.3)+(-1.478184+(-0.163608--0.647292))+0-141.5--0.288659999999994</f>
        <v>345.29415999999998</v>
      </c>
      <c r="X60" s="3">
        <f>731+(158.9-338.4)+(-1.11843+(-0.243117--0.517752))+0-127.3--0.194769000000007</f>
        <v>423.550974</v>
      </c>
      <c r="Y60" s="3">
        <f>740.4+(196.3-315.6)+(-0.377604+(-0.100113--0.160956))+0-116.7--0.0595169999999882</f>
        <v>504.14275599999985</v>
      </c>
      <c r="Z60" s="3">
        <f>744.7+(124.1-211.9)+(0+(0-0))+0-145.9-0</f>
        <v>511.00000000000011</v>
      </c>
      <c r="AA60" s="3">
        <f>745.4+(125.7-205)+(-1.140462+(-0.192321--0.31365))+0-140.4--0.214812000000008</f>
        <v>524.89567900000009</v>
      </c>
      <c r="AB60" s="3">
        <f>743.5+(108.6-264)+(-1.51674+(-0.221544--0.53856))+0-133--0.271319999999994</f>
        <v>454.17159600000008</v>
      </c>
      <c r="AC60" s="3">
        <f>738.9+(134.8-353.2)+(-1.507356+(-0.274992--0.720528))+0-140.7--0.287027999999994</f>
        <v>379.02520800000002</v>
      </c>
      <c r="AD60" s="2">
        <v>616.6</v>
      </c>
      <c r="AE60" s="3">
        <f>739+(159-166.3)+(0+(0-0))+0-175.1-0</f>
        <v>556.6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751+(113.2-448.2)+(-0.38301+(-0.057732--0.228582))+0-123.8--0.0631379999999874</f>
        <v>292.05097799999999</v>
      </c>
      <c r="G61" s="3">
        <f>741.5+(109.2-401)+(-1.890825+(-0.27846--1.02255))+0-143.3--0.365414999999979</f>
        <v>305.61867999999998</v>
      </c>
      <c r="H61" s="3">
        <f>747+(72.3-389.2)+(-1.52388+(-0.147492--0.793968))+0-125.8--0.256631999999994</f>
        <v>303.67922799999997</v>
      </c>
      <c r="I61" s="3">
        <f>755.9+(63-398.3)+(-1.542036+(-0.12852--0.812532))+0-131.2--0.267647999999994</f>
        <v>288.80962399999999</v>
      </c>
      <c r="J61" s="3">
        <f>764.6+(81.8-329.6)+(0.389946+(0.041718-0.168096))+0-143.3-0.0730829999999855</f>
        <v>373.69048499999991</v>
      </c>
      <c r="K61" s="3">
        <f>762.2+(109.2-359.7)+(-1.554888+(-0.222768--0.733788))+0-124.4--0.253775999999995</f>
        <v>386.50990800000011</v>
      </c>
      <c r="L61" s="3">
        <f>765.3+(154.3-383.9)+(-0.390303+(-0.078693--0.195789))+0-117--0.0596699999999881</f>
        <v>418.48646300000007</v>
      </c>
      <c r="M61" s="3">
        <f>769.7+(186.3-353.1)+(0.785094+(0.190026-0.360162))+0-114.6-0.116892000000018</f>
        <v>488.79806600000006</v>
      </c>
      <c r="N61" s="3">
        <f>764.7+(149.7-360.7)+(0+(0-0))+0-114.2-0</f>
        <v>439.50000000000006</v>
      </c>
      <c r="O61" s="3">
        <f>760.9+(129.7-345.7)+(0.776118+(0.132294-0.352614))+0-122.1-0.124542000000019</f>
        <v>423.23125599999992</v>
      </c>
      <c r="P61" s="3">
        <f>752.3+(112-270.6)+(0+(0-0))+0-136.1-0</f>
        <v>457.59999999999991</v>
      </c>
      <c r="Q61" s="3">
        <f>751.7+(81.1-231.4)+(0+(0-0))+0-125.7-0</f>
        <v>475.7000000000001</v>
      </c>
      <c r="R61" s="3">
        <f>749.6+(159.6-331.8)+(-0.382296+(-0.081396--0.169218))+0-124.8--0.0636479999999873</f>
        <v>452.36917399999993</v>
      </c>
      <c r="S61" s="3">
        <f>740.4+(221.4-444.3)+(-1.510416+(-0.451656--0.906372))+0-123.2--0.251327999999995</f>
        <v>393.49562800000001</v>
      </c>
      <c r="T61" s="3">
        <f>744.4+(228.3-516)+(0+(0-0))+0-108.1-0</f>
        <v>348.6</v>
      </c>
      <c r="U61" s="3">
        <f>737.5+(190-479.2)+(-1.5045+(-0.3876--0.977568))+0-125.7--0.256427999999994</f>
        <v>321.94189599999999</v>
      </c>
      <c r="V61" s="3">
        <f>735.8+(115-411.3)+(-1.87629+(-0.29325--1.048815))+0-122.1--0.311354999999982</f>
        <v>316.59062999999998</v>
      </c>
      <c r="W61" s="3">
        <f>737.7+(71.8-352.7)+(-1.128681+(-0.109854--0.539631))+0-113.1--0.173043000000007</f>
        <v>343.17413900000008</v>
      </c>
      <c r="X61" s="3">
        <f>731.9+(164.9-372.7)+(-2.612883+(-0.588693--1.330539))+0-134.7--0.480879000000002</f>
        <v>388.00984200000005</v>
      </c>
      <c r="Y61" s="3">
        <f>735.8+(159.9-305.8)+(-1.87629+(-0.407745--0.77979))+0-117.4--0.299369999999983</f>
        <v>471.29512500000004</v>
      </c>
      <c r="Z61" s="3">
        <f>743.2+(91.2-255.2)+(-0.379032+(-0.046512--0.130152))+0-145.1--0.0740009999999853</f>
        <v>433.87860900000004</v>
      </c>
      <c r="AA61" s="3">
        <f>746.4+(79.4-283.6)+(-1.90332+(-0.20247--0.72318))+0-115.1--0.293504999999983</f>
        <v>426.01089499999989</v>
      </c>
      <c r="AB61" s="3">
        <f>752.1+(84.1-363.7)+(-1.534284+(-0.171564--0.741948))+0-112.7--0.229907999999995</f>
        <v>359.06600800000001</v>
      </c>
      <c r="AC61" s="3">
        <f>752.5+(92.2-404.1)+(-1.5351+(-0.188088--0.824364))+0-120.2--0.245207999999995</f>
        <v>319.74638399999998</v>
      </c>
      <c r="AD61" s="2">
        <v>617.70000000000005</v>
      </c>
      <c r="AE61" s="3">
        <f>746+(79-287.5)+(0+(0-0))+0-127.8-0</f>
        <v>409.7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749.1+(87.2-411.8)+(-1.910205+(-0.22236--1.05009))+0-143.9--0.366944999999979</f>
        <v>279.88446999999996</v>
      </c>
      <c r="G62" s="3">
        <f>759.8+(97.7-407.5)+(-1.93749+(-0.249135--1.039125))+0-127.2--0.324359999999982</f>
        <v>321.97685999999993</v>
      </c>
      <c r="H62" s="3">
        <f>762.8+(72.9-405.7)+(-1.167084+(-0.111537--0.620721))+0-128.6--0.196758000000007</f>
        <v>300.93885800000004</v>
      </c>
      <c r="I62" s="3">
        <f>775.5+(64-382.1)+(-0.395505+(-0.03264--0.194871))+0-131--0.0668099999999867</f>
        <v>326.23353599999996</v>
      </c>
      <c r="J62" s="3">
        <f>778.7+(80.5-396.4)+(-1.191411+(-0.123165--0.606492))+0-142.3--0.217719000000008</f>
        <v>320.00963500000006</v>
      </c>
      <c r="K62" s="3">
        <f>772.8+(125.3-437.9)+(-1.97064+(-0.319515--1.116645))+0-139.3--0.35521499999998</f>
        <v>320.08170499999994</v>
      </c>
      <c r="L62" s="3">
        <f>738+(276.6-493.5)+(-0.37638+(-0.141066--0.251685))+0-124.7--0.0635969999999874</f>
        <v>396.19783600000005</v>
      </c>
      <c r="M62" s="3">
        <f>726.8+(285.4-457.6)+(-0.741336+(-0.291108--0.466752))+0-127.2--0.12974400000002</f>
        <v>426.96405199999992</v>
      </c>
      <c r="N62" s="3">
        <f>728.3+(280.3-421.1)+(0.371433+(0.142953-0.214761))+0-120.8-0.0616079999999877</f>
        <v>466.938017</v>
      </c>
      <c r="O62" s="3">
        <f>751.4+(188-378.6)+(-0.766428+(-0.19176--0.386172))+0-127.8--0.13035600000002</f>
        <v>432.55833999999999</v>
      </c>
      <c r="P62" s="3">
        <f>768.9+(105.8-305.2)+(1.176417+(0.161874-0.466956))+0-130.4-0.199512000000008</f>
        <v>439.77182300000004</v>
      </c>
      <c r="Q62" s="3">
        <f>762+(74-274.6)+(1.16586+(0.11322-0.420138))+0-128-0.195840000000007</f>
        <v>434.0631019999999</v>
      </c>
      <c r="R62" s="3">
        <f>759.2+(95.3-316.8)+(0+(0-0))+0-137.6-0</f>
        <v>400.1</v>
      </c>
      <c r="S62" s="3">
        <f>745.3+(124.9-365.3)+(0+(0-0))+0-135.2-0</f>
        <v>369.7</v>
      </c>
      <c r="T62" s="3">
        <f>736.6+(139.5-381.6)+(-1.126998+(-0.213435--0.583848))+0-142.9--0.218637000000008</f>
        <v>351.06205200000005</v>
      </c>
      <c r="U62" s="3">
        <f>732.8+(105.2-390)+(-1.494912+(-0.214608--0.7956))+0-121.9--0.248675999999995</f>
        <v>325.43475599999994</v>
      </c>
      <c r="V62" s="3">
        <f>728.7+(73.9-337)+(-1.858185+(-0.188445--0.85935))+0-137.5--0.35062499999998</f>
        <v>327.26334500000002</v>
      </c>
      <c r="W62" s="3">
        <f>732.2+(105.3-353.3)+(-0.373422+(-0.053703--0.180183))+0-139.5--0.0711449999999858</f>
        <v>344.52420300000006</v>
      </c>
      <c r="X62" s="3">
        <f>729.6+(331.6-452)+(-1.488384+(-0.676464--0.92208))+0-155--0.316199999999993</f>
        <v>453.27343200000007</v>
      </c>
      <c r="Y62" s="3">
        <f>736.7+(285.8-377.9)+(-0.375717+(-0.145758--0.192729))+0-117.8--0.0600779999999881</f>
        <v>526.53133200000013</v>
      </c>
      <c r="Z62" s="3">
        <f>742.8+(126.4-266.6)+(0.378828+(0.064464-0.135966))+0-141.3-0.0720629999999857</f>
        <v>461.53526299999993</v>
      </c>
      <c r="AA62" s="3">
        <f>741+(90.9-278.9)+(-1.51164+(-0.185436--0.568956))+0-130.9--0.267035999999994</f>
        <v>421.23891600000007</v>
      </c>
      <c r="AB62" s="3">
        <f>754.2+(77.4-361.7)+(-1.153926+(-0.118422--0.553401))+0-140.3--0.214659000000008</f>
        <v>329.09571200000005</v>
      </c>
      <c r="AC62" s="3">
        <f>756.1+(75.7-360.1)+(-1.542444+(-0.154428--0.734604))+0-148.5--0.302939999999993</f>
        <v>322.54067199999997</v>
      </c>
      <c r="AD62" s="2">
        <v>671.3</v>
      </c>
      <c r="AE62" s="3">
        <f>736+(91.6-265.6)+(0+(0-0))+0-135.7-0</f>
        <v>426.3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762.3+(83-382.2)+(-0.777546+(-0.08466--0.389844))+0-120.6--0.123012000000019</f>
        <v>342.15065000000004</v>
      </c>
      <c r="G63" s="3">
        <f>766.6+(68-360.7)+(-1.95483+(-0.1734--0.919785))+0-105.2--0.268259999999985</f>
        <v>367.75981500000006</v>
      </c>
      <c r="H63" s="3">
        <f>768.3+(77-382.6)+(-0.783666+(-0.07854--0.390252))+0-126.9--0.12943800000002</f>
        <v>335.45748399999997</v>
      </c>
      <c r="I63" s="3">
        <f>775.2+(100.2-345.1)+(-1.186056+(-0.153306--0.528003))+0-136.2--0.208386000000008</f>
        <v>393.49702699999995</v>
      </c>
      <c r="J63" s="3">
        <f>789.3+(134.7-343)+(0+(0-0))+0-128.8-0</f>
        <v>452.2</v>
      </c>
      <c r="K63" s="3">
        <f>786.2+(186.3-382.3)+(-1.202886+(-0.285039--0.584919))+0-133.5--0.204255000000008</f>
        <v>456.00124900000003</v>
      </c>
      <c r="L63" s="3">
        <f>792.7+(317-445.8)+(-0.808554+(-0.32334--0.454716))+0-129.6--0.132192000000021</f>
        <v>533.75501400000007</v>
      </c>
      <c r="M63" s="3">
        <f>788.8+(385.8-467.2)+(-1.206864+(-0.590274--0.714816))+0-139--0.212670000000008</f>
        <v>567.530348</v>
      </c>
      <c r="N63" s="3">
        <f>784.2+(282.4-438.9)+(-0.399942+(-0.144024--0.223839))+0-124.1--0.0632909999999874</f>
        <v>503.34316400000006</v>
      </c>
      <c r="O63" s="3">
        <f>781+(228.7-438)+(0+(0-0))+0-129-0</f>
        <v>442.70000000000005</v>
      </c>
      <c r="P63" s="3">
        <f>770.2+(188.3-369.2)+(0+(0-0))+0-129.7-0</f>
        <v>459.60000000000008</v>
      </c>
      <c r="Q63" s="3">
        <f>757.4+(121.6-239.9)+(0.386274+(0.062016-0.122349))+0-140-0.0713999999999858</f>
        <v>499.35454099999987</v>
      </c>
      <c r="R63" s="3">
        <f>748.6+(123.9-254.8)+(-0.381786+(-0.063189--0.129948))+0-140--0.0713999999999858</f>
        <v>477.45637300000004</v>
      </c>
      <c r="S63" s="3">
        <f>740.1+(206.7-367)+(-0.754902+(-0.210834--0.37434))+0-135.3--0.138006000000022</f>
        <v>444.04660999999993</v>
      </c>
      <c r="T63" s="3">
        <f>733.4+(244.7-434.4)+(-0.374034+(-0.124797--0.221544))+0-120.8--0.0616079999999877</f>
        <v>422.68432100000001</v>
      </c>
      <c r="U63" s="3">
        <f>731.4+(208.7-385)+(-0.746028+(-0.212874--0.3927))+0-126--0.12852000000002</f>
        <v>428.66231799999997</v>
      </c>
      <c r="V63" s="3">
        <f>734.5+(116.6-316.3)+(-2.24757+(-0.356796--0.967878))+0-109--0.333540000000013</f>
        <v>424.497052</v>
      </c>
      <c r="W63" s="3">
        <f>731.7+(83.2-280.4)+(-1.119501+(-0.127296--0.429012))+0-134.3--0.205479000000008</f>
        <v>399.58769400000006</v>
      </c>
      <c r="X63" s="3">
        <f>729.4+(280.9-401.8)+(-2.603958+(-1.002813--1.434426))+0-135.2--0.482664000000002</f>
        <v>471.61031900000006</v>
      </c>
      <c r="Y63" s="3">
        <f>734.3+(292.8-380)+(-1.872465+(-0.74664--0.969))+0-140--0.35699999999998</f>
        <v>505.80689499999983</v>
      </c>
      <c r="Z63" s="3">
        <f>750.7+(121.3-239.5)+(0.382857+(0.061863-0.122145))+0-142.1-0.0724709999999856</f>
        <v>490.650104</v>
      </c>
      <c r="AA63" s="3">
        <f>752.6+(82-247.9)+(-1.151478+(-0.12546--0.379287))+0-145.1--0.222003000000008</f>
        <v>440.92435200000006</v>
      </c>
      <c r="AB63" s="3">
        <f>760.2+(79-326.7)+(-1.550808+(-0.16116--0.666468))+0-145.2--0.296207999999994</f>
        <v>366.55070799999999</v>
      </c>
      <c r="AC63" s="3">
        <f>768.9+(95.3-440.8)+(-0.784278+(-0.097206--0.449616))+0-140.1--0.142902000000022</f>
        <v>283.011034</v>
      </c>
      <c r="AD63" s="2">
        <v>617.29999999999995</v>
      </c>
      <c r="AE63" s="3">
        <f>757+(80-300.1)+(0+(0-0))+0-126.9-0</f>
        <v>410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760.3+(116.3-475.5)+(-1.163259+(-0.177939--0.727515))+0-131.5--0.201195000000008</f>
        <v>269.18751199999997</v>
      </c>
      <c r="G64" s="3">
        <f>753.6+(115.9-450.2)+(-1.537344+(-0.236436--0.918408))+0-125.3--0.255611999999995</f>
        <v>293.40024000000005</v>
      </c>
      <c r="H64" s="3">
        <f>753.8+(100.5-456.2)+(-1.92219+(-0.256275--1.16331))+0-140.5--0.35827499999998</f>
        <v>256.94311999999996</v>
      </c>
      <c r="I64" s="3">
        <f>768.6+(90.1-479.7)+(-1.175958+(-0.137853--0.733941))+0-130.8--0.200124000000008</f>
        <v>247.82025399999998</v>
      </c>
      <c r="J64" s="3">
        <f>773.4+(81.8-490.8)+(-1.183302+(-0.125154--0.750924))+0-115.8--0.177174000000007</f>
        <v>248.21964199999999</v>
      </c>
      <c r="K64" s="3">
        <f>765+(68-447.1)+(-2.3409+(-0.20808--1.368126))+0-106.3--0.325278000000012</f>
        <v>278.74442399999998</v>
      </c>
      <c r="L64" s="3">
        <f>767.3+(97.3-415.6)+(0.391323+(0.049623-0.211956))+0-93.5-0.0476849999999905</f>
        <v>355.68130499999995</v>
      </c>
      <c r="M64" s="3">
        <f>768+(103.9-387.8)+(-0.39168+(-0.052989--0.197778))+0-103.6--0.0528359999999895</f>
        <v>380.30594500000001</v>
      </c>
      <c r="N64" s="3">
        <f>769.9+(101.9-353)+(0.392649+(0.051969-0.18003))+0-112.5-0.0573749999999886</f>
        <v>406.50721299999998</v>
      </c>
      <c r="O64" s="3">
        <f>751.5+(119.5-309.9)+(0+(0-0))+0-110.4-0</f>
        <v>450.70000000000005</v>
      </c>
      <c r="P64" s="3">
        <f>734.8+(86.8-300.9)+(0+(0-0))+0-109.8-0</f>
        <v>410.90000000000003</v>
      </c>
      <c r="Q64" s="3">
        <f>751.5+(100.3-320.6)+(0+(0-0))+0-109.9-0</f>
        <v>421.30000000000007</v>
      </c>
      <c r="R64" s="3">
        <f>735.8+(171.7-411)+(0+(0-0))+0-84.7-0</f>
        <v>411.79999999999995</v>
      </c>
      <c r="S64" s="3">
        <f>727.4+(224.3-521)+(-1.483896+(-0.457572--1.06284))+0-83.1--0.169523999999996</f>
        <v>346.890896</v>
      </c>
      <c r="T64" s="3">
        <f>731.1+(216.8-544.6)+(-0.372861+(-0.110568--0.277746))+0-79--0.040289999999992</f>
        <v>324.13460699999996</v>
      </c>
      <c r="U64" s="3">
        <f>723+(187.5-514.9)+(-1.47492+(-0.3825--1.050396))+0-88.6--0.180743999999996</f>
        <v>306.37372000000005</v>
      </c>
      <c r="V64" s="3">
        <f>721.8+(149.3-383.5)+(-2.576826+(-0.533001--1.369095))+0-110--0.392700000000002</f>
        <v>376.25196799999998</v>
      </c>
      <c r="W64" s="3">
        <f>715.5+(111.2-275.9)+(-2.18943+(-0.340272--0.844254))+0-98.6--0.301716000000011</f>
        <v>450.81626799999998</v>
      </c>
      <c r="X64" s="3">
        <f>689.4+(116.1-228.4)+(-0.703188+(-0.118422--0.232968))+0-116.9--0.119238000000019</f>
        <v>459.73059599999988</v>
      </c>
      <c r="Y64" s="3">
        <f>686.2+(150.5-208.8)+(0+(0-0))+0-122.7-0</f>
        <v>505.2000000000001</v>
      </c>
      <c r="Z64" s="3">
        <f>735.5+(130.7-251.5)+(-0.75021+(-0.133314--0.25653))+0-115.1--0.117402000000018</f>
        <v>499.09040800000008</v>
      </c>
      <c r="AA64" s="3">
        <f>738.6+(132.5-322.1)+(-1.88343+(-0.337875--0.821355))+0-128.5--0.327674999999981</f>
        <v>419.42772500000001</v>
      </c>
      <c r="AB64" s="3">
        <f>743.1+(164.3-352.5)+(-1.515924+(-0.335172--0.7191))+0-124.3--0.253571999999995</f>
        <v>429.72157600000014</v>
      </c>
      <c r="AC64" s="3">
        <f>737.5+(153.8-365.8)+(-2.632875+(-0.549066--1.305906))+0-116.6--0.416262000000002</f>
        <v>407.44022699999999</v>
      </c>
      <c r="AD64" s="2">
        <v>712.8</v>
      </c>
      <c r="AE64" s="3">
        <f>738+(149-280.6)+(0+(0-0))+0-137.6-0</f>
        <v>468.79999999999995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739.3+(132.2-382.8)+(-2.639301+(-0.471954--1.366596))+0-116.2--0.414834000000002</f>
        <v>371.17017499999992</v>
      </c>
      <c r="G65" s="3">
        <f>728.6+(132.1-309.6)+(-2.229516+(-0.404226--0.947376))+0-120.8--0.369648000000014</f>
        <v>428.98328200000003</v>
      </c>
      <c r="H65" s="3">
        <f>725.9+(152.4-342.7)+(-1.480836+(-0.310896--0.699108))+0-124.8--0.254591999999995</f>
        <v>409.96196800000001</v>
      </c>
      <c r="I65" s="3">
        <f>736.9+(143.3-383.1)+(-1.503276+(-0.292332--0.781524))+0-128.4--0.261935999999994</f>
        <v>367.9478519999999</v>
      </c>
      <c r="J65" s="3">
        <f>737.7+(121.8-349.6)+(-1.504908+(-0.248472--0.713184))+0-124.4--0.253775999999995</f>
        <v>384.71358000000009</v>
      </c>
      <c r="K65" s="3">
        <f>732.4+(107.9-336.5)+(-1.120572+(-0.165087--0.514845))+0-131--0.200430000000008</f>
        <v>372.22961599999996</v>
      </c>
      <c r="L65" s="3">
        <f>667.4+(143.8-253.4)+(-1.361496+(-0.293352--0.516936))+0-120.9--0.246635999999995</f>
        <v>436.00872399999992</v>
      </c>
      <c r="M65" s="3">
        <f>626.1+(196.2-178.2)+(0.319311+(0.100062-0.090882))+0-104.8-0.0534479999999894</f>
        <v>539.57504300000005</v>
      </c>
      <c r="N65" s="3">
        <f>626.7+(183.3-243.6)+(-0.639234+(-0.186966--0.248472))+0-111--0.113220000000018</f>
        <v>454.93549200000012</v>
      </c>
      <c r="O65" s="3">
        <f>638.9+(223-206.2)+(-1.955034+(-0.68238--0.630972))+0-118.1--0.361386000000014</f>
        <v>535.95494400000007</v>
      </c>
      <c r="P65" s="3">
        <f>648.5+(215.7-150.7)+(0.330735+(0.110007-0.076857))+0-117-0.0596699999999881</f>
        <v>596.804215</v>
      </c>
      <c r="Q65" s="3">
        <f>641.8+(159.1-126.4)+(0+(0-0))+0-119.8-0</f>
        <v>554.70000000000005</v>
      </c>
      <c r="R65" s="3">
        <f>747.4+(101.5-239.8)+(0+(0-0))+0-117.5-0</f>
        <v>491.59999999999991</v>
      </c>
      <c r="S65" s="3">
        <f>744.4+(132.8-328.9)+(-1.89822+(-0.33864--0.838695))+0-114.2--0.291209999999983</f>
        <v>432.993045</v>
      </c>
      <c r="T65" s="3">
        <f>730+(159.7-396.6)+(-0.3723+(-0.081447--0.202266))+0-110.5--0.0563549999999888</f>
        <v>382.40487399999995</v>
      </c>
      <c r="U65" s="3">
        <f>715+(157.5-381.5)+(-1.4586+(-0.3213--0.77826))+0-108.5--0.221339999999995</f>
        <v>381.71969999999999</v>
      </c>
      <c r="V65" s="3">
        <f>706.2+(144.8-272.7)+(-0.720324+(-0.147696--0.278154))+0-105.5--0.107610000000017</f>
        <v>472.31774400000006</v>
      </c>
      <c r="W65" s="3">
        <f>723.8+(162.6-210.5)+(-0.738276+(-0.165852--0.21471))+0-110.4--0.112608000000018</f>
        <v>564.92318999999998</v>
      </c>
      <c r="X65" s="3">
        <f>733.9+(202.8-182)+(-0.374289+(-0.103428--0.09282))+0-116--0.0591599999999882</f>
        <v>638.37426300000004</v>
      </c>
      <c r="Y65" s="3">
        <f>745.1+(235.3-157.1)+(-1.140003+(-0.360009--0.240363))+0-111.1--0.169983000000006</f>
        <v>711.11033400000008</v>
      </c>
      <c r="Z65" s="3">
        <f>751.9+(214.1-199)+(-0.766938+(-0.218382--0.20298))+0-111.1--0.113322000000018</f>
        <v>655.23098200000004</v>
      </c>
      <c r="AA65" s="3">
        <f>758.2+(217.5-255.4)+(-0.773364+(-0.22185--0.260508))+0-118.8--0.121176000000019</f>
        <v>600.88647000000014</v>
      </c>
      <c r="AB65" s="3">
        <f>758.5+(216.9-315.5)+(-1.934175+(-0.553095--0.804525))+0-112.3--0.286364999999984</f>
        <v>546.20362</v>
      </c>
      <c r="AC65" s="3">
        <f>762+(214.3-444.9)+(0+(0-0))+0-113.1-0</f>
        <v>418.30000000000007</v>
      </c>
      <c r="AD65" s="2">
        <v>634</v>
      </c>
      <c r="AE65" s="3">
        <f>763+(218.8-250.6)+(0+(0-0))+0-130.2-0</f>
        <v>601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767+(183.6-443.8)+(-0.78234+(-0.187272--0.452676))+0-121.7--0.124134000000019</f>
        <v>384.70719800000001</v>
      </c>
      <c r="G66" s="3">
        <f>769.5+(157.4-475.7)+(-0.392445+(-0.080274--0.242607))+0-126.6--0.0645659999999871</f>
        <v>324.43445400000007</v>
      </c>
      <c r="H66" s="3">
        <f>777.2+(135.9-452.1)+(1.189116+(0.207927-0.691713))+0-122.4-0.187272000000007</f>
        <v>339.11805800000002</v>
      </c>
      <c r="I66" s="3">
        <f>769+(121-430.1)+(0.39219+(0.06171-0.219351))+0-118.1-0.060230999999988</f>
        <v>341.97431799999998</v>
      </c>
      <c r="J66" s="3">
        <f>730.4+(114.2-381)+(-1.117512+(-0.174726--0.58293))+0-116.2--0.177786000000007</f>
        <v>346.86847799999998</v>
      </c>
      <c r="K66" s="3">
        <f>725.8+(102.5-352.7)+(-1.85079+(-0.261375--0.899385))+0-129.5--0.330224999999981</f>
        <v>345.21744499999994</v>
      </c>
      <c r="L66" s="3">
        <f>729.4+(156-336.1)+(-0.743988+(-0.15912--0.342822))+0-121.1--0.123522000000019</f>
        <v>427.76323599999995</v>
      </c>
      <c r="M66" s="3">
        <f>733.3+(252.5-327.3)+(0.747966+(0.25755-0.333846))+0-130.1-0.132702000000021</f>
        <v>528.93896799999993</v>
      </c>
      <c r="N66" s="3">
        <f>726.7+(266.1-353.7)+(-0.741234+(-0.271422--0.360774))+0-124.8--0.12729600000002</f>
        <v>513.77541400000018</v>
      </c>
      <c r="O66" s="3">
        <f>743.2+(311.4-338.5)+(0.758064+(0.317628-0.34527))+0-133.6-0.136272000000021</f>
        <v>583.0941499999999</v>
      </c>
      <c r="P66" s="3">
        <f>715.1+(264.9-214.5)+(0+(0-0))+0-132.1-0</f>
        <v>633.4</v>
      </c>
      <c r="Q66" s="3">
        <f>714.5+(218.7-167.2)+(0.364395+(0.111537-0.085272))+0-139.6-0.0711959999999858</f>
        <v>626.71946400000002</v>
      </c>
      <c r="R66" s="3">
        <f>763.1+(175.3-198.6)+(-1.556724+(-0.357612--0.405144))+0-132.7--0.270707999999994</f>
        <v>605.86151600000017</v>
      </c>
      <c r="S66" s="3">
        <f>751.1+(167.3-291.2)+(-0.766122+(-0.170646--0.297024))+0-137.2--0.139944000000022</f>
        <v>489.50020000000012</v>
      </c>
      <c r="T66" s="3">
        <f>748.1+(195.5-378.3)+(-0.381531+(-0.099705--0.192933))+0-139.7--0.0712469999999858</f>
        <v>425.3829439999999</v>
      </c>
      <c r="U66" s="3">
        <f>740.6+(169.7-356.7)+(-1.510824+(-0.346188--0.727668))+0-120.3--0.245411999999995</f>
        <v>432.41606800000005</v>
      </c>
      <c r="V66" s="3">
        <f>722.4+(132.7-273.2)+(-1.84212+(-0.338385--0.69666))+0-132.5--0.337874999999981</f>
        <v>448.25403</v>
      </c>
      <c r="W66" s="3">
        <f>727.2+(143.5-254.2)+(-1.483488+(-0.29274--0.518568))+0-131.7--0.268667999999994</f>
        <v>483.81100800000002</v>
      </c>
      <c r="X66" s="3">
        <f>738.1+(290.5-314.5)+(-1.882155+(-0.740775--0.801975))+0-116.8--0.297839999999983</f>
        <v>595.77688499999999</v>
      </c>
      <c r="Y66" s="3">
        <f>751.2+(286.2-275.1)+(-0.383112+(-0.145962--0.140301))+0-106.3--0.0542129999999892</f>
        <v>655.66543999999999</v>
      </c>
      <c r="Z66" s="3">
        <f>760.3+(211.7-193.1)+(-0.387753+(-0.107967--0.098481))+0-130.4--0.0665039999999868</f>
        <v>648.169265</v>
      </c>
      <c r="AA66" s="3">
        <f>755.4+(189.9-194.2)+(-1.92627+(-0.484245--0.49521))+0-140.6--0.35852999999998</f>
        <v>608.94322499999998</v>
      </c>
      <c r="AB66" s="3">
        <f>757.1+(146.7-250.9)+(-1.930605+(-0.374085--0.639795))+0-123.2--0.314159999999982</f>
        <v>528.34926499999995</v>
      </c>
      <c r="AC66" s="3">
        <f>769.8+(133.2-297.1)+(-0.392598+(-0.067932--0.151521))+0-114.8--0.0585479999999884</f>
        <v>490.84953899999988</v>
      </c>
      <c r="AD66" s="2">
        <v>640.30000000000007</v>
      </c>
      <c r="AE66" s="3">
        <f>754+(174.2-213.2)+(0+(0-0))+0-108.9-0</f>
        <v>606.1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743.6+(134.9-353)+(-0.379236+(-0.068799--0.18003))+0-121.3--0.0618629999999877</f>
        <v>403.99385799999993</v>
      </c>
      <c r="G67" s="3">
        <f>739.6+(161.5-400.7)+(-0.754392+(-0.16473--0.408714))+0-131.8--0.134436000000021</f>
        <v>368.22402800000003</v>
      </c>
      <c r="H67" s="3">
        <f>719.2+(123.7-349)+(-1.100376+(-0.189261--0.53397))+0-132--0.201960000000008</f>
        <v>361.346293</v>
      </c>
      <c r="I67" s="3">
        <f>670.6+(128-284.1)+(-0.684012+(-0.13056--0.289782))+0-125.8--0.12831600000002</f>
        <v>388.30352599999998</v>
      </c>
      <c r="J67" s="3">
        <f>677.5+(154.5-254.8)+(1.036575+(0.236385-0.389844))+0-140.9-0.215577000000008</f>
        <v>436.96753900000004</v>
      </c>
      <c r="K67" s="3">
        <f>672.5+(140.5-268.9)+(-0.342975+(-0.071655--0.137139))+0-131.9--0.0672689999999866</f>
        <v>411.989778</v>
      </c>
      <c r="L67" s="3">
        <f>674.9+(135.1-340.5)+(0.344199+(0.068901-0.173655))+0-117.9-0.060128999999988</f>
        <v>351.77931599999999</v>
      </c>
      <c r="M67" s="3">
        <f>672.1+(176.1-355.6)+(-0.342771+(-0.089811--0.181356))+0-140.9--0.0718589999999857</f>
        <v>351.52063300000003</v>
      </c>
      <c r="N67" s="3">
        <f>666.9+(179.2-338.3)+(-1.020357+(-0.274176--0.517599))+0-130.9--0.200277000000008</f>
        <v>376.32334300000002</v>
      </c>
      <c r="O67" s="3">
        <f>674+(132.4-274.1)+(-0.68748+(-0.135048--0.279582))+0-134--0.136680000000021</f>
        <v>397.89373399999994</v>
      </c>
      <c r="P67" s="3">
        <f>678.2+(144.3-246.5)+(-0.345882+(-0.073593--0.125715))+0-134--0.0683399999999864</f>
        <v>441.77457999999996</v>
      </c>
      <c r="Q67" s="3">
        <f>674+(122.2-263.3)+(-0.68748+(-0.124644--0.268566))+0-138.1--0.140862000000022</f>
        <v>394.39730400000002</v>
      </c>
      <c r="R67" s="3">
        <f>679.3+(175.4-351.5)+(0.346443+(0.089454-0.179265))+0-127-0.0647699999999871</f>
        <v>376.39186199999995</v>
      </c>
      <c r="S67" s="3">
        <f>677.6+(291.4-522.1)+(-0.345576+(-0.148614--0.266271))+0-106.5--0.0543149999999892</f>
        <v>340.22639599999997</v>
      </c>
      <c r="T67" s="3">
        <f>706.8+(312-601.7)+(-0.360468+(-0.15912--0.306867))+0-98.8--0.05038799999999</f>
        <v>318.13766699999991</v>
      </c>
      <c r="U67" s="3">
        <f>700.9+(357.4-672.7)+(1.787295+(0.91137-1.715385))+0-113.3-0.288914999999984</f>
        <v>272.9943649999999</v>
      </c>
      <c r="V67" s="3">
        <f>680.1+(243.7-536)+(-0.346851+(-0.124287--0.27336))+0-123.8--0.0631379999999874</f>
        <v>263.86535999999995</v>
      </c>
      <c r="W67" s="3">
        <f>700.5+(129.1-402.6)+(-0.71451+(-0.131682--0.410652))+0-132.6--0.135252000000021</f>
        <v>294.09971200000007</v>
      </c>
      <c r="X67" s="3">
        <f>694.8+(68.1-321.4)+(-2.126088+(-0.208386--0.983484))+0-99.8--0.305388000000012</f>
        <v>340.65439799999996</v>
      </c>
      <c r="Y67" s="3">
        <f>705+(133.6-261.5)+(-1.07865+(-0.204408--0.400095))+0-121.8--0.186354000000007</f>
        <v>454.60339099999999</v>
      </c>
      <c r="Z67" s="3">
        <f>735.9+(138.2-234)+(-0.750618+(-0.140964--0.23868))+0-146.1--0.149022000000023</f>
        <v>493.49611999999985</v>
      </c>
      <c r="AA67" s="3">
        <f>746.2+(144.8-262.6)+(-1.141686+(-0.221544--0.401778))+0-134.7--0.206091000000008</f>
        <v>492.94463900000011</v>
      </c>
      <c r="AB67" s="3">
        <f>748.3+(124.7-371.1)+(-1.144899+(-0.190791--0.567783))+0-104.9--0.160497000000006</f>
        <v>396.39258999999998</v>
      </c>
      <c r="AC67" s="3">
        <f>767.1+(130-459.2)+(-0.391221+(-0.0663--0.234192))+0-103.5--0.0527849999999895</f>
        <v>334.22945600000003</v>
      </c>
      <c r="AD67" s="2">
        <v>571.9</v>
      </c>
      <c r="AE67" s="3">
        <f>748.6+(145.9-261.5)+(0+(0-0))+0-158.1-0</f>
        <v>474.9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767.1+(128-472.8)+(-1.564884+(-0.26112--0.964512))+0-114.6--0.233783999999995</f>
        <v>307.07229200000006</v>
      </c>
      <c r="G68" s="3">
        <f>772+(122.4-387.4)+(-1.9686+(-0.31212--0.98787))+0-126.4--0.322319999999982</f>
        <v>379.62946999999997</v>
      </c>
      <c r="H68" s="3">
        <f>775+(104.9-366.9)+(-1.581+(-0.213996--0.748476))+0-103.7--0.211547999999995</f>
        <v>408.46502800000002</v>
      </c>
      <c r="I68" s="3">
        <f>776.1+(107.3-368)+(-0.791622+(-0.109446--0.37536))+0-112.3--0.114546000000018</f>
        <v>402.68883800000009</v>
      </c>
      <c r="J68" s="3">
        <f>768+(125.6-347)+(-0.78336+(-0.128112--0.35394))+0-137.4--0.140148000000022</f>
        <v>408.78261600000002</v>
      </c>
      <c r="K68" s="3">
        <f>757.3+(148.1-366.8)+(-1.931115+(-0.377655--0.93534))+0-134.8--0.34373999999998</f>
        <v>402.77030999999988</v>
      </c>
      <c r="L68" s="3">
        <f>686.8+(229.4-327.2)+(-0.350268+(-0.116994--0.166872))+0-131--0.0668099999999867</f>
        <v>457.76641999999998</v>
      </c>
      <c r="M68" s="3">
        <f>680.8+(245.3-315.9)+(0.694416+(0.250206-0.322218))+0-126.4-0.12892800000002</f>
        <v>484.293476</v>
      </c>
      <c r="N68" s="3">
        <f>675+(291.2-289.6)+(0.34425+(0.148512-0.147696))+0-140.5-0.0716549999999857</f>
        <v>536.37341099999992</v>
      </c>
      <c r="O68" s="3">
        <f>692.4+(316.1-253.1)+(0.353124+(0.161211-0.129081))+0-144.3-0.0735929999999854</f>
        <v>611.41166099999998</v>
      </c>
      <c r="P68" s="3">
        <f>745.7+(267.4-264.9)+(-1.140921+(-0.409122--0.405297))+0-125.9--0.192627000000007</f>
        <v>621.34788100000003</v>
      </c>
      <c r="Q68" s="3">
        <f>748.6+(195.5-176.5)+(-0.381786+(-0.099705--0.090015))+0-138.4--0.070583999999986</f>
        <v>628.87910799999997</v>
      </c>
      <c r="R68" s="3">
        <f>747.5+(169.7-151.4)+(0.76245+(0.173094-0.154428))+0-142.4-0.145248000000023</f>
        <v>624.03586799999994</v>
      </c>
      <c r="S68" s="3">
        <f>738.1+(232.3-278.1)+(-0.752862+(-0.236946--0.283662))+0-140.2--0.143004000000022</f>
        <v>551.53685799999994</v>
      </c>
      <c r="T68" s="3">
        <f>734.1+(262.3-358.5)+(-0.374391+(-0.133773--0.182835))+0-141.4--0.0721139999999857</f>
        <v>496.2467850000001</v>
      </c>
      <c r="U68" s="3">
        <f>744.2+(236.6-381.6)+(-1.89771+(-0.60333--0.97308))+0-134.6--0.34322999999998</f>
        <v>463.41527000000002</v>
      </c>
      <c r="V68" s="3">
        <f>747.8+(144.5-277.1)+(-0.381378+(-0.073695--0.141321))+0-148.4--0.0756839999999849</f>
        <v>466.5619319999999</v>
      </c>
      <c r="W68" s="3">
        <f>721.5+(124.4-199.5)+(-1.47186+(-0.253776--0.40698))+0-137.6--0.280703999999994</f>
        <v>507.76204799999994</v>
      </c>
      <c r="X68" s="3">
        <f>734.8+(337.7-381.9)+(-1.87374+(-0.861135--0.973845))+0-144.8--0.369239999999979</f>
        <v>544.40820999999983</v>
      </c>
      <c r="Y68" s="3">
        <f>755.6+(364.5-270.2)+(0.385356+(0.185895-0.137802))+0-157.7-0.080426999999984</f>
        <v>692.55302200000017</v>
      </c>
      <c r="Z68" s="3">
        <f>763+(179.7-239.3)+(-0.38913+(-0.091647--0.122043))+0-141.8--0.0723179999999856</f>
        <v>561.31358399999999</v>
      </c>
      <c r="AA68" s="3">
        <f>758+(116.7-239.4)+(-1.15974+(-0.178551--0.366282))+0-143.2--0.219096000000008</f>
        <v>491.34708700000004</v>
      </c>
      <c r="AB68" s="3">
        <f>750+(79.9-276.4)+(-2.295+(-0.244494--0.845784))+0-136--0.416160000000016</f>
        <v>416.22244999999998</v>
      </c>
      <c r="AC68" s="3">
        <f>735+(75-311.1)+(-1.87425+(-0.19125--0.793305))+0-124.2--0.316709999999982</f>
        <v>373.74451499999998</v>
      </c>
      <c r="AD68" s="2">
        <v>688.7</v>
      </c>
      <c r="AE68" s="3">
        <f>758+(105.9-231.6)+(0+(0-0))+0-145.6-0</f>
        <v>486.69999999999993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740+(47.8-310.1)+(0+(0-0))+0-126.7-0</f>
        <v>351</v>
      </c>
      <c r="G69" s="3">
        <f>738.5+(90.6-273.9)+(-1.129905+(-0.138618--0.419067))+0-140.8--0.215424000000008</f>
        <v>413.76596799999999</v>
      </c>
      <c r="H69" s="3">
        <f>743.6+(95.6-274.6)+(-1.516944+(-0.195024--0.560184))+0-133.1--0.271523999999994</f>
        <v>430.61973999999998</v>
      </c>
      <c r="I69" s="3">
        <f>747.8+(100.9-282.1)+(-1.525512+(-0.205836--0.575484))+0-139.5--0.284579999999994</f>
        <v>426.22871599999996</v>
      </c>
      <c r="J69" s="3">
        <f>752.1+(134.9-301.1)+(-0.383571+(-0.068799--0.153561))+0-132--0.0673199999999866</f>
        <v>453.66851099999997</v>
      </c>
      <c r="K69" s="3">
        <f>716.7+(140.5-298.2)+(-1.462068+(-0.28662--0.608328))+0-134--0.273359999999994</f>
        <v>424.13299999999998</v>
      </c>
      <c r="L69" s="3">
        <f>655+(283.2-341.8)+(-1.67025+(-0.72216--0.87159))+0-104.2--0.265709999999985</f>
        <v>490.94489000000004</v>
      </c>
      <c r="M69" s="3">
        <f>660.9+(373.6-325.7)+(0.337059+(0.190536-0.166107))+0-105.1-0.0536009999999893</f>
        <v>604.00788699999998</v>
      </c>
      <c r="N69" s="3">
        <f>659.8+(404-313.8)+(0+(0-0))+0-104-0</f>
        <v>646</v>
      </c>
      <c r="O69" s="3">
        <f>656.5+(372.2-247)+(-0.334815+(-0.189822--0.12597))+0-115.5--0.0589049999999883</f>
        <v>665.86023799999998</v>
      </c>
      <c r="P69" s="3">
        <f>714.3+(273.7-176.9)+(0.364293+(0.139587-0.090219))+0-118.7-0.060536999999988</f>
        <v>692.75312399999996</v>
      </c>
      <c r="Q69" s="3">
        <f>727.3+(245.8-130.9)+(-0.741846+(-0.250716--0.133518))+0-130.1--0.132702000000021</f>
        <v>711.37365799999986</v>
      </c>
      <c r="R69" s="3">
        <f>730.5+(290.7-171.7)+(0.372555+(0.148257-0.087567))+0-130.7-0.0666569999999867</f>
        <v>719.16658800000016</v>
      </c>
      <c r="S69" s="3">
        <f>723.6+(369.5-245.5)+(-0.369036+(-0.188445--0.125205))+0-141.3--0.0720629999999857</f>
        <v>705.93978699999991</v>
      </c>
      <c r="T69" s="3">
        <f>730.8+(387.2-305)+(0+(0-0))+0-132.6-0</f>
        <v>680.4</v>
      </c>
      <c r="U69" s="3">
        <f>733.2+(379.8-299.8)+(-0.373932+(-0.193698--0.152898))+0-143.3--0.0730829999999855</f>
        <v>669.55835100000013</v>
      </c>
      <c r="V69" s="3">
        <f>704+(307.2-195)+(-1.43616+(-0.626688--0.3978))+0-149.3--0.304571999999994</f>
        <v>665.53952400000003</v>
      </c>
      <c r="W69" s="3">
        <f>700.9+(228.1-131.4)+(-2.144754+(-0.697986--0.402084))+0-133--0.406980000000015</f>
        <v>662.5663239999999</v>
      </c>
      <c r="X69" s="3">
        <f>707.6+(380.7-280.8)+(-1.443504+(-0.776628--0.572832))+0-149.6--0.305183999999993</f>
        <v>656.55788399999994</v>
      </c>
      <c r="Y69" s="3">
        <f>717.8+(358.6-324.4)+(1.098234+(0.548658-0.496332))+0-141-0.215730000000008</f>
        <v>611.93483000000003</v>
      </c>
      <c r="Z69" s="3">
        <f>720.4+(220-159.7)+(0+(0-0))+0-149.8-0</f>
        <v>630.90000000000009</v>
      </c>
      <c r="AA69" s="3">
        <f>718.4+(196.3-152.1)+(-1.465536+(-0.400452--0.310284))+0-136.4--0.278255999999994</f>
        <v>624.922552</v>
      </c>
      <c r="AB69" s="3">
        <f>726.6+(137.6-202.5)+(-1.111698+(-0.210528--0.309825))+0-123.4--0.188802000000007</f>
        <v>537.47640100000012</v>
      </c>
      <c r="AC69" s="3">
        <f>726.6+(115.5-249.9)+(-0.370566+(-0.058905--0.127449))+0-124.5--0.0634949999999874</f>
        <v>467.46147300000007</v>
      </c>
      <c r="AD69" s="2">
        <v>637.29999999999995</v>
      </c>
      <c r="AE69" s="3">
        <f>710+(155.4-186)+(0+(0-0))+0-139.3-0</f>
        <v>540.09999999999991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730.6+(105-275.3)+(-1.117818+(-0.16065--0.421209))+0-113.3--0.173349000000007</f>
        <v>446.31608999999997</v>
      </c>
      <c r="G70" s="3">
        <f>744.1+(84.8-329.5)+(0+(0-0))+0-107.9-0</f>
        <v>391.5</v>
      </c>
      <c r="H70" s="3">
        <f>740.8+(98.9-370.8)+(0+(0-0))+0-120.8-0</f>
        <v>348.09999999999997</v>
      </c>
      <c r="I70" s="3">
        <f>724.1+(96.2-364.9)+(0.738582+(0.098124-0.372198))+0-129.3-0.131886000000021</f>
        <v>326.43262200000004</v>
      </c>
      <c r="J70" s="3">
        <f>716.5+(74-325.5)+(-0.365415+(-0.03774--0.166005))+0-129.7--0.0661469999999868</f>
        <v>335.12899700000003</v>
      </c>
      <c r="K70" s="3">
        <f>710.7+(107.9-338.1)+(-1.812285+(-0.275145--0.862155))+0-120.4--0.307019999999983</f>
        <v>359.18174499999998</v>
      </c>
      <c r="L70" s="3">
        <f>678.3+(243-332.1)+(-0.691866+(-0.24786--0.338742))+0-127.4--0.12994800000002</f>
        <v>461.32896399999993</v>
      </c>
      <c r="M70" s="3">
        <f>654.7+(305-314.9)+(0.667794+(0.3111-0.321198))+0-119.7-0.122094000000019</f>
        <v>525.63560199999995</v>
      </c>
      <c r="N70" s="3">
        <f>743.6+(347.3-368)+(1.137708+(0.531369-0.56304))+0-130.6-0.199818000000008</f>
        <v>593.20621900000003</v>
      </c>
      <c r="O70" s="3">
        <f>572.1+(355.8-209.6)+(0.583542+(0.362916-0.213792))+0-139.5-0.142290000000022</f>
        <v>579.39037600000006</v>
      </c>
      <c r="P70" s="3">
        <f>625.2+(354.9-189.6)+(0.956556+(0.542997-0.290088))+0-134.1-0.205173000000008</f>
        <v>657.40429199999994</v>
      </c>
      <c r="Q70" s="3">
        <f>599+(287.3-131.5)+(0+(0-0))+0-139.5-0</f>
        <v>615.29999999999995</v>
      </c>
      <c r="R70" s="3">
        <f>619.5+(198.2-117.7)+(-0.315945+(-0.101082--0.060027))+0-113.8--0.0580379999999885</f>
        <v>585.90103800000009</v>
      </c>
      <c r="S70" s="3">
        <f>705.8+(194.6-259.6)+(-1.079874+(-0.297738--0.397188))+0-127.2--0.194616000000007</f>
        <v>512.81419199999993</v>
      </c>
      <c r="T70" s="3">
        <f>735+(200.7-346.5)+(1.12455+(0.307071-0.530145))+0-124.6-0.190638000000007</f>
        <v>465.31083799999999</v>
      </c>
      <c r="U70" s="3">
        <f>733.3+(204-313.8)+(-0.747966+(-0.20808--0.320076))+0-133.8--0.136476000000021</f>
        <v>489.20050599999996</v>
      </c>
      <c r="V70" s="3">
        <f>726.2+(166-202.6)+(-1.85181+(-0.4233--0.51663))+0-141.4--0.36056999999998</f>
        <v>546.80209000000002</v>
      </c>
      <c r="W70" s="3">
        <f>727.6+(208-128.5)+(-1.113228+(-0.31824--0.196605))+0-138.1--0.211293000000008</f>
        <v>667.97642999999994</v>
      </c>
      <c r="X70" s="3">
        <f>726+(342.6-238.2)+(-1.8513+(-0.87363--0.60741))+0-135.2--0.34475999999998</f>
        <v>693.42723999999998</v>
      </c>
      <c r="Y70" s="3">
        <f>732.9+(311.9-228.5)+(-0.747558+(-0.318138--0.23307))+0-144.6--0.147492000000023</f>
        <v>671.01486599999998</v>
      </c>
      <c r="Z70" s="3">
        <f>734.5+(198.9-158.1)+(-0.74919+(-0.202878--0.161262))+0-140.4--0.143208000000022</f>
        <v>634.25240200000007</v>
      </c>
      <c r="AA70" s="3">
        <f>739.6+(164.3-188.6)+(-1.131588+(-0.251379--0.288558))+0-135.7--0.207621000000008</f>
        <v>578.71321200000011</v>
      </c>
      <c r="AB70" s="3">
        <f>734.9+(131.7-221.9)+(-1.873995+(-0.335835--0.565845))+0-139.1--0.35470499999998</f>
        <v>504.31071999999983</v>
      </c>
      <c r="AC70" s="3">
        <f>717.3+(179.6-312.5)+(-1.097469+(-0.274788--0.478125))+0-131.6--0.201348000000008</f>
        <v>452.10721599999994</v>
      </c>
      <c r="AD70" s="2">
        <v>684.6</v>
      </c>
      <c r="AE70" s="3">
        <f>742+(155.5-197.8)+(0+(0-0))+0-114.1-0</f>
        <v>585.6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739.9+(155.9-402.8)+(-1.132047+(-0.238527--0.616284))+0-116--0.177480000000007</f>
        <v>376.42318999999998</v>
      </c>
      <c r="G71" s="3">
        <f>753+(135.1-369.2)+(-0.38403+(-0.068901--0.188292))+0-126.1--0.0643109999999872</f>
        <v>392.59967199999994</v>
      </c>
      <c r="H71" s="3">
        <f>745.1+(124.7-304.4)+(-0.760002+(-0.127194--0.310488))+0-131.5--0.134130000000021</f>
        <v>433.45742200000007</v>
      </c>
      <c r="I71" s="3">
        <f>750+(132.2-283.1)+(-1.1475+(-0.202266--0.433143))+0-139--0.212670000000008</f>
        <v>459.39604699999995</v>
      </c>
      <c r="J71" s="3">
        <f>750.1+(131-294)+(-1.530204+(-0.26724--0.59976))+0-126.8--0.258671999999994</f>
        <v>459.36098800000002</v>
      </c>
      <c r="K71" s="3">
        <f>755.7+(138.9-309.5)+(-1.156221+(-0.212517--0.473535))+0-137.3--0.210069000000008</f>
        <v>447.11486600000001</v>
      </c>
      <c r="L71" s="3">
        <f>757.3+(179.1-316)+(-1.544892+(-0.365364--0.64464))+0-137.7--0.280907999999994</f>
        <v>481.71529199999998</v>
      </c>
      <c r="M71" s="3">
        <f>766.6+(242.1-335.7)+(0+(0-0))+0-127.8-0</f>
        <v>545.20000000000005</v>
      </c>
      <c r="N71" s="3">
        <f>760.9+(241.5-349)+(0.776118+(0.24633-0.35598))+0-122.1-0.124542000000019</f>
        <v>531.84192599999994</v>
      </c>
      <c r="O71" s="3">
        <f>762+(221.2-297.3)+(1.55448+(0.451248-0.606492))+0-131.9-0.269075999999994</f>
        <v>555.13015999999993</v>
      </c>
      <c r="P71" s="3">
        <f>742.2+(200.9-222.6)+(-0.757044+(-0.204918--0.227052))+0-144.2--0.147084000000023</f>
        <v>575.71217400000012</v>
      </c>
      <c r="Q71" s="3">
        <f>736.4+(225.8-128.1)+(0+(0-0))+0-148.4-0</f>
        <v>685.7</v>
      </c>
      <c r="R71" s="3">
        <f>734.2+(275.9-209.4)+(-1.123326+(-0.422127--0.320382))+0-141.5--0.216495000000008</f>
        <v>658.1914240000001</v>
      </c>
      <c r="S71" s="3">
        <f>736.6+(316.5-392.9)+(0.751332+(0.32283-0.400758))+0-132.8-0.135456000000021</f>
        <v>527.93794800000001</v>
      </c>
      <c r="T71" s="3">
        <f>736.2+(331.8-461.2)+(0.750924+(0.338436-0.470424))+0-112.7-0.114954000000018</f>
        <v>494.60398200000003</v>
      </c>
      <c r="U71" s="3">
        <f>735.1+(292.4-464.5)+(0+(0-0))+0-74.3-0</f>
        <v>488.7</v>
      </c>
      <c r="V71" s="3">
        <f>731.9+(209.6-356.9)+(-0.746538+(-0.213792--0.364038))+0-70.7--0.0721140000000113</f>
        <v>513.37582200000008</v>
      </c>
      <c r="W71" s="3">
        <f>730.5+(122.9-241.6)+(-1.49022+(-0.250716--0.492864))+0-78.3--0.159731999999997</f>
        <v>532.41165999999998</v>
      </c>
      <c r="X71" s="3">
        <f>728.2+(233-310.6)+(-2.228292+(-0.71298--0.950436))+0-94.6--0.289476000000011</f>
        <v>554.29864000000009</v>
      </c>
      <c r="Y71" s="3">
        <f>741.5+(278.6-299.6)+(0.75633+(0.284172-0.305592))+0-121.1-0.123522000000019</f>
        <v>600.01138800000001</v>
      </c>
      <c r="Z71" s="3">
        <f>741.6+(199.9-148.5)+(-0.378216+(-0.101949--0.075735))+0-142.5--0.0726749999999855</f>
        <v>650.16824499999996</v>
      </c>
      <c r="AA71" s="3">
        <f>762.6+(177.3-174.1)+(-0.777852+(-0.180846--0.177582))+0-152.8--0.155856000000024</f>
        <v>612.37474000000009</v>
      </c>
      <c r="AB71" s="3">
        <f>767.2+(157.4-287.7)+(-1.565088+(-0.321096--0.586908))+0-151.4--0.308855999999993</f>
        <v>484.50958000000014</v>
      </c>
      <c r="AC71" s="3">
        <f>778.7+(125.5-395.9)+(-1.191411+(-0.192015--0.605727))+0-111.4--0.170442000000006</f>
        <v>396.29274300000009</v>
      </c>
      <c r="AD71" s="2">
        <v>672</v>
      </c>
      <c r="AE71" s="3">
        <f>759+(177-182.2)+(0+(0-0))+0-167.8-0</f>
        <v>586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773+(147.9-354.9)+(-1.57692+(-0.301716--0.723996))+0-141.4--0.288455999999994</f>
        <v>423.73381600000005</v>
      </c>
      <c r="G72" s="3">
        <f>757.2+(135.6-300.1)+(-1.544688+(-0.276624--0.612204))+0-141.5--0.288659999999994</f>
        <v>450.27955200000002</v>
      </c>
      <c r="H72" s="3">
        <f>756.2+(120.3-305.3)+(-1.156986+(-0.184059--0.467109))+0-142.4--0.217872000000008</f>
        <v>428.14393600000011</v>
      </c>
      <c r="I72" s="3">
        <f>754.4+(121.7-289.6)+(-2.308464+(-0.372402--0.886176))+0-144.1--0.440946000000017</f>
        <v>441.04625600000003</v>
      </c>
      <c r="J72" s="3">
        <f>758.2+(122.6-294.7)+(-1.546728+(-0.250104--0.601188))+0-139.3--0.284171999999994</f>
        <v>445.88852800000001</v>
      </c>
      <c r="K72" s="3">
        <f>758.3+(144.8-330.3)+(-1.933665+(-0.36924--0.842265))+0-127.7--0.325634999999981</f>
        <v>443.96499499999993</v>
      </c>
      <c r="L72" s="3">
        <f>764.1+(205.9-333.6)+(-1.558764+(-0.420036--0.680544))+0-120.1--0.245003999999995</f>
        <v>515.24674799999991</v>
      </c>
      <c r="M72" s="3">
        <f>774.9+(224.3-321.7)+(2.371194+(0.686358-0.984402))+0-131.4-0.402084000000015</f>
        <v>547.77106600000002</v>
      </c>
      <c r="N72" s="3">
        <f>761.4+(169.6-272.5)+(0+(0-0))+0-133.2-0</f>
        <v>525.29999999999995</v>
      </c>
      <c r="O72" s="3">
        <f>754.4+(168.9-223.3)+(0.769488+(0.172278-0.227766))+0-127.9-0.13045800000002</f>
        <v>572.6835420000001</v>
      </c>
      <c r="P72" s="3">
        <f>747.2+(152.9-148.4)+(-0.762144+(-0.155958--0.151368))+0-133--0.135660000000021</f>
        <v>618.06892600000003</v>
      </c>
      <c r="Q72" s="3">
        <f>750.5+(157-129.9)+(0+(0-0))+0-116.8-0</f>
        <v>660.80000000000007</v>
      </c>
      <c r="R72" s="3">
        <f>748.7+(237.7-190.6)+(-0.381837+(-0.121227--0.097206))+0-116.2--0.0592619999999882</f>
        <v>679.25340400000005</v>
      </c>
      <c r="S72" s="3">
        <f>743+(355.1-369.4)+(-0.75786+(-0.362202--0.376788))+0-122.6--0.12505200000002</f>
        <v>605.48177799999996</v>
      </c>
      <c r="T72" s="3">
        <f>741.1+(278.2-330.6)+(0+(0-0))+0-117.1-0</f>
        <v>571.6</v>
      </c>
      <c r="U72" s="3">
        <f>735.3+(307.8-389.2)+(-0.750006+(-0.313956--0.396984))+0-124.1--0.12658200000002</f>
        <v>529.25960399999997</v>
      </c>
      <c r="V72" s="3">
        <f>729.2+(263.2-339)+(-1.115676+(-0.402696--0.51867))+0-108.6--0.166158000000006</f>
        <v>543.96645600000011</v>
      </c>
      <c r="W72" s="3">
        <f>724.2+(150.6-157.5)+(-2.216052+(-0.460836--0.48195))+0-116.7--0.357102000000014</f>
        <v>598.7621640000001</v>
      </c>
      <c r="X72" s="3">
        <f>733.6+(145.1-198.3)+(-0.374136+(-0.074001--0.101133))+0-125.2--0.0638519999999873</f>
        <v>554.91684799999996</v>
      </c>
      <c r="Y72" s="3">
        <f>737+(204.9-196.9)+(-0.75174+(-0.208998--0.200838))+0-140.5--0.143310000000022</f>
        <v>603.88341000000003</v>
      </c>
      <c r="Z72" s="3">
        <f>746.2+(179.3-115.5)+(0.380562+(0.091443-0.058905))+0-139.5-0.0711449999999858</f>
        <v>670.84195499999998</v>
      </c>
      <c r="AA72" s="3">
        <f>747.4+(173.4-120.3)+(-0.762348+(-0.176868--0.122706))+0-141.2--0.144024000000022</f>
        <v>658.62751400000013</v>
      </c>
      <c r="AB72" s="3">
        <f>755.7+(161.1-245.2)+(-0.770814+(-0.164322--0.250104))+0-138.9--0.141678000000022</f>
        <v>532.15664600000014</v>
      </c>
      <c r="AC72" s="3">
        <f>717.6+(144.5-368.6)+(0.365976+(0.073695-0.187986))+0-112.7-0.0574769999999886</f>
        <v>380.99420800000001</v>
      </c>
      <c r="AD72" s="2">
        <v>674.90000000000009</v>
      </c>
      <c r="AE72" s="3">
        <f>746+(173.5-130.9)+(0+(0-0))+0-135.7-0</f>
        <v>652.90000000000009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696.3+(158-408.7)+(-1.420452+(-0.32232--0.833748))+0-134.5--0.274379999999994</f>
        <v>310.46535599999999</v>
      </c>
      <c r="G73" s="3">
        <f>700.1+(140.1-373)+(0+(0-0))+0-126-0</f>
        <v>341.20000000000005</v>
      </c>
      <c r="H73" s="3">
        <f>703.6+(117.7-314.2)+(-0.358836+(-0.060027--0.160242))+0-134.7--0.0686969999999863</f>
        <v>372.21007600000002</v>
      </c>
      <c r="I73" s="3">
        <f>712.5+(95.1-270.6)+(1.090125+(0.145503-0.414018))+0-138.2-0.211446000000008</f>
        <v>399.41016399999995</v>
      </c>
      <c r="J73" s="3">
        <f>705.4+(85.5-254.9)+(-1.079262+(-0.130815--0.389997))+0-120.7--0.184671000000007</f>
        <v>414.66459100000003</v>
      </c>
      <c r="K73" s="3">
        <f>703.2+(115.3-257.2)+(-1.79316+(-0.294015--0.65586))+0-127.3--0.324614999999982</f>
        <v>432.89330000000001</v>
      </c>
      <c r="L73" s="3">
        <f>709.5+(146.3-295.6)+(-0.72369+(-0.149226--0.301512))+0-114.9--0.117198000000018</f>
        <v>444.84579400000007</v>
      </c>
      <c r="M73" s="3">
        <f>710+(136.7-260.9)+(-0.3621+(-0.069717--0.133059))+0-121.3--0.0618629999999877</f>
        <v>464.26310499999988</v>
      </c>
      <c r="N73" s="3">
        <f>726.5+(186.3-265.3)+(1.852575+(0.475065-0.676515))+0-132.2-0.337109999999981</f>
        <v>516.61401500000011</v>
      </c>
      <c r="O73" s="3">
        <f>753.7+(145.1-229.8)+(1.921935+(0.370005-0.58599))+0-102.8-0.262139999999985</f>
        <v>567.64381000000014</v>
      </c>
      <c r="P73" s="3">
        <f>747.9+(144.9-138)+(1.525716+(0.295596-0.28152))+0-116.4-0.237455999999995</f>
        <v>639.70233600000006</v>
      </c>
      <c r="Q73" s="3">
        <f>726+(195.1-106.9)+(0.74052+(0.199002-0.109038))+0-129.6-0.132192000000021</f>
        <v>685.29829199999995</v>
      </c>
      <c r="R73" s="3">
        <f>730.6+(265.8-260.4)+(0.372606+(0.135558-0.132804))+0-140-0.0713999999999858</f>
        <v>596.30395999999996</v>
      </c>
      <c r="S73" s="3">
        <f>734.6+(344.4-431.9)+(-0.749292+(-0.351288--0.440538))+0-141.6--0.144432000000023</f>
        <v>504.98439000000002</v>
      </c>
      <c r="T73" s="3">
        <f>732.1+(340.6-484.4)+(-0.373371+(-0.173706--0.247044))+0-141.4--0.0721139999999857</f>
        <v>446.67208100000011</v>
      </c>
      <c r="U73" s="3">
        <f>727.6+(323.5-472.9)+(-0.742152+(-0.32997--0.482358))+0-121.9--0.124338000000019</f>
        <v>455.83457400000015</v>
      </c>
      <c r="V73" s="3">
        <f>727.2+(229.5-385)+(0.370872+(0.117045-0.19635))+0-133.9-0.0682889999999864</f>
        <v>438.02327800000006</v>
      </c>
      <c r="W73" s="3">
        <f>728.9+(125-266.8)+(-0.743478+(-0.1275--0.272136))+0-124.4--0.12688800000002</f>
        <v>462.22804599999995</v>
      </c>
      <c r="X73" s="3">
        <f>724.9+(110.6-273.5)+(-0.739398+(-0.112812--0.27897))+0-106.5--0.108630000000017</f>
        <v>455.03538999999995</v>
      </c>
      <c r="Y73" s="3">
        <f>723.4+(173.2-268.4)+(-0.737868+(-0.176664--0.273768))+0-106.6--0.108732000000017</f>
        <v>521.06796800000006</v>
      </c>
      <c r="Z73" s="3">
        <f>735.7+(106.2-199.5)+(-1.125621+(-0.162486--0.305235))+0-124.1--0.189873000000007</f>
        <v>517.50700100000006</v>
      </c>
      <c r="AA73" s="3">
        <f>742.5+(103.2-232.6)+(-1.5147+(-0.210528--0.474504))+0-120.4--0.245615999999995</f>
        <v>491.69489200000004</v>
      </c>
      <c r="AB73" s="3">
        <f>747.8+(92.6-324.2)+(-1.144134+(-0.141678--0.496026))+0-134.7--0.206091000000008</f>
        <v>380.91630499999991</v>
      </c>
      <c r="AC73" s="3">
        <f>750.4+(90.7-405)+(-1.530816+(-0.185028--0.8262))+0-129.1--0.263363999999994</f>
        <v>306.37371999999999</v>
      </c>
      <c r="AD73" s="2">
        <v>666.4</v>
      </c>
      <c r="AE73" s="3">
        <f>742+(95.7-262.7)+(0+(0-0))+0-103.6-0</f>
        <v>471.4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755.7+(118.7-391)+(-1.156221+(-0.181611--0.59823))+0-125.4--0.191862000000007</f>
        <v>357.45226000000002</v>
      </c>
      <c r="G74" s="3">
        <f>759.2+(145.8-388.2)+(-0.387192+(-0.074358--0.197982))+0-136.1--0.0694109999999862</f>
        <v>380.50584300000008</v>
      </c>
      <c r="H74" s="3">
        <f>752.7+(133-420.4)+(-0.767754+(-0.13566--0.428808))+0-110.1--0.112302000000018</f>
        <v>354.83769600000005</v>
      </c>
      <c r="I74" s="3">
        <f>752.9+(119.4-349.3)+(-0.383979+(-0.060894--0.178143))+0-129.2--0.0658919999999869</f>
        <v>393.59916199999992</v>
      </c>
      <c r="J74" s="3">
        <f>759+(99.7-307.5)+(-2.70963+(-0.355929--1.097775))+0-123.1--0.439467000000002</f>
        <v>426.57168299999995</v>
      </c>
      <c r="K74" s="3">
        <f>754.1+(68-312.5)+(-3.84591+(-0.3468--1.59375))+0-121.8--0.621180000000009</f>
        <v>385.82222000000002</v>
      </c>
      <c r="L74" s="3">
        <f>763.6+(69-329.8)+(-0.778872+(-0.07038--0.336396))+0-103.6--0.105672000000017</f>
        <v>398.79281600000002</v>
      </c>
      <c r="M74" s="3">
        <f>650.4+(128.4-230.2)+(0.995112+(0.196452-0.352206))+0-117-0.179010000000007</f>
        <v>432.26034799999996</v>
      </c>
      <c r="N74" s="3">
        <f>613.4+(160.8-162.4)+(1.251336+(0.328032-0.331296))+0-118.7-0.242147999999995</f>
        <v>494.10592399999996</v>
      </c>
      <c r="O74" s="3">
        <f>596.7+(117-169.4)+(-0.304317+(-0.05967--0.086394))+0-122.6--0.0625259999999876</f>
        <v>421.48493300000001</v>
      </c>
      <c r="P74" s="3">
        <f>592+(127.3-138.4)+(0+(0-0))+0-113.1-0</f>
        <v>467.79999999999995</v>
      </c>
      <c r="Q74" s="3">
        <f>647.9+(143.9-223.3)+(0+(0-0))+0-133.5-0</f>
        <v>435</v>
      </c>
      <c r="R74" s="3">
        <f>723+(165.4-380.9)+(1.10619+(0.253062-0.582777))+0-133.7-0.204561000000008</f>
        <v>374.371914</v>
      </c>
      <c r="S74" s="3">
        <f>719+(251.5-464.3)+(-0.73338+(-0.25653--0.473586))+0-131.1--0.133722000000021</f>
        <v>374.717398</v>
      </c>
      <c r="T74" s="3">
        <f>718.7+(301.9-561.1)+(-0.733074+(-0.307938--0.572322))+0-125.9--0.12841800000002</f>
        <v>333.259728</v>
      </c>
      <c r="U74" s="3">
        <f>720.2+(298.3-584.4)+(0+(0-0))+0-128.5-0</f>
        <v>305.60000000000008</v>
      </c>
      <c r="V74" s="3">
        <f>685.6+(251.5-501.3)+(-0.349656+(-0.128265--0.255663))+0-120.3--0.0613529999999878</f>
        <v>315.33909499999999</v>
      </c>
      <c r="W74" s="3">
        <f>668.7+(157.7-340.5)+(-0.682074+(-0.160854--0.34731))+0-146.8--0.149736000000023</f>
        <v>338.75411800000006</v>
      </c>
      <c r="X74" s="3">
        <f>666+(86.7-216.3)+(-1.6983+(-0.221085--0.551565))+0-144.7--0.368984999999979</f>
        <v>390.70116499999989</v>
      </c>
      <c r="Y74" s="3">
        <f>674.1+(160.1-191.3)+(-0.687582+(-0.163302--0.195126))+0-139.5--0.142290000000022</f>
        <v>502.88653199999999</v>
      </c>
      <c r="Z74" s="3">
        <f>699+(155.7-189.4)+(-0.35649+(-0.079407--0.096594))+0-141.4--0.0721139999999857</f>
        <v>523.63281099999995</v>
      </c>
      <c r="AA74" s="3">
        <f>723.1+(150.7-225.4)+(-1.475124+(-0.307428--0.459816))+0-146.7--0.299267999999994</f>
        <v>500.67653200000001</v>
      </c>
      <c r="AB74" s="3">
        <f>724+(142.4-305)+(-0.36924+(-0.072624--0.15555))+0-119.4--0.0608939999999879</f>
        <v>441.77458000000001</v>
      </c>
      <c r="AC74" s="3">
        <f>725.2+(141.5-434.1)+(-1.84926+(-0.360825--1.106955))+0-101.5--0.258824999999985</f>
        <v>330.255695</v>
      </c>
      <c r="AD74" s="2">
        <v>610.09999999999991</v>
      </c>
      <c r="AE74" s="3">
        <f>728+(155.4-223.6)+(0+(0-0))+0-158.7-0</f>
        <v>501.09999999999997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739+(144.8-451.9)+(0.37689+(0.073848-0.230469))+0-119.5-0.0609449999999879</f>
        <v>312.559324</v>
      </c>
      <c r="G75" s="3">
        <f>727.9+(129-467.7)+(0+(0-0))+0-120-0</f>
        <v>269.2</v>
      </c>
      <c r="H75" s="3">
        <f>734+(99.3-451.8)+(1.49736+(0.202572-0.921672))+0-126.1-0.257243999999994</f>
        <v>255.92101600000004</v>
      </c>
      <c r="I75" s="3">
        <f>723.1+(106.5-373)+(-2.212686+(-0.32589--1.14138))+0-127.2--0.389232000000015</f>
        <v>328.39203600000002</v>
      </c>
      <c r="J75" s="3">
        <f>753+(90.5-296.1)+(-0.38403+(-0.046155--0.151011))+0-128.5--0.065534999999987</f>
        <v>418.68636099999998</v>
      </c>
      <c r="K75" s="3">
        <f>757.7+(86.9-288.6)+(-2.318562+(-0.265914--0.883116))+0-125.2--0.383112000000015</f>
        <v>429.48175200000003</v>
      </c>
      <c r="L75" s="3">
        <f>760.7+(114.3-338)+(-1.939785+(-0.291465--0.8619))+0-120.8--0.308039999999982</f>
        <v>415.13868999999994</v>
      </c>
      <c r="M75" s="3">
        <f>770.2+(105.9-331.6)+(0+(0-0))+0-124.3-0</f>
        <v>420.2</v>
      </c>
      <c r="N75" s="3">
        <f>767.2+(85.4-323.7)+(0+(0-0))+0-131.5-0</f>
        <v>397.40000000000009</v>
      </c>
      <c r="O75" s="3">
        <f>755.1+(85.2-238.6)+(0+(0-0))+0-126-0</f>
        <v>475.70000000000005</v>
      </c>
      <c r="P75" s="3">
        <f>738.2+(83.3-232.7)+(-0.376482+(-0.042483--0.118677))+0-120.7--0.0615569999999878</f>
        <v>467.86126900000005</v>
      </c>
      <c r="Q75" s="3">
        <f>728.7+(137.8-233.6)+(-0.371637+(-0.070278--0.119136))+0-121--0.0617099999999877</f>
        <v>511.63893100000013</v>
      </c>
      <c r="R75" s="3">
        <f>718.9+(238.3-356.8)+(-0.366639+(-0.121533--0.181968))+0-122.2--0.0623219999999876</f>
        <v>477.956118</v>
      </c>
      <c r="S75" s="3">
        <f>711.1+(331.4-486.5)+(-0.362661+(-0.169014--0.248115))+0-135.8--0.0692579999999862</f>
        <v>419.98569800000001</v>
      </c>
      <c r="T75" s="3">
        <f>706.9+(314.1-488.2)+(-0.721038+(-0.320382--0.497964))+0-126.8--0.12933600000002</f>
        <v>405.58587999999997</v>
      </c>
      <c r="U75" s="3">
        <f>705.3+(340.9-524.3)+(-0.719406+(-0.347718--0.534786))+0-139.7--0.142494000000022</f>
        <v>381.81015600000001</v>
      </c>
      <c r="V75" s="3">
        <f>699.9+(301.1-462.4)+(-1.070847+(-0.460683--0.707472))+0-147.9--0.226287000000009</f>
        <v>390.10222900000002</v>
      </c>
      <c r="W75" s="3">
        <f>698.9+(133.6-315.8)+(-1.069317+(-0.204408--0.483174))+0-122.4--0.187272000000007</f>
        <v>393.69672099999991</v>
      </c>
      <c r="X75" s="3">
        <f>696.5+(73-254.7)+(-1.776075+(-0.18615--0.649485))+0-127.4--0.324869999999982</f>
        <v>386.41212999999999</v>
      </c>
      <c r="Y75" s="3">
        <f>694.4+(149.3-227.4)+(-1.416576+(-0.304572--0.463896))+0-137.6--0.280703999999994</f>
        <v>477.72345199999995</v>
      </c>
      <c r="Z75" s="3">
        <f>697.6+(131.5-261.5)+(-0.711552+(-0.13413--0.26673))+0-125.3--0.12780600000002</f>
        <v>441.84885400000007</v>
      </c>
      <c r="AA75" s="3">
        <f>703.5+(146.7-319.2)+(-1.793925+(-0.374085--0.81396))+0-156.2--0.398309999999977</f>
        <v>373.84425999999996</v>
      </c>
      <c r="AB75" s="3">
        <f>711.8+(137.5-389.4)+(-1.452072+(-0.2805--0.794376))+0-139.9--0.285395999999994</f>
        <v>319.34719999999993</v>
      </c>
      <c r="AC75" s="3">
        <f>726.7+(130.1-438.9)+(-0.370617+(-0.066351--0.223839))+0-133.7--0.0681869999999864</f>
        <v>284.05505800000009</v>
      </c>
      <c r="AD75" s="2">
        <v>624.19999999999993</v>
      </c>
      <c r="AE75" s="3">
        <f>698+(144.3-350.7)+(0+(0-0))+0-156.4-0</f>
        <v>335.20000000000005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733.1+(90.3-455.5)+(0+(0-0))+0-124.9-0</f>
        <v>243.00000000000003</v>
      </c>
      <c r="G76" s="3">
        <f>733.7+(69.1-487.8)+(-0.748374+(-0.070482--0.497556))+0-119.9--0.122298000000019</f>
        <v>194.90099800000002</v>
      </c>
      <c r="H76" s="3">
        <f>716.4+(83.4-492.9)+(0.365364+(0.042534-0.251379))+0-130.4-0.0665039999999868</f>
        <v>176.59001499999999</v>
      </c>
      <c r="I76" s="3">
        <f>714.6+(79.8-476.8)+(0.728892+(0.081396-0.486336))+0-126.1-0.12862200000002</f>
        <v>191.69533000000004</v>
      </c>
      <c r="J76" s="3">
        <f>707.9+(70.7-454.1)+(-0.722058+(-0.072114--0.463182))+0-129.3--0.131886000000021</f>
        <v>195.00089599999995</v>
      </c>
      <c r="K76" s="3">
        <f>704.5+(46-386.3)+(-0.71859+(-0.04692--0.394026))+0-127.8--0.13035600000002</f>
        <v>236.15887199999997</v>
      </c>
      <c r="L76" s="3">
        <f>702+(72.8-387.2)+(-2.14812+(-0.222768--1.184832))+0-125.9--0.385254000000015</f>
        <v>260.89919800000007</v>
      </c>
      <c r="M76" s="3">
        <f>719.7+(72.8-362)+(1.468188+(0.148512-0.73848))+0-119.6-0.243983999999995</f>
        <v>311.53423600000002</v>
      </c>
      <c r="N76" s="3">
        <f>713.5+(52-296.8)+(0+(0-0))+0-139.7-0</f>
        <v>329</v>
      </c>
      <c r="O76" s="3">
        <f>706.5+(50.5-254.3)+(-0.360315+(-0.025755--0.129693))+0-142.5--0.0726749999999855</f>
        <v>360.01629800000001</v>
      </c>
      <c r="P76" s="3">
        <f>724.7+(51.3-261)+(0+(0-0))+0-130.3-0</f>
        <v>384.7</v>
      </c>
      <c r="Q76" s="3">
        <f>721.5+(80.4-331.6)+(0+(0-0))+0-112.9-0</f>
        <v>357.4</v>
      </c>
      <c r="R76" s="3">
        <f>723.5+(168.1-409.9)+(0+(0-0))+0-138.2-0</f>
        <v>343.50000000000006</v>
      </c>
      <c r="S76" s="3">
        <f>710.9+(236.5-485.7)+(-1.450236+(-0.48246--0.990828))+0-141.9--0.289475999999994</f>
        <v>319.14760799999993</v>
      </c>
      <c r="T76" s="3">
        <f>717.4+(307.9-628.4)+(0.365874+(0.157029-0.320484))+0-135.9-0.0693089999999862</f>
        <v>261.13310999999999</v>
      </c>
      <c r="U76" s="3">
        <f>706.4+(290-584)+(-0.360264+(-0.1479--0.29784))+0-134--0.0683399999999864</f>
        <v>278.25801599999994</v>
      </c>
      <c r="V76" s="3">
        <f>710.1+(228.6-517.6)+(0.724302+(0.233172-0.527952))+0-144.9-0.147798000000023</f>
        <v>276.48172400000004</v>
      </c>
      <c r="W76" s="3">
        <f>699.7+(135.7-349.4)+(-1.070541+(-0.207621--0.534582))+0-148.6--0.227358000000009</f>
        <v>336.88377800000001</v>
      </c>
      <c r="X76" s="3">
        <f>565.7+(90.4-156)+(-0.577014+(-0.092208--0.15912))+0-131.8--0.134436000000021</f>
        <v>367.92433399999999</v>
      </c>
      <c r="Y76" s="3">
        <f>500.6+(194.1-110.1)+(-0.510612+(-0.197982--0.112302))+0-149.8--0.152796000000024</f>
        <v>434.35650400000009</v>
      </c>
      <c r="Z76" s="3">
        <f>620.3+(122.2-209.3)+(0+(0-0))+0-147.3-0</f>
        <v>385.89999999999992</v>
      </c>
      <c r="AA76" s="3">
        <f>641+(148.5-273.6)+(-0.98073+(-0.227205--0.418608))+0-143.1--0.218943000000008</f>
        <v>372.22961600000002</v>
      </c>
      <c r="AB76" s="3">
        <f>610.8+(165.7-340.6)+(-0.623016+(-0.169014--0.347412))+0-133.3--0.135966000000021</f>
        <v>302.29134799999991</v>
      </c>
      <c r="AC76" s="3">
        <f>622.3+(156.1-368.1)+(0.634746+(0.159222-0.375462))+0-133.4-0.136068000000021</f>
        <v>277.18243799999993</v>
      </c>
      <c r="AD76" s="2">
        <v>606.1</v>
      </c>
      <c r="AE76" s="3">
        <f>656+(126.2-284.3)+(0+(0-0))+0-140.1-0</f>
        <v>357.79999999999995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616.9+(150.4-397.2)+(-0.629238+(-0.153408--0.405144))+0-136.4--0.139128000000022</f>
        <v>233.46162600000005</v>
      </c>
      <c r="G77" s="3">
        <f>625.9+(137.2-416.5)+(0.638418+(0.139944-0.42483))+0-130.4-0.133008000000021</f>
        <v>216.42052399999992</v>
      </c>
      <c r="H77" s="3">
        <f>624.7+(117.7-384.7)+(-0.318597+(-0.060027--0.196197))+0-132.3--0.0674729999999866</f>
        <v>225.28504599999999</v>
      </c>
      <c r="I77" s="3">
        <f>629+(92.4-380.2)+(0+(0-0))+0-123.7-0</f>
        <v>217.50000000000006</v>
      </c>
      <c r="J77" s="3">
        <f>628.1+(70-308.7)+(-0.960993+(-0.1071--0.472311))+0-136.6--0.208998000000008</f>
        <v>252.41321600000006</v>
      </c>
      <c r="K77" s="3">
        <f>549.7+(78.7-247.1)+(-0.560694+(-0.080274--0.252042))+0-124.1--0.12658200000002</f>
        <v>256.93765600000012</v>
      </c>
      <c r="L77" s="3">
        <f>535.9+(120.8-251.1)+(-1.366545+(-0.30804--0.640305))+0-115.5--0.294524999999983</f>
        <v>289.36024499999991</v>
      </c>
      <c r="M77" s="3">
        <f>571.8+(132.7-235)+(0.874854+(0.203031-0.35955))+0-134.9-0.206397000000008</f>
        <v>335.11193799999995</v>
      </c>
      <c r="N77" s="3">
        <f>582+(111.9-242.1)+(0.29682+(0.057069-0.123471))+0-121.4-0.0619139999999877</f>
        <v>330.56850399999996</v>
      </c>
      <c r="O77" s="3">
        <f>592+(87.5-270.7)+(0.60384+(0.08925-0.276114))+0-128.3-0.13086600000002</f>
        <v>280.78610999999995</v>
      </c>
      <c r="P77" s="3">
        <f>608.2+(83.5-266.5)+(0+(0-0))+0-127.5-0</f>
        <v>297.70000000000005</v>
      </c>
      <c r="Q77" s="3">
        <f>611.6+(110-252.9)+(-0.935748+(-0.1683--0.386937))+0-146.5--0.224145000000008</f>
        <v>321.70703400000008</v>
      </c>
      <c r="R77" s="3">
        <f>612.8+(146.5-327.2)+(0.312528+(0.074715-0.166872))+0-131.1-0.0668609999999867</f>
        <v>301.15351000000004</v>
      </c>
      <c r="S77" s="3">
        <f>501.4+(246.6-356.4)+(-1.27857+(-0.62883--0.90882))+0-138.7--0.35368499999998</f>
        <v>252.25510500000001</v>
      </c>
      <c r="T77" s="3">
        <f>490.2+(281-412)+(-1.25001+(-0.71655--1.0506))+0-134.6--0.34322999999998</f>
        <v>224.02726999999999</v>
      </c>
      <c r="U77" s="3">
        <f>492.3+(271.9-404.3)+(0+(0-0))+0-150.3-0</f>
        <v>209.59999999999997</v>
      </c>
      <c r="V77" s="3">
        <f>583.4+(198.8-389.2)+(-0.892602+(-0.304164--0.595476))+0-122.1--0.186813000000007</f>
        <v>270.48552300000006</v>
      </c>
      <c r="W77" s="3">
        <f>646.2+(120.3-233.9)+(-1.64781+(-0.306765--0.596445))+0-141--0.35954999999998</f>
        <v>390.60142000000002</v>
      </c>
      <c r="X77" s="3">
        <f>707.7+(155.1-239)+(-1.804635+(-0.395505--0.60945))+0-142.2--0.362609999999979</f>
        <v>480.37192000000005</v>
      </c>
      <c r="Y77" s="3">
        <f>724.4+(147.1-271.8)+(-1.108332+(-0.225063--0.415854))+0-132.1--0.202113000000008</f>
        <v>466.88457199999988</v>
      </c>
      <c r="Z77" s="3">
        <f>738.4+(123.9-329)+(0.753168+(0.126378-0.33558))+0-146.5-0.149430000000023</f>
        <v>387.19453599999991</v>
      </c>
      <c r="AA77" s="3">
        <f>736.4+(121.1-320.3)+(-0.375564+(-0.061761--0.163353))+0-154.5--0.0787949999999843</f>
        <v>382.50482299999993</v>
      </c>
      <c r="AB77" s="3">
        <f>737.6+(112.6-385.8)+(-1.128528+(-0.172278--0.590274))+0-139.5--0.213435000000008</f>
        <v>324.40290299999998</v>
      </c>
      <c r="AC77" s="3">
        <f>737.2+(107.7-459.7)+(-0.751944+(-0.109854--0.468894))+0-132.3--0.134946000000021</f>
        <v>252.64204200000006</v>
      </c>
      <c r="AD77" s="2">
        <v>567.4</v>
      </c>
      <c r="AE77" s="3">
        <f>740+(119.2-355.7)+(0+(0-0))+0-161.1-0</f>
        <v>342.4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742+(88.3-503.4)+(0+(0-0))+0-107-0</f>
        <v>219.90000000000003</v>
      </c>
      <c r="G78" s="3">
        <f>745.8+(82.1-470.1)+(-1.521432+(-0.167484--0.959004))+0-124.7--0.254387999999995</f>
        <v>232.62447599999996</v>
      </c>
      <c r="H78" s="3">
        <f>697.8+(79.4-392.7)+(-1.77939+(-0.20247--1.001385))+0-124.9--0.318494999999982</f>
        <v>258.93801999999994</v>
      </c>
      <c r="I78" s="3">
        <f>685+(71-318.2)+(-0.6987+(-0.07242--0.324564))+0-131.7--0.134334000000021</f>
        <v>305.78777800000006</v>
      </c>
      <c r="J78" s="3">
        <f>688.1+(70-346.9)+(-0.350931+(-0.0357--0.176919))+0-127.1--0.0648209999999871</f>
        <v>283.95510900000005</v>
      </c>
      <c r="K78" s="3">
        <f>684.8+(101.4-398.1)+(-0.349248+(-0.051714--0.203031))+0-104.7--0.0533969999999894</f>
        <v>283.2554659999999</v>
      </c>
      <c r="L78" s="3">
        <f>690.7+(137.6-367.8)+(0+(0-0))+0-101.5-0</f>
        <v>359</v>
      </c>
      <c r="M78" s="3">
        <f>693.6+(128.7-371.7)+(1.061208+(0.196911-0.568701))+0-109.1-0.166923000000006</f>
        <v>342.02249500000005</v>
      </c>
      <c r="N78" s="3">
        <f>680.5+(217.3-396.2)+(-1.041165+(-0.332469--0.606186))+0-106.6--0.163098000000006</f>
        <v>394.39565000000005</v>
      </c>
      <c r="O78" s="3">
        <f>686.8+(225.3-386.7)+(0+(0-0))+0-112.8-0</f>
        <v>412.59999999999997</v>
      </c>
      <c r="P78" s="3">
        <f>713.2+(167.4-304.4)+(0+(0-0))+0-101.9-0</f>
        <v>474.30000000000007</v>
      </c>
      <c r="Q78" s="3">
        <f>519.8+(162.9-59)+(0+(0-0))+0-121.6-0</f>
        <v>502.09999999999991</v>
      </c>
      <c r="R78" s="3">
        <f>605+(139.6-134.8)+(0.6171+(0.142392-0.137496))+0-115.3-0.117606000000018</f>
        <v>495.00438999999989</v>
      </c>
      <c r="S78" s="3">
        <f>711.5+(152.3-281.1)+(-0.362865+(-0.077673--0.143361))+0-120.1--0.0612509999999878</f>
        <v>462.36407399999996</v>
      </c>
      <c r="T78" s="3">
        <f>720.8+(155.5-331.5)+(-0.367608+(-0.079305--0.169065))+0-114.7--0.0584969999999884</f>
        <v>429.88064900000001</v>
      </c>
      <c r="U78" s="3">
        <f>731.2+(141-336.7)+(0+(0-0))+0-121.5-0</f>
        <v>414</v>
      </c>
      <c r="V78" s="3">
        <f>731.2+(115.8-291.8)+(-1.491648+(-0.236232--0.595272))+0-121.7--0.248267999999995</f>
        <v>432.61566000000005</v>
      </c>
      <c r="W78" s="3">
        <f>726.5+(75.9-229.2)+(-2.22309+(-0.232254--0.701352))+0-120.8--0.369648000000014</f>
        <v>451.01565600000004</v>
      </c>
      <c r="X78" s="3">
        <f>691.8+(156.2-322.5)+(-3.175362+(-0.716958--1.480275))+0-116.2--0.53335800000002</f>
        <v>407.421313</v>
      </c>
      <c r="Y78" s="3">
        <f>683.1+(270.9-258.2)+(-1.741905+(-0.690795--0.65841))+0-122.4--0.312119999999982</f>
        <v>571.93782999999996</v>
      </c>
      <c r="Z78" s="3">
        <f>708.2+(129.2-163.3)+(-1.083546+(-0.197676--0.249849))+0-128.4--0.196452000000007</f>
        <v>544.86507900000004</v>
      </c>
      <c r="AA78" s="3">
        <f>734.3+(107-215.9)+(-0.374493+(-0.05457--0.110109))+0-126.7--0.0646169999999871</f>
        <v>498.44566300000002</v>
      </c>
      <c r="AB78" s="3">
        <f>734.5+(104.5-300.1)+(-1.872975+(-0.266475--0.765255))+0-119.6--0.304979999999983</f>
        <v>418.23078499999997</v>
      </c>
      <c r="AC78" s="3">
        <f>740.9+(92.4-353.7)+(-1.511436+(-0.188496--0.721548))+0-104--0.212159999999995</f>
        <v>374.833776</v>
      </c>
      <c r="AD78" s="2">
        <v>657.3</v>
      </c>
      <c r="AE78" s="3">
        <f>733+(102.4-212.1)+(0+(0-0))+0-137-0</f>
        <v>486.29999999999995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751.8+(73-288.6)+(-0.383418+(-0.03723--0.147186))+0-112.7--0.0574769999999886</f>
        <v>423.28401499999995</v>
      </c>
      <c r="G79" s="3">
        <f>755.3+(73-385.9)+(0+(0-0))+0-100.1-0</f>
        <v>342.29999999999995</v>
      </c>
      <c r="H79" s="3">
        <f>760.3+(72-399.4)+(-0.387753+(-0.03672--0.203694))+0-107.8--0.0549779999999891</f>
        <v>324.93419899999998</v>
      </c>
      <c r="I79" s="3">
        <f>757.2+(81.2-388.7)+(-1.158516+(-0.124236--0.594711))+0-113.3--0.173349000000007</f>
        <v>335.88530800000007</v>
      </c>
      <c r="J79" s="3">
        <f>759.9+(108.4-399.7)+(-1.162647+(-0.165852--0.611541))+0-106.6--0.163098000000006</f>
        <v>361.44614000000001</v>
      </c>
      <c r="K79" s="3">
        <f>756.2+(131.6-441.5)+(-1.92831+(-0.33558--1.125825))+0-85.8--0.218789999999988</f>
        <v>359.58072500000009</v>
      </c>
      <c r="L79" s="3">
        <f>729.1+(171.4-394.8)+(-1.115523+(-0.262242--0.604044))+0-84.1--0.128673000000005</f>
        <v>420.95495199999999</v>
      </c>
      <c r="M79" s="3">
        <f>730.3+(212.8-376.3)+(1.117359+(0.325584-0.575739))+0-95.8-0.146574000000006</f>
        <v>471.72062999999997</v>
      </c>
      <c r="N79" s="3">
        <f>742.5+(183.8-408.4)+(1.893375+(0.46869-1.04142))+0-98.5-0.251174999999986</f>
        <v>420.46947000000011</v>
      </c>
      <c r="O79" s="3">
        <f>761.6+(186.7-441.2)+(0.776832+(0.190434-0.450024))+0-91.7-0.0935340000000146</f>
        <v>415.82370800000001</v>
      </c>
      <c r="P79" s="3">
        <f>753.3+(177-349)+(-1.152549+(-0.27081--0.53397))+0-111.6--0.170748000000006</f>
        <v>468.98135899999988</v>
      </c>
      <c r="Q79" s="3">
        <f>767.1+(120.5-276.9)+(1.173663+(0.184365-0.423657))+0-115.3-0.176409000000007</f>
        <v>496.15796200000005</v>
      </c>
      <c r="R79" s="3">
        <f>752.8+(89-204.7)+(0+(0-0))+0-101.3-0</f>
        <v>535.79999999999995</v>
      </c>
      <c r="S79" s="3">
        <f>741.4+(137.4-285.5)+(-0.378114+(-0.070074--0.145605))+0-113--0.0576299999999885</f>
        <v>480.05504699999989</v>
      </c>
      <c r="T79" s="3">
        <f>740.5+(158.4-337.5)+(-0.377655+(-0.080784--0.172125))+0-108--0.055079999999989</f>
        <v>453.16876600000001</v>
      </c>
      <c r="U79" s="3">
        <f>741.8+(184.3-343.7)+(0.378318+(0.093993-0.175287))+0-116-0.0591599999999882</f>
        <v>466.63786399999998</v>
      </c>
      <c r="V79" s="3">
        <f>736.5+(204-362.2)+(-0.75123+(-0.20808--0.369444))+0-126.3--0.12882600000002</f>
        <v>451.53895999999992</v>
      </c>
      <c r="W79" s="3">
        <f>734.7+(110.9-239.2)+(-1.498788+(-0.226236--0.487968))+0-129.5--0.264179999999994</f>
        <v>475.92712400000005</v>
      </c>
      <c r="X79" s="3">
        <f>735.6+(94.4-258.1)+(-0.750312+(-0.096288--0.263262))+0-136.9--0.139638000000022</f>
        <v>434.55630000000002</v>
      </c>
      <c r="Y79" s="3">
        <f>746.3+(228-350.4)+(-1.522452+(-0.46512--0.714816))+0-136.7--0.278867999999994</f>
        <v>486.20611200000002</v>
      </c>
      <c r="Z79" s="3">
        <f>739.6+(136.3-177.7)+(-0.377196+(-0.069513--0.090627))+0-137.9--0.070328999999986</f>
        <v>560.01424700000007</v>
      </c>
      <c r="AA79" s="3">
        <f>742.2+(126.9-153.5)+(-1.135566+(-0.194157--0.234855))+0-134.3--0.205479000000008</f>
        <v>580.41061100000002</v>
      </c>
      <c r="AB79" s="3">
        <f>754.4+(77.4-260)+(0+(0-0))+0-121.2-0</f>
        <v>450.59999999999997</v>
      </c>
      <c r="AC79" s="3">
        <f>750.2+(76.7-365.7)+(-1.147806+(-0.117351--0.559521))+0-121.8--0.186354000000007</f>
        <v>338.880718</v>
      </c>
      <c r="AD79" s="2">
        <v>574</v>
      </c>
      <c r="AE79" s="3">
        <f>740+(88.6-228.4)+(0+(0-0))+0-130.2-0</f>
        <v>470.00000000000006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749.8+(73-388.4)+(-0.764796+(-0.07446--0.396168))+0-114.1--0.116382000000018</f>
        <v>319.97329400000001</v>
      </c>
      <c r="G80" s="3">
        <f>745.2+(71-345.8)+(-0.760104+(-0.07242--0.352716))+0-112.5--0.114750000000018</f>
        <v>357.53494200000006</v>
      </c>
      <c r="H80" s="3">
        <f>730.1+(71-343)+(0+(0-0))+0-108.4-0</f>
        <v>349.70000000000005</v>
      </c>
      <c r="I80" s="3">
        <f>730.1+(94.3-324.7)+(-0.372351+(-0.048093--0.165597))+0-105.8--0.0539579999999893</f>
        <v>393.69911100000002</v>
      </c>
      <c r="J80" s="3">
        <f>731.6+(144.2-338.6)+(-1.119348+(-0.220626--0.518058))+0-100--0.153000000000006</f>
        <v>436.53108400000008</v>
      </c>
      <c r="K80" s="3">
        <f>734.6+(146.2-378)+(-0.749292+(-0.149124--0.38556))+0-93--0.0948600000000148</f>
        <v>409.38200400000005</v>
      </c>
      <c r="L80" s="3">
        <f>729.3+(246.9-406.4)+(-1.487772+(-0.503676--0.829056))+0-101.8--0.207671999999996</f>
        <v>467.04527999999999</v>
      </c>
      <c r="M80" s="3">
        <f>735.6+(151.6-310.9)+(1.125468+(0.231948-0.475677))+0-97.5-0.149175000000006</f>
        <v>479.53256400000009</v>
      </c>
      <c r="N80" s="3">
        <f>780.5+(138.1-323.2)+(1.194165+(0.211293-0.494496))+0-98.4-0.150552000000006</f>
        <v>497.76041000000004</v>
      </c>
      <c r="O80" s="3">
        <f>768.7+(153.2-309.7)+(0+(0-0))+0-70.1-0</f>
        <v>542.1</v>
      </c>
      <c r="P80" s="3">
        <f>785.5+(134.9-242.2)+(0.400605+(0.068799-0.123522))+0-85-0.0433499999999914</f>
        <v>593.50253199999997</v>
      </c>
      <c r="Q80" s="3">
        <f>796.9+(103.5-182.2)+(0+(0-0))+0-75.8-0</f>
        <v>642.40000000000009</v>
      </c>
      <c r="R80" s="3">
        <f>791.6+(164.9-241.3)+(0+(0-0))+0-75.4-0</f>
        <v>639.80000000000007</v>
      </c>
      <c r="S80" s="3">
        <f>738.2+(266.8-359.7)+(-1.129446+(-0.408204--0.550341))+0-97.8--0.149634000000006</f>
        <v>546.66232500000012</v>
      </c>
      <c r="T80" s="3">
        <f>733.4+(280.3-400.1)+(-0.748068+(-0.285906--0.408102))+0-106.8--0.108936000000017</f>
        <v>506.28306399999997</v>
      </c>
      <c r="U80" s="3">
        <f>731.1+(214-333.4)+(-1.491444+(-0.43656--0.680136))+0-107.9--0.220115999999995</f>
        <v>502.77224800000005</v>
      </c>
      <c r="V80" s="3">
        <f>732.8+(163-293.9)+(0.373728+(0.08313-0.149889))+0-121.9-0.0621689999999876</f>
        <v>480.2448</v>
      </c>
      <c r="W80" s="3">
        <f>731.5+(74.9-197.6)+(0+(0-0))+0-122.9-0</f>
        <v>485.9</v>
      </c>
      <c r="X80" s="3">
        <f>731.2+(162-321.8)+(-0.745824+(-0.16524--0.328236))+0-123.1--0.12556200000002</f>
        <v>447.84273400000012</v>
      </c>
      <c r="Y80" s="3">
        <f>738.5+(296.2-294.1)+(-0.376635+(-0.151062--0.149991))+0-117.1--0.0597209999999881</f>
        <v>623.18201499999986</v>
      </c>
      <c r="Z80" s="3">
        <f>742.4+(139.7-183.6)+(0.757248+(0.142494-0.187272))+0-133.1-0.135762000000021</f>
        <v>565.97670800000003</v>
      </c>
      <c r="AA80" s="3">
        <f>740.5+(105.8-221.4)+(-1.132965+(-0.161874--0.338742))+0-133.2--0.203796000000008</f>
        <v>490.947699</v>
      </c>
      <c r="AB80" s="3">
        <f>749.7+(78.9-290.1)+(-0.764694+(-0.080478--0.295902))+0-129.4--0.131988000000021</f>
        <v>408.68271800000008</v>
      </c>
      <c r="AC80" s="3">
        <f>756.3+(77.4-343.7)+(0.385713+(0.039474-0.175287))+0-141.2-0.0720119999999857</f>
        <v>348.97788800000006</v>
      </c>
      <c r="AD80" s="2">
        <v>570.29999999999995</v>
      </c>
      <c r="AE80" s="3">
        <f>752+(79-321.6)+(0+(0-0))+0-126.1-0</f>
        <v>383.29999999999995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744.8+(47-346.5)+(-0.379848+(-0.02397--0.176715))+0-140.9--0.0718589999999857</f>
        <v>304.24475599999988</v>
      </c>
      <c r="G81" s="3">
        <f>744+(47-337.2)+(-0.37944+(-0.02397--0.171972))+0-139.1--0.0709409999999859</f>
        <v>314.53950300000002</v>
      </c>
      <c r="H81" s="3">
        <f>765.1+(47.4-346.7)+(0+(0-0))+0-137.2-0</f>
        <v>328.6</v>
      </c>
      <c r="I81" s="3">
        <f>782.2+(83.2-360.1)+(0+(0-0))+0-141-0</f>
        <v>364.3</v>
      </c>
      <c r="J81" s="3">
        <f>792.1+(110.7-328.9)+(-1.615884+(-0.225828--0.670956))+0-137--0.279479999999994</f>
        <v>436.00872400000009</v>
      </c>
      <c r="K81" s="3">
        <f>749+(137.4-343)+(-1.90995+(-0.35037--0.87465))+0-122--0.311099999999982</f>
        <v>420.32542999999998</v>
      </c>
      <c r="L81" s="3">
        <f>734.1+(253.5-397.9)+(-1.871955+(-0.646425--1.014645))+0-126.3--0.322064999999982</f>
        <v>462.21833000000004</v>
      </c>
      <c r="M81" s="3">
        <f>751.2+(264.8-411)+(0.766224+(0.270096-0.41922))+0-113-0.115260000000018</f>
        <v>492.50184000000002</v>
      </c>
      <c r="N81" s="3">
        <f>737.3+(232.8-339.1)+(-0.376023+(-0.118728--0.172941))+0-117.6--0.0599759999999881</f>
        <v>513.13816599999996</v>
      </c>
      <c r="O81" s="3">
        <f>726+(161.8-283.3)+(-0.74052+(-0.165036--0.288966))+0-139.7--0.142494000000022</f>
        <v>464.32590400000004</v>
      </c>
      <c r="P81" s="3">
        <f>717.3+(121.4-227.8)+(0+(0-0))+0-132.4-0</f>
        <v>478.5</v>
      </c>
      <c r="Q81" s="3">
        <f>707+(96.2-197.5)+(0.36057+(0.049062-0.100725))+0-141.6-0.0722159999999856</f>
        <v>464.33669100000003</v>
      </c>
      <c r="R81" s="3">
        <f>702.4+(125.7-191.6)+(0.716448+(0.128214-0.195432))+0-151.5-0.154530000000024</f>
        <v>485.49469999999997</v>
      </c>
      <c r="S81" s="3">
        <f>692.4+(162.6-230.2)+(-0.353124+(-0.082926--0.117402))+0-145--0.0739499999999853</f>
        <v>479.55530199999987</v>
      </c>
      <c r="T81" s="3">
        <f>689.8+(191-277.3)+(0+(0-0))+0-128.8-0</f>
        <v>474.7</v>
      </c>
      <c r="U81" s="3">
        <f>689.4+(174.3-304.4)+(-0.703188+(-0.177786--0.310488))+0-126.7--0.12923400000002</f>
        <v>432.158748</v>
      </c>
      <c r="V81" s="3">
        <f>690.8+(137.2-272.9)+(0+(0-0))+0-132.7-0</f>
        <v>422.39999999999992</v>
      </c>
      <c r="W81" s="3">
        <f>690.6+(99.2-200.5)+(-0.704412+(-0.101184--0.20451))+0-150.3--0.153306000000024</f>
        <v>438.55222000000009</v>
      </c>
      <c r="X81" s="3">
        <f>682.9+(221.3-309.1)+(-0.696558+(-0.225726--0.315282))+0-140.4--0.143208000000022</f>
        <v>454.23620599999998</v>
      </c>
      <c r="Y81" s="3">
        <f>673.3+(324.7-316)+(-0.686766+(-0.331194--0.32232))+0-139.5--0.142290000000022</f>
        <v>541.94664999999998</v>
      </c>
      <c r="Z81" s="3">
        <f>698.8+(164.1-154.4)+(0.712776+(0.167382-0.157488))+0-145.2-0.148104000000023</f>
        <v>563.87456600000007</v>
      </c>
      <c r="AA81" s="3">
        <f>715.9+(158.9-108.7)+(-0.365109+(-0.081039--0.055437))+0-152.7--0.0778769999999845</f>
        <v>613.08716600000002</v>
      </c>
      <c r="AB81" s="3">
        <f>719.2+(109.3-159.4)+(0.733584+(0.111486-0.162588))+0-150.9-0.153918000000024</f>
        <v>518.72856400000012</v>
      </c>
      <c r="AC81" s="3">
        <f>714.1+(91.3-252.5)+(-0.728382+(-0.093126--0.25755))+0-136.2--0.138924000000022</f>
        <v>416.27496600000018</v>
      </c>
      <c r="AD81" s="2">
        <v>638.6</v>
      </c>
      <c r="AE81" s="3">
        <f>714+(149.2-124.1)+(0+(0-0))+0-140.5-0</f>
        <v>598.6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719.1+(95.6-338)+(-0.366741+(-0.048756--0.17238))+0-144.8--0.0738479999999853</f>
        <v>331.73073100000005</v>
      </c>
      <c r="G82" s="3">
        <f>718.9+(112.4-342.2)+(-1.833195+(-0.28662--0.87261))+0-145--0.369749999999979</f>
        <v>343.22254499999997</v>
      </c>
      <c r="H82" s="3">
        <f>730.4+(100-351.5)+(-0.745008+(-0.102--0.35853))+0-138.6--0.141372000000022</f>
        <v>339.95289400000001</v>
      </c>
      <c r="I82" s="3">
        <f>742.7+(77.7-331.9)+(-0.757554+(-0.079254--0.338538))+0-142.5--0.145350000000023</f>
        <v>345.64708000000007</v>
      </c>
      <c r="J82" s="3">
        <f>748.3+(84.9-302.6)+(-0.381633+(-0.043299--0.154326))+0-136.9--0.0698189999999861</f>
        <v>393.49921299999988</v>
      </c>
      <c r="K82" s="3">
        <f>732.4+(101.6-313.4)+(-1.86762+(-0.25908--0.79917))+0-134.4--0.342719999999981</f>
        <v>385.21519000000001</v>
      </c>
      <c r="L82" s="3">
        <f>673.1+(153.7-235.7)+(-0.686562+(-0.156774--0.240414))+0-140.4--0.143208000000022</f>
        <v>450.24028600000003</v>
      </c>
      <c r="M82" s="3">
        <f>655.3+(292.6-230.2)+(-1.671015+(-0.74613--0.58701))+0-128.9--0.328694999999981</f>
        <v>587.29855999999995</v>
      </c>
      <c r="N82" s="3">
        <f>660.1+(380.9-253.4)+(-0.336651+(-0.194259--0.129234))+0-143.2--0.0730319999999855</f>
        <v>644.07135600000015</v>
      </c>
      <c r="O82" s="3">
        <f>661.5+(371.3-266.1)+(-0.337365+(-0.189363--0.135711))+0-151.1--0.0770609999999847</f>
        <v>615.28604399999995</v>
      </c>
      <c r="P82" s="3">
        <f>657.4+(266.5-219.5)+(-0.670548+(-0.27183--0.22389))+0-127.5--0.13005000000002</f>
        <v>576.31156199999998</v>
      </c>
      <c r="Q82" s="3">
        <f>715.5+(138.6-131)+(0+(0-0))+0-133.4-0</f>
        <v>589.70000000000005</v>
      </c>
      <c r="R82" s="3">
        <f>726+(135.5-160.7)+(-1.11078+(-0.207315--0.245871))+0-131--0.200430000000008</f>
        <v>568.92820599999993</v>
      </c>
      <c r="S82" s="3">
        <f>719+(160.1-246.9)+(-1.46676+(-0.326604--0.503676))+0-143.8--0.293351999999994</f>
        <v>487.40366400000005</v>
      </c>
      <c r="T82" s="3">
        <f>713+(175.1-311.5)+(0.72726+(0.178602-0.31773))+0-120.6-0.123012000000019</f>
        <v>456.46511999999996</v>
      </c>
      <c r="U82" s="3">
        <f>712.5+(156.4-320.1)+(-0.363375+(-0.079764--0.163251))+0-131.3--0.0669629999999867</f>
        <v>417.2870749999999</v>
      </c>
      <c r="V82" s="3">
        <f>713.2+(124.7-290.2)+(-1.091196+(-0.190791--0.444006))+0-114.2--0.174726000000007</f>
        <v>432.83674500000006</v>
      </c>
      <c r="W82" s="3">
        <f>717.2+(79.9-179.5)+(0+(0-0))+0-140.1-0</f>
        <v>477.5</v>
      </c>
      <c r="X82" s="3">
        <f>715+(230.2-320.4)+(-0.7293+(-0.234804--0.326808))+0-126--0.12852000000002</f>
        <v>498.291224</v>
      </c>
      <c r="Y82" s="3">
        <f>720.6+(260.9-342.2)+(0+(0-0))+0-133.9-0</f>
        <v>505.4</v>
      </c>
      <c r="Z82" s="3">
        <f>722.9+(125.6-168.2)+(0.368679+(0.064056-0.085782))+0-127.2-0.0648719999999871</f>
        <v>553.38208099999986</v>
      </c>
      <c r="AA82" s="3">
        <f>720.4+(140-146.7)+(-1.469616+(-0.2856--0.299268))+0-130.9--0.267035999999994</f>
        <v>581.611088</v>
      </c>
      <c r="AB82" s="3">
        <f>716.3+(119.1-166.6)+(-1.826565+(-0.303705--0.42483))+0-139--0.35444999999998</f>
        <v>528.44900999999993</v>
      </c>
      <c r="AC82" s="3">
        <f>725.8+(112.4-236.4)+(-1.110474+(-0.171972--0.361692))+0-128.1--0.195993000000007</f>
        <v>472.97523899999993</v>
      </c>
      <c r="AD82" s="2">
        <v>700.4</v>
      </c>
      <c r="AE82" s="3">
        <f>720+(151.8-130.5)+(0+(0-0))+0-161.1-0</f>
        <v>580.19999999999993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722.6+(126.6-252.9)+(-1.84263+(-0.32283--0.644895))+0-132--0.336599999999981</f>
        <v>463.1160349999999</v>
      </c>
      <c r="G83" s="3">
        <f>730.6+(92.4-265.8)+(-0.745212+(-0.094248--0.271116))+0-132.3--0.134946000000021</f>
        <v>424.46660200000002</v>
      </c>
      <c r="H83" s="3">
        <f>740.1+(77.4-270.4)+(0.377451+(0.039474-0.137904))+0-125.5-0.0640049999999873</f>
        <v>421.81501599999996</v>
      </c>
      <c r="I83" s="3">
        <f>719.2+(89.3-275.6)+(1.467168+(0.182172-0.562224))+0-121.9-0.248675999999995</f>
        <v>411.83844000000016</v>
      </c>
      <c r="J83" s="3">
        <f>714.1+(112.3-268.7)+(-1.092573+(-0.171819--0.411111))+0-103.1--0.157743000000006</f>
        <v>453.90446199999997</v>
      </c>
      <c r="K83" s="3">
        <f>704.4+(138.5-267.2)+(-1.79622+(-0.353175--0.68136))+0-125--0.318749999999982</f>
        <v>449.55071500000003</v>
      </c>
      <c r="L83" s="3">
        <f>622.2+(179.9-210.5)+(-0.634644+(-0.183498--0.21471))+0-118.8--0.121176000000019</f>
        <v>472.317744</v>
      </c>
      <c r="M83" s="3">
        <f>606.5+(231.6-223.7)+(0+(0-0))+0-122-0</f>
        <v>492.4</v>
      </c>
      <c r="N83" s="3">
        <f>604.8+(203.4-181.8)+(0.925344+(0.311202-0.278154))+0-141.1-0.215883000000008</f>
        <v>486.04250899999994</v>
      </c>
      <c r="O83" s="3">
        <f>602+(225.8-151.5)+(0+(0-0))+0-152.4-0</f>
        <v>523.9</v>
      </c>
      <c r="P83" s="3">
        <f>614.3+(178.2-115.8)+(0.313293+(0.090882-0.059058))+0-134.7-0.0686969999999863</f>
        <v>542.2764199999998</v>
      </c>
      <c r="Q83" s="3">
        <f>659.9+(148.6-117.4)+(-0.673098+(-0.151572--0.119748))+0-138.4--0.141168000000022</f>
        <v>552.13624599999991</v>
      </c>
      <c r="R83" s="3">
        <f>699.8+(143.1-166)+(-0.356898+(-0.072981--0.08466))+0-148.6--0.0757859999999849</f>
        <v>528.03056699999991</v>
      </c>
      <c r="S83" s="3">
        <f>694.7+(214.1-276.4)+(-1.062891+(-0.327573--0.422892))+0-141.6--0.216648000000008</f>
        <v>490.04907600000007</v>
      </c>
      <c r="T83" s="3">
        <f>694.9+(185.8-276.5)+(-1.063197+(-0.284274--0.423045))+0-137.8--0.210834000000008</f>
        <v>465.68640800000003</v>
      </c>
      <c r="U83" s="3">
        <f>688.2+(199.2-263.4)+(-1.75491+(-0.50796--0.67167))+0-148.1--0.377654999999978</f>
        <v>474.68645500000002</v>
      </c>
      <c r="V83" s="3">
        <f>697.9+(158.5-204.2)+(-0.355929+(-0.080835--0.104142))+0-98.5--0.05023499999999</f>
        <v>553.41761300000007</v>
      </c>
      <c r="W83" s="3">
        <f>692.1+(132.2-140.4)+(-1.411884+(-0.269688--0.286416))+0-70.2--0.143207999999997</f>
        <v>612.44805199999985</v>
      </c>
      <c r="X83" s="3">
        <f>675.4+(297-202.4)+(-1.72227+(-0.75735--0.51612))+0-130.1--0.331754999999981</f>
        <v>638.26825499999995</v>
      </c>
      <c r="Y83" s="3">
        <f>679.4+(364.6-268)+(-1.039482+(-0.557838--0.41004))+0-127.1--0.194463000000007</f>
        <v>647.90718300000003</v>
      </c>
      <c r="Z83" s="3">
        <f>710.6+(232.8-151.4)+(0+(0-0))+0-128.3-0</f>
        <v>663.7</v>
      </c>
      <c r="AA83" s="3">
        <f>730.5+(181.6-159.9)+(-1.117665+(-0.277848--0.244647))+0-111.8--0.171054000000006</f>
        <v>639.42018800000017</v>
      </c>
      <c r="AB83" s="3">
        <f>724.3+(160.6-179.1)+(-2.216358+(-0.491436--0.548046))+0-124--0.379440000000014</f>
        <v>580.01969199999996</v>
      </c>
      <c r="AC83" s="3">
        <f>741+(152.4-255.9)+(0+(0-0))+0-135.1-0</f>
        <v>502.4</v>
      </c>
      <c r="AD83" s="2">
        <v>705.3</v>
      </c>
      <c r="AE83" s="3">
        <f>728+(188-157.8)+(0+(0-0))+0-128.2-0</f>
        <v>630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750.7+(151.3-238.3)+(-0.765714+(-0.154326--0.243066))+0-130.2--0.132804000000021</f>
        <v>532.95582999999999</v>
      </c>
      <c r="G84" s="3">
        <f>759.9+(163.6-300.6)+(0+(0-0))+0-126.9-0</f>
        <v>496</v>
      </c>
      <c r="H84" s="3">
        <f>758.3+(149.7-299)+(-0.386733+(-0.076347--0.15249))+0-140.3--0.0715529999999858</f>
        <v>468.46096299999994</v>
      </c>
      <c r="I84" s="3">
        <f>761.2+(131.4-284.6)+(-1.164636+(-0.201042--0.435438))+0-129.7--0.198441000000007</f>
        <v>477.56820099999999</v>
      </c>
      <c r="J84" s="3">
        <f>741.4+(131.3-263.8)+(-1.89057+(-0.334815--0.67269))+0-131.6--0.335579999999981</f>
        <v>476.08288499999998</v>
      </c>
      <c r="K84" s="3">
        <f>695.8+(126.9-275.6)+(-1.77429+(-0.323595--0.70278))+0-126.4--0.322319999999982</f>
        <v>419.62721499999998</v>
      </c>
      <c r="L84" s="3">
        <f>699.7+(149.1-288.2)+(-0.713694+(-0.152082--0.293964))+0-126.3--0.12882600000002</f>
        <v>433.85701399999999</v>
      </c>
      <c r="M84" s="3">
        <f>708.3+(277.9-315.3)+(1.083699+(0.425187-0.482409))+0-122.4-0.187272000000007</f>
        <v>549.33920499999988</v>
      </c>
      <c r="N84" s="3">
        <f>699.4+(303-294.9)+(-0.356694+(-0.15453--0.150399))+0-133.2--0.0679319999999865</f>
        <v>574.00710700000002</v>
      </c>
      <c r="O84" s="3">
        <f>706.7+(306.5-299)+(-0.720834+(-0.31263--0.30498))+0-140.8--0.143616000000022</f>
        <v>572.81513200000018</v>
      </c>
      <c r="P84" s="3">
        <f>752.6+(290.4-304.5)+(-0.767652+(-0.296208--0.31059))+0-134.5--0.137190000000021</f>
        <v>603.38391999999999</v>
      </c>
      <c r="Q84" s="3">
        <f>761.2+(192.2-191.2)+(0.776424+(0.196044-0.195024))+0-133.6-0.136272000000021</f>
        <v>629.24117199999989</v>
      </c>
      <c r="R84" s="3">
        <f>757.2+(173-146.1)+(0+(0-0))+0-142.3-0</f>
        <v>641.79999999999995</v>
      </c>
      <c r="S84" s="3">
        <f>752.5+(207.1-213.4)+(-0.383775+(-0.105621--0.108834))+0-152.2--0.0776219999999846</f>
        <v>593.69705999999996</v>
      </c>
      <c r="T84" s="3">
        <f>741.5+(213.6-254)+(0.378165+(0.108936-0.12954))+0-135.1-0.0689009999999863</f>
        <v>566.28866000000005</v>
      </c>
      <c r="U84" s="3">
        <f>665+(193.8-246.5)+(0.6783+(0.197676-0.25143))+0-140-0.142800000000022</f>
        <v>472.78174599999994</v>
      </c>
      <c r="V84" s="3">
        <f>731.2+(185.7-244.1)+(-1.118736+(-0.284121--0.373473))+0-123.2--0.188496000000007</f>
        <v>548.75911199999996</v>
      </c>
      <c r="W84" s="3">
        <f>729.1+(145-189.9)+(-2.231046+(-0.4437--0.581094))+0-113.1--0.346086000000013</f>
        <v>569.35243400000002</v>
      </c>
      <c r="X84" s="3">
        <f>722.4+(323.7-326.7)+(-0.736848+(-0.330174--0.333234))+0-115.2--0.117504000000018</f>
        <v>603.58371599999998</v>
      </c>
      <c r="Y84" s="3">
        <f>722.6+(353.5-299.7)+(-2.211156+(-1.08171--0.917082))+0-145.3--0.444618000000017</f>
        <v>629.16883400000006</v>
      </c>
      <c r="Z84" s="3">
        <f>716.7+(201.5-171)+(0.731034+(0.20553-0.17442))+0-140.5-0.143310000000022</f>
        <v>607.31883400000004</v>
      </c>
      <c r="AA84" s="3">
        <f>705.5+(181.8-158.9)+(-1.079415+(-0.278154--0.243117))+0-157.7--0.241281000000009</f>
        <v>569.82682899999998</v>
      </c>
      <c r="AB84" s="3">
        <f>713.4+(136.2-218.6)+(-0.363834+(-0.069462--0.111486))+0-126.1--0.0643109999999872</f>
        <v>504.64250099999992</v>
      </c>
      <c r="AC84" s="3">
        <f>712.6+(138.7-232.5)+(-1.090278+(-0.212211--0.355725))+0-139.3--0.213129000000008</f>
        <v>478.76636499999989</v>
      </c>
      <c r="AD84" s="2">
        <v>701.39999999999986</v>
      </c>
      <c r="AE84" s="3">
        <f>705+(170.4-167.1)+(0+(0-0))+0-167.6-0</f>
        <v>540.69999999999993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715.3+(154.3-223.7)+(-1.459212+(-0.314772--0.456348))+0-141.4--0.288455999999994</f>
        <v>503.47082</v>
      </c>
      <c r="G85" s="3">
        <f>722.2+(151.7-240.4)+(-0.736644+(-0.154734--0.245208))+0-145--0.147900000000023</f>
        <v>488.00173000000007</v>
      </c>
      <c r="H85" s="3">
        <f>723.4+(164.3-236.8)+(-0.368934+(-0.083793--0.120768))+0-135.5--0.0691049999999863</f>
        <v>515.13714600000003</v>
      </c>
      <c r="I85" s="3">
        <f>721.1+(162.7-252.3)+(-1.103283+(-0.248931--0.386019))+0-148.6--0.227358000000009</f>
        <v>482.16116299999999</v>
      </c>
      <c r="J85" s="3">
        <f>723.3+(154-281.9)+(-1.106649+(-0.23562--0.431307))+0-142.1--0.217413000000008</f>
        <v>452.60645099999994</v>
      </c>
      <c r="K85" s="3">
        <f>723.8+(147.4-297.3)+(-1.476552+(-0.300696--0.606492))+0-141.3--0.288251999999994</f>
        <v>431.71749599999998</v>
      </c>
      <c r="L85" s="3">
        <f>699+(277.5-306.2)+(0+(0-0))+0-123.1-0</f>
        <v>547.19999999999993</v>
      </c>
      <c r="M85" s="3">
        <f>657.8+(323.5-259)+(-1.006434+(-0.494955--0.39627))+0-132.8--0.203184000000008</f>
        <v>588.59806499999991</v>
      </c>
      <c r="N85" s="3">
        <f>630+(302-253)+(0+(0-0))+0-115-0</f>
        <v>564</v>
      </c>
      <c r="O85" s="3">
        <f>688.7+(275.9-275.3)+(0.702474+(0.281418-0.280806))+0-128.9-0.131478000000021</f>
        <v>560.97160799999995</v>
      </c>
      <c r="P85" s="3">
        <f>670+(273.9-236.6)+(1.0251+(0.419067-0.361998))+0-127.2-0.194616000000007</f>
        <v>580.98755299999993</v>
      </c>
      <c r="Q85" s="3">
        <f>720.9+(251.5-136.4)+(0.735318+(0.25653-0.139128))+0-121.3-0.123726000000019</f>
        <v>715.42899399999999</v>
      </c>
      <c r="R85" s="3">
        <f>730.6+(193.1-161.2)+(1.490424+(0.393924-0.328848))+0-137.8-0.281111999999994</f>
        <v>625.97438799999998</v>
      </c>
      <c r="S85" s="3">
        <f>735+(317-270)+(0.37485+(0.16167-0.1377))+0-129.9-0.0662489999999868</f>
        <v>652.43257100000005</v>
      </c>
      <c r="T85" s="3">
        <f>735+(312.3-294.7)+(-0.37485+(-0.159273--0.150297))+0-131--0.0668099999999867</f>
        <v>621.28298400000006</v>
      </c>
      <c r="U85" s="3">
        <f>714.4+(273.8-264)+(0+(0-0))+0-135.1-0</f>
        <v>589.1</v>
      </c>
      <c r="V85" s="3">
        <f>710+(199.5-203.4)+(0+(0-0))+0-107.1-0</f>
        <v>599</v>
      </c>
      <c r="W85" s="3">
        <f>734.1+(136.2-204.7)+(-0.374391+(-0.069462--0.104397))+0-96.8--0.0493679999999902</f>
        <v>568.50991199999999</v>
      </c>
      <c r="X85" s="3">
        <f>736.4+(246.4-330.7)+(-0.375564+(-0.125664--0.168657))+0-106.4--0.0542639999999892</f>
        <v>545.421693</v>
      </c>
      <c r="Y85" s="3">
        <f>710.3+(327.6-277.9)+(-1.811265+(-0.83538--0.708645))+0-95--0.242249999999986</f>
        <v>663.30425000000002</v>
      </c>
      <c r="Z85" s="3">
        <f>732.2+(179-206.4)+(0.746844+(0.18258-0.210528))+0-119-0.121380000000019</f>
        <v>586.397516</v>
      </c>
      <c r="AA85" s="3">
        <f>734.2+(131.6-181.4)+(-1.497768+(-0.268464--0.370056))+0-123.2--0.251327999999995</f>
        <v>560.05515200000002</v>
      </c>
      <c r="AB85" s="3">
        <f>752+(83.6-269.1)+(-1.15056+(-0.127908--0.411723))+0-122.8--0.187884000000007</f>
        <v>443.02113899999995</v>
      </c>
      <c r="AC85" s="3">
        <f>758.2+(85.2-355.3)+(-0.386682+(-0.043452--0.181203))+0-132.4--0.0675239999999866</f>
        <v>355.51859299999995</v>
      </c>
      <c r="AD85" s="2">
        <v>721</v>
      </c>
      <c r="AE85" s="3">
        <f>733+(133.9-174.1)+(0+(0-0))+0-147.1-0</f>
        <v>545.69999999999993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763.3+(84.6-332.6)+(0+(0-0))+0-125.3-0</f>
        <v>389.99999999999994</v>
      </c>
      <c r="G86" s="3">
        <f>756.4+(96.5-286.3)+(-1.543056+(-0.19686--0.584052))+0-117--0.238679999999995</f>
        <v>448.68281599999995</v>
      </c>
      <c r="H86" s="3">
        <f>765.4+(140.3-276.1)+(-0.780708+(-0.143106--0.281622))+0-120.1--0.122502000000019</f>
        <v>508.98030999999986</v>
      </c>
      <c r="I86" s="3">
        <f>776.2+(118.5-303.9)+(1.187586+(0.181305-0.464967))+0-119.2-0.182376000000007</f>
        <v>472.32154800000001</v>
      </c>
      <c r="J86" s="3">
        <f>772.8+(134.2-314.9)+(-0.394128+(-0.068442--0.160599))+0-117.7--0.0600269999999881</f>
        <v>474.15805599999993</v>
      </c>
      <c r="K86" s="3">
        <f>763.1+(163.7-317.5)+(-1.945905+(-0.417435--0.809625))+0-115.1--0.293504999999983</f>
        <v>492.9397899999999</v>
      </c>
      <c r="L86" s="3">
        <f>770.1+(196.1-333.4)+(-0.785502+(-0.200022--0.340068))+0-98.6--0.100572000000016</f>
        <v>533.65511600000013</v>
      </c>
      <c r="M86" s="3">
        <f>777.1+(199.5-296.8)+(1.188963+(0.305235-0.454104))+0-121.7-0.186201000000007</f>
        <v>558.95389299999988</v>
      </c>
      <c r="N86" s="3">
        <f>770.1+(169.5-302.6)+(-0.392751+(-0.086445--0.154326))+0-112.7--0.0574769999999886</f>
        <v>524.03260699999987</v>
      </c>
      <c r="O86" s="3">
        <f>772.5+(153-303.5)+(1.181925+(0.23409-0.464355))+0-132.8-0.203184000000008</f>
        <v>489.94847599999991</v>
      </c>
      <c r="P86" s="3">
        <f>763.6+(188.6-265)+(0.389436+(0.096186-0.13515))+0-120.5-0.0614549999999878</f>
        <v>566.98901699999999</v>
      </c>
      <c r="Q86" s="3">
        <f>757.5+(135-146.3)+(0+(0-0))+0-124.4-0</f>
        <v>621.80000000000007</v>
      </c>
      <c r="R86" s="3">
        <f>767.4+(156.3-168.6)+(0+(0-0))+0-127.4-0</f>
        <v>627.70000000000005</v>
      </c>
      <c r="S86" s="3">
        <f>764.1+(221.4-276.7)+(-0.779382+(-0.225828--0.282234))+0-122.7--0.12515400000002</f>
        <v>585.50217800000007</v>
      </c>
      <c r="T86" s="3">
        <f>761.4+(217.7-318.3)+(-0.388314+(-0.111027--0.162333))+0-96.4--0.0491639999999902</f>
        <v>564.11215600000003</v>
      </c>
      <c r="U86" s="3">
        <f>760.3+(185.5-275.7)+(-0.387753+(-0.094605--0.140607))+0-113.4--0.0578339999999885</f>
        <v>556.41608299999984</v>
      </c>
      <c r="V86" s="3">
        <f>757.4+(140.6-222.9)+(-1.545096+(-0.286824--0.454716))+0-126.8--0.258671999999994</f>
        <v>547.181468</v>
      </c>
      <c r="W86" s="3">
        <f>759.1+(123.4-226.7)+(-0.774282+(-0.125868--0.231234))+0-116.3--0.118626000000019</f>
        <v>538.94971000000021</v>
      </c>
      <c r="X86" s="3">
        <f>731.3+(252.3-356)+(-1.118889+(-0.386019--0.54468))+0-112.9--0.172737000000007</f>
        <v>513.91250899999989</v>
      </c>
      <c r="Y86" s="3">
        <f>732.7+(216-278.8)+(-0.747354+(-0.22032--0.284376))+0-126.9--0.12943800000002</f>
        <v>542.44614000000013</v>
      </c>
      <c r="Z86" s="3">
        <f>738+(113.2-213.3)+(0.37638+(0.057732-0.108783))+0-121.4-0.0619139999999877</f>
        <v>516.76341500000001</v>
      </c>
      <c r="AA86" s="3">
        <f>735.2+(131.8-183.7)+(-1.499808+(-0.268872--0.374748))+0-112.7--0.229907999999995</f>
        <v>569.4359760000001</v>
      </c>
      <c r="AB86" s="3">
        <f>737.5+(108-227)+(0+(0-0))+0-107.4-0</f>
        <v>511.1</v>
      </c>
      <c r="AC86" s="3">
        <f>748.5+(144.6-272.8)+(-0.381735+(-0.073746--0.139128))+0-118--0.060179999999988</f>
        <v>502.04382699999991</v>
      </c>
      <c r="AD86" s="2">
        <v>684.59999999999991</v>
      </c>
      <c r="AE86" s="3">
        <f>739+(130.5-188.2)+(0+(0-0))+0-127-0</f>
        <v>554.29999999999995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744.2+(116.8-361.2)+(-1.518168+(-0.238272--0.736848))+0-111.3--0.227051999999995</f>
        <v>387.70746000000008</v>
      </c>
      <c r="G87" s="3">
        <f>752.4+(102.5-284.8)+(0+(0-0))+0-121.3-0</f>
        <v>448.7999999999999</v>
      </c>
      <c r="H87" s="3">
        <f>757.7+(85.7-260.3)+(0.772854+(0.087414-0.265506))+0-123.3-0.12576600000002</f>
        <v>460.26899599999996</v>
      </c>
      <c r="I87" s="3">
        <f>756.4+(84.8-263.6)+(0+(0-0))+0-111.4-0</f>
        <v>466.19999999999993</v>
      </c>
      <c r="J87" s="3">
        <f>759.5+(110.1-250.8)+(0.77469+(0.112302-0.255816))+0-123.3-0.12576600000002</f>
        <v>496.00540999999993</v>
      </c>
      <c r="K87" s="3">
        <f>747+(139.4-277.4)+(-1.90485+(-0.35547--0.70737))+0-114.6--0.292229999999983</f>
        <v>493.13927999999993</v>
      </c>
      <c r="L87" s="3">
        <f>756.2+(215.7-292)+(-1.156986+(-0.330021--0.44676))+0-106.2--0.162486000000006</f>
        <v>572.82223900000008</v>
      </c>
      <c r="M87" s="3">
        <f>762+(218.5-222.4)+(1.16586+(0.334305-0.340272))+0-113.4-0.173502000000007</f>
        <v>645.68639100000007</v>
      </c>
      <c r="N87" s="3">
        <f>757.2+(191-201.2)+(0.386172+(0.09741-0.102612))+0-106.9-0.0545189999999892</f>
        <v>640.42645100000004</v>
      </c>
      <c r="O87" s="3">
        <f>756.7+(172.6-199.1)+(0.771834+(0.176052-0.203082))+0-91.5-0.0933300000000146</f>
        <v>639.35147400000005</v>
      </c>
      <c r="P87" s="3">
        <f>751.5+(217.2-146.8)+(0.76653+(0.221544-0.149736))+0-119.2-0.121584000000019</f>
        <v>703.41675399999997</v>
      </c>
      <c r="Q87" s="3">
        <f>742.6+(246.8-110.7)+(-1.136178+(-0.377604--0.169371))+0-113.7--0.173961000000007</f>
        <v>763.82954999999993</v>
      </c>
      <c r="R87" s="3">
        <f>759+(294.8-173.9)+(0+(0-0))+0-118.7-0</f>
        <v>761.19999999999993</v>
      </c>
      <c r="S87" s="3">
        <f>769+(349.1-307.2)+(-2.35314+(-1.068246--0.940032))+0-122.4--0.374544000000014</f>
        <v>686.39319000000012</v>
      </c>
      <c r="T87" s="3">
        <f>766.6+(327.8-340.1)+(-0.781932+(-0.334356--0.346902))+0-116.9--0.119238000000019</f>
        <v>636.74985199999992</v>
      </c>
      <c r="U87" s="3">
        <f>757.6+(310.8-356)+(-0.772752+(-0.317016--0.36312))+0-128.1--0.13066200000002</f>
        <v>583.70401400000014</v>
      </c>
      <c r="V87" s="3">
        <f>754.6+(215.3-307.9)+(-1.154538+(-0.329409--0.471087))+0-108.9--0.166617000000006</f>
        <v>552.25375699999995</v>
      </c>
      <c r="W87" s="3">
        <f>752.1+(138.5-211.4)+(-0.383571+(-0.070635--0.107814))+0-131.9--0.0672689999999866</f>
        <v>547.02087700000004</v>
      </c>
      <c r="X87" s="3">
        <f>724.8+(206.4-234.3)+(-1.478592+(-0.421056--0.477972))+0-121.5--0.247859999999995</f>
        <v>574.22618399999988</v>
      </c>
      <c r="Y87" s="3">
        <f>733.1+(210.2-223.6)+(0+(0-0))+0-123.1-0</f>
        <v>596.6</v>
      </c>
      <c r="Z87" s="3">
        <f>741.2+(184.5-187.8)+(0+(0-0))+0-115.6-0</f>
        <v>622.30000000000007</v>
      </c>
      <c r="AA87" s="3">
        <f>745.8+(184.2-155.7)+(-1.141074+(-0.281826--0.238221))+0-135.4--0.207162000000008</f>
        <v>637.92248300000006</v>
      </c>
      <c r="AB87" s="3">
        <f>743.6+(159-193.1)+(-1.516944+(-0.32436--0.393924))+0-130.4--0.266015999999994</f>
        <v>577.91863600000011</v>
      </c>
      <c r="AC87" s="3">
        <f>759+(155.8-258.4)+(-0.38709+(-0.079458--0.131784))+0-140.6--0.0717059999999857</f>
        <v>515.53694200000007</v>
      </c>
      <c r="AD87" s="2">
        <v>644.5</v>
      </c>
      <c r="AE87" s="3">
        <f>744+(169.7-170.2)+(0+(0-0))+0-158-0</f>
        <v>585.5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758.5+(171.1-387.6)+(-0.77367+(-0.174522--0.395352))+0-111--0.113220000000018</f>
        <v>430.56038000000007</v>
      </c>
      <c r="G88" s="3">
        <f>766.5+(151.7-377.6)+(-2.34549+(-0.464202--1.155456))+0-139--0.425340000000016</f>
        <v>400.37110399999995</v>
      </c>
      <c r="H88" s="3">
        <f>758.1+(125-398.5)+(-1.546524+(-0.255--0.81294))+0-125.5--0.256019999999995</f>
        <v>358.367436</v>
      </c>
      <c r="I88" s="3">
        <f>732.6+(97.6-299.7)+(-1.86813+(-0.24888--0.764235))+0-125.6--0.320279999999982</f>
        <v>403.86750499999999</v>
      </c>
      <c r="J88" s="3">
        <f>737.3+(134.3-296.7)+(0+(0-0))+0-126.3-0</f>
        <v>448.59999999999997</v>
      </c>
      <c r="K88" s="3">
        <f>732.9+(144.7-368)+(-1.121337+(-0.221391--0.56304))+0-110.9--0.169677000000006</f>
        <v>398.08998899999995</v>
      </c>
      <c r="L88" s="3">
        <f>752.1+(110.6-381.2)+(0.383571+(0.056406-0.194412))+0-109.5-0.0558449999999889</f>
        <v>372.18972000000002</v>
      </c>
      <c r="M88" s="3">
        <f>750.9+(120.8-336.1)+(0.382959+(0.061608-0.171411))+0-104.9-0.0534989999999894</f>
        <v>430.91965699999992</v>
      </c>
      <c r="N88" s="3">
        <f>736.3+(172-371.7)+(0+(0-0))+0-89.1-0</f>
        <v>447.49999999999989</v>
      </c>
      <c r="O88" s="3">
        <f>733.1+(202.9-412.4)+(0.373881+(0.103479-0.210324))+0-77.2-0.0393719999999922</f>
        <v>446.62766399999998</v>
      </c>
      <c r="P88" s="3">
        <f>729.7+(134-345.9)+(0.372147+(0.06834-0.176409))+0-54-0.0275399999999945</f>
        <v>464.03653800000012</v>
      </c>
      <c r="Q88" s="3">
        <f>728.9+(115.5-254.2)+(1.115217+(0.176715-0.388926))+0-58.5-0.0895050000000034</f>
        <v>532.51350100000002</v>
      </c>
      <c r="R88" s="3">
        <f>723.9+(129.2-246.5)+(2.215134+(0.395352-0.75429))+0-61.4-0.187884000000007</f>
        <v>546.86831199999983</v>
      </c>
      <c r="S88" s="3">
        <f>706.8+(245.9-313)+(0.720936+(0.250818-0.31926))+0-107.3-0.109446000000017</f>
        <v>532.94304799999998</v>
      </c>
      <c r="T88" s="3">
        <f>705.4+(306.3-378.8)+(1.079262+(0.468639-0.579564))+0-110.6-0.169218000000006</f>
        <v>523.09911899999997</v>
      </c>
      <c r="U88" s="3">
        <f>726.4+(299.3-361.3)+(0.370464+(0.152643-0.184263))+0-115.7-0.0590069999999883</f>
        <v>548.97983699999997</v>
      </c>
      <c r="V88" s="3">
        <f>735.2+(229.2-287.7)+(0.374952+(0.116892-0.146727))+0-105.5-0.0538049999999893</f>
        <v>571.49131199999999</v>
      </c>
      <c r="W88" s="3">
        <f>734.4+(142.7-193.2)+(0+(0-0))+0-101.7-0</f>
        <v>582.19999999999993</v>
      </c>
      <c r="X88" s="3">
        <f>719.7+(206.2-257.5)+(-0.734094+(-0.210324--0.26265))+0-101.6--0.103632000000016</f>
        <v>566.2218640000001</v>
      </c>
      <c r="Y88" s="3">
        <f>726.9+(217.5-283.1)+(0+(0-0))+0-119.8-0</f>
        <v>541.5</v>
      </c>
      <c r="Z88" s="3">
        <f>743.9+(121.1-220.5)+(1.138167+(0.185283-0.337365))+0-121.3-0.185589000000007</f>
        <v>524.000496</v>
      </c>
      <c r="AA88" s="3">
        <f>750.7+(146.7-196.6)+(1.531428+(0.299268-0.401064))+0-132.8-0.270911999999994</f>
        <v>569.15872000000013</v>
      </c>
      <c r="AB88" s="3">
        <f>752.6+(147.4-243.8)+(-0.383826+(-0.075174--0.124338))+0-133.6--0.0681359999999864</f>
        <v>522.33347400000002</v>
      </c>
      <c r="AC88" s="3">
        <f>760.4+(152.5-376.6)+(0.387804+(0.077775-0.192066))+0-111.8-0.0570179999999887</f>
        <v>424.71649499999995</v>
      </c>
      <c r="AD88" s="2">
        <v>612.4</v>
      </c>
      <c r="AE88" s="3">
        <f>755+(150.4-232.5)+(0+(0-0))+0-138-0</f>
        <v>534.9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763.3+(154.5-393.9)+(-0.778566+(-0.15759--0.401778))+0-97.4--0.0993480000000155</f>
        <v>426.06497000000007</v>
      </c>
      <c r="G89" s="3">
        <f>761.3+(159.8-361.7)+(-2.329578+(-0.488988--1.106802))+0-91.9--0.281214000000011</f>
        <v>466.06945000000002</v>
      </c>
      <c r="H89" s="3">
        <f>777.8+(128.1-400.2)+(-0.793356+(-0.130662--0.408204))+0-119.6--0.121992000000019</f>
        <v>385.70617799999997</v>
      </c>
      <c r="I89" s="3">
        <f>785.4+(95.1-356.6)+(0.801108+(0.097002-0.363732))+0-124-0.12648000000002</f>
        <v>400.30789799999991</v>
      </c>
      <c r="J89" s="3">
        <f>788.5+(90.3-365.3)+(1.60854+(0.184212-0.745212))+0-125.9-0.256835999999995</f>
        <v>388.39070400000003</v>
      </c>
      <c r="K89" s="3">
        <f>787.8+(65-367.7)+(-0.803556+(-0.0663--0.375054))+0-121.4--0.123828000000019</f>
        <v>363.329026</v>
      </c>
      <c r="L89" s="3">
        <f>801.7+(92.8-354.5)+(2.044335+(0.23664-0.903975))+0-108.1-0.275654999999984</f>
        <v>433.00134499999996</v>
      </c>
      <c r="M89" s="3">
        <f>791.8+(138.9-321)+(1.211454+(0.212517-0.49113))+0-115.3-0.176409000000007</f>
        <v>495.15643199999994</v>
      </c>
      <c r="N89" s="3">
        <f>790.3+(153.2-309.2)+(2.015265+(0.39066-0.78846))+0-120.5-0.307274999999983</f>
        <v>515.11018999999999</v>
      </c>
      <c r="O89" s="3">
        <f>780.4+(153.6-304.3)+(1.99002+(0.39168-0.775965))+0-129.5-0.330224999999981</f>
        <v>501.47550999999993</v>
      </c>
      <c r="P89" s="3">
        <f>769+(96.2-222.2)+(0.78438+(0.098124-0.226644))+0-122.1-0.124542000000019</f>
        <v>521.43131799999992</v>
      </c>
      <c r="Q89" s="3">
        <f>762.4+(84.9-211.3)+(1.94412+(0.216495-0.538815))+0-119-0.303449999999983</f>
        <v>518.31835000000001</v>
      </c>
      <c r="R89" s="3">
        <f>759.9+(124.7-266)+(0.775098+(0.127194-0.27132))+0-101.1-0.103122000000016</f>
        <v>518.02784999999994</v>
      </c>
      <c r="S89" s="3">
        <f>776.6+(144.6-278.3)+(-0.396066+(-0.073746--0.141933))+0-119.4--0.0608939999999879</f>
        <v>523.23301499999991</v>
      </c>
      <c r="T89" s="3">
        <f>780.3+(148.2-300.4)+(0.397953+(0.075582-0.153204))+0-114.2-0.0582419999999884</f>
        <v>514.16208899999992</v>
      </c>
      <c r="U89" s="3">
        <f>788.2+(138.2-277.7)+(0+(0-0))+0-138.7-0</f>
        <v>510.00000000000006</v>
      </c>
      <c r="V89" s="3">
        <f>789.1+(126.1-309.3)+(-0.402441+(-0.064311--0.157743))+0-123.3--0.0628829999999875</f>
        <v>482.35387400000002</v>
      </c>
      <c r="W89" s="3">
        <f>754.3+(79.6-208.9)+(-2.308158+(-0.243576--0.639234))+0-126--0.385560000000015</f>
        <v>497.47305999999998</v>
      </c>
      <c r="X89" s="3">
        <f>725.8+(170.8-284.8)+(-1.480632+(-0.348432--0.580992))+0-130.1--0.265403999999994</f>
        <v>480.71733199999994</v>
      </c>
      <c r="Y89" s="3">
        <f>731.4+(247.5-314.8)+(-1.86507+(-0.631125--0.80274))+0-122.4--0.312119999999982</f>
        <v>540.3186649999999</v>
      </c>
      <c r="Z89" s="3">
        <f>757.1+(130-164)+(0+(0-0))+0-131.7-0</f>
        <v>591.40000000000009</v>
      </c>
      <c r="AA89" s="3">
        <f>760.7+(108.7-170.9)+(-1.163871+(-0.166311--0.261477))+0-137.8--0.210834000000008</f>
        <v>559.84212899999989</v>
      </c>
      <c r="AB89" s="3">
        <f>760.9+(84.7-261.7)+(0+(0-0))+0-123.5-0</f>
        <v>460.4</v>
      </c>
      <c r="AC89" s="3">
        <f>760+(91.8-374)+(-1.5504+(-0.187272--0.76296))+0-123--0.250919999999995</f>
        <v>354.07620800000001</v>
      </c>
      <c r="AD89" s="2">
        <v>694</v>
      </c>
      <c r="AE89" s="3">
        <f>760+(105.9-176.5)+(0+(0-0))+0-145.4-0</f>
        <v>544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761.7+(77-364.7)+(-1.553868+(-0.15708--0.743988))+0-106.1--0.216443999999995</f>
        <v>367.14948400000009</v>
      </c>
      <c r="G90" s="3">
        <f>734.5+(74-303.6)+(-0.374595+(-0.03774--0.154836))+0-121.4--0.0619139999999877</f>
        <v>383.30441499999995</v>
      </c>
      <c r="H90" s="3">
        <f>673.4+(80.6-266.3)+(-1.030302+(-0.123318--0.407439))+0-120.6--0.184518000000007</f>
        <v>366.53833699999996</v>
      </c>
      <c r="I90" s="3">
        <f>669.2+(88.1-253)+(-1.70646+(-0.224655--0.64515))+0-126.4--0.322319999999982</f>
        <v>376.93635500000005</v>
      </c>
      <c r="J90" s="3">
        <f>676.6+(121.2-251)+(-0.345066+(-0.061812--0.12801))+0-126.2--0.0643619999999872</f>
        <v>420.38549399999994</v>
      </c>
      <c r="K90" s="3">
        <f>665.8+(107.9-264.9)+(-1.69779+(-0.275145--0.675495))+0-125.2--0.319259999999982</f>
        <v>382.62181999999996</v>
      </c>
      <c r="L90" s="3">
        <f>679+(108.7-271.9)+(0.34629+(0.055437-0.138669))+0-113.5-0.0578849999999885</f>
        <v>402.50517299999996</v>
      </c>
      <c r="M90" s="3">
        <f>742.2+(130-275)+(1.135566+(0.1989-0.42075))+0-109.9-0.168147000000006</f>
        <v>488.04556900000006</v>
      </c>
      <c r="N90" s="3">
        <f>770.3+(131.2-288.2)+(1.178559+(0.200736-0.440946))+0-97.6-0.149328000000006</f>
        <v>516.48902099999998</v>
      </c>
      <c r="O90" s="3">
        <f>757.7+(221.5-274.9)+(-0.386427+(-0.112965--0.140199))+0-122.3--0.0623729999999876</f>
        <v>581.70318000000009</v>
      </c>
      <c r="P90" s="3">
        <f>770.6+(213.1-300.3)+(0+(0-0))+0-112.2-0</f>
        <v>571.19999999999993</v>
      </c>
      <c r="Q90" s="3">
        <f>777.7+(122.1-221.6)+(0+(0-0))+0-109.4-0</f>
        <v>568.80000000000007</v>
      </c>
      <c r="R90" s="3">
        <f>773+(114.2-184.4)+(0.78846+(0.116484-0.188088))+0-130.1-0.132702000000021</f>
        <v>573.28415399999994</v>
      </c>
      <c r="S90" s="3">
        <f>769.3+(124.7-226.2)+(-1.177029+(-0.190791--0.346086))+0-126.4--0.193392000000007</f>
        <v>540.57165799999996</v>
      </c>
      <c r="T90" s="3">
        <f>760.7+(145.3-239)+(-1.163871+(-0.222309--0.36567))+0-126.8--0.194004000000007</f>
        <v>539.37349400000016</v>
      </c>
      <c r="U90" s="3">
        <f>733.6+(187.2-256.7)+(-0.748272+(-0.190944--0.261834))+0-113.2--0.115464000000018</f>
        <v>550.33808199999999</v>
      </c>
      <c r="V90" s="3">
        <f>736.3+(102.3-184.2)+(0.375513+(0.052173-0.093942))+0-99.2-0.0505919999999899</f>
        <v>555.48315200000002</v>
      </c>
      <c r="W90" s="3">
        <f>733.9+(106-207)+(-1.122867+(-0.16218--0.31671))+0-112--0.171360000000006</f>
        <v>520.10302300000001</v>
      </c>
      <c r="X90" s="3">
        <f>739.1+(243.7-390.1)+(-0.376941+(-0.124287--0.198951))+0-118.7--0.060536999999988</f>
        <v>473.75826000000006</v>
      </c>
      <c r="Y90" s="3">
        <f>740.2+(375.9-417.5)+(-0.377502+(-0.191709--0.212925))+0-137--0.0698699999999861</f>
        <v>561.31358400000011</v>
      </c>
      <c r="Z90" s="3">
        <f>744.2+(271.2-306.5)+(-0.379542+(-0.138312--0.156315))+0-137.9--0.070328999999986</f>
        <v>570.70879000000014</v>
      </c>
      <c r="AA90" s="3">
        <f>745.6+(183.7-226)+(-2.661792+(-0.655809--0.80682))+0-136.6--0.487662000000002</f>
        <v>564.67688099999998</v>
      </c>
      <c r="AB90" s="3">
        <f>762.8+(147.3-238.4)+(-0.389028+(-0.075123--0.121584))+0-134--0.0683399999999864</f>
        <v>537.42577299999994</v>
      </c>
      <c r="AC90" s="3">
        <f>745.3+(122.7-248.3)+(-0.380103+(-0.062577--0.126633))+0-138--0.070379999999986</f>
        <v>481.45433299999991</v>
      </c>
      <c r="AD90" s="2">
        <v>679.8</v>
      </c>
      <c r="AE90" s="3">
        <f>756+(160.5-224.4)+(0+(0-0))+0-160.6-0</f>
        <v>531.5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728.9+(111.9-282.6)+(0+(0-0))+0-123.9-0</f>
        <v>434.29999999999995</v>
      </c>
      <c r="G91" s="3">
        <f>728.5+(130.7-300.1)+(-1.857675+(-0.333285--0.765255))+0-126.3--0.322064999999982</f>
        <v>431.69635999999991</v>
      </c>
      <c r="H91" s="3">
        <f>733.6+(160.5-291.7)+(-0.374136+(-0.081855--0.148767))+0-130.8--0.0667079999999867</f>
        <v>471.35948400000007</v>
      </c>
      <c r="I91" s="3">
        <f>668.4+(193.1-268.2)+(0+(0-0))+0-111.9-0</f>
        <v>481.4</v>
      </c>
      <c r="J91" s="3">
        <f>562.8+(257.3-267.2)+(-0.574056+(-0.262446--0.272544))+0-101.7--0.103734000000016</f>
        <v>450.73977600000006</v>
      </c>
      <c r="K91" s="3">
        <f>556.6+(260.1-322.8)+(-1.41933+(-0.663255--0.82314))+0-117.2--0.298859999999983</f>
        <v>375.73941500000001</v>
      </c>
      <c r="L91" s="3">
        <f>570.8+(251-317.1)+(-0.582216+(-0.25602--0.323442))+0-120.9--0.123318000000019</f>
        <v>383.40852399999994</v>
      </c>
      <c r="M91" s="3">
        <f>583.1+(295.6-387.6)+(0+(0-0))+0-102.6-0</f>
        <v>388.5</v>
      </c>
      <c r="N91" s="3">
        <f>575.1+(269.1-350)+(-0.586602+(-0.274482--0.357))+0-119.6--0.121992000000019</f>
        <v>374.21790800000014</v>
      </c>
      <c r="O91" s="3">
        <f>566.9+(247.9-267)+(0.578238+(0.252858-0.27234))+0-116.7-0.119034000000019</f>
        <v>431.53972199999998</v>
      </c>
      <c r="P91" s="3">
        <f>555.4+(354.4-251.4)+(0.283254+(0.180744-0.128214))+0-114.8-0.0585479999999884</f>
        <v>543.87723600000004</v>
      </c>
      <c r="Q91" s="3">
        <f>548.7+(289.6-165.9)+(0.559674+(0.295392-0.169218))+0-119-0.121380000000019</f>
        <v>553.96446800000001</v>
      </c>
      <c r="R91" s="3">
        <f>545+(194.4-131.7)+(0.27795+(0.099144-0.067167))+0-122.3-0.0623729999999876</f>
        <v>485.64755400000007</v>
      </c>
      <c r="S91" s="3">
        <f>552.7+(198.9-194.5)+(-0.563754+(-0.202878--0.19839))+0-128.9--0.131478000000021</f>
        <v>427.76323600000001</v>
      </c>
      <c r="T91" s="3">
        <f>597.1+(219.5-294.1)+(-0.913563+(-0.335835--0.449973))+0-114.5--0.175185000000007</f>
        <v>407.37575999999996</v>
      </c>
      <c r="U91" s="3">
        <f>680.5+(154.9-346.6)+(-0.347055+(-0.078999--0.176766))+0-126.6--0.0645659999999871</f>
        <v>362.01527799999997</v>
      </c>
      <c r="V91" s="3">
        <f>708.5+(122.6-375.3)+(0.72267+(0.125052-0.382806))+0-118.8-0.121176000000019</f>
        <v>337.34373999999997</v>
      </c>
      <c r="W91" s="3">
        <f>713.2+(76.9-304.2)+(-0.727464+(-0.078438--0.310284))+0-124.5--0.12699000000002</f>
        <v>361.03137200000015</v>
      </c>
      <c r="X91" s="3">
        <f>713.4+(240.3-486.7)+(-1.455336+(-0.490212--0.992868))+0-127.3--0.259691999999994</f>
        <v>339.00701199999997</v>
      </c>
      <c r="Y91" s="3">
        <f>696+(342.8-499.5)+(-0.70992+(-0.349656--0.50949))+0-125.1--0.12760200000002</f>
        <v>413.77751599999999</v>
      </c>
      <c r="Z91" s="3">
        <f>701.1+(222.6-312)+(0+(0-0))+0-135.1-0</f>
        <v>476.6</v>
      </c>
      <c r="AA91" s="3">
        <f>700.1+(121.9-256.5)+(-1.428204+(-0.248676--0.52326))+0-113.8--0.232151999999995</f>
        <v>450.77853199999993</v>
      </c>
      <c r="AB91" s="3">
        <f>705.9+(97-275.9)+(-1.440036+(-0.19788--0.562836))+0-111.4--0.227255999999995</f>
        <v>414.75217600000008</v>
      </c>
      <c r="AC91" s="3">
        <f>711.9+(95-326.5)+(-0.363069+(-0.04845--0.166515))+0-133.9--0.0682889999999864</f>
        <v>346.323285</v>
      </c>
      <c r="AD91" s="2">
        <v>612.70000000000005</v>
      </c>
      <c r="AE91" s="3">
        <f>707+(109.2-267.1)+(0+(0-0))+0-126.4-0</f>
        <v>422.69999999999993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715.8+(77-341.6)+(-0.730116+(-0.07854--0.348432))+0-112.4--0.114648000000018</f>
        <v>338.45442399999996</v>
      </c>
      <c r="G92" s="3">
        <f>708.4+(74-349.5)+(-1.445136+(-0.15096--0.71298))+0-132.3--0.269891999999994</f>
        <v>299.98677599999996</v>
      </c>
      <c r="H92" s="3">
        <f>715.7+(79-359.5)+(-1.095021+(-0.12087--0.550035))+0-123--0.188190000000007</f>
        <v>311.72233400000005</v>
      </c>
      <c r="I92" s="3">
        <f>715.8+(108-341.3)+(-1.460232+(-0.22032--0.696252))+0-130.3--0.265811999999994</f>
        <v>351.4815119999999</v>
      </c>
      <c r="J92" s="3">
        <f>722+(140.9-337.7)+(0.36822+(0.071859-0.172227))+0-118.7-0.060536999999988</f>
        <v>406.70731499999999</v>
      </c>
      <c r="K92" s="3">
        <f>721+(197.8-382.7)+(-1.47084+(-0.403512--0.780708))+0-125.1--0.255203999999995</f>
        <v>410.16155999999995</v>
      </c>
      <c r="L92" s="3">
        <f>730.7+(259.1-437.9)+(1.490628+(0.528564-0.893316))+0-118.7-0.242147999999995</f>
        <v>434.08372800000006</v>
      </c>
      <c r="M92" s="3">
        <f>727.1+(275.2-408)+(0+(0-0))+0-129.1-0</f>
        <v>465.19999999999993</v>
      </c>
      <c r="N92" s="3">
        <f>744.6+(255.4-389.5)+(0.759492+(0.260508-0.39729))+0-131-0.133620000000021</f>
        <v>479.98908999999998</v>
      </c>
      <c r="O92" s="3">
        <f>764.4+(195-386.1)+(0+(0-0))+0-102.7-0</f>
        <v>470.59999999999997</v>
      </c>
      <c r="P92" s="3">
        <f>765.4+(117-332.3)+(0.780708+(0.11934-0.338946))+0-113-0.115260000000018</f>
        <v>437.54584199999988</v>
      </c>
      <c r="Q92" s="3">
        <f>762.9+(82-267.7)+(0.389079+(0.04182-0.136527))+0-117-0.0596699999999881</f>
        <v>460.43470200000002</v>
      </c>
      <c r="R92" s="3">
        <f>761.9+(114.1-265.6)+(0.388569+(0.058191-0.135456))+0-139.2-0.0709919999999859</f>
        <v>471.44031199999995</v>
      </c>
      <c r="S92" s="3">
        <f>750+(157.3-307.9)+(-1.9125+(-0.401115--0.785145))+0-136.7--0.34858499999998</f>
        <v>461.52011500000009</v>
      </c>
      <c r="T92" s="3">
        <f>745.1+(166-335.5)+(-0.760002+(-0.16932--0.34221))+0-140--0.142800000000022</f>
        <v>435.155688</v>
      </c>
      <c r="U92" s="3">
        <f>736.4+(150.3-328.7)+(-1.87782+(-0.383265--0.838185))+0-134.5--0.34297499999998</f>
        <v>422.42007499999994</v>
      </c>
      <c r="V92" s="3">
        <f>734.3+(109-328.5)+(-0.748986+(-0.11118--0.33507))+0-130.4--0.133008000000021</f>
        <v>384.00791200000003</v>
      </c>
      <c r="W92" s="3">
        <f>730+(107.4-251.3)+(-1.8615+(-0.27387--0.640815))+0-133.4--0.340169999999981</f>
        <v>451.54561500000005</v>
      </c>
      <c r="X92" s="3">
        <f>730.2+(311-428.1)+(-1.86201+(-0.79305--1.091655))+0-115.7--0.295034999999983</f>
        <v>496.13163000000003</v>
      </c>
      <c r="Y92" s="3">
        <f>727.7+(305.6-437.6)+(-1.484508+(-0.623424--0.892704))+0-124.1--0.253163999999995</f>
        <v>470.63793599999997</v>
      </c>
      <c r="Z92" s="3">
        <f>741.4+(115.1-253.6)+(0+(0-0))+0-132.6-0</f>
        <v>470.29999999999995</v>
      </c>
      <c r="AA92" s="3">
        <f>744.6+(103.8-231.9)+(-2.278476+(-0.317628--0.709614))+0-140.4--0.429624000000016</f>
        <v>474.64313400000003</v>
      </c>
      <c r="AB92" s="3">
        <f>749.2+(96.4-299.4)+(-1.528368+(-0.196656--0.610776))+0-145.1--0.296003999999994</f>
        <v>400.28175600000003</v>
      </c>
      <c r="AC92" s="3">
        <f>749+(103.4-343.6)+(-0.76398+(-0.105468--0.350472))+0-130.2--0.132804000000021</f>
        <v>378.21382799999998</v>
      </c>
      <c r="AD92" s="2">
        <v>698.5</v>
      </c>
      <c r="AE92" s="3">
        <f>743+(103.4-298.1)+(0+(0-0))+0-148.1-0</f>
        <v>400.19999999999993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762.7+(89.7-315.7)+(-1.166931+(-0.137241--0.483021))+0-140.7--0.215271000000008</f>
        <v>395.3941200000001</v>
      </c>
      <c r="G93" s="3">
        <f>760.7+(103.1-405.8)+(-1.551828+(-0.210324--0.827832))+0-124.3--0.253571999999995</f>
        <v>333.01925199999999</v>
      </c>
      <c r="H93" s="3">
        <f>757.3+(82.1-397.2)+(-1.158669+(-0.125613--0.607716))+0-94.9--0.145197000000005</f>
        <v>346.76863099999997</v>
      </c>
      <c r="I93" s="3">
        <f>766.8+(77.2-363.5)+(-0.391068+(-0.039372--0.185385))+0-121.1--0.0617609999999877</f>
        <v>359.21670599999999</v>
      </c>
      <c r="J93" s="3">
        <f>771.7+(113.9-366.9)+(-0.787134+(-0.116178--0.374238))+0-117.1--0.119442000000019</f>
        <v>401.19036799999998</v>
      </c>
      <c r="K93" s="3">
        <f>781.4+(156.1-379.9)+(-0.797028+(-0.159222--0.387498))+0-130.1--0.132702000000021</f>
        <v>427.06394999999998</v>
      </c>
      <c r="L93" s="3">
        <f>786.9+(163.7-388.5)+(0+(0-0))+0-121.3-0</f>
        <v>440.7999999999999</v>
      </c>
      <c r="M93" s="3">
        <f>790.1+(160.6-353.7)+(0.402951+(0.081906-0.180387))+0-134.2-0.0684419999999864</f>
        <v>463.03602800000004</v>
      </c>
      <c r="N93" s="3">
        <f>794.4+(166.5-384.9)+(0.810288+(0.16983-0.392598))+0-118.8-0.121176000000019</f>
        <v>457.66634400000004</v>
      </c>
      <c r="O93" s="3">
        <f>811.1+(145.9-402.4)+(0.827322+(0.148818-0.410448))+0-137-0.139740000000022</f>
        <v>418.02595200000002</v>
      </c>
      <c r="P93" s="3">
        <f>808.5+(124.3-341.9)+(0+(0-0))+0-126-0</f>
        <v>464.90000000000009</v>
      </c>
      <c r="Q93" s="3">
        <f>793.4+(80-332.5)+(0+(0-0))+0-127.6-0</f>
        <v>413.29999999999995</v>
      </c>
      <c r="R93" s="3">
        <f>759.4+(114.6-328.8)+(-1.93647+(-0.29223--0.83844))+0-130.5--0.332774999999981</f>
        <v>413.64251499999989</v>
      </c>
      <c r="S93" s="3">
        <f>759.3+(149.8-386.1)+(-1.936215+(-0.38199--0.984555))+0-151.5--0.386324999999978</f>
        <v>370.55267499999997</v>
      </c>
      <c r="T93" s="3">
        <f>777.1+(199.7-484.8)+(-0.396321+(-0.101847--0.247248))+0-148.5--0.0757349999999849</f>
        <v>343.324815</v>
      </c>
      <c r="U93" s="3">
        <f>771.4+(187.2-436.9)+(-1.573656+(-0.381888--0.891276))+0-144--0.293759999999994</f>
        <v>376.9294920000001</v>
      </c>
      <c r="V93" s="3">
        <f>753.2+(157.4-404.3)+(-1.536528+(-0.321096--0.824772))+0-144.3--0.294371999999994</f>
        <v>361.26152000000008</v>
      </c>
      <c r="W93" s="3">
        <f>745.1+(105.5-271.5)+(-1.900005+(-0.269025--0.692325))+0-124.1--0.316454999999982</f>
        <v>453.83974999999992</v>
      </c>
      <c r="X93" s="3">
        <f>747.1+(181.1-212.2)+(-1.905105+(-0.461805--0.54111))+0-147.9--0.377144999999979</f>
        <v>566.65134499999999</v>
      </c>
      <c r="Y93" s="3">
        <f>765.6+(182.7-185.7)+(-0.390456+(-0.093177--0.094707))+0-141.3--0.0720629999999857</f>
        <v>620.98313700000006</v>
      </c>
      <c r="Z93" s="3">
        <f>791.4+(146.3-228.3)+(0+(0-0))+0-131.8-0</f>
        <v>577.59999999999991</v>
      </c>
      <c r="AA93" s="3">
        <f>805.4+(102.4-316.7)+(-1.643016+(-0.208896--0.646068))+0-151.5--0.309059999999993</f>
        <v>438.70321600000005</v>
      </c>
      <c r="AB93" s="3">
        <f>808.5+(105.7-329.4)+(-1.237005+(-0.161721--0.503982))+0-154.4--0.236232000000009</f>
        <v>429.74148800000006</v>
      </c>
      <c r="AC93" s="3">
        <f>817+(97.5-411.4)+(-0.83334+(-0.09945--0.419628))+0-134--0.136680000000021</f>
        <v>368.72351800000001</v>
      </c>
      <c r="AD93" s="2">
        <v>672.99999999999989</v>
      </c>
      <c r="AE93" s="3">
        <f>804+(107.1-338)+(0+(0-0))+0-163.6-0</f>
        <v>409.5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820.5+(109.5-445.3)+(-0.83691+(-0.11169--0.454206))+0-135.5--0.138210000000022</f>
        <v>348.843816</v>
      </c>
      <c r="G94" s="3">
        <f>819.7+(95.2-433)+(-0.836094+(-0.097104--0.44166))+0-131.4--0.134028000000021</f>
        <v>350.14249000000001</v>
      </c>
      <c r="H94" s="3">
        <f>827.9+(86.2-427.4)+(0.844458+(0.087924-0.435948))+0-132-0.134640000000021</f>
        <v>355.06179399999996</v>
      </c>
      <c r="I94" s="3">
        <f>823.5+(74.5-447.8)+(-0.83997+(-0.07599--0.456756))+0-128.4--0.13096800000002</f>
        <v>321.47176399999995</v>
      </c>
      <c r="J94" s="3">
        <f>831.8+(68-505.6)+(1.272654+(0.10404-0.773568))+0-129.8-0.198594000000008</f>
        <v>264.80453199999988</v>
      </c>
      <c r="K94" s="3">
        <f>816.7+(66-460.5)+(-2.082585+(-0.1683--1.174275))+0-125.8--0.320789999999982</f>
        <v>295.64418000000001</v>
      </c>
      <c r="L94" s="3">
        <f>806.3+(115.8-446.3)+(-0.411213+(-0.059058--0.227613))+0-122.2--0.0623219999999876</f>
        <v>353.41966399999995</v>
      </c>
      <c r="M94" s="3">
        <f>809+(115.8-407)+(0.82518+(0.118116-0.41514))+0-119.4-0.121788000000019</f>
        <v>398.80636799999991</v>
      </c>
      <c r="N94" s="3">
        <f>806.8+(81.2-430.8)+(0.822936+(0.082824-0.439416))+0-103.1-0.105162000000016</f>
        <v>354.46118199999995</v>
      </c>
      <c r="O94" s="3">
        <f>804.2+(118.3-439.6)+(0.410142+(0.060333-0.224196))+0-98.5-0.05023499999999</f>
        <v>384.59604400000006</v>
      </c>
      <c r="P94" s="3">
        <f>801.9+(155.6-446.6)+(0+(0-0))+0-114.2-0</f>
        <v>396.7</v>
      </c>
      <c r="Q94" s="3">
        <f>810.9+(88.1-407.6)+(1.240677+(0.134793-0.623628))+0-104.8-0.160344000000006</f>
        <v>387.19149799999997</v>
      </c>
      <c r="R94" s="3">
        <f>808.9+(84.3-387.6)+(0.825078+(0.085986-0.395352))+0-118.9-0.121278000000019</f>
        <v>387.09443399999992</v>
      </c>
      <c r="S94" s="3">
        <f>798.2+(138.9-544.3)+(-1.628328+(-0.283356--1.110372))+0-69.2--0.141167999999997</f>
        <v>322.93985600000008</v>
      </c>
      <c r="T94" s="3">
        <f>790.6+(111.2-580.5)+(-1.612824+(-0.226848--1.18422))+0-42.1--0.0858839999999982</f>
        <v>278.63043199999998</v>
      </c>
      <c r="U94" s="3">
        <f>790+(137.5-625.8)+(-0.4029+(-0.070125--0.319158))+0-42--0.0214199999999957</f>
        <v>259.56755300000003</v>
      </c>
      <c r="V94" s="3">
        <f>767+(136.6-542.1)+(-1.17351+(-0.208998--0.829413))+0-54.3--0.0830790000000031</f>
        <v>306.729984</v>
      </c>
      <c r="W94" s="3">
        <f>763.2+(72.6-452.9)+(-1.94616+(-0.18513--1.154895))+0-59.4--0.151469999999991</f>
        <v>322.67507500000011</v>
      </c>
      <c r="X94" s="3">
        <f>762.2+(95.9-404)+(-1.94361+(-0.244545--1.0302))+0-68.2--0.17390999999999</f>
        <v>384.915955</v>
      </c>
      <c r="Y94" s="3">
        <f>769.6+(176.2-388.1)+(-0.392496+(-0.089862--0.197931))+0-108.1--0.055130999999989</f>
        <v>449.37070399999999</v>
      </c>
      <c r="Z94" s="3">
        <f>777.4+(78.8-323.9)+(1.189422+(0.120564-0.495567))+0-121.9-0.186507000000007</f>
        <v>411.02791200000001</v>
      </c>
      <c r="AA94" s="3">
        <f>775.3+(101.8-365.9)+(-1.186209+(-0.155754--0.559827))+0-132.4--0.202572000000008</f>
        <v>378.22043600000006</v>
      </c>
      <c r="AB94" s="3">
        <f>775.4+(83.7-391.5)+(-1.97727+(-0.213435--0.998325))+0-101.7--0.259334999999985</f>
        <v>364.96695499999993</v>
      </c>
      <c r="AC94" s="3">
        <f>786.1+(101.5-440.3)+(-1.202733+(-0.155295--0.673659))+0-132.5--0.202725000000008</f>
        <v>314.31835599999999</v>
      </c>
      <c r="AD94" s="2">
        <v>657.2</v>
      </c>
      <c r="AE94" s="3">
        <f>778+(115.2-385.4)+(0+(0-0))+0-159.1-0</f>
        <v>348.70000000000005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789.2+(94.5-435.2)+(-0.804984+(-0.09639--0.443904))+0-125--0.12750000000002</f>
        <v>323.17003000000005</v>
      </c>
      <c r="G95" s="3">
        <f>786.5+(83.2-361.8)+(-1.60446+(-0.169728--0.738072))+0-127.3--0.259691999999994</f>
        <v>379.82357599999995</v>
      </c>
      <c r="H95" s="3">
        <f>792.8+(71-343.5)+(-0.808656+(-0.07242--0.35037))+0-123.8--0.12627600000002</f>
        <v>396.09556999999995</v>
      </c>
      <c r="I95" s="3">
        <f>797.9+(71-406.7)+(0+(0-0))+0-109-0</f>
        <v>353.2</v>
      </c>
      <c r="J95" s="3">
        <f>795.8+(70-400.1)+(-1.623432+(-0.1428--0.816204))+0-116.9--0.238475999999995</f>
        <v>348.08844799999997</v>
      </c>
      <c r="K95" s="3">
        <f>789+(70.1-442.8)+(-2.01195+(-0.178755--1.12914))+0-107.4--0.273869999999984</f>
        <v>308.11230499999999</v>
      </c>
      <c r="L95" s="3">
        <f>791.4+(71.4-467.7)+(-2.01807+(-0.18207--1.192635))+0-99.8--0.254489999999986</f>
        <v>294.54698500000001</v>
      </c>
      <c r="M95" s="3">
        <f>795.5+(92-432.8)+(-1.217115+(-0.14076--0.662184))+0-110.5--0.169065000000006</f>
        <v>343.67337399999997</v>
      </c>
      <c r="N95" s="3">
        <f>794.6+(78.5-411.8)+(-0.405246+(-0.040035--0.210018))+0-115.3--0.0588029999999883</f>
        <v>345.82354000000004</v>
      </c>
      <c r="O95" s="3">
        <f>776.4+(67-352.8)+(-0.791928+(-0.06834--0.359856))+0-117.5--0.119850000000019</f>
        <v>372.71943800000003</v>
      </c>
      <c r="P95" s="3">
        <f>783.6+(69-348.9)+(0.399636+(0.03519-0.177939))+0-140.3-0.0715529999999858</f>
        <v>363.58533400000005</v>
      </c>
      <c r="Q95" s="3">
        <f>773.3+(69-421.6)+(-0.394383+(-0.03519--0.215016))+0-134.3--0.0684929999999864</f>
        <v>286.2539359999999</v>
      </c>
      <c r="R95" s="3">
        <f>765.6+(108.4-410.4)+(-1.171368+(-0.165852--0.627912))+0-142.5--0.218025000000008</f>
        <v>320.60871700000001</v>
      </c>
      <c r="S95" s="3">
        <f>757.8+(157.4-465.3)+(-1.159434+(-0.240822--0.711909))+0-133.3--0.203949000000008</f>
        <v>316.11560199999997</v>
      </c>
      <c r="T95" s="3">
        <f>752.7+(223.6-537.9)+(-0.383877+(-0.114036--0.274329))+0-136.6--0.0696659999999861</f>
        <v>301.64608200000009</v>
      </c>
      <c r="U95" s="3">
        <f>731.4+(246.2-541.4)+(-0.746028+(-0.251124--0.552228))+0-151.4--0.154428000000024</f>
        <v>284.50950399999994</v>
      </c>
      <c r="V95" s="3">
        <f>715.3+(234.4-535.2)+(-1.094409+(-0.358632--0.818856))+0-129.6--0.198288000000007</f>
        <v>284.46410299999985</v>
      </c>
      <c r="W95" s="3">
        <f>711.6+(160.4-431.6)+(-1.451664+(-0.327216--0.880464))+0-140.2--0.286007999999994</f>
        <v>299.58759199999997</v>
      </c>
      <c r="X95" s="3">
        <f>714.7+(71-323.2)+(-1.093491+(-0.10863--0.494496))+0-135.9--0.207927000000008</f>
        <v>326.100302</v>
      </c>
      <c r="Y95" s="3">
        <f>712.3+(106.1-297.2)+(-1.453092+(-0.216444--0.606288))+0-131.9--0.269075999999994</f>
        <v>388.50582799999989</v>
      </c>
      <c r="Z95" s="3">
        <f>748.5+(78.7-354.6)+(0+(0-0))+0-121.3-0</f>
        <v>351.29999999999995</v>
      </c>
      <c r="AA95" s="3">
        <f>781.4+(78.8-378.9)+(0.398514+(0.040188-0.193239))+0-141.7-0.0722669999999856</f>
        <v>339.77319599999998</v>
      </c>
      <c r="AB95" s="3">
        <f>793.2+(77.6-379.5)+(-1.618128+(-0.158304--0.77418))+0-135.3--0.276011999999994</f>
        <v>355.27376000000004</v>
      </c>
      <c r="AC95" s="3">
        <f>797+(76-434.4)+(-1.21941+(-0.11628--0.664632))+0-135.6--0.207468000000008</f>
        <v>302.53640999999999</v>
      </c>
      <c r="AD95" s="2">
        <v>610.90000000000009</v>
      </c>
      <c r="AE95" s="3">
        <f>775+(78-359.9)+(0+(0-0))+0-168.2-0</f>
        <v>324.90000000000003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771+(48-424.5)+(-0.78642+(-0.04896--0.43299))+0-125.2--0.12770400000002</f>
        <v>269.02531399999998</v>
      </c>
      <c r="G96" s="3">
        <f>770.5+(57.3-356)+(-0.392955+(-0.029223--0.18156))+0-128--0.065279999999987</f>
        <v>343.624662</v>
      </c>
      <c r="H96" s="3">
        <f>767.9+(80.7-387.3)+(-0.783258+(-0.082314--0.395046))+0-124.7--0.12719400000002</f>
        <v>336.25666799999999</v>
      </c>
      <c r="I96" s="3">
        <f>778.9+(95.1-382.6)+(-0.794478+(-0.097002--0.390252))+0-121.7--0.124134000000019</f>
        <v>369.32290599999999</v>
      </c>
      <c r="J96" s="3">
        <f>778.2+(109-398.2)+(-1.190646+(-0.16677--0.609246))+0-122.9--0.188037000000007</f>
        <v>365.53986700000007</v>
      </c>
      <c r="K96" s="3">
        <f>779.5+(114.8-439)+(-1.987725+(-0.29274--1.11945))+0-121.6--0.310079999999982</f>
        <v>332.849065</v>
      </c>
      <c r="L96" s="3">
        <f>799.4+(167.3-458.2)+(0.815388+(0.170646-0.467364))+0-109.1-0.111282000000017</f>
        <v>399.807388</v>
      </c>
      <c r="M96" s="3">
        <f>795.1+(255-502)+(0+(0-0))+0-119-0</f>
        <v>429.1</v>
      </c>
      <c r="N96" s="3">
        <f>790.2+(268.7-449.2)+(0.806004+(0.274074-0.458184))+0-117.9-0.120258000000019</f>
        <v>492.30163600000003</v>
      </c>
      <c r="O96" s="3">
        <f>780.4+(277-431.2)+(0+(0-0))+0-128.5-0</f>
        <v>497.70000000000005</v>
      </c>
      <c r="P96" s="3">
        <f>767.8+(269.8-362.8)+(0.391578+(0.137598-0.185028))+0-131-0.0668099999999867</f>
        <v>544.07733799999994</v>
      </c>
      <c r="Q96" s="3">
        <f>760.7+(141.9-198.4)+(0.775914+(0.144738-0.202368))+0-123-0.12546000000002</f>
        <v>581.79282400000011</v>
      </c>
      <c r="R96" s="3">
        <f>760.6+(119.5-220.9)+(0+(0-0))+0-132.1-0</f>
        <v>527.1</v>
      </c>
      <c r="S96" s="3">
        <f>763.3+(152.2-311.9)+(-0.389283+(-0.077622--0.159069))+0-124.9--0.0636989999999873</f>
        <v>478.45586299999997</v>
      </c>
      <c r="T96" s="3">
        <f>761.3+(190.5-356)+(-0.776526+(-0.19431--0.36312))+0-119.8--0.122196000000019</f>
        <v>475.51447999999999</v>
      </c>
      <c r="U96" s="3">
        <f>754.8+(277.7-466.4)+(0.769896+(0.283254-0.475728))+0-123.1-0.12556200000002</f>
        <v>443.45185999999984</v>
      </c>
      <c r="V96" s="3">
        <f>752.7+(245.4-440.4)+(-1.151631+(-0.375462--0.673812))+0-111.3--0.170289000000006</f>
        <v>445.71700800000002</v>
      </c>
      <c r="W96" s="3">
        <f>750.9+(128.2-282.6)+(-1.914795+(-0.32691--0.72063))+0-127.8--0.325889999999981</f>
        <v>467.50481499999995</v>
      </c>
      <c r="X96" s="3">
        <f>728.3+(130-277.3)+(-1.485732+(-0.2652--0.565692))+0-127.6--0.260303999999994</f>
        <v>452.47506399999997</v>
      </c>
      <c r="Y96" s="3">
        <f>729.3+(216-338.3)+(-1.487772+(-0.44064--0.690132))+0-122.1--0.249083999999995</f>
        <v>483.91080399999993</v>
      </c>
      <c r="Z96" s="3">
        <f>740.3+(117.7-210.6)+(0.755106+(0.120054-0.214812))+0-126.9-0.12943800000002</f>
        <v>521.03090999999995</v>
      </c>
      <c r="AA96" s="3">
        <f>744.4+(139.7-218.2)+(-1.138932+(-0.213741--0.333846))+0-117.7--0.180081000000007</f>
        <v>547.36125399999992</v>
      </c>
      <c r="AB96" s="3">
        <f>749+(132.3-311.2)+(0.38199+(0.067473-0.158712))+0-118.3-0.060332999999988</f>
        <v>452.030418</v>
      </c>
      <c r="AC96" s="3">
        <f>747.4+(122.8-386.9)+(0.381174+(0.062628-0.197319))+0-108-0.055079999999989</f>
        <v>375.49140300000005</v>
      </c>
      <c r="AD96" s="2">
        <v>724.09999999999991</v>
      </c>
      <c r="AE96" s="3">
        <f>743+(145.6-220.1)+(0+(0-0))+0-126.4-0</f>
        <v>542.1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731+(122.1-377.5)+(-1.49124+(-0.249084--0.7701))+0-121.3--0.247451999999995</f>
        <v>353.57722800000005</v>
      </c>
      <c r="G97" s="3">
        <f>736.2+(99.1-376.3)+(-1.126386+(-0.151623--0.575739))+0-118.2--0.180846000000007</f>
        <v>340.27857600000004</v>
      </c>
      <c r="H97" s="3">
        <f>748.6+(76-384.8)+(0.381786+(0.03876-0.196248))+0-113.3-0.0577829999999885</f>
        <v>326.666515</v>
      </c>
      <c r="I97" s="3">
        <f>757.4+(76.3-385)+(1.545096+(0.155652-0.7854))+0-113.3-0.231131999999995</f>
        <v>336.08421599999997</v>
      </c>
      <c r="J97" s="3">
        <f>743.8+(86.8-373.7)+(-1.89669+(-0.22134--0.952935))+0-117.1--0.298604999999983</f>
        <v>338.93351000000001</v>
      </c>
      <c r="K97" s="3">
        <f>757+(108.5-442.1)+(-1.93035+(-0.276675--1.127355))+0-112.6--0.287129999999984</f>
        <v>310.00745999999998</v>
      </c>
      <c r="L97" s="3">
        <f>770.9+(208.9-383.1)+(-1.179477+(-0.319617--0.586143))+0-111.5--0.170595000000006</f>
        <v>484.4576439999999</v>
      </c>
      <c r="M97" s="3">
        <f>787.1+(172.1-357.6)+(1.204263+(0.263313-0.547128))+0-123.9-0.189567000000007</f>
        <v>478.430881</v>
      </c>
      <c r="N97" s="3">
        <f>780+(118.3-346.7)+(0.3978+(0.060333-0.176817))+0-121.5-0.0619649999999877</f>
        <v>430.31935099999998</v>
      </c>
      <c r="O97" s="3">
        <f>771.3+(116.4-316.4)+(0.393363+(0.059364-0.161364))+0-115.4-0.0588539999999883</f>
        <v>456.13250900000003</v>
      </c>
      <c r="P97" s="3">
        <f>757.2+(167-256.2)+(1.158516+(0.25551-0.391986))+0-134-0.205020000000008</f>
        <v>534.81701999999996</v>
      </c>
      <c r="Q97" s="3">
        <f>734.3+(136.8-173.3)+(0+(0-0))+0-123.5-0</f>
        <v>574.29999999999995</v>
      </c>
      <c r="R97" s="3">
        <f>724.6+(209.7-276)+(-1.478184+(-0.427788--0.56304))+0-138.6--0.282743999999994</f>
        <v>518.63981199999989</v>
      </c>
      <c r="S97" s="3">
        <f>724+(226.8-419.3)+(-1.47696+(-0.462672--0.855372))+0-146.9--0.299675999999994</f>
        <v>383.81541600000003</v>
      </c>
      <c r="T97" s="3">
        <f>727.2+(220.9-419.9)+(0+(0-0))+0-141.8-0</f>
        <v>386.40000000000003</v>
      </c>
      <c r="U97" s="3">
        <f>723+(209.1-450.1)+(-0.36873+(-0.106641--0.229551))+0-133.5--0.0680849999999865</f>
        <v>348.32226500000002</v>
      </c>
      <c r="V97" s="3">
        <f>719.2+(184.5-381.3)+(-1.100376+(-0.282285--0.583389))+0-147.4--0.225522000000009</f>
        <v>374.42625000000015</v>
      </c>
      <c r="W97" s="3">
        <f>713.8+(134.3-233.6)+(-1.82019+(-0.342465--0.59568))+0-136.5--0.34807499999998</f>
        <v>476.78110000000004</v>
      </c>
      <c r="X97" s="3">
        <f>713.2+(152.3-246.9)+(-1.454928+(-0.310692--0.503676))+0-132.4--0.270095999999994</f>
        <v>485.20815200000004</v>
      </c>
      <c r="Y97" s="3">
        <f>709.5+(253.8-313.4)+(-1.44738+(-0.517752--0.639336))+0-121.5--0.247859999999995</f>
        <v>527.32206400000007</v>
      </c>
      <c r="Z97" s="3">
        <f>708.2+(135.3-156.7)+(0.361182+(0.069003-0.079917))+0-144-0.0734399999999854</f>
        <v>543.07682800000009</v>
      </c>
      <c r="AA97" s="3">
        <f>731.4+(96.5-200.9)+(-0.373014+(-0.049215--0.102459))+0-145.5--0.0742049999999852</f>
        <v>481.25443500000006</v>
      </c>
      <c r="AB97" s="3">
        <f>730.9+(96.5-269.9)+(-1.863795+(-0.246075--0.688245))+0-133.3--0.339914999999981</f>
        <v>423.11829</v>
      </c>
      <c r="AC97" s="3">
        <f>743.7+(106.7-318.2)+(-0.758574+(-0.108834--0.324564))+0-142.1--0.144942000000023</f>
        <v>389.70209800000009</v>
      </c>
      <c r="AD97" s="2">
        <v>713.10000000000014</v>
      </c>
      <c r="AE97" s="3">
        <f>732+(95.7-247.8)+(0+(0-0))+0-125.8-0</f>
        <v>454.09999999999997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745.6+(97-339.5)+(-1.521024+(-0.19788--0.69258))+0-136.6--0.278663999999994</f>
        <v>365.75234000000006</v>
      </c>
      <c r="G98" s="3">
        <f>753.1+(98.8-377.7)+(-1.152243+(-0.151164--0.577881))+0-146.1--0.223533000000008</f>
        <v>327.59800700000011</v>
      </c>
      <c r="H98" s="3">
        <f>757.1+(111.2-370.5)+(-1.544484+(-0.226848--0.75582))+0-139.8--0.285191999999994</f>
        <v>357.26967999999999</v>
      </c>
      <c r="I98" s="3">
        <f>764.8+(88-351.8)+(-0.390048+(-0.04488--0.179418))+0-140.9--0.0718589999999857</f>
        <v>359.91634899999991</v>
      </c>
      <c r="J98" s="3">
        <f>758.7+(97.1-313)+(-1.547748+(-0.198084--0.63852))+0-141.5--0.288659999999994</f>
        <v>400.48134800000008</v>
      </c>
      <c r="K98" s="3">
        <f>754.6+(121.3-357.3)+(-1.92423+(-0.309315--0.911115))+0-137.6--0.35087999999998</f>
        <v>380.02844999999991</v>
      </c>
      <c r="L98" s="3">
        <f>681.3+(158.3-307.4)+(-1.042389+(-0.242199--0.470322))+0-134.3--0.205479000000008</f>
        <v>397.29121300000008</v>
      </c>
      <c r="M98" s="3">
        <f>650.4+(147.1-273)+(0.663408+(0.150042-0.27846))+0-132.1-0.134742000000021</f>
        <v>392.80024799999995</v>
      </c>
      <c r="N98" s="3">
        <f>641.6+(198.1-289.6)+(0.654432+(0.202062-0.295392))+0-138.6-0.141372000000022</f>
        <v>411.91972999999996</v>
      </c>
      <c r="O98" s="3">
        <f>671.2+(176.3-295.2)+(0+(0-0))+0-106.9-0</f>
        <v>445.40000000000009</v>
      </c>
      <c r="P98" s="3">
        <f>760.2+(132.4-301.4)+(0+(0-0))+0-118.7-0</f>
        <v>472.50000000000006</v>
      </c>
      <c r="Q98" s="3">
        <f>766+(89.3-242.2)+(0.78132+(0.091086-0.247044))+0-141.6-0.144432000000023</f>
        <v>471.98093</v>
      </c>
      <c r="R98" s="3">
        <f>759.6+(123.7-298.3)+(1.162188+(0.189261-0.456399))+0-136.7-0.209151000000008</f>
        <v>448.98589899999996</v>
      </c>
      <c r="S98" s="3">
        <f>746.6+(194.3-374.4)+(-1.523064+(-0.396372--0.763776))+0-124.2--0.253367999999995</f>
        <v>441.39770800000002</v>
      </c>
      <c r="T98" s="3">
        <f>745.3+(200.3-423.5)+(0.380103+(0.102153-0.215985))+0-136.5-0.0696149999999861</f>
        <v>385.79665599999987</v>
      </c>
      <c r="U98" s="3">
        <f>738.3+(185.4-404.7)+(-1.882665+(-0.47277--1.031985))+0-120.3--0.306764999999983</f>
        <v>397.68331499999999</v>
      </c>
      <c r="V98" s="3">
        <f>734.8+(149.7-361.9)+(-1.498992+(-0.305388--0.738276))+0-121.4--0.247655999999995</f>
        <v>400.38155199999994</v>
      </c>
      <c r="W98" s="3">
        <f>729.7+(102.9-243.7)+(-2.232882+(-0.314874--0.745722))+0-135--0.413100000000016</f>
        <v>452.51106600000008</v>
      </c>
      <c r="X98" s="3">
        <f>727.2+(202.5-314.3)+(-2.225232+(-0.61965--0.961758))+0-138.4--0.423504000000016</f>
        <v>475.5403800000002</v>
      </c>
      <c r="Y98" s="3">
        <f>725.8+(321-407.6)+(-1.85079+(-0.81855--1.03938))+0-114.7--0.292484999999983</f>
        <v>523.16252499999985</v>
      </c>
      <c r="Z98" s="3">
        <f>723.8+(178.9-239.7)+(-0.369138+(-0.091239--0.122247))+0-130.4--0.0665039999999868</f>
        <v>532.32837400000005</v>
      </c>
      <c r="AA98" s="3">
        <f>733.3+(100.8-194)+(-0.747966+(-0.102816--0.19788))+0-118.9--0.121278000000019</f>
        <v>520.66837599999997</v>
      </c>
      <c r="AB98" s="3">
        <f>745.8+(94.4-214)+(-0.380358+(-0.048144--0.10914))+0-134--0.0683399999999864</f>
        <v>491.94897799999995</v>
      </c>
      <c r="AC98" s="3">
        <f>757.3+(111.4-245.3)+(-0.772446+(-0.113628--0.250206))+0-134.1--0.136782000000021</f>
        <v>488.80091400000003</v>
      </c>
      <c r="AD98" s="2">
        <v>657.7</v>
      </c>
      <c r="AE98" s="3">
        <f>727+(84-254.4)+(0+(0-0))+0-104.5-0</f>
        <v>452.1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755.3+(107-279)+(-1.540812+(-0.21828--0.56916))+0-140.9--0.287435999999994</f>
        <v>441.49750399999999</v>
      </c>
      <c r="G99" s="3">
        <f>746.4+(112.7-279.2)+(-0.761328+(-0.114954--0.284784))+0-128.7--0.131274000000021</f>
        <v>450.73977600000001</v>
      </c>
      <c r="H99" s="3">
        <f>761+(103.9-307.6)+(-1.55244+(-0.211956--0.627504))+0-135.7--0.276827999999994</f>
        <v>420.73993599999994</v>
      </c>
      <c r="I99" s="3">
        <f>760.5+(106.4-310.5)+(-1.939275+(-0.27132--0.791775))+0-133.3--0.339914999999981</f>
        <v>422.02109499999995</v>
      </c>
      <c r="J99" s="3">
        <f>771.4+(105-341.3)+(0.786828+(0.1071-0.348126))+0-134-0.136680000000021</f>
        <v>401.50912199999988</v>
      </c>
      <c r="K99" s="3">
        <f>766.5+(127-371.7)+(-1.954575+(-0.32385--0.947835))+0-123.6--0.315179999999982</f>
        <v>397.1845899999999</v>
      </c>
      <c r="L99" s="3">
        <f>779.7+(200.8-404.1)+(-1.988235+(-0.51204--1.030455))+0-116.4--0.296819999999983</f>
        <v>458.82700000000006</v>
      </c>
      <c r="M99" s="3">
        <f>786.1+(237.2-402.1)+(0.801822+(0.241944-0.410142))+0-127.4-0.12994800000002</f>
        <v>494.30367600000011</v>
      </c>
      <c r="N99" s="3">
        <f>780+(250.4-364.5)+(0.3978+(0.127704-0.185895))+0-111.4-0.0568139999999887</f>
        <v>554.78279499999996</v>
      </c>
      <c r="O99" s="3">
        <f>771.4+(275.6-394.1)+(-0.393414+(-0.140556--0.200991))+0-137.7--0.070226999999986</f>
        <v>514.93724799999995</v>
      </c>
      <c r="P99" s="3">
        <f>755.2+(178.8-340.1)+(0.385152+(0.091188-0.173451))+0-132.5-0.0675749999999866</f>
        <v>461.63531400000016</v>
      </c>
      <c r="Q99" s="3">
        <f>735+(105.9-184.3)+(-1.12455+(-0.162027--0.281979))+0-138.2--0.211446000000008</f>
        <v>517.60684800000013</v>
      </c>
      <c r="R99" s="3">
        <f>733.3+(132.6-200.8)+(-0.747966+(-0.135252--0.204816))+0-139--0.141780000000022</f>
        <v>525.56337799999994</v>
      </c>
      <c r="S99" s="3">
        <f>721.4+(172-273.9)+(-2.575398+(-0.61404--0.977823))+0-123.9--0.442323000000002</f>
        <v>493.83070799999996</v>
      </c>
      <c r="T99" s="3">
        <f>647+(175.6-317.7)+(-0.32997+(-0.089556--0.162027))+0-109.4--0.0557939999999889</f>
        <v>395.29829499999994</v>
      </c>
      <c r="U99" s="3">
        <f>647.8+(146-302.2)+(0+(0-0))+0-110.2-0</f>
        <v>381.4</v>
      </c>
      <c r="V99" s="3">
        <f>719.2+(127.2-252.5)+(-1.100376+(-0.194616--0.386325))+0-128.1--0.195993000000007</f>
        <v>465.08732600000002</v>
      </c>
      <c r="W99" s="3">
        <f>715.6+(87.2-190.6)+(-1.459824+(-0.177888--0.388824))+0-124.3--0.253571999999995</f>
        <v>486.90468400000009</v>
      </c>
      <c r="X99" s="3">
        <f>713.7+(232.3-376)+(-1.091961+(-0.355419--0.57528))+0-122.6--0.187578000000007</f>
        <v>446.71547799999996</v>
      </c>
      <c r="Y99" s="3">
        <f>717.4+(263.2-360.1)+(-0.731748+(-0.268464--0.367302))+0-135.6--0.138312000000022</f>
        <v>484.40540199999998</v>
      </c>
      <c r="Z99" s="3">
        <f>724.1+(119.8-186.7)+(-0.369291+(-0.061098--0.095217))+0-121.5--0.0619649999999877</f>
        <v>535.42679300000009</v>
      </c>
      <c r="AA99" s="3">
        <f>731.4+(101-197.8)+(-1.119042+(-0.15453--0.302634))+0-114.3--0.174879000000007</f>
        <v>519.50394099999994</v>
      </c>
      <c r="AB99" s="3">
        <f>726.9+(82-259.8)+(-1.482876+(-0.16728--0.529992))+0-117.5--0.239699999999995</f>
        <v>430.71953599999983</v>
      </c>
      <c r="AC99" s="3">
        <f>746.2+(81-371.1)+(-0.761124+(-0.08262--0.378522))+0-120.2--0.122604000000019</f>
        <v>335.55738200000008</v>
      </c>
      <c r="AD99" s="2">
        <v>723.40000000000009</v>
      </c>
      <c r="AE99" s="3">
        <f>738+(104.3-195)+(0+(0-0))+0-111.5-0</f>
        <v>535.79999999999995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736.3+(78-396)+(-0.375513+(-0.03978--0.20196))+0-117.6--0.0599759999999881</f>
        <v>300.54664300000002</v>
      </c>
      <c r="G100" s="3">
        <f>726+(76-370.3)+(-1.11078+(-0.11628--0.566559))+0-109.4--0.167382000000006</f>
        <v>321.80688100000003</v>
      </c>
      <c r="H100" s="3">
        <f>729+(73-330.6)+(-1.11537+(-0.11169--0.505818))+0-111.7--0.170901000000006</f>
        <v>359.14965899999999</v>
      </c>
      <c r="I100" s="3">
        <f>726.5+(75.7-295.6)+(0+(0-0))+0-124.7-0</f>
        <v>381.9</v>
      </c>
      <c r="J100" s="3">
        <f>736.8+(76-312.1)+(-1.87884+(-0.1938--0.795855))+0-135.8--0.34628999999998</f>
        <v>363.96950499999986</v>
      </c>
      <c r="K100" s="3">
        <f>731.6+(127.8-323.2)+(-1.492464+(-0.260712--0.659328))+0-139.7--0.284987999999994</f>
        <v>395.69114000000008</v>
      </c>
      <c r="L100" s="3">
        <f>735.1+(239.7-365.9)+(-1.124703+(-0.366741--0.559827))+0-110.3--0.168759000000006</f>
        <v>497.83714200000014</v>
      </c>
      <c r="M100" s="3">
        <f>740.9+(260.4-399.5)+(0.755718+(0.265608-0.40749))+0-106.9-0.109038000000017</f>
        <v>495.40479799999997</v>
      </c>
      <c r="N100" s="3">
        <f>719.4+(271.4-392.7)+(0.733788+(0.276828-0.400554))+0-99.6-0.101592000000016</f>
        <v>499.00846999999982</v>
      </c>
      <c r="O100" s="3">
        <f>708.9+(269.6-328.5)+(-0.723078+(-0.274992--0.33507))+0-99.8--0.101796000000016</f>
        <v>549.63879600000007</v>
      </c>
      <c r="P100" s="3">
        <f>712.1+(282-325.8)+(0+(0-0))+0-82-0</f>
        <v>586.29999999999995</v>
      </c>
      <c r="Q100" s="3">
        <f>732.3+(180.2-211.6)+(1.120419+(0.275706-0.323748))+0-100.8-0.154224000000006</f>
        <v>601.01815299999998</v>
      </c>
      <c r="R100" s="3">
        <f>722.8+(122.8-149)+(-0.368628+(-0.062628--0.07599))+0-78.1--0.0398309999999921</f>
        <v>618.18456499999979</v>
      </c>
      <c r="S100" s="3">
        <f>724.8+(134.7-262.3)+(-0.739296+(-0.137394--0.267546))+0-77.4--0.0789480000000123</f>
        <v>519.26980399999991</v>
      </c>
      <c r="T100" s="3">
        <f>720.7+(144.1-279.3)+(-0.367557+(-0.073491--0.142443))+0-81.1--0.0413609999999918</f>
        <v>504.14275600000002</v>
      </c>
      <c r="U100" s="3">
        <f>728.6+(143.8-286.1)+(1.114758+(0.220014-0.437733))+0-88.9-0.136017000000005</f>
        <v>498.16102199999995</v>
      </c>
      <c r="V100" s="3">
        <f>723.2+(118.1-241.2)+(-0.737664+(-0.120462--0.246024))+0-85.7--0.0874140000000137</f>
        <v>513.87531199999989</v>
      </c>
      <c r="W100" s="3">
        <f>723.6+(108.2-193.4)+(-1.107108+(-0.165546--0.295902))+0-98.8--0.151164000000006</f>
        <v>538.77441199999998</v>
      </c>
      <c r="X100" s="3">
        <f>703.4+(245.6-346.1)+(-2.152404+(-0.751536--1.059066))+0-104.1--0.318546000000012</f>
        <v>497.27367199999998</v>
      </c>
      <c r="Y100" s="3">
        <f>691.6+(267.4-377.8)+(-1.410864+(-0.545496--0.770712))+0-98.5--0.200939999999996</f>
        <v>481.71529200000003</v>
      </c>
      <c r="Z100" s="3">
        <f>725.6+(107.7-244.1)+(0.740112+(0.109854-0.248982))+0-119.6-0.121992000000019</f>
        <v>470.07899200000003</v>
      </c>
      <c r="AA100" s="3">
        <f>734.6+(102.5-213.3)+(-0.749292+(-0.10455--0.217566))+0-117.8--0.120156000000019</f>
        <v>505.48388</v>
      </c>
      <c r="AB100" s="3">
        <f>739+(82-278)+(0.37689+(0.04182-0.14178))+0-122.6-0.0625259999999876</f>
        <v>420.61440399999998</v>
      </c>
      <c r="AC100" s="3">
        <f>742.5+(80-317.2)+(0+(0-0))+0-130.1-0</f>
        <v>375.20000000000005</v>
      </c>
      <c r="AD100" s="2">
        <v>681</v>
      </c>
      <c r="AE100" s="3">
        <f>732+(82-294.5)+(0+(0-0))+0-118.3-0</f>
        <v>401.2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751+(77-319.4)+(0.38301+(0.03927-0.162894))+0-121.5-0.0619649999999877</f>
        <v>387.29742100000004</v>
      </c>
      <c r="G101" s="3">
        <f>763.8+(94.1-339.1)+(0.779076+(0.095982-0.345882))+0-97.6-0.0995520000000156</f>
        <v>421.62962399999992</v>
      </c>
      <c r="H101" s="3">
        <f>769.5+(120-356.3)+(0+(0-0))+0-90.9-0</f>
        <v>442.30000000000007</v>
      </c>
      <c r="I101" s="3">
        <f>771+(99.2-374.8)+(0.39321+(0.050592-0.191148))+0-113.2-0.0577319999999885</f>
        <v>382.39492200000001</v>
      </c>
      <c r="J101" s="3">
        <f>772.9+(103.6-381.3)+(0.394179+(0.052836-0.194463))+0-128.4-0.065483999999987</f>
        <v>366.98706799999991</v>
      </c>
      <c r="K101" s="3">
        <f>739.9+(123.3-411.1)+(-0.754698+(-0.125766--0.419322))+0-92.1--0.0939420000000147</f>
        <v>359.63280000000003</v>
      </c>
      <c r="L101" s="3">
        <f>692+(256.9-384.8)+(-0.70584+(-0.262038--0.392496))+0-108.3--0.110466000000017</f>
        <v>455.33508399999994</v>
      </c>
      <c r="M101" s="3">
        <f>682.4+(275.1-339.1)+(1.044072+(0.420903-0.518823))+0-119.7-0.183141000000007</f>
        <v>499.46301099999994</v>
      </c>
      <c r="N101" s="3">
        <f>718.9+(265.5-395.5)+(1.833195+(0.677025-1.008525))+0-125.5-0.320024999999982</f>
        <v>464.58167000000003</v>
      </c>
      <c r="O101" s="3">
        <f>760.9+(270.5-397.6)+(1.552236+(0.55182-0.811104))+0-97.1-0.198083999999996</f>
        <v>537.79486799999995</v>
      </c>
      <c r="P101" s="3">
        <f>753.5+(238.9-337.4)+(1.53714+(0.487356-0.688296))+0-88.5-0.180539999999996</f>
        <v>567.65566000000001</v>
      </c>
      <c r="Q101" s="3">
        <f>733.3+(172.8-206.8)+(1.121949+(0.264384-0.316404))+0-88.1-0.134793000000005</f>
        <v>612.13513599999987</v>
      </c>
      <c r="R101" s="3">
        <f>721.9+(91.8-159.2)+(1.472676+(0.187272-0.324768))+0-111.7-0.227867999999995</f>
        <v>543.90731200000005</v>
      </c>
      <c r="S101" s="3">
        <f>691.9+(120.8-242.6)+(-1.764345+(-0.30804--0.61863))+0-107.8--0.274889999999984</f>
        <v>461.12113499999998</v>
      </c>
      <c r="T101" s="3">
        <f>740.4+(134.9-343.8)+(0+(0-0))+0-107.8-0</f>
        <v>423.7</v>
      </c>
      <c r="U101" s="3">
        <f>744.5+(129.3-368.9)+(0+(0-0))+0-120.7-0</f>
        <v>384.20000000000005</v>
      </c>
      <c r="V101" s="3">
        <f>718.9+(114.8-350.7)+(0+(0-0))+0-122.4-0</f>
        <v>360.6</v>
      </c>
      <c r="W101" s="3">
        <f>686.3+(73-248.2)+(-1.400052+(-0.14892--0.506328))+0-135.4--0.276215999999994</f>
        <v>374.93357199999991</v>
      </c>
      <c r="X101" s="3">
        <f>675.4+(181.7-348.9)+(-2.066724+(-0.556002--1.067634))+0-126.8--0.388008000000015</f>
        <v>380.23291599999999</v>
      </c>
      <c r="Y101" s="3">
        <f>689.2+(275.3-341.2)+(-1.405968+(-0.561612--0.696048))+0-132.7--0.270707999999994</f>
        <v>489.59917600000011</v>
      </c>
      <c r="Z101" s="3">
        <f>750.5+(101.5-230.1)+(0.76551+(0.10353-0.234702))+0-137.4-0.140148000000022</f>
        <v>484.99418999999995</v>
      </c>
      <c r="AA101" s="3">
        <f>731.8+(82.5-180.6)+(-2.612526+(-0.294525--0.644742))+0-136.6--0.487662000000002</f>
        <v>495.32535299999995</v>
      </c>
      <c r="AB101" s="3">
        <f>732.6+(81-237.4)+(-1.120878+(-0.12393--0.363222))+0-133.5--0.204255000000008</f>
        <v>442.02266900000006</v>
      </c>
      <c r="AC101" s="3">
        <f>736.3+(97.2-337.3)+(-1.502052+(-0.198288--0.688092))+0-138.7--0.282947999999994</f>
        <v>356.77069999999992</v>
      </c>
      <c r="AD101" s="2">
        <v>655</v>
      </c>
      <c r="AE101" s="3">
        <f>706+(99.4-198.7)+(0+(0-0))+0-165.2-0</f>
        <v>441.50000000000006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710.3+(87.2-367.8)+(0.724506+(0.088944-0.375156))+0-107.7-0.109854000000017</f>
        <v>322.32843999999989</v>
      </c>
      <c r="G102" s="3">
        <f>654.9+(90.1-307.3)+(-1.335996+(-0.183804--0.626892))+0-129.5--0.264179999999994</f>
        <v>307.57127199999996</v>
      </c>
      <c r="H102" s="3">
        <f>617+(76.8-289)+(-0.94401+(-0.117504--0.44217))+0-130.8--0.200124000000008</f>
        <v>273.58078</v>
      </c>
      <c r="I102" s="3">
        <f>622.5+(73-285)+(-0.63495+(-0.07446--0.2907))+0-132--0.134640000000021</f>
        <v>278.21593000000007</v>
      </c>
      <c r="J102" s="3">
        <f>623.1+(71-319.8)+(-0.635562+(-0.07242--0.326196))+0-130.4--0.133008000000021</f>
        <v>243.65122200000005</v>
      </c>
      <c r="K102" s="3">
        <f>622+(69-345.2)+(-0.95166+(-0.10557--0.528156))+0-140.1--0.214353000000008</f>
        <v>205.38527900000005</v>
      </c>
      <c r="L102" s="3">
        <f>616.9+(100.9-278.4)+(-1.573095+(-0.257295--0.70992))+0-119.6--0.304979999999983</f>
        <v>318.98451</v>
      </c>
      <c r="M102" s="3">
        <f>623.7+(120.5-260.4)+(-0.318087+(-0.061455--0.132804))+0-97.1--0.0495209999999901</f>
        <v>386.50278300000008</v>
      </c>
      <c r="N102" s="3">
        <f>619+(74.8-288.4)+(-0.63138+(-0.076296--0.294168))+0-139--0.141780000000022</f>
        <v>266.12827200000009</v>
      </c>
      <c r="O102" s="3">
        <f>650.7+(81.4-287)+(-0.995571+(-0.124542--0.43911))+0-110.7--0.169371000000006</f>
        <v>333.88836800000007</v>
      </c>
      <c r="P102" s="3">
        <f>705.7+(78-311.6)+(0+(0-0))+0-128.3-0</f>
        <v>343.8</v>
      </c>
      <c r="Q102" s="3">
        <f>702.7+(77-277.8)+(0.716754+(0.07854-0.283356))+0-123.2-0.12566400000002</f>
        <v>379.086274</v>
      </c>
      <c r="R102" s="3">
        <f>695.6+(100.9-266.8)+(0.354756+(0.051459-0.136068))+0-121-0.0617099999999877</f>
        <v>408.90843699999999</v>
      </c>
      <c r="S102" s="3">
        <f>707.6+(156.6-357.6)+(0.360876+(0.079866-0.182376))+0-132.2-0.0674219999999866</f>
        <v>374.59094400000009</v>
      </c>
      <c r="T102" s="3">
        <f>711.5+(198.6-427.1)+(-0.362865+(-0.101286--0.217821))+0-127.9--0.065228999999987</f>
        <v>354.91889899999995</v>
      </c>
      <c r="U102" s="3">
        <f>710.1+(249.9-487.5)+(-0.362151+(-0.127449--0.248625))+0-146.6--0.0747659999999851</f>
        <v>325.73379100000005</v>
      </c>
      <c r="V102" s="3">
        <f>716.7+(203-496.3)+(0.365517+(0.10353-0.253113))+0-130.3-0.0664529999999868</f>
        <v>293.24948100000006</v>
      </c>
      <c r="W102" s="3">
        <f>711.9+(102.5-336.6)+(-1.815345+(-0.261375--0.85833))+0-145.1--0.370004999999979</f>
        <v>331.85161499999992</v>
      </c>
      <c r="X102" s="3">
        <f>713.9+(81-339.8)+(-1.820445+(-0.20655--0.86649))+0-122.7--0.312884999999982</f>
        <v>331.55237999999997</v>
      </c>
      <c r="Y102" s="3">
        <f>718.9+(125-320)+(-0.366639+(-0.06375--0.1632))+0-131.1--0.0668609999999867</f>
        <v>392.59967199999988</v>
      </c>
      <c r="Z102" s="3">
        <f>718.8+(110.2-219.8)+(-0.733176+(-0.112404--0.224196))+0-156.2--0.159324000000025</f>
        <v>452.53793999999994</v>
      </c>
      <c r="AA102" s="3">
        <f>709.6+(122.4-174.8)+(-1.80948+(-0.31212--0.44574))+0-147.9--0.377144999999979</f>
        <v>508.00128500000011</v>
      </c>
      <c r="AB102" s="3">
        <f>716.4+(115.8-275.5)+(-0.365364+(-0.059058--0.140505))+0-123.3--0.0628829999999875</f>
        <v>433.17896600000006</v>
      </c>
      <c r="AC102" s="3">
        <f>719.4+(124.5-350.7)+(-1.100682+(-0.190485--0.536571))+0-152--0.232560000000009</f>
        <v>340.67796400000003</v>
      </c>
      <c r="AD102" s="2">
        <v>603.80000000000007</v>
      </c>
      <c r="AE102" s="3">
        <f>714+(120.5-278.3)+(0+(0-0))+0-134.4-0</f>
        <v>421.80000000000007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717.7+(111-364.2)+(0+(0-0))+0-142.7-0</f>
        <v>321.80000000000007</v>
      </c>
      <c r="G103" s="3">
        <f>713.6+(105.8-351.7)+(-0.363936+(-0.053958--0.179367))+0-142--0.0724199999999856</f>
        <v>325.53389300000003</v>
      </c>
      <c r="H103" s="3">
        <f>721.9+(75-366.8)+(0.368169+(0.03825-0.187068))+0-137.2-0.0699719999999861</f>
        <v>293.04937899999999</v>
      </c>
      <c r="I103" s="3">
        <f>724.8+(73-375.2)+(0+(0-0))+0-119.9-0</f>
        <v>302.69999999999993</v>
      </c>
      <c r="J103" s="3">
        <f>732.8+(73-365.2)+(-0.747456+(-0.07446--0.372504))+0-142.6--0.145452000000023</f>
        <v>297.69603999999998</v>
      </c>
      <c r="K103" s="3">
        <f>730.8+(105.1-355.9)+(-1.86354+(-0.268005--0.907545))+0-134.8--0.34373999999998</f>
        <v>344.31973999999997</v>
      </c>
      <c r="L103" s="3">
        <f>738.6+(123.7-340.3)+(0+(0-0))+0-129.4-0</f>
        <v>392.6</v>
      </c>
      <c r="M103" s="3">
        <f>738.3+(128.9-319.7)+(0.753066+(0.131478-0.326094))+0-123.5-0.12597000000002</f>
        <v>424.43248</v>
      </c>
      <c r="N103" s="3">
        <f>749.8+(112.6-300.2)+(0.764796+(0.114852-0.306204))+0-117.8-0.120156000000019</f>
        <v>444.85328799999991</v>
      </c>
      <c r="O103" s="3">
        <f>747+(163.8-343)+(0+(0-0))+0-116-0</f>
        <v>451.79999999999995</v>
      </c>
      <c r="P103" s="3">
        <f>742.6+(119.1-266.2)+(1.136178+(0.182223-0.407286))+0-133.5-0.204255000000008</f>
        <v>462.70686000000001</v>
      </c>
      <c r="Q103" s="3">
        <f>750.7+(84-221.6)+(0+(0-0))+0-136.9-0</f>
        <v>476.20000000000005</v>
      </c>
      <c r="R103" s="3">
        <f>756.4+(126.3-279.7)+(-0.385764+(-0.064413--0.142647))+0-122.9--0.0626789999999875</f>
        <v>479.85514899999998</v>
      </c>
      <c r="S103" s="3">
        <f>750.3+(164.7-408)+(0.382653+(0.083997-0.20808))+0-122.7-0.0625769999999876</f>
        <v>384.495993</v>
      </c>
      <c r="T103" s="3">
        <f>740.7+(252.3-508.3)+(-0.755514+(-0.257346--0.518466))+0-109.8--0.111996000000017</f>
        <v>374.51760200000007</v>
      </c>
      <c r="U103" s="3">
        <f>754.9+(184.3-444.7)+(-0.769998+(-0.187986--0.453594))+0-115.8--0.118116000000018</f>
        <v>378.31372600000003</v>
      </c>
      <c r="V103" s="3">
        <f>751.7+(157-430.9)+(-0.383367+(-0.08007--0.219759))+0-113.1--0.0576809999999885</f>
        <v>364.51400300000012</v>
      </c>
      <c r="W103" s="3">
        <f>724.9+(91.3-309.8)+(-1.478796+(-0.186252--0.631992))+0-107.6--0.219503999999995</f>
        <v>397.98644799999994</v>
      </c>
      <c r="X103" s="3">
        <f>715.3+(119.8-290.9)+(-1.094409+(-0.183294--0.445077))+0-133.5--0.204255000000008</f>
        <v>410.07162900000003</v>
      </c>
      <c r="Y103" s="3">
        <f>717+(182.8-292.7)+(-0.73134+(-0.186456--0.298554))+0-135.1--0.137802000000022</f>
        <v>471.51856000000004</v>
      </c>
      <c r="Z103" s="3">
        <f>727.8+(98.6-246.3)+(0.742356+(0.100572-0.251226))+0-120.4-0.122808000000019</f>
        <v>460.16889399999997</v>
      </c>
      <c r="AA103" s="3">
        <f>728.4+(115.2-302.4)+(-1.485936+(-0.235008--0.616896))+0-110.2--0.224807999999995</f>
        <v>430.12076000000002</v>
      </c>
      <c r="AB103" s="3">
        <f>726.8+(121.6-346.5)+(-1.85334+(-0.31008--0.883575))+0-125--0.318749999999982</f>
        <v>375.93890499999992</v>
      </c>
      <c r="AC103" s="3">
        <f>733.7+(126.7-381.1)+(-1.496748+(-0.258468--0.777444))+0-145.4--0.296615999999994</f>
        <v>333.21884399999999</v>
      </c>
      <c r="AD103" s="2">
        <v>693.8</v>
      </c>
      <c r="AE103" s="3">
        <f>724+(114.8-363)+(0+(0-0))+0-101.7-0</f>
        <v>374.1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737.9+(102.9-344.7)+(0+(0-0))+0-123.6-0</f>
        <v>372.5</v>
      </c>
      <c r="G104" s="3">
        <f>726.7+(96.3-284.8)+(-2.223702+(-0.294678--0.871488))+0-140.1--0.428706000000016</f>
        <v>396.88181400000008</v>
      </c>
      <c r="H104" s="3">
        <f>736.5+(120.6-265.5)+(-1.50246+(-0.246024--0.54162))+0-133.2--0.271727999999994</f>
        <v>457.46486400000003</v>
      </c>
      <c r="I104" s="3">
        <f>743.7+(99-251.8)+(-1.896435+(-0.25245--0.64209))+0-130.9--0.333794999999981</f>
        <v>458.82700000000011</v>
      </c>
      <c r="J104" s="3">
        <f>743.7+(97.2-262.4)+(-2.275722+(-0.297432--0.802944))+0-125.4--0.383724000000015</f>
        <v>451.71351400000003</v>
      </c>
      <c r="K104" s="3">
        <f>753.3+(111.6-316.3)+(-1.536732+(-0.227664--0.645252))+0-123--0.250919999999995</f>
        <v>424.73177599999991</v>
      </c>
      <c r="L104" s="3">
        <f>754.2+(173.1-351.7)+(-1.92321+(-0.441405--0.896835))+0-131.3--0.334814999999981</f>
        <v>443.16703500000006</v>
      </c>
      <c r="M104" s="3">
        <f>759.8+(149.9-341.2)+(1.162494+(0.229347-0.522036))+0-128-0.195840000000007</f>
        <v>441.17396500000001</v>
      </c>
      <c r="N104" s="3">
        <f>756.9+(137.9-321)+(1.158057+(0.210987-0.49113))+0-120.8-0.184824000000007</f>
        <v>453.69308999999998</v>
      </c>
      <c r="O104" s="3">
        <f>748.2+(127-323.8)+(0.763164+(0.12954-0.330276))+0-117.5-0.119850000000019</f>
        <v>434.342578</v>
      </c>
      <c r="P104" s="3">
        <f>743.1+(84-319.6)+(0+(0-0))+0-105.4-0</f>
        <v>402.1</v>
      </c>
      <c r="Q104" s="3">
        <f>737.6+(85-269.3)+(1.88088+(0.21675-0.686715))+0-117.8-0.300389999999983</f>
        <v>436.610525</v>
      </c>
      <c r="R104" s="3">
        <f>752+(139-330.5)+(0.38352+(0.07089-0.168555))+0-116.4-0.0593639999999882</f>
        <v>444.32649099999998</v>
      </c>
      <c r="S104" s="3">
        <f>748.8+(180.2-405.4)+(-0.763776+(-0.183804--0.413508))+0-133.6--0.136272000000021</f>
        <v>389.60219999999987</v>
      </c>
      <c r="T104" s="3">
        <f>748.5+(191.1-454.3)+(-0.76347+(-0.194922--0.463386))+0-122.8--0.12525600000002</f>
        <v>362.13024999999999</v>
      </c>
      <c r="U104" s="3">
        <f>744.7+(211.1-439.6)+(-1.898985+(-0.538305--1.12098))+0-140.1--0.35725499999998</f>
        <v>375.14094499999993</v>
      </c>
      <c r="V104" s="3">
        <f>741.6+(148.9-422.5)+(-0.378216+(-0.075939--0.215475))+0-122.6--0.0625259999999876</f>
        <v>345.22384600000004</v>
      </c>
      <c r="W104" s="3">
        <f>731.4+(111-330.6)+(-1.492056+(-0.22644--0.674424))+0-115.6--0.235823999999995</f>
        <v>395.39175199999988</v>
      </c>
      <c r="X104" s="3">
        <f>708.9+(160-255.7)+(-1.084617+(-0.2448--0.391221))+0-123.5--0.188955000000007</f>
        <v>488.95075900000012</v>
      </c>
      <c r="Y104" s="3">
        <f>707.6+(210.1-285.3)+(-1.80438+(-0.535755--0.727515))+0-120.4--0.307019999999983</f>
        <v>510.69439999999997</v>
      </c>
      <c r="Z104" s="3">
        <f>717.9+(88.8-193.1)+(0+(0-0))+0-121.3-0</f>
        <v>492.3</v>
      </c>
      <c r="AA104" s="3">
        <f>718.4+(96.3-237.1)+(-1.83192+(-0.245565--0.604605))+0-120--0.305999999999983</f>
        <v>456.43311999999986</v>
      </c>
      <c r="AB104" s="3">
        <f>723.8+(124.7-246.4)+(-0.738276+(-0.127194--0.251328))+0-132.8--0.135456000000021</f>
        <v>468.82131399999992</v>
      </c>
      <c r="AC104" s="3">
        <f>724.2+(152.9-348.3)+(-0.738684+(-0.155958--0.355266))+0-151.3--0.154326000000024</f>
        <v>377.11495000000014</v>
      </c>
      <c r="AD104" s="2">
        <v>743.2</v>
      </c>
      <c r="AE104" s="3">
        <f>715+(107.4-222.3)+(0+(0-0))+0-128.8-0</f>
        <v>471.3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722.1+(162.1-383.9)+(-1.841355+(-0.413355--0.978945))+0-132.8--0.338639999999981</f>
        <v>366.56287500000008</v>
      </c>
      <c r="G105" s="3">
        <f>731+(146.9-290.4)+(-1.49124+(-0.299676--0.592416))+0-144.3--0.294371999999994</f>
        <v>442.29587200000003</v>
      </c>
      <c r="H105" s="3">
        <f>737.4+(120.4-259.6)+(-1.128222+(-0.184212--0.397188))+0-141.1--0.215883000000008</f>
        <v>456.4006369999999</v>
      </c>
      <c r="I105" s="3">
        <f>741.6+(99.4-259.7)+(-1.512864+(-0.202776--0.529788))+0-149.3--0.304571999999994</f>
        <v>431.11872000000011</v>
      </c>
      <c r="J105" s="3">
        <f>742.6+(94.1-267.3)+(-1.89363+(-0.239955--0.681615))+0-136--0.34679999999998</f>
        <v>432.29482999999999</v>
      </c>
      <c r="K105" s="3">
        <f>717.6+(84.2-282.9)+(-1.82988+(-0.21471--0.721395))+0-137.4--0.35036999999998</f>
        <v>380.52717500000006</v>
      </c>
      <c r="L105" s="3">
        <f>688.3+(97.2-294.3)+(-0.351033+(-0.049572--0.150093))+0-130.7--0.0666569999999867</f>
        <v>360.31614499999989</v>
      </c>
      <c r="M105" s="3">
        <f>692.6+(127.6-223.5)+(0.706452+(0.130152-0.22797))+0-135.7-0.138414000000022</f>
        <v>461.4702200000001</v>
      </c>
      <c r="N105" s="3">
        <f>681.2+(161-197.1)+(0+(0-0))+0-129.1-0</f>
        <v>516</v>
      </c>
      <c r="O105" s="3">
        <f>733+(123.4-183.1)+(-1.86915+(-0.31467--0.466905))+0-115.6--0.294779999999983</f>
        <v>556.27786499999991</v>
      </c>
      <c r="P105" s="3">
        <f>732.8+(86.7-273)+(0+(0-0))+0-114-0</f>
        <v>432.5</v>
      </c>
      <c r="Q105" s="3">
        <f>749.5+(106.9-381.5)+(-0.76449+(-0.109038--0.38913))+0-122.3--0.124746000000019</f>
        <v>352.24034799999998</v>
      </c>
      <c r="R105" s="3">
        <f>770.7+(150.1-440.6)+(0+(0-0))+0-125.4-0</f>
        <v>354.80000000000007</v>
      </c>
      <c r="S105" s="3">
        <f>756.3+(195.6-520.5)+(-0.771426+(-0.199512--0.53091))+0-128.7--0.131274000000021</f>
        <v>302.39124600000002</v>
      </c>
      <c r="T105" s="3">
        <f>727.2+(233.8-540.3)+(-1.112616+(-0.357714--0.826659))+0-141.5--0.216495000000008</f>
        <v>278.77282400000013</v>
      </c>
      <c r="U105" s="3">
        <f>742.2+(217-556.1)+(0.757044+(0.22134-0.567222))+0-126.7-0.12923400000002</f>
        <v>276.68192800000003</v>
      </c>
      <c r="V105" s="3">
        <f>760.1+(200.1-520.6)+(-0.387651+(-0.102051--0.265506))+0-131.8--0.0672179999999866</f>
        <v>307.64302199999997</v>
      </c>
      <c r="W105" s="3">
        <f>755.1+(126-428.8)+(-2.695707+(-0.44982--1.530816))+0-138.9--0.495873000000002</f>
        <v>312.28116200000005</v>
      </c>
      <c r="X105" s="3">
        <f>757.8+(77-370.7)+(-2.705346+(-0.27489--1.323399))+0-116.4--0.415548000000002</f>
        <v>346.45871099999994</v>
      </c>
      <c r="Y105" s="3">
        <f>770.3+(278.5-290.6)+(-0.785706+(-0.28407--0.296412))+0-119.5--0.121890000000019</f>
        <v>638.04852599999992</v>
      </c>
      <c r="Z105" s="3">
        <f>779.2+(147.4-120.7)+(0+(0-0))+0-140-0</f>
        <v>665.90000000000009</v>
      </c>
      <c r="AA105" s="3">
        <f>780.4+(85-344.4)+(-0.796008+(-0.0867--0.351288))+0-143.6--0.146472000000023</f>
        <v>377.01505199999997</v>
      </c>
      <c r="AB105" s="3">
        <f>785.6+(83.2-316)+(-0.801312+(-0.084864--0.32232))+0-141.9--0.144738000000023</f>
        <v>410.48088200000001</v>
      </c>
      <c r="AC105" s="3">
        <f>786.9+(85.1-333.1)+(0+(0-0))+0-126.3-0</f>
        <v>412.59999999999997</v>
      </c>
      <c r="AD105" s="2">
        <v>732.7</v>
      </c>
      <c r="AE105" s="3">
        <f>778+(85-323.3)+(0+(0-0))+0-127.3-0</f>
        <v>412.40000000000003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774.6+(92.6-370.2)+(0.395046+(0.047226-0.188802))+0-140.3-0.0715529999999858</f>
        <v>356.88191699999999</v>
      </c>
      <c r="G106" s="3">
        <f>735.2+(81.6-382.1)+(0+(0-0))+0-119.8-0</f>
        <v>314.90000000000003</v>
      </c>
      <c r="H106" s="3">
        <f>742.3+(78-394.8)+(0+(0-0))+0-141.7-0</f>
        <v>283.79999999999995</v>
      </c>
      <c r="I106" s="3">
        <f>745.4+(76-397.1)+(0+(0-0))+0-128.5-0</f>
        <v>295.79999999999995</v>
      </c>
      <c r="J106" s="3">
        <f>751.1+(73-338)+(-1.149183+(-0.11169--0.51714))+0-136--0.208080000000008</f>
        <v>349.564347</v>
      </c>
      <c r="K106" s="3">
        <f>715.1+(93.6-343)+(-0.729402+(-0.095472--0.34986))+0-121--0.123420000000019</f>
        <v>344.34840600000007</v>
      </c>
      <c r="L106" s="3">
        <f>676.4+(167.4-338.9)+(-1.379856+(-0.341496--0.691356))+0-138.4--0.282335999999994</f>
        <v>365.75234</v>
      </c>
      <c r="M106" s="3">
        <f>681.7+(232.8-328.7)+(0+(0-0))+0-126-0</f>
        <v>459.80000000000007</v>
      </c>
      <c r="N106" s="3">
        <f>679.5+(236.7-287.3)+(0.69309+(0.241434-0.293046))+0-107.2-0.109344000000017</f>
        <v>522.23213399999997</v>
      </c>
      <c r="O106" s="3">
        <f>700.6+(160.1-282)+(-1.429224+(-0.326604--0.57528))+0-116.6--0.237863999999995</f>
        <v>461.15731599999998</v>
      </c>
      <c r="P106" s="3">
        <f>727.7+(85.3-270.4)+(-0.371127+(-0.043503--0.137904))+0-128.1--0.065330999999987</f>
        <v>414.28860500000008</v>
      </c>
      <c r="Q106" s="3">
        <f>745.1+(89-275.4)+(-0.380001+(-0.04539--0.140454))+0-123.4--0.0629339999999875</f>
        <v>435.07799700000004</v>
      </c>
      <c r="R106" s="3">
        <f>767+(134-381.5)+(0+(0-0))+0-124-0</f>
        <v>395.5</v>
      </c>
      <c r="S106" s="3">
        <f>757.9+(155.6-463.5)+(-1.546116+(-0.317424--0.94554))+0-123.1--0.251123999999995</f>
        <v>326.23312399999998</v>
      </c>
      <c r="T106" s="3">
        <f>728.6+(158.2-450.6)+(-0.743172+(-0.161364--0.459612))+0-117.9--0.120258000000019</f>
        <v>317.97533399999998</v>
      </c>
      <c r="U106" s="3">
        <f>735.4+(168.5-481.7)+(-0.375054+(-0.085935--0.245667))+0-131.3--0.0669629999999867</f>
        <v>290.75164099999995</v>
      </c>
      <c r="V106" s="3">
        <f>730.6+(151.1-467)+(-0.372606+(-0.077061--0.23817))+0-138.7--0.0707369999999859</f>
        <v>275.85924000000006</v>
      </c>
      <c r="W106" s="3">
        <f>728.3+(95.4-383.9)+(1.114299+(0.145962-0.587367))+0-133.5-0.204255000000008</f>
        <v>306.76863899999995</v>
      </c>
      <c r="X106" s="3">
        <f>757.7+(78.4-381.7)+(-1.159281+(-0.119952--0.584001))+0-127.6--0.195228000000007</f>
        <v>326.29999600000014</v>
      </c>
      <c r="Y106" s="3">
        <f>763.6+(117-311.3)+(0.778872+(0.11934-0.317526))+0-134.6-0.137292000000021</f>
        <v>435.14339399999994</v>
      </c>
      <c r="Z106" s="3">
        <f>749.9+(90.5-309.2)+(-0.382449+(-0.046155--0.157692))+0-147.8--0.075377999999985</f>
        <v>383.20446600000008</v>
      </c>
      <c r="AA106" s="3">
        <f>791.4+(92.9-437.4)+(-1.614456+(-0.189516--0.892296))+0-126.7--0.258467999999994</f>
        <v>319.54679199999998</v>
      </c>
      <c r="AB106" s="3">
        <f>815.4+(96.6-499.6)+(-0.415854+(-0.049266--0.254796))+0-142.5--0.0726749999999855</f>
        <v>269.76235099999997</v>
      </c>
      <c r="AC106" s="3">
        <f>785.4+(126.5-499.6)+(-0.801108+(-0.12903--0.509592))+0-132--0.134640000000021</f>
        <v>280.014094</v>
      </c>
      <c r="AD106" s="2">
        <v>746.2</v>
      </c>
      <c r="AE106" s="3">
        <f>790+(87-476.9)+(0+(0-0))+0-109.6-0</f>
        <v>290.5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807.8+(70.4-502.9)+(-2.05989+(-0.17952--1.282395))+0-130--0.331499999999981</f>
        <v>244.67448499999992</v>
      </c>
      <c r="G107" s="3">
        <f>816.6+(58.4-465.7)+(0.832932+(0.059568-0.475014))+0-131-0.133620000000021</f>
        <v>278.583866</v>
      </c>
      <c r="H107" s="3">
        <f>818.4+(52.8-419.9)+(-0.834768+(-0.053856--0.428298))+0-133.3--0.135966000000021</f>
        <v>317.67563999999999</v>
      </c>
      <c r="I107" s="3">
        <f>826.2+(53.8-450)+(0.421362+(0.027438-0.2295))+0-143.8-0.0733379999999854</f>
        <v>286.34596200000004</v>
      </c>
      <c r="J107" s="3">
        <f>822.4+(54.7-430.6)+(-1.258272+(-0.083691--0.658818))+0-114.7--0.175491000000007</f>
        <v>331.29234599999995</v>
      </c>
      <c r="K107" s="3">
        <f>823.4+(47-385.7)+(-1.259802+(-0.07191--0.590121))+0-137.9--0.210987000000008</f>
        <v>346.26939599999997</v>
      </c>
      <c r="L107" s="3">
        <f>827.9+(128.2-352.7)+(-1.266687+(-0.196146--0.539631))+0-128.9--0.197217000000007</f>
        <v>473.77401500000008</v>
      </c>
      <c r="M107" s="3">
        <f>829.8+(168.9-326.3)+(0.846396+(0.172278-0.332826))+0-131.5-0.134130000000021</f>
        <v>541.45171799999991</v>
      </c>
      <c r="N107" s="3">
        <f>812.4+(151.3-381.2)+(0+(0-0))+0-113.2-0</f>
        <v>469.3</v>
      </c>
      <c r="O107" s="3">
        <f>800.6+(92.1-359.7)+(-1.224918+(-0.140913--0.550341))+0-105.8--0.161874000000006</f>
        <v>426.54638400000005</v>
      </c>
      <c r="P107" s="3">
        <f>794.8+(83-314)+(-1.216044+(-0.12699--0.48042))+0-99--0.151470000000006</f>
        <v>464.08885599999996</v>
      </c>
      <c r="Q107" s="3">
        <f>797+(93.1-313.9)+(0+(0-0))+0-120.8-0</f>
        <v>455.40000000000003</v>
      </c>
      <c r="R107" s="3">
        <f>789.2+(162.5-386.4)+(0.804984+(0.16575-0.394128))+0-122.7-0.12515400000002</f>
        <v>443.05145200000004</v>
      </c>
      <c r="S107" s="3">
        <f>797.3+(129.1-479.7)+(-2.439738+(-0.395046--1.467882))+0-121.6--0.372096000000014</f>
        <v>324.10519399999993</v>
      </c>
      <c r="T107" s="3">
        <f>809+(143.8-530)+(-0.41259+(-0.073338--0.2703))+0-120.5--0.0614549999999878</f>
        <v>302.145827</v>
      </c>
      <c r="U107" s="3">
        <f>803.6+(135.5-497.4)+(-0.819672+(-0.13821--0.507348))+0-131.9--0.134538000000021</f>
        <v>309.48400400000003</v>
      </c>
      <c r="V107" s="3">
        <f>783.5+(123.1-493.1)+(-1.198755+(-0.188343--0.754443))+0-95--0.145350000000006</f>
        <v>318.01269500000001</v>
      </c>
      <c r="W107" s="3">
        <f>741.8+(82-438.4)+(-1.513272+(-0.16728--0.894336))+0-72.7--0.148307999999997</f>
        <v>312.06209199999995</v>
      </c>
      <c r="X107" s="3">
        <f>737.5+(85.5-383.8)+(-3.009+(-0.34884--1.565904))+0-81.1--0.330887999999993</f>
        <v>356.63895199999996</v>
      </c>
      <c r="Y107" s="3">
        <f>745.8+(205.5-385.3)+(-1.141074+(-0.314415--0.589509))+0-75.1--0.114903000000004</f>
        <v>490.14892299999997</v>
      </c>
      <c r="Z107" s="3">
        <f>766.8+(84-392.2)+(-0.391068+(-0.04284--0.200022))+0-85--0.0433499999999914</f>
        <v>373.40946399999996</v>
      </c>
      <c r="AA107" s="3">
        <f>812.9+(85-523.7)+(-2.487474+(-0.2601--1.602522))+0-79.5--0.243270000000009</f>
        <v>293.79821799999991</v>
      </c>
      <c r="AB107" s="3">
        <f>782.9+(83-440.2)+(-1.597116+(-0.16932--0.898008))+0-99.4--0.202775999999996</f>
        <v>325.63434799999993</v>
      </c>
      <c r="AC107" s="3">
        <f>788.6+(84-390.8)+(-1.206558+(-0.12852--0.597924))+0-131.5--0.201195000000008</f>
        <v>349.76404100000002</v>
      </c>
      <c r="AD107" s="2">
        <v>676.00000000000011</v>
      </c>
      <c r="AE107" s="3">
        <f>820+(83-543.1)+(0+(0-0))+0-87.3-0</f>
        <v>272.59999999999997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791.9+(103.3-436.5)+(-0.403869+(-0.052683--0.222615))+0-128.7--0.0656369999999869</f>
        <v>329.83169999999996</v>
      </c>
      <c r="G108" s="3">
        <f>775.1+(119.4-407.5)+(0.395301+(0.060894-0.207825))+0-144-0.0734399999999854</f>
        <v>343.17493000000002</v>
      </c>
      <c r="H108" s="3">
        <f>770.8+(112.2-372.3)+(-1.179324+(-0.171666--0.569619))+0-126.3--0.193239000000007</f>
        <v>383.81186799999995</v>
      </c>
      <c r="I108" s="3">
        <f>760.5+(84.3-308)+(0+(0-0))+0-118.3-0</f>
        <v>418.49999999999994</v>
      </c>
      <c r="J108" s="3">
        <f>715.1+(85.2-293.1)+(0+(0-0))+0-131.9-0</f>
        <v>375.29999999999995</v>
      </c>
      <c r="K108" s="3">
        <f>705.9+(72-292.1)+(-1.800045+(-0.1836--0.744855))+0-139--0.35444999999998</f>
        <v>345.91565999999995</v>
      </c>
      <c r="L108" s="3">
        <f>706.2+(101-290.1)+(-2.521134+(-0.36057--1.035657))+0-118--0.421260000000002</f>
        <v>397.67521300000004</v>
      </c>
      <c r="M108" s="3">
        <f>709.2+(77.3-294.4)+(0+(0-0))+0-128.5-0</f>
        <v>363.60000000000008</v>
      </c>
      <c r="N108" s="3">
        <f>704.6+(115-339.1)+(0+(0-0))+0-119-0</f>
        <v>361.5</v>
      </c>
      <c r="O108" s="3">
        <f>695+(80.1-330.2)+(0.35445+(0.040851-0.168402))+0-117.8-0.0600779999999881</f>
        <v>327.26682099999999</v>
      </c>
      <c r="P108" s="3">
        <f>685.5+(75-356.7)+(0+(0-0))+0-128.6-0</f>
        <v>275.20000000000005</v>
      </c>
      <c r="Q108" s="3">
        <f>681.8+(77-347.7)+(0.695436+(0.07854-0.354654))+0-112.7-0.114954000000018</f>
        <v>298.70436799999999</v>
      </c>
      <c r="R108" s="3">
        <f>683.3+(90.4-383.7)+(-0.348483+(-0.046104--0.195687))+0-108.3--0.055232999999989</f>
        <v>281.556333</v>
      </c>
      <c r="S108" s="3">
        <f>736+(84.5-463.7)+(-0.37536+(-0.043095--0.236487))+0-102.8--0.0524279999999896</f>
        <v>253.87046000000001</v>
      </c>
      <c r="T108" s="3">
        <f>733.4+(107.4-479)+(-0.748068+(-0.109548--0.48858))+0-111.8--0.114036000000018</f>
        <v>249.74499999999998</v>
      </c>
      <c r="U108" s="3">
        <f>731+(106.2-453.4)+(0+(0-0))+0-127.9-0</f>
        <v>255.9</v>
      </c>
      <c r="V108" s="3">
        <f>729.2+(83.4-416.5)+(0.371892+(0.042534-0.212415))+0-131.1-0.0668609999999867</f>
        <v>265.13515000000012</v>
      </c>
      <c r="W108" s="3">
        <f>725.9+(76-340.7)+(-2.221254+(-0.23256--1.042542))+0-128.4--0.392904000000015</f>
        <v>331.781632</v>
      </c>
      <c r="X108" s="3">
        <f>725.5+(141.5-328.2)+(-1.850025+(-0.360825--0.83691))+0-131.9--0.336344999999981</f>
        <v>405.86240500000002</v>
      </c>
      <c r="Y108" s="3">
        <f>724.3+(129.7-326.6)+(-0.369393+(-0.066147--0.166566))+0-130.8--0.0667079999999867</f>
        <v>396.3977339999999</v>
      </c>
      <c r="Z108" s="3">
        <f>750.6+(94.5-285.3)+(0.382806+(0.048195-0.145503))+0-131.2-0.0669119999999867</f>
        <v>428.81858599999993</v>
      </c>
      <c r="AA108" s="3">
        <f>792.1+(82-319.7)+(-1.211913+(-0.12546--0.489141))+0-146.6--0.224298000000008</f>
        <v>407.17606600000005</v>
      </c>
      <c r="AB108" s="3">
        <f>796.9+(83.5-329.9)+(-0.406419+(-0.042585--0.168249))+0-138.1--0.070430999999986</f>
        <v>412.18967599999996</v>
      </c>
      <c r="AC108" s="3">
        <f>808.6+(98.4-443.8)+(0.412386+(0.050184-0.226338))+0-140.4-0.0716039999999858</f>
        <v>322.96462800000006</v>
      </c>
      <c r="AD108" s="2">
        <v>595.00000000000011</v>
      </c>
      <c r="AE108" s="3">
        <f>786+(82-340.3)+(0+(0-0))+0-148.4-0</f>
        <v>379.30000000000007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815.3+(78.9-430.5)+(0.831606+(0.080478-0.43911))+0-120.1-0.122502000000019</f>
        <v>343.95047199999993</v>
      </c>
      <c r="G109" s="3">
        <f>815.8+(60.2-422.4)+(0.416058+(0.030702-0.215424))+0-138.4-0.070583999999986</f>
        <v>315.36075199999999</v>
      </c>
      <c r="H109" s="3">
        <f>824.1+(47-417.9)+(1.260873+(0.07191-0.639387))+0-114.5-0.175185000000007</f>
        <v>339.21821100000005</v>
      </c>
      <c r="I109" s="3">
        <f>832.3+(49.1-429.5)+(0+(0-0))+0-140.5-0</f>
        <v>311.39999999999998</v>
      </c>
      <c r="J109" s="3">
        <f>833.3+(48.4-412.8)+(-0.849966+(-0.049368--0.421056))+0-137.5--0.140250000000022</f>
        <v>331.06197199999997</v>
      </c>
      <c r="K109" s="3">
        <f>826.2+(44-458.5)+(-2.949534+(-0.15708--1.636845))+0-134.2--0.479094000000002</f>
        <v>276.50932500000005</v>
      </c>
      <c r="L109" s="3">
        <f>828.8+(69-521.3)+(-1.268064+(-0.10557--0.797589))+0-124.8--0.190944000000007</f>
        <v>251.31489899999997</v>
      </c>
      <c r="M109" s="3">
        <f>793.8+(77.4-466.5)+(0.404838+(0.039474-0.237915))+0-128.5-0.065534999999987</f>
        <v>276.3408619999999</v>
      </c>
      <c r="N109" s="3">
        <f>786.2+(69-436)+(-0.400962+(-0.03519--0.22236))+0-124.4--0.0634439999999874</f>
        <v>294.64965200000006</v>
      </c>
      <c r="O109" s="3">
        <f>784.5+(73-356.3)+(1.200285+(0.11169-0.545139))+0-137.9-0.210987000000008</f>
        <v>363.85584899999998</v>
      </c>
      <c r="P109" s="3">
        <f>765.4+(72-324.8)+(0.390354+(0.03672-0.165648))+0-142.7-0.0727769999999855</f>
        <v>370.08864899999998</v>
      </c>
      <c r="Q109" s="3">
        <f>747.9+(78.6-401.2)+(0.381429+(0.040086-0.204612))+0-138-0.070379999999986</f>
        <v>287.44652299999996</v>
      </c>
      <c r="R109" s="3">
        <f>755.7+(112.1-442.3)+(0.770814+(0.114342-0.451146))+0-140-0.142800000000022</f>
        <v>285.79120999999998</v>
      </c>
      <c r="S109" s="3">
        <f>748.6+(144.9-483.6)+(1.527144+(0.295596-0.986544))+0-141.3-0.288251999999994</f>
        <v>269.14794399999994</v>
      </c>
      <c r="T109" s="3">
        <f>745.2+(153.2-482.3)+(1.140156+(0.234396-0.737919))+0-126.7-0.193851000000007</f>
        <v>289.84278200000006</v>
      </c>
      <c r="U109" s="3">
        <f>743.6+(163.2-467.7)+(0.758472+(0.166464-0.477054))+0-136.8-0.139536000000022</f>
        <v>302.60834599999998</v>
      </c>
      <c r="V109" s="3">
        <f>763+(141.6-464.6)+(0.38913+(0.072216-0.236946))+0-136.7-0.0697169999999861</f>
        <v>303.45468300000005</v>
      </c>
      <c r="W109" s="3">
        <f>778.6+(75.1-406.3)+(-0.397086+(-0.038301--0.207213))+0-126--0.0642599999999872</f>
        <v>321.23608599999994</v>
      </c>
      <c r="X109" s="3">
        <f>775.5+(104.2-406)+(-1.58202+(-0.212568--0.82824))+0-132.4--0.270095999999994</f>
        <v>340.603748</v>
      </c>
      <c r="Y109" s="3">
        <f>777.5+(218-458.6)+(0.396525+(0.11118-0.233886))+0-117.2-0.0597719999999881</f>
        <v>419.91404699999998</v>
      </c>
      <c r="Z109" s="3">
        <f>816.8+(101.9-311.3)+(-0.416568+(-0.051969--0.158763))+0-143.9--0.0733889999999854</f>
        <v>463.26361500000002</v>
      </c>
      <c r="AA109" s="3">
        <f>830.7+(82-292.9)+(-0.847314+(-0.08364--0.298758))+0-147--0.149940000000023</f>
        <v>472.31774400000006</v>
      </c>
      <c r="AB109" s="3">
        <f>811.2+(81.5-349.3)+(-0.827424+(-0.08313--0.356286))+0-140.3--0.143106000000022</f>
        <v>402.68883800000015</v>
      </c>
      <c r="AC109" s="3">
        <f>797.8+(92-422.1)+(-0.406878+(-0.04692--0.215271))+0-128.7--0.0656369999999869</f>
        <v>338.82710999999995</v>
      </c>
      <c r="AD109" s="2">
        <v>668.3</v>
      </c>
      <c r="AE109" s="3">
        <f>827+(96-340)+(0+(0-0))+0-133.3-0</f>
        <v>449.7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780.8+(94.4-457.7)+(-0.398208+(-0.048144--0.233427))+0-104.8--0.0534479999999894</f>
        <v>312.54052300000001</v>
      </c>
      <c r="G110" s="3">
        <f>780.6+(88-418.5)+(0+(0-0))+0-131.2-0</f>
        <v>318.90000000000003</v>
      </c>
      <c r="H110" s="3">
        <f>762.7+(81.1-369.2)+(-0.388977+(-0.041361--0.188292))+0-149.7--0.0763469999999848</f>
        <v>324.73430100000002</v>
      </c>
      <c r="I110" s="3">
        <f>733.9+(81.3-349)+(-0.374289+(-0.041463--0.17799))+0-127.2--0.0648719999999871</f>
        <v>338.82711</v>
      </c>
      <c r="J110" s="3">
        <f>734.3+(72-339.9)+(-0.748986+(-0.07344--0.346698))+0-118.5--0.120870000000019</f>
        <v>347.545142</v>
      </c>
      <c r="K110" s="3">
        <f>731.3+(83.6-378.3)+(-1.864815+(-0.21318--0.964665))+0-98.5--0.251174999999986</f>
        <v>337.23784499999988</v>
      </c>
      <c r="L110" s="3">
        <f>737.7+(121-365.1)+(-0.752454+(-0.12342--0.372402))+0-116.2--0.118524000000019</f>
        <v>377.01505200000008</v>
      </c>
      <c r="M110" s="3">
        <f>744.2+(119.3-351.7)+(1.138626+(0.182529-0.538101))+0-110.4-0.168912000000006</f>
        <v>402.01414200000005</v>
      </c>
      <c r="N110" s="3">
        <f>769.7+(170.9-404.7)+(0+(0-0))+0-102.1-0</f>
        <v>433.80000000000007</v>
      </c>
      <c r="O110" s="3">
        <f>763.6+(142.9-359.4)+(0.778872+(0.145758-0.366588))+0-131.9-0.134538000000021</f>
        <v>415.62350400000003</v>
      </c>
      <c r="P110" s="3">
        <f>754.7+(79-301.2)+(1.154691+(0.12087-0.460836))+0-135.5-0.207315000000008</f>
        <v>397.60740999999996</v>
      </c>
      <c r="Q110" s="3">
        <f>749.7+(103-281.3)+(1.147041+(0.15759-0.430389))+0-115-0.175950000000007</f>
        <v>457.09829200000007</v>
      </c>
      <c r="R110" s="3">
        <f>783.2+(154-301.1)+(1.597728+(0.31416-0.614244))+0-142-0.289679999999994</f>
        <v>495.10796400000004</v>
      </c>
      <c r="S110" s="3">
        <f>793.3+(213-419.6)+(0.404583+(0.10863-0.213996))+0-138.4-0.070583999999986</f>
        <v>448.52863299999996</v>
      </c>
      <c r="T110" s="3">
        <f>792.6+(229-481.8)+(-0.404226+(-0.11679--0.245718))+0-132.2--0.0674219999999866</f>
        <v>407.39212399999991</v>
      </c>
      <c r="U110" s="3">
        <f>799+(242.1-475.5)+(0+(0-0))+0-144.5-0</f>
        <v>421.1</v>
      </c>
      <c r="V110" s="3">
        <f>794+(194.3-447.7)+(-0.80988+(-0.198186--0.456654))+0-134.3--0.136986000000021</f>
        <v>405.88557400000002</v>
      </c>
      <c r="W110" s="3">
        <f>765.1+(108.3-338.4)+(-1.170603+(-0.165699--0.517752))+0-117.1--0.179163000000007</f>
        <v>417.26061300000003</v>
      </c>
      <c r="X110" s="3">
        <f>733.7+(80.4-270.1)+(-1.870935+(-0.20502--0.688755))+0-143.8--0.366689999999979</f>
        <v>399.17948999999999</v>
      </c>
      <c r="Y110" s="3">
        <f>747.2+(120.4-289.5)+(-1.143216+(-0.184212--0.442935))+0-138.9--0.212517000000008</f>
        <v>438.52802400000002</v>
      </c>
      <c r="Z110" s="3">
        <f>758.6+(91.1-271.5)+(0.773772+(0.092922-0.27693))+0-141.7-0.144534000000023</f>
        <v>436.94522999999998</v>
      </c>
      <c r="AA110" s="3">
        <f>782.2+(100.8-288.7)+(-1.196766+(-0.154224--0.441711))+0-151--0.231030000000009</f>
        <v>442.62175100000013</v>
      </c>
      <c r="AB110" s="3">
        <f>782.5+(87-357)+(-1.197225+(-0.13311--0.54621))+0-134.2--0.205326000000008</f>
        <v>377.72120100000001</v>
      </c>
      <c r="AC110" s="3">
        <f>784.2+(84-432.7)+(-0.799884+(-0.08568--0.441354))+0-118.2--0.120564000000019</f>
        <v>316.97635400000007</v>
      </c>
      <c r="AD110" s="2">
        <v>714.89999999999986</v>
      </c>
      <c r="AE110" s="3">
        <f>792+(99-274.6)+(0+(0-0))+0-166.1-0</f>
        <v>450.29999999999995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784.9+(83-426.5)+(-0.800598+(-0.08466--0.43503))+0-116.1--0.118422000000019</f>
        <v>324.96819400000004</v>
      </c>
      <c r="G111" s="3">
        <f>793.8+(81-360.3)+(-0.809676+(-0.08262--0.367506))+0-123.6--0.12607200000002</f>
        <v>390.50128199999995</v>
      </c>
      <c r="H111" s="3">
        <f>798.6+(79-347.4)+(-1.221858+(-0.12087--0.531522))+0-121.4--0.185742000000007</f>
        <v>408.1745360000001</v>
      </c>
      <c r="I111" s="3">
        <f>799.1+(95.7-310.7)+(-2.445246+(-0.292842--0.950742))+0-123--0.376380000000014</f>
        <v>459.68903400000011</v>
      </c>
      <c r="J111" s="3">
        <f>803.3+(109.6-332.2)+(-2.048415+(-0.27948--0.84711))+0-116.3--0.296564999999983</f>
        <v>463.21577999999994</v>
      </c>
      <c r="K111" s="3">
        <f>801.4+(87.7-351.6)+(-3.678426+(-0.402543--1.613844))+0-105.4--0.483786000000018</f>
        <v>430.11666100000002</v>
      </c>
      <c r="L111" s="3">
        <f>808.5+(75.2-370.1)+(0+(0-0))+0-117.4-0</f>
        <v>396.19999999999993</v>
      </c>
      <c r="M111" s="3">
        <f>812.5+(73-358.6)+(0.414375+(0.03723-0.182886))+0-114.4-0.0583439999999884</f>
        <v>412.71037500000006</v>
      </c>
      <c r="N111" s="3">
        <f>810.7+(79.5-349.2)+(0.826914+(0.08109-0.356184))+0-111.7-0.113934000000018</f>
        <v>429.737886</v>
      </c>
      <c r="O111" s="3">
        <f>799.2+(113.8-328)+(0.407592+(0.058038-0.16728))+0-112.3-0.0572729999999886</f>
        <v>472.94107700000001</v>
      </c>
      <c r="P111" s="3">
        <f>790.3+(125.4-286.8)+(0.403053+(0.063954-0.146268))+0-121-0.0617099999999877</f>
        <v>508.15902899999998</v>
      </c>
      <c r="Q111" s="3">
        <f>779.6+(85-231.5)+(0.397596+(0.04335-0.118065))+0-124-0.0632399999999874</f>
        <v>509.35964100000007</v>
      </c>
      <c r="R111" s="3">
        <f>792.4+(121.6-253.1)+(0+(0-0))+0-109.8-0</f>
        <v>551.1</v>
      </c>
      <c r="S111" s="3">
        <f>799.6+(158.5-337.9)+(-0.407796+(-0.080835--0.172329))+0-119.2--0.0607919999999879</f>
        <v>500.7444900000001</v>
      </c>
      <c r="T111" s="3">
        <f>788.1+(183.4-387.6)+(0.803862+(0.187068-0.395352))+0-111-0.113220000000018</f>
        <v>473.38235800000001</v>
      </c>
      <c r="U111" s="3">
        <f>760.4+(190.9-383.7)+(0+(0-0))+0-101.3-0</f>
        <v>466.3</v>
      </c>
      <c r="V111" s="3">
        <f>617.1+(178.7-280.5)+(0+(0-0))+0-99.2-0</f>
        <v>416.09999999999997</v>
      </c>
      <c r="W111" s="3">
        <f>614.8+(124.2-178.2)+(-1.881288+(-0.380052--0.545292))+0-117.2--0.358632000000014</f>
        <v>442.24258399999997</v>
      </c>
      <c r="X111" s="3">
        <f>618.9+(186.4-273.3)+(-2.840751+(-0.855576--1.254447))+0-110.1--0.505359000000019</f>
        <v>419.96347900000001</v>
      </c>
      <c r="Y111" s="3">
        <f>629.1+(270.7-298.9)+(-0.641682+(-0.276114--0.304878))+0-115.2--0.117504000000018</f>
        <v>485.20458600000006</v>
      </c>
      <c r="Z111" s="3">
        <f>668.2+(134.5-103.7)+(0+(0-0))+0-128.4-0</f>
        <v>570.6</v>
      </c>
      <c r="AA111" s="3">
        <f>713.2+(99.5-168.9)+(-0.727464+(-0.10149--0.172278))+0-118.7--0.121074000000019</f>
        <v>524.5643980000001</v>
      </c>
      <c r="AB111" s="3">
        <f>706.1+(97.7-231.6)+(-1.440444+(-0.199308--0.472464))+0-123--0.250919999999995</f>
        <v>448.28363200000007</v>
      </c>
      <c r="AC111" s="3">
        <f>668+(101.6-292.6)+(-0.68136+(-0.103632--0.298452))+0-122.6--0.12505200000002</f>
        <v>354.03851200000003</v>
      </c>
      <c r="AD111" s="2">
        <v>693.6</v>
      </c>
      <c r="AE111" s="3">
        <f>708+(88-208.5)+(0+(0-0))+0-108-0</f>
        <v>479.5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679.1+(105.4-335.8)+(-0.692682+(-0.107508--0.342516))+0-105.6--0.107712000000017</f>
        <v>342.75003800000002</v>
      </c>
      <c r="G112" s="3">
        <f>760.1+(82.8-415.6)+(-1.162953+(-0.126684--0.635868))+0-106.9--0.163557000000006</f>
        <v>319.90978799999999</v>
      </c>
      <c r="H112" s="3">
        <f>784.6+(83.8-420.8)+(-2.00073+(-0.21369--1.07304))+0-110--0.280499999999984</f>
        <v>336.73911999999996</v>
      </c>
      <c r="I112" s="3">
        <f>770.7+(89.6-420.6)+(0.393057+(0.045696-0.214506))+0-118-0.060179999999988</f>
        <v>321.86406700000003</v>
      </c>
      <c r="J112" s="3">
        <f>715.7+(106.5-302.7)+(-0.365007+(-0.054315--0.154377))+0-118.8--0.060587999999988</f>
        <v>400.49564299999997</v>
      </c>
      <c r="K112" s="3">
        <f>715.1+(72-313.4)+(-1.094103+(-0.11016--0.479502))+0-113.9--0.174267000000007</f>
        <v>359.249506</v>
      </c>
      <c r="L112" s="3">
        <f>717.6+(104.8-303.7)+(0+(0-0))+0-111.7-0</f>
        <v>407.00000000000006</v>
      </c>
      <c r="M112" s="3">
        <f>712.9+(150.2-283.1)+(-0.363579+(-0.076602--0.144381))+0-100--0.0509999999999899</f>
        <v>479.7552</v>
      </c>
      <c r="N112" s="3">
        <f>719.1+(182.3-265.5)+(1.466964+(0.371892-0.54162))+0-119.1-0.242963999999995</f>
        <v>517.85427200000004</v>
      </c>
      <c r="O112" s="3">
        <f>696.7+(150.3-255.4)+(-0.710634+(-0.153306--0.260508))+0-115.3--0.117606000000018</f>
        <v>475.81417400000004</v>
      </c>
      <c r="P112" s="3">
        <f>759.4+(109.1-249.7)+(-0.387294+(-0.055641--0.127347))+0-122.5--0.0624749999999876</f>
        <v>496.04688699999991</v>
      </c>
      <c r="Q112" s="3">
        <f>773.7+(85-221.2)+(1.578348+(0.1734-0.451248))+0-124.9-0.254795999999995</f>
        <v>513.64570400000014</v>
      </c>
      <c r="R112" s="3">
        <f>765+(127.5-235.4)+(0.7803+(0.13005-0.240108))+0-127.2-0.12974400000002</f>
        <v>530.44049799999993</v>
      </c>
      <c r="S112" s="3">
        <f>777.7+(135.9-313.3)+(0.396627+(0.069309-0.159783))+0-116.3-0.0593129999999882</f>
        <v>484.24684000000008</v>
      </c>
      <c r="T112" s="3">
        <f>764+(172.8-349.5)+(-0.38964+(-0.088128--0.178245))+0-119.3--0.0608429999999879</f>
        <v>467.7613199999999</v>
      </c>
      <c r="U112" s="3">
        <f>754.8+(155.4-325.7)+(0+(0-0))+0-123.8-0</f>
        <v>460.7</v>
      </c>
      <c r="V112" s="3">
        <f>733.8+(144.4-321.7)+(0.374238+(0.073644-0.164067))+0-115-0.0586499999999883</f>
        <v>441.725165</v>
      </c>
      <c r="W112" s="3">
        <f>722.8+(94.1-256.6)+(0+(0-0))+0-123.7-0</f>
        <v>436.59999999999997</v>
      </c>
      <c r="X112" s="3">
        <f>703.1+(130.3-306.7)+(-0.717162+(-0.132906--0.312834))+0-119--0.121380000000019</f>
        <v>407.28414600000008</v>
      </c>
      <c r="Y112" s="3">
        <f>715+(208.8-304.9)+(1.4586+(0.425952-0.621996))+0-115.3-0.235211999999995</f>
        <v>504.62734400000011</v>
      </c>
      <c r="Z112" s="3">
        <f>727.8+(89-227.5)+(1.113534+(0.13617-0.348075))+0-127.8-0.195534000000007</f>
        <v>462.20609499999989</v>
      </c>
      <c r="AA112" s="3">
        <f>740.6+(110-264.5)+(-1.510824+(-0.2244--0.53958))+0-129.9--0.264995999999994</f>
        <v>455.26935200000003</v>
      </c>
      <c r="AB112" s="3">
        <f>749.9+(130-331.9)+(-1.147347+(-0.1989--0.507807))+0-127.7--0.195381000000007</f>
        <v>419.65694100000002</v>
      </c>
      <c r="AC112" s="3">
        <f>755.7+(144-375.5)+(-0.385407+(-0.07344--0.191505))+0-129.6--0.0660959999999868</f>
        <v>394.398754</v>
      </c>
      <c r="AD112" s="2">
        <v>751.89999999999986</v>
      </c>
      <c r="AE112" s="3">
        <f>741+(124.8-264.2)+(0+(0-0))+0-140.7-0</f>
        <v>460.90000000000003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752.5+(108.6-406.1)+(-1.151325+(-0.166158--0.621333))+0-122.9--0.188037000000007</f>
        <v>331.59188700000004</v>
      </c>
      <c r="G113" s="3">
        <f>743.8+(82.4-377.9)+(-1.89669+(-0.21012--0.963645))+0-131--0.334049999999981</f>
        <v>316.49088499999993</v>
      </c>
      <c r="H113" s="3">
        <f>743.6+(90.6-364.6)+(-1.516944+(-0.184824--0.743784))+0-133.5--0.272339999999994</f>
        <v>335.414356</v>
      </c>
      <c r="I113" s="3">
        <f>725.9+(59.5-318.6)+(-1.851045+(-0.151725--0.81243))+0-136.1--0.34705499999998</f>
        <v>329.85671499999989</v>
      </c>
      <c r="J113" s="3">
        <f>734.5+(50-307.6)+(-0.374595+(-0.0255--0.156876))+0-132.3--0.0674729999999866</f>
        <v>344.42425399999996</v>
      </c>
      <c r="K113" s="3">
        <f>766.8+(46-360.8)+(0+(0-0))+0-136.3-0</f>
        <v>315.69999999999993</v>
      </c>
      <c r="L113" s="3">
        <f>762.8+(155.1-362)+(-1.167084+(-0.237303--0.55386))+0-132.6--0.202878000000008</f>
        <v>422.6523509999999</v>
      </c>
      <c r="M113" s="3">
        <f>770+(171.5-338.1)+(1.1781+(0.262395-0.517293))+0-142.2-0.217566000000008</f>
        <v>461.9056359999999</v>
      </c>
      <c r="N113" s="3">
        <f>753+(121.4-357)+(0+(0-0))+0-129.9-0</f>
        <v>387.5</v>
      </c>
      <c r="O113" s="3">
        <f>745.9+(158-328.5)+(0+(0-0))+0-143.8-0</f>
        <v>431.59999999999997</v>
      </c>
      <c r="P113" s="3">
        <f>776.4+(106.6-247.6)+(0+(0-0))+0-133-0</f>
        <v>502.4</v>
      </c>
      <c r="Q113" s="3">
        <f>783+(82-191.2)+(0.79866+(0.08364-0.195024))+0-134.7-0.137394000000021</f>
        <v>539.64988200000005</v>
      </c>
      <c r="R113" s="3">
        <f>802.8+(125.8-258.8)+(0.818856+(0.128316-0.263976))+0-128.2-0.13076400000002</f>
        <v>542.15243199999986</v>
      </c>
      <c r="S113" s="3">
        <f>801.8+(151.8-322.7)+(-1.226754+(-0.232254--0.493731))+0-120.1--0.183753000000007</f>
        <v>510.01847599999996</v>
      </c>
      <c r="T113" s="3">
        <f>798+(155.5-322.1)+(-0.81396+(-0.15861--0.328542))+0-129.3--0.131886000000021</f>
        <v>501.58785799999993</v>
      </c>
      <c r="U113" s="3">
        <f>794.9+(150.9-307.7)+(-1.621596+(-0.307836--0.627708))+0-132.2--0.269687999999994</f>
        <v>504.86796399999997</v>
      </c>
      <c r="V113" s="3">
        <f>780.2+(157.2-299.4)+(-0.397902+(-0.080172--0.152694))+0-134.9--0.0687989999999863</f>
        <v>502.84341900000004</v>
      </c>
      <c r="W113" s="3">
        <f>727.8+(111.1-244.7)+(-1.113534+(-0.169983--0.374391))+0-96.3--0.147339000000006</f>
        <v>497.13821299999989</v>
      </c>
      <c r="X113" s="3">
        <f>608.8+(158.5-258.1)+(-1.55244+(-0.404175--0.658155))+0-66.5--0.16957499999999</f>
        <v>441.57111499999996</v>
      </c>
      <c r="Y113" s="3">
        <f>673.5+(253.1-260)+(0+(0-0))+0-68.2-0</f>
        <v>598.4</v>
      </c>
      <c r="Z113" s="3">
        <f>753.1+(90.2-208.4)+(0+(0-0))+0-97.3-0</f>
        <v>537.6</v>
      </c>
      <c r="AA113" s="3">
        <f>769.7+(100.8-254.4)+(-1.177641+(-0.154224--0.389232))+0-120.3--0.184059000000007</f>
        <v>495.041426</v>
      </c>
      <c r="AB113" s="3">
        <f>783.9+(88.1-289.5)+(-1.199367+(-0.134793--0.442935))+0-130.2--0.199206000000008</f>
        <v>451.60798100000005</v>
      </c>
      <c r="AC113" s="3">
        <f>793.7+(92.9-354)+(-0.809574+(-0.094758--0.36108))+0-120.2--0.122604000000019</f>
        <v>411.97935200000001</v>
      </c>
      <c r="AD113" s="2">
        <v>755.9</v>
      </c>
      <c r="AE113" s="3">
        <f>790+(102-264.1)+(0+(0-0))+0-105.2-0</f>
        <v>522.69999999999993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793.1+(83.3-344.7)+(-0.404481+(-0.042483--0.175797))+0-119.5--0.0609449999999879</f>
        <v>411.98977800000006</v>
      </c>
      <c r="G114" s="3">
        <f>786.9+(80-368.7)+(-1.605276+(-0.1632--0.752148))+0-107.9--0.220115999999995</f>
        <v>389.50378800000004</v>
      </c>
      <c r="H114" s="3">
        <f>795.9+(78-363.3)+(-0.405909+(-0.03978--0.185283))+0-106.3--0.0542129999999892</f>
        <v>404.09380699999997</v>
      </c>
      <c r="I114" s="3">
        <f>801.1+(78-336.5)+(-1.225683+(-0.11934--0.514845))+0-103.4--0.158202000000006</f>
        <v>438.52802400000002</v>
      </c>
      <c r="J114" s="3">
        <f>803.5+(83.6-315.2)+(-0.81957+(-0.085272--0.321504))+0-105.5--0.107610000000017</f>
        <v>465.92427199999997</v>
      </c>
      <c r="K114" s="3">
        <f>800+(92.5-333.3)+(-2.448+(-0.28305--1.019898))+0-121--0.370260000000014</f>
        <v>436.85910800000011</v>
      </c>
      <c r="L114" s="3">
        <f>815.7+(134.8-354.9)+(0+(0-0))+0-99.8-0</f>
        <v>495.80000000000013</v>
      </c>
      <c r="M114" s="3">
        <f>816+(154.1-311.4)+(0.41616+(0.078591-0.158814))+0-123.8-0.0631379999999874</f>
        <v>535.17279900000005</v>
      </c>
      <c r="N114" s="3">
        <f>807.3+(132.7-280.7)+(0.823446+(0.135354-0.286314))+0-111.4-0.113628000000018</f>
        <v>548.45885799999996</v>
      </c>
      <c r="O114" s="3">
        <f>798.2+(135.4-302.1)+(0+(0-0))+0-129-0</f>
        <v>502.5</v>
      </c>
      <c r="P114" s="3">
        <f>778.3+(81-267.6)+(1.190799+(0.12393-0.409428))+0-121.9-0.186507000000007</f>
        <v>470.51879399999996</v>
      </c>
      <c r="Q114" s="3">
        <f>763.2+(96.6-200)+(-0.778464+(-0.098532--0.204))+0-126.4--0.12892800000002</f>
        <v>532.85593200000005</v>
      </c>
      <c r="R114" s="3">
        <f>777.6+(141.2-234.4)+(0.396576+(0.072012-0.119544))+0-113.9-0.0580889999999884</f>
        <v>570.79095500000005</v>
      </c>
      <c r="S114" s="3">
        <f>783.3+(172.6-284.1)+(-1.997415+(-0.44013--0.724455))+0-114.1--0.290954999999983</f>
        <v>556.27786499999991</v>
      </c>
      <c r="T114" s="3">
        <f>780.3+(188.9-328.2)+(-0.795906+(-0.192678--0.334764))+0-107.2--0.109344000000017</f>
        <v>533.25552399999992</v>
      </c>
      <c r="U114" s="3">
        <f>767.5+(184.2-318.1)+(-0.391425+(-0.093942--0.162231))+0-118.7--0.060536999999988</f>
        <v>514.63740099999984</v>
      </c>
      <c r="V114" s="3">
        <f>760.5+(142.1-294.6)+(0.387855+(0.072471-0.150246))+0-101.9-0.0519689999999897</f>
        <v>506.35811100000001</v>
      </c>
      <c r="W114" s="3">
        <f>740.2+(95.1-221.5)+(-0.377502+(-0.048501--0.112965))+0-115.4--0.0588539999999883</f>
        <v>498.14581600000008</v>
      </c>
      <c r="X114" s="3">
        <f>742.4+(130.4-318.5)+(-0.757248+(-0.133008--0.32487))+0-109.3--0.111486000000017</f>
        <v>444.54609999999997</v>
      </c>
      <c r="Y114" s="3">
        <f>737.2+(259-381.5)+(-1.503888+(-0.52836--0.77826))+0-114.1--0.232763999999995</f>
        <v>499.57877599999995</v>
      </c>
      <c r="Z114" s="3">
        <f>751.3+(100.8-248.6)+(1.532652+(0.205632-0.507144))+0-120.8-0.246431999999995</f>
        <v>483.684708</v>
      </c>
      <c r="AA114" s="3">
        <f>763+(91-251.6)+(-0.77826+(-0.09282--0.256632))+0-125.8--0.12831600000002</f>
        <v>476.11386799999997</v>
      </c>
      <c r="AB114" s="3">
        <f>766.9+(89-291.6)+(-1.564476+(-0.18156--0.594864))+0-134.8--0.274991999999994</f>
        <v>428.62381999999997</v>
      </c>
      <c r="AC114" s="3">
        <f>769.5+(89-360.6)+(0.392445+(0.04539-0.183906))+0-125-0.0637499999999873</f>
        <v>373.09017900000003</v>
      </c>
      <c r="AD114" s="2">
        <v>748.90000000000009</v>
      </c>
      <c r="AE114" s="3">
        <f>763+(92-251.1)+(0+(0-0))+0-129.7-0</f>
        <v>474.2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755.5+(89.9-338.7)+(-0.385305+(-0.045849--0.172737))+0-131.4--0.0670139999999867</f>
        <v>375.10859700000003</v>
      </c>
      <c r="G115" s="3">
        <f>734.4+(84-341.4)+(-0.374544+(-0.04284--0.174114))+0-133--0.0678299999999865</f>
        <v>343.82456000000002</v>
      </c>
      <c r="H115" s="3">
        <f>756.7+(83-360.3)+(-0.771834+(-0.08466--0.367506))+0-134.2--0.136884000000021</f>
        <v>344.84789600000005</v>
      </c>
      <c r="I115" s="3">
        <f>790.4+(82-381.8)+(-1.209312+(-0.12546--0.584154))+0-127--0.194310000000007</f>
        <v>363.04369200000002</v>
      </c>
      <c r="J115" s="3">
        <f>797+(81-361.3)+(-0.81294+(-0.08262--0.368526))+0-112.9--0.115158000000018</f>
        <v>403.38812400000012</v>
      </c>
      <c r="K115" s="3">
        <f>794.3+(75-382.2)+(-0.810186+(-0.0765--0.389844))+0-132.3--0.134946000000021</f>
        <v>354.43810399999995</v>
      </c>
      <c r="L115" s="3">
        <f>812.8+(142.5-380.2)+(0.414528+(0.072675-0.193902))+0-101.2-0.0516119999999897</f>
        <v>474.14168899999999</v>
      </c>
      <c r="M115" s="3">
        <f>809.8+(169.8-326.2)+(1.238994+(0.259794-0.499086))+0-111.2-0.170136000000006</f>
        <v>543.02956599999993</v>
      </c>
      <c r="N115" s="3">
        <f>802.7+(141.3-333.6)+(-0.409377+(-0.072063--0.170136))+0-120.4--0.0614039999999878</f>
        <v>489.75010000000015</v>
      </c>
      <c r="O115" s="3">
        <f>795.8+(89.4-347.1)+(1.623432+(0.182376-0.708084))+0-116.3-0.237251999999995</f>
        <v>422.66047199999986</v>
      </c>
      <c r="P115" s="3">
        <f>767.8+(114-238.1)+(0+(0-0))+0-115.4-0</f>
        <v>528.29999999999995</v>
      </c>
      <c r="Q115" s="3">
        <f>754.1+(101.2-159.3)+(1.538364+(0.206448-0.324972))+0-120.2-0.245207999999995</f>
        <v>576.97463199999993</v>
      </c>
      <c r="R115" s="3">
        <f>775.5+(186-258.8)+(-0.395505+(-0.09486--0.131988))+0-131.4--0.0670139999999867</f>
        <v>571.00863700000002</v>
      </c>
      <c r="S115" s="3">
        <f>773.9+(213.9-401.5)+(-0.789378+(-0.218178--0.40953))+0-128.8--0.131376000000021</f>
        <v>457.03334999999998</v>
      </c>
      <c r="T115" s="3">
        <f>751.1+(185.6-408.9)+(0.766122+(0.189312-0.417078))+0-126.3-0.12882600000002</f>
        <v>401.90953000000007</v>
      </c>
      <c r="U115" s="3">
        <f>753.5+(164.7-406.7)+(-0.384285+(-0.083997--0.207417))+0-135--0.0688499999999863</f>
        <v>376.30798499999997</v>
      </c>
      <c r="V115" s="3">
        <f>754.6+(142.5-409.5)+(-0.769692+(-0.14535--0.41769))+0-120.2--0.122604000000019</f>
        <v>367.02525200000008</v>
      </c>
      <c r="W115" s="3">
        <f>729.8+(92-330.7)+(0.372198+(0.04692-0.168657))+0-131.7-0.0671669999999866</f>
        <v>359.58329399999997</v>
      </c>
      <c r="X115" s="3">
        <f>727+(84.7-351.1)+(-1.11231+(-0.129591--0.537183))+0-119--0.182070000000007</f>
        <v>341.07735199999996</v>
      </c>
      <c r="Y115" s="3">
        <f>728.5+(197.5-398.8)+(-1.48614+(-0.4029--0.813552))+0-132.4--0.270095999999994</f>
        <v>393.99460800000008</v>
      </c>
      <c r="Z115" s="3">
        <f>751.6+(91.6-297.5)+(0.383316+(0.046716-0.151725))+0-121.1-0.0617609999999877</f>
        <v>424.81654600000007</v>
      </c>
      <c r="AA115" s="3">
        <f>802.4+(99.1-351.9)+(-1.227672+(-0.151623--0.538407))+0-145.6--0.222768000000008</f>
        <v>403.38188000000008</v>
      </c>
      <c r="AB115" s="3">
        <f>815.5+(89.4-440.4)+(-0.83181+(-0.091188--0.449208))+0-124.1--0.12658200000002</f>
        <v>340.05279200000001</v>
      </c>
      <c r="AC115" s="3">
        <f>771+(87.4-416.5)+(-1.17963+(-0.133722--0.637245))+0-132.9--0.203337000000008</f>
        <v>308.52723000000003</v>
      </c>
      <c r="AD115" s="2">
        <v>698</v>
      </c>
      <c r="AE115" s="3">
        <f>795+(92-366.3)+(0+(0-0))+0-149.7-0</f>
        <v>371.00000000000006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728.9+(86-371.6)+(1.115217+(0.13158-0.568548))+0-127.1-0.194463000000007</f>
        <v>316.683786</v>
      </c>
      <c r="G116" s="3">
        <f>622.9+(84-251.8)+(0+(0-0))+0-119-0</f>
        <v>336.09999999999997</v>
      </c>
      <c r="H116" s="3">
        <f>625.1+(84-259.5)+(0.637602+(0.08568-0.26469))+0-121.6-0.124032000000019</f>
        <v>328.33456000000007</v>
      </c>
      <c r="I116" s="3">
        <f>629.3+(81-268.9)+(-0.641886+(-0.08262--0.274278))+0-120.2--0.122604000000019</f>
        <v>320.87237600000003</v>
      </c>
      <c r="J116" s="3">
        <f>638+(79-216.4)+(-0.32538+(-0.04029--0.110364))+0-125--0.0637499999999873</f>
        <v>375.40844399999997</v>
      </c>
      <c r="K116" s="3">
        <f>637.3+(75-250.1)+(-1.625115+(-0.19125--0.637755))+0-113.4--0.289169999999984</f>
        <v>347.91055999999986</v>
      </c>
      <c r="L116" s="3">
        <f>649.7+(93.7-262.3)+(-1.325388+(-0.191148--0.535092))+0-117.2--0.239087999999995</f>
        <v>363.157644</v>
      </c>
      <c r="M116" s="3">
        <f>653.5+(115.2-249.8)+(-0.333285+(-0.058752--0.127398))+0-117.7--0.0600269999999881</f>
        <v>400.99538799999999</v>
      </c>
      <c r="N116" s="3">
        <f>651.9+(120.4-260.4)+(-0.664938+(-0.122808--0.265608))+0-101.7--0.103734000000016</f>
        <v>409.78159600000004</v>
      </c>
      <c r="O116" s="3">
        <f>638.5+(87-260.9)+(-0.65127+(-0.08874--0.266118))+0-123.7--0.12617400000002</f>
        <v>340.55228200000005</v>
      </c>
      <c r="P116" s="3">
        <f>629.4+(78-210.6)+(-0.320994+(-0.03978--0.107406))+0-123.4--0.0629339999999875</f>
        <v>373.20956599999994</v>
      </c>
      <c r="Q116" s="3">
        <f>618.3+(93.4-249.2)+(-0.315333+(-0.047634--0.127092))+0-134.6--0.0686459999999863</f>
        <v>327.73277100000001</v>
      </c>
      <c r="R116" s="3">
        <f>611.3+(132.3-287.5)+(0+(0-0))+0-129.9-0</f>
        <v>326.19999999999993</v>
      </c>
      <c r="S116" s="3">
        <f>606.7+(139.5-336.2)+(-0.618834+(-0.14229--0.342924))+0-120.4--0.122808000000019</f>
        <v>289.30460800000009</v>
      </c>
      <c r="T116" s="3">
        <f>602+(151.9-369.5)+(0.61404+(0.154938-0.37689))+0-124.5-0.12699000000002</f>
        <v>260.16509799999994</v>
      </c>
      <c r="U116" s="3">
        <f>598.8+(145.8-341.9)+(-0.610776+(-0.148716--0.348738))+0-128.7--0.131274000000021</f>
        <v>273.72052000000002</v>
      </c>
      <c r="V116" s="3">
        <f>597+(123-287.1)+(-1.21788+(-0.25092--0.585684))+0-125.3--0.255611999999995</f>
        <v>306.97249599999998</v>
      </c>
      <c r="W116" s="3">
        <f>599.3+(80.2-213)+(-0.611286+(-0.081804--0.21726))+0-116.2--0.118524000000019</f>
        <v>349.94269400000002</v>
      </c>
      <c r="X116" s="3">
        <f>597.7+(199.7-342.1)+(-0.914481+(-0.305541--0.523413))+0-123--0.188190000000007</f>
        <v>331.79158100000001</v>
      </c>
      <c r="Y116" s="3">
        <f>601.5+(305.5-351.5)+(-0.306765+(-0.155805--0.179265))+0-123.1--0.0627809999999875</f>
        <v>432.17947599999991</v>
      </c>
      <c r="Z116" s="3">
        <f>607+(115.1-206.8)+(0+(0-0))+0-118-0</f>
        <v>397.29999999999995</v>
      </c>
      <c r="AA116" s="3">
        <f>619.9+(97.7-212.7)+(0.948447+(0.149481-0.325431))+0-130.6-0.199818000000008</f>
        <v>374.87267900000001</v>
      </c>
      <c r="AB116" s="3">
        <f>623.2+(108.1-285.3)+(-0.953496+(-0.165393--0.436509))+0-125.4--0.191862000000007</f>
        <v>320.10948199999996</v>
      </c>
      <c r="AC116" s="3">
        <f>623.9+(124.1-336.1)+(-0.954567+(-0.189873--0.514233))+0-130.9--0.200277000000008</f>
        <v>280.57006999999999</v>
      </c>
      <c r="AD116" s="2">
        <v>685.7</v>
      </c>
      <c r="AE116" s="3">
        <f>623+(106.4-250.8)+(0+(0-0))+0-129.5-0</f>
        <v>349.1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626.9+(123.3-318.1)+(-0.319719+(-0.062883--0.162231))+0-118.2--0.060281999999988</f>
        <v>313.73991099999995</v>
      </c>
      <c r="G117" s="3">
        <f>628.8+(104.6-252.5)+(-0.962064+(-0.160038--0.386325))+0-123.5--0.188955000000007</f>
        <v>356.85317800000001</v>
      </c>
      <c r="H117" s="3">
        <f>635.4+(101.6-257.4)+(-0.648108+(-0.103632--0.262548))+0-128--0.13056000000002</f>
        <v>351.24136800000002</v>
      </c>
      <c r="I117" s="3">
        <f>635.7+(101.7-260.7)+(-0.648414+(-0.103734--0.265914))+0-122.9--0.12535800000002</f>
        <v>353.43912399999999</v>
      </c>
      <c r="J117" s="3">
        <f>644.3+(100.3-260.3)+(-0.657186+(-0.102306--0.265506))+0-126.9--0.12943800000002</f>
        <v>357.03545199999991</v>
      </c>
      <c r="K117" s="3">
        <f>671.6+(102.2-284.1)+(-1.370064+(-0.208488--0.579564))+0-132.5--0.270299999999994</f>
        <v>356.47131200000001</v>
      </c>
      <c r="L117" s="3">
        <f>726.5+(134.6-279.1)+(0+(0-0))+0-120.5-0</f>
        <v>461.5</v>
      </c>
      <c r="M117" s="3">
        <f>793.4+(155.6-316.8)+(-0.404634+(-0.079356--0.161568))+0-115.4--0.0588539999999883</f>
        <v>516.53643199999999</v>
      </c>
      <c r="N117" s="3">
        <f>814.3+(135-352.2)+(0.830586+(0.1377-0.359244))+0-119.3-0.121686000000019</f>
        <v>478.28735599999993</v>
      </c>
      <c r="O117" s="3">
        <f>803.9+(99.9-336)+(-0.409989+(-0.050949--0.17136))+0-118.6--0.060485999999988</f>
        <v>448.97090799999989</v>
      </c>
      <c r="P117" s="3">
        <f>776.1+(89.4-296.2)+(0.791622+(0.091188-0.302124))+0-117.7-0.120054000000019</f>
        <v>452.06063200000006</v>
      </c>
      <c r="Q117" s="3">
        <f>775.4+(87-258.2)+(0.395454+(0.04437-0.131682))+0-114.4-0.0583439999999884</f>
        <v>490.04979800000007</v>
      </c>
      <c r="R117" s="3">
        <f>772.3+(97.3-274.8)+(0.393873+(0.049623-0.140148))+0-127.3-0.0649229999999871</f>
        <v>467.73842500000001</v>
      </c>
      <c r="S117" s="3">
        <f>778.7+(122.4-340)+(-0.397137+(-0.062424--0.1734))+0-117.3--0.0598229999999881</f>
        <v>443.57366200000001</v>
      </c>
      <c r="T117" s="3">
        <f>780.5+(124.9-320.3)+(-1.194165+(-0.191097--0.490059))+0-137.5--0.210375000000008</f>
        <v>446.91517199999998</v>
      </c>
      <c r="U117" s="3">
        <f>778.3+(113.6-335)+(-1.587732+(-0.231744--0.6834))+0-112.5--0.229499999999995</f>
        <v>443.49342399999995</v>
      </c>
      <c r="V117" s="3">
        <f>762+(104.9-306.7)+(-1.55448+(-0.213996--0.625668))+0-125.1--0.255203999999995</f>
        <v>434.21239600000007</v>
      </c>
      <c r="W117" s="3">
        <f>715.9+(83.7-219.8)+(-1.095327+(-0.128061--0.336294))+0-121.4--0.185742000000007</f>
        <v>457.69864799999993</v>
      </c>
      <c r="X117" s="3">
        <f>697.8+(230-397.2)+(-2.491146+(-0.8211--1.418004))+0-110.4--0.394128000000002</f>
        <v>418.69988599999999</v>
      </c>
      <c r="Y117" s="3">
        <f>711.6+(280.7-437.1)+(-1.81458+(-0.715785--1.114605))+0-126.5--0.322574999999982</f>
        <v>427.60681500000004</v>
      </c>
      <c r="Z117" s="3">
        <f>763.8+(88.4-250.6)+(1.558152+(0.180336-0.511224))+0-138.5-0.282539999999994</f>
        <v>464.04472399999992</v>
      </c>
      <c r="AA117" s="3">
        <f>776.3+(91.2-251.7)+(-0.395913+(-0.046512--0.128367))+0-138.5--0.0706349999999859</f>
        <v>477.05657699999989</v>
      </c>
      <c r="AB117" s="3">
        <f>775.1+(89-322.4)+(-2.371806+(-0.27234--0.986544))+0-102.4--0.313344000000012</f>
        <v>437.9557420000001</v>
      </c>
      <c r="AC117" s="3">
        <f>789.3+(86.1-411.4)+(0.402543+(0.043911-0.209814))+0-116.9-0.0596189999999881</f>
        <v>347.27702099999999</v>
      </c>
      <c r="AD117" s="2">
        <v>729.2</v>
      </c>
      <c r="AE117" s="3">
        <f>772+(88-275.4)+(0+(0-0))+0-159.4-0</f>
        <v>425.20000000000005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784.2+(83-393.1)+(-1.199826+(-0.12699--0.601443))+0-124--0.189720000000007</f>
        <v>349.56434700000005</v>
      </c>
      <c r="G118" s="3">
        <f>789.8+(82-437.4)+(0.402798+(0.04182-0.223074))+0-110.3-0.0562529999999888</f>
        <v>324.26529099999999</v>
      </c>
      <c r="H118" s="3">
        <f>787.6+(81-418.1)+(-0.401676+(-0.04131--0.213231))+0-115.2--0.0587519999999883</f>
        <v>335.12899699999997</v>
      </c>
      <c r="I118" s="3">
        <f>789.4+(78-399.2)+(-0.805188+(-0.07956--0.407184))+0-124.5--0.12699000000002</f>
        <v>343.34942600000005</v>
      </c>
      <c r="J118" s="3">
        <f>792.5+(81-334.8)+(-1.6167+(-0.16524--0.682992))+0-127.2--0.259487999999994</f>
        <v>410.66054000000008</v>
      </c>
      <c r="K118" s="3">
        <f>806.2+(116.1-363.7)+(-1.233486+(-0.177633--0.556461))+0-120.1--0.183753000000007</f>
        <v>437.82909500000005</v>
      </c>
      <c r="L118" s="3">
        <f>804.8+(118.9-365.9)+(-2.05224+(-0.303195--0.933045))+0-116.4--0.296819999999983</f>
        <v>440.27443</v>
      </c>
      <c r="M118" s="3">
        <f>814.5+(114-343.3)+(1.66158+(0.23256-0.700332))+0-115.6-0.235823999999995</f>
        <v>470.55798400000003</v>
      </c>
      <c r="N118" s="3">
        <f>801.6+(100.4-368.6)+(0+(0-0))+0-125.8-0</f>
        <v>407.59999999999997</v>
      </c>
      <c r="O118" s="3">
        <f>801.8+(103.8-337.4)+(0.817836+(0.105876-0.344148))+0-121.1-0.123522000000019</f>
        <v>447.55604199999999</v>
      </c>
      <c r="P118" s="3">
        <f>797.6+(113.4-321.1)+(0.813552+(0.115668-0.327522))+0-122-0.124440000000019</f>
        <v>468.37725800000004</v>
      </c>
      <c r="Q118" s="3">
        <f>796.4+(85-265.3)+(0+(0-0))+0-124.1-0</f>
        <v>491.99999999999989</v>
      </c>
      <c r="R118" s="3">
        <f>807.9+(87-302.2)+(0.412029+(0.04437-0.154122))+0-109.3-0.0557429999999889</f>
        <v>483.64653400000003</v>
      </c>
      <c r="S118" s="3">
        <f>805.5+(124.1-367.5)+(-0.82161+(-0.126582--0.37485))+0-124.5--0.12699000000002</f>
        <v>437.15364800000003</v>
      </c>
      <c r="T118" s="3">
        <f>800.3+(121.7-383.5)+(-1.632612+(-0.248268--0.78234))+0-116.8--0.238271999999995</f>
        <v>420.83973200000003</v>
      </c>
      <c r="U118" s="3">
        <f>761.3+(125.3-365.7)+(0.388263+(0.063903-0.186507))+0-123.2-0.0628319999999875</f>
        <v>397.902827</v>
      </c>
      <c r="V118" s="3">
        <f>758.2+(97.9-322.3)+(-1.546728+(-0.199716--0.657492))+0-128.5--0.262139999999994</f>
        <v>404.47318800000011</v>
      </c>
      <c r="W118" s="3">
        <f>741.4+(82-306.7)+(-0.756228+(-0.08364--0.312834))+0-116.3--0.118626000000019</f>
        <v>399.99159200000008</v>
      </c>
      <c r="X118" s="3">
        <f>721.9+(178.8-420.2)+(-0.736338+(-0.182376--0.428604))+0-97--0.0989400000000155</f>
        <v>383.10883000000001</v>
      </c>
      <c r="Y118" s="3">
        <f>724.8+(250.8-386.8)+(0+(0-0))+0-119.3-0</f>
        <v>469.49999999999994</v>
      </c>
      <c r="Z118" s="3">
        <f>746.5+(90-268.8)+(0+(0-0))+0-130.9-0</f>
        <v>436.80000000000007</v>
      </c>
      <c r="AA118" s="3">
        <f>766.9+(89-319.3)+(-1.564476+(-0.18156--0.651372))+0-131--0.267239999999994</f>
        <v>404.77257599999996</v>
      </c>
      <c r="AB118" s="3">
        <f>776.5+(86-382.8)+(-1.58406+(-0.17544--0.780912))+0-115.8--0.236231999999995</f>
        <v>363.15764399999995</v>
      </c>
      <c r="AC118" s="3">
        <f>783.3+(99.9-417.3)+(-1.997415+(-0.254745--1.064115))+0-134.4--0.342719999999981</f>
        <v>330.654675</v>
      </c>
      <c r="AD118" s="2">
        <v>711.40000000000009</v>
      </c>
      <c r="AE118" s="3">
        <f>772+(90-360.3)+(0+(0-0))+0-138.7-0</f>
        <v>363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785.5+(86-393.7)+(-2.003025+(-0.2193--1.003935))+0-124.6--0.317729999999982</f>
        <v>352.29934000000003</v>
      </c>
      <c r="G119" s="3">
        <f>795.2+(83-423.8)+(-1.216656+(-0.12699--0.648414))+0-121.5--0.185895000000007</f>
        <v>332.39066300000007</v>
      </c>
      <c r="H119" s="3">
        <f>803.2+(80-388.4)+(-0.409632+(-0.0408--0.198084))+0-125.4--0.0639539999999873</f>
        <v>369.21160600000007</v>
      </c>
      <c r="I119" s="3">
        <f>804.1+(81-363.1)+(-2.050455+(-0.20655--0.925905))+0-129.5--0.330224999999981</f>
        <v>391.49912499999999</v>
      </c>
      <c r="J119" s="3">
        <f>806.3+(78-336.2)+(-1.644852+(-0.15912--0.685848))+0-122.2--0.249287999999995</f>
        <v>425.03116399999993</v>
      </c>
      <c r="K119" s="3">
        <f>818.6+(112.9-364.6)+(-0.834972+(-0.115158--0.371892))+0-123.4--0.12586800000002</f>
        <v>443.04762999999997</v>
      </c>
      <c r="L119" s="3">
        <f>827.5+(123.7-391.5)+(-2.110125+(-0.315435--0.998325))+0-101.6--0.259079999999985</f>
        <v>456.93184500000001</v>
      </c>
      <c r="M119" s="3">
        <f>839.2+(132.3-393.6)+(1.711968+(0.269892-0.802944))+0-100.1-0.204203999999996</f>
        <v>478.77471200000002</v>
      </c>
      <c r="N119" s="3">
        <f>828.7+(97.5-400)+(2.113185+(0.248625-1.02))+0-115.4-0.294269999999983</f>
        <v>411.84754000000009</v>
      </c>
      <c r="O119" s="3">
        <f>817.3+(139.5-377.5)+(0.833646+(0.14229-0.38505))+0-132.5-0.135150000000021</f>
        <v>447.2557359999999</v>
      </c>
      <c r="P119" s="3">
        <f>819.9+(87.9-319)+(1.254447+(0.134487-0.48807))+0-127.4-0.194922000000007</f>
        <v>462.10594199999991</v>
      </c>
      <c r="Q119" s="3">
        <f>818.1+(82-289.8)+(1.668924+(0.16728-0.591192))+0-133.2-0.271727999999994</f>
        <v>478.07328399999994</v>
      </c>
      <c r="R119" s="3">
        <f>812.7+(85.7-305.4)+(1.243431+(0.131121-0.467262))+0-139.5-0.213435000000008</f>
        <v>454.19385499999999</v>
      </c>
      <c r="S119" s="3">
        <f>800.6+(113.1-393.4)+(-0.408306+(-0.057681--0.200634))+0-117.3--0.0598229999999881</f>
        <v>402.79447000000005</v>
      </c>
      <c r="T119" s="3">
        <f>791+(131.1-408.8)+(0+(0-0))+0-129-0</f>
        <v>384.29999999999995</v>
      </c>
      <c r="U119" s="3">
        <f>784.1+(124.7-412.8)+(-1.999455+(-0.317985--1.05264))+0-128.6--0.327929999999981</f>
        <v>366.46313000000004</v>
      </c>
      <c r="V119" s="3">
        <f>788+(113.9-400.9)+(0.40188+(0.058089-0.204459))+0-138.2-0.070481999999986</f>
        <v>362.98502800000006</v>
      </c>
      <c r="W119" s="3">
        <f>783.3+(82-332)+(-1.198449+(-0.12546--0.50796))+0-137.8--0.210834000000008</f>
        <v>394.89488499999993</v>
      </c>
      <c r="X119" s="3">
        <f>782.2+(147-396.6)+(-2.393532+(-0.44982--1.213596))+0-122.6--0.375156000000014</f>
        <v>408.74539999999996</v>
      </c>
      <c r="Y119" s="3">
        <f>772.4+(228.5-388.8)+(0+(0-0))+0-102.7-0</f>
        <v>509.39999999999992</v>
      </c>
      <c r="Z119" s="3">
        <f>772.9+(88-300.6)+(-1.182537+(-0.13464--0.459918))+0-86.6--0.132498000000005</f>
        <v>472.97523899999993</v>
      </c>
      <c r="AA119" s="3">
        <f>788.1+(88-282.3)+(-1.205793+(-0.13464--0.431919))+0-104.2--0.159426000000006</f>
        <v>488.85091199999999</v>
      </c>
      <c r="AB119" s="3">
        <f>790.5+(93.1-384.6)+(-2.41893+(-0.284886--1.176876))+0-73.3--0.224298000000008</f>
        <v>424.397358</v>
      </c>
      <c r="AC119" s="3">
        <f>801.9+(87.2-438.4)+(-1.226907+(-0.133416--0.670752))+0-96.2--0.147186000000006</f>
        <v>353.95761500000003</v>
      </c>
      <c r="AD119" s="2">
        <v>694.1</v>
      </c>
      <c r="AE119" s="3">
        <f>787+(87-326.9)+(0+(0-0))+0-121-0</f>
        <v>426.1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798+(94.6-399.2)+(-2.84886+(-0.337722--1.425144))+0-131--0.467670000000002</f>
        <v>361.10623199999998</v>
      </c>
      <c r="G120" s="3">
        <f>795.1+(103.7-357.9)+(-2.027505+(-0.264435--0.912645))+0-130.8--0.333539999999981</f>
        <v>409.05424500000009</v>
      </c>
      <c r="H120" s="3">
        <f>797.2+(89.3-315.2)+(-1.626288+(-0.182172--0.643008))+0-153.3--0.312731999999993</f>
        <v>417.14728000000008</v>
      </c>
      <c r="I120" s="3">
        <f>799.5+(116.2-326.5)+(-1.63098+(-0.237048--0.66606))+0-137.5--0.280499999999994</f>
        <v>450.7785320000001</v>
      </c>
      <c r="J120" s="3">
        <f>811.6+(115.4-309.9)+(0+(0-0))+0-153.1-0</f>
        <v>464</v>
      </c>
      <c r="K120" s="3">
        <f>811.7+(116.7-353.5)+(-1.655868+(-0.238068--0.72114))+0-135.5--0.276419999999994</f>
        <v>438.50362400000012</v>
      </c>
      <c r="L120" s="3">
        <f>822.7+(96.5-350.8)+(0+(0-0))+0-125.8-0</f>
        <v>442.60000000000008</v>
      </c>
      <c r="M120" s="3">
        <f>825.3+(89.5-375.8)+(1.262709+(0.136935-0.574974))+0-146-0.223380000000008</f>
        <v>393.60128999999995</v>
      </c>
      <c r="N120" s="3">
        <f>806.6+(154.5-412.8)+(0.411366+(0.078795-0.210528))+0-138.2-0.070481999999986</f>
        <v>410.30915099999999</v>
      </c>
      <c r="O120" s="3">
        <f>799+(209.5-406.2)+(0.40749+(0.106845-0.207162))+0-151.2-0.0771119999999847</f>
        <v>451.330061</v>
      </c>
      <c r="P120" s="3">
        <f>794.5+(160.4-338)+(1.62078+(0.327216-0.68952))+0-151.6-0.309263999999993</f>
        <v>466.24921199999994</v>
      </c>
      <c r="Q120" s="3">
        <f>797.3+(85-278.3)+(1.219869+(0.13005-0.425799))+0-148-0.226440000000009</f>
        <v>456.69767999999999</v>
      </c>
      <c r="R120" s="3">
        <f>818.3+(87-325)+(-0.417333+(-0.04437--0.16575))+0-151--0.0770099999999847</f>
        <v>429.08105699999987</v>
      </c>
      <c r="S120" s="3">
        <f>821.8+(106.8-388.9)+(-1.257354+(-0.163404--0.595017))+0-132.8--0.203184000000008</f>
        <v>406.27744300000006</v>
      </c>
      <c r="T120" s="3">
        <f>816.4+(124.9-444.3)+(-0.416364+(-0.063699--0.226593))+0-120.2--0.0613019999999878</f>
        <v>376.60783200000003</v>
      </c>
      <c r="U120" s="3">
        <f>815.6+(111.4-419)+(1.663824+(0.227256-0.85476))+0-124.5-0.253979999999995</f>
        <v>384.28233999999998</v>
      </c>
      <c r="V120" s="3">
        <f>814.9+(120.6-398.4)+(0+(0-0))+0-149.4-0</f>
        <v>387.70000000000005</v>
      </c>
      <c r="W120" s="3">
        <f>796.8+(83.8-328)+(-2.03184+(-0.21369--0.8364))+0-146--0.372299999999979</f>
        <v>405.5631699999999</v>
      </c>
      <c r="X120" s="3">
        <f>781.4+(81.6-340.7)+(-1.195542+(-0.124848--0.521271))+0-151.9--0.232407000000009</f>
        <v>369.83328799999998</v>
      </c>
      <c r="Y120" s="3">
        <f>783.7+(94.2-332.4)+(-0.399687+(-0.048042--0.169524))+0-146.7--0.0748169999999851</f>
        <v>398.59661200000005</v>
      </c>
      <c r="Z120" s="3">
        <f>797.3+(90.7-309.3)+(0.813246+(0.092514-0.315486))+0-152.2-0.155244000000024</f>
        <v>426.93502999999993</v>
      </c>
      <c r="AA120" s="3">
        <f>825+(114.2-389.8)+(-0.8415+(-0.116484--0.397596))+0-160.6--0.163812000000026</f>
        <v>388.40342399999997</v>
      </c>
      <c r="AB120" s="3">
        <f>826.7+(98.5-419.2)+(-0.843234+(-0.10047--0.427584))+0-146.3--0.149226000000023</f>
        <v>359.33310600000004</v>
      </c>
      <c r="AC120" s="3">
        <f>816.3+(111.4-418.2)+(-0.832626+(-0.113628--0.426564))+0-163.2--0.166464000000026</f>
        <v>345.946774</v>
      </c>
      <c r="AD120" s="2">
        <v>730.09999999999991</v>
      </c>
      <c r="AE120" s="3">
        <f>815+(115.1-402.4)+(0+(0-0))+0-147.1-0</f>
        <v>380.6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804.1+(89.8-410.5)+(-1.230273+(-0.137394--0.628065))+0-144.4--0.220932000000008</f>
        <v>338.48133000000001</v>
      </c>
      <c r="G121" s="3">
        <f>810.9+(84-355.5)+(-0.413559+(-0.04284--0.181305))+0-158.5--0.0808349999999839</f>
        <v>380.70574099999999</v>
      </c>
      <c r="H121" s="3">
        <f>815.6+(80-414.3)+(-1.247868+(-0.1224--0.633879))+0-137.2--0.209916000000008</f>
        <v>343.57352700000007</v>
      </c>
      <c r="I121" s="3">
        <f>819.1+(80-378.9)+(-0.835482+(-0.0816--0.386478))+0-133.6--0.136272000000021</f>
        <v>386.205668</v>
      </c>
      <c r="J121" s="3">
        <f>818.4+(80-355.2)+(-2.08692+(-0.204--0.90576))+0-140.3--0.35776499999998</f>
        <v>401.87260499999996</v>
      </c>
      <c r="K121" s="3">
        <f>815+(106.6-339.2)+(-2.07825+(-0.27183--0.86496))+0-139.5--0.35572499999998</f>
        <v>441.77060499999993</v>
      </c>
      <c r="L121" s="3">
        <f>835.5+(93.2-392.5)+(0.85221+(0.095064-0.40035))+0-133.4-0.136068000000021</f>
        <v>403.21085600000004</v>
      </c>
      <c r="M121" s="3">
        <f>822.8+(127-336.1)+(-0.419628+(-0.06477--0.171411))+0-150.5--0.0767549999999847</f>
        <v>462.9637679999999</v>
      </c>
      <c r="N121" s="3">
        <f>818.9+(137.8-376)+(1.252917+(0.210834-0.57528))+0-145.1-0.222003000000008</f>
        <v>436.26646799999997</v>
      </c>
      <c r="O121" s="3">
        <f>813.4+(188.7-448.9)+(0+(0-0))+0-119.3-0</f>
        <v>433.90000000000003</v>
      </c>
      <c r="P121" s="3">
        <f>813.6+(111.2-328.9)+(0.829872+(0.113424-0.335478))+0-138.3-0.141066000000022</f>
        <v>458.06675200000001</v>
      </c>
      <c r="Q121" s="3">
        <f>803.6+(86-266.2)+(1.229508+(0.13158-0.407286))+0-144-0.220320000000008</f>
        <v>480.13348200000007</v>
      </c>
      <c r="R121" s="3">
        <f>804.6+(113.1-274.1)+(1.231038+(0.173043-0.419373))+0-151.3-0.231489000000009</f>
        <v>493.05321899999996</v>
      </c>
      <c r="S121" s="3">
        <f>812+(137.9-353.7)+(-1.65648+(-0.281316--0.721548))+0-144.3--0.294371999999994</f>
        <v>450.97812400000009</v>
      </c>
      <c r="T121" s="3">
        <f>808.6+(131-377.5)+(0+(0-0))+0-138.9-0</f>
        <v>423.20000000000005</v>
      </c>
      <c r="U121" s="3">
        <f>804.7+(115.9-363.7)+(-1.231191+(-0.177327--0.556461))+0-148.8--0.227664000000009</f>
        <v>407.47560700000014</v>
      </c>
      <c r="V121" s="3">
        <f>798.6+(108.9-344)+(0.407286+(0.055539-0.17544))+0-144.5-0.0736949999999853</f>
        <v>419.21368999999999</v>
      </c>
      <c r="W121" s="3">
        <f>773.4+(84-277)+(-1.183302+(-0.12852--0.42381))+0-138.7--0.212211000000008</f>
        <v>441.02419900000001</v>
      </c>
      <c r="X121" s="3">
        <f>768.6+(138.6-388.1)+(-1.567944+(-0.282744--0.791724))+0-137.4--0.280295999999994</f>
        <v>380.92133200000012</v>
      </c>
      <c r="Y121" s="3">
        <f>778.6+(220.9-400.2)+(-0.397086+(-0.112659--0.204102))+0-133.2--0.0679319999999865</f>
        <v>465.86228900000003</v>
      </c>
      <c r="Z121" s="3">
        <f>791.8+(92-323.7)+(2.01909+(0.2346-0.825435))+0-127.1-0.324104999999982</f>
        <v>434.10414999999995</v>
      </c>
      <c r="AA121" s="3">
        <f>792.5+(107.8-374.5)+(0.404175+(0.054978-0.190995))+0-116-0.0591599999999882</f>
        <v>410.00899799999996</v>
      </c>
      <c r="AB121" s="3">
        <f>795.1+(112.3-407.4)+(0.811002+(0.114546-0.415548))+0-123.9-0.12637800000002</f>
        <v>376.48362199999997</v>
      </c>
      <c r="AC121" s="3">
        <f>800.2+(140.9-462)+(0.408102+(0.071859-0.23562))+0-111.1-0.0566609999999887</f>
        <v>368.18768000000011</v>
      </c>
      <c r="AD121" s="2">
        <v>734.6</v>
      </c>
      <c r="AE121" s="3">
        <f>791+(117.8-363.1)+(0+(0-0))+0-150.5-0</f>
        <v>395.20000000000005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786.1+(144.4-471.6)+(-1.202733+(-0.220932--0.721548))+0-119.2--0.182376000000007</f>
        <v>339.18025900000004</v>
      </c>
      <c r="G122" s="3">
        <f>788.2+(147.4-468.7)+(-0.803964+(-0.150348--0.478074))+0-117.7--0.120054000000019</f>
        <v>348.84381600000012</v>
      </c>
      <c r="H122" s="3">
        <f>788.2+(124-432.4)+(-0.803964+(-0.12648--0.441048))+0-117.9--0.120258000000019</f>
        <v>361.53086200000007</v>
      </c>
      <c r="I122" s="3">
        <f>793.3+(120.5-471.5)+(0+(0-0))+0-90.8-0</f>
        <v>351.49999999999994</v>
      </c>
      <c r="J122" s="3">
        <f>796.8+(83.5-440.3)+(-0.406368+(-0.042585--0.224553))+0-104.8--0.0534479999999894</f>
        <v>335.02904799999993</v>
      </c>
      <c r="K122" s="3">
        <f>801+(74-441.8)+(-0.81702+(-0.07548--0.450636))+0-121.6--0.124032000000019</f>
        <v>311.28216800000001</v>
      </c>
      <c r="L122" s="3">
        <f>811.1+(103.1-424.4)+(0+(0-0))+0-92.7-0</f>
        <v>397.10000000000008</v>
      </c>
      <c r="M122" s="3">
        <f>822.1+(103-391.2)+(0.838542+(0.10506-0.399024))+0-115.6-0.117912000000018</f>
        <v>418.72666600000008</v>
      </c>
      <c r="N122" s="3">
        <f>808.7+(96.4-412)+(2.062185+(0.24582-1.0506))+0-112.3-0.286364999999984</f>
        <v>381.77104000000003</v>
      </c>
      <c r="O122" s="3">
        <f>791.4+(83.7-342.9)+(1.210842+(0.128061-0.524637))+0-121.1-0.185283000000007</f>
        <v>411.72898299999997</v>
      </c>
      <c r="P122" s="3">
        <f>786.4+(81-288.7)+(0.802128+(0.08262-0.294474))+0-121.4-0.123828000000019</f>
        <v>457.76644600000009</v>
      </c>
      <c r="Q122" s="3">
        <f>784.6+(122.8-302.5)+(1.200438+(0.187884-0.462825))+0-103.9-0.158967000000006</f>
        <v>501.76653000000005</v>
      </c>
      <c r="R122" s="3">
        <f>821.3+(192.6-386.6)+(-0.418863+(-0.098226--0.197166))+0-119.1--0.0607409999999879</f>
        <v>507.94081799999992</v>
      </c>
      <c r="S122" s="3">
        <f>813.3+(237.6-474.4)+(-2.073915+(-0.60588--1.20972))+0-108.4--0.276419999999984</f>
        <v>466.90634500000004</v>
      </c>
      <c r="T122" s="3">
        <f>782.2+(272.1-511.8)+(0+(0-0))+0-107.4-0</f>
        <v>435.1</v>
      </c>
      <c r="U122" s="3">
        <f>763.8+(252-499.5)+(-1.168614+(-0.38556--0.764235))+0-114.4--0.175032000000007</f>
        <v>401.28509299999996</v>
      </c>
      <c r="V122" s="3">
        <f>732.8+(194.9-433.3)+(-1.121184+(-0.298197--0.662949))+0-105.2--0.160956000000006</f>
        <v>388.60452399999997</v>
      </c>
      <c r="W122" s="3">
        <f>712.3+(123.1-351.4)+(-0.726546+(-0.125562--0.358428))+0-111.8--0.114036000000018</f>
        <v>371.820356</v>
      </c>
      <c r="X122" s="3">
        <f>725.1+(80.8-319.5)+(-0.739602+(-0.082416--0.32589))+0-120.2--0.122604000000019</f>
        <v>365.82647600000007</v>
      </c>
      <c r="Y122" s="3">
        <f>753.2+(101.5-345.9)+(1.152396+(0.155295-0.529227))+0-119.5-0.182835000000007</f>
        <v>389.89562900000004</v>
      </c>
      <c r="Z122" s="3">
        <f>779.4+(106.7-380.4)+(0.794988+(0.108834-0.388008))+0-123.9-0.12637800000002</f>
        <v>382.18943599999989</v>
      </c>
      <c r="AA122" s="3">
        <f>823.7+(121.6-455.6)+(-1.680348+(-0.248064--0.929424))+0-109.3--0.222971999999995</f>
        <v>379.62398400000001</v>
      </c>
      <c r="AB122" s="3">
        <f>825.5+(118.1-479.4)+(-0.84201+(-0.120462--0.488988))+0-116.2--0.118524000000019</f>
        <v>347.64504000000011</v>
      </c>
      <c r="AC122" s="3">
        <f>791.1+(141.7-462.2)+(-0.403461+(-0.072267--0.235722))+0-125.4--0.0639539999999873</f>
        <v>345.02394800000002</v>
      </c>
      <c r="AD122" s="2">
        <v>715.7</v>
      </c>
      <c r="AE122" s="3">
        <f>815+(130.5-456.4)+(0+(0-0))+0-123.4-0</f>
        <v>365.70000000000005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766.4+(153.7-415.8)+(0+(0-0))+0-105.1-0</f>
        <v>399.19999999999993</v>
      </c>
      <c r="G123" s="3">
        <f>766.1+(139.5-429.6)+(-0.781422+(-0.14229--0.438192))+0-114.8--0.117096000000018</f>
        <v>360.83157599999998</v>
      </c>
      <c r="H123" s="3">
        <f>735.4+(140-446.4)+(0+(0-0))+0-120.2-0</f>
        <v>308.8</v>
      </c>
      <c r="I123" s="3">
        <f>732.5+(132.1-395)+(-0.74715+(-0.134742--0.4029))+0-105.5--0.107610000000017</f>
        <v>363.72861800000004</v>
      </c>
      <c r="J123" s="3">
        <f>732.2+(113.5-396.4)+(-1.120266+(-0.173655--0.606492))+0-94--0.143820000000005</f>
        <v>354.75639100000006</v>
      </c>
      <c r="K123" s="3">
        <f>726.4+(76-358.8)+(-1.481856+(-0.15504--0.731952))+0-85.8--0.175031999999996</f>
        <v>357.07008799999994</v>
      </c>
      <c r="L123" s="3">
        <f>634.7+(131.4-307.6)+(-0.971091+(-0.201042--0.470628))+0-77.9--0.119187000000005</f>
        <v>380.01768200000004</v>
      </c>
      <c r="M123" s="3">
        <f>595.6+(123.6-280.8)+(0.911268+(0.189108-0.429624))+0-78.9-0.120717000000005</f>
        <v>360.05003499999998</v>
      </c>
      <c r="N123" s="3">
        <f>629.2+(120.9-314.4)+(0.641784+(0.123318-0.320688))+0-75.7-0.0772140000000121</f>
        <v>360.36720000000003</v>
      </c>
      <c r="O123" s="3">
        <f>641.3+(104.3-307.3)+(0.327063+(0.053193-0.156723))+0-83.7-0.0426869999999915</f>
        <v>354.78084599999994</v>
      </c>
      <c r="P123" s="3">
        <f>700.8+(80-344.8)+(1.072224+(0.1224-0.527544))+0-97.5-0.149175000000006</f>
        <v>339.01790499999993</v>
      </c>
      <c r="Q123" s="3">
        <f>642.1+(104.7-416.1)+(0.654942+(0.106794-0.424422))+0-97.5-0.0994500000000155</f>
        <v>233.43786399999996</v>
      </c>
      <c r="R123" s="3">
        <f>688.7+(160.7-510.1)+(0.702474+(0.163914-0.520302))+0-113-0.115260000000018</f>
        <v>226.53082600000002</v>
      </c>
      <c r="S123" s="3">
        <f>765.4+(162.2-587.4)+(0.780708+(0.165444-0.599148))+0-101.7-0.103734000000016</f>
        <v>238.74327000000002</v>
      </c>
      <c r="T123" s="3">
        <f>762.8+(161.7-601.6)+(0+(0-0))+0-98.2-0</f>
        <v>224.69999999999993</v>
      </c>
      <c r="U123" s="3">
        <f>757.3+(162.9-609.6)+(0+(0-0))+0-96-0</f>
        <v>214.59999999999991</v>
      </c>
      <c r="V123" s="3">
        <f>763.4+(146.4-605.8)+(0+(0-0))+0-103.4-0</f>
        <v>200.6</v>
      </c>
      <c r="W123" s="3">
        <f>724.9+(105.1-519.6)+(0+(0-0))+0-107-0</f>
        <v>203.39999999999998</v>
      </c>
      <c r="X123" s="3">
        <f>707.4+(74-443.4)+(-1.082322+(-0.11322--0.678402))+0-105.6--0.161568000000006</f>
        <v>232.04442800000004</v>
      </c>
      <c r="Y123" s="3">
        <f>716.4+(77-385.4)+(-1.461456+(-0.15708--0.786216))+0-118.8--0.242351999999995</f>
        <v>288.61003199999999</v>
      </c>
      <c r="Z123" s="3">
        <f>811.7+(111.9-434.3)+(0+(0-0))+0-124.6-0</f>
        <v>364.70000000000005</v>
      </c>
      <c r="AA123" s="3">
        <f>831.3+(134.1-501.2)+(-2.119815+(-0.341955--1.27806))+0-133.9--0.341444999999981</f>
        <v>329.4577349999999</v>
      </c>
      <c r="AB123" s="3">
        <f>832.2+(137.5-544.9)+(0.424422+(0.070125-0.277899))+0-116.1-0.0592109999999882</f>
        <v>308.85743700000012</v>
      </c>
      <c r="AC123" s="3">
        <f>834.5+(152.7-572.5)+(-0.425595+(-0.077877--0.291975))+0-119.6--0.0609959999999879</f>
        <v>294.949499</v>
      </c>
      <c r="AD123" s="2">
        <v>689.39999999999986</v>
      </c>
      <c r="AE123" s="3">
        <f>827+(132.9-527.2)+(0+(0-0))+0-136-0</f>
        <v>296.69999999999993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822.7+(142-565.3)+(-0.839154+(-0.14484--0.576606))+0-103.2--0.105264000000016</f>
        <v>295.89787600000011</v>
      </c>
      <c r="G124" s="3">
        <f>826.1+(125.4-537.6)+(-0.421311+(-0.063954--0.274176))+0-105.4--0.0537539999999893</f>
        <v>308.34266499999995</v>
      </c>
      <c r="H124" s="3">
        <f>822.5+(105.9-542.6)+(0.419475+(0.054009-0.276726))+0-98.8-0.05038799999999</f>
        <v>287.14636999999993</v>
      </c>
      <c r="I124" s="3">
        <f>823.4+(116.4-505.6)+(0.419934+(0.059364-0.257856))+0-108.9-0.055538999999989</f>
        <v>325.46590299999997</v>
      </c>
      <c r="J124" s="3">
        <f>822.8+(106-480.9)+(-1.258884+(-0.16218--0.735777))+0-121.2--0.185436000000007</f>
        <v>326.20014899999995</v>
      </c>
      <c r="K124" s="3">
        <f>827.4+(74-457.4)+(-0.843948+(-0.07548--0.466548))+0-115.5--0.117810000000018</f>
        <v>328.16493000000003</v>
      </c>
      <c r="L124" s="3">
        <f>827.2+(73-434.8)+(-0.843744+(-0.07446--0.443496))+0-105.8--0.107916000000017</f>
        <v>359.23320799999999</v>
      </c>
      <c r="M124" s="3">
        <f>833.9+(74-454.2)+(0.425289+(0.03774-0.231642))+0-108.2-0.055181999999989</f>
        <v>345.67620499999998</v>
      </c>
      <c r="N124" s="3">
        <f>805.6+(78-441.1)+(1.643424+(0.15912-0.899844))+0-96-0.195839999999996</f>
        <v>347.20686000000001</v>
      </c>
      <c r="O124" s="3">
        <f>829.8+(92.4-483)+(0.846396+(0.094248-0.49266))+0-133-0.135660000000021</f>
        <v>306.51232399999992</v>
      </c>
      <c r="P124" s="3">
        <f>828.6+(106.5-496.1)+(0.422586+(0.054315-0.253011))+0-113-0.0576299999999885</f>
        <v>326.16626000000002</v>
      </c>
      <c r="Q124" s="3">
        <f>826.6+(138.7-514.7)+(0.421566+(0.070737-0.262497))+0-122.7-0.0625769999999876</f>
        <v>328.067229</v>
      </c>
      <c r="R124" s="3">
        <f>822.1+(169.4-530.1)+(0.838542+(0.172788-0.540702))+0-119.1-0.121482000000019</f>
        <v>342.64914599999997</v>
      </c>
      <c r="S124" s="3">
        <f>818.1+(183-551.2)+(-1.251693+(-0.27999--0.843336))+0-117.8--0.180234000000007</f>
        <v>331.59188699999993</v>
      </c>
      <c r="T124" s="3">
        <f>812.9+(226.5-579.8)+(-0.414579+(-0.115515--0.295698))+0-125.3--0.0639029999999873</f>
        <v>334.12950699999999</v>
      </c>
      <c r="U124" s="3">
        <f>813.2+(261.5-671.8)+(0.414732+(0.133365-0.342618))+0-107.8-0.0549779999999891</f>
        <v>295.2505010000001</v>
      </c>
      <c r="V124" s="3">
        <f>812.7+(265.2-693.9)+(1.243431+(0.405756-1.061667))+0-125.4-0.191862000000007</f>
        <v>258.99565800000005</v>
      </c>
      <c r="W124" s="3">
        <f>801.4+(205.8-630.3)+(0.408714+(0.104958-0.321453))+0-128-0.065279999999987</f>
        <v>249.02693900000008</v>
      </c>
      <c r="X124" s="3">
        <f>779.5+(120.8-480.6)+(-1.192635+(-0.184824--0.735318))+0-128.9--0.197217000000007</f>
        <v>290.35507600000005</v>
      </c>
      <c r="Y124" s="3">
        <f>783.4+(103-373.6)+(0+(0-0))+0-123.7-0</f>
        <v>389.09999999999997</v>
      </c>
      <c r="Z124" s="3">
        <f>795.6+(161.6-475.6)+(0.811512+(0.164832-0.485112))+0-127.3-0.12984600000002</f>
        <v>354.66138599999999</v>
      </c>
      <c r="AA124" s="3">
        <f>793.8+(188.5-458)+(-2.02419+(-0.480675--1.1679))+0-139.6--0.35597999999998</f>
        <v>383.71901499999996</v>
      </c>
      <c r="AB124" s="3">
        <f>814+(150.1-537.4)+(0.41514+(0.076551-0.274074))+0-121-0.0617099999999877</f>
        <v>305.85590700000006</v>
      </c>
      <c r="AC124" s="3">
        <f>808.6+(168.1-512.9)+(-0.824772+(-0.171462--0.523158))+0-133.9--0.136578000000021</f>
        <v>329.56350200000014</v>
      </c>
      <c r="AD124" s="2">
        <v>753.3</v>
      </c>
      <c r="AE124" s="3">
        <f>788+(186.6-459.9)+(0+(0-0))+0-151.3-0</f>
        <v>363.40000000000003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809.9+(159.3-507.1)+(-0.413049+(-0.081243--0.258621))+0-137.5--0.070124999999986</f>
        <v>324.4344539999999</v>
      </c>
      <c r="G125" s="3">
        <f>810.8+(135.4-459.4)+(0+(0-0))+0-128.1-0</f>
        <v>358.69999999999993</v>
      </c>
      <c r="H125" s="3">
        <f>816.3+(100.4-420)+(0.832626+(0.102408-0.4284))+0-133.9-0.136578000000021</f>
        <v>363.17005599999987</v>
      </c>
      <c r="I125" s="3">
        <f>810.9+(79.3-368.7)+(1.240677+(0.121329-0.564111))+0-129.8-0.198594000000008</f>
        <v>392.29930100000001</v>
      </c>
      <c r="J125" s="3">
        <f>792.9+(78-420.3)+(-0.808758+(-0.07956--0.428706))+0-127.4--0.12994800000002</f>
        <v>322.87033599999995</v>
      </c>
      <c r="K125" s="3">
        <f>792.9+(75-484.2)+(-1.617516+(-0.153--0.987768))+0-112.1--0.228683999999995</f>
        <v>271.04593599999993</v>
      </c>
      <c r="L125" s="3">
        <f>790.3+(94.4-410.4)+(-2.015265+(-0.24072--1.04652))+0-92.9--0.236894999999987</f>
        <v>380.42742999999996</v>
      </c>
      <c r="M125" s="3">
        <f>777.3+(83.9-329.8)+(1.189269+(0.128367-0.504594))+0-108.2-0.165546000000006</f>
        <v>423.84749599999998</v>
      </c>
      <c r="N125" s="3">
        <f>770.5+(78-384.9)+(1.178865+(0.11934-0.588897))+0-109.5-0.167535000000006</f>
        <v>354.64177300000006</v>
      </c>
      <c r="O125" s="3">
        <f>785.9+(80-446.5)+(1.603236+(0.1632-0.91086))+0-104.8-0.213791999999995</f>
        <v>315.24178399999994</v>
      </c>
      <c r="P125" s="3">
        <f>808+(101.6-455.2)+(0.41208+(0.051816-0.232152))+0-94.7-0.0482969999999904</f>
        <v>359.88344699999999</v>
      </c>
      <c r="Q125" s="3">
        <f>807.9+(145-477.1)+(0.824058+(0.1479-0.486642))+0-119-0.121380000000019</f>
        <v>357.16393599999992</v>
      </c>
      <c r="R125" s="3">
        <f>807.8+(230.5-526.1)+(1.235934+(0.352665-0.804933))+0-132-0.201960000000008</f>
        <v>380.78170599999999</v>
      </c>
      <c r="S125" s="3">
        <f>799.7+(229.4-582.8)+(-0.407847+(-0.116994--0.297228))+0-129--0.0657899999999869</f>
        <v>317.13817700000004</v>
      </c>
      <c r="T125" s="3">
        <f>809.2+(241.1-634.6)+(0.825384+(0.245922-0.647292))+0-125-0.12750000000002</f>
        <v>290.99651400000005</v>
      </c>
      <c r="U125" s="3">
        <f>814.7+(243.3-591.6)+(-0.415497+(-0.124083--0.301716))+0-160--0.0815999999999838</f>
        <v>306.24373600000001</v>
      </c>
      <c r="V125" s="3">
        <f>800.3+(237-593)+(0.816306+(0.24174-0.60486))+0-106-0.108120000000017</f>
        <v>338.64506599999993</v>
      </c>
      <c r="W125" s="3">
        <f>772.2+(178.2-485)+(-1.575288+(-0.363528--0.9894))+0-130.9--0.267035999999994</f>
        <v>333.81762000000009</v>
      </c>
      <c r="X125" s="3">
        <f>738.1+(106-424.3)+(-1.129293+(-0.16218--0.649179))+0-116.6--0.178398000000007</f>
        <v>302.73610400000007</v>
      </c>
      <c r="Y125" s="3">
        <f>724.6+(93.8-284.5)+(0.739092+(0.095676-0.29019))+0-127.2-0.12974400000002</f>
        <v>407.11483400000009</v>
      </c>
      <c r="Z125" s="3">
        <f>742.1+(198.6-389.9)+(1.892355+(0.50643-0.994245))+0-128.5-0.327674999999981</f>
        <v>423.37686500000007</v>
      </c>
      <c r="AA125" s="3">
        <f>762.2+(267-460.8)+(-0.388722+(-0.13617--0.235008))+0-128.3--0.065432999999987</f>
        <v>439.87554900000003</v>
      </c>
      <c r="AB125" s="3">
        <f>767+(249.6-495.3)+(-1.17351+(-0.381888--0.757809))+0-115.2--0.176256000000007</f>
        <v>405.47866699999997</v>
      </c>
      <c r="AC125" s="3">
        <f>772.5+(189.7-477.9)+(-1.181925+(-0.290241--0.731187))+0-131.7--0.201501000000008</f>
        <v>352.06052200000005</v>
      </c>
      <c r="AD125" s="2">
        <v>766.29999999999984</v>
      </c>
      <c r="AE125" s="3">
        <f>768+(256.3-452.2)+(0+(0-0))+0-122.1-0</f>
        <v>450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787+(157-456.8)+(0.80274+(0.16014-0.465936))+0-107-0.109140000000017</f>
        <v>380.58780399999995</v>
      </c>
      <c r="G126" s="3">
        <f>789.2+(132.9-433.8)+(0+(0-0))+0-108.7-0</f>
        <v>379.60000000000008</v>
      </c>
      <c r="H126" s="3">
        <f>792.3+(117.6-445.4)+(0.808146+(0.119952-0.454308))+0-119.1-0.121482000000019</f>
        <v>345.75230799999997</v>
      </c>
      <c r="I126" s="3">
        <f>754.6+(123.7-387)+(0.384846+(0.063087-0.19737))+0-119.7-0.0610469999999879</f>
        <v>371.78951600000005</v>
      </c>
      <c r="J126" s="3">
        <f>760.8+(90.6-408.2)+(-0.388008+(-0.046206--0.208182))+0-104.5--0.0532949999999894</f>
        <v>338.52726299999995</v>
      </c>
      <c r="K126" s="3">
        <f>787.8+(74-452.8)+(-1.607112+(-0.15096--0.923712))+0-113.3--0.231131999999995</f>
        <v>295.09677199999993</v>
      </c>
      <c r="L126" s="3">
        <f>796.9+(79.7-425.1)+(0+(0-0))+0-90.8-0</f>
        <v>360.69999999999993</v>
      </c>
      <c r="M126" s="3">
        <f>798.7+(74-414.7)+(0.407337+(0.03774-0.211497))+0-99.7-0.0508469999999899</f>
        <v>358.48273300000011</v>
      </c>
      <c r="N126" s="3">
        <f>790.7+(77-409.6)+(0.403257+(0.03927-0.208896))+0-109.7-0.0559469999999889</f>
        <v>348.57768400000003</v>
      </c>
      <c r="O126" s="3">
        <f>783.9+(80-458.4)+(0.399789+(0.0408-0.233784))+0-111.8-0.0570179999999887</f>
        <v>293.84978699999999</v>
      </c>
      <c r="P126" s="3">
        <f>774.3+(88.1-384.8)+(-0.394893+(-0.044931--0.196248))+0-104--0.0530399999999895</f>
        <v>373.4094639999999</v>
      </c>
      <c r="Q126" s="3">
        <f>780.9+(138.3-432.7)+(1.194777+(0.211599-0.662031))+0-108.9-0.166617000000006</f>
        <v>378.17772799999995</v>
      </c>
      <c r="R126" s="3">
        <f>788.8+(220.2-500.1)+(-1.206864+(-0.336906--0.765153))+0-107.2--0.164016000000006</f>
        <v>401.08539899999994</v>
      </c>
      <c r="S126" s="3">
        <f>783.9+(227.4-555.7)+(-0.399789+(-0.115974--0.283407))+0-104.6--0.0533459999999894</f>
        <v>350.82098999999988</v>
      </c>
      <c r="T126" s="3">
        <f>782.3+(250.5-577.6)+(-1.196919+(-0.383265--0.883728))+0-107.8--0.164934000000006</f>
        <v>346.86847799999993</v>
      </c>
      <c r="U126" s="3">
        <f>778+(205.9-578.6)+(-0.79356+(-0.210018--0.590172))+0-85.9--0.0876180000000137</f>
        <v>319.07421199999999</v>
      </c>
      <c r="V126" s="3">
        <f>774.8+(146.3-559.9)+(0.395148+(0.074613-0.285549))+0-55-0.0280499999999944</f>
        <v>306.35616199999998</v>
      </c>
      <c r="W126" s="3">
        <f>759.9+(110.9-494.4)+(-0.387549+(-0.056559--0.252144))+0-61.2--0.0312119999999938</f>
        <v>315.03924799999999</v>
      </c>
      <c r="X126" s="3">
        <f>745.6+(79.2-471.6)+(-1.140768+(-0.121176--0.721548))+0-50.9--0.0778770000000029</f>
        <v>301.83748100000003</v>
      </c>
      <c r="Y126" s="3">
        <f>767.8+(81.4-407.5)+(-0.391578+(-0.041514--0.207825))+0-54.4--0.0277439999999945</f>
        <v>387.10247699999996</v>
      </c>
      <c r="Z126" s="3">
        <f>803.3+(99.6-461.2)+(0.819366+(0.101592-0.470424))+0-67.8-0.0691560000000108</f>
        <v>374.2813779999999</v>
      </c>
      <c r="AA126" s="3">
        <f>811.2+(131.9-440.3)+(0.413712+(0.067269-0.224553))+0-100.4-0.0512039999999898</f>
        <v>402.60522400000013</v>
      </c>
      <c r="AB126" s="3">
        <f>810.7+(129.3-441)+(-1.653828+(-0.263772--0.89964))+0-99.5--0.202979999999996</f>
        <v>398.68502000000001</v>
      </c>
      <c r="AC126" s="3">
        <f>831.1+(116.1-468.7)+(0.423861+(0.059211-0.239037))+0-101.4-0.0517139999999897</f>
        <v>377.29232099999996</v>
      </c>
      <c r="AD126" s="2">
        <v>746.7</v>
      </c>
      <c r="AE126" s="3">
        <f>803+(136.6-436)+(0+(0-0))+0-87.8-0</f>
        <v>415.8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838.4+(107-494.5)+(0.427584+(0.05457-0.252195))+0-106.8-0.0544679999999892</f>
        <v>344.27549099999999</v>
      </c>
      <c r="G127" s="3">
        <f>814.7+(114.6-394.4)+(0.415497+(0.058446-0.201144))+0-104-0.0530399999999895</f>
        <v>431.11975900000004</v>
      </c>
      <c r="H127" s="3">
        <f>792.7+(92.1-404.4)+(0.404277+(0.046971-0.206244))+0-105.2-0.0536519999999893</f>
        <v>375.3913520000001</v>
      </c>
      <c r="I127" s="3">
        <f>796.4+(79.8-385.3)+(0.812328+(0.081396-0.393006))+0-115.7-0.118014000000018</f>
        <v>375.58270399999998</v>
      </c>
      <c r="J127" s="3">
        <f>797.1+(84-420.8)+(0.406521+(0.04284-0.214608))+0-65.6-0.0334559999999933</f>
        <v>394.901297</v>
      </c>
      <c r="K127" s="3">
        <f>793+(72-436.7)+(-1.61772+(-0.14688--0.890868))+0-66.4--0.135455999999997</f>
        <v>361.16172399999994</v>
      </c>
      <c r="L127" s="3">
        <f>797.5+(123.6-424.3)+(-0.406725+(-0.063036--0.216393))+0-47.1--0.0240209999999952</f>
        <v>449.47065299999991</v>
      </c>
      <c r="M127" s="3">
        <f>799.4+(133.2-395.4)+(0.815388+(0.135864-0.403308))+0-48.9-0.0498780000000078</f>
        <v>488.79806600000006</v>
      </c>
      <c r="N127" s="3">
        <f>801.7+(74-402.8)+(0.408867+(0.03774-0.205428))+0-53.2-0.0271319999999946</f>
        <v>419.91404700000004</v>
      </c>
      <c r="O127" s="3">
        <f>825.8+(75.7-407.7)+(-0.842316+(-0.077214--0.415854))+0-37.8--0.038556000000006</f>
        <v>455.53487999999999</v>
      </c>
      <c r="P127" s="3">
        <f>831.2+(80-391.5)+(1.695648+(0.1632-0.79866))+0-52.6-0.107303999999998</f>
        <v>468.05288400000006</v>
      </c>
      <c r="Q127" s="3">
        <f>826.6+(80.8-345.8)+(0.421566+(0.041208-0.176358))+0-90.6-0.0462059999999908</f>
        <v>471.24021000000005</v>
      </c>
      <c r="R127" s="3">
        <f>838.4+(98.1-419.3)+(0.855168+(0.100062-0.427686))+0-117.1-0.119442000000019</f>
        <v>400.50810199999995</v>
      </c>
      <c r="S127" s="3">
        <f>829.8+(139.9-430.9)+(-1.269594+(-0.214047--0.659277))+0-129.5--0.198135000000007</f>
        <v>408.67377099999999</v>
      </c>
      <c r="T127" s="3">
        <f>821.4+(149.4-424.5)+(-1.675656+(-0.304776--0.86598))+0-109.7--0.223787999999995</f>
        <v>435.70933599999995</v>
      </c>
      <c r="U127" s="3">
        <f>818.1+(167.4-438.7)+(-1.668924+(-0.341496--0.894948))+0-129.1--0.263363999999994</f>
        <v>416.84789200000006</v>
      </c>
      <c r="V127" s="3">
        <f>815.3+(130.4-465.2)+(-0.831606+(-0.133008--0.474504))+0-125.8--0.12831600000002</f>
        <v>354.33820600000001</v>
      </c>
      <c r="W127" s="3">
        <f>807.7+(99.7-383.4)+(-0.411927+(-0.050847--0.195534))+0-118.2--0.060281999999988</f>
        <v>405.59304199999997</v>
      </c>
      <c r="X127" s="3">
        <f>779.9+(78.2-324.4)+(-1.988745+(-0.19941--0.82722))+0-130.7--0.333284999999981</f>
        <v>401.97235000000001</v>
      </c>
      <c r="Y127" s="3">
        <f>778+(86.4-314.1)+(-2.38068+(-0.264384--0.961146))+0-116.2--0.355572000000013</f>
        <v>432.77165400000001</v>
      </c>
      <c r="Z127" s="3">
        <f>807+(113.8-352.2)+(0.82314+(0.116076-0.359244))+0-136.5-0.139230000000022</f>
        <v>432.54074200000002</v>
      </c>
      <c r="AA127" s="3">
        <f>834.6+(133.3-394.7)+(-1.276938+(-0.203949--0.603891))+0-134.3--0.205479000000008</f>
        <v>438.2284830000001</v>
      </c>
      <c r="AB127" s="3">
        <f>838.5+(127.2-431)+(-2.138175+(-0.32436--1.09905))+0-127.4--0.324869999999982</f>
        <v>406.26138500000008</v>
      </c>
      <c r="AC127" s="3">
        <f>834.8+(120.1-439.3)+(-1.702992+(-0.245004--0.896172))+0-132.9--0.271115999999994</f>
        <v>381.91929199999993</v>
      </c>
      <c r="AD127" s="2">
        <v>697.5</v>
      </c>
      <c r="AE127" s="3">
        <f>827+(147.7-401.4)+(0+(0-0))+0-137.6-0</f>
        <v>435.69999999999993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839.2+(118.3-418)+(-0.427992+(-0.060333--0.21318))+0-120.3--0.0613529999999878</f>
        <v>418.98620800000003</v>
      </c>
      <c r="G128" s="3">
        <f>836+(114.8-311.1)+(-0.85272+(-0.117096--0.317322))+0-133.1--0.135762000000021</f>
        <v>506.08326799999998</v>
      </c>
      <c r="H128" s="3">
        <f>841.6+(97.8-322.1)+(0.429216+(0.049878-0.164271))+0-124.5-0.0634949999999874</f>
        <v>493.05132800000001</v>
      </c>
      <c r="I128" s="3">
        <f>841+(101.8-359.8)+(0+(0-0))+0-121.1-0</f>
        <v>461.9</v>
      </c>
      <c r="J128" s="3">
        <f>830.6+(80.4-347.3)+(-1.694424+(-0.164016--0.708492))+0-124.7--0.254387999999995</f>
        <v>438.10444000000007</v>
      </c>
      <c r="K128" s="3">
        <f>777.3+(74-382.5)+(-1.982115+(-0.1887--0.975375))+0-116.6--0.297329999999983</f>
        <v>351.30188999999996</v>
      </c>
      <c r="L128" s="3">
        <f>774.7+(107.4-429.1)+(-1.975485+(-0.27387--1.094205))+0-105.6--0.269279999999985</f>
        <v>346.51413000000002</v>
      </c>
      <c r="M128" s="3">
        <f>783.4+(101.8-407.9)+(0.399534+(0.051918-0.208029))+0-87.2-0.0444719999999912</f>
        <v>390.29895100000005</v>
      </c>
      <c r="N128" s="3">
        <f>759.2+(90.2-319.9)+(0.774384+(0.092004-0.326298))+0-110.9-0.113118000000018</f>
        <v>419.02697199999994</v>
      </c>
      <c r="O128" s="3">
        <f>747.1+(90-294.4)+(1.143063+(0.1377-0.450432))+0-119.3-0.182529000000007</f>
        <v>424.04780200000005</v>
      </c>
      <c r="P128" s="3">
        <f>739.6+(86-313.2)+(0.754392+(0.08772-0.319464))+0-118.9-0.121278000000019</f>
        <v>393.9013700000001</v>
      </c>
      <c r="Q128" s="3">
        <f>787+(82-342.5)+(1.20411+(0.12546-0.524025))+0-99.2-0.151776000000006</f>
        <v>427.95376900000008</v>
      </c>
      <c r="R128" s="3">
        <f>788.7+(100.5-368.3)+(-1.206711+(-0.153765--0.563499))+0-122.3--0.187119000000007</f>
        <v>397.99014200000011</v>
      </c>
      <c r="S128" s="3">
        <f>785.2+(80.6-343.6)+(-0.800904+(-0.082212--0.350472))+0-113.7--0.115974000000018</f>
        <v>408.08333000000005</v>
      </c>
      <c r="T128" s="3">
        <f>797+(158.7-391.6)+(-0.81294+(-0.161874--0.399432))+0-112.3--0.114546000000018</f>
        <v>451.33916399999993</v>
      </c>
      <c r="U128" s="3">
        <f>808.1+(216.3-485.1)+(-1.236393+(-0.330939--0.742203))+0-131.4--0.201042000000008</f>
        <v>407.27591300000006</v>
      </c>
      <c r="V128" s="3">
        <f>804.5+(212.4-511.9)+(-1.230885+(-0.324972--0.783207))+0-131.5--0.201195000000008</f>
        <v>372.92854499999999</v>
      </c>
      <c r="W128" s="3">
        <f>804.8+(212.2-425.4)+(-2.05224+(-0.54111--1.08477))+0-131.5--0.335324999999981</f>
        <v>458.92674499999981</v>
      </c>
      <c r="X128" s="3">
        <f>783.3+(80.3-244.4)+(-0.798966+(-0.081906--0.249288))+0-140.6--0.143412000000022</f>
        <v>478.11182799999995</v>
      </c>
      <c r="Y128" s="3">
        <f>792.3+(111.5-283.4)+(-0.404073+(-0.056865--0.144534))+0-126.8--0.0646679999999871</f>
        <v>493.34826399999992</v>
      </c>
      <c r="Z128" s="3">
        <f>804.9+(114.2-400)+(0.820998+(0.116484-0.408))+0-102.6-0.104652000000016</f>
        <v>416.92482999999987</v>
      </c>
      <c r="AA128" s="3">
        <f>806.2+(158.7-446.8)+(-1.644648+(-0.323748--0.911472))+0-120.5--0.245819999999995</f>
        <v>396.78889600000002</v>
      </c>
      <c r="AB128" s="3">
        <f>820+(149.9-479.2)+(-0.4182+(-0.076449--0.244392))+0-119.8--0.0610979999999878</f>
        <v>370.71084100000007</v>
      </c>
      <c r="AC128" s="3">
        <f>829.7+(158.2-444.1)+(-1.269441+(-0.242046--0.679473))+0-142.3--0.217719000000008</f>
        <v>400.88570499999997</v>
      </c>
      <c r="AD128" s="2">
        <v>738.09999999999991</v>
      </c>
      <c r="AE128" s="3">
        <f>802+(162.1-458.6)+(0+(0-0))+0-134.9-0</f>
        <v>370.6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816.8+(163.7-438.5)+(0+(0-0))+0-134-0</f>
        <v>408</v>
      </c>
      <c r="G129" s="3">
        <f>821+(137.1-446.6)+(0.41871+(0.069921-0.227766))+0-137.9-0.070328999999986</f>
        <v>373.79053600000003</v>
      </c>
      <c r="H129" s="3">
        <f>786.2+(122.4-428.1)+(-0.801924+(-0.124848--0.436662))+0-132.4--0.135048000000021</f>
        <v>347.74493799999999</v>
      </c>
      <c r="I129" s="3">
        <f>785.5+(79.5-456.2)+(-0.400605+(-0.040545--0.232662))+0-124--0.0632399999999874</f>
        <v>284.65475200000003</v>
      </c>
      <c r="J129" s="3">
        <f>785.2+(76-442.1)+(-1.201356+(-0.11628--0.676413))+0-134.6--0.205938000000008</f>
        <v>284.06471500000004</v>
      </c>
      <c r="K129" s="3">
        <f>784.4+(75-411)+(-1.200132+(-0.11475--0.62883))+0-122.2--0.186966000000007</f>
        <v>325.70091399999995</v>
      </c>
      <c r="L129" s="3">
        <f>787.2+(73-426.8)+(0+(0-0))+0-105.9-0</f>
        <v>327.5</v>
      </c>
      <c r="M129" s="3">
        <f>794.7+(74-374.4)+(2.431782+(0.22644-1.145664))+0-115.5-0.353430000000013</f>
        <v>379.95912800000008</v>
      </c>
      <c r="N129" s="3">
        <f>785.2+(83.2-350.4)+(2.00226+(0.21216-0.89352))+0-119.1-0.303704999999983</f>
        <v>399.91719500000005</v>
      </c>
      <c r="O129" s="3">
        <f>780.5+(79-321.1)+(2.38833+(0.24174-0.982566))+0-80-0.244800000000009</f>
        <v>459.80270400000001</v>
      </c>
      <c r="P129" s="3">
        <f>763.2+(86-326.7)+(0+(0-0))+0-81.1-0</f>
        <v>441.4</v>
      </c>
      <c r="Q129" s="3">
        <f>774.1+(137-395.6)+(1.184373+(0.20961-0.605268))+0-81.7-0.125001000000005</f>
        <v>434.46371400000004</v>
      </c>
      <c r="R129" s="3">
        <f>782+(162-421.5)+(0+(0-0))+0-120-0</f>
        <v>402.5</v>
      </c>
      <c r="S129" s="3">
        <f>769.2+(165-431.1)+(-2.353752+(-0.5049--1.319166))+0-118.5--0.362610000000014</f>
        <v>383.42312400000003</v>
      </c>
      <c r="T129" s="3">
        <f>770.2+(167-439.2)+(-0.392802+(-0.08517--0.223992))+0-106--0.0540599999999892</f>
        <v>391.80008000000004</v>
      </c>
      <c r="U129" s="3">
        <f>769.5+(166-449.2)+(-0.392445+(-0.08466--0.229092))+0-117.7--0.0600269999999881</f>
        <v>368.412014</v>
      </c>
      <c r="V129" s="3">
        <f>766.7+(130-457.6)+(-0.391017+(-0.0663--0.233376))+0-123.4--0.0629339999999875</f>
        <v>315.53899299999995</v>
      </c>
      <c r="W129" s="3">
        <f>772+(77-430.6)+(0.78744+(0.07854-0.439212))+0-130.8-0.133416000000021</f>
        <v>287.89335199999994</v>
      </c>
      <c r="X129" s="3">
        <f>770.9+(76-393.6)+(0.393159+(0.03876-0.200736))+0-136.6-0.0696659999999861</f>
        <v>316.86151699999994</v>
      </c>
      <c r="Y129" s="3">
        <f>778.2+(99.1-383)+(0+(0-0))+0-131.4-0</f>
        <v>362.90000000000009</v>
      </c>
      <c r="Z129" s="3">
        <f>799.4+(84-348.2)+(-1.223082+(-0.12852--0.532746))+0-137.4--0.210222000000008</f>
        <v>397.19136600000007</v>
      </c>
      <c r="AA129" s="3">
        <f>810.3+(84-420.5)+(-0.413253+(-0.04284--0.214455))+0-134.3--0.0684929999999864</f>
        <v>339.32685499999991</v>
      </c>
      <c r="AB129" s="3">
        <f>815.3+(82-387.9)+(-0.831606+(-0.08364--0.395658))+0-128.1--0.13066200000002</f>
        <v>380.91107399999999</v>
      </c>
      <c r="AC129" s="3">
        <f>817.9+(95-464.9)+(-1.668516+(-0.1938--0.948396))+0-141.2--0.288047999999994</f>
        <v>306.174128</v>
      </c>
      <c r="AD129" s="2">
        <v>755.4</v>
      </c>
      <c r="AE129" s="3">
        <f>802+(83-410.4)+(0+(0-0))+0-77.1-0</f>
        <v>397.5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809.6+(118-523.4)+(-0.412896+(-0.06018--0.266934))+0-127.7--0.065126999999987</f>
        <v>276.35898500000002</v>
      </c>
      <c r="G130" s="3">
        <f>816.6+(142-546.9)+(-0.416466+(-0.07242--0.278919))+0-143.9--0.0733889999999854</f>
        <v>267.66342200000003</v>
      </c>
      <c r="H130" s="3">
        <f>820.3+(160-574.1)+(0+(0-0))+0-139.8-0</f>
        <v>266.39999999999992</v>
      </c>
      <c r="I130" s="3">
        <f>812.3+(151-522.3)+(-2.071365+(-0.38505--1.331865))+0-131.7--0.335834999999981</f>
        <v>308.51128499999999</v>
      </c>
      <c r="J130" s="3">
        <f>825.9+(145-542.9)+(-0.842418+(-0.1479--0.553758))+0-131.7--0.134334000000021</f>
        <v>295.99777400000005</v>
      </c>
      <c r="K130" s="3">
        <f>824.2+(79-505.4)+(-2.942394+(-0.28203--1.804278))+0-135.8--0.484806000000002</f>
        <v>261.06466000000006</v>
      </c>
      <c r="L130" s="3">
        <f>753.1+(87-385.6)+(-2.688567+(-0.31059--1.376592))+0-128.7--0.459459000000002</f>
        <v>324.63689399999998</v>
      </c>
      <c r="M130" s="3">
        <f>805.2+(83-425.5)+(0.410652+(0.04233-0.217005))+0-124.7-0.0635969999999874</f>
        <v>338.17238000000003</v>
      </c>
      <c r="N130" s="3">
        <f>821.4+(97-443.2)+(-0.418914+(-0.04947--0.226032))+0-122.7--0.0625769999999876</f>
        <v>352.32022499999999</v>
      </c>
      <c r="O130" s="3">
        <f>818.7+(120-490.6)+(1.252611+(0.1836-0.750618))+0-128.7-0.196911000000007</f>
        <v>319.88868200000002</v>
      </c>
      <c r="P130" s="3">
        <f>809.1+(102-538.5)+(0+(0-0))+0-131.2-0</f>
        <v>241.40000000000003</v>
      </c>
      <c r="Q130" s="3">
        <f>805.9+(102-541.8)+(1.233027+(0.15606-0.828954))+0-130-0.198900000000008</f>
        <v>236.46123300000002</v>
      </c>
      <c r="R130" s="3">
        <f>802.1+(141.4-570.1)+(0.818142+(0.144228-0.581502))+0-137-0.139740000000022</f>
        <v>236.64112799999998</v>
      </c>
      <c r="S130" s="3">
        <f>803.2+(186.3-596.5)+(1.638528+(0.380052-1.21686))+0-137-0.279479999999994</f>
        <v>256.52224000000007</v>
      </c>
      <c r="T130" s="3">
        <f>817.1+(215.6-606.3)+(1.666884+(0.439824-1.236852))+0-130.1-0.265403999999994</f>
        <v>296.90445200000011</v>
      </c>
      <c r="U130" s="3">
        <f>815.6+(247.9-640.1)+(0.831912+(0.252858-0.652902))+0-139-0.141780000000022</f>
        <v>284.69008799999995</v>
      </c>
      <c r="V130" s="3">
        <f>814.5+(210.7-630.7)+(-0.415395+(-0.107457--0.321657))+0-130--0.0662999999999868</f>
        <v>264.36510499999997</v>
      </c>
      <c r="W130" s="3">
        <f>812.5+(141.3-568)+(0.82875+(0.144126-0.57936))+0-132-0.134640000000021</f>
        <v>254.05887599999997</v>
      </c>
      <c r="X130" s="3">
        <f>789.6+(75.6-446.4)+(-0.402696+(-0.038556--0.227664))+0-138--0.070379999999986</f>
        <v>280.65679200000005</v>
      </c>
      <c r="Y130" s="3">
        <f>786+(79.8-390.7)+(-1.60344+(-0.162792--0.797028))+0-138--0.281519999999994</f>
        <v>336.41231600000003</v>
      </c>
      <c r="Z130" s="3">
        <f>800.9+(119.3-401.4)+(0+(0-0))+0-115-0</f>
        <v>403.79999999999995</v>
      </c>
      <c r="AA130" s="3">
        <f>799.1+(125-367.3)+(-2.037705+(-0.31875--0.936615))+0-133.1--0.339404999999981</f>
        <v>422.61956499999991</v>
      </c>
      <c r="AB130" s="3">
        <f>815.6+(92.6-423.2)+(0+(0-0))+0-138.1-0</f>
        <v>346.9</v>
      </c>
      <c r="AC130" s="3">
        <f>829.9+(82-475.1)+(1.269747+(0.12546-0.726903))+0-121.1-0.185283000000007</f>
        <v>316.18302099999994</v>
      </c>
      <c r="AD130" s="2">
        <v>665.9</v>
      </c>
      <c r="AE130" s="3">
        <f>805+(85-423.6)+(0+(0-0))+0-82-0</f>
        <v>384.4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825.2+(79-430.3)+(-1.683408+(-0.16116--0.877812))+0-133.1--0.271523999999994</f>
        <v>340.10476800000004</v>
      </c>
      <c r="G131" s="3">
        <f>829.2+(78-468.8)+(-2.11446+(-0.1989--1.19544))+0-135.1--0.34450499999998</f>
        <v>302.52658500000001</v>
      </c>
      <c r="H131" s="3">
        <f>841.2+(77-385)+(-3.003084+(-0.27489--1.37445))+0-127.1--0.453747000000002</f>
        <v>404.6502230000001</v>
      </c>
      <c r="I131" s="3">
        <f>854.6+(89.8-361.3)+(0+(0-0))+0-131.1-0</f>
        <v>452</v>
      </c>
      <c r="J131" s="3">
        <f>845.7+(89.5-368)+(-2.156535+(-0.228225--0.9384))+0-130--0.331499999999981</f>
        <v>436.08514000000002</v>
      </c>
      <c r="K131" s="3">
        <f>853.3+(99.2-411.2)+(-2.611098+(-0.303552--1.258272))+0-124--0.379440000000014</f>
        <v>416.02306199999992</v>
      </c>
      <c r="L131" s="3">
        <f>860.4+(86-409)+(0+(0-0))+0-132-0</f>
        <v>405.4</v>
      </c>
      <c r="M131" s="3">
        <f>856+(87.8-421.5)+(0+(0-0))+0-129-0</f>
        <v>393.29999999999995</v>
      </c>
      <c r="N131" s="3">
        <f>848.9+(82.1-385.1)+(-0.432939+(-0.041871--0.196401))+0-138--0.070379999999986</f>
        <v>407.69197099999997</v>
      </c>
      <c r="O131" s="3">
        <f>840.6+(83.5-307.6)+(-1.286118+(-0.127755--0.470628))+0-134.1--0.205173000000008</f>
        <v>481.66192799999993</v>
      </c>
      <c r="P131" s="3">
        <f>835.2+(79.9-292.5)+(0+(0-0))+0-132-0</f>
        <v>490.6</v>
      </c>
      <c r="Q131" s="3">
        <f>827.2+(80.7-289)+(1.265616+(0.123471-0.44217))+0-107.3-0.164169000000006</f>
        <v>512.38274800000011</v>
      </c>
      <c r="R131" s="3">
        <f>811.8+(131-324.7)+(0.828036+(0.13362-0.331194))+0-122.6-0.12505200000002</f>
        <v>496.00540999999981</v>
      </c>
      <c r="S131" s="3">
        <f>805.7+(156-358.7)+(0+(0-0))+0-121.3-0</f>
        <v>481.7</v>
      </c>
      <c r="T131" s="3">
        <f>802.7+(202-378.3)+(0.409377+(0.10302-0.192933))+0-125.9-0.0642089999999872</f>
        <v>500.75525500000015</v>
      </c>
      <c r="U131" s="3">
        <f>799.4+(227-425.7)+(0+(0-0))+0-136.7-0</f>
        <v>464.00000000000006</v>
      </c>
      <c r="V131" s="3">
        <f>796.2+(139-404.1)+(0.406062+(0.07089-0.206091))+0-119-0.0606899999999879</f>
        <v>412.31017100000003</v>
      </c>
      <c r="W131" s="3">
        <f>795.9+(80-387.5)+(0.405909+(0.0408-0.197625))+0-103-0.0525299999999896</f>
        <v>385.59655399999997</v>
      </c>
      <c r="X131" s="3">
        <f>794.4+(79-397.2)+(0.405144+(0.04029-0.202572))+0-107.9-0.0550289999999891</f>
        <v>368.48783300000002</v>
      </c>
      <c r="Y131" s="3">
        <f>799.5+(152.4-364.2)+(0.81549+(0.155448-0.371484))+0-139.5-0.142290000000022</f>
        <v>448.65716400000008</v>
      </c>
      <c r="Z131" s="3">
        <f>825.5+(89-344.8)+(0+(0-0))+0-130.9-0</f>
        <v>438.80000000000007</v>
      </c>
      <c r="AA131" s="3">
        <f>849.4+(87-323.1)+(-1.732776+(-0.17748--0.659124))+0-142--0.289679999999994</f>
        <v>470.33854799999995</v>
      </c>
      <c r="AB131" s="3">
        <f>855.4+(86-374.3)+(0+(0-0))+0-132.7-0</f>
        <v>434.39999999999992</v>
      </c>
      <c r="AC131" s="3">
        <f>833.3+(84-340.2)+(0.424983+(0.04284-0.173502))+0-124.9-0.0636989999999873</f>
        <v>452.43062199999991</v>
      </c>
      <c r="AD131" s="2">
        <v>780.30000000000007</v>
      </c>
      <c r="AE131" s="3">
        <f>842+(79-307.9)+(0+(0-0))+0-75-0</f>
        <v>538.1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819.4+(53-342.6)+(0.835788+(0.05406-0.349452))+0-143.8-0.146676000000023</f>
        <v>386.39371999999992</v>
      </c>
      <c r="G132" s="3">
        <f>824.9+(52-357.2)+(-1.262097+(-0.07956--0.546516))+0-126.7--0.193851000000007</f>
        <v>392.39871000000011</v>
      </c>
      <c r="H132" s="3">
        <f>844.3+(52-350.4)+(0+(0-0))+0-129.5-0</f>
        <v>416.4</v>
      </c>
      <c r="I132" s="3">
        <f>839.2+(52-372.8)+(-0.855984+(-0.05304--0.380256))+0-122.1--0.124542000000019</f>
        <v>395.89577400000007</v>
      </c>
      <c r="J132" s="3">
        <f>841.4+(50-408.3)+(-1.716456+(-0.102--0.832932))+0-135.5--0.276419999999994</f>
        <v>346.89089599999994</v>
      </c>
      <c r="K132" s="3">
        <f>842.5+(98-395.2)+(-2.148375+(-0.2499--1.00776))+0-131.1--0.334304999999981</f>
        <v>413.14378999999985</v>
      </c>
      <c r="L132" s="3">
        <f>847.9+(109.7-361.3)+(-0.864858+(-0.111894--0.368526))+0-136.2--0.138924000000022</f>
        <v>459.63069800000005</v>
      </c>
      <c r="M132" s="3">
        <f>853.5+(135.4-333.5)+(0.435285+(0.069054-0.170085))+0-128.5-0.065534999999987</f>
        <v>527.16871900000001</v>
      </c>
      <c r="N132" s="3">
        <f>843.3+(138.4-361.4)+(0.860166+(0.141168-0.368628))+0-122.9-0.12535800000002</f>
        <v>497.90734799999996</v>
      </c>
      <c r="O132" s="3">
        <f>835.1+(102.6-371.7)+(1.277703+(0.156978-0.568701))+0-116.1-0.177633000000007</f>
        <v>450.588347</v>
      </c>
      <c r="P132" s="3">
        <f>823.8+(82-344.7)+(0.840276+(0.08364-0.351594))+0-119-0.121380000000019</f>
        <v>442.55094199999985</v>
      </c>
      <c r="Q132" s="3">
        <f>812+(82-288.7)+(1.65648+(0.16728-0.588948))+0-142-0.289679999999994</f>
        <v>464.24513200000001</v>
      </c>
      <c r="R132" s="3">
        <f>802.4+(118-295.9)+(1.227672+(0.18054-0.452727))+0-108.2-0.165546000000006</f>
        <v>517.08993899999996</v>
      </c>
      <c r="S132" s="3">
        <f>817.1+(140-327.4)+(1.250163+(0.2142-0.500922))+0-112-0.171360000000006</f>
        <v>518.49208099999998</v>
      </c>
      <c r="T132" s="3">
        <f>812.2+(144-336.9)+(-0.828444+(-0.14688--0.343638))+0-110.6--0.112812000000018</f>
        <v>508.18112600000012</v>
      </c>
      <c r="U132" s="3">
        <f>810.4+(145-381)+(0.826608+(0.1479-0.38862))+0-96.4-0.0983280000000154</f>
        <v>478.48755999999992</v>
      </c>
      <c r="V132" s="3">
        <f>807.7+(134-317.6)+(0+(0-0))+0-100.5-0</f>
        <v>523.6</v>
      </c>
      <c r="W132" s="3">
        <f>797.3+(82-321.4)+(0+(0-0))+0-105.6-0</f>
        <v>452.29999999999995</v>
      </c>
      <c r="X132" s="3">
        <f>771.5+(91.6-307.3)+(0.393465+(0.046716-0.156723))+0-106.2-0.0541619999999892</f>
        <v>449.829296</v>
      </c>
      <c r="Y132" s="3">
        <f>776.6+(120.6-301.9)+(1.188198+(0.184518-0.461907))+0-107.9-0.165087000000006</f>
        <v>488.14572200000003</v>
      </c>
      <c r="Z132" s="3">
        <f>779.3+(89-270.7)+(0+(0-0))+0-113.1-0</f>
        <v>484.49999999999989</v>
      </c>
      <c r="AA132" s="3">
        <f>782.3+(103-262.2)+(-2.792811+(-0.36771--0.936054))+0-126.1--0.450177000000002</f>
        <v>495.22570999999988</v>
      </c>
      <c r="AB132" s="3">
        <f>796.7+(99-284.7)+(-1.218951+(-0.15147--0.435591))+0-104.9--0.160497000000006</f>
        <v>505.32566700000001</v>
      </c>
      <c r="AC132" s="3">
        <f>817.1+(86-306.8)+(0.416721+(0.04386-0.156468))+0-117.7-0.0600269999999881</f>
        <v>478.844086</v>
      </c>
      <c r="AD132" s="2">
        <v>721.5</v>
      </c>
      <c r="AE132" s="3">
        <f>776+(85-324.8)+(0+(0-0))+0-76-0</f>
        <v>460.20000000000005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819.7+(83-339.4)+(-0.836094+(-0.08466--0.346188))+0-114.1--0.116382000000018</f>
        <v>448.74181600000009</v>
      </c>
      <c r="G133" s="3">
        <f>820.1+(81-368.9)+(-1.673004+(-0.16524--0.752556))+0-77.2--0.157487999999997</f>
        <v>454.07180000000005</v>
      </c>
      <c r="H133" s="3">
        <f>833.2+(78-416.1)+(-1.274796+(-0.11934--0.636633))+0-89.4--0.136782000000005</f>
        <v>405.07927899999999</v>
      </c>
      <c r="I133" s="3">
        <f>837.3+(85.3-405.1)+(-0.427023+(-0.043503--0.206601))+0-93--0.0474299999999906</f>
        <v>424.28350499999999</v>
      </c>
      <c r="J133" s="3">
        <f>834.3+(96.7-358.9)+(-1.701972+(-0.197268--0.732156))+0-119--0.242759999999995</f>
        <v>452.17567599999984</v>
      </c>
      <c r="K133" s="3">
        <f>837.6+(123.2-378.3)+(-1.281528+(-0.188496--0.578799))+0-120.8--0.184824000000007</f>
        <v>460.99359900000002</v>
      </c>
      <c r="L133" s="3">
        <f>843.1+(162.9-389.6)+(0+(0-0))+0-128.5-0</f>
        <v>487.9</v>
      </c>
      <c r="M133" s="3">
        <f>846.3+(161.2-404.6)+(1.294839+(0.246636-0.619038))+0-134-0.205020000000008</f>
        <v>469.61741699999982</v>
      </c>
      <c r="N133" s="3">
        <f>837.9+(165.5-462.2)+(0.427329+(0.084405-0.235722))+0-128.4-0.065483999999987</f>
        <v>413.01052800000014</v>
      </c>
      <c r="O133" s="3">
        <f>828.8+(133.7-423.9)+(0.422688+(0.068187-0.216189))+0-127.5-0.0650249999999871</f>
        <v>411.30966099999989</v>
      </c>
      <c r="P133" s="3">
        <f>820.5+(81.1-373.6)+(1.67382+(0.165444-0.762144))+0-125.8-0.256631999999994</f>
        <v>403.02048800000006</v>
      </c>
      <c r="Q133" s="3">
        <f>807.8+(82-290.7)+(1.235934+(0.12546-0.444771))+0-138.7-0.212211000000008</f>
        <v>461.10441199999985</v>
      </c>
      <c r="R133" s="3">
        <f>778.4+(108-261.4)+(-1.587936+(-0.22032--0.533256))+0-135.5--0.276419999999994</f>
        <v>488.50142</v>
      </c>
      <c r="S133" s="3">
        <f>772.5+(99-289)+(-1.181925+(-0.15147--0.44217))+0-138.5--0.211905000000008</f>
        <v>443.32068000000004</v>
      </c>
      <c r="T133" s="3">
        <f>778.7+(99-281.7)+(1.191411+(0.15147-0.431001))+0-142-0.217260000000008</f>
        <v>454.69461999999999</v>
      </c>
      <c r="U133" s="3">
        <f>771.3+(107-308)+(0.786726+(0.10914-0.31416))+0-142.3-0.145146000000023</f>
        <v>428.43655999999999</v>
      </c>
      <c r="V133" s="3">
        <f>768.2+(116.9-305.1)+(0.391782+(0.059619-0.155601))+0-149.7-0.0763469999999848</f>
        <v>430.519453</v>
      </c>
      <c r="W133" s="3">
        <f>765.3+(82.5-294.9)+(-0.390303+(-0.042075--0.150399))+0-150.5--0.0767549999999847</f>
        <v>402.19477599999999</v>
      </c>
      <c r="X133" s="3">
        <f>768.8+(78-305.8)+(0.784176+(0.07956-0.311916))+0-149.7-0.152694000000024</f>
        <v>391.69912600000004</v>
      </c>
      <c r="Y133" s="3">
        <f>773.7+(88.3-307.7)+(1.578348+(0.180132-0.627708))+0-134.9-0.275195999999994</f>
        <v>420.25557600000008</v>
      </c>
      <c r="Z133" s="3">
        <f>777.4+(90-254.3)+(0.396474+(0.0459-0.129693))+0-139-0.0708899999999859</f>
        <v>474.34179099999994</v>
      </c>
      <c r="AA133" s="3">
        <f>777.2+(103.9-257.4)+(-1.585488+(-0.211956--0.525096))+0-147.6--0.301103999999994</f>
        <v>475.12875600000007</v>
      </c>
      <c r="AB133" s="3">
        <f>793.8+(93-274.8)+(0.809676+(0.09486-0.280296))+0-124.4-0.12688800000002</f>
        <v>488.097352</v>
      </c>
      <c r="AC133" s="3">
        <f>796.4+(107.2-270)+(0+(0-0))+0-118.5-0</f>
        <v>515.09999999999991</v>
      </c>
      <c r="AD133" s="2">
        <v>848.09999999999991</v>
      </c>
      <c r="AE133" s="3">
        <f>774+(109.5-241)+(0+(0-0))+0-76-0</f>
        <v>566.5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793.9+(101-291)+(-1.214667+(-0.15453--0.44523))+0-131.2--0.200736000000008</f>
        <v>471.97676900000005</v>
      </c>
      <c r="G134" s="3">
        <f>803.4+(96.9-264.7)+(-0.819468+(-0.098838--0.269994))+0-137.2--0.139944000000022</f>
        <v>497.89163200000002</v>
      </c>
      <c r="H134" s="3">
        <f>814.3+(94.2-289.5)+(-0.415293+(-0.048042--0.147645))+0-127.8--0.065177999999987</f>
        <v>490.94948799999997</v>
      </c>
      <c r="I134" s="3">
        <f>813.1+(96.7-286.1)+(-0.829362+(-0.098634--0.291822))+0-106.9--0.109038000000017</f>
        <v>516.27286400000014</v>
      </c>
      <c r="J134" s="3">
        <f>821.8+(93.5-350.1)+(0.838236+(0.09537-0.357102))+0-108.8-0.110976000000017</f>
        <v>456.86552799999993</v>
      </c>
      <c r="K134" s="3">
        <f>770.6+(99.3-342.9)+(0.393006+(0.050643-0.174879))+0-139.8-0.0712979999999858</f>
        <v>387.39747199999999</v>
      </c>
      <c r="L134" s="3">
        <f>714.9+(120.9-307.9)+(-1.093797+(-0.184977--0.471087))+0-138.7--0.212211000000008</f>
        <v>388.60452400000003</v>
      </c>
      <c r="M134" s="3">
        <f>720.8+(136.2-274.4)+(0.367608+(0.069462-0.139944))+0-136.6-0.0696659999999861</f>
        <v>446.22745999999995</v>
      </c>
      <c r="N134" s="3">
        <f>729.7+(120.8-307.7)+(0.744294+(0.123216-0.313854))+0-109.9-0.112098000000018</f>
        <v>433.34155800000013</v>
      </c>
      <c r="O134" s="3">
        <f>697.8+(97.4-304.2)+(0.711756+(0.099348-0.310284))+0-117.5-0.119850000000019</f>
        <v>373.88096999999993</v>
      </c>
      <c r="P134" s="3">
        <f>794.6+(79-388)+(0.405246+(0.04029-0.19788))+0-111.7-0.0569669999999887</f>
        <v>374.09068900000005</v>
      </c>
      <c r="Q134" s="3">
        <f>824.1+(82.5-360.6)+(0.840582+(0.08415-0.367812))+0-122.7-0.12515400000002</f>
        <v>423.73176599999999</v>
      </c>
      <c r="R134" s="3">
        <f>820.5+(127.6-397)+(0.418455+(0.065076-0.20247))+0-107.6-0.0548759999999891</f>
        <v>443.72618500000004</v>
      </c>
      <c r="S134" s="3">
        <f>815.5+(139.1-444.1)+(0.415905+(0.070941-0.226491))+0-107.5-0.0548249999999891</f>
        <v>403.20553000000001</v>
      </c>
      <c r="T134" s="3">
        <f>808.3+(149.5-395.5)+(0.412233+(0.076245-0.201705))+0-114.6-0.0584459999999884</f>
        <v>447.92832699999997</v>
      </c>
      <c r="U134" s="3">
        <f>807.2+(143.9-399.3)+(-1.235016+(-0.220167--0.610929))+0-112.6--0.172278000000007</f>
        <v>438.52802400000007</v>
      </c>
      <c r="V134" s="3">
        <f>792.3+(126.3-410.5)+(0.404073+(0.064413-0.209355))+0-108.5-0.055334999999989</f>
        <v>399.80379599999998</v>
      </c>
      <c r="W134" s="3">
        <f>756.4+(78-351.5)+(-0.771528+(-0.07956--0.35853))+0-107.1--0.109242000000017</f>
        <v>375.41668400000003</v>
      </c>
      <c r="X134" s="3">
        <f>762.8+(98.9-315.9)+(-1.167084+(-0.151317--0.483327))+0-125--0.191250000000007</f>
        <v>420.15617600000002</v>
      </c>
      <c r="Y134" s="3">
        <f>760.3+(110-315.1)+(0.775506+(0.1122-0.321402))+0-113.8-0.116076000000018</f>
        <v>441.85022799999984</v>
      </c>
      <c r="Z134" s="3">
        <f>775.6+(94-291.6)+(0.791112+(0.09588-0.297432))+0-121.7-0.124134000000019</f>
        <v>456.76542599999999</v>
      </c>
      <c r="AA134" s="3">
        <f>777.7+(116.7-283.3)+(-0.793254+(-0.119034--0.288966))+0-110.6--0.112812000000018</f>
        <v>499.98948999999999</v>
      </c>
      <c r="AB134" s="3">
        <f>786.8+(112.2-321.8)+(0.401268+(0.057222-0.164118))+0-120.6-0.0615059999999878</f>
        <v>456.83286599999985</v>
      </c>
      <c r="AC134" s="3">
        <f>807.4+(99.3-356.5)+(2.05887+(0.253215-0.909075))+0-113.6-0.289679999999984</f>
        <v>437.71333000000004</v>
      </c>
      <c r="AD134" s="2">
        <v>809.50000000000011</v>
      </c>
      <c r="AE134" s="3">
        <f>781+(130.2-273.4)+(0+(0-0))+0-80-0</f>
        <v>557.79999999999995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804.4+(87.9-325.4)+(1.230732+(0.134487-0.497862))+0-116.7-0.178551000000007</f>
        <v>450.88880599999993</v>
      </c>
      <c r="G135" s="3">
        <f>803.1+(84-376.3)+(-0.409581+(-0.04284--0.191913))+0-114.7--0.0584969999999884</f>
        <v>395.897989</v>
      </c>
      <c r="H135" s="3">
        <f>812.7+(81-405.1)+(0.828954+(0.08262-0.413202))+0-122.7-0.12515400000002</f>
        <v>366.27321800000004</v>
      </c>
      <c r="I135" s="3">
        <f>795.7+(81-420.6)+(0.811614+(0.08262-0.429012))+0-109.7-0.111894000000017</f>
        <v>346.75332800000001</v>
      </c>
      <c r="J135" s="3">
        <f>799.1+(79-441.2)+(1.630164+(0.16116-0.900048))+0-136.7-0.278867999999994</f>
        <v>300.81240800000006</v>
      </c>
      <c r="K135" s="3">
        <f>785.8+(77-449.2)+(-2.404548+(-0.23562--1.374552))+0-117.7--0.360162000000014</f>
        <v>294.99454599999996</v>
      </c>
      <c r="L135" s="3">
        <f>775.1+(70-392.7)+(-1.976505+(-0.1785--1.001385))+0-119.7--0.305234999999983</f>
        <v>331.85161500000004</v>
      </c>
      <c r="M135" s="3">
        <f>753.3+(99.7-318.7)+(0+(0-0))+0-139.6-0</f>
        <v>394.69999999999993</v>
      </c>
      <c r="N135" s="3">
        <f>750+(95.9-336.5)+(-0.3825+(-0.048909--0.171615))+0-139.6--0.0711959999999858</f>
        <v>369.611402</v>
      </c>
      <c r="O135" s="3">
        <f>746.8+(90-281.6)+(0+(0-0))+0-137.6-0</f>
        <v>417.59999999999991</v>
      </c>
      <c r="P135" s="3">
        <f>745.2+(82-268.3)+(1.140156+(0.12546-0.410499))+0-126.7-0.193851000000007</f>
        <v>432.86126600000006</v>
      </c>
      <c r="Q135" s="3">
        <f>741.1+(111.2-261.7)+(1.133883+(0.170136-0.400401))+0-126.7-0.193851000000007</f>
        <v>464.60976700000009</v>
      </c>
      <c r="R135" s="3">
        <f>758.8+(149.7-315.5)+(-0.773976+(-0.152694--0.32181))+0-135.7--0.138414000000022</f>
        <v>456.83355399999999</v>
      </c>
      <c r="S135" s="3">
        <f>755.4+(163.6-372.9)+(-0.385254+(-0.083436--0.190179))+0-116.7--0.0595169999999882</f>
        <v>429.18100600000002</v>
      </c>
      <c r="T135" s="3">
        <f>774.1+(218.5-443.2)+(-1.579164+(-0.44574--0.904128))+0-111.4--0.227255999999995</f>
        <v>437.10648000000015</v>
      </c>
      <c r="U135" s="3">
        <f>776.4+(185.4-454.6)+(-1.187892+(-0.283662--0.695538))+0-106.8--0.163404000000006</f>
        <v>399.78738799999991</v>
      </c>
      <c r="V135" s="3">
        <f>765.8+(196.2-454.9)+(0+(0-0))+0-138.6-0</f>
        <v>368.5</v>
      </c>
      <c r="W135" s="3">
        <f>755.7+(125.2-368.4)+(1.156221+(0.191556-0.563652))+0-133.2-0.203796000000008</f>
        <v>379.88032900000002</v>
      </c>
      <c r="X135" s="3">
        <f>752.9+(80-341.6)+(1.151937+(0.1224-0.522648))+0-132.1-0.202113000000008</f>
        <v>359.74957599999999</v>
      </c>
      <c r="Y135" s="3">
        <f>778.6+(87-358.5)+(1.588344+(0.17748-0.73134))+0-133.7-0.272747999999994</f>
        <v>374.16173600000008</v>
      </c>
      <c r="Z135" s="3">
        <f>804.7+(90-329)+(0.820794+(0.0918-0.33558))+0-130.2-0.132804000000021</f>
        <v>435.94421</v>
      </c>
      <c r="AA135" s="3">
        <f>814.4+(112.3-293.9)+(-1.661376+(-0.229092--0.599556))+0-151.7--0.309467999999993</f>
        <v>480.1185559999999</v>
      </c>
      <c r="AB135" s="3">
        <f>828.8+(99.7-383.8)+(-0.422688+(-0.050847--0.195738))+0-127--0.0647699999999871</f>
        <v>417.48697299999998</v>
      </c>
      <c r="AC135" s="3">
        <f>811.9+(96.6-396.2)+(-0.414069+(-0.049266--0.202062))+0-142.2--0.0725219999999856</f>
        <v>369.911249</v>
      </c>
      <c r="AD135" s="2">
        <v>764.2</v>
      </c>
      <c r="AE135" s="3">
        <f>807+(106.1-285.6)+(0+(0-0))+0-133.1-0</f>
        <v>494.4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772.8+(126.4-454.1)+(0.394128+(0.064464-0.231591))+0-145-0.0739499999999853</f>
        <v>300.25305099999991</v>
      </c>
      <c r="G136" s="3">
        <f>778.5+(139.8-468)+(1.191105+(0.213894-0.71604))+0-143.8-0.220014000000008</f>
        <v>306.96894500000002</v>
      </c>
      <c r="H136" s="3">
        <f>790.4+(136.4-422.2)+(0.403104+(0.069564-0.215322))+0-144.8-0.0738479999999853</f>
        <v>359.983498</v>
      </c>
      <c r="I136" s="3">
        <f>800.7+(118-389.2)+(0.816714+(0.12036-0.396984))+0-141.8-0.144636000000023</f>
        <v>388.0954539999999</v>
      </c>
      <c r="J136" s="3">
        <f>798.1+(85.1-379.6)+(-0.814062+(-0.086802--0.387192))+0-143--0.145860000000023</f>
        <v>360.23218800000006</v>
      </c>
      <c r="K136" s="3">
        <f>799.4+(75-339)+(-1.630776+(-0.153--0.69156))+0-139--0.283559999999994</f>
        <v>395.59134399999994</v>
      </c>
      <c r="L136" s="3">
        <f>803.2+(85.6-369.9)+(-2.457792+(-0.261936--1.131894))+0-139.4--0.426564000000016</f>
        <v>378.33873000000011</v>
      </c>
      <c r="M136" s="3">
        <f>811.5+(82.6-414.6)+(1.65546+(0.168504-0.845784))+0-114.6-0.233783999999995</f>
        <v>365.64439600000003</v>
      </c>
      <c r="N136" s="3">
        <f>805.9+(80-350.7)+(2.466054+(0.2448-1.073142))+0-133-0.406980000000015</f>
        <v>403.43073199999998</v>
      </c>
      <c r="O136" s="3">
        <f>778.3+(81-303.5)+(1.190799+(0.12393-0.464355))+0-152.6-0.233478000000009</f>
        <v>403.81689599999993</v>
      </c>
      <c r="P136" s="3">
        <f>761.5+(127.9-318.4)+(0.77673+(0.130458-0.324768))+0-153.6-0.156672000000024</f>
        <v>417.82574799999992</v>
      </c>
      <c r="Q136" s="3">
        <f>754.6+(243.8-408.4)+(0.384846+(0.124338-0.208284))+0-160.4-0.0818039999999837</f>
        <v>429.819096</v>
      </c>
      <c r="R136" s="3">
        <f>758.9+(337.3-511.2)+(0.387039+(0.172023-0.260712))+0-154.3-0.0786929999999844</f>
        <v>430.91965700000003</v>
      </c>
      <c r="S136" s="3">
        <f>777.6+(259.3-437.3)+(-2.379456+(-0.793458--1.338138))+0-154.8--0.473688000000018</f>
        <v>443.43891200000002</v>
      </c>
      <c r="T136" s="3">
        <f>770.2+(281.2-458.4)+(-1.96401+(-0.71706--1.16892))+0-140.4--0.35801999999998</f>
        <v>451.44586999999996</v>
      </c>
      <c r="U136" s="3">
        <f>751.9+(262.7-469.3)+(-0.383469+(-0.133977--0.239343))+0-153.2--0.0781319999999845</f>
        <v>391.90002899999996</v>
      </c>
      <c r="V136" s="3">
        <f>752.3+(225.7-479.8)+(-1.151019+(-0.345321--0.734094))+0-130--0.198900000000008</f>
        <v>367.63665399999991</v>
      </c>
      <c r="W136" s="3">
        <f>771.4+(125.1-443.1)+(-1.96707+(-0.319005--1.129905))+0-124.1--0.316454999999982</f>
        <v>328.46028499999994</v>
      </c>
      <c r="X136" s="3">
        <f>766.9+(79.2-408.6)+(-1.173357+(-0.121176--0.625158))+0-131.9--0.201807000000008</f>
        <v>305.13243199999999</v>
      </c>
      <c r="Y136" s="3">
        <f>758.5+(82.3-381.8)+(0+(0-0))+0-122.5-0</f>
        <v>336.5</v>
      </c>
      <c r="Z136" s="3">
        <f>734.3+(144.1-359.5)+(0.748986+(0.146982-0.36669))+0-123.2-0.12566400000002</f>
        <v>396.10361399999994</v>
      </c>
      <c r="AA136" s="3">
        <f>745+(167.6-343.4)+(-0.7599+(-0.170952--0.350268))+0-144--0.146880000000023</f>
        <v>424.76629600000001</v>
      </c>
      <c r="AB136" s="3">
        <f>746.8+(155.6-385.3)+(-1.142604+(-0.238068--0.589509))+0-151.4--0.231642000000009</f>
        <v>365.14047899999997</v>
      </c>
      <c r="AC136" s="3">
        <f>744.2+(145.6-466.8)+(-1.138626+(-0.222768--0.714204))+0-141.9--0.217107000000008</f>
        <v>280.669917</v>
      </c>
      <c r="AD136" s="2">
        <v>733.9</v>
      </c>
      <c r="AE136" s="3">
        <f>733+(170.1-362.4)+(0+(0-0))+0-140-0</f>
        <v>400.70000000000005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748.6+(114.7-453)+(-1.145358+(-0.175491--0.69309))+0-148.3--0.226899000000009</f>
        <v>261.59913999999998</v>
      </c>
      <c r="G137" s="3">
        <f>755.8+(113.9-437.3)+(0.385458+(0.058089-0.223023))+0-139.7-0.0712469999999858</f>
        <v>292.84927700000003</v>
      </c>
      <c r="H137" s="3">
        <f>758.3+(103.9-425.4)+(0+(0-0))+0-146.2-0</f>
        <v>290.59999999999997</v>
      </c>
      <c r="I137" s="3">
        <f>761.3+(109.2-449.2)+(-0.776526+(-0.111384--0.458184))+0-153.2--0.156264000000024</f>
        <v>267.82653799999997</v>
      </c>
      <c r="J137" s="3">
        <f>768.7+(84.1-465.5)+(-1.176111+(-0.128673--0.712215))+0-140.2--0.214506000000008</f>
        <v>246.72193700000005</v>
      </c>
      <c r="K137" s="3">
        <f>770+(54.5-376.5)+(-1.5708+(-0.11118--0.76806))+0-151.9--0.309875999999993</f>
        <v>295.49595599999992</v>
      </c>
      <c r="L137" s="3">
        <f>783.3+(72.8-371.3)+(-1.997415+(-0.18564--0.946815))+0-126.3--0.322064999999982</f>
        <v>357.58582499999994</v>
      </c>
      <c r="M137" s="3">
        <f>764.8+(120.2-413.9)+(-0.780096+(-0.122604--0.422178))+0-136.9--0.139638000000022</f>
        <v>333.85911600000003</v>
      </c>
      <c r="N137" s="3">
        <f>745.8+(135.2-453)+(-1.141074+(-0.206856--0.69309))+0-142.2--0.217566000000008</f>
        <v>285.36272600000001</v>
      </c>
      <c r="O137" s="3">
        <f>746.7+(138.5-437.4)+(0+(0-0))+0-144.4-0</f>
        <v>303.40000000000009</v>
      </c>
      <c r="P137" s="3">
        <f>747.2+(87.4-435.1)+(1.143216+(0.133722-0.665703))+0-134.7-0.206091000000008</f>
        <v>265.20514400000002</v>
      </c>
      <c r="Q137" s="3">
        <f>754.4+(94.4-418.4)+(-0.769488+(-0.096288--0.426768))+0-148.6--0.151572000000024</f>
        <v>281.51256400000005</v>
      </c>
      <c r="R137" s="3">
        <f>749.9+(133-504.5)+(0.382449+(0.06783-0.257295))+0-121.7-0.0620669999999877</f>
        <v>256.830917</v>
      </c>
      <c r="S137" s="3">
        <f>742.8+(177.3-540.3)+(-0.378828+(-0.090423--0.275553))+0-133.8--0.0682379999999864</f>
        <v>245.87454</v>
      </c>
      <c r="T137" s="3">
        <f>716.9+(175.7-481.3)+(0.365619+(0.089607-0.245463))+0-111.6-0.0569159999999887</f>
        <v>299.852847</v>
      </c>
      <c r="U137" s="3">
        <f>690.2+(184.7-440.6)+(0.352002+(0.094197-0.224706))+0-126-0.0642599999999872</f>
        <v>308.45723300000003</v>
      </c>
      <c r="V137" s="3">
        <f>684.6+(198.9-433)+(0.349146+(0.101439-0.22083))+0-132.2-0.0674219999999866</f>
        <v>318.46233300000006</v>
      </c>
      <c r="W137" s="3">
        <f>689.5+(133.9-329.8)+(-0.351645+(-0.068289--0.168198))+0-153.6--0.0783359999999844</f>
        <v>339.82660000000004</v>
      </c>
      <c r="X137" s="3">
        <f>690+(75-301.1)+(0+(0-0))+0-132.8-0</f>
        <v>331.09999999999997</v>
      </c>
      <c r="Y137" s="3">
        <f>697.4+(93.1-289.8)+(-0.355674+(-0.047481--0.147798))+0-145.2--0.0740519999999853</f>
        <v>355.31869499999993</v>
      </c>
      <c r="Z137" s="3">
        <f>730.7+(111.1-331.7)+(0.372657+(0.056661-0.169167))+0-150-0.0764999999999848</f>
        <v>360.28365100000002</v>
      </c>
      <c r="AA137" s="3">
        <f>743.3+(144.9-366.5)+(-0.758166+(-0.147798--0.37383))+0-151.8--0.154836000000024</f>
        <v>369.52270199999992</v>
      </c>
      <c r="AB137" s="3">
        <f>759.4+(141.7-411.1)+(0.387294+(0.072267-0.209661))+0-131.9-0.0672689999999866</f>
        <v>358.28263099999992</v>
      </c>
      <c r="AC137" s="3">
        <f>763.3+(152.7-438.9)+(-0.389283+(-0.077877--0.223839))+0-152.3--0.0776729999999846</f>
        <v>324.63435199999998</v>
      </c>
      <c r="AD137" s="2">
        <v>648.20000000000005</v>
      </c>
      <c r="AE137" s="3">
        <f>743+(149-376.2)+(0+(0-0))+0-164.8-0</f>
        <v>350.99999999999994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761+(145.4-412.1)+(-0.38811+(-0.074154--0.210171))+0-140.1--0.0714509999999858</f>
        <v>354.01935799999995</v>
      </c>
      <c r="G138" s="3">
        <f>762.7+(148.8-366.8)+(-1.166931+(-0.227664--0.561204))+0-148.6--0.227358000000009</f>
        <v>395.493967</v>
      </c>
      <c r="H138" s="3">
        <f>770.1+(118.5-381.1)+(0+(0-0))+0-145-0</f>
        <v>362.5</v>
      </c>
      <c r="I138" s="3">
        <f>765+(114.3-331.4)+(0.39015+(0.058293-0.169014))+0-137.6-0.070175999999986</f>
        <v>410.50925300000011</v>
      </c>
      <c r="J138" s="3">
        <f>762.3+(105.1-325.9)+(-1.555092+(-0.214404--0.664836))+0-146.9--0.299675999999994</f>
        <v>393.79501600000003</v>
      </c>
      <c r="K138" s="3">
        <f>766.2+(78.2-365.3)+(-1.95381+(-0.19941--0.931515))+0-134.8--0.34373999999998</f>
        <v>343.42203499999999</v>
      </c>
      <c r="L138" s="3">
        <f>772.6+(73-350.2)+(-0.788052+(-0.07446--0.357204))+0-119.4--0.121788000000019</f>
        <v>375.61648000000002</v>
      </c>
      <c r="M138" s="3">
        <f>787.2+(74-362.7)+(0+(0-0))+0-116.1-0</f>
        <v>382.40000000000009</v>
      </c>
      <c r="N138" s="3">
        <f>790.9+(76-377.3)+(0.403359+(0.03876-0.192423))+0-126.9-0.0647189999999871</f>
        <v>362.88497699999994</v>
      </c>
      <c r="O138" s="3">
        <f>783.8+(76-382.8)+(0+(0-0))+0-117.7-0</f>
        <v>359.29999999999995</v>
      </c>
      <c r="P138" s="3">
        <f>788.1+(85.7-348.2)+(1.205793+(0.131121-0.532746))+0-110.8-0.169524000000006</f>
        <v>415.43464399999999</v>
      </c>
      <c r="Q138" s="3">
        <f>778.9+(121.2-371.4)+(-0.397239+(-0.061812--0.189414))+0-77.2--0.0393719999999922</f>
        <v>451.26973500000008</v>
      </c>
      <c r="R138" s="3">
        <f>792.8+(127.3-456.5)+(0+(0-0))+0-46.6-0</f>
        <v>416.99999999999994</v>
      </c>
      <c r="S138" s="3">
        <f>791.6+(130.8-466.2)+(-0.403716+(-0.066708--0.237762))+0-53.3--0.0271829999999946</f>
        <v>402.69452100000001</v>
      </c>
      <c r="T138" s="3">
        <f>761.8+(192.2-478.8)+(0.388518+(0.098022-0.244188))+0-51.7-0.0263669999999948</f>
        <v>423.71598499999993</v>
      </c>
      <c r="U138" s="3">
        <f>760.2+(156.5-458)+(0.387702+(0.079815-0.23358))+0-32.5-0.0165749999999967</f>
        <v>426.41736200000008</v>
      </c>
      <c r="V138" s="3">
        <f>757.8+(138.3-432.6)+(-1.545912+(-0.282132--0.882504))+0-39.4--0.0803759999999983</f>
        <v>423.23483599999997</v>
      </c>
      <c r="W138" s="3">
        <f>728.9+(93-328.1)+(-1.486956+(-0.18972--0.669324))+0-86.3--0.176051999999996</f>
        <v>406.66869999999989</v>
      </c>
      <c r="X138" s="3">
        <f>725.2+(85.8-322.2)+(-1.84926+(-0.21879--0.82161))+0-108.8--0.277439999999984</f>
        <v>379.03100000000001</v>
      </c>
      <c r="Y138" s="3">
        <f>734.8+(115.7-340.5)+(0+(0-0))+0-120.7-0</f>
        <v>389.29999999999995</v>
      </c>
      <c r="Z138" s="3">
        <f>768.7+(84-278.4)+(1.176111+(0.12852-0.425952))+0-135.1-0.206703000000008</f>
        <v>439.87197600000007</v>
      </c>
      <c r="AA138" s="3">
        <f>763.4+(100.8-248.1)+(-2.336004+(-0.308448--0.759186))+0-126.9--0.388314000000015</f>
        <v>487.70304799999997</v>
      </c>
      <c r="AB138" s="3">
        <f>780.3+(95.5-314.5)+(-0.795906+(-0.09741--0.32079))+0-129.9--0.132498000000021</f>
        <v>430.95997199999994</v>
      </c>
      <c r="AC138" s="3">
        <f>786.9+(117.3-356.6)+(0.401319+(0.059823-0.181866))+0-132.2-0.0674219999999866</f>
        <v>415.61185399999994</v>
      </c>
      <c r="AD138" s="2">
        <v>698.9</v>
      </c>
      <c r="AE138" s="3">
        <f>762+(99.1-241.7)+(0+(0-0))+0-139.6-0</f>
        <v>479.79999999999995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786.5+(106.3-357.4)+(0+(0-0))+0-123.7-0</f>
        <v>411.7000000000001</v>
      </c>
      <c r="G139" s="3">
        <f>787.5+(113.7-389.8)+(-0.401625+(-0.057987--0.198798))+0-136.9--0.0698189999999861</f>
        <v>374.30900500000001</v>
      </c>
      <c r="H139" s="3">
        <f>785.6+(88.5-387)+(-0.801312+(-0.09027--0.39474))+0-125.3--0.12780600000002</f>
        <v>361.43096400000002</v>
      </c>
      <c r="I139" s="3">
        <f>788.5+(77-392.6)+(-0.402135+(-0.03927--0.200226))+0-132.2--0.0674219999999866</f>
        <v>340.52624299999997</v>
      </c>
      <c r="J139" s="3">
        <f>793.5+(75-384.7)+(-1.61874+(-0.153--0.784788))+0-147.3--0.300491999999994</f>
        <v>335.81354000000005</v>
      </c>
      <c r="K139" s="3">
        <f>814.2+(72-433.4)+(-0.830484+(-0.07344--0.442068))+0-139.2--0.141984000000022</f>
        <v>313.2801280000001</v>
      </c>
      <c r="L139" s="3">
        <f>816+(105.9-446.5)+(-0.83232+(-0.108018--0.45543))+0-139.7--0.142494000000022</f>
        <v>335.35758599999997</v>
      </c>
      <c r="M139" s="3">
        <f>821.1+(137.4-406.8)+(0.418761+(0.070074-0.207468))+0-143.6-0.0732359999999854</f>
        <v>408.30813100000006</v>
      </c>
      <c r="N139" s="3">
        <f>810.4+(102.3-402.9)+(0.413304+(0.052173-0.205479))+0-145.2-0.0740519999999853</f>
        <v>364.78594600000002</v>
      </c>
      <c r="O139" s="3">
        <f>800.2+(75.5-425.3)+(-0.408102+(-0.038505--0.216903))+0-140.8--0.0718079999999857</f>
        <v>309.44210399999997</v>
      </c>
      <c r="P139" s="3">
        <f>787.9+(78.4-351.6)+(-0.803658+(-0.079968--0.358632))+0-138.3--0.141066000000022</f>
        <v>376.01607199999995</v>
      </c>
      <c r="Q139" s="3">
        <f>786.3+(94.5-344.2)+(1.203039+(0.144585-0.526626))+0-132.3-0.202419000000008</f>
        <v>404.91857899999991</v>
      </c>
      <c r="R139" s="3">
        <f>796.7+(132.9-351.5)+(-0.812634+(-0.135558--0.35853))+0-127.7--0.13025400000002</f>
        <v>449.94059200000009</v>
      </c>
      <c r="S139" s="3">
        <f>794.6+(182.3-392)+(-1.215738+(-0.278919--0.59976))+0-126.1--0.192933000000007</f>
        <v>458.09803600000004</v>
      </c>
      <c r="T139" s="3">
        <f>793.5+(225-414.3)+(-1.214055+(-0.34425--0.633879))+0-136.8--0.209304000000008</f>
        <v>466.68487800000003</v>
      </c>
      <c r="U139" s="3">
        <f>816+(217.1-438.1)+(-0.83232+(-0.221442--0.446862))+0-147.1--0.150042000000023</f>
        <v>447.44314200000002</v>
      </c>
      <c r="V139" s="3">
        <f>816.2+(178.9-396)+(-0.416262+(-0.091239--0.20196))+0-145.2--0.0740519999999853</f>
        <v>453.66851100000008</v>
      </c>
      <c r="W139" s="3">
        <f>795.3+(96-296.6)+(-1.622412+(-0.19584--0.605064))+0-143.3--0.292331999999994</f>
        <v>450.47914399999996</v>
      </c>
      <c r="X139" s="3">
        <f>785.2+(99.6-326.5)+(-2.402712+(-0.304776--0.99909))+0-122--0.373320000000014</f>
        <v>434.96492200000012</v>
      </c>
      <c r="Y139" s="3">
        <f>798.9+(170.3-232.5)+(1.629756+(0.347412-0.4743))+0-144.3-0.294371999999994</f>
        <v>593.60849600000017</v>
      </c>
      <c r="Z139" s="3">
        <f>807.8+(83.7-233.2)+(1.647912+(0.170748-0.475728))+0-158.8-0.323951999999993</f>
        <v>500.51897999999994</v>
      </c>
      <c r="AA139" s="3">
        <f>814.4+(86.8-261.9)+(-1.661376+(-0.177072--0.534276))+0-147.7--0.301307999999994</f>
        <v>490.59713599999998</v>
      </c>
      <c r="AB139" s="3">
        <f>815.7+(106.8-317.4)+(0+(0-0))+0-146.8-0</f>
        <v>458.30000000000013</v>
      </c>
      <c r="AC139" s="3">
        <f>820.4+(105.1-329.2)+(-0.836808+(-0.107202--0.335784))+0-147.2--0.150144000000023</f>
        <v>448.64191800000003</v>
      </c>
      <c r="AD139" s="2">
        <v>704.5</v>
      </c>
      <c r="AE139" s="3">
        <f>821+(83-276.7)+(0+(0-0))+0-149.8-0</f>
        <v>477.49999999999994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831.1+(80-412.5)+(0+(0-0))+0-132.7-0</f>
        <v>365.90000000000003</v>
      </c>
      <c r="G140" s="3">
        <f>839.6+(80-434.2)+(0+(0-0))+0-148.2-0</f>
        <v>337.20000000000005</v>
      </c>
      <c r="H140" s="3">
        <f>845.4+(77-460.8)+(0.862308+(0.07854-0.470016))+0-138.9-0.141678000000022</f>
        <v>323.02915399999989</v>
      </c>
      <c r="I140" s="3">
        <f>839.9+(77-434.4)+(-0.856698+(-0.07854--0.443088))+0-142.8--0.145656000000023</f>
        <v>339.35350600000004</v>
      </c>
      <c r="J140" s="3">
        <f>834.2+(75-436.1)+(-2.12721+(-0.19125--1.112055))+0-150.2--0.383009999999978</f>
        <v>322.07660499999997</v>
      </c>
      <c r="K140" s="3">
        <f>835.1+(91.2-492.4)+(-2.129505+(-0.23256--1.25562))+0-138.6--0.35342999999998</f>
        <v>294.54698500000006</v>
      </c>
      <c r="L140" s="3">
        <f>860.5+(165.1-481.6)+(-0.438855+(-0.084201--0.245616))+0-144.9--0.0738989999999853</f>
        <v>398.89645900000005</v>
      </c>
      <c r="M140" s="3">
        <f>865+(162-450.4)+(1.32345+(0.24786-0.689112))+0-131.7-0.201501000000008</f>
        <v>445.58069700000004</v>
      </c>
      <c r="N140" s="3">
        <f>787.3+(124.4-391.6)+(1.606092+(0.253776-0.798864))+0-145.5-0.296819999999994</f>
        <v>375.36418399999997</v>
      </c>
      <c r="O140" s="3">
        <f>741.1+(110.1-341.8)+(0+(0-0))+0-143.2-0</f>
        <v>366.2</v>
      </c>
      <c r="P140" s="3">
        <f>780.8+(92.6-347.5)+(1.194624+(0.141678-0.531675))+0-123-0.188190000000007</f>
        <v>403.51643699999994</v>
      </c>
      <c r="Q140" s="3">
        <f>801.5+(79.9-260.3)+(0+(0-0))+0-137.3-0</f>
        <v>483.8</v>
      </c>
      <c r="R140" s="3">
        <f>812.7+(79.3-279.6)+(-0.414477+(-0.040443--0.142596))+0-138.1--0.070430999999986</f>
        <v>474.05810700000006</v>
      </c>
      <c r="S140" s="3">
        <f>827.9+(108.3-308.3)+(-1.266687+(-0.165699--0.471699))+0-140.4--0.214812000000008</f>
        <v>486.75412499999999</v>
      </c>
      <c r="T140" s="3">
        <f>827.1+(166.6-343.6)+(0+(0-0))+0-146.2-0</f>
        <v>503.90000000000003</v>
      </c>
      <c r="U140" s="3">
        <f>824.1+(209.6-358.2)+(-0.840582+(-0.213792--0.365364))+0-156.2--0.159324000000025</f>
        <v>518.77031399999987</v>
      </c>
      <c r="V140" s="3">
        <f>822.8+(113.5-326.7)+(-2.09814+(-0.289425--0.833085))+0-112.6--0.287129999999984</f>
        <v>495.73264999999986</v>
      </c>
      <c r="W140" s="3">
        <f>801.2+(76.9-288.2)+(0+(0-0))+0-127.8-0</f>
        <v>462.10000000000008</v>
      </c>
      <c r="X140" s="3">
        <f>782.1+(135-322.6)+(-1.595484+(-0.2754--0.658104))+0-129--0.263159999999994</f>
        <v>464.55038000000002</v>
      </c>
      <c r="Y140" s="3">
        <f>789.1+(132.5-349.7)+(0+(0-0))+0-131.7-0</f>
        <v>440.2000000000001</v>
      </c>
      <c r="Z140" s="3">
        <f>789.5+(83-270.4)+(-0.402645+(-0.04233--0.137904))+0-143.2--0.0730319999999855</f>
        <v>458.6659610000001</v>
      </c>
      <c r="AA140" s="3">
        <f>785.9+(82.1-265.2)+(-2.404854+(-0.251226--0.811512))+0-126.3--0.386478000000015</f>
        <v>475.04190999999997</v>
      </c>
      <c r="AB140" s="3">
        <f>806.3+(97.2-275.4)+(0.822426+(0.099144-0.280908))+0-157.7-0.160854000000025</f>
        <v>470.87980799999991</v>
      </c>
      <c r="AC140" s="3">
        <f>805.6+(79.3-342.1)+(0+(0-0))+0-154.3-0</f>
        <v>388.49999999999994</v>
      </c>
      <c r="AD140" s="2">
        <v>736.80000000000007</v>
      </c>
      <c r="AE140" s="3">
        <f>782+(85-261.4)+(0+(0-0))+0-109.8-0</f>
        <v>495.8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817.5+(80-404.3)+(1.250775+(0.1224-0.618579))+0-116.1-0.177633000000007</f>
        <v>377.676963</v>
      </c>
      <c r="G141" s="3">
        <f>812.1+(79-418.5)+(-1.242513+(-0.12087--0.640305))+0-141.8--0.216954000000008</f>
        <v>330.29387600000001</v>
      </c>
      <c r="H141" s="3">
        <f>823.1+(76-414.6)+(0+(0-0))+0-147.7-0</f>
        <v>336.8</v>
      </c>
      <c r="I141" s="3">
        <f>821.8+(76-421.5)+(-0.419118+(-0.03876--0.214965))+0-152.9--0.0779789999999845</f>
        <v>323.2350659999999</v>
      </c>
      <c r="J141" s="3">
        <f>842.3+(76-492.8)+(1.288719+(0.11628-0.753984))+0-144.5-0.221085000000008</f>
        <v>281.4299299999999</v>
      </c>
      <c r="K141" s="3">
        <f>842.9+(74-490.8)+(-2.149395+(-0.1887--1.25154))+0-153.9--0.392444999999978</f>
        <v>271.50588999999991</v>
      </c>
      <c r="L141" s="3">
        <f>847.9+(141.2-496.2)+(-2.162145+(-0.36006--1.26531))+0-120.6--0.307529999999982</f>
        <v>371.35063499999995</v>
      </c>
      <c r="M141" s="3">
        <f>849.4+(199.9-402.8)+(0+(0-0))+0-138.2-0</f>
        <v>508.3</v>
      </c>
      <c r="N141" s="3">
        <f>816.5+(140.1-395.7)+(1.249245+(0.214353-0.605421))+0-127.9-0.195687000000007</f>
        <v>433.66248999999993</v>
      </c>
      <c r="O141" s="3">
        <f>801.5+(94.9-369)+(2.043825+(0.241995-0.94095))+0-133.7-0.340934999999981</f>
        <v>394.703935</v>
      </c>
      <c r="P141" s="3">
        <f>782.4+(80-310.6)+(1.197072+(0.1224-0.475218))+0-133-0.203490000000008</f>
        <v>419.44076399999994</v>
      </c>
      <c r="Q141" s="3">
        <f>778.7+(81-251.6)+(0.397137+(0.04131-0.128316))+0-138-0.070379999999986</f>
        <v>470.33975099999998</v>
      </c>
      <c r="R141" s="3">
        <f>783+(106.8-282.2)+(-0.39933+(-0.054468--0.143922))+0-111.7--0.0569669999999887</f>
        <v>495.64709099999999</v>
      </c>
      <c r="S141" s="3">
        <f>792.9+(124-317)+(0+(0-0))+0-124.6-0</f>
        <v>475.29999999999995</v>
      </c>
      <c r="T141" s="3">
        <f>818.6+(181.2-331.3)+(-1.252458+(-0.277236--0.506889))+0-144.7--0.221391000000008</f>
        <v>522.99858600000016</v>
      </c>
      <c r="U141" s="3">
        <f>815.7+(135.8-330.4)+(0.832014+(0.138516-0.337008))+0-114.8-0.117096000000018</f>
        <v>506.81642600000009</v>
      </c>
      <c r="V141" s="3">
        <f>814.7+(111.7-326.5)+(0.415497+(0.056967-0.166515))+0-120.8-0.0616079999999877</f>
        <v>479.34434100000016</v>
      </c>
      <c r="W141" s="3">
        <f>786.2+(82.1-268.2)+(0.400962+(0.041871-0.136782))+0-118.7-0.060536999999988</f>
        <v>481.64551400000005</v>
      </c>
      <c r="X141" s="3">
        <f>776.9+(112.1-361.6)+(0.792438+(0.114342-0.368832))+0-130.6-0.133212000000021</f>
        <v>397.20473599999997</v>
      </c>
      <c r="Y141" s="3">
        <f>782.3+(120-361.7)+(1.196919+(0.1836-0.553401))+0-136.4-0.208692000000008</f>
        <v>404.81842599999999</v>
      </c>
      <c r="Z141" s="3">
        <f>781.7+(101.3-281)+(0+(0-0))+0-144.2-0</f>
        <v>457.8</v>
      </c>
      <c r="AA141" s="3">
        <f>804.4+(142.8-326.9)+(-0.820488+(-0.145656--0.333438))+0-151.7--0.154734000000024</f>
        <v>468.122028</v>
      </c>
      <c r="AB141" s="3">
        <f>815.9+(131.2-381.1)+(0.416109+(0.066912-0.194361))+0-151.8-0.0774179999999846</f>
        <v>414.41124200000007</v>
      </c>
      <c r="AC141" s="3">
        <f>807.1+(125.6-402)+(-0.411621+(-0.064056--0.20502))+0-150.3--0.0766529999999848</f>
        <v>380.20599599999997</v>
      </c>
      <c r="AD141" s="2">
        <v>728.7</v>
      </c>
      <c r="AE141" s="3">
        <f>797+(155.4-330.9)+(0+(0-0))+0-181.6-0</f>
        <v>439.9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828.9+(95-409.2)+(0+(0-0))+0-144.4-0</f>
        <v>370.30000000000007</v>
      </c>
      <c r="G142" s="3">
        <f>826.1+(98.1-389.8)+(-1.263933+(-0.150093--0.596394))+0-156--0.238680000000009</f>
        <v>377.82104799999996</v>
      </c>
      <c r="H142" s="3">
        <f>829.5+(80.3-407.1)+(-0.84609+(-0.081906--0.415242))+0-115.3--0.117606000000018</f>
        <v>387.00485200000003</v>
      </c>
      <c r="I142" s="3">
        <f>834.2+(94.7-444.8)+(-1.276326+(-0.144891--0.680544))+0-148.7--0.227511000000009</f>
        <v>334.88683800000001</v>
      </c>
      <c r="J142" s="3">
        <f>846.1+(75.7-497.6)+(1.294533+(0.115821-0.761328))+0-130.2-0.199206000000008</f>
        <v>294.44981999999999</v>
      </c>
      <c r="K142" s="3">
        <f>844.4+(70-404.7)+(-0.861288+(-0.0714--0.412794))+0-138.9--0.141678000000022</f>
        <v>370.42178399999995</v>
      </c>
      <c r="L142" s="3">
        <f>848.5+(73-423.3)+(0+(0-0))+0-130.4-0</f>
        <v>367.79999999999995</v>
      </c>
      <c r="M142" s="3">
        <f>851.8+(73-404.8)+(0.868836+(0.07446-0.412896))+0-145.4-0.148308000000023</f>
        <v>374.98209199999997</v>
      </c>
      <c r="N142" s="3">
        <f>845.5+(74-440.4)+(0.86241+(0.07548-0.449208))+0-143.2-0.146064000000023</f>
        <v>336.24261799999999</v>
      </c>
      <c r="O142" s="3">
        <f>825.8+(76-417)+(0.842316+(0.07752-0.42534))+0-120.4-0.122808000000019</f>
        <v>364.77168799999998</v>
      </c>
      <c r="P142" s="3">
        <f>817.2+(81-358.6)+(2.08386+(0.20655-0.91443))+0-127.4-0.324869999999982</f>
        <v>413.2511100000001</v>
      </c>
      <c r="Q142" s="3">
        <f>807.2+(95.2-312.7)+(1.235016+(0.145656-0.478431))+0-130.1-0.199053000000008</f>
        <v>460.30318800000003</v>
      </c>
      <c r="R142" s="3">
        <f>795.4+(163.5-345.7)+(0+(0-0))+0-123.9-0</f>
        <v>489.30000000000007</v>
      </c>
      <c r="S142" s="3">
        <f>793.2+(221.6-373.3)+(0.404532+(0.113016-0.190383))+0-133.4-0.0680339999999865</f>
        <v>508.35913100000005</v>
      </c>
      <c r="T142" s="3">
        <f>812.3+(275.6-421.9)+(-1.657092+(-0.562224--0.860676))+0-124.5--0.253979999999995</f>
        <v>540.39533999999992</v>
      </c>
      <c r="U142" s="3">
        <f>809+(245.4-384.4)+(-1.23777+(-0.375462--0.588132))+0-144.8--0.221544000000008</f>
        <v>524.39644399999997</v>
      </c>
      <c r="V142" s="3">
        <f>809+(156.1-355.1)+(0+(0-0))+0-126.3-0</f>
        <v>483.7</v>
      </c>
      <c r="W142" s="3">
        <f>793.3+(103.9-303)+(0+(0-0))+0-153.9-0</f>
        <v>440.29999999999995</v>
      </c>
      <c r="X142" s="3">
        <f>769.3+(86.4-331.3)+(-0.784686+(-0.088128--0.337926))+0-120.5--0.122910000000019</f>
        <v>403.488022</v>
      </c>
      <c r="Y142" s="3">
        <f>791.7+(103.4-317.8)+(1.211301+(0.158202-0.486234))+0-139.2-0.212976000000008</f>
        <v>438.77029300000009</v>
      </c>
      <c r="Z142" s="3">
        <f>833+(84-286.4)+(0+(0-0))+0-144.7-0</f>
        <v>485.90000000000003</v>
      </c>
      <c r="AA142" s="3">
        <f>843+(105.4-286.8)+(-1.28979+(-0.161262--0.438804))+0-157.1--0.240363000000009</f>
        <v>503.728115</v>
      </c>
      <c r="AB142" s="3">
        <f>846.5+(84-365.1)+(-0.86343+(-0.08568--0.372402))+0-130.8--0.133416000000021</f>
        <v>434.15670799999992</v>
      </c>
      <c r="AC142" s="3">
        <f>820.9+(83-369.5)+(0.418659+(0.04233-0.188445))+0-135.2-0.0689519999999863</f>
        <v>399.40359200000006</v>
      </c>
      <c r="AD142" s="2">
        <v>719.69999999999982</v>
      </c>
      <c r="AE142" s="3">
        <f>838+(117.5-280.1)+(0+(0-0))+0-165.8-0</f>
        <v>509.59999999999997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828.7+(97-414.6)+(0.422637+(0.04947-0.211446))+0-153.2-0.0781319999999845</f>
        <v>358.08252900000008</v>
      </c>
      <c r="G143" s="3">
        <f>828.4+(103.4-445.4)+(-0.422484+(-0.052734--0.227154))+0-149.7--0.0763469999999848</f>
        <v>336.52828299999999</v>
      </c>
      <c r="H143" s="3">
        <f>833.8+(78.7-451.2)+(1.700952+(0.160548-0.920448))+0-148.9-0.303755999999994</f>
        <v>313.03729599999997</v>
      </c>
      <c r="I143" s="3">
        <f>831+(78-411.3)+(-2.11905+(-0.1989--1.048815))+0-145.3--0.370514999999979</f>
        <v>351.50137999999993</v>
      </c>
      <c r="J143" s="3">
        <f>839.6+(77-440.7)+(-1.284588+(-0.11781--0.674271))+0-140.5--0.214965000000008</f>
        <v>334.88683800000007</v>
      </c>
      <c r="K143" s="3">
        <f>842.9+(76-427)+(-1.289637+(-0.11628--0.65331))+0-142.4--0.217872000000008</f>
        <v>348.96526499999999</v>
      </c>
      <c r="L143" s="3">
        <f>848.2+(73-465.8)+(-1.730328+(-0.14892--0.950232))+0-133.9--0.273155999999994</f>
        <v>320.84414000000004</v>
      </c>
      <c r="M143" s="3">
        <f>804.8+(73-384.2)+(0+(0-0))+0-114.6-0</f>
        <v>379</v>
      </c>
      <c r="N143" s="3">
        <f>816.8+(73-353.7)+(0.833136+(0.07446-0.360774))+0-136.7-0.139434000000022</f>
        <v>399.80738799999995</v>
      </c>
      <c r="O143" s="3">
        <f>826.6+(76-396.8)+(0.421566+(0.03876-0.202368))+0-122.8-0.0626279999999875</f>
        <v>383.19533000000001</v>
      </c>
      <c r="P143" s="3">
        <f>813+(76-375.8)+(0.82926+(0.07752-0.383316))+0-124.3-0.12678600000002</f>
        <v>389.29667799999999</v>
      </c>
      <c r="Q143" s="3">
        <f>814.1+(78-316.8)+(0.830382+(0.07956-0.323136))+0-131.1-0.133722000000021</f>
        <v>444.65308399999992</v>
      </c>
      <c r="R143" s="3">
        <f>820.8+(119.6-323.2)+(0.418608+(0.060996-0.164832))+0-126.3-0.0644129999999872</f>
        <v>491.15035899999987</v>
      </c>
      <c r="S143" s="3">
        <f>817.5+(145.7-357)+(-0.416925+(-0.074307--0.18207))+0-114.9--0.0585989999999883</f>
        <v>491.04943700000007</v>
      </c>
      <c r="T143" s="3">
        <f>813.8+(207.4-387.5)+(0.415038+(0.105774-0.197625))+0-132.3-0.0674729999999866</f>
        <v>501.65571399999988</v>
      </c>
      <c r="U143" s="3">
        <f>807.5+(219.9-372.9)+(-0.411825+(-0.112149--0.190179))+0-137.6--0.070175999999986</f>
        <v>516.63638099999991</v>
      </c>
      <c r="V143" s="3">
        <f>805.2+(144.6-357.4)+(0.410652+(0.073746-0.182274))+0-123.7-0.0630869999999875</f>
        <v>468.93903700000016</v>
      </c>
      <c r="W143" s="3">
        <f>800.2+(89.9-308.6)+(-0.408102+(-0.045849--0.157386))+0-144--0.0734399999999854</f>
        <v>437.27687500000002</v>
      </c>
      <c r="X143" s="3">
        <f>779.4+(92.9-351)+(-1.192482+(-0.142137--0.53703))+0-133.4--0.204102000000008</f>
        <v>387.306513</v>
      </c>
      <c r="Y143" s="3">
        <f>774.3+(77.8-345.3)+(-1.974465+(-0.19839--0.880515))+0-146.2--0.372809999999979</f>
        <v>359.6804699999999</v>
      </c>
      <c r="Z143" s="3">
        <f>820.7+(83.2-443.5)+(0+(0-0))+0-134.4-0</f>
        <v>326</v>
      </c>
      <c r="AA143" s="3">
        <f>825.9+(84.4-452.4)+(-2.948463+(-0.301308--1.615068))+0-121.1--0.432327000000002</f>
        <v>335.597624</v>
      </c>
      <c r="AB143" s="3">
        <f>755.5+(82.7-464)+(0+(0-0))+0-91.3-0</f>
        <v>282.89999999999998</v>
      </c>
      <c r="AC143" s="3">
        <f>739.7+(81.1-490.7)+(0.377247+(0.041361-0.250257))+0-96.3-0.0491129999999902</f>
        <v>233.91923800000001</v>
      </c>
      <c r="AD143" s="2">
        <v>567.50000000000011</v>
      </c>
      <c r="AE143" s="3">
        <f>819+(55-436.3)+(0+(0-0))+0-153.4-0</f>
        <v>284.29999999999995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709.9+(77-524.9)+(1.448196+(0.15708-1.070796))+0-71.7-0.146267999999997</f>
        <v>190.68821199999999</v>
      </c>
      <c r="G144" s="3">
        <f>688+(77-496.3)+(0.70176+(0.07854-0.506226))+0-72.9-0.0743580000000116</f>
        <v>195.99971599999995</v>
      </c>
      <c r="H144" s="3">
        <f>674.7+(76-440.8)+(-0.688194+(-0.07752--0.449616))+0-82.5--0.0841500000000132</f>
        <v>227.16805200000005</v>
      </c>
      <c r="I144" s="3">
        <f>673.4+(76-448.2)+(-0.343434+(-0.03876--0.228582))+0-72.9--0.0371789999999926</f>
        <v>228.18356699999995</v>
      </c>
      <c r="J144" s="3">
        <f>687.5+(77-420)+(-1.4025+(-0.15708--0.8568))+0-104.1--0.212363999999995</f>
        <v>239.909584</v>
      </c>
      <c r="K144" s="3">
        <f>691.7+(71-464.7)+(-0.705534+(-0.07242--0.473994))+0-121.4--0.123828000000019</f>
        <v>176.41986800000006</v>
      </c>
      <c r="L144" s="3">
        <f>686.4+(67.3-399.5)+(-0.700128+(-0.068646--0.40749))+0-115.6--0.117912000000018</f>
        <v>238.356628</v>
      </c>
      <c r="M144" s="3">
        <f>696.2+(74.7-457.8)+(0+(0-0))+0-108.5-0</f>
        <v>204.60000000000002</v>
      </c>
      <c r="N144" s="3">
        <f>689.8+(76.8-506.9)+(0+(0-0))+0-123-0</f>
        <v>136.69999999999999</v>
      </c>
      <c r="O144" s="3">
        <f>682+(68.9-460.3)+(-0.34782+(-0.035139--0.234753))+0-117--0.0596699999999881</f>
        <v>173.51146399999999</v>
      </c>
      <c r="P144" s="3">
        <f>710.5+(68-485.3)+(0.362355+(0.03468-0.247503))+0-110.1-0.0561509999999888</f>
        <v>183.19338100000002</v>
      </c>
      <c r="Q144" s="3">
        <f>708.5+(75.4-463.6)+(0.72267+(0.076908-0.472872))+0-134.9-0.137598000000022</f>
        <v>185.58910799999992</v>
      </c>
      <c r="R144" s="3">
        <f>694.6+(91.7-499.6)+(0.354246+(0.046767-0.254796))+0-114.4-0.0583439999999884</f>
        <v>172.38787299999998</v>
      </c>
      <c r="S144" s="3">
        <f>692.6+(128.2-489.2)+(1.059678+(0.196146-0.748476))+0-123.4-0.188802000000007</f>
        <v>208.51854599999999</v>
      </c>
      <c r="T144" s="3">
        <f>684.5+(163.3-439.4)+(-0.69819+(-0.166566--0.448188))+0-111.6--0.113832000000018</f>
        <v>296.49726400000009</v>
      </c>
      <c r="U144" s="3">
        <f>692.9+(163.4-443.6)+(0.706758+(0.166668-0.452472))+0-123.4-0.12586800000002</f>
        <v>289.59508599999987</v>
      </c>
      <c r="V144" s="3">
        <f>731.3+(149.4-503.2)+(0.372963+(0.076194-0.256632))+0-114.3-0.0582929999999884</f>
        <v>263.33423199999999</v>
      </c>
      <c r="W144" s="3">
        <f>734.6+(105.4-435.6)+(-0.749292+(-0.107508--0.444312))+0-127.5--0.13005000000002</f>
        <v>276.61756200000002</v>
      </c>
      <c r="X144" s="3">
        <f>737.2+(71-419.2)+(-1.503888+(-0.14484--0.855168))+0-122.4--0.249695999999995</f>
        <v>266.05613600000004</v>
      </c>
      <c r="Y144" s="3">
        <f>715.4+(76-338.5)+(-0.364854+(-0.03876--0.172635))+0-126.1--0.0643109999999872</f>
        <v>326.633332</v>
      </c>
      <c r="Z144" s="3">
        <f>700.2+(144.1-299.5)+(0+(0-0))+0-108.1-0</f>
        <v>436.70000000000005</v>
      </c>
      <c r="AA144" s="3">
        <f>713.5+(165.8-287.3)+(-1.45554+(-0.338232--0.586092))+0-133.7--0.272747999999994</f>
        <v>457.36506800000001</v>
      </c>
      <c r="AB144" s="3">
        <f>728.2+(171.8-336.1)+(-0.371382+(-0.087618--0.171411))+0-131.4--0.0670139999999867</f>
        <v>432.27942500000006</v>
      </c>
      <c r="AC144" s="3">
        <f>730.3+(159.6-355.7)+(-0.372453+(-0.081396--0.181407))+0-131--0.0668099999999867</f>
        <v>402.99436799999995</v>
      </c>
      <c r="AD144" s="2">
        <v>604.5</v>
      </c>
      <c r="AE144" s="3">
        <f>703+(171.2-292.9)+(0+(0-0))+0-148.7-0</f>
        <v>432.59999999999997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725+(135.8-408.5)+(-1.10925+(-0.207774--0.625005))+0-115.1--0.176103000000007</f>
        <v>336.68408399999998</v>
      </c>
      <c r="G145" s="3">
        <f>723.7+(116.1-457.3)+(-1.476348+(-0.236844--0.932892))+0-115--0.234599999999995</f>
        <v>266.95429999999999</v>
      </c>
      <c r="H145" s="3">
        <f>730.3+(112.8-392.7)+(-1.862265+(-0.28764--1.001385))+0-125.5--0.320024999999982</f>
        <v>324.07150499999995</v>
      </c>
      <c r="I145" s="3">
        <f>756.4+(107.4-351.5)+(-1.157292+(-0.164322--0.537795))+0-101.3--0.154989000000006</f>
        <v>410.37116999999995</v>
      </c>
      <c r="J145" s="3">
        <f>758.8+(77.8-318.8)+(-1.160964+(-0.119034--0.487764))+0-98.6--0.150858000000006</f>
        <v>418.55862399999995</v>
      </c>
      <c r="K145" s="3">
        <f>755+(78.9-351.5)+(-1.92525+(-0.201195--0.896325))+0-100.1--0.255254999999985</f>
        <v>381.32513499999999</v>
      </c>
      <c r="L145" s="3">
        <f>764.5+(82.7-367.1)+(-0.389895+(-0.042177--0.187221))+0-102.7--0.0523769999999896</f>
        <v>377.20752599999997</v>
      </c>
      <c r="M145" s="3">
        <f>766.4+(76.2-364.2)+(0.390864+(0.038862-0.185742))+0-114.3-0.0582929999999884</f>
        <v>364.28569099999999</v>
      </c>
      <c r="N145" s="3">
        <f>763.9+(73.5-372.6)+(0.779178+(0.07497-0.380052))+0-106.1-0.108222000000017</f>
        <v>359.06587399999995</v>
      </c>
      <c r="O145" s="3">
        <f>756.4+(77.5-329.6)+(0.771528+(0.07905-0.336192))+0-125.6-0.12811200000002</f>
        <v>379.08627399999995</v>
      </c>
      <c r="P145" s="3">
        <f>733.1+(103.3-307)+(0.373881+(0.052683-0.15657))+0-117.1-0.0597209999999881</f>
        <v>412.5102730000001</v>
      </c>
      <c r="Q145" s="3">
        <f>719.9+(126.9-291.7)+(0+(0-0))+0-111.5-0</f>
        <v>443.6</v>
      </c>
      <c r="R145" s="3">
        <f>733.5+(125.3-267.9)+(0+(0-0))+0-107.2-0</f>
        <v>483.7000000000001</v>
      </c>
      <c r="S145" s="3">
        <f>724+(171.8-276.4)+(-1.10772+(-0.262854--0.422892))+0-113.7--0.173961000000007</f>
        <v>504.92627900000014</v>
      </c>
      <c r="T145" s="3">
        <f>722.3+(249.8-316.2)+(-1.473492+(-0.509592--0.645048))+0-116.9--0.238475999999995</f>
        <v>537.90044</v>
      </c>
      <c r="U145" s="3">
        <f>721.2+(244.9-325.1)+(-0.367812+(-0.124899--0.165801))+0-131.1--0.0668609999999867</f>
        <v>509.63995099999994</v>
      </c>
      <c r="V145" s="3">
        <f>716.8+(169.1-277.6)+(-1.096704+(-0.258723--0.424728))+0-117.9--0.180387000000007</f>
        <v>489.64968799999997</v>
      </c>
      <c r="W145" s="3">
        <f>597.1+(160.6-155.9)+(-0.304521+(-0.081906--0.079509))+0-133.1--0.0678809999999865</f>
        <v>468.46096299999994</v>
      </c>
      <c r="X145" s="3">
        <f>600.5+(88.6-161.7)+(-0.306255+(-0.045186--0.082467))+0-93.7--0.0477869999999905</f>
        <v>433.478813</v>
      </c>
      <c r="Y145" s="3">
        <f>622.4+(84.6-171.3)+(0.317424+(0.043146-0.087363))+0-97.7-0.0498269999999901</f>
        <v>438.22337999999991</v>
      </c>
      <c r="Z145" s="3">
        <f>730.8+(125.6-249.4)+(-0.745416+(-0.128112--0.254388))+0-121--0.123420000000019</f>
        <v>485.50427999999999</v>
      </c>
      <c r="AA145" s="3">
        <f>783.7+(132.8-262.2)+(-1.199061+(-0.203184--0.401166))+0-123--0.188190000000007</f>
        <v>530.48711100000003</v>
      </c>
      <c r="AB145" s="3">
        <f>784.8+(124.5-315.9)+(-0.400248+(-0.063495--0.161109))+0-137.8--0.070277999999986</f>
        <v>455.36764399999993</v>
      </c>
      <c r="AC145" s="3">
        <f>793+(111.8-327.8)+(0+(0-0))+0-117.3-0</f>
        <v>459.7</v>
      </c>
      <c r="AD145" s="2">
        <v>750.09999999999991</v>
      </c>
      <c r="AE145" s="3">
        <f>783+(132.6-260.3)+(0+(0-0))+0-128.2-0</f>
        <v>527.09999999999991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788.7+(108.1-292.7)+(-0.804474+(-0.110262--0.298554))+0-127.6--0.13015200000002</f>
        <v>476.01397000000003</v>
      </c>
      <c r="G146" s="3">
        <f>778+(99.6-318.2)+(-2.38068+(-0.304776--0.973692))+0-140.4--0.429624000000016</f>
        <v>417.71785999999997</v>
      </c>
      <c r="H146" s="3">
        <f>799.9+(82-327.2)+(-0.815898+(-0.08364--0.333744))+0-137.4--0.140148000000022</f>
        <v>416.8743540000001</v>
      </c>
      <c r="I146" s="3">
        <f>810.6+(81-329.5)+(0.826812+(0.08262-0.33609))+0-135.1-0.137802000000022</f>
        <v>427.43554</v>
      </c>
      <c r="J146" s="3">
        <f>798.2+(81-344.5)+(-1.628328+(-0.16524--0.70278))+0-133.6--0.272543999999994</f>
        <v>400.28175600000003</v>
      </c>
      <c r="K146" s="3">
        <f>808.3+(86-397.6)+(-0.412233+(-0.04386--0.202776))+0-133.2--0.0679319999999865</f>
        <v>363.31461499999995</v>
      </c>
      <c r="L146" s="3">
        <f>816.5+(73-455.4)+(0+(0-0))+0-131.7-0</f>
        <v>302.40000000000003</v>
      </c>
      <c r="M146" s="3">
        <f>819.7+(82-418.3)+(0.836094+(0.08364-0.426666))+0-131.3-0.133926000000021</f>
        <v>352.45914199999999</v>
      </c>
      <c r="N146" s="3">
        <f>820.4+(103.7-366.7)+(1.673616+(0.211548-0.748068))+0-120.2-0.245207999999995</f>
        <v>438.09188800000004</v>
      </c>
      <c r="O146" s="3">
        <f>814.8+(113.6-340.4)+(1.246644+(0.173808-0.520812))+0-140.4-0.214812000000008</f>
        <v>448.284828</v>
      </c>
      <c r="P146" s="3">
        <f>804.9+(81-326.4)+(0.820998+(0.08262-0.332928))+0-130.1-0.132702000000021</f>
        <v>429.837988</v>
      </c>
      <c r="Q146" s="3">
        <f>799.6+(106.6-304.5)+(0.407796+(0.054366-0.155295))+0-139.9-0.0713489999999858</f>
        <v>462.03551800000008</v>
      </c>
      <c r="R146" s="3">
        <f>819.7+(141.1-333.2)+(-0.418047+(-0.071961--0.169932))+0-141.8--0.0723179999999856</f>
        <v>485.55224200000004</v>
      </c>
      <c r="S146" s="3">
        <f>821.3+(155.8-362.4)+(0+(0-0))+0-128.6-0</f>
        <v>486.1</v>
      </c>
      <c r="T146" s="3">
        <f>811.4+(172.2-335.3)+(0+(0-0))+0-124.5-0</f>
        <v>523.79999999999995</v>
      </c>
      <c r="U146" s="3">
        <f>807.4+(118.8-273.9)+(-0.411774+(-0.060588--0.139689))+0-112.6--0.0574259999999886</f>
        <v>539.4247529999999</v>
      </c>
      <c r="V146" s="3">
        <f>805.8+(101.3-248.2)+(0+(0-0))+0-125.8-0</f>
        <v>533.1</v>
      </c>
      <c r="W146" s="3">
        <f>773.6+(87.9-236.2)+(-0.789072+(-0.089658--0.240924))+0-132.1--0.134742000000021</f>
        <v>492.69693600000011</v>
      </c>
      <c r="X146" s="3">
        <f>751.9+(153.3-321.4)+(-1.150407+(-0.234549--0.491742))+0-131.4--0.201042000000008</f>
        <v>451.70782800000006</v>
      </c>
      <c r="Y146" s="3">
        <f>753.6+(111.8-298)+(-0.384336+(-0.057018--0.15198))+0-115.6--0.0589559999999883</f>
        <v>451.56958200000008</v>
      </c>
      <c r="Z146" s="3">
        <f>782.8+(103.2-211.5)+(-0.399228+(-0.052632--0.107865))+0-141.7--0.0722669999999856</f>
        <v>532.52827200000002</v>
      </c>
      <c r="AA146" s="3">
        <f>790.9+(111.4-216.9)+(-1.613436+(-0.227256--0.442476))+0-127.2--0.259487999999994</f>
        <v>557.06127199999992</v>
      </c>
      <c r="AB146" s="3">
        <f>802.1+(108.3-273.8)+(-0.818142+(-0.110466--0.279276))+0-120.7--0.123114000000019</f>
        <v>515.37378200000001</v>
      </c>
      <c r="AC146" s="3">
        <f>812.5+(121-282.7)+(0.82875+(0.12342-0.288354))+0-147.3-0.150246000000024</f>
        <v>504.0135699999999</v>
      </c>
      <c r="AD146" s="2">
        <v>754.4</v>
      </c>
      <c r="AE146" s="3">
        <f>788+(119.5-203.1)+(0+(0-0))+0-132-0</f>
        <v>572.4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813+(134.7-254)+(0.82926+(0.137394-0.25908))+0-141.6-0.144432000000023</f>
        <v>552.66314199999999</v>
      </c>
      <c r="G147" s="3">
        <f>814.2+(134.1-252)+(0.415242+(0.068391-0.12852))+0-140.2-0.0715019999999858</f>
        <v>556.38361099999997</v>
      </c>
      <c r="H147" s="3">
        <f>822.8+(118.9-322.9)+(0+(0-0))+0-147.1-0</f>
        <v>471.69999999999993</v>
      </c>
      <c r="I147" s="3">
        <f>830.9+(85.4-371.1)+(1.695036+(0.174216-0.757044))+0-136.1-0.277643999999994</f>
        <v>409.93456399999991</v>
      </c>
      <c r="J147" s="3">
        <f>828.8+(82-358.4)+(-0.422688+(-0.04182--0.182784))+0-139--0.0708899999999859</f>
        <v>413.18916599999989</v>
      </c>
      <c r="K147" s="3">
        <f>834.3+(90.4-426.8)+(-2.127465+(-0.23052--1.08834))+0-139.6--0.35597999999998</f>
        <v>357.38633499999997</v>
      </c>
      <c r="L147" s="3">
        <f>834.5+(130.4-432.1)+(-2.127975+(-0.33252--1.101855))+0-118.3--0.301664999999983</f>
        <v>413.44302499999986</v>
      </c>
      <c r="M147" s="3">
        <f>850.1+(115-424.7)+(1.300653+(0.17595-0.649791))+0-129.5-0.198135000000007</f>
        <v>411.52867700000013</v>
      </c>
      <c r="N147" s="3">
        <f>842+(105.6-422.9)+(0.42942+(0.053856-0.215679))+0-130.6-0.0666059999999867</f>
        <v>394.30099100000007</v>
      </c>
      <c r="O147" s="3">
        <f>834.1+(79-387)+(0.425391+(0.04029-0.19737))+0-111.8-0.0570179999999887</f>
        <v>414.51129300000008</v>
      </c>
      <c r="P147" s="3">
        <f>827.6+(81-360.2)+(1.266228+(0.12393-0.551106))+0-121.8-0.186354000000007</f>
        <v>427.25269800000012</v>
      </c>
      <c r="Q147" s="3">
        <f>818.2+(91.3-304.8)+(1.251846+(0.139689-0.466344))+0-128.1-0.195993000000007</f>
        <v>477.32919800000008</v>
      </c>
      <c r="R147" s="3">
        <f>805+(139.6-272.2)+(0+(0-0))+0-146.2-0</f>
        <v>526.20000000000005</v>
      </c>
      <c r="S147" s="3">
        <f>796.4+(150.4-283)+(-1.218492+(-0.230112--0.43299))+0-141.5--0.216495000000008</f>
        <v>521.50088099999994</v>
      </c>
      <c r="T147" s="3">
        <f>804.6+(149.4-287)+(0.410346+(0.076194-0.14637))+0-136.7-0.0697169999999861</f>
        <v>530.57045299999993</v>
      </c>
      <c r="U147" s="3">
        <f>813.6+(134.3-307.4)+(-0.414936+(-0.068493--0.156774))+0-125.4--0.0639539999999873</f>
        <v>514.83729900000003</v>
      </c>
      <c r="V147" s="3">
        <f>812.5+(115.8-320.3)+(-1.6575+(-0.236232--0.653412))+0-117.3--0.239291999999995</f>
        <v>489.69897199999997</v>
      </c>
      <c r="W147" s="3">
        <f>795.8+(82.1-267.4)+(-2.841006+(-0.293097--0.954618))+0-132--0.471240000000002</f>
        <v>476.79175500000002</v>
      </c>
      <c r="X147" s="3">
        <f>781.9+(110.2-327.4)+(-0.797538+(-0.112404--0.333948))+0-132.5--0.135150000000021</f>
        <v>431.75915600000002</v>
      </c>
      <c r="Y147" s="3">
        <f>792.7+(103-292.8)+(0.404277+(0.05253-0.149328))+0-142.7-0.0727769999999855</f>
        <v>460.43470200000007</v>
      </c>
      <c r="Z147" s="3">
        <f>801.6+(109.1-229.5)+(0.817632+(0.111282-0.23409))+0-139.8-0.142596000000022</f>
        <v>541.95222799999999</v>
      </c>
      <c r="AA147" s="3">
        <f>806.1+(124.3-265.7)+(-1.644444+(-0.253572--0.542028))+0-141.2--0.288047999999994</f>
        <v>522.43205999999998</v>
      </c>
      <c r="AB147" s="3">
        <f>816+(101.5-278.3)+(-1.66464+(-0.20706--0.567732))+0-158.5--0.323339999999993</f>
        <v>479.71937199999996</v>
      </c>
      <c r="AC147" s="3">
        <f>824.5+(89.9-335.9)+(0.420495+(0.045849-0.171309))+0-152.2-0.0776219999999846</f>
        <v>426.51741300000003</v>
      </c>
      <c r="AD147" s="2">
        <v>750.99999999999989</v>
      </c>
      <c r="AE147" s="3">
        <f>807+(127.6-225.2)+(0+(0-0))+0-135.9-0</f>
        <v>573.5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817.1+(96.6-345.2)+(0.416721+(0.049266-0.176052))+0-145.9-0.0744089999999852</f>
        <v>422.81552600000003</v>
      </c>
      <c r="G148" s="3">
        <f>825.5+(82-375.9)+(0+(0-0))+0-128.4-0</f>
        <v>403.20000000000005</v>
      </c>
      <c r="H148" s="3">
        <f>822.4+(80-391.5)+(-0.838848+(-0.0816--0.39933))+0-151.8--0.154836000000024</f>
        <v>358.73371800000001</v>
      </c>
      <c r="I148" s="3">
        <f>827.5+(79-455.9)+(0+(0-0))+0-122-0</f>
        <v>328.6</v>
      </c>
      <c r="J148" s="3">
        <f>824+(80-423.6)+(-1.26072+(-0.1224--0.648108))+0-123.1--0.188343000000007</f>
        <v>356.753331</v>
      </c>
      <c r="K148" s="3">
        <f>795.7+(102.7-386.9)+(-2.434842+(-0.314262--1.183914))+0-129.5--0.396270000000015</f>
        <v>380.8310800000001</v>
      </c>
      <c r="L148" s="3">
        <f>802.7+(107.8-396.2)+(-0.818754+(-0.109956--0.404124))+0-112.4--0.114648000000018</f>
        <v>401.49006200000014</v>
      </c>
      <c r="M148" s="3">
        <f>809.9+(101.8-399.1)+(0+(0-0))+0-127.7-0</f>
        <v>384.89999999999992</v>
      </c>
      <c r="N148" s="3">
        <f>816.9+(110.6-415.2)+(0+(0-0))+0-120.7-0</f>
        <v>391.59999999999997</v>
      </c>
      <c r="O148" s="3">
        <f>816.1+(122.6-381.1)+(0.832422+(0.125052-0.388722))+0-128.3-0.13086600000002</f>
        <v>429.737886</v>
      </c>
      <c r="P148" s="3">
        <f>822.1+(86-347.5)+(0.838542+(0.08772-0.35445))+0-112.6-0.114852000000018</f>
        <v>448.45695999999998</v>
      </c>
      <c r="Q148" s="3">
        <f>837+(82-297.4)+(0+(0-0))+0-134.8-0</f>
        <v>486.8</v>
      </c>
      <c r="R148" s="3">
        <f>828.8+(82-251.2)+(0.422688+(0.04182-0.128112))+0-120.9-0.0616589999999877</f>
        <v>538.974737</v>
      </c>
      <c r="S148" s="3">
        <f>820.4+(127.3-263.8)+(-1.255212+(-0.194769--0.403614))+0-132.9--0.203337000000008</f>
        <v>550.15697</v>
      </c>
      <c r="T148" s="3">
        <f>818.8+(168.1-280.4)+(-0.417588+(-0.085731--0.143004))+0-127.3--0.0649229999999871</f>
        <v>578.90460800000005</v>
      </c>
      <c r="U148" s="3">
        <f>813.4+(180.2-275.6)+(-1.244502+(-0.275706--0.421668))+0-159.4--0.243882000000009</f>
        <v>557.74534200000005</v>
      </c>
      <c r="V148" s="3">
        <f>812.7+(129-263.6)+(-1.243431+(-0.19737--0.403308))+0-152.4--0.233172000000009</f>
        <v>524.89567899999997</v>
      </c>
      <c r="W148" s="3">
        <f>790.8+(98.6-242.5)+(-2.01654+(-0.25143--0.618375))+0-152.4--0.388619999999978</f>
        <v>493.23902500000003</v>
      </c>
      <c r="X148" s="3">
        <f>768+(79-282.3)+(-2.74176+(-0.28203--1.007811))+0-158.6--0.566202000000002</f>
        <v>404.65022299999998</v>
      </c>
      <c r="Y148" s="3">
        <f>782.9+(82-280.6)+(0+(0-0))+0-127-0</f>
        <v>457.29999999999995</v>
      </c>
      <c r="Z148" s="3">
        <f>790.4+(150.7-258.5)+(0.403104+(0.076857-0.131835))+0-146-0.0744599999999852</f>
        <v>536.87366599999996</v>
      </c>
      <c r="AA148" s="3">
        <f>787.4+(182.7-287.2)+(-2.409444+(-0.559062--0.878832))+0-151.3--0.462978000000018</f>
        <v>529.9733040000001</v>
      </c>
      <c r="AB148" s="3">
        <f>794+(138.1-310.4)+(-2.42964+(-0.422586--0.949824))+0-146.5--0.448290000000017</f>
        <v>473.74588800000004</v>
      </c>
      <c r="AC148" s="3">
        <f>821.6+(113.6-381.4)+(0.838032+(0.115872-0.389028))+0-147-0.149940000000023</f>
        <v>407.21493600000008</v>
      </c>
      <c r="AD148" s="2">
        <v>731</v>
      </c>
      <c r="AE148" s="3">
        <f>782+(229.1-271.5)+(0+(0-0))+0-159.2-0</f>
        <v>580.40000000000009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826.6+(101-386.3)+(0+(0-0))+0-146.4-0</f>
        <v>394.9</v>
      </c>
      <c r="G149" s="3">
        <f>831.9+(82.4-426.8)+(0.424269+(0.042024-0.217668))+0-151.3-0.0771629999999847</f>
        <v>336.37146200000001</v>
      </c>
      <c r="H149" s="3">
        <f>836.1+(79-431.4)+(0+(0-0))+0-140-0</f>
        <v>343.70000000000005</v>
      </c>
      <c r="I149" s="3">
        <f>836.1+(57-418.4)+(-0.852822+(-0.05814--0.426768))+0-134.9--0.137598000000022</f>
        <v>339.45340400000009</v>
      </c>
      <c r="J149" s="3">
        <f>848.8+(77-428.4)+(2.16444+(0.19635-1.09242))+0-138.8-0.35393999999998</f>
        <v>359.51443</v>
      </c>
      <c r="K149" s="3">
        <f>838.3+(74-417.2)+(-2.137665+(-0.1887--1.06386))+0-125.9--0.321044999999982</f>
        <v>368.25853999999998</v>
      </c>
      <c r="L149" s="3">
        <f>847.5+(83-415.8)+(-2.59335+(-0.25398--1.272348))+0-125.3--0.383418000000014</f>
        <v>388.20843600000006</v>
      </c>
      <c r="M149" s="3">
        <f>853.9+(81.4-367)+(1.306467+(0.124542-0.56151))+0-109.6-0.167688000000006</f>
        <v>459.40181099999995</v>
      </c>
      <c r="N149" s="3">
        <f>842.1+(86.9-406)+(0.429471+(0.044319-0.20706))+0-119.7-0.0610469999999879</f>
        <v>403.50568300000009</v>
      </c>
      <c r="O149" s="3">
        <f>832.2+(83.6-368.2)+(0.424422+(0.042636-0.187782))+0-123.3-0.0628829999999875</f>
        <v>424.51639299999999</v>
      </c>
      <c r="P149" s="3">
        <f>821.5+(74-360.1)+(1.256895+(0.11322-0.550953))+0-129.6-0.198288000000007</f>
        <v>406.42087399999997</v>
      </c>
      <c r="Q149" s="3">
        <f>814.3+(91-302.4)+(0+(0-0))+0-121-0</f>
        <v>481.9</v>
      </c>
      <c r="R149" s="3">
        <f>834+(114.5-317.9)+(-0.85068+(-0.11679--0.324258))+0-101.8--0.103836000000016</f>
        <v>528.26062400000012</v>
      </c>
      <c r="S149" s="3">
        <f>822.7+(127.3-339.1)+(0+(0-0))+0-80-0</f>
        <v>530.90000000000009</v>
      </c>
      <c r="T149" s="3">
        <f>772.9+(199.6-346.5)+(-0.394179+(-0.101796--0.176715))+0-61.6--0.0314159999999938</f>
        <v>564.11215600000003</v>
      </c>
      <c r="U149" s="3">
        <f>751.5+(193.6-309.5)+(-0.76653+(-0.197472--0.31569))+0-65.9--0.0672180000000105</f>
        <v>569.11890600000004</v>
      </c>
      <c r="V149" s="3">
        <f>751.9+(159.6-300.1)+(-0.766938+(-0.162792--0.306102))+0-74.5--0.0759900000000119</f>
        <v>536.35236199999997</v>
      </c>
      <c r="W149" s="3">
        <f>752.3+(82.1-229.6)+(-0.383673+(-0.041871--0.117096))+0-90.4--0.0461039999999908</f>
        <v>514.13765599999999</v>
      </c>
      <c r="X149" s="3">
        <f>746+(171.7-332.1)+(-1.52184+(-0.350268--0.677484))+0-88.4--0.180335999999996</f>
        <v>496.18571199999997</v>
      </c>
      <c r="Y149" s="3">
        <f>756.2+(92.1-283.4)+(-0.771324+(-0.093942--0.289068))+0-83.7--0.0853740000000134</f>
        <v>480.70917600000013</v>
      </c>
      <c r="Z149" s="3">
        <f>783.1+(99.3-220.4)+(-0.399381+(-0.050643--0.112404))+0-141.2--0.0720119999999857</f>
        <v>520.53439199999991</v>
      </c>
      <c r="AA149" s="3">
        <f>790.4+(129.8-213.4)+(-0.403104+(-0.066198--0.108834))+0-143.1--0.0729809999999855</f>
        <v>563.41251299999999</v>
      </c>
      <c r="AB149" s="3">
        <f>782.2+(132.5-267.8)+(-1.99461+(-0.337875--0.68289))+0-131.9--0.336344999999981</f>
        <v>513.68675000000007</v>
      </c>
      <c r="AC149" s="3">
        <f>800+(108-303.5)+(-0.408+(-0.05508--0.154785))+0-143.3--0.0730829999999855</f>
        <v>460.96478799999994</v>
      </c>
      <c r="AD149" s="2">
        <v>746.7</v>
      </c>
      <c r="AE149" s="3">
        <f>791+(131.3-193.2)+(0+(0-0))+0-142-0</f>
        <v>587.1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805.5+(98.4-328.3)+(0+(0-0))+0-130.4-0</f>
        <v>445.20000000000005</v>
      </c>
      <c r="G150" s="3">
        <f>803.2+(101-265.7)+(-1.638528+(-0.20604--0.542028))+0-128.5--0.262139999999994</f>
        <v>508.95959999999997</v>
      </c>
      <c r="H150" s="3">
        <f>808.4+(101.6-280.5)+(-1.236852+(-0.155448--0.429165))+0-136.7--0.209151000000008</f>
        <v>492.04601600000007</v>
      </c>
      <c r="I150" s="3">
        <f>804.1+(106.3-228)+(-2.050455+(-0.271065--0.5814))+0-128.1--0.326654999999981</f>
        <v>552.88653499999987</v>
      </c>
      <c r="J150" s="3">
        <f>819+(97.1-231.3)+(0.83538+(0.099042-0.235926))+0-137.2-0.139944000000022</f>
        <v>548.15855199999987</v>
      </c>
      <c r="K150" s="3">
        <f>821.3+(84.6-278.9)+(-2.094315+(-0.21573--0.711195))+0-144.3--0.367964999999979</f>
        <v>481.46911499999999</v>
      </c>
      <c r="L150" s="3">
        <f>816.9+(94.5-333.9)+(-2.083095+(-0.240975--0.851445))+0-117.7--0.300134999999983</f>
        <v>458.62750999999997</v>
      </c>
      <c r="M150" s="3">
        <f>830.5+(73-332.5)+(0.423555+(0.03723-0.169575))+0-149-0.0759899999999849</f>
        <v>422.21521999999999</v>
      </c>
      <c r="N150" s="3">
        <f>831.1+(76-375.7)+(0.847722+(0.07752-0.383214))+0-122.6-0.12505200000002</f>
        <v>409.21697599999999</v>
      </c>
      <c r="O150" s="3">
        <f>830.8+(80-392.5)+(1.271124+(0.1224-0.600525))+0-116.8-0.178704000000007</f>
        <v>402.11429499999997</v>
      </c>
      <c r="P150" s="3">
        <f>816+(80-333)+(-0.41616+(-0.0408--0.16983))+0-129.9--0.0662489999999868</f>
        <v>432.87911899999995</v>
      </c>
      <c r="Q150" s="3">
        <f>812.3+(81-292)+(0.828546+(0.08262-0.29784))+0-133.4-0.136068000000021</f>
        <v>468.37725799999998</v>
      </c>
      <c r="R150" s="3">
        <f>800.3+(118-233.7)+(-0.816306+(-0.12036--0.238374))+0-136.2--0.138924000000022</f>
        <v>547.8406319999998</v>
      </c>
      <c r="S150" s="3">
        <f>793.8+(146.7-270.7)+(0.404838+(0.074817-0.138057))+0-128.7-0.0656369999999869</f>
        <v>541.37596099999985</v>
      </c>
      <c r="T150" s="3">
        <f>779.2+(219.5-298.8)+(0+(0-0))+0-143.8-0</f>
        <v>556.10000000000014</v>
      </c>
      <c r="U150" s="3">
        <f>771+(236.9-363.5)+(-1.17963+(-0.362457--0.556155))+0-115.2--0.176256000000007</f>
        <v>528.39032399999985</v>
      </c>
      <c r="V150" s="3">
        <f>770.3+(170-320.3)+(-1.178559+(-0.2601--0.490059))+0-145.7--0.222921000000008</f>
        <v>473.57432099999994</v>
      </c>
      <c r="W150" s="3">
        <f>769.4+(79-299.1)+(-1.96197+(-0.20145--0.762705))+0-134.1--0.341954999999981</f>
        <v>414.14123999999993</v>
      </c>
      <c r="X150" s="3">
        <f>775.6+(95.3-340.5)+(-1.186668+(-0.145809--0.520965))+0-126.3--0.193239000000007</f>
        <v>403.48172700000009</v>
      </c>
      <c r="Y150" s="3">
        <f>781.7+(95.7-335.3)+(0.797334+(0.097614-0.342006))+0-118-0.120360000000019</f>
        <v>424.53258200000005</v>
      </c>
      <c r="Z150" s="3">
        <f>787.5+(114-331.5)+(0+(0-0))+0-131.5-0</f>
        <v>438.5</v>
      </c>
      <c r="AA150" s="3">
        <f>791.9+(118.9-321.3)+(-0.403869+(-0.060639--0.163863))+0-135.8--0.0692579999999862</f>
        <v>453.46861299999995</v>
      </c>
      <c r="AB150" s="3">
        <f>800.7+(90.8-371.1)+(-0.816714+(-0.092616--0.378522))+0-126.4--0.12892800000002</f>
        <v>393.59812000000016</v>
      </c>
      <c r="AC150" s="3">
        <f>795.8+(97.1-378.1)+(-1.623432+(-0.198084--0.771324))+0-129--0.263159999999994</f>
        <v>385.01296799999989</v>
      </c>
      <c r="AD150" s="2">
        <v>687.3</v>
      </c>
      <c r="AE150" s="3">
        <f>789+(121.5-311.7)+(0+(0-0))+0-131.2-0</f>
        <v>467.59999999999997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803.4+(85-449)+(-1.229202+(-0.13005--0.68697))+0-135--0.206550000000008</f>
        <v>303.93426799999997</v>
      </c>
      <c r="G151" s="3">
        <f>787.5+(81-468.8)+(0+(0-0))+0-125.1-0</f>
        <v>274.60000000000002</v>
      </c>
      <c r="H151" s="3">
        <f>721.7+(88-391.8)+(-1.840335+(-0.2244--0.99909))+0-131.1--0.334304999999981</f>
        <v>286.06866000000002</v>
      </c>
      <c r="I151" s="3">
        <f>744.4+(78-402.1)+(-1.518576+(-0.15912--0.820284))+0-134--0.273359999999994</f>
        <v>285.71594799999991</v>
      </c>
      <c r="J151" s="3">
        <f>751.7+(78-391)+(-0.766734+(-0.07956--0.39882))+0-121.6--0.124032000000019</f>
        <v>316.77655800000008</v>
      </c>
      <c r="K151" s="3">
        <f>743.6+(77.7-327.6)+(-1.89618+(-0.198135--0.83538))+0-118--0.300899999999983</f>
        <v>374.74196499999994</v>
      </c>
      <c r="L151" s="3">
        <f>752.1+(93.5-369.6)+(-1.150713+(-0.143055--0.565488))+0-120.2--0.183906000000007</f>
        <v>355.25562600000001</v>
      </c>
      <c r="M151" s="3">
        <f>758.1+(92.5-354.3)+(-0.773262+(-0.09435--0.361386))+0-113.9--0.116178000000018</f>
        <v>382.009952</v>
      </c>
      <c r="N151" s="3">
        <f>767.5+(108.1-312.4)+(0+(0-0))+0-114.6-0</f>
        <v>448.6</v>
      </c>
      <c r="O151" s="3">
        <f>760.5+(137.2-339.8)+(-0.77571+(-0.139944--0.346596))+0-119.9--0.122298000000019</f>
        <v>437.55323999999996</v>
      </c>
      <c r="P151" s="3">
        <f>753.2+(116.5-386.7)+(0.384132+(0.059415-0.197217))+0-114.8-0.0585479999999884</f>
        <v>368.38778200000007</v>
      </c>
      <c r="Q151" s="3">
        <f>738.7+(74.5-322)+(0.376737+(0.037995-0.16422))+0-125.8-0.0641579999999872</f>
        <v>365.58635400000009</v>
      </c>
      <c r="R151" s="3">
        <f>719.8+(88.5-367.4)+(-0.367098+(-0.045135--0.187374))+0-118.8--0.060587999999988</f>
        <v>321.93572899999998</v>
      </c>
      <c r="S151" s="3">
        <f>740.3+(116.5-394.5)+(-0.755106+(-0.11883--0.40239))+0-124.2--0.12668400000002</f>
        <v>337.75513799999999</v>
      </c>
      <c r="T151" s="3">
        <f>740.8+(126.3-363.2)+(-1.511232+(-0.257652--0.740928))+0-119.3--0.243371999999995</f>
        <v>383.81541599999997</v>
      </c>
      <c r="U151" s="3">
        <f>735.9+(119.3-336.9)+(-0.750618+(-0.121686--0.343638))+0-124.2--0.12668400000002</f>
        <v>393.69801799999993</v>
      </c>
      <c r="V151" s="3">
        <f>733.5+(99.4-340.9)+(-0.374085+(-0.050694--0.173859))+0-118.3--0.060332999999988</f>
        <v>373.509413</v>
      </c>
      <c r="W151" s="3">
        <f>714.4+(77-318.9)+(-1.457376+(-0.15708--0.650556))+0-125.3--0.255611999999995</f>
        <v>346.49171199999995</v>
      </c>
      <c r="X151" s="3">
        <f>692.3+(135.8-389.1)+(-1.412292+(-0.277032--0.793764))+0-122.7--0.250307999999995</f>
        <v>315.65474799999998</v>
      </c>
      <c r="Y151" s="3">
        <f>714.9+(144.5-346.7)+(-0.729198+(-0.14739--0.353634))+0-114.8--0.117096000000018</f>
        <v>397.49414200000001</v>
      </c>
      <c r="Z151" s="3">
        <f>732.2+(85-256.8)+(0+(0-0))+0-121.6-0</f>
        <v>438.80000000000007</v>
      </c>
      <c r="AA151" s="3">
        <f>728.2+(88.7-242.4)+(-1.114146+(-0.135711--0.370872))+0-133.6--0.204408000000008</f>
        <v>440.22542299999992</v>
      </c>
      <c r="AB151" s="3">
        <f>742+(90.7-302.4)+(0+(0-0))+0-130.4-0</f>
        <v>399.9</v>
      </c>
      <c r="AC151" s="3">
        <f>753.5+(85.6-298.8)+(0.384285+(0.043656-0.152388))+0-144-0.0734399999999854</f>
        <v>396.50211299999989</v>
      </c>
      <c r="AD151" s="2">
        <v>662.5</v>
      </c>
      <c r="AE151" s="3">
        <f>735+(84-233.5)+(0+(0-0))+0-106.2-0</f>
        <v>479.3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748.1+(81-317)+(-0.381531+(-0.04131--0.16167))+0-127.6--0.065075999999987</f>
        <v>384.30390499999999</v>
      </c>
      <c r="G152" s="3">
        <f>744.3+(79-365.6)+(-1.138779+(-0.12087--0.559368))+0-89.2--0.136476000000005</f>
        <v>367.93619499999994</v>
      </c>
      <c r="H152" s="3">
        <f>745.3+(77-405.9)+(-0.380103+(-0.03927--0.207009))+0-116--0.0591599999999882</f>
        <v>300.24679599999996</v>
      </c>
      <c r="I152" s="3">
        <f>745.5+(76-378.3)+(-1.52082+(-0.15504--0.771732))+0-141.3--0.288251999999994</f>
        <v>301.28412399999996</v>
      </c>
      <c r="J152" s="3">
        <f>760.8+(108.6-375.2)+(0.388008+(0.055386-0.191352))+0-143.4-0.0731339999999855</f>
        <v>350.97890799999993</v>
      </c>
      <c r="K152" s="3">
        <f>755.6+(137.1-389.5)+(-0.385356+(-0.069921--0.198645))+0-126.6--0.0645659999999871</f>
        <v>376.40793400000007</v>
      </c>
      <c r="L152" s="3">
        <f>754.7+(127.4-380.5)+(-0.384897+(-0.064974--0.194055))+0-140.7--0.0717569999999857</f>
        <v>360.71594100000004</v>
      </c>
      <c r="M152" s="3">
        <f>754.8+(156.4-351.4)+(0+(0-0))+0-129.2-0</f>
        <v>430.59999999999997</v>
      </c>
      <c r="N152" s="3">
        <f>754.8+(189.7-351.4)+(0.384948+(0.096747-0.179214))+0-134.4-0.0685439999999864</f>
        <v>458.9339369999999</v>
      </c>
      <c r="O152" s="3">
        <f>748.9+(147.4-388.4)+(0.381939+(0.075174-0.198084))+0-142.9-0.0728789999999855</f>
        <v>365.18614999999994</v>
      </c>
      <c r="P152" s="3">
        <f>742.7+(107.6-380.9)+(0.378777+(0.054876-0.194259))+0-132.2-0.0674219999999866</f>
        <v>337.37197200000014</v>
      </c>
      <c r="Q152" s="3">
        <f>730.7+(78.5-339.6)+(1.117971+(0.120105-0.519588))+0-139.7-0.213741000000008</f>
        <v>330.40474699999999</v>
      </c>
      <c r="R152" s="3">
        <f>718.6+(80-301.6)+(0.366486+(0.0408-0.153816))+0-119.3-0.0608429999999879</f>
        <v>377.892627</v>
      </c>
      <c r="S152" s="3">
        <f>713.8+(98.7-278.7)+(-0.728076+(-0.100674--0.284274))+0-124.8--0.12729600000002</f>
        <v>408.58281999999991</v>
      </c>
      <c r="T152" s="3">
        <f>724.2+(108.6-281.4)+(-0.369342+(-0.055386--0.143514))+0-120.5--0.0614549999999878</f>
        <v>430.68024100000008</v>
      </c>
      <c r="U152" s="3">
        <f>732.3+(93.6-311.3)+(0.373473+(0.047736-0.158763))+0-110.2-0.0562019999999888</f>
        <v>404.60624399999989</v>
      </c>
      <c r="V152" s="3">
        <f>725.5+(93.1-321.3)+(-0.370005+(-0.047481--0.163863))+0-121.4--0.0619139999999877</f>
        <v>375.70829099999992</v>
      </c>
      <c r="W152" s="3">
        <f>705.4+(80.7-336.5)+(-0.359754+(-0.041157--0.171615))+0-129.4--0.0659939999999869</f>
        <v>320.03669799999994</v>
      </c>
      <c r="X152" s="3">
        <f>691.1+(125.7-388.3)+(-1.057383+(-0.192321--0.594099))+0-126--0.192780000000007</f>
        <v>302.03717500000005</v>
      </c>
      <c r="Y152" s="3">
        <f>701.9+(104.7-315.8)+(0.715938+(0.106794-0.322116))+0-138.3-0.141066000000022</f>
        <v>352.8595499999999</v>
      </c>
      <c r="Z152" s="3">
        <f>716+(97-228.4)+(0.36516+(0.04947-0.116484))+0-135.9-0.0693089999999862</f>
        <v>448.92883700000004</v>
      </c>
      <c r="AA152" s="3">
        <f>715+(88.3-240.4)+(-1.4586+(-0.180132--0.490416))+0-134.5--0.274379999999994</f>
        <v>427.52606399999996</v>
      </c>
      <c r="AB152" s="3">
        <f>720.6+(83-356.8)+(-0.735012+(-0.08466--0.363936))+0-106.8--0.108936000000017</f>
        <v>339.65320000000003</v>
      </c>
      <c r="AC152" s="3">
        <f>736.1+(81-335.6)+(0+(0-0))+0-110.2-0</f>
        <v>371.3</v>
      </c>
      <c r="AD152" s="2">
        <v>643.20000000000005</v>
      </c>
      <c r="AE152" s="3">
        <f>730+(87-215.8)+(0+(0-0))+0-157-0</f>
        <v>444.20000000000005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738.1+(89.4-327.7)+(-0.752862+(-0.091188--0.334254))+0-136.8--0.139536000000022</f>
        <v>362.62974000000008</v>
      </c>
      <c r="G153" s="3">
        <f>737.4+(93.2-392.4)+(-1.504296+(-0.190128--0.800496))+0-127.9--0.260915999999994</f>
        <v>309.666988</v>
      </c>
      <c r="H153" s="3">
        <f>755.5+(110.1-416.1)+(-0.385305+(-0.056151--0.212211))+0-123.8--0.0631379999999874</f>
        <v>325.53389299999998</v>
      </c>
      <c r="I153" s="3">
        <f>767.5+(135.8-391)+(0+(0-0))+0-139.3-0</f>
        <v>372.99999999999994</v>
      </c>
      <c r="J153" s="3">
        <f>762.2+(120.2-392.8)+(-1.166166+(-0.183906--0.600984))+0-130.8--0.200124000000008</f>
        <v>358.25103600000006</v>
      </c>
      <c r="K153" s="3">
        <f>762.3+(140-410.5)+(-1.555092+(-0.2856--0.83742))+0-130.2--0.265607999999994</f>
        <v>360.86233599999997</v>
      </c>
      <c r="L153" s="3">
        <f>750.3+(161.9-463.1)+(-3.061224+(-0.660552--1.889448))+0-124.3--0.507143999999989</f>
        <v>323.47481599999986</v>
      </c>
      <c r="M153" s="3">
        <f>692.9+(244.6-434.2)+(0+(0-0))+0-126.9-0</f>
        <v>376.4</v>
      </c>
      <c r="N153" s="3">
        <f>641.6+(227.7-398.3)+(0.654432+(0.232254-0.406266))+0-116.1-0.118422000000019</f>
        <v>355.26199799999995</v>
      </c>
      <c r="O153" s="3">
        <f>629.6+(163.9-365.9)+(-0.321096+(-0.083589--0.186609))+0-121.8--0.0621179999999876</f>
        <v>305.64404200000001</v>
      </c>
      <c r="P153" s="3">
        <f>646.9+(92.6-352.6)+(-0.329919+(-0.047226--0.179826))+0-123.7--0.0630869999999875</f>
        <v>263.06576799999999</v>
      </c>
      <c r="Q153" s="3">
        <f>651.7+(57.9-318.4)+(0+(0-0))+0-121.2-0</f>
        <v>270.00000000000006</v>
      </c>
      <c r="R153" s="3">
        <f>646.7+(80.9-295.9)+(-0.329817+(-0.041259--0.150909))+0-126--0.0642599999999872</f>
        <v>305.54409300000003</v>
      </c>
      <c r="S153" s="3">
        <f>643.6+(103.5-306.2)+(-0.656472+(-0.10557--0.312324))+0-126.9--0.12943800000002</f>
        <v>313.67972000000003</v>
      </c>
      <c r="T153" s="3">
        <f>639+(100.9-311.9)+(-1.30356+(-0.205836--0.636276))+0-106.7--0.217667999999995</f>
        <v>320.64454800000004</v>
      </c>
      <c r="U153" s="3">
        <f>645+(108.1-348.8)+(0.6579+(0.110262-0.355776))+0-133.2-0.135864000000021</f>
        <v>271.37652199999997</v>
      </c>
      <c r="V153" s="3">
        <f>644.5+(100.2-360.5)+(0.986085+(0.153306-0.551565))+0-113.9-0.174267000000007</f>
        <v>270.71355900000003</v>
      </c>
      <c r="W153" s="3">
        <f>640.2+(73.4-333.2)+(-0.653004+(-0.074868--0.339864))+0-97.8--0.0997560000000156</f>
        <v>282.31174800000008</v>
      </c>
      <c r="X153" s="3">
        <f>637.2+(233.4-396.9)+(-0.974916+(-0.357102--0.607257))+0-118--0.180540000000007</f>
        <v>355.15577900000005</v>
      </c>
      <c r="Y153" s="3">
        <f>648.2+(235.9-305.2)+(-0.330582+(-0.120309--0.155652))+0-130.9--0.0667589999999867</f>
        <v>447.77152000000007</v>
      </c>
      <c r="Z153" s="3">
        <f>681.5+(114-254.7)+(-1.042695+(-0.17442--0.389691))+0-112.4--0.171972000000007</f>
        <v>427.74454800000001</v>
      </c>
      <c r="AA153" s="3">
        <f>688.9+(117.6-246.9)+(-1.054017+(-0.179928--0.377757))+0-115.6--0.176868000000007</f>
        <v>443.32067999999992</v>
      </c>
      <c r="AB153" s="3">
        <f>697.9+(127.1-235.4)+(-0.355929+(-0.064821--0.120054))+0-114.1--0.0581909999999884</f>
        <v>475.25749499999984</v>
      </c>
      <c r="AC153" s="3">
        <f>698.9+(114.1-246.2)+(-0.356439+(-0.058191--0.125562))+0-104--0.0530399999999895</f>
        <v>462.56397199999992</v>
      </c>
      <c r="AD153" s="2">
        <v>544.19999999999993</v>
      </c>
      <c r="AE153" s="3">
        <f>680+(122.9-272.3)+(0+(0-0))+0-127.4-0</f>
        <v>403.20000000000005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706+(118.2-322.9)+(0.36006+(0.060282-0.164679))+0-100.6-0.0513059999999898</f>
        <v>400.90435700000006</v>
      </c>
      <c r="G154" s="3">
        <f>707.4+(111-373.8)+(0.360774+(0.05661-0.190638))+0-103.3-0.0526829999999895</f>
        <v>341.47406299999994</v>
      </c>
      <c r="H154" s="3">
        <f>673.2+(129.2-353.1)+(-0.343332+(-0.065892--0.180081))+0-118.4--0.060383999999988</f>
        <v>330.73124099999995</v>
      </c>
      <c r="I154" s="3">
        <f>609.8+(117-282.9)+(-0.310998+(-0.05967--0.144279))+0-129.8--0.0661979999999868</f>
        <v>313.93980899999997</v>
      </c>
      <c r="J154" s="3">
        <f>601.3+(134.9-258.7)+(-0.919989+(-0.206397--0.395811))+0-121.5--0.185895000000007</f>
        <v>355.45532000000003</v>
      </c>
      <c r="K154" s="3">
        <f>612.6+(147.7-268.1)+(0+(0-0))+0-137.1-0</f>
        <v>355.1</v>
      </c>
      <c r="L154" s="3">
        <f>606.4+(168.2-299.5)+(-1.54632+(-0.42891--0.763725))+0-105.5--0.269024999999985</f>
        <v>368.65751999999998</v>
      </c>
      <c r="M154" s="3">
        <f>619.5+(182.8-269.8)+(-0.63189+(-0.186456--0.275196))+0-133.7--0.136374000000021</f>
        <v>398.39322400000009</v>
      </c>
      <c r="N154" s="3">
        <f>652.3+(184.2-326.9)+(0.665346+(0.187884-0.333438))+0-125.1-0.12760200000002</f>
        <v>384.89218999999991</v>
      </c>
      <c r="O154" s="3">
        <f>706.4+(148.8-361.5)+(-0.360264+(-0.075888--0.184365))+0-134.7--0.0686969999999863</f>
        <v>358.81691000000001</v>
      </c>
      <c r="P154" s="3">
        <f>709.4+(149.4-348.5)+(0.723588+(0.152388-0.35547))+0-126.2-0.12872400000002</f>
        <v>384.49178199999994</v>
      </c>
      <c r="Q154" s="3">
        <f>704.5+(141.6-371.2)+(-0.71859+(-0.144432--0.378624))+0-108.5--0.110670000000017</f>
        <v>366.02627200000001</v>
      </c>
      <c r="R154" s="3">
        <f>704.7+(106.5-292.6)+(-0.359397+(-0.054315--0.149226))+0-118.6--0.060485999999988</f>
        <v>399.79599999999994</v>
      </c>
      <c r="S154" s="3">
        <f>701.7+(94.6-265.3)+(-0.357867+(-0.048246--0.135303))+0-107.6--0.0548759999999891</f>
        <v>423.18406599999997</v>
      </c>
      <c r="T154" s="3">
        <f>695.1+(123.3-254.2)+(-1.418004+(-0.251532--0.518568))+0-127.9--0.260915999999994</f>
        <v>435.40994800000004</v>
      </c>
      <c r="U154" s="3">
        <f>696.4+(118.2-286.8)+(0+(0-0))+0-118.4-0</f>
        <v>409.4</v>
      </c>
      <c r="V154" s="3">
        <f>696.8+(110-265.4)+(-0.355368+(-0.0561--0.135354))+0-140.4--0.0716039999999858</f>
        <v>400.79548999999997</v>
      </c>
      <c r="W154" s="3">
        <f>697.7+(129.4-290.3)+(-1.423308+(-0.263976--0.592212))+0-123.3--0.251531999999995</f>
        <v>412.6564600000001</v>
      </c>
      <c r="X154" s="3">
        <f>699+(326.9-439.9)+(-1.06947+(-0.500157--0.673047))+0-120.2--0.183906000000007</f>
        <v>465.08732600000002</v>
      </c>
      <c r="Y154" s="3">
        <f>702.4+(287.3-290.2)+(-1.074672+(-0.439569--0.444006))+0-139.5--0.213435000000008</f>
        <v>559.14319999999998</v>
      </c>
      <c r="Z154" s="3">
        <f>720.7+(124.3-220.2)+(-1.470228+(-0.253572--0.449208))+0-128.7--0.262547999999994</f>
        <v>495.08795600000008</v>
      </c>
      <c r="AA154" s="3">
        <f>741.3+(99.6-256.1)+(-0.756126+(-0.101592--0.261222))+0-126.9--0.12943800000002</f>
        <v>457.43294199999997</v>
      </c>
      <c r="AB154" s="3">
        <f>743+(94.4-279.8)+(-1.51572+(-0.192576--0.570792))+0-120.4--0.245615999999995</f>
        <v>436.30811199999999</v>
      </c>
      <c r="AC154" s="3">
        <f>751.9+(80-328.5)+(0+(0-0))+0-130.3-0</f>
        <v>373.09999999999997</v>
      </c>
      <c r="AD154" s="2">
        <v>571.29999999999995</v>
      </c>
      <c r="AE154" s="3">
        <f>739+(83.2-290.1)+(0+(0-0))+0-107.4-0</f>
        <v>424.69999999999993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757.3+(52-438)+(0.386223+(0.02652-0.22338))+0-129.7-0.0661469999999868</f>
        <v>241.72321599999998</v>
      </c>
      <c r="G155" s="3">
        <f>758.3+(49-440.7)+(0.386733+(0.02499-0.224757))+0-112.8-0.0575279999999886</f>
        <v>253.92943799999995</v>
      </c>
      <c r="H155" s="3">
        <f>759.1+(49-411.1)+(0+(0-0))+0-111.3-0</f>
        <v>285.7</v>
      </c>
      <c r="I155" s="3">
        <f>761+(48-420.5)+(0+(0-0))+0-107.1-0</f>
        <v>281.39999999999998</v>
      </c>
      <c r="J155" s="3">
        <f>754.8+(88.8-379)+(-1.539792+(-0.181152--0.77316))+0-103.6--0.211343999999995</f>
        <v>360.26355999999993</v>
      </c>
      <c r="K155" s="3">
        <f>757.3+(92.6-403.3)+(-1.544892+(-0.188904--0.822732))+0-99.9--0.203795999999996</f>
        <v>345.99273199999993</v>
      </c>
      <c r="L155" s="3">
        <f>754.3+(108.7-411.2)+(-3.077544+(-0.443496--1.677696))+0-99--0.403919999999991</f>
        <v>351.36057599999992</v>
      </c>
      <c r="M155" s="3">
        <f>771.7+(148-365.4)+(0.787134+(0.15096-0.372708))+0-97.7-0.0996540000000156</f>
        <v>457.06573200000003</v>
      </c>
      <c r="N155" s="3">
        <f>771.5+(156.2-346.3)+(0.78693+(0.159324-0.353226))+0-108.7-0.110874000000017</f>
        <v>473.18215399999997</v>
      </c>
      <c r="O155" s="3">
        <f>758.3+(168-297.4)+(0.386733+(0.08568-0.151674))+0-102.5-0.0522749999999896</f>
        <v>526.66846399999997</v>
      </c>
      <c r="P155" s="3">
        <f>755.8+(190.9-345.8)+(0.385458+(0.097359-0.176358))+0-108.2-0.055181999999989</f>
        <v>492.951277</v>
      </c>
      <c r="Q155" s="3">
        <f>745.3+(88.6-272.8)+(1.140309+(0.135558-0.417384))+0-113.6-0.173808000000007</f>
        <v>448.18467499999986</v>
      </c>
      <c r="R155" s="3">
        <f>745.3+(37-230.8)+(-0.380103+(-0.01887--0.117708))+0-105.1--0.0536009999999893</f>
        <v>446.17233600000003</v>
      </c>
      <c r="S155" s="3">
        <f>726.3+(92.2-284.9)+(-0.740826+(-0.094044--0.290598))+0-101.9--0.103938000000016</f>
        <v>431.25966599999998</v>
      </c>
      <c r="T155" s="3">
        <f>720+(142.3-315.3)+(-1.1016+(-0.217719--0.482409))+0-112.2--0.171666000000006</f>
        <v>434.13475600000004</v>
      </c>
      <c r="U155" s="3">
        <f>721.8+(112.6-318.4)+(0.368118+(0.057426-0.162384))+0-114.7-0.0584969999999884</f>
        <v>401.50466299999999</v>
      </c>
      <c r="V155" s="3">
        <f>712+(81.3-306.5)+(-0.36312+(-0.041463--0.156315))+0-109.3--0.0557429999999889</f>
        <v>377.30747500000001</v>
      </c>
      <c r="W155" s="3">
        <f>710+(26-266.3)+(-0.3621+(-0.01326--0.135813))+0-114.3--0.0582929999999884</f>
        <v>355.21874599999995</v>
      </c>
      <c r="X155" s="3">
        <f>713.9+(151.8-419.8)+(-1.092267+(-0.232254--0.642294))+0-114--0.174420000000007</f>
        <v>331.39219299999996</v>
      </c>
      <c r="Y155" s="3">
        <f>719.2+(152.3-330.6)+(-0.733584+(-0.155346--0.337212))+0-96.9--0.0988380000000155</f>
        <v>443.54712000000006</v>
      </c>
      <c r="Z155" s="3">
        <f>727.8+(49-340.5)+(0.371178+(0.02499-0.173655))+0-94.6-0.0482459999999904</f>
        <v>341.87426699999997</v>
      </c>
      <c r="AA155" s="3">
        <f>723.5+(60.6-348.7)+(-1.47594+(-0.123624--0.711348))+0-108.1--0.220523999999995</f>
        <v>326.63230800000002</v>
      </c>
      <c r="AB155" s="3">
        <f>734.2+(62.4-417.4)+(0.374442+(0.031824-0.212874))+0-113.6-0.0579359999999885</f>
        <v>265.73545600000006</v>
      </c>
      <c r="AC155" s="3">
        <f>737.9+(60.2-413.3)+(0.752658+(0.061404-0.421566))+0-122.2-0.124644000000019</f>
        <v>262.86785199999991</v>
      </c>
      <c r="AD155" s="2">
        <v>697.80000000000018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736.4+(82-392.8)+(-0.751128+(-0.08364--0.400656))+0-105.7--0.107814000000017</f>
        <v>319.57370199999997</v>
      </c>
      <c r="G156" s="3">
        <f>743.1+(80-402.9)+(-0.378981+(-0.0408--0.205479))+0-104.9--0.0534989999999894</f>
        <v>315.13919700000008</v>
      </c>
      <c r="H156" s="3">
        <f>733.3+(96.8-341.7)+(-1.495932+(-0.197472--0.697068))+0-109.7--0.223787999999995</f>
        <v>377.92745200000002</v>
      </c>
      <c r="I156" s="3">
        <f>742.1+(128.9-371.9)+(0.378471+(0.065739-0.189669))+0-102.7-0.0523769999999896</f>
        <v>396.60216400000007</v>
      </c>
      <c r="J156" s="3">
        <f>750.4+(83.1-376)+(2.296224+(0.254286-1.15056))+0-105.1-0.321606000000012</f>
        <v>353.47834399999994</v>
      </c>
      <c r="K156" s="3">
        <f>744.7+(91.6-387.7)+(0.379797+(0.046716-0.197727))+0-110-0.0560999999999888</f>
        <v>338.77268600000002</v>
      </c>
      <c r="L156" s="3">
        <f>734.1+(99-437)+(-1.497564+(-0.20196--0.89148))+0-102.2--0.208487999999996</f>
        <v>293.30044400000003</v>
      </c>
      <c r="M156" s="3">
        <f>739.6+(126.9-397.1)+(-0.377196+(-0.064719--0.202521))+0-96.7--0.0493169999999902</f>
        <v>372.50992299999996</v>
      </c>
      <c r="N156" s="3">
        <f>738.5+(102.6-396.3)+(0.75327+(0.104652-0.404226))+0-105.4-0.107508000000017</f>
        <v>339.7461879999999</v>
      </c>
      <c r="O156" s="3">
        <f>743+(78-389.7)+(0+(0-0))+0-105.6-0</f>
        <v>325.70000000000005</v>
      </c>
      <c r="P156" s="3">
        <f>737.5+(80-326)+(0+(0-0))+0-114.8-0</f>
        <v>376.7</v>
      </c>
      <c r="Q156" s="3">
        <f>721.1+(80-273.5)+(-0.735522+(-0.0816--0.27897))+0-107.6--0.109752000000017</f>
        <v>419.57160000000005</v>
      </c>
      <c r="R156" s="3">
        <f>743.6+(119.6-252.7)+(-0.758472+(-0.121992--0.257754))+0-126.7--0.12923400000002</f>
        <v>483.30652400000002</v>
      </c>
      <c r="S156" s="3">
        <f>753.6+(172.3-297.7)+(-0.768672+(-0.175746--0.303654))+0-128.8--0.131376000000021</f>
        <v>498.89061200000009</v>
      </c>
      <c r="T156" s="3">
        <f>751.5+(198.4-340.7)+(0+(0-0))+0-125.5-0</f>
        <v>483.70000000000005</v>
      </c>
      <c r="U156" s="3">
        <f>748.5+(193-350)+(0.381735+(0.09843-0.1785))+0-130.8-0.0667079999999867</f>
        <v>460.93495699999994</v>
      </c>
      <c r="V156" s="3">
        <f>749.6+(141.2-320.1)+(-1.91148+(-0.36006--0.816255))+0-124--0.316199999999982</f>
        <v>445.56091500000002</v>
      </c>
      <c r="W156" s="3">
        <f>745.4+(81.9-283.5)+(-1.520616+(-0.167076--0.57834))+0-121.8--0.248471999999995</f>
        <v>421.13911999999999</v>
      </c>
      <c r="X156" s="3">
        <f>716.5+(145.3-328.7)+(-1.46166+(-0.296412--0.670548))+0-126.6--0.258263999999994</f>
        <v>405.67073999999997</v>
      </c>
      <c r="Y156" s="3">
        <f>713.7+(167.5-240.4)+(-0.363987+(-0.085425--0.122604))+0-142.3--0.0725729999999856</f>
        <v>498.24576500000001</v>
      </c>
      <c r="Z156" s="3">
        <f>715.6+(120.6-231.4)+(0+(0-0))+0-129.3-0</f>
        <v>475.49999999999994</v>
      </c>
      <c r="AA156" s="3">
        <f>721+(140.9-274.8)+(-1.83855+(-0.359295--0.70074))+0-140.9--0.35929499999998</f>
        <v>445.06218999999999</v>
      </c>
      <c r="AB156" s="3">
        <f>733+(149.6-319.9)+(-1.49532+(-0.305184--0.652596))+0-136.3--0.278051999999994</f>
        <v>425.53014400000001</v>
      </c>
      <c r="AC156" s="3">
        <f>743.4+(130.1-414.3)+(-0.758268+(-0.132702--0.422586))+0-77.5--0.0790500000000124</f>
        <v>381.31066599999991</v>
      </c>
      <c r="AD156" s="2">
        <v>726.80000000000007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748.1+(124.7-473.5)+(0+(0-0))+0-76.9-0</f>
        <v>322.39999999999998</v>
      </c>
      <c r="G157" s="3">
        <f>749.4+(117-460.8)+(0.382194+(0.05967-0.235008))+0-77.8-0.0396779999999921</f>
        <v>327.96717799999999</v>
      </c>
      <c r="H157" s="3">
        <f>758.3+(88.7-445.7)+(1.546932+(0.180948-0.909228))+0-77-0.157079999999997</f>
        <v>324.96157199999993</v>
      </c>
      <c r="I157" s="3">
        <f>751.7+(78-434.5)+(-0.383367+(-0.03978--0.221595))+0-97.9--0.0499289999999901</f>
        <v>297.14837700000004</v>
      </c>
      <c r="J157" s="3">
        <f>748.8+(76-405.8)+(-0.763776+(-0.07752--0.413916))+0-99.1--0.101082000000016</f>
        <v>319.57370199999991</v>
      </c>
      <c r="K157" s="3">
        <f>750.1+(80.9-372.4)+(-1.147653+(-0.123777--0.569772))+0-133.5--0.204255000000008</f>
        <v>324.602597</v>
      </c>
      <c r="L157" s="3">
        <f>746.2+(76.2-398)+(-2.663934+(-0.272034--1.42086))+0-129.9--0.463743000000002</f>
        <v>293.44863500000008</v>
      </c>
      <c r="M157" s="3">
        <f>758.7+(81-362.3)+(-0.386937+(-0.04131--0.184773))+0-110.3--0.0562529999999888</f>
        <v>366.912779</v>
      </c>
      <c r="N157" s="3">
        <f>761.8+(86-321)+(1.165554+(0.13158-0.49113))+0-124.9-0.191097000000007</f>
        <v>402.51490699999999</v>
      </c>
      <c r="O157" s="3">
        <f>753.1+(105.2-290)+(-0.768162+(-0.107304--0.2958))+0-125.1--0.12760200000002</f>
        <v>442.74793599999998</v>
      </c>
      <c r="P157" s="3">
        <f>733.6+(98.3-254.9)+(-0.374136+(-0.050133--0.129999))+0-109--0.0555899999999889</f>
        <v>467.76132000000001</v>
      </c>
      <c r="Q157" s="3">
        <f>732.2+(104.2-307.9)+(0.373422+(0.053142-0.157029))+0-124.7-0.0635969999999874</f>
        <v>404.00593800000001</v>
      </c>
      <c r="R157" s="3">
        <f>732.3+(129.6-362.1)+(0.373473+(0.066096-0.184671))+0-105.4-0.0537539999999893</f>
        <v>394.60114400000003</v>
      </c>
      <c r="S157" s="3">
        <f>731.3+(163.2-441.7)+(0.745926+(0.166464-0.450534))+0-108-0.110160000000017</f>
        <v>345.15169599999996</v>
      </c>
      <c r="T157" s="3">
        <f>717.1+(155.8-454.1)+(-1.462884+(-0.317832--0.926364))+0-108.6--0.221543999999995</f>
        <v>309.56719199999998</v>
      </c>
      <c r="U157" s="3">
        <f>715.2+(157.4-470.8)+(-0.729504+(-0.160548--0.480216))+0-126.2--0.12872400000002</f>
        <v>275.31888800000013</v>
      </c>
      <c r="V157" s="3">
        <f>711.6+(124.8-443.4)+(-0.362916+(-0.063648--0.226134))+0-125.4--0.0639539999999873</f>
        <v>267.46352400000001</v>
      </c>
      <c r="W157" s="3">
        <f>708.7+(79.9-378.2)+(-1.084311+(-0.122247--0.578646))+0-147.7--0.225981000000009</f>
        <v>262.29806900000011</v>
      </c>
      <c r="X157" s="3">
        <f>700.5+(97.3-364.6)+(-2.14353+(-0.297738--1.115676))+0-127.4--0.389844000000015</f>
        <v>304.86425200000008</v>
      </c>
      <c r="Y157" s="3">
        <f>711.4+(96.7-279.3)+(0+(0-0))+0-130.6-0</f>
        <v>398.19999999999993</v>
      </c>
      <c r="Z157" s="3">
        <f>716.9+(127.2-357)+(0.365619+(0.064872-0.18207))+0-147.1-0.0750209999999851</f>
        <v>340.17340000000002</v>
      </c>
      <c r="AA157" s="3">
        <f>718+(126.9-428.8)+(-1.09854+(-0.194157--0.656064))+0-133.9--0.204867000000008</f>
        <v>281.76823400000001</v>
      </c>
      <c r="AB157" s="3">
        <f>726.3+(105.3-447)+(-0.740826+(-0.107406--0.45594))+0-123.8--0.12627600000002</f>
        <v>260.53398399999998</v>
      </c>
      <c r="AC157" s="3">
        <f>728.5+(121.4-432)+(-0.74307+(-0.123828--0.44064))+0-136.4--0.139128000000022</f>
        <v>281.21286999999995</v>
      </c>
      <c r="AD157" s="2">
        <v>668.3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733.7+(112.8-385.4)+(0+(0-0))+0-129.7-0</f>
        <v>331.40000000000009</v>
      </c>
      <c r="G158" s="3">
        <f>728.3+(103.2-405)+(-1.114299+(-0.157896--0.61965))+0-127.9--0.195687000000007</f>
        <v>298.14314200000001</v>
      </c>
      <c r="H158" s="3">
        <f>731.4+(121.2-418)+(-1.119042+(-0.185436--0.63954))+0-140.9--0.215577000000008</f>
        <v>293.25063899999992</v>
      </c>
      <c r="I158" s="3">
        <f>733.1+(133.2-444)+(-1.495524+(-0.271728--0.90576))+0-135.4--0.276215999999994</f>
        <v>286.31472399999996</v>
      </c>
      <c r="J158" s="3">
        <f>736.7+(129.1-416.1)+(-1.878585+(-0.329205--1.061055))+0-136.2--0.34730999999998</f>
        <v>312.70057500000007</v>
      </c>
      <c r="K158" s="3">
        <f>743+(130.3-406.9)+(-0.37893+(-0.066453--0.207519))+0-133--0.0678299999999865</f>
        <v>333.22996599999999</v>
      </c>
      <c r="L158" s="3">
        <f>757.8+(98.3-465.7)+(0+(0-0))+0-125.5-0</f>
        <v>264.89999999999998</v>
      </c>
      <c r="M158" s="3">
        <f>752.8+(109.4-464.6)+(-1.151784+(-0.167382--0.710838))+0-121.7--0.186201000000007</f>
        <v>275.47787299999993</v>
      </c>
      <c r="N158" s="3">
        <f>754.3+(96.2-454.3)+(0+(0-0))+0-111.9-0</f>
        <v>284.29999999999995</v>
      </c>
      <c r="O158" s="3">
        <f>753.1+(92.1-364.1)+(0.384081+(0.046971-0.185691))+0-115.8-0.0590579999999883</f>
        <v>365.48630300000002</v>
      </c>
      <c r="P158" s="3">
        <f>743.8+(131.7-425.3)+(-0.758676+(-0.134334--0.433806))+0-110.8--0.113016000000018</f>
        <v>339.05381199999994</v>
      </c>
      <c r="Q158" s="3">
        <f>739.9+(116.4-509.9)+(-0.377349+(-0.059364--0.260049))+0-108.2--0.055181999999989</f>
        <v>238.07851799999997</v>
      </c>
      <c r="R158" s="3">
        <f>728.5+(138.1-546.1)+(-0.371535+(-0.070431--0.278511))+0-114.5--0.0583949999999884</f>
        <v>205.89493999999999</v>
      </c>
      <c r="S158" s="3">
        <f>727.5+(164.9-546)+(-0.74205+(-0.168198--0.55692))+0-107.4--0.109548000000017</f>
        <v>238.75622000000001</v>
      </c>
      <c r="T158" s="3">
        <f>720.3+(189.1-552.4)+(-0.734706+(-0.192882--0.563448))+0-110.7--0.112914000000018</f>
        <v>246.04877400000001</v>
      </c>
      <c r="U158" s="3">
        <f>731+(192.8-600)+(1.86405+(0.49164-1.53))+0-110.6-0.282029999999984</f>
        <v>213.74366000000003</v>
      </c>
      <c r="V158" s="3">
        <f>720.3+(180.5-578.1)+(0.367353+(0.092055-0.294831))+0-105.5-0.0538049999999893</f>
        <v>217.31077199999996</v>
      </c>
      <c r="W158" s="3">
        <f>716.3+(115.7-468.9)+(-0.730626+(-0.118014--0.478278))+0-130.1--0.132702000000021</f>
        <v>232.76233999999999</v>
      </c>
      <c r="X158" s="3">
        <f>714+(75.3-366.2)+(0.36414+(0.038403-0.186762))+0-130.6-0.0666059999999867</f>
        <v>292.64917500000001</v>
      </c>
      <c r="Y158" s="3">
        <f>719.4+(79.3-286.7)+(0.366894+(0.040443-0.146217))+0-132.8-0.0677279999999865</f>
        <v>379.39339200000001</v>
      </c>
      <c r="Z158" s="3">
        <f>719.8+(101-402)+(0+(0-0))+0-134.7-0</f>
        <v>284.09999999999997</v>
      </c>
      <c r="AA158" s="3">
        <f>716.6+(108.7-417.5)+(-2.192796+(-0.332622--1.27755))+0-142.9--0.437274000000017</f>
        <v>264.08940600000005</v>
      </c>
      <c r="AB158" s="3">
        <f>727.9+(81.5-430.7)+(-1.484916+(-0.16626--0.878628))+0-129.2--0.263567999999994</f>
        <v>248.99102000000002</v>
      </c>
      <c r="AC158" s="3">
        <f>741.4+(80-438.3)+(-0.378114+(-0.0408--0.223533))+0-147.6--0.075275999999985</f>
        <v>235.37989499999995</v>
      </c>
      <c r="AD158" s="2">
        <v>652.4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746.1+(80-459.9)+(0.761022+(0.0816-0.469098))+0-136.2-0.138924000000022</f>
        <v>230.2346</v>
      </c>
      <c r="G159" s="3">
        <f>742.3+(78-419.4)+(-1.135719+(-0.11934--0.641682))+0-117.7--0.180081000000007</f>
        <v>282.766704</v>
      </c>
      <c r="H159" s="3">
        <f>747.6+(84.4-365.7)+(0+(0-0))+0-138.4-0</f>
        <v>327.90000000000009</v>
      </c>
      <c r="I159" s="3">
        <f>737.6+(95.5-361.2)+(-1.504704+(-0.19482--0.736848))+0-128.1--0.261323999999994</f>
        <v>343.09864800000008</v>
      </c>
      <c r="J159" s="3">
        <f>739.2+(90.1-347.3)+(-1.507968+(-0.183804--0.708492))+0-134.2--0.273767999999994</f>
        <v>347.09048800000005</v>
      </c>
      <c r="K159" s="3">
        <f>752.7+(87.5-401.2)+(0.383877+(0.044625-0.204612))+0-138.6-0.0706859999999859</f>
        <v>300.55320400000011</v>
      </c>
      <c r="L159" s="3">
        <f>756.6+(132.9-408.2)+(-0.771732+(-0.135558--0.416364))+0-126.7--0.12923400000002</f>
        <v>354.23830800000007</v>
      </c>
      <c r="M159" s="3">
        <f>770.1+(175-397.2)+(1.571004+(0.357-0.810288))+0-131.4-0.268055999999994</f>
        <v>417.34966000000009</v>
      </c>
      <c r="N159" s="3">
        <f>763.5+(187.9-409.9)+(0.389385+(0.095829-0.209049))+0-128.1-0.065330999999987</f>
        <v>413.61083399999995</v>
      </c>
      <c r="O159" s="3">
        <f>761+(170.5-372.4)+(0.77622+(0.17391-0.379848))+0-127.2-0.12974400000002</f>
        <v>432.34053800000004</v>
      </c>
      <c r="P159" s="3">
        <f>754.8+(120.8-340.7)+(0.384948+(0.061608-0.173757))+0-114.7-0.0584969999999884</f>
        <v>420.41430199999996</v>
      </c>
      <c r="Q159" s="3">
        <f>753.6+(79-302.4)+(1.153008+(0.12087-0.462672))+0-139.8-0.213894000000008</f>
        <v>390.99731200000002</v>
      </c>
      <c r="R159" s="3">
        <f>735.7+(90.4-299.3)+(-1.125621+(-0.138312--0.457929))+0-126--0.192780000000007</f>
        <v>400.18677600000007</v>
      </c>
      <c r="S159" s="3">
        <f>727.3+(134.7-371.9)+(-0.741846+(-0.137394--0.379338))+0-133.8--0.136476000000021</f>
        <v>355.93657399999995</v>
      </c>
      <c r="T159" s="3">
        <f>728.5+(128.4-352.2)+(0.371535+(0.065484-0.179622))+0-136-0.0693599999999862</f>
        <v>368.88803700000011</v>
      </c>
      <c r="U159" s="3">
        <f>726.5+(114.5-356.8)+(0.370515+(0.058395-0.181968))+0-124.8-0.0636479999999873</f>
        <v>359.58329399999997</v>
      </c>
      <c r="V159" s="3">
        <f>716.3+(95-312.2)+(-1.461252+(-0.1938--0.636888))+0-142.1--0.289883999999994</f>
        <v>356.2717199999999</v>
      </c>
      <c r="W159" s="3">
        <f>716.8+(91.2-283.3)+(-1.096704+(-0.139536--0.433449))+0-125.6--0.192168000000007</f>
        <v>398.48937699999993</v>
      </c>
      <c r="X159" s="3">
        <f>712.5+(269.7-409.9)+(-1.090125+(-0.412641--0.627147))+0-122.7--0.187731000000007</f>
        <v>448.91211199999992</v>
      </c>
      <c r="Y159" s="3">
        <f>719+(178.1-248.7)+(-0.36669+(-0.090831--0.126837))+0-121.8--0.0621179999999876</f>
        <v>526.33143399999994</v>
      </c>
      <c r="Z159" s="3">
        <f>724.6+(86.4-232.3)+(0+(0-0))+0-121.2-0</f>
        <v>457.50000000000006</v>
      </c>
      <c r="AA159" s="3">
        <f>719+(86.1-257.1)+(-1.83345+(-0.219555--0.655605))+0-121.2--0.309059999999982</f>
        <v>425.71166000000005</v>
      </c>
      <c r="AB159" s="3">
        <f>731.4+(81.4-332.4)+(-1.86507+(-0.20757--0.84762))+0-117--0.298349999999983</f>
        <v>362.47332999999998</v>
      </c>
      <c r="AC159" s="3">
        <f>741.8+(80.5-357.9)+(-1.89159+(-0.205275--0.912645))+0-135.9--0.34654499999998</f>
        <v>327.66232500000001</v>
      </c>
      <c r="AD159" s="2">
        <v>728.90000000000009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760.2+(78-372.9)+(-0.387702+(-0.03978--0.190179))+0-131--0.0668099999999867</f>
        <v>334.12950700000005</v>
      </c>
      <c r="G160" s="3">
        <f>774.7+(77-410.1)+(1.580388+(0.15708-0.836604))+0-125.9-0.256835999999995</f>
        <v>316.34402799999998</v>
      </c>
      <c r="H160" s="3">
        <f>763.3+(91.8-404.2)+(-1.167849+(-0.140454--0.618426))+0-116.5--0.178245000000007</f>
        <v>333.88836799999996</v>
      </c>
      <c r="I160" s="3">
        <f>771.1+(78.8-421)+(0.786522+(0.080376-0.42942))+0-121.3-0.123726000000019</f>
        <v>307.91375199999999</v>
      </c>
      <c r="J160" s="3">
        <f>760.2+(115.2-364.6)+(-1.550808+(-0.235008--0.743784))+0-128.7--0.262547999999994</f>
        <v>381.320516</v>
      </c>
      <c r="K160" s="3">
        <f>764.6+(125.3-330.4)+(-0.389946+(-0.063903--0.168504))+0-136.9--0.0698189999999861</f>
        <v>422.38447400000001</v>
      </c>
      <c r="L160" s="3">
        <f>759+(198.3-432.7)+(-1.93545+(-0.505665--1.103385))+0-117.9--0.300644999999983</f>
        <v>405.66291500000005</v>
      </c>
      <c r="M160" s="3">
        <f>767.4+(213.3-405.7)+(0+(0-0))+0-134.9-0</f>
        <v>440.1</v>
      </c>
      <c r="N160" s="3">
        <f>767.3+(260-399.4)+(0.391323+(0.1326-0.203694))+0-118.9-0.0606389999999879</f>
        <v>509.25959000000006</v>
      </c>
      <c r="O160" s="3">
        <f>759.9+(278.3-366.5)+(0.387549+(0.141933-0.186915))+0-136.2-0.0694619999999862</f>
        <v>535.77310500000021</v>
      </c>
      <c r="P160" s="3">
        <f>759.4+(222.1-421.1)+(-0.387294+(-0.113271--0.214761))+0-121.1--0.0617609999999877</f>
        <v>439.07595699999996</v>
      </c>
      <c r="Q160" s="3">
        <f>762.8+(179-358.3)+(0.778056+(0.18258-0.365466))+0-119.5-0.121890000000019</f>
        <v>464.47328000000005</v>
      </c>
      <c r="R160" s="3">
        <f>753.6+(103.1-284.3)+(-0.384336+(-0.052581--0.144993))+0-132.5--0.0675749999999866</f>
        <v>439.67565099999996</v>
      </c>
      <c r="S160" s="3">
        <f>741.8+(79.9-256.6)+(-0.756636+(-0.081498--0.261732))+0-128--0.13056000000002</f>
        <v>436.65415799999988</v>
      </c>
      <c r="T160" s="3">
        <f>738.9+(104.8-304.4)+(0+(0-0))+0-135.4-0</f>
        <v>403.9</v>
      </c>
      <c r="U160" s="3">
        <f>733.9+(78.4-293.9)+(0.374289+(0.039984-0.149889))+0-130.9-0.0667589999999867</f>
        <v>387.69762499999996</v>
      </c>
      <c r="V160" s="3">
        <f>729.2+(79.8-300.8)+(-0.371892+(-0.040698--0.153408))+0-132.6--0.0676259999999865</f>
        <v>375.40844399999997</v>
      </c>
      <c r="W160" s="3">
        <f>727+(142.6-345.1)+(-0.74154+(-0.145452--0.352002))+0-141.5--0.144330000000023</f>
        <v>382.60934000000003</v>
      </c>
      <c r="X160" s="3">
        <f>732+(343.1-451.6)+(0.74664+(0.349962-0.460632))+0-136.4-0.139128000000022</f>
        <v>487.59684200000004</v>
      </c>
      <c r="Y160" s="3">
        <f>741.2+(293.9-354.9)+(0.378012+(0.149889-0.180999))+0-147.6-0.075275999999985</f>
        <v>532.87162599999999</v>
      </c>
      <c r="Z160" s="3">
        <f>759.4+(104.3-309)+(-0.774588+(-0.106386--0.31518))+0-139.2--0.141984000000022</f>
        <v>415.07619000000011</v>
      </c>
      <c r="AA160" s="3">
        <f>766+(85.9-315.1)+(-1.17198+(-0.131427--0.482103))+0-134.4--0.205632000000008</f>
        <v>401.7843279999999</v>
      </c>
      <c r="AB160" s="3">
        <f>774.1+(85.2-303.9)+(-1.184373+(-0.130356--0.464967))+0-135.4--0.207162000000008</f>
        <v>419.35740000000004</v>
      </c>
      <c r="AC160" s="3">
        <f>786.6+(90.8-322)+(-2.00583+(-0.23154--0.8211))+0-127.4--0.324869999999982</f>
        <v>426.90860000000004</v>
      </c>
      <c r="AD160" s="2">
        <v>731.39999999999986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781.9+(79-386.5)+(0+(0-0))+0-134.4-0</f>
        <v>340</v>
      </c>
      <c r="G161" s="3">
        <f>763.7+(102.9-376.6)+(-0.389487+(-0.052479--0.192066))+0-125.8--0.0641579999999872</f>
        <v>364.01425799999993</v>
      </c>
      <c r="H161" s="3">
        <f>764.1+(125.3-370.9)+(0+(0-0))+0-125.3-0</f>
        <v>393.2</v>
      </c>
      <c r="I161" s="3">
        <f>758.6+(137.2-385.4)+(-1.547544+(-0.279888--0.786216))+0-113.9--0.232355999999995</f>
        <v>395.69114000000002</v>
      </c>
      <c r="J161" s="3">
        <f>766+(140.9-359.1)+(0+(0-0))+0-134-0</f>
        <v>413.79999999999995</v>
      </c>
      <c r="K161" s="3">
        <f>762.6+(198.7-413.3)+(-1.94463+(-0.506685--1.053915))+0-135--0.34424999999998</f>
        <v>411.94685000000004</v>
      </c>
      <c r="L161" s="3">
        <f>762.5+(268.7-483.6)+(-1.944375+(-0.685185--1.23318))+0-120.6--0.307529999999982</f>
        <v>425.91114999999985</v>
      </c>
      <c r="M161" s="3">
        <f>774.2+(312.8-484.3)+(0.394842+(0.159528-0.246993))+0-131.5-0.0670649999999867</f>
        <v>471.44031200000001</v>
      </c>
      <c r="N161" s="3">
        <f>769.2+(293.1-466)+(0+(0-0))+0-135.4-0</f>
        <v>460.90000000000009</v>
      </c>
      <c r="O161" s="3">
        <f>769.7+(272.2-452.9)+(0.785094+(0.277644-0.461958))+0-130.1-0.132702000000021</f>
        <v>459.36807799999997</v>
      </c>
      <c r="P161" s="3">
        <f>759.4+(232.9-388.2)+(0+(0-0))+0-132.4-0</f>
        <v>471.70000000000005</v>
      </c>
      <c r="Q161" s="3">
        <f>758.5+(131.7-338.7)+(0.386835+(0.067167-0.172737))+0-108-0.055079999999989</f>
        <v>443.72618499999999</v>
      </c>
      <c r="R161" s="3">
        <f>769.5+(92.9-236.5)+(-0.78489+(-0.094758--0.24123))+0-132.2--0.134844000000021</f>
        <v>493.19642600000003</v>
      </c>
      <c r="S161" s="3">
        <f>766.3+(78-273.2)+(-0.390813+(-0.03978--0.139332))+0-114.7--0.0584969999999884</f>
        <v>456.16723599999995</v>
      </c>
      <c r="T161" s="3">
        <f>763.4+(95.5-276.2)+(-0.778668+(-0.09741--0.281724))+0-125--0.12750000000002</f>
        <v>457.23314600000009</v>
      </c>
      <c r="U161" s="3">
        <f>759.5+(77-299.9)+(1.162035+(0.11781-0.458847))+0-90.2-0.138006000000005</f>
        <v>447.08299200000005</v>
      </c>
      <c r="V161" s="3">
        <f>756.2+(78-263.9)+(0+(0-0))+0-100.9-0</f>
        <v>469.40000000000009</v>
      </c>
      <c r="W161" s="3">
        <f>747+(173.9-344.4)+(-1.14291+(-0.266067--0.526932))+0-121.1--0.185283000000007</f>
        <v>454.70323800000006</v>
      </c>
      <c r="X161" s="3">
        <f>709.7+(306.8-444)+(-2.533629+(-1.095276--1.58508))+0-124.7--0.445179000000002</f>
        <v>446.20135400000004</v>
      </c>
      <c r="Y161" s="3">
        <f>719.4+(249-332.7)+(0+(0-0))+0-123.7-0</f>
        <v>512</v>
      </c>
      <c r="Z161" s="3">
        <f>727.9+(119.4-230.3)+(0.371229+(0.060894-0.117453))+0-132.5-0.0675749999999866</f>
        <v>484.747095</v>
      </c>
      <c r="AA161" s="3">
        <f>725.7+(82-237.1)+(-1.480428+(-0.16728--0.483684))+0-135.3--0.276011999999994</f>
        <v>434.41198799999995</v>
      </c>
      <c r="AB161" s="3">
        <f>740.4+(82-347.4)+(0+(0-0))+0-127.4-0</f>
        <v>347.6</v>
      </c>
      <c r="AC161" s="3">
        <f>743.8+(79-327)+(-0.379338+(-0.04029--0.16677))+0-101.3--0.0516629999999897</f>
        <v>394.2988049999999</v>
      </c>
      <c r="AD161" s="2">
        <v>688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742.3+(67.7-346.3)+(-0.757146+(-0.069054--0.353226))+0-130--0.132600000000021</f>
        <v>333.35962599999993</v>
      </c>
      <c r="G162" s="3">
        <f>748.3+(61.8-364.5)+(-0.381633+(-0.031518--0.185895))+0-108.6--0.055385999999989</f>
        <v>336.82812999999999</v>
      </c>
      <c r="H162" s="3">
        <f>743.7+(83.9-360.8)+(-1.137861+(-0.128367--0.552024))+0-114.6--0.175338000000007</f>
        <v>351.66113400000006</v>
      </c>
      <c r="I162" s="3">
        <f>746+(90.6-381.2)+(-0.38046+(-0.046206--0.194412))+0-92.1--0.0469709999999907</f>
        <v>363.11471699999993</v>
      </c>
      <c r="J162" s="3">
        <f>757.7+(51.1-393.6)+(1.159281+(0.078183-0.602208))+0-92.6-0.141678000000005</f>
        <v>323.09357800000004</v>
      </c>
      <c r="K162" s="3">
        <f>758+(63.9-403.2)+(1.15974+(0.097767-0.616896))+0-91.4-0.139842000000005</f>
        <v>327.800769</v>
      </c>
      <c r="L162" s="3">
        <f>764.5+(128.5-443.3)+(0.77979+(0.13107-0.452166))+0-88.2-0.0899640000000141</f>
        <v>361.86872999999997</v>
      </c>
      <c r="M162" s="3">
        <f>761.5+(156.8-348.7)+(0+(0-0))+0-82.9-0</f>
        <v>486.70000000000005</v>
      </c>
      <c r="N162" s="3">
        <f>754.3+(164.8-336.8)+(-1.154079+(-0.252144--0.515304))+0-91.1--0.139383000000005</f>
        <v>490.44846399999989</v>
      </c>
      <c r="O162" s="3">
        <f>759.6+(175.4-379.7)+(0.387396+(0.089454-0.193647))+0-94.3-0.0480929999999904</f>
        <v>461.23511000000002</v>
      </c>
      <c r="P162" s="3">
        <f>756.6+(162.5-387.9)+(1.92933+(0.414375-0.989145))+0-95.4-0.243269999999986</f>
        <v>436.91129000000006</v>
      </c>
      <c r="Q162" s="3">
        <f>746.4+(90.8-277.7)+(0.380664+(0.046308-0.141627))+0-96.2-0.0490619999999902</f>
        <v>463.53628300000003</v>
      </c>
      <c r="R162" s="3">
        <f>740.7+(78.8-264.4)+(-0.377757+(-0.040188--0.134844))+0-94.4--0.0481439999999904</f>
        <v>460.46504300000015</v>
      </c>
      <c r="S162" s="3">
        <f>735.9+(94.5-289.7)+(0+(0-0))+0-106-0</f>
        <v>434.70000000000005</v>
      </c>
      <c r="T162" s="3">
        <f>733.6+(104.8-279.1)+(-0.374136+(-0.053448--0.142341))+0-92.1--0.0469709999999907</f>
        <v>466.96172799999988</v>
      </c>
      <c r="U162" s="3">
        <f>731.4+(97.9-287)+(-0.373014+(-0.049929--0.14637))+0-88.7--0.045236999999991</f>
        <v>453.36866399999997</v>
      </c>
      <c r="V162" s="3">
        <f>727.6+(77.4-230.6)+(-0.742152+(-0.078948--0.235212))+0-98.3--0.100266000000016</f>
        <v>475.61437800000016</v>
      </c>
      <c r="W162" s="3">
        <f>729.2+(142.8-306.7)+(-0.371892+(-0.072828--0.156417))+0-95.9--0.0489089999999903</f>
        <v>469.16060600000003</v>
      </c>
      <c r="X162" s="3">
        <f>727.6+(284-454.3)+(-1.113228+(-0.43452--0.695079))+0-100.6--0.153918000000006</f>
        <v>456.00124899999997</v>
      </c>
      <c r="Y162" s="3">
        <f>732.3+(230.9-345.2)+(0+(0-0))+0-114.1-0</f>
        <v>503.9</v>
      </c>
      <c r="Z162" s="3">
        <f>740.4+(105.3-224.4)+(-0.755208+(-0.107406--0.228888))+0-111--0.113220000000018</f>
        <v>509.77949399999994</v>
      </c>
      <c r="AA162" s="3">
        <f>750.3+(84.5-259.9)+(-0.382653+(-0.043095--0.132549))+0-116.3--0.0593129999999882</f>
        <v>458.36611399999998</v>
      </c>
      <c r="AB162" s="3">
        <f>756.4+(80.8-346.8)+(-0.385764+(-0.041208--0.176868))+0-124.3--0.0633929999999874</f>
        <v>365.91328899999991</v>
      </c>
      <c r="AC162" s="3">
        <f>759.9+(79.4-419)+(-1.162647+(-0.121482--0.64107))+0-109.8--0.167994000000006</f>
        <v>310.02493499999997</v>
      </c>
      <c r="AD162" s="2">
        <v>712.90000000000009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768.8+(78-426)+(-0.784176+(-0.07956--0.43452))+0-115.5--0.117810000000018</f>
        <v>304.98859399999998</v>
      </c>
      <c r="G163" s="3">
        <f>767.5+(76-434.1)+(-1.5657+(-0.15504--0.885564))+0-107.7--0.219707999999995</f>
        <v>301.08453199999997</v>
      </c>
      <c r="H163" s="3">
        <f>765.6+(74-415)+(-1.171368+(-0.11322--0.63495))+0-107.2--0.164016000000006</f>
        <v>316.91437800000006</v>
      </c>
      <c r="I163" s="3">
        <f>767.1+(80.1-411.9)+(-1.956105+(-0.204255--1.050345))+0-113.9--0.290444999999983</f>
        <v>320.58043000000009</v>
      </c>
      <c r="J163" s="3">
        <f>786+(73-425.6)+(1.60344+(0.14892-0.868224))+0-105.6-0.215423999999995</f>
        <v>328.46871199999998</v>
      </c>
      <c r="K163" s="3">
        <f>785.8+(71-426.5)+(0.801516+(0.07242-0.43503))+0-109.8-0.111996000000017</f>
        <v>320.82690999999988</v>
      </c>
      <c r="L163" s="3">
        <f>781.1+(136.4-420.2)+(-1.195083+(-0.208692--0.642906))+0-96.2--0.147186000000006</f>
        <v>400.4863170000001</v>
      </c>
      <c r="M163" s="3">
        <f>781.5+(134.8-377.5)+(0.398565+(0.068748-0.192525))+0-101.2-0.0516119999999897</f>
        <v>437.82317599999993</v>
      </c>
      <c r="N163" s="3">
        <f>773.3+(112.9-397.7)+(0+(0-0))+0-106.8-0</f>
        <v>381.7</v>
      </c>
      <c r="O163" s="3">
        <f>767.9+(192-388.3)+(0.391629+(0.09792-0.198033))+0-114.9-0.0585989999999883</f>
        <v>456.93291699999992</v>
      </c>
      <c r="P163" s="3">
        <f>763.7+(169.2-390.9)+(0.389487+(0.086292-0.199359))+0-102.3-0.0521729999999896</f>
        <v>439.92424700000004</v>
      </c>
      <c r="Q163" s="3">
        <f>756.4+(88.8-318)+(1.157292+(0.135864-0.48654))+0-116.5-0.178245000000007</f>
        <v>411.328371</v>
      </c>
      <c r="R163" s="3">
        <f>744.8+(72.7-243.1)+(0.759696+(0.074154-0.247962))+0-130.3-0.132906000000021</f>
        <v>444.55298199999987</v>
      </c>
      <c r="S163" s="3">
        <f>736.9+(110.5-306.1)+(0.375819+(0.056355-0.156111))+0-121.5-0.0619649999999877</f>
        <v>420.01409799999999</v>
      </c>
      <c r="T163" s="3">
        <f>725.6+(135.7-298.2)+(0+(0-0))+0-126.7-0</f>
        <v>436.40000000000003</v>
      </c>
      <c r="U163" s="3">
        <f>721.9+(127.8-293.3)+(-0.368169+(-0.065178--0.149583))+0-121.7--0.0620669999999877</f>
        <v>434.47830299999998</v>
      </c>
      <c r="V163" s="3">
        <f>715.9+(109.4-258.3)+(-1.825545+(-0.27897--0.658665))+0-120.3--0.306764999999983</f>
        <v>445.56091500000002</v>
      </c>
      <c r="W163" s="3">
        <f>716.3+(76.6-239.8)+(-2.191878+(-0.234396--0.733788))+0-125--0.382500000000014</f>
        <v>426.79001399999987</v>
      </c>
      <c r="X163" s="3">
        <f>720.7+(275.9-464)+(-1.102671+(-0.422127--0.70992))+0-119.2--0.182376000000007</f>
        <v>412.76749800000005</v>
      </c>
      <c r="Y163" s="3">
        <f>734.5+(208.3-331.5)+(0.374595+(0.106233-0.169065))+0-120.2-0.0613019999999878</f>
        <v>491.350461</v>
      </c>
      <c r="Z163" s="3">
        <f>737.8+(81.4-217.5)+(-0.752556+(-0.083028--0.22185))+0-110.3--0.112506000000018</f>
        <v>490.89877199999989</v>
      </c>
      <c r="AA163" s="3">
        <f>744.6+(79.8-293)+(-1.518984+(-0.162792--0.59772))+0-100.4--0.204815999999996</f>
        <v>430.12076000000008</v>
      </c>
      <c r="AB163" s="3">
        <f>750.5+(78-350.6)+(-1.148265+(-0.11934--0.536418))+0-126.2--0.193086000000007</f>
        <v>351.16189900000001</v>
      </c>
      <c r="AC163" s="3">
        <f>759.6+(76.5-356.5)+(1.162188+(0.117045-0.545445))+0-129.8-0.198594000000008</f>
        <v>350.335194</v>
      </c>
      <c r="AD163" s="2">
        <v>728.80000000000007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724.2+(77-361.5)+(-0.738684+(-0.07854--0.36873))+0-118.2--0.120564000000019</f>
        <v>321.17207000000008</v>
      </c>
      <c r="G164" s="3">
        <f>726+(101.4-335.8)+(0.37026+(0.051714-0.171258))+0-130.5-0.0665549999999868</f>
        <v>361.28416100000004</v>
      </c>
      <c r="H164" s="3">
        <f>736.8+(114.8-363.9)+(0.751536+(0.117096-0.371178))+0-127-0.12954000000002</f>
        <v>361.06791399999997</v>
      </c>
      <c r="I164" s="3">
        <f>738.8+(109.3-349.1)+(-0.753576+(-0.111486--0.356082))+0-123.2--0.12566400000002</f>
        <v>375.41668399999998</v>
      </c>
      <c r="J164" s="3">
        <f>740.8+(83.5-363.6)+(2.266848+(0.25551-1.112616))+0-129.5-0.396270000000015</f>
        <v>332.21347199999991</v>
      </c>
      <c r="K164" s="3">
        <f>736.4+(92.1-320.3)+(1.502256+(0.187884-0.653412))+0-109-0.222359999999995</f>
        <v>400.01436799999993</v>
      </c>
      <c r="L164" s="3">
        <f>742.6+(152.5-349.8)+(0.757452+(0.15555-0.356796))+0-125.9-0.12841800000002</f>
        <v>419.82778799999994</v>
      </c>
      <c r="M164" s="3">
        <f>790+(136.4-378.3)+(2.4174+(0.417384-1.157598))+0-104.7-0.320382000000012</f>
        <v>444.75680400000005</v>
      </c>
      <c r="N164" s="3">
        <f>772.4+(176.8-345.5)+(1.181772+(0.270504-0.528615))+0-132-0.201960000000008</f>
        <v>472.4217010000001</v>
      </c>
      <c r="O164" s="3">
        <f>756.3+(186.8-371.2)+(0+(0-0))+0-118.6-0</f>
        <v>453.29999999999995</v>
      </c>
      <c r="P164" s="3">
        <f>747.2+(201.8-410.4)+(0.381072+(0.102918-0.209304))+0-112.2-0.0572219999999886</f>
        <v>426.61746400000015</v>
      </c>
      <c r="Q164" s="3">
        <f>740+(194.2-292)+(0.3774+(0.099042-0.14892))+0-131.5-0.0670649999999867</f>
        <v>510.96045700000008</v>
      </c>
      <c r="R164" s="3">
        <f>759+(89.7-193.4)+(-1.16127+(-0.137241--0.295902))+0-114.3--0.174879000000007</f>
        <v>540.17227000000003</v>
      </c>
      <c r="S164" s="3">
        <f>757.9+(128.1-286.4)+(-1.159587+(-0.195993--0.438192))+0-122.1--0.186813000000007</f>
        <v>476.76942500000007</v>
      </c>
      <c r="T164" s="3">
        <f>755+(122.1-353.1)+(-0.38505+(-0.062271--0.180081))+0-120.1--0.0612509999999878</f>
        <v>403.69401099999993</v>
      </c>
      <c r="U164" s="3">
        <f>753.6+(120.1-380.7)+(0+(0-0))+0-140.1-0</f>
        <v>352.9</v>
      </c>
      <c r="V164" s="3">
        <f>752.6+(78.2-370.8)+(-0.383826+(-0.039882--0.189108))+0-124.3--0.0633929999999874</f>
        <v>335.52879299999995</v>
      </c>
      <c r="W164" s="3">
        <f>752.1+(76.7-372.4)+(0+(0-0))+0-121.8-0</f>
        <v>334.6</v>
      </c>
      <c r="X164" s="3">
        <f>724.1+(153-415.1)+(-1.107873+(-0.23409--0.635103))+0-93.2--0.142596000000005</f>
        <v>368.23573600000003</v>
      </c>
      <c r="Y164" s="3">
        <f>727.6+(109.2-326)+(0+(0-0))+0-82.6-0</f>
        <v>428.20000000000005</v>
      </c>
      <c r="Z164" s="3">
        <f>724.2+(84.1-297.5)+(0+(0-0))+0-79.6-0</f>
        <v>431.20000000000005</v>
      </c>
      <c r="AA164" s="3">
        <f>722.5+(81.7-320.2)+(-1.105425+(-0.125001--0.489906))+0-88.2--0.134946000000005</f>
        <v>395.19442600000002</v>
      </c>
      <c r="AB164" s="3">
        <f>721.7+(79.8-360)+(-1.840335+(-0.20349--0.918))+0-81.4--0.207569999999988</f>
        <v>359.18174500000003</v>
      </c>
      <c r="AC164" s="3">
        <f>711.4+(79.4-361.5)+(-0.725628+(-0.080988--0.36873))+0-93--0.0948600000000148</f>
        <v>335.956974</v>
      </c>
      <c r="AD164" s="2">
        <v>671.5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710.6+(80.4-359.4)+(-1.087218+(-0.123012--0.549882))+0-85.8--0.131274000000005</f>
        <v>345.27092600000003</v>
      </c>
      <c r="G165" s="3">
        <f>720.5+(102-338.3)+(-1.102365+(-0.15606--0.517599))+0-119.2--0.182376000000007</f>
        <v>364.44155000000001</v>
      </c>
      <c r="H165" s="3">
        <f>723.5+(90.8-361.6)+(-0.73797+(-0.092616--0.368832))+0-113.1--0.115362000000018</f>
        <v>339.25360799999999</v>
      </c>
      <c r="I165" s="3">
        <f>728.8+(103.6-380.1)+(0.371688+(0.052836-0.193851))+0-130-0.0662999999999868</f>
        <v>322.46437299999997</v>
      </c>
      <c r="J165" s="3">
        <f>724.2+(97.3-366.7)+(-1.477368+(-0.198492--0.748068))+0-117.7--0.240107999999995</f>
        <v>336.41231600000009</v>
      </c>
      <c r="K165" s="3">
        <f>735.2+(82.5-357.1)+(-1.124856+(-0.126225--0.546363))+0-128.5--0.196605000000007</f>
        <v>331.59188700000004</v>
      </c>
      <c r="L165" s="3">
        <f>726.6+(135.1-401.8)+(-1.85283+(-0.344505--1.02459))+0-108.7--0.277184999999984</f>
        <v>350.30443999999994</v>
      </c>
      <c r="M165" s="3">
        <f>671.6+(191.2-347.8)+(0.342516+(0.097512-0.177378))+0-131.5-0.0670649999999867</f>
        <v>383.69558499999999</v>
      </c>
      <c r="N165" s="3">
        <f>670.1+(212.6-421.2)+(0.341751+(0.108426-0.214812))+0-102-0.0520199999999897</f>
        <v>359.68334500000003</v>
      </c>
      <c r="O165" s="3">
        <f>662.1+(162.2-371.2)+(-0.675342+(-0.165444--0.378624))+0-104.2--0.106284000000017</f>
        <v>348.54412200000007</v>
      </c>
      <c r="P165" s="3">
        <f>660.5+(142.3-277.9)+(0+(0-0))+0-138-0</f>
        <v>386.90000000000009</v>
      </c>
      <c r="Q165" s="3">
        <f>653.1+(111.1-255.8)+(0+(0-0))+0-126.6-0</f>
        <v>381.79999999999995</v>
      </c>
      <c r="R165" s="3">
        <f>646.5+(82.6-268.9)+(-0.329715+(-0.042126--0.137139))+0-119.4--0.0608939999999879</f>
        <v>340.62619199999995</v>
      </c>
      <c r="S165" s="3">
        <f>647+(109.7-375.4)+(-0.98991+(-0.167841--0.574362))+0-110.9--0.169677000000006</f>
        <v>269.98628799999994</v>
      </c>
      <c r="T165" s="3">
        <f>669.3+(133.7-406.3)+(-1.365372+(-0.272748--0.828852))+0-141.6--0.288863999999994</f>
        <v>254.57959599999995</v>
      </c>
      <c r="U165" s="3">
        <f>675.2+(141-403.6)+(0.344352+(0.07191-0.205836))+0-137.9-0.070328999999986</f>
        <v>274.84009700000007</v>
      </c>
      <c r="V165" s="3">
        <f>663.7+(117.6-353.2)+(-1.692435+(-0.29988--0.90066))+0-126.9--0.323594999999982</f>
        <v>300.43193999999994</v>
      </c>
      <c r="W165" s="3">
        <f>663.7+(87.3-252)+(-1.692435+(-0.222615--0.6426))+0-142--0.362099999999979</f>
        <v>356.08965000000006</v>
      </c>
      <c r="X165" s="3">
        <f>692.2+(188.7-382.7)+(-0.706044+(-0.192474--0.390354))+0-123.8--0.12627600000002</f>
        <v>374.01811200000003</v>
      </c>
      <c r="Y165" s="3">
        <f>712.8+(108.3-327.6)+(0.363528+(0.055233-0.167076))+0-135.7-0.0692069999999862</f>
        <v>357.98247799999996</v>
      </c>
      <c r="Z165" s="3">
        <f>712.8+(97.8-292)+(0+(0-0))+0-135-0</f>
        <v>383.59999999999991</v>
      </c>
      <c r="AA165" s="3">
        <f>709.2+(92.1-255.1)+(-1.446768+(-0.187884--0.520404))+0-136.1--0.277643999999994</f>
        <v>409.26339600000006</v>
      </c>
      <c r="AB165" s="3">
        <f>730.6+(96.6-272.6)+(0+(0-0))+0-118.5-0</f>
        <v>436.1</v>
      </c>
      <c r="AC165" s="3">
        <f>732.6+(103.3-359.6)+(-0.373626+(-0.052683--0.183396))+0-130.5--0.0665549999999868</f>
        <v>345.62364200000002</v>
      </c>
      <c r="AD165" s="2">
        <v>660.19999999999982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732.2+(99.5-367.1)+(-0.746844+(-0.10149--0.374442))+0-129.3--0.131886000000021</f>
        <v>334.95799400000004</v>
      </c>
      <c r="G166" s="3">
        <f>734.6+(83.3-341.2)+(-0.374646+(-0.042483--0.174012))+0-127.1--0.0648209999999871</f>
        <v>349.42170400000003</v>
      </c>
      <c r="H166" s="3">
        <f>737.4+(80.6-339.7)+(-0.752148+(-0.082212--0.346494))+0-124--0.12648000000002</f>
        <v>353.93861399999997</v>
      </c>
      <c r="I166" s="3">
        <f>748.7+(90.3-361.8)+(1.145511+(0.138159-0.553554))+0-113.4-0.173502000000007</f>
        <v>364.35661400000004</v>
      </c>
      <c r="J166" s="3">
        <f>740.3+(75.1-357.1)+(-0.377553+(-0.038301--0.182121))+0-125.9--0.0642089999999872</f>
        <v>332.23047599999995</v>
      </c>
      <c r="K166" s="3">
        <f>723.5+(87.6-350)+(-1.844925+(-0.22338--0.8925))+0-125.7--0.320534999999982</f>
        <v>334.54473000000002</v>
      </c>
      <c r="L166" s="3">
        <f>724.3+(121.8-357.8)+(-1.477572+(-0.248472--0.729912))+0-119.4--0.243575999999995</f>
        <v>368.14744400000001</v>
      </c>
      <c r="M166" s="3">
        <f>741.9+(133.8-339.5)+(0.378369+(0.068238-0.173145))+0-102.1-0.0520709999999896</f>
        <v>434.32139100000001</v>
      </c>
      <c r="N166" s="3">
        <f>751.4+(106.1-355.4)+(0+(0-0))+0-113.8-0</f>
        <v>388.3</v>
      </c>
      <c r="O166" s="3">
        <f>749.1+(148.9-341.5)+(0+(0-0))+0-121.6-0</f>
        <v>434.9</v>
      </c>
      <c r="P166" s="3">
        <f>745.2+(103-290.6)+(0.760104+(0.10506-0.296412))+0-131.2-0.133824000000021</f>
        <v>426.83492800000005</v>
      </c>
      <c r="Q166" s="3">
        <f>735.8+(89.3-297.7)+(0+(0-0))+0-109.4-0</f>
        <v>418</v>
      </c>
      <c r="R166" s="3">
        <f>732.7+(79-296.7)+(0+(0-0))+0-119.3-0</f>
        <v>395.7</v>
      </c>
      <c r="S166" s="3">
        <f>723.8+(128.5-360)+(-1.476552+(-0.26214--0.7344))+0-118.8--0.242351999999995</f>
        <v>372.7380599999999</v>
      </c>
      <c r="T166" s="3">
        <f>721.8+(145.9-382.6)+(-1.104354+(-0.223227--0.585378))+0-132.5--0.202725000000008</f>
        <v>352.06052199999988</v>
      </c>
      <c r="U166" s="3">
        <f>723+(107.6-384.5)+(0.36873+(0.054876-0.196095))+0-105.2-0.0536519999999893</f>
        <v>341.07385900000003</v>
      </c>
      <c r="V166" s="3">
        <f>719.8+(80.8-354.9)+(0.367098+(0.041208-0.180999))+0-113.2-0.0577319999999885</f>
        <v>332.66957500000001</v>
      </c>
      <c r="W166" s="3">
        <f>716+(76-316.6)+(0+(0-0))+0-126.7-0</f>
        <v>348.7</v>
      </c>
      <c r="X166" s="3">
        <f>716.9+(300.4-445.9)+(0.731238+(0.306408-0.454818))+0-104.4-0.106488000000017</f>
        <v>467.47633999999994</v>
      </c>
      <c r="Y166" s="3">
        <f>735.1+(266.7-357.9)+(0+(0-0))+0-128.3-0</f>
        <v>515.60000000000014</v>
      </c>
      <c r="Z166" s="3">
        <f>755.2+(88.2-278.6)+(-0.385152+(-0.044982--0.142086))+0-121.1--0.0617609999999877</f>
        <v>443.47371299999992</v>
      </c>
      <c r="AA166" s="3">
        <f>768.5+(97-271.8)+(-0.391935+(-0.04947--0.138618))+0-134.1--0.0683909999999864</f>
        <v>459.36560400000002</v>
      </c>
      <c r="AB166" s="3">
        <f>756+(81-301.3)+(-0.77112+(-0.08262--0.307326))+0-117.1--0.119442000000019</f>
        <v>418.17302799999999</v>
      </c>
      <c r="AC166" s="3">
        <f>752.4+(99.3-297.6)+(-0.767448+(-0.101286--0.303552))+0-134--0.136680000000021</f>
        <v>419.67149799999987</v>
      </c>
      <c r="AD166" s="2">
        <v>711.40000000000009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756+(119.7-297.7)+(-1.15668+(-0.183141--0.455481))+0-111--0.169830000000006</f>
        <v>466.28549000000004</v>
      </c>
      <c r="G167" s="3">
        <f>747.4+(151.3-346.3)+(-1.90587+(-0.385815--0.883065))+0-127.9--0.326144999999981</f>
        <v>423.41752499999996</v>
      </c>
      <c r="H167" s="3">
        <f>768.9+(225.3-334.8)+(-0.784278+(-0.229806--0.341496))+0-130.7--0.133314000000021</f>
        <v>528.16072599999995</v>
      </c>
      <c r="I167" s="3">
        <f>764.2+(178.1-309.3)+(-1.558968+(-0.363324--0.630972))+0-128.2--0.261527999999994</f>
        <v>503.77020799999997</v>
      </c>
      <c r="J167" s="3">
        <f>772.8+(128-310)+(-0.394128+(-0.06528--0.1581))+0-125--0.0637499999999873</f>
        <v>465.56244199999998</v>
      </c>
      <c r="K167" s="3">
        <f>773.7+(165.5-337.3)+(-0.394587+(-0.084405--0.172023))+0-120.7--0.0615569999999878</f>
        <v>480.95458800000011</v>
      </c>
      <c r="L167" s="3">
        <f>769.6+(229.2-392.5)+(-2.747472+(-0.818244--1.401225))+0-111.1--0.396627000000002</f>
        <v>493.43213599999996</v>
      </c>
      <c r="M167" s="3">
        <f>785.9+(319.3-468)+(0.400809+(0.162843-0.23868))+0-120.2-0.0613019999999878</f>
        <v>517.26367000000005</v>
      </c>
      <c r="N167" s="3">
        <f>782.3+(389.1-550.4)+(-0.398973+(-0.198441--0.280704))+0-94.7--0.0482969999999904</f>
        <v>526.03158699999994</v>
      </c>
      <c r="O167" s="3">
        <f>776.4+(406.7-558.2)+(0+(0-0))+0-120.8-0</f>
        <v>504.09999999999985</v>
      </c>
      <c r="P167" s="3">
        <f>762.2+(355.8-504.4)+(-0.388722+(-0.181458--0.257244))+0-102.8--0.0524279999999896</f>
        <v>510.53949200000005</v>
      </c>
      <c r="Q167" s="3">
        <f>750.7+(286.4-409.2)+(-0.382857+(-0.146064--0.208692))+0-135.2--0.0689519999999863</f>
        <v>492.44872300000003</v>
      </c>
      <c r="R167" s="3">
        <f>760.3+(168.2-340.3)+(-0.775506+(-0.171564--0.347106))+0-119--0.121380000000019</f>
        <v>468.72141599999998</v>
      </c>
      <c r="S167" s="3">
        <f>758.9+(79-294.3)+(-0.387039+(-0.04029--0.150093))+0-131.9--0.0672689999999866</f>
        <v>411.49003299999993</v>
      </c>
      <c r="T167" s="3">
        <f>743.7+(98.6-318.7)+(-1.896435+(-0.25143--0.812685))+0-118.5--0.302174999999983</f>
        <v>404.06699499999996</v>
      </c>
      <c r="U167" s="3">
        <f>744.3+(78-347.6)+(-0.759186+(-0.07956--0.354552))+0-109.3--0.111486000000017</f>
        <v>365.02729199999993</v>
      </c>
      <c r="V167" s="3">
        <f>731.7+(78-308.4)+(-0.373167+(-0.03978--0.157284))+0-104--0.0530399999999895</f>
        <v>397.09737700000005</v>
      </c>
      <c r="W167" s="3">
        <f>715.4+(207.6-293.2)+(-1.82427+(-0.52938--0.74766))+0-132.5--0.337874999999981</f>
        <v>496.03188499999993</v>
      </c>
      <c r="X167" s="3">
        <f>716.2+(336.4-429.6)+(-1.461048+(-0.686256--0.876384))+0-99.9--0.203795999999996</f>
        <v>522.03287599999999</v>
      </c>
      <c r="Y167" s="3">
        <f>725.1+(245.6-299.1)+(0.369801+(0.125256-0.152541))+0-124.1-0.0632909999999874</f>
        <v>547.77922500000011</v>
      </c>
      <c r="Z167" s="3">
        <f>739+(107.1-245.8)+(0+(0-0))+0-134.7-0</f>
        <v>465.59999999999997</v>
      </c>
      <c r="AA167" s="3">
        <f>744.3+(97.5-243.4)+(-2.657151+(-0.348075--0.868938))+0-137.8--0.491946000000002</f>
        <v>458.95565799999991</v>
      </c>
      <c r="AB167" s="3">
        <f>752.5+(106.6-239.6)+(-1.151325+(-0.163098--0.366588))+0-132.4--0.202572000000008</f>
        <v>486.354737</v>
      </c>
      <c r="AC167" s="3">
        <f>756.3+(80.6-306.8)+(-1.157139+(-0.123318--0.469404))+0-128.7--0.196911000000007</f>
        <v>400.78585799999991</v>
      </c>
      <c r="AD167" s="2">
        <v>734.4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750.6+(91.9-339)+(-1.91403+(-0.234345--0.86445))+0-133.4--0.340169999999981</f>
        <v>369.15624499999996</v>
      </c>
      <c r="G168" s="3">
        <f>751.7+(119.4-338.8)+(-2.300202+(-0.365364--1.036728))+0-126.5--0.387090000000015</f>
        <v>404.5582520000001</v>
      </c>
      <c r="H168" s="3">
        <f>700.5+(184.1-316.3)+(-1.071765+(-0.281673--0.483939))+0-132--0.201960000000008</f>
        <v>435.63246099999992</v>
      </c>
      <c r="I168" s="3">
        <f>636.8+(236-283)+(-0.649536+(-0.24072--0.28866))+0-122.3--0.124746000000019</f>
        <v>467.02314999999999</v>
      </c>
      <c r="J168" s="3">
        <f>608.2+(213.3-260.6)+(-0.310182+(-0.108783--0.132906))+0-117.6--0.0599759999999881</f>
        <v>443.07391700000005</v>
      </c>
      <c r="K168" s="3">
        <f>607.4+(247.9-283.6)+(-0.929322+(-0.379287--0.433908))+0-124.9--0.191097000000007</f>
        <v>446.11639600000001</v>
      </c>
      <c r="L168" s="3">
        <f>610.8+(374.2-437.5)+(-0.311508+(-0.190842--0.223125))+0-109.3--0.0557429999999889</f>
        <v>437.976518</v>
      </c>
      <c r="M168" s="3">
        <f>646.7+(518.3-505.7)+(0.329817+(0.264333-0.257907))+0-126.2-0.0643619999999872</f>
        <v>533.37188099999992</v>
      </c>
      <c r="N168" s="3">
        <f>694+(525.2-502.8)+(0.35394+(0.267852-0.256428))+0-120.6-0.0615059999999878</f>
        <v>596.10385800000006</v>
      </c>
      <c r="O168" s="3">
        <f>805.8+(404.2-517.6)+(-0.410958+(-0.206142--0.263976))+0-120.1--0.0612509999999878</f>
        <v>572.00812699999983</v>
      </c>
      <c r="P168" s="3">
        <f>810.6+(345.2-487.1)+(0.413406+(0.176052-0.248421))+0-117-0.0596699999999881</f>
        <v>551.98136700000009</v>
      </c>
      <c r="Q168" s="3">
        <f>809+(306.3-539.6)+(0.41259+(0.156213-0.275196))+0-117.1-0.0597209999999881</f>
        <v>458.83388600000001</v>
      </c>
      <c r="R168" s="3">
        <f>796.3+(98.2-329.1)+(0+(0-0))+0-127.1-0</f>
        <v>438.29999999999984</v>
      </c>
      <c r="S168" s="3">
        <f>776.9+(78.1-389.5)+(-0.396219+(-0.039831--0.198645))+0-100--0.0509999999999899</f>
        <v>365.31359499999996</v>
      </c>
      <c r="T168" s="3">
        <f>759.9+(78.1-396.7)+(-0.387549+(-0.039831--0.202317))+0-118--0.060179999999988</f>
        <v>323.13511699999998</v>
      </c>
      <c r="U168" s="3">
        <f>739.2+(78.3-382.6)+(-1.88496+(-0.199665--0.97563))+0-102.7--0.261884999999985</f>
        <v>331.35289000000006</v>
      </c>
      <c r="V168" s="3">
        <f>732+(77.1-292.5)+(-1.11996+(-0.117963--0.447525))+0-101.5--0.155295000000006</f>
        <v>414.46489700000006</v>
      </c>
      <c r="W168" s="3">
        <f>719.8+(231.9-346.7)+(-2.202588+(-0.709614--1.060902))+0-131.2--0.401472000000015</f>
        <v>472.35017199999999</v>
      </c>
      <c r="X168" s="3">
        <f>716.5+(373.6-437)+(-2.557905+(-1.333752--1.56009))+0-126.4--0.451248000000002</f>
        <v>524.81968100000006</v>
      </c>
      <c r="Y168" s="3">
        <f>731.7+(275.2-213.9)+(0.373167+(0.140352-0.109089))+0-130.9-0.0667589999999867</f>
        <v>662.43767100000014</v>
      </c>
      <c r="Z168" s="3">
        <f>735.6+(222.5-325.9)+(-0.375156+(-0.113475--0.166209))+0-137.9--0.070328999999986</f>
        <v>494.04790700000007</v>
      </c>
      <c r="AA168" s="3">
        <f>737.1+(192.1-331.2)+(-1.503684+(-0.391884--0.675648))+0-121.4--0.247655999999995</f>
        <v>475.62773600000003</v>
      </c>
      <c r="AB168" s="3">
        <f>744.8+(158.7-375.6)+(-1.139544+(-0.242811--0.574668))+0-122.4--0.187272000000007</f>
        <v>404.87958499999991</v>
      </c>
      <c r="AC168" s="3">
        <f>753.4+(109.3-389.5)+(-0.768468+(-0.111486--0.39729))+0-111.6--0.113832000000018</f>
        <v>361.23116800000003</v>
      </c>
      <c r="AD168" s="2">
        <v>682.00000000000011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755.2+(102.8-412.9)+(-1.155456+(-0.157284--0.631737))+0-112.1--0.171513000000006</f>
        <v>332.49051000000009</v>
      </c>
      <c r="G169" s="3">
        <f>759.3+(85-430.3)+(-0.387243+(-0.04335--0.219453))+0-116.7--0.0595169999999882</f>
        <v>297.14837699999993</v>
      </c>
      <c r="H169" s="3">
        <f>774.9+(87.4-416.9)+(-0.790398+(-0.089148--0.425238))+0-108.2--0.110364000000017</f>
        <v>336.85605599999997</v>
      </c>
      <c r="I169" s="3">
        <f>777.9+(100.7-388.8)+(-1.190187+(-0.154071--0.594864))+0-112.1--0.171513000000006</f>
        <v>377.122119</v>
      </c>
      <c r="J169" s="3">
        <f>786.8+(127.8-391.7)+(1.605072+(0.260712-0.799068))+0-103.3-0.210731999999995</f>
        <v>420.455984</v>
      </c>
      <c r="K169" s="3">
        <f>779.7+(149.9-408.9)+(-1.192941+(-0.229347--0.625617))+0-100.5--0.153765000000006</f>
        <v>419.55709400000012</v>
      </c>
      <c r="L169" s="3">
        <f>776.7+(291.8-543.1)+(-1.980585+(-0.74409--1.384905))+0-98.7--0.251684999999986</f>
        <v>425.61191500000007</v>
      </c>
      <c r="M169" s="3">
        <f>784.6+(420-567.9)+(-0.400146+(-0.2142--0.289629))+0-101.7--0.0518669999999897</f>
        <v>534.72715000000005</v>
      </c>
      <c r="N169" s="3">
        <f>783.5+(443.4-558.4)+(-0.399585+(-0.226134--0.284784))+0-98.8--0.05038799999999</f>
        <v>569.4094530000001</v>
      </c>
      <c r="O169" s="3">
        <f>783.8+(410.3-579)+(0+(0-0))+0-89.5-0</f>
        <v>525.59999999999991</v>
      </c>
      <c r="P169" s="3">
        <f>777.8+(294.9-450.9)+(0+(0-0))+0-107.3-0</f>
        <v>514.5</v>
      </c>
      <c r="Q169" s="3">
        <f>770.9+(174.7-364.9)+(0+(0-0))+0-100.4-0</f>
        <v>480.30000000000007</v>
      </c>
      <c r="R169" s="3">
        <f>758+(92-302.3)+(-1.15974+(-0.14076--0.462519))+0-96.9--0.148257000000006</f>
        <v>450.11027600000006</v>
      </c>
      <c r="S169" s="3">
        <f>751.1+(87.7-358.8)+(-0.766122+(-0.089454--0.365976))+0-101.4--0.103428000000016</f>
        <v>378.21382800000003</v>
      </c>
      <c r="T169" s="3">
        <f>739.5+(112.1-414.8)+(0+(0-0))+0-97.2-0</f>
        <v>339.59999999999997</v>
      </c>
      <c r="U169" s="3">
        <f>725.5+(115.7-422.9)+(1.110015+(0.177021-0.647037))+0-107.3-0.164169000000006</f>
        <v>311.47582999999997</v>
      </c>
      <c r="V169" s="3">
        <f>702.7+(98-378.9)+(-1.791885+(-0.2499--0.966195))+0-87.5--0.223124999999987</f>
        <v>333.44753500000007</v>
      </c>
      <c r="W169" s="3">
        <f>700.4+(93.3-332.5)+(-1.78602+(-0.237915--0.847875))+0-104.3--0.265964999999985</f>
        <v>355.98990499999996</v>
      </c>
      <c r="X169" s="3">
        <f>704.9+(277.3-423.7)+(-1.078497+(-0.424269--0.648261))+0-93--0.142290000000005</f>
        <v>464.78778499999999</v>
      </c>
      <c r="Y169" s="3">
        <f>724.3+(209.3-303.8)+(0.369393+(0.106743-0.154938))+0-96.7-0.0493169999999902</f>
        <v>533.37188099999992</v>
      </c>
      <c r="Z169" s="3">
        <f>722.4+(119.5-289.1)+(-1.105272+(-0.182835--0.442323))+0-107.6--0.164628000000006</f>
        <v>444.51884399999994</v>
      </c>
      <c r="AA169" s="3">
        <f>718.5+(100.8-289.7)+(-2.19861+(-0.308448--0.886482))+0-98.5--0.301410000000011</f>
        <v>429.78083400000003</v>
      </c>
      <c r="AB169" s="3">
        <f>735.6+(81.1-357.2)+(-1.87578+(-0.206805--0.91086))+0-102.3--0.260864999999985</f>
        <v>356.28913999999997</v>
      </c>
      <c r="AC169" s="3">
        <f>742.5+(79.3-374.9)+(-2.27205+(-0.242658--1.147194))+0-90--0.27540000000001</f>
        <v>355.807886</v>
      </c>
      <c r="AD169" s="2">
        <v>693.59999999999991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757.7+(111.6-351.3)+(-1.545708+(-0.227664--0.716652))+0-103.8--0.211751999999995</f>
        <v>413.35503199999994</v>
      </c>
      <c r="G170" s="3">
        <f>771.6+(84.8-345.7)+(0.393516+(0.043248-0.176307))+0-105.2-0.0536519999999893</f>
        <v>405.70680500000003</v>
      </c>
      <c r="H170" s="3">
        <f>769.9+(123.3-311.6)+(0.392649+(0.062883-0.158916))+0-104.1-0.0530909999999894</f>
        <v>477.74352499999986</v>
      </c>
      <c r="I170" s="3">
        <f>769.5+(133.4-325.3)+(-1.177335+(-0.204102--0.497709))+0-96.8--0.148104000000006</f>
        <v>480.06437599999998</v>
      </c>
      <c r="J170" s="3">
        <f>769.2+(127-317.5)+(-0.784584+(-0.12954--0.32385))+0-115.7--0.118014000000018</f>
        <v>462.52774000000005</v>
      </c>
      <c r="K170" s="3">
        <f>766+(125.1-315.1)+(-1.17198+(-0.191403--0.482103))+0-101.6--0.155448000000006</f>
        <v>473.67416800000001</v>
      </c>
      <c r="L170" s="3">
        <f>763.7+(256.5-406.4)+(-2.336922+(-0.78489--1.243584))+0-108.1--0.330786000000012</f>
        <v>504.152558</v>
      </c>
      <c r="M170" s="3">
        <f>778.2+(341.2-499.5)+(0.396882+(0.174012-0.254745))+0-114.3-0.0582929999999884</f>
        <v>505.85785600000008</v>
      </c>
      <c r="N170" s="3">
        <f>773.3+(327.5-489.7)+(-0.394383+(-0.167025--0.249747))+0-121.3--0.0618629999999877</f>
        <v>489.5502019999999</v>
      </c>
      <c r="O170" s="3">
        <f>770.3+(268.3-429)+(-0.392853+(-0.136833--0.21879))+0-109.9--0.0560489999999889</f>
        <v>499.44515299999995</v>
      </c>
      <c r="P170" s="3">
        <f>761.5+(286.1-442.8)+(-1.165095+(-0.437733--0.677484))+0-119.2--0.182376000000007</f>
        <v>484.857032</v>
      </c>
      <c r="Q170" s="3">
        <f>713.5+(273.7-405.6)+(-0.363885+(-0.139587--0.206856))+0-124.8--0.0636479999999873</f>
        <v>456.56703199999993</v>
      </c>
      <c r="R170" s="3">
        <f>707.7+(155.6-287.2)+(-1.082781+(-0.238068--0.439416))+0-109.1--0.166923000000006</f>
        <v>466.28548999999998</v>
      </c>
      <c r="S170" s="3">
        <f>703.7+(89.7-281.4)+(-1.076661+(-0.137241--0.430542))+0-100.7--0.154071000000006</f>
        <v>410.67071099999998</v>
      </c>
      <c r="T170" s="3">
        <f>703.2+(104.7-329.2)+(-0.358632+(-0.053397--0.167892))+0-129.1--0.0658409999999869</f>
        <v>349.42170399999998</v>
      </c>
      <c r="U170" s="3">
        <f>703.3+(105.3-356)+(0.358683+(0.053703-0.18156))+0-113.5-0.0578849999999885</f>
        <v>339.27294099999995</v>
      </c>
      <c r="V170" s="3">
        <f>696.7+(82.2-318.8)+(-0.710634+(-0.083844--0.325176))+0-111.6--0.113832000000018</f>
        <v>348.14453000000003</v>
      </c>
      <c r="W170" s="3">
        <f>684.8+(81.6-222.5)+(-1.396992+(-0.166464--0.4539))+0-124--0.252959999999995</f>
        <v>419.04340399999995</v>
      </c>
      <c r="X170" s="3">
        <f>687.8+(239.6-328.8)+(-0.701556+(-0.244392--0.335376))+0-110.1--0.112302000000018</f>
        <v>488.00172999999984</v>
      </c>
      <c r="Y170" s="3">
        <f>720+(258-281.1)+(-0.7344+(-0.26316--0.286722))+0-121.1--0.123522000000019</f>
        <v>575.21268399999997</v>
      </c>
      <c r="Z170" s="3">
        <f>740.3+(101-289.5)+(-0.377553+(-0.05151--0.147645))+0-123.6--0.0630359999999875</f>
        <v>427.98161799999991</v>
      </c>
      <c r="AA170" s="3">
        <f>733.3+(82.3-313.9)+(-2.617881+(-0.293811--1.120623))+0-122.9--0.438753000000002</f>
        <v>377.44768399999998</v>
      </c>
      <c r="AB170" s="3">
        <f>748.1+(79.8-314.4)+(-1.526124+(-0.162792--0.641376))+0-134.9--0.275195999999994</f>
        <v>377.82765599999999</v>
      </c>
      <c r="AC170" s="3">
        <f>765.4+(79.2-381.8)+(0+(0-0))+0-120-0</f>
        <v>342.79999999999995</v>
      </c>
      <c r="AD170" s="2">
        <v>680.40000000000009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756.4+(99.1-383)+(-0.771528+(-0.101082--0.39066))+0-111.5--0.113730000000018</f>
        <v>360.63178000000005</v>
      </c>
      <c r="G171" s="3">
        <f>724.1+(137.9-432.5)+(-1.107873+(-0.210987--0.661725))+0-115--0.175950000000007</f>
        <v>314.01881500000002</v>
      </c>
      <c r="H171" s="3">
        <f>726.6+(150.8-453.7)+(-1.482264+(-0.307632--0.925548))+0-131.9--0.269075999999994</f>
        <v>291.20472799999999</v>
      </c>
      <c r="I171" s="3">
        <f>733.7+(125.1-489.7)+(-0.748374+(-0.127602--0.499494))+0-116.6--0.118932000000019</f>
        <v>252.24245000000005</v>
      </c>
      <c r="J171" s="3">
        <f>743.6+(117.1-496.9)+(1.137708+(0.179163-0.760257))+0-113.7-0.173961000000007</f>
        <v>250.48265300000008</v>
      </c>
      <c r="K171" s="3">
        <f>747+(112-462.2)+(1.52388+(0.22848-0.942888))+0-133.5-0.272339999999994</f>
        <v>263.83713200000005</v>
      </c>
      <c r="L171" s="3">
        <f>728.2+(58.6-378.5)+(-0.371382+(-0.029886--0.193035))+0-112.2--0.0572219999999886</f>
        <v>295.94898900000004</v>
      </c>
      <c r="M171" s="3">
        <f>732.8+(98.3-325.6)+(0+(0-0))+0-125.8-0</f>
        <v>379.69999999999993</v>
      </c>
      <c r="N171" s="3">
        <f>735.3+(61.7-382.6)+(0.750006+(0.062934-0.390252))+0-105.9-0.108018000000017</f>
        <v>308.81466999999986</v>
      </c>
      <c r="O171" s="3">
        <f>730.7+(73.9-345.7)+(0.372657+(0.037689-0.176307))+0-132.9-0.0677789999999865</f>
        <v>326.16626000000008</v>
      </c>
      <c r="P171" s="3">
        <f>724.2+(77.7-369.1)+(0.369342+(0.039627-0.188241))+0-118.4-0.060383999999988</f>
        <v>314.56034399999999</v>
      </c>
      <c r="Q171" s="3">
        <f>720.2+(68.4-324.2)+(0.367302+(0.034884-0.165342))+0-130.4-0.0665039999999868</f>
        <v>334.17034000000012</v>
      </c>
      <c r="R171" s="3">
        <f>743.9+(91.4-416.7)+(-0.379389+(-0.046614--0.212517))+0-104.7--0.0533969999999894</f>
        <v>313.73991100000001</v>
      </c>
      <c r="S171" s="3">
        <f>742.4+(119-489.6)+(-0.757248+(-0.12138--0.499392))+0-112--0.114240000000018</f>
        <v>259.53500399999996</v>
      </c>
      <c r="T171" s="3">
        <f>742.1+(147.4-531)+(-0.378471+(-0.075174--0.27081))+0-107.7--0.0549269999999891</f>
        <v>250.67209199999999</v>
      </c>
      <c r="U171" s="3">
        <f>739.1+(136.9-536.8)+(0.753882+(0.139638-0.547536))+0-114-0.116280000000018</f>
        <v>225.42970400000002</v>
      </c>
      <c r="V171" s="3">
        <f>726.1+(117.2-467.9)+(-1.481244+(-0.239088--0.954516))+0-118.3--0.241331999999995</f>
        <v>256.57551600000005</v>
      </c>
      <c r="W171" s="3">
        <f>726.8+(73.1-347.2)+(-0.370668+(-0.037281--0.177072))+0-121.5--0.0619649999999877</f>
        <v>331.0310879999999</v>
      </c>
      <c r="X171" s="3">
        <f>715.4+(169.6-332.1)+(-1.094562+(-0.259488--0.508113))+0-126.5--0.193545000000007</f>
        <v>425.74760799999996</v>
      </c>
      <c r="Y171" s="3">
        <f>727.5+(80.8-259.9)+(0.74205+(0.082416-0.265098))+0-133.4-0.136068000000021</f>
        <v>415.42330000000004</v>
      </c>
      <c r="Z171" s="3">
        <f>729.9+(106.8-437)+(-0.744498+(-0.108936--0.44574))+0-116.7--0.119034000000019</f>
        <v>282.71134000000001</v>
      </c>
      <c r="AA171" s="3">
        <f>743.1+(93.9-484.9)+(-0.378981+(-0.047889--0.247299))+0-104.6--0.0533459999999894</f>
        <v>247.37377499999999</v>
      </c>
      <c r="AB171" s="3">
        <f>754.8+(91.9-458.2)+(0+(0-0))+0-124.1-0</f>
        <v>264.39999999999998</v>
      </c>
      <c r="AC171" s="3">
        <f>752.6+(84.8-465.1)+(-1.151478+(-0.129744--0.711603))+0-118.4--0.181152000000007</f>
        <v>253.51153300000001</v>
      </c>
      <c r="AD171" s="2">
        <v>685.1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753.7+(103.9-458.5)+(-0.768774+(-0.105978--0.46767))+0-134.7--0.137394000000021</f>
        <v>264.13031200000006</v>
      </c>
      <c r="G172" s="3">
        <f>753.5+(94-457.7)+(-0.384285+(-0.04794--0.233427))+0-141--0.0719099999999857</f>
        <v>248.67311199999997</v>
      </c>
      <c r="H172" s="3">
        <f>754.3+(92.5-470.6)+(-1.154079+(-0.141525--0.720018))+0-127.5--0.195075000000007</f>
        <v>248.31948899999995</v>
      </c>
      <c r="I172" s="3">
        <f>758.6+(83.7-422.1)+(-0.386886+(-0.042687--0.215271))+0-122.7--0.0625769999999876</f>
        <v>297.348275</v>
      </c>
      <c r="J172" s="3">
        <f>759.3+(79.6-433.6)+(-1.936215+(-0.20298--1.10568))+0-123.9--0.315944999999982</f>
        <v>280.6824299999999</v>
      </c>
      <c r="K172" s="3">
        <f>774.1+(87.9-465.4)+(1.184373+(0.134487-0.712062))+0-126.8-0.194004000000007</f>
        <v>270.21279400000003</v>
      </c>
      <c r="L172" s="3">
        <f>766.5+(66-439.5)+(-2.34549+(-0.20196--1.34487))+0-119.5--0.365670000000014</f>
        <v>272.66309000000001</v>
      </c>
      <c r="M172" s="3">
        <f>789.6+(66-421)+(-1.208088+(-0.10098--0.64413))+0-129.6--0.198288000000007</f>
        <v>304.53334999999998</v>
      </c>
      <c r="N172" s="3">
        <f>779+(67-424.3)+(-0.79458+(-0.06834--0.432786))+0-95.7--0.0976140000000153</f>
        <v>325.66748000000001</v>
      </c>
      <c r="O172" s="3">
        <f>770.6+(68-478.9)+(-1.572024+(-0.13872--0.976956))+0-83.2--0.169727999999996</f>
        <v>275.93594000000007</v>
      </c>
      <c r="P172" s="3">
        <f>769.6+(71-468.7)+(-0.784992+(-0.07242--0.478074))+0-88.2--0.0899640000000141</f>
        <v>283.41062600000004</v>
      </c>
      <c r="Q172" s="3">
        <f>757.3+(72-543.4)+(-0.386223+(-0.03672--0.277134))+0-62.4--0.0318239999999937</f>
        <v>223.38601499999999</v>
      </c>
      <c r="R172" s="3">
        <f>747.9+(73.8-569.3)+(0.381429+(0.037638-0.290343))+0-76.2-0.0388619999999923</f>
        <v>176.28986200000003</v>
      </c>
      <c r="S172" s="3">
        <f>733.7+(97.4-605.8)+(-0.748374+(-0.099348--0.617916))+0-82.7--0.0843540000000132</f>
        <v>142.4545480000001</v>
      </c>
      <c r="T172" s="3">
        <f>724.1+(126.7-615.3)+(-1.477164+(-0.258468--1.255212))+0-108.2--0.220727999999995</f>
        <v>127.04030800000004</v>
      </c>
      <c r="U172" s="3">
        <f>733.4+(110.6-582.6)+(0.748068+(0.112812-0.594252))+0-119.9-0.122298000000019</f>
        <v>141.64432999999997</v>
      </c>
      <c r="V172" s="3">
        <f>724.8+(96.9-498.5)+(0.369648+(0.049419-0.254235))+0-118-0.060179999999988</f>
        <v>205.30465199999995</v>
      </c>
      <c r="W172" s="3">
        <f>719.9+(89.1-369.4)+(-0.367149+(-0.045441--0.188394))+0-131.4--0.0670139999999867</f>
        <v>308.04281800000001</v>
      </c>
      <c r="X172" s="3">
        <f>723.5+(299.5-451.5)+(1.106955+(0.458235-0.690795))+0-127.6-0.195228000000007</f>
        <v>444.57916700000004</v>
      </c>
      <c r="Y172" s="3">
        <f>727.5+(194.9-343.8)+(0.74205+(0.198798-0.350676))+0-150.3-0.153306000000024</f>
        <v>428.73686600000002</v>
      </c>
      <c r="Z172" s="3">
        <f>740.9+(109-343.4)+(-0.755718+(-0.11118--0.350268))+0-127.6--0.13015200000002</f>
        <v>378.51352200000002</v>
      </c>
      <c r="AA172" s="3">
        <f>748.9+(82.7-346.1)+(-0.381939+(-0.042177--0.176511))+0-142.6--0.0727259999999855</f>
        <v>342.72512099999994</v>
      </c>
      <c r="AB172" s="3">
        <f>753.5+(100.7-317.1)+(0.384285+(0.051357-0.161721))+0-132.4-0.0675239999999866</f>
        <v>404.90639699999991</v>
      </c>
      <c r="AC172" s="3">
        <f>753.2+(106.6-328.5)+(-1.152396+(-0.163098--0.502605))+0-132.9--0.203337000000008</f>
        <v>397.79044800000008</v>
      </c>
      <c r="AD172" s="2">
        <v>600.19999999999993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761.4+(76-393.4)+(-0.776628+(-0.07752--0.401268))+0-126.1--0.12862200000002</f>
        <v>317.57574200000005</v>
      </c>
      <c r="G173" s="3">
        <f>759.6+(74-399.9)+(-1.162188+(-0.11322--0.611847))+0-131.1--0.200583000000008</f>
        <v>302.13702200000006</v>
      </c>
      <c r="H173" s="3">
        <f>763.1+(72-381.5)+(-1.167543+(-0.11016--0.583695))+0-124.2--0.190026000000007</f>
        <v>328.89601800000003</v>
      </c>
      <c r="I173" s="3">
        <f>768.6+(72-377.8)+(-1.175958+(-0.11016--0.578034))+0-125.6--0.192168000000007</f>
        <v>336.68408400000004</v>
      </c>
      <c r="J173" s="3">
        <f>770.9+(97.6-333.6)+(-1.572636+(-0.199104--0.680544))+0-135--0.275399999999994</f>
        <v>399.084204</v>
      </c>
      <c r="K173" s="3">
        <f>781+(131.6-371.6)+(0.39831+(0.067116-0.189516))+0-124.9-0.0636989999999873</f>
        <v>416.31221099999999</v>
      </c>
      <c r="L173" s="3">
        <f>776+(138.9-369.6)+(-1.18728+(-0.212517--0.565488))+0-120.9--0.184977000000007</f>
        <v>423.75066800000002</v>
      </c>
      <c r="M173" s="3">
        <f>786.6+(181.6-392.4)+(-0.401166+(-0.092616--0.200124))+0-121--0.0617099999999877</f>
        <v>454.56805200000002</v>
      </c>
      <c r="N173" s="3">
        <f>787.4+(136.6-418.3)+(0.803148+(0.139332-0.426666))+0-110.1-0.112302000000018</f>
        <v>396.00351199999989</v>
      </c>
      <c r="O173" s="3">
        <f>773.4+(191.8-483)+(-0.394434+(-0.097818--0.24633))+0-101.6--0.0518159999999897</f>
        <v>380.40589399999993</v>
      </c>
      <c r="P173" s="3">
        <f>763.1+(148.5-407.1)+(-0.389181+(-0.075735--0.207621))+0-95.9--0.0489089999999903</f>
        <v>408.391614</v>
      </c>
      <c r="Q173" s="3">
        <f>766.1+(101.2-354.6)+(1.172133+(0.154836-0.542538))+0-106-0.162180000000006</f>
        <v>407.32225100000011</v>
      </c>
      <c r="R173" s="3">
        <f>758+(79.4-308.4)+(1.15974+(0.121482-0.471852))+0-123.6-0.189108000000007</f>
        <v>406.02026199999989</v>
      </c>
      <c r="S173" s="3">
        <f>739.3+(118.4-355.7)+(-1.131129+(-0.181152--0.544221))+0-122.1--0.186813000000007</f>
        <v>379.31875300000002</v>
      </c>
      <c r="T173" s="3">
        <f>734.5+(124.9-404.1)+(0+(0-0))+0-101.2-0</f>
        <v>354.09999999999997</v>
      </c>
      <c r="U173" s="3">
        <f>724.3+(135-416.6)+(-1.846965+(-0.34425--1.06233))+0-120--0.305999999999983</f>
        <v>321.87711499999989</v>
      </c>
      <c r="V173" s="3">
        <f>726.3+(109.5-405.9)+(1.111239+(0.167535-0.621027))+0-120-0.183600000000007</f>
        <v>310.37414699999994</v>
      </c>
      <c r="W173" s="3">
        <f>711.6+(76.4-341.3)+(-1.451664+(-0.155856--0.696252))+0-110.1--0.224603999999995</f>
        <v>335.91333600000007</v>
      </c>
      <c r="X173" s="3">
        <f>709.4+(219.8-373.4)+(-2.170764+(-0.672588--1.142604))+0-136--0.416160000000016</f>
        <v>418.51541199999997</v>
      </c>
      <c r="Y173" s="3">
        <f>730.1+(151.5-234)+(0+(0-0))+0-131.3-0</f>
        <v>516.29999999999995</v>
      </c>
      <c r="Z173" s="3">
        <f>740+(117.3-213.9)+(0.3774+(0.059823-0.109089))+0-135.4-0.0690539999999863</f>
        <v>508.25907999999998</v>
      </c>
      <c r="AA173" s="3">
        <f>743.3+(113.2-304.4)+(-0.758166+(-0.115464--0.310488))+0-121.7--0.124134000000019</f>
        <v>429.96099199999998</v>
      </c>
      <c r="AB173" s="3">
        <f>754.2+(100.2-411.7)+(0+(0-0))+0-120.4-0</f>
        <v>322.30000000000007</v>
      </c>
      <c r="AC173" s="3">
        <f>752.2+(81.3-420.9)+(-1.534488+(-0.165852--0.858636))+0-103.4--0.210935999999995</f>
        <v>308.56923200000011</v>
      </c>
      <c r="AD173" s="2">
        <v>698.5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769.2+(78-450.9)+(0.784584+(0.07956-0.459918))+0-111-0.113220000000018</f>
        <v>285.59100600000005</v>
      </c>
      <c r="G174" s="3">
        <f>770.1+(77-462.8)+(0.785502+(0.07854-0.472056))+0-137.8-0.140556000000022</f>
        <v>246.75142999999994</v>
      </c>
      <c r="H174" s="3">
        <f>772.4+(75-473.5)+(0+(0-0))+0-124.6-0</f>
        <v>249.29999999999998</v>
      </c>
      <c r="I174" s="3">
        <f>773.6+(74-476.3)+(0.394536+(0.03774-0.242913))+0-125.3-0.0639029999999873</f>
        <v>246.12546000000003</v>
      </c>
      <c r="J174" s="3">
        <f>767.8+(87.2-470.6)+(-1.566312+(-0.177888--0.960024))+0-130.9--0.267035999999994</f>
        <v>252.9828599999999</v>
      </c>
      <c r="K174" s="3">
        <f>765.3+(122.3-487.3)+(-1.951515+(-0.311865--1.242615))+0-129.4--0.329969999999981</f>
        <v>270.209205</v>
      </c>
      <c r="L174" s="3">
        <f>765.1+(240-588.3)+(-3.121608+(-0.9792--2.400264))+0-121.9--0.497351999999989</f>
        <v>293.69680800000003</v>
      </c>
      <c r="M174" s="3">
        <f>794.8+(230.3-556.5)+(0.810696+(0.234906-0.56763))+0-131.7-0.134334000000021</f>
        <v>337.24363799999998</v>
      </c>
      <c r="N174" s="3">
        <f>791.2+(255-570.2)+(0.807024+(0.2601-0.581604))+0-128.9-0.131478000000021</f>
        <v>347.45404199999996</v>
      </c>
      <c r="O174" s="3">
        <f>779.8+(248.7-489.9)+(-0.397698+(-0.126837--0.249849))+0-132.4--0.0675239999999866</f>
        <v>405.99283799999995</v>
      </c>
      <c r="P174" s="3">
        <f>767.5+(190.4-438.1)+(1.174275+(0.291312-0.670293))+0-126-0.192780000000007</f>
        <v>394.40251399999994</v>
      </c>
      <c r="Q174" s="3">
        <f>757.7+(117.9-345.6)+(1.159281+(0.180387-0.528768))+0-129.5-0.198135000000007</f>
        <v>401.11276499999997</v>
      </c>
      <c r="R174" s="3">
        <f>737.7+(78-294)+(-0.376227+(-0.03978--0.14994))+0-129.7--0.0661469999999868</f>
        <v>391.80008000000004</v>
      </c>
      <c r="S174" s="3">
        <f>727.7+(108.6-389.9)+(-1.484508+(-0.221544--0.795396))+0-96.5--0.196859999999996</f>
        <v>349.18620400000009</v>
      </c>
      <c r="T174" s="3">
        <f>730.7+(121.9-454.8)+(0.372657+(0.062169-0.231948))+0-97.4-0.0496739999999901</f>
        <v>300.55320400000005</v>
      </c>
      <c r="U174" s="3">
        <f>725.6+(100.7-398.9)+(-0.370056+(-0.051357--0.203439))+0-124.5--0.0634949999999874</f>
        <v>302.745521</v>
      </c>
      <c r="V174" s="3">
        <f>722+(86.4-381.7)+(-0.73644+(-0.088128--0.389334))+0-128.7--0.131274000000021</f>
        <v>297.6960400000001</v>
      </c>
      <c r="W174" s="3">
        <f>725.5+(74-394.3)+(0.370005+(0.03774-0.201093))+0-126.2-0.0643619999999872</f>
        <v>279.14229000000006</v>
      </c>
      <c r="X174" s="3">
        <f>710.8+(225.8-385.3)+(-2.537556+(-0.806106--1.375521))+0-135.8--0.484806000000002</f>
        <v>414.01666499999999</v>
      </c>
      <c r="Y174" s="3">
        <f>731.7+(166.2-280.7)+(0.746334+(0.169524-0.286314))+0-133.9-0.136578000000021</f>
        <v>483.79296600000004</v>
      </c>
      <c r="Z174" s="3">
        <f>735.3+(81-277.2)+(0+(0-0))+0-132.8-0</f>
        <v>406.2999999999999</v>
      </c>
      <c r="AA174" s="3">
        <f>744.4+(81-361.8)+(-1.138932+(-0.12393--0.553554))+0-139.9--0.214047000000008</f>
        <v>323.20473899999996</v>
      </c>
      <c r="AB174" s="3">
        <f>759+(79-493.4)+(-0.38709+(-0.04029--0.251634))+0-128.7--0.0656369999999869</f>
        <v>215.78989100000001</v>
      </c>
      <c r="AC174" s="3">
        <f>759+(77-454.6)+(-1.16127+(-0.11781--0.695538))+0-121--0.185130000000007</f>
        <v>260.00158799999997</v>
      </c>
      <c r="AD174" s="2">
        <v>686.09999999999991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762.8+(75-412.7)+(-0.389028+(-0.03825--0.210477))+0-132.9--0.0677789999999865</f>
        <v>292.05097799999999</v>
      </c>
      <c r="G175" s="3">
        <f>766.6+(74-411.5)+(-1.172898+(-0.11322--0.629595))+0-127.3--0.194769000000007</f>
        <v>301.33824600000003</v>
      </c>
      <c r="H175" s="3">
        <f>770.2+(73-339.9)+(-1.571208+(-0.14892--0.693396))+0-136--0.277439999999994</f>
        <v>366.5507080000001</v>
      </c>
      <c r="I175" s="3">
        <f>775.1+(77.8-356.8)+(-1.185903+(-0.119034--0.545904))+0-137.9--0.210987000000008</f>
        <v>357.65195399999999</v>
      </c>
      <c r="J175" s="3">
        <f>781.5+(80.2-346.7)+(-1.195695+(-0.122706--0.530451))+0-135--0.206550000000008</f>
        <v>379.41859999999997</v>
      </c>
      <c r="K175" s="3">
        <f>802.4+(101.3-377.2)+(0.818448+(0.103326-0.384744))+0-129.3-0.131886000000021</f>
        <v>397.60514399999994</v>
      </c>
      <c r="L175" s="3">
        <f>788.7+(143.9-401.6)+(-2.413422+(-0.440334--1.228896))+0-111.8--0.342108000000013</f>
        <v>417.91724799999997</v>
      </c>
      <c r="M175" s="3">
        <f>796.6+(124.9-342.7)+(-0.406266+(-0.063699--0.174777))+0-117.4--0.0598739999999881</f>
        <v>461.16468600000002</v>
      </c>
      <c r="N175" s="3">
        <f>788.7+(166.3-382.7)+(0+(0-0))+0-118.5-0</f>
        <v>453.80000000000007</v>
      </c>
      <c r="O175" s="3">
        <f>793+(192-411.9)+(0+(0-0))+0-138.9-0</f>
        <v>434.20000000000005</v>
      </c>
      <c r="P175" s="3">
        <f>771.1+(163.5-372.2)+(0+(0-0))+0-126.8-0</f>
        <v>435.60000000000008</v>
      </c>
      <c r="Q175" s="3">
        <f>766.7+(85.3-330.1)+(1.564068+(0.174012-0.673404))+0-113.1-0.230723999999995</f>
        <v>409.63395200000002</v>
      </c>
      <c r="R175" s="3">
        <f>766.7+(75.5-274.1)+(0.391017+(0.038505-0.139791))+0-131.5-0.0670649999999867</f>
        <v>436.82266599999997</v>
      </c>
      <c r="S175" s="3">
        <f>742.7+(108.2-352.3)+(-0.757554+(-0.110364--0.359346))+0-115.7--0.118014000000018</f>
        <v>382.50944200000004</v>
      </c>
      <c r="T175" s="3">
        <f>736.9+(128.4-375.8)+(-0.375819+(-0.065484--0.191658))+0-136.2--0.0694619999999862</f>
        <v>353.11981700000001</v>
      </c>
      <c r="U175" s="3">
        <f>734.5+(117.4-386.3)+(-0.374595+(-0.059874--0.197013))+0-133.1--0.0678809999999865</f>
        <v>332.33042500000005</v>
      </c>
      <c r="V175" s="3">
        <f>728.7+(131-413.1)+(-1.486548+(-0.26724--0.842724))+0-117.6--0.239903999999995</f>
        <v>328.32883999999996</v>
      </c>
      <c r="W175" s="3">
        <f>732.3+(77.6-347)+(0.373473+(0.039576-0.17697))+0-127.8-0.065177999999987</f>
        <v>335.27090099999998</v>
      </c>
      <c r="X175" s="3">
        <f>725+(210.4-369.3)+(-0.7395+(-0.214608--0.376686))+0-131.1--0.133722000000021</f>
        <v>434.55630000000008</v>
      </c>
      <c r="Y175" s="3">
        <f>726.9+(99.4-232.9)+(1.112157+(0.152082-0.356337))+0-133.9-0.204867000000008</f>
        <v>460.203035</v>
      </c>
      <c r="Z175" s="3">
        <f>720.3+(121.1-266.5)+(-1.469412+(-0.247044--0.54366))+0-143--0.291719999999994</f>
        <v>431.01892400000003</v>
      </c>
      <c r="AA175" s="3">
        <f>719.2+(115.2-324.7)+(-2.567544+(-0.411264--1.159179))+0-139.7--0.498729000000002</f>
        <v>368.67910000000006</v>
      </c>
      <c r="AB175" s="3">
        <f>739.3+(86.3-437.8)+(-1.131129+(-0.132039--0.669834))+0-132.7--0.203031000000008</f>
        <v>254.70969699999995</v>
      </c>
      <c r="AC175" s="3">
        <f>742+(82.3-469.5)+(-0.37842+(-0.041973--0.239445))+0-141.4--0.0721139999999857</f>
        <v>213.291166</v>
      </c>
      <c r="AD175" s="2">
        <v>669.69999999999993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772.7+(78-460)+(0.788154+(0.07956-0.4692))+0-138.1-0.140862000000022</f>
        <v>252.857652</v>
      </c>
      <c r="G176" s="3">
        <f>782+(94.8-500.1)+(0.79764+(0.096696-0.510102))+0-139.5-0.142290000000022</f>
        <v>237.44194399999995</v>
      </c>
      <c r="H176" s="3">
        <f>774.1+(84.1-510.8)+(-1.184373+(-0.128673--0.781524))+0-137.8--0.210834000000008</f>
        <v>209.27931199999998</v>
      </c>
      <c r="I176" s="3">
        <f>776.9+(74-424)+(-1.188657+(-0.11322--0.64872))+0-126.4--0.193392000000007</f>
        <v>300.04023499999994</v>
      </c>
      <c r="J176" s="3">
        <f>783.3+(92.6-418.7)+(-0.399483+(-0.047226--0.213537))+0-128.2--0.065381999999987</f>
        <v>328.83220999999992</v>
      </c>
      <c r="K176" s="3">
        <f>787.3+(112-415.7)+(-1.606092+(-0.22848--0.848028))+0-133--0.271319999999994</f>
        <v>349.88477599999999</v>
      </c>
      <c r="L176" s="3">
        <f>790.5+(113.4-452.8)+(-0.403155+(-0.057834--0.230928))+0-122.1--0.0622709999999876</f>
        <v>328.83221000000003</v>
      </c>
      <c r="M176" s="3">
        <f>784.8+(184.9-470.6)+(0+(0-0))+0-135.4-0</f>
        <v>363.69999999999993</v>
      </c>
      <c r="N176" s="3">
        <f>782.9+(228.2-536.2)+(0.399279+(0.116382-0.273462))+0-110.6-0.0564059999999888</f>
        <v>364.485793</v>
      </c>
      <c r="O176" s="3">
        <f>783.3+(208.3-505.3)+(0.798966+(0.212466-0.515406))+0-141.1-0.143922000000023</f>
        <v>345.55210399999993</v>
      </c>
      <c r="P176" s="3">
        <f>769.4+(189.5-459.4)+(1.569576+(0.38658-0.937176))+0-132.6-0.270503999999994</f>
        <v>367.64847600000002</v>
      </c>
      <c r="Q176" s="3">
        <f>751.8+(175.1-386.1)+(-0.383418+(-0.089301--0.196911))+0-144.3--0.0735929999999854</f>
        <v>396.29778499999992</v>
      </c>
      <c r="R176" s="3">
        <f>755.6+(77.2-322.7)+(0+(0-0))+0-139.1-0</f>
        <v>371</v>
      </c>
      <c r="S176" s="3">
        <f>741.3+(76.8-368.7)+(-0.756126+(-0.078336--0.376074))+0-128.5--0.13107000000002</f>
        <v>320.57268199999999</v>
      </c>
      <c r="T176" s="3">
        <f>732.3+(107.7-358)+(-1.120419+(-0.164781--0.54774))+0-119.8--0.183294000000007</f>
        <v>361.64583399999992</v>
      </c>
      <c r="U176" s="3">
        <f>733.7+(92.6-343.1)+(-0.374187+(-0.047226--0.174981))+0-125.2--0.0638519999999873</f>
        <v>357.81742000000003</v>
      </c>
      <c r="V176" s="3">
        <f>729.1+(75.5-311.2)+(-1.487364+(-0.15402--0.634848))+0-138.9--0.283355999999994</f>
        <v>353.77681999999999</v>
      </c>
      <c r="W176" s="3">
        <f>728.4+(182.3-359.5)+(-2.228904+(-0.557838--1.10007))+0-136.3--0.417078000000016</f>
        <v>413.63040599999999</v>
      </c>
      <c r="X176" s="3">
        <f>724.8+(327-430)+(-2.217888+(-1.00062--1.3158))+0-136.4--0.417384000000016</f>
        <v>483.91467600000004</v>
      </c>
      <c r="Y176" s="3">
        <f>747.6+(189.1-307.6)+(-0.762552+(-0.192882--0.313752))+0-121.2--0.123624000000019</f>
        <v>507.38194200000009</v>
      </c>
      <c r="Z176" s="3">
        <f>740.2+(83.5-279.5)+(-1.132506+(-0.127755--0.427635))+0-132.3--0.202419000000008</f>
        <v>411.26979300000005</v>
      </c>
      <c r="AA176" s="3">
        <f>739.7+(82.8-300)+(-1.508988+(-0.168912--0.612))+0-142.9--0.291515999999994</f>
        <v>378.82561599999997</v>
      </c>
      <c r="AB176" s="3">
        <f>748+(80.4-412)+(-1.52592+(-0.164016--0.84048))+0-114--0.232559999999995</f>
        <v>301.78310399999998</v>
      </c>
      <c r="AC176" s="3">
        <f>787.6+(80.6-366.9)+(1.606704+(0.164424-0.748476))+0-147.3-0.300491999999994</f>
        <v>354.72216000000003</v>
      </c>
      <c r="AD176" s="2">
        <v>684.89999999999986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766+(78-386.7)+(-1.9533+(-0.1989--0.986085))+0-115.7--0.295034999999983</f>
        <v>340.72892000000002</v>
      </c>
      <c r="G177" s="3">
        <f>728.6+(76-359.8)+(0.371586+(0.03876-0.183498))+0-126-0.0642599999999872</f>
        <v>318.96258800000004</v>
      </c>
      <c r="H177" s="3">
        <f>704.9+(74.6-377.3)+(-1.797495+(-0.19023--0.962115))+0-103--0.262649999999985</f>
        <v>298.43703999999997</v>
      </c>
      <c r="I177" s="3">
        <f>715+(73.1-349.7)+(0+(0-0))+0-119.6-0</f>
        <v>318.79999999999995</v>
      </c>
      <c r="J177" s="3">
        <f>726+(95.7-384.9)+(0.37026+(0.048807-0.196299))+0-125.3-0.0639029999999873</f>
        <v>311.65886499999999</v>
      </c>
      <c r="K177" s="3">
        <f>727.5+(157.6-389)+(1.113075+(0.241128-0.59517))+0-131.6-0.201348000000008</f>
        <v>365.05768500000005</v>
      </c>
      <c r="L177" s="3">
        <f>719.5+(270.6-438.3)+(-0.73389+(-0.276012--0.447066))+0-135.6--0.138312000000022</f>
        <v>415.77547600000003</v>
      </c>
      <c r="M177" s="3">
        <f>724.1+(205.6-410.1)+(1.107873+(0.314568-0.627453))+0-136.3-0.208539000000008</f>
        <v>383.88644899999997</v>
      </c>
      <c r="N177" s="3">
        <f>715+(242-504)+(-0.36465+(-0.12342--0.25704))+0-134.8--0.0687479999999863</f>
        <v>318.03771799999998</v>
      </c>
      <c r="O177" s="3">
        <f>717+(302.1-516.6)+(0.36567+(0.154071-0.263466))+0-139.8-0.0712979999999858</f>
        <v>362.88497699999999</v>
      </c>
      <c r="P177" s="3">
        <f>715.4+(262.3-461.1)+(1.094562+(0.401319-0.705483))+0-141.6-0.216648000000008</f>
        <v>375.57374999999985</v>
      </c>
      <c r="Q177" s="3">
        <f>702.5+(128.1-331.8)+(0+(0-0))+0-145.5-0</f>
        <v>353.29999999999995</v>
      </c>
      <c r="R177" s="3">
        <f>690.1+(74-270.1)+(-0.351951+(-0.03774--0.137751))+0-139.7--0.0712469999999858</f>
        <v>354.11930699999999</v>
      </c>
      <c r="S177" s="3">
        <f>685.8+(116.9-351.1)+(-1.049274+(-0.178857--0.537183))+0-146.7--0.224451000000008</f>
        <v>304.43350299999992</v>
      </c>
      <c r="T177" s="3">
        <f>682.7+(134.9-426.2)+(0+(0-0))+0-134.6-0</f>
        <v>256.80000000000007</v>
      </c>
      <c r="U177" s="3">
        <f>677.9+(130.1-376.6)+(0+(0-0))+0-149.6-0</f>
        <v>281.79999999999995</v>
      </c>
      <c r="V177" s="3">
        <f>660.4+(78.2-284.6)+(-1.68402+(-0.19941--0.72573))+0-139.8--0.35648999999998</f>
        <v>313.39878999999996</v>
      </c>
      <c r="W177" s="3">
        <f>659+(161.2-346.7)+(-1.68045+(-0.41106--0.884085))+0-106.3--0.271064999999985</f>
        <v>366.26363999999995</v>
      </c>
      <c r="X177" s="3">
        <f>659.1+(327.5-392.1)+(-2.016846+(-1.00215--1.199826))+0-98.8--0.302328000000011</f>
        <v>494.18315799999999</v>
      </c>
      <c r="Y177" s="3">
        <f>677.2+(230.1-229.9)+(1.036116+(0.352053-0.351747))+0-119.4-0.182682000000007</f>
        <v>558.85374000000013</v>
      </c>
      <c r="Z177" s="3">
        <f>670.8+(121.8-144.9)+(-1.026324+(-0.186354--0.221697))+0-124.7--0.190791000000007</f>
        <v>522.19980999999984</v>
      </c>
      <c r="AA177" s="3">
        <f>685.6+(79-235.1)+(-1.048968+(-0.12087--0.359703))+0-131.1--0.200583000000008</f>
        <v>397.79044800000003</v>
      </c>
      <c r="AB177" s="3">
        <f>682.2+(78-258.8)+(-2.087532+(-0.23868--0.791928))+0-127.4--0.389844000000015</f>
        <v>372.85556000000008</v>
      </c>
      <c r="AC177" s="3">
        <f>689.1+(77-297.4)+(-1.405764+(-0.15708--0.606696))+0-119.9--0.244595999999995</f>
        <v>348.08844800000008</v>
      </c>
      <c r="AD177" s="2">
        <v>627.6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693.3+(103.6-317.1)+(-0.707166+(-0.105672--0.323442))+0-134.7--0.137394000000021</f>
        <v>344.747998</v>
      </c>
      <c r="G178" s="3">
        <f>690.8+(97.8-331.4)+(-1.409232+(-0.199512--0.676056))+0-116.4--0.237455999999995</f>
        <v>340.10476799999998</v>
      </c>
      <c r="H178" s="3">
        <f>689.4+(71-295.8)+(-1.75797+(-0.18105--0.75429))+0-115.9--0.295544999999983</f>
        <v>347.81081499999999</v>
      </c>
      <c r="I178" s="3">
        <f>694.4+(71-301.6)+(-1.062432+(-0.10863--0.461448))+0-139.5--0.213435000000008</f>
        <v>323.80382099999997</v>
      </c>
      <c r="J178" s="3">
        <f>702.7+(70-279.9)+(0.716754+(0.0714-0.285498))+0-129.3-0.131886000000021</f>
        <v>363.87077000000005</v>
      </c>
      <c r="K178" s="3">
        <f>695.8+(79.5-243)+(-1.064574+(-0.121635--0.37179))+0-131.6--0.201348000000008</f>
        <v>400.08692899999988</v>
      </c>
      <c r="L178" s="3">
        <f>695.6+(115.6-263.3)+(-0.709512+(-0.117912--0.268566))+0-119--0.121380000000019</f>
        <v>428.46252200000004</v>
      </c>
      <c r="M178" s="3">
        <f>700.6+(243-252.1)+(0+(0-0))+0-136.8-0</f>
        <v>554.70000000000005</v>
      </c>
      <c r="N178" s="3">
        <f>698.7+(247.8-250.2)+(-0.356337+(-0.126378--0.127602))+0-122.7--0.0625769999999876</f>
        <v>573.3074640000001</v>
      </c>
      <c r="O178" s="3">
        <f>699.7+(241.1-224.2)+(0.356847+(0.122961-0.114342))+0-140.8-0.0718079999999857</f>
        <v>576.09365799999989</v>
      </c>
      <c r="P178" s="3">
        <f>693.6+(214.9-185)+(-0.353736+(-0.109599--0.09435))+0-134.9--0.0687989999999863</f>
        <v>588.29981400000008</v>
      </c>
      <c r="Q178" s="3">
        <f>691+(126.2-130.5)+(-0.35241+(-0.064362--0.066555))+0-129.7--0.0661469999999868</f>
        <v>556.71593000000007</v>
      </c>
      <c r="R178" s="3">
        <f>687.2+(149.4-124.7)+(0.350472+(0.076194-0.063597))+0-143.7-0.0732869999999854</f>
        <v>568.4897820000001</v>
      </c>
      <c r="S178" s="3">
        <f>675.2+(185.2-219.9)+(-1.033056+(-0.283356--0.336447))+0-128.4--0.196452000000007</f>
        <v>511.31648700000005</v>
      </c>
      <c r="T178" s="3">
        <f>673.2+(231.4-315.5)+(-0.343332+(-0.118014--0.160905))+0-126.9--0.0647189999999871</f>
        <v>461.96427800000004</v>
      </c>
      <c r="U178" s="3">
        <f>668.6+(230.3-327)+(-1.022958+(-0.352359--0.50031))+0-137--0.209610000000008</f>
        <v>434.23460300000011</v>
      </c>
      <c r="V178" s="3">
        <f>665.8+(160.2-268.6)+(-0.679116+(-0.163404--0.273972))+0-121.1--0.123522000000019</f>
        <v>435.85497399999991</v>
      </c>
      <c r="W178" s="3">
        <f>661.5+(120.9-143.5)+(-0.67473+(-0.123318--0.14637))+0-138--0.140760000000022</f>
        <v>500.38908200000003</v>
      </c>
      <c r="X178" s="3">
        <f>659.2+(265-166.1)+(-1.344768+(-0.5406--0.338844))+0-133.6--0.272543999999994</f>
        <v>623.22602000000006</v>
      </c>
      <c r="Y178" s="3">
        <f>665.9+(211.3-99.5)+(0+(0-0))+0-136.2-0</f>
        <v>641.5</v>
      </c>
      <c r="Z178" s="3">
        <f>667.9+(147.6-111.4)+(-1.021887+(-0.225828--0.170442))+0-130--0.198900000000008</f>
        <v>573.2216269999999</v>
      </c>
      <c r="AA178" s="3">
        <f>674.4+(140.3-98.5)+(-1.375776+(-0.286212--0.20094))+0-126.6--0.258263999999994</f>
        <v>588.39721599999996</v>
      </c>
      <c r="AB178" s="3">
        <f>684.4+(172.5-162.6)+(0+(0-0))+0-147.1-0</f>
        <v>547.19999999999993</v>
      </c>
      <c r="AC178" s="3">
        <f>676.4+(171.7-232.5)+(-1.379856+(-0.350268--0.4743))+0-121.3--0.247451999999995</f>
        <v>493.29162799999995</v>
      </c>
      <c r="AD178" s="2">
        <v>658.1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685.2+(132.3-269)+(-0.349452+(-0.067473--0.13719))+0-123.2--0.0628319999999875</f>
        <v>425.08309700000007</v>
      </c>
      <c r="G179" s="3">
        <f>693.6+(104.9-332)+(0.707472+(0.106998-0.33864))+0-117.7-0.120054000000019</f>
        <v>349.15577599999995</v>
      </c>
      <c r="H179" s="3">
        <f>688.6+(92.8-266.1)+(-1.053558+(-0.141984--0.407133))+0-136.6--0.208998000000008</f>
        <v>378.12058899999994</v>
      </c>
      <c r="I179" s="3">
        <f>694.3+(78-255.1)+(-0.354093+(-0.03978--0.130101))+0-120.1--0.0612509999999878</f>
        <v>396.89747899999986</v>
      </c>
      <c r="J179" s="3">
        <f>695.9+(86.3-262.2)+(-0.354909+(-0.044013--0.133722))+0-130.6--0.0666059999999867</f>
        <v>389.20140599999991</v>
      </c>
      <c r="K179" s="3">
        <f>704+(94.6-245.8)+(0.71808+(0.096492-0.250716))+0-126.8-0.12933600000002</f>
        <v>426.43451999999991</v>
      </c>
      <c r="L179" s="3">
        <f>697.4+(85.8-239.5)+(0.711348+(0.087516-0.24429))+0-123.5-0.12597000000002</f>
        <v>420.62860400000005</v>
      </c>
      <c r="M179" s="3">
        <f>711.4+(100.6-244.4)+(0.725628+(0.102612-0.249288))+0-114.1-0.116382000000018</f>
        <v>453.9625699999998</v>
      </c>
      <c r="N179" s="3">
        <f>710.6+(84-214.7)+(0.724812+(0.08568-0.218994))+0-105.1-0.107202000000017</f>
        <v>475.28429600000004</v>
      </c>
      <c r="O179" s="3">
        <f>705.9+(92.1-180.7)+(0.360009+(0.046971-0.092157))+0-107.1-0.0546209999999891</f>
        <v>510.46020199999998</v>
      </c>
      <c r="P179" s="3">
        <f>702.3+(78.4-182.8)+(0+(0-0))+0-98.6-0</f>
        <v>499.29999999999995</v>
      </c>
      <c r="Q179" s="3">
        <f>690.3+(66.8-192.6)+(0+(0-0))+0-64-0</f>
        <v>500.5</v>
      </c>
      <c r="R179" s="3">
        <f>657.8+(113.8-260.5)+(-0.335478+(-0.058038--0.132855))+0-67.1--0.0342209999999932</f>
        <v>443.77355999999997</v>
      </c>
      <c r="S179" s="3">
        <f>653.3+(144.3-314.3)+(-0.999549+(-0.220779--0.480879))+0-58.7--0.0898110000000034</f>
        <v>423.95036199999998</v>
      </c>
      <c r="T179" s="3">
        <f>652.6+(209.1-391.4)+(-0.665652+(-0.213282--0.399228))+0-62.1--0.0633420000000099</f>
        <v>407.78363600000006</v>
      </c>
      <c r="U179" s="3">
        <f>651.4+(190.5-394.2)+(-0.664428+(-0.19431--0.402084))+0-70.6--0.0720120000000112</f>
        <v>376.71535799999998</v>
      </c>
      <c r="V179" s="3">
        <f>651.9+(174.7-328.9)+(-0.664938+(-0.178194--0.335478))+0-90.1--0.0919020000000144</f>
        <v>407.18424800000003</v>
      </c>
      <c r="W179" s="3">
        <f>649.2+(128-178.6)+(-0.662184+(-0.13056--0.182172))+0-112.7--0.114954000000018</f>
        <v>485.404382</v>
      </c>
      <c r="X179" s="3">
        <f>701.7+(102.3-112.2)+(-0.357867+(-0.052173--0.057222))+0-107.4--0.0547739999999891</f>
        <v>584.10195600000009</v>
      </c>
      <c r="Y179" s="3">
        <f>734.4+(144.1-161.8)+(-0.374544+(-0.073491--0.082518))+0-111.6--0.0569159999999887</f>
        <v>604.79139899999996</v>
      </c>
      <c r="Z179" s="3">
        <f>745.1+(201.6-262)+(-0.760002+(-0.205632--0.26724))+0-108--0.110160000000017</f>
        <v>576.1117660000001</v>
      </c>
      <c r="AA179" s="3">
        <f>754.9+(194-280.6)+(-1.154997+(-0.29682--0.429318))+0-106.4--0.162792000000006</f>
        <v>561.04029299999991</v>
      </c>
      <c r="AB179" s="3">
        <f>731.8+(189.1-319.5)+(0.746436+(0.192882-0.32589))+0-120.3-0.122706000000019</f>
        <v>481.59072199999997</v>
      </c>
      <c r="AC179" s="3">
        <f>693.8+(198.6-306.9)+(-0.353838+(-0.101286--0.156519))+0-116.8--0.0595679999999882</f>
        <v>468.46096300000005</v>
      </c>
      <c r="AD179" s="2">
        <v>621.10000000000014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719.1+(125.3-341.7)+(0+(0-0))+0-107-0</f>
        <v>395.70000000000005</v>
      </c>
      <c r="G180" s="3">
        <f>719+(114-397.3)+(0+(0-0))+0-115.1-0</f>
        <v>320.60000000000002</v>
      </c>
      <c r="H180" s="3">
        <f>754.4+(83.9-406.3)+(0+(0-0))+0-107.5-0</f>
        <v>324.5</v>
      </c>
      <c r="I180" s="3">
        <f>763+(84.4-382)+(0+(0-0))+0-114.4-0</f>
        <v>351</v>
      </c>
      <c r="J180" s="3">
        <f>777.8+(89.7-274.7)+(1.98339+(0.228735-0.700485))+0-120.2-0.306509999999983</f>
        <v>473.80512999999991</v>
      </c>
      <c r="K180" s="3">
        <f>771.3+(93.4-239.9)+(0.786726+(0.095268-0.244698))+0-105.8-0.107916000000017</f>
        <v>519.52937999999995</v>
      </c>
      <c r="L180" s="3">
        <f>767.3+(168.3-277.5)+(0.391323+(0.085833-0.141525))+0-106.4-0.0542639999999892</f>
        <v>551.98136699999998</v>
      </c>
      <c r="M180" s="3">
        <f>764.7+(197.9-329.4)+(-0.779994+(-0.201858--0.335988))+0-105.4--0.107508000000017</f>
        <v>527.26164400000016</v>
      </c>
      <c r="N180" s="3">
        <f>652.8+(199.2-307.8)+(1.66464+(0.50796-0.78489))+0-99.7-0.254234999999986</f>
        <v>445.63347499999992</v>
      </c>
      <c r="O180" s="3">
        <f>584.1+(225.7-314.1)+(0+(0-0))+0-110-0</f>
        <v>385.7</v>
      </c>
      <c r="P180" s="3">
        <f>661.4+(164.3-325.6)+(0.337314+(0.083793-0.166056))+0-107.5-0.0548249999999891</f>
        <v>392.80022599999995</v>
      </c>
      <c r="Q180" s="3">
        <f>742.5+(76-340.1)+(0.378675+(0.03876-0.173451))+0-118.7-0.060536999999988</f>
        <v>359.88344699999999</v>
      </c>
      <c r="R180" s="3">
        <f>702.6+(77.1-361.5)+(-0.716652+(-0.078642--0.36873))+0-106.6--0.108732000000017</f>
        <v>311.28216800000007</v>
      </c>
      <c r="S180" s="3">
        <f>708.4+(120-502.5)+(0.361284+(0.0612-0.256275))+0-126.8-0.0646679999999871</f>
        <v>199.20154099999996</v>
      </c>
      <c r="T180" s="3">
        <f>778.5+(90.6-536.5)+(0+(0-0))+0-103-0</f>
        <v>229.60000000000002</v>
      </c>
      <c r="U180" s="3">
        <f>808.2+(73.8-501.3)+(2.06091+(0.18819-1.278315))+0-122.3-0.311864999999982</f>
        <v>259.05892000000006</v>
      </c>
      <c r="V180" s="3">
        <f>795.4+(73.5-457.4)+(-1.622616+(-0.14994--0.933096))+0-119.6--0.243983999999995</f>
        <v>291.30452400000007</v>
      </c>
      <c r="W180" s="3">
        <f>785.9+(81.8-377.1)+(-3.206472+(-0.333744--1.538568))+0-134.2--0.547535999999988</f>
        <v>354.94588799999997</v>
      </c>
      <c r="X180" s="3">
        <f>789.2+(258.1-459.2)+(-2.01246+(-0.658155--1.17096))+0-112.1--0.285854999999984</f>
        <v>474.78620000000012</v>
      </c>
      <c r="Y180" s="3">
        <f>803.4+(100.3-301.1)+(0.819468+(0.102306-0.307122))+0-139.4-0.142188000000022</f>
        <v>463.67246399999988</v>
      </c>
      <c r="Z180" s="3">
        <f>801.1+(81.3-339.4)+(-0.817122+(-0.082926--0.346188))+0-137.8--0.140556000000022</f>
        <v>404.78669600000001</v>
      </c>
      <c r="AA180" s="3">
        <f>808.1+(80.8-402.5)+(-0.824262+(-0.082416--0.41055))+0-138.5--0.141270000000022</f>
        <v>347.54514200000006</v>
      </c>
      <c r="AB180" s="3">
        <f>828+(80.2-395.4)+(-0.84456+(-0.081804--0.403308))+0-123.3--0.12576600000002</f>
        <v>389.10270999999995</v>
      </c>
      <c r="AC180" s="3">
        <f>797.7+(76.5-424.5)+(0.406827+(0.039015-0.216495))+0-111.9-0.0570689999999887</f>
        <v>337.97227800000002</v>
      </c>
      <c r="AD180" s="2">
        <v>710.1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726.9+(85.8-429.2)+(-1.112157+(-0.131274--0.656676))+0-133.2--0.203796000000008</f>
        <v>249.91704100000004</v>
      </c>
      <c r="G181" s="3">
        <f>725.8+(89.7-501.2)+(-1.480632+(-0.182988--1.022448))+0-127.7--0.260507999999994</f>
        <v>186.21933599999997</v>
      </c>
      <c r="H181" s="3">
        <f>726.8+(75.1-471.8)+(-1.112004+(-0.114903--0.721854))+0-129.3--0.197829000000007</f>
        <v>200.49277599999994</v>
      </c>
      <c r="I181" s="3">
        <f>729.1+(81.2-408.5)+(-0.371841+(-0.041412--0.208335))+0-118.4--0.060383999999988</f>
        <v>283.25546599999996</v>
      </c>
      <c r="J181" s="3">
        <f>739.2+(77-321.1)+(1.507968+(0.15708-0.655044))+0-138.6-0.282743999999994</f>
        <v>357.22726</v>
      </c>
      <c r="K181" s="3">
        <f>733.3+(59-258.9)+(0.373983+(0.03009-0.132039))+0-117.4-0.0598739999999881</f>
        <v>416.21215999999998</v>
      </c>
      <c r="L181" s="3">
        <f>732.1+(199.8-280.8)+(-1.493484+(-0.407592--0.572832))+0-128.7--0.262547999999994</f>
        <v>521.33430400000009</v>
      </c>
      <c r="M181" s="3">
        <f>735.9+(265.9-291.4)+(-0.375309+(-0.135609--0.148614))+0-108--0.055079999999989</f>
        <v>602.09277599999996</v>
      </c>
      <c r="N181" s="3">
        <f>735.5+(197.4-286.4)+(0+(0-0))+0-121-0</f>
        <v>525.5</v>
      </c>
      <c r="O181" s="3">
        <f>718.5+(72-195.1)+(-2.565045+(-0.25704--0.696507))+0-129--0.460530000000002</f>
        <v>464.73495199999996</v>
      </c>
      <c r="P181" s="3">
        <f>728+(70-237.3)+(0+(0-0))+0-130.5-0</f>
        <v>430.20000000000005</v>
      </c>
      <c r="Q181" s="3">
        <f>741.7+(101.9-209.4)+(0.756534+(0.103938-0.213588))+0-126.9-0.12943800000002</f>
        <v>507.81744600000007</v>
      </c>
      <c r="R181" s="3">
        <f>761.3+(177.2-402.1)+(0+(0-0))+0-134.1-0</f>
        <v>402.29999999999984</v>
      </c>
      <c r="S181" s="3">
        <f>755+(131.3-465.8)+(-0.38505+(-0.066963--0.237558))+0-116.5--0.0594149999999882</f>
        <v>303.84496000000001</v>
      </c>
      <c r="T181" s="3">
        <f>751.2+(126.3-496.9)+(-0.383112+(-0.064413--0.253419))+0-107.9--0.0550289999999891</f>
        <v>272.56092300000012</v>
      </c>
      <c r="U181" s="3">
        <f>742.6+(100.9-502)+(0+(0-0))+0-92-0</f>
        <v>249.5</v>
      </c>
      <c r="V181" s="3">
        <f>733.6+(76.2-425.4)+(-1.122408+(-0.116586--0.650862))+0-136.7--0.209151000000008</f>
        <v>247.32101900000009</v>
      </c>
      <c r="W181" s="3">
        <f>734.7+(95.9-364.1)+(-0.374697+(-0.048909--0.185691))+0-113.2--0.0577319999999885</f>
        <v>353.11981700000001</v>
      </c>
      <c r="X181" s="3">
        <f>738.8+(315.1-335)+(0.376788+(0.160701-0.17085))+0-145.3-0.0741029999999853</f>
        <v>573.89253599999995</v>
      </c>
      <c r="Y181" s="3">
        <f>741.3+(149.9-192.4)+(-0.378063+(-0.076449--0.098124))+0-139.2--0.0709919999999859</f>
        <v>559.31460399999992</v>
      </c>
      <c r="Z181" s="3">
        <f>748.8+(120.1-243.4)+(-0.763776+(-0.122502--0.248268))+0-140--0.142800000000022</f>
        <v>485.00479000000001</v>
      </c>
      <c r="AA181" s="3">
        <f>752.7+(121.7-330.9)+(-0.767754+(-0.124134--0.337518))+0-149.9--0.152898000000024</f>
        <v>393.19852800000012</v>
      </c>
      <c r="AB181" s="3">
        <f>769.6+(121.2-335)+(0+(0-0))+0-130-0</f>
        <v>425.79999999999995</v>
      </c>
      <c r="AC181" s="3">
        <f>765.5+(135.1-356.9)+(-1.56162+(-0.275604--0.728076))+0-144.1--0.293963999999994</f>
        <v>398.78481600000003</v>
      </c>
      <c r="AD181" s="2">
        <v>714.5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763.5+(130.1-403.1)+(-2.33631+(-0.398106--1.233486))+0-142.1--0.434826000000016</f>
        <v>347.3338960000001</v>
      </c>
      <c r="G182" s="3">
        <f>763.1+(110.4-467.9)+(-1.945905+(-0.28152--1.193145))+0-132.8--0.338639999999981</f>
        <v>272.10435999999999</v>
      </c>
      <c r="H182" s="3">
        <f>767.5+(112.9-467.4)+(-1.174275+(-0.172737--0.715122))+0-144.2--0.220626000000008</f>
        <v>268.38873599999999</v>
      </c>
      <c r="I182" s="3">
        <f>761.4+(88.8-406.6)+(-2.718198+(-0.317016--1.451562))+0-114.1--0.407337000000002</f>
        <v>328.32368499999995</v>
      </c>
      <c r="J182" s="3">
        <f>778.6+(104.5-467.9)+(0.794172+(0.10659-0.477258))+0-109.4-0.111588000000017</f>
        <v>306.11191600000001</v>
      </c>
      <c r="K182" s="3">
        <f>770.8+(96.2-366.6)+(-1.179324+(-0.147186--0.560898))+0-135.7--0.207621000000008</f>
        <v>364.14200899999997</v>
      </c>
      <c r="L182" s="3">
        <f>770.8+(68-319.3)+(-2.358648+(-0.20808--0.977058))+0-132.5--0.405450000000015</f>
        <v>385.81578000000007</v>
      </c>
      <c r="M182" s="3">
        <f>788.8+(78.6-276.7)+(0.804576+(0.080172-0.282234))+0-140.7-0.143514000000022</f>
        <v>450.45899999999995</v>
      </c>
      <c r="N182" s="3">
        <f>790+(70-336)+(0.8058+(0.0714-0.34272))+0-135.2-0.137904000000022</f>
        <v>389.19657599999999</v>
      </c>
      <c r="O182" s="3">
        <f>784+(70-315.8)+(0.39984+(0.0357-0.161058))+0-138.6-0.0706859999999859</f>
        <v>399.80379600000009</v>
      </c>
      <c r="P182" s="3">
        <f>784.1+(69-306.4)+(1.199673+(0.10557-0.468792))+0-132.5-0.202725000000008</f>
        <v>414.83372600000007</v>
      </c>
      <c r="Q182" s="3">
        <f>779.6+(70-278.2)+(0.795192+(0.0714-0.283764))+0-117.9-0.120258000000019</f>
        <v>453.96257000000003</v>
      </c>
      <c r="R182" s="3">
        <f>768.5+(94.6-266.5)+(-0.391935+(-0.048246--0.135915))+0-122.4--0.0624239999999876</f>
        <v>473.95815800000003</v>
      </c>
      <c r="S182" s="3">
        <f>761.5+(139.3-337.9)+(-1.165095+(-0.213129--0.516987))+0-140.6--0.215118000000008</f>
        <v>421.65388100000013</v>
      </c>
      <c r="T182" s="3">
        <f>758+(142.3-372.1)+(-0.38658+(-0.072573--0.189771))+0-127--0.0647699999999871</f>
        <v>400.9953880000001</v>
      </c>
      <c r="U182" s="3">
        <f>757+(123.9-387.4)+(0.38607+(0.063189-0.197574))+0-114.3-0.0582929999999884</f>
        <v>379.39339200000001</v>
      </c>
      <c r="V182" s="3">
        <f>752.1+(83.6-312.2)+(-0.383571+(-0.042636--0.159222))+0-128.6--0.0655859999999869</f>
        <v>394.698601</v>
      </c>
      <c r="W182" s="3">
        <f>754+(75.7-284.5)+(-0.38454+(-0.038607--0.145095))+0-129.1--0.0658409999999869</f>
        <v>415.887789</v>
      </c>
      <c r="X182" s="3">
        <f>748.8+(175.7-325.2)+(-1.527552+(-0.358428--0.663408))+0-130.7--0.266627999999994</f>
        <v>467.64405599999992</v>
      </c>
      <c r="Y182" s="3">
        <f>762.5+(100-127.6)+(0.388875+(0.051-0.065076))+0-156.2-0.0796619999999841</f>
        <v>578.995137</v>
      </c>
      <c r="Z182" s="3">
        <f>756.1+(106-176.2)+(-1.542444+(-0.21624--0.359448))+0-113.6--0.231743999999995</f>
        <v>571.13250800000014</v>
      </c>
      <c r="AA182" s="3">
        <f>752.6+(99.5-260.9)+(-2.302956+(-0.30447--0.798354))+0-115.6--0.353736000000013</f>
        <v>474.14466400000003</v>
      </c>
      <c r="AB182" s="3">
        <f>761.8+(95.9-339.8)+(-1.165554+(-0.146727--0.519894))+0-130.4--0.199512000000008</f>
        <v>386.90712500000006</v>
      </c>
      <c r="AC182" s="3">
        <f>766.8+(85.6-392.6)+(-0.391068+(-0.043656--0.200226))+0-117.9--0.060128999999988</f>
        <v>341.72563099999991</v>
      </c>
      <c r="AD182" s="2">
        <v>685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764.8+(74-441.1)+(-1.560192+(-0.15096--0.899844))+0-122.6--0.250103999999995</f>
        <v>274.53879599999999</v>
      </c>
      <c r="G183" s="3">
        <f>757+(73-406.6)+(-3.08856+(-0.29784--1.658928))+0-121.5--0.495719999999989</f>
        <v>300.66824800000001</v>
      </c>
      <c r="H183" s="3">
        <f>767.9+(72-397.4)+(-1.174887+(-0.11016--0.608022))+0-128.6--0.196758000000007</f>
        <v>313.41973300000001</v>
      </c>
      <c r="I183" s="3">
        <f>774.4+(72-431.8)+(-0.394944+(-0.03672--0.220218))+0-132.3--0.0674729999999866</f>
        <v>282.15602699999994</v>
      </c>
      <c r="J183" s="3">
        <f>775.2+(71-376)+(-0.395352+(-0.03621--0.19176))+0-117.4--0.0598739999999881</f>
        <v>352.62007199999999</v>
      </c>
      <c r="K183" s="3">
        <f>779.9+(94.3-358.2)+(-0.397749+(-0.048093--0.182682))+0-139.2--0.0709919999999859</f>
        <v>376.60783200000003</v>
      </c>
      <c r="L183" s="3">
        <f>800.6+(111.2-407.6)+(-0.408306+(-0.056712--0.207876))+0-124.4--0.0634439999999874</f>
        <v>379.60630200000003</v>
      </c>
      <c r="M183" s="3">
        <f>803.1+(177-357.2)+(0.819162+(0.18054-0.364344))+0-136.7-0.139434000000022</f>
        <v>486.6959240000001</v>
      </c>
      <c r="N183" s="3">
        <f>804.6+(209.7-443.3)+(1.231038+(0.320841-0.678249))+0-119.5-0.182835000000007</f>
        <v>452.19079500000004</v>
      </c>
      <c r="O183" s="3">
        <f>790.3+(262-462.1)+(-0.806106+(-0.26724--0.471342))+0-132.6--0.135252000000021</f>
        <v>457.13324799999998</v>
      </c>
      <c r="P183" s="3">
        <f>776+(180-406.1)+(0+(0-0))+0-107.5-0</f>
        <v>442.4</v>
      </c>
      <c r="Q183" s="3">
        <f>774.3+(73.4-273.8)+(0.394893+(0.037434-0.139638))+0-120.9-0.0616589999999877</f>
        <v>453.23103000000003</v>
      </c>
      <c r="R183" s="3">
        <f>765.2+(74-293.8)+(0.390252+(0.03774-0.149838))+0-123.4-0.0629339999999875</f>
        <v>422.2152200000001</v>
      </c>
      <c r="S183" s="3">
        <f>751.6+(91.5-366.2)+(-0.383316+(-0.046665--0.186762))+0-126.7--0.0646169999999871</f>
        <v>350.02139800000003</v>
      </c>
      <c r="T183" s="3">
        <f>745.6+(98.2-394.6)+(-0.380256+(-0.050082--0.201246))+0-116.4--0.0593639999999882</f>
        <v>332.63027200000005</v>
      </c>
      <c r="U183" s="3">
        <f>735.3+(98.4-379.1)+(-0.375003+(-0.050184--0.193341))+0-120.6--0.0615059999999878</f>
        <v>333.82965999999988</v>
      </c>
      <c r="V183" s="3">
        <f>728.6+(74-288)+(-1.85793+(-0.1887--0.7344))+0-127.4--0.324869999999982</f>
        <v>386.21264000000002</v>
      </c>
      <c r="W183" s="3">
        <f>730.4+(187.3-360.2)+(-1.490016+(-0.382092--0.734808))+0-137.3--0.280091999999994</f>
        <v>419.34279199999997</v>
      </c>
      <c r="X183" s="3">
        <f>735.5+(378.3-430)+(-0.75021+(-0.385866--0.4386))+0-115.7--0.118014000000018</f>
        <v>567.52053799999987</v>
      </c>
      <c r="Y183" s="3">
        <f>747.8+(267.1-260.6)+(0.381378+(0.136221-0.132906))+0-134.6-0.0686459999999863</f>
        <v>620.01604699999996</v>
      </c>
      <c r="Z183" s="3">
        <f>756.1+(167.3-185.8)+(-0.771222+(-0.170646--0.189516))+0-148.4--0.151368000000024</f>
        <v>588.59901600000012</v>
      </c>
      <c r="AA183" s="3">
        <f>755.1+(105.2-230.8)+(-1.925505+(-0.26826--0.58854))+0-129.6--0.330479999999981</f>
        <v>498.62525499999992</v>
      </c>
      <c r="AB183" s="3">
        <f>757.5+(92.3-298)+(-1.5453+(-0.188292--0.60792))+0-119.8--0.244391999999995</f>
        <v>431.11871999999994</v>
      </c>
      <c r="AC183" s="3">
        <f>762.3+(88.2-323.1)+(-1.555092+(-0.179928--0.659124))+0-147.4--0.300695999999994</f>
        <v>379.22479999999996</v>
      </c>
      <c r="AD183" s="2">
        <v>706.39999999999986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781.2+(74.2-435.2)+(-0.398412+(-0.037842--0.221952))+0-131.9--0.0672689999999866</f>
        <v>288.1529670000001</v>
      </c>
      <c r="G184" s="3">
        <f>780+(75.1-431.6)+(-1.989+(-0.191505--1.10058))+0-141.4--0.36056999999998</f>
        <v>281.38064500000002</v>
      </c>
      <c r="H184" s="3">
        <f>778.5+(99.8-409.7)+(-2.38221+(-0.305388--1.253682))+0-140.4--0.429624000000016</f>
        <v>327.19570799999997</v>
      </c>
      <c r="I184" s="3">
        <f>781.7+(115.5-388.1)+(-2.790669+(-0.412335--1.385517))+0-147.4--0.526218000000002</f>
        <v>360.40873100000005</v>
      </c>
      <c r="J184" s="3">
        <f>799.9+(133.1-409.6)+(-1.631796+(-0.271524--0.835584))+0-127.6--0.260303999999994</f>
        <v>394.99256800000001</v>
      </c>
      <c r="K184" s="3">
        <f>811.2+(122.4-388.1)+(1.241136+(0.187272-0.593793))+0-150.8-0.230724000000009</f>
        <v>395.30389099999996</v>
      </c>
      <c r="L184" s="3">
        <f>803.6+(181.8-432.8)+(-1.639344+(-0.370872--0.882912))+0-120.7--0.246227999999995</f>
        <v>431.01892400000003</v>
      </c>
      <c r="M184" s="3">
        <f>805.7+(279.5-476.5)+(0+(0-0))+0-145-0</f>
        <v>463.70000000000005</v>
      </c>
      <c r="N184" s="3">
        <f>801.4+(412.1-559)+(0+(0-0))+0-135.5-0</f>
        <v>519</v>
      </c>
      <c r="O184" s="3">
        <f>796.5+(402.2-614.9)+(0.81243+(0.410244-0.627198))+0-144.4-0.147288000000023</f>
        <v>439.84818799999994</v>
      </c>
      <c r="P184" s="3">
        <f>791.3+(362.7-606.7)+(0.807126+(0.369954-0.618834))+0-140.4-0.143208000000022</f>
        <v>407.31503800000002</v>
      </c>
      <c r="Q184" s="3">
        <f>779.2+(284.8-507.2)+(1.192176+(0.435744-0.776016))+0-129.2-0.197676000000007</f>
        <v>428.25422800000007</v>
      </c>
      <c r="R184" s="3">
        <f>763.5+(158-283.1)+(1.168155+(0.24174-0.433143))+0-148.4-0.227052000000009</f>
        <v>490.74970000000002</v>
      </c>
      <c r="S184" s="3">
        <f>744.7+(72.1-251)+(-0.759594+(-0.073542--0.25602))+0-138.4--0.141168000000022</f>
        <v>426.96405200000009</v>
      </c>
      <c r="T184" s="3">
        <f>744.6+(70.5-298.6)+(0+(0-0))+0-135.9-0</f>
        <v>380.6</v>
      </c>
      <c r="U184" s="3">
        <f>743.3+(70.8-330.5)+(-0.758166+(-0.072216--0.33711))+0-115.5--0.117810000000018</f>
        <v>367.724538</v>
      </c>
      <c r="V184" s="3">
        <f>740+(70.8-283.9)+(-1.5096+(-0.144432--0.579156))+0-137.8--0.281111999999994</f>
        <v>388.30623600000007</v>
      </c>
      <c r="W184" s="3">
        <f>738.7+(212.4-385)+(-1.883685+(-0.54162--0.98175))+0-132.7--0.338384999999981</f>
        <v>432.29483000000005</v>
      </c>
      <c r="X184" s="3">
        <f>742.9+(309.5-499.6)+(-0.757758+(-0.31569--0.509592))+0-131.6--0.134232000000021</f>
        <v>420.77037599999994</v>
      </c>
      <c r="Y184" s="3">
        <f>749.1+(232.5-384)+(0.382041+(0.118575-0.19584))+0-147.5-0.075224999999985</f>
        <v>450.32955099999998</v>
      </c>
      <c r="Z184" s="3">
        <f>739.6+(91.5-298.4)+(-1.88598+(-0.233325--0.76092))+0-141.6--0.361079999999979</f>
        <v>390.10269499999998</v>
      </c>
      <c r="AA184" s="3">
        <f>756+(78.6-340.9)+(-0.77112+(-0.080172--0.347718))+0-149.4--0.152388000000024</f>
        <v>343.94881400000003</v>
      </c>
      <c r="AB184" s="3">
        <f>758.6+(76.9-371.4)+(-1.160658+(-0.117657--0.568242))+0-137.4--0.210222000000008</f>
        <v>326.20014899999995</v>
      </c>
      <c r="AC184" s="3">
        <f>773.4+(75.1-385.3)+(-0.394434+(-0.038301--0.196503))+0-130.6--0.0666059999999867</f>
        <v>332.43037399999992</v>
      </c>
      <c r="AD184" s="2">
        <v>681.19999999999993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768.4+(83.5-438.3)+(-0.391884+(-0.042585--0.223533))+0-140.2--0.0715019999999858</f>
        <v>273.26056599999998</v>
      </c>
      <c r="G185" s="3">
        <f>780+(70-478)+(0+(0-0))+0-131.2-0</f>
        <v>240.8</v>
      </c>
      <c r="H185" s="3">
        <f>778.3+(68-425.1)+(-1.587732+(-0.13872--0.867204))+0-122.2--0.249287999999995</f>
        <v>298.39003999999994</v>
      </c>
      <c r="I185" s="3">
        <f>786.4+(68-473.8)+(-0.401064+(-0.03468--0.241638))+0-115.9--0.0591089999999882</f>
        <v>264.56500299999999</v>
      </c>
      <c r="J185" s="3">
        <f>786.4+(68-436.5)+(0+(0-0))+0-132-0</f>
        <v>285.89999999999998</v>
      </c>
      <c r="K185" s="3">
        <f>783.1+(68-429.2)+(-1.597524+(-0.13872--0.875568))+0-126.1--0.257243999999994</f>
        <v>295.19656800000007</v>
      </c>
      <c r="L185" s="3">
        <f>780+(64-415.3)+(-1.989+(-0.1632--1.059015))+0-126.3--0.322064999999982</f>
        <v>301.62887999999998</v>
      </c>
      <c r="M185" s="3">
        <f>787.7+(99.1-354.9)+(-0.401727+(-0.050541--0.180999))+0-117.7--0.0600269999999881</f>
        <v>413.98875800000013</v>
      </c>
      <c r="N185" s="3">
        <f>790.3+(66.6-387.2)+(0.806106+(0.067932-0.394944))+0-123-0.12546000000002</f>
        <v>347.05363399999987</v>
      </c>
      <c r="O185" s="3">
        <f>784.7+(67.6-379.1)+(0+(0-0))+0-137.1-0</f>
        <v>336.1</v>
      </c>
      <c r="P185" s="3">
        <f>783.7+(72.3-360.4)+(0+(0-0))+0-141.7-0</f>
        <v>353.90000000000009</v>
      </c>
      <c r="Q185" s="3">
        <f>773.2+(71.7-379.5)+(-0.788664+(-0.073134--0.38709))+0-132.6--0.135252000000021</f>
        <v>332.46054400000003</v>
      </c>
      <c r="R185" s="3">
        <f>765+(80.8-421.5)+(0+(0-0))+0-116.7-0</f>
        <v>307.60000000000002</v>
      </c>
      <c r="S185" s="3">
        <f>753.1+(117.5-503.3)+(0+(0-0))+0-83.1-0</f>
        <v>284.20000000000005</v>
      </c>
      <c r="T185" s="3">
        <f>723.1+(130-546.5)+(0+(0-0))+0-60.7-0</f>
        <v>245.90000000000003</v>
      </c>
      <c r="U185" s="3">
        <f>716.3+(108.9-510.2)+(0+(0-0))+0-76-0</f>
        <v>239</v>
      </c>
      <c r="V185" s="3">
        <f>715.3+(70.7-450.5)+(0+(0-0))+0-64.5-0</f>
        <v>270.99999999999994</v>
      </c>
      <c r="W185" s="3">
        <f>706.1+(69-430)+(0+(0-0))+0-40.7-0</f>
        <v>304.40000000000003</v>
      </c>
      <c r="X185" s="3">
        <f>699.9+(87.6-312.1)+(0+(0-0))+0-86.6-0</f>
        <v>388.79999999999995</v>
      </c>
      <c r="Y185" s="3">
        <f>732.5+(78.7-301.3)+(0+(0-0))+0-108.1-0</f>
        <v>401.79999999999995</v>
      </c>
      <c r="Z185" s="3">
        <f>734+(79-332.5)+(0+(0-0))+0-125-0</f>
        <v>355.5</v>
      </c>
      <c r="AA185" s="3">
        <f>746.7+(81.6-321.2)+(0+(0-0))+0-150.8-0</f>
        <v>356.3</v>
      </c>
      <c r="AB185" s="3">
        <f>740+(99.1-309.5)+(0+(0-0))+0-136.6-0</f>
        <v>393</v>
      </c>
      <c r="AC185" s="3">
        <f>746+(82.8-319.8)+(0+(0-0))+0-139.6-0</f>
        <v>369.4</v>
      </c>
      <c r="AD185" s="2">
        <v>644.80000000000007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753.5+(71-386.1)+(-0.76857+(-0.07242--0.393822))+0-126.1--0.12862200000002</f>
        <v>311.98145400000004</v>
      </c>
      <c r="G186" s="3">
        <f>764.4+(68-414.5)+(-1.94922+(-0.1734--1.056975))+0-128.2--0.326909999999981</f>
        <v>288.96126499999997</v>
      </c>
      <c r="H186" s="3">
        <f>769+(68-411.7)+(-0.39219+(-0.03468--0.209967))+0-125.8--0.0641579999999872</f>
        <v>299.34725499999996</v>
      </c>
      <c r="I186" s="3">
        <f>767.3+(68-413.3)+(-0.782646+(-0.06936--0.421566))+0-127.7--0.13025400000002</f>
        <v>293.99981400000001</v>
      </c>
      <c r="J186" s="3">
        <f>774.2+(68-420)+(0.394842+(0.03468-0.2142))+0-135.8-0.0692579999999862</f>
        <v>286.54606400000006</v>
      </c>
      <c r="K186" s="3">
        <f>762.8+(101.4-405.1)+(-2.334168+(-0.310284--1.239606))+0-138.9--0.425034000000016</f>
        <v>319.22018799999995</v>
      </c>
      <c r="L186" s="3">
        <f>747.1+(108.8-382.8)+(-0.381021+(-0.055488--0.195228))+0-119.1--0.0607409999999879</f>
        <v>353.81946000000005</v>
      </c>
      <c r="M186" s="3">
        <f>734.1+(103-390.9)+(0.374391+(0.05253-0.199359))+0-124.6-0.0635459999999874</f>
        <v>321.76401600000008</v>
      </c>
      <c r="N186" s="3">
        <f>722+(185.2-346.7)+(-1.10466+(-0.283356--0.530451))+0-137.2--0.209916000000008</f>
        <v>422.65235100000001</v>
      </c>
      <c r="O186" s="3">
        <f>711.9+(117.5-389.4)+(-2.178414+(-0.35955--1.191564))+0-128.6--0.393516000000015</f>
        <v>310.44711599999999</v>
      </c>
      <c r="P186" s="3">
        <f>714.4+(78.6-373.8)+(-1.457376+(-0.160344--0.762552))+0-129.3--0.263771999999994</f>
        <v>289.30860399999995</v>
      </c>
      <c r="Q186" s="3">
        <f>718.7+(71-414)+(1.466148+(0.14484-0.84456))+0-122.4-0.249695999999995</f>
        <v>253.81673200000006</v>
      </c>
      <c r="R186" s="3">
        <f>709.2+(79.5-415.4)+(0.361692+(0.040545-0.211854))+0-145.9-0.0744089999999852</f>
        <v>227.51597400000009</v>
      </c>
      <c r="S186" s="3">
        <f>706.6+(88.7-497.2)+(0.360366+(0.045237-0.253572))+0-122.3-0.0623729999999876</f>
        <v>175.88965800000005</v>
      </c>
      <c r="T186" s="3">
        <f>698.6+(90-464.9)+(-1.425144+(-0.1836--0.948396))+0-137.6--0.280703999999994</f>
        <v>185.72035600000004</v>
      </c>
      <c r="U186" s="3">
        <f>698.6+(69.6-441.4)+(-1.425144+(-0.141984--0.900456))+0-144.2--0.294167999999994</f>
        <v>182.22749600000006</v>
      </c>
      <c r="V186" s="3">
        <f>695.8+(70.6-359.6)+(-2.484006+(-0.252042--1.283772))+0-133.2--0.475524000000002</f>
        <v>272.62324799999999</v>
      </c>
      <c r="W186" s="3">
        <f>706+(151.4-286.8)+(-0.36006+(-0.077214--0.146268))+0-147.8--0.075377999999985</f>
        <v>422.58437199999997</v>
      </c>
      <c r="X186" s="3">
        <f>733+(76.9-231.7)+(-0.74766+(-0.078438--0.236334))+0-151.7--0.154734000000024</f>
        <v>426.06497000000013</v>
      </c>
      <c r="Y186" s="3">
        <f>738.6+(80.2-314.2)+(-1.130058+(-0.122706--0.480726))+0-141.6--0.216648000000008</f>
        <v>362.44461000000007</v>
      </c>
      <c r="Z186" s="3">
        <f>734.8+(77.9-331.9)+(-1.498992+(-0.158916--0.677076))+0-146.6--0.299063999999994</f>
        <v>333.51823199999995</v>
      </c>
      <c r="AA186" s="3">
        <f>733.7+(76.5-348.9)+(-1.496748+(-0.15606--0.711756))+0-141.9--0.289475999999994</f>
        <v>318.74842400000006</v>
      </c>
      <c r="AB186" s="3">
        <f>739.7+(74.8-395.1)+(-0.754494+(-0.076296--0.403002))+0-136.6--0.139332000000022</f>
        <v>282.51154400000001</v>
      </c>
      <c r="AC186" s="3">
        <f>744+(72.9-455.2)+(-2.27664+(-0.223074--1.392912))+0-120.7--0.369342000000014</f>
        <v>240.26254000000006</v>
      </c>
      <c r="AD186" s="2">
        <v>608.69999999999993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761.3+(45-439.8)+(0+(0-0))+0-120.6-0</f>
        <v>245.89999999999995</v>
      </c>
      <c r="G187" s="3">
        <f>760.5+(43-512.9)+(-1.163565+(-0.06579--0.784737))+0-122.8--0.187884000000007</f>
        <v>167.54326600000002</v>
      </c>
      <c r="H187" s="3">
        <f>772.7+(42-469.1)+(-0.788154+(-0.04284--0.478482))+0-113.7--0.115974000000018</f>
        <v>231.66346200000007</v>
      </c>
      <c r="I187" s="3">
        <f>772.8+(42-404.8)+(-1.182384+(-0.06426--0.619344))+0-123.6--0.189108000000007</f>
        <v>285.96180800000002</v>
      </c>
      <c r="J187" s="3">
        <f>781.1+(42-400.4)+(0+(0-0))+0-117.1-0</f>
        <v>305.60000000000002</v>
      </c>
      <c r="K187" s="3">
        <f>779.3+(89.5-427.5)+(-0.794886+(-0.09129--0.43605))+0-115.1--0.117402000000018</f>
        <v>325.867276</v>
      </c>
      <c r="L187" s="3">
        <f>781.4+(230.3-445.7)+(0+(0-0))+0-104.7-0</f>
        <v>461.3</v>
      </c>
      <c r="M187" s="3">
        <f>781.2+(290.4-449.6)+(-0.398412+(-0.148104--0.229296))+0-132.4--0.0675239999999866</f>
        <v>489.35030399999999</v>
      </c>
      <c r="N187" s="3">
        <f>773.6+(313-470.8)+(-0.789072+(-0.31926--0.480216))+0-111--0.113220000000018</f>
        <v>504.28510399999999</v>
      </c>
      <c r="O187" s="3">
        <f>774.5+(320.4-460.1)+(0.78999+(0.326808-0.469302))+0-120.3-0.122706000000019</f>
        <v>515.02479000000005</v>
      </c>
      <c r="P187" s="3">
        <f>763.2+(293.7-426.6)+(-0.389232+(-0.149787--0.217566))+0-106.2--0.0541619999999892</f>
        <v>523.83270899999991</v>
      </c>
      <c r="Q187" s="3">
        <f>760.7+(142-246.6)+(-0.387957+(-0.07242--0.125766))+0-121.4--0.0619139999999877</f>
        <v>534.42730300000005</v>
      </c>
      <c r="R187" s="3">
        <f>749.8+(73.4-241.1)+(-0.764796+(-0.074868--0.245922))+0-122.9--0.12535800000002</f>
        <v>458.73161599999992</v>
      </c>
      <c r="S187" s="3">
        <f>741+(93.3-304)+(-1.13373+(-0.142749--0.46512))+0-117.1--0.179163000000007</f>
        <v>412.56780399999991</v>
      </c>
      <c r="T187" s="3">
        <f>736.5+(91.4-311.2)+(-1.126845+(-0.139842--0.476136))+0-116.1--0.177633000000007</f>
        <v>399.98708199999999</v>
      </c>
      <c r="U187" s="3">
        <f>736.6+(72.1-275.1)+(-1.126998+(-0.110313--0.420903))+0-123.3--0.188649000000007</f>
        <v>409.67224099999999</v>
      </c>
      <c r="V187" s="3">
        <f>734.8+(191.7-374.3)+(-1.87374+(-0.488835--0.954465))+0-118.2--0.301409999999983</f>
        <v>432.89329999999995</v>
      </c>
      <c r="W187" s="3">
        <f>735.3+(331.4-398.1)+(-1.125009+(-0.507042--0.609093))+0-130.5--0.199665000000008</f>
        <v>537.27670699999987</v>
      </c>
      <c r="X187" s="3">
        <f>745.4+(219.1-239)+(0+(0-0))+0-128.4-0</f>
        <v>597.1</v>
      </c>
      <c r="Y187" s="3">
        <f>748.6+(122.3-181.1)+(-1.90893+(-0.311865--0.461805))+0-125.6--0.320279999999982</f>
        <v>562.76129000000003</v>
      </c>
      <c r="Z187" s="3">
        <f>755+(78.9-259.5)+(-1.5402+(-0.160956--0.52938))+0-132.9--0.271115999999994</f>
        <v>440.59933999999998</v>
      </c>
      <c r="AA187" s="3">
        <f>756.7+(77.2-337.8)+(-1.543668+(-0.157488--0.689112))+0-138--0.281519999999994</f>
        <v>357.36947600000002</v>
      </c>
      <c r="AB187" s="3">
        <f>760.2+(76.2-362.1)+(-1.550808+(-0.155448--0.738684))+0-147.4--0.300695999999994</f>
        <v>326.23312399999998</v>
      </c>
      <c r="AC187" s="3">
        <f>760.9+(48-434.4)+(-1.164177+(-0.07344--0.664632))+0-145.1--0.222003000000008</f>
        <v>229.04901799999999</v>
      </c>
      <c r="AD187" s="2">
        <v>706.39999999999986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767.8+(71.2-469.4)+(-0.391578+(-0.036312--0.239394))+0-129.9--0.0662489999999868</f>
        <v>239.57775299999997</v>
      </c>
      <c r="G188" s="3">
        <f>763.7+(72.7-470.6)+(-1.557948+(-0.148308--0.960024))+0-141--0.287639999999994</f>
        <v>224.34140799999997</v>
      </c>
      <c r="H188" s="3">
        <f>766.6+(69.5-424.3)+(-1.172898+(-0.106335--0.649179))+0-130.6--0.199818000000008</f>
        <v>280.76976400000007</v>
      </c>
      <c r="I188" s="3">
        <f>756.4+(83.1-375.2)+(-1.157292+(-0.127143--0.574056))+0-148.2--0.226746000000009</f>
        <v>315.61636699999997</v>
      </c>
      <c r="J188" s="3">
        <f>604.2+(106.1-274.7)+(0.616284+(0.108222-0.280194))+0-135.8-0.138516000000022</f>
        <v>300.105796</v>
      </c>
      <c r="K188" s="3">
        <f>518.4+(195.4-291.3)+(-0.793152+(-0.298962--0.445689))+0-108.9--0.166617000000006</f>
        <v>313.12019200000003</v>
      </c>
      <c r="L188" s="3">
        <f>518.1+(198.4-222.8)+(0.528462+(0.202368-0.227256))+0-118.2-0.120564000000019</f>
        <v>375.88301000000007</v>
      </c>
      <c r="M188" s="3">
        <f>515.5+(228.3-275)+(0.52581+(0.232866-0.2805))+0-127.7-0.13025400000002</f>
        <v>341.44792200000001</v>
      </c>
      <c r="N188" s="3">
        <f>522.1+(179.2-268.7)+(0.266271+(0.091392-0.137037))+0-107.3-0.0547229999999891</f>
        <v>325.46590300000003</v>
      </c>
      <c r="O188" s="3">
        <f>682.1+(182.5-328.2)+(-0.347871+(-0.093075--0.167382))+0-126--0.0642599999999872</f>
        <v>410.19069600000012</v>
      </c>
      <c r="P188" s="3">
        <f>763.1+(89.7-264)+(-1.167543+(-0.137241--0.40392))+0-114.9--0.175797000000007</f>
        <v>473.17493300000001</v>
      </c>
      <c r="Q188" s="3">
        <f>777.4+(75.3-259.5)+(-0.396474+(-0.038403--0.132345))+0-131.8--0.0672179999999866</f>
        <v>461.16468599999996</v>
      </c>
      <c r="R188" s="3">
        <f>769.6+(94.3-348.8)+(1.177488+(0.144279-0.533664))+0-124.9-0.191097000000007</f>
        <v>390.79700600000001</v>
      </c>
      <c r="S188" s="3">
        <f>770+(124.3-394.4)+(0.7854+(0.126786-0.402288))+0-112.8-0.115056000000018</f>
        <v>387.49484200000001</v>
      </c>
      <c r="T188" s="3">
        <f>767.2+(100-399.8)+(-0.782544+(-0.102--0.407796))+0-110.3--0.112506000000018</f>
        <v>356.73575800000003</v>
      </c>
      <c r="U188" s="3">
        <f>754+(74.9-353)+(-1.9227+(-0.190995--0.90015))+0-135.5--0.34552499999998</f>
        <v>339.53197999999992</v>
      </c>
      <c r="V188" s="3">
        <f>756.6+(89.6-309.2)+(-1.92933+(-0.22848--0.78846))+0-117.1--0.298604999999983</f>
        <v>418.82925499999993</v>
      </c>
      <c r="W188" s="3">
        <f>758+(232.7-364.6)+(-0.77316+(-0.237354--0.371892))+0-136.1--0.138822000000022</f>
        <v>489.50019999999984</v>
      </c>
      <c r="X188" s="3">
        <f>764.2+(97.4-181.4)+(-0.389742+(-0.049674--0.092514))+0-145.2--0.0740519999999853</f>
        <v>534.72714999999994</v>
      </c>
      <c r="Y188" s="3">
        <f>788.6+(79-244.9)+(-1.608744+(-0.16116--0.499596))+0-135.4--0.276215999999994</f>
        <v>486.30590800000004</v>
      </c>
      <c r="Z188" s="3">
        <f>764.7+(81.6-320.5)+(-1.169991+(-0.124848--0.490365))+0-111--0.169830000000006</f>
        <v>414.16535600000003</v>
      </c>
      <c r="AA188" s="3">
        <f>755.3+(79.9-368.2)+(-2.311218+(-0.244494--1.126692))+0-123.9--0.379134000000014</f>
        <v>342.05011400000001</v>
      </c>
      <c r="AB188" s="3">
        <f>766.5+(79.2-318.6)+(-1.172745+(-0.121176--0.487458))+0-131.8--0.201654000000008</f>
        <v>394.69519099999991</v>
      </c>
      <c r="AC188" s="3">
        <f>768.4+(78.2-341)+(0+(0-0))+0-116.4-0</f>
        <v>389.19999999999993</v>
      </c>
      <c r="AD188" s="2">
        <v>678.90000000000009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768.7+(46-354.3)+(-0.392037+(-0.02346--0.180693))+0-130.2--0.0664019999999868</f>
        <v>330.03159800000003</v>
      </c>
      <c r="G189" s="3">
        <f>762.5+(49.7-358.4)+(-1.5555+(-0.101388--0.731136))+0-132.3--0.269891999999994</f>
        <v>320.84413999999998</v>
      </c>
      <c r="H189" s="3">
        <f>765.8+(75-365.3)+(-0.390558+(-0.03825--0.186303))+0-141.3--0.0720629999999857</f>
        <v>334.02955799999989</v>
      </c>
      <c r="I189" s="3">
        <f>769.9+(117.2-360.9)+(-0.785298+(-0.119544--0.368118))+0-140.1--0.142902000000022</f>
        <v>385.70617800000002</v>
      </c>
      <c r="J189" s="3">
        <f>782.3+(145.7-382)+(1.196919+(0.222921-0.58446))+0-116.6-0.178398000000007</f>
        <v>430.05698199999995</v>
      </c>
      <c r="K189" s="3">
        <f>675.4+(216.6-353.9)+(-1.033362+(-0.331398--0.541467))+0-110.8--0.169524000000006</f>
        <v>426.646231</v>
      </c>
      <c r="L189" s="3">
        <f>635.8+(355.2-341.6)+(-0.324258+(-0.181152--0.174216))+0-119.5--0.0609449999999879</f>
        <v>529.62975099999983</v>
      </c>
      <c r="M189" s="3">
        <f>631.9+(344.2-323.3)+(1.289076+(0.702168-0.659532))+0-103.9-0.211955999999995</f>
        <v>550.01975600000003</v>
      </c>
      <c r="N189" s="3">
        <f>629.5+(305.5-294.5)+(-0.321045+(-0.155805--0.150195))+0-113.5--0.0578849999999885</f>
        <v>526.73122999999998</v>
      </c>
      <c r="O189" s="3">
        <f>717.1+(290.3-337.4)+(0.365721+(0.148053-0.172074))+0-110.1-0.0561509999999888</f>
        <v>560.18554899999992</v>
      </c>
      <c r="P189" s="3">
        <f>720.6+(224.5-345.7)+(0+(0-0))+0-118.8-0</f>
        <v>480.60000000000008</v>
      </c>
      <c r="Q189" s="3">
        <f>776.5+(164.8-323.5)+(0.79203+(0.168096-0.32997))+0-125-0.12750000000002</f>
        <v>493.30265600000001</v>
      </c>
      <c r="R189" s="3">
        <f>788.3+(74.7-265.1)+(-1.206099+(-0.114291--0.405603))+0-118.4--0.181152000000007</f>
        <v>478.76636499999984</v>
      </c>
      <c r="S189" s="3">
        <f>785.9+(76.8-347.5)+(-1.202427+(-0.117504--0.531675))+0-129--0.197370000000007</f>
        <v>385.60911400000003</v>
      </c>
      <c r="T189" s="3">
        <f>776.9+(76.5-368.2)+(-1.981095+(-0.195075--0.93891))+0-135.7--0.34603499999998</f>
        <v>348.60877499999998</v>
      </c>
      <c r="U189" s="3">
        <f>771.8+(74.7-329.4)+(-2.361708+(-0.228582--1.007964))+0-132.1--0.404226000000015</f>
        <v>383.82189999999991</v>
      </c>
      <c r="V189" s="3">
        <f>785+(193.2-386.5)+(-2.80245+(-0.689724--1.379805))+0-138.4--0.494088000000002</f>
        <v>451.6817190000001</v>
      </c>
      <c r="W189" s="3">
        <f>777.1+(362.7-389.2)+(-0.792642+(-0.369954--0.396984))+0-140--0.142800000000022</f>
        <v>609.97718799999996</v>
      </c>
      <c r="X189" s="3">
        <f>788+(265.3-303)+(-1.20564+(-0.405909--0.46359))+0-116.5--0.178245000000007</f>
        <v>632.830286</v>
      </c>
      <c r="Y189" s="3">
        <f>764.9+(103.7-225)+(-1.560396+(-0.211548--0.459))+0-146.5--0.298859999999994</f>
        <v>496.085916</v>
      </c>
      <c r="Z189" s="3">
        <f>771.9+(83.6-249.5)+(-1.968345+(-0.21318--0.636225))+0-140.1--0.35725499999998</f>
        <v>464.71195499999993</v>
      </c>
      <c r="AA189" s="3">
        <f>767.2+(79-274.3)+(-2.347632+(-0.24174--0.839358))+0-143.3--0.438498000000017</f>
        <v>427.28848400000015</v>
      </c>
      <c r="AB189" s="3">
        <f>774+(79.1-276.5)+(-1.57896+(-0.161364--0.56406))+0-147.6--0.301103999999994</f>
        <v>428.12484000000006</v>
      </c>
      <c r="AC189" s="3">
        <f>753.4+(74.9-295.4)+(-1.92117+(-0.190995--0.75327))+0-134.9--0.34399499999998</f>
        <v>396.98510000000005</v>
      </c>
      <c r="AD189" s="2">
        <v>660.40000000000009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760.7+(87.9-336.7)+(-0.387957+(-0.044829--0.171717))+0-126.6--0.0645659999999871</f>
        <v>385.10349700000006</v>
      </c>
      <c r="G190" s="3">
        <f>644+(131.7-276.2)+(-0.65688+(-0.134334--0.281724))+0-123.5--0.12597000000002</f>
        <v>375.61647999999997</v>
      </c>
      <c r="H190" s="3">
        <f>608.9+(136.3-228.3)+(-0.310539+(-0.069513--0.116433))+0-131.2--0.0669119999999867</f>
        <v>385.50329300000004</v>
      </c>
      <c r="I190" s="3">
        <f>601.5+(106-177)+(-1.533825+(-0.2703--0.45135))+0-138.1--0.35215499999998</f>
        <v>391.39938000000001</v>
      </c>
      <c r="J190" s="3">
        <f>612.3+(129.3-198.3)+(0.312273+(0.065943-0.101133))+0-131.4-0.0670139999999867</f>
        <v>412.11006899999995</v>
      </c>
      <c r="K190" s="3">
        <f>606.7+(241.2-302.9)+(-1.547085+(-0.61506--0.772395))+0-127.1--0.324104999999982</f>
        <v>416.8343549999999</v>
      </c>
      <c r="L190" s="3">
        <f>609.8+(368.5-373.7)+(-0.310998+(-0.187935--0.190587))+0-121.5--0.0619649999999877</f>
        <v>482.85361899999987</v>
      </c>
      <c r="M190" s="3">
        <f>609.8+(362.2-366.4)+(-0.310998+(-0.184722--0.186864))+0-128.3--0.065432999999987</f>
        <v>477.05657699999989</v>
      </c>
      <c r="N190" s="3">
        <f>618+(305.2-349.5)+(0+(0-0))+0-123.6-0</f>
        <v>450.1</v>
      </c>
      <c r="O190" s="3">
        <f>702.4+(251-370.1)+(0+(0-0))+0-128.1-0</f>
        <v>455.19999999999993</v>
      </c>
      <c r="P190" s="3">
        <f>767.7+(228.9-374.1)+(-0.783054+(-0.233478--0.381582))+0-132.6--0.135252000000021</f>
        <v>489.40030200000001</v>
      </c>
      <c r="Q190" s="3">
        <f>794+(74.6-359.3)+(-0.40494+(-0.038046--0.183243))+0-125.8--0.0641579999999872</f>
        <v>383.30441499999989</v>
      </c>
      <c r="R190" s="3">
        <f>796.6+(49-368.3)+(-0.812532+(-0.04998--0.375666))+0-137.2--0.139944000000022</f>
        <v>339.75309800000002</v>
      </c>
      <c r="S190" s="3">
        <f>791.9+(49-391.7)+(-1.211607+(-0.07497--0.599301))+0-120.5--0.184365000000007</f>
        <v>328.19708900000001</v>
      </c>
      <c r="T190" s="3">
        <f>785.7+(49-313.8)+(-0.400707+(-0.02499--0.160038))+0-132.4--0.0675239999999866</f>
        <v>388.30186500000008</v>
      </c>
      <c r="U190" s="3">
        <f>775.9+(85.5-272)+(-1.978545+(-0.218025--0.6936))+0-123.7--0.315434999999982</f>
        <v>464.51246499999996</v>
      </c>
      <c r="V190" s="3">
        <f>780.8+(262.2-347.2)+(-0.796416+(-0.267444--0.354144))+0-129.8--0.132396000000021</f>
        <v>565.4226799999999</v>
      </c>
      <c r="W190" s="3">
        <f>791.2+(386.7-345.6)+(-1.210536+(-0.591651--0.528768))+0-132.8--0.203184000000008</f>
        <v>698.42976499999986</v>
      </c>
      <c r="X190" s="3">
        <f>802.2+(263-260.5)+(-0.409122+(-0.13413--0.132855))+0-133.1--0.0678809999999865</f>
        <v>671.25748399999998</v>
      </c>
      <c r="Y190" s="3">
        <f>798.2+(176.1-245.8)+(-2.442492+(-0.538866--0.752148))+0-129.6--0.396576000000015</f>
        <v>597.06736599999999</v>
      </c>
      <c r="Z190" s="3">
        <f>810.3+(102.7-221.5)+(-0.413253+(-0.052377--0.112965))+0-134.5--0.0685949999999864</f>
        <v>556.71592999999996</v>
      </c>
      <c r="AA190" s="3">
        <f>793.2+(74-205.8)+(-0.404532+(-0.03774--0.104958))+0-127.7--0.065126999999987</f>
        <v>533.42781300000001</v>
      </c>
      <c r="AB190" s="3">
        <f>760.3+(108.1-167.2)+(-1.938765+(-0.275655--0.42636))+0-120.8--0.308039999999982</f>
        <v>578.91998000000001</v>
      </c>
      <c r="AC190" s="3">
        <f>770.1+(168.7-128.8)+(-1.178253+(-0.258111--0.197064))+0-123.8--0.189414000000007</f>
        <v>685.15011400000014</v>
      </c>
      <c r="AD190" s="2">
        <v>720.69999999999993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772.7+(219-213.4)+(-1.576308+(-0.44676--0.435336))+0-128.6--0.262343999999994</f>
        <v>648.37461200000007</v>
      </c>
      <c r="G191" s="3">
        <f>780.9+(195.3-239.7)+(-1.991295+(-0.498015--0.611235))+0-131.5--0.335324999999981</f>
        <v>603.45725000000004</v>
      </c>
      <c r="H191" s="3">
        <f>779.2+(206.7-278.3)+(-1.98696+(-0.527085--0.709665))+0-134.5--0.34297499999998</f>
        <v>571.63859500000001</v>
      </c>
      <c r="I191" s="3">
        <f>747.3+(191.8-249.3)+(-0.381123+(-0.097818--0.127143))+0-126.6--0.0645659999999871</f>
        <v>562.91276799999991</v>
      </c>
      <c r="J191" s="3">
        <f>743.7+(231.2-298)+(-0.758574+(-0.235824--0.30396))+0-137.2--0.139944000000022</f>
        <v>539.1495060000002</v>
      </c>
      <c r="K191" s="3">
        <f>739.9+(327-386.8)+(-1.886745+(-0.83385--0.98634))+0-123.3--0.314414999999982</f>
        <v>555.38015999999993</v>
      </c>
      <c r="L191" s="3">
        <f>749.1+(392.6-307.8)+(0+(0-0))+0-132.4-0</f>
        <v>701.50000000000011</v>
      </c>
      <c r="M191" s="3">
        <f>749.1+(448.4-306)+(-0.382041+(-0.228684--0.15606))+0-131--0.0668099999999867</f>
        <v>760.11214500000006</v>
      </c>
      <c r="N191" s="3">
        <f>773+(466.9-322.8)+(-0.78846+(-0.476238--0.329256))+0-132.6--0.135252000000021</f>
        <v>783.69980999999996</v>
      </c>
      <c r="O191" s="3">
        <f>800.2+(557-351.7)+(-0.408102+(-0.28407--0.179367))+0-139.3--0.0710429999999859</f>
        <v>865.75823800000001</v>
      </c>
      <c r="P191" s="3">
        <f>850.1+(451.2-289.3)+(0.867102+(0.460224-0.295086))+0-125.2-0.12770400000002</f>
        <v>887.70453599999996</v>
      </c>
      <c r="Q191" s="3">
        <f>849.4+(348.2-191.3)+(0+(0-0))+0-132-0</f>
        <v>874.3</v>
      </c>
      <c r="R191" s="3">
        <f>847.5+(227.5-87.7)+(0.432225+(0.116025-0.044727))+0-134-0.0683399999999864</f>
        <v>853.73518299999989</v>
      </c>
      <c r="S191" s="3">
        <f>839.2+(196.9-102.9)+(0.855984+(0.200838-0.104958))+0-134.4-0.137088000000021</f>
        <v>799.61477600000001</v>
      </c>
      <c r="T191" s="3">
        <f>831.6+(195.4-109)+(-0.848232+(-0.199308--0.11118))+0-122.4--0.12484800000002</f>
        <v>794.78848800000003</v>
      </c>
      <c r="U191" s="3">
        <f>823.3+(191.8-76.6)+(-2.939181+(-0.684726--0.273462))+0-130.6--0.466242000000002</f>
        <v>805.01579699999991</v>
      </c>
      <c r="V191" s="3">
        <f>829.7+(360.7-172.6)+(-0.846294+(-0.367914--0.176052))+0-122--0.124440000000019</f>
        <v>894.88628400000016</v>
      </c>
      <c r="W191" s="3">
        <f>836.1+(454.7-183.2)+(0+(0-0))+0-132.6-0</f>
        <v>974.99999999999989</v>
      </c>
      <c r="X191" s="3">
        <f>840.8+(363.3-67.7)+(-0.428808+(-0.185283--0.034527))+0-137.3--0.0700229999999861</f>
        <v>998.59045900000024</v>
      </c>
      <c r="Y191" s="3">
        <f>842.4+(298.9-61.2)+(-1.718496+(-0.609756--0.124848))+0-144.7--0.295187999999994</f>
        <v>933.49178399999971</v>
      </c>
      <c r="Z191" s="3">
        <f>778.8+(233.6-93.5)+(-0.794376+(-0.238272--0.09537))+0-138.4--0.141168000000022</f>
        <v>779.70389</v>
      </c>
      <c r="AA191" s="3">
        <f>773.6+(171.6-123.4)+(-0.394536+(-0.087516--0.062934))+0-140.7--0.0717569999999857</f>
        <v>680.75263899999982</v>
      </c>
      <c r="AB191" s="3">
        <f>763.6+(172.7-121.8)+(-2.726052+(-0.616539--0.434826))+0-147.2--0.525504000000002</f>
        <v>664.91773899999998</v>
      </c>
      <c r="AC191" s="3">
        <f>777.3+(199-195.1)+(0.396423+(0.10149-0.099501))+0-141.2-0.0720119999999857</f>
        <v>640.32640000000004</v>
      </c>
      <c r="AD191" s="2">
        <v>716.7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774.2+(177.1-275.9)+(-1.184526+(-0.270963--0.422127))+0-145.9--0.223227000000008</f>
        <v>528.68986500000005</v>
      </c>
      <c r="G192" s="3">
        <f>774.3+(160.2-337)+(-1.184679+(-0.245106--0.51561))+0-148--0.226440000000009</f>
        <v>448.81226500000002</v>
      </c>
      <c r="H192" s="3">
        <f>774.9+(136.4-354.9)+(-1.975995+(-0.34782--0.904995))+0-135.3--0.34501499999998</f>
        <v>420.02619499999997</v>
      </c>
      <c r="I192" s="3">
        <f>779.3+(104.2-312.8)+(-0.794886+(-0.106284--0.319056))+0-143.4--0.146268000000023</f>
        <v>426.86415399999993</v>
      </c>
      <c r="J192" s="3">
        <f>781.2+(95.6-259.3)+(0+(0-0))+0-152.3-0</f>
        <v>465.2</v>
      </c>
      <c r="K192" s="3">
        <f>776.5+(111.8-244.4)+(-1.188045+(-0.171054--0.373932))+0-149.4--0.228582000000009</f>
        <v>493.74341499999997</v>
      </c>
      <c r="L192" s="3">
        <f>783.7+(141.1-244.8)+(0.399687+(0.071961-0.124848))+0-141-0.0719099999999857</f>
        <v>539.27489000000003</v>
      </c>
      <c r="M192" s="3">
        <f>780.2+(142.6-206.5)+(-0.397902+(-0.072726--0.105315))+0-146.7--0.0748169999999851</f>
        <v>569.30950400000006</v>
      </c>
      <c r="N192" s="3">
        <f>773+(170.5-228.1)+(-0.78846+(-0.17391--0.232662))+0-152.8--0.155856000000024</f>
        <v>562.02614800000003</v>
      </c>
      <c r="O192" s="3">
        <f>767+(284.4-241.2)+(-0.39117+(-0.145044--0.123012))+0-158.9--0.0810389999999839</f>
        <v>650.96783700000015</v>
      </c>
      <c r="P192" s="3">
        <f>772+(191-124.5)+(0.78744+(0.19482-0.12699))+0-147.3-0.150246000000024</f>
        <v>691.90502400000003</v>
      </c>
      <c r="Q192" s="3">
        <f>771+(194.4-89.7)+(1.17963+(0.297432-0.137241))+0-151.8-0.232254000000009</f>
        <v>725.00756700000011</v>
      </c>
      <c r="R192" s="3">
        <f>754.5+(282.6-192.7)+(-1.154385+(-0.432378--0.294831))+0-126.2--0.193086000000007</f>
        <v>717.10115400000007</v>
      </c>
      <c r="S192" s="3">
        <f>744.8+(261.6-280.1)+(0+(0-0))+0-86.8-0</f>
        <v>639.5</v>
      </c>
      <c r="T192" s="3">
        <f>729.5+(220.7-281.5)+(-1.116135+(-0.337671--0.430695))+0-86.9--0.132957000000005</f>
        <v>580.90984600000013</v>
      </c>
      <c r="U192" s="3">
        <f>724.2+(117.4-184.4)+(-2.216052+(-0.359244--0.564264))+0-83.6--0.25581600000001</f>
        <v>571.844784</v>
      </c>
      <c r="V192" s="3">
        <f>724.9+(185.1-202.3)+(-2.218194+(-0.566406--0.619038))+0-77.7--0.237762000000009</f>
        <v>628.07219999999984</v>
      </c>
      <c r="W192" s="3">
        <f>740.7+(330.2-213.5)+(-1.511028+(-0.673608--0.43554))+0-104.2--0.212567999999995</f>
        <v>751.66347200000007</v>
      </c>
      <c r="X192" s="3">
        <f>751+(263.1-93.7)+(0+(0-0))+0-91.5-0</f>
        <v>828.90000000000009</v>
      </c>
      <c r="Y192" s="3">
        <f>748.4+(275-128.2)+(-3.435156+(-1.26225--0.588438))+0-127.2--0.583848000000022</f>
        <v>764.47487999999998</v>
      </c>
      <c r="Z192" s="3">
        <f>766.8+(220.1-219.5)+(-1.95534+(-0.561255--0.559725))+0-125.8--0.320789999999982</f>
        <v>639.96392000000003</v>
      </c>
      <c r="AA192" s="3">
        <f>772.6+(166.3-238.2)+(-1.182078+(-0.254439--0.364446))+0-133.8--0.204714000000008</f>
        <v>566.03264300000001</v>
      </c>
      <c r="AB192" s="3">
        <f>777.3+(144.5-267.2)+(-1.189269+(-0.221085--0.408816))+0-139.1--0.212823000000008</f>
        <v>514.71128499999986</v>
      </c>
      <c r="AC192" s="3">
        <f>776.7+(145.7-278.7)+(-1.188351+(-0.222921--0.426411))+0-126.1--0.192933000000007</f>
        <v>516.80807200000004</v>
      </c>
      <c r="AD192" s="2">
        <v>664.1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775.9+(144.8-293.6)+(-1.582836+(-0.295392--0.598944))+0-137.2--0.279887999999994</f>
        <v>488.90060399999993</v>
      </c>
      <c r="G193" s="3">
        <f>785.1+(92.3-263)+(0.400401+(0.047073-0.13413))+0-133.4-0.0680339999999865</f>
        <v>481.24531000000013</v>
      </c>
      <c r="H193" s="3">
        <f>781.7+(96.9-211.4)+(-0.398667+(-0.049419--0.107814))+0-140.3--0.0715529999999858</f>
        <v>526.63128099999994</v>
      </c>
      <c r="I193" s="3">
        <f>779.3+(112.7-196.3)+(-1.192329+(-0.172431--0.300339))+0-140.6--0.215118000000008</f>
        <v>554.25069699999983</v>
      </c>
      <c r="J193" s="3">
        <f>783.4+(123.3-203.3)+(-0.399534+(-0.062883--0.103683))+0-141--0.0719099999999857</f>
        <v>562.11317599999995</v>
      </c>
      <c r="K193" s="3">
        <f>776.8+(118.2-212.5)+(-1.98084+(-0.30141--0.541875))+0-142.1--0.362354999999979</f>
        <v>539.02197999999999</v>
      </c>
      <c r="L193" s="3">
        <f>788.5+(103.3-283.6)+(0+(0-0))+0-132-0</f>
        <v>476.20000000000005</v>
      </c>
      <c r="M193" s="3">
        <f>782.1+(115.5-269.7)+(-2.393226+(-0.35343--0.825282))+0-137.9--0.421974000000016</f>
        <v>488.50060000000013</v>
      </c>
      <c r="N193" s="3">
        <f>782.1+(117.3-268.5)+(-0.398871+(-0.059823--0.136935))+0-126.9--0.0647189999999871</f>
        <v>503.74296000000004</v>
      </c>
      <c r="O193" s="3">
        <f>776.9+(129.6-228.1)+(-1.188657+(-0.198288--0.348993))+0-146--0.223380000000008</f>
        <v>531.58542799999998</v>
      </c>
      <c r="P193" s="3">
        <f>765.6+(132.7-204.6)+(-1.171368+(-0.203031--0.313038))+0-140.6--0.215118000000008</f>
        <v>552.25375699999995</v>
      </c>
      <c r="Q193" s="3">
        <f>749.9+(138.4-177.4)+(-0.764898+(-0.141168--0.180948))+0-149.7--0.152694000000024</f>
        <v>560.62757599999998</v>
      </c>
      <c r="R193" s="3">
        <f>754.8+(187.8-230.7)+(0.769896+(0.191556-0.235314))+0-142.5-0.145350000000023</f>
        <v>569.98078799999996</v>
      </c>
      <c r="S193" s="3">
        <f>745.5+(231-347.4)+(-1.140615+(-0.35343--0.531522))+0-130.3--0.199359000000008</f>
        <v>498.03683599999999</v>
      </c>
      <c r="T193" s="3">
        <f>734.7+(142.7-390.5)+(-1.124091+(-0.218331--0.597465))+0-135.9--0.207927000000008</f>
        <v>350.46296999999998</v>
      </c>
      <c r="U193" s="3">
        <f>735.6+(93.6-349.6)+(-1.87578+(-0.23868--0.89148))+0-117--0.298349999999983</f>
        <v>361.67536999999999</v>
      </c>
      <c r="V193" s="3">
        <f>738.1+(108.3-220.9)+(-1.882155+(-0.276165--0.563295))+0-139.2--0.35495999999998</f>
        <v>485.05993500000005</v>
      </c>
      <c r="W193" s="3">
        <f>747+(217.3-145.6)+(-0.76194+(-0.221646--0.148512))+0-145.3--0.148206000000023</f>
        <v>672.71313200000009</v>
      </c>
      <c r="X193" s="3">
        <f>757.1+(174.1-97.4)+(-0.386121+(-0.088791--0.049674))+0-158.7--0.0809369999999839</f>
        <v>674.75569899999982</v>
      </c>
      <c r="Y193" s="3">
        <f>763+(137.8-146.1)+(-0.77826+(-0.140556--0.149022))+0-141.8--0.144636000000023</f>
        <v>612.27484200000004</v>
      </c>
      <c r="Z193" s="3">
        <f>761+(154.7-203.5)+(-1.94055+(-0.394485--0.518925))+0-149.6--0.381479999999978</f>
        <v>561.16537000000005</v>
      </c>
      <c r="AA193" s="3">
        <f>765.4+(170.7-290.3)+(-0.390354+(-0.087057--0.148053))+0-156.9--0.0800189999999841</f>
        <v>488.65066100000001</v>
      </c>
      <c r="AB193" s="3">
        <f>760.9+(157.4-356)+(-1.940295+(-0.40137--0.9078))+0-143.5--0.365924999999979</f>
        <v>417.73205999999999</v>
      </c>
      <c r="AC193" s="3">
        <f>767.9+(134.4-398.5)+(-0.783258+(-0.137088--0.40647))+0-146.4--0.149328000000023</f>
        <v>357.03545200000002</v>
      </c>
      <c r="AD193" s="2">
        <v>635.29999999999995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763.9+(81.5-455.3)+(-1.947945+(-0.207825--1.161015))+0-118.1--0.301154999999983</f>
        <v>271.30639999999994</v>
      </c>
      <c r="G194" s="3">
        <f>734.5+(74.6-400.4)+(-1.123785+(-0.114138--0.612612))+0-149.9--0.229347000000009</f>
        <v>258.40403600000008</v>
      </c>
      <c r="H194" s="3">
        <f>728.7+(75.9-379.2)+(-1.858185+(-0.193545--0.96696))+0-136--0.34679999999998</f>
        <v>288.66203000000007</v>
      </c>
      <c r="I194" s="3">
        <f>726.7+(90.9-356)+(-1.482468+(-0.185436--0.72624))+0-139.1--0.283763999999994</f>
        <v>321.84210000000007</v>
      </c>
      <c r="J194" s="3">
        <f>731.5+(78.5-340.7)+(-1.119195+(-0.120105--0.521271))+0-139.6--0.213588000000008</f>
        <v>329.19555900000006</v>
      </c>
      <c r="K194" s="3">
        <f>735.4+(65-294)+(-0.375054+(-0.03315--0.14994))+0-143.5--0.0731849999999854</f>
        <v>362.71492099999995</v>
      </c>
      <c r="L194" s="3">
        <f>739.7+(74.3-278.7)+(1.131741+(0.113679-0.426411))+0-132.4-0.202572000000008</f>
        <v>403.51643700000011</v>
      </c>
      <c r="M194" s="3">
        <f>736.6+(64.3-271.9)+(1.126998+(0.098379-0.416007))+0-145-0.221850000000008</f>
        <v>384.58751999999993</v>
      </c>
      <c r="N194" s="3">
        <f>732+(68.6-320.1)+(0+(0-0))+0-140.9-0</f>
        <v>339.6</v>
      </c>
      <c r="O194" s="3">
        <f>729.5+(70.3-345.3)+(0+(0-0))+0-141-0</f>
        <v>313.5</v>
      </c>
      <c r="P194" s="3">
        <f>729.7+(71.9-342)+(0+(0-0))+0-136.1-0</f>
        <v>323.5</v>
      </c>
      <c r="Q194" s="3">
        <f>728.5+(91.1-357.3)+(-1.114605+(-0.139383--0.546669))+0-147.1--0.225063000000008</f>
        <v>314.71774399999998</v>
      </c>
      <c r="R194" s="3">
        <f>714.2+(121.1-405.5)+(-2.185452+(-0.370566--1.24083))+0-150--0.459000000000017</f>
        <v>278.94381200000009</v>
      </c>
      <c r="S194" s="3">
        <f>717.8+(152.3-507.4)+(-0.732156+(-0.155346--0.517548))+0-156.3--0.159426000000025</f>
        <v>206.18947199999999</v>
      </c>
      <c r="T194" s="3">
        <f>723.2+(162.9-507.3)+(-0.368832+(-0.083079--0.258723))+0-149.6--0.0762959999999848</f>
        <v>229.08310800000004</v>
      </c>
      <c r="U194" s="3">
        <f>727.6+(71.3-417.5)+(-0.742152+(-0.072726--0.42585))+0-143.1--0.145962000000023</f>
        <v>238.05693400000007</v>
      </c>
      <c r="V194" s="3">
        <f>728.5+(66.1-229.4)+(-1.114605+(-0.101133--0.350982))+0-153.4--0.234702000000009</f>
        <v>411.16994600000004</v>
      </c>
      <c r="W194" s="3">
        <f>740.6+(269-135.2)+(1.510824+(0.54876-0.275808))+0-142-0.289679999999994</f>
        <v>733.8940960000001</v>
      </c>
      <c r="X194" s="3">
        <f>780.4+(231.9-66.6)+(0.796008+(0.236538-0.067932))+0-137.6-0.140352000000022</f>
        <v>808.924262</v>
      </c>
      <c r="Y194" s="3">
        <f>787.5+(225.1-115.3)+(0.80325+(0.229602-0.117606))+0-124.8-0.12729600000002</f>
        <v>773.28795000000002</v>
      </c>
      <c r="Z194" s="3">
        <f>786.3+(191.7-109)+(0+(0-0))+0-151.3-0</f>
        <v>717.7</v>
      </c>
      <c r="AA194" s="3">
        <f>791+(194.4-168.8)+(0.40341+(0.099144-0.086088))+0-146-0.0744599999999852</f>
        <v>670.94200600000011</v>
      </c>
      <c r="AB194" s="3">
        <f>780.2+(120.7-156.3)+(-1.98951+(-0.307785--0.398565))+0-137.7--0.35113499999998</f>
        <v>605.35240499999998</v>
      </c>
      <c r="AC194" s="3">
        <f>790.2+(99.4-252.6)+(-1.612008+(-0.202776--0.515304))+0-125.1--0.255203999999995</f>
        <v>510.85572399999995</v>
      </c>
      <c r="AD194" s="2">
        <v>690.49999999999989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799.1+(64-317.4)+(-1.630164+(-0.13056--0.647496))+0-122.5--0.249899999999995</f>
        <v>422.33667199999996</v>
      </c>
      <c r="G195" s="3">
        <f>798+(64-329.5)+(-2.84886+(-0.22848--1.176315))+0-123.3--0.440181000000002</f>
        <v>407.73915599999998</v>
      </c>
      <c r="H195" s="3">
        <f>813.8+(65.2-336.9)+(0.830076+(0.066504-0.343638))+0-133.9-0.136578000000021</f>
        <v>408.61636399999992</v>
      </c>
      <c r="I195" s="3">
        <f>804+(73-324.1)+(-1.64016+(-0.14892--0.661164))+0-142.5--0.290699999999994</f>
        <v>409.56278399999997</v>
      </c>
      <c r="J195" s="3">
        <f>813.8+(105.4-309.9)+(0.830076+(0.107508-0.316098))+0-158.7-0.161874000000025</f>
        <v>451.05961199999996</v>
      </c>
      <c r="K195" s="3">
        <f>807.1+(170.8-367.5)+(-1.234863+(-0.261324--0.562275))+0-156.2--0.238986000000009</f>
        <v>453.50507400000015</v>
      </c>
      <c r="L195" s="3">
        <f>811.9+(206.8-349.9)+(0+(0-0))+0-144-0</f>
        <v>524.79999999999995</v>
      </c>
      <c r="M195" s="3">
        <f>806.7+(201.2-350.1)+(-1.234251+(-0.307836--0.535653))+0-168.6--0.25795800000001</f>
        <v>488.45152399999995</v>
      </c>
      <c r="N195" s="3">
        <f>811.8+(150.6-392.3)+(0.414018+(0.076806-0.200073))+0-147.6-0.075275999999985</f>
        <v>422.71547499999991</v>
      </c>
      <c r="O195" s="3">
        <f>805.2+(167-405.6)+(-0.821304+(-0.17034--0.413712))+0-170.3--0.173706000000027</f>
        <v>395.89577400000002</v>
      </c>
      <c r="P195" s="3">
        <f>801.2+(118-385.7)+(-0.408612+(-0.06018--0.196707))+0-143.6--0.0732359999999854</f>
        <v>389.70115100000004</v>
      </c>
      <c r="Q195" s="3">
        <f>686.7+(75-226.5)+(1.050651+(0.11475-0.346545))+0-167.6-0.25642800000001</f>
        <v>368.16242799999998</v>
      </c>
      <c r="R195" s="3">
        <f>594+(107.2-179.2)+(-1.21176+(-0.218688--0.365568))+0-164.7--0.335987999999993</f>
        <v>356.57110799999998</v>
      </c>
      <c r="S195" s="3">
        <f>663.6+(107.4-319.2)+(1.353744+(0.219096-0.651168))+0-158.8-0.323951999999993</f>
        <v>293.59772000000004</v>
      </c>
      <c r="T195" s="3">
        <f>761.6+(78.2-384.2)+(-0.388416+(-0.039882--0.195942))+0-152.5--0.0777749999999845</f>
        <v>302.94541900000002</v>
      </c>
      <c r="U195" s="3">
        <f>763.7+(68-337.3)+(-1.947435+(-0.1734--0.860115))+0-144.3--0.367964999999979</f>
        <v>349.207245</v>
      </c>
      <c r="V195" s="3">
        <f>738.5+(104.3-194.3)+(-2.636445+(-0.372351--0.693651))+0-152.5--0.544425000000002</f>
        <v>494.22927999999996</v>
      </c>
      <c r="W195" s="3">
        <f>739.8+(160.5-108.6)+(-1.131894+(-0.245565--0.166158))+0-157.4--0.240822000000009</f>
        <v>633.32952099999989</v>
      </c>
      <c r="X195" s="3">
        <f>743.4+(157.3-94)+(-1.516536+(-0.320892--0.19176))+0-173.6--0.354143999999992</f>
        <v>631.80847600000004</v>
      </c>
      <c r="Y195" s="3">
        <f>742.3+(158.7-171.8)+(-1.892865+(-0.404685--0.43809))+0-149.9--0.382244999999978</f>
        <v>577.82278499999995</v>
      </c>
      <c r="Z195" s="3">
        <f>747.2+(148.3-187.8)+(-1.524288+(-0.302532--0.383112))+0-153.6--0.313343999999993</f>
        <v>552.96963600000004</v>
      </c>
      <c r="AA195" s="3">
        <f>748.1+(154.7-271.7)+(-1.907655+(-0.394485--0.692835))+0-143.9--0.366944999999979</f>
        <v>485.95764000000008</v>
      </c>
      <c r="AB195" s="3">
        <f>757.2+(132.2-311.9)+(0.386172+(0.067422-0.159069))+0-144-0.0734399999999854</f>
        <v>433.72108500000002</v>
      </c>
      <c r="AC195" s="3">
        <f>749.4+(162.2-310.4)+(-1.91097+(-0.41361--0.79152))+0-147.1--0.375104999999979</f>
        <v>452.94204500000001</v>
      </c>
      <c r="AD195" s="2">
        <v>641.09999999999991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755.8+(117.7-349.4)+(-0.385458+(-0.060027--0.178194))+0-163.7--0.0834869999999834</f>
        <v>360.21619599999991</v>
      </c>
      <c r="G196" s="3">
        <f>756.8+(69-372.5)+(-0.385968+(-0.03519--0.189975))+0-154.6--0.0788459999999843</f>
        <v>298.54766299999994</v>
      </c>
      <c r="H196" s="3">
        <f>760.1+(63-329.3)+(1.162953+(0.09639-0.503829))+0-157-0.240210000000009</f>
        <v>337.31530400000003</v>
      </c>
      <c r="I196" s="3">
        <f>761.1+(63-317.8)+(1.164483+(0.09639-0.486234))+0-159.3-0.243729000000009</f>
        <v>347.53090999999995</v>
      </c>
      <c r="J196" s="3">
        <f>750.6+(63-307.9)+(-1.531224+(-0.12852--0.628116))+0-134.8--0.274991999999994</f>
        <v>370.14336400000002</v>
      </c>
      <c r="K196" s="3">
        <f>750.7+(79.3-339.6)+(-1.148571+(-0.121329--0.519588))+0-136.5--0.208845000000008</f>
        <v>353.35853300000002</v>
      </c>
      <c r="L196" s="3">
        <f>754.9+(144.9-326.7)+(-1.154997+(-0.221697--0.499851))+0-139.9--0.214047000000008</f>
        <v>432.53720400000003</v>
      </c>
      <c r="M196" s="3">
        <f>762.7+(176.6-310.4)+(1.944885+(0.45033-0.79152))+0-127.4-0.324869999999982</f>
        <v>502.77882500000015</v>
      </c>
      <c r="N196" s="3">
        <f>755+(146.9-363.2)+(0+(0-0))+0-133.3-0</f>
        <v>405.40000000000003</v>
      </c>
      <c r="O196" s="3">
        <f>757.3+(94.1-380.9)+(1.158669+(0.143973-0.582777))+0-135-0.206550000000008</f>
        <v>336.01331500000003</v>
      </c>
      <c r="P196" s="3">
        <f>750.7+(67.6-398.1)+(0+(0-0))+0-122.4-0</f>
        <v>297.80000000000007</v>
      </c>
      <c r="Q196" s="3">
        <f>750.5+(66.7-368.5)+(0.76551+(0.068034-0.37587))+0-132.3-0.134946000000021</f>
        <v>316.72272799999996</v>
      </c>
      <c r="R196" s="3">
        <f>744.7+(59-383.7)+(-0.379797+(-0.03009--0.195687))+0-126.1--0.0643109999999872</f>
        <v>293.75011100000006</v>
      </c>
      <c r="S196" s="3">
        <f>745.2+(87.3-466.7)+(0.760104+(0.089046-0.476034))+0-127.3-0.12984600000002</f>
        <v>238.74327000000002</v>
      </c>
      <c r="T196" s="3">
        <f>743.1+(84.6-441.7)+(1.136943+(0.129438-0.675801))+0-114.4-0.175032000000007</f>
        <v>272.01554799999997</v>
      </c>
      <c r="U196" s="3">
        <f>757.5+(58-408.4)+(0+(0-0))+0-136.9-0</f>
        <v>270.20000000000005</v>
      </c>
      <c r="V196" s="3">
        <f>772+(58-397)+(-0.39372+(-0.02958--0.20247))+0-122.4--0.0624239999999876</f>
        <v>310.44159400000001</v>
      </c>
      <c r="W196" s="3">
        <f>774.5+(146.7-291.5)+(1.184985+(0.224451-0.445995))+0-140.2-0.214506000000008</f>
        <v>490.24893500000002</v>
      </c>
      <c r="X196" s="3">
        <f>771.1+(68-241)+(-0.786522+(-0.06936--0.24582))+0-148.7--0.151674000000024</f>
        <v>448.94161200000008</v>
      </c>
      <c r="Y196" s="3">
        <f>779.9+(67-347.2)+(-1.988745+(-0.17085--0.88536))+0-134.3--0.342464999999981</f>
        <v>364.46823000000001</v>
      </c>
      <c r="Z196" s="3">
        <f>786.1+(68.4-386)+(-1.603644+(-0.139536--0.78744))+0-145.2--0.296207999999994</f>
        <v>322.640468</v>
      </c>
      <c r="AA196" s="3">
        <f>792.9+(75.7-376.4)+(-1.213137+(-0.115821--0.575892))+0-142.5--0.218025000000008</f>
        <v>349.16495900000001</v>
      </c>
      <c r="AB196" s="3">
        <f>795.4+(74.8-408.1)+(-2.02827+(-0.19074--1.040655))+0-141.9--0.361844999999979</f>
        <v>319.38348999999988</v>
      </c>
      <c r="AC196" s="3">
        <f>794.9+(59-440.4)+(-2.026995+(-0.15045--1.12302))+0-143.3--0.365414999999979</f>
        <v>269.51098999999999</v>
      </c>
      <c r="AD196" s="2">
        <v>647.49999999999989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800.1+(41-499.9)+(-0.408051+(-0.02091--0.254949))+0-140.5--0.0716549999999857</f>
        <v>200.59764300000003</v>
      </c>
      <c r="G197" s="3">
        <f>812.5+(40-475.6)+(0.414375+(0.0204-0.242556))+0-131.3-0.0669629999999867</f>
        <v>245.725256</v>
      </c>
      <c r="H197" s="3">
        <f>816.4+(39-454.1)+(0.832728+(0.03978-0.463182))+0-135.1-0.137802000000022</f>
        <v>266.47152399999999</v>
      </c>
      <c r="I197" s="3">
        <f>814.8+(39-456.3)+(-0.415548+(-0.01989--0.232713))+0-143.6--0.0732359999999854</f>
        <v>253.77051099999994</v>
      </c>
      <c r="J197" s="3">
        <f>819.5+(39-458)+(0.417945+(0.01989-0.23358))+0-130.1-0.0663509999999868</f>
        <v>270.53790399999997</v>
      </c>
      <c r="K197" s="3">
        <f>814.3+(103.4-485.6)+(-1.245879+(-0.158202--0.742968))+0-147--0.224910000000008</f>
        <v>284.66379699999993</v>
      </c>
      <c r="L197" s="3">
        <f>823+(172.3-504.9)+(0.83946+(0.175746-0.514998))+0-139.6-0.142392000000022</f>
        <v>351.15781599999997</v>
      </c>
      <c r="M197" s="3">
        <f>824+(124-451)+(0.84048+(0.12648-0.46002))+0-132.3-0.134946000000021</f>
        <v>365.07199399999996</v>
      </c>
      <c r="N197" s="3">
        <f>808.1+(40-417.6)+(-0.412131+(-0.0204--0.212976))+0-140.4--0.0716039999999858</f>
        <v>289.95204899999999</v>
      </c>
      <c r="O197" s="3">
        <f>796.9+(41-391.8)+(-0.406419+(-0.02091--0.199818))+0-145.9--0.0744089999999852</f>
        <v>300.046898</v>
      </c>
      <c r="P197" s="3">
        <f>794+(41-338.5)+(0+(0-0))+0-142.1-0</f>
        <v>354.4</v>
      </c>
      <c r="Q197" s="3">
        <f>783+(42-282.2)+(-0.79866+(-0.04284--0.287844))+0-154.1--0.157182000000025</f>
        <v>388.30352599999992</v>
      </c>
      <c r="R197" s="3">
        <f>784.3+(79-349.4)+(0.399993+(0.04029-0.178194))+0-146.4-0.0746639999999851</f>
        <v>367.68742499999996</v>
      </c>
      <c r="S197" s="3">
        <f>836.8+(78-494.2)+(0+(0-0))+0-145.1-0</f>
        <v>275.5</v>
      </c>
      <c r="T197" s="3">
        <f>840.8+(78-523.9)+(0.857616+(0.07956-0.534378))+0-148.3-0.151266000000024</f>
        <v>246.85153199999996</v>
      </c>
      <c r="U197" s="3">
        <f>827.1+(76-505.9)+(-2.109105+(-0.1938--1.290045))+0-142.4--0.363119999999979</f>
        <v>254.15026000000003</v>
      </c>
      <c r="V197" s="3">
        <f>833.5+(77-455.2)+(-1.275255+(-0.11781--0.696456))+0-152.3--0.233019000000009</f>
        <v>302.53640999999999</v>
      </c>
      <c r="W197" s="3">
        <f>812.9+(156-343.5)+(0.829158+(0.15912-0.35037))+0-142.4-0.145248000000023</f>
        <v>483.49266</v>
      </c>
      <c r="X197" s="3">
        <f>776.2+(74-302.6)+(0+(0-0))+0-153.1-0</f>
        <v>394.5</v>
      </c>
      <c r="Y197" s="3">
        <f>784.6+(79-354.9)+(-1.600584+(-0.16116--0.723996))+0-162.2--0.330887999999993</f>
        <v>345.79314000000005</v>
      </c>
      <c r="Z197" s="3">
        <f>792.4+(83-405.1)+(-0.808248+(-0.08466--0.413202))+0-165.4--0.168708000000026</f>
        <v>304.58900199999994</v>
      </c>
      <c r="AA197" s="3">
        <f>794.7+(83.1-429.5)+(-0.405297+(-0.042381--0.219045))+0-169.5--0.0864449999999828</f>
        <v>278.65781200000004</v>
      </c>
      <c r="AB197" s="3">
        <f>791.4+(81-457.1)+(-2.01807+(-0.20655--1.165605))+0-157.5--0.401624999999977</f>
        <v>257.14260999999993</v>
      </c>
      <c r="AC197" s="3">
        <f>798+(79-480.7)+(-2.0349+(-0.20145--1.225785))+0-149.5--0.381224999999978</f>
        <v>246.17066</v>
      </c>
      <c r="AD197" s="2">
        <v>636.5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800.7+(63-482.5)+(-1.225071+(-0.09639--0.738225))+0-160.5--0.245565000000009</f>
        <v>220.36232900000005</v>
      </c>
      <c r="G198" s="3">
        <f>799.8+(62-384.3)+(-2.03949+(-0.1581--0.979965))+0-152.8--0.389639999999978</f>
        <v>323.87201499999992</v>
      </c>
      <c r="H198" s="3">
        <f>804.9+(95.2-346.6)+(-1.231497+(-0.145656--0.530298))+0-157.3--0.240669000000009</f>
        <v>395.59381400000001</v>
      </c>
      <c r="I198" s="3">
        <f>817.4+(106.1-382.2)+(0+(0-0))+0-150.2-0</f>
        <v>391.09999999999997</v>
      </c>
      <c r="J198" s="3">
        <f>815.9+(131.5-378.5)+(-0.416109+(-0.067065--0.193035))+0-136--0.0693599999999862</f>
        <v>432.67922099999998</v>
      </c>
      <c r="K198" s="3">
        <f>751.5+(227.7-401)+(-1.149795+(-0.348381--0.61353))+0-137--0.209610000000008</f>
        <v>440.52496400000007</v>
      </c>
      <c r="L198" s="3">
        <f>722.8+(341.6-438.4)+(0.368628+(0.174216-0.223584))+0-149.4-0.0761939999999848</f>
        <v>476.84306600000002</v>
      </c>
      <c r="M198" s="3">
        <f>725.2+(316.1-373.7)+(0.369852+(0.161211-0.190587))+0-144.9-0.0738989999999853</f>
        <v>522.96657700000014</v>
      </c>
      <c r="N198" s="3">
        <f>781.2+(240.2-430.3)+(0.398412+(0.122502-0.219453))+0-146.3-0.0746129999999852</f>
        <v>445.02684800000003</v>
      </c>
      <c r="O198" s="3">
        <f>795.3+(201.5-414.2)+(0.405603+(0.102765-0.211242))+0-152.6-0.0778259999999845</f>
        <v>430.21929999999998</v>
      </c>
      <c r="P198" s="3">
        <f>782.1+(169.4-298.4)+(0+(0-0))+0-139.6-0</f>
        <v>513.5</v>
      </c>
      <c r="Q198" s="3">
        <f>781.6+(70-265.1)+(0+(0-0))+0-150.3-0</f>
        <v>436.2</v>
      </c>
      <c r="R198" s="3">
        <f>776+(65.7-298.5)+(0+(0-0))+0-148.4-0</f>
        <v>394.80000000000007</v>
      </c>
      <c r="S198" s="3">
        <f>773.7+(70.8-251.1)+(-0.789174+(-0.072216--0.256122))+0-162.7--0.165954000000026</f>
        <v>430.26068600000008</v>
      </c>
      <c r="T198" s="3">
        <f>776.4+(65.5-317.8)+(-0.395964+(-0.033405--0.162078))+0-138.1--0.070430999999986</f>
        <v>385.80313999999987</v>
      </c>
      <c r="U198" s="3">
        <f>764.1+(74.4-269.7)+(-2.727837+(-0.265608--0.962829))+0-159.9--0.570843000000002</f>
        <v>407.44022700000011</v>
      </c>
      <c r="V198" s="3">
        <f>773.9+(214.2-386.7)+(0.394689+(0.109242-0.197217))+0-134.9-0.0687989999999863</f>
        <v>466.73791500000004</v>
      </c>
      <c r="W198" s="3">
        <f>777.9+(326.5-392.5)+(-0.793458+(-0.33303--0.40035))+0-162.9--0.166158000000026</f>
        <v>548.44002</v>
      </c>
      <c r="X198" s="3">
        <f>815.6+(242.8-371)+(-1.663824+(-0.495312--0.75684))+0-165.4--0.337415999999993</f>
        <v>520.9351200000001</v>
      </c>
      <c r="Y198" s="3">
        <f>821.1+(152.6-374.7)+(-1.675044+(-0.311304--0.764388))+0-172.1--0.351083999999992</f>
        <v>426.02912400000002</v>
      </c>
      <c r="Z198" s="3">
        <f>832+(135.2-325.6)+(-0.84864+(-0.137904--0.332112))+0-160.8--0.164016000000026</f>
        <v>480.30958399999986</v>
      </c>
      <c r="AA198" s="3">
        <f>832.3+(116.6-360)+(-2.122365+(-0.29733--0.918))+0-146--0.372299999999979</f>
        <v>441.77060499999993</v>
      </c>
      <c r="AB198" s="3">
        <f>815.6+(105.2-386.2)+(-1.663824+(-0.214608--0.787848))+0-123.6--0.252143999999995</f>
        <v>410.16155999999995</v>
      </c>
      <c r="AC198" s="3">
        <f>795.7+(101.8-442.6)+(-0.405807+(-0.051918--0.225726))+0-111.9--0.0570689999999887</f>
        <v>342.82507000000004</v>
      </c>
      <c r="AD198" s="2">
        <v>633.20000000000005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764.6+(82-520.7)+(-0.389946+(-0.04182--0.265557))+0-69.5--0.0354449999999929</f>
        <v>256.26923599999998</v>
      </c>
      <c r="G199" s="3">
        <f>734+(125.4-556.8)+(-1.8717+(-0.31977--1.41984))+0-57.9--0.147644999999992</f>
        <v>244.07601499999998</v>
      </c>
      <c r="H199" s="3">
        <f>720.5+(170.5-510.7)+(0+(0-0))+0-75.2-0</f>
        <v>305.10000000000002</v>
      </c>
      <c r="I199" s="3">
        <f>721.8+(185-524.1)+(-0.368118+(-0.09435--0.267291))+0-107.1--0.0546209999999891</f>
        <v>275.45944399999996</v>
      </c>
      <c r="J199" s="3">
        <f>724.3+(236.1-529.3)+(0.738786+(0.240822-0.539886))+0-107.8-0.109956000000017</f>
        <v>323.62976600000002</v>
      </c>
      <c r="K199" s="3">
        <f>718.3+(336.2-589)+(-0.732666+(-0.342924--0.60078))+0-132.4--0.135048000000021</f>
        <v>332.76023800000002</v>
      </c>
      <c r="L199" s="3">
        <f>728.8+(402.4-608.1)+(0.371688+(0.205224-0.310131))+0-126.1-0.0643109999999872</f>
        <v>397.20246999999995</v>
      </c>
      <c r="M199" s="3">
        <f>787.3+(404.9-613.2)+(0+(0-0))+0-137.1-0</f>
        <v>441.89999999999986</v>
      </c>
      <c r="N199" s="3">
        <f>819.7+(355.7-581.7)+(0.418047+(0.181407-0.296667))+0-122.8-0.0626279999999875</f>
        <v>471.14015900000004</v>
      </c>
      <c r="O199" s="3">
        <f>812.7+(311-524)+(0.414477+(0.15861-0.26724))+0-141.9-0.0723689999999856</f>
        <v>458.03347800000006</v>
      </c>
      <c r="P199" s="3">
        <f>795.5+(306.8-539.3)+(-1.217115+(-0.469404--0.825129))+0-126.6--0.193698000000007</f>
        <v>435.73230799999993</v>
      </c>
      <c r="Q199" s="3">
        <f>792.8+(235.4-468.6)+(0+(0-0))+0-143.7-0</f>
        <v>415.89999999999992</v>
      </c>
      <c r="R199" s="3">
        <f>781.8+(117-400.1)+(-1.196154+(-0.17901--0.612153))+0-143.7--0.219861000000008</f>
        <v>354.45684999999992</v>
      </c>
      <c r="S199" s="3">
        <f>778.6+(69.1-429.1)+(-0.794172+(-0.070482--0.437682))+0-152.6--0.155652000000024</f>
        <v>265.72868000000005</v>
      </c>
      <c r="T199" s="3">
        <f>770.7+(66.1-473.2)+(0+(0-0))+0-131.9-0</f>
        <v>231.70000000000002</v>
      </c>
      <c r="U199" s="3">
        <f>766.8+(127.2-516.2)+(-0.782136+(-0.129744--0.526524))+0-152.2--0.155244000000024</f>
        <v>225.36988799999992</v>
      </c>
      <c r="V199" s="3">
        <f>769.5+(276.3-531.8)+(-1.177335+(-0.422739--0.813654))+0-143.4--0.219402000000008</f>
        <v>370.032982</v>
      </c>
      <c r="W199" s="3">
        <f>778.1+(330.6-487.6)+(0.793662+(0.337212-0.497352))+0-158.4-0.161568000000025</f>
        <v>463.17195399999997</v>
      </c>
      <c r="X199" s="3">
        <f>775.1+(263.7-496.4)+(-1.976505+(-0.672435--1.26582))+0-154.6--0.394229999999978</f>
        <v>386.8111100000001</v>
      </c>
      <c r="Y199" s="3">
        <f>782.4+(191.2-427.7)+(-1.197072+(-0.292536--0.654381))+0-157--0.240210000000009</f>
        <v>388.30498299999994</v>
      </c>
      <c r="Z199" s="3">
        <f>780.6+(171.3-380.7)+(-1.99053+(-0.436815--0.970785))+0-156.7--0.399584999999977</f>
        <v>413.44302500000009</v>
      </c>
      <c r="AA199" s="3">
        <f>789+(133.6-379.5)+(-1.20717+(-0.204408--0.580635))+0-156.8--0.239904000000009</f>
        <v>385.70896099999999</v>
      </c>
      <c r="AB199" s="3">
        <f>790.7+(132-428.3)+(-0.806514+(-0.13464--0.436866))+0-149.4--0.152388000000024</f>
        <v>344.64810000000006</v>
      </c>
      <c r="AC199" s="3">
        <f>793.8+(100.1-459.1)+(-0.404838+(-0.051051--0.234141))+0-154.6--0.0788459999999843</f>
        <v>280.057098</v>
      </c>
      <c r="AD199" s="2">
        <v>576.4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763.8+(102.3-438)+(-1.168614+(-0.156519--0.67014))+0-145.5--0.222615000000008</f>
        <v>282.16762199999999</v>
      </c>
      <c r="G200" s="3">
        <f>758.6+(114-472.4)+(-1.160658+(-0.17442--0.722772))+0-152--0.232560000000009</f>
        <v>247.82025400000006</v>
      </c>
      <c r="H200" s="3">
        <f>760.8+(135.1-502.4)+(-0.776016+(-0.137802--0.512448))+0-140.9--0.143718000000022</f>
        <v>252.34234800000004</v>
      </c>
      <c r="I200" s="3">
        <f>709.7+(200-500.4)+(-1.085841+(-0.306--0.765612))+0-138.9--0.212517000000008</f>
        <v>269.986288</v>
      </c>
      <c r="J200" s="3">
        <f>645.6+(236.4-438.9)+(0.987768+(0.361692-0.671517))+0-150.5-0.230265000000009</f>
        <v>293.04767800000002</v>
      </c>
      <c r="K200" s="3">
        <f>650+(282.1-497.2)+(-1.6575+(-0.719355--1.26786))+0-142.6--0.363629999999979</f>
        <v>291.55463500000002</v>
      </c>
      <c r="L200" s="3">
        <f>670.9+(238.6-491.5)+(0+(0-0))+0-130.2-0</f>
        <v>287.8</v>
      </c>
      <c r="M200" s="3">
        <f>670.6+(206.2-488.7)+(0+(0-0))+0-136.4-0</f>
        <v>251.70000000000002</v>
      </c>
      <c r="N200" s="3">
        <f>665.7+(180.6-442.9)+(-1.358028+(-0.368424--0.903516))+0-141.3--0.288251999999994</f>
        <v>261.56531600000005</v>
      </c>
      <c r="O200" s="3">
        <f>665.8+(168.3-454.5)+(-0.679116+(-0.171666--0.46359))+0-153.8--0.156876000000025</f>
        <v>225.56968399999994</v>
      </c>
      <c r="P200" s="3">
        <f>663.5+(224-505.8)+(-1.015155+(-0.34272--0.773874))+0-149.5--0.228735000000009</f>
        <v>231.84473399999999</v>
      </c>
      <c r="Q200" s="3">
        <f>660.6+(141.1-443.4)+(-1.347624+(-0.287844--0.904536))+0-141.4--0.288455999999994</f>
        <v>216.45752400000006</v>
      </c>
      <c r="R200" s="3">
        <f>661.1+(117.2-408.1)+(0+(0-0))+0-143.6-0</f>
        <v>226.6</v>
      </c>
      <c r="S200" s="3">
        <f>662.5+(68.3-422)+(-1.689375+(-0.174165--1.0761))+0-140.6--0.35852999999998</f>
        <v>167.77108999999999</v>
      </c>
      <c r="T200" s="3">
        <f>717.3+(68.4-478.8)+(-1.097469+(-0.104652--0.732564))+0-140.6--0.215118000000008</f>
        <v>166.04556099999999</v>
      </c>
      <c r="U200" s="3">
        <f>724+(117.3-417.2)+(-1.10772+(-0.179469--0.638316))+0-142.1--0.217413000000008</f>
        <v>281.56854000000004</v>
      </c>
      <c r="V200" s="3">
        <f>723+(221.6-399.7)+(-0.73746+(-0.226032--0.407694))+0-136.5--0.139230000000022</f>
        <v>407.98343199999999</v>
      </c>
      <c r="W200" s="3">
        <f>728.1+(195.7-338)+(0.371331+(0.099807-0.17238))+0-150.5-0.0767549999999847</f>
        <v>435.52200299999998</v>
      </c>
      <c r="X200" s="3">
        <f>728.8+(116.8-247.8)+(0+(0-0))+0-163.9-0</f>
        <v>433.9</v>
      </c>
      <c r="Y200" s="3">
        <f>728.2+(82.5-230.1)+(-1.114146+(-0.126225--0.352053))+0-159.9--0.244647000000009</f>
        <v>420.05632900000001</v>
      </c>
      <c r="Z200" s="3">
        <f>777.2+(72.8-286.9)+(-0.396372+(-0.037128--0.146319))+0-145.6--0.0742559999999852</f>
        <v>417.28707500000007</v>
      </c>
      <c r="AA200" s="3">
        <f>791.4+(69.5-308.5)+(-1.210842+(-0.106335--0.472005))+0-153.5--0.234855000000009</f>
        <v>398.28968299999991</v>
      </c>
      <c r="AB200" s="3">
        <f>787.3+(67.5-355.7)+(-2.810661+(-0.240975--1.269849))+0-152.7--0.545139000000002</f>
        <v>345.16335199999997</v>
      </c>
      <c r="AC200" s="3">
        <f>799+(67-417.4)+(-0.40749+(-0.03417--0.212874))+0-148.2--0.075581999999985</f>
        <v>300.24679600000002</v>
      </c>
      <c r="AD200" s="2">
        <v>563.80000000000007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799.1+(62-459.3)+(-1.630164+(-0.12648--0.936972))+0-148.8--0.303551999999994</f>
        <v>252.48387999999997</v>
      </c>
      <c r="G201" s="3">
        <f>808.2+(62-489.4)+(-0.412182+(-0.03162--0.249594))+0-145--0.0739499999999853</f>
        <v>235.67974200000006</v>
      </c>
      <c r="H201" s="3">
        <f>805+(84.1-465.8)+(-2.05275+(-0.214455--1.18779))+0-150.8--0.384539999999978</f>
        <v>271.80512499999992</v>
      </c>
      <c r="I201" s="3">
        <f>800.2+(119.8-460.3)+(-2.04051+(-0.30549--1.173765))+0-134.5--0.34297499999998</f>
        <v>324.37074000000001</v>
      </c>
      <c r="J201" s="3">
        <f>816.2+(127.9-464.3)+(0.832524+(0.130458-0.473586))+0-144.7-0.147594000000023</f>
        <v>335.44180200000005</v>
      </c>
      <c r="K201" s="3">
        <f>817.6+(189.8-505)+(0.416976+(0.096798-0.25755))+0-153.1-0.0780809999999845</f>
        <v>349.47814300000005</v>
      </c>
      <c r="L201" s="3">
        <f>816.9+(249.9-529.8)+(0.833238+(0.254898-0.540396))+0-138.6-0.141372000000022</f>
        <v>398.80636799999991</v>
      </c>
      <c r="M201" s="3">
        <f>813.1+(268.3-485.9)+(0.414681+(0.136833-0.247809))+0-138.2-0.070481999999986</f>
        <v>457.53322300000008</v>
      </c>
      <c r="N201" s="3">
        <f>805.8+(261.1-478.2)+(0+(0-0))+0-141-0</f>
        <v>447.70000000000005</v>
      </c>
      <c r="O201" s="3">
        <f>790.9+(123.9-491.5)+(0+(0-0))+0-113.9-0</f>
        <v>309.39999999999998</v>
      </c>
      <c r="P201" s="3">
        <f>771.5+(164.8-473.8)+(-0.393465+(-0.084048--0.241638))+0-123.9--0.0631889999999874</f>
        <v>338.42731399999991</v>
      </c>
      <c r="Q201" s="3">
        <f>771.3+(80.7-380.4)+(1.180089+(0.123471-0.582012))+0-140.6-0.215118000000008</f>
        <v>331.50642999999997</v>
      </c>
      <c r="R201" s="3">
        <f>763.2+(65.7-354.1)+(0+(0-0))+0-142-0</f>
        <v>332.8</v>
      </c>
      <c r="S201" s="3">
        <f>752.6+(65.7-384)+(0.383826+(0.033507-0.19584))+0-147.1-0.0750209999999851</f>
        <v>287.34647200000006</v>
      </c>
      <c r="T201" s="3">
        <f>743.6+(65.9-427)+(0+(0-0))+0-142.6-0</f>
        <v>239.9</v>
      </c>
      <c r="U201" s="3">
        <f>727.8+(64.7-390.3)+(-2.598246+(-0.230979--1.393371))+0-151.1--0.539427000000002</f>
        <v>250.20357299999992</v>
      </c>
      <c r="V201" s="3">
        <f>735.9+(78.6-375)+(-1.501236+(-0.160344--0.765))+0-153.3--0.312731999999993</f>
        <v>285.616152</v>
      </c>
      <c r="W201" s="3">
        <f>745.7+(166.7-326.8)+(0.380307+(0.085017-0.166668))+0-143.9-0.0733889999999854</f>
        <v>441.92526700000013</v>
      </c>
      <c r="X201" s="3">
        <f>757.8+(76.1-252.2)+(0+(0-0))+0-143.6-0</f>
        <v>438.09999999999991</v>
      </c>
      <c r="Y201" s="3">
        <f>764.8+(74.9-277.8)+(0+(0-0))+0-147.9-0</f>
        <v>414</v>
      </c>
      <c r="Z201" s="3">
        <f>765.1+(73.2-321.2)+(-1.560804+(-0.149328--0.655248))+0-135.5--0.276419999999994</f>
        <v>380.82153599999998</v>
      </c>
      <c r="AA201" s="3">
        <f>774.8+(71.8-339.8)+(-0.790296+(-0.073236--0.346596))+0-140.5--0.143310000000022</f>
        <v>365.92637400000001</v>
      </c>
      <c r="AB201" s="3">
        <f>781.7+(68.8-273.1)+(-1.196001+(-0.105264--0.417843))+0-134--0.205020000000008</f>
        <v>442.72159800000009</v>
      </c>
      <c r="AC201" s="3">
        <f>774.9+(65.7-325)+(-1.580796+(-0.134028--0.663))+0-125.2--0.255407999999995</f>
        <v>389.6035839999999</v>
      </c>
      <c r="AD201" s="2">
        <v>646.90000000000009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775.3+(62-372.8)+(-1.581612+(-0.12648--0.760512))+0-127.6--0.260303999999994</f>
        <v>336.21272399999998</v>
      </c>
      <c r="G202" s="3">
        <f>779.7+(62-385.8)+(-1.988235+(-0.1581--0.98379))+0-118.5--0.302174999999983</f>
        <v>336.53962999999999</v>
      </c>
      <c r="H202" s="3">
        <f>783.5+(61-366.9)+(-1.198755+(-0.09333--0.561357))+0-145.5--0.222615000000008</f>
        <v>331.59188700000004</v>
      </c>
      <c r="I202" s="3">
        <f>745.6+(60-363.3)+(-0.380256+(-0.0306--0.185283))+0-128.4--0.065483999999987</f>
        <v>313.73991100000001</v>
      </c>
      <c r="J202" s="3">
        <f>712.4+(98.6-314.8)+(1.089972+(0.150858-0.481644))+0-148.3-0.226899000000009</f>
        <v>348.43228699999992</v>
      </c>
      <c r="K202" s="3">
        <f>695.9+(191.7-372.5)+(-1.064727+(-0.293301--0.569925))+0-132--0.201960000000008</f>
        <v>382.51385699999992</v>
      </c>
      <c r="L202" s="3">
        <f>705.8+(219.5-362.8)+(0+(0-0))+0-132.8-0</f>
        <v>429.7</v>
      </c>
      <c r="M202" s="3">
        <f>699.3+(134.3-293)+(-0.713286+(-0.136986--0.29886))+0-150.8--0.153816000000024</f>
        <v>389.40240399999988</v>
      </c>
      <c r="N202" s="3">
        <f>724.8+(143.4-301.4)+(1.108944+(0.219402-0.461142))+0-153.8-0.235314000000009</f>
        <v>413.63188999999994</v>
      </c>
      <c r="O202" s="3">
        <f>766.6+(79.3-327.2)+(0.390966+(0.040443-0.166872))+0-133.9-0.0682889999999864</f>
        <v>384.99624800000009</v>
      </c>
      <c r="P202" s="3">
        <f>769+(71.4-298.6)+(0+(0-0))+0-155.7-0</f>
        <v>386.09999999999997</v>
      </c>
      <c r="Q202" s="3">
        <f>770.8+(44-303.8)+(-0.786216+(-0.04488--0.309876))+0-141.7--0.144534000000023</f>
        <v>368.92331399999995</v>
      </c>
      <c r="R202" s="3">
        <f>765+(66-405.9)+(0+(0-0))+0-139.2-0</f>
        <v>285.90000000000003</v>
      </c>
      <c r="S202" s="3">
        <f>764.1+(64-471.3)+(0.389691+(0.03264-0.240363))+0-123.6-0.0630359999999875</f>
        <v>233.31893200000002</v>
      </c>
      <c r="T202" s="3">
        <f>758.7+(63-465.9)+(-0.773874+(-0.06426--0.475218))+0-117.7--0.120054000000019</f>
        <v>237.85713800000011</v>
      </c>
      <c r="U202" s="3">
        <f>756.5+(65-405.3)+(-1.929075+(-0.16575--1.033515))+0-140.5--0.35827499999998</f>
        <v>274.99696499999999</v>
      </c>
      <c r="V202" s="3">
        <f>759.8+(67-371.8)+(-0.774996+(-0.06834--0.379236))+0-145--0.147900000000023</f>
        <v>309.68380000000002</v>
      </c>
      <c r="W202" s="3">
        <f>760.6+(72-283.9)+(0.387906+(0.03672-0.144789))+0-148.4-0.0756839999999849</f>
        <v>400.50415300000014</v>
      </c>
      <c r="X202" s="3">
        <f>641.7+(96.6-181.4)+(-0.654534+(-0.098532--0.185028))+0-143.2--0.146064000000023</f>
        <v>413.27802600000012</v>
      </c>
      <c r="Y202" s="3">
        <f>713.9+(89-316.8)+(0+(0-0))+0-126.2-0</f>
        <v>359.9</v>
      </c>
      <c r="Z202" s="3">
        <f>742.5+(71.2-334.3)+(-0.378675+(-0.036312--0.170493))+0-150.6--0.0768059999999847</f>
        <v>328.63231200000001</v>
      </c>
      <c r="AA202" s="3">
        <f>746.4+(89.7-419)+(-0.380664+(-0.045747--0.21369))+0-146.2--0.0745619999999852</f>
        <v>270.76184099999995</v>
      </c>
      <c r="AB202" s="3">
        <f>743.9+(73.7-441.4)+(-1.517556+(-0.150348--0.900456))+0-159.7--0.325787999999993</f>
        <v>216.05833999999999</v>
      </c>
      <c r="AC202" s="3">
        <f>762.1+(68-467.2)+(0+(0-0))+0-141.9-0</f>
        <v>221.00000000000003</v>
      </c>
      <c r="AD202" s="2">
        <v>614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767.1+(61-474.3)+(0+(0-0))+0-114.3-0</f>
        <v>239.5</v>
      </c>
      <c r="G203" s="3">
        <f>778.9+(61-490)+(0.397239+(0.03111-0.2499))+0-113.3-0.0577829999999885</f>
        <v>236.72066599999997</v>
      </c>
      <c r="H203" s="3">
        <f>789.9+(61-480.2)+(0.402849+(0.03111-0.244902))+0-112.4-0.0573239999999886</f>
        <v>258.43173300000001</v>
      </c>
      <c r="I203" s="3">
        <f>792.8+(60-458.4)+(0.808656+(0.0612-0.467568))+0-112.1-0.114342000000018</f>
        <v>282.58794599999993</v>
      </c>
      <c r="J203" s="3">
        <f>789.3+(61-438.1)+(-0.805086+(-0.06222--0.446862))+0-139.1--0.141882000000022</f>
        <v>272.82143799999994</v>
      </c>
      <c r="K203" s="3">
        <f>787.2+(102.1-432.4)+(-0.802944+(-0.104142--0.441048))+0-145.4--0.148308000000023</f>
        <v>311.18227000000013</v>
      </c>
      <c r="L203" s="3">
        <f>759.3+(164.1-426.6)+(1.936215+(0.418455-1.08783))+0-139-0.35444999999998</f>
        <v>358.71238999999997</v>
      </c>
      <c r="M203" s="3">
        <f>753.9+(121.8-367.9)+(0.384489+(0.062118-0.187629))+0-156.8-0.0799679999999841</f>
        <v>351.17901000000001</v>
      </c>
      <c r="N203" s="3">
        <f>754.6+(90-391.2)+(0.769692+(0.0918-0.399024))+0-135.3-0.138006000000022</f>
        <v>318.42446200000001</v>
      </c>
      <c r="O203" s="3">
        <f>750.7+(68.3-359.5)+(1.148571+(0.104499-0.550035))+0-136.5-0.208845000000008</f>
        <v>323.49419000000006</v>
      </c>
      <c r="P203" s="3">
        <f>733+(73.1-264)+(0.37383+(0.037281-0.13464))+0-148.8-0.0758879999999849</f>
        <v>393.50058300000006</v>
      </c>
      <c r="Q203" s="3">
        <f>736.4+(82.4-247)+(0+(0-0))+0-145.9-0</f>
        <v>425.9</v>
      </c>
      <c r="R203" s="3">
        <f>749.8+(66.1-259.4)+(-0.382398+(-0.033711--0.132294))+0-136.3--0.0695129999999862</f>
        <v>419.98569799999996</v>
      </c>
      <c r="S203" s="3">
        <f>799.3+(66.6-369.4)+(1.222929+(0.101898-0.565182))+0-138.3-0.211599000000008</f>
        <v>358.74804599999993</v>
      </c>
      <c r="T203" s="3">
        <f>797.1+(64.7-381.3)+(0.406521+(0.032997-0.194463))+0-150.1-0.0765509999999848</f>
        <v>330.56850399999996</v>
      </c>
      <c r="U203" s="3">
        <f>787.9+(65.8-351.7)+(-2.410974+(-0.201348--1.076202))+0-158.2--0.484092000000018</f>
        <v>342.74797200000006</v>
      </c>
      <c r="V203" s="3">
        <f>793.9+(132.7-341.3)+(-1.619556+(-0.270708--0.696252))+0-144.3--0.294371999999994</f>
        <v>440.10035999999991</v>
      </c>
      <c r="W203" s="3">
        <f>818.9+(174.5-320.5)+(0+(0-0))+0-142.6-0</f>
        <v>530.29999999999995</v>
      </c>
      <c r="X203" s="3">
        <f>844.8+(76.1-287.7)+(-0.430848+(-0.038811--0.146727))+0-147.1--0.0750209999999851</f>
        <v>485.85208899999986</v>
      </c>
      <c r="Y203" s="3">
        <f>851.9+(74.8-354.5)+(-0.434469+(-0.038148--0.180795))+0-151.7--0.0773669999999846</f>
        <v>420.28554500000001</v>
      </c>
      <c r="Z203" s="3">
        <f>850.5+(73.1-382.9)+(-0.86751+(-0.074562--0.390558))+0-146.7--0.149634000000023</f>
        <v>393.59812000000011</v>
      </c>
      <c r="AA203" s="3">
        <f>803+(70.6-389.9)+(-1.63812+(-0.144024--0.795396))+0-143.1--0.291923999999994</f>
        <v>339.9051760000001</v>
      </c>
      <c r="AB203" s="3">
        <f>784.1+(68-392.5)+(0.799782+(0.06936-0.40035))+0-141.8-0.144636000000023</f>
        <v>318.12415599999997</v>
      </c>
      <c r="AC203" s="3">
        <f>784.4+(65.9-423.4)+(-0.400044+(-0.033609--0.215934))+0-131.7--0.0671669999999866</f>
        <v>295.04944799999998</v>
      </c>
      <c r="AD203" s="2">
        <v>627.80000000000018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798.7+(72.1-350.9)+(-1.222011+(-0.110313--0.536877))+0-110.3--0.168759000000006</f>
        <v>408.97331200000013</v>
      </c>
      <c r="G204" s="3">
        <f>861.4+(62-378.4)+(-2.19657+(-0.1581--0.96492))+0-103.5--0.263924999999985</f>
        <v>440.37417499999992</v>
      </c>
      <c r="H204" s="3">
        <f>869.5+(79.4-393.9)+(-2.217225+(-0.20247--1.004445))+0-123.3--0.314414999999982</f>
        <v>430.59916499999997</v>
      </c>
      <c r="I204" s="3">
        <f>874+(95.4-395.5)+(-1.33722+(-0.145962--0.605115))+0-139.7--0.213741000000008</f>
        <v>433.53567400000003</v>
      </c>
      <c r="J204" s="3">
        <f>876.2+(90.8-380.6)+(-0.893724+(-0.092616--0.388212))+0-142.6--0.145452000000023</f>
        <v>443.34732400000013</v>
      </c>
      <c r="K204" s="3">
        <f>874.2+(136.7-418)+(-1.337526+(-0.209151--0.63954))+0-147.8--0.226134000000009</f>
        <v>444.41899700000005</v>
      </c>
      <c r="L204" s="3">
        <f>873.6+(227.8-452.8)+(-0.891072+(-0.232356--0.461856))+0-144.6--0.147492000000023</f>
        <v>503.48592000000002</v>
      </c>
      <c r="M204" s="3">
        <f>874.9+(184.9-467.6)+(-0.446199+(-0.094299--0.238476))+0-129.1--0.0658409999999869</f>
        <v>462.86381899999992</v>
      </c>
      <c r="N204" s="3">
        <f>869.5+(164.4-497.4)+(-0.443445+(-0.083844--0.253674))+0-139.8--0.0712979999999858</f>
        <v>396.49768300000005</v>
      </c>
      <c r="O204" s="3">
        <f>863+(229.2-571.4)+(0+(0-0))+0-118.4-0</f>
        <v>402.4</v>
      </c>
      <c r="P204" s="3">
        <f>845.3+(213.8-529.3)+(0.862206+(0.218076-0.539886))+0-123.7-0.12617400000002</f>
        <v>406.51422199999996</v>
      </c>
      <c r="Q204" s="3">
        <f>829+(114.2-433.8)+(-0.42279+(-0.058242--0.221238))+0-127.6--0.065075999999987</f>
        <v>381.60528199999999</v>
      </c>
      <c r="R204" s="3">
        <f>827.5+(64-431.7)+(0.422025+(0.03264-0.220167))+0-129-0.0657899999999869</f>
        <v>330.96870799999999</v>
      </c>
      <c r="S204" s="3">
        <f>820.8+(64-473)+(-1.255824+(-0.09792--0.72369))+0-129.1--0.197523000000007</f>
        <v>282.26746899999995</v>
      </c>
      <c r="T204" s="3">
        <f>821.7+(64-532.7)+(-0.419067+(-0.03264--0.271677))+0-117.9--0.060128999999988</f>
        <v>234.980099</v>
      </c>
      <c r="U204" s="3">
        <f>813.7+(64-475.2)+(-2.074935+(-0.1632--1.21176))+0-127.4--0.324869999999982</f>
        <v>274.39849500000008</v>
      </c>
      <c r="V204" s="3">
        <f>811.7+(66-412.4)+(-1.241901+(-0.10098--0.630972))+0-140.8--0.215424000000008</f>
        <v>324.00351500000005</v>
      </c>
      <c r="W204" s="3">
        <f>790.7+(70-308.1)+(-0.403257+(-0.0357--0.157131))+0-150.8--0.0769079999999847</f>
        <v>401.59508199999999</v>
      </c>
      <c r="X204" s="3">
        <f>745.9+(82.3-225.2)+(-1.902045+(-0.209865--0.57426))+0-165.7--0.422534999999976</f>
        <v>436.18488500000001</v>
      </c>
      <c r="Y204" s="3">
        <f>757.2+(105.4-264.7)+(-1.544688+(-0.215016--0.539988))+0-154.7--0.315587999999993</f>
        <v>442.29587200000014</v>
      </c>
      <c r="Z204" s="3">
        <f>772.7+(114.9-288.7)+(-0.788154+(-0.117198--0.294474))+0-160--0.163200000000026</f>
        <v>438.45232200000015</v>
      </c>
      <c r="AA204" s="3">
        <f>781.5+(104.1-379.5)+(-1.195695+(-0.159273--0.580635))+0-165.5--0.25321500000001</f>
        <v>340.07888200000002</v>
      </c>
      <c r="AB204" s="3">
        <f>773.6+(76.4-416.8)+(-1.578144+(-0.155856--0.850272))+0-139.9--0.285395999999994</f>
        <v>292.70166800000004</v>
      </c>
      <c r="AC204" s="3">
        <f>762.5+(71.7-371.8)+(-1.944375+(-0.182835--0.94809))+0-159.2--0.405959999999977</f>
        <v>302.42683999999997</v>
      </c>
      <c r="AD204" s="2">
        <v>632.30000000000007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769.7+(61-360.6)+(-1.570188+(-0.12444--0.735624))+0-147.3--0.300491999999994</f>
        <v>322.14148800000004</v>
      </c>
      <c r="G205" s="3">
        <f>782.1+(61-367.9)+(-1.196613+(-0.09333--0.562887))+0-152.9--0.233937000000009</f>
        <v>321.80688100000003</v>
      </c>
      <c r="H205" s="3">
        <f>788+(61-363)+(-0.80376+(-0.06222--0.37026))+0-148.5--0.151470000000024</f>
        <v>337.15575000000001</v>
      </c>
      <c r="I205" s="3">
        <f>794.6+(60-376.7)+(0.405246+(0.0306-0.192117))+0-145.5-0.0742049999999852</f>
        <v>332.569524</v>
      </c>
      <c r="J205" s="3">
        <f>794.6+(76.7-373.9)+(0+(0-0))+0-144.7-0</f>
        <v>352.70000000000005</v>
      </c>
      <c r="K205" s="3">
        <f>795.2+(111.1-424.1)+(-0.405552+(-0.056661--0.216291))+0-146--0.0744599999999852</f>
        <v>336.02853800000003</v>
      </c>
      <c r="L205" s="3">
        <f>797.6+(152.8-403.9)+(-0.406776+(-0.077928--0.205989))+0-144.2--0.0735419999999854</f>
        <v>402.09482699999995</v>
      </c>
      <c r="M205" s="3">
        <f>805.6+(126.9-369.6)+(0.410856+(0.064719-0.188496))+0-132-0.0673199999999866</f>
        <v>431.11975899999993</v>
      </c>
      <c r="N205" s="3">
        <f>794.6+(108.4-435.4)+(-0.405246+(-0.055284--0.222054))+0-116.2--0.0592619999999882</f>
        <v>351.22078600000003</v>
      </c>
      <c r="O205" s="3">
        <f>786.9+(161.3-475.3)+(0+(0-0))+0-143.3-0</f>
        <v>329.59999999999997</v>
      </c>
      <c r="P205" s="3">
        <f>779.2+(160.8-443.2)+(0.397392+(0.082008-0.226032))+0-116-0.0591599999999882</f>
        <v>380.99420800000013</v>
      </c>
      <c r="Q205" s="3">
        <f>772.1+(111.1-358.5)+(0.787542+(0.113322-0.36567))+0-154.2-0.157284000000025</f>
        <v>370.8779100000001</v>
      </c>
      <c r="R205" s="3">
        <f>734.7+(66-336)+(-0.374697+(-0.03366--0.17136))+0-145--0.0739499999999853</f>
        <v>319.53695300000004</v>
      </c>
      <c r="S205" s="3">
        <f>746.8+(65-393.7)+(-2.285208+(-0.1989--1.204722))+0-158.7--0.485622000000018</f>
        <v>258.60623600000002</v>
      </c>
      <c r="T205" s="3">
        <f>750.7+(63-480.6)+(-1.148571+(-0.09639--0.735318))+0-122.3--0.187119000000007</f>
        <v>210.47747600000002</v>
      </c>
      <c r="U205" s="3">
        <f>753.1+(66-490.1)+(-1.152243+(-0.10098--0.749853))+0-137.7--0.210681000000008</f>
        <v>191.00731099999999</v>
      </c>
      <c r="V205" s="3">
        <f>751.1+(64-392.6)+(-1.149183+(-0.09792--0.600678))+0-154.3--0.236079000000009</f>
        <v>267.78965399999998</v>
      </c>
      <c r="W205" s="3">
        <f>760.2+(72-285.3)+(0+(0-0))+0-155.7-0</f>
        <v>391.2000000000001</v>
      </c>
      <c r="X205" s="3">
        <f>754.9+(80.1-247.8)+(-1.539996+(-0.163404--0.505512))+0-155.1--0.316403999999993</f>
        <v>431.21851599999985</v>
      </c>
      <c r="Y205" s="3">
        <f>761.3+(93-330.9)+(-1.941315+(-0.23715--0.843795))+0-156.2--0.398309999999977</f>
        <v>366.26364000000001</v>
      </c>
      <c r="Z205" s="3">
        <f>762.9+(78.8-347)+(-1.945395+(-0.20094--0.88485))+0-143.7--0.366434999999979</f>
        <v>350.10494999999997</v>
      </c>
      <c r="AA205" s="3">
        <f>771.4+(100.7-380.3)+(-0.786828+(-0.102714--0.387906))+0-131.9--0.134538000000021</f>
        <v>359.53290199999992</v>
      </c>
      <c r="AB205" s="3">
        <f>772.9+(113.8-385.9)+(-0.788358+(-0.116076--0.393618))+0-147.6--0.150552000000024</f>
        <v>352.83973600000007</v>
      </c>
      <c r="AC205" s="3">
        <f>769.7+(96.9-335.1)+(-1.177641+(-0.148257--0.512703))+0-137.3--0.210069000000008</f>
        <v>393.59687400000007</v>
      </c>
      <c r="AD205" s="2">
        <v>655.49999999999989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774.6+(62-371.7)+(0+(0-0))+0-142.6-0</f>
        <v>322.30000000000007</v>
      </c>
      <c r="G206" s="3">
        <f>779.4+(61-393.3)+(-1.192482+(-0.09333--0.601749))+0-159.1--0.243423000000009</f>
        <v>287.55935999999997</v>
      </c>
      <c r="H206" s="3">
        <f>779.3+(60-424.3)+(-1.192329+(-0.0918--0.649179))+0-132.6--0.202878000000008</f>
        <v>281.96792799999997</v>
      </c>
      <c r="I206" s="3">
        <f>785.2+(61-351.7)+(0+(0-0))+0-135-0</f>
        <v>359.50000000000006</v>
      </c>
      <c r="J206" s="3">
        <f>787.8+(61-307.1)+(0.803556+(0.06222-0.313242))+0-150.3-0.153306000000024</f>
        <v>391.79922799999991</v>
      </c>
      <c r="K206" s="3">
        <f>789.9+(59-300.6)+(0.805698+(0.06018-0.306612))+0-142.7-0.145554000000023</f>
        <v>406.01371199999994</v>
      </c>
      <c r="L206" s="3">
        <f>778+(98-360.2)+(0.79356+(0.09996-0.367404))+0-144.6-0.147492000000023</f>
        <v>371.57862399999993</v>
      </c>
      <c r="M206" s="3">
        <f>740.2+(104.7-280.9)+(0+(0-0))+0-147.4-0</f>
        <v>416.6</v>
      </c>
      <c r="N206" s="3">
        <f>764.2+(132-340.6)+(0+(0-0))+0-140.1-0</f>
        <v>415.5</v>
      </c>
      <c r="O206" s="3">
        <f>780.8+(69.3-303.6)+(0+(0-0))+0-163.1-0</f>
        <v>383.4</v>
      </c>
      <c r="P206" s="3">
        <f>778.1+(64-354.4)+(0+(0-0))+0-136.5-0</f>
        <v>351.20000000000005</v>
      </c>
      <c r="Q206" s="3">
        <f>764.1+(65-390)+(0+(0-0))+0-124.7-0</f>
        <v>314.40000000000003</v>
      </c>
      <c r="R206" s="3">
        <f>754.2+(64-461.6)+(0+(0-0))+0-104.3-0</f>
        <v>252.3</v>
      </c>
      <c r="S206" s="3">
        <f>742+(85.7-473.1)+(0+(0-0))+0-87.1-0</f>
        <v>267.5</v>
      </c>
      <c r="T206" s="3">
        <f>727.4+(67-483.1)+(0.741948+(0.06834-0.492762))+0-74.8-0.0762960000000119</f>
        <v>236.74122999999992</v>
      </c>
      <c r="U206" s="3">
        <f>720.5+(63-421.8)+(-1.46982+(-0.12852--0.860472))+0-86.1--0.175643999999996</f>
        <v>275.03777599999995</v>
      </c>
      <c r="V206" s="3">
        <f>706.3+(76.2-235.7)+(0+(0-0))+0-82-0</f>
        <v>464.79999999999995</v>
      </c>
      <c r="W206" s="3">
        <f>698+(107.4-148.2)+(0.35598+(0.054774-0.075582))+0-105.2-0.0536519999999893</f>
        <v>552.28152000000011</v>
      </c>
      <c r="X206" s="3">
        <f>705.2+(74.1-206.7)+(-1.79826+(-0.188955--0.527085))+0-94.4--0.240719999999986</f>
        <v>476.98059000000001</v>
      </c>
      <c r="Y206" s="3">
        <f>717.1+(72.1-333.6)+(-1.828605+(-0.183855--0.85068))+0-71.5--0.18232499999999</f>
        <v>383.12054499999999</v>
      </c>
      <c r="Z206" s="3">
        <f>725+(83.6-359.1)+(-0.36975+(-0.042636--0.183141))+0-99.3--0.0506429999999899</f>
        <v>350.02139799999998</v>
      </c>
      <c r="AA206" s="3">
        <f>725.8+(78-366.1)+(-0.370158+(-0.03978--0.186711))+0-102.7--0.0523769999999896</f>
        <v>334.82914999999991</v>
      </c>
      <c r="AB206" s="3">
        <f>727.2+(74.5-354.9)+(0+(0-0))+0-90.3-0</f>
        <v>356.50000000000006</v>
      </c>
      <c r="AC206" s="3">
        <f>699.9+(72-351.6)+(-1.070847+(-0.11016--0.537948))+0-101.6--0.155448000000006</f>
        <v>318.21238899999992</v>
      </c>
      <c r="AD206" s="2">
        <v>619.90000000000009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683.9+(39-449.1)+(-1.395156+(-0.07956--0.916164))+0-71.2--0.145247999999997</f>
        <v>202.18669599999996</v>
      </c>
      <c r="G207" s="3">
        <f>680.2+(38-435.3)+(-1.387608+(-0.07752--0.888012))+0-87.1--0.177683999999996</f>
        <v>195.40056800000005</v>
      </c>
      <c r="H207" s="3">
        <f>686.1+(37-402.1)+(-1.049733+(-0.05661--0.615213))+0-111.5--0.170595000000006</f>
        <v>209.17946500000002</v>
      </c>
      <c r="I207" s="3">
        <f>690.5+(37-308.4)+(-0.352155+(-0.01887--0.157284))+0-127.8--0.065177999999987</f>
        <v>291.15143699999999</v>
      </c>
      <c r="J207" s="3">
        <f>694.8+(36-308.4)+(0.708696+(0.03672-0.314568))+0-126.9-0.12943800000002</f>
        <v>295.80140999999998</v>
      </c>
      <c r="K207" s="3">
        <f>686.5+(63.8-296.6)+(-1.40046+(-0.130152--0.605064))+0-138.5--0.282539999999994</f>
        <v>314.55699199999998</v>
      </c>
      <c r="L207" s="3">
        <f>694.2+(64.9-353.6)+(0.354042+(0.033099-0.180336))+0-142.6-0.0727259999999855</f>
        <v>263.03407900000002</v>
      </c>
      <c r="M207" s="3">
        <f>693.2+(82.8-338.7)+(0+(0-0))+0-134.9-0</f>
        <v>302.40000000000009</v>
      </c>
      <c r="N207" s="3">
        <f>690.4+(88.2-342.4)+(-0.352104+(-0.044982--0.174624))+0-139.9--0.0713489999999858</f>
        <v>296.148887</v>
      </c>
      <c r="O207" s="3">
        <f>691.5+(61-373.7)+(0.352665+(0.03111-0.190587))+0-143-0.0729299999999855</f>
        <v>235.92025800000005</v>
      </c>
      <c r="P207" s="3">
        <f>683.4+(61-323.4)+(0+(0-0))+0-144.8-0</f>
        <v>276.2</v>
      </c>
      <c r="Q207" s="3">
        <f>680.6+(64.3-348.2)+(0.347106+(0.032793-0.177582))+0-153.2-0.0781319999999845</f>
        <v>243.62418500000007</v>
      </c>
      <c r="R207" s="3">
        <f>674.3+(70.2-417.2)+(0+(0-0))+0-145.6-0</f>
        <v>181.69999999999996</v>
      </c>
      <c r="S207" s="3">
        <f>668+(90.7-451.6)+(-1.36272+(-0.185028--0.921264))+0-147.9--0.301715999999994</f>
        <v>158.87523199999995</v>
      </c>
      <c r="T207" s="3">
        <f>669.3+(87.5-458.7)+(-1.365372+(-0.1785--0.935748))+0-140.9--0.287435999999994</f>
        <v>156.87931199999997</v>
      </c>
      <c r="U207" s="3">
        <f>669.1+(64.9-382.7)+(-1.364964+(-0.132396--0.780708))+0-149.7--0.305387999999993</f>
        <v>201.18873600000006</v>
      </c>
      <c r="V207" s="3">
        <f>669.6+(63-263.2)+(-1.024488+(-0.09639--0.402696))+0-139.9--0.214047000000008</f>
        <v>328.99586500000004</v>
      </c>
      <c r="W207" s="3">
        <f>688.3+(95.5-174.4)+(0.351033+(0.048705-0.088944))+0-147.9-0.075428999999985</f>
        <v>461.735365</v>
      </c>
      <c r="X207" s="3">
        <f>723.8+(128.3-253.9)+(-1.107414+(-0.196299--0.388467))+0-160.3--0.245259000000009</f>
        <v>437.23001299999993</v>
      </c>
      <c r="Y207" s="3">
        <f>725.7+(147.3-306.5)+(-1.850535+(-0.375615--0.781575))+0-161--0.410549999999977</f>
        <v>404.46597500000001</v>
      </c>
      <c r="Z207" s="3">
        <f>733.6+(157.9-360.7)+(-1.122408+(-0.241587--0.551871))+0-152.1--0.232713000000009</f>
        <v>378.120589</v>
      </c>
      <c r="AA207" s="3">
        <f>731.6+(183.9-326.1)+(-1.492464+(-0.375156--0.665244))+0-159--0.324359999999993</f>
        <v>429.52198400000003</v>
      </c>
      <c r="AB207" s="3">
        <f>735.8+(176.7-367.2)+(-1.501032+(-0.360468--0.749088))+0-142.5--0.290699999999994</f>
        <v>401.97828800000002</v>
      </c>
      <c r="AC207" s="3">
        <f>708.7+(150-326.1)+(-1.807185+(-0.3825--0.831555))+0-162.5--0.414374999999976</f>
        <v>369.15624500000001</v>
      </c>
      <c r="AD207" s="2">
        <v>575.90000000000009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704.7+(101.6-342)+(-1.078191+(-0.155448--0.52326))+0-143.8--0.220014000000008</f>
        <v>320.00963500000006</v>
      </c>
      <c r="G208" s="3">
        <f>695.2+(63.6-343.9)+(-1.063656+(-0.097308--0.526167))+0-154.8--0.236844000000009</f>
        <v>259.70204700000011</v>
      </c>
      <c r="H208" s="3">
        <f>683+(59-367.8)+(-1.74165+(-0.15045--0.93789))+0-147--0.374849999999979</f>
        <v>226.62063999999998</v>
      </c>
      <c r="I208" s="3">
        <f>559.1+(58-235.3)+(-0.285141+(-0.02958--0.120003))+0-156.3--0.0797129999999841</f>
        <v>225.38499499999998</v>
      </c>
      <c r="J208" s="3">
        <f>535.7+(67.8-204.8)+(-0.273207+(-0.034578--0.104448))+0-149.9--0.0764489999999848</f>
        <v>248.67311200000006</v>
      </c>
      <c r="K208" s="3">
        <f>533.1+(135.8-217.8)+(-0.543762+(-0.138516--0.222156))+0-142.5--0.145350000000023</f>
        <v>308.28522800000002</v>
      </c>
      <c r="L208" s="3">
        <f>531.2+(206-208.1)+(-0.270912+(-0.10506--0.106131))+0-148.3--0.075632999999985</f>
        <v>380.60579199999995</v>
      </c>
      <c r="M208" s="3">
        <f>530.2+(190-217.1)+(0.540804+(0.1938-0.221442))+0-125.4-0.12790800000002</f>
        <v>378.08525399999996</v>
      </c>
      <c r="N208" s="3">
        <f>530.7+(171.5-151.7)+(-0.811971+(-0.262395--0.232101))+0-143--0.218790000000008</f>
        <v>406.87652500000002</v>
      </c>
      <c r="O208" s="3">
        <f>592.7+(142.2-176)+(0+(0-0))+0-143.1-0</f>
        <v>415.80000000000007</v>
      </c>
      <c r="P208" s="3">
        <f>659.7+(75.5-149)+(0+(0-0))+0-139-0</f>
        <v>447.20000000000005</v>
      </c>
      <c r="Q208" s="3">
        <f>664.8+(100.4-145.9)+(0+(0-0))+0-144.4-0</f>
        <v>474.9</v>
      </c>
      <c r="R208" s="3">
        <f>671.6+(169.5-243.9)+(0+(0-0))+0-152.6-0</f>
        <v>444.6</v>
      </c>
      <c r="S208" s="3">
        <f>672+(158.2-306.6)+(0+(0-0))+0-140.3-0</f>
        <v>383.2999999999999</v>
      </c>
      <c r="T208" s="3">
        <f>664.9+(150.4-343.9)+(0+(0-0))+0-125.5-0</f>
        <v>345.9</v>
      </c>
      <c r="U208" s="3">
        <f>662.3+(100.5-240.9)+(0+(0-0))+0-129.3-0</f>
        <v>392.59999999999997</v>
      </c>
      <c r="V208" s="3">
        <f>660.2+(64-170.3)+(0+(0-0))+0-128.1-0</f>
        <v>425.80000000000007</v>
      </c>
      <c r="W208" s="3">
        <f>673.8+(142.7-106.9)+(0+(0-0))+0-141.2-0</f>
        <v>568.39999999999986</v>
      </c>
      <c r="X208" s="3">
        <f>689.1+(235-230.1)+(0+(0-0))+0-144-0</f>
        <v>550</v>
      </c>
      <c r="Y208" s="3">
        <f>718.7+(279.2-292.3)+(0+(0-0))+0-142.2-0</f>
        <v>563.40000000000009</v>
      </c>
      <c r="Z208" s="3">
        <f>714.8+(264.5-298.7)+(0+(0-0))+0-145.3-0</f>
        <v>535.29999999999995</v>
      </c>
      <c r="AA208" s="3">
        <f>697.1+(286.4-347.5)+(0+(0-0))+0-151.8-0</f>
        <v>484.2</v>
      </c>
      <c r="AB208" s="3">
        <f>684.5+(235.4-385.3)+(0+(0-0))+0-129.1-0</f>
        <v>405.5</v>
      </c>
      <c r="AC208" s="3">
        <f>645.7+(171.1-316.6)+(0+(0-0))+0-110.6-0</f>
        <v>389.6</v>
      </c>
      <c r="AD208" s="2">
        <v>655.4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652.2+(92-341)+(-0.997866+(-0.14076--0.52173))+0-103.5--0.158355000000006</f>
        <v>299.24145900000008</v>
      </c>
      <c r="G209" s="3">
        <f>659.2+(103.5-432.4)+(0.336192+(0.052785-0.220524))+0-97.1-0.0495209999999901</f>
        <v>233.31893200000007</v>
      </c>
      <c r="H209" s="3">
        <f>655.2+(100.4-444.5)+(-0.668304+(-0.102408--0.45339))+0-91.4--0.0932280000000146</f>
        <v>219.47590600000004</v>
      </c>
      <c r="I209" s="3">
        <f>657.3+(104.7-390.8)+(-0.335223+(-0.053397--0.199308))+0-91.4--0.0466139999999907</f>
        <v>279.65730199999996</v>
      </c>
      <c r="J209" s="3">
        <f>656.6+(84.2-347.4)+(-1.004598+(-0.128826--0.531522))+0-93.1--0.142443000000005</f>
        <v>299.84054100000009</v>
      </c>
      <c r="K209" s="3">
        <f>663.9+(67.3-294)+(-0.338589+(-0.034323--0.14994))+0-93--0.0474299999999906</f>
        <v>344.02445799999992</v>
      </c>
      <c r="L209" s="3">
        <f>664.1+(113.5-297.2)+(0+(0-0))+0-90.1-0</f>
        <v>390.30000000000007</v>
      </c>
      <c r="M209" s="3">
        <f>666+(118-288.6)+(0.67932+(0.12036-0.294372))+0-94.4-0.0962880000000151</f>
        <v>401.40902</v>
      </c>
      <c r="N209" s="3">
        <f>652.7+(102.5-313.6)+(0.665754+(0.10455-0.319872))+0-98-0.0999600000000156</f>
        <v>343.95047199999999</v>
      </c>
      <c r="O209" s="3">
        <f>663.6+(102.4-274.6)+(-0.338436+(-0.052224--0.140046))+0-86.9--0.0443189999999912</f>
        <v>404.29370499999993</v>
      </c>
      <c r="P209" s="3">
        <f>665.9+(107.8-239.2)+(0+(0-0))+0-93.4-0</f>
        <v>441.1</v>
      </c>
      <c r="Q209" s="3">
        <f>659.4+(88.1-262.2)+(-1.008882+(-0.134793--0.401166))+0-82.9--0.126837000000005</f>
        <v>401.78432799999996</v>
      </c>
      <c r="R209" s="3">
        <f>661.5+(66-230.2)+(0+(0-0))+0-94.3-0</f>
        <v>403</v>
      </c>
      <c r="S209" s="3">
        <f>651.7+(76.2-266.9)+(0+(0-0))+0-92.4-0</f>
        <v>368.6</v>
      </c>
      <c r="T209" s="3">
        <f>655.3+(64-301.1)+(0+(0-0))+0-89.2-0</f>
        <v>328.99999999999994</v>
      </c>
      <c r="U209" s="3">
        <f>645.2+(64-270.3)+(0+(0-0))+0-89.9-0</f>
        <v>349</v>
      </c>
      <c r="V209" s="3">
        <f>647.4+(95.1-251.1)+(0+(0-0))+0-89.1-0</f>
        <v>402.29999999999995</v>
      </c>
      <c r="W209" s="3">
        <f>655.4+(114.8-120.5)+(0+(0-0))+0-94.5-0</f>
        <v>555.19999999999993</v>
      </c>
      <c r="X209" s="3">
        <f>700.7+(77-108)+(0+(0-0))+0-99.9-0</f>
        <v>569.80000000000007</v>
      </c>
      <c r="Y209" s="3">
        <f>694.1+(101.5-161.6)+(0+(0-0))+0-100.2-0</f>
        <v>533.79999999999995</v>
      </c>
      <c r="Z209" s="3">
        <f>696.1+(103.5-247.9)+(0+(0-0))+0-99.8-0</f>
        <v>451.90000000000003</v>
      </c>
      <c r="AA209" s="3">
        <f>695.9+(146-293.6)+(0+(0-0))+0-100.5-0</f>
        <v>447.79999999999995</v>
      </c>
      <c r="AB209" s="3">
        <f>705.1+(110.9-316.7)+(0+(0-0))+0-100.3-0</f>
        <v>399.00000000000006</v>
      </c>
      <c r="AC209" s="3">
        <f>702.3+(102.2-272.7)+(0+(0-0))+0-98.9-0</f>
        <v>432.9</v>
      </c>
      <c r="AD209" s="2">
        <v>651.19999999999993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682.7+(44-298.9)+(-1.740885+(-0.1122--0.762195))+0-102--0.260099999999985</f>
        <v>324.96921000000003</v>
      </c>
      <c r="G210" s="3">
        <f>659.5+(38-332.4)+(-1.681725+(-0.0969--0.84762))+0-101.2--0.258059999999985</f>
        <v>263.22705500000001</v>
      </c>
      <c r="H210" s="3">
        <f>566.9+(42.6-272.7)+(-0.289119+(-0.021726--0.139077))+0-101--0.0515099999999898</f>
        <v>235.67974199999995</v>
      </c>
      <c r="I210" s="3">
        <f>533.2+(37-238.1)+(-0.815796+(-0.05661--0.364293))+0-100.9--0.154377000000006</f>
        <v>230.84626400000005</v>
      </c>
      <c r="J210" s="3">
        <f>540.8+(71.8-228.9)+(-0.827424+(-0.109854--0.350217))+0-100.9--0.154377000000006</f>
        <v>282.3673159999999</v>
      </c>
      <c r="K210" s="3">
        <f>541.3+(159.3-251.3)+(-0.552126+(-0.162486--0.256326))+0-100.4--0.102408000000016</f>
        <v>348.54412199999996</v>
      </c>
      <c r="L210" s="3">
        <f>542.1+(229.9-268)+(0+(0-0))+0-98.6-0</f>
        <v>405.4</v>
      </c>
      <c r="M210" s="3">
        <f>542.3+(215.7-255)+(0+(0-0))+0-100.2-0</f>
        <v>402.79999999999995</v>
      </c>
      <c r="N210" s="3">
        <f>565.4+(143.9-204.6)+(0+(0-0))+0-100.9-0</f>
        <v>403.79999999999995</v>
      </c>
      <c r="O210" s="3">
        <f>618.4+(201.2-240.2)+(0+(0-0))+0-102.1-0</f>
        <v>477.29999999999995</v>
      </c>
      <c r="P210" s="3">
        <f>643.3+(163.9-206.9)+(0+(0-0))+0-101.8-0</f>
        <v>498.49999999999994</v>
      </c>
      <c r="Q210" s="3">
        <f>661.9+(113.5-176.5)+(0+(0-0))+0-100.7-0</f>
        <v>498.2</v>
      </c>
      <c r="R210" s="3">
        <f>683.5+(65.9-192.8)+(0+(0-0))+0-96.5-0</f>
        <v>460.1</v>
      </c>
      <c r="S210" s="3">
        <f>679.5+(65-255.7)+(-0.69309+(-0.0663--0.260814))+0-93.3--0.0951660000000149</f>
        <v>395.09658999999999</v>
      </c>
      <c r="T210" s="3">
        <f>681.1+(62-306.1)+(-0.347361+(-0.03162--0.156111))+0-95.9--0.0489089999999903</f>
        <v>340.92603899999995</v>
      </c>
      <c r="U210" s="3">
        <f>673.9+(73.5-283.8)+(-1.374756+(-0.14994--0.578952))+0-101.6--0.207263999999996</f>
        <v>361.26152000000002</v>
      </c>
      <c r="V210" s="3">
        <f>678.3+(107.9-251.4)+(-0.691866+(-0.110058--0.256428))+0-102--0.104040000000016</f>
        <v>432.35854399999999</v>
      </c>
      <c r="W210" s="3">
        <f>678.6+(108.9-150.2)+(-0.692172+(-0.111078--0.153204))+0-105.1--0.107202000000017</f>
        <v>531.6571560000001</v>
      </c>
      <c r="X210" s="3">
        <f>698+(74-167.2)+(-1.06794+(-0.11322--0.255816))+0-110--0.168300000000006</f>
        <v>494.04295599999995</v>
      </c>
      <c r="Y210" s="3">
        <f>708.9+(73-188.2)+(-1.084617+(-0.11169--0.287946))+0-112--0.171360000000006</f>
        <v>480.96299900000002</v>
      </c>
      <c r="Z210" s="3">
        <f>713.4+(97.9-222.9)+(-1.091502+(-0.149787--0.341037))+0-112.5--0.172125000000006</f>
        <v>475.17187299999995</v>
      </c>
      <c r="AA210" s="3">
        <f>707.3+(87.8-241.3)+(-1.442892+(-0.179112--0.492252))+0-112.5--0.229499999999995</f>
        <v>440.39974799999987</v>
      </c>
      <c r="AB210" s="3">
        <f>713.8+(64-284)+(-0.364038+(-0.03264--0.14484))+0-105.1--0.0536009999999893</f>
        <v>388.50176299999993</v>
      </c>
      <c r="AC210" s="3">
        <f>706+(62-294.3)+(-1.08018+(-0.09486--0.450279))+0-104.2--0.159426000000006</f>
        <v>368.934665</v>
      </c>
      <c r="AD210" s="2">
        <v>612.1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714.2+(61-346.6)+(-0.364242+(-0.03111--0.176766))+0-102.9--0.0524789999999896</f>
        <v>325.53389299999998</v>
      </c>
      <c r="G211" s="3">
        <f>717.2+(59-361.8)+(0+(0-0))+0-108-0</f>
        <v>306.40000000000003</v>
      </c>
      <c r="H211" s="3">
        <f>674.9+(59-376.3)+(0.344199+(0.03009-0.191913))+0-110.8-0.0565079999999888</f>
        <v>246.92586799999995</v>
      </c>
      <c r="I211" s="3">
        <f>639.8+(57-356.4)+(0.652596+(0.05814-0.363528))+0-110.8-0.113016000000018</f>
        <v>229.83419199999997</v>
      </c>
      <c r="J211" s="3">
        <f>639.5+(58-323)+(0.65229+(0.05916-0.32946))+0-109.5-0.111690000000017</f>
        <v>265.27029999999996</v>
      </c>
      <c r="K211" s="3">
        <f>638.5+(91.9-325.5)+(0+(0-0))+0-106.4-0</f>
        <v>298.5</v>
      </c>
      <c r="L211" s="3">
        <f>642.8+(144.5-311.7)+(1.311312+(0.29478-0.635868))+0-99.3-0.202571999999996</f>
        <v>377.06765199999995</v>
      </c>
      <c r="M211" s="3">
        <f>634.8+(157.7-263.4)+(-0.647496+(-0.160854--0.268668))+0-105.2--0.107304000000017</f>
        <v>423.46762199999995</v>
      </c>
      <c r="N211" s="3">
        <f>632.6+(119.7-250.1)+(-1.290504+(-0.244188--0.510204))+0-100.6--0.205223999999996</f>
        <v>400.78073599999999</v>
      </c>
      <c r="O211" s="3">
        <f>632.9+(92.5-255.4)+(-0.968337+(-0.141525--0.390762))+0-100.8--0.154224000000006</f>
        <v>368.63512399999996</v>
      </c>
      <c r="P211" s="3">
        <f>629.9+(63-263.8)+(-1.606245+(-0.16065--0.67269))+0-108.1--0.275654999999984</f>
        <v>320.18144999999998</v>
      </c>
      <c r="Q211" s="3">
        <f>669.7+(64-269)+(-1.024641+(-0.09792--0.41157))+0-107.4--0.164322000000006</f>
        <v>356.75333100000006</v>
      </c>
      <c r="R211" s="3">
        <f>698.8+(64-294.1)+(-1.425552+(-0.13056--0.599964))+0-102.6--0.209303999999996</f>
        <v>365.3531559999999</v>
      </c>
      <c r="S211" s="3">
        <f>705.4+(63-320.7)+(0.359754+(0.03213-0.163557))+0-101.9-0.0519689999999897</f>
        <v>345.976358</v>
      </c>
      <c r="T211" s="3">
        <f>698.3+(64-329)+(-0.712266+(-0.06528--0.33558))+0-108.1--0.110262000000017</f>
        <v>324.86829599999999</v>
      </c>
      <c r="U211" s="3">
        <f>698.3+(64-296.9)+(-1.780665+(-0.1632--0.757095))+0-102.1--0.260354999999985</f>
        <v>362.37358499999993</v>
      </c>
      <c r="V211" s="3">
        <f>698.3+(112.3-234.5)+(-1.068399+(-0.171819--0.358785))+0-108.8--0.166464000000006</f>
        <v>466.5850309999999</v>
      </c>
      <c r="W211" s="3">
        <f>697+(117.1-157.7)+(0.35547+(0.059721-0.080427))+0-113.5-0.0578849999999885</f>
        <v>543.17687899999999</v>
      </c>
      <c r="X211" s="3">
        <f>696.4+(96.9-138.5)+(-1.065492+(-0.148257--0.211905))+0-118.9--0.181917000000007</f>
        <v>535.08007299999997</v>
      </c>
      <c r="Y211" s="3">
        <f>694.8+(78.6-137.7)+(-1.417392+(-0.160344--0.280908))+0-116.9--0.238475999999995</f>
        <v>517.74164799999994</v>
      </c>
      <c r="Z211" s="3">
        <f>696.4+(70-210.1)+(-1.420656+(-0.1428--0.428604))+0-118.2--0.241127999999995</f>
        <v>437.20627599999995</v>
      </c>
      <c r="AA211" s="3">
        <f>697.8+(67-233.4)+(-1.77939+(-0.17085--0.59517))+0-119.3--0.304214999999983</f>
        <v>411.04914500000001</v>
      </c>
      <c r="AB211" s="3">
        <f>700.5+(67-275.6)+(-1.786275+(-0.17085--0.70278))+0-116.5--0.297074999999983</f>
        <v>374.44272999999998</v>
      </c>
      <c r="AC211" s="3">
        <f>703.1+(62-309.9)+(-1.075743+(-0.09486--0.474147))+0-117.2--0.179316000000007</f>
        <v>337.48286000000007</v>
      </c>
      <c r="AD211" s="2">
        <v>617.79999999999995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716+(52-387.2)+(-1.09548+(-0.07956--0.592416))+0-115.4--0.176562000000007</f>
        <v>264.99393799999996</v>
      </c>
      <c r="G212" s="3">
        <f>708.2+(51-436.3)+(-1.083546+(-0.07803--0.667539))+0-113.8--0.174114000000007</f>
        <v>208.78007700000003</v>
      </c>
      <c r="H212" s="3">
        <f>665.4+(50-366.2)+(-0.678708+(-0.051--0.373524))+0-114--0.116280000000018</f>
        <v>234.96009600000002</v>
      </c>
      <c r="I212" s="3">
        <f>669.4+(51-378.5)+(-0.341394+(-0.02601--0.193035))+0-110.4--0.0563039999999888</f>
        <v>231.38193499999994</v>
      </c>
      <c r="J212" s="3">
        <f>674.7+(50-312.9)+(0.344097+(0.0255-0.159579))+0-113.8-0.0580379999999885</f>
        <v>298.15198000000004</v>
      </c>
      <c r="K212" s="3">
        <f>672.9+(79.6-307)+(0.343179+(0.040596-0.15657))+0-110.9-0.0565589999999888</f>
        <v>334.77064600000006</v>
      </c>
      <c r="L212" s="3">
        <f>578.3+(218-245.6)+(-0.294933+(-0.11118--0.125256))+0-106.4--0.0542639999999892</f>
        <v>444.07340699999997</v>
      </c>
      <c r="M212" s="3">
        <f>556.5+(236.6-240.4)+(0+(0-0))+0-107.5-0</f>
        <v>445.20000000000005</v>
      </c>
      <c r="N212" s="3">
        <f>556.6+(209-223.9)+(-0.851598+(-0.31977--0.342567))+0-112.2--0.171666000000006</f>
        <v>428.84286500000007</v>
      </c>
      <c r="O212" s="3">
        <f>658.9+(160.2-243)+(-0.336039+(-0.081702--0.12393))+0-107.7--0.0549269999999891</f>
        <v>468.16111599999988</v>
      </c>
      <c r="P212" s="3">
        <f>699.5+(180.3-270.2)+(-0.71349+(-0.183906--0.275604))+0-109.3--0.111486000000017</f>
        <v>499.789694</v>
      </c>
      <c r="Q212" s="3">
        <f>696.1+(180-264.2)+(-0.710022+(-0.1836--0.269484))+0-110--0.112200000000018</f>
        <v>501.3880620000001</v>
      </c>
      <c r="R212" s="3">
        <f>694.4+(112.3-214.2)+(-0.354144+(-0.057273--0.109242))+0-110.8--0.0565079999999888</f>
        <v>481.45433299999996</v>
      </c>
      <c r="S212" s="3">
        <f>693.7+(73.1-231.1)+(-1.061361+(-0.111843--0.353583))+0-109.4--0.167382000000006</f>
        <v>425.64776100000012</v>
      </c>
      <c r="T212" s="3">
        <f>691.6+(79.8-289.3)+(-1.058148+(-0.122094--0.442629))+0-111.3--0.170289000000006</f>
        <v>370.23267600000003</v>
      </c>
      <c r="U212" s="3">
        <f>690.1+(115.6-299.3)+(-1.055853+(-0.176868--0.457929))+0-109.7--0.167841000000006</f>
        <v>396.09304900000001</v>
      </c>
      <c r="V212" s="3">
        <f>691.4+(219.4-227.9)+(0.705228+(0.223788-0.232458))+0-111.4-0.113628000000018</f>
        <v>572.08292999999992</v>
      </c>
      <c r="W212" s="3">
        <f>693.8+(265.4-169.2)+(0.353838+(0.135354-0.086292))+0-117.5-0.0599249999999881</f>
        <v>672.84297500000002</v>
      </c>
      <c r="X212" s="3">
        <f>696.1+(210.4-132.2)+(-1.065033+(-0.321912--0.202266))+0-120.9--0.184977000000007</f>
        <v>652.40029800000013</v>
      </c>
      <c r="Y212" s="3">
        <f>706.7+(204.1-191.4)+(-0.720834+(-0.208182--0.195228))+0-113.9--0.116178000000018</f>
        <v>604.8823900000001</v>
      </c>
      <c r="Z212" s="3">
        <f>708.5+(156-213.6)+(-0.72267+(-0.15912--0.217872))+0-106.4--0.108528000000017</f>
        <v>543.94461000000001</v>
      </c>
      <c r="AA212" s="3">
        <f>711.8+(139.3-208.1)+(-0.726036+(-0.142086--0.212262))+0-110.5--0.112710000000018</f>
        <v>531.95685000000003</v>
      </c>
      <c r="AB212" s="3">
        <f>708.9+(120.3-233.6)+(-1.807695+(-0.306765--0.59568))+0-108.9--0.277694999999984</f>
        <v>485.45891500000005</v>
      </c>
      <c r="AC212" s="3">
        <f>706.7+(115.3-280.4)+(-2.162502+(-0.352818--0.858024))+0-104.1--0.318546000000012</f>
        <v>436.16125000000017</v>
      </c>
      <c r="AD212" s="2">
        <v>643.89999999999986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574.6+(60-226.3)+(0.586092+(0.0612-0.230826))+0-100.2-0.102204000000016</f>
        <v>308.41426200000001</v>
      </c>
      <c r="G213" s="3">
        <f>528.8+(59-196.8)+(0.269688+(0.03009-0.100368))+0-103.6-0.0528359999999895</f>
        <v>287.54657399999991</v>
      </c>
      <c r="H213" s="3">
        <f>532.3+(58-177.2)+(0.542946+(0.05916-0.180744))+0-103.6-0.105672000000017</f>
        <v>309.8156899999999</v>
      </c>
      <c r="I213" s="3">
        <f>528.8+(73.8-172.2)+(-0.269688+(-0.037638--0.087822))+0-104.2--0.0531419999999894</f>
        <v>326.033638</v>
      </c>
      <c r="J213" s="3">
        <f>529.5+(121.1-185.2)+(0+(0-0))+0-102.6-0</f>
        <v>362.79999999999995</v>
      </c>
      <c r="K213" s="3">
        <f>524.6+(169.1-196.6)+(-1.070184+(-0.344964--0.401064))+0-102--0.208079999999996</f>
        <v>394.29399599999999</v>
      </c>
      <c r="L213" s="3">
        <f>533.2+(179.1-245.6)+(0.543864+(0.182682-0.250512))+0-99.7-0.101694000000016</f>
        <v>367.37434000000007</v>
      </c>
      <c r="M213" s="3">
        <f>530.8+(182.4-211.6)+(0+(0-0))+0-100.6-0</f>
        <v>401</v>
      </c>
      <c r="N213" s="3">
        <f>531.4+(119.7-206.6)+(0+(0-0))+0-71.3-0</f>
        <v>373.2</v>
      </c>
      <c r="O213" s="3">
        <f>527.7+(78.1-188.1)+(0+(0-0))+0-55.4-0</f>
        <v>362.30000000000007</v>
      </c>
      <c r="P213" s="3">
        <f>514.6+(150.9-190.7)+(-0.787338+(-0.230877--0.291771))+0-52--0.079560000000003</f>
        <v>422.15311600000007</v>
      </c>
      <c r="Q213" s="3">
        <f>514.1+(139.7-203.2)+(0+(0-0))+0-52-0</f>
        <v>398.6</v>
      </c>
      <c r="R213" s="3">
        <f>510+(73.3-175.1)+(-0.7803+(-0.112149--0.267903))+0-45.9--0.0702270000000026</f>
        <v>361.74568099999999</v>
      </c>
      <c r="S213" s="3">
        <f>506.2+(63.8-191.3)+(0+(0-0))+0-61.6-0</f>
        <v>317.09999999999997</v>
      </c>
      <c r="T213" s="3">
        <f>503.8+(92.5-228)+(0+(0-0))+0-89.4-0</f>
        <v>278.89999999999998</v>
      </c>
      <c r="U213" s="3">
        <f>495.3+(132.3-239.9)+(-1.010412+(-0.269892--0.489396))+0-104.4--0.212975999999995</f>
        <v>282.72206799999998</v>
      </c>
      <c r="V213" s="3">
        <f>494.1+(164.5-246.6)+(-0.755973+(-0.251685--0.377298))+0-101.7--0.155601000000006</f>
        <v>309.82524100000001</v>
      </c>
      <c r="W213" s="3">
        <f>499.8+(164.6-143)+(-0.254898+(-0.083946--0.07293))+0-99--0.05048999999999</f>
        <v>422.18457599999999</v>
      </c>
      <c r="X213" s="3">
        <f>503.3+(215.9-138.9)+(-0.770049+(-0.330327--0.212517))+0-103.8--0.158814000000006</f>
        <v>475.7709549999999</v>
      </c>
      <c r="Y213" s="3">
        <f>507.7+(257.8-108.9)+(-0.258927+(-0.131478--0.055539))+0-102.4--0.0522239999999896</f>
        <v>553.91735800000004</v>
      </c>
      <c r="Z213" s="3">
        <f>512.9+(249-42.1)+(0.523158+(0.25398-0.042942))+0-97.3-0.0992460000000155</f>
        <v>623.13495</v>
      </c>
      <c r="AA213" s="3">
        <f>511.7+(183.7-53.6)+(0.260967+(0.093687-0.027336))+0-101.8-0.0519179999999897</f>
        <v>540.27539999999999</v>
      </c>
      <c r="AB213" s="3">
        <f>509.5+(170.5-69.3)+(-0.51969+(-0.17391--0.070686))+0-101.7--0.103734000000016</f>
        <v>508.48082000000005</v>
      </c>
      <c r="AC213" s="3">
        <f>507.9+(139.1-100.6)+(-0.777087+(-0.212823--0.153918))+0-104.8--0.160344000000006</f>
        <v>440.92435199999994</v>
      </c>
      <c r="AD213" s="2">
        <v>607.19999999999993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511.5+(134.7-126.4)+(-0.260865+(-0.068697--0.064464))+0-103.5--0.0527849999999895</f>
        <v>416.08768699999996</v>
      </c>
      <c r="G214" s="3">
        <f>510.9+(159.6-191.1)+(-0.521118+(-0.162792--0.194922))+0-101.7--0.103734000000016</f>
        <v>377.31474600000001</v>
      </c>
      <c r="H214" s="3">
        <f>510+(194.7-195.3)+(-0.7803+(-0.297891--0.298809))+0-101.9--0.155907000000006</f>
        <v>406.87652499999996</v>
      </c>
      <c r="I214" s="3">
        <f>511.4+(264.7-237.1)+(-1.043256+(-0.539988--0.483684))+0-101.3--0.206651999999996</f>
        <v>436.80709200000001</v>
      </c>
      <c r="J214" s="3">
        <f>522.3+(217.3-203.4)+(0+(0-0))+0-99.6-0</f>
        <v>436.59999999999991</v>
      </c>
      <c r="K214" s="3">
        <f>519.6+(294.2-255.8)+(-0.794988+(-0.450126--0.391374))+0-100--0.153000000000006</f>
        <v>457.29926</v>
      </c>
      <c r="L214" s="3">
        <f>520.7+(268.4-292.1)+(-0.796671+(-0.410652--0.446913))+0-99--0.151470000000006</f>
        <v>397.39106000000004</v>
      </c>
      <c r="M214" s="3">
        <f>521.4+(237-210.3)+(0.265914+(0.12087-0.107253))+0-98.1-0.05003099999999</f>
        <v>450.22949999999992</v>
      </c>
      <c r="N214" s="3">
        <f>521.4+(159-171.8)+(0.265914+(0.08109-0.087618))+0-100.6-0.0513059999999898</f>
        <v>408.20807999999994</v>
      </c>
      <c r="O214" s="3">
        <f>510.8+(98.9-130.7)+(-1.042032+(-0.201756--0.266628))+0-98.5--0.200939999999996</f>
        <v>379.72377999999998</v>
      </c>
      <c r="P214" s="3">
        <f>510+(85.6-166)+(0.2601+(0.043656-0.08466))+0-94.9-0.0483989999999904</f>
        <v>334.87069699999995</v>
      </c>
      <c r="Q214" s="3">
        <f>510.1+(95.3-143.6)+(-0.780453+(-0.145809--0.219708))+0-99.7--0.152541000000006</f>
        <v>361.54598700000003</v>
      </c>
      <c r="R214" s="3">
        <f>512.7+(55-158.9)+(0.261477+(0.02805-0.081039))+0-96.9-0.0494189999999902</f>
        <v>312.05906900000008</v>
      </c>
      <c r="S214" s="3">
        <f>508.3+(60-179.4)+(-0.518466+(-0.0612--0.182988))+0-96.8--0.0987360000000154</f>
        <v>291.80205799999999</v>
      </c>
      <c r="T214" s="3">
        <f>504.6+(54-174.9)+(-1.029384+(-0.11016--0.356796))+0-96.4--0.196655999999996</f>
        <v>286.713908</v>
      </c>
      <c r="U214" s="3">
        <f>505.6+(70.8-161.4)+(-1.031424+(-0.144432--0.329256))+0-98.9--0.201755999999996</f>
        <v>315.45515599999993</v>
      </c>
      <c r="V214" s="3">
        <f>512.4+(99.2-111.7)+(0.522648+(0.101184-0.113934))+0-98.8-0.100776000000016</f>
        <v>401.50912199999999</v>
      </c>
      <c r="W214" s="3">
        <f>509.7+(206.8-41.1)+(-0.259947+(-0.105468--0.020961))+0-100.1--0.0510509999999898</f>
        <v>575.00659699999994</v>
      </c>
      <c r="X214" s="3">
        <f>518.5+(234.6-43.9)+(0.52887+(0.239292-0.044778))+0-103.7-0.105774000000017</f>
        <v>606.11761000000001</v>
      </c>
      <c r="Y214" s="3">
        <f>518.2+(223.5-32.7)+(-0.792846+(-0.341955--0.050031))+0-105--0.160650000000006</f>
        <v>603.07587999999998</v>
      </c>
      <c r="Z214" s="3">
        <f>517.7+(213-25.9)+(-1.056108+(-0.43452--0.052836))+0-105.3--0.214811999999995</f>
        <v>598.27702000000022</v>
      </c>
      <c r="AA214" s="3">
        <f>518.7+(234.9-45.6)+(-0.529074+(-0.239598--0.046512))+0-105.8--0.107916000000017</f>
        <v>601.58575600000006</v>
      </c>
      <c r="AB214" s="3">
        <f>521.2+(226.2-76.1)+(-0.531624+(-0.230724--0.077622))+0-103.5--0.105570000000016</f>
        <v>567.22084400000017</v>
      </c>
      <c r="AC214" s="3">
        <f>521.1+(207.3-49)+(-0.531522+(-0.211446--0.04998))+0-102--0.104040000000016</f>
        <v>576.81105200000013</v>
      </c>
      <c r="AD214" s="2">
        <v>575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520+(138.4-59.2)+(-1.0608+(-0.282336--0.120768))+0-101.2--0.206447999999996</f>
        <v>496.98408000000012</v>
      </c>
      <c r="G215" s="3">
        <f>527.8+(114.5-91.7)+(-0.269178+(-0.058395--0.046767))+0-108--0.055079999999989</f>
        <v>442.3742739999999</v>
      </c>
      <c r="H215" s="3">
        <f>526.3+(130.7-88.1)+(-0.805239+(-0.199971--0.134793))+0-109.4--0.167382000000006</f>
        <v>458.79696500000006</v>
      </c>
      <c r="I215" s="3">
        <f>526.4+(124.4-81.7)+(-0.805392+(-0.190332--0.125001))+0-110.4--0.168912000000006</f>
        <v>457.99818900000008</v>
      </c>
      <c r="J215" s="3">
        <f>528.6+(156.6-100.1)+(-0.539172+(-0.159732--0.102102))+0-101--0.103020000000016</f>
        <v>483.60621800000001</v>
      </c>
      <c r="K215" s="3">
        <f>531.3+(201.3-124.5)+(0+(0-0))+0-111.5-0</f>
        <v>496.59999999999991</v>
      </c>
      <c r="L215" s="3">
        <f>528.5+(322-174)+(-0.269535+(-0.16422--0.08874))+0-118--0.060179999999988</f>
        <v>558.21516499999996</v>
      </c>
      <c r="M215" s="3">
        <f>530.4+(261.3-184)+(-0.270504+(-0.133263--0.09384))+0-97--0.0494699999999902</f>
        <v>510.43954300000001</v>
      </c>
      <c r="N215" s="3">
        <f>529.2+(228.8-161.5)+(0+(0-0))+0-119.5-0</f>
        <v>477</v>
      </c>
      <c r="O215" s="3">
        <f>523.3+(257-169)+(-1.067532+(-0.52428--0.34476))+0-108.3--0.220931999999995</f>
        <v>501.97387999999989</v>
      </c>
      <c r="P215" s="3">
        <f>523.6+(276.3-151.6)+(-0.267036+(-0.140913--0.077316))+0-115.9--0.0591089999999882</f>
        <v>532.12847600000009</v>
      </c>
      <c r="Q215" s="3">
        <f>516.4+(183.8-65.9)+(-0.526728+(-0.187476--0.067218))+0-119.8--0.122196000000019</f>
        <v>513.97521000000006</v>
      </c>
      <c r="R215" s="3">
        <f>516.2+(184.5-26.3)+(-0.789786+(-0.282285--0.040239))+0-110.9--0.169677000000006</f>
        <v>562.63784500000008</v>
      </c>
      <c r="S215" s="3">
        <f>520.6+(160.4-34.1)+(-0.796518+(-0.245412--0.052173))+0-122.8--0.187884000000007</f>
        <v>523.29812700000014</v>
      </c>
      <c r="T215" s="3">
        <f>529.3+(155-34.6)+(0.269943+(0.07905-0.017646))+0-123.7-0.0630869999999875</f>
        <v>526.26825999999994</v>
      </c>
      <c r="U215" s="3">
        <f>521.7+(171.7-40.6)+(-1.596402+(-0.525402--0.124236))+0-112.7--0.344862000000013</f>
        <v>538.44729400000006</v>
      </c>
      <c r="V215" s="3">
        <f>524.6+(243.4-55.7)+(-0.535092+(-0.248268--0.056814))+0-111.2--0.113424000000018</f>
        <v>600.48687799999993</v>
      </c>
      <c r="W215" s="3">
        <f>529.2+(304.6-47.5)+(0+(0-0))+0-111.1-0</f>
        <v>675.2</v>
      </c>
      <c r="X215" s="3">
        <f>524.9+(295.9-41.8)+(-1.070796+(-0.603636--0.085272))+0-113.5--0.231539999999995</f>
        <v>664.14238</v>
      </c>
      <c r="Y215" s="3">
        <f>524.2+(312.5-35.2)+(-2.138736+(-1.275--0.143616))+0-133.4--0.544271999999988</f>
        <v>665.37415199999998</v>
      </c>
      <c r="Z215" s="3">
        <f>532.6+(285.3-30.3)+(-1.35813+(-0.727515--0.077265))+0-119.2--0.303959999999983</f>
        <v>666.69557999999995</v>
      </c>
      <c r="AA215" s="3">
        <f>537.2+(255.1-35.3)+(-1.36986+(-0.650505--0.090015))+0-113.9--0.290444999999983</f>
        <v>641.46009500000002</v>
      </c>
      <c r="AB215" s="3">
        <f>538.4+(265.4-55.5)+(-0.823752+(-0.406062--0.084915))+0-111.3--0.170289000000006</f>
        <v>636.02539000000002</v>
      </c>
      <c r="AC215" s="3">
        <f>540.5+(249.8-90.4)+(-0.275655+(-0.127398--0.046104))+0-123--0.0627299999999875</f>
        <v>576.60578099999998</v>
      </c>
      <c r="AD215" s="2">
        <v>640.20000000000005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541.1+(138.7-126)+(0.275961+(0.070737-0.06426))+0-118.4-0.060383999999988</f>
        <v>435.62205399999993</v>
      </c>
      <c r="G216" s="3">
        <f>535.3+(96.9-116.9)+(-1.092012+(-0.197676--0.238476))+0-114.7--0.233987999999995</f>
        <v>399.78277600000001</v>
      </c>
      <c r="H216" s="3">
        <f>534.5+(90.5-100.3)+(-1.09038+(-0.18462--0.204612))+0-118.2--0.241127999999995</f>
        <v>405.67074000000008</v>
      </c>
      <c r="I216" s="3">
        <f>545+(75.6-113.6)+(1.1118+(0.154224-0.231744))+0-104.5-0.213179999999995</f>
        <v>403.3211</v>
      </c>
      <c r="J216" s="3">
        <f>546.6+(138.1-122.7)+(1.39383+(0.352155-0.312885))+0-119.7-0.305234999999983</f>
        <v>443.427865</v>
      </c>
      <c r="K216" s="3">
        <f>545.5+(197.7-151.1)+(0.834615+(0.302481-0.231183))+0-112.8-0.172584000000007</f>
        <v>480.03332900000004</v>
      </c>
      <c r="L216" s="3">
        <f>543.9+(265.2-171.9)+(1.109556+(0.541008-0.350676))+0-106.5-0.217259999999995</f>
        <v>531.78262799999993</v>
      </c>
      <c r="M216" s="3">
        <f>535.2+(273-141)+(0+(0-0))+0-106-0</f>
        <v>561.20000000000005</v>
      </c>
      <c r="N216" s="3">
        <f>531+(271-167.1)+(0.54162+(0.27642-0.170442))+0-111.6-0.113832000000018</f>
        <v>523.83376599999997</v>
      </c>
      <c r="O216" s="3">
        <f>528.3+(216.7-135.1)+(-0.808299+(-0.331551--0.206703))+0-107.3--0.164169000000006</f>
        <v>501.83102200000002</v>
      </c>
      <c r="P216" s="3">
        <f>530.8+(183.2-104.9)+(0+(0-0))+0-106.9-0</f>
        <v>502.19999999999993</v>
      </c>
      <c r="Q216" s="3">
        <f>527.4+(122.5-70.5)+(-0.537948+(-0.12495--0.07191))+0-117.2--0.119544000000019</f>
        <v>461.72855599999997</v>
      </c>
      <c r="R216" s="3">
        <f>527.7+(110-78)+(-1.076508+(-0.2244--0.15912))+0-118--0.240719999999995</f>
        <v>440.79893200000004</v>
      </c>
      <c r="S216" s="3">
        <f>529.8+(109.1-74.9)+(-0.540396+(-0.111282--0.076398))+0-133.2--0.135864000000021</f>
        <v>430.36058400000002</v>
      </c>
      <c r="T216" s="3">
        <f>527.8+(112.8-75.8)+(-1.34589+(-0.28764--0.19329))+0-119.8--0.305489999999983</f>
        <v>443.86524999999989</v>
      </c>
      <c r="U216" s="3">
        <f>528.6+(145.1-73.5)+(-0.269586+(-0.074001--0.037485))+0-122.1--0.0622709999999876</f>
        <v>477.85616900000002</v>
      </c>
      <c r="V216" s="3">
        <f>529.8+(253.9-67.4)+(0+(0-0))+0-117.8-0</f>
        <v>598.5</v>
      </c>
      <c r="W216" s="3">
        <f>515.4+(352.2-18.9)+(0+(0-0))+0-119.2-0</f>
        <v>729.5</v>
      </c>
      <c r="X216" s="3">
        <f>511.9+(348.9-8.6)+(-0.522138+(-0.355878--0.008772))+0-138.4--0.141168000000022</f>
        <v>713.07192399999997</v>
      </c>
      <c r="Y216" s="3">
        <f>511.1+(320.3-9.1)+(-0.521322+(-0.326706--0.009282))+0-125--0.12750000000002</f>
        <v>696.58875399999999</v>
      </c>
      <c r="Z216" s="3">
        <f>518+(285.9-2.2)+(0.52836+(0.291618-0.002244))+0-125.8-0.12831600000002</f>
        <v>676.58941800000002</v>
      </c>
      <c r="AA216" s="3">
        <f>518.9+(283.2-18)+(0.529278+(0.288864-0.01836))+0-111.4-0.113628000000018</f>
        <v>673.38615399999992</v>
      </c>
      <c r="AB216" s="3">
        <f>520.2+(241.2-40)+(-0.795906+(-0.369036--0.0612))+0-134--0.205020000000008</f>
        <v>586.50127800000007</v>
      </c>
      <c r="AC216" s="3">
        <f>516.9+(191-62.6)+(-1.054476+(-0.38964--0.127704))+0-116.2--0.237047999999995</f>
        <v>528.02063599999985</v>
      </c>
      <c r="AD216" s="2">
        <v>638.4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523+(129.6-83.2)+(-0.26673+(-0.066096--0.042432))+0-130.9--0.0667589999999867</f>
        <v>438.276365</v>
      </c>
      <c r="G217" s="3">
        <f>523+(122.4-133.2)+(-0.80019+(-0.187272--0.203796))+0-123.1--0.188343000000007</f>
        <v>388.50467700000013</v>
      </c>
      <c r="H217" s="3">
        <f>525.1+(165.4-137)+(-1.071204+(-0.337416--0.27948))+0-126.5--0.258059999999994</f>
        <v>426.12891999999999</v>
      </c>
      <c r="I217" s="3">
        <f>532+(159.4-124.5)+(-0.54264+(-0.162588--0.12699))+0-127--0.12954000000002</f>
        <v>439.45130199999994</v>
      </c>
      <c r="J217" s="3">
        <f>539.3+(192.5-141.8)+(0.825129+(0.294525-0.216954))+0-113.9-0.174267000000007</f>
        <v>476.82843300000002</v>
      </c>
      <c r="K217" s="3">
        <f>533.2+(265.1-172.6)+(-1.087728+(-0.540804--0.352104))+0-120.1--0.245003999999995</f>
        <v>504.56857600000001</v>
      </c>
      <c r="L217" s="3">
        <f>537.3+(332.2-245.2)+(0+(0-0))+0-109.1-0</f>
        <v>515.19999999999993</v>
      </c>
      <c r="M217" s="3">
        <f>534.5+(321.6-202.9)+(0+(0-0))+0-127.8-0</f>
        <v>525.40000000000009</v>
      </c>
      <c r="N217" s="3">
        <f>533.4+(227.1-239.9)+(0.544068+(0.231642-0.244698))+0-109.9-0.112098000000018</f>
        <v>411.11891399999996</v>
      </c>
      <c r="O217" s="3">
        <f>530.1+(277.8-225.8)+(0.270351+(0.141678-0.115158))+0-117.3-0.0598229999999881</f>
        <v>465.03704800000003</v>
      </c>
      <c r="P217" s="3">
        <f>521.6+(276.6-226.4)+(-0.532032+(-0.282132--0.230928))+0-106.8--0.108936000000017</f>
        <v>464.52570000000003</v>
      </c>
      <c r="Q217" s="3">
        <f>516.1+(288.8-213.3)+(-0.789633+(-0.441864--0.326349))+0-116.2--0.177786000000007</f>
        <v>474.67263800000001</v>
      </c>
      <c r="R217" s="3">
        <f>512.4+(227.2-212.3)+(-1.567944+(-0.695232--0.649638))+0-122.3--0.374238000000014</f>
        <v>403.76069999999999</v>
      </c>
      <c r="S217" s="3">
        <f>510+(196.8-187.6)+(0+(0-0))+0-101-0</f>
        <v>418.20000000000005</v>
      </c>
      <c r="T217" s="3">
        <f>492.7+(230.4-201.8)+(-0.251277+(-0.117504--0.102918))+0-113.3--0.0577829999999885</f>
        <v>407.79191999999995</v>
      </c>
      <c r="U217" s="3">
        <f>493.9+(228.9-216.8)+(0+(0-0))+0-109.6-0</f>
        <v>396.4</v>
      </c>
      <c r="V217" s="3">
        <f>491.5+(319.3-222.8)+(-1.00266+(-0.651372--0.454512))+0-115.4--0.235415999999995</f>
        <v>471.635896</v>
      </c>
      <c r="W217" s="3">
        <f>511.4+(307.2-146.8)+(-0.521628+(-0.313344--0.149736))+0-126.8--0.12933600000002</f>
        <v>544.44409999999993</v>
      </c>
      <c r="X217" s="3">
        <f>515.3+(251.5-129.9)+(-0.262803+(-0.128265--0.066249))+0-113.4--0.0578339999999885</f>
        <v>523.23301499999991</v>
      </c>
      <c r="Y217" s="3">
        <f>514.4+(245.9-94.9)+(-0.524688+(-0.250818--0.096798))+0-142.3--0.145146000000023</f>
        <v>522.56643800000006</v>
      </c>
      <c r="Z217" s="3">
        <f>512.4+(169.5-60.8)+(-1.30662+(-0.432225--0.15504))+0-137.6--0.35087999999998</f>
        <v>482.26707499999998</v>
      </c>
      <c r="AA217" s="3">
        <f>513+(120.4-75.5)+(-1.04652+(-0.245616--0.15402))+0-133.5--0.272339999999994</f>
        <v>423.53422399999999</v>
      </c>
      <c r="AB217" s="3">
        <f>515.3+(79.8-113.3)+(-0.788409+(-0.122094--0.173349))+0-133.5--0.204255000000008</f>
        <v>347.76710099999997</v>
      </c>
      <c r="AC217" s="3">
        <f>517.8+(86.9-141.4)+(-0.528156+(-0.088638--0.144228))+0-128.3--0.13086600000002</f>
        <v>334.6583</v>
      </c>
      <c r="AD217" s="2">
        <v>631.49999999999989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519.2+(116.1-181.5)+(-0.264792+(-0.059211--0.092565))+0-126.8--0.0646679999999871</f>
        <v>326.83323000000001</v>
      </c>
      <c r="G218" s="3">
        <f>520+(115-213.2)+(0.2652+(0.05865-0.108732))+0-120.7-0.0615569999999878</f>
        <v>301.25356100000005</v>
      </c>
      <c r="H218" s="3">
        <f>520.4+(132.9-223.3)+(0+(0-0))+0-108.4-0</f>
        <v>321.60000000000002</v>
      </c>
      <c r="I218" s="3">
        <f>526.1+(163.7-215.2)+(1.073244+(0.333948-0.439008))+0-130.8-0.266831999999994</f>
        <v>344.501352</v>
      </c>
      <c r="J218" s="3">
        <f>521.4+(194.1-240.3)+(0.265914+(0.098991-0.122553))+0-104.9-0.0534989999999894</f>
        <v>370.48885299999995</v>
      </c>
      <c r="K218" s="3">
        <f>523.2+(255.2-262.7)+(0.533664+(0.260304-0.267954))+0-118.5-0.120870000000019</f>
        <v>397.60514400000005</v>
      </c>
      <c r="L218" s="3">
        <f>506+(322.6-271.8)+(-0.51612+(-0.329052--0.277236))+0-118.6--0.120972000000019</f>
        <v>437.7530359999999</v>
      </c>
      <c r="M218" s="3">
        <f>511.4+(323.5-226.1)+(1.30407+(0.824925-0.576555))+0-122.5-0.312374999999982</f>
        <v>487.54006500000003</v>
      </c>
      <c r="N218" s="3">
        <f>504.5+(248.1-174.5)+(-0.51459+(-0.253062--0.17799))+0-123.7--0.12617400000002</f>
        <v>453.93651200000005</v>
      </c>
      <c r="O218" s="3">
        <f>507.2+(222.9-185.2)+(-0.258672+(-0.113679--0.094452))+0-119.9--0.0611489999999878</f>
        <v>424.78324999999995</v>
      </c>
      <c r="P218" s="3">
        <f>507.6+(227.7-152.8)+(0+(0-0))+0-129.4-0</f>
        <v>453.1</v>
      </c>
      <c r="Q218" s="3">
        <f>508.4+(148.4-122.4)+(0.259284+(0.075684-0.062424))+0-100.6-0.0513059999999898</f>
        <v>434.02123799999998</v>
      </c>
      <c r="R218" s="3">
        <f>503.9+(145.5-58.4)+(-0.513978+(-0.14841--0.059568))+0-123.2--0.12566400000002</f>
        <v>467.32284400000009</v>
      </c>
      <c r="S218" s="3">
        <f>505.2+(97.8-73.6)+(-0.515304+(-0.099756--0.075072))+0-109.6--0.111792000000017</f>
        <v>419.371804</v>
      </c>
      <c r="T218" s="3">
        <f>508.5+(102-104.9)+(0.51867+(0.10404-0.106998))+0-112.8-0.115056000000018</f>
        <v>393.20065599999998</v>
      </c>
      <c r="U218" s="3">
        <f>502.1+(154.2-146.9)+(-0.768213+(-0.235926--0.224757))+0-109.8--0.167994000000006</f>
        <v>398.98861199999999</v>
      </c>
      <c r="V218" s="3">
        <f>502.7+(257.1-169.6)+(-0.512754+(-0.262242--0.172992))+0-104.5--0.106590000000017</f>
        <v>485.20458600000012</v>
      </c>
      <c r="W218" s="3">
        <f>507+(259.4-102.7)+(0+(0-0))+0-122.9-0</f>
        <v>540.80000000000007</v>
      </c>
      <c r="X218" s="3">
        <f>499.4+(247.1-132.6)+(-1.018776+(-0.504084--0.270504))+0-103.1--0.210323999999995</f>
        <v>509.75796800000001</v>
      </c>
      <c r="Y218" s="3">
        <f>496.8+(222.5-96.5)+(-1.26684+(-0.567375--0.246075))+0-110.6--0.282029999999984</f>
        <v>510.89388999999994</v>
      </c>
      <c r="Z218" s="3">
        <f>504.6+(230.6-91.8)+(-0.257346+(-0.117606--0.046818))+0-114--0.0581399999999884</f>
        <v>529.13000600000009</v>
      </c>
      <c r="AA218" s="3">
        <f>500.7+(198.3-78.6)+(-1.021428+(-0.404532--0.160344))+0-126.5--0.258059999999994</f>
        <v>492.89244399999995</v>
      </c>
      <c r="AB218" s="3">
        <f>507.1+(197.7-89.3)+(-0.258621+(-0.100827--0.045543))+0-137.1--0.0699209999999861</f>
        <v>478.15601599999997</v>
      </c>
      <c r="AC218" s="3">
        <f>498.1+(168.4-142.3)+(-1.524186+(-0.515304--0.435438))+0-104.7--0.320382000000012</f>
        <v>418.21633000000003</v>
      </c>
      <c r="AD218" s="2">
        <v>600.6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508.6+(143.6-199.4)+(-0.518772+(-0.146472--0.203388))+0-108--0.110160000000017</f>
        <v>344.44830400000001</v>
      </c>
      <c r="G219" s="3">
        <f>512.4+(131-236.8)+(-0.261324+(-0.06681--0.120768))+0-106--0.0540599999999892</f>
        <v>300.44669399999998</v>
      </c>
      <c r="H219" s="3">
        <f>514.3+(121.8-228.3)+(0+(0-0))+0-104.4-0</f>
        <v>303.39999999999998</v>
      </c>
      <c r="I219" s="3">
        <f>516.8+(94.7-200.5)+(0.790704+(0.144891-0.306765))+0-124-0.189720000000007</f>
        <v>287.43910999999991</v>
      </c>
      <c r="J219" s="3">
        <f>513+(117.7-212)+(-0.52326+(-0.120054--0.21624))+0-123.4--0.12586800000002</f>
        <v>294.99879400000003</v>
      </c>
      <c r="K219" s="3">
        <f>513.5+(157.2-236.3)+(-0.261885+(-0.080172--0.120513))+0-120--0.0611999999999878</f>
        <v>314.23965599999997</v>
      </c>
      <c r="L219" s="3">
        <f>510.2+(229.6-254.6)+(-0.780606+(-0.351288--0.389538))+0-114.5--0.175185000000007</f>
        <v>370.13282900000002</v>
      </c>
      <c r="M219" s="3">
        <f>516.5+(266.5-240.6)+(0.52683+(0.27183-0.245412))+0-110.1-0.112302000000018</f>
        <v>432.74094600000001</v>
      </c>
      <c r="N219" s="3">
        <f>513.5+(278.4-196.1)+(0+(0-0))+0-122.2-0</f>
        <v>473.59999999999997</v>
      </c>
      <c r="O219" s="3">
        <f>509.6+(302.1-212.8)+(-0.519792+(-0.308142--0.217056))+0-121.5--0.123930000000019</f>
        <v>476.91305200000016</v>
      </c>
      <c r="P219" s="3">
        <f>501.5+(268.8-162.8)+(0+(0-0))+0-111.2-0</f>
        <v>496.3</v>
      </c>
      <c r="Q219" s="3">
        <f>497.2+(214.9-138.1)+(-0.760716+(-0.328797--0.211293))+0-91.1--0.139383000000005</f>
        <v>482.16116299999993</v>
      </c>
      <c r="R219" s="3">
        <f>490.7+(155.5-68)+(-1.001028+(-0.31722--0.13872))+0-121--0.246839999999995</f>
        <v>456.26731200000006</v>
      </c>
      <c r="S219" s="3">
        <f>498.8+(117.4-93.8)+(0.508776+(0.119748-0.095676))+0-118.7-0.121074000000019</f>
        <v>404.11177399999991</v>
      </c>
      <c r="T219" s="3">
        <f>490.6+(128-99.7)+(-0.250206+(-0.06528--0.050847))+0-123.2--0.0628319999999875</f>
        <v>395.49819300000001</v>
      </c>
      <c r="U219" s="3">
        <f>488.1+(166.1-101.1)+(-0.497862+(-0.169422--0.103122))+0-122.3--0.124746000000019</f>
        <v>430.36058400000002</v>
      </c>
      <c r="V219" s="3">
        <f>490.8+(245.6-107.4)+(0+(0-0))+0-115.5-0</f>
        <v>513.5</v>
      </c>
      <c r="W219" s="3">
        <f>493.1+(321.3-116.7)+(-0.502962+(-0.327726--0.119034))+0-118.4--0.120768000000019</f>
        <v>578.70911400000011</v>
      </c>
      <c r="X219" s="3">
        <f>495.3+(248.4-105.6)+(-1.010412+(-0.506736--0.215424))+0-106.4--0.217055999999995</f>
        <v>530.61533199999997</v>
      </c>
      <c r="Y219" s="3">
        <f>506+(260.8-81)+(0+(0-0))+0-121.2-0</f>
        <v>564.59999999999991</v>
      </c>
      <c r="Z219" s="3">
        <f>506.2+(211.4-47.6)+(-0.516324+(-0.215628--0.048552))+0-122--0.124440000000019</f>
        <v>547.44104000000004</v>
      </c>
      <c r="AA219" s="3">
        <f>504+(153.2-47.2)+(-0.77112+(-0.234396--0.072216))+0-111.5--0.170595000000006</f>
        <v>497.73729499999996</v>
      </c>
      <c r="AB219" s="3">
        <f>497.7+(140.4-2.7)+(-1.269135+(-0.35802--0.006885))+0-131.3--0.334814999999981</f>
        <v>502.81454499999995</v>
      </c>
      <c r="AC219" s="3">
        <f>479.8+(144.9-46.6)+(-0.489396+(-0.147798--0.047532))+0-133.4--0.136068000000021</f>
        <v>444.24640600000009</v>
      </c>
      <c r="AD219" s="2">
        <v>611.4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349.9+(141.2-57.5)+(-0.713796+(-0.288048--0.1173))+0-109.1--0.222563999999995</f>
        <v>323.83801999999997</v>
      </c>
      <c r="G220" s="3">
        <f>331.4+(122.8-77.6)+(-0.338028+(-0.125256--0.079152))+0-108--0.110160000000017</f>
        <v>268.32602799999995</v>
      </c>
      <c r="H220" s="3">
        <f>337.9+(134.3-124.9)+(0.344658+(0.136986-0.127398))+0-131.2-0.133824000000021</f>
        <v>216.32042199999992</v>
      </c>
      <c r="I220" s="3">
        <f>329.2+(184.7-146.8)+(-0.83946+(-0.470985--0.37434))+0-119.3--0.304214999999983</f>
        <v>247.16810999999993</v>
      </c>
      <c r="J220" s="3">
        <f>330.5+(203.5-113.5)+(-0.842775+(-0.518925--0.289425))+0-130.9--0.333794999999981</f>
        <v>288.86152000000004</v>
      </c>
      <c r="K220" s="3">
        <f>332.7+(260.9-126)+(-0.509031+(-0.399177--0.19278))+0-126--0.192780000000007</f>
        <v>341.07735200000002</v>
      </c>
      <c r="L220" s="3">
        <f>331.9+(336.7-129.6)+(-0.507807+(-0.515151--0.198288))+0-118--0.180540000000007</f>
        <v>420.35587000000004</v>
      </c>
      <c r="M220" s="3">
        <f>338.3+(298.4-111.5)+(0.517599+(0.456552-0.170595))+0-133.8-0.204714000000008</f>
        <v>391.99884199999997</v>
      </c>
      <c r="N220" s="3">
        <f>330.4+(244.6-93.4)+(-0.168504+(-0.124746--0.047634))+0-104.9--0.0534989999999894</f>
        <v>376.50788299999999</v>
      </c>
      <c r="O220" s="3">
        <f>328.9+(337.6-138.2)+(-0.335478+(-0.344352--0.140964))+0-93.7--0.0955740000000149</f>
        <v>434.15670799999998</v>
      </c>
      <c r="P220" s="3">
        <f>328.6+(325.8-96.8)+(-0.167586+(-0.166158--0.049368))+0-67.1--0.0342209999999932</f>
        <v>490.24984500000005</v>
      </c>
      <c r="Q220" s="3">
        <f>326.4+(349.8-104.2)+(-0.499392+(-0.535194--0.159426))+0-72.1--0.110313000000004</f>
        <v>499.13515299999995</v>
      </c>
      <c r="R220" s="3">
        <f>325.6+(294.6-81.9)+(-0.664224+(-0.600984--0.167076))+0-74.3--0.151571999999997</f>
        <v>463.05344000000008</v>
      </c>
      <c r="S220" s="3">
        <f>324.9+(310.8-70.7)+(-0.165699+(-0.158508--0.036057))+0-111.7--0.0569669999999887</f>
        <v>453.06881700000002</v>
      </c>
      <c r="T220" s="3">
        <f>324.6+(296.4-86.5)+(-0.496638+(-0.453492--0.132345))+0-121.4--0.185742000000007</f>
        <v>412.46795700000007</v>
      </c>
      <c r="U220" s="3">
        <f>325.2+(306.4-59.8)+(-0.331704+(-0.312528--0.060996))+0-120.4--0.122808000000019</f>
        <v>450.93957199999994</v>
      </c>
      <c r="V220" s="3">
        <f>326.9+(313.2-21)+(0+(0-0))+0-130.2-0</f>
        <v>488.89999999999992</v>
      </c>
      <c r="W220" s="3">
        <f>327.7+(334.7-3.2)+(-0.334254+(-0.341394--0.003264))+0-114.4--0.116688000000018</f>
        <v>544.24430400000017</v>
      </c>
      <c r="X220" s="3">
        <f>331+(258.7-0)+(-0.16881+(-0.131937-0))+0-134.5--0.0685949999999864</f>
        <v>454.967848</v>
      </c>
      <c r="Y220" s="3">
        <f>327.9+(251.9-0)+(-0.668916+(-0.513876-0))+0-137--0.279479999999994</f>
        <v>441.89668799999998</v>
      </c>
      <c r="Z220" s="3">
        <f>328.5+(219.7-4.2)+(-0.33507+(-0.224094--0.004284))+0-133.7--0.136374000000021</f>
        <v>409.88149400000003</v>
      </c>
      <c r="AA220" s="3">
        <f>327.8+(185.2-8.6)+(-0.501534+(-0.283356--0.013158))+0-135.4--0.207162000000008</f>
        <v>368.43542999999994</v>
      </c>
      <c r="AB220" s="3">
        <f>328.8+(131.3-26.9)+(-0.503064+(-0.200889--0.041157))+0-115.6--0.176868000000007</f>
        <v>317.11407200000008</v>
      </c>
      <c r="AC220" s="3">
        <f>328.5+(108.3-63.2)+(-0.67014+(-0.220932--0.128928))+0-118--0.240719999999995</f>
        <v>255.07857600000003</v>
      </c>
      <c r="AD220" s="2">
        <v>600.5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329.8+(99.7-115.2)+(-0.504594+(-0.152541--0.176256))+0-108.2--0.165546000000006</f>
        <v>205.78466700000001</v>
      </c>
      <c r="G221" s="3">
        <f>327.9+(99-111.3)+(-0.836145+(-0.25245--0.283815))+0-120.4--0.307019999999983</f>
        <v>194.70223999999996</v>
      </c>
      <c r="H221" s="3">
        <f>335.8+(55-73.8)+(0+(0-0))+0-123.2-0</f>
        <v>193.8</v>
      </c>
      <c r="I221" s="3">
        <f>316.9+(72.1-41.4)+(-0.808095+(-0.183855--0.10557))+0-125.1--0.319004999999982</f>
        <v>221.93262499999997</v>
      </c>
      <c r="J221" s="3">
        <f>265.4+(108.2-18.5)+(0.135354+(0.055182-0.009435))+0-129.9-0.0662489999999868</f>
        <v>225.31485199999997</v>
      </c>
      <c r="K221" s="3">
        <f>253.1+(135.7-5.5)+(0+(0-0))+0-127.5-0</f>
        <v>255.79999999999995</v>
      </c>
      <c r="L221" s="3">
        <f>252.9+(141.7-23.4)+(-0.257958+(-0.144534--0.023868))+0-127.4--0.12994800000002</f>
        <v>243.55132399999999</v>
      </c>
      <c r="M221" s="3">
        <f>253+(114.5-2.1)+(-0.25806+(-0.11679--0.002142))+0-116.8--0.119136000000019</f>
        <v>248.346428</v>
      </c>
      <c r="N221" s="3">
        <f>252.6+(133-30)+(0.257652+(0.13566-0.0306))+0-111.8-0.114036000000018</f>
        <v>244.04867599999997</v>
      </c>
      <c r="O221" s="3">
        <f>253+(162.3-65.6)+(0.12903+(0.082773-0.033456))+0-124-0.0632399999999874</f>
        <v>225.81510700000004</v>
      </c>
      <c r="P221" s="3">
        <f>278.6+(128.8-126.9)+(-0.568344+(-0.262752--0.258876))+0-103.4--0.210935999999995</f>
        <v>176.73871599999998</v>
      </c>
      <c r="Q221" s="3">
        <f>309.4+(122.9-185.5)+(-0.157794+(-0.062679--0.094605))+0-120--0.0611999999999878</f>
        <v>126.73533199999997</v>
      </c>
      <c r="R221" s="3">
        <f>309+(213.7-229.3)+(-0.47277+(-0.326961--0.350829))+0-128.9--0.197217000000007</f>
        <v>164.24831499999999</v>
      </c>
      <c r="S221" s="3">
        <f>306.7+(240.8-252)+(-0.625668+(-0.491232--0.51408))+0-119.2--0.243167999999995</f>
        <v>175.940348</v>
      </c>
      <c r="T221" s="3">
        <f>305.9+(246.4-226.7)+(-0.624036+(-0.502656--0.462468))+0-126.1--0.257243999999994</f>
        <v>199.09302000000002</v>
      </c>
      <c r="U221" s="3">
        <f>308.7+(215.7-144.9)+(-0.314874+(-0.220014--0.147798))+0-127.1--0.12964200000002</f>
        <v>252.14255200000002</v>
      </c>
      <c r="V221" s="3">
        <f>309.9+(252.4-59.6)+(-0.158049+(-0.128724--0.030396))+0-126.1--0.0643109999999872</f>
        <v>376.40793399999995</v>
      </c>
      <c r="W221" s="3">
        <f>309.1+(308.6-40.4)+(-0.472923+(-0.472158--0.061812))+0-136.8--0.209304000000008</f>
        <v>439.82603500000005</v>
      </c>
      <c r="X221" s="3">
        <f>312.2+(293.2-91.7)+(-0.159222+(-0.149532--0.046767))+0-127.5--0.0650249999999871</f>
        <v>386.00303800000006</v>
      </c>
      <c r="Y221" s="3">
        <f>308.2+(308.8-87.2)+(-0.628728+(-0.629952--0.177888))+0-135--0.275399999999994</f>
        <v>393.99460799999997</v>
      </c>
      <c r="Z221" s="3">
        <f>312.3+(305.9-156)+(0+(0-0))+0-120.4-0</f>
        <v>341.79999999999995</v>
      </c>
      <c r="AA221" s="3">
        <f>312.2+(333.5-213.7)+(0+(0-0))+0-137.4-0</f>
        <v>294.60000000000002</v>
      </c>
      <c r="AB221" s="3">
        <f>313.3+(290.7-269.7)+(-0.159783+(-0.148257--0.137547))+0-107.8--0.0549779999999891</f>
        <v>226.38448499999996</v>
      </c>
      <c r="AC221" s="3">
        <f>317.7+(268.6-283.5)+(-0.486081+(-0.410958--0.433755))+0-111.4--0.170442000000006</f>
        <v>191.10715800000003</v>
      </c>
      <c r="AD221" s="2">
        <v>554.30000000000007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323.3+(213.2-243.4)+(-0.329766+(-0.217464--0.248268))+0-106.7--0.108834000000017</f>
        <v>186.20987200000005</v>
      </c>
      <c r="G222" s="3">
        <f>323.7+(218.5-167.7)+(-0.330174+(-0.22287--0.171054))+0-135.2--0.137904000000022</f>
        <v>239.05591400000006</v>
      </c>
      <c r="H222" s="3">
        <f>327.9+(168.4-124.3)+(0.167229+(0.085884-0.063393))+0-107-0.0545699999999891</f>
        <v>265.13515000000001</v>
      </c>
      <c r="I222" s="3">
        <f>322.8+(158.4-85.6)+(-0.493884+(-0.242352--0.130968))+0-117.6--0.179928000000007</f>
        <v>277.57465999999999</v>
      </c>
      <c r="J222" s="3">
        <f>326.1+(116.6-48.9)+(-0.166311+(-0.059466--0.024939))+0-114.3--0.0582929999999884</f>
        <v>279.35745500000002</v>
      </c>
      <c r="K222" s="3">
        <f>322.7+(142.5-17.4)+(-0.658308+(-0.2907--0.035496))+0-122.7--0.250307999999995</f>
        <v>324.43679599999996</v>
      </c>
      <c r="L222" s="3">
        <f>330.6+(145.9-9.8)+(-0.168606+(-0.074409--0.004998))+0-112.2--0.0572219999999886</f>
        <v>354.31920500000001</v>
      </c>
      <c r="M222" s="3">
        <f>334.7+(205.9-62)+(0+(0-0))+0-121.9-0</f>
        <v>356.70000000000005</v>
      </c>
      <c r="N222" s="3">
        <f>331.9+(214.8-78)+(0+(0-0))+0-106.1-0</f>
        <v>362.6</v>
      </c>
      <c r="O222" s="3">
        <f>318.7+(212.2-80)+(-0.650148+(-0.432888--0.1632))+0-98.6--0.201143999999996</f>
        <v>351.58130800000004</v>
      </c>
      <c r="P222" s="3">
        <f>361.2+(227.3-120.9)+(0.736848+(0.463692-0.246636))+0-115.6-0.235823999999995</f>
        <v>352.7180800000001</v>
      </c>
      <c r="Q222" s="3">
        <f>395.6+(287.8-247.6)+(0.201756+(0.146778-0.126276))+0-107.9-0.0550289999999891</f>
        <v>328.06722900000011</v>
      </c>
      <c r="R222" s="3">
        <f>390.6+(344.2-282.3)+(-0.99603+(-0.87771--0.719865))+0-106.5--0.271574999999985</f>
        <v>345.11769999999996</v>
      </c>
      <c r="S222" s="3">
        <f>400+(324.4-325.7)+(0.408+(0.330888-0.332214))+0-114-0.116280000000018</f>
        <v>284.99039399999998</v>
      </c>
      <c r="T222" s="3">
        <f>397.9+(234.3-240.5)+(0+(0-0))+0-111.1-0</f>
        <v>280.60000000000002</v>
      </c>
      <c r="U222" s="3">
        <f>398.2+(184.5-210.4)+(-0.406164+(-0.18819--0.214608))+0-118.8--0.121176000000019</f>
        <v>253.24142999999995</v>
      </c>
      <c r="V222" s="3">
        <f>402.7+(178.9-38.6)+(0.410754+(0.182478-0.039372))+0-115.4-0.117708000000018</f>
        <v>428.03615200000002</v>
      </c>
      <c r="W222" s="3">
        <f>398.4+(343.1-76.7)+(-0.609552+(-0.524943--0.117351))+0-131.9--0.201807000000008</f>
        <v>532.08466299999998</v>
      </c>
      <c r="X222" s="3">
        <f>395.3+(336.5-96.1)+(-1.008015+(-0.858075--0.245055))+0-131.3--0.334814999999981</f>
        <v>503.11378000000002</v>
      </c>
      <c r="Y222" s="3">
        <f>391.8+(380.1-156.6)+(-0.99909+(-0.969255--0.39933))+0-130--0.331499999999981</f>
        <v>484.06248500000004</v>
      </c>
      <c r="Z222" s="3">
        <f>396.9+(407.1-208.8)+(-0.607257+(-0.622863--0.319464))+0-124.3--0.190179000000007</f>
        <v>470.17952300000002</v>
      </c>
      <c r="AA222" s="3">
        <f>398.4+(380.1-214.7)+(-0.609552+(-0.581553--0.328491))+0-114.3--0.174879000000007</f>
        <v>448.81226499999997</v>
      </c>
      <c r="AB222" s="3">
        <f>356.6+(399.8-173.9)+(-0.363732+(-0.407796--0.177378))+0-137.7--0.140454000000022</f>
        <v>444.34630400000003</v>
      </c>
      <c r="AC222" s="3">
        <f>319.1+(351.6-118.2)+(-0.325482+(-0.358632--0.120564))+0-132.7--0.135354000000021</f>
        <v>419.37180400000005</v>
      </c>
      <c r="AD222" s="2">
        <v>626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317.4+(266.2-96)+(0+(0-0))+0-130.3-0</f>
        <v>357.29999999999995</v>
      </c>
      <c r="G223" s="3">
        <f>319+(194.8-82.4)+(-0.48807+(-0.298044--0.126072))+0-120.5--0.184365000000007</f>
        <v>310.42432300000002</v>
      </c>
      <c r="H223" s="3">
        <f>316.4+(205.4-69.9)+(-0.80682+(-0.52377--0.178245))+0-114.3--0.291464999999983</f>
        <v>336.7391199999999</v>
      </c>
      <c r="I223" s="3">
        <f>317.4+(177.3-52.8)+(0.161874+(0.090423-0.026928))+0-119.4-0.0608939999999879</f>
        <v>322.66447500000004</v>
      </c>
      <c r="J223" s="3">
        <f>318.4+(184.4-31.3)+(0+(0-0))+0-129.2-0</f>
        <v>342.3</v>
      </c>
      <c r="K223" s="3">
        <f>324.6+(204.2-2.7)+(0+(0-0))+0-120.8-0</f>
        <v>405.3</v>
      </c>
      <c r="L223" s="3">
        <f>338.3+(246.2-55.9)+(0+(0-0))+0-106.6-0</f>
        <v>422</v>
      </c>
      <c r="M223" s="3">
        <f>336.9+(190.7-25.1)+(-0.343638+(-0.194514--0.025602))+0-93.2--0.0950640000000149</f>
        <v>408.88251400000007</v>
      </c>
      <c r="N223" s="3">
        <f>336.3+(223.5-61.2)+(0.171513+(0.113985-0.031212))+0-113-0.0576299999999885</f>
        <v>385.79665600000004</v>
      </c>
      <c r="O223" s="3">
        <f>321.9+(185-63.6)+(-0.656676+(-0.3774--0.129744))+0-89.8--0.183191999999996</f>
        <v>352.77885999999995</v>
      </c>
      <c r="P223" s="3">
        <f>415.7+(160-84.1)+(0+(0-0))+0-92.9-0</f>
        <v>398.70000000000005</v>
      </c>
      <c r="Q223" s="3">
        <f>445.6+(142-59)+(-1.13628+(-0.3621--0.15045))+0-89.5--0.228224999999987</f>
        <v>437.98029500000001</v>
      </c>
      <c r="R223" s="3">
        <f>449+(197.7-77.4)+(-0.68697+(-0.302481--0.118422))+0-101.9--0.155907000000006</f>
        <v>466.68487799999997</v>
      </c>
      <c r="S223" s="3">
        <f>450+(236.6-124)+(0.2295+(0.120666-0.06324))+0-99.3-0.0506429999999899</f>
        <v>463.53628300000003</v>
      </c>
      <c r="T223" s="3">
        <f>441.8+(221.9-115.4)+(-0.450636+(-0.226338--0.117708))+0-103--0.105060000000016</f>
        <v>444.84579400000001</v>
      </c>
      <c r="U223" s="3">
        <f>442.5+(171.8-44.5)+(-0.225675+(-0.087618--0.022695))+0-111.5--0.0568649999999887</f>
        <v>458.06626699999993</v>
      </c>
      <c r="V223" s="3">
        <f>437.9+(176.5-23.4)+(0.446658+(0.18003-0.023868))+0-120.5-0.122910000000019</f>
        <v>470.9799099999999</v>
      </c>
      <c r="W223" s="3">
        <f>442.1+(311.4-4.6)+(0+(0-0))+0-132.2-0</f>
        <v>616.70000000000005</v>
      </c>
      <c r="X223" s="3">
        <f>458.4+(297.8-0)+(-0.467568+(-0.303756-0))+0-125--0.12750000000002</f>
        <v>630.55617600000005</v>
      </c>
      <c r="Y223" s="3">
        <f>462.7+(256-10.5)+(-0.707931+(-0.39168--0.016065))+0-136.3--0.208539000000008</f>
        <v>571.02499299999999</v>
      </c>
      <c r="Z223" s="3">
        <f>464.5+(241.4-10)+(-0.710685+(-0.369342--0.0153))+0-140--0.214200000000008</f>
        <v>555.04947300000003</v>
      </c>
      <c r="AA223" s="3">
        <f>465+(227.2-31.5)+(-0.4743+(-0.231744--0.03213))+0-138.4--0.141168000000022</f>
        <v>521.76725400000009</v>
      </c>
      <c r="AB223" s="3">
        <f>465.5+(207.5-39)+(-0.712215+(-0.317475--0.05967))+0-112.6--0.172278000000007</f>
        <v>520.60225800000001</v>
      </c>
      <c r="AC223" s="3">
        <f>467+(205.3-19.6)+(-1.19085+(-0.523515--0.04998))+0-130.8--0.333539999999981</f>
        <v>520.56915500000002</v>
      </c>
      <c r="AD223" s="2">
        <v>656.6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468.5+(170.7-18.3)+(-0.238935+(-0.087057--0.009333))+0-132.5--0.0675749999999866</f>
        <v>488.150916</v>
      </c>
      <c r="G224" s="3">
        <f>469.4+(123-33.4)+(0+(0-0))+0-133.4-0</f>
        <v>425.6</v>
      </c>
      <c r="H224" s="3">
        <f>433.2+(142.6-55.4)+(0.662796+(0.218178-0.084762))+0-142.5-0.218025000000008</f>
        <v>378.47818699999993</v>
      </c>
      <c r="I224" s="3">
        <f>420.9+(139.8-80.9)+(0.429318+(0.142596-0.082518))+0-120.2-0.122604000000019</f>
        <v>359.96679199999994</v>
      </c>
      <c r="J224" s="3">
        <f>422.3+(175.3-59.6)+(0.430746+(0.178806-0.060792))+0-149.6-0.152592000000024</f>
        <v>388.79616799999997</v>
      </c>
      <c r="K224" s="3">
        <f>423.8+(149.5-46.7)+(-0.216138+(-0.076245--0.023817))+0-128--0.065279999999987</f>
        <v>398.39671400000003</v>
      </c>
      <c r="L224" s="3">
        <f>425.3+(187-36.7)+(-0.216903+(-0.09537--0.018717))+0-148.4--0.0756839999999849</f>
        <v>426.98212800000005</v>
      </c>
      <c r="M224" s="3">
        <f>424.5+(148-31.9)+(-0.86598+(-0.30192--0.065076))+0-123.7--0.252347999999995</f>
        <v>416.04952399999996</v>
      </c>
      <c r="N224" s="3">
        <f>422+(183.8-32.5)+(0.64566+(0.281214-0.049725))+0-131.6-0.201348000000008</f>
        <v>442.37580099999997</v>
      </c>
      <c r="O224" s="3">
        <f>464.5+(203.2-41.9)+(-0.94758+(-0.414528--0.085476))+0-138.3--0.282131999999994</f>
        <v>486.50549999999998</v>
      </c>
      <c r="P224" s="3">
        <f>468.2+(280.2-23)+(0+(0-0))+0-138.5-0</f>
        <v>586.9</v>
      </c>
      <c r="Q224" s="3">
        <f>462.8+(245-21)+(-0.236028+(-0.12495--0.01071))+0-125.3--0.0639029999999873</f>
        <v>561.21363499999995</v>
      </c>
      <c r="R224" s="3">
        <f>460.1+(199.2-34.4)+(-0.938604+(-0.406368--0.070176))+0-138.6--0.282743999999994</f>
        <v>485.3079479999999</v>
      </c>
      <c r="S224" s="3">
        <f>437.2+(184.9-7.4)+(-0.445944+(-0.188598--0.007548))+0-124.8--0.12729600000002</f>
        <v>489.40030200000007</v>
      </c>
      <c r="T224" s="3">
        <f>390.7+(230.4-44.7)+(-0.199257+(-0.117504--0.022797))+0-108.6--0.055385999999989</f>
        <v>467.56142199999999</v>
      </c>
      <c r="U224" s="3">
        <f>391.8+(296.3-76.3)+(-0.599454+(-0.453339--0.116739))+0-128.5--0.196605000000007</f>
        <v>482.56055099999998</v>
      </c>
      <c r="V224" s="3">
        <f>392.3+(443.2-92.4)+(-1.400511+(-1.582224--0.329868))+0-132.4--0.472668000000002</f>
        <v>608.51980099999992</v>
      </c>
      <c r="W224" s="3">
        <f>393.1+(477.4-9.8)+(-0.400962+(-0.486948--0.009996))+0-149.5--0.152490000000024</f>
        <v>710.47457600000007</v>
      </c>
      <c r="X224" s="3">
        <f>394.8+(519.6-51.8)+(-1.00674+(-1.32498--0.13209))+0-142.8--0.364139999999979</f>
        <v>717.96451000000013</v>
      </c>
      <c r="Y224" s="3">
        <f>394.5+(528.6-34.1)+(-0.201195+(-0.269586--0.017391))+0-132.6--0.0676259999999865</f>
        <v>756.01423599999998</v>
      </c>
      <c r="Z224" s="3">
        <f>397.8+(521.6-10.4)+(-1.420146+(-1.862112--0.037128))+0-156.2--0.557634000000002</f>
        <v>750.11250399999994</v>
      </c>
      <c r="AA224" s="3">
        <f>401.8+(473.3-4.5)+(-0.819672+(-0.965532--0.00918))+0-142.2--0.290087999999994</f>
        <v>726.91406400000005</v>
      </c>
      <c r="AB224" s="3">
        <f>402.8+(408.9-25.1)+(-1.02714+(-1.042695--0.064005))+0-144.2--0.367709999999979</f>
        <v>640.76188000000002</v>
      </c>
      <c r="AC224" s="3">
        <f>403.3+(352.2-56.7)+(-1.028415+(-0.89811--0.144585))+0-138.2--0.35240999999998</f>
        <v>559.17047000000002</v>
      </c>
      <c r="AD224" s="2">
        <v>632.40000000000009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404.3+(257.9-84.4)+(-0.824772+(-0.526116--0.172176))+0-138.7--0.282947999999994</f>
        <v>438.20423599999992</v>
      </c>
      <c r="G225" s="3">
        <f>404.1+(295.9-128.4)+(-0.824364+(-0.603636--0.261936))+0-143.8--0.293351999999994</f>
        <v>426.92728799999998</v>
      </c>
      <c r="H225" s="3">
        <f>336.1+(347.6-100.8)+(-0.342822+(-0.354552--0.102816))+0-142.4--0.145248000000023</f>
        <v>440.05069000000015</v>
      </c>
      <c r="I225" s="3">
        <f>308.6+(355.5-86.9)+(-0.314772+(-0.36261--0.088638))+0-145.2--0.148104000000023</f>
        <v>431.55936000000008</v>
      </c>
      <c r="J225" s="3">
        <f>307.9+(355.1-107.5)+(0.314058+(0.362202-0.10965))+0-142.5-0.145350000000023</f>
        <v>413.42125999999996</v>
      </c>
      <c r="K225" s="3">
        <f>308.1+(438.1-143.3)+(0.314262+(0.446862-0.146166))+0-140.3-0.143106000000022</f>
        <v>463.07185200000004</v>
      </c>
      <c r="L225" s="3">
        <f>308.2+(447.7-157.1)+(0+(0-0))+0-129.2-0</f>
        <v>469.59999999999997</v>
      </c>
      <c r="M225" s="3">
        <f>307.8+(393.4-93.8)+(0.313956+(0.401268-0.095676))+0-145-0.147900000000023</f>
        <v>462.87164799999994</v>
      </c>
      <c r="N225" s="3">
        <f>307.9+(392.5-48.9)+(-0.471087+(-0.600525--0.074817))+0-130.9--0.200277000000008</f>
        <v>519.80348200000003</v>
      </c>
      <c r="O225" s="3">
        <f>398.7+(367.4-122.9)+(0.610011+(0.562122-0.188037))+0-130.3-0.199359000000008</f>
        <v>513.68473700000004</v>
      </c>
      <c r="P225" s="3">
        <f>436.2+(348.5-79.1)+(-0.222462+(-0.177735--0.040341))+0-134.7--0.0686969999999863</f>
        <v>570.60884099999987</v>
      </c>
      <c r="Q225" s="3">
        <f>438.2+(317.7-46.9)+(0+(0-0))+0-131.5-0</f>
        <v>577.5</v>
      </c>
      <c r="R225" s="3">
        <f>431.8+(304.2-3.1)+(-0.660654+(-0.465426--0.004743))+0-127.9--0.195687000000007</f>
        <v>604.07434999999998</v>
      </c>
      <c r="S225" s="3">
        <f>436.5+(301.9-7.3)+(0+(0-0))+0-129.6-0</f>
        <v>601.49999999999989</v>
      </c>
      <c r="T225" s="3">
        <f>434.5+(327.3-13.9)+(-0.44319+(-0.333846--0.014178))+0-137.3--0.140046000000022</f>
        <v>609.97718800000007</v>
      </c>
      <c r="U225" s="3">
        <f>431.7+(358.8-36.9)+(-0.660501+(-0.548964--0.056457))+0-124.3--0.190179000000007</f>
        <v>628.33717100000013</v>
      </c>
      <c r="V225" s="3">
        <f>433.7+(398-17)+(-0.442374+(-0.40596--0.01734))+0-133.3--0.135966000000021</f>
        <v>680.704972</v>
      </c>
      <c r="W225" s="3">
        <f>429.2+(413.5-0)+(0.437784+(0.42177-0))+0-142-0.144840000000023</f>
        <v>701.414714</v>
      </c>
      <c r="X225" s="3">
        <f>402.6+(483.2-0)+(-0.410652+(-0.492864-0))+0-150.8--0.153816000000024</f>
        <v>734.25029999999992</v>
      </c>
      <c r="Y225" s="3">
        <f>399.4+(450.5-0)+(-1.01847+(-1.148775-0))+0-133.6--0.340679999999981</f>
        <v>714.47343499999999</v>
      </c>
      <c r="Z225" s="3">
        <f>408.9+(472.1-0)+(0.417078+(0.481542-0))+0-152.9-0.155958000000024</f>
        <v>728.84266200000002</v>
      </c>
      <c r="AA225" s="3">
        <f>400.5+(425.4-0)+(-1.021275+(-1.08477-0))+0-141.4--0.36056999999998</f>
        <v>682.75452499999994</v>
      </c>
      <c r="AB225" s="3">
        <f>392.1+(402.8-0)+(-0.199971+(-0.205428-0))+0-144.3--0.0735929999999854</f>
        <v>650.26819400000011</v>
      </c>
      <c r="AC225" s="3">
        <f>385.7+(335-14.9)+(-0.196707+(-0.17085--0.007599))+0-132.4--0.0675239999999866</f>
        <v>573.10756599999991</v>
      </c>
      <c r="AD225" s="2">
        <v>610.29999999999995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380.9+(306.4-67)+(-0.971295+(-0.78132--0.17085))+0-142.7--0.363884999999979</f>
        <v>476.38211999999993</v>
      </c>
      <c r="G226" s="3">
        <f>385.9+(300.6-109.2)+(-0.196809+(-0.153306--0.055692))+0-134.2--0.0684419999999864</f>
        <v>442.87401899999992</v>
      </c>
      <c r="H226" s="3">
        <f>382.7+(308.3-103.8)+(-0.780708+(-0.628932--0.211752))+0-149.5--0.304979999999993</f>
        <v>436.80709200000001</v>
      </c>
      <c r="I226" s="3">
        <f>384.7+(325.9-134.7)+(-0.392394+(-0.332418--0.137394))+0-138.3--0.141066000000022</f>
        <v>437.15364800000003</v>
      </c>
      <c r="J226" s="3">
        <f>333.2+(343.1-94.2)+(0.84966+(0.874905-0.24021))+0-137.8-0.35138999999998</f>
        <v>445.43296500000008</v>
      </c>
      <c r="K226" s="3">
        <f>303.2+(338-89.8)+(0.309264+(0.34476-0.091596))+0-139.8-0.142596000000022</f>
        <v>412.01983199999989</v>
      </c>
      <c r="L226" s="3">
        <f>301.1+(391.9-127.5)+(-0.153561+(-0.199869--0.065025))+0-124.3--0.0633929999999874</f>
        <v>440.97498799999994</v>
      </c>
      <c r="M226" s="3">
        <f>363.3+(419.6-133.6)+(-0.555849+(-0.641988--0.204408))+0-126.3--0.193239000000007</f>
        <v>522.19981000000007</v>
      </c>
      <c r="N226" s="3">
        <f>450.5+(345.1-160.9)+(-1.148775+(-0.880005--0.410295))+0-110.3--0.281264999999984</f>
        <v>523.06278000000009</v>
      </c>
      <c r="O226" s="3">
        <f>463.6+(312.2-131.4)+(0.709308+(0.477666-0.201042))+0-80.2-0.122706000000005</f>
        <v>565.06322599999999</v>
      </c>
      <c r="P226" s="3">
        <f>462.7+(308.2-154.3)+(0.471954+(0.314364-0.157386))+0-70.4-0.0718080000000112</f>
        <v>546.75712399999986</v>
      </c>
      <c r="Q226" s="3">
        <f>452.8+(273.4-86.8)+(0+(0-0))+0-71.6-0</f>
        <v>567.79999999999995</v>
      </c>
      <c r="R226" s="3">
        <f>446.9+(263.4-60.3)+(-0.683757+(-0.403002--0.092259))+0-60.2--0.0921060000000035</f>
        <v>588.897606</v>
      </c>
      <c r="S226" s="3">
        <f>445.4+(264.7-106.3)+(-0.908616+(-0.539988--0.216852))+0-49.3--0.100571999999998</f>
        <v>553.36881999999991</v>
      </c>
      <c r="T226" s="3">
        <f>449.5+(223.5-58.7)+(-0.229245+(-0.113985--0.029937))+0-87.3--0.0445229999999911</f>
        <v>526.73122999999998</v>
      </c>
      <c r="U226" s="3">
        <f>442.2+(236-18.1)+(-1.12761+(-0.6018--0.046155))+0-116.1--0.296054999999983</f>
        <v>542.61279999999999</v>
      </c>
      <c r="V226" s="3">
        <f>453.3+(302.7-20)+(-0.924732+(-0.617508--0.0408))+0-114.2--0.232967999999995</f>
        <v>620.53152799999998</v>
      </c>
      <c r="W226" s="3">
        <f>458.4+(330.4-1.2)+(-0.233784+(-0.168504--0.000612))+0-132.7--0.0676769999999865</f>
        <v>654.56600099999991</v>
      </c>
      <c r="X226" s="3">
        <f>458.4+(367.2-0)+(-0.467568+(-0.374544-0))+0-147.1--0.150042000000023</f>
        <v>677.80792999999983</v>
      </c>
      <c r="Y226" s="3">
        <f>417.8+(352.3-1.1)+(-1.278468+(-1.078038--0.003366))+0-117--0.358020000000014</f>
        <v>650.00487999999996</v>
      </c>
      <c r="Z226" s="3">
        <f>403+(354.8-0)+(-1.23318+(-1.085688-0))+0-135.7--0.415242000000016</f>
        <v>620.19637400000011</v>
      </c>
      <c r="AA226" s="3">
        <f>410.5+(324.5-20.7)+(-0.209355+(-0.165495--0.010557))+0-114.8--0.0585479999999884</f>
        <v>599.194255</v>
      </c>
      <c r="AB226" s="3">
        <f>405.5+(364.9-24.6)+(-0.82722+(-0.744396--0.050184))+0-130--0.265199999999994</f>
        <v>614.543768</v>
      </c>
      <c r="AC226" s="3">
        <f>406.1+(324.1-38.5)+(-0.828444+(-0.661164--0.07854))+0-139.2--0.283967999999994</f>
        <v>551.37290000000007</v>
      </c>
      <c r="AD226" s="2">
        <v>614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411.8+(285.2-109.6)+(-0.210018+(-0.145452--0.055896))+0-134.5--0.0685949999999864</f>
        <v>452.66902099999993</v>
      </c>
      <c r="G227" s="3">
        <f>412.1+(230-113.6)+(0+(0-0))+0-152-0</f>
        <v>376.5</v>
      </c>
      <c r="H227" s="3">
        <f>413.7+(207.1-117.2)+(0.421974+(0.211242-0.119544))+0-134.3-0.136986000000021</f>
        <v>369.6766859999999</v>
      </c>
      <c r="I227" s="3">
        <f>343.5+(256.4-55.7)+(0.70074+(0.523056-0.113628))+0-143.5-0.292739999999994</f>
        <v>401.51742800000011</v>
      </c>
      <c r="J227" s="3">
        <f>327.6+(316.4-77.3)+(0+(0-0))+0-140.2-0</f>
        <v>426.50000000000006</v>
      </c>
      <c r="K227" s="3">
        <f>327.5+(342.3-90.1)+(0.501075+(0.523719-0.137853))+0-135.8-0.207774000000008</f>
        <v>444.57916699999998</v>
      </c>
      <c r="L227" s="3">
        <f>326+(327.7-101.3)+(-0.8313+(-0.835635--0.258315))+0-135.6--0.34577999999998</f>
        <v>415.7371599999999</v>
      </c>
      <c r="M227" s="3">
        <f>327.1+(307.5-103.5)+(0.333642+(0.31365-0.10557))+0-132-0.134640000000021</f>
        <v>399.50708200000003</v>
      </c>
      <c r="N227" s="3">
        <f>327.4+(304.5-97.2)+(0+(0-0))+0-142.4-0</f>
        <v>392.30000000000007</v>
      </c>
      <c r="O227" s="3">
        <f>358+(355.2-106.3)+(0+(0-0))+0-138.6-0</f>
        <v>468.29999999999995</v>
      </c>
      <c r="P227" s="3">
        <f>399.6+(324.2-87.6)+(0.203796+(0.165342-0.044676))+0-144.7-0.0737969999999853</f>
        <v>491.75066500000008</v>
      </c>
      <c r="Q227" s="3">
        <f>396.7+(331.5-68.9)+(-0.606951+(-0.507195--0.105417))+0-136.6--0.208998000000008</f>
        <v>521.90026899999987</v>
      </c>
      <c r="R227" s="3">
        <f>393+(331.5-53.9)+(-1.00215+(-0.845325--0.137445))+0-138.3--0.35266499999998</f>
        <v>530.942635</v>
      </c>
      <c r="S227" s="3">
        <f>396.4+(314.3-66.6)+(-0.606492+(-0.480879--0.101898))+0-132.8--0.203184000000008</f>
        <v>510.51771100000008</v>
      </c>
      <c r="T227" s="3">
        <f>404.9+(278.1-82.8)+(0.825996+(0.567324-0.168912))+0-142.2-0.290087999999994</f>
        <v>458.93432000000013</v>
      </c>
      <c r="U227" s="3">
        <f>395.8+(291.8-71.8)+(-0.605574+(-0.446454--0.109854))+0-133--0.203490000000008</f>
        <v>482.06131599999992</v>
      </c>
      <c r="V227" s="3">
        <f>404.3+(350.3-46.3)+(0.618579+(0.535959-0.070839))+0-143.6-0.219708000000008</f>
        <v>565.56399099999999</v>
      </c>
      <c r="W227" s="3">
        <f>405.1+(398.3-4.9)+(-0.206601+(-0.203133--0.002499))+0-141.5--0.0721649999999856</f>
        <v>656.66493000000003</v>
      </c>
      <c r="X227" s="3">
        <f>448.8+(353.4-24.7)+(-0.915552+(-0.720936--0.050388))+0-127.3--0.259691999999994</f>
        <v>648.87359200000003</v>
      </c>
      <c r="Y227" s="3">
        <f>455.3+(312.8-40.9)+(0.232203+(0.159528-0.020859))+0-139.8-0.0712979999999858</f>
        <v>587.6995740000001</v>
      </c>
      <c r="Z227" s="3">
        <f>449.3+(342.8-4.2)+(-0.687429+(-0.524484--0.006426))+0-134.7--0.206091000000008</f>
        <v>652.20060400000011</v>
      </c>
      <c r="AA227" s="3">
        <f>449.6+(356.6-9.2)+(-0.917184+(-0.727464--0.018768))+0-146.6--0.299063999999994</f>
        <v>649.07318399999997</v>
      </c>
      <c r="AB227" s="3">
        <f>451.4+(298.4-6.8)+(-0.460428+(-0.304368--0.006936))+0-140.3--0.143106000000022</f>
        <v>602.08524599999987</v>
      </c>
      <c r="AC227" s="3">
        <f>451.7+(263.6-11.3)+(-0.691101+(-0.403308--0.017289))+0-144.8--0.221544000000008</f>
        <v>558.34442399999989</v>
      </c>
      <c r="AD227" s="2">
        <v>623.10000000000014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449+(255.1-93.1)+(-1.14495+(-0.650505--0.237405))+0-134.9--0.34399499999998</f>
        <v>474.88594500000005</v>
      </c>
      <c r="G228" s="3">
        <f>388+(275.6-58.5)+(0+(0-0))+0-139.2-0</f>
        <v>465.90000000000003</v>
      </c>
      <c r="H228" s="3">
        <f>350.9+(306.9-74.5)+(-0.894795+(-0.782595--0.189975))+0-124.8--0.318239999999982</f>
        <v>457.33082499999989</v>
      </c>
      <c r="I228" s="3">
        <f>360.8+(329.8-76.1)+(-0.552024+(-0.504594--0.116433))+0-140.3--0.214659000000008</f>
        <v>473.47447399999993</v>
      </c>
      <c r="J228" s="3">
        <f>364.7+(331.2-92.4)+(0+(0-0))+0-141.5-0</f>
        <v>462</v>
      </c>
      <c r="K228" s="3">
        <f>367.7+(324.6-122.9)+(0.375054+(0.331092-0.125358))+0-126.1-0.12862200000002</f>
        <v>443.75216599999993</v>
      </c>
      <c r="L228" s="3">
        <f>338.8+(335.9-110.8)+(-1.209516+(-1.199163--0.395556))+0-110.2--0.393414000000002</f>
        <v>452.08029100000005</v>
      </c>
      <c r="M228" s="3">
        <f>327.9+(277.7-74.2)+(-0.501687+(-0.424881--0.113526))+0-128.4--0.196452000000007</f>
        <v>402.38341000000003</v>
      </c>
      <c r="N228" s="3">
        <f>327.6+(254.5-53.7)+(0+(0-0))+0-143.6-0</f>
        <v>384.80000000000007</v>
      </c>
      <c r="O228" s="3">
        <f>330.7+(238.2-23)+(0.337314+(0.242964-0.02346))+0-128.5-0.13107000000002</f>
        <v>417.82574799999998</v>
      </c>
      <c r="P228" s="3">
        <f>323.9+(237.6-18.4)+(-0.495567+(-0.363528--0.028152))+0-148.9--0.227817000000009</f>
        <v>393.5968739999999</v>
      </c>
      <c r="Q228" s="3">
        <f>328.9+(234-34.5)+(0.167739+(0.11934-0.017595))+0-137.6-0.070175999999986</f>
        <v>390.99930799999998</v>
      </c>
      <c r="R228" s="3">
        <f>322.1+(288.1-0)+(-0.492813+(-0.440793-0))+0-144.6--0.221238000000008</f>
        <v>464.887632</v>
      </c>
      <c r="S228" s="3">
        <f>326.2+(282.4-2.2)+(-0.166362+(-0.144024--0.001122))+0-134.2--0.0684419999999864</f>
        <v>471.95917800000001</v>
      </c>
      <c r="T228" s="3">
        <f>321.2+(295-0)+(-0.655248+(-0.6018-0))+0-134.5--0.274379999999994</f>
        <v>480.717332</v>
      </c>
      <c r="U228" s="3">
        <f>323.4+(299.1-0)+(-0.329868+(-0.305082-0))+0-130.6--0.133212000000021</f>
        <v>491.39826199999999</v>
      </c>
      <c r="V228" s="3">
        <f>331.2+(337.3-11.6)+(0+(0-0))+0-139.4-0</f>
        <v>517.5</v>
      </c>
      <c r="W228" s="3">
        <f>363+(364.8-13.2)+(-0.18513+(-0.186048--0.006732))+0-140.2--0.0715019999999858</f>
        <v>574.10705600000006</v>
      </c>
      <c r="X228" s="3">
        <f>367.3+(312.8-0)+(-0.936615+(-0.79764-0))+0-135.8--0.34628999999998</f>
        <v>542.91203500000006</v>
      </c>
      <c r="Y228" s="3">
        <f>345.1+(341.8-13)+(-0.704004+(-0.697272--0.02652))+0-129.4--0.263975999999994</f>
        <v>543.38922000000002</v>
      </c>
      <c r="Z228" s="3">
        <f>326.3+(318.9-16.6)+(-0.332826+(-0.325278--0.016932))+0-137.1--0.139842000000022</f>
        <v>490.99866999999995</v>
      </c>
      <c r="AA228" s="3">
        <f>327+(311.1-17.8)+(-0.33354+(-0.317322--0.018156))+0-133.7--0.136374000000021</f>
        <v>486.10366800000003</v>
      </c>
      <c r="AB228" s="3">
        <f>323.4+(279.9-19.7)+(-0.82467+(-0.713745--0.050235))+0-138--0.35189999999998</f>
        <v>444.46371999999985</v>
      </c>
      <c r="AC228" s="3">
        <f>322.4+(257.6-39.8)+(-0.986544+(-0.788256--0.121788))+0-136.8--0.418608000000016</f>
        <v>402.16559600000005</v>
      </c>
      <c r="AD228" s="2">
        <v>553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336.2+(261.9-70.2)+(0.514386+(0.400707-0.107406))+0-126.8-0.194004000000007</f>
        <v>401.71368299999995</v>
      </c>
      <c r="G229" s="3">
        <f>329+(258.3-80)+(-0.67116+(-0.526932--0.1632))+0-120.1--0.245003999999995</f>
        <v>386.41011200000003</v>
      </c>
      <c r="H229" s="3">
        <f>319.1+(239.2-89.3)+(0.162741+(0.121992-0.045543))+0-128.6-0.0655859999999869</f>
        <v>340.57360399999999</v>
      </c>
      <c r="I229" s="3">
        <f>261.8+(246-71.4)+(0.66759+(0.6273-0.18207))+0-123.3-0.314414999999982</f>
        <v>313.89840499999997</v>
      </c>
      <c r="J229" s="3">
        <f>246.1+(274.2-66)+(-0.125511+(-0.139842--0.03366))+0-133.3--0.0679829999999865</f>
        <v>320.83628999999991</v>
      </c>
      <c r="K229" s="3">
        <f>243.6+(292.7-74.4)+(-0.124236+(-0.149277--0.037944))+0-119.6--0.0609959999999879</f>
        <v>342.125427</v>
      </c>
      <c r="L229" s="3">
        <f>243.5+(331.2-93.6)+(-0.49674+(-0.675648--0.190944))+0-129.5--0.264179999999994</f>
        <v>350.88273600000002</v>
      </c>
      <c r="M229" s="3">
        <f>244.2+(324.1-50.3)+(0.124542+(0.165291-0.025653))+0-128.1-0.065330999999987</f>
        <v>390.09884899999997</v>
      </c>
      <c r="N229" s="3">
        <f>305.5+(289.4-89.7)+(0+(0-0))+0-121.4-0</f>
        <v>383.79999999999995</v>
      </c>
      <c r="O229" s="3">
        <f>331.1+(289-111.8)+(-0.168861+(-0.14739--0.057018))+0-132.4--0.0675239999999866</f>
        <v>375.70829099999997</v>
      </c>
      <c r="P229" s="3">
        <f>328+(359-121.1)+(-0.66912+(-0.73236--0.247044))+0-132.3--0.269891999999994</f>
        <v>432.7154559999999</v>
      </c>
      <c r="Q229" s="3">
        <f>332.9+(332.7-94.7)+(0.339558+(0.339354-0.096594))+0-128.2-0.13076400000002</f>
        <v>443.15155399999998</v>
      </c>
      <c r="R229" s="3">
        <f>323.4+(316.9-76.6)+(-0.329868+(-0.323238--0.078132))+0-125.6--0.12811200000002</f>
        <v>437.65313799999996</v>
      </c>
      <c r="S229" s="3">
        <f>318.7+(281.9-79.1)+(-0.487611+(-0.431307--0.121023))+0-131.3--0.200889000000008</f>
        <v>389.60299399999997</v>
      </c>
      <c r="T229" s="3">
        <f>323+(272-53)+(0.16473+(0.13872-0.02703))+0-127.3-0.0649229999999871</f>
        <v>414.91149700000005</v>
      </c>
      <c r="U229" s="3">
        <f>323.9+(296.1-64.1)+(0.165189+(0.151011-0.032691))+0-127.7-0.065126999999987</f>
        <v>428.41838200000001</v>
      </c>
      <c r="V229" s="3">
        <f>354.2+(312.8-23.5)+(-0.361284+(-0.319056--0.02397))+0-120.7--0.123114000000019</f>
        <v>522.2667439999999</v>
      </c>
      <c r="W229" s="3">
        <f>377.3+(300.4-17.3)+(-0.192423+(-0.153204--0.008823))+0-127.7--0.065126999999987</f>
        <v>532.42832299999986</v>
      </c>
      <c r="X229" s="3">
        <f>374.2+(292.1-12.9)+(-0.572526+(-0.446913--0.019737))+0-114.3--0.174879000000007</f>
        <v>538.27517700000021</v>
      </c>
      <c r="Y229" s="3">
        <f>374.8+(281.1-17.6)+(-0.382296+(-0.286722--0.017952))+0-129.5--0.132090000000021</f>
        <v>508.28102399999995</v>
      </c>
      <c r="Z229" s="3">
        <f>372.3+(270.3-0)+(-0.569619+(-0.413559-0))+0-134.1--0.205173000000008</f>
        <v>507.72199500000005</v>
      </c>
      <c r="AA229" s="3">
        <f>376.1+(261.3-31.9)+(-0.191811+(-0.133263--0.016269))+0-134.2--0.0684419999999864</f>
        <v>471.05963700000001</v>
      </c>
      <c r="AB229" s="3">
        <f>372.1+(264.8-41.5)+(-0.569313+(-0.405144--0.063495))+0-135.9--0.207927000000008</f>
        <v>458.79696500000006</v>
      </c>
      <c r="AC229" s="3">
        <f>373.9+(242.9-63.4)+(-0.381378+(-0.247758--0.064668))+0-139.7--0.142494000000022</f>
        <v>413.27802599999995</v>
      </c>
      <c r="AD229" s="2">
        <v>490.7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377.3+(183.9-99.1)+(0+(0-0))+0-127.7-0</f>
        <v>334.40000000000003</v>
      </c>
      <c r="G230" s="3">
        <f>373.6+(227.7-122.8)+(-0.381072+(-0.232254--0.125256))+0-136.6--0.139332000000022</f>
        <v>341.55126200000001</v>
      </c>
      <c r="H230" s="3">
        <f>355.7+(269-123.7)+(-0.362814+(-0.27438--0.126174))+0-127--0.12954000000002</f>
        <v>373.61852000000005</v>
      </c>
      <c r="I230" s="3">
        <f>309+(288.3-80.5)+(-0.47277+(-0.441099--0.123165))+0-135.2--0.206856000000008</f>
        <v>381.01615199999998</v>
      </c>
      <c r="J230" s="3">
        <f>301.6+(280.3-80.7)+(0.307632+(0.285906-0.082314))+0-137.9-0.140658000000022</f>
        <v>363.67056600000001</v>
      </c>
      <c r="K230" s="3">
        <f>301.9+(264.7-91.5)+(0.153969+(0.134997-0.046665))+0-125.7-0.0641069999999872</f>
        <v>349.578194</v>
      </c>
      <c r="L230" s="3">
        <f>301.6+(287.3-95.5)+(-0.461448+(-0.439569--0.146115))+0-127.5--0.195075000000007</f>
        <v>365.34017300000005</v>
      </c>
      <c r="M230" s="3">
        <f>302.1+(329.3-58.9)+(0.308142+(0.335886-0.060078))+0-133.5-0.136170000000021</f>
        <v>439.44777999999997</v>
      </c>
      <c r="N230" s="3">
        <f>305.5+(363.7-131.4)+(-0.155805+(-0.185487--0.067014))+0-121.2--0.0618119999999877</f>
        <v>416.38753399999996</v>
      </c>
      <c r="O230" s="3">
        <f>375.5+(311.3-178.4)+(1.14903+(0.952578-0.545904))+0-115.1-0.352206000000013</f>
        <v>394.50349799999992</v>
      </c>
      <c r="P230" s="3">
        <f>446.4+(257.7-176.5)+(-0.227664+(-0.131427--0.090015))+0-126.6--0.0645659999999871</f>
        <v>400.79548999999986</v>
      </c>
      <c r="Q230" s="3">
        <f>450.7+(227.1-153.8)+(0.459714+(0.231642-0.156876))+0-127-0.12954000000002</f>
        <v>397.40494000000001</v>
      </c>
      <c r="R230" s="3">
        <f>438.3+(238.6-126.5)+(-0.447066+(-0.243372--0.12903))+0-127.3--0.12984600000002</f>
        <v>422.66843799999998</v>
      </c>
      <c r="S230" s="3">
        <f>440.4+(198.2-104.5)+(-0.449208+(-0.202164--0.10659))+0-124.6--0.12709200000002</f>
        <v>409.08230999999984</v>
      </c>
      <c r="T230" s="3">
        <f>425.3+(215.1-136.1)+(0.216903+(0.109701-0.069411))+0-137-0.0698699999999861</f>
        <v>367.487323</v>
      </c>
      <c r="U230" s="3">
        <f>405.3+(267.4-161)+(-0.826812+(-0.545496--0.32844))+0-120.5--0.245819999999995</f>
        <v>390.40195199999999</v>
      </c>
      <c r="V230" s="3">
        <f>412.3+(370.7-100.8)+(0.210273+(0.189057-0.051408))+0-141.7-0.0722669999999856</f>
        <v>540.77565500000014</v>
      </c>
      <c r="W230" s="3">
        <f>429.4+(416.7-11.2)+(0+(0-0))+0-148.9-0</f>
        <v>686</v>
      </c>
      <c r="X230" s="3">
        <f>444.9+(377.2-4.9)+(-1.134495+(-0.96186--0.012495))+0-152.3--0.388364999999978</f>
        <v>663.20450500000015</v>
      </c>
      <c r="Y230" s="3">
        <f>458.4+(360.9-26.3)+(-0.233784+(-0.184059--0.013413))+0-146--0.0744599999999852</f>
        <v>646.67002999999988</v>
      </c>
      <c r="Z230" s="3">
        <f>456.1+(358.5-20.3)+(-0.930444+(-0.73134--0.041412))+0-137.3--0.280091999999994</f>
        <v>655.65971999999988</v>
      </c>
      <c r="AA230" s="3">
        <f>454.5+(323.4-39.8)+(-1.39077+(-0.989604--0.121788))+0-132.9--0.406674000000015</f>
        <v>603.34808799999996</v>
      </c>
      <c r="AB230" s="3">
        <f>456.4+(339.3-61.9)+(-1.16382+(-0.865215--0.157845))+0-143.6--0.366179999999979</f>
        <v>588.69498999999996</v>
      </c>
      <c r="AC230" s="3">
        <f>457.6+(339-83.6)+(-0.933504+(-0.69156--0.170544))+0-146.9--0.299675999999994</f>
        <v>564.945156</v>
      </c>
      <c r="AD230" s="2">
        <v>609.29999999999995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433.4+(319.6-166.1)+(0+(0-0))+0-139-0</f>
        <v>447.9</v>
      </c>
      <c r="G231" s="3">
        <f>364.7+(368.4-123)+(-0.743988+(-0.751536--0.25092))+0-149.3--0.304571999999994</f>
        <v>459.85996799999992</v>
      </c>
      <c r="H231" s="3">
        <f>312.5+(399-97.1)+(-0.159375+(-0.20349--0.049521))+0-146.6--0.0747659999999851</f>
        <v>467.56142199999994</v>
      </c>
      <c r="I231" s="3">
        <f>313.3+(433.1-133.4)+(0+(0-0))+0-133.4-0</f>
        <v>479.6</v>
      </c>
      <c r="J231" s="3">
        <f>312.9+(472.3-124)+(0.159579+(0.240873-0.06324))+0-155-0.0790499999999843</f>
        <v>506.45816200000007</v>
      </c>
      <c r="K231" s="3">
        <f>313+(484.4-177.6)+(-0.15963+(-0.247044--0.090576))+0-136.5--0.0696149999999861</f>
        <v>483.05351699999994</v>
      </c>
      <c r="L231" s="3">
        <f>312.8+(522.9-224)+(-0.159528+(-0.266679--0.11424))+0-148.5--0.0757349999999849</f>
        <v>462.96376800000007</v>
      </c>
      <c r="M231" s="3">
        <f>312.4+(479.8-202.9)+(0+(0-0))+0-143.5-0</f>
        <v>445.79999999999995</v>
      </c>
      <c r="N231" s="3">
        <f>331.6+(467.9-164.3)+(-0.169116+(-0.238629--0.083793))+0-138.1--0.070430999999986</f>
        <v>496.84647900000004</v>
      </c>
      <c r="O231" s="3">
        <f>377.9+(433.3-192.7)+(0.192729+(0.220983-0.098277))+0-139.5-0.0711449999999858</f>
        <v>479.24428999999998</v>
      </c>
      <c r="P231" s="3">
        <f>377.9+(327.1-126.2)+(0+(0-0))+0-137.4-0</f>
        <v>441.4</v>
      </c>
      <c r="Q231" s="3">
        <f>377.1+(294-79.4)+(-0.192321+(-0.14994--0.040494))+0-136.7--0.0697169999999861</f>
        <v>454.76794999999998</v>
      </c>
      <c r="R231" s="3">
        <f>383.2+(264.3-76.2)+(-0.781728+(-0.539172--0.155448))+0-136.8--0.279071999999994</f>
        <v>433.61361999999997</v>
      </c>
      <c r="S231" s="3">
        <f>411.7+(207.9-101)+(-0.629901+(-0.318087--0.15453))+0-142.2--0.217566000000008</f>
        <v>375.82410800000008</v>
      </c>
      <c r="T231" s="3">
        <f>426+(180.7-105.3)+(-0.43452+(-0.184314--0.107406))+0-135.4--0.138108000000022</f>
        <v>365.62668000000002</v>
      </c>
      <c r="U231" s="3">
        <f>426.1+(284.3-78.4)+(-0.651933+(-0.434979--0.119952))+0-140.2--0.214506000000008</f>
        <v>491.04754600000007</v>
      </c>
      <c r="V231" s="3">
        <f>405.4+(337.5-10.5)+(0.413508+(0.34425-0.01071))+0-142.3-0.145146000000023</f>
        <v>590.70190199999979</v>
      </c>
      <c r="W231" s="3">
        <f>223.3+(566.1-0)+(-0.227766+(-0.577422-0))+0-144.8--0.147696000000023</f>
        <v>643.94250800000009</v>
      </c>
      <c r="X231" s="3">
        <f>467.4+(396.1-38.6)+(-1.19187+(-1.010055--0.09843))+0-133.1--0.339404999999981</f>
        <v>690.03590999999994</v>
      </c>
      <c r="Y231" s="3">
        <f>470.6+(387.1-42.3)+(-0.480012+(-0.394842--0.043146))+0-122.7--0.12515400000002</f>
        <v>691.99344600000006</v>
      </c>
      <c r="Z231" s="3">
        <f>410.2+(409.7-0)+(0.209202+(0.208947-0))+0-142.3-0.0725729999999856</f>
        <v>677.94557599999996</v>
      </c>
      <c r="AA231" s="3">
        <f>348.6+(411.1-10.2)+(-0.355572+(-0.419322--0.010404))+0-141.8--0.144636000000023</f>
        <v>607.08014600000001</v>
      </c>
      <c r="AB231" s="3">
        <f>349.2+(346.7-54.3)+(-0.178092+(-0.176817--0.027693))+0-143.9--0.0733889999999854</f>
        <v>497.44617299999987</v>
      </c>
      <c r="AC231" s="3">
        <f>348.6+(362.8-124.3)+(-0.533358+(-0.555084--0.190179))+0-137.6--0.210528000000008</f>
        <v>448.81226499999997</v>
      </c>
      <c r="AD231" s="2">
        <v>643.1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349.6+(366.9-159.5)+(-0.713184+(-0.748476--0.32538))+0-146.9--0.299675999999994</f>
        <v>409.26339599999994</v>
      </c>
      <c r="G232" s="3">
        <f>349.3+(292.4-113.4)+(-0.712572+(-0.596496--0.231336))+0-151.6--0.309263999999993</f>
        <v>375.93153199999995</v>
      </c>
      <c r="H232" s="3">
        <f>247.7+(346.2-136.5)+(0+(0-0))+0-136.3-0</f>
        <v>321.09999999999997</v>
      </c>
      <c r="I232" s="3">
        <f>237.6+(352.3-139.7)+(-0.121176+(-0.179673--0.071247))+0-124.1--0.0632909999999874</f>
        <v>325.93368900000002</v>
      </c>
      <c r="J232" s="3">
        <f>270.7+(385-133.5)+(0+(0-0))+0-120.5-0</f>
        <v>401.70000000000005</v>
      </c>
      <c r="K232" s="3">
        <f>320.9+(389.8-175.3)+(0.163659+(0.198798-0.089403))+0-117.2-0.0597719999999881</f>
        <v>418.41328199999998</v>
      </c>
      <c r="L232" s="3">
        <f>346.7+(438.3-232)+(-0.707268+(-0.894132--0.47328))+0-112--0.228479999999995</f>
        <v>440.10036000000002</v>
      </c>
      <c r="M232" s="3">
        <f>374.4+(368.1-247.8)+(-0.572832+(-0.563193--0.379134))+0-108--0.165240000000006</f>
        <v>386.10834899999998</v>
      </c>
      <c r="N232" s="3">
        <f>379.4+(369.1-244.7)+(-0.580482+(-0.564723--0.374391))+0-91.5--0.139995000000005</f>
        <v>411.66918100000004</v>
      </c>
      <c r="O232" s="3">
        <f>384.6+(440.1-295)+(-0.196146+(-0.224451--0.15045))+0-57.9--0.0295289999999941</f>
        <v>471.55938200000008</v>
      </c>
      <c r="P232" s="3">
        <f>384.6+(443.7-263.1)+(0+(0-0))+0-55.2-0</f>
        <v>510.00000000000006</v>
      </c>
      <c r="Q232" s="3">
        <f>383.9+(452-258.8)+(-0.391578+(-0.46104--0.263976))+0-56.8--0.0579360000000091</f>
        <v>519.76929399999995</v>
      </c>
      <c r="R232" s="3">
        <f>384.6+(333.3-201.2)+(-0.196146+(-0.169983--0.102612))+0-62.5--0.0318749999999937</f>
        <v>453.96835800000008</v>
      </c>
      <c r="S232" s="3">
        <f>385.4+(218.4-136.4)+(0.786216+(0.445536-0.278256))+0-62.9-0.128315999999997</f>
        <v>405.32517999999999</v>
      </c>
      <c r="T232" s="3">
        <f>384.3+(263.3-152.6)+(0.391986+(0.268566-0.155652))+0-92.6-0.0944520000000148</f>
        <v>402.81044800000001</v>
      </c>
      <c r="U232" s="3">
        <f>379.8+(316.8-171.7)+(-0.96849+(-0.80784--0.437835))+0-103.2--0.263159999999985</f>
        <v>420.62466500000011</v>
      </c>
      <c r="V232" s="3">
        <f>385+(382.8-164.2)+(0.58905+(0.585684-0.251226))+0-105.9-0.162027000000006</f>
        <v>498.46148099999999</v>
      </c>
      <c r="W232" s="3">
        <f>385+(392.7-116.6)+(-0.3927+(-0.400554--0.118932))+0-118.9--0.121278000000019</f>
        <v>541.64695600000016</v>
      </c>
      <c r="X232" s="3">
        <f>382.9+(428-156.6)+(-0.781116+(-0.87312--0.319464))+0-110.7--0.225827999999995</f>
        <v>542.49105599999984</v>
      </c>
      <c r="Y232" s="3">
        <f>375.3+(433.7-119)+(-1.148418+(-1.327122--0.36414))+0-119.9--0.366894000000014</f>
        <v>568.35549400000002</v>
      </c>
      <c r="Z232" s="3">
        <f>362.8+(411.8-123.2)+(-1.110168+(-1.260108--0.376992))+0-113.7--0.347922000000013</f>
        <v>536.05463800000007</v>
      </c>
      <c r="AA232" s="3">
        <f>369.5+(379.2-95.8)+(-0.565335+(-0.580176--0.146574))+0-117.8--0.180234000000007</f>
        <v>534.28129700000011</v>
      </c>
      <c r="AB232" s="3">
        <f>371.8+(405.5-133.3)+(0+(0-0))+0-122.1-0</f>
        <v>521.9</v>
      </c>
      <c r="AC232" s="3">
        <f>363.7+(409.7-175.5)+(-0.741948+(-0.835788--0.35802))+0-116.2--0.237047999999995</f>
        <v>480.71733200000006</v>
      </c>
      <c r="AD232" s="2">
        <v>620.6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360.2+(410.9-230.3)+(-1.285914+(-1.466913--0.822171))+0-114.5--0.408765000000002</f>
        <v>424.77810899999997</v>
      </c>
      <c r="G233" s="3">
        <f>361.9+(443.7-256.7)+(-1.107414+(-1.357722--0.785502))+0-114.9--0.351594000000013</f>
        <v>432.67196000000007</v>
      </c>
      <c r="H233" s="3">
        <f>366.5+(398.2-245.8)+(-0.37383+(-0.406164--0.250716))+0-105.6--0.107712000000017</f>
        <v>412.87843399999997</v>
      </c>
      <c r="I233" s="3">
        <f>355.6+(440.4-275.8)+(0+(0-0))+0-116-0</f>
        <v>404.20000000000005</v>
      </c>
      <c r="J233" s="3">
        <f>324.5+(426-236.6)+(0.33099+(0.43452-0.241332))+0-120.3-0.122706000000019</f>
        <v>394.00147199999998</v>
      </c>
      <c r="K233" s="3">
        <f>320.7+(455.5-280.8)+(-0.163557+(-0.232305--0.143208))+0-118.3--0.060332999999988</f>
        <v>376.90767899999997</v>
      </c>
      <c r="L233" s="3">
        <f>320.3+(468.1-285)+(-0.326706+(-0.477462--0.2907))+0-117.1--0.119442000000019</f>
        <v>385.90597400000007</v>
      </c>
      <c r="M233" s="3">
        <f>320.3+(475.3-205.9)+(-0.326706+(-0.484806--0.210018))+0-124.2--0.12668400000002</f>
        <v>465.02519000000007</v>
      </c>
      <c r="N233" s="3">
        <f>319.8+(439.8-191.7)+(-0.326196+(-0.448596--0.195534))+0-103--0.105060000000016</f>
        <v>464.42580200000015</v>
      </c>
      <c r="O233" s="3">
        <f>275.8+(434.7-155)+(0.421974+(0.665091-0.23715))+0-112.2-0.171666000000006</f>
        <v>443.97824900000001</v>
      </c>
      <c r="P233" s="3">
        <f>269.4+(449.7-111.9)+(-0.549576+(-0.917388--0.228276))+0-124.1--0.253163999999995</f>
        <v>482.11447599999985</v>
      </c>
      <c r="Q233" s="3">
        <f>293.7+(413.8-141.2)+(-0.599148+(-0.844152--0.288048))+0-119.2--0.243167999999995</f>
        <v>446.18791599999992</v>
      </c>
      <c r="R233" s="3">
        <f>299.3+(400.9-120.7)+(-0.305286+(-0.408918--0.123114))+0-129--0.131580000000021</f>
        <v>450.04049000000003</v>
      </c>
      <c r="S233" s="3">
        <f>298.2+(338.2-83.6)+(-0.608328+(-0.689928--0.170544))+0-115.6--0.235823999999995</f>
        <v>436.30811199999994</v>
      </c>
      <c r="T233" s="3">
        <f>301.5+(352.3-94.4)+(-0.30753+(-0.359346--0.096288))+0-134.2--0.136884000000021</f>
        <v>424.76629599999995</v>
      </c>
      <c r="U233" s="3">
        <f>298.5+(383.1-114.4)+(-0.30447+(-0.390762--0.116688))+0-118.2--0.120564000000019</f>
        <v>448.54202000000009</v>
      </c>
      <c r="V233" s="3">
        <f>302.9+(438-110.8)+(0.154479+(0.22338-0.056508))+0-124.1-0.0632909999999874</f>
        <v>506.25805999999994</v>
      </c>
      <c r="W233" s="3">
        <f>371.5+(444.2-52.3)+(0.37893+(0.453084-0.053346))+0-138.9-0.141678000000022</f>
        <v>625.13698999999997</v>
      </c>
      <c r="X233" s="3">
        <f>374.3+(444.3-27.7)+(-0.572679+(-0.679779--0.042381))+0-122--0.186660000000007</f>
        <v>667.8765830000001</v>
      </c>
      <c r="Y233" s="3">
        <f>370.7+(447.8-19.2)+(-0.945285+(-1.14189--0.04896))+0-132.1--0.336854999999981</f>
        <v>665.49863999999991</v>
      </c>
      <c r="Z233" s="3">
        <f>383.6+(386.3-18.3)+(0.195636+(0.197013-0.009333))+0-127.4-0.0649739999999871</f>
        <v>624.51834200000008</v>
      </c>
      <c r="AA233" s="3">
        <f>384.2+(374.3-57.8)+(-0.195942+(-0.190893--0.029478))+0-138.1--0.070430999999986</f>
        <v>562.31307400000003</v>
      </c>
      <c r="AB233" s="3">
        <f>381.1+(324.5-88.8)+(-0.777444+(-0.66198--0.181152))+0-133.6--0.272543999999994</f>
        <v>482.21427199999988</v>
      </c>
      <c r="AC233" s="3">
        <f>379.4+(324.9-98.2)+(-0.580482+(-0.497097--0.150246))+0-117.6--0.179928000000007</f>
        <v>487.75259499999993</v>
      </c>
      <c r="AD233" s="2">
        <v>643.6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380.9+(322-168.1)+(-0.194259+(-0.16422--0.085731))+0-117.4--0.0598739999999881</f>
        <v>417.18712599999998</v>
      </c>
      <c r="G234" s="3">
        <f>382.1+(353.5-181.1)+(-0.194871+(-0.180285--0.092361))+0-126.7--0.0646169999999871</f>
        <v>427.58182200000005</v>
      </c>
      <c r="H234" s="3">
        <f>360.2+(352-156)+(-0.367404+(-0.35904--0.15912))+0-106.5--0.108630000000017</f>
        <v>449.24130600000007</v>
      </c>
      <c r="I234" s="3">
        <f>316.1+(370.8-153.4)+(-0.161211+(-0.189108--0.078234))+0-104.4--0.0532439999999894</f>
        <v>428.88115900000008</v>
      </c>
      <c r="J234" s="3">
        <f>313.8+(379.4-144.6)+(-0.80019+(-0.96747--0.36873))+0-112.8--0.287639999999984</f>
        <v>434.68871000000007</v>
      </c>
      <c r="K234" s="3">
        <f>322.1+(352.1-158.4)+(0.328542+(0.359142-0.161568))+0-83.8-0.0854760000000134</f>
        <v>432.44064000000003</v>
      </c>
      <c r="L234" s="3">
        <f>314.7+(467-200)+(-0.962982+(-1.42902--0.612))+0-93.5--0.286110000000011</f>
        <v>486.70610800000009</v>
      </c>
      <c r="M234" s="3">
        <f>318.5+(423.3-123.7)+(0+(0-0))+0-100.6-0</f>
        <v>517.5</v>
      </c>
      <c r="N234" s="3">
        <f>313.6+(333.5-90.8)+(-0.319872+(-0.34017--0.092616))+0-112.8--0.115056000000018</f>
        <v>443.04763000000003</v>
      </c>
      <c r="O234" s="3">
        <f>313.4+(327.6-83)+(0.159834+(0.167076-0.04233))+0-103.6-0.0528359999999895</f>
        <v>454.63174399999997</v>
      </c>
      <c r="P234" s="3">
        <f>313+(347.3-54.8)+(-0.31926+(-0.354246--0.055896))+0-115.3--0.117606000000018</f>
        <v>489.699996</v>
      </c>
      <c r="Q234" s="3">
        <f>312.5+(320-22.6)+(-0.31875+(-0.3264--0.023052))+0-105--0.107100000000017</f>
        <v>504.38500199999993</v>
      </c>
      <c r="R234" s="3">
        <f>309.3+(307.1-27.5)+(-0.788715+(-0.783105--0.070125))+0-104.2--0.265709999999985</f>
        <v>483.46401500000007</v>
      </c>
      <c r="S234" s="3">
        <f>310.4+(338.2-7.6)+(-0.316608+(-0.344964--0.007752))+0-109.1--0.111282000000017</f>
        <v>531.35746199999994</v>
      </c>
      <c r="T234" s="3">
        <f>312+(314.9-45.6)+(0+(0-0))+0-95.9-0</f>
        <v>485.4</v>
      </c>
      <c r="U234" s="3">
        <f>310.4+(362.8-76.3)+(-0.316608+(-0.370056--0.077826))+0-107.8--0.109956000000017</f>
        <v>488.60111799999999</v>
      </c>
      <c r="V234" s="3">
        <f>312.8+(419.7-75.9)+(0+(0-0))+0-105-0</f>
        <v>551.59999999999991</v>
      </c>
      <c r="W234" s="3">
        <f>342.8+(388.8-44.5)+(0.174828+(0.198288-0.022695))+0-108.6-0.055385999999989</f>
        <v>578.79503499999998</v>
      </c>
      <c r="X234" s="3">
        <f>373.9+(379.7-53.2)+(-1.144134+(-1.161882--0.162792))+0-121.6--0.372096000000014</f>
        <v>577.02887199999998</v>
      </c>
      <c r="Y234" s="3">
        <f>374.4+(368.9-47.8)+(-1.145664+(-1.128834--0.146268))+0-115.5--0.353430000000013</f>
        <v>578.22519999999997</v>
      </c>
      <c r="Z234" s="3">
        <f>295.7+(429.5-38.2)+(-0.452421+(-0.657135--0.058446))+0-101--0.154530000000006</f>
        <v>585.10342000000003</v>
      </c>
      <c r="AA234" s="3">
        <f>254.9+(491.7-38.2)+(-0.389997+(-0.752301--0.058446))+0-105.4--0.161262000000006</f>
        <v>602.07740999999999</v>
      </c>
      <c r="AB234" s="3">
        <f>253.5+(478-56.6)+(-0.51714+(-0.97512--0.115464))+0-108.7--0.221747999999995</f>
        <v>565.04495199999997</v>
      </c>
      <c r="AC234" s="3">
        <f>257.3+(495-42.7)+(-0.131223+(-0.25245--0.021777))+0-111.5--0.0568649999999887</f>
        <v>597.79496900000004</v>
      </c>
      <c r="AD234" s="2">
        <v>578.69999999999993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254.1+(489.1-64.4)+(-0.647955+(-1.247205--0.16422))+0-101.8--0.259589999999985</f>
        <v>575.52865000000008</v>
      </c>
      <c r="G235" s="3">
        <f>261.4+(443.4-102)+(-0.266628+(-0.452268--0.10404))+0-91.9--0.0937380000000147</f>
        <v>510.37888199999998</v>
      </c>
      <c r="H235" s="3">
        <f>260.7+(390.8-70.4)+(-0.398871+(-0.597924--0.107712))+0-111.6--0.170748000000006</f>
        <v>468.78166499999986</v>
      </c>
      <c r="I235" s="3">
        <f>264.7+(343.8-93.1)+(-0.134997+(-0.175338--0.047481))+0-97.3--0.0496229999999901</f>
        <v>417.88676900000002</v>
      </c>
      <c r="J235" s="3">
        <f>232.8+(384.1-67.9)+(-0.118728+(-0.195891--0.034629))+0-107.4--0.0547739999999891</f>
        <v>441.37478400000003</v>
      </c>
      <c r="K235" s="3">
        <f>199.2+(397.8-92.6)+(0.101592+(0.202878-0.047226))+0-108.3-0.055232999999989</f>
        <v>396.30201100000005</v>
      </c>
      <c r="L235" s="3">
        <f>198.1+(385.2-116.4)+(-0.202062+(-0.392904--0.118728))+0-111.1--0.113322000000018</f>
        <v>355.43708400000003</v>
      </c>
      <c r="M235" s="3">
        <f>196.3+(370.3-95.6)+(0+(0-0))+0-117-0</f>
        <v>354.00000000000006</v>
      </c>
      <c r="N235" s="3">
        <f>240.4+(340.4-141.4)+(-0.122604+(-0.173604--0.072114))+0-115.4--0.0588539999999883</f>
        <v>323.83475999999996</v>
      </c>
      <c r="O235" s="3">
        <f>261.9+(320.7-98.1)+(0.400707+(0.490671-0.150093))+0-132.4-0.202572000000008</f>
        <v>352.63871299999994</v>
      </c>
      <c r="P235" s="3">
        <f>262.1+(350.4-99.6)+(0.401013+(0.536112-0.152388))+0-114.1-0.174573000000007</f>
        <v>399.4101639999999</v>
      </c>
      <c r="Q235" s="3">
        <f>255.1+(368.2-63.2)+(-0.390303+(-0.563346--0.096696))+0-127.2--0.194616000000007</f>
        <v>432.23766300000005</v>
      </c>
      <c r="R235" s="3">
        <f>250.1+(380.9-56.3)+(-0.637755+(-0.971295--0.143565))+0-120.3--0.306764999999983</f>
        <v>453.24127999999996</v>
      </c>
      <c r="S235" s="3">
        <f>251.8+(376-71.8)+(-0.64209+(-0.9588--0.18309))+0-123.8--0.315689999999982</f>
        <v>431.09788999999989</v>
      </c>
      <c r="T235" s="3">
        <f>249.6+(331-57.9)+(-0.63648+(-0.84405--0.147645))+0-121.9--0.310844999999982</f>
        <v>399.77796000000001</v>
      </c>
      <c r="U235" s="3">
        <f>251.4+(337.3-61.6)+(-0.512856+(-0.688092--0.125664))+0-125.4--0.255815999999995</f>
        <v>400.88053200000002</v>
      </c>
      <c r="V235" s="3">
        <f>277.7+(367.2-51.8)+(-0.424881+(-0.561816--0.079254))+0-124.2--0.190026000000007</f>
        <v>468.18258299999997</v>
      </c>
      <c r="W235" s="3">
        <f>315.4+(354.7-33.5)+(-0.321708+(-0.361794--0.03417))+0-130.8--0.133416000000021</f>
        <v>505.28408399999995</v>
      </c>
      <c r="X235" s="3">
        <f>323.7+(349.3-44.8)+(-0.660348+(-0.712572--0.091392))+0-123.7--0.252347999999995</f>
        <v>503.47082000000006</v>
      </c>
      <c r="Y235" s="3">
        <f>328.4+(342.2-66.2)+(0+(0-0))+0-130.5-0</f>
        <v>473.9</v>
      </c>
      <c r="Z235" s="3">
        <f>326.1+(331.2-74.9)+(-0.332622+(-0.337824--0.076398))+0-136.3--0.139026000000022</f>
        <v>445.64497799999992</v>
      </c>
      <c r="AA235" s="3">
        <f>325.4+(313.3-86.4)+(-0.331908+(-0.319566--0.088128))+0-129.3--0.131886000000021</f>
        <v>422.56853999999993</v>
      </c>
      <c r="AB235" s="3">
        <f>321.8+(292.3-89.1)+(-0.656472+(-0.596292--0.181764))+0-125.7--0.256427999999994</f>
        <v>398.48542799999996</v>
      </c>
      <c r="AC235" s="3">
        <f>321.3+(306.2-105.7)+(-0.819315+(-0.78081--0.269535))+0-135.4--0.34526999999998</f>
        <v>385.41467999999992</v>
      </c>
      <c r="AD235" s="2">
        <v>580.90000000000009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326.4+(357.8-190)+(-0.332928+(-0.364956--0.1938))+0-113.7--0.115974000000018</f>
        <v>380.11189000000002</v>
      </c>
      <c r="G236" s="3">
        <f>323.7+(407-234.2)+(-0.660348+(-0.83028--0.477768))+0-116.8--0.238271999999995</f>
        <v>378.92541199999999</v>
      </c>
      <c r="H236" s="3">
        <f>327+(400.6-204.3)+(-0.16677+(-0.204306--0.104193))+0-119.6--0.0609959999999879</f>
        <v>403.49411299999991</v>
      </c>
      <c r="I236" s="3">
        <f>325.4+(387.9-175.2)+(-0.663816+(-0.791316--0.357408))+0-120.3--0.245411999999995</f>
        <v>416.94768799999991</v>
      </c>
      <c r="J236" s="3">
        <f>323.2+(387.2-148.5)+(-0.82416+(-0.98736--0.378675))+0-132.4--0.337619999999981</f>
        <v>428.40477499999992</v>
      </c>
      <c r="K236" s="3">
        <f>333.6+(432.1-190.2)+(0.680544+(0.881484-0.388008))+0-125.3-0.255611999999995</f>
        <v>451.11840800000004</v>
      </c>
      <c r="L236" s="3">
        <f>327.6+(510.3-219)+(-0.501228+(-0.780759--0.33507))+0-125.7--0.192321000000007</f>
        <v>492.44540400000011</v>
      </c>
      <c r="M236" s="3">
        <f>329.1+(464.4-252.4)+(-0.335682+(-0.473688--0.257448))+0-116.8--0.119136000000019</f>
        <v>423.86721400000005</v>
      </c>
      <c r="N236" s="3">
        <f>391.1+(485.9-299.6)+(-0.598383+(-0.743427--0.458388))+0-122.4--0.187272000000007</f>
        <v>454.30385000000001</v>
      </c>
      <c r="O236" s="3">
        <f>423.8+(450.3-251.8)+(0+(0-0))+0-127.9-0</f>
        <v>494.4</v>
      </c>
      <c r="P236" s="3">
        <f>423.1+(394.8-211.3)+(0+(0-0))+0-112-0</f>
        <v>494.6</v>
      </c>
      <c r="Q236" s="3">
        <f>416.8+(352.6-114.3)+(-0.850272+(-0.719304--0.233172))+0-130.9--0.267035999999994</f>
        <v>523.13063199999999</v>
      </c>
      <c r="R236" s="3">
        <f>404.8+(344.5-137.7)+(-1.238688+(-1.05417--0.421362))+0-115.5--0.353430000000013</f>
        <v>494.58193400000005</v>
      </c>
      <c r="S236" s="3">
        <f>413.9+(301-138.5)+(-0.844356+(-0.61404--0.28254))+0-115.3--0.235211999999995</f>
        <v>460.159356</v>
      </c>
      <c r="T236" s="3">
        <f>414.3+(308.8-139.3)+(-0.633879+(-0.472464--0.213129))+0-122.6--0.187578000000007</f>
        <v>460.49436400000002</v>
      </c>
      <c r="U236" s="3">
        <f>397.2+(348.1-124.3)+(-0.810288+(-0.710124--0.253572))+0-129.8--0.264791999999994</f>
        <v>490.19795199999999</v>
      </c>
      <c r="V236" s="3">
        <f>377.3+(432.4-62.5)+(-0.384846+(-0.441048--0.06375))+0-124.5--0.12699000000002</f>
        <v>622.06484599999999</v>
      </c>
      <c r="W236" s="3">
        <f>378.8+(401.1-34.6)+(-0.579564+(-0.613683--0.052938))+0-130.9--0.200277000000008</f>
        <v>613.459968</v>
      </c>
      <c r="X236" s="3">
        <f>377.1+(387.1-25.8)+(-0.961605+(-0.987105--0.06579))+0-136.4--0.34781999999998</f>
        <v>600.46490000000006</v>
      </c>
      <c r="Y236" s="3">
        <f>386+(418.2-39.4)+(-0.59058+(-0.639846--0.060282))+0-128--0.195840000000007</f>
        <v>635.82569599999988</v>
      </c>
      <c r="Z236" s="3">
        <f>374+(427-16.1)+(-0.38148+(-0.43554--0.016422))+0-138.6--0.141372000000022</f>
        <v>645.64077399999996</v>
      </c>
      <c r="AA236" s="3">
        <f>352.8+(398-17.5)+(-0.89964+(-1.0149--0.044625))+0-131.5--0.335324999999981</f>
        <v>600.26540999999997</v>
      </c>
      <c r="AB236" s="3">
        <f>362.4+(385.6-43.7)+(0+(0-0))+0-122.4-0</f>
        <v>581.9</v>
      </c>
      <c r="AC236" s="3">
        <f>354.6+(372.9-60.8)+(-0.90423+(-0.950895--0.15504))+0-133.7--0.340934999999981</f>
        <v>531.64085</v>
      </c>
      <c r="AD236" s="2">
        <v>636.6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360.6+(322.4-135.2)+(-0.551718+(-0.493272--0.206856))+0-117--0.179010000000007</f>
        <v>430.14087599999999</v>
      </c>
      <c r="G237" s="3">
        <f>360.7+(338.9-200.8)+(-0.367914+(-0.345678--0.204816))+0-128.4--0.13096800000002</f>
        <v>370.02219199999996</v>
      </c>
      <c r="H237" s="3">
        <f>335.6+(336.4-150.4)+(-0.171156+(-0.171564--0.076704))+0-125.6--0.0640559999999873</f>
        <v>395.79803999999996</v>
      </c>
      <c r="I237" s="3">
        <f>325.6+(363-175.3)+(0.166056+(0.18513-0.089403))+0-126.4-0.0644639999999872</f>
        <v>387.09731900000003</v>
      </c>
      <c r="J237" s="3">
        <f>324+(386.8-185.7)+(-0.16524+(-0.197268--0.094707))+0-124.6--0.0635459999999874</f>
        <v>400.29574500000001</v>
      </c>
      <c r="K237" s="3">
        <f>329+(401.8-173.9)+(0.50337+(0.614754-0.266067))+0-124.6-0.190638000000007</f>
        <v>432.96141899999986</v>
      </c>
      <c r="L237" s="3">
        <f>321.1+(433.2-177.3)+(-0.655044+(-0.883728--0.361692))+0-120.5--0.245819999999995</f>
        <v>455.56873999999993</v>
      </c>
      <c r="M237" s="3">
        <f>322.7+(432.7-172.6)+(0+(0-0))+0-129.5-0</f>
        <v>453.29999999999995</v>
      </c>
      <c r="N237" s="3">
        <f>353.3+(482.6-212.7)+(0.180183+(0.246126-0.108477))+0-105.1-0.0536009999999893</f>
        <v>518.36423100000002</v>
      </c>
      <c r="O237" s="3">
        <f>407.3+(455.7-242.7)+(0.830892+(0.929628-0.495108))+0-117.3-0.239291999999995</f>
        <v>504.02611999999993</v>
      </c>
      <c r="P237" s="3">
        <f>401.1+(490.1-227.8)+(-0.204561+(-0.249951--0.116178))+0-125.3--0.0639029999999873</f>
        <v>537.82556900000009</v>
      </c>
      <c r="Q237" s="3">
        <f>399+(411.5-178.5)+(-0.40698+(-0.41973--0.18207))+0-108.6--0.110772000000017</f>
        <v>522.86613199999999</v>
      </c>
      <c r="R237" s="3">
        <f>398.7+(407.8-146)+(-0.203337+(-0.207978--0.07446))+0-112.5--0.0573749999999886</f>
        <v>547.72051999999996</v>
      </c>
      <c r="S237" s="3">
        <f>397.4+(367.1-84.2)+(-0.405348+(-0.374442--0.085884))+0-131.7--0.134334000000021</f>
        <v>548.04042799999991</v>
      </c>
      <c r="T237" s="3">
        <f>401.9+(340.9-95.4)+(0.409938+(0.347718-0.097308))+0-122.7-0.12515400000002</f>
        <v>525.23519399999986</v>
      </c>
      <c r="U237" s="3">
        <f>383.8+(387.4-86.5)+(-0.587214+(-0.592722--0.132345))+0-128.4--0.196452000000007</f>
        <v>555.44886100000008</v>
      </c>
      <c r="V237" s="3">
        <f>360.5+(465.2-54)+(-0.183855+(-0.237252--0.02754))+0-123.6--0.0630359999999875</f>
        <v>647.76946900000007</v>
      </c>
      <c r="W237" s="3">
        <f>365.5+(425.4-17)+(-0.186405+(-0.216954--0.00867))+0-123--0.0627299999999875</f>
        <v>650.56804099999999</v>
      </c>
      <c r="X237" s="3">
        <f>366.6+(407.4-18.9)+(-0.560898+(-0.623322--0.028917))+0-127.4--0.194922000000007</f>
        <v>626.73961900000006</v>
      </c>
      <c r="Y237" s="3">
        <f>376+(383.1-39.4)+(-0.9588+(-0.976905--0.10047))+0-132.4--0.337619999999981</f>
        <v>585.80238500000007</v>
      </c>
      <c r="Z237" s="3">
        <f>382.8+(369.8-55.2)+(-0.780912+(-0.754392--0.112608))+0-130.2--0.265607999999994</f>
        <v>566.04291200000023</v>
      </c>
      <c r="AA237" s="3">
        <f>389.1+(379.5-87.9)+(-0.396882+(-0.38709--0.089658))+0-93.3--0.0951660000000149</f>
        <v>586.80085200000019</v>
      </c>
      <c r="AB237" s="3">
        <f>385.1+(382.9-118.1)+(-0.982005+(-0.976395--0.301155))+0-79.8--0.203489999999988</f>
        <v>568.64624500000002</v>
      </c>
      <c r="AC237" s="3">
        <f>382.1+(395.8-172.5)+(-0.974355+(-1.00929--0.439875))+0-82.6--0.210629999999988</f>
        <v>521.46686000000011</v>
      </c>
      <c r="AD237" s="2">
        <v>650.20000000000005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387.7+(402.8-270.6)+(-0.790908+(-0.821712--0.552024))+0-66.8--0.136271999999997</f>
        <v>452.17567599999995</v>
      </c>
      <c r="G238" s="3">
        <f>369+(345-237.6)+(-0.18819+(-0.17595--0.121176))+0-79.1--0.040340999999992</f>
        <v>397.09737700000005</v>
      </c>
      <c r="H238" s="3">
        <f>363.9+(332.8-258.4)+(-0.371178+(-0.339456--0.263568))+0-66.8--0.0681360000000106</f>
        <v>371.12107000000003</v>
      </c>
      <c r="I238" s="3">
        <f>320.6+(400.2-204.8)+(-0.327012+(-0.408204--0.208896))+0-108.2--0.110364000000017</f>
        <v>407.38404399999996</v>
      </c>
      <c r="J238" s="3">
        <f>318.7+(430.7-186.1)+(-0.487611+(-0.658971--0.284733))+0-128.7--0.196911000000007</f>
        <v>433.93506199999996</v>
      </c>
      <c r="K238" s="3">
        <f>322+(457.8-195.1)+(0+(0-0))+0-129.6-0</f>
        <v>455.1</v>
      </c>
      <c r="L238" s="3">
        <f>321+(464.6-192.4)+(-0.16371+(-0.236946--0.098124))+0-128.2--0.065381999999987</f>
        <v>464.76285000000001</v>
      </c>
      <c r="M238" s="3">
        <f>320.7+(429.2-146.5)+(-0.163557+(-0.218892--0.074715))+0-119.6--0.0609959999999879</f>
        <v>483.55326199999996</v>
      </c>
      <c r="N238" s="3">
        <f>345.1+(406.4-122)+(-0.352002+(-0.414528--0.12444))+0-134.6--0.137292000000021</f>
        <v>494.39520199999993</v>
      </c>
      <c r="O238" s="3">
        <f>356.9+(457.6-179.7)+(-0.182019+(-0.233376--0.091647))+0-139.6--0.0711959999999858</f>
        <v>494.94744799999989</v>
      </c>
      <c r="P238" s="3">
        <f>359+(408.6-164.5)+(0.36618+(0.416772-0.16779))+0-131.5-0.134130000000021</f>
        <v>472.08103200000005</v>
      </c>
      <c r="Q238" s="3">
        <f>357.7+(383.2-122.3)+(-0.182427+(-0.195432--0.062373))+0-123.1--0.0627809999999875</f>
        <v>495.24729499999989</v>
      </c>
      <c r="R238" s="3">
        <f>409+(332-164.3)+(-0.83436+(-0.67728--0.335172))+0-129--0.263159999999994</f>
        <v>446.78669200000002</v>
      </c>
      <c r="S238" s="3">
        <f>408.3+(269.7-98)+(-0.624699+(-0.412641--0.14994))+0-129--0.197370000000007</f>
        <v>450.30997000000008</v>
      </c>
      <c r="T238" s="3">
        <f>413.2+(219.1-124.5)+(0.210732+(0.111741-0.063495))+0-126.3-0.0644129999999872</f>
        <v>381.69456499999995</v>
      </c>
      <c r="U238" s="3">
        <f>411.7+(246.8-158)+(-0.209967+(-0.125868--0.08058))+0-136.2--0.0694619999999862</f>
        <v>364.11420700000002</v>
      </c>
      <c r="V238" s="3">
        <f>417.2+(336.5-146.4)+(0.638316+(0.514845-0.223992))+0-137.3-0.210069000000008</f>
        <v>470.71909999999991</v>
      </c>
      <c r="W238" s="3">
        <f>401.9+(364.6-73.8)+(-0.409938+(-0.371892--0.075276))+0-147.6--0.150552000000024</f>
        <v>544.5439980000001</v>
      </c>
      <c r="X238" s="3">
        <f>426.5+(385.2-111.5)+(-0.87006+(-0.785808--0.22746))+0-142.3--0.290291999999994</f>
        <v>556.76188400000012</v>
      </c>
      <c r="Y238" s="3">
        <f>433.6+(396.4-81)+(-1.10568+(-1.01082--0.20655))+0-141.9--0.361844999999979</f>
        <v>605.55189500000006</v>
      </c>
      <c r="Z238" s="3">
        <f>435.3+(366.3-86.7)+(-0.666009+(-0.560439--0.132651))+0-137.7--0.210681000000008</f>
        <v>576.31688400000007</v>
      </c>
      <c r="AA238" s="3">
        <f>436.2+(388-66.8)+(-0.667386+(-0.59364--0.102204))+0-148--0.226440000000009</f>
        <v>608.46761800000002</v>
      </c>
      <c r="AB238" s="3">
        <f>433.3+(331.9-73.3)+(-0.220983+(-0.169269--0.037383))+0-141.6--0.0722159999999856</f>
        <v>550.01934699999993</v>
      </c>
      <c r="AC238" s="3">
        <f>430.2+(346.5-113.5)+(-0.658206+(-0.530145--0.173655))+0-121.8--0.186354000000007</f>
        <v>540.57165800000018</v>
      </c>
      <c r="AD238" s="2">
        <v>646.1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392.7+(329.9-191.1)+(-0.200277+(-0.168249--0.097461))+0-108.9--0.055538999999989</f>
        <v>422.38447400000001</v>
      </c>
      <c r="G239" s="3">
        <f>311.4+(360.7-173.9)+(-0.317628+(-0.367914--0.177378))+0-125--0.12750000000002</f>
        <v>372.81933599999991</v>
      </c>
      <c r="H239" s="3">
        <f>317.1+(347-142.7)+(0+(0-0))+0-134.3-0</f>
        <v>387.10000000000008</v>
      </c>
      <c r="I239" s="3">
        <f>318.5+(358.2-143.4)+(-0.32487+(-0.365364--0.146268))+0-115.4--0.117708000000018</f>
        <v>417.47374200000002</v>
      </c>
      <c r="J239" s="3">
        <f>323.8+(373.4-151.8)+(0+(0-0))+0-126.8-0</f>
        <v>418.59999999999997</v>
      </c>
      <c r="K239" s="3">
        <f>319.8+(424.9-158.2)+(-0.326196+(-0.433398--0.161364))+0-127--0.12954000000002</f>
        <v>459.03131000000008</v>
      </c>
      <c r="L239" s="3">
        <f>315.5+(427.1-226.7)+(-0.482715+(-0.653463--0.346851))+0-128.9--0.197217000000007</f>
        <v>386.40789000000018</v>
      </c>
      <c r="M239" s="3">
        <f>317.4+(452-207)+(-0.323748+(-0.46104--0.21114))+0-127.9--0.13045800000002</f>
        <v>434.05680999999998</v>
      </c>
      <c r="N239" s="3">
        <f>366.6+(357.5-214.8)+(-0.747864+(-0.7293--0.438192))+0-120.4--0.245615999999995</f>
        <v>388.10664400000002</v>
      </c>
      <c r="O239" s="3">
        <f>447.6+(290-259.8)+(0+(0-0))+0-131.7-0</f>
        <v>346.1</v>
      </c>
      <c r="P239" s="3">
        <f>441.3+(307.7-187)+(-0.450126+(-0.313854--0.19074))+0-124.1--0.12658200000002</f>
        <v>437.45334199999996</v>
      </c>
      <c r="Q239" s="3">
        <f>440.6+(319.3-208.6)+(-0.224706+(-0.162843--0.106386))+0-134.5--0.0685949999999864</f>
        <v>416.58743200000004</v>
      </c>
      <c r="R239" s="3">
        <f>432+(315.6-162.6)+(-1.1016+(-0.80478--0.41463))+0-99.1--0.252704999999986</f>
        <v>484.66095499999994</v>
      </c>
      <c r="S239" s="3">
        <f>436.9+(313.4-119.2)+(-0.222819+(-0.159834--0.060792))+0-96.8--0.0493679999999902</f>
        <v>534.0275069999999</v>
      </c>
      <c r="T239" s="3">
        <f>434.3+(349.7-126.7)+(-0.442986+(-0.356694--0.129234))+0-112.6--0.114852000000018</f>
        <v>544.144406</v>
      </c>
      <c r="U239" s="3">
        <f>435.6+(376.7-178.5)+(-0.444312+(-0.384234--0.18207))+0-125.4--0.12790800000002</f>
        <v>507.88143200000002</v>
      </c>
      <c r="V239" s="3">
        <f>423.9+(462.1-170.7)+(-0.648567+(-0.707013--0.261171))+0-139--0.212670000000008</f>
        <v>575.41826099999992</v>
      </c>
      <c r="W239" s="3">
        <f>388+(343.7-34.6)+(-0.39576+(-0.350574--0.035292))+0-141.6--0.144432000000023</f>
        <v>554.93338999999992</v>
      </c>
      <c r="X239" s="3">
        <f>385.2+(360.2-67.9)+(-0.785808+(-0.734808--0.138516))+0-144.8--0.295391999999994</f>
        <v>531.613292</v>
      </c>
      <c r="Y239" s="3">
        <f>372.8+(407.5-31.4)+(-0.760512+(-0.8313--0.064056))+0-149.3--0.304571999999994</f>
        <v>598.37681600000019</v>
      </c>
      <c r="Z239" s="3">
        <f>299.6+(432.1-17.2)+(-0.76398+(-1.101855--0.04386))+0-133.7--0.340934999999981</f>
        <v>579.31896000000006</v>
      </c>
      <c r="AA239" s="3">
        <f>313.5+(440.2-12.4)+(-0.479655+(-0.673506--0.018972))+0-146--0.223380000000008</f>
        <v>594.38919099999998</v>
      </c>
      <c r="AB239" s="3">
        <f>342.5+(422.1-19.1)+(-0.873375+(-1.076355--0.048705))+0-133.7--0.340934999999981</f>
        <v>610.23991000000001</v>
      </c>
      <c r="AC239" s="3">
        <f>300.7+(404.8-34.2)+(-0.613428+(-0.825792--0.069768))+0-142.8--0.291311999999994</f>
        <v>527.42185999999981</v>
      </c>
      <c r="AD239" s="2">
        <v>618.9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318.2+(396.4-104.1)+(-0.486846+(-0.606492--0.159273))+0-136.4--0.208692000000008</f>
        <v>473.37462699999998</v>
      </c>
      <c r="G240" s="3">
        <f>318.6+(296.2-65.9)+(-0.487458+(-0.453186--0.100827))+0-135.2--0.206856000000008</f>
        <v>413.06703899999997</v>
      </c>
      <c r="H240" s="3">
        <f>266.7+(321.9-38.2)+(-0.136017+(-0.164169--0.019482))+0-142.1--0.0724709999999856</f>
        <v>408.09176699999995</v>
      </c>
      <c r="I240" s="3">
        <f>250+(317.3-28.3)+(-0.1275+(-0.161823--0.014433))+0-136.8--0.0697679999999861</f>
        <v>401.99487799999997</v>
      </c>
      <c r="J240" s="3">
        <f>249.4+(323-29)+(-0.254388+(-0.32946--0.02958))+0-135.5--0.138210000000022</f>
        <v>407.48394200000001</v>
      </c>
      <c r="K240" s="3">
        <f>292.8+(302.4-57.9)+(0.447984+(0.462672-0.088587))+0-144.2-0.220626000000008</f>
        <v>393.70144300000004</v>
      </c>
      <c r="L240" s="3">
        <f>306.2+(320.9-88.2)+(-0.156162+(-0.163659--0.044982))+0-127.1--0.0648209999999871</f>
        <v>411.58998199999991</v>
      </c>
      <c r="M240" s="3">
        <f>310.9+(301.8-107.9)+(0.317118+(0.307836-0.110058))+0-133.6-0.136272000000021</f>
        <v>371.57862399999993</v>
      </c>
      <c r="N240" s="3">
        <f>349.8+(345.5-155.8)+(0.356796+(0.35241-0.158916))+0-118.4-0.120768000000019</f>
        <v>421.52952200000004</v>
      </c>
      <c r="O240" s="3">
        <f>368.1+(388.7-155.3)+(-0.375462+(-0.396474--0.158406))+0-133.8--0.136476000000021</f>
        <v>467.22294600000004</v>
      </c>
      <c r="P240" s="3">
        <f>370.4+(427.5-163.4)+(-0.377808+(-0.43605--0.166668))+0-132.2--0.134844000000021</f>
        <v>501.78765400000003</v>
      </c>
      <c r="Q240" s="3">
        <f>371.5+(386-139)+(0.37893+(0.39372-0.14178))+0-132.1-0.134742000000021</f>
        <v>486.89612799999992</v>
      </c>
      <c r="R240" s="3">
        <f>367.7+(379.1-127.3)+(-0.750108+(-0.773364--0.259692))+0-117.5--0.239699999999995</f>
        <v>500.97591999999997</v>
      </c>
      <c r="S240" s="3">
        <f>367.2+(246.8-20.3)+(0+(0-0))+0-132.7-0</f>
        <v>461.00000000000006</v>
      </c>
      <c r="T240" s="3">
        <f>366.1+(295.1-75.3)+(-0.186711+(-0.150501--0.038403))+0-114.8--0.0585479999999884</f>
        <v>470.85973900000005</v>
      </c>
      <c r="U240" s="3">
        <f>365.9+(353.9-79.5)+(0+(0-0))+0-118.3-0</f>
        <v>522</v>
      </c>
      <c r="V240" s="3">
        <f>396.3+(349.8-140.1)+(0.202113+(0.178398-0.071451))+0-119.5-0.0609449999999879</f>
        <v>486.74811500000004</v>
      </c>
      <c r="W240" s="3">
        <f>433+(321.9-99.7)+(0.22083+(0.164169-0.050847))+0-123.5-0.0629849999999875</f>
        <v>531.97116700000004</v>
      </c>
      <c r="X240" s="3">
        <f>443.2+(369.5-102.6)+(-1.356192+(-1.13067--0.313956))+0-137--0.419220000000016</f>
        <v>571.34631399999989</v>
      </c>
      <c r="Y240" s="3">
        <f>443.4+(359.7-73.8)+(-0.226134+(-0.183447--0.037638))+0-138--0.070379999999986</f>
        <v>590.99843699999997</v>
      </c>
      <c r="Z240" s="3">
        <f>399.7+(351.5-30.7)+(-0.815388+(-0.71706--0.062628))+0-143.3--0.292331999999994</f>
        <v>576.02251200000001</v>
      </c>
      <c r="AA240" s="3">
        <f>379.3+(359-11.2)+(-0.580329+(-0.54927--0.017136))+0-147--0.224910000000008</f>
        <v>579.212447</v>
      </c>
      <c r="AB240" s="3">
        <f>379.8+(383.5-28.5)+(-0.774792+(-0.78234--0.05814))+0-136--0.277439999999994</f>
        <v>597.57844799999987</v>
      </c>
      <c r="AC240" s="3">
        <f>379.3+(430.8-101.2)+(-0.580329+(-0.659124--0.154836))+0-137.9--0.210987000000008</f>
        <v>570.12637000000018</v>
      </c>
      <c r="AD240" s="2">
        <v>656.09999999999991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343.7+(423.7-91.5)+(-0.876435+(-1.080435--0.233325))+0-133.5--0.340424999999981</f>
        <v>541.01688000000001</v>
      </c>
      <c r="G241" s="3">
        <f>330.1+(342.4-73.4)+(-0.841755+(-0.87312--0.18717))+0-131.4--0.335069999999981</f>
        <v>466.50736500000005</v>
      </c>
      <c r="H241" s="3">
        <f>281.5+(356.4-66.6)+(-0.430695+(-0.545292--0.101898))+0-143.6--0.219708000000008</f>
        <v>427.04561899999993</v>
      </c>
      <c r="I241" s="3">
        <f>246.3+(298.9-69.5)+(0.125613+(0.152439-0.035445))+0-129.9-0.0662489999999868</f>
        <v>345.976358</v>
      </c>
      <c r="J241" s="3">
        <f>247+(314.3-61.1)+(0+(0-0))+0-135.5-0</f>
        <v>364.70000000000005</v>
      </c>
      <c r="K241" s="3">
        <f>271.9+(354.2-73.9)+(0+(0-0))+0-129.9-0</f>
        <v>422.29999999999995</v>
      </c>
      <c r="L241" s="3">
        <f>283.1+(412.1-125.5)+(-0.577524+(-0.840684--0.25602))+0-124.9--0.254795999999995</f>
        <v>443.89260800000005</v>
      </c>
      <c r="M241" s="3">
        <f>296.1+(381.7-96.6)+(-0.302022+(-0.389334--0.098532))+0-131.1--0.133722000000021</f>
        <v>449.64089800000011</v>
      </c>
      <c r="N241" s="3">
        <f>331.2+(342.5-72)+(0.337824+(0.34935-0.07344))+0-127.4-0.12994800000002</f>
        <v>474.78378600000008</v>
      </c>
      <c r="O241" s="3">
        <f>380.9+(354.3-34.4)+(0+(0-0))+0-141.4-0</f>
        <v>559.4</v>
      </c>
      <c r="P241" s="3">
        <f>390.5+(343.9-28.7)+(-0.597465+(-0.526167--0.043911))+0-131.1--0.200583000000008</f>
        <v>573.72086200000012</v>
      </c>
      <c r="Q241" s="3">
        <f>389.2+(352.2-22.1)+(-0.793968+(-0.718488--0.045084))+0-137.9--0.281315999999994</f>
        <v>580.21394399999997</v>
      </c>
      <c r="R241" s="3">
        <f>389.7+(328.4-6.6)+(-0.596241+(-0.502452--0.010098))+0-133.8--0.204714000000008</f>
        <v>576.81611899999984</v>
      </c>
      <c r="S241" s="3">
        <f>424.2+(276-28.5)+(-0.865368+(-0.56304--0.05814))+0-128.4--0.261935999999994</f>
        <v>542.19166800000005</v>
      </c>
      <c r="T241" s="3">
        <f>429.3+(269.1-40.1)+(0.437886+(0.274482-0.040902))+0-143.6-0.146472000000023</f>
        <v>515.22499400000004</v>
      </c>
      <c r="U241" s="3">
        <f>371.6+(293-38.8)+(-0.568548+(-0.44829--0.059364))+0-117.6--0.179928000000007</f>
        <v>507.4224539999999</v>
      </c>
      <c r="V241" s="3">
        <f>380.1+(316.1-51.6)+(0+(0-0))+0-127.1-0</f>
        <v>517.5</v>
      </c>
      <c r="W241" s="3">
        <f>376.3+(412.4-74.8)+(-0.575739+(-0.630972--0.114444))+0-117.1--0.179163000000007</f>
        <v>595.88689599999998</v>
      </c>
      <c r="X241" s="3">
        <f>378.7+(444.6-62.7)+(-0.386274+(-0.453492--0.063954))+0-147.5--0.150450000000024</f>
        <v>612.47463800000003</v>
      </c>
      <c r="Y241" s="3">
        <f>383.1+(496.5-87.8)+(0+(0-0))+0-142.5-0</f>
        <v>649.29999999999995</v>
      </c>
      <c r="Z241" s="3">
        <f>249.1+(619.3-3.2)+(0+(0-0))+0-131.2-0</f>
        <v>734</v>
      </c>
      <c r="AA241" s="3">
        <f>241+(630.1-13.2)+(-0.36873+(-0.964053--0.020196))+0-151--0.231030000000009</f>
        <v>705.818443</v>
      </c>
      <c r="AB241" s="3">
        <f>286.9+(567.2-11.5)+(0+(0-0))+0-130.2-0</f>
        <v>712.40000000000009</v>
      </c>
      <c r="AC241" s="3">
        <f>280.3+(559.2-27.9)+(-0.571812+(-1.140768--0.056916))+0-141.8--0.289271999999994</f>
        <v>668.43360800000005</v>
      </c>
      <c r="AD241" s="2">
        <v>587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282.6+(499.8-53.1)+(-0.144126+(-0.254898--0.027081))+0-133.6--0.0681359999999864</f>
        <v>595.39619299999993</v>
      </c>
      <c r="G242" s="3">
        <f>282.2+(510.7-72.7)+(-0.287844+(-0.520914--0.074154))+0-129.4--0.131988000000021</f>
        <v>590.19738400000006</v>
      </c>
      <c r="H242" s="3">
        <f>309.7+(480.1-71.2)+(-0.789735+(-1.224255--0.18156))+0-143.8--0.366689999999979</f>
        <v>573.33425999999997</v>
      </c>
      <c r="I242" s="3">
        <f>335.4+(489.5-123)+(-0.342108+(-0.49929--0.12546))+0-122.5--0.12495000000002</f>
        <v>578.80901199999994</v>
      </c>
      <c r="J242" s="3">
        <f>364.9+(405.7-91.4)+(0+(0-0))+0-147.4-0</f>
        <v>531.79999999999995</v>
      </c>
      <c r="K242" s="3">
        <f>378+(415.7-110.6)+(0+(0-0))+0-131.9-0</f>
        <v>551.20000000000005</v>
      </c>
      <c r="L242" s="3">
        <f>362.5+(418.3-104.8)+(-0.924375+(-1.066665--0.26724))+0-130--0.331499999999981</f>
        <v>544.60770000000002</v>
      </c>
      <c r="M242" s="3">
        <f>365.8+(353.5-87.6)+(-0.373116+(-0.36057--0.089352))+0-132.2--0.134844000000021</f>
        <v>498.99051000000014</v>
      </c>
      <c r="N242" s="3">
        <f>369.9+(305.3-70.3)+(0.565947+(0.467109-0.107559))+0-125.5-0.192015000000007</f>
        <v>480.1334819999999</v>
      </c>
      <c r="O242" s="3">
        <f>364.5+(304.5-47.4)+(-0.37179+(-0.31059--0.048348))+0-133.2--0.135864000000021</f>
        <v>487.90183200000001</v>
      </c>
      <c r="P242" s="3">
        <f>368.6+(292.4-23.9)+(0.375972+(0.298248-0.024378))+0-133.8-0.136476000000021</f>
        <v>503.81336600000003</v>
      </c>
      <c r="Q242" s="3">
        <f>359.1+(312.2-44.1)+(-0.915705+(-0.79611--0.112455))+0-133.1--0.339404999999981</f>
        <v>492.84004499999998</v>
      </c>
      <c r="R242" s="3">
        <f>357.1+(306.5-38.8)+(-1.274847+(-1.094205--0.138516))+0-133.4--0.476238000000002</f>
        <v>489.64570199999997</v>
      </c>
      <c r="S242" s="3">
        <f>343.8+(285.3-14.8)+(-0.526014+(-0.436509--0.022644))+0-131.7--0.201501000000008</f>
        <v>481.86162199999995</v>
      </c>
      <c r="T242" s="3">
        <f>317.9+(274.4-4)+(-0.486387+(-0.419832--0.00612))+0-128.7--0.196911000000007</f>
        <v>458.89681200000001</v>
      </c>
      <c r="U242" s="3">
        <f>321.8+(283.6-0)+(0+(0-0))+0-131.2-0</f>
        <v>474.2000000000001</v>
      </c>
      <c r="V242" s="3">
        <f>323.5+(299.5-0)+(-0.32997+(-0.30549-0))+0-132.8--0.135456000000021</f>
        <v>489.69999600000006</v>
      </c>
      <c r="W242" s="3">
        <f>345.8+(372.1-21.9)+(0+(0-0))+0-151.1-0</f>
        <v>544.9</v>
      </c>
      <c r="X242" s="3">
        <f>358.3+(380.2-48.7)+(-0.730932+(-0.775608--0.099348))+0-139.7--0.284987999999994</f>
        <v>548.97779600000001</v>
      </c>
      <c r="Y242" s="3">
        <f>375.8+(379.2-65.4)+(0+(0-0))+0-140.3-0</f>
        <v>549.29999999999995</v>
      </c>
      <c r="Z242" s="3">
        <f>383.2+(430.2-102.9)+(-0.586296+(-0.658206--0.157437))+0-143.4--0.219402000000008</f>
        <v>566.23233700000003</v>
      </c>
      <c r="AA242" s="3">
        <f>387.6+(488.1-135.9)+(0+(0-0))+0-130.3-0</f>
        <v>609.5</v>
      </c>
      <c r="AB242" s="3">
        <f>384.1+(552.2-142)+(-0.587673+(-0.844866--0.21726))+0-125.4--0.191862000000007</f>
        <v>667.8765830000001</v>
      </c>
      <c r="AC242" s="3">
        <f>383.8+(574.2-172.2)+(-0.782952+(-1.171368--0.351288))+0-112.5--0.229499999999995</f>
        <v>671.92646800000011</v>
      </c>
      <c r="AD242" s="2">
        <v>514.90000000000009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388.7+(561.2-213.1)+(-0.198237+(-0.286212--0.108681))+0-125--0.0637499999999873</f>
        <v>611.48798199999999</v>
      </c>
      <c r="G243" s="3">
        <f>382.9+(441-174.7)+(-0.390558+(-0.44982--0.178194))+0-130.8--0.133416000000021</f>
        <v>517.87123200000008</v>
      </c>
      <c r="H243" s="3">
        <f>376.8+(452.8-183.2)+(-1.153008+(-1.385568--0.560592))+0-142.1--0.434826000000016</f>
        <v>502.75684200000012</v>
      </c>
      <c r="I243" s="3">
        <f>387.8+(460.7-177.3)+(0.395556+(0.469914-0.180846))+0-131.3-0.133926000000021</f>
        <v>540.4506980000001</v>
      </c>
      <c r="J243" s="3">
        <f>382.4+(451-150.5)+(-0.390048+(-0.46002--0.15351))+0-140.6--0.143412000000022</f>
        <v>541.74685399999998</v>
      </c>
      <c r="K243" s="3">
        <f>383.1+(450.7-184.7)+(-0.390762+(-0.459714--0.188394))+0-135.1--0.137802000000022</f>
        <v>513.47571999999991</v>
      </c>
      <c r="L243" s="3">
        <f>376.1+(520.9-239.4)+(-0.959055+(-1.328295--0.61047))+0-137.2--0.34985999999998</f>
        <v>519.07298000000014</v>
      </c>
      <c r="M243" s="3">
        <f>380.4+(447.4-111.6)+(-0.388008+(-0.456348--0.113832))+0-134.3--0.136986000000021</f>
        <v>581.30646200000001</v>
      </c>
      <c r="N243" s="3">
        <f>381.1+(436.7-68.5)+(-0.583083+(-0.668151--0.104805))+0-135.3--0.207009000000008</f>
        <v>613.06057999999985</v>
      </c>
      <c r="O243" s="3">
        <f>378.7+(480.3-97.8)+(-0.772548+(-0.979812--0.199512))+0-131.9--0.269075999999994</f>
        <v>628.01622800000007</v>
      </c>
      <c r="P243" s="3">
        <f>381.1+(535.1-105.4)+(-0.194361+(-0.272901--0.053754))+0-135.9--0.0693089999999862</f>
        <v>674.55580100000009</v>
      </c>
      <c r="Q243" s="3">
        <f>379+(544-109.2)+(-0.19329+(-0.27744--0.055692))+0-135.1--0.0689009999999863</f>
        <v>678.35386299999993</v>
      </c>
      <c r="R243" s="3">
        <f>372+(531.9-70)+(-0.9486+(-1.356345--0.1785))+0-129.7--0.330734999999981</f>
        <v>702.40428999999995</v>
      </c>
      <c r="S243" s="3">
        <f>380.9+(502.4-52.4)+(0+(0-0))+0-132.9-0</f>
        <v>698</v>
      </c>
      <c r="T243" s="3">
        <f>382.8+(482-50.5)+(0+(0-0))+0-133.1-0</f>
        <v>681.19999999999993</v>
      </c>
      <c r="U243" s="3">
        <f>388.7+(497.7-42.9)+(-0.198237+(-0.253827--0.021879))+0-136.9--0.0698189999999861</f>
        <v>706.23963399999991</v>
      </c>
      <c r="V243" s="3">
        <f>390.3+(523.1-46.9)+(0+(0-0))+0-109.1-0</f>
        <v>757.4</v>
      </c>
      <c r="W243" s="3">
        <f>395.8+(451.5-43.4)+(0.403716+(0.46053-0.044268))+0-86.5-0.0882300000000138</f>
        <v>718.13174800000002</v>
      </c>
      <c r="X243" s="3">
        <f>391.6+(484.6-45.7)+(-0.99858+(-1.23573--0.116535))+0-90.8--0.231539999999987</f>
        <v>737.81376499999999</v>
      </c>
      <c r="Y243" s="3">
        <f>396.8+(492.9-102.4)+(-0.404736+(-0.502758--0.104448))+0-83.6--0.0852720000000133</f>
        <v>702.98222599999997</v>
      </c>
      <c r="Z243" s="3">
        <f>382.2+(501.2-117.3)+(-0.584766+(-0.766836--0.179469))+0-82.3--0.125919000000005</f>
        <v>682.75378599999988</v>
      </c>
      <c r="AA243" s="3">
        <f>371+(530.6-134.9)+(-0.94605+(-1.35303--0.343995))+0-74.5--0.189974999999989</f>
        <v>690.43489</v>
      </c>
      <c r="AB243" s="3">
        <f>380.8+(560.7-180.1)+(0.194208+(0.285957-0.091851))+0-99-0.05048999999999</f>
        <v>662.73782400000016</v>
      </c>
      <c r="AC243" s="3">
        <f>374+(565.6-205.9)+(-0.9537+(-1.44228--0.525045))+0-124.3--0.316964999999982</f>
        <v>607.84603000000004</v>
      </c>
      <c r="AD243" s="2">
        <v>641.1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387.2+(474.4-211.6)+(-0.592416+(-0.725832--0.323748))+0-125.4--0.191862000000007</f>
        <v>523.79736200000002</v>
      </c>
      <c r="G244" s="3">
        <f>330.6+(447.7-169.2)+(-0.84303+(-1.141635--0.43146))+0-131.4--0.335069999999981</f>
        <v>476.48186499999997</v>
      </c>
      <c r="H244" s="3">
        <f>304.8+(395.6-118.7)+(0.310896+(0.403512-0.121074))+0-113.6-0.115872000000018</f>
        <v>468.57746200000003</v>
      </c>
      <c r="I244" s="3">
        <f>342.8+(385.4-172.2)+(0+(0-0))+0-127.6-0</f>
        <v>428.4</v>
      </c>
      <c r="J244" s="3">
        <f>359.2+(393.3-172.9)+(0.183192+(0.200583-0.088179))+0-130.1-0.0663509999999868</f>
        <v>449.72924500000005</v>
      </c>
      <c r="K244" s="3">
        <f>358.8+(355.2-139.8)+(-0.548964+(-0.543456--0.213894))+0-132.6--0.202878000000008</f>
        <v>440.92435200000006</v>
      </c>
      <c r="L244" s="3">
        <f>359.5+(377.7-140.5)+(-0.183345+(-0.192627--0.071655))+0-125.7--0.0641069999999872</f>
        <v>470.75979000000007</v>
      </c>
      <c r="M244" s="3">
        <f>359.4+(393.4-80.3)+(-0.549882+(-0.601902--0.122859))+0-123.4--0.188802000000007</f>
        <v>548.25987700000007</v>
      </c>
      <c r="N244" s="3">
        <f>371.3+(400.2-48.3)+(-0.378726+(-0.408204--0.049266))+0-121.7--0.124134000000019</f>
        <v>600.88647000000003</v>
      </c>
      <c r="O244" s="3">
        <f>490.8+(389.9-172.7)+(-0.500616+(-0.397698--0.176154))+0-127.7--0.13025400000002</f>
        <v>579.70809399999996</v>
      </c>
      <c r="P244" s="3">
        <f>467.3+(398.4-130.3)+(-1.191615+(-1.01592--0.332265))+0-131.2--0.334559999999981</f>
        <v>602.65929000000006</v>
      </c>
      <c r="Q244" s="3">
        <f>454.8+(399.9-116.8)+(-1.15974+(-1.019745--0.29784))+0-122.2--0.311609999999982</f>
        <v>614.12996499999986</v>
      </c>
      <c r="R244" s="3">
        <f>454.7+(396.7-138.3)+(-0.695691+(-0.606951--0.211599))+0-137.4--0.210222000000008</f>
        <v>574.81917899999996</v>
      </c>
      <c r="S244" s="3">
        <f>455.1+(394.5-148.8)+(-0.464202+(-0.40239--0.151776))+0-125.4--0.12790800000002</f>
        <v>574.81309199999998</v>
      </c>
      <c r="T244" s="3">
        <f>453.2+(380.7-144.3)+(0.231132+(0.194157-0.073593))+0-131.3-0.0669629999999867</f>
        <v>558.58473299999991</v>
      </c>
      <c r="U244" s="3">
        <f>453.2+(395.3-180.1)+(0.462264+(0.403206-0.183702))+0-119.6-0.121992000000019</f>
        <v>549.35977600000001</v>
      </c>
      <c r="V244" s="3">
        <f>455.5+(448.9-209.3)+(0+(0-0))+0-133.7-0</f>
        <v>561.39999999999986</v>
      </c>
      <c r="W244" s="3">
        <f>465.1+(496.2-189.4)+(-0.237201+(-0.253062--0.096594))+0-136.4--0.0695639999999862</f>
        <v>635.17589499999997</v>
      </c>
      <c r="X244" s="3">
        <f>507.3+(485.1-212.4)+(-0.258723+(-0.247401--0.108324))+0-143.6--0.0732359999999854</f>
        <v>636.07543599999997</v>
      </c>
      <c r="Y244" s="3">
        <f>508.4+(493.7-250.1)+(-0.259284+(-0.251787--0.127551))+0-138.3--0.070532999999986</f>
        <v>613.38701299999991</v>
      </c>
      <c r="Z244" s="3">
        <f>509+(473.8-267)+(-0.51918+(-0.483276--0.27234))+0-135.1--0.137802000000022</f>
        <v>580.10768600000006</v>
      </c>
      <c r="AA244" s="3">
        <f>514.6+(501.7-297.3)+(-0.262446+(-0.255867--0.151623))+0-145.1--0.0740009999999853</f>
        <v>573.60731099999998</v>
      </c>
      <c r="AB244" s="3">
        <f>520.5+(511.3-338.7)+(-1.327275+(-1.303815--0.863685))+0-128.3--0.327164999999981</f>
        <v>563.35975999999994</v>
      </c>
      <c r="AC244" s="3">
        <f>469.9+(572.8-355.7)+(-0.718947+(-0.876384--0.544221))+0-143.7--0.219861000000008</f>
        <v>542.46875100000011</v>
      </c>
      <c r="AD244" s="2">
        <v>643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467.7+(497.9-297.6)+(-0.477054+(-0.507858--0.303552))+0-130--0.132600000000021</f>
        <v>537.45123999999998</v>
      </c>
      <c r="G245" s="3">
        <f>457.8+(462.8-276.2)+(-1.16739+(-1.18014--0.70431))+0-128.3--0.327164999999981</f>
        <v>514.78394500000002</v>
      </c>
      <c r="H245" s="3">
        <f>424.5+(457.8-238.6)+(0.216495+(0.233478-0.121686))+0-138.9-0.0708389999999859</f>
        <v>505.05744800000014</v>
      </c>
      <c r="I245" s="3">
        <f>423.3+(444.3-241.5)+(-1.079415+(-1.132965--0.615825))+0-125.9--0.321044999999982</f>
        <v>498.92449000000005</v>
      </c>
      <c r="J245" s="3">
        <f>421.1+(460.2-238.2)+(-0.214761+(-0.234702--0.121482))+0-137.2--0.0699719999999861</f>
        <v>505.64199100000002</v>
      </c>
      <c r="K245" s="3">
        <f>422+(463.4-263.9)+(-0.21522+(-0.236334--0.134589))+0-126--0.0642599999999872</f>
        <v>495.24729500000001</v>
      </c>
      <c r="L245" s="3">
        <f>422+(501.6-288)+(0.43044+(0.511632-0.29376))+0-123-0.12546000000002</f>
        <v>513.12285200000008</v>
      </c>
      <c r="M245" s="3">
        <f>422.6+(410.3-166.2)+(0.215526+(0.209253-0.084762))+0-135.9-0.0693089999999862</f>
        <v>531.07070800000008</v>
      </c>
      <c r="N245" s="3">
        <f>417.8+(435.9-176.9)+(0+(0-0))+0-121.9-0</f>
        <v>554.9</v>
      </c>
      <c r="O245" s="3">
        <f>423.6+(469.6-197.6)+(-0.864144+(-0.957984--0.403104))+0-138.7--0.282947999999994</f>
        <v>555.76392400000009</v>
      </c>
      <c r="P245" s="3">
        <f>422.3+(455.6-197)+(-0.861492+(-0.929424--0.40188))+0-112.9--0.230315999999995</f>
        <v>566.8412800000001</v>
      </c>
      <c r="Q245" s="3">
        <f>421.9+(436.4-160.7)+(-0.215169+(-0.222564--0.081957))+0-141.5--0.0721649999999856</f>
        <v>555.81638899999996</v>
      </c>
      <c r="R245" s="3">
        <f>419.6+(427.9-137)+(-0.855984+(-0.872916--0.27948))+0-128.1--0.261323999999994</f>
        <v>581.21190399999989</v>
      </c>
      <c r="S245" s="3">
        <f>416.2+(410.3-119.9)+(-0.212262+(-0.209253--0.061149))+0-136--0.0693599999999862</f>
        <v>570.30899399999987</v>
      </c>
      <c r="T245" s="3">
        <f>417.5+(365.2-93.9)+(-0.638775+(-0.558756--0.143667))+0-141.1--0.215883000000008</f>
        <v>546.86201899999992</v>
      </c>
      <c r="U245" s="3">
        <f>417.1+(366.5-97.8)+(-0.212721+(-0.186915--0.049878))+0-133.5--0.0680849999999865</f>
        <v>552.018327</v>
      </c>
      <c r="V245" s="3">
        <f>411.1+(408.7-126.7)+(0.628983+(0.625311-0.193851))+0-122.7-0.187731000000007</f>
        <v>571.27271199999996</v>
      </c>
      <c r="W245" s="3">
        <f>394.2+(469.4-79.6)+(-1.00521+(-1.19697--0.20298))+0-142.6--0.363629999999979</f>
        <v>639.76442999999995</v>
      </c>
      <c r="X245" s="3">
        <f>391.2+(441.7-67.9)+(-0.798048+(-0.901068--0.138516))+0-133.6--0.272543999999994</f>
        <v>630.11194399999999</v>
      </c>
      <c r="Y245" s="3">
        <f>389.6+(566.3-0)+(-0.99348+(-1.444065-0))+0-136.4--0.34781999999998</f>
        <v>817.41027499999996</v>
      </c>
      <c r="Z245" s="3">
        <f>389.8+(529.4-0)+(-0.795192+(-1.079976-0))+0-144.4--0.294575999999994</f>
        <v>773.21940800000004</v>
      </c>
      <c r="AA245" s="3">
        <f>395.4+(483.2-52.7)+(-0.201654+(-0.246432--0.026877))+0-137.7--0.070226999999986</f>
        <v>687.84901799999989</v>
      </c>
      <c r="AB245" s="3">
        <f>393.8+(499.8-72)+(-0.602514+(-0.764694--0.11016))+0-147.1--0.225063000000008</f>
        <v>673.46801499999992</v>
      </c>
      <c r="AC245" s="3">
        <f>392.8+(530.3-161.6)+(-0.801312+(-1.081812--0.329664))+0-141--0.287639999999994</f>
        <v>619.23418000000004</v>
      </c>
      <c r="AD245" s="2">
        <v>654.20000000000005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345.1+(511.8-209.5)+(0.352002+(0.522036-0.21369))+0-143.8-0.146676000000023</f>
        <v>504.11367200000007</v>
      </c>
      <c r="G246" s="3">
        <f>309.9+(468.2-166)+(-0.316098+(-0.477564--0.16932))+0-135.6--0.138312000000022</f>
        <v>476.01396999999997</v>
      </c>
      <c r="H246" s="3">
        <f>341.4+(429.1-157.6)+(-0.348228+(-0.437682--0.160752))+0-141.8--0.144636000000023</f>
        <v>470.61947799999996</v>
      </c>
      <c r="I246" s="3">
        <f>340.8+(381.3-134.7)+(0.347616+(0.388926-0.137394))+0-141.3-0.144126000000023</f>
        <v>446.55502200000006</v>
      </c>
      <c r="J246" s="3">
        <f>337.6+(373.6-86.8)+(-0.172176+(-0.190536--0.044268))+0-133.3--0.0679829999999865</f>
        <v>490.84953900000005</v>
      </c>
      <c r="K246" s="3">
        <f>342.4+(244.2-31.3)+(0.87312+(0.62271-0.079815))+0-135.6-0.34577999999998</f>
        <v>420.77023499999996</v>
      </c>
      <c r="L246" s="3">
        <f>340.2+(171.6-38.5)+(0+(0-0))+0-137.5-0</f>
        <v>335.79999999999995</v>
      </c>
      <c r="M246" s="3">
        <f>340.7+(193.9-29.5)+(0.347514+(0.197778-0.03009))+0-141.6-0.144432000000023</f>
        <v>363.87077000000005</v>
      </c>
      <c r="N246" s="3">
        <f>342.8+(215.3-98.3)+(0.524484+(0.329409-0.150399))+0-132-0.201960000000008</f>
        <v>328.301534</v>
      </c>
      <c r="O246" s="3">
        <f>340.5+(211-41.9)+(-0.173655+(-0.10761--0.021369))+0-142.5--0.0726749999999855</f>
        <v>366.912779</v>
      </c>
      <c r="P246" s="3">
        <f>357.2+(223-0)+(0+(0-0))+0-142.5-0</f>
        <v>437.70000000000005</v>
      </c>
      <c r="Q246" s="3">
        <f>384.4+(288.2-20.8)+(-0.196044+(-0.146982--0.010608))+0-141.1--0.0719609999999857</f>
        <v>510.43954299999996</v>
      </c>
      <c r="R246" s="3">
        <f>389.4+(315.9-0)+(-1.390158+(-1.127763-0))+0-143--0.510510000000002</f>
        <v>560.29258899999991</v>
      </c>
      <c r="S246" s="3">
        <f>394.3+(243.2-10.2)+(0.201093+(0.124032-0.005202))+0-140.6-0.0717059999999857</f>
        <v>486.94821699999994</v>
      </c>
      <c r="T246" s="3">
        <f>392.7+(264.2-49.4)+(-0.600831+(-0.404226--0.075582))+0-139.4--0.213282000000008</f>
        <v>467.38380699999999</v>
      </c>
      <c r="U246" s="3">
        <f>395+(327.9-144.3)+(0.20145+(0.167229-0.073593))+0-128.2-0.065381999999987</f>
        <v>450.62970399999989</v>
      </c>
      <c r="V246" s="3">
        <f>390.9+(388.6-100.1)+(-0.598077+(-0.594558--0.153153))+0-135.4--0.207162000000008</f>
        <v>543.16768000000002</v>
      </c>
      <c r="W246" s="3">
        <f>391.3+(287.8-34.6)+(-0.798252+(-0.587112--0.070584))+0-126--0.257039999999995</f>
        <v>517.44225999999992</v>
      </c>
      <c r="X246" s="3">
        <f>395.9+(302.4-10.9)+(-0.807636+(-0.616896--0.022236))+0-142.4--0.290495999999994</f>
        <v>543.88819999999998</v>
      </c>
      <c r="Y246" s="3">
        <f>396.8+(291-31)+(-1.01184+(-0.74205--0.07905))+0-133.3--0.339914999999981</f>
        <v>522.16507499999989</v>
      </c>
      <c r="Z246" s="3">
        <f>396.8+(280.9-71.7)+(-0.607104+(-0.429777--0.109701))+0-135.5--0.207315000000008</f>
        <v>469.78013499999997</v>
      </c>
      <c r="AA246" s="3">
        <f>397+(312.2-97.6)+(-0.40494+(-0.318444--0.099552))+0-131--0.133620000000021</f>
        <v>480.10978800000004</v>
      </c>
      <c r="AB246" s="3">
        <f>394.1+(287-125.4)+(-0.602973+(-0.43911--0.191862))+0-130.7--0.199971000000008</f>
        <v>424.34975000000003</v>
      </c>
      <c r="AC246" s="3">
        <f>389.4+(246-179)+(0+(0-0))+0-116.5-0</f>
        <v>339.9</v>
      </c>
      <c r="AD246" s="2">
        <v>610.70000000000005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308.9+(306.8-145)+(-0.787695+(-0.78234--0.36975))+0-128.5--0.327674999999981</f>
        <v>341.32738999999998</v>
      </c>
      <c r="G247" s="3">
        <f>334.9+(205.7-128.1)+(0.170799+(0.104907-0.065331))+0-133-0.0678299999999865</f>
        <v>279.64254500000004</v>
      </c>
      <c r="H247" s="3">
        <f>333.2+(179-149)+(-0.339864+(-0.18258--0.15198))+0-124.9--0.12739800000002</f>
        <v>238.05693399999998</v>
      </c>
      <c r="I247" s="3">
        <f>334.3+(124.4-113.7)+(0.170493+(0.063444-0.057987))+0-119.5-0.0609449999999879</f>
        <v>225.61500500000002</v>
      </c>
      <c r="J247" s="3">
        <f>336.3+(111.9-130.4)+(0.857565+(0.285345-0.33252))+0-116.1-0.296054999999983</f>
        <v>202.21433500000001</v>
      </c>
      <c r="K247" s="3">
        <f>334.7+(129.4-100)+(0.341394+(0.131988-0.102))+0-112.8-0.115056000000018</f>
        <v>251.55632599999998</v>
      </c>
      <c r="L247" s="3">
        <f>335.1+(121.8-104)+(0.512703+(0.186354-0.15912))+0-111.4-0.170442000000006</f>
        <v>241.86949500000003</v>
      </c>
      <c r="M247" s="3">
        <f>336.2+(125.6-135.1)+(0.685848+(0.256224-0.275604))+0-107.2-0.218687999999995</f>
        <v>219.94778000000002</v>
      </c>
      <c r="N247" s="3">
        <f>363+(135.4-176)+(-0.18513+(-0.069054--0.08976))+0-93.7--0.0477869999999905</f>
        <v>228.58336299999999</v>
      </c>
      <c r="O247" s="3">
        <f>377.4+(128.1-184.2)+(-0.384948+(-0.130662--0.187884))+0-93.7--0.0955740000000149</f>
        <v>227.36784800000001</v>
      </c>
      <c r="P247" s="3">
        <f>371.5+(120.4-167)+(-0.568395+(-0.184212--0.25551))+0-95.2--0.145656000000006</f>
        <v>229.34855899999999</v>
      </c>
      <c r="Q247" s="3">
        <f>367+(135.1-121.8)+(-0.93585+(-0.344505--0.31059))+0-90.6--0.231029999999987</f>
        <v>288.96126499999997</v>
      </c>
      <c r="R247" s="3">
        <f>370.6+(142.1-87.6)+(-0.189006+(-0.072471--0.044676))+0-84--0.0428399999999915</f>
        <v>340.92603900000006</v>
      </c>
      <c r="S247" s="3">
        <f>330.3+(208.8-53)+(-0.842265+(-0.53244--0.13515))+0-104.9--0.267494999999985</f>
        <v>380.22794000000005</v>
      </c>
      <c r="T247" s="3">
        <f>322.1+(176.8-70.2)+(0+(0-0))+0-97.8-0</f>
        <v>330.90000000000003</v>
      </c>
      <c r="U247" s="3">
        <f>318.8+(261.2-75.6)+(-0.81294+(-0.66606--0.19278))+0-107.7--0.274634999999984</f>
        <v>395.68841499999996</v>
      </c>
      <c r="V247" s="3">
        <f>312.9+(281.1-39.7)+(-0.159579+(-0.143361--0.020247))+0-98--0.0499799999999901</f>
        <v>456.06728699999996</v>
      </c>
      <c r="W247" s="3">
        <f>316.5+(259.8-0)+(0.161415+(0.132498-0))+0-113.1-0.0576809999999885</f>
        <v>463.4362319999999</v>
      </c>
      <c r="X247" s="3">
        <f>315.8+(229.4-15.1)+(-0.161058+(-0.116994--0.007701))+0-127.6--0.065075999999987</f>
        <v>402.29472499999997</v>
      </c>
      <c r="Y247" s="3">
        <f>314.4+(201.2-24.1)+(-0.641376+(-0.410448--0.049164))+0-125.7--0.256427999999994</f>
        <v>365.05376799999999</v>
      </c>
      <c r="Z247" s="3">
        <f>290.7+(206.9-17.3)+(-0.296514+(-0.211038--0.017646))+0-104.9--0.106998000000017</f>
        <v>375.01709199999999</v>
      </c>
      <c r="AA247" s="3">
        <f>86.1+(362.7-0)+(-0.087822+(-0.369954-0))+0-98.2--0.100164000000016</f>
        <v>350.24238799999995</v>
      </c>
      <c r="AB247" s="3">
        <f>98.9+(364.8-0)+(-0.050439+(-0.186048-0))+0-94.1--0.0479909999999905</f>
        <v>369.41150399999998</v>
      </c>
      <c r="AC247" s="3">
        <f>95.1+(377.9-0)+(-0.194004+(-0.770916-0))+0-94--0.191759999999996</f>
        <v>378.22683999999998</v>
      </c>
      <c r="AD247" s="2">
        <v>647.40000000000009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100+(389.4-13)+(0+(0-0))+0-93.7-0</f>
        <v>382.7</v>
      </c>
      <c r="G248" s="3">
        <f>179.4+(445.2-21.8)+(-0.274482+(-0.681156--0.033354))+0-97.5--0.149175000000006</f>
        <v>504.52689099999998</v>
      </c>
      <c r="H248" s="3">
        <f>192.4+(436.8-47.5)+(0.098124+(0.222768-0.024225))+0-102.2-0.0521219999999896</f>
        <v>479.74454500000002</v>
      </c>
      <c r="I248" s="3">
        <f>189.7+(427.3-24.4)+(-0.096747+(-0.217923--0.012444))+0-111.1--0.0566609999999887</f>
        <v>481.25443499999994</v>
      </c>
      <c r="J248" s="3">
        <f>195.3+(318-41.3)+(0.398412+(0.64872-0.084252))+0-118.3-0.241331999999995</f>
        <v>354.42154799999997</v>
      </c>
      <c r="K248" s="3">
        <f>193+(314.8-41.2)+(0.09843+(0.160548-0.021012))+0-120.2-0.0613019999999878</f>
        <v>346.57666399999999</v>
      </c>
      <c r="L248" s="3">
        <f>186.1+(298.9-79.6)+(-0.474555+(-0.762195--0.20298))+0-117.6--0.299879999999983</f>
        <v>287.06610999999992</v>
      </c>
      <c r="M248" s="3">
        <f>191.6+(275.6-23.9)+(0.097716+(0.140556-0.012189))+0-137.1-0.0699209999999861</f>
        <v>306.3561620000001</v>
      </c>
      <c r="N248" s="3">
        <f>292.8+(203.1-42.5)+(0.298656+(0.207162-0.04335))+0-117.4-0.119748000000019</f>
        <v>336.34271999999993</v>
      </c>
      <c r="O248" s="3">
        <f>400.1+(153.7-129)+(-0.408102+(-0.156774--0.13158))+0-133.8--0.136476000000021</f>
        <v>290.70318000000003</v>
      </c>
      <c r="P248" s="3">
        <f>454.7+(182.5-167.3)+(-0.463794+(-0.18615--0.170646))+0-124.9--0.12739800000002</f>
        <v>344.64810000000006</v>
      </c>
      <c r="Q248" s="3">
        <f>434.1+(189.6-144.8)+(-0.221391+(-0.096696--0.073848))+0-94.5--0.0481949999999904</f>
        <v>384.20395599999995</v>
      </c>
      <c r="R248" s="3">
        <f>373+(239.4-70.4)+(-1.33161+(-0.854658--0.251328))+0-125.7--0.448749000000002</f>
        <v>414.81380900000005</v>
      </c>
      <c r="S248" s="3">
        <f>316.7+(243.2-52.4)+(-0.484551+(-0.372096--0.080172))+0-104.8--0.160344000000006</f>
        <v>402.08386899999999</v>
      </c>
      <c r="T248" s="3">
        <f>343.7+(242.1-75.8)+(-0.701148+(-0.493884--0.154632))+0-121.8--0.248471999999995</f>
        <v>387.408072</v>
      </c>
      <c r="U248" s="3">
        <f>344.5+(336.2-122)+(0+(0-0))+0-126.2-0</f>
        <v>432.50000000000006</v>
      </c>
      <c r="V248" s="3">
        <f>290.3+(356.4-88.5)+(0+(0-0))+0-128.7-0</f>
        <v>429.50000000000006</v>
      </c>
      <c r="W248" s="3">
        <f>411.4+(302.7-42.5)+(0.209814+(0.154377-0.021675))+0-145.3-0.0741029999999853</f>
        <v>526.56841299999985</v>
      </c>
      <c r="X248" s="3">
        <f>477.1+(286.8-116.2)+(-0.729963+(-0.438804--0.177786))+0-144.2--0.220626000000008</f>
        <v>502.729645</v>
      </c>
      <c r="Y248" s="3">
        <f>418.2+(320.4-107.9)+(-1.279692+(-0.980424--0.330174))+0-149.3--0.456858000000017</f>
        <v>479.92691599999995</v>
      </c>
      <c r="Z248" s="3">
        <f>387.4+(369.4-153.2)+(-0.592722+(-0.565182--0.234396))+0-143.9--0.220167000000008</f>
        <v>458.99665899999997</v>
      </c>
      <c r="AA248" s="3">
        <f>346.7+(337.3-164.8)+(-0.353634+(-0.344046--0.168096))+0-138.5--0.141270000000022</f>
        <v>380.31168600000007</v>
      </c>
      <c r="AB248" s="3">
        <f>408.5+(321.1-175.7)+(-0.208335+(-0.163761--0.089607))+0-141.2--0.0720119999999857</f>
        <v>412.48952300000002</v>
      </c>
      <c r="AC248" s="3">
        <f>431.3+(379.5-246.1)+(-0.659889+(-0.580635--0.376533))+0-124--0.189720000000007</f>
        <v>440.02572900000001</v>
      </c>
      <c r="AD248" s="2">
        <v>569.79999999999995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419.9+(364.2-248.7)+(-1.070745+(-0.92871--0.634185))+0-138.5--0.35317499999998</f>
        <v>395.88790499999993</v>
      </c>
      <c r="G249" s="3">
        <f>395.2+(392.9-257)+(-0.403104+(-0.400758--0.26214))+0-142.8--0.145656000000023</f>
        <v>387.90393399999988</v>
      </c>
      <c r="H249" s="3">
        <f>444+(380.5-303.9)+(0.22644+(0.194055-0.154989))+0-130.3-0.0664529999999868</f>
        <v>390.499053</v>
      </c>
      <c r="I249" s="3">
        <f>489.8+(375.8-300.2)+(-0.749394+(-0.574974--0.459306))+0-139.9--0.214047000000008</f>
        <v>424.84898500000014</v>
      </c>
      <c r="J249" s="3">
        <f>490.2+(345.1-294.5)+(-0.250002+(-0.176001--0.150195))+0-134.7--0.0686969999999863</f>
        <v>405.89288899999997</v>
      </c>
      <c r="K249" s="3">
        <f>511.1+(268.8-300.7)+(-0.260661+(-0.137088--0.153357))+0-103.6--0.0528359999999895</f>
        <v>375.40844400000009</v>
      </c>
      <c r="L249" s="3">
        <f>509.4+(239.7-325.3)+(-1.039176+(-0.488988--0.663612))+0-110.8--0.226031999999995</f>
        <v>312.36147999999991</v>
      </c>
      <c r="M249" s="3">
        <f>511.2+(222.8-316.1)+(-0.260712+(-0.113628--0.161211))+0-84.6--0.0431459999999914</f>
        <v>333.13001699999995</v>
      </c>
      <c r="N249" s="3">
        <f>513.7+(168.6-351.5)+(0.785961+(0.257958-0.537795))+0-61.6-0.0942480000000036</f>
        <v>269.61187600000005</v>
      </c>
      <c r="O249" s="3">
        <f>432.5+(149.5-238.3)+(-0.220575+(-0.076245--0.121533))+0-66.8--0.0340679999999932</f>
        <v>276.75878099999994</v>
      </c>
      <c r="P249" s="3">
        <f>433.7+(148.8-236.4)+(0.221187+(0.075888-0.120564))+0-68.4-0.0348839999999931</f>
        <v>277.84162700000007</v>
      </c>
      <c r="Q249" s="3">
        <f>467.1+(127.3-210.2)+(-1.429326+(-0.389538--0.643212))+0-84.1--0.25734600000001</f>
        <v>299.18169399999999</v>
      </c>
      <c r="R249" s="3">
        <f>469.3+(146.8-235)+(-0.239343+(-0.074868--0.11985))+0-79.1--0.040340999999992</f>
        <v>301.84598000000005</v>
      </c>
      <c r="S249" s="3">
        <f>465.3+(159-282.7)+(-1.186515+(-0.40545--0.720885))+0-109.7--0.279734999999984</f>
        <v>231.30865500000002</v>
      </c>
      <c r="T249" s="3">
        <f>447.4+(202.1-287.5)+(0.228174+(0.103071-0.146625))+0-122.6-0.0625259999999876</f>
        <v>239.52209400000001</v>
      </c>
      <c r="U249" s="3">
        <f>397.8+(179.2-213.6)+(-0.405756+(-0.182784--0.217872))+0-117.8--0.120156000000019</f>
        <v>245.34948799999995</v>
      </c>
      <c r="V249" s="3">
        <f>382.4+(257.9-139.3)+(0.195024+(0.131529-0.071043))+0-111.7-0.0569669999999887</f>
        <v>389.49854299999998</v>
      </c>
      <c r="W249" s="3">
        <f>506.2+(269.9-195.3)+(-0.516324+(-0.275298--0.199206))+0-123.4--0.12586800000002</f>
        <v>456.93345200000005</v>
      </c>
      <c r="X249" s="3">
        <f>538.3+(244.9-224.1)+(-0.549066+(-0.249798--0.228582))+0-132.3--0.134946000000021</f>
        <v>426.36466399999989</v>
      </c>
      <c r="Y249" s="3">
        <f>569.3+(282.5-300.5)+(-0.871029+(-0.432225--0.459765))+0-139--0.212670000000008</f>
        <v>411.66918099999998</v>
      </c>
      <c r="Z249" s="3">
        <f>562.1+(267.6-293.5)+(-0.286671+(-0.136476--0.149685))+0-143.1--0.0729809999999855</f>
        <v>392.899519</v>
      </c>
      <c r="AA249" s="3">
        <f>567.7+(72.6-203.5)+(0+(0-0))+0-132.4-0</f>
        <v>304.40000000000009</v>
      </c>
      <c r="AB249" s="3">
        <f>627.7+(53-265.6)+(-0.640254+(-0.05406--0.270912))+0-141.6--0.144432000000023</f>
        <v>273.22102999999998</v>
      </c>
      <c r="AC249" s="3">
        <f>671.6+(51-344.3)+(-1.027548+(-0.07803--0.526779))+0-137.1--0.209763000000008</f>
        <v>240.83096400000002</v>
      </c>
      <c r="AD249" s="2">
        <v>471.8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684.8+(32-419.1)+(-1.396992+(-0.06528--0.854964))+0-127.7--0.260507999999994</f>
        <v>169.65319999999994</v>
      </c>
      <c r="G250" s="3">
        <f>683.7+(32-367)+(-2.092122+(-0.09792--1.12302))+0-135--0.413100000000016</f>
        <v>213.04607800000005</v>
      </c>
      <c r="H250" s="3">
        <f>687.8+(30-329)+(-0.350778+(-0.0153--0.16779))+0-133.3--0.0679829999999865</f>
        <v>255.36969499999995</v>
      </c>
      <c r="I250" s="3">
        <f>686.1+(30-305.9)+(-0.699822+(-0.0306--0.312018))+0-132.8--0.135456000000021</f>
        <v>277.11705200000006</v>
      </c>
      <c r="J250" s="3">
        <f>684.7+(29-302.5)+(-0.698394+(-0.02958--0.30855))+0-131.9--0.134538000000021</f>
        <v>279.01511400000004</v>
      </c>
      <c r="K250" s="3">
        <f>690.1+(29-341)+(0.351951+(0.01479-0.17391))+0-151.8-0.0774179999999846</f>
        <v>226.41541300000003</v>
      </c>
      <c r="L250" s="3">
        <f>683.3+(27-308.1)+(-1.045449+(-0.04131--0.471393))+0-137.8--0.210834000000008</f>
        <v>263.99546799999996</v>
      </c>
      <c r="M250" s="3">
        <f>668+(28-339.4)+(-0.34068+(-0.01428--0.173094))+0-133.3--0.0679829999999865</f>
        <v>223.186117</v>
      </c>
      <c r="N250" s="3">
        <f>618.5+(28-288.2)+(-0.63087+(-0.02856--0.293964))+0-126.9--0.12943800000002</f>
        <v>231.163972</v>
      </c>
      <c r="O250" s="3">
        <f>598.4+(26-279.9)+(-0.610368+(-0.02652--0.285498))+0-118.3--0.120666000000019</f>
        <v>225.96927600000004</v>
      </c>
      <c r="P250" s="3">
        <f>573.7+(49.1-248.3)+(-0.877761+(-0.075123--0.379899))+0-133.4--0.204102000000008</f>
        <v>240.73111699999998</v>
      </c>
      <c r="Q250" s="3">
        <f>521.5+(78.8-215.6)+(-0.265965+(-0.040188--0.109956))+0-125--0.0637499999999873</f>
        <v>259.56755299999998</v>
      </c>
      <c r="R250" s="3">
        <f>439.3+(135.2-163.7)+(0+(0-0))+0-110-0</f>
        <v>300.8</v>
      </c>
      <c r="S250" s="3">
        <f>434.9+(104.2-154.6)+(0.221799+(0.053142-0.078846))+0-87.8-0.0447779999999911</f>
        <v>296.85131699999999</v>
      </c>
      <c r="T250" s="3">
        <f>436.6+(104.2-133.5)+(0.222666+(0.053142-0.068085))+0-114.1-0.0581909999999884</f>
        <v>293.34953200000007</v>
      </c>
      <c r="U250" s="3">
        <f>436.3+(89.7-109.3)+(0.222513+(0.045747-0.055743))+0-89.7-0.0457469999999909</f>
        <v>327.16677000000004</v>
      </c>
      <c r="V250" s="3">
        <f>435.1+(78.3-152.6)+(0.221901+(0.039933-0.077826))+0-85.3-0.0435029999999913</f>
        <v>275.64050500000002</v>
      </c>
      <c r="W250" s="3">
        <f>515.6+(72.3-205.3)+(0+(0-0))+0-135-0</f>
        <v>247.60000000000002</v>
      </c>
      <c r="X250" s="3">
        <f>586.2+(41-255.9)+(0+(0-0))+0-122.1-0</f>
        <v>249.20000000000007</v>
      </c>
      <c r="Y250" s="3">
        <f>582.2+(39-259.6)+(-1.187688+(-0.07956--0.529584))+0-123.1--0.251123999999995</f>
        <v>238.01346000000004</v>
      </c>
      <c r="Z250" s="3">
        <f>584.9+(36-228.5)+(-0.596598+(-0.03672--0.23307))+0-136.7--0.139434000000022</f>
        <v>255.43918600000003</v>
      </c>
      <c r="AA250" s="3">
        <f>585+(38-190.3)+(-0.89505+(-0.05814--0.291159))+0-126.3--0.193239000000007</f>
        <v>305.93120799999997</v>
      </c>
      <c r="AB250" s="3">
        <f>587.3+(37-184.5)+(0.299523+(0.01887-0.094095))+0-119.9-0.0611489999999878</f>
        <v>320.06314899999995</v>
      </c>
      <c r="AC250" s="3">
        <f>577.1+(35-164.3)+(0+(0-0))+0-127.3-0</f>
        <v>320.5</v>
      </c>
      <c r="AD250" s="2">
        <v>404.70000000000005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569.1+(38.2-197.4)+(-2.031687+(-0.136374--0.704718))+0-119.2--0.425544000000002</f>
        <v>289.66220100000004</v>
      </c>
      <c r="G251" s="3">
        <f>454.8+(115.6-192.7)+(-0.463896+(-0.117912--0.196554))+0-113.2--0.115464000000018</f>
        <v>264.23021000000011</v>
      </c>
      <c r="H251" s="3">
        <f>442.4+(85.6-164.8)+(-0.676872+(-0.130968--0.252144))+0-104--0.159120000000006</f>
        <v>258.80342399999995</v>
      </c>
      <c r="I251" s="3">
        <f>429.5+(44.5-170.1)+(0.43809+(0.04539-0.173502))+0-79.2-0.0807840000000126</f>
        <v>224.92919399999997</v>
      </c>
      <c r="J251" s="3">
        <f>425.3+(45.7-156.5)+(-0.216903+(-0.023307--0.079815))+0-74.5--0.0379949999999924</f>
        <v>239.8776</v>
      </c>
      <c r="K251" s="3">
        <f>427.9+(38.6-148.4)+(0.436458+(0.039372-0.151368))+0-73.9-0.0753780000000118</f>
        <v>244.44908399999994</v>
      </c>
      <c r="L251" s="3">
        <f>417.3+(31.6-181.4)+(-1.489761+(-0.112812--0.647598))+0-72.4--0.258468000000001</f>
        <v>194.403493</v>
      </c>
      <c r="M251" s="3">
        <f>423.5+(27-146.3)+(-0.215985+(-0.01377--0.074613))+0-71.4--0.0364139999999928</f>
        <v>232.68127199999995</v>
      </c>
      <c r="N251" s="3">
        <f>430.3+(24-163.4)+(0.877812+(0.04896-0.333336))+0-71.1-0.145043999999997</f>
        <v>220.248392</v>
      </c>
      <c r="O251" s="3">
        <f>424.1+(26.7-222.9)+(-0.432582+(-0.027234--0.227358))+0-71--0.0724200000000113</f>
        <v>156.73996200000002</v>
      </c>
      <c r="P251" s="3">
        <f>424.2+(22-250.2)+(-1.514394+(-0.07854--0.893214))+0-67.6--0.241332000000001</f>
        <v>127.94161199999999</v>
      </c>
      <c r="Q251" s="3">
        <f>418.1+(23-274.8)+(0.639693+(0.03519-0.420444))+0-43.7-0.0668610000000025</f>
        <v>122.787578</v>
      </c>
      <c r="R251" s="3">
        <f>432+(45-305.3)+(0.66096+(0.06885-0.467109))+0-38.9-0.0595170000000022</f>
        <v>133.00318399999998</v>
      </c>
      <c r="S251" s="3">
        <f>419+(45-292.3)+(0.42738+(0.0459-0.298146))+0-78.8-0.0803760000000126</f>
        <v>92.99475799999999</v>
      </c>
      <c r="T251" s="3">
        <f>406.9+(44-252.6)+(-0.830076+(-0.08976--0.515304))+0-85.7--0.174827999999996</f>
        <v>112.37029599999998</v>
      </c>
      <c r="U251" s="3">
        <f>417.3+(46-202.3)+(0.638469+(0.07038-0.309519))+0-87-0.133110000000005</f>
        <v>174.26622</v>
      </c>
      <c r="V251" s="3">
        <f>423.9+(45-131.1)+(0+(0-0))+0-90.2-0</f>
        <v>247.59999999999997</v>
      </c>
      <c r="W251" s="3">
        <f>519.9+(56-135.9)+(0.265149+(0.02856-0.069309))+0-95.4-0.0486539999999903</f>
        <v>344.77574599999997</v>
      </c>
      <c r="X251" s="3">
        <f>516.5+(58-97)+(-1.05366+(-0.11832--0.19788))+0-97.9--0.199715999999996</f>
        <v>378.82561600000002</v>
      </c>
      <c r="Y251" s="3">
        <f>516.9+(57-125.7)+(-1.054476+(-0.11628--0.256428))+0-97.1--0.198083999999996</f>
        <v>350.38375599999995</v>
      </c>
      <c r="Z251" s="3">
        <f>524+(56-126.6)+(0.53448+(0.05712-0.129132))+0-111.2-0.113424000000018</f>
        <v>342.54904399999998</v>
      </c>
      <c r="AA251" s="3">
        <f>520.7+(55-134.6)+(-0.265557+(-0.02805--0.068646))+0-111.6--0.0569159999999887</f>
        <v>329.33195499999999</v>
      </c>
      <c r="AB251" s="3">
        <f>513.7+(74.8-150.9)+(-1.309935+(-0.19074--0.384795))+0-117.6--0.299879999999983</f>
        <v>319.18400000000003</v>
      </c>
      <c r="AC251" s="3">
        <f>522.6+(72.9-194.1)+(-1.066104+(-0.148716--0.395964))+0-121.1--0.247043999999995</f>
        <v>279.7281880000001</v>
      </c>
      <c r="AD251" s="2">
        <v>367.9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538.1+(83.4-249.3)+(-0.823293+(-0.127602--0.381429))+0-116.2--0.177786000000007</f>
        <v>255.60832000000008</v>
      </c>
      <c r="G252" s="3">
        <f>487.6+(122.3-196.9)+(-0.248676+(-0.062373--0.100419))+0-126--0.0642599999999872</f>
        <v>286.85363000000001</v>
      </c>
      <c r="H252" s="3">
        <f>397.2+(110.2-79.6)+(-0.405144+(-0.112404--0.081192))+0-136.8--0.139536000000022</f>
        <v>290.70318000000003</v>
      </c>
      <c r="I252" s="3">
        <f>398.1+(115.1-70.3)+(0.203031+(0.058701-0.035853))+0-139.7-0.0712469999999858</f>
        <v>303.35463200000009</v>
      </c>
      <c r="J252" s="3">
        <f>395.7+(97.3-54)+(0.201807+(0.049623-0.02754))+0-137.5-0.070124999999986</f>
        <v>301.65376500000002</v>
      </c>
      <c r="K252" s="3">
        <f>392.1+(76.7-34.1)+(0.799884+(0.156468-0.069564))+0-153.1-0.312323999999993</f>
        <v>282.17446400000006</v>
      </c>
      <c r="L252" s="3">
        <f>386.4+(73.6-45.3)+(-0.788256+(-0.150144--0.092412))+0-134--0.273359999999994</f>
        <v>280.12737199999998</v>
      </c>
      <c r="M252" s="3">
        <f>411.2+(78.1-57.6)+(0.838848+(0.159324-0.117504))+0-157.5-0.321299999999993</f>
        <v>274.75936799999999</v>
      </c>
      <c r="N252" s="3">
        <f>444.6+(38.7-60.8)+(0.680238+(0.059211-0.093024))+0-138.5-0.211905000000008</f>
        <v>284.43452000000002</v>
      </c>
      <c r="O252" s="3">
        <f>467.1+(61.2-40.5)+(0.238221+(0.031212-0.020655))+0-157.5-0.080324999999984</f>
        <v>330.46845300000007</v>
      </c>
      <c r="P252" s="3">
        <f>511.1+(59.4-48.3)+(0+(0-0))+0-161.9-0</f>
        <v>360.30000000000007</v>
      </c>
      <c r="Q252" s="3">
        <f>564+(70.2-66.2)+(-0.28764+(-0.035802--0.033762))+0-160.9--0.0820589999999837</f>
        <v>406.89237900000001</v>
      </c>
      <c r="R252" s="3">
        <f>517.4+(89.6-37)+(-1.847118+(-0.319872--0.13209))+0-151.7--0.541569000000002</f>
        <v>416.806669</v>
      </c>
      <c r="S252" s="3">
        <f>545.7+(75.5-58.2)+(0+(0-0))+0-154.3-0</f>
        <v>408.7</v>
      </c>
      <c r="T252" s="3">
        <f>563.1+(120.1-153.5)+(0+(0-0))+0-143.5-0</f>
        <v>386.20000000000005</v>
      </c>
      <c r="U252" s="3">
        <f>600.4+(141.8-222.3)+(0.612408+(0.144636-0.226746))+0-160.6-0.163812000000026</f>
        <v>359.66648599999996</v>
      </c>
      <c r="V252" s="3">
        <f>659.4+(75.3-165.3)+(-1.008882+(-0.115209--0.252909))+0-141.9--0.217107000000008</f>
        <v>426.84592500000002</v>
      </c>
      <c r="W252" s="3">
        <f>703.8+(103.7-137.4)+(-1.076814+(-0.158661--0.210222))+0-165--0.25245000000001</f>
        <v>504.3271969999999</v>
      </c>
      <c r="X252" s="3">
        <f>703.8+(80.1-149.7)+(0+(0-0))+0-160.9-0</f>
        <v>473.29999999999995</v>
      </c>
      <c r="Y252" s="3">
        <f>734.3+(54.1-201.2)+(1.497972+(0.110364-0.410448))+0-158.7-0.323747999999993</f>
        <v>429.37414000000001</v>
      </c>
      <c r="Z252" s="3">
        <f>729.7+(53.4-227)+(1.116441+(0.081702-0.34731))+0-161.4-0.246942000000009</f>
        <v>395.30389100000002</v>
      </c>
      <c r="AA252" s="3">
        <f>709.1+(58.3-261.1)+(1.084923+(0.089199-0.399483))+0-148.7-0.227511000000009</f>
        <v>358.14712800000001</v>
      </c>
      <c r="AB252" s="3">
        <f>553.7+(150.3-227.1)+(-0.564774+(-0.153306--0.231642))+0-154.6--0.157692000000025</f>
        <v>321.97125400000004</v>
      </c>
      <c r="AC252" s="3">
        <f>562.2+(53.7-157.4)+(-0.860166+(-0.082161--0.240822))+0-149.9--0.229347000000009</f>
        <v>308.12784200000004</v>
      </c>
      <c r="AD252" s="2">
        <v>610.99999999999989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579.1+(96.7-209.8)+(-0.590682+(-0.098634--0.213996))+0-105.5--0.107610000000017</f>
        <v>360.13229000000001</v>
      </c>
      <c r="G253" s="3">
        <f>589.1+(186.7-215.6)+(-2.103087+(-0.666519--0.769692))+0-85.4--0.304878000000001</f>
        <v>473.10496400000005</v>
      </c>
      <c r="H253" s="3">
        <f>686.5+(208.1-277.5)+(0.350115+(0.106131-0.141525))+0-84.5-0.0430949999999914</f>
        <v>532.87162599999999</v>
      </c>
      <c r="I253" s="3">
        <f>695.7+(232.5-294.3)+(0.709614+(0.23715-0.300186))+0-85.9-0.0876180000000137</f>
        <v>548.55896000000007</v>
      </c>
      <c r="J253" s="3">
        <f>688.6+(243.2-304.9)+(-0.351186+(-0.124032--0.155499))+0-77.2--0.0393719999999922</f>
        <v>549.41965300000004</v>
      </c>
      <c r="K253" s="3">
        <f>691.5+(219.6-293.5)+(0+(0-0))+0-109.7-0</f>
        <v>507.90000000000003</v>
      </c>
      <c r="L253" s="3">
        <f>686.9+(195.2-272.9)+(-1.050957+(-0.298656--0.417537))+0-128.1--0.195993000000007</f>
        <v>480.36391699999996</v>
      </c>
      <c r="M253" s="3">
        <f>689.6+(274.2-340.2)+(-0.703392+(-0.279684--0.347004))+0-134.2--0.136884000000021</f>
        <v>488.90081200000003</v>
      </c>
      <c r="N253" s="3">
        <f>692.2+(309.3-333.6)+(0+(0-0))+0-135.2-0</f>
        <v>532.70000000000005</v>
      </c>
      <c r="O253" s="3">
        <f>741.3+(277.5-391.6)+(-0.378063+(-0.141525--0.199716))+0-133.6--0.0681359999999864</f>
        <v>493.34826399999986</v>
      </c>
      <c r="P253" s="3">
        <f>777.1+(249.2-398.1)+(-0.792642+(-0.254184--0.406062))+0-141.9--0.144738000000023</f>
        <v>485.8039740000001</v>
      </c>
      <c r="Q253" s="3">
        <f>776.6+(298.4-396.6)+(-1.188198+(-0.456552--0.606798))+0-139.5--0.213435000000008</f>
        <v>538.07548299999996</v>
      </c>
      <c r="R253" s="3">
        <f>773.2+(267.2-387.2)+(-0.394332+(-0.136272--0.197472))+0-130.6--0.0666059999999867</f>
        <v>522.33347400000002</v>
      </c>
      <c r="S253" s="3">
        <f>771.9+(207.1-340.5)+(-0.787338+(-0.211242--0.34731))+0-143.5--0.146370000000023</f>
        <v>494.49510000000009</v>
      </c>
      <c r="T253" s="3">
        <f>785.3+(213.7-387.8)+(0.801006+(0.217974-0.395556))+0-134.2-0.136884000000021</f>
        <v>477.48653999999993</v>
      </c>
      <c r="U253" s="3">
        <f>779.9+(275.9-410.3)+(-1.193247+(-0.422127--0.627759))+0-143.3--0.219249000000008</f>
        <v>501.43163399999997</v>
      </c>
      <c r="V253" s="3">
        <f>781.3+(280.3-348.4)+(-0.796926+(-0.285906--0.355368))+0-136.8--0.139536000000022</f>
        <v>575.81207200000006</v>
      </c>
      <c r="W253" s="3">
        <f>783.1+(220.7-242.2)+(-1.198143+(-0.337671--0.370566))+0-152.5--0.233325000000009</f>
        <v>608.16807700000004</v>
      </c>
      <c r="X253" s="3">
        <f>777.4+(201.9-238.3)+(-1.98237+(-0.514845--0.607665))+0-147.5--0.376124999999979</f>
        <v>591.98657500000002</v>
      </c>
      <c r="Y253" s="3">
        <f>749.5+(228-265.3)+(0.382245+(0.11628-0.135303))+0-156.6-0.0798659999999841</f>
        <v>555.88335599999994</v>
      </c>
      <c r="Z253" s="3">
        <f>723.2+(226.9-272.4)+(-1.106496+(-0.347157--0.416772))+0-150.8--0.230724000000009</f>
        <v>526.09384300000011</v>
      </c>
      <c r="AA253" s="3">
        <f>717.7+(260.3-274.4)+(-1.830135+(-0.663765--0.69972))+0-150.8--0.384539999999978</f>
        <v>551.3903600000001</v>
      </c>
      <c r="AB253" s="3">
        <f>724+(305-329.5)+(-0.36924+(-0.15555--0.168045))+0-129.6--0.0660959999999868</f>
        <v>569.60935099999995</v>
      </c>
      <c r="AC253" s="3">
        <f>672.6+(301.4-293.4)+(-1.029078+(-0.461142--0.448902))+0-135.5--0.207315000000008</f>
        <v>544.26599699999997</v>
      </c>
      <c r="AD253" s="2">
        <v>600.20000000000005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634.4+(341.9-326.1)+(-1.294176+(-0.697476--0.665244))+0-125.3--0.255611999999995</f>
        <v>523.829204</v>
      </c>
      <c r="G254" s="3">
        <f>556+(339.9-273.7)+(0+(0-0))+0-137.7-0</f>
        <v>484.50000000000006</v>
      </c>
      <c r="H254" s="3">
        <f>549.8+(349.8-243.6)+(-1.121592+(-0.713592--0.496944))+0-133.4--0.272135999999994</f>
        <v>521.53389600000003</v>
      </c>
      <c r="I254" s="3">
        <f>557.1+(353-243.7)+(-0.284121+(-0.18003--0.124287))+0-128.2--0.065381999999987</f>
        <v>537.92551800000001</v>
      </c>
      <c r="J254" s="3">
        <f>566.1+(337.8-213.8)+(0.866133+(0.516834-0.327114))+0-151.9-0.232407000000009</f>
        <v>539.02344600000004</v>
      </c>
      <c r="K254" s="3">
        <f>567.2+(316.1-248.7)+(1.157088+(0.644844-0.507348))+0-148.3-0.302531999999994</f>
        <v>487.29205200000013</v>
      </c>
      <c r="L254" s="3">
        <f>584.5+(298.6-253.5)+(0.298095+(0.152286-0.129285))+0-151-0.0770099999999847</f>
        <v>478.84408600000006</v>
      </c>
      <c r="M254" s="3">
        <f>692.2+(250.3-279.7)+(-0.706044+(-0.255306--0.285294))+0-139.4--0.142188000000022</f>
        <v>522.86613200000011</v>
      </c>
      <c r="N254" s="3">
        <f>700.1+(311.4-305.3)+(0+(0-0))+0-143.2-0</f>
        <v>563</v>
      </c>
      <c r="O254" s="3">
        <f>691.6+(381.2-310.9)+(-1.76358+(-0.97206--0.792795))+0-135.2--0.34475999999998</f>
        <v>625.10191499999996</v>
      </c>
      <c r="P254" s="3">
        <f>691.5+(396.3-303.8)+(-1.763325+(-1.010565--0.77469))+0-125.8--0.320789999999982</f>
        <v>656.52159000000006</v>
      </c>
      <c r="Q254" s="3">
        <f>694.2+(387.4-290.2)+(-1.062126+(-0.592722--0.444006))+0-117.5--0.179775000000007</f>
        <v>672.8689330000002</v>
      </c>
      <c r="R254" s="3">
        <f>695+(370.4-265.6)+(-0.7089+(-0.377808--0.270912))+0-110.5--0.112710000000018</f>
        <v>688.59691399999997</v>
      </c>
      <c r="S254" s="3">
        <f>696.3+(353.9-277.1)+(-0.355113+(-0.180489--0.141321))+0-105.1--0.0536009999999893</f>
        <v>667.65931999999987</v>
      </c>
      <c r="T254" s="3">
        <f>687.7+(299.1-259.9)+(-0.701454+(-0.305082--0.265098))+0-125.7--0.12821400000002</f>
        <v>600.5867760000001</v>
      </c>
      <c r="U254" s="3">
        <f>681.4+(282.4-262.5)+(-0.695028+(-0.288048--0.26775))+0-135.9--0.138618000000022</f>
        <v>564.82329200000004</v>
      </c>
      <c r="V254" s="3">
        <f>688.2+(303.6-205.9)+(0+(0-0))+0-142.4-0</f>
        <v>643.50000000000011</v>
      </c>
      <c r="W254" s="3">
        <f>694.2+(316.4-127.8)+(1.062126+(0.484092-0.195534))+0-156.5-0.239445000000009</f>
        <v>727.41123899999991</v>
      </c>
      <c r="X254" s="3">
        <f>685.2+(317.8-165.3)+(-0.349452+(-0.162078--0.084303))+0-146.1--0.0745109999999852</f>
        <v>691.24728400000004</v>
      </c>
      <c r="Y254" s="3">
        <f>689.3+(350.2-217.3)+(0+(0-0))+0-157.5-0</f>
        <v>664.69999999999993</v>
      </c>
      <c r="Z254" s="3">
        <f>677+(380.4-230.7)+(-0.34527+(-0.194004--0.117657))+0-160.4--0.0818039999999837</f>
        <v>665.96018700000013</v>
      </c>
      <c r="AA254" s="3">
        <f>639.8+(400.4-219.4)+(-0.652596+(-0.408408--0.223788))+0-146.4--0.149328000000023</f>
        <v>673.71211199999993</v>
      </c>
      <c r="AB254" s="3">
        <f>635+(445.2-203.2)+(-0.97155+(-0.681156--0.310896))+0-159.7--0.244341000000009</f>
        <v>716.20253100000002</v>
      </c>
      <c r="AC254" s="3">
        <f>627+(413.2-247.9)+(-1.59885+(-1.05366--0.632145))+0-152--0.387599999999978</f>
        <v>638.66723500000001</v>
      </c>
      <c r="AD254" s="2">
        <v>617.69999999999993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629.1+(288.3-240.3)+(-1.283364+(-0.588132--0.490212))+0-140.1--0.285803999999994</f>
        <v>535.90451999999993</v>
      </c>
      <c r="G255" s="3">
        <f>576.5+(253.4-189.1)+(-0.294015+(-0.129234--0.096441))+0-157.9--0.080528999999984</f>
        <v>482.6537209999999</v>
      </c>
      <c r="H255" s="3">
        <f>545.8+(252.2-181.7)+(-1.113432+(-0.514488--0.370668))+0-149.9--0.305795999999993</f>
        <v>465.44854399999997</v>
      </c>
      <c r="I255" s="3">
        <f>556.1+(247.7-186.4)+(0.283611+(0.126327-0.095064))+0-139.1-0.0709409999999859</f>
        <v>478.54393299999998</v>
      </c>
      <c r="J255" s="3">
        <f>547.1+(244.4-180.3)+(-0.837063+(-0.373932--0.275859))+0-132.3--0.202419000000008</f>
        <v>478.167283</v>
      </c>
      <c r="K255" s="3">
        <f>559.2+(205.1-155.3)+(0.855576+(0.313803-0.237609))+0-139.5-0.213435000000008</f>
        <v>470.21833500000002</v>
      </c>
      <c r="L255" s="3">
        <f>552.5+(174-126)+(-0.281775+(-0.08874--0.06426))+0-144.3--0.0735929999999854</f>
        <v>455.96733799999998</v>
      </c>
      <c r="M255" s="3">
        <f>564.4+(189.4-143.6)+(1.43922+(0.48297-0.36618))+0-136.3-0.34756499999998</f>
        <v>475.10844500000007</v>
      </c>
      <c r="N255" s="3">
        <f>687.4+(156.4-192)+(1.75287+(0.39882-0.4896))+0-143.5-0.365924999999979</f>
        <v>509.59616499999998</v>
      </c>
      <c r="O255" s="3">
        <f>731.3+(103.3-178.7)+(0.372963+(0.052683-0.091137))+0-145.2-0.0740519999999853</f>
        <v>510.96045700000002</v>
      </c>
      <c r="P255" s="3">
        <f>728.4+(89.2-126.8)+(0.371484+(0.045492-0.064668))+0-137.9-0.070328999999986</f>
        <v>553.18197899999996</v>
      </c>
      <c r="Q255" s="3">
        <f>720.6+(126.9-114)+(-0.735012+(-0.129438--0.11628))+0-140--0.142800000000022</f>
        <v>592.89463000000001</v>
      </c>
      <c r="R255" s="3">
        <f>714.1+(143.7-118.1)+(-2.185146+(-0.439722--0.361386))+0-140.5--0.429930000000016</f>
        <v>597.3664480000001</v>
      </c>
      <c r="S255" s="3">
        <f>714+(145.3-168.9)+(-1.8207+(-0.370515--0.430695))+0-133.2--0.339659999999981</f>
        <v>555.77913999999998</v>
      </c>
      <c r="T255" s="3">
        <f>721.1+(116.6-207.5)+(0.367761+(0.059466-0.105825))+0-134.2-0.0684419999999864</f>
        <v>496.25296000000009</v>
      </c>
      <c r="U255" s="3">
        <f>723+(81-175)+(0.36873+(0.04131-0.08925))+0-152.6-0.0778259999999845</f>
        <v>476.64296400000001</v>
      </c>
      <c r="V255" s="3">
        <f>718+(90.4-101.6)+(-1.09854+(-0.138312--0.155448))+0-141.2--0.216036000000008</f>
        <v>564.73463199999992</v>
      </c>
      <c r="W255" s="3">
        <f>725.4+(100.3-11.2)+(0.369954+(0.051153-0.005712))+0-165.3-0.0843029999999832</f>
        <v>649.53109200000006</v>
      </c>
      <c r="X255" s="3">
        <f>719.4+(115.9-30.8)+(-1.83447+(-0.295545--0.07854))+0-164.8--0.420239999999976</f>
        <v>638.06876499999998</v>
      </c>
      <c r="Y255" s="3">
        <f>728.4+(128.5-59.8)+(-0.371484+(-0.065535--0.030498))+0-161.4--0.0823139999999836</f>
        <v>635.37579300000004</v>
      </c>
      <c r="Z255" s="3">
        <f>731.3+(139.2-110.7)+(0+(0-0))+0-145.8-0</f>
        <v>614</v>
      </c>
      <c r="AA255" s="3">
        <f>726.1+(188.3-141.2)+(-0.370311+(-0.096033--0.072012))+0-158.1--0.080630999999984</f>
        <v>614.7862990000001</v>
      </c>
      <c r="AB255" s="3">
        <f>714.4+(209.9-164.3)+(-1.82172+(-0.535245--0.418965))+0-163.1--0.415904999999976</f>
        <v>595.37790499999994</v>
      </c>
      <c r="AC255" s="3">
        <f>717.9+(205.1-253)+(-0.732258+(-0.209202--0.25806))+0-135.9--0.138618000000022</f>
        <v>533.55521800000008</v>
      </c>
      <c r="AD255" s="2">
        <v>568.90000000000009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624.5+(167.2-230.7)+(0.955485+(0.255816-0.352971))+0-105.5-0.161415000000006</f>
        <v>456.19691499999999</v>
      </c>
      <c r="G256" s="3">
        <f>611.1+(172.1-251)+(0+(0-0))+0-89.1-0</f>
        <v>443.1</v>
      </c>
      <c r="H256" s="3">
        <f>613.3+(205.4-267.6)+(0.312783+(0.104754-0.136476))+0-98.2-0.05008199999999</f>
        <v>453.13097899999997</v>
      </c>
      <c r="I256" s="3">
        <f>610.8+(239.1-264.9)+(-0.311508+(-0.121941--0.135099))+0-101.9--0.0519689999999897</f>
        <v>482.85361899999998</v>
      </c>
      <c r="J256" s="3">
        <f>610.7+(233.8-249.3)+(0+(0-0))+0-121.4-0</f>
        <v>473.80000000000007</v>
      </c>
      <c r="K256" s="3">
        <f>613.6+(181-201.6)+(0.625872+(0.18462-0.205632))+0-151.3-0.154326000000024</f>
        <v>442.15053399999999</v>
      </c>
      <c r="L256" s="3">
        <f>597.1+(98.2-159.3)+(-2.740689+(-0.450738--0.731187))+0-129.9--0.596241000000023</f>
        <v>404.23600100000004</v>
      </c>
      <c r="M256" s="3">
        <f>613.4+(33.5-116.3)+(0.625668+(0.03417-0.118626))+0-141.8-0.144636000000023</f>
        <v>389.19657599999994</v>
      </c>
      <c r="N256" s="3">
        <f>608.2+(46.6-93.1)+(-0.620364+(-0.047532--0.094962))+0-142.7--0.145554000000023</f>
        <v>418.57262000000003</v>
      </c>
      <c r="O256" s="3">
        <f>614.5+(45.5-140.6)+(0.62679+(0.04641-0.143412))+0-140.8-0.143616000000022</f>
        <v>378.98617200000001</v>
      </c>
      <c r="P256" s="3">
        <f>614.5+(91.6-162.4)+(0.313395+(0.046716-0.082824))+0-141.6-0.0722159999999856</f>
        <v>402.30507100000005</v>
      </c>
      <c r="Q256" s="3">
        <f>611.2+(98.7-165.5)+(-0.623424+(-0.100674--0.16881))+0-140.3--0.143106000000022</f>
        <v>403.68781800000011</v>
      </c>
      <c r="R256" s="3">
        <f>610+(106.2-144)+(-1.2444+(-0.216648--0.29376))+0-151.2--0.308447999999993</f>
        <v>420.14116000000007</v>
      </c>
      <c r="S256" s="3">
        <f>612.8+(123.2-180)+(-0.625056+(-0.125664--0.1836))+0-150.4--0.153408000000024</f>
        <v>405.18628799999999</v>
      </c>
      <c r="T256" s="3">
        <f>610.3+(172.3-213.9)+(-1.245012+(-0.351492--0.436356))+0-148.9--0.303755999999994</f>
        <v>418.94360799999993</v>
      </c>
      <c r="U256" s="3">
        <f>612.5+(148.8-125.3)+(-0.62475+(-0.151776--0.127806))+0-141.5--0.144330000000023</f>
        <v>493.99561</v>
      </c>
      <c r="V256" s="3">
        <f>614.7+(139.8-108.4)+(0+(0-0))+0-157.7-0</f>
        <v>488.40000000000003</v>
      </c>
      <c r="W256" s="3">
        <f>691.5+(141.6-50.1)+(0+(0-0))+0-162-0</f>
        <v>621</v>
      </c>
      <c r="X256" s="3">
        <f>697.8+(174.8-50.4)+(-1.423512+(-0.356592--0.102816))+0-162.7--0.331907999999993</f>
        <v>658.15461999999991</v>
      </c>
      <c r="Y256" s="3">
        <f>709.4+(145.6-51.8)+(1.085382+(0.222768-0.079254))+0-158.5-0.242505000000009</f>
        <v>645.68639099999984</v>
      </c>
      <c r="Z256" s="3">
        <f>697.4+(160.5-71.5)+(-1.067022+(-0.245565--0.109395))+0-162.1--0.248013000000009</f>
        <v>623.34482100000002</v>
      </c>
      <c r="AA256" s="3">
        <f>700.2+(182.1-105.2)+(-0.714204+(-0.185742--0.107304))+0-162.7--0.165954000000026</f>
        <v>613.77331200000003</v>
      </c>
      <c r="AB256" s="3">
        <f>683.6+(261.5-172.3)+(-1.045908+(-0.400095--0.263619))+0-159.1--0.243423000000009</f>
        <v>612.76103899999998</v>
      </c>
      <c r="AC256" s="3">
        <f>512+(330.8-136.6)+(-1.04448+(-0.674832--0.278664))+0-163.9--0.334355999999993</f>
        <v>541.19370800000002</v>
      </c>
      <c r="AD256" s="2">
        <v>567.49999999999989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505.1+(303-147.6)+(-1.288005+(-0.77265--0.37638))+0-152.5--0.388874999999978</f>
        <v>506.70460000000003</v>
      </c>
      <c r="G257" s="3">
        <f>508.4+(300.2-157.6)+(-1.037136+(-0.612408--0.321504))+0-163.1--0.332723999999993</f>
        <v>486.90468399999997</v>
      </c>
      <c r="H257" s="3">
        <f>510.1+(283.9-199.4)+(-0.520302+(-0.289578--0.203388))+0-155.2--0.158304000000025</f>
        <v>438.95181200000007</v>
      </c>
      <c r="I257" s="3">
        <f>507.2+(277.9-196.9)+(-0.776016+(-0.425187--0.301257))+0-160.2--0.245106000000009</f>
        <v>427.34515999999996</v>
      </c>
      <c r="J257" s="3">
        <f>511.6+(270.1-209.1)+(0+(0-0))+0-155-0</f>
        <v>417.6</v>
      </c>
      <c r="K257" s="3">
        <f>517.5+(233.4-139.1)+(0.791775+(0.357102-0.212823))+0-145.2-0.222156000000008</f>
        <v>467.31389799999999</v>
      </c>
      <c r="L257" s="3">
        <f>513.7+(213.3-55.6)+(-0.523974+(-0.217566--0.056712))+0-145.5--0.148410000000023</f>
        <v>525.36358200000006</v>
      </c>
      <c r="M257" s="3">
        <f>529.4+(186.2-51.6)+(1.34997+(0.47481-0.13158))+0-128.3-0.327164999999981</f>
        <v>537.06603499999994</v>
      </c>
      <c r="N257" s="3">
        <f>524.3+(214.6-58)+(0.534786+(0.218892-0.05916))+0-146.5-0.149430000000023</f>
        <v>534.94508799999994</v>
      </c>
      <c r="O257" s="3">
        <f>528.9+(235.4-67.8)+(0.539478+(0.240108-0.069156))+0-139.2-0.141984000000022</f>
        <v>557.86844600000006</v>
      </c>
      <c r="P257" s="3">
        <f>542.1+(235.2-67.2)+(-0.276471+(-0.119952--0.034272))+0-161.3--0.0822629999999836</f>
        <v>548.52011199999993</v>
      </c>
      <c r="Q257" s="3">
        <f>547.9+(226.3-69.2)+(-0.558858+(-0.230826--0.070584))+0-146.2--0.149124000000023</f>
        <v>558.23002399999996</v>
      </c>
      <c r="R257" s="3">
        <f>579.2+(219.6-74.7)+(-1.47696+(-0.55998--0.190485))+0-148.4--0.378419999999979</f>
        <v>574.23196500000006</v>
      </c>
      <c r="S257" s="3">
        <f>648.2+(206-148.8)+(0.330582+(0.10506-0.075888))+0-146-0.0744599999999852</f>
        <v>559.68529400000011</v>
      </c>
      <c r="T257" s="3">
        <f>645.7+(211.9-179.8)+(0+(0-0))+0-138.8-0</f>
        <v>539</v>
      </c>
      <c r="U257" s="3">
        <f>635.2+(197.5-170.7)+(-0.971856+(-0.302175--0.261171))+0-136.2--0.208386000000008</f>
        <v>524.99552599999993</v>
      </c>
      <c r="V257" s="3">
        <f>647.4+(182.2-122.3)+(0.330174+(0.092922-0.062373))+0-145.8-0.0743579999999852</f>
        <v>561.78636500000005</v>
      </c>
      <c r="W257" s="3">
        <f>643.7+(367.1-60.9)+(-0.656574+(-0.374442--0.062118))+0-149.7--0.152694000000024</f>
        <v>799.38379600000019</v>
      </c>
      <c r="X257" s="3">
        <f>644.6+(459.3-63.7)+(0.328746+(0.234243-0.032487))+0-148.2-0.075581999999985</f>
        <v>892.45492000000013</v>
      </c>
      <c r="Y257" s="3">
        <f>640.4+(443.7-62.2)+(-0.979812+(-0.678861--0.095166))+0-138.2--0.211446000000008</f>
        <v>882.347939</v>
      </c>
      <c r="Z257" s="3">
        <f>634.8+(397.5-73.6)+(-1.942488+(-1.21635--0.225216))+0-156.7--0.479502000000018</f>
        <v>799.54588000000001</v>
      </c>
      <c r="AA257" s="3">
        <f>632.6+(399.1-127.5)+(-2.258382+(-1.424787--0.455175))+0-158.7--0.566559000000002</f>
        <v>742.83856500000013</v>
      </c>
      <c r="AB257" s="3">
        <f>636.5+(444.5-160.9)+(-1.623075+(-1.133475--0.410295))+0-150.7--0.384284999999978</f>
        <v>767.43802999999991</v>
      </c>
      <c r="AC257" s="3">
        <f>606.9+(394.3-148)+(-1.547595+(-1.005465--0.3774))+0-143.8--0.366689999999979</f>
        <v>707.59102999999993</v>
      </c>
      <c r="AD257" s="2">
        <v>630.29999999999995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475.5+(506.7-179)+(-0.242505+(-0.258417--0.09129))+0-138.6--0.0706859999999859</f>
        <v>664.26105400000006</v>
      </c>
      <c r="G258" s="3">
        <f>472.8+(531.1-260.2)+(-0.964512+(-1.083444--0.530808))+0-142.7--0.291107999999994</f>
        <v>599.7739600000001</v>
      </c>
      <c r="H258" s="3">
        <f>474.9+(522.5-310.9)+(0+(0-0))+0-149.6-0</f>
        <v>536.9</v>
      </c>
      <c r="I258" s="3">
        <f>480.9+(546.5-226.3)+(0.735777+(0.836145-0.346239))+0-148.6-0.227358000000009</f>
        <v>653.49832499999991</v>
      </c>
      <c r="J258" s="3">
        <f>558.9+(518.6-282)+(1.140156+(1.057944-0.57528))+0-146.9-0.299675999999994</f>
        <v>649.92314400000009</v>
      </c>
      <c r="K258" s="3">
        <f>556+(398.4-232.9)+(-0.56712+(-0.406368--0.237558))+0-145.1--0.148002000000023</f>
        <v>575.81207199999994</v>
      </c>
      <c r="L258" s="3">
        <f>565.8+(280.5-183.4)+(0+(0-0))+0-146.5-0</f>
        <v>516.4</v>
      </c>
      <c r="M258" s="3">
        <f>572.1+(364.5-196.6)+(0.875313+(0.557685-0.300798))+0-148.1-0.226593000000009</f>
        <v>592.80560700000001</v>
      </c>
      <c r="N258" s="3">
        <f>563.5+(367.1-241.9)+(0+(0-0))+0-139-0</f>
        <v>549.70000000000005</v>
      </c>
      <c r="O258" s="3">
        <f>561.8+(310.8-200.1)+(0+(0-0))+0-128.5-0</f>
        <v>544</v>
      </c>
      <c r="P258" s="3">
        <f>566.9+(284-136.2)+(0+(0-0))+0-144.9-0</f>
        <v>569.80000000000007</v>
      </c>
      <c r="Q258" s="3">
        <f>589.8+(274.8-144.3)+(-0.902394+(-0.420444--0.220779))+0-140.3--0.214659000000008</f>
        <v>579.11259999999993</v>
      </c>
      <c r="R258" s="3">
        <f>645.1+(169.5-103.2)+(-1.645005+(-0.432225--0.26316))+0-151.9--0.387344999999978</f>
        <v>558.07327499999997</v>
      </c>
      <c r="S258" s="3">
        <f>688.1+(178.4-174.9)+(-0.701862+(-0.181968--0.178398))+0-132.9--0.135558000000021</f>
        <v>558.13012600000013</v>
      </c>
      <c r="T258" s="3">
        <f>691.7+(97.3-107.2)+(-0.352767+(-0.049623--0.054672))+0-138.8--0.0707879999999859</f>
        <v>542.72307000000001</v>
      </c>
      <c r="U258" s="3">
        <f>700.7+(86-104.9)+(1.072071+(0.13158-0.160497))+0-139-0.212670000000008</f>
        <v>543.63048400000002</v>
      </c>
      <c r="V258" s="3">
        <f>694.5+(110.5-90)+(0.354195+(0.056355-0.0459))+0-144.5-0.0736949999999853</f>
        <v>570.79095500000005</v>
      </c>
      <c r="W258" s="3">
        <f>697.5+(217.6-133.6)+(0.71145+(0.221952-0.136272))+0-151.8-0.154836000000024</f>
        <v>630.34229399999992</v>
      </c>
      <c r="X258" s="3">
        <f>691.5+(218.2-106.1)+(0+(0-0))+0-148.5-0</f>
        <v>655.1</v>
      </c>
      <c r="Y258" s="3">
        <f>687.8+(243.1-100.9)+(0.701556+(0.247962-0.102918))+0-149.4-0.152388000000024</f>
        <v>681.29421200000002</v>
      </c>
      <c r="Z258" s="3">
        <f>689.3+(171.4-80.5)+(0+(0-0))+0-151.8-0</f>
        <v>628.39999999999986</v>
      </c>
      <c r="AA258" s="3">
        <f>683.5+(125.7-97.7)+(-0.69717+(-0.128214--0.099654))+0-149.8--0.152796000000024</f>
        <v>561.12706600000001</v>
      </c>
      <c r="AB258" s="3">
        <f>673.3+(132.7-74)+(-1.716915+(-0.338385--0.1887))+0-136.5--0.34807499999998</f>
        <v>593.98147500000005</v>
      </c>
      <c r="AC258" s="3">
        <f>680.8+(105.8-82.6)+(-1.73604+(-0.26979--0.21063))+0-135.7--0.34603499999998</f>
        <v>566.85083499999996</v>
      </c>
      <c r="AD258" s="2">
        <v>619.80000000000007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683.9+(118-144)+(-1.046367+(-0.18054--0.22032))+0-134.4--0.205632000000008</f>
        <v>522.69904500000007</v>
      </c>
      <c r="G259" s="3">
        <f>685.4+(137.6-136.6)+(-0.699108+(-0.140352--0.139332))+0-147.2--0.150144000000023</f>
        <v>538.65001600000016</v>
      </c>
      <c r="H259" s="3">
        <f>686.9+(117.3-144.2)+(-0.700638+(-0.119646--0.147084))+0-135.8--0.138516000000022</f>
        <v>523.66531600000008</v>
      </c>
      <c r="I259" s="3">
        <f>682.1+(127.5-148)+(-1.043613+(-0.195075--0.22644))+0-140.6--0.215118000000008</f>
        <v>520.20286999999996</v>
      </c>
      <c r="J259" s="3">
        <f>631.1+(141.2-130.3)+(0.321861+(0.072012-0.066453))+0-141.7-0.0722669999999856</f>
        <v>500.55515299999996</v>
      </c>
      <c r="K259" s="3">
        <f>623.3+(138.4-103.5)+(0+(0-0))+0-122.7-0</f>
        <v>535.49999999999989</v>
      </c>
      <c r="L259" s="3">
        <f>614.4+(126.8-149.1)+(-1.56672+(-0.32334--0.380205))+0-133.8--0.341189999999981</f>
        <v>457.13133499999998</v>
      </c>
      <c r="M259" s="3">
        <f>633.6+(98.8-181)+(1.61568+(0.25194-0.46155))+0-121.9-0.310844999999982</f>
        <v>430.59522500000003</v>
      </c>
      <c r="N259" s="3">
        <f>678.7+(89-147.7)+(0.692274+(0.09078-0.150654))+0-132.7-0.135354000000021</f>
        <v>487.79704599999997</v>
      </c>
      <c r="O259" s="3">
        <f>712.6+(87.3-160.9)+(1.090278+(0.133569-0.246177))+0-138.6-0.212058000000008</f>
        <v>501.16561199999995</v>
      </c>
      <c r="P259" s="3">
        <f>698.3+(178.8-196.6)+(-1.780665+(-0.45594--0.50133))+0-141.8--0.361589999999979</f>
        <v>537.32631500000002</v>
      </c>
      <c r="Q259" s="3">
        <f>703.3+(255.3-248.8)+(-1.434732+(-0.520812--0.507552))+0-158.8--0.323951999999993</f>
        <v>549.87595999999985</v>
      </c>
      <c r="R259" s="3">
        <f>697.7+(189-188.3)+(-2.846616+(-0.77112--0.768264))+0-152.9--0.623831999999987</f>
        <v>543.27436000000012</v>
      </c>
      <c r="S259" s="3">
        <f>696.5+(179.7-190.2)+(-1.065645+(-0.274941--0.291006))+0-160.8--0.246024000000009</f>
        <v>524.39644399999997</v>
      </c>
      <c r="T259" s="3">
        <f>700.9+(106.7-153.4)+(-0.357459+(-0.054417--0.078234))+0-147.7--0.075326999999985</f>
        <v>506.24168499999985</v>
      </c>
      <c r="U259" s="3">
        <f>701+(86.9-127.6)+(-0.35751+(-0.044319--0.065076))+0-149.9--0.0764489999999848</f>
        <v>510.1396959999999</v>
      </c>
      <c r="V259" s="3">
        <f>645.9+(119.2-77.2)+(0.329409+(0.060792-0.039372))+0-148.5-0.0757349999999849</f>
        <v>539.67509399999994</v>
      </c>
      <c r="W259" s="3">
        <f>698.4+(189.9-114.5)+(0+(0-0))+0-157.1-0</f>
        <v>616.69999999999993</v>
      </c>
      <c r="X259" s="3">
        <f>694.4+(172.5-110.3)+(-1.77072+(-0.439875--0.281265))+0-137.2--0.34985999999998</f>
        <v>617.82052999999996</v>
      </c>
      <c r="Y259" s="3">
        <f>696.7+(136.6-113.7)+(-1.421268+(-0.278664--0.231948))+0-156--0.318239999999993</f>
        <v>562.45025599999997</v>
      </c>
      <c r="Z259" s="3">
        <f>698.3+(131.8-91.7)+(-0.712266+(-0.134436--0.093534))+0-132.7--0.135354000000021</f>
        <v>605.08218600000009</v>
      </c>
      <c r="AA259" s="3">
        <f>692.7+(134.6-93.2)+(-2.119662+(-0.411876--0.285192))+0-146.9--0.449514000000017</f>
        <v>585.40316800000005</v>
      </c>
      <c r="AB259" s="3">
        <f>679.6+(143.3-134.4)+(-1.73298+(-0.365415--0.34272))+0-139--0.35444999999998</f>
        <v>548.09877499999993</v>
      </c>
      <c r="AC259" s="3">
        <f>436.7+(256.9-61.9)+(-0.668151+(-0.393057--0.094707))+0-130.1--0.199053000000008</f>
        <v>500.83255199999991</v>
      </c>
      <c r="AD259" s="2">
        <v>597.70000000000005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346.7+(266.9-85.8)+(0+(0-0))+0-138.7-0</f>
        <v>389.09999999999997</v>
      </c>
      <c r="G260" s="3">
        <f>344+(291.3-84.4)+(-0.35088+(-0.297126--0.086088))+0-130.2--0.132804000000021</f>
        <v>420.27088600000002</v>
      </c>
      <c r="H260" s="3">
        <f>350.2+(310.4-76.7)+(0.178602+(0.158304-0.039117))+0-137.6-0.070175999999986</f>
        <v>446.52761299999992</v>
      </c>
      <c r="I260" s="3">
        <f>352.1+(279.5-85.1)+(0.538713+(0.427635-0.130203))+0-136.9-0.209457000000008</f>
        <v>410.22668800000002</v>
      </c>
      <c r="J260" s="3">
        <f>349+(294.2-79.1)+(0+(0-0))+0-127-0</f>
        <v>437.1</v>
      </c>
      <c r="K260" s="3">
        <f>350.9+(296.9-86.3)+(0.357918+(0.302838-0.088026))+0-117.2-0.119544000000019</f>
        <v>444.75318599999997</v>
      </c>
      <c r="L260" s="3">
        <f>346.5+(289.1-63.6)+(-0.35343+(-0.294882--0.064872))+0-120.2--0.122604000000019</f>
        <v>451.33916400000004</v>
      </c>
      <c r="M260" s="3">
        <f>354.6+(303.2-58.8)+(0.361692+(0.309264-0.059976))+0-126.1-0.12862200000002</f>
        <v>473.38235800000001</v>
      </c>
      <c r="N260" s="3">
        <f>367.2+(389.8-33.4)+(0.374544+(0.397596-0.034068))+0-129.1-0.131682000000021</f>
        <v>595.10638999999992</v>
      </c>
      <c r="O260" s="3">
        <f>396+(377.1-37.6)+(-1.21176+(-1.153926--0.115056))+0-128.4--0.392904000000015</f>
        <v>605.24227400000007</v>
      </c>
      <c r="P260" s="3">
        <f>492.9+(362.8-43.8)+(0+(0-0))+0-136.1-0</f>
        <v>675.8</v>
      </c>
      <c r="Q260" s="3">
        <f>393.4+(467.6-37)+(0.200634+(0.238476-0.01887))+0-129.6-0.0660959999999868</f>
        <v>694.754144</v>
      </c>
      <c r="R260" s="3">
        <f>378.2+(481.4-29.4)+(-0.385764+(-0.491028--0.029988))+0-134.5--0.137190000000021</f>
        <v>694.99038600000006</v>
      </c>
      <c r="S260" s="3">
        <f>484.5+(343-37.7)+(-0.741285+(-0.52479--0.057681))+0-131.3--0.200889000000008</f>
        <v>657.49249499999996</v>
      </c>
      <c r="T260" s="3">
        <f>542+(303-86.8)+(0.55284+(0.30906-0.088536))+0-135-0.137700000000022</f>
        <v>623.83566400000007</v>
      </c>
      <c r="U260" s="3">
        <f>567.3+(252-106.4)+(-0.578646+(-0.25704--0.108528))+0-132.2--0.134844000000021</f>
        <v>580.10768599999994</v>
      </c>
      <c r="V260" s="3">
        <f>674.4+(223.1-113.4)+(-0.343944+(-0.113781--0.057834))+0-127.8--0.065177999999987</f>
        <v>655.96528699999988</v>
      </c>
      <c r="W260" s="3">
        <f>716.3+(282.6-64.9)+(0.365313+(0.144126-0.033099))+0-138.7-0.0707369999999859</f>
        <v>795.70560300000011</v>
      </c>
      <c r="X260" s="3">
        <f>698.1+(263.2-66.2)+(-1.780155+(-0.67116--0.16881))+0-124.6--0.317729999999982</f>
        <v>768.53522499999997</v>
      </c>
      <c r="Y260" s="3">
        <f>556.2+(347.6-52.3)+(-1.134648+(-0.709104--0.106692))+0-150.1--0.306203999999993</f>
        <v>699.96914399999991</v>
      </c>
      <c r="Z260" s="3">
        <f>560.3+(308.6-57.2)+(-1.143012+(-0.629544--0.116688))+0-147.5--0.300899999999994</f>
        <v>662.84503199999995</v>
      </c>
      <c r="AA260" s="3">
        <f>556.2+(278.9-82.6)+(-0.850986+(-0.426717--0.126378))+0-155.7--0.238221000000009</f>
        <v>595.88689599999987</v>
      </c>
      <c r="AB260" s="3">
        <f>548.5+(289.5-128.4)+(-1.398675+(-0.738225--0.32742))+0-138.4--0.35291999999998</f>
        <v>569.74343999999996</v>
      </c>
      <c r="AC260" s="3">
        <f>367.7+(411.5-73.2)+(-0.750108+(-0.83946--0.149328))+0-159.3--0.324971999999993</f>
        <v>545.58473199999992</v>
      </c>
      <c r="AD260" s="2">
        <v>622.6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362.8+(424.8-85.3)+(-1.110168+(-1.299888--0.261018))+0-121.1--0.370566000000014</f>
        <v>579.42152799999997</v>
      </c>
      <c r="G261" s="3">
        <f>364.2+(448.3-54.5)+(0.185742+(0.228633-0.027795))+0-150.7-0.0768569999999847</f>
        <v>607.60972300000003</v>
      </c>
      <c r="H261" s="3">
        <f>361.3+(424.5-51.1)+(0+(0-0))+0-155.9-0</f>
        <v>578.80000000000007</v>
      </c>
      <c r="I261" s="3">
        <f>356.8+(388.8-28.3)+(0+(0-0))+0-152.9-0</f>
        <v>564.4</v>
      </c>
      <c r="J261" s="3">
        <f>356.1+(335.6-32.9)+(0.726444+(0.684624-0.067116))+0-165.5-0.337619999999993</f>
        <v>494.306332</v>
      </c>
      <c r="K261" s="3">
        <f>363.5+(345.6-49.7)+(0.74154+(0.705024-0.101388))+0-140.8-0.287231999999994</f>
        <v>519.65794400000016</v>
      </c>
      <c r="L261" s="3">
        <f>363.8+(388.1-43)+(0.371076+(0.395862-0.04386))+0-152.3-0.155346000000024</f>
        <v>557.16773200000011</v>
      </c>
      <c r="M261" s="3">
        <f>363.6+(409.4-32)+(-0.370872+(-0.417588--0.03264))+0-150.1--0.153102000000024</f>
        <v>590.297282</v>
      </c>
      <c r="N261" s="3">
        <f>361.6+(371.1-35.1)+(0.553248+(0.567783-0.053703))+0-140.9-0.215577000000008</f>
        <v>557.55175099999997</v>
      </c>
      <c r="O261" s="3">
        <f>369.7+(378.8-41.8)+(0.188547+(0.193188-0.021318))+0-147.3-0.0751229999999851</f>
        <v>559.685294</v>
      </c>
      <c r="P261" s="3">
        <f>412.2+(339.7-41.9)+(-0.210222+(-0.173247--0.021369))+0-147--0.0749699999999851</f>
        <v>562.71286999999995</v>
      </c>
      <c r="Q261" s="3">
        <f>456.8+(303.3-46.8)+(-0.931872+(-0.618732--0.095472))+0-146.3--0.298451999999994</f>
        <v>565.84331999999995</v>
      </c>
      <c r="R261" s="3">
        <f>539.6+(222.5-52.6)+(-1.37598+(-0.567375--0.13413))+0-150.7--0.384284999999978</f>
        <v>557.37505999999996</v>
      </c>
      <c r="S261" s="3">
        <f>638.1+(176.1-120.8)+(-2.603448+(-0.718488--0.492864))+0-138.7--0.565895999999988</f>
        <v>552.436824</v>
      </c>
      <c r="T261" s="3">
        <f>637.5+(253.1-97)+(0.325125+(0.129081-0.04947))+0-140.9-0.0718589999999857</f>
        <v>653.03287699999998</v>
      </c>
      <c r="U261" s="3">
        <f>640.8+(262.7-112.4)+(-0.980424+(-0.401931--0.171972))+0-149.1--0.228123000000009</f>
        <v>641.01773999999989</v>
      </c>
      <c r="V261" s="3">
        <f>648.8+(253.6-89.7)+(-1.323552+(-0.517344--0.182988))+0-141.5--0.288659999999994</f>
        <v>669.83075199999996</v>
      </c>
      <c r="W261" s="3">
        <f>705+(297.8-61.5)+(-0.7191+(-0.303756--0.06273))+0-160--0.163200000000026</f>
        <v>780.50307400000008</v>
      </c>
      <c r="X261" s="3">
        <f>703.8+(252-60.2)+(-2.153628+(-0.77112--0.184212))+0-146.4--0.447984000000017</f>
        <v>746.90744799999993</v>
      </c>
      <c r="Y261" s="3">
        <f>709.2+(243.3-60.9)+(-1.446768+(-0.496332--0.124236))+0-147.9--0.301715999999994</f>
        <v>742.18285200000003</v>
      </c>
      <c r="Z261" s="3">
        <f>700.3+(260.3-61.8)+(-1.785765+(-0.663765--0.15759))+0-123.2--0.314159999999982</f>
        <v>773.62221999999997</v>
      </c>
      <c r="AA261" s="3">
        <f>687.6+(264.4-72.3)+(-1.052028+(-0.404532--0.110619))+0-137--0.209610000000008</f>
        <v>741.563669</v>
      </c>
      <c r="AB261" s="3">
        <f>682.9+(287.3-122.1)+(-1.393116+(-0.586092--0.249084))+0-115.5--0.235619999999995</f>
        <v>731.10549600000002</v>
      </c>
      <c r="AC261" s="3">
        <f>560.8+(372.7-99.2)+(-0.286008+(-0.190077--0.050592))+0-119.7--0.0610469999999879</f>
        <v>714.23555399999998</v>
      </c>
      <c r="AD261" s="2">
        <v>604.69999999999993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491.4+(391.6-130.3)+(-1.002456+(-0.798864--0.265812))+0-111.8--0.228071999999995</f>
        <v>639.59256400000004</v>
      </c>
      <c r="G262" s="3">
        <f>508.4+(411.4-175.1)+(-0.518568+(-0.419628--0.178602))+0-119.3--0.121686000000019</f>
        <v>624.76209200000005</v>
      </c>
      <c r="H262" s="3">
        <f>510.2+(353.7-202.6)+(-0.260202+(-0.180387--0.103326))+0-109.2--0.0556919999999889</f>
        <v>551.81842899999992</v>
      </c>
      <c r="I262" s="3">
        <f>512.7+(278.7-169.6)+(0.261477+(0.142137-0.086496))+0-114.2-0.0582419999999884</f>
        <v>507.85887600000012</v>
      </c>
      <c r="J262" s="3">
        <f>506.4+(272.6-139)+(-1.033056+(-0.556104--0.28356))+0-118--0.240719999999995</f>
        <v>520.93511999999998</v>
      </c>
      <c r="K262" s="3">
        <f>513.4+(286.2-136.3)+(0.523668+(0.291924-0.139026))+0-116.9-0.119238000000019</f>
        <v>546.95732799999996</v>
      </c>
      <c r="L262" s="3">
        <f>509.8+(284.9-145.4)+(-0.259998+(-0.145299--0.074154))+0-109.9--0.0560489999999889</f>
        <v>539.12490600000001</v>
      </c>
      <c r="M262" s="3">
        <f>518.5+(283.5-114.8)+(-0.264435+(-0.144585--0.058548))+0-117.6--0.0599759999999881</f>
        <v>569.30950400000006</v>
      </c>
      <c r="N262" s="3">
        <f>567.8+(258.6-142.8)+(0.868734+(0.395658-0.218484))+0-106.7-0.163251000000006</f>
        <v>577.78265699999986</v>
      </c>
      <c r="O262" s="3">
        <f>666.3+(195.8-235.5)+(0.339813+(0.099858-0.120105))+0-90.8-0.0463079999999908</f>
        <v>536.07325800000001</v>
      </c>
      <c r="P262" s="3">
        <f>693.5+(155.2-236.7)+(1.41474+(0.316608-0.482868))+0-69.3-0.141371999999997</f>
        <v>543.80710799999997</v>
      </c>
      <c r="Q262" s="3">
        <f>698.3+(172.5-252.6)+(-1.068399+(-0.263925--0.386478))+0-73.8--0.112914000000004</f>
        <v>543.56706800000006</v>
      </c>
      <c r="R262" s="3">
        <f>702.8+(190.6-283)+(-2.150568+(-0.583236--0.86598))+0-62.6--0.191556000000007</f>
        <v>546.1237319999999</v>
      </c>
      <c r="S262" s="3">
        <f>702.8+(230.1-321.9)+(-0.716856+(-0.234702--0.328338))+0-79.4--0.0809880000000127</f>
        <v>531.05776800000012</v>
      </c>
      <c r="T262" s="3">
        <f>701.8+(237.5-310.4)+(-0.357918+(-0.121125--0.158304))+0-117.9--0.060128999999988</f>
        <v>510.73938999999996</v>
      </c>
      <c r="U262" s="3">
        <f>704.7+(251.9-260.7)+(0.718794+(0.256938-0.265914))+0-114.6-0.116892000000018</f>
        <v>581.8929260000001</v>
      </c>
      <c r="V262" s="3">
        <f>708.1+(264.1-81.2)+(-1.444524+(-0.538764--0.165648))+0-117.8--0.240311999999995</f>
        <v>771.62267200000008</v>
      </c>
      <c r="W262" s="3">
        <f>747.2+(316.9-60.7)+(0.381072+(0.161619-0.030957))+0-128.8-0.0656879999999869</f>
        <v>875.04604600000005</v>
      </c>
      <c r="X262" s="3">
        <f>740.8+(312.9-78)+(-2.266848+(-0.957474--0.23868))+0-116.9--0.357714000000014</f>
        <v>856.17207199999996</v>
      </c>
      <c r="Y262" s="3">
        <f>739.1+(277.6-104.3)+(-1.507764+(-0.566304--0.212772))+0-115--0.234599999999995</f>
        <v>795.77330400000005</v>
      </c>
      <c r="Z262" s="3">
        <f>739.4+(284.1-142.8)+(-1.508376+(-0.579564--0.291312))+0-120.2--0.245207999999995</f>
        <v>758.94857999999999</v>
      </c>
      <c r="AA262" s="3">
        <f>741.6+(322.6-220.5)+(-0.756432+(-0.329052--0.22491))+0-108--0.110160000000017</f>
        <v>734.94958600000007</v>
      </c>
      <c r="AB262" s="3">
        <f>741.6+(330.2-271.9)+(-0.378216+(-0.168402--0.138669))+0-98.4--0.05018399999999</f>
        <v>701.14223500000003</v>
      </c>
      <c r="AC262" s="3">
        <f>702.7+(299.6-268.5)+(-1.791885+(-0.76398--0.684675))+0-110.6--0.282029999999984</f>
        <v>621.61084000000005</v>
      </c>
      <c r="AD262" s="2">
        <v>582.5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658.9+(336.8-260.3)+(0+(0-0))+0-103.1-0</f>
        <v>632.29999999999995</v>
      </c>
      <c r="G263" s="3">
        <f>675.8+(357.3-325.7)+(-1.033974+(-0.546669--0.498321))+0-118.9--0.181917000000007</f>
        <v>587.59959500000002</v>
      </c>
      <c r="H263" s="3">
        <f>714.7+(298.1-276.9)+(0+(0-0))+0-118.7-0</f>
        <v>617.20000000000005</v>
      </c>
      <c r="I263" s="3">
        <f>715.1+(342.4-305.2)+(0.729402+(0.349248-0.311304))+0-123.1-0.12556200000002</f>
        <v>629.84178399999985</v>
      </c>
      <c r="J263" s="3">
        <f>709.6+(327.6-261.9)+(-1.085688+(-0.501228--0.400707))+0-136.6--0.208998000000008</f>
        <v>637.72278900000003</v>
      </c>
      <c r="K263" s="3">
        <f>716.8+(295.6-267.1)+(1.096704+(0.452268-0.408663))+0-123.5-0.188955000000007</f>
        <v>622.75135399999999</v>
      </c>
      <c r="L263" s="3">
        <f>705.1+(261.4-267.2)+(-0.719202+(-0.266628--0.272544))+0-99.6--0.101592000000016</f>
        <v>599.08830599999987</v>
      </c>
      <c r="M263" s="3">
        <f>700.9+(146.8-214.6)+(-2.144754+(-0.449208--0.656676))+0-94.6--0.289476000000011</f>
        <v>536.85219000000006</v>
      </c>
      <c r="N263" s="3">
        <f>709.5+(75-181)+(-1.085535+(-0.11475--0.27693))+0-106.4--0.162792000000006</f>
        <v>496.33943700000003</v>
      </c>
      <c r="O263" s="3">
        <f>716.5+(51.3-190.4)+(0+(0-0))+0-119.2-0</f>
        <v>458.2</v>
      </c>
      <c r="P263" s="3">
        <f>707.7+(61.3-169.6)+(0+(0-0))+0-126-0</f>
        <v>473.40000000000009</v>
      </c>
      <c r="Q263" s="3">
        <f>702.4+(59.1-165.9)+(-0.716448+(-0.060282--0.169218))+0-118.5--0.120870000000019</f>
        <v>476.61335799999989</v>
      </c>
      <c r="R263" s="3">
        <f>686.1+(64.7-156.7)+(-1.399644+(-0.131988--0.319668))+0-123.1--0.251123999999995</f>
        <v>470.03916000000004</v>
      </c>
      <c r="S263" s="3">
        <f>588.4+(120.1-120.8)+(-0.300084+(-0.061251--0.061608))+0-122.6--0.0625259999999876</f>
        <v>464.86279899999994</v>
      </c>
      <c r="T263" s="3">
        <f>564+(128-114.2)+(-2.01348+(-0.45696--0.407694))+0-83.5--0.298095000000001</f>
        <v>492.535349</v>
      </c>
      <c r="U263" s="3">
        <f>540.2+(133.6-73.4)+(0.275502+(0.068136-0.037434))+0-109.6-0.0558959999999889</f>
        <v>491.05030800000009</v>
      </c>
      <c r="V263" s="3">
        <f>535.2+(206.4-49.7)+(-0.272952+(-0.105264--0.025347))+0-125.7--0.0641069999999872</f>
        <v>565.91123800000003</v>
      </c>
      <c r="W263" s="3">
        <f>658.6+(186.5-53.1)+(0+(0-0))+0-131.6-0</f>
        <v>660.4</v>
      </c>
      <c r="X263" s="3">
        <f>670.1+(163.9-62.6)+(-1.025253+(-0.250767--0.095778))+0-98.8--0.151164000000006</f>
        <v>671.57092200000011</v>
      </c>
      <c r="Y263" s="3">
        <f>669.1+(162.2-51.3)+(-1.023723+(-0.248166--0.078489))+0-117.1--0.179163000000007</f>
        <v>661.885763</v>
      </c>
      <c r="Z263" s="3">
        <f>666.2+(172.8-71.1)+(-1.69881+(-0.44064--0.181305))+0-139--0.35444999999998</f>
        <v>627.29630500000007</v>
      </c>
      <c r="AA263" s="3">
        <f>668.3+(169.3-93.3)+(0+(0-0))+0-134.7-0</f>
        <v>609.59999999999991</v>
      </c>
      <c r="AB263" s="3">
        <f>522.1+(259.1-54.1)+(-1.065084+(-0.528564--0.110364))+0-137.1--0.279683999999994</f>
        <v>588.79639999999995</v>
      </c>
      <c r="AC263" s="3">
        <f>465.9+(268.4-65.5)+(-1.663263+(-0.958188--0.233835))+0-134.9--0.481593000000002</f>
        <v>531.99397699999997</v>
      </c>
      <c r="AD263" s="2">
        <v>532.5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485.6+(249.8-87.6)+(1.23828+(0.63699-0.22338))+0-134.2-0.34220999999998</f>
        <v>514.90967999999998</v>
      </c>
      <c r="G264" s="3">
        <f>480.9+(278.7-100.9)+(0.490518+(0.284274-0.102918))+0-128.4-0.13096800000002</f>
        <v>530.8409059999999</v>
      </c>
      <c r="H264" s="3">
        <f>468.9+(288.6-95.6)+(-0.717417+(-0.441558--0.146268))+0-138.5--0.211905000000008</f>
        <v>522.599198</v>
      </c>
      <c r="I264" s="3">
        <f>456.8+(275.9-83)+(0+(0-0))+0-125.3-0</f>
        <v>524.40000000000009</v>
      </c>
      <c r="J264" s="3">
        <f>457.2+(284.3-106)+(0.233172+(0.144993-0.05406))+0-87.1-0.0444209999999912</f>
        <v>548.67968400000007</v>
      </c>
      <c r="K264" s="3">
        <f>463.7+(275.9-101.6)+(0.945948+(0.562836-0.207264))+0-111.4-0.227255999999995</f>
        <v>527.67426399999999</v>
      </c>
      <c r="L264" s="3">
        <f>462.3+(223.5-84.3)+(0.707319+(0.341955-0.128979))+0-118.8-0.181764000000007</f>
        <v>483.43853100000001</v>
      </c>
      <c r="M264" s="3">
        <f>458.4+(187.9-69.1)+(-0.701352+(-0.287487--0.105723))+0-105.5--0.161415000000006</f>
        <v>470.97829900000011</v>
      </c>
      <c r="N264" s="3">
        <f>481.7+(222.5-20.4)+(0.245667+(0.113475-0.010404))+0-120-0.0611999999999878</f>
        <v>564.087538</v>
      </c>
      <c r="O264" s="3">
        <f>505.6+(241.3-0)+(-1.031424+(-0.492252-0))+0-121.8--0.248471999999995</f>
        <v>623.82479600000011</v>
      </c>
      <c r="P264" s="3">
        <f>598.2+(185.5-9.3)+(0.610164+(0.18921-0.009486))+0-91.7-0.0935340000000146</f>
        <v>683.39635400000009</v>
      </c>
      <c r="Q264" s="3">
        <f>600.4+(195.7-27.2)+(-0.612408+(-0.199614--0.027744))+0-94.1--0.095982000000015</f>
        <v>674.11170400000003</v>
      </c>
      <c r="R264" s="3">
        <f>601+(189.7-0)+(-0.91953+(-0.290241-0))+0-131.2--0.200736000000008</f>
        <v>658.49096499999996</v>
      </c>
      <c r="S264" s="3">
        <f>609.8+(187-33.2)+(-0.310998+(-0.09537--0.016932))+0-132.2--0.0674219999999866</f>
        <v>631.0779859999999</v>
      </c>
      <c r="T264" s="3">
        <f>613.5+(183.9-40.9)+(0.312885+(0.093789-0.020859))+0-141.4-0.0721139999999857</f>
        <v>615.41370100000006</v>
      </c>
      <c r="U264" s="3">
        <f>614.9+(192.3-66)+(-0.313599+(-0.098073--0.03366))+0-116.1--0.0592109999999882</f>
        <v>624.78119900000002</v>
      </c>
      <c r="V264" s="3">
        <f>651.9+(205-33)+(0.332469+(0.10455-0.01683))+0-143-0.0729299999999855</f>
        <v>681.24725899999999</v>
      </c>
      <c r="W264" s="3">
        <f>674.5+(264.1-14.5)+(-0.68799+(-0.269382--0.01479))+0-131.9--0.134538000000021</f>
        <v>791.39195600000005</v>
      </c>
      <c r="X264" s="3">
        <f>670.5+(261.7-16.9)+(-0.68391+(-0.266934--0.017238))+0-152.5--0.155550000000024</f>
        <v>762.02194399999996</v>
      </c>
      <c r="Y264" s="3">
        <f>663+(280.4-1.9)+(-1.35252+(-0.572016--0.003876))+0-148.8--0.303551999999994</f>
        <v>791.08289200000002</v>
      </c>
      <c r="Z264" s="3">
        <f>674.6+(231.7-14.2)+(0+(0-0))+0-125.1-0</f>
        <v>767</v>
      </c>
      <c r="AA264" s="3">
        <f>663.7+(190.7-3.8)+(-2.369409+(-0.680799--0.013566))+0-129.9--0.463743000000002</f>
        <v>718.12710100000004</v>
      </c>
      <c r="AB264" s="3">
        <f>671+(186.8-47.5)+(-0.68442+(-0.190536--0.04845))+0-120.7--0.123114000000019</f>
        <v>688.8966079999999</v>
      </c>
      <c r="AC264" s="3">
        <f>610.4+(225-66.9)+(-1.245216+(-0.459--0.136476))+0-156.3--0.318851999999993</f>
        <v>610.95111200000008</v>
      </c>
      <c r="AD264" s="2">
        <v>624.79999999999995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473.9+(383.1-69.9)+(-0.966756+(-0.781524--0.142596))+0-133.7--0.272747999999994</f>
        <v>652.06706399999996</v>
      </c>
      <c r="G265" s="3">
        <f>483.4+(334.4-57.1)+(0+(0-0))+0-145.9-0</f>
        <v>614.79999999999995</v>
      </c>
      <c r="H265" s="3">
        <f>481.1+(338.1-71.3)+(-0.981444+(-0.689724--0.145452))+0-149.3--0.304571999999994</f>
        <v>597.37885600000004</v>
      </c>
      <c r="I265" s="3">
        <f>499.3+(271.3-84.2)+(1.018572+(0.553452-0.171768))+0-134-0.273359999999994</f>
        <v>553.52689600000008</v>
      </c>
      <c r="J265" s="3">
        <f>493+(313.3-76.6)+(0.25143+(0.159783-0.039066))+0-137.2-0.0699719999999861</f>
        <v>592.80217500000003</v>
      </c>
      <c r="K265" s="3">
        <f>492+(278.7-83.8)+(0+(0-0))+0-138.6-0</f>
        <v>548.29999999999995</v>
      </c>
      <c r="L265" s="3">
        <f>490.9+(254.5-46.7)+(0+(0-0))+0-144.1-0</f>
        <v>554.6</v>
      </c>
      <c r="M265" s="3">
        <f>494.4+(224.6-35.8)+(0.504288+(0.229092-0.036516))+0-142.1-0.144942000000023</f>
        <v>541.65192200000001</v>
      </c>
      <c r="N265" s="3">
        <f>493.2+(229.3-19.1)+(-0.503064+(-0.233886--0.019482))+0-136.2--0.138924000000022</f>
        <v>566.62145599999997</v>
      </c>
      <c r="O265" s="3">
        <f>526.3+(202.8-53.1)+(0.805239+(0.310284-0.081243))+0-135.9-0.207927000000008</f>
        <v>540.92635299999995</v>
      </c>
      <c r="P265" s="3">
        <f>619.2+(130.9-70.4)+(-0.315792+(-0.066759--0.035904))+0-125--0.0637499999999873</f>
        <v>554.41710300000011</v>
      </c>
      <c r="Q265" s="3">
        <f>686.9+(87.5-163.4)+(-2.101914+(-0.26775--0.500004))+0-136.2--0.416772000000016</f>
        <v>473.3471120000001</v>
      </c>
      <c r="R265" s="3">
        <f>683.8+(62.1-178.2)+(0.697476+(0.063342-0.181764))+0-132.2-0.134844000000021</f>
        <v>435.94420999999994</v>
      </c>
      <c r="S265" s="3">
        <f>676.3+(53.3-169.1)+(0+(0-0))+0-131.7-0</f>
        <v>428.8</v>
      </c>
      <c r="T265" s="3">
        <f>585.8+(89.2-138.1)+(0+(0-0))+0-138.3-0</f>
        <v>398.59999999999997</v>
      </c>
      <c r="U265" s="3">
        <f>583.9+(94.9-95.6)+(-0.595578+(-0.096798--0.097512))+0-134.6--0.137292000000021</f>
        <v>448.142428</v>
      </c>
      <c r="V265" s="3">
        <f>606.2+(108.3-78.7)+(0+(0-0))+0-133.3-0</f>
        <v>502.50000000000006</v>
      </c>
      <c r="W265" s="3">
        <f>663.8+(197.5-97.8)+(-0.338538+(-0.100725--0.049878))+0-131.1--0.0668609999999867</f>
        <v>632.07747600000005</v>
      </c>
      <c r="X265" s="3">
        <f>666.1+(205.7-99.9)+(-1.698555+(-0.524535--0.254745))+0-141--0.35954999999998</f>
        <v>629.29120499999999</v>
      </c>
      <c r="Y265" s="3">
        <f>668.2+(128-88.7)+(-1.363128+(-0.26112--0.180948))+0-128.3--0.261731999999994</f>
        <v>578.01843199999985</v>
      </c>
      <c r="Z265" s="3">
        <f>681+(102.8-75)+(-0.69462+(-0.104856--0.0765))+0-145.5--0.148410000000023</f>
        <v>562.72543399999995</v>
      </c>
      <c r="AA265" s="3">
        <f>683+(80.7-104.7)+(-0.69666+(-0.082314--0.106794))+0-134.8--0.137496000000022</f>
        <v>523.66531600000008</v>
      </c>
      <c r="AB265" s="3">
        <f>673.7+(94.4-170.2)+(-1.030761+(-0.144432--0.260406))+0-146.4--0.223992000000008</f>
        <v>450.80920500000008</v>
      </c>
      <c r="AC265" s="3">
        <f>537.7+(104-115.9)+(-1.371135+(-0.2652--0.295545))+0-126.5--0.322574999999982</f>
        <v>398.28178500000007</v>
      </c>
      <c r="AD265" s="2">
        <v>620.19999999999993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484+(141.4-143.6)+(0.49368+(0.144228-0.146472))+0-125.5-0.12801000000002</f>
        <v>356.66342600000002</v>
      </c>
      <c r="G266" s="3">
        <f>456.8+(152.7-131)+(-0.465936+(-0.155754--0.13362))+0-140.5--0.143310000000022</f>
        <v>337.65524000000005</v>
      </c>
      <c r="H266" s="3">
        <f>456.4+(133.4-121.7)+(-0.465528+(-0.136068--0.124134))+0-124.4--0.12688800000002</f>
        <v>343.34942599999999</v>
      </c>
      <c r="I266" s="3">
        <f>461.4+(149.9-119.4)+(0.705942+(0.229347-0.182682))+0-140.3-0.214659000000008</f>
        <v>352.13794799999999</v>
      </c>
      <c r="J266" s="3">
        <f>459.1+(139.2-93.3)+(0.234141+(0.070992-0.047583))+0-129.6-0.0660959999999868</f>
        <v>375.59145400000006</v>
      </c>
      <c r="K266" s="3">
        <f>453.7+(219.3-81.7)+(-0.462774+(-0.223686--0.083334))+0-130.3--0.132906000000021</f>
        <v>460.52978000000002</v>
      </c>
      <c r="L266" s="3">
        <f>457.9+(200.6-50)+(-0.233529+(-0.102306--0.0255))+0-132.4--0.0675239999999866</f>
        <v>475.85718900000001</v>
      </c>
      <c r="M266" s="3">
        <f>462+(153.9-100.2)+(-0.23562+(-0.078489--0.051102))+0-113.2--0.0577319999999885</f>
        <v>402.29472500000003</v>
      </c>
      <c r="N266" s="3">
        <f>474.2+(162.9-94)+(0.241842+(0.083079-0.04794))+0-129.9-0.0662489999999868</f>
        <v>413.41073200000005</v>
      </c>
      <c r="O266" s="3">
        <f>502.4+(140.8-114)+(1.024896+(0.287232-0.23256))+0-114.4-0.233375999999995</f>
        <v>415.64619200000004</v>
      </c>
      <c r="P266" s="3">
        <f>576+(101.9-136.6)+(-0.29376+(-0.051969--0.069666))+0-133.2--0.0679319999999865</f>
        <v>407.89186899999993</v>
      </c>
      <c r="Q266" s="3">
        <f>534.2+(135-91.7)+(-0.544884+(-0.1377--0.093534))+0-122.2--0.124644000000019</f>
        <v>454.83559400000001</v>
      </c>
      <c r="R266" s="3">
        <f>403.6+(215-59.8)+(-0.411672+(-0.2193--0.060996))+0-133.2--0.135864000000021</f>
        <v>425.165888</v>
      </c>
      <c r="S266" s="3">
        <f>422.5+(186.1-106.1)+(0.215475+(0.094911-0.054111))+0-128.9-0.0657389999999869</f>
        <v>373.79053599999997</v>
      </c>
      <c r="T266" s="3">
        <f>485.4+(168.6-148.5)+(0.742662+(0.257958-0.227205))+0-114-0.174420000000007</f>
        <v>392.098995</v>
      </c>
      <c r="U266" s="3">
        <f>514.4+(153.1-152.2)+(0.262344+(0.078081-0.077622))+0-136.3-0.0695129999999862</f>
        <v>379.19328999999993</v>
      </c>
      <c r="V266" s="3">
        <f>601.9+(112.9-111.2)+(-0.306969+(-0.057579--0.056712))+0-140--0.0713999999999858</f>
        <v>463.36356400000005</v>
      </c>
      <c r="W266" s="3">
        <f>678.5+(144.4-92.4)+(-0.69207+(-0.147288--0.094248))+0-143.7--0.146574000000023</f>
        <v>586.2014640000001</v>
      </c>
      <c r="X266" s="3">
        <f>689.2+(152.3-98.3)+(0.351492+(0.077673-0.050133))+0-151.5-0.0772649999999846</f>
        <v>592.00176700000009</v>
      </c>
      <c r="Y266" s="3">
        <f>689.7+(125.1-102.6)+(-0.351747+(-0.063801--0.052326))+0-134--0.0683399999999864</f>
        <v>577.90511800000013</v>
      </c>
      <c r="Z266" s="3">
        <f>684.1+(111.4-96.7)+(-2.442237+(-0.397698--0.345219))+0-141--0.503370000000002</f>
        <v>555.80865400000005</v>
      </c>
      <c r="AA266" s="3">
        <f>685.9+(75.3-111.6)+(-1.749045+(-0.192015--0.28458))+0-129.7--0.330734999999981</f>
        <v>518.57425499999999</v>
      </c>
      <c r="AB266" s="3">
        <f>644.2+(82.4-137.9)+(0+(0-0))+0-136-0</f>
        <v>452.70000000000005</v>
      </c>
      <c r="AC266" s="3">
        <f>476.7+(127-102.4)+(-0.729351+(-0.19431--0.156672))+0-135--0.206550000000008</f>
        <v>365.73956099999992</v>
      </c>
      <c r="AD266" s="2">
        <v>608.29999999999995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457.2+(132.3-136.4)+(-0.932688+(-0.269892--0.278256))+0-138.7--0.282947999999994</f>
        <v>313.758624</v>
      </c>
      <c r="G267" s="3">
        <f>459.4+(130.9-107.1)+(-0.468588+(-0.133518--0.109242))+0-140.2--0.143004000000022</f>
        <v>342.65014000000002</v>
      </c>
      <c r="H267" s="3">
        <f>456.8+(134-116.3)+(-0.931872+(-0.27336--0.237252))+0-136.3--0.278051999999994</f>
        <v>337.51007199999998</v>
      </c>
      <c r="I267" s="3">
        <f>462.4+(131.7-81.6)+(0.235824+(0.067167-0.041616))+0-114.9-0.0585989999999883</f>
        <v>397.80277600000005</v>
      </c>
      <c r="J267" s="3">
        <f>462.4+(119.5-116.8)+(0+(0-0))+0-118.6-0</f>
        <v>346.5</v>
      </c>
      <c r="K267" s="3">
        <f>465.4+(114.7-176)+(0.712062+(0.175491-0.26928))+0-113-0.172890000000007</f>
        <v>291.54538299999996</v>
      </c>
      <c r="L267" s="3">
        <f>460.6+(128.4-120)+(0+(0-0))+0-129.2-0</f>
        <v>339.8</v>
      </c>
      <c r="M267" s="3">
        <f>501.3+(119.2-137.7)+(0.511326+(0.121584-0.140454))+0-132.4-0.135048000000021</f>
        <v>350.757408</v>
      </c>
      <c r="N267" s="3">
        <f>553.9+(99.6-155.3)+(0.564978+(0.101592-0.158406))+0-115.9-0.118218000000018</f>
        <v>382.68994599999991</v>
      </c>
      <c r="O267" s="3">
        <f>575.3+(87.5-133.9)+(0+(0-0))+0-140-0</f>
        <v>388.9</v>
      </c>
      <c r="P267" s="3">
        <f>615+(77.4-133.8)+(0+(0-0))+0-103-0</f>
        <v>455.6</v>
      </c>
      <c r="Q267" s="3">
        <f>656.6+(80.1-122.6)+(-1.004598+(-0.122553--0.187578))+0-136.7--0.209151000000008</f>
        <v>476.66957800000006</v>
      </c>
      <c r="R267" s="3">
        <f>681.7+(49.8-144.1)+(-0.347667+(-0.025398--0.073491))+0-134.4--0.0685439999999864</f>
        <v>452.76897000000008</v>
      </c>
      <c r="S267" s="3">
        <f>659.1+(41.1-180.4)+(-1.344564+(-0.083844--0.368016))+0-121.7--0.248267999999995</f>
        <v>397.28787599999998</v>
      </c>
      <c r="T267" s="3">
        <f>608.2+(44.9-142.9)+(-0.310182+(-0.022899--0.072879))+0-101.9--0.0519689999999897</f>
        <v>408.091767</v>
      </c>
      <c r="U267" s="3">
        <f>611+(76.4-62.5)+(0.62322+(0.077928-0.06375))+0-103.4-0.105468000000016</f>
        <v>522.03192999999999</v>
      </c>
      <c r="V267" s="3">
        <f>610.3+(191.4-0)+(-0.622506+(-0.195228-0))+0-120.3--0.122706000000019</f>
        <v>680.704972</v>
      </c>
      <c r="W267" s="3">
        <f>694.3+(160.1-34.7)+(1.062279+(0.244953-0.053091))+0-120.2-0.183906000000007</f>
        <v>700.57023499999991</v>
      </c>
      <c r="X267" s="3">
        <f>682.5+(167.3-54.6)+(-1.3923+(-0.341292--0.111384))+0-120.3--0.245411999999995</f>
        <v>673.52320400000008</v>
      </c>
      <c r="Y267" s="3">
        <f>672.8+(129-38.1)+(-1.029384+(-0.19737--0.058293))+0-129.9--0.198747000000008</f>
        <v>632.830286</v>
      </c>
      <c r="Z267" s="3">
        <f>506.6+(215.6-0)+(0.516732+(0.219912-0))+0-122.7-0.12515400000002</f>
        <v>600.11148999999989</v>
      </c>
      <c r="AA267" s="3">
        <f>484.3+(192.7-2.3)+(-1.234965+(-0.491385--0.005865))+0-128.6--0.327929999999981</f>
        <v>544.70744500000001</v>
      </c>
      <c r="AB267" s="3">
        <f>491.4+(265.4-31.2)+(-0.250614+(-0.135354--0.015912))+0-133.9--0.0682889999999864</f>
        <v>591.39823299999989</v>
      </c>
      <c r="AC267" s="3">
        <f>482.6+(331.4-23.5)+(-1.23063+(-0.84507--0.059925))+0-131--0.334049999999981</f>
        <v>657.81827499999997</v>
      </c>
      <c r="AD267" s="2">
        <v>580.29999999999995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488.1+(338.2-27.7)+(-0.746793+(-0.517446--0.042381))+0-132.9--0.203337000000008</f>
        <v>664.68147900000008</v>
      </c>
      <c r="G268" s="3">
        <f>487.3+(308.5-30.5)+(-0.745569+(-0.472005--0.046665))+0-142.8--0.218484000000008</f>
        <v>621.54757499999982</v>
      </c>
      <c r="H268" s="3">
        <f>495.1+(288.9-35)+(0.252501+(0.147339-0.01785))+0-126.6-0.0645659999999871</f>
        <v>622.71742399999994</v>
      </c>
      <c r="I268" s="3">
        <f>484.9+(301-27.1)+(-1.236495+(-0.76755--0.069105))+0-126.6--0.322829999999982</f>
        <v>630.5878899999999</v>
      </c>
      <c r="J268" s="3">
        <f>498.5+(284.9-32.4)+(1.01694+(0.581196-0.066096))+0-136.4-0.278255999999994</f>
        <v>615.85378400000013</v>
      </c>
      <c r="K268" s="3">
        <f>497.2+(292.8-25.6)+(0.507144+(0.298656-0.026112))+0-128-0.13056000000002</f>
        <v>637.04912799999988</v>
      </c>
      <c r="L268" s="3">
        <f>496.9+(266.9-23.5)+(0.506838+(0.272238-0.02397))+0-127-0.12954000000002</f>
        <v>613.92556599999989</v>
      </c>
      <c r="M268" s="3">
        <f>495.1+(251.4-16.7)+(0.505002+(0.256428-0.017034))+0-103.3-0.105366000000016</f>
        <v>627.13903000000016</v>
      </c>
      <c r="N268" s="3">
        <f>494.9+(232.3-0)+(0.504798+(0.236946-0))+0-79.5-0.0810900000000127</f>
        <v>648.36065400000007</v>
      </c>
      <c r="O268" s="3">
        <f>500+(266.3-0)+(0.255+(0.135813-0))+0-66.5-0.0339149999999933</f>
        <v>700.15689799999996</v>
      </c>
      <c r="P268" s="3">
        <f>517+(280.5-0)+(-1.31835+(-0.715275-0))+0-86.7--0.221084999999987</f>
        <v>708.98745999999994</v>
      </c>
      <c r="Q268" s="3">
        <f>556.6+(236.9-0)+(-0.851598+(-0.362457-0))+0-65--0.0994500000000038</f>
        <v>727.38539500000002</v>
      </c>
      <c r="R268" s="3">
        <f>599+(221.1-2.4)+(-1.52745+(-0.563805--0.00612))+0-89.4--0.227969999999987</f>
        <v>726.44283500000006</v>
      </c>
      <c r="S268" s="3">
        <f>602.5+(176.3-0)+(-0.61455+(-0.179826-0))+0-118.4--0.120768000000019</f>
        <v>659.72639199999992</v>
      </c>
      <c r="T268" s="3">
        <f>603.8+(172.7-36.4)+(-0.307938+(-0.088077--0.018564))+0-129.6--0.0660959999999868</f>
        <v>610.18864499999995</v>
      </c>
      <c r="U268" s="3">
        <f>602.3+(201.2-51.6)+(-0.614346+(-0.205224--0.052632))+0-139.2--0.141984000000022</f>
        <v>612.07504600000004</v>
      </c>
      <c r="V268" s="3">
        <f>601.7+(230.1-0)+(-0.920601+(-0.352053-0))+0-132.3--0.202419000000008</f>
        <v>698.42976500000009</v>
      </c>
      <c r="W268" s="3">
        <f>666.5+(246.7-0)+(1.35966+(0.503268-0))+0-157.9-0.322115999999993</f>
        <v>756.84081200000014</v>
      </c>
      <c r="X268" s="3">
        <f>667.1+(236.2-5)+(-1.701105+(-0.60231--0.01275))+0-138.2--0.35240999999998</f>
        <v>758.16174499999988</v>
      </c>
      <c r="Y268" s="3">
        <f>670.9+(220.7-9)+(-0.684318+(-0.225114--0.00918))+0-135.6--0.138312000000022</f>
        <v>746.2380599999999</v>
      </c>
      <c r="Z268" s="3">
        <f>679.8+(189.7-16.8)+(-0.693396+(-0.193494--0.017136))+0-150--0.153000000000024</f>
        <v>701.98324600000001</v>
      </c>
      <c r="AA268" s="3">
        <f>628.3+(217-42.8)+(-1.281732+(-0.44268--0.087312))+0-131.4--0.268055999999994</f>
        <v>669.73095599999999</v>
      </c>
      <c r="AB268" s="3">
        <f>528.1+(260.3-28.1)+(-1.077324+(-0.531012--0.057324))+0-125--0.254999999999995</f>
        <v>634.00398800000005</v>
      </c>
      <c r="AC268" s="3">
        <f>529.9+(209.3-33.1)+(-0.270249+(-0.106743--0.016881))+0-134.3--0.0684929999999864</f>
        <v>571.50838199999998</v>
      </c>
      <c r="AD268" s="2">
        <v>581.4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524.9+(174.7-69)+(-1.070796+(-0.356388--0.14076))+0-142.2--0.290087999999994</f>
        <v>487.40366399999988</v>
      </c>
      <c r="G269" s="3">
        <f>506.8+(199.9-94.3)+(-0.516936+(-0.203898--0.096186))+0-150.4--0.153408000000024</f>
        <v>461.52876000000003</v>
      </c>
      <c r="H269" s="3">
        <f>448.9+(275.9-90)+(-0.457878+(-0.281418--0.0918))+0-146.9--0.149838000000023</f>
        <v>487.40234199999998</v>
      </c>
      <c r="I269" s="3">
        <f>446.9+(255.8-85.6)+(-0.683757+(-0.391374--0.130968))+0-140.7--0.215271000000008</f>
        <v>475.67110800000006</v>
      </c>
      <c r="J269" s="3">
        <f>449.4+(225.7-87.4)+(-0.229194+(-0.115107--0.044574))+0-144.2--0.0735419999999854</f>
        <v>443.27381499999996</v>
      </c>
      <c r="K269" s="3">
        <f>458.5+(203.8-69.8)+(1.169175+(0.51969-0.17799))+0-136-0.34679999999998</f>
        <v>457.66407500000008</v>
      </c>
      <c r="L269" s="3">
        <f>524.3+(190.3-53.9)+(-2.139144+(-0.776424--0.219912))+0-139.3--0.568343999999988</f>
        <v>519.27268800000002</v>
      </c>
      <c r="M269" s="3">
        <f>571.7+(167.6-59.1)+(0.291567+(0.085476-0.030141))+0-139.6-0.0711959999999858</f>
        <v>540.87570600000004</v>
      </c>
      <c r="N269" s="3">
        <f>611.3+(121.3-23.2)+(0.935289+(0.185589-0.035496))+0-144.3-0.220779000000008</f>
        <v>565.9646029999999</v>
      </c>
      <c r="O269" s="3">
        <f>651.8+(169.7-30.6)+(0.997254+(0.259641-0.046818))+0-146-0.223380000000008</f>
        <v>645.88669699999991</v>
      </c>
      <c r="P269" s="3">
        <f>681.7+(172.3-9.5)+(0+(0-0))+0-157.4-0</f>
        <v>687.1</v>
      </c>
      <c r="Q269" s="3">
        <f>680.3+(157-14.3)+(0.346953+(0.08007-0.007293))+0-140.9-0.0718589999999857</f>
        <v>682.44787099999996</v>
      </c>
      <c r="R269" s="3">
        <f>662.2+(147.5-3.7)+(-1.350888+(-0.3009--0.007548))+0-143.4--0.292535999999994</f>
        <v>661.2482960000001</v>
      </c>
      <c r="S269" s="3">
        <f>667.3+(131.1-36.6)+(0+(0-0))+0-146.5-0</f>
        <v>615.29999999999995</v>
      </c>
      <c r="T269" s="3">
        <f>675.4+(100.9-70.5)+(1.033362+(0.154377-0.107865))+0-130.6-0.199818000000008</f>
        <v>576.0800559999999</v>
      </c>
      <c r="U269" s="3">
        <f>670+(118.2-72.8)+(0.3417+(0.060282-0.037128))+0-112.6-0.0574259999999886</f>
        <v>603.10742800000003</v>
      </c>
      <c r="V269" s="3">
        <f>665.8+(144.4-21.9)+(-0.339558+(-0.073644--0.011169))+0-123.8--0.0631379999999874</f>
        <v>664.16110500000002</v>
      </c>
      <c r="W269" s="3">
        <f>676.7+(233.7-13.1)+(0.345117+(0.119187-0.006681))+0-126-0.0642599999999872</f>
        <v>771.69336300000009</v>
      </c>
      <c r="X269" s="3">
        <f>675.1+(247.5-2.6)+(-0.688602+(-0.25245--0.002652))+0-144.5--0.147390000000023</f>
        <v>774.70898999999997</v>
      </c>
      <c r="Y269" s="3">
        <f>671.5+(221.7-9.2)+(-1.712325+(-0.565335--0.02346))+0-145--0.369749999999979</f>
        <v>737.11554999999998</v>
      </c>
      <c r="Z269" s="3">
        <f>677.4+(168.6-32.1)+(-0.345474+(-0.085986--0.016371))+0-140.6--0.0717059999999857</f>
        <v>672.95661699999994</v>
      </c>
      <c r="AA269" s="3">
        <f>676.3+(179.2-67)+(-1.034739+(-0.274176--0.10251))+0-146.6--0.224298000000008</f>
        <v>640.91789299999994</v>
      </c>
      <c r="AB269" s="3">
        <f>679.4+(185.4-75.9)+(-0.692988+(-0.189108--0.077418))+0-150.5--0.153510000000024</f>
        <v>637.74883199999999</v>
      </c>
      <c r="AC269" s="3">
        <f>632.4+(148.7-61.3)+(-0.967572+(-0.227511--0.093789))+0-143.7--0.219861000000008</f>
        <v>575.21856699999989</v>
      </c>
      <c r="AD269" s="2">
        <v>593.69999999999993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527+(196.1-20.2)+(-1.34385+(-0.500055--0.05151))+0-148.4--0.378419999999979</f>
        <v>553.08602499999995</v>
      </c>
      <c r="G270" s="3">
        <f>525.5+(174.7-36)+(-0.804015+(-0.267291--0.05508))+0-137.8--0.210834000000008</f>
        <v>525.59460800000011</v>
      </c>
      <c r="H270" s="3">
        <f>451+(204.7-21.4)+(-1.15005+(-0.521985--0.05457))+0-149.3--0.380714999999978</f>
        <v>483.76324999999986</v>
      </c>
      <c r="I270" s="3">
        <f>400.6+(234.2-11.4)+(-0.408612+(-0.238884--0.011628))+0-148.2--0.151164000000024</f>
        <v>474.71529600000008</v>
      </c>
      <c r="J270" s="3">
        <f>404.1+(191.9-10)+(0+(0-0))+0-142.7-0</f>
        <v>443.3</v>
      </c>
      <c r="K270" s="3">
        <f>398.6+(190.4-11.7)+(-0.813144+(-0.388416--0.023868))+0-149.6--0.305183999999993</f>
        <v>426.82749200000006</v>
      </c>
      <c r="L270" s="3">
        <f>397.3+(171.9-8.4)+(-1.013115+(-0.438345--0.02142))+0-137--0.34934999999998</f>
        <v>422.71930999999995</v>
      </c>
      <c r="M270" s="3">
        <f>399.6+(198.8-20.8)+(-0.407592+(-0.202776--0.021216))+0-148.1--0.151062000000024</f>
        <v>429.06191000000001</v>
      </c>
      <c r="N270" s="3">
        <f>409.3+(195.5-44.6)+(0.626229+(0.299115-0.068238))+0-132.9-0.203337000000008</f>
        <v>427.95376900000008</v>
      </c>
      <c r="O270" s="3">
        <f>503+(149.1-54.5)+(-0.51306+(-0.152082--0.05559))+0-145.3--0.148206000000023</f>
        <v>451.83865400000002</v>
      </c>
      <c r="P270" s="3">
        <f>516.2+(176.3-53.8)+(-0.789786+(-0.269739--0.082314))+0-140.6--0.215118000000008</f>
        <v>497.33790700000003</v>
      </c>
      <c r="Q270" s="3">
        <f>525.1+(153-32.2)+(-0.535602+(-0.15606--0.032844))+0-145.5--0.148410000000023</f>
        <v>499.88959199999999</v>
      </c>
      <c r="R270" s="3">
        <f>531.1+(152.3-33.2)+(-0.812583+(-0.233019--0.050796))+0-149--0.227970000000009</f>
        <v>500.43316400000003</v>
      </c>
      <c r="S270" s="3">
        <f>527.3+(145.2-47.7)+(-1.344615+(-0.37026--0.121635))+0-135.3--0.34501499999998</f>
        <v>488.2517749999999</v>
      </c>
      <c r="T270" s="3">
        <f>536.1+(134.8-39.9)+(0.273411+(0.068748-0.020349))+0-142-0.0724199999999856</f>
        <v>489.24939000000006</v>
      </c>
      <c r="U270" s="3">
        <f>534.3+(151.7-59.7)+(0+(0-0))+0-138-0</f>
        <v>488.29999999999995</v>
      </c>
      <c r="V270" s="3">
        <f>533.3+(265.6-129)+(-0.271983+(-0.135456--0.06579))+0-152.7--0.0778769999999845</f>
        <v>516.93622800000003</v>
      </c>
      <c r="W270" s="3">
        <f>533.4+(338.3-81.8)+(-0.272034+(-0.172533--0.041718))+0-161.6--0.0824159999999836</f>
        <v>627.97956699999997</v>
      </c>
      <c r="X270" s="3">
        <f>530.3+(295-57)+(-0.811359+(-0.45135--0.08721))+0-148.2--0.226746000000009</f>
        <v>619.15124700000001</v>
      </c>
      <c r="Y270" s="3">
        <f>527.7+(265.9-30.2)+(-1.076508+(-0.542436--0.061608))+0-161.8--0.330071999999993</f>
        <v>600.37273600000003</v>
      </c>
      <c r="Z270" s="3">
        <f>532.6+(235.9-0)+(-0.271626+(-0.120309-0))+0-164.7--0.0839969999999833</f>
        <v>603.49206200000003</v>
      </c>
      <c r="AA270" s="3">
        <f>534.7+(232.5-0)+(-0.818091+(-0.355725-0))+0-159.4--0.243882000000009</f>
        <v>606.87006600000007</v>
      </c>
      <c r="AB270" s="3">
        <f>532.1+(248.2-15.4)+(-1.356855+(-0.63291--0.03927))+0-153.1--0.390404999999978</f>
        <v>610.2399099999999</v>
      </c>
      <c r="AC270" s="3">
        <f>532.6+(262.6-71.8)+(-1.086504+(-0.535704--0.146472))+0-154.3--0.314771999999993</f>
        <v>567.93903599999999</v>
      </c>
      <c r="AD270" s="2">
        <v>549.79999999999995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531.9+(269-68.6)+(-0.813807+(-0.41157--0.104958))+0-138.2--0.211446000000008</f>
        <v>593.19102700000008</v>
      </c>
      <c r="G271" s="3">
        <f>533.6+(333.8-95.9)+(-0.544272+(-0.340476--0.097818))+0-151.7--0.154734000000024</f>
        <v>619.16780400000005</v>
      </c>
      <c r="H271" s="3">
        <f>443.9+(366.8-76.4)+(0+(0-0))+0-148.7-0</f>
        <v>585.59999999999991</v>
      </c>
      <c r="I271" s="3">
        <f>429.3+(351.3-92)+(-0.218943+(-0.179163--0.04692))+0-142.3--0.0725729999999856</f>
        <v>546.02138700000012</v>
      </c>
      <c r="J271" s="3">
        <f>433.2+(290-73.7)+(0.220932+(0.1479-0.037587))+0-154.4-0.0787439999999843</f>
        <v>495.35250100000002</v>
      </c>
      <c r="K271" s="3">
        <f>431.5+(289.3-51.6)+(0+(0-0))+0-147.6-0</f>
        <v>521.6</v>
      </c>
      <c r="L271" s="3">
        <f>432.4+(274.9-7.4)+(0.220524+(0.140199-0.003774))+0-139.8-0.0712979999999858</f>
        <v>560.38565099999994</v>
      </c>
      <c r="M271" s="3">
        <f>441.3+(230.4-0)+(0.225063+(0.117504-0))+0-139.5-0.0711449999999858</f>
        <v>532.47142200000008</v>
      </c>
      <c r="N271" s="3">
        <f>540+(118.6-68.8)+(0.8262+(0.181458-0.105264))+0-151.7-0.232101000000009</f>
        <v>438.77029299999992</v>
      </c>
      <c r="O271" s="3">
        <f>537.1+(112.2-50)+(0.273921+(0.057222-0.0255))+0-130.8-0.0667079999999867</f>
        <v>468.73893500000008</v>
      </c>
      <c r="P271" s="3">
        <f>542.1+(107.9-55)+(1.105884+(0.220116-0.1122))+0-127.2-0.259487999999994</f>
        <v>468.75431200000003</v>
      </c>
      <c r="Q271" s="3">
        <f>531.4+(112.1-67.3)+(-0.813042+(-0.171513--0.102969))+0-127.2--0.194616000000007</f>
        <v>448.31302999999997</v>
      </c>
      <c r="R271" s="3">
        <f>531+(116-55.6)+(-1.08324+(-0.23664--0.113424))+0-138.5--0.282539999999994</f>
        <v>451.97608399999996</v>
      </c>
      <c r="S271" s="3">
        <f>534.9+(102.4-58.4)+(0+(0-0))+0-149-0</f>
        <v>429.9</v>
      </c>
      <c r="T271" s="3">
        <f>535.5+(89.5-72.1)+(0+(0-0))+0-142.1-0</f>
        <v>410.79999999999995</v>
      </c>
      <c r="U271" s="3">
        <f>534.2+(97.9-59.1)+(-0.272442+(-0.049929--0.030141))+0-150.4--0.0767039999999847</f>
        <v>422.38447400000001</v>
      </c>
      <c r="V271" s="3">
        <f>532.5+(190.3-43.9)+(-0.814725+(-0.291159--0.067167))+0-152.5--0.233325000000009</f>
        <v>525.59460799999999</v>
      </c>
      <c r="W271" s="3">
        <f>533.8+(274.3-140.9)+(-0.544476+(-0.279786--0.143718))+0-160.6--0.163812000000026</f>
        <v>506.08326799999986</v>
      </c>
      <c r="X271" s="3">
        <f>531.2+(273.8-147.9)+(-1.083648+(-0.558552--0.301716))+0-161.1--0.328643999999993</f>
        <v>494.98816000000005</v>
      </c>
      <c r="Y271" s="3">
        <f>532.1+(227.5-121.1)+(-1.085484+(-0.4641--0.247044))+0-163.8--0.334151999999993</f>
        <v>473.73161199999998</v>
      </c>
      <c r="Z271" s="3">
        <f>536.2+(155.6-89.1)+(0+(0-0))+0-158-0</f>
        <v>444.70000000000005</v>
      </c>
      <c r="AA271" s="3">
        <f>535.1+(127.6-62.7)+(-0.545802+(-0.130152--0.063954))+0-158.3--0.161466000000025</f>
        <v>441.24946600000004</v>
      </c>
      <c r="AB271" s="3">
        <f>535.3+(129.6-84.1)+(-0.273003+(-0.066096--0.042891))+0-154.8--0.0789479999999843</f>
        <v>425.78273999999993</v>
      </c>
      <c r="AC271" s="3">
        <f>503.9+(130.2-65.6)+(-0.770967+(-0.199206--0.100368))+0-139.8--0.213894000000008</f>
        <v>428.04408899999993</v>
      </c>
      <c r="AD271" s="2">
        <v>616.79999999999995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451.6+(153-55.4)+(-0.460632+(-0.15606--0.056508))+0-129--0.131580000000021</f>
        <v>419.77139600000004</v>
      </c>
      <c r="G272" s="3">
        <f>447.2+(168-53.7)+(-1.14036+(-0.4284--0.136935))+0-140.4--0.35801999999998</f>
        <v>420.02619499999997</v>
      </c>
      <c r="H272" s="3">
        <f>455.6+(142.4-88.9)+(0.464712+(0.145248-0.090678))+0-142.1-0.144942000000023</f>
        <v>367.37433999999996</v>
      </c>
      <c r="I272" s="3">
        <f>453.7+(136.6-101.6)+(0+(0-0))+0-148.3-0</f>
        <v>340.4</v>
      </c>
      <c r="J272" s="3">
        <f>456.5+(132.4-123.6)+(0.46563+(0.135048-0.126072))+0-149.6-0.152592000000024</f>
        <v>316.02201400000001</v>
      </c>
      <c r="K272" s="3">
        <f>448.8+(155.2-111.4)+(-0.915552+(-0.316608--0.227256))+0-154.6--0.315383999999993</f>
        <v>337.31047999999998</v>
      </c>
      <c r="L272" s="3">
        <f>440.7+(184.4-141.1)+(0+(0-0))+0-148.6-0</f>
        <v>335.4</v>
      </c>
      <c r="M272" s="3">
        <f>450.5+(178.4-98.6)+(-0.45951+(-0.181968--0.100572))+0-141.6--0.144432000000023</f>
        <v>388.30352599999998</v>
      </c>
      <c r="N272" s="3">
        <f>467.7+(178.8-11.5)+(0.477054+(0.182376-0.01173))+0-144.6-0.147492000000023</f>
        <v>490.90020799999996</v>
      </c>
      <c r="O272" s="3">
        <f>528.1+(127.1-18.1)+(0.269331+(0.064821-0.009231))+0-122.5-0.0624749999999876</f>
        <v>514.86244600000009</v>
      </c>
      <c r="P272" s="3">
        <f>603.3+(163.3-86.3)+(0+(0-0))+0-132.2-0</f>
        <v>548.09999999999991</v>
      </c>
      <c r="Q272" s="3">
        <f>612+(173.5-77.2)+(-0.93636+(-0.265455--0.118116))+0-133--0.203490000000008</f>
        <v>574.41979099999992</v>
      </c>
      <c r="R272" s="3">
        <f>612+(181.4-79.9)+(-1.87272+(-0.555084--0.244494))+0-133--0.406980000000015</f>
        <v>578.72366999999997</v>
      </c>
      <c r="S272" s="3">
        <f>612+(185-90.7)+(-0.93636+(-0.28305--0.138771))+0-133--0.203490000000008</f>
        <v>572.42285099999992</v>
      </c>
      <c r="T272" s="3">
        <f>612.7+(104.8-95.2)+(1.249908+(0.213792-0.194208))+0-156.1-0.318443999999993</f>
        <v>467.15104800000006</v>
      </c>
      <c r="U272" s="3">
        <f>601.6+(122.8-116.5)+(-0.920448+(-0.187884--0.178245))+0-137.1--0.209763000000008</f>
        <v>470.07967600000001</v>
      </c>
      <c r="V272" s="3">
        <f>660.6+(171.1-139.5)+(0.336906+(0.087261-0.071145))+0-154.3-0.0786929999999844</f>
        <v>538.17432900000017</v>
      </c>
      <c r="W272" s="3">
        <f>681.7+(245.2-109)+(-1.390668+(-0.500208--0.22236))+0-168.9--0.344555999999993</f>
        <v>647.67604000000017</v>
      </c>
      <c r="X272" s="3">
        <f>683.9+(211.3-110.9)+(-0.697578+(-0.215526--0.113118))+0-153.9--0.156978000000025</f>
        <v>629.75699199999997</v>
      </c>
      <c r="Y272" s="3">
        <f>678.5+(175.8-92.8)+(-1.38414+(-0.358632--0.189312))+0-142.1--0.289883999999994</f>
        <v>618.13642400000003</v>
      </c>
      <c r="Z272" s="3">
        <f>687+(168.3-82.3)+(0.35037+(0.085833-0.041973))+0-161.8-0.0825179999999836</f>
        <v>611.51171199999999</v>
      </c>
      <c r="AA272" s="3">
        <f>678.9+(115.8-85.8)+(-1.384956+(-0.236232--0.175032))+0-137.7--0.280907999999994</f>
        <v>570.03475200000003</v>
      </c>
      <c r="AB272" s="3">
        <f>680.8+(87.2-135.9)+(-1.041624+(-0.133416--0.207927))+0-155.2--0.237456000000009</f>
        <v>476.17034299999989</v>
      </c>
      <c r="AC272" s="3">
        <f>687.3+(85-115.5)+(0.350523+(0.04335-0.058905))+0-145.4-0.0741539999999853</f>
        <v>511.66081400000002</v>
      </c>
      <c r="AD272" s="2">
        <v>618.70000000000005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665.3+(87.7-149)+(-1.696515+(-0.223635--0.37995))+0-138.6--0.35342999999998</f>
        <v>464.21322999999995</v>
      </c>
      <c r="G273" s="3">
        <f>602.8+(166.9-120.8)+(0+(0-0))+0-152.7-0</f>
        <v>496.2</v>
      </c>
      <c r="H273" s="3">
        <f>598.9+(203.8-152.6)+(-0.305439+(-0.103938--0.077826))+0-151--0.0770099999999847</f>
        <v>498.84545900000001</v>
      </c>
      <c r="I273" s="3">
        <f>603+(202.4-162.1)+(0.61506+(0.206448-0.165342))+0-160.8-0.164016000000026</f>
        <v>482.99214999999992</v>
      </c>
      <c r="J273" s="3">
        <f>603.7+(203.2-151.3)+(0.307887+(0.103632-0.077163))+0-152.2-0.0776219999999846</f>
        <v>503.65673400000003</v>
      </c>
      <c r="K273" s="3">
        <f>608.6+(165.9-120.9)+(1.241544+(0.338436-0.246636))+0-147.3-0.300491999999994</f>
        <v>507.332852</v>
      </c>
      <c r="L273" s="3">
        <f>595.4+(155.5-89.5)+(-0.910962+(-0.237915--0.136935))+0-156.8--0.239904000000009</f>
        <v>503.82796200000001</v>
      </c>
      <c r="M273" s="3">
        <f>601.7+(187.3-92.3)+(0+(0-0))+0-137.5-0</f>
        <v>559.20000000000005</v>
      </c>
      <c r="N273" s="3">
        <f>608+(195.7-132.6)+(0.93024+(0.299421-0.202878))+0-145.8-0.223074000000008</f>
        <v>526.10370899999998</v>
      </c>
      <c r="O273" s="3">
        <f>609.5+(272.4-154.4)+(0.932535+(0.416772-0.236232))+0-152.8-0.233784000000009</f>
        <v>575.57929100000001</v>
      </c>
      <c r="P273" s="3">
        <f>603.8+(224.1-68.6)+(0+(0-0))+0-140.3-0</f>
        <v>619</v>
      </c>
      <c r="Q273" s="3">
        <f>605.5+(236.7-50.3)+(0.308805+(0.120717-0.025653))+0-150.7-0.0768569999999847</f>
        <v>641.52701200000001</v>
      </c>
      <c r="R273" s="3">
        <f>595.8+(186.2-14)+(-1.51929+(-0.47481--0.0357))+0-138.4--0.35291999999998</f>
        <v>627.99451999999997</v>
      </c>
      <c r="S273" s="3">
        <f>600.9+(158.1-57.8)+(-0.612918+(-0.161262--0.058956))+0-126.8--0.12933600000002</f>
        <v>573.81411199999991</v>
      </c>
      <c r="T273" s="3">
        <f>605.3+(150.4-55)+(0+(0-0))+0-130.5-0</f>
        <v>570.19999999999993</v>
      </c>
      <c r="U273" s="3">
        <f>599.4+(174.2-54)+(-1.222776+(-0.355368--0.11016))+0-132.2--0.269687999999994</f>
        <v>586.20170399999995</v>
      </c>
      <c r="V273" s="3">
        <f>607.1+(201.6-52.9)+(0.619242+(0.205632-0.053958))+0-135.4-0.138108000000022</f>
        <v>621.03280800000005</v>
      </c>
      <c r="W273" s="3">
        <f>605.7+(319.8-46.4)+(0+(0-0))+0-161.1-0</f>
        <v>718.00000000000011</v>
      </c>
      <c r="X273" s="3">
        <f>595.3+(297.8-41.5)+(-1.821618+(-0.911268--0.12699))+0-147.4--0.451044000000017</f>
        <v>702.04514799999993</v>
      </c>
      <c r="Y273" s="3">
        <f>599.9+(238.4-35.5)+(-0.917847+(-0.364752--0.054315))+0-148.3--0.226899000000009</f>
        <v>653.49861499999997</v>
      </c>
      <c r="Z273" s="3">
        <f>600.1+(177-14.8)+(-0.612102+(-0.18054--0.015096))+0-152.6--0.155652000000024</f>
        <v>609.07810599999993</v>
      </c>
      <c r="AA273" s="3">
        <f>600.3+(173-62.7)+(-0.612306+(-0.17646--0.063954))+0-139.9--0.142698000000022</f>
        <v>570.11788599999988</v>
      </c>
      <c r="AB273" s="3">
        <f>595.2+(147.8-112.2)+(-1.214208+(-0.301512--0.228888))+0-145.1--0.296003999999994</f>
        <v>484.70917200000002</v>
      </c>
      <c r="AC273" s="3">
        <f>599+(96-121.7)+(-0.61098+(-0.09792--0.124134))+0-129.5--0.132090000000021</f>
        <v>443.34732400000001</v>
      </c>
      <c r="AD273" s="2">
        <v>611.19999999999993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597.2+(152-149.9)+(-0.913716+(-0.23256--0.229347))+0-123.3--0.188649000000007</f>
        <v>475.27172000000007</v>
      </c>
      <c r="G274" s="3">
        <f>591.7+(101.5-172.8)+(-1.810602+(-0.31059--0.528768))+0-95.2--0.291312000000011</f>
        <v>423.89888800000006</v>
      </c>
      <c r="H274" s="3">
        <f>596.5+(102.5-187.4)+(-1.21686+(-0.2091--0.382296))+0-78.3--0.159731999999997</f>
        <v>432.41606800000005</v>
      </c>
      <c r="I274" s="3">
        <f>603.2+(97-190.8)+(0+(0-0))+0-66.6-0</f>
        <v>442.80000000000007</v>
      </c>
      <c r="J274" s="3">
        <f>605.3+(69.7-235.4)+(0.617406+(0.071094-0.240108))+0-57.2-0.0583440000000091</f>
        <v>382.79004799999996</v>
      </c>
      <c r="K274" s="3">
        <f>603.8+(80.7-198.3)+(0+(0-0))+0-58.4-0</f>
        <v>427.79999999999995</v>
      </c>
      <c r="L274" s="3">
        <f>600.9+(81.1-175.9)+(-0.612918+(-0.082722--0.179418))+0-58.2--0.0593640000000093</f>
        <v>447.44314199999997</v>
      </c>
      <c r="M274" s="3">
        <f>608.1+(73-179)+(0.620262+(0.07446-0.18258))+0-53-0.0540600000000084</f>
        <v>449.55808200000001</v>
      </c>
      <c r="N274" s="3">
        <f>607.6+(84.1-147.4)+(0.619752+(0.085782-0.150348))+0-59.1-0.0602820000000094</f>
        <v>485.69490399999995</v>
      </c>
      <c r="O274" s="3">
        <f>609.3+(156.5-177.5)+(0.932229+(0.239445-0.271575))+0-66.4-0.101592000000004</f>
        <v>522.69850699999995</v>
      </c>
      <c r="P274" s="3">
        <f>667.4+(160-189.9)+(0+(0-0))+0-44.9-0</f>
        <v>592.6</v>
      </c>
      <c r="Q274" s="3">
        <f>670+(172.7-230.8)+(0.3417+(0.088077-0.117708))+0-0-0</f>
        <v>612.21206899999993</v>
      </c>
      <c r="R274" s="3">
        <f>675.8+(187.8-170.7)+(-2.067948+(-0.574668--0.522342))+0-55.3--0.169218000000006</f>
        <v>635.64894400000003</v>
      </c>
      <c r="S274" s="3">
        <f>684.5+(100-142)+(0+(0-0))+0-56-0</f>
        <v>586.5</v>
      </c>
      <c r="T274" s="3">
        <f>683.8+(87.6-154.1)+(0+(0-0))+0-53-0</f>
        <v>564.29999999999995</v>
      </c>
      <c r="U274" s="3">
        <f>682.5+(76.8-168.7)+(0+(0-0))+0-59.8-0</f>
        <v>530.80000000000007</v>
      </c>
      <c r="V274" s="3">
        <f>684.8+(113.6-152)+(0+(0-0))+0-48.5-0</f>
        <v>597.9</v>
      </c>
      <c r="W274" s="3">
        <f>686.6+(256.2-208.7)+(-0.350166+(-0.130662--0.106437))+0-62.1--0.0316709999999937</f>
        <v>671.65728000000001</v>
      </c>
      <c r="X274" s="3">
        <f>684.5+(246.6-205.5)+(-0.69819+(-0.251532--0.20961))+0-64.6--0.0658920000000103</f>
        <v>660.32578000000001</v>
      </c>
      <c r="Y274" s="3">
        <f>685.6+(182.6-161.5)+(0+(0-0))+0-56.4-0</f>
        <v>650.30000000000007</v>
      </c>
      <c r="Z274" s="3">
        <f>644.7+(154.2-101.7)+(-0.328797+(-0.078642--0.051867))+0-68.4--0.0348839999999931</f>
        <v>628.47931200000005</v>
      </c>
      <c r="AA274" s="3">
        <f>645+(118.8-140.1)+(-0.6579+(-0.121176--0.142902))+0-69--0.070380000000011</f>
        <v>554.13420600000006</v>
      </c>
      <c r="AB274" s="3">
        <f>650.1+(98.1-164.6)+(0.331551+(0.050031-0.083946))+0-60.9-0.0310589999999938</f>
        <v>522.96657700000003</v>
      </c>
      <c r="AC274" s="3">
        <f>633.2+(84.2-183.6)+(-2.260524+(-0.300594--0.655452))+0-67.1--0.239547000000001</f>
        <v>465.03388100000006</v>
      </c>
      <c r="AD274" s="2">
        <v>604.30000000000007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638.8+(57.2-210.8)+(-1.62894+(-0.14586--0.53754))+0-59.5--0.151724999999991</f>
        <v>424.61446499999994</v>
      </c>
      <c r="G275" s="3">
        <f>636.9+(65.9-252.2)+(-1.624095+(-0.168045--0.64311))+0-61.4--0.156569999999991</f>
        <v>388.20754000000005</v>
      </c>
      <c r="H275" s="3">
        <f>649.1+(74.6-303.3)+(0.331041+(0.038046-0.154683))+0-62.6-0.0319259999999936</f>
        <v>357.98247799999996</v>
      </c>
      <c r="I275" s="3">
        <f>654+(65.1-291.1)+(1.00062+(0.099603-0.445383))+0-61.3-0.0937890000000035</f>
        <v>367.26105099999995</v>
      </c>
      <c r="J275" s="3">
        <f>647.5+(79.5-274.3)+(0+(0-0))+0-60.1-0</f>
        <v>392.59999999999997</v>
      </c>
      <c r="K275" s="3">
        <f>656.4+(96.6-296.9)+(1.67382+(0.24633-0.757095))+0-62.3-0.158864999999991</f>
        <v>394.80419000000001</v>
      </c>
      <c r="L275" s="3">
        <f>651.1+(129.4-309)+(0.664122+(0.131988-0.31518))+0-47.8-0.0487560000000076</f>
        <v>424.13217399999996</v>
      </c>
      <c r="M275" s="3">
        <f>649.9+(122.6-279.6)+(0+(0-0))+0-57.9-0</f>
        <v>435</v>
      </c>
      <c r="N275" s="3">
        <f>651.5+(99.8-187)+(0.66453+(0.101796-0.19074))+0-55.1-0.0562020000000088</f>
        <v>509.71938399999999</v>
      </c>
      <c r="O275" s="3">
        <f>651.5+(132.8-202.8)+(0.66453+(0.135456-0.206856))+0-64.5-0.0657900000000103</f>
        <v>517.52733999999998</v>
      </c>
      <c r="P275" s="3">
        <f>638.1+(184.1-210.4)+(-1.627155+(-0.469455--0.53652))+0-57.7--0.147134999999992</f>
        <v>552.68704500000001</v>
      </c>
      <c r="Q275" s="3">
        <f>645.3+(193.4-201.5)+(-0.329103+(-0.098634--0.102765))+0-60.7--0.0309569999999938</f>
        <v>576.20598499999983</v>
      </c>
      <c r="R275" s="3">
        <f>640.3+(178.5-196.4)+(-1.632765+(-0.455175--0.50082))+0-66.7--0.17008499999999</f>
        <v>554.28296499999988</v>
      </c>
      <c r="S275" s="3">
        <f>643+(119.6-196.7)+(-0.65586+(-0.121992--0.200634))+0-63.8--0.0650760000000102</f>
        <v>501.58785799999998</v>
      </c>
      <c r="T275" s="3">
        <f>641+(108.7-223.4)+(-1.30764+(-0.221748--0.455736))+0-60.8--0.124031999999997</f>
        <v>464.5503799999999</v>
      </c>
      <c r="U275" s="3">
        <f>653.2+(127.4-218.6)+(0.999396+(0.194922-0.334458))+0-64-0.0979200000000037</f>
        <v>498.76194000000004</v>
      </c>
      <c r="V275" s="3">
        <f>648.9+(161.4-179.3)+(0+(0-0))+0-55.8-0</f>
        <v>575.20000000000005</v>
      </c>
      <c r="W275" s="3">
        <f>675.8+(293.2-212)+(-0.344658+(-0.149532--0.10812))+0-74.4--0.0379439999999925</f>
        <v>682.25187400000004</v>
      </c>
      <c r="X275" s="3">
        <f>687.7+(274-222.5)+(-0.350727+(-0.13974--0.113475))+0-81.9--0.0417689999999917</f>
        <v>656.96477700000014</v>
      </c>
      <c r="Y275" s="3">
        <f>678.2+(238.4-192.5)+(-2.075292+(-0.729504--0.58905))+0-76.4--0.233784000000009</f>
        <v>645.71803800000009</v>
      </c>
      <c r="Z275" s="3">
        <f>684.1+(135.8-69.2)+(-0.697782+(-0.138516--0.070584))+0-80.2--0.0818040000000128</f>
        <v>669.81609000000003</v>
      </c>
      <c r="AA275" s="3">
        <f>678.1+(129.6-95.2)+(-1.729155+(-0.33048--0.24276))+0-88.1--0.224654999999987</f>
        <v>622.80777999999998</v>
      </c>
      <c r="AB275" s="3">
        <f>686.9+(109.3-172)+(0+(0-0))+0-79.9-0</f>
        <v>544.29999999999995</v>
      </c>
      <c r="AC275" s="3">
        <f>681.3+(101.9-211.8)+(-1.042389+(-0.155907--0.324054))+0-93.8--0.143514000000005</f>
        <v>476.86927199999997</v>
      </c>
      <c r="AD275" s="2">
        <v>617.90000000000009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680.6+(81.1-206.1)+(-1.041318+(-0.124083--0.315333))+0-85.2--0.130356000000005</f>
        <v>469.68028800000008</v>
      </c>
      <c r="G276" s="3">
        <f>685.8+(78.4-221.8)+(0+(0-0))+0-82.8-0</f>
        <v>459.59999999999997</v>
      </c>
      <c r="H276" s="3">
        <f>685.1+(93.1-194.8)+(-0.349401+(-0.047481--0.099348))+0-83--0.0423299999999916</f>
        <v>500.14479599999993</v>
      </c>
      <c r="I276" s="3">
        <f>688.3+(90-211)+(0.351033+(0.0459-0.10761))+0-86.2-0.0439619999999913</f>
        <v>481.34536099999997</v>
      </c>
      <c r="J276" s="3">
        <f>686.4+(99.8-242.5)+(0.350064+(0.050898-0.123675))+0-72.8-0.0371279999999926</f>
        <v>471.14015900000004</v>
      </c>
      <c r="K276" s="3">
        <f>687.6+(112.6-262.1)+(0.350676+(0.057426-0.133671))+0-84.2-0.0429419999999915</f>
        <v>454.1314890000001</v>
      </c>
      <c r="L276" s="3">
        <f>678.9+(116.6-350.8)+(-1.384956+(-0.237864--0.715632))+0-75.2--0.153407999999997</f>
        <v>368.74621999999994</v>
      </c>
      <c r="M276" s="3">
        <f>689.7+(125.1-307)+(1.055241+(0.191403-0.46971))+0-85.9-0.131427000000005</f>
        <v>422.54550700000004</v>
      </c>
      <c r="N276" s="3">
        <f>692.8+(109.3-215)+(1.059984+(0.167229-0.32895))+0-87.2-0.133416000000005</f>
        <v>500.66484699999995</v>
      </c>
      <c r="O276" s="3">
        <f>692+(134.1-201.4)+(0.70584+(0.136782-0.205428))+0-81.6-0.083232000000013</f>
        <v>543.65396199999998</v>
      </c>
      <c r="P276" s="3">
        <f>688.9+(131.1-206.7)+(0.351339+(0.066861-0.105417))+0-66.5-0.0339149999999933</f>
        <v>547.07886799999994</v>
      </c>
      <c r="Q276" s="3">
        <f>686.6+(133.5-182.2)+(0.350166+(0.068085-0.092922))+0-71.2-0.0363119999999928</f>
        <v>566.9890170000001</v>
      </c>
      <c r="R276" s="3">
        <f>680.4+(170.8-259.2)+(-0.694008+(-0.174216--0.264384))+0-73.6--0.0750720000000117</f>
        <v>517.87123199999996</v>
      </c>
      <c r="S276" s="3">
        <f>674+(136.8-288.1)+(-1.7187+(-0.34884--0.734655))+0-60.7--0.154784999999991</f>
        <v>460.82190000000003</v>
      </c>
      <c r="T276" s="3">
        <f>692.7+(136.9-365.4)+(1.766385+(0.349095-0.93177))+0-75.9-0.193544999999989</f>
        <v>389.29016500000012</v>
      </c>
      <c r="U276" s="3">
        <f>684.5+(147.1-338.5)+(0+(0-0))+0-96-0</f>
        <v>397.1</v>
      </c>
      <c r="V276" s="3">
        <f>686.8+(165.8-318.2)+(0.350268+(0.084558-0.162282))+0-82.8-0.0422279999999916</f>
        <v>451.83031600000004</v>
      </c>
      <c r="W276" s="3">
        <f>683.2+(335-363.1)+(-0.348432+(-0.17085--0.185181))+0-54.9--0.0279989999999944</f>
        <v>599.89389800000004</v>
      </c>
      <c r="X276" s="3">
        <f>678.8+(331.2-366.3)+(-1.038564+(-0.506736--0.560439))+0-56.7--0.0867510000000033</f>
        <v>586.10188999999991</v>
      </c>
      <c r="Y276" s="3">
        <f>675.3+(305.3-326.2)+(-2.066418+(-0.934218--0.998172))+0-62.1--0.190026000000007</f>
        <v>590.48756199999991</v>
      </c>
      <c r="Z276" s="3">
        <f>684+(212.7-274.1)+(-1.39536+(-0.433908--0.559164))+0-96.8--0.197471999999996</f>
        <v>524.72736799999996</v>
      </c>
      <c r="AA276" s="3">
        <f>693+(170.4-263.3)+(1.06029+(0.260712-0.402849))+0-74.6-0.114138000000004</f>
        <v>526.30401499999994</v>
      </c>
      <c r="AB276" s="3">
        <f>688+(152.8-232.1)+(-0.70176+(-0.155856--0.236742))+0-95--0.0969000000000152</f>
        <v>513.17602600000009</v>
      </c>
      <c r="AC276" s="3">
        <f>683.5+(130.6-250.8)+(-1.045755+(-0.199818--0.383724))+0-58.8--0.0899640000000034</f>
        <v>503.72811499999995</v>
      </c>
      <c r="AD276" s="2">
        <v>596.00000000000011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679.9+(143.4-284.6)+(-1.386996+(-0.292536--0.580584))+0-77.7--0.158507999999997</f>
        <v>460.05955999999998</v>
      </c>
      <c r="G277" s="3">
        <f>690.9+(151.6-338.5)+(0.704718+(0.154632-0.34527))+0-82.7-0.0843540000000132</f>
        <v>421.72972599999997</v>
      </c>
      <c r="H277" s="3">
        <f>681.6+(132-304)+(-1.042848+(-0.20196--0.46512))+0-84--0.128520000000005</f>
        <v>424.94883199999998</v>
      </c>
      <c r="I277" s="3">
        <f>684.6+(134-329.7)+(-0.698292+(-0.13668--0.336294))+0-78.8--0.0803760000000126</f>
        <v>409.68169800000004</v>
      </c>
      <c r="J277" s="3">
        <f>639+(149.9-275.7)+(-0.32589+(-0.076449--0.140607))+0-89.7--0.0457469999999909</f>
        <v>423.28401500000001</v>
      </c>
      <c r="K277" s="3">
        <f>598.6+(169.5-246.1)+(-1.52643+(-0.432225--0.627555))+0-75.7--0.193034999999989</f>
        <v>445.16193500000003</v>
      </c>
      <c r="L277" s="3">
        <f>600.1+(168-301.2)+(-1.224204+(-0.34272--0.614448))+0-76--0.155039999999997</f>
        <v>390.10256400000003</v>
      </c>
      <c r="M277" s="3">
        <f>603.9+(182.1-329.7)+(-0.615978+(-0.185742--0.336294))+0-73.4--0.0748680000000117</f>
        <v>382.50944200000004</v>
      </c>
      <c r="N277" s="3">
        <f>607.5+(203.5-360.9)+(-0.309825+(-0.103785--0.184059))+0-80.6--0.0411059999999918</f>
        <v>369.311555</v>
      </c>
      <c r="O277" s="3">
        <f>634+(221.4-369.6)+(0.64668+(0.225828-0.376992))+0-83.7-0.0853740000000134</f>
        <v>402.51014199999997</v>
      </c>
      <c r="P277" s="3">
        <f>672.7+(187.5-321.1)+(-0.343077+(-0.095625--0.163761))+0-79.8--0.0406979999999919</f>
        <v>459.06575699999996</v>
      </c>
      <c r="Q277" s="3">
        <f>668.9+(210.7-257.3)+(-1.023417+(-0.322371--0.393669))+0-90--0.137700000000005</f>
        <v>531.48558099999991</v>
      </c>
      <c r="R277" s="3">
        <f>658.6+(206.4-242.5)+(-1.007658+(-0.315792--0.371025))+0-79--0.120870000000005</f>
        <v>542.66844500000002</v>
      </c>
      <c r="S277" s="3">
        <f>651.4+(235.1-295.2)+(-1.328856+(-0.479604--0.602208))+0-86.7--0.176867999999996</f>
        <v>503.57061600000003</v>
      </c>
      <c r="T277" s="3">
        <f>658.5+(200.3-291.9)+(-0.67167+(-0.204306--0.297738))+0-69.6--0.0709920000000111</f>
        <v>496.792754</v>
      </c>
      <c r="U277" s="3">
        <f>658.1+(223.5-282.5)+(-0.335631+(-0.113985--0.144075))+0-79.8--0.0406979999999919</f>
        <v>519.03515700000014</v>
      </c>
      <c r="V277" s="3">
        <f>549.3+(326.3-266.3)+(-0.560286+(-0.332826--0.271626))+0-76.9--0.0784380000000123</f>
        <v>531.85695199999998</v>
      </c>
      <c r="W277" s="3">
        <f>535+(419.7-238.2)+(0.5457+(0.428094-0.242964))+0-88.7-0.0904740000000141</f>
        <v>628.44035599999995</v>
      </c>
      <c r="X277" s="3">
        <f>532.2+(402.3-209.9)+(0+(0-0))+0-81.6-0</f>
        <v>643</v>
      </c>
      <c r="Y277" s="3">
        <f>527.2+(390.5-177.6)+(-1.075488+(-0.79662--0.362304))+0-85.1--0.173603999999996</f>
        <v>653.66379999999992</v>
      </c>
      <c r="Z277" s="3">
        <f>533.2+(329.5-144.7)+(-0.543864+(-0.33609--0.147594))+0-81.9--0.0835380000000131</f>
        <v>635.45117800000003</v>
      </c>
      <c r="AA277" s="3">
        <f>545.9+(303.3-134.2)+(0+(0-0))+0-86.7-0</f>
        <v>628.29999999999995</v>
      </c>
      <c r="AB277" s="3">
        <f>580.2+(222.6-123.5)+(-1.183608+(-0.454104--0.25194))+0-96.6--0.197063999999996</f>
        <v>581.51129200000003</v>
      </c>
      <c r="AC277" s="3">
        <f>652.6+(140-157.1)+(-1.66413+(-0.357--0.400605))+0-70.9--0.18079499999999</f>
        <v>563.16026999999997</v>
      </c>
      <c r="AD277" s="2">
        <v>554.70000000000005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684.9+(126.7-173.1)+(0.698598+(0.129234-0.176562))+0-89-0.0907800000000142</f>
        <v>550.06048999999996</v>
      </c>
      <c r="G278" s="3">
        <f>598.2+(142-143)+(-1.52541+(-0.3621--0.36465))+0-84.7--0.215984999999988</f>
        <v>511.19312500000001</v>
      </c>
      <c r="H278" s="3">
        <f>585.1+(122.5-159.9)+(0.298401+(0.062475-0.081549))+0-82.1-0.0418709999999917</f>
        <v>465.83745599999997</v>
      </c>
      <c r="I278" s="3">
        <f>579.4+(113.3-167.7)+(-0.295494+(-0.057783--0.085527))+0-79.1--0.040340999999992</f>
        <v>445.67259100000001</v>
      </c>
      <c r="J278" s="3">
        <f>580.4+(130.6-148.8)+(-0.296004+(-0.066606--0.075888))+0-65.4--0.0333539999999934</f>
        <v>496.54663199999987</v>
      </c>
      <c r="K278" s="3">
        <f>690.6+(97-246.1)+(1.408824+(0.19788-0.502044))+0-71.9-0.146675999999997</f>
        <v>470.55798399999998</v>
      </c>
      <c r="L278" s="3">
        <f>682.5+(153.1-274.6)+(-0.69615+(-0.156162--0.280092))+0-83.9--0.0855780000000134</f>
        <v>476.61335800000001</v>
      </c>
      <c r="M278" s="3">
        <f>685+(140.3-245.6)+(0.34935+(0.071553-0.125256))+0-65.8-0.0335579999999933</f>
        <v>514.16208900000015</v>
      </c>
      <c r="N278" s="3">
        <f>683.2+(135.1-211.1)+(0+(0-0))+0-67.4-0</f>
        <v>539.80000000000007</v>
      </c>
      <c r="O278" s="3">
        <f>674.8+(144.7-185.8)+(0+(0-0))+0-83.1-0</f>
        <v>550.59999999999991</v>
      </c>
      <c r="P278" s="3">
        <f>662.2+(144.1-159.9)+(-1.350888+(-0.293964--0.326196))+0-69.8--0.142391999999997</f>
        <v>575.42373600000008</v>
      </c>
      <c r="Q278" s="3">
        <f>656+(136.1-123.2)+(-1.33824+(-0.277644--0.251328))+0-67.2--0.137087999999997</f>
        <v>600.47253199999989</v>
      </c>
      <c r="R278" s="3">
        <f>654.3+(140-136.8)+(-1.001079+(-0.2142--0.209304))+0-72.3--0.110619000000004</f>
        <v>584.30464400000005</v>
      </c>
      <c r="S278" s="3">
        <f>653.5+(131-142.6)+(-0.66657+(-0.13362--0.145452))+0-79--0.0805800000000126</f>
        <v>562.32584200000008</v>
      </c>
      <c r="T278" s="3">
        <f>651.4+(120.2-136.5)+(-0.664428+(-0.122604--0.13923))+0-61.9--0.0631380000000099</f>
        <v>572.61533600000007</v>
      </c>
      <c r="U278" s="3">
        <f>655.3+(148.7-144.9)+(0+(0-0))+0-77.9-0</f>
        <v>581.19999999999993</v>
      </c>
      <c r="V278" s="3">
        <f>652.1+(210.9-145)+(-1.330284+(-0.430236--0.2958))+0-65.2--0.133007999999997</f>
        <v>651.46828799999992</v>
      </c>
      <c r="W278" s="3">
        <f>666+(362.8-178)+(0.67932+(0.370056-0.18156))+0-92.3-0.0941460000000147</f>
        <v>759.27366999999992</v>
      </c>
      <c r="X278" s="3">
        <f>666.3+(359.1-190.7)+(-2.038878+(-1.098846--0.583542))+0-90.3--0.27631800000001</f>
        <v>742.12213600000018</v>
      </c>
      <c r="Y278" s="3">
        <f>682.3+(295.1-148.1)+(0.347973+(0.150501-0.075531))+0-79.1-0.040340999999992</f>
        <v>750.58260199999995</v>
      </c>
      <c r="Z278" s="3">
        <f>672.9+(315.4-252.1)+(-1.372716+(-0.643416--0.514284))+0-81.9--0.167075999999996</f>
        <v>652.96522799999991</v>
      </c>
      <c r="AA278" s="3">
        <f>675.1+(247.1-248)+(-1.032903+(-0.378063--0.37944))+0-75.9--0.116127000000004</f>
        <v>597.38460100000009</v>
      </c>
      <c r="AB278" s="3">
        <f>677.4+(186.2-183.9)+(-0.345474+(-0.094962--0.093789))+0-79.2--0.040391999999992</f>
        <v>600.19374499999992</v>
      </c>
      <c r="AC278" s="3">
        <f>663.8+(178.6-212.5)+(-2.031228+(-0.546516--0.65025))+0-61.7--0.188802000000007</f>
        <v>566.46130799999992</v>
      </c>
      <c r="AD278" s="2">
        <v>646.20000000000005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657.6+(169.5-251.5)+(-0.670752+(-0.17289--0.25653))+0-85.1--0.0868020000000136</f>
        <v>489.99968999999999</v>
      </c>
      <c r="G279" s="3">
        <f>607+(159.1-179)+(0.30957+(0.081141-0.09129))+0-89.9-0.0458489999999909</f>
        <v>497.45357200000012</v>
      </c>
      <c r="H279" s="3">
        <f>604.4+(145.5-148.3)+(-0.308244+(-0.074205--0.075633))+0-85.2--0.0434519999999914</f>
        <v>516.13663599999984</v>
      </c>
      <c r="I279" s="3">
        <f>606.8+(136-169.8)+(0.309468+(0.06936-0.086598))+0-84-0.0428399999999915</f>
        <v>489.24939000000001</v>
      </c>
      <c r="J279" s="3">
        <f>603.3+(147.4-154.4)+(-0.307683+(-0.075174--0.078744))+0-91.1--0.0464609999999908</f>
        <v>504.94234799999987</v>
      </c>
      <c r="K279" s="3">
        <f>647+(134.7-208.5)+(0+(0-0))+0-94.6-0</f>
        <v>478.6</v>
      </c>
      <c r="L279" s="3">
        <f>682.6+(126.4-277.6)+(-1.392504+(-0.257856--0.566304))+0-73.2--0.149327999999997</f>
        <v>457.26527199999992</v>
      </c>
      <c r="M279" s="3">
        <f>679.6+(147.1-320)+(-1.386384+(-0.300084--0.6528))+0-95.7--0.195227999999996</f>
        <v>410.16156000000007</v>
      </c>
      <c r="N279" s="3">
        <f>694.7+(127-264.1)+(1.062891+(0.19431-0.404073))+0-76-0.116280000000004</f>
        <v>482.33684799999997</v>
      </c>
      <c r="O279" s="3">
        <f>687.3+(152.1-214.2)+(-1.051569+(-0.232713--0.327726))+0-90.4--0.138312000000005</f>
        <v>533.98175600000002</v>
      </c>
      <c r="P279" s="3">
        <f>698.1+(121.9-220.1)+(0+(0-0))+0-79.9-0</f>
        <v>520.00000000000011</v>
      </c>
      <c r="Q279" s="3">
        <f>682.9+(150.1-238.2)+(-1.741395+(-0.382755--0.60741))+0-82.8--0.211139999999988</f>
        <v>510.69439999999992</v>
      </c>
      <c r="R279" s="3">
        <f>682.4+(142.1-238.7)+(-1.74012+(-0.362355--0.608685))+0-86.6--0.220829999999987</f>
        <v>497.92703999999992</v>
      </c>
      <c r="S279" s="3">
        <f>682.7+(132.3-236.8)+(-1.044531+(-0.202419--0.362304))+0-94.5--0.144585000000005</f>
        <v>482.95993900000008</v>
      </c>
      <c r="T279" s="3">
        <f>683.5+(113.7-252.2)+(-0.348585+(-0.057987--0.128622))+0-88.7--0.045236999999991</f>
        <v>456.06728699999996</v>
      </c>
      <c r="U279" s="3">
        <f>677.9+(97.2-209.3)+(-0.345729+(-0.049572--0.106743))+0-85.5--0.0436049999999913</f>
        <v>480.055047</v>
      </c>
      <c r="V279" s="3">
        <f>675.5+(165.4-187.5)+(-0.344505+(-0.084354--0.095625))+0-83--0.0423299999999916</f>
        <v>570.10909600000002</v>
      </c>
      <c r="W279" s="3">
        <f>683.2+(295.2-269.7)+(-0.696864+(-0.301104--0.275094))+0-90.7--0.0925140000000145</f>
        <v>617.36964</v>
      </c>
      <c r="X279" s="3">
        <f>684.1+(277.8-273)+(-1.395564+(-0.566712--0.55692))+0-101.1--0.206243999999996</f>
        <v>586.60088800000005</v>
      </c>
      <c r="Y279" s="3">
        <f>684.3+(223.6-255.5)+(-1.046979+(-0.342108--0.390915))+0-100.4--0.153612000000006</f>
        <v>551.15544</v>
      </c>
      <c r="Z279" s="3">
        <f>685.4+(200-236.4)+(-1.048662+(-0.306--0.361692))+0-95.1--0.145503000000005</f>
        <v>553.05253299999993</v>
      </c>
      <c r="AA279" s="3">
        <f>687.5+(159.2-212.6)+(-0.70125+(-0.162384--0.216852))+0-105--0.107100000000017</f>
        <v>528.56031800000005</v>
      </c>
      <c r="AB279" s="3">
        <f>678.3+(128.9-194.9)+(-1.729665+(-0.328695--0.496995))+0-96.6--0.246329999999986</f>
        <v>514.38496499999985</v>
      </c>
      <c r="AC279" s="3">
        <f>675.7+(129.4-188.3)+(-2.067642+(-0.395964--0.576198))+0-73--0.223380000000008</f>
        <v>542.13597200000004</v>
      </c>
      <c r="AD279" s="2">
        <v>642.5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682.5+(107.5-254.7)+(-1.3923+(-0.2193--0.519588))+0-100.5--0.205019999999996</f>
        <v>433.91300799999999</v>
      </c>
      <c r="G280" s="3">
        <f>610.9+(120.5-256.5)+(-0.311559+(-0.061455--0.130815))+0-75.3--0.0384029999999924</f>
        <v>399.39620399999995</v>
      </c>
      <c r="H280" s="3">
        <f>600.1+(120.2-204.7)+(-1.530255+(-0.30651--0.521985))+0-92.7--0.236384999999987</f>
        <v>421.82160499999998</v>
      </c>
      <c r="I280" s="3">
        <f>611.2+(103.7-243.6)+(0.311712+(0.052887-0.124236))+0-69-0.035189999999993</f>
        <v>402.50517300000007</v>
      </c>
      <c r="J280" s="3">
        <f>604.6+(122.7-257.4)+(-0.308346+(-0.062577--0.131274))+0-73.5--0.0374849999999925</f>
        <v>396.19783600000005</v>
      </c>
      <c r="K280" s="3">
        <f>611.3+(127.9-308)+(0.311763+(0.065229-0.15708))+0-64.6-0.0329459999999934</f>
        <v>366.78696599999995</v>
      </c>
      <c r="L280" s="3">
        <f>606.6+(142-304.5)+(-0.618732+(-0.14484--0.31059))+0-52.7--0.0537540000000084</f>
        <v>391.00077200000004</v>
      </c>
      <c r="M280" s="3">
        <f>638.1+(146.5-290)+(0.650862+(0.14943-0.2958))+0-61.9-0.0631380000000099</f>
        <v>433.14135400000004</v>
      </c>
      <c r="N280" s="3">
        <f>677.7+(118.1-262.4)+(-1.382508+(-0.240924--0.535296))+0-66.5--0.135659999999997</f>
        <v>465.9475240000001</v>
      </c>
      <c r="O280" s="3">
        <f>687+(117.3-273.7)+(0.35037+(0.059823-0.139587))+0-74.5-0.0379949999999924</f>
        <v>456.3326110000001</v>
      </c>
      <c r="P280" s="3">
        <f>681.3+(123.6-291.1)+(-1.389852+(-0.252144--0.593844))+0-69.6--0.141983999999997</f>
        <v>443.29383199999995</v>
      </c>
      <c r="Q280" s="3">
        <f>675.3+(117.2-287)+(-1.377612+(-0.239088--0.58548))+0-59.9--0.122195999999997</f>
        <v>444.69097599999992</v>
      </c>
      <c r="R280" s="3">
        <f>671.4+(138-296)+(-1.027242+(-0.21114--0.45288))+0-75.5--0.115515000000004</f>
        <v>437.23001300000004</v>
      </c>
      <c r="S280" s="3">
        <f>674.6+(180.6-380)+(0.344046+(0.092106-0.1938))+0-76.5-0.0390149999999922</f>
        <v>398.90333700000002</v>
      </c>
      <c r="T280" s="3">
        <f>660.9+(171-374.9)+(-0.337059+(-0.08721--0.191199))+0-78.7--0.040136999999992</f>
        <v>378.10706700000003</v>
      </c>
      <c r="U280" s="3">
        <f>644.6+(141.7-314.9)+(-0.328746+(-0.072267--0.160599))+0-90.6--0.0462059999999908</f>
        <v>380.60579200000006</v>
      </c>
      <c r="V280" s="3">
        <f>633.2+(191.2-307.5)+(-0.968796+(-0.292536--0.470475))+0-76.3--0.116739000000004</f>
        <v>439.92588200000012</v>
      </c>
      <c r="W280" s="3">
        <f>661.9+(343.7-342.7)+(-0.675138+(-0.350574--0.349554))+0-95.8--0.0977160000000153</f>
        <v>566.52155800000003</v>
      </c>
      <c r="X280" s="3">
        <f>662+(386.7-369.1)+(-1.35048+(-0.788868--0.752964))+0-95--0.193799999999996</f>
        <v>583.4074159999999</v>
      </c>
      <c r="Y280" s="3">
        <f>674.6+(323.7-336.9)+(0+(0-0))+0-86.5-0</f>
        <v>574.90000000000009</v>
      </c>
      <c r="Z280" s="3">
        <f>678.2+(268.9-310)+(0.691764+(0.274278-0.3162))+0-89.8-0.0915960000000143</f>
        <v>547.85824600000012</v>
      </c>
      <c r="AA280" s="3">
        <f>668.6+(206.9-300)+(-1.022958+(-0.316557--0.459))+0-93.4--0.142902000000005</f>
        <v>481.36238700000007</v>
      </c>
      <c r="AB280" s="3">
        <f>685+(143.8-331.7)+(-0.34935+(-0.073338--0.169167))+0-91.1--0.0464609999999908</f>
        <v>405.79293999999999</v>
      </c>
      <c r="AC280" s="3">
        <f>674+(111.1-301.9)+(-1.7187+(-0.283305--0.769845))+0-74.8--0.190739999999989</f>
        <v>407.35858000000002</v>
      </c>
      <c r="AD280" s="2">
        <v>624.80000000000007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680.4+(92.8-296.6)+(-1.388016+(-0.189312--0.605064))+0-94.1--0.191963999999996</f>
        <v>381.71969999999999</v>
      </c>
      <c r="G281" s="3">
        <f>681.6+(85.7-297.1)+(-1.042848+(-0.131121--0.454563))+0-86--0.131580000000005</f>
        <v>383.61217399999998</v>
      </c>
      <c r="H281" s="3">
        <f>684.2+(79.4-298)+(-0.697884+(-0.080988--0.30396))+0-77.4--0.0789480000000123</f>
        <v>387.80403600000005</v>
      </c>
      <c r="I281" s="3">
        <f>687+(78.8-313.8)+(0+(0-0))+0-67-0</f>
        <v>385</v>
      </c>
      <c r="J281" s="3">
        <f>686.4+(92.1-278.5)+(0+(0-0))+0-88.7-0</f>
        <v>411.3</v>
      </c>
      <c r="K281" s="3">
        <f>685.6+(80.8-320)+(0+(0-0))+0-63.7-0</f>
        <v>382.70000000000005</v>
      </c>
      <c r="L281" s="3">
        <f>679.6+(98.5-296.3)+(-0.693192+(-0.10047--0.302226))+0-90.6--0.0924120000000144</f>
        <v>390.80097600000005</v>
      </c>
      <c r="M281" s="3">
        <f>599.7+(110.6-258.8)+(-0.305847+(-0.056406--0.131988))+0-80--0.0407999999999919</f>
        <v>371.31053500000002</v>
      </c>
      <c r="N281" s="3">
        <f>532.4+(108.5-161.1)+(0.543048+(0.11067-0.164322))+0-79-0.0805800000000126</f>
        <v>401.20881599999996</v>
      </c>
      <c r="O281" s="3">
        <f>531.2+(120-134.4)+(0.541824+(0.1224-0.137088))+0-85.1-0.0868020000000136</f>
        <v>432.14033400000005</v>
      </c>
      <c r="P281" s="3">
        <f>527.3+(119.3-121)+(0.806769+(0.182529-0.18513))+0-82.9-0.126837000000005</f>
        <v>443.37733099999991</v>
      </c>
      <c r="Q281" s="3">
        <f>520.9+(147.4-93.8)+(0.265659+(0.075174-0.047838))+0-82.2-0.0419219999999917</f>
        <v>492.55107300000003</v>
      </c>
      <c r="R281" s="3">
        <f>522+(191.6-131.4)+(-0.79866+(-0.293148--0.201042))+0-85.4--0.130662000000005</f>
        <v>496.03989600000011</v>
      </c>
      <c r="S281" s="3">
        <f>511.6+(172.7-182.4)+(-0.521832+(-0.176154--0.186048))+0-80.7--0.0823140000000129</f>
        <v>420.770376</v>
      </c>
      <c r="T281" s="3">
        <f>508.1+(150.5-156.1)+(-1.295655+(-0.383775--0.398055))+0-75.8--0.193289999999989</f>
        <v>425.61191499999995</v>
      </c>
      <c r="U281" s="3">
        <f>524.8+(143.7-145.9)+(0.267648+(0.073287-0.074409))+0-79.3-0.040442999999992</f>
        <v>443.52608299999991</v>
      </c>
      <c r="V281" s="3">
        <f>530.2+(229.5-141.1)+(-0.811206+(-0.351135--0.215883))+0-84.9--0.129897000000005</f>
        <v>532.88343900000007</v>
      </c>
      <c r="W281" s="3">
        <f>536.5+(370.7-189.6)+(-0.273615+(-0.189057--0.096696))+0-94.7--0.0482969999999904</f>
        <v>622.58232099999987</v>
      </c>
      <c r="X281" s="3">
        <f>530.4+(363.9-175.5)+(-1.082016+(-0.742356--0.35802))+0-109.3--0.222971999999995</f>
        <v>608.25662</v>
      </c>
      <c r="Y281" s="3">
        <f>526.4+(297.4-137.4)+(-0.536928+(-0.303348--0.140148))+0-98.2--0.100164000000016</f>
        <v>587.60003600000005</v>
      </c>
      <c r="Z281" s="3">
        <f>528.3+(361.1-172.9)+(0+(0-0))+0-101.2-0</f>
        <v>615.29999999999995</v>
      </c>
      <c r="AA281" s="3">
        <f>524.8+(328.4-174.1)+(-0.802944+(-0.502452--0.266373))+0-113.8--0.174114000000007</f>
        <v>564.43509099999994</v>
      </c>
      <c r="AB281" s="3">
        <f>523.8+(252.2-153)+(-1.068552+(-0.514488--0.31212))+0-104.2--0.212567999999995</f>
        <v>517.74164799999994</v>
      </c>
      <c r="AC281" s="3">
        <f>521.9+(233.7-150.2)+(-1.330845+(-0.595935--0.38301))+0-112.1--0.285854999999984</f>
        <v>492.04208499999993</v>
      </c>
      <c r="AD281" s="2">
        <v>646.5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525.7+(205-150.3)+(-0.804321+(-0.31365--0.229959))+0-99.3--0.151929000000006</f>
        <v>480.36391700000007</v>
      </c>
      <c r="G282" s="3">
        <f>534+(204.3-193.2)+(-0.81702+(-0.312579--0.295596))+0-107.4--0.164322000000006</f>
        <v>437.03031900000002</v>
      </c>
      <c r="H282" s="3">
        <f>415.3+(253.9-147.3)+(-0.847212+(-0.517956--0.300492))+0-102--0.208079999999996</f>
        <v>419.04340400000001</v>
      </c>
      <c r="I282" s="3">
        <f>379.1+(267.3-150.3)+(0+(0-0))+0-97.5-0</f>
        <v>398.6</v>
      </c>
      <c r="J282" s="3">
        <f>380.3+(281-158.6)+(0.387906+(0.28662-0.161772))+0-84-0.0856800000000134</f>
        <v>419.12707399999999</v>
      </c>
      <c r="K282" s="3">
        <f>379.1+(273.1-194.9)+(0+(0-0))+0-89.6-0</f>
        <v>367.70000000000005</v>
      </c>
      <c r="L282" s="3">
        <f>379.5+(310.1-195)+(0+(0-0))+0-81.8-0</f>
        <v>412.8</v>
      </c>
      <c r="M282" s="3">
        <f>379.6+(327.5-215.6)+(0+(0-0))+0-68-0</f>
        <v>423.5</v>
      </c>
      <c r="N282" s="3">
        <f>493.7+(233.5-158.7)+(-0.251787+(-0.119085--0.080937))+0-88.8--0.045287999999991</f>
        <v>479.45535299999995</v>
      </c>
      <c r="O282" s="3">
        <f>529.1+(197.5-155.1)+(0.539682+(0.20145-0.158202))+0-88.8-0.0905760000000142</f>
        <v>483.19235400000002</v>
      </c>
      <c r="P282" s="3">
        <f>523.4+(249.8-130)+(0.266934+(0.127398-0.0663))+0-94.7-0.0482969999999904</f>
        <v>548.77973500000007</v>
      </c>
      <c r="Q282" s="3">
        <f>404+(260.4-49.2)+(-0.82416+(-0.531216--0.100368))+0-65.1--0.132803999999997</f>
        <v>548.97779600000001</v>
      </c>
      <c r="R282" s="3">
        <f>377+(271.4-60.5)+(0.19227+(0.138414-0.030855))+0-73.9-0.0376889999999925</f>
        <v>514.26214000000004</v>
      </c>
      <c r="S282" s="3">
        <f>444.3+(210.1-118.6)+(0.226593+(0.107151-0.060486))+0-70-0.0356999999999929</f>
        <v>466.03755799999999</v>
      </c>
      <c r="T282" s="3">
        <f>428.2+(180.5-89.2)+(0.218382+(0.092055-0.045492))+0-94.4-0.0481439999999904</f>
        <v>425.31680100000005</v>
      </c>
      <c r="U282" s="3">
        <f>462.9+(169.2-87.5)+(-0.944316+(-0.345168--0.1785))+0-85.6--0.174623999999996</f>
        <v>458.06363999999985</v>
      </c>
      <c r="V282" s="3">
        <f>463.8+(274.7-111.9)+(-0.946152+(-0.560388--0.228276))+0-101.2--0.206447999999996</f>
        <v>524.32818399999996</v>
      </c>
      <c r="W282" s="3">
        <f>493.8+(335.2-215.4)+(-0.755514+(-0.512856--0.329562))+0-102.1--0.156213000000006</f>
        <v>510.71740499999999</v>
      </c>
      <c r="X282" s="3">
        <f>534.8+(328.3-190.3)+(0+(0-0))+0-99.2-0</f>
        <v>573.59999999999991</v>
      </c>
      <c r="Y282" s="3">
        <f>537.8+(285.3-193.5)+(-0.274278+(-0.145503--0.098685))+0-92.3--0.0470729999999906</f>
        <v>537.0259769999999</v>
      </c>
      <c r="Z282" s="3">
        <f>536.6+(227-131.7)+(-0.820998+(-0.34731--0.201501))+0-97--0.148410000000006</f>
        <v>534.08160300000009</v>
      </c>
      <c r="AA282" s="3">
        <f>530.7+(187.8-91.7)+(-1.623942+(-0.574668--0.280602))+0-94.7--0.289782000000011</f>
        <v>530.4717740000001</v>
      </c>
      <c r="AB282" s="3">
        <f>525.3+(204.9-160.1)+(-0.267903+(-0.104499--0.081651))+0-87.5--0.0446249999999911</f>
        <v>482.35387399999991</v>
      </c>
      <c r="AC282" s="3">
        <f>522.5+(143.2-195.8)+(-1.0659+(-0.292128--0.399432))+0-80.2--0.163607999999997</f>
        <v>388.905012</v>
      </c>
      <c r="AD282" s="2">
        <v>643.9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523.3+(135.2-191.9)+(-0.800649+(-0.206856--0.293607))+0-93.2--0.142596000000005</f>
        <v>372.82869799999997</v>
      </c>
      <c r="G283" s="3">
        <f>452.6+(152.7-169.7)+(-0.692478+(-0.233631--0.259641))+0-87.3--0.133569000000005</f>
        <v>347.76710100000003</v>
      </c>
      <c r="H283" s="3">
        <f>430.1+(167.8-127.4)+(-0.877404+(-0.342312--0.259896))+0-102.4--0.208895999999996</f>
        <v>367.34907599999997</v>
      </c>
      <c r="I283" s="3">
        <f>435.3+(166.9-156.2)+(-0.222003+(-0.085119--0.079662))+0-80--0.0407999999999919</f>
        <v>365.81333999999998</v>
      </c>
      <c r="J283" s="3">
        <f>442.5+(157.8-163.8)+(-0.45135+(-0.160956--0.167076))+0-91.9--0.0937380000000147</f>
        <v>344.24850800000002</v>
      </c>
      <c r="K283" s="3">
        <f>444.2+(157.4-213.5)+(0.453084+(0.160548-0.21777))+0-78.5-0.0800700000000125</f>
        <v>309.91579200000001</v>
      </c>
      <c r="L283" s="3">
        <f>439.1+(164.6-299.9)+(-0.671823+(-0.251838--0.458847))+0-68--0.104040000000004</f>
        <v>235.43922600000008</v>
      </c>
      <c r="M283" s="3">
        <f>442.4+(182.3-301.3)+(0+(0-0))+0-93.4-0</f>
        <v>229.99999999999997</v>
      </c>
      <c r="N283" s="3">
        <f>444.9+(171.9-286.2)+(0.453798+(0.175338-0.291924))+0-86-0.0877200000000137</f>
        <v>244.84949200000003</v>
      </c>
      <c r="O283" s="3">
        <f>512.4+(150-251.7)+(-0.783972+(-0.2295--0.385101))+0-95.3--0.145809000000005</f>
        <v>314.91743799999995</v>
      </c>
      <c r="P283" s="3">
        <f>526.8+(172.9-258.1)+(-0.537336+(-0.176358--0.263262))+0-85.6--0.0873120000000136</f>
        <v>355.63687999999991</v>
      </c>
      <c r="Q283" s="3">
        <f>534+(182-228)+(0.54468+(0.18564-0.23256))+0-100.1-0.102102000000016</f>
        <v>388.29565800000006</v>
      </c>
      <c r="R283" s="3">
        <f>523.7+(153.8-224.8)+(-1.869609+(-0.549066--0.802536))+0-86.4--0.308448000000001</f>
        <v>364.99230900000009</v>
      </c>
      <c r="S283" s="3">
        <f>533.5+(109.7-250.3)+(0+(0-0))+0-86.2-0</f>
        <v>306.7</v>
      </c>
      <c r="T283" s="3">
        <f>530.8+(100.4-237.3)+(-0.812124+(-0.153612--0.363069))+0-96.5--0.147645000000006</f>
        <v>296.94497799999999</v>
      </c>
      <c r="U283" s="3">
        <f>528.7+(100-255.3)+(-0.539274+(-0.102--0.260406))+0-74.5--0.0759900000000119</f>
        <v>298.595122</v>
      </c>
      <c r="V283" s="3">
        <f>532.3+(142.9-198.2)+(-0.271473+(-0.072879--0.101082))+0-96.3--0.0491129999999902</f>
        <v>380.50584299999997</v>
      </c>
      <c r="W283" s="3">
        <f>539.7+(304.4-294.1)+(0.825741+(0.465732-0.449973))+0-96.1-0.147033000000006</f>
        <v>454.59446699999995</v>
      </c>
      <c r="X283" s="3">
        <f>540.2+(310.8-318.3)+(-0.826506+(-0.475524--0.486999))+0-93.1--0.142443000000005</f>
        <v>438.92741200000006</v>
      </c>
      <c r="Y283" s="3">
        <f>539.3+(273.9-300)+(0+(0-0))+0-97.7-0</f>
        <v>415.49999999999994</v>
      </c>
      <c r="Z283" s="3">
        <f>525.1+(240.7-295.9)+(-1.071204+(-0.491028--0.603636))+0-84.8--0.172991999999996</f>
        <v>384.31439600000004</v>
      </c>
      <c r="AA283" s="3">
        <f>552.9+(201-258.1)+(-0.563958+(-0.20502--0.263262))+0-92.6--0.0944520000000148</f>
        <v>402.78873599999991</v>
      </c>
      <c r="AB283" s="3">
        <f>554.4+(175.1-248.6)+(-0.848232+(-0.267903--0.380358))+0-96.6--0.147798000000006</f>
        <v>383.71202099999999</v>
      </c>
      <c r="AC283" s="3">
        <f>560+(146.9-234.3)+(0.2856+(0.074919-0.119493))+0-76.7-0.0391169999999922</f>
        <v>396.10190900000003</v>
      </c>
      <c r="AD283" s="2">
        <v>595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555+(142.5-244.1)+(-0.84915+(-0.218025--0.373473))+0-71.7--0.109701000000004</f>
        <v>381.11599900000004</v>
      </c>
      <c r="G284" s="3">
        <f>544.1+(127.7-227.9)+(-0.554982+(-0.130254--0.232458))+0-70.7--0.0721140000000113</f>
        <v>372.81933600000002</v>
      </c>
      <c r="H284" s="3">
        <f>450.4+(152.9-196.8)+(-0.229704+(-0.077979--0.100368))+0-77.8--0.0396779999999921</f>
        <v>328.53236299999998</v>
      </c>
      <c r="I284" s="3">
        <f>446.7+(163.6-243.1)+(-1.594719+(-0.584052--0.867867))+0-67.7--0.241689000000001</f>
        <v>298.43078500000001</v>
      </c>
      <c r="J284" s="3">
        <f>452+(179.3-245.2)+(0.23052+(0.091443-0.125052))+0-76.9-0.0392189999999922</f>
        <v>309.35769200000004</v>
      </c>
      <c r="K284" s="3">
        <f>449+(190-257.2)+(-0.68697+(-0.2907--0.393516))+0-83.5--0.127755000000005</f>
        <v>297.84360099999998</v>
      </c>
      <c r="L284" s="3">
        <f>447.4+(192.8-352.3)+(-1.14087+(-0.49164--0.898365))+0-63.5--0.161924999999991</f>
        <v>223.82777999999996</v>
      </c>
      <c r="M284" s="3">
        <f>450.4+(186.8-300.8)+(0+(0-0))+0-75.6-0</f>
        <v>260.79999999999995</v>
      </c>
      <c r="N284" s="3">
        <f>452.3+(325.8-287.9)+(0.230673+(0.166158-0.146829))+0-72-0.0367199999999927</f>
        <v>418.41328200000004</v>
      </c>
      <c r="O284" s="3">
        <f>462.8+(349.7-274.9)+(0.236028+(0.178347-0.140199))+0-69.9-0.0356489999999929</f>
        <v>467.93852700000008</v>
      </c>
      <c r="P284" s="3">
        <f>542.7+(351.4-320.5)+(-0.553554+(-0.358428--0.32691))+0-81--0.0826200000000129</f>
        <v>492.09754800000007</v>
      </c>
      <c r="Q284" s="3">
        <f>529.8+(386.8-366.1)+(0+(0-0))+0-75.6-0</f>
        <v>474.9</v>
      </c>
      <c r="R284" s="3">
        <f>524.6+(372.8-316.9)+(-1.070184+(-0.760512--0.646476))+0-93.1--0.189923999999996</f>
        <v>486.40570400000001</v>
      </c>
      <c r="S284" s="3">
        <f>535.4+(363.4-319.3)+(-0.546108+(-0.370668--0.325686))+0-93.6--0.0954720000000149</f>
        <v>485.404382</v>
      </c>
      <c r="T284" s="3">
        <f>533.7+(344.2-344.4)+(-1.088748+(-0.702168--0.702576))+0-96.1--0.196043999999996</f>
        <v>436.50770399999993</v>
      </c>
      <c r="U284" s="3">
        <f>539.1+(317.3-315.7)+(0.274941+(0.161823-0.161007))+0-101.7-0.0518669999999897</f>
        <v>439.22389000000004</v>
      </c>
      <c r="V284" s="3">
        <f>529+(308.6-298.7)+(-0.80937+(-0.472158--0.457011))+0-85--0.130050000000005</f>
        <v>453.20553300000006</v>
      </c>
      <c r="W284" s="3">
        <f>537.9+(376.6-357.5)+(0.548658+(0.384132-0.36465))+0-113.2-0.115464000000018</f>
        <v>444.25267599999995</v>
      </c>
      <c r="X284" s="3">
        <f>539.1+(407.1-388.5)+(-0.549882+(-0.415242--0.39627))+0-92.1--0.0939420000000147</f>
        <v>465.12508800000006</v>
      </c>
      <c r="Y284" s="3">
        <f>546.3+(395.8-357.6)+(0.835839+(0.605574-0.547128))+0-100.8-0.154224000000006</f>
        <v>484.44006099999996</v>
      </c>
      <c r="Z284" s="3">
        <f>545.2+(388.8-339.2)+(0.834156+(0.594864-0.518976))+0-110.6-0.169218000000006</f>
        <v>484.94082600000002</v>
      </c>
      <c r="AA284" s="3">
        <f>543.6+(314.1-285.3)+(0.554472+(0.320382-0.291006))+0-101.4-0.103428000000016</f>
        <v>471.48042000000009</v>
      </c>
      <c r="AB284" s="3">
        <f>536+(202.7-221.6)+(-1.09344+(-0.413508--0.452064))+0-96.8--0.197471999999996</f>
        <v>419.442588</v>
      </c>
      <c r="AC284" s="3">
        <f>531.2+(144.7-232.1)+(-1.625472+(-0.442782--0.710226))+0-90.2--0.27601200000001</f>
        <v>352.51798400000013</v>
      </c>
      <c r="AD284" s="2">
        <v>538.30000000000007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542.7+(117-215.4)+(0+(0-0))+0-62.6-0</f>
        <v>381.70000000000005</v>
      </c>
      <c r="G285" s="3">
        <f>455.1+(149.8-142.2)+(0+(0-0))+0-86.3-0</f>
        <v>376.40000000000003</v>
      </c>
      <c r="H285" s="3">
        <f>450.8+(148.1-120.4)+(-0.229908+(-0.075531--0.061404))+0-103.6--0.0528359999999895</f>
        <v>374.70880100000005</v>
      </c>
      <c r="I285" s="3">
        <f>455.4+(140.8-117.4)+(0.696762+(0.215424-0.179622))+0-87-0.133110000000005</f>
        <v>392.39945399999999</v>
      </c>
      <c r="J285" s="3">
        <f>455.9+(151-129.5)+(0.930036+(0.30804-0.26418))+0-96-0.195839999999996</f>
        <v>382.17805600000003</v>
      </c>
      <c r="K285" s="3">
        <f>461.1+(167.6-168.8)+(1.175805+(0.42738-0.43044))+0-92.9-0.236894999999987</f>
        <v>367.93584999999996</v>
      </c>
      <c r="L285" s="3">
        <f>451.5+(212.6-218.9)+(-0.230265+(-0.108426--0.111639))+0-80.1--0.0408509999999919</f>
        <v>364.91379899999993</v>
      </c>
      <c r="M285" s="3">
        <f>469.5+(212-198.2)+(0.47889+(0.21624-0.202164))+0-100.8-0.102816000000016</f>
        <v>382.89015000000001</v>
      </c>
      <c r="N285" s="3">
        <f>537.1+(163.1-224.3)+(1.095684+(0.332724-0.457572))+0-87.4-0.178295999999996</f>
        <v>389.29253999999997</v>
      </c>
      <c r="O285" s="3">
        <f>441.2+(199.9-119.5)+(0.225012+(0.101949-0.060945))+0-98.6-0.05028599999999</f>
        <v>423.21573000000006</v>
      </c>
      <c r="P285" s="3">
        <f>497.6+(249.3-173.9)+(0.507552+(0.254286-0.177378))+0-96.9-0.0988380000000155</f>
        <v>476.58562200000006</v>
      </c>
      <c r="Q285" s="3">
        <f>507.3+(220.3-137.4)+(-1.034892+(-0.449412--0.280296))+0-92.4--0.188495999999996</f>
        <v>496.78448800000001</v>
      </c>
      <c r="R285" s="3">
        <f>527.8+(191.4-139.1)+(-0.807534+(-0.292842--0.212823))+0-99.1--0.151623000000006</f>
        <v>480.26406999999989</v>
      </c>
      <c r="S285" s="3">
        <f>541.8+(155.6-141.2)+(0.552636+(0.158712-0.144024))+0-78.8-0.0803760000000126</f>
        <v>477.8869479999999</v>
      </c>
      <c r="T285" s="3">
        <f>541.9+(124.8-149.2)+(0+(0-0))+0-76.3-0</f>
        <v>441.2</v>
      </c>
      <c r="U285" s="3">
        <f>531.2+(127.6-105.9)+(0+(0-0))+0-58.1-0</f>
        <v>494.80000000000007</v>
      </c>
      <c r="V285" s="3">
        <f>538.2+(169.4-156.4)+(0.274482+(0.086394-0.079764))+0-64.6-0.0329459999999934</f>
        <v>486.84816600000005</v>
      </c>
      <c r="W285" s="3">
        <f>543.3+(359.4-260.8)+(0.554166+(0.366588-0.266016))+0-62-0.0632400000000099</f>
        <v>580.49149799999975</v>
      </c>
      <c r="X285" s="3">
        <f>539.2+(393.6-263.3)+(-0.274992+(-0.200736--0.134283))+0-87.3--0.0445229999999911</f>
        <v>581.90307800000005</v>
      </c>
      <c r="Y285" s="3">
        <f>543.8+(347.9-231.2)+(-1.664028+(-1.064574--0.707472))+0-89.9--0.27509400000001</f>
        <v>568.85396400000002</v>
      </c>
      <c r="Z285" s="3">
        <f>550.8+(304.6-211.3)+(-0.561816+(-0.310692--0.215526))+0-107.4--0.109548000000017</f>
        <v>536.15256599999998</v>
      </c>
      <c r="AA285" s="3">
        <f>547.8+(211.6-155.3)+(-0.558756+(-0.215832--0.158406))+0-104.2--0.106284000000017</f>
        <v>499.39010199999996</v>
      </c>
      <c r="AB285" s="3">
        <f>547.2+(169.3-154.2)+(-0.558144+(-0.172686--0.157284))+0-96.9--0.0988380000000155</f>
        <v>464.92529200000013</v>
      </c>
      <c r="AC285" s="3">
        <f>546+(180.1-206.9)+(-1.67076+(-0.551106--0.633114))+0-91.7--0.280602000000011</f>
        <v>426.19185000000004</v>
      </c>
      <c r="AD285" s="2">
        <v>619.70000000000005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557.1+(200.1-315.7)+(0.852363+(0.306153-0.483021))+0-78-0.119340000000005</f>
        <v>364.05615499999999</v>
      </c>
      <c r="G286" s="3">
        <f>560+(189.9-310.6)+(1.428+(0.484245-0.79203))+0-73.8-0.188189999999989</f>
        <v>366.43202499999995</v>
      </c>
      <c r="H286" s="3">
        <f>519.9+(206.4-259.8)+(1.060596+(0.421056-0.529992))+0-95.9-0.195635999999996</f>
        <v>371.35602399999999</v>
      </c>
      <c r="I286" s="3">
        <f>462.4+(232.9-306)+(1.17912+(0.593895-0.7803))+0-85.1-0.217004999999988</f>
        <v>304.97570999999994</v>
      </c>
      <c r="J286" s="3">
        <f>455.9+(229.5-280.7)+(0+(0-0))+0-90.1-0</f>
        <v>314.60000000000002</v>
      </c>
      <c r="K286" s="3">
        <f>459.6+(257.4-285.2)+(0.468792+(0.262548-0.290904))+0-88-0.089760000000014</f>
        <v>344.15067599999998</v>
      </c>
      <c r="L286" s="3">
        <f>455.6+(271.7-306.8)+(-0.232356+(-0.138567--0.156468))+0-87.6--0.0446759999999911</f>
        <v>332.73022100000003</v>
      </c>
      <c r="M286" s="3">
        <f>458.2+(312.2-320)+(0.233682+(0.159222-0.1632))+0-93.7-0.0477869999999905</f>
        <v>356.88191700000004</v>
      </c>
      <c r="N286" s="3">
        <f>454.3+(287.9-311.6)+(-0.695079+(-0.440487--0.476748))+0-90.4--0.138312000000005</f>
        <v>339.67949399999992</v>
      </c>
      <c r="O286" s="3">
        <f>455+(250.9-189.9)+(-1.16025+(-0.639795--0.484245))+0-98.8--0.251939999999986</f>
        <v>416.13614000000001</v>
      </c>
      <c r="P286" s="3">
        <f>497.5+(228.8-181.6)+(-1.0149+(-0.466752--0.370464))+0-83.2--0.169727999999996</f>
        <v>460.55854000000011</v>
      </c>
      <c r="Q286" s="3">
        <f>538.2+(215.3-156.9)+(-1.37241+(-0.549015--0.400095))+0-97.3--0.248114999999986</f>
        <v>498.02678499999996</v>
      </c>
      <c r="R286" s="3">
        <f>544+(188.5-133.1)+(-0.83232+(-0.288405--0.203643))+0-92.8--0.141984000000005</f>
        <v>505.82490199999989</v>
      </c>
      <c r="S286" s="3">
        <f>543.8+(148.1-26.5)+(0+(0-0))+0-73.4-0</f>
        <v>592</v>
      </c>
      <c r="T286" s="3">
        <f>535.4+(131.3-76.7)+(0.273054+(0.066963-0.039117))+0-56.1-0.0286109999999943</f>
        <v>534.17228899999998</v>
      </c>
      <c r="U286" s="3">
        <f>532.4+(138.9-115.6)+(0.543048+(0.141678-0.117912))+0-91.5-0.0933300000000146</f>
        <v>464.67348400000003</v>
      </c>
      <c r="V286" s="3">
        <f>530.9+(152.3-126.6)+(0.541518+(0.155346-0.129132))+0-95.9-0.0978180000000153</f>
        <v>461.16991400000001</v>
      </c>
      <c r="W286" s="3">
        <f>543.2+(363-185.3)+(0.554064+(0.37026-0.189006))+0-101-0.103020000000016</f>
        <v>620.53229800000008</v>
      </c>
      <c r="X286" s="3">
        <f>547.7+(399.7-209.3)+(-0.837981+(-0.611541--0.320229))+0-109.3--0.167229000000006</f>
        <v>627.83793600000013</v>
      </c>
      <c r="Y286" s="3">
        <f>549.1+(377.2-207.7)+(-0.280041+(-0.192372--0.105927))+0-105.9--0.0540089999999893</f>
        <v>612.38752299999999</v>
      </c>
      <c r="Z286" s="3">
        <f>545.4+(267.2-151.4)+(-0.556308+(-0.272544--0.154428))+0-105.8--0.107916000000017</f>
        <v>554.83349199999998</v>
      </c>
      <c r="AA286" s="3">
        <f>547.6+(264.1-126.1)+(-0.279276+(-0.134691--0.064311))+0-104.9--0.0534989999999894</f>
        <v>580.40384300000005</v>
      </c>
      <c r="AB286" s="3">
        <f>546.7+(222.9-125.6)+(-0.278817+(-0.113679--0.064056))+0-89.9--0.0458489999999909</f>
        <v>553.817409</v>
      </c>
      <c r="AC286" s="3">
        <f>544.1+(198.7-176.9)+(-0.554982+(-0.202674--0.180438))+0-98.7--0.100674000000016</f>
        <v>466.723456</v>
      </c>
      <c r="AD286" s="2">
        <v>611.19999999999993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544.5+(279.9-327.1)+(0+(0-0))+0-100.8-0</f>
        <v>396.49999999999994</v>
      </c>
      <c r="G287" s="3">
        <f>546.9+(237.5-325)+(0.836757+(0.363375-0.49725))+0-95.9-0.146727000000006</f>
        <v>364.05615499999993</v>
      </c>
      <c r="H287" s="3">
        <f>462.5+(271.4-308.2)+(0.9435+(0.553656-0.628728))+0-97.5-0.198899999999996</f>
        <v>328.869528</v>
      </c>
      <c r="I287" s="3">
        <f>457.1+(257.5-298.4)+(0+(0-0))+0-91.9-0</f>
        <v>324.30000000000007</v>
      </c>
      <c r="J287" s="3">
        <f>455.2+(266.4-287.3)+(-0.464304+(-0.271728--0.293046))+0-94.7--0.0965940000000151</f>
        <v>339.25360799999999</v>
      </c>
      <c r="K287" s="3">
        <f>462.4+(290.4-274.1)+(0.471648+(0.296208-0.279582))+0-99.6-0.101592000000016</f>
        <v>379.48668199999992</v>
      </c>
      <c r="L287" s="3">
        <f>532.3+(297-401.8)+(-1.357365+(-0.75735--1.02459))+0-87.5--0.223124999999987</f>
        <v>339.13299999999992</v>
      </c>
      <c r="M287" s="3">
        <f>562.9+(262.7-343.9)+(-0.574158+(-0.267954--0.350778))+0-100--0.102000000000016</f>
        <v>381.31066600000003</v>
      </c>
      <c r="N287" s="3">
        <f>562.3+(223.5-255.4)+(-0.573546+(-0.22797--0.260508))+0-83.9--0.0855780000000134</f>
        <v>446.04456999999996</v>
      </c>
      <c r="O287" s="3">
        <f>568.7+(259.1-244.5)+(1.160148+(0.528564-0.49878))+0-96.7-0.197267999999996</f>
        <v>487.59266400000007</v>
      </c>
      <c r="P287" s="3">
        <f>554.2+(278.1-253)+(0.282642+(0.141831-0.12903))+0-72.3-0.0368729999999927</f>
        <v>507.25857000000002</v>
      </c>
      <c r="Q287" s="3">
        <f>544.4+(295-265.5)+(-1.38822+(-0.75225--0.677025))+0-80.6--0.205529999999988</f>
        <v>492.04208499999999</v>
      </c>
      <c r="R287" s="3">
        <f>535+(289.7-256.7)+(-1.0914+(-0.590988--0.523668))+0-95.4--0.194615999999996</f>
        <v>471.635896</v>
      </c>
      <c r="S287" s="3">
        <f>539.4+(253.7-285.2)+(0.275094+(0.129387-0.145452))+0-97.2-0.0495719999999901</f>
        <v>410.90945699999997</v>
      </c>
      <c r="T287" s="3">
        <f>540.3+(195.2-264.9)+(0+(0-0))+0-83.5-0</f>
        <v>387.09999999999997</v>
      </c>
      <c r="U287" s="3">
        <f>539.1+(240.5-277.7)+(-1.099764+(-0.49062--0.566508))+0-96.9--0.197675999999996</f>
        <v>404.17380000000003</v>
      </c>
      <c r="V287" s="3">
        <f>543.7+(365.1-358.3)+(0.554574+(0.372402-0.365466))+0-83.1-0.0847620000000132</f>
        <v>467.87674799999996</v>
      </c>
      <c r="W287" s="3">
        <f>542.8+(539.7-362.4)+(0.830484+(0.825741-0.554472))+0-98-0.149940000000006</f>
        <v>623.05181300000004</v>
      </c>
      <c r="X287" s="3">
        <f>542.6+(508-360.4)+(-1.106904+(-1.03632--0.735216))+0-94.3--0.192371999999996</f>
        <v>594.68436400000007</v>
      </c>
      <c r="Y287" s="3">
        <f>546.9+(433-335.4)+(0.557838+(0.44166-0.342108))+0-86.5-0.0882300000000138</f>
        <v>558.5691599999999</v>
      </c>
      <c r="Z287" s="3">
        <f>539.3+(450.9-334)+(0+(0-0))+0-106.1-0</f>
        <v>550.09999999999991</v>
      </c>
      <c r="AA287" s="3">
        <f>536+(390.9-275.2)+(-0.54672+(-0.398718--0.280704))+0-82.4--0.0840480000000131</f>
        <v>568.71931400000017</v>
      </c>
      <c r="AB287" s="3">
        <f>535.1+(337.2-245.5)+(-0.545802+(-0.343944--0.25041))+0-102.2--0.104244000000016</f>
        <v>524.06490799999995</v>
      </c>
      <c r="AC287" s="3">
        <f>534.6+(227.7-203.5)+(-0.817938+(-0.348381--0.311355))+0-101.5--0.155295000000006</f>
        <v>456.60033099999998</v>
      </c>
      <c r="AD287" s="2">
        <v>670.5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495.1+(260.3-211.1)+(-0.252501+(-0.132753--0.107661))+0-107.1--0.0546209999999891</f>
        <v>436.97702800000002</v>
      </c>
      <c r="G288" s="3">
        <f>457.6+(253.4-214.4)+(-0.933504+(-0.516936--0.437376))+0-92.4--0.188495999999996</f>
        <v>403.37543200000005</v>
      </c>
      <c r="H288" s="3">
        <f>460.2+(250.8-181.8)+(0+(0-0))+0-106.2-0</f>
        <v>423.00000000000006</v>
      </c>
      <c r="I288" s="3">
        <f>478.2+(244.5-187.2)+(-0.243882+(-0.124695--0.095472))+0-98.6--0.05028599999999</f>
        <v>436.67718099999996</v>
      </c>
      <c r="J288" s="3">
        <f>537.8+(212.2-218.3)+(-0.274278+(-0.108222--0.111333))+0-94.4--0.0481439999999904</f>
        <v>437.07697699999994</v>
      </c>
      <c r="K288" s="3">
        <f>534.6+(241.1-242.6)+(-0.817938+(-0.368883--0.371178))+0-93.3--0.142749000000005</f>
        <v>439.12710599999997</v>
      </c>
      <c r="L288" s="3">
        <f>534.6+(242.1-304.8)+(-0.817938+(-0.370413--0.466344))+0-93.3--0.142749000000005</f>
        <v>378.02074199999993</v>
      </c>
      <c r="M288" s="3">
        <f>544+(234.2-381.1)+(-0.27744+(-0.119442--0.194361))+0-66.3--0.0338129999999933</f>
        <v>330.63129199999997</v>
      </c>
      <c r="N288" s="3">
        <f>552.3+(232.3-375.6)+(0+(0-0))+0-87.8-0</f>
        <v>321.19999999999993</v>
      </c>
      <c r="O288" s="3">
        <f>547.4+(197.9-343.1)+(-0.558348+(-0.201858--0.349962))+0-59.8--0.0609960000000095</f>
        <v>342.05075199999993</v>
      </c>
      <c r="P288" s="3">
        <f>543.6+(205.6-333.7)+(-0.554472+(-0.209712--0.340374))+0-56.3--0.057426000000009</f>
        <v>358.83361600000001</v>
      </c>
      <c r="Q288" s="3">
        <f>549.6+(215.7-303.7)+(1.40148+(0.550035-0.774435))+0-80.6-0.205529999999988</f>
        <v>381.97155000000004</v>
      </c>
      <c r="R288" s="3">
        <f>524.6+(265.3-263)+(-1.872822+(-0.947121--0.93891))+0-97--0.346290000000001</f>
        <v>428.3652570000001</v>
      </c>
      <c r="S288" s="3">
        <f>527.5+(198.9-272.2)+(-1.0761+(-0.405756--0.555288))+0-71--0.144839999999997</f>
        <v>382.41827200000006</v>
      </c>
      <c r="T288" s="3">
        <f>535.3+(161.3-256.2)+(0.273003+(0.082263-0.130662))+0-84.8-0.0432479999999914</f>
        <v>355.78135599999996</v>
      </c>
      <c r="U288" s="3">
        <f>534.3+(192.7-241.7)+(-0.272493+(-0.098277--0.123267))+0-107.2--0.0546719999999891</f>
        <v>377.90716899999995</v>
      </c>
      <c r="V288" s="3">
        <f>534.1+(270.9-243.2)+(0+(0-0))+0-107.2-0</f>
        <v>454.59999999999997</v>
      </c>
      <c r="W288" s="3">
        <f>535.9+(498.5-304.5)+(0.819927+(0.762705-0.465885))+0-114.5-0.175185000000007</f>
        <v>616.34156199999995</v>
      </c>
      <c r="X288" s="3">
        <f>532.6+(523.2-334.6)+(-1.086504+(-1.067328--0.682584))+0-113.7--0.231947999999995</f>
        <v>606.26070000000004</v>
      </c>
      <c r="Y288" s="3">
        <f>536.7+(460.3-310.7)+(-0.547434+(-0.469506--0.316914))+0-110.9--0.113118000000018</f>
        <v>574.8130920000001</v>
      </c>
      <c r="Z288" s="3">
        <f>536.1+(418.1-276.6)+(-0.546822+(-0.426462--0.282132))+0-106.6--0.108732000000017</f>
        <v>570.41758000000004</v>
      </c>
      <c r="AA288" s="3">
        <f>539.4+(368.2-258.3)+(0+(0-0))+0-110-0</f>
        <v>539.29999999999995</v>
      </c>
      <c r="AB288" s="3">
        <f>536.4+(327.9-284.2)+(-0.820692+(-0.501687--0.434826))+0-110.8--0.169524000000006</f>
        <v>468.5819709999999</v>
      </c>
      <c r="AC288" s="3">
        <f>538.4+(267.4-284.5)+(-0.274584+(-0.136374--0.145095))+0-81.6--0.0416159999999917</f>
        <v>439.47575299999994</v>
      </c>
      <c r="AD288" s="2">
        <v>686.2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533.9+(224.9-280.9)+(-0.816867+(-0.344097--0.429777))+0-109--0.166770000000006</f>
        <v>368.33558299999999</v>
      </c>
      <c r="G289" s="3">
        <f>538+(195.9-311.4)+(0+(0-0))+0-104.2-0</f>
        <v>318.3</v>
      </c>
      <c r="H289" s="3">
        <f>534.1+(226-294.5)+(0.272391+(0.11526-0.150195))+0-103.4-0.0527339999999895</f>
        <v>362.38472200000001</v>
      </c>
      <c r="I289" s="3">
        <f>538.8+(239.5-319.3)+(0.549576+(0.24429-0.325686))+0-109.7-0.111894000000017</f>
        <v>349.65628599999997</v>
      </c>
      <c r="J289" s="3">
        <f>487.7+(295.9-306.6)+(0.994908+(0.603636-0.625464))+0-105.7-0.215627999999995</f>
        <v>372.05745199999996</v>
      </c>
      <c r="K289" s="3">
        <f>510.4+(320.1-360)+(0.520608+(0.326502-0.3672))+0-100.8-0.102816000000016</f>
        <v>370.07709399999999</v>
      </c>
      <c r="L289" s="3">
        <f>549.1+(331-449.7)+(0+(0-0))+0-97-0</f>
        <v>333.40000000000003</v>
      </c>
      <c r="M289" s="3">
        <f>543.4+(343.5-462.5)+(-0.554268+(-0.35037--0.47175))+0-97.6--0.0995520000000156</f>
        <v>326.46666400000004</v>
      </c>
      <c r="N289" s="3">
        <f>546.3+(328.6-372.1)+(0.557226+(0.335172-0.379542))+0-95.5-0.0974100000000152</f>
        <v>407.71544599999993</v>
      </c>
      <c r="O289" s="3">
        <f>541+(382.5-319.9)+(-0.27591+(-0.195075--0.163149))+0-102.4--0.0522239999999896</f>
        <v>500.94438800000006</v>
      </c>
      <c r="P289" s="3">
        <f>548+(329.7-293.4)+(-0.55896+(-0.336294--0.299268))+0-78.6--0.0801720000000125</f>
        <v>505.1841859999999</v>
      </c>
      <c r="Q289" s="3">
        <f>550.7+(293.5-240.1)+(-0.280857+(-0.149685--0.122451))+0-80.9--0.0412589999999918</f>
        <v>522.93316800000002</v>
      </c>
      <c r="R289" s="3">
        <f>552.5+(300.9-273.3)+(0+(0-0))+0-95.3-0</f>
        <v>484.7999999999999</v>
      </c>
      <c r="S289" s="3">
        <f>549.9+(266.7-284.4)+(-0.560898+(-0.272034--0.290088))+0-94.1--0.095982000000015</f>
        <v>437.65313800000007</v>
      </c>
      <c r="T289" s="3">
        <f>541.7+(258.8-283)+(-0.276267+(-0.131988--0.14433))+0-103.7--0.0528869999999895</f>
        <v>413.58896200000004</v>
      </c>
      <c r="U289" s="3">
        <f>540.5+(241-259.1)+(0.275655+(0.12291-0.132141))+0-100.2-0.0511019999999898</f>
        <v>422.415322</v>
      </c>
      <c r="V289" s="3">
        <f>535.3+(311-256)+(-1.638018+(-0.95166--0.78336))+0-102.5--0.313650000000012</f>
        <v>486.30733199999992</v>
      </c>
      <c r="W289" s="3">
        <f>544.6+(461.4-290.5)+(0.555492+(0.470628-0.29631))+0-103.1-0.105162000000016</f>
        <v>613.02464799999996</v>
      </c>
      <c r="X289" s="3">
        <f>540.3+(472.2-305.9)+(-0.826659+(-0.722466--0.468027))+0-116.8--0.178704000000007</f>
        <v>588.897606</v>
      </c>
      <c r="Y289" s="3">
        <f>536.2+(444.2-297.6)+(-1.093848+(-0.906168--0.607104))+0-116--0.236639999999995</f>
        <v>565.6437279999999</v>
      </c>
      <c r="Z289" s="3">
        <f>541.5+(381.6-301.1)+(-0.828495+(-0.583848--0.460683))+0-110--0.168300000000006</f>
        <v>511.21664000000004</v>
      </c>
      <c r="AA289" s="3">
        <f>542.6+(356.4-318)+(-0.830178+(-0.545292--0.48654))+0-108.6--0.166158000000006</f>
        <v>471.67722800000001</v>
      </c>
      <c r="AB289" s="3">
        <f>545.8+(360.7-404.9)+(0+(0-0))+0-108.2-0</f>
        <v>393.4</v>
      </c>
      <c r="AC289" s="3">
        <f>541+(298.4-377.1)+(-1.10364+(-0.608736--0.769284))+0-100.8--0.205631999999996</f>
        <v>360.76253999999994</v>
      </c>
      <c r="AD289" s="2">
        <v>667.10000000000014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545.6+(357.6-423.3)+(0+(0-0))+0-103.7-0</f>
        <v>376.20000000000005</v>
      </c>
      <c r="G290" s="3">
        <f>465.1+(392.3-445.4)+(0.711603+(0.600219-0.681462))+0-99-0.151470000000006</f>
        <v>313.47889000000004</v>
      </c>
      <c r="H290" s="3">
        <f>463.5+(397.9-460.7)+(0.236385+(0.202929-0.234957))+0-99.7-0.0508469999999899</f>
        <v>301.15351000000004</v>
      </c>
      <c r="I290" s="3">
        <f>464.7+(364.8-433.9)+(0.710991+(0.558144-0.663867))+0-104.2-0.159426000000006</f>
        <v>291.84584200000006</v>
      </c>
      <c r="J290" s="3">
        <f>463.9+(366.2-414.5)+(0.473178+(0.373524-0.42279))+0-104.8-0.106896000000017</f>
        <v>311.11701599999992</v>
      </c>
      <c r="K290" s="3">
        <f>464.3+(385.3-438.2)+(0.473586+(0.393006-0.446964))+0-92.8-0.0946560000000148</f>
        <v>318.92497199999997</v>
      </c>
      <c r="L290" s="3">
        <f>451.1+(419.7-445.9)+(-1.840488+(-1.712376--1.819272))+0-99.9--0.407591999999991</f>
        <v>323.67400000000004</v>
      </c>
      <c r="M290" s="3">
        <f>467.9+(370.2-496.5)+(1.431774+(1.132812-1.51929))+0-80.7-0.246942000000009</f>
        <v>261.69835399999999</v>
      </c>
      <c r="N290" s="3">
        <f>465.8+(381.3-502.3)+(0.950232+(0.777852-1.024692))+0-99.6-0.203183999999996</f>
        <v>245.70020800000003</v>
      </c>
      <c r="O290" s="3">
        <f>465.2+(395.7-464.8)+(0.711756+(0.605421-0.711144))+0-106-0.162180000000006</f>
        <v>290.54385300000001</v>
      </c>
      <c r="P290" s="3">
        <f>457.1+(405.7-433.3)+(-0.932484+(-0.827628--0.883932))+0-92.9--0.189515999999996</f>
        <v>335.91333600000002</v>
      </c>
      <c r="Q290" s="3">
        <f>458.5+(405-424.1)+(-0.701505+(-0.61965--0.648873))+0-97--0.148410000000006</f>
        <v>341.87612799999999</v>
      </c>
      <c r="R290" s="3">
        <f>459.8+(379.1-407.3)+(-0.468996+(-0.386682--0.415446))+0-100--0.102000000000016</f>
        <v>331.26176800000007</v>
      </c>
      <c r="S290" s="3">
        <f>461.3+(287.5-326.6)+(-0.235263+(-0.146625--0.166566))+0-101.1--0.0515609999999897</f>
        <v>320.936239</v>
      </c>
      <c r="T290" s="3">
        <f>461.5+(302-351.8)+(-0.235365+(-0.15402--0.179418))+0-103.2--0.0526319999999895</f>
        <v>308.34266500000001</v>
      </c>
      <c r="U290" s="3">
        <f>458.2+(333.4-307.6)+(-0.934728+(-0.680136--0.627504))+0-99.6--0.203183999999996</f>
        <v>383.61582399999992</v>
      </c>
      <c r="V290" s="3">
        <f>511.3+(369-337.5)+(0.260763+(0.18819-0.172125))+0-103.5-0.0527849999999895</f>
        <v>439.52404300000001</v>
      </c>
      <c r="W290" s="3">
        <f>539.9+(522.4-394.1)+(-0.275349+(-0.266424--0.200991))+0-109.4--0.0557939999999889</f>
        <v>558.51501199999996</v>
      </c>
      <c r="X290" s="3">
        <f>539.4+(542-373.8)+(-0.275094+(-0.27642--0.190638))+0-109.8--0.0559979999999889</f>
        <v>597.49512200000004</v>
      </c>
      <c r="Y290" s="3">
        <f>539.1+(509.5-362.8)+(-0.274941+(-0.259845--0.185028))+0-108.6--0.055385999999989</f>
        <v>576.90562799999998</v>
      </c>
      <c r="Z290" s="3">
        <f>540.2+(486.4-349.3)+(-0.275502+(-0.248064--0.178143))+0-111--0.0566099999999887</f>
        <v>566.01118699999995</v>
      </c>
      <c r="AA290" s="3">
        <f>544.2+(503.5-411.4)+(0.832626+(0.770355-0.629442))+0-102.5-0.156825000000006</f>
        <v>534.616714</v>
      </c>
      <c r="AB290" s="3">
        <f>541.5+(448.6-334.7)+(0+(0-0))+0-108.9-0</f>
        <v>546.50000000000011</v>
      </c>
      <c r="AC290" s="3">
        <f>486.3+(444-269.4)+(-0.496026+(-0.45288--0.274788))+0-108.2--0.110364000000017</f>
        <v>552.13624600000003</v>
      </c>
      <c r="AD290" s="2">
        <v>581.09999999999991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460.5+(331.8-271.6)+(-0.704565+(-0.507654--0.415548))+0-92.9--0.142137000000005</f>
        <v>427.14546600000011</v>
      </c>
      <c r="G291" s="3">
        <f>464+(319.1-280.9)+(0+(0-0))+0-106.6-0</f>
        <v>395.6</v>
      </c>
      <c r="H291" s="3">
        <f>464.8+(273.3-259)+(0.237048+(0.139383-0.13209))+0-91.4-0.0466139999999907</f>
        <v>387.89772700000003</v>
      </c>
      <c r="I291" s="3">
        <f>464.4+(283.5-272.8)+(0.236844+(0.144585-0.139128))+0-83.2-0.0424319999999916</f>
        <v>392.09986899999996</v>
      </c>
      <c r="J291" s="3">
        <f>462+(270.1-248.5)+(-0.23562+(-0.137751--0.126735))+0-80.9--0.0412589999999918</f>
        <v>402.49462299999993</v>
      </c>
      <c r="K291" s="3">
        <f>466.1+(291.4-292.5)+(0.713133+(0.445842-0.447525))+0-74.2-0.113526000000004</f>
        <v>391.39792400000005</v>
      </c>
      <c r="L291" s="3">
        <f>466.4+(311.1-318.8)+(0.713592+(0.475983-0.487764))+0-67.5-0.103275000000004</f>
        <v>391.79853600000001</v>
      </c>
      <c r="M291" s="3">
        <f>462.2+(304-361)+(-0.235722+(-0.15504--0.18411))+0-91.4--0.0466139999999907</f>
        <v>313.63996199999997</v>
      </c>
      <c r="N291" s="3">
        <f>464.9+(321.2-355.6)+(0.237099+(0.163812-0.181356))+0-100.6-0.0513059999999898</f>
        <v>330.06824899999998</v>
      </c>
      <c r="O291" s="3">
        <f>465.4+(380-385.6)+(0.237354+(0.1938-0.196656))+0-101.3-0.0516629999999897</f>
        <v>358.68283499999995</v>
      </c>
      <c r="P291" s="3">
        <f>463+(456.4-412.6)+(-0.23613+(-0.232764--0.210426))+0-104.8--0.0534479999999894</f>
        <v>401.79497999999995</v>
      </c>
      <c r="Q291" s="3">
        <f>461.5+(472.1-423.9)+(-0.706095+(-0.722313--0.648567))+0-94.9--0.145197000000005</f>
        <v>414.16535600000003</v>
      </c>
      <c r="R291" s="3">
        <f>461.5+(468.7-426.5)+(-0.47073+(-0.478074--0.43503))+0-100.4--0.102408000000016</f>
        <v>402.88863399999997</v>
      </c>
      <c r="S291" s="3">
        <f>462.3+(386.7-384.1)+(-0.471546+(-0.394434--0.391782))+0-100.1--0.102102000000016</f>
        <v>364.42790399999996</v>
      </c>
      <c r="T291" s="3">
        <f>459.5+(373.1-396.5)+(-0.93738+(-0.761124--0.80886))+0-105.5--0.215219999999995</f>
        <v>329.92557600000004</v>
      </c>
      <c r="U291" s="3">
        <f>470.9+(381.4-396.4)+(1.200795+(0.97257-1.01082))+0-91.9-0.234344999999987</f>
        <v>364.92820000000006</v>
      </c>
      <c r="V291" s="3">
        <f>532.5+(358.3-377.3)+(0+(0-0))+0-74.4-0</f>
        <v>439.1</v>
      </c>
      <c r="W291" s="3">
        <f>548.9+(546.1-472.1)+(0.559878+(0.557022-0.481542))+0-81.4-0.083028000000013</f>
        <v>542.05232999999998</v>
      </c>
      <c r="X291" s="3">
        <f>541.3+(591.2-466.4)+(-0.828189+(-0.904536--0.713592))+0-71.9--0.110007000000004</f>
        <v>593.29087400000003</v>
      </c>
      <c r="Y291" s="3">
        <f>545.2+(583.4-432.6)+(0.278052+(0.297534-0.220626))+0-111.8-0.0570179999999887</f>
        <v>584.49794200000008</v>
      </c>
      <c r="Z291" s="3">
        <f>544.5+(560.4-399.1)+(0.277695+(0.285804-0.203541))+0-92.8-0.0473279999999906</f>
        <v>613.31263000000001</v>
      </c>
      <c r="AA291" s="3">
        <f>545.3+(516.3-368.1)+(0.556206+(0.526626-0.375462))+0-103.9-0.105978000000017</f>
        <v>590.20139199999983</v>
      </c>
      <c r="AB291" s="3">
        <f>538.3+(442.9-319)+(-0.549066+(-0.451758--0.32538))+0-106.1--0.108222000000017</f>
        <v>555.53277800000001</v>
      </c>
      <c r="AC291" s="3">
        <f>535.7+(328.3-295.4)+(-1.366035+(-0.837165--0.75327))+0-103.2--0.263159999999985</f>
        <v>464.21323000000012</v>
      </c>
      <c r="AD291" s="2">
        <v>604.9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535.9+(291.3-297.9)+(-0.819927+(-0.445689--0.455787))+0-99.2--0.151776000000006</f>
        <v>429.44194699999991</v>
      </c>
      <c r="G292" s="3">
        <f>553.1+(233.1-270.7)+(0+(0-0))+0-69.2-0</f>
        <v>446.3</v>
      </c>
      <c r="H292" s="3">
        <f>556.1+(202.3-220.4)+(0.283611+(0.103173-0.112404))+0-106.8-0.0544679999999892</f>
        <v>431.41991199999995</v>
      </c>
      <c r="I292" s="3">
        <f>557.1+(190.3-187.5)+(0.852363+(0.291159-0.286875))+0-102.1-0.156213000000006</f>
        <v>458.50043400000004</v>
      </c>
      <c r="J292" s="3">
        <f>559.7+(217-226.4)+(1.427235+(0.55335-0.57732))+0-101.5-0.258824999999985</f>
        <v>449.9444400000001</v>
      </c>
      <c r="K292" s="3">
        <f>556.2+(276.9-254.3)+(0.567324+(0.282438-0.259386))+0-89.2-0.0909840000000142</f>
        <v>490.09939199999997</v>
      </c>
      <c r="L292" s="3">
        <f>542.6+(287.9-338.5)+(-1.660356+(-0.880974--1.03581))+0-73.6--0.225216000000008</f>
        <v>417.11969600000003</v>
      </c>
      <c r="M292" s="3">
        <f>556+(333.8-351.5)+(0.85068+(0.510714-0.537795))+0-85.6-0.130968000000005</f>
        <v>453.39263099999988</v>
      </c>
      <c r="N292" s="3">
        <f>553.6+(404.1-354.3)+(0+(0-0))+0-68.8-0</f>
        <v>534.60000000000014</v>
      </c>
      <c r="O292" s="3">
        <f>544.1+(458-314.7)+(-1.109964+(-0.93432--0.641988))+0-106--0.216239999999995</f>
        <v>580.21394400000008</v>
      </c>
      <c r="P292" s="3">
        <f>545.8+(409.5-276.9)+(0.556716+(0.41769-0.282438))+0-89.8-0.0915960000000143</f>
        <v>589.20037200000002</v>
      </c>
      <c r="Q292" s="3">
        <f>539.6+(425.1-268)+(0+(0-0))+0-99.2-0</f>
        <v>597.5</v>
      </c>
      <c r="R292" s="3">
        <f>528+(394.7-259.9)+(-0.80784+(-0.603891--0.397647))+0-74.2--0.113526000000004</f>
        <v>587.69944199999986</v>
      </c>
      <c r="S292" s="3">
        <f>523.1+(421.1-269.6)+(-0.533562+(-0.429522--0.274992))+0-70.3--0.0717060000000112</f>
        <v>603.68361400000015</v>
      </c>
      <c r="T292" s="3">
        <f>493.9+(430-241.5)+(0.251889+(0.2193-0.123165))+0-99.2-0.0505919999999899</f>
        <v>583.497432</v>
      </c>
      <c r="U292" s="3">
        <f>496.4+(414.5-225.2)+(0.759492+(0.634185-0.344556))+0-103.4-0.158202000000006</f>
        <v>583.19091900000012</v>
      </c>
      <c r="V292" s="3">
        <f>493.7+(403.1-255.3)+(0.251787+(0.205581-0.130203))+0-64.2-0.0327419999999935</f>
        <v>577.59442300000001</v>
      </c>
      <c r="W292" s="3">
        <f>533+(610.5-365.5)+(0+(0-0))+0-103.3-0</f>
        <v>674.7</v>
      </c>
      <c r="X292" s="3">
        <f>532.6+(618.4-378.2)+(-0.271626+(-0.315384--0.192882))+0-92.5--0.0471749999999906</f>
        <v>679.95304699999997</v>
      </c>
      <c r="Y292" s="3">
        <f>527.9+(575.8-356.1)+(-1.076916+(-1.174632--0.726444))+0-97.8--0.199511999999996</f>
        <v>648.47440799999993</v>
      </c>
      <c r="Z292" s="3">
        <f>539.3+(534.7-322.2)+(-0.275043+(-0.272697--0.164322))+0-112--0.0571199999999886</f>
        <v>639.47370199999989</v>
      </c>
      <c r="AA292" s="3">
        <f>537+(454.9-276.9)+(0+(0-0))+0-105.3-0</f>
        <v>609.70000000000005</v>
      </c>
      <c r="AB292" s="3">
        <f>532.3+(380.6-258.1)+(-0.814419+(-0.582318--0.394893))+0-88.5--0.135405000000005</f>
        <v>565.43356099999994</v>
      </c>
      <c r="AC292" s="3">
        <f>535.1+(302.4-256)+(-0.272901+(-0.154224--0.13056))+0-94.3--0.0480929999999904</f>
        <v>486.951528</v>
      </c>
      <c r="AD292" s="2">
        <v>637.70000000000005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537.5+(249.8-222.8)+(-0.54825+(-0.254796--0.227256))+0-87.6--0.089352000000014</f>
        <v>476.41356200000001</v>
      </c>
      <c r="G293" s="3">
        <f>541.4+(243.3-246.9)+(0.276114+(0.124083-0.125919))+0-88.9-0.045338999999991</f>
        <v>449.12893899999995</v>
      </c>
      <c r="H293" s="3">
        <f>537.6+(235.2-230.9)+(-0.548352+(-0.239904--0.235518))+0-106.9--0.109038000000017</f>
        <v>434.55630000000002</v>
      </c>
      <c r="I293" s="3">
        <f>486.1+(239.7-226.9)+(0.247911+(0.122247-0.115719))+0-92.4-0.0471239999999906</f>
        <v>406.70731499999994</v>
      </c>
      <c r="J293" s="3">
        <f>459.8+(250.2-245.1)+(0.937992+(0.510408-0.500004))+0-93.5-0.190739999999996</f>
        <v>372.15765599999997</v>
      </c>
      <c r="K293" s="3">
        <f>517.1+(270.8-300.5)+(0.527442+(0.276216-0.30651))+0-93.9-0.095778000000015</f>
        <v>393.90137000000004</v>
      </c>
      <c r="L293" s="3">
        <f>549.7+(277.6-328.5)+(0.560694+(0.283152-0.33507))+0-94.1-0.095982000000015</f>
        <v>405.11279400000006</v>
      </c>
      <c r="M293" s="3">
        <f>495.4+(390.2-322.6)+(-0.505308+(-0.398004--0.329052))+0-86.1--0.0878220000000137</f>
        <v>476.41356200000001</v>
      </c>
      <c r="N293" s="3">
        <f>497.6+(398.6-332.2)+(0.507552+(0.406572-0.338844))+0-86.5-0.0882300000000138</f>
        <v>477.98705000000001</v>
      </c>
      <c r="O293" s="3">
        <f>497.5+(398.1-252.3)+(0.50745+(0.406062-0.257346))+0-84.5-0.0861900000000135</f>
        <v>559.36997599999995</v>
      </c>
      <c r="P293" s="3">
        <f>497.3+(455.9-271.4)+(0.253623+(0.232509-0.138414))+0-87.6-0.0446759999999911</f>
        <v>594.50304199999994</v>
      </c>
      <c r="Q293" s="3">
        <f>497.1+(665.5-510.4)+(-0.253521+(-0.339405--0.260304))+0-85.4--0.0435539999999913</f>
        <v>566.51093200000003</v>
      </c>
      <c r="R293" s="3">
        <f>493.6+(617.7-462.8)+(-1.006944+(-1.260108--0.944112))+0-76--0.155039999999997</f>
        <v>571.33209999999997</v>
      </c>
      <c r="S293" s="3">
        <f>496.1+(548.8-446.6)+(-0.759033+(-0.839664--0.683298))+0-86.7--0.132651000000005</f>
        <v>510.817252</v>
      </c>
      <c r="T293" s="3">
        <f>489.4+(343.2-231.4)+(-1.497564+(-1.050192--0.708084))+0-87.2--0.26683200000001</f>
        <v>512.42715999999996</v>
      </c>
      <c r="U293" s="3">
        <f>497.7+(352.5-257.2)+(0.761481+(0.539325-0.393516))+0-86.6-0.132498000000005</f>
        <v>507.17479199999997</v>
      </c>
      <c r="V293" s="3">
        <f>504.2+(390.2-240.1)+(0+(0-0))+0-81.6-0</f>
        <v>572.69999999999993</v>
      </c>
      <c r="W293" s="3">
        <f>527.7+(594.8-292.3)+(0.269127+(0.303348-0.149073))+0-86.4-0.0440639999999912</f>
        <v>744.17933800000014</v>
      </c>
      <c r="X293" s="3">
        <f>526.6+(609-324.7)+(-1.34283+(-1.55295--0.827985))+0-77.3--0.197114999999989</f>
        <v>731.72932000000003</v>
      </c>
      <c r="Y293" s="3">
        <f>530.8+(600.4-341.6)+(-0.541416+(-0.612408--0.348432))+0-89.6--0.0913920000000143</f>
        <v>699.28599999999994</v>
      </c>
      <c r="Z293" s="3">
        <f>543.2+(516.5-313.6)+(-0.277032+(-0.263415--0.159936))+0-88.3--0.045032999999991</f>
        <v>657.4645220000001</v>
      </c>
      <c r="AA293" s="3">
        <f>543.5+(497.2-295.9)+(-1.10874+(-1.014288--0.603636))+0-100.4--0.204815999999996</f>
        <v>643.08542399999999</v>
      </c>
      <c r="AB293" s="3">
        <f>545.9+(389.7-282.7)+(-0.278409+(-0.198747--0.144177))+0-102.2--0.0521219999999896</f>
        <v>550.41914299999985</v>
      </c>
      <c r="AC293" s="3">
        <f>541.4+(313.4-322.3)+(-1.38057+(-0.79917--0.821865))+0-81.5--0.207824999999988</f>
        <v>449.84994999999998</v>
      </c>
      <c r="AD293" s="2">
        <v>648.59999999999991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538.9+(299.1-295.4)+(-1.374195+(-0.762705--0.75327))+0-77.7--0.198134999999989</f>
        <v>463.71450499999997</v>
      </c>
      <c r="G294" s="3">
        <f>536.7+(293-289.9)+(-1.368585+(-0.74715--0.739245))+0-74.8--0.190739999999989</f>
        <v>463.81425000000007</v>
      </c>
      <c r="H294" s="3">
        <f>549.8+(276.2-269.8)+(0.560796+(0.281724-0.275196))+0-80.6-0.0822120000000128</f>
        <v>476.08511199999987</v>
      </c>
      <c r="I294" s="3">
        <f>547.6+(234.5-229.7)+(0.279276+(0.119595-0.117147))+0-74-0.0377399999999925</f>
        <v>478.64398400000016</v>
      </c>
      <c r="J294" s="3">
        <f>544+(237.6-270.1)+(-0.55488+(-0.242352--0.275502))+0-74.2--0.0756840000000118</f>
        <v>436.85395400000004</v>
      </c>
      <c r="K294" s="3">
        <f>549.1+(263.6-290.1)+(0.560082+(0.268872-0.295902))+0-79.3-0.0808860000000126</f>
        <v>443.75216599999999</v>
      </c>
      <c r="L294" s="3">
        <f>552.2+(318.5-374.4)+(1.126488+(0.64974-0.763776))+0-77.6-0.158303999999997</f>
        <v>419.55414800000011</v>
      </c>
      <c r="M294" s="3">
        <f>544.3+(361.6-332.9)+(-0.555186+(-0.368832--0.339558))+0-73.6--0.0750720000000117</f>
        <v>498.89061199999998</v>
      </c>
      <c r="N294" s="3">
        <f>501.4+(412.9-295.6)+(-0.255714+(-0.210579--0.150756))+0-76.4--0.0389639999999923</f>
        <v>542.02342699999997</v>
      </c>
      <c r="O294" s="3">
        <f>464.3+(466.5-256.6)+(-0.473586+(-0.47583--0.261732))+0-86.2--0.0879240000000137</f>
        <v>587.40024000000005</v>
      </c>
      <c r="P294" s="3">
        <f>422+(535.8-230.6)+(-0.43044+(-0.546516--0.235212))+0-82--0.0836400000000131</f>
        <v>644.54189599999995</v>
      </c>
      <c r="Q294" s="3">
        <f>342.2+(576.8-206.2)+(-0.349044+(-0.588336--0.210324))+0-84.3--0.0859860000000134</f>
        <v>627.8589300000001</v>
      </c>
      <c r="R294" s="3">
        <f>340.7+(539.7-221.4)+(-0.695028+(-1.100988--0.451656))+0-75.7--0.154427999999997</f>
        <v>582.11006799999996</v>
      </c>
      <c r="S294" s="3">
        <f>376.4+(527.7-231.9)+(0.191964+(0.269127-0.118269))+0-74.4-0.0379439999999925</f>
        <v>598.10487799999999</v>
      </c>
      <c r="T294" s="3">
        <f>447.5+(408.3-226.2)+(-0.228225+(-0.208233--0.115362))+0-85.3--0.0435029999999913</f>
        <v>544.02240700000004</v>
      </c>
      <c r="U294" s="3">
        <f>457.1+(405-213.1)+(-0.466242+(-0.4131--0.217362))+0-81.2--0.082824000000013</f>
        <v>567.22084399999994</v>
      </c>
      <c r="V294" s="3">
        <f>456.5+(471-220.9)+(-0.46563+(-0.48042--0.225318))+0-73.4--0.0748680000000117</f>
        <v>632.55413600000009</v>
      </c>
      <c r="W294" s="3">
        <f>522+(630.1-289)+(0.26622+(0.321351-0.14739))+0-78.4-0.039983999999992</f>
        <v>785.10019700000009</v>
      </c>
      <c r="X294" s="3">
        <f>535.1+(627.8-285.1)+(-0.818703+(-0.960534--0.436203))+0-75.2--0.115056000000004</f>
        <v>801.3720219999999</v>
      </c>
      <c r="Y294" s="3">
        <f>543.1+(657-389.4)+(0.276981+(0.33507-0.198594))+0-86.2-0.0439619999999913</f>
        <v>724.86949500000003</v>
      </c>
      <c r="Z294" s="3">
        <f>536.2+(630.2-361.7)+(-0.273462+(-0.321402--0.184467))+0-85.8--0.0437579999999913</f>
        <v>718.53336100000013</v>
      </c>
      <c r="AA294" s="3">
        <f>462.4+(595.7-323.3)+(-0.471648+(-0.607614--0.329766))+0-86.9--0.0886380000000139</f>
        <v>647.23914200000002</v>
      </c>
      <c r="AB294" s="3">
        <f>461+(522-321.3)+(-0.94044+(-1.06488--0.655452))+0-89--0.181559999999996</f>
        <v>571.53169200000002</v>
      </c>
      <c r="AC294" s="3">
        <f>459.6+(394.1-280.6)+(-1.17198+(-1.004955--0.71553))+0-87.5--0.223124999999987</f>
        <v>484.36171999999999</v>
      </c>
      <c r="AD294" s="2">
        <v>713.0999999999998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463.4+(290.1-236.8)+(-0.236334+(-0.147951--0.120768))+0-74.9--0.0381989999999924</f>
        <v>441.57468200000011</v>
      </c>
      <c r="G295" s="3">
        <f>459.6+(267.1-189.9)+(-0.937584+(-0.544884--0.387396))+0-85.2--0.173807999999996</f>
        <v>450.67873600000013</v>
      </c>
      <c r="H295" s="3">
        <f>465.9+(315.5-156.7)+(0.237609+(0.160905-0.079917))+0-85.2-0.0434519999999914</f>
        <v>539.77514499999995</v>
      </c>
      <c r="I295" s="3">
        <f>459.9+(301.4-154.6)+(-0.703647+(-0.461142--0.236538))+0-92.1--0.140913000000005</f>
        <v>513.81266199999982</v>
      </c>
      <c r="J295" s="3">
        <f>465.7+(331.3-161.1)+(0.237507+(0.168963-0.082161))+0-82.5-0.0420749999999916</f>
        <v>553.68223399999999</v>
      </c>
      <c r="K295" s="3">
        <f>465.9+(364.7-208.1)+(0.237609+(0.185997-0.106131))+0-84.3-0.0429929999999914</f>
        <v>538.47448199999997</v>
      </c>
      <c r="L295" s="3">
        <f>457.4+(366.3-202.6)+(-1.16637+(-0.934065--0.51663))+0-80.6--0.205529999999988</f>
        <v>539.12172499999997</v>
      </c>
      <c r="M295" s="3">
        <f>460.9+(367.7-227.3)+(-0.705177+(-0.562581--0.347769))+0-83.5--0.127755000000005</f>
        <v>517.00776599999995</v>
      </c>
      <c r="N295" s="3">
        <f>466.6+(397-251)+(0.475932+(0.40494-0.25602))+0-94.4-0.0962880000000151</f>
        <v>518.72856400000012</v>
      </c>
      <c r="O295" s="3">
        <f>463+(417.7-210.4)+(-0.23613+(-0.213027--0.107304))+0-99.3--0.0506429999999899</f>
        <v>570.70879000000002</v>
      </c>
      <c r="P295" s="3">
        <f>468.8+(431.2-163.8)+(0.717264+(0.659736-0.250614))+0-91.1-0.139383000000005</f>
        <v>646.0870030000001</v>
      </c>
      <c r="Q295" s="3">
        <f>465.2+(460.5-151.1)+(0+(0-0))+0-101.1-0</f>
        <v>673.49999999999989</v>
      </c>
      <c r="R295" s="3">
        <f>465.7+(498.2-207.2)+(-0.237507+(-0.254082--0.105672))+0-91.1--0.0464609999999908</f>
        <v>665.2605440000001</v>
      </c>
      <c r="S295" s="3">
        <f>464+(461.4-210.6)+(-0.23664+(-0.235314--0.107406))+0-95.4--0.0486539999999903</f>
        <v>619.08410599999991</v>
      </c>
      <c r="T295" s="3">
        <f>463.5+(420.1-178.5)+(-0.236385+(-0.214251--0.091035))+0-81--0.0413099999999918</f>
        <v>623.78170899999998</v>
      </c>
      <c r="U295" s="3">
        <f>464+(463.2-192.5)+(0+(0-0))+0-75-0</f>
        <v>659.7</v>
      </c>
      <c r="V295" s="3">
        <f>464.9+(490.1-207.2)+(-0.237099+(-0.249951--0.105672))+0-74.6--0.0380459999999924</f>
        <v>672.8566679999999</v>
      </c>
      <c r="W295" s="3">
        <f>467.1+(699.2-233.4)+(0.238221+(0.356592-0.119034))+0-85-0.0433499999999914</f>
        <v>848.33242900000005</v>
      </c>
      <c r="X295" s="3">
        <f>461.3+(740.1-241.3)+(-0.941052+(-1.509804--0.492252))+0-89.2--0.181967999999996</f>
        <v>869.12336399999992</v>
      </c>
      <c r="Y295" s="3">
        <f>463.8+(697.8-263.9)+(-0.236538+(-0.355878--0.134589))+0-79.4--0.0404939999999919</f>
        <v>817.88266700000008</v>
      </c>
      <c r="Z295" s="3">
        <f>463.6+(653.5-240.8)+(-0.472872+(-0.66657--0.245616))+0-88.5--0.0902700000000141</f>
        <v>786.996444</v>
      </c>
      <c r="AA295" s="3">
        <f>457.2+(607.2-224.9)+(0+(0-0))+0-111.1-0</f>
        <v>728.4</v>
      </c>
      <c r="AB295" s="3">
        <f>454.2+(515.4-198.1)+(-0.694926+(-0.788562--0.303093))+0-107.4--0.164322000000006</f>
        <v>663.08392700000002</v>
      </c>
      <c r="AC295" s="3">
        <f>453.3+(432.9-181.2)+(-0.462366+(-0.441558--0.184824))+0-111.8--0.114036000000018</f>
        <v>592.59493600000008</v>
      </c>
      <c r="AD295" s="2">
        <v>712.69999999999993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449.8+(327.9-187)+(-1.14699+(-0.836145--0.47685))+0-109.7--0.279734999999984</f>
        <v>479.77344999999997</v>
      </c>
      <c r="G296" s="3">
        <f>455.1+(308-236.9)+(0+(0-0))+0-100.9-0</f>
        <v>425.30000000000007</v>
      </c>
      <c r="H296" s="3">
        <f>453.2+(296.5-258.9)+(-0.462264+(-0.30243--0.264078))+0-77.4--0.0789480000000123</f>
        <v>412.97833200000008</v>
      </c>
      <c r="I296" s="3">
        <f>453.7+(319-194.7)+(-0.462774+(-0.32538--0.198594))+0-87.8--0.089556000000014</f>
        <v>489.699996</v>
      </c>
      <c r="J296" s="3">
        <f>455.8+(323.6-174)+(0+(0-0))+0-97.2-0</f>
        <v>508.2000000000001</v>
      </c>
      <c r="K296" s="3">
        <f>455.3+(364.8-196.7)+(-0.232203+(-0.186048--0.100317))+0-86.8--0.0442679999999912</f>
        <v>536.32633400000009</v>
      </c>
      <c r="L296" s="3">
        <f>455.9+(416.3-271.5)+(0+(0-0))+0-95.4-0</f>
        <v>505.30000000000007</v>
      </c>
      <c r="M296" s="3">
        <f>456.7+(391.6-282.1)+(0.465834+(0.399432-0.287742))+0-82.1-0.0837420000000131</f>
        <v>484.59378200000003</v>
      </c>
      <c r="N296" s="3">
        <f>459.2+(435.7-233.8)+(0.468384+(0.444414-0.238476))+0-82.6-0.0842520000000132</f>
        <v>579.09006999999986</v>
      </c>
      <c r="O296" s="3">
        <f>457.5+(445.3-180.4)+(0+(0-0))+0-79.9-0</f>
        <v>642.5</v>
      </c>
      <c r="P296" s="3">
        <f>460.4+(462.6-175.1)+(0.704412+(0.707778-0.267903))+0-69.1-0.105723000000004</f>
        <v>679.83856399999991</v>
      </c>
      <c r="Q296" s="3">
        <f>456.7+(505.7-174.8)+(-0.465834+(-0.515814--0.178296))+0-70.9--0.0723180000000113</f>
        <v>715.96896599999991</v>
      </c>
      <c r="R296" s="3">
        <f>453.7+(469.1-166.7)+(-1.156935+(-1.196205--0.425085))+0-65.7--0.16753499999999</f>
        <v>688.63948000000005</v>
      </c>
      <c r="S296" s="3">
        <f>458.3+(403.9-164)+(-0.233733+(-0.205989--0.08364))+0-84.5--0.0430949999999914</f>
        <v>613.38701300000002</v>
      </c>
      <c r="T296" s="3">
        <f>460.1+(378-156.9)+(-0.234651+(-0.19278--0.080019))+0-82.7--0.0421769999999916</f>
        <v>598.19476500000007</v>
      </c>
      <c r="U296" s="3">
        <f>460.1+(364.8-148.4)+(0.234651+(0.186048-0.075684))+0-90.5-0.0461549999999908</f>
        <v>586.29885999999999</v>
      </c>
      <c r="V296" s="3">
        <f>458.4+(419.7-109.7)+(0+(0-0))+0-96-0</f>
        <v>672.4</v>
      </c>
      <c r="W296" s="3">
        <f>459.4+(617.6-108.6)+(0.234294+(0.314976-0.055386))+0-98.6-0.05028599999999</f>
        <v>870.24359799999991</v>
      </c>
      <c r="X296" s="3">
        <f>449.5+(672.6-103.6)+(-1.146225+(-1.71513--0.26418))+0-99.7--0.254234999999986</f>
        <v>916.45705999999996</v>
      </c>
      <c r="Y296" s="3">
        <f>451.1+(592.6-102)+(-0.920244+(-1.208904--0.20808))+0-98.4--0.200735999999996</f>
        <v>841.57966800000008</v>
      </c>
      <c r="Z296" s="3">
        <f>449.5+(553.7-74.2)+(-1.146225+(-1.411935--0.18921))+0-97.5--0.248624999999986</f>
        <v>829.37967499999991</v>
      </c>
      <c r="AA296" s="3">
        <f>454.6+(476.7-75.9)+(-0.463692+(-0.486234--0.077418))+0-98--0.0999600000000156</f>
        <v>756.62745199999995</v>
      </c>
      <c r="AB296" s="3">
        <f>451.9+(413.3-49)+(-0.691407+(-0.632349--0.07497))+0-98--0.149940000000006</f>
        <v>717.10115400000007</v>
      </c>
      <c r="AC296" s="3">
        <f>452.5+(347.3-14.4)+(-0.46155+(-0.354246--0.014688))+0-97.4--0.0993480000000155</f>
        <v>687.29824000000008</v>
      </c>
      <c r="AD296" s="2">
        <v>549.00000000000011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456.7+(312.8-67)+(-0.232917+(-0.159528--0.03417))+0-95.6--0.0487559999999903</f>
        <v>606.59048099999995</v>
      </c>
      <c r="G297" s="3">
        <f>463+(299.8-21.1)+(0.70839+(0.458694-0.032283))+0-94.3-0.144279000000005</f>
        <v>648.39052200000015</v>
      </c>
      <c r="H297" s="3">
        <f>458.5+(275.8-8.8)+(-0.233835+(-0.140658--0.004488))+0-94.5--0.0481949999999904</f>
        <v>630.67818999999997</v>
      </c>
      <c r="I297" s="3">
        <f>461.6+(254.8-22.8)+(0.706248+(0.389844-0.034884))+0-94-0.143820000000005</f>
        <v>600.51738799999998</v>
      </c>
      <c r="J297" s="3">
        <f>459.6+(269.8-54.3)+(0+(0-0))+0-94.2-0</f>
        <v>580.9</v>
      </c>
      <c r="K297" s="3">
        <f>463.6+(274.8-90.5)+(0.945744+(0.560592-0.18462))+0-94.3-0.192371999999996</f>
        <v>554.7293440000002</v>
      </c>
      <c r="L297" s="3">
        <f>455.8+(293.5-126.6)+(-0.929832+(-0.59874--0.258264))+0-93.9--0.191555999999996</f>
        <v>527.72124800000006</v>
      </c>
      <c r="M297" s="3">
        <f>457.5+(338.1-148.7)+(-0.233325+(-0.172431--0.075837))+0-94.9--0.0483989999999904</f>
        <v>551.71848000000011</v>
      </c>
      <c r="N297" s="3">
        <f>458.1+(373.3-163.2)+(-0.233631+(-0.190383--0.083232))+0-98.3--0.05013299999999</f>
        <v>569.60935100000006</v>
      </c>
      <c r="O297" s="3">
        <f>467+(401.1-134.1)+(0.47634+(0.409122-0.136782))+0-94.7-0.0965940000000151</f>
        <v>639.95208600000001</v>
      </c>
      <c r="P297" s="3">
        <f>511.2+(360.4-87.3)+(-0.260712+(-0.183804--0.044523))+0-93.1--0.0474809999999906</f>
        <v>690.84748799999988</v>
      </c>
      <c r="Q297" s="3">
        <f>516.3+(392.9-84.6)+(0+(0-0))+0-95.4-0</f>
        <v>729.19999999999993</v>
      </c>
      <c r="R297" s="3">
        <f>513.6+(404.5-102)+(-0.785808+(-0.618885--0.15606))+0-94.2--0.144126000000005</f>
        <v>720.79549299999996</v>
      </c>
      <c r="S297" s="3">
        <f>515.4+(342.7-59.2)+(0+(0-0))+0-94-0</f>
        <v>704.9</v>
      </c>
      <c r="T297" s="3">
        <f>510.1+(320.6-0)+(-1.300755+(-0.81753-0))+0-94--0.239699999999986</f>
        <v>734.821415</v>
      </c>
      <c r="U297" s="3">
        <f>467+(354-0)+(-0.71451+(-0.54162-0))+0-92.3--0.141219000000005</f>
        <v>727.58508900000004</v>
      </c>
      <c r="V297" s="3">
        <f>461.8+(384.1-0)+(-0.706554+(-0.587673-0))+0-93.9--0.143667000000005</f>
        <v>750.84944000000019</v>
      </c>
      <c r="W297" s="3">
        <f>520.5+(441.4-7.7)+(0.265455+(0.225114-0.003927))+0-97-0.0494699999999902</f>
        <v>857.63717199999996</v>
      </c>
      <c r="X297" s="3">
        <f>518.4+(441.5-13.2)+(-0.528768+(-0.45033--0.013464))+0-97.5--0.0994500000000155</f>
        <v>848.33381600000007</v>
      </c>
      <c r="Y297" s="3">
        <f>522.4+(399.6-1.4)+(-0.532848+(-0.407592--0.001428))+0-93.2--0.0950640000000149</f>
        <v>826.55605199999991</v>
      </c>
      <c r="Z297" s="3">
        <f>525.5+(374.3-20.7)+(-1.340025+(-0.954465--0.052785))+0-90.6--0.231029999999987</f>
        <v>786.48932500000001</v>
      </c>
      <c r="AA297" s="3">
        <f>530.3+(326.5-43.7)+(0+(0-0))+0-88.5-0</f>
        <v>724.59999999999991</v>
      </c>
      <c r="AB297" s="3">
        <f>520.8+(350.1-41.2)+(-1.32804+(-0.892755--0.10506))+0-87.8--0.223889999999987</f>
        <v>740.0081550000001</v>
      </c>
      <c r="AC297" s="3">
        <f>527.9+(352.8-38.2)+(-0.538458+(-0.359856--0.038964))+0-89.8--0.0915960000000143</f>
        <v>751.93224600000008</v>
      </c>
      <c r="AD297" s="2">
        <v>629.4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528.9+(294.9-42.6)+(-0.539478+(-0.300798--0.043452))+0-89.3--0.0910860000000142</f>
        <v>691.19426199999998</v>
      </c>
      <c r="G298" s="3">
        <f>524.9+(313.6-70.7)+(0+(0-0))+0-88.5-0</f>
        <v>679.3</v>
      </c>
      <c r="H298" s="3">
        <f>533.6+(257.9-77.4)+(-0.272136+(-0.131529--0.039474))+0-88.3--0.045032999999991</f>
        <v>625.48084200000005</v>
      </c>
      <c r="I298" s="3">
        <f>537.4+(270.2-100.3)+(0.822222+(0.413406-0.153459))+0-88.2-0.134946000000005</f>
        <v>620.04722299999992</v>
      </c>
      <c r="J298" s="3">
        <f>526.2+(295-91.2)+(-1.34181+(-0.75225--0.23256))+0-88.6--0.225929999999987</f>
        <v>639.76442999999995</v>
      </c>
      <c r="K298" s="3">
        <f>529.1+(248.9-79.9)+(0.269841+(0.126939-0.040749))+0-89.7-0.0457469999999909</f>
        <v>608.710284</v>
      </c>
      <c r="L298" s="3">
        <f>527.8+(238.8-81.1)+(-1.34589+(-0.60894--0.206805))+0-89.6--0.228479999999987</f>
        <v>594.38045499999998</v>
      </c>
      <c r="M298" s="3">
        <f>533.1+(238.8-115.1)+(-2.175048+(-0.974304--0.469608))+0-88.9--0.362711999999992</f>
        <v>565.58296800000005</v>
      </c>
      <c r="N298" s="3">
        <f>458.7+(272.8-126.1)+(-0.233937+(-0.139128--0.064311))+0-93.3--0.0475829999999905</f>
        <v>511.83882899999992</v>
      </c>
      <c r="O298" s="3">
        <f>456.8+(275.8-137.8)+(-0.465936+(-0.281316--0.140556))+0-94.3--0.096186000000015</f>
        <v>499.98948999999988</v>
      </c>
      <c r="P298" s="3">
        <f>459.2+(284.8-131.7)+(0.702576+(0.435744-0.201501))+0-94.7-0.144891000000005</f>
        <v>518.39192799999989</v>
      </c>
      <c r="Q298" s="3">
        <f>452.2+(269.8-98.9)+(-1.15311+(-0.68799--0.252195))+0-94.9--0.241994999999986</f>
        <v>526.85309000000007</v>
      </c>
      <c r="R298" s="3">
        <f>452+(265.8-80.2)+(-1.1526+(-0.67779--0.20451))+0-94--0.239699999999986</f>
        <v>542.21381999999994</v>
      </c>
      <c r="S298" s="3">
        <f>457.9+(263.8-73.3)+(0+(0-0))+0-94.4-0</f>
        <v>554</v>
      </c>
      <c r="T298" s="3">
        <f>455.6+(267.8-106.9)+(-0.464712+(-0.273156--0.109038))+0-94.9--0.0967980000000151</f>
        <v>521.06796800000006</v>
      </c>
      <c r="U298" s="3">
        <f>457.7+(290.8-148.2)+(0+(0-0))+0-92.3-0</f>
        <v>507.99999999999994</v>
      </c>
      <c r="V298" s="3">
        <f>461.8+(276.8-125.7)+(0.235518+(0.141168-0.064107))+0-92.7-0.0472769999999906</f>
        <v>520.46530200000007</v>
      </c>
      <c r="W298" s="3">
        <f>476+(336.8-154.3)+(-0.24276+(-0.171768--0.078693))+0-97--0.0494699999999902</f>
        <v>561.21363500000007</v>
      </c>
      <c r="X298" s="3">
        <f>475.3+(352.8-155.8)+(-0.242403+(-0.179928--0.079458))+0-98.7--0.05033699999999</f>
        <v>573.30746399999987</v>
      </c>
      <c r="Y298" s="3">
        <f>476.2+(342.8-143.9)+(0+(0-0))+0-98.2-0</f>
        <v>576.9</v>
      </c>
      <c r="Z298" s="3">
        <f>477.2+(322.8-122.9)+(0.243372+(0.164628-0.062679))+0-97.5-0.0497249999999901</f>
        <v>579.89559600000007</v>
      </c>
      <c r="AA298" s="3">
        <f>478+(313.8-115.3)+(0.97512+(0.640152-0.235212))+0-98-0.199919999999996</f>
        <v>579.68013999999994</v>
      </c>
      <c r="AB298" s="3">
        <f>475.6+(287.8-70.9)+(0+(0-0))+0-97.5-0</f>
        <v>595</v>
      </c>
      <c r="AC298" s="3">
        <f>460+(268.8-58.1)+(-1.6422+(-0.959616--0.207417))+0-95.6--0.341292000000001</f>
        <v>573.04689299999995</v>
      </c>
      <c r="AD298" s="2">
        <v>603.70000000000005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461.6+(273.6-44.8)+(-0.941664+(-0.558144--0.091392))+0-96--0.195839999999996</f>
        <v>593.18742400000008</v>
      </c>
      <c r="G299" s="3">
        <f>462.3+(303.7-63.5)+(-0.943092+(-0.619548--0.12954))+0-95.4--0.194615999999996</f>
        <v>605.86151600000005</v>
      </c>
      <c r="H299" s="3">
        <f>463.6+(287.7-75.7)+(-0.709308+(-0.440181--0.115821))+0-95.3--0.145809000000005</f>
        <v>579.41214100000002</v>
      </c>
      <c r="I299" s="3">
        <f>462.2+(260.4-60.8)+(-0.707166+(-0.398412--0.093024))+0-95.2--0.145656000000006</f>
        <v>565.73310199999992</v>
      </c>
      <c r="J299" s="3">
        <f>469.1+(241.1-58.8)+(0.478482+(0.245922-0.059976))+0-95.4-0.0973080000000152</f>
        <v>556.56712000000016</v>
      </c>
      <c r="K299" s="3">
        <f>471.4+(240.8-69.9)+(0.961656+(0.491232-0.142596))+0-95-0.193799999999996</f>
        <v>548.41649199999995</v>
      </c>
      <c r="L299" s="3">
        <f>462.3+(243.8-62.8)+(-0.943092+(-0.497352--0.128112))+0-93.6--0.190943999999996</f>
        <v>548.57861199999991</v>
      </c>
      <c r="M299" s="3">
        <f>464.8+(253.8-137.8)+(0.237048+(0.129438-0.070278))+0-90.8-0.0463079999999908</f>
        <v>490.24989999999991</v>
      </c>
      <c r="N299" s="3">
        <f>461.8+(238.4-201.1)+(-0.706554+(-0.364752--0.307683))+0-72.1--0.110313000000004</f>
        <v>426.34669000000008</v>
      </c>
      <c r="O299" s="3">
        <f>466.7+(270-202.3)+(-0.238017+(-0.1377--0.103173))+0-70.1--0.0357509999999929</f>
        <v>464.06320699999992</v>
      </c>
      <c r="P299" s="3">
        <f>463.2+(223.6-137)+(-0.944928+(-0.456144--0.27948))+0-66.2--0.135047999999997</f>
        <v>482.61345599999999</v>
      </c>
      <c r="Q299" s="3">
        <f>466.7+(297.3-173.7)+(-0.238017+(-0.151623--0.088587))+0-95.3--0.0486029999999903</f>
        <v>494.74754999999993</v>
      </c>
      <c r="R299" s="3">
        <f>460.6+(291.5-160)+(-1.644342+(-1.040655--0.5712))+0-92.5--0.330225000000001</f>
        <v>497.81642800000003</v>
      </c>
      <c r="S299" s="3">
        <f>467.2+(283.8-179.3)+(0+(0-0))+0-97.1-0</f>
        <v>474.6</v>
      </c>
      <c r="T299" s="3">
        <f>465.3+(269.5-171.2)+(-0.474606+(-0.27489--0.174624))+0-95.6--0.0975120000000152</f>
        <v>467.52263999999997</v>
      </c>
      <c r="U299" s="3">
        <f>468.6+(272-183.9)+(0+(0-0))+0-99-0</f>
        <v>457.70000000000005</v>
      </c>
      <c r="V299" s="3">
        <f>486+(285.6-176.8)+(-0.24786+(-0.145656--0.090168))+0-111.5--0.0568649999999887</f>
        <v>483.05351699999994</v>
      </c>
      <c r="W299" s="3">
        <f>561.8+(384.1-287.8)+(0.286518+(0.195891-0.146778))+0-111.9-0.0570689999999887</f>
        <v>546.47856200000001</v>
      </c>
      <c r="X299" s="3">
        <f>568+(387.9-287.1)+(-0.86904+(-0.593487--0.439263))+0-107.1--0.163863000000006</f>
        <v>560.84059899999988</v>
      </c>
      <c r="Y299" s="3">
        <f>572.4+(313.1-229.1)+(-0.875772+(-0.479043--0.350523))+0-104--0.159120000000006</f>
        <v>551.55482800000004</v>
      </c>
      <c r="Z299" s="3">
        <f>569.7+(287.8-201.2)+(-0.290547+(-0.146778--0.102612))+0-109.1--0.0556409999999889</f>
        <v>546.92092800000012</v>
      </c>
      <c r="AA299" s="3">
        <f>571.9+(245-168)+(-0.291669+(-0.12495--0.08568))+0-104.1--0.0530909999999894</f>
        <v>544.52215200000001</v>
      </c>
      <c r="AB299" s="3">
        <f>570.1+(216.8-141.8)+(-1.163004+(-0.442272--0.289272))+0-105.2--0.214607999999995</f>
        <v>538.79860399999995</v>
      </c>
      <c r="AC299" s="3">
        <f>491.7+(207.1-91)+(-0.752301+(-0.316863--0.13923))+0-90--0.137700000000005</f>
        <v>517.00776599999995</v>
      </c>
      <c r="AD299" s="2">
        <v>494.59999999999997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419.3+(320.9-144.1)+(0.213843+(0.163659-0.073491))+0-89.8-0.0457979999999909</f>
        <v>506.55821299999997</v>
      </c>
      <c r="G300" s="3">
        <f>418.1+(306.8-143.9)+(0.426462+(0.312936-0.146778))+0-98.6-0.100572000000016</f>
        <v>482.89204799999999</v>
      </c>
      <c r="H300" s="3">
        <f>418.4+(329.7-175.1)+(0.213384+(0.168147-0.089301))+0-104.5-0.0532949999999894</f>
        <v>468.73893500000003</v>
      </c>
      <c r="I300" s="3">
        <f>419.2+(405.6-253.3)+(0.641376+(0.620568-0.387549))+0-92.6-0.141678000000005</f>
        <v>479.63271700000001</v>
      </c>
      <c r="J300" s="3">
        <f>420.2+(391.5-256.6)+(0.857208+(0.79866-0.523464))+0-77.8-0.158711999999997</f>
        <v>478.27369199999987</v>
      </c>
      <c r="K300" s="3">
        <f>435+(449.3-326.2)+(0+(0-0))+0-73.2-0</f>
        <v>484.90000000000003</v>
      </c>
      <c r="L300" s="3">
        <f>543.4+(423.8-372.4)+(0.554268+(0.432276-0.379848))+0-92.2-0.0940440000000147</f>
        <v>503.11265200000003</v>
      </c>
      <c r="M300" s="3">
        <f>547.5+(418.7-305.5)+(0.837675+(0.640611-0.467415))+0-107.8-0.164934000000006</f>
        <v>553.74593700000003</v>
      </c>
      <c r="N300" s="3">
        <f>551.4+(419.2-293)+(0.843642+(0.641376-0.44829))+0-102-0.156060000000006</f>
        <v>576.48066799999992</v>
      </c>
      <c r="O300" s="3">
        <f>556.6+(416.8-289.9)+(1.41933+(1.06284-0.739245))+0-96.5-0.246074999999986</f>
        <v>588.49684999999999</v>
      </c>
      <c r="P300" s="3">
        <f>551.9+(405.2-251.6)+(0.562938+(0.413304-0.256632))+0-98.5-0.100470000000016</f>
        <v>607.61914000000002</v>
      </c>
      <c r="Q300" s="3">
        <f>554.6+(358-198)+(1.131384+(0.73032-0.40392))+0-105.7-0.215627999999995</f>
        <v>610.14215599999989</v>
      </c>
      <c r="R300" s="3">
        <f>545.8+(347.7-176)+(-0.556716+(-0.354654--0.17952))+0-95.6--0.0975120000000152</f>
        <v>621.26566200000002</v>
      </c>
      <c r="S300" s="3">
        <f>533.1+(334.1-177.9)+(0.271881+(0.170391-0.090729))+0-97.8-0.0498779999999901</f>
        <v>591.80166500000007</v>
      </c>
      <c r="T300" s="3">
        <f>533.1+(280.2-149.4)+(0+(0-0))+0-102.1-0</f>
        <v>561.79999999999995</v>
      </c>
      <c r="U300" s="3">
        <f>538.4+(255.5-135.5)+(-0.549168+(-0.26061--0.13821))+0-104.8--0.106896000000017</f>
        <v>553.03532800000005</v>
      </c>
      <c r="V300" s="3">
        <f>541.1+(238.9-92.5)+(0+(0-0))+0-99.1-0</f>
        <v>588.4</v>
      </c>
      <c r="W300" s="3">
        <f>540.4+(324.4-120.6)+(0+(0-0))+0-101.5-0</f>
        <v>642.69999999999993</v>
      </c>
      <c r="X300" s="3">
        <f>542.9+(330.5-127.3)+(-0.830637+(-0.505665--0.194769))+0-108.4--0.165852000000006</f>
        <v>636.72431899999992</v>
      </c>
      <c r="Y300" s="3">
        <f>541.2+(292.1-99)+(-0.552024+(-0.297942--0.10098))+0-99.1--0.101082000000016</f>
        <v>634.55209600000012</v>
      </c>
      <c r="Z300" s="3">
        <f>542.7+(253.6-86.7)+(-0.553554+(-0.258672--0.088434))+0-97.6--0.0995520000000156</f>
        <v>611.37576000000001</v>
      </c>
      <c r="AA300" s="3">
        <f>542.6+(307.9-136)+(-0.276726+(-0.157029--0.06936))+0-96.2--0.0490619999999902</f>
        <v>617.98466699999994</v>
      </c>
      <c r="AB300" s="3">
        <f>539.8+(237.2-157.5)+(-0.825894+(-0.362916--0.240975))+0-87.2--0.133416000000005</f>
        <v>531.48558099999991</v>
      </c>
      <c r="AC300" s="3">
        <f>538.1+(170.4-170.5)+(-1.097724+(-0.347616--0.34782))+0-82.2--0.167687999999996</f>
        <v>454.87016799999998</v>
      </c>
      <c r="AD300" s="2">
        <v>628.6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536.2+(136-167.9)+(-1.36731+(-0.3468--0.428145))+0-83.8--0.213689999999988</f>
        <v>419.42772500000007</v>
      </c>
      <c r="G301" s="3">
        <f>548.6+(125.7-194.9)+(-1.39893+(-0.320535--0.496995))+0-87.4--0.222869999999987</f>
        <v>391.00040000000007</v>
      </c>
      <c r="H301" s="3">
        <f>551.4+(115.9-212.1)+(-1.124856+(-0.236436--0.432684))+0-95.5--0.194819999999996</f>
        <v>358.96621199999998</v>
      </c>
      <c r="I301" s="3">
        <f>555.8+(108-218.2)+(-0.283458+(-0.05508--0.111282))+0-97--0.0494699999999902</f>
        <v>348.42221399999994</v>
      </c>
      <c r="J301" s="3">
        <f>549.4+(112.7-213.6)+(-1.120776+(-0.229908--0.435744))+0-93.4--0.190535999999996</f>
        <v>354.37559600000003</v>
      </c>
      <c r="K301" s="3">
        <f>562.2+(134.3-248.4)+(1.43361+(0.342465-0.63342))+0-99.1-0.252704999999986</f>
        <v>349.88995</v>
      </c>
      <c r="L301" s="3">
        <f>555.7+(149.2-216.2)+(0+(0-0))+0-97.7-0</f>
        <v>391.00000000000006</v>
      </c>
      <c r="M301" s="3">
        <f>552.4+(150.9-209.5)+(-0.281724+(-0.076959--0.106845))+0-96.4--0.0491639999999902</f>
        <v>397.19732599999992</v>
      </c>
      <c r="N301" s="3">
        <f>547.5+(133.1-49.6)+(-0.55845+(-0.135762--0.050592))+0-95.6--0.0975120000000152</f>
        <v>534.85389199999997</v>
      </c>
      <c r="O301" s="3">
        <f>551.7+(154.9-36)+(0.281367+(0.078999-0.01836))+0-98.2-0.05008199999999</f>
        <v>572.69192399999997</v>
      </c>
      <c r="P301" s="3">
        <f>548+(250.1-62.3)+(-0.27948+(-0.127551--0.031773))+0-99.3--0.0506429999999899</f>
        <v>636.17538500000001</v>
      </c>
      <c r="Q301" s="3">
        <f>549.1+(291.6-59)+(-0.840123+(-0.446148--0.09027))+0-86.6--0.132498000000005</f>
        <v>694.03649700000005</v>
      </c>
      <c r="R301" s="3">
        <f>540.2+(276.9-46.9)+(-1.37751+(-0.706095--0.119595))+0-99.5--0.253724999999986</f>
        <v>668.98971500000005</v>
      </c>
      <c r="S301" s="3">
        <f>542.8+(266.7-41.8)+(-0.276828+(-0.136017--0.021318))+0-99.2--0.0505919999999899</f>
        <v>668.15906499999983</v>
      </c>
      <c r="T301" s="3">
        <f>544.6+(249.4-39.3)+(0.277746+(0.127194-0.020043))+0-103.2-0.0526319999999895</f>
        <v>651.83226500000001</v>
      </c>
      <c r="U301" s="3">
        <f>514+(258.3-36.7)+(0.26214+(0.131733-0.018717))+0-74.7-0.0380969999999924</f>
        <v>661.23705899999993</v>
      </c>
      <c r="V301" s="3">
        <f>467+(309.2-27.3)+(0.23817+(0.157692-0.013923))+0-88.6-0.045185999999991</f>
        <v>660.636753</v>
      </c>
      <c r="W301" s="3">
        <f>539.2+(395.5-39)+(0.274992+(0.201705-0.01989))+0-86.4-0.0440639999999912</f>
        <v>809.71274300000016</v>
      </c>
      <c r="X301" s="3">
        <f>540.1+(470.4-47)+(-0.550902+(-0.479808--0.04794))+0-98.3--0.100266000000016</f>
        <v>864.31749600000012</v>
      </c>
      <c r="Y301" s="3">
        <f>540.4+(421.5-37.9)+(-0.551208+(-0.42993--0.038658))+0-101.4--0.103428000000016</f>
        <v>821.76094799999998</v>
      </c>
      <c r="Z301" s="3">
        <f>546.4+(419.2-35.4)+(0.278664+(0.213792-0.018054))+0-95.2-0.0485519999999903</f>
        <v>835.42585000000008</v>
      </c>
      <c r="AA301" s="3">
        <f>547+(400.3-117.2)+(0.27897+(0.204153-0.059772))+0-106.4-0.0542639999999892</f>
        <v>724.06908700000008</v>
      </c>
      <c r="AB301" s="3">
        <f>541.1+(343.8-155.4)+(-0.275961+(-0.175338--0.079254))+0-97.1--0.0495209999999901</f>
        <v>632.07747600000005</v>
      </c>
      <c r="AC301" s="3">
        <f>544.1+(309-178.5)+(-0.277491+(-0.15759--0.091035))+0-104.4--0.0532439999999894</f>
        <v>569.90919799999995</v>
      </c>
      <c r="AD301" s="2">
        <v>667.19999999999993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539.1+(220.8-203.3)+(-0.549882+(-0.225216--0.207366))+0-92.2--0.0940440000000147</f>
        <v>463.92631200000005</v>
      </c>
      <c r="G302" s="3">
        <f>549+(181-184.1)+(-0.27999+(-0.09231--0.093891))+0-106.8--0.0544679999999892</f>
        <v>438.87605899999994</v>
      </c>
      <c r="H302" s="3">
        <f>430.2+(220.2-109.7)+(0.438804+(0.224604-0.111894))+0-92.4-0.0942480000000147</f>
        <v>448.75726599999996</v>
      </c>
      <c r="I302" s="3">
        <f>407.5+(211.2-74.7)+(-0.623475+(-0.323136--0.114291))+0-99.5--0.152235000000006</f>
        <v>443.81991500000004</v>
      </c>
      <c r="J302" s="3">
        <f>411.7+(209.3-76.5)+(0+(0-0))+0-97.8-0</f>
        <v>446.7</v>
      </c>
      <c r="K302" s="3">
        <f>414.5+(243.2-137.6)+(0.211395+(0.124032-0.070176))+0-86.5-0.0441149999999912</f>
        <v>433.82113600000008</v>
      </c>
      <c r="L302" s="3">
        <f>510.4+(245.3-214.2)+(-0.260304+(-0.125103--0.109242))+0-65.9--0.0336089999999933</f>
        <v>475.35744400000004</v>
      </c>
      <c r="M302" s="3">
        <f>554.8+(309.6-204.2)+(0.282948+(0.157896-0.104142))+0-84.4-0.0430439999999914</f>
        <v>576.093658</v>
      </c>
      <c r="N302" s="3">
        <f>557.5+(306.2-144.5)+(0+(0-0))+0-83-0</f>
        <v>636.20000000000005</v>
      </c>
      <c r="O302" s="3">
        <f>555.3+(344.7-85.4)+(0.283203+(0.175797-0.043554))+0-89-0.045389999999991</f>
        <v>725.97005599999989</v>
      </c>
      <c r="P302" s="3">
        <f>537.9+(405.7-59.3)+(0+(0-0))+0-90.2-0</f>
        <v>794.09999999999991</v>
      </c>
      <c r="Q302" s="3">
        <f>535.3+(428.5-53.9)+(-0.819009+(-0.655605--0.082467))+0-95.1--0.145503000000005</f>
        <v>813.55335599999989</v>
      </c>
      <c r="R302" s="3">
        <f>542.3+(381.5-36.5)+(0.276573+(0.194565-0.018615))+0-95.1-0.0485009999999904</f>
        <v>792.60402199999999</v>
      </c>
      <c r="S302" s="3">
        <f>540.7+(332.3-37.8)+(0.551514+(0.338946-0.038556))+0-94.2-0.096084000000015</f>
        <v>741.75581999999997</v>
      </c>
      <c r="T302" s="3">
        <f>540.1+(287.8-37.3)+(0+(0-0))+0-99.2-0</f>
        <v>691.4</v>
      </c>
      <c r="U302" s="3">
        <f>536.4+(308.7-36)+(-1.094256+(-0.629748--0.07344))+0-93.7--0.191147999999996</f>
        <v>713.94058399999983</v>
      </c>
      <c r="V302" s="3">
        <f>542.1+(170.4-40.8)+(-0.829413+(-0.260712--0.062424))+0-92.3--0.141219000000005</f>
        <v>578.51351800000009</v>
      </c>
      <c r="W302" s="3">
        <f>545.8+(286.3-86.9)+(1.39179+(0.730065-0.221595))+0-108.8-0.277439999999984</f>
        <v>638.02282000000002</v>
      </c>
      <c r="X302" s="3">
        <f>544.5+(268.4-60.7)+(-0.833085+(-0.410652--0.092871))+0-113.2--0.173196000000007</f>
        <v>638.02233000000001</v>
      </c>
      <c r="Y302" s="3">
        <f>541.8+(260.9-32)+(-0.828954+(-0.399177--0.04896))+0-134.6--0.205938000000008</f>
        <v>635.12676699999997</v>
      </c>
      <c r="Z302" s="3">
        <f>547.5+(333.1-121.5)+(-0.55845+(-0.339762--0.12393))+0-128.7--0.131274000000021</f>
        <v>629.75699200000008</v>
      </c>
      <c r="AA302" s="3">
        <f>550+(411.8-206.1)+(0.2805+(0.210018-0.105111))+0-130.1-0.0663509999999868</f>
        <v>625.91905600000007</v>
      </c>
      <c r="AB302" s="3">
        <f>550.1+(379.7-202.7)+(0+(0-0))+0-143.4-0</f>
        <v>583.70000000000005</v>
      </c>
      <c r="AC302" s="3">
        <f>552.2+(278.2-156.4)+(0.281622+(0.141882-0.079764))+0-127.8-0.065177999999987</f>
        <v>546.47856200000012</v>
      </c>
      <c r="AD302" s="2">
        <v>631.4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552.6+(220-126.7)+(-0.281826+(-0.1122--0.064617))+0-127.2--0.0648719999999871</f>
        <v>518.43546299999991</v>
      </c>
      <c r="G303" s="3">
        <f>559.2+(186.4-136.8)+(-0.855576+(-0.285192--0.209304))+0-110.3--0.168759000000006</f>
        <v>497.73729500000007</v>
      </c>
      <c r="H303" s="3">
        <f>523.8+(231.4-170.1)+(-0.801414+(-0.354042--0.260253))+0-121.4--0.185742000000007</f>
        <v>462.9905389999999</v>
      </c>
      <c r="I303" s="3">
        <f>523.4+(258.3-172.3)+(0.266934+(0.131733-0.087873))+0-124.5-0.0634949999999874</f>
        <v>485.14729899999998</v>
      </c>
      <c r="J303" s="3">
        <f>522.1+(257-189.9)+(0+(0-0))+0-123.4-0</f>
        <v>465.80000000000007</v>
      </c>
      <c r="K303" s="3">
        <f>521.9+(288.2-198.9)+(0+(0-0))+0-117.6-0</f>
        <v>493.59999999999991</v>
      </c>
      <c r="L303" s="3">
        <f>521.1+(341.5-232.7)+(-0.531522+(-0.34833--0.237354))+0-113.5--0.115770000000018</f>
        <v>515.87327200000004</v>
      </c>
      <c r="M303" s="3">
        <f>522.8+(377.9-210.1)+(0.266628+(0.192729-0.107151))+0-125.3-0.0639029999999873</f>
        <v>565.588303</v>
      </c>
      <c r="N303" s="3">
        <f>525.8+(333.2-62.1)+(0.536316+(0.339864-0.063342))+0-126.2-0.12872400000002</f>
        <v>671.38411399999984</v>
      </c>
      <c r="O303" s="3">
        <f>526.1+(387.8-44)+(0.804933+(0.593334-0.06732))+0-126.8-0.194004000000007</f>
        <v>744.23694300000011</v>
      </c>
      <c r="P303" s="3">
        <f>521+(428.8-0)+(-0.53142+(-0.437376-0))+0-120.2--0.122604000000019</f>
        <v>828.75380799999994</v>
      </c>
      <c r="Q303" s="3">
        <f>524.8+(429.7-0)+(0.535296+(0.438294-0))+0-129.9-0.132498000000021</f>
        <v>825.44109199999991</v>
      </c>
      <c r="R303" s="3">
        <f>521+(426.2-7.2)+(-0.79713+(-0.652086--0.011016))+0-120.9--0.184977000000007</f>
        <v>817.84677699999997</v>
      </c>
      <c r="S303" s="3">
        <f>523.4+(352-0)+(0.266934+(0.17952-0))+0-123.1-0.0627809999999875</f>
        <v>752.683673</v>
      </c>
      <c r="T303" s="3">
        <f>520.5+(297.5-0)+(-0.796365+(-0.455175-0))+0-99.7--0.152541000000006</f>
        <v>717.20100100000002</v>
      </c>
      <c r="U303" s="3">
        <f>526.8+(281-0)+(-0.537336+(-0.28662-0))+0-101.7--0.103734000000016</f>
        <v>705.37977799999999</v>
      </c>
      <c r="V303" s="3">
        <f>569.8+(294.8-40.7)+(-0.290598+(-0.150348--0.020757))+0-120--0.0611999999999878</f>
        <v>703.54101099999991</v>
      </c>
      <c r="W303" s="3">
        <f>541.9+(489.2-48.5)+(0+(0-0))+0-132.8-0</f>
        <v>849.8</v>
      </c>
      <c r="X303" s="3">
        <f>533.7+(538.9-72.8)+(-0.816561+(-0.824517--0.111384))+0-137.1--0.209763000000008</f>
        <v>861.38006899999993</v>
      </c>
      <c r="Y303" s="3">
        <f>545.8+(450.9-58.7)+(-0.835074+(-0.689877--0.089811))+0-130.9--0.200277000000008</f>
        <v>805.865137</v>
      </c>
      <c r="Z303" s="3">
        <f>565.2+(407.2-42.4)+(-0.576504+(-0.415344--0.043248))+0-136.6--0.139332000000022</f>
        <v>792.59073199999989</v>
      </c>
      <c r="AA303" s="3">
        <f>566.4+(401.4-43.8)+(-0.577728+(-0.409428--0.044676))+0-137.7--0.140454000000022</f>
        <v>785.497974</v>
      </c>
      <c r="AB303" s="3">
        <f>565+(327.5-41.8)+(-0.86445+(-0.501075--0.063954))+0-123.7--0.189261000000007</f>
        <v>725.88769000000002</v>
      </c>
      <c r="AC303" s="3">
        <f>565+(237.6-54.8)+(-0.86445+(-0.363528--0.083844))+0-122.7--0.187731000000007</f>
        <v>624.14359699999989</v>
      </c>
      <c r="AD303" s="2">
        <v>701.29999999999973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558+(269.9-130.5)+(-1.13832+(-0.550596--0.26622))+0-106.4--0.217055999999995</f>
        <v>589.79435999999998</v>
      </c>
      <c r="G304" s="3">
        <f>556.4+(276.1-187.9)+(0+(0-0))+0-123.2-0</f>
        <v>521.4</v>
      </c>
      <c r="H304" s="3">
        <f>549.9+(257-182.7)+(-1.402245+(-0.65535--0.465885))+0-126.1--0.321554999999982</f>
        <v>496.82984499999998</v>
      </c>
      <c r="I304" s="3">
        <f>507.4+(297.4-194)+(-0.776322+(-0.455022--0.29682))+0-125.4--0.191862000000007</f>
        <v>484.65733799999998</v>
      </c>
      <c r="J304" s="3">
        <f>434.6+(351.5-202.6)+(0.221646+(0.179265-0.103326))+0-132.5-0.0675749999999866</f>
        <v>451.23001000000005</v>
      </c>
      <c r="K304" s="3">
        <f>438.3+(387.8-222.3)+(0.894132+(0.791112-0.453492))+0-131.9-0.269075999999994</f>
        <v>472.86267600000002</v>
      </c>
      <c r="L304" s="3">
        <f>432.4+(413.4-179)+(-0.441048+(-0.421668--0.18258))+0-130.1--0.132702000000021</f>
        <v>536.15256599999998</v>
      </c>
      <c r="M304" s="3">
        <f>474.7+(372.7-149.6)+(-0.242097+(-0.190077--0.076296))+0-132.9--0.0677789999999865</f>
        <v>564.61190099999999</v>
      </c>
      <c r="N304" s="3">
        <f>537.9+(396.9-170.1)+(0+(0-0))+0-131.7-0</f>
        <v>633</v>
      </c>
      <c r="O304" s="3">
        <f>539.5+(503.9-176)+(0.275145+(0.256989-0.08976))+0-134-0.0683399999999864</f>
        <v>733.77403399999992</v>
      </c>
      <c r="P304" s="3">
        <f>541.6+(532.4-152.7)+(0.828648+(0.814572-0.233631))+0-137.8-0.210834000000008</f>
        <v>784.69875499999989</v>
      </c>
      <c r="Q304" s="3">
        <f>538.7+(547.7-153.9)+(-0.549474+(-0.558654--0.156978))+0-117.9--0.120258000000019</f>
        <v>813.76910800000019</v>
      </c>
      <c r="R304" s="3">
        <f>540.1+(505.4-141.9)+(-0.550902+(-0.515508--0.144738))+0-138.6--0.141372000000022</f>
        <v>764.2197000000001</v>
      </c>
      <c r="S304" s="3">
        <f>539.2+(417.9-117.9)+(-0.274992+(-0.213129--0.060129))+0-135.9--0.0693089999999862</f>
        <v>702.94131700000003</v>
      </c>
      <c r="T304" s="3">
        <f>536+(368.3-139.4)+(0+(0-0))+0-138.2-0</f>
        <v>626.70000000000005</v>
      </c>
      <c r="U304" s="3">
        <f>532.6+(332.3-166.7)+(-0.543252+(-0.338946--0.170034))+0-94.8--0.0966960000000151</f>
        <v>602.78453200000013</v>
      </c>
      <c r="V304" s="3">
        <f>534.6+(353-130.3)+(0+(0-0))+0-120-0</f>
        <v>637.29999999999995</v>
      </c>
      <c r="W304" s="3">
        <f>534.8+(533.9-155.8)+(-0.272748+(-0.272289--0.079458))+0-154.4--0.0787439999999843</f>
        <v>758.11316499999987</v>
      </c>
      <c r="X304" s="3">
        <f>536.4+(586.4-154.7)+(-0.820692+(-0.897192--0.236691))+0-154.6--0.236538000000009</f>
        <v>812.25534499999992</v>
      </c>
      <c r="Y304" s="3">
        <f>538.1+(547.3-150.1)+(-0.548862+(-0.558246--0.153102))+0-139.3--0.142086000000022</f>
        <v>795.1880799999999</v>
      </c>
      <c r="Z304" s="3">
        <f>541.3+(510.2-105.8)+(0.276063+(0.260202-0.053958))+0-158.2-0.0806819999999839</f>
        <v>787.90162499999997</v>
      </c>
      <c r="AA304" s="3">
        <f>539.8+(464.5-124.6)+(-0.275298+(-0.236895--0.063546))+0-150.1--0.0765509999999848</f>
        <v>729.22790399999985</v>
      </c>
      <c r="AB304" s="3">
        <f>538.2+(400.2-137.4)+(-1.37241+(-1.02051--0.35037))+0-159--0.405449999999977</f>
        <v>640.36289999999997</v>
      </c>
      <c r="AC304" s="3">
        <f>538.5+(344.5-165.7)+(-1.373175+(-0.878475--0.422535))+0-146.4--0.373319999999979</f>
        <v>569.44420500000001</v>
      </c>
      <c r="AD304" s="2">
        <v>644.80000000000018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537.8+(263.1-147.6)+(-1.097112+(-0.536724--0.301104))+0-143.9--0.293555999999994</f>
        <v>508.36082399999998</v>
      </c>
      <c r="G305" s="3">
        <f>539.8+(277-207.8)+(-1.37649+(-0.70635--0.52989))+0-153.8--0.392189999999978</f>
        <v>454.03923999999995</v>
      </c>
      <c r="H305" s="3">
        <f>544.2+(305-271.8)+(-1.110168+(-0.6222--0.554472))+0-139.7--0.284987999999994</f>
        <v>436.80709200000007</v>
      </c>
      <c r="I305" s="3">
        <f>524.1+(345-308)+(0.267291+(0.17595-0.15708))+0-136.8-0.0697679999999861</f>
        <v>424.51639299999999</v>
      </c>
      <c r="J305" s="3">
        <f>519.9+(377.3-307.8)+(-0.265149+(-0.192423--0.156978))+0-154.1--0.0785909999999844</f>
        <v>435.07799699999987</v>
      </c>
      <c r="K305" s="3">
        <f>553.2+(370.1-334.9)+(0.564264+(0.377502-0.341598))+0-142.5-0.145350000000023</f>
        <v>446.35481800000014</v>
      </c>
      <c r="L305" s="3">
        <f>550.9+(373-309.5)+(-0.561918+(-0.38046--0.31569))+0-140.5--0.143310000000022</f>
        <v>473.41662200000007</v>
      </c>
      <c r="M305" s="3">
        <f>560.3+(372.9-324.6)+(-0.857259+(-0.570537--0.496638))+0-148.1--0.226593000000009</f>
        <v>459.79543499999994</v>
      </c>
      <c r="N305" s="3">
        <f>564.4+(435.3-351.1)+(-0.287844+(-0.222003--0.179061))+0-139.9--0.0713489999999858</f>
        <v>508.44056299999994</v>
      </c>
      <c r="O305" s="3">
        <f>561.1+(460.7-324.2)+(0.572322+(0.469914-0.330684))+0-151.1-0.154122000000024</f>
        <v>547.05742999999995</v>
      </c>
      <c r="P305" s="3">
        <f>517.5+(482.9-297.6)+(0+(0-0))+0-145.3-0</f>
        <v>557.5</v>
      </c>
      <c r="Q305" s="3">
        <f>514+(493.5-309.2)+(-0.78642+(-0.755055--0.473076))+0-147.6--0.225828000000009</f>
        <v>549.85742899999991</v>
      </c>
      <c r="R305" s="3">
        <f>533.7+(493.9-323.1)+(0+(0-0))+0-145.7-0</f>
        <v>558.79999999999995</v>
      </c>
      <c r="S305" s="3">
        <f>531.6+(433.2-283)+(-0.271116+(-0.220932--0.14433))+0-140.7--0.0717569999999857</f>
        <v>540.82403899999986</v>
      </c>
      <c r="T305" s="3">
        <f>528.5+(400.7-238.8)+(0.53907+(0.408714-0.243576))+0-149.4-0.152388000000024</f>
        <v>541.55182000000002</v>
      </c>
      <c r="U305" s="3">
        <f>518.2+(368.7-236.6)+(-0.528564+(-0.376074--0.241332))+0-152.9--0.155958000000024</f>
        <v>496.89265200000006</v>
      </c>
      <c r="V305" s="3">
        <f>519.6+(390-254.2)+(-0.264996+(-0.1989--0.129642))+0-144.7--0.0737969999999853</f>
        <v>510.43954300000013</v>
      </c>
      <c r="W305" s="3">
        <f>532.4+(518.5-324.8)+(0.271524+(0.264435-0.165648))+0-156.4-0.0797639999999841</f>
        <v>569.99054699999999</v>
      </c>
      <c r="X305" s="3">
        <f>526.1+(541.2-320.6)+(-0.536622+(-0.552024--0.327012))+0-157.4--0.160548000000025</f>
        <v>588.69891400000017</v>
      </c>
      <c r="Y305" s="3">
        <f>533.9+(455.4-231.6)+(0+(0-0))+0-151.4-0</f>
        <v>606.29999999999995</v>
      </c>
      <c r="Z305" s="3">
        <f>538.5+(400.9-173.8)+(-0.54927+(-0.408918--0.177276))+0-155--0.158100000000025</f>
        <v>609.97718799999996</v>
      </c>
      <c r="AA305" s="3">
        <f>533+(366.2-114.8)+(0.27183+(0.186762-0.058548))+0-158-0.080579999999984</f>
        <v>626.71946400000002</v>
      </c>
      <c r="AB305" s="3">
        <f>541.9+(391.8-101.3)+(0.552738+(0.399636-0.103326))+0-163.6-0.166872000000026</f>
        <v>669.48217599999998</v>
      </c>
      <c r="AC305" s="3">
        <f>537.9+(352.4-196.6)+(-0.548658+(-0.359448--0.200532))+0-137.6--0.140352000000022</f>
        <v>555.53277799999989</v>
      </c>
      <c r="AD305" s="2">
        <v>602.90000000000009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540.2+(198.1-162.5)+(0+(0-0))+0-152.1-0</f>
        <v>423.70000000000005</v>
      </c>
      <c r="G306" s="3">
        <f>550+(162.3-153.8)+(0.2805+(0.082773-0.078438))+0-135.1-0.0689009999999863</f>
        <v>423.61593400000004</v>
      </c>
      <c r="H306" s="3">
        <f>516.4+(196.7-163.2)+(-0.790092+(-0.300951--0.249696))+0-156.4--0.239292000000009</f>
        <v>392.89794499999999</v>
      </c>
      <c r="I306" s="3">
        <f>468.6+(237.2-176.4)+(0.477972+(0.241944-0.179928))+0-150.9-0.153918000000024</f>
        <v>378.88606999999996</v>
      </c>
      <c r="J306" s="3">
        <f>468.8+(224.3-180.4)+(0.478176+(0.228786-0.184008))+0-152.5-0.155550000000024</f>
        <v>360.56740400000007</v>
      </c>
      <c r="K306" s="3">
        <f>478.4+(241.2-168.3)+(0.487968+(0.246024-0.171666))+0-154-0.157080000000025</f>
        <v>397.70524599999993</v>
      </c>
      <c r="L306" s="3">
        <f>551.3+(317.9-318.2)+(0+(0-0))+0-145.8-0</f>
        <v>405.2</v>
      </c>
      <c r="M306" s="3">
        <f>549.3+(364-308.3)+(-0.280143+(-0.18564--0.157233))+0-140--0.0713999999999858</f>
        <v>464.76285000000001</v>
      </c>
      <c r="N306" s="3">
        <f>552.9+(430.9-230.2)+(0.281979+(0.219759-0.117402))+0-148.4-0.0756839999999849</f>
        <v>605.50865199999987</v>
      </c>
      <c r="O306" s="3">
        <f>548.9+(383.4-167.4)+(0+(0-0))+0-145.2-0</f>
        <v>619.70000000000005</v>
      </c>
      <c r="P306" s="3">
        <f>546.4+(399.5-157.8)+(0+(0-0))+0-149.4-0</f>
        <v>638.69999999999993</v>
      </c>
      <c r="Q306" s="3">
        <f>538.1+(402.6-159.9)+(-0.274431+(-0.205326--0.081549))+0-133.2--0.0679319999999865</f>
        <v>647.26972400000011</v>
      </c>
      <c r="R306" s="3">
        <f>532.3+(417.8-147.6)+(-0.814419+(-0.639234--0.225828))+0-144.5--0.221085000000008</f>
        <v>656.99325999999996</v>
      </c>
      <c r="S306" s="3">
        <f>532+(394.6-142.6)+(-0.27132+(-0.201246--0.072726))+0-149.6--0.0762959999999848</f>
        <v>634.07645599999989</v>
      </c>
      <c r="T306" s="3">
        <f>522.7+(386.2-150.6)+(-0.533154+(-0.393924--0.153612))+0-146.9--0.149838000000023</f>
        <v>610.77637200000015</v>
      </c>
      <c r="U306" s="3">
        <f>516.9+(396.4-158.3)+(0.527238+(0.404328-0.161466))+0-143.3-0.146166000000023</f>
        <v>612.32393400000001</v>
      </c>
      <c r="V306" s="3">
        <f>532.8+(400.7-175.6)+(-0.271728+(-0.204357--0.089556))+0-150.1--0.0765509999999848</f>
        <v>607.49002199999995</v>
      </c>
      <c r="W306" s="3">
        <f>534.8+(518-245.8)+(0+(0-0))+0-144.1-0</f>
        <v>662.9</v>
      </c>
      <c r="X306" s="3">
        <f>531.7+(579.4-278.6)+(-0.271167+(-0.295494--0.142086))+0-155.4--0.0792539999999842</f>
        <v>676.75467900000001</v>
      </c>
      <c r="Y306" s="3">
        <f>524.6+(560.9-274)+(-0.802638+(-0.858177--0.41922))+0-159--0.243270000000009</f>
        <v>651.50167500000009</v>
      </c>
      <c r="Z306" s="3">
        <f>528.6+(472.1-267.9)+(0+(0-0))+0-146.4-0</f>
        <v>586.40000000000009</v>
      </c>
      <c r="AA306" s="3">
        <f>527.3+(407.6-228.4)+(0+(0-0))+0-156.2-0</f>
        <v>550.29999999999995</v>
      </c>
      <c r="AB306" s="3">
        <f>522+(331.8-156.1)+(-1.06488+(-0.676872--0.318444))+0-149.1--0.304163999999994</f>
        <v>547.48085600000002</v>
      </c>
      <c r="AC306" s="3">
        <f>535.7+(276.3-182.7)+(-1.366035+(-0.704565--0.465885))+0-133.5--0.340424999999981</f>
        <v>494.53570999999999</v>
      </c>
      <c r="AD306" s="2">
        <v>674.5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540.3+(291-222.7)+(0+(0-0))+0-125.8-0</f>
        <v>482.7999999999999</v>
      </c>
      <c r="G307" s="3">
        <f>489.3+(257.7-186.7)+(0.249543+(0.131427-0.095217))+0-116.6-0.0594659999999882</f>
        <v>443.92628699999995</v>
      </c>
      <c r="H307" s="3">
        <f>437.9+(250.9-160.6)+(0+(0-0))+0-123.4-0</f>
        <v>404.80000000000007</v>
      </c>
      <c r="I307" s="3">
        <f>435.2+(252.1-152.5)+(-0.665856+(-0.385713--0.233325))+0-117.8--0.180234000000007</f>
        <v>416.36198999999988</v>
      </c>
      <c r="J307" s="3">
        <f>434.5+(250.2-161.4)+(-0.88638+(-0.510408--0.329256))+0-129.4--0.263975999999994</f>
        <v>393.09644399999996</v>
      </c>
      <c r="K307" s="3">
        <f>443.3+(232.9-177.6)+(0.904332+(0.475116-0.362304))+0-130.8-0.266831999999994</f>
        <v>368.55031199999996</v>
      </c>
      <c r="L307" s="3">
        <f>524.1+(267.6-289.1)+(-0.267291+(-0.136476--0.147441))+0-105.5--0.0538049999999893</f>
        <v>396.89747900000003</v>
      </c>
      <c r="M307" s="3">
        <f>546.4+(313.4-329.9)+(-0.557328+(-0.319668--0.336498))+0-117.9--0.120258000000019</f>
        <v>411.57976000000008</v>
      </c>
      <c r="N307" s="3">
        <f>538.1+(355.6-283.6)+(-0.274431+(-0.181356--0.144636))+0-115.2--0.0587519999999883</f>
        <v>494.64760100000001</v>
      </c>
      <c r="O307" s="3">
        <f>534.7+(428.9-209.6)+(0.818091+(0.656217-0.320688))+0-122.1-0.186813000000007</f>
        <v>632.86680699999999</v>
      </c>
      <c r="P307" s="3">
        <f>526+(473.9-252)+(0.53652+(0.483378-0.25704))+0-106.7-0.108834000000017</f>
        <v>641.85402399999998</v>
      </c>
      <c r="Q307" s="3">
        <f>516.5+(475.4-232.4)+(-0.52683+(-0.484908--0.237048))+0-117.1--0.119442000000019</f>
        <v>641.74475200000006</v>
      </c>
      <c r="R307" s="3">
        <f>510+(464.6-213.6)+(-1.0404+(-0.947784--0.435744))+0-118.7--0.242147999999995</f>
        <v>640.98970799999995</v>
      </c>
      <c r="S307" s="3">
        <f>518.8+(417.9-192.7)+(0.529176+(0.426258-0.196554))+0-115.8-0.118116000000018</f>
        <v>628.84076400000004</v>
      </c>
      <c r="T307" s="3">
        <f>512.9+(386.5-166)+(0.261579+(0.197115-0.08466))+0-122.1-0.0622709999999876</f>
        <v>611.611763</v>
      </c>
      <c r="U307" s="3">
        <f>507.8+(390.2-199.5)+(-1.29489+(-0.99501--0.508725))+0-117.5--0.299624999999983</f>
        <v>579.51845000000003</v>
      </c>
      <c r="V307" s="3">
        <f>513.8+(361.2-226.5)+(0.262038+(0.184212-0.115515))+0-115.4-0.0588539999999883</f>
        <v>533.37188100000003</v>
      </c>
      <c r="W307" s="3">
        <f>516.9+(559.1-291.3)+(0.790857+(0.855423-0.445689))+0-131.8-0.201654000000008</f>
        <v>653.89893700000016</v>
      </c>
      <c r="X307" s="3">
        <f>520.1+(606.2-310.2)+(-0.265251+(-0.309162--0.158202))+0-125.8--0.0641579999999872</f>
        <v>689.94794700000023</v>
      </c>
      <c r="Y307" s="3">
        <f>523.6+(562.4-305.4)+(-0.801108+(-0.860472--0.467262))+0-127.9--0.195687000000007</f>
        <v>651.70136900000011</v>
      </c>
      <c r="Z307" s="3">
        <f>520.6+(470.7-242)+(-0.796518+(-0.720171--0.37026))+0-129.9--0.198747000000008</f>
        <v>618.45231799999999</v>
      </c>
      <c r="AA307" s="3">
        <f>523.9+(385-241.4)+(-1.068756+(-0.7854--0.492456))+0-135.4--0.276215999999994</f>
        <v>531.01451599999996</v>
      </c>
      <c r="AB307" s="3">
        <f>525.9+(285.3-213.3)+(-0.804627+(-0.436509--0.326349))+0-126--0.192780000000007</f>
        <v>471.17799299999996</v>
      </c>
      <c r="AC307" s="3">
        <f>529.5+(218.9-202.9)+(-0.270045+(-0.111639--0.103479))+0-137.7--0.070226999999986</f>
        <v>407.59202200000004</v>
      </c>
      <c r="AD307" s="2">
        <v>687.39999999999986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528+(192.7-136.6)+(0+(0-0))+0-134.6-0</f>
        <v>449.5</v>
      </c>
      <c r="G308" s="3">
        <f>485+(171.8-84.2)+(-0.9894+(-0.350472--0.171768))+0-131.7--0.268667999999994</f>
        <v>440.00056400000005</v>
      </c>
      <c r="H308" s="3">
        <f>466+(202-142)+(0.47532+(0.20604-0.14484))+0-133.8-0.136476000000021</f>
        <v>392.60004399999997</v>
      </c>
      <c r="I308" s="3">
        <f>470+(179.6-140.4)+(0.2397+(0.091596-0.071604))+0-132.8-0.0677279999999865</f>
        <v>376.59196399999996</v>
      </c>
      <c r="J308" s="3">
        <f>464+(180.6-137)+(-0.23664+(-0.092106--0.06987))+0-135.7--0.0692069999999862</f>
        <v>371.71033100000005</v>
      </c>
      <c r="K308" s="3">
        <f>465+(182-141.7)+(0.23715+(0.09282-0.072267))+0-153.1-0.0780809999999845</f>
        <v>352.37962200000004</v>
      </c>
      <c r="L308" s="3">
        <f>468+(248.6-222.2)+(0+(0-0))+0-147.4-0</f>
        <v>347</v>
      </c>
      <c r="M308" s="3">
        <f>478+(270.1-296.2)+(0.97512+(0.551004-0.604248))+0-119.2-0.243167999999995</f>
        <v>333.37870800000007</v>
      </c>
      <c r="N308" s="3">
        <f>534+(275.1-244.2)+(0.54468+(0.280602-0.249084))+0-104.9-0.106998000000017</f>
        <v>460.46920000000006</v>
      </c>
      <c r="O308" s="3">
        <f>538+(301.7-228.9)+(-0.54876+(-0.307734--0.233478))+0-126.2--0.12872400000002</f>
        <v>484.10570799999999</v>
      </c>
      <c r="P308" s="3">
        <f>543+(380.7-230.2)+(0.27693+(0.194157-0.117402))+0-154.5-0.0787949999999843</f>
        <v>539.27489000000003</v>
      </c>
      <c r="Q308" s="3">
        <f>527+(367.1-234.7)+(-0.26877+(-0.187221--0.119697))+0-142.4--0.0726239999999856</f>
        <v>516.73633000000018</v>
      </c>
      <c r="R308" s="3">
        <f>522+(345.6-207.9)+(-1.06488+(-0.705024--0.424116))+0-124.8--0.254591999999995</f>
        <v>533.80880400000012</v>
      </c>
      <c r="S308" s="3">
        <f>518+(325.9-183.8)+(-1.05672+(-0.664836--0.374952))+0-156.4--0.319055999999993</f>
        <v>502.67245199999996</v>
      </c>
      <c r="T308" s="3">
        <f>518+(302.7-180.3)+(-0.52836+(-0.308754--0.183906))+0-142.7--0.145554000000023</f>
        <v>497.19234600000004</v>
      </c>
      <c r="U308" s="3">
        <f>521+(279.2-173.9)+(-0.53142+(-0.284784--0.177378))+0-125--0.12750000000002</f>
        <v>500.78867399999996</v>
      </c>
      <c r="V308" s="3">
        <f>505+(271.4-131)+(0+(0-0))+0-141.2-0</f>
        <v>504.2</v>
      </c>
      <c r="W308" s="3">
        <f>524+(477.8-168.5)+(0.53448+(0.487356-0.17187))+0-161.6-0.164832000000026</f>
        <v>672.38513399999988</v>
      </c>
      <c r="X308" s="3">
        <f>519+(531.8-212.7)+(0+(0-0))+0-146.2-0</f>
        <v>691.89999999999986</v>
      </c>
      <c r="Y308" s="3">
        <f>526+(480.8-183)+(-0.53652+(-0.490416--0.18666))+0-162.8--0.166056000000026</f>
        <v>660.3257799999999</v>
      </c>
      <c r="Z308" s="3">
        <f>520+(406.1-158.9)+(-1.326+(-1.035555--0.405195))+0-150--0.382499999999978</f>
        <v>615.62613999999996</v>
      </c>
      <c r="AA308" s="3">
        <f>527+(323.8-173.7)+(-0.26877+(-0.165138--0.088587))+0-143--0.0729299999999855</f>
        <v>533.82760900000005</v>
      </c>
      <c r="AB308" s="3">
        <f>520+(249.8-127.7)+(-0.7956+(-0.382194--0.195381))+0-145.1--0.222003000000008</f>
        <v>496.23959000000008</v>
      </c>
      <c r="AC308" s="3">
        <f>531+(192.6-104.6)+(-0.54162+(-0.196452--0.106692))+0-144.5--0.147390000000023</f>
        <v>474.01600999999999</v>
      </c>
      <c r="AD308" s="2">
        <v>678.30000000000018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528.9+(173.3-181.9)+(-1.078956+(-0.353532--0.371076))+0-140.1--0.285803999999994</f>
        <v>379.4243919999999</v>
      </c>
      <c r="G309" s="3">
        <f>492.6+(195.4-154.3)+(-0.753678+(-0.298962--0.236079))+0-148.2--0.226746000000009</f>
        <v>384.91018500000007</v>
      </c>
      <c r="H309" s="3">
        <f>462.9+(232.9-175)+(-0.236079+(-0.118779--0.08925))+0-143.1--0.0729809999999855</f>
        <v>377.50737299999986</v>
      </c>
      <c r="I309" s="3">
        <f>463.4+(232.4-180.2)+(-0.236334+(-0.118524--0.091902))+0-151.7--0.0773669999999846</f>
        <v>363.71441099999998</v>
      </c>
      <c r="J309" s="3">
        <f>461.8+(264.8-164.8)+(-0.471036+(-0.270096--0.168096))+0-152.7--0.155754000000024</f>
        <v>408.68271799999997</v>
      </c>
      <c r="K309" s="3">
        <f>466.3+(332.8-228.6)+(0.475626+(0.339456-0.233172))+0-144.6-0.147492000000023</f>
        <v>426.33441799999997</v>
      </c>
      <c r="L309" s="3">
        <f>462+(417.8-326)+(-0.47124+(-0.426156--0.33252))+0-149.7--0.152694000000024</f>
        <v>403.68781799999994</v>
      </c>
      <c r="M309" s="3">
        <f>469+(380.7-403.7)+(0.71757+(0.582471-0.617661))+0-130.8-0.200124000000008</f>
        <v>315.682256</v>
      </c>
      <c r="N309" s="3">
        <f>468.7+(348.4-333.3)+(0.717111+(0.533052-0.509949))+0-146.6-0.224298000000008</f>
        <v>337.71591599999994</v>
      </c>
      <c r="O309" s="3">
        <f>467+(361.2-286)+(0.23817+(0.184212-0.14586))+0-148.5-0.0757349999999849</f>
        <v>393.90078700000004</v>
      </c>
      <c r="P309" s="3">
        <f>468.4+(379-275.9)+(0.238884+(0.19329-0.140709))+0-134.8-0.0687479999999863</f>
        <v>436.92271700000003</v>
      </c>
      <c r="Q309" s="3">
        <f>521.7+(347.4-249.2)+(-1.862469+(-1.240218--0.889644))+0-136.4--0.486948000000002</f>
        <v>481.77390500000013</v>
      </c>
      <c r="R309" s="3">
        <f>528.1+(333-231)+(-0.807993+(-0.50949--0.35343))+0-135.6--0.207468000000008</f>
        <v>493.74341499999997</v>
      </c>
      <c r="S309" s="3">
        <f>524.6+(303-258.8)+(-1.605276+(-0.92718--0.791928))+0-129.3--0.395658000000015</f>
        <v>438.15512999999993</v>
      </c>
      <c r="T309" s="3">
        <f>527.2+(284.7-267.4)+(0+(0-0))+0-135-0</f>
        <v>409.5</v>
      </c>
      <c r="U309" s="3">
        <f>521.5+(283.4-269.8)+(-0.53193+(-0.289068--0.275196))+0-125.3--0.12780600000002</f>
        <v>409.38200399999994</v>
      </c>
      <c r="V309" s="3">
        <f>522.7+(303.9-268.4)+(0+(0-0))+0-121.2-0</f>
        <v>437.00000000000006</v>
      </c>
      <c r="W309" s="3">
        <f>526.7+(480-255.9)+(0.268617+(0.2448-0.130509))+0-143.2-0.0730319999999855</f>
        <v>607.90987600000017</v>
      </c>
      <c r="X309" s="3">
        <f>530.7+(553.6-348.7)+(0+(0-0))+0-119.9-0</f>
        <v>615.70000000000016</v>
      </c>
      <c r="Y309" s="3">
        <f>528+(557.8-356.3)+(-1.07712+(-1.137912--0.726852))+0-153.7--0.313547999999993</f>
        <v>574.62536799999987</v>
      </c>
      <c r="Z309" s="3">
        <f>464+(535.2-306)+(-0.47328+(-0.545904--0.31212))+0-150.5--0.153510000000024</f>
        <v>542.14644600000008</v>
      </c>
      <c r="AA309" s="3">
        <f>422.2+(487.3-292)+(-1.291932+(-1.491138--0.89352))+0-145.8--0.446148000000017</f>
        <v>470.256598</v>
      </c>
      <c r="AB309" s="3">
        <f>410.5+(423.8-236.1)+(-0.83742+(-0.864552--0.481644))+0-149--0.303959999999994</f>
        <v>448.28363200000007</v>
      </c>
      <c r="AC309" s="3">
        <f>409.5+(364.1-192.3)+(-1.044225+(-0.928455--0.490365))+0-140--0.35699999999998</f>
        <v>440.17468499999995</v>
      </c>
      <c r="AD309" s="2">
        <v>672.89999999999986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409.7+(313.9-185.6)+(-1.044735+(-0.800445--0.47328))+0-142.5--0.363374999999979</f>
        <v>394.49147499999998</v>
      </c>
      <c r="G310" s="3">
        <f>411.7+(341.8-166)+(-0.419934+(-0.348636--0.16932))+0-141.5--0.144330000000023</f>
        <v>445.54508000000004</v>
      </c>
      <c r="H310" s="3">
        <f>408.8+(325-157.8)+(-1.04244+(-0.82875--0.40239))+0-139.7--0.35623499999998</f>
        <v>435.18743499999999</v>
      </c>
      <c r="I310" s="3">
        <f>414.4+(340.6-179.7)+(0.634032+(0.521118-0.274941))+0-130.1-0.199053000000008</f>
        <v>445.88115599999998</v>
      </c>
      <c r="J310" s="3">
        <f>415+(333.3-157.5)+(0.63495+(0.509949-0.240975))+0-134.7-0.206091000000008</f>
        <v>456.79783299999991</v>
      </c>
      <c r="K310" s="3">
        <f>412.5+(320.8-184.2)+(0+(0-0))+0-142.9-0</f>
        <v>406.20000000000005</v>
      </c>
      <c r="L310" s="3">
        <f>412.9+(338-311.6)+(0+(0-0))+0-131.7-0</f>
        <v>307.59999999999997</v>
      </c>
      <c r="M310" s="3">
        <f>412.4+(338.3-271.4)+(-0.210324+(-0.172533--0.138414))+0-137.9--0.070328999999986</f>
        <v>341.225886</v>
      </c>
      <c r="N310" s="3">
        <f>432.8+(279-190.3)+(-0.220728+(-0.14229--0.097053))+0-124.9--0.0636989999999873</f>
        <v>396.39773399999996</v>
      </c>
      <c r="O310" s="3">
        <f>539+(257.8-202.4)+(-0.27489+(-0.131478--0.103224))+0-144.1--0.0734909999999854</f>
        <v>450.07034699999997</v>
      </c>
      <c r="P310" s="3">
        <f>539.1+(247.5-220.4)+(0.549882+(0.25245-0.224808))+0-114.2-0.116484000000018</f>
        <v>452.46104000000008</v>
      </c>
      <c r="Q310" s="3">
        <f>532.7+(259.4-178.2)+(-0.271677+(-0.132294--0.090882))+0-135.6--0.0691559999999862</f>
        <v>478.05606700000004</v>
      </c>
      <c r="R310" s="3">
        <f>510.4+(252.1-192.7)+(-1.041216+(-0.514284--0.393108))+0-127.1--0.259283999999994</f>
        <v>441.79689199999996</v>
      </c>
      <c r="S310" s="3">
        <f>463.9+(254.6-187)+(0+(0-0))+0-134.8-0</f>
        <v>396.7</v>
      </c>
      <c r="T310" s="3">
        <f>463.5+(238.8-196.9)+(0.236385+(0.121788-0.100419))+0-128.4-0.065483999999987</f>
        <v>377.19227000000001</v>
      </c>
      <c r="U310" s="3">
        <f>454.7+(216.3-199.8)+(-1.159485+(-0.551565--0.50949))+0-106.8--0.272339999999984</f>
        <v>363.47077999999999</v>
      </c>
      <c r="V310" s="3">
        <f>464.2+(230.4-181)+(-0.473484+(-0.235008--0.18462))+0-110.1--0.112302000000018</f>
        <v>403.08843000000002</v>
      </c>
      <c r="W310" s="3">
        <f>518.1+(338.9-210.1)+(0.792693+(0.518517-0.321453))+0-126.9-0.194157000000007</f>
        <v>520.79560000000004</v>
      </c>
      <c r="X310" s="3">
        <f>516.2+(401.7-217.9)+(-0.263262+(-0.204867--0.111129))+0-145.9--0.0744089999999852</f>
        <v>553.817409</v>
      </c>
      <c r="Y310" s="3">
        <f>531.3+(354.3-207.3)+(-0.270963+(-0.180693--0.105723))+0-141.8--0.0723179999999856</f>
        <v>536.22638499999994</v>
      </c>
      <c r="Z310" s="3">
        <f>530.1+(328.5-188.9)+(-0.270351+(-0.167535--0.096339))+0-140.8--0.0718079999999857</f>
        <v>528.63026100000013</v>
      </c>
      <c r="AA310" s="3">
        <f>464.1+(304.5-159)+(-0.710073+(-0.465885--0.24327))+0-144.2--0.220626000000008</f>
        <v>464.68793800000003</v>
      </c>
      <c r="AB310" s="3">
        <f>458.9+(247.4-151.8)+(-1.170195+(-0.63087--0.38709))+0-141.6--0.361079999999979</f>
        <v>411.84710499999989</v>
      </c>
      <c r="AC310" s="3">
        <f>457.4+(231.3-187.6)+(-1.16637+(-0.589815--0.47838))+0-148.2--0.377909999999978</f>
        <v>352.00010500000002</v>
      </c>
      <c r="AD310" s="2">
        <v>615.4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464.4+(214.2-130.2)+(-0.236844+(-0.109242--0.066402))+0-136.8--0.0697679999999861</f>
        <v>411.390084</v>
      </c>
      <c r="G311" s="3">
        <f>458.8+(205.1-185.5)+(-0.935952+(-0.418404--0.37842))+0-132.3--0.269891999999994</f>
        <v>345.39395599999995</v>
      </c>
      <c r="H311" s="3">
        <f>465.7+(193.9-195)+(0+(0-0))+0-122.4-0</f>
        <v>342.20000000000005</v>
      </c>
      <c r="I311" s="3">
        <f>463.5+(217.3-199.3)+(-0.709155+(-0.332469--0.304929))+0-118.7--0.181611000000007</f>
        <v>362.24491600000005</v>
      </c>
      <c r="J311" s="3">
        <f>466.7+(235.3-205.2)+(0.238017+(0.120003-0.104652))+0-127.9-0.065228999999987</f>
        <v>369.08813900000001</v>
      </c>
      <c r="K311" s="3">
        <f>468.7+(221-217.1)+(0.478074+(0.22542-0.221442))+0-127.3-0.12984600000002</f>
        <v>345.65220599999998</v>
      </c>
      <c r="L311" s="3">
        <f>466.4+(236.1-226.6)+(0+(0-0))+0-116.2-0</f>
        <v>359.7</v>
      </c>
      <c r="M311" s="3">
        <f>466.5+(219.5-251.5)+(0.47583+(0.22389-0.25653))+0-106.8-0.108936000000017</f>
        <v>328.03425399999998</v>
      </c>
      <c r="N311" s="3">
        <f>499.6+(236.5-285.9)+(0.254796+(0.120615-0.145809))+0-107.7-0.0549269999999891</f>
        <v>342.67467500000009</v>
      </c>
      <c r="O311" s="3">
        <f>575.7+(230-152.8)+(0+(0-0))+0-71.7-0</f>
        <v>581.20000000000005</v>
      </c>
      <c r="P311" s="3">
        <f>621.1+(236.8-120.9)+(0.316761+(0.120768-0.061659))+0-76.1-0.0388109999999923</f>
        <v>661.23705899999993</v>
      </c>
      <c r="Q311" s="3">
        <f>637.6+(208.4-126.4)+(-0.975528+(-0.318852--0.193392))+0-43--0.0657900000000025</f>
        <v>675.56480199999999</v>
      </c>
      <c r="R311" s="3">
        <f>527.1+(203.8-107)+(-1.075284+(-0.415752--0.21828))+0-70.7--0.144227999999997</f>
        <v>552.07147200000009</v>
      </c>
      <c r="S311" s="3">
        <f>526.2+(177.3-105)+(-0.268362+(-0.090423--0.05355))+0-64.5--0.0328949999999935</f>
        <v>533.7276599999999</v>
      </c>
      <c r="T311" s="3">
        <f>523.4+(206.9-78.9)+(-1.067736+(-0.422076--0.160956))+0-83.3--0.169931999999996</f>
        <v>566.94107600000007</v>
      </c>
      <c r="U311" s="3">
        <f>513.8+(169-69.7)+(-1.572228+(-0.51714--0.213282))+0-66.3--0.202878000000008</f>
        <v>545.12679200000002</v>
      </c>
      <c r="V311" s="3">
        <f>516.9+(220.6-86.7)+(0.263619+(0.112506-0.044217))+0-91-0.0464099999999908</f>
        <v>560.08549799999992</v>
      </c>
      <c r="W311" s="3">
        <f>513.9+(292.3-117.8)+(0.524178+(0.298146-0.120156))+0-76.2-0.0777240000000122</f>
        <v>612.82444399999997</v>
      </c>
      <c r="X311" s="3">
        <f>520.1+(335.5-95.7)+(0.265251+(0.171105-0.048807))+0-101.3-0.0516629999999897</f>
        <v>658.93588600000021</v>
      </c>
      <c r="Y311" s="3">
        <f>521.6+(308-87.5)+(-1.33008+(-0.7854--0.223125))+0-104.4--0.266219999999985</f>
        <v>636.07386500000007</v>
      </c>
      <c r="Z311" s="3">
        <f>522.5+(269.2-101.6)+(-1.0659+(-0.549168--0.207264))+0-99.9--0.203795999999996</f>
        <v>588.995992</v>
      </c>
      <c r="AA311" s="3">
        <f>536.3+(268-205.5)+(0.547026+(0.27336-0.20961))+0-110.9-0.113118000000018</f>
        <v>488.39765799999992</v>
      </c>
      <c r="AB311" s="3">
        <f>526.5+(217.8-195.1)+(-0.805545+(-0.333234--0.298503))+0-104.3--0.159579000000006</f>
        <v>444.21930300000002</v>
      </c>
      <c r="AC311" s="3">
        <f>346.8+(228.8-110.1)+(0+(0-0))+0-104.8-0</f>
        <v>360.7</v>
      </c>
      <c r="AD311" s="2">
        <v>650.59999999999991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205+(284.7-48.1)+(-0.2091+(-0.290394--0.049062))+0-93.9--0.095778000000015</f>
        <v>347.34534600000006</v>
      </c>
      <c r="G312" s="3">
        <f>209.7+(304.2-28.3)+(-0.427788+(-0.620568--0.057732))+0-115.2--0.235007999999995</f>
        <v>369.64438399999995</v>
      </c>
      <c r="H312" s="3">
        <f>204.8+(299.8-43.8)+(-0.417792+(-0.611592--0.089352))+0-104.4--0.212975999999995</f>
        <v>355.67294399999997</v>
      </c>
      <c r="I312" s="3">
        <f>207+(289.7-48.5)+(-0.10557+(-0.147747--0.024735))+0-110--0.0560999999999888</f>
        <v>338.02751799999999</v>
      </c>
      <c r="J312" s="3">
        <f>207.3+(302.3-53.8)+(0+(0-0))+0-101.7-0</f>
        <v>354.1</v>
      </c>
      <c r="K312" s="3">
        <f>210.8+(316.7-70.1)+(0.322524+(0.484551-0.107253))+0-110.1-0.168453000000006</f>
        <v>347.831369</v>
      </c>
      <c r="L312" s="3">
        <f>203.7+(330.1-77)+(-0.519435+(-0.841755--0.19635))+0-124--0.316199999999982</f>
        <v>331.95135999999997</v>
      </c>
      <c r="M312" s="3">
        <f>209.4+(329.4-145.3)+(-0.53397+(-0.83997--0.370515))+0-93--0.237149999999987</f>
        <v>299.73372499999999</v>
      </c>
      <c r="N312" s="3">
        <f>281.2+(302.5-158.3)+(0.143412+(0.154275-0.080733))+0-121.4-0.0619139999999877</f>
        <v>304.15503999999999</v>
      </c>
      <c r="O312" s="3">
        <f>364.1+(286.5-110.1)+(-0.557073+(-0.438345--0.168453))+0-128.7--0.196911000000007</f>
        <v>411.16994600000004</v>
      </c>
      <c r="P312" s="3">
        <f>403.1+(357.3-114.2)+(0+(0-0))+0-121.8-0</f>
        <v>524.40000000000009</v>
      </c>
      <c r="Q312" s="3">
        <f>400.1+(363-107.5)+(-0.204051+(-0.18513--0.054825))+0-125.6--0.0640559999999873</f>
        <v>529.72969999999998</v>
      </c>
      <c r="R312" s="3">
        <f>396.1+(350.8-96.6)+(-0.404022+(-0.357816--0.098532))+0-120.6--0.123012000000019</f>
        <v>529.15970600000003</v>
      </c>
      <c r="S312" s="3">
        <f>382+(359.2-97)+(-0.38964+(-0.366384--0.09894))+0-125.9--0.12841800000002</f>
        <v>517.77133400000002</v>
      </c>
      <c r="T312" s="3">
        <f>296.4+(389.3-55.7)+(-0.151164+(-0.198543--0.028407))+0-131.1--0.0668609999999867</f>
        <v>498.64556099999999</v>
      </c>
      <c r="U312" s="3">
        <f>315.5+(351.3-37.2)+(-0.482715+(-0.537489--0.056916))+0-130.8--0.200124000000008</f>
        <v>498.03683599999999</v>
      </c>
      <c r="V312" s="3">
        <f>371.5+(246.1-115.7)+(-0.189465+(-0.125511--0.059007))+0-124.6--0.0635459999999874</f>
        <v>377.10757699999999</v>
      </c>
      <c r="W312" s="3">
        <f>413.9+(312.4-158.3)+(0+(0-0))+0-136.9-0</f>
        <v>431.1</v>
      </c>
      <c r="X312" s="3">
        <f>419.1+(372.6-169.1)+(-0.427482+(-0.380052--0.172482))+0-143.3--0.146166000000023</f>
        <v>478.81111400000009</v>
      </c>
      <c r="Y312" s="3">
        <f>423.5+(360.7-160.2)+(-1.29591+(-1.103742--0.490212))+0-144.1--0.440946000000017</f>
        <v>478.43150599999996</v>
      </c>
      <c r="Z312" s="3">
        <f>429.6+(330.8-139.8)+(-1.09548+(-0.84354--0.35649))+0-149.7--0.381734999999978</f>
        <v>469.69920500000001</v>
      </c>
      <c r="AA312" s="3">
        <f>430.9+(298.5-135.2)+(-0.879036+(-0.60894--0.275808))+0-145.5--0.296819999999994</f>
        <v>447.78465199999999</v>
      </c>
      <c r="AB312" s="3">
        <f>431.7+(278.8-123.7)+(-0.440334+(-0.284376--0.126174))+0-137.6--0.140352000000022</f>
        <v>448.74181599999997</v>
      </c>
      <c r="AC312" s="3">
        <f>431.2+(227.5-43.7)+(-0.879648+(-0.4641--0.089148))+0-133.2--0.271727999999994</f>
        <v>480.81712800000003</v>
      </c>
      <c r="AD312" s="2">
        <v>579.4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433.4+(184.1-33.8)+(-0.221034+(-0.093891--0.017238))+0-139.7--0.0712469999999858</f>
        <v>443.77356000000003</v>
      </c>
      <c r="G313" s="3">
        <f>399+(196.1-20.7)+(-0.61047+(-0.300033--0.031671))+0-139.5--0.213435000000008</f>
        <v>434.23460299999999</v>
      </c>
      <c r="H313" s="3">
        <f>353.2+(229.2-16.6)+(-0.360264+(-0.233784--0.016932))+0-139.4--0.142188000000022</f>
        <v>425.96507199999996</v>
      </c>
      <c r="I313" s="3">
        <f>353.4+(237.2-35)+(-0.720936+(-0.483888--0.0714))+0-143.4--0.292535999999994</f>
        <v>411.35911199999993</v>
      </c>
      <c r="J313" s="3">
        <f>353.8+(224.3-29.2)+(-0.180438+(-0.114393--0.014892))+0-139.5--0.0711449999999858</f>
        <v>409.19120600000008</v>
      </c>
      <c r="K313" s="3">
        <f>355+(255.7-73.9)+(0.7242+(0.521628-0.150756))+0-147.6-0.301103999999994</f>
        <v>389.99396799999988</v>
      </c>
      <c r="L313" s="3">
        <f>379.3+(278.8-180)+(0+(0-0))+0-141.3-0</f>
        <v>336.8</v>
      </c>
      <c r="M313" s="3">
        <f>427.4+(241.8-218.2)+(-0.217974+(-0.123318--0.111282))+0-136.3--0.0695129999999862</f>
        <v>314.53950299999997</v>
      </c>
      <c r="N313" s="3">
        <f>427.1+(267.9-113.1)+(-0.217821+(-0.136629--0.057681))+0-135.7--0.0692069999999862</f>
        <v>445.97243799999995</v>
      </c>
      <c r="O313" s="3">
        <f>426.1+(350.3-18.4)+(0+(0-0))+0-145.2-0</f>
        <v>612.79999999999995</v>
      </c>
      <c r="P313" s="3">
        <f>423.5+(353.6-14.7)+(0.215985+(0.180336-0.007497))+0-153.8-0.0784379999999844</f>
        <v>608.91038600000002</v>
      </c>
      <c r="Q313" s="3">
        <f>448+(315.7-21.8)+(-0.45696+(-0.322014--0.022236))+0-141.9--0.144738000000023</f>
        <v>599.38800000000003</v>
      </c>
      <c r="R313" s="3">
        <f>469.7+(275.2-21.7)+(-1.437282+(-0.842112--0.066402))+0-138.9--0.425034000000016</f>
        <v>582.51204200000006</v>
      </c>
      <c r="S313" s="3">
        <f>343.3+(374.5-0)+(-0.875415+(-0.954975-0))+0-141.8--0.361589999999979</f>
        <v>574.5311999999999</v>
      </c>
      <c r="T313" s="3">
        <f>254.6+(454.2-0)+(0+(0-0))+0-142.6-0</f>
        <v>566.19999999999993</v>
      </c>
      <c r="U313" s="3">
        <f>258.9+(309.5-12.5)+(-0.396117+(-0.473535--0.019125))+0-144.8--0.221544000000008</f>
        <v>410.4710169999999</v>
      </c>
      <c r="V313" s="3">
        <f>331.4+(291.3-19.6)+(0.507042+(0.445689-0.029988))+0-148-0.226440000000009</f>
        <v>455.79630299999985</v>
      </c>
      <c r="W313" s="3">
        <f>399.1+(379.1-21.4)+(0.814164+(0.773364-0.043656))+0-157.9-0.322115999999993</f>
        <v>600.12175600000012</v>
      </c>
      <c r="X313" s="3">
        <f>414.3+(448.5-69.3)+(-0.633879+(-0.686205--0.106029))+0-144.7--0.221391000000008</f>
        <v>647.80733600000008</v>
      </c>
      <c r="Y313" s="3">
        <f>393.3+(472.5-82.7)+(0+(0-0))+0-162.6-0</f>
        <v>620.5</v>
      </c>
      <c r="Z313" s="3">
        <f>395.1+(424.6-74.2)+(-0.403002+(-0.433092--0.075684))+0-149--0.151980000000024</f>
        <v>595.89157</v>
      </c>
      <c r="AA313" s="3">
        <f>465.4+(311.8-87.4)+(-0.712062+(-0.477054--0.133722))+0-150.2--0.229806000000009</f>
        <v>538.77441199999998</v>
      </c>
      <c r="AB313" s="3">
        <f>539.5+(205.2-62.9)+(-0.55029+(-0.209304--0.064158))+0-154.7--0.157794000000025</f>
        <v>526.56235800000002</v>
      </c>
      <c r="AC313" s="3">
        <f>536.5+(162.2-88.6)+(-1.09446+(-0.330888--0.180744))+0-139.6--0.284783999999994</f>
        <v>469.54018000000002</v>
      </c>
      <c r="AD313" s="2">
        <v>668.09999999999991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528.9+(193-115.9)+(-1.078956+(-0.39372--0.236436))+0-149.5--0.304979999999993</f>
        <v>455.56874000000005</v>
      </c>
      <c r="G314" s="3">
        <f>505+(177.4-70.4)+(-0.5151+(-0.180948--0.071808))+0-150.6--0.153612000000024</f>
        <v>460.929372</v>
      </c>
      <c r="H314" s="3">
        <f>369.9+(246.4-26.3)+(-0.188649+(-0.125664--0.013413))+0-147.7--0.075326999999985</f>
        <v>442.07442700000001</v>
      </c>
      <c r="I314" s="3">
        <f>371.2+(225.8-28.8)+(0.378624+(0.230316-0.029376))+0-145.5-0.148410000000023</f>
        <v>423.13115400000004</v>
      </c>
      <c r="J314" s="3">
        <f>369.7+(231.8-24.5)+(-0.942735+(-0.59109--0.062475))+0-122.8--0.313139999999982</f>
        <v>453.04178999999993</v>
      </c>
      <c r="K314" s="3">
        <f>375.8+(246.6-59.6)+(0.95829+(0.62883-0.15198))+0-126.8-0.323339999999982</f>
        <v>437.11180000000002</v>
      </c>
      <c r="L314" s="3">
        <f>372.5+(261.5-81.2)+(0+(0-0))+0-121.5-0</f>
        <v>431.29999999999995</v>
      </c>
      <c r="M314" s="3">
        <f>369.8+(320.7-142.7)+(-0.565794+(-0.490671--0.218331))+0-117.3--0.179469000000007</f>
        <v>429.84133499999996</v>
      </c>
      <c r="N314" s="3">
        <f>504.8+(297.1-183.4)+(-0.514896+(-0.303042--0.187068))+0-119.3--0.121686000000019</f>
        <v>498.69081600000004</v>
      </c>
      <c r="O314" s="3">
        <f>562.7+(256.8-110.1)+(-0.860931+(-0.392904--0.168453))+0-116.9--0.178857000000007</f>
        <v>591.59347500000013</v>
      </c>
      <c r="P314" s="3">
        <f>554.5+(272.2-85.8)+(-0.56559+(-0.277644--0.087516))+0-129.8--0.132396000000021</f>
        <v>610.47667799999999</v>
      </c>
      <c r="Q314" s="3">
        <f>552.1+(265.5-71.4)+(-1.407855+(-0.677025--0.18207))+0-121.8--0.310589999999982</f>
        <v>622.80777999999998</v>
      </c>
      <c r="R314" s="3">
        <f>553.9+(270.7-67.1)+(-1.129956+(-0.552228--0.136884))+0-126.1--0.257243999999994</f>
        <v>630.11194399999999</v>
      </c>
      <c r="S314" s="3">
        <f>518.4+(279.9-48.4)+(-1.057536+(-0.570996--0.098736))+0-132.1--0.269483999999994</f>
        <v>616.53968799999996</v>
      </c>
      <c r="T314" s="3">
        <f>551.7+(250-57)+(-0.562734+(-0.255--0.05814))+0-115.4--0.117708000000018</f>
        <v>628.65811400000007</v>
      </c>
      <c r="U314" s="3">
        <f>555.1+(212.6-113.5)+(0.566202+(0.216852-0.11577))+0-125-0.12750000000002</f>
        <v>529.73978399999999</v>
      </c>
      <c r="V314" s="3">
        <f>613.3+(178.2-93.8)+(0.312783+(0.090882-0.047838))+0-120.1-0.0612509999999878</f>
        <v>577.89457599999992</v>
      </c>
      <c r="W314" s="3">
        <f>638.1+(267.3-94.9)+(0.650862+(0.272646-0.096798))+0-128.7-0.131274000000021</f>
        <v>682.49543599999993</v>
      </c>
      <c r="X314" s="3">
        <f>638.9+(306.5-77.1)+(-1.955034+(-0.93789--0.235926))+0-133.7--0.409122000000015</f>
        <v>732.352124</v>
      </c>
      <c r="Y314" s="3">
        <f>644+(285.6-83.3)+(-1.6422+(-0.72828--0.212415))+0-133.9--0.341444999999981</f>
        <v>710.58338000000003</v>
      </c>
      <c r="Z314" s="3">
        <f>644.9+(223.4-63.1)+(-0.986697+(-0.341802--0.096543))+0-129.9--0.198747000000008</f>
        <v>674.26679100000013</v>
      </c>
      <c r="AA314" s="3">
        <f>647+(199.1-74.8)+(-0.32997+(-0.101541--0.038148))+0-126.4--0.0644639999999872</f>
        <v>644.571101</v>
      </c>
      <c r="AB314" s="3">
        <f>648.5+(188.7-56.3)+(-0.66147+(-0.192474--0.057426))+0-116.3--0.118626000000019</f>
        <v>663.92210800000009</v>
      </c>
      <c r="AC314" s="3">
        <f>645.5+(238.4-59.5)+(-1.646025+(-0.60792--0.151725))+0-127.3--0.324614999999982</f>
        <v>695.32239500000003</v>
      </c>
      <c r="AD314" s="2">
        <v>667.8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555.2+(190.3-64.7)+(-0.566304+(-0.194106--0.065994))+0-122.3--0.124746000000019</f>
        <v>557.93033000000014</v>
      </c>
      <c r="G315" s="3">
        <f>461.1+(218.8-70.6)+(-0.705483+(-0.334764--0.108018))+0-119.2--0.182376000000007</f>
        <v>489.35014700000011</v>
      </c>
      <c r="H315" s="3">
        <f>460.2+(184.5-56.1)+(0+(0-0))+0-130.9-0</f>
        <v>457.70000000000005</v>
      </c>
      <c r="I315" s="3">
        <f>458.2+(179-54)+(-0.467364+(-0.18258--0.05508))+0-125.9--0.12841800000002</f>
        <v>456.83355400000005</v>
      </c>
      <c r="J315" s="3">
        <f>462.1+(203.5-49.5)+(0.235671+(0.103785-0.025245))+0-134.8-0.0687479999999863</f>
        <v>481.54546300000004</v>
      </c>
      <c r="K315" s="3">
        <f>461.6+(187.5-52.4)+(-0.235416+(-0.095625--0.026724))+0-118.2--0.060281999999988</f>
        <v>478.25596500000006</v>
      </c>
      <c r="L315" s="3">
        <f>459.5+(159.9-91.3)+(-0.234345+(-0.081549--0.046563))+0-110.3--0.0562529999999888</f>
        <v>417.58692200000002</v>
      </c>
      <c r="M315" s="3">
        <f>473.5+(183.1-124.6)+(0+(0-0))+0-124.4-0</f>
        <v>407.6</v>
      </c>
      <c r="N315" s="3">
        <f>618.9+(164.2-92.3)+(0+(0-0))+0-117.7-0</f>
        <v>573.09999999999991</v>
      </c>
      <c r="O315" s="3">
        <f>712.4+(152.3-90.1)+(-0.726648+(-0.155346--0.091902))+0-132.8--0.135456000000021</f>
        <v>641.14536399999997</v>
      </c>
      <c r="P315" s="3">
        <f>712.7+(136.1-118)+(0+(0-0))+0-132.2-0</f>
        <v>598.60000000000014</v>
      </c>
      <c r="Q315" s="3">
        <f>705.8+(158-72.4)+(-0.359958+(-0.08058--0.036924))+0-124.3--0.0633929999999874</f>
        <v>666.75977900000009</v>
      </c>
      <c r="R315" s="3">
        <f>568.1+(202.6-66.7)+(-1.448655+(-0.51663--0.170085))+0-118.5--0.302174999999983</f>
        <v>584.00697500000001</v>
      </c>
      <c r="S315" s="3">
        <f>567.1+(200.2-62.4)+(0+(0-0))+0-114.9-0</f>
        <v>590</v>
      </c>
      <c r="T315" s="3">
        <f>566.3+(151.1-51.8)+(-0.288813+(-0.077061--0.026418))+0-113.9--0.0580889999999884</f>
        <v>551.41863299999989</v>
      </c>
      <c r="U315" s="3">
        <f>565.3+(148.1-39.7)+(-0.576606+(-0.151062--0.040494))+0-118--0.120360000000019</f>
        <v>555.13318599999991</v>
      </c>
      <c r="V315" s="3">
        <f>564.9+(166.3-57)+(0.288099+(0.084813-0.02907))+0-135.3-0.0690029999999863</f>
        <v>539.17483900000013</v>
      </c>
      <c r="W315" s="3">
        <f>566.9+(267.9-56.5)+(0.289119+(0.136629-0.028815))+0-145.8-0.0743579999999852</f>
        <v>632.82257500000003</v>
      </c>
      <c r="X315" s="3">
        <f>553.1+(305.8-59.3)+(-1.128324+(-0.623832--0.120972))+0-155.6--0.317423999999993</f>
        <v>642.68624</v>
      </c>
      <c r="Y315" s="3">
        <f>564.6+(259.6-74.5)+(-1.151784+(-0.529584--0.15198))+0-143.2--0.292127999999994</f>
        <v>605.26274000000012</v>
      </c>
      <c r="Z315" s="3">
        <f>567.6+(236.3-63.1)+(-0.578952+(-0.241026--0.064362))+0-141.4--0.144228000000023</f>
        <v>598.78861200000006</v>
      </c>
      <c r="AA315" s="3">
        <f>574.7+(241.9-59.5)+(-0.586194+(-0.246738--0.06069))+0-141.6--0.144432000000023</f>
        <v>614.87219000000005</v>
      </c>
      <c r="AB315" s="3">
        <f>575.9+(181.2-66.1)+(-0.881127+(-0.277236--0.101133))+0-127.4--0.194922000000007</f>
        <v>562.73769200000004</v>
      </c>
      <c r="AC315" s="3">
        <f>503.5+(217-51.5)+(-0.51357+(-0.22134--0.05253))+0-135.7--0.138414000000022</f>
        <v>532.756034</v>
      </c>
      <c r="AD315" s="2">
        <v>621.79999999999995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482+(182.8-56.4)+(-1.2291+(-0.46614--0.14382))+0-137.4--0.35036999999998</f>
        <v>469.79894999999999</v>
      </c>
      <c r="G316" s="3">
        <f>485.5+(177.6-57.3)+(0+(0-0))+0-139.3-0</f>
        <v>466.49999999999994</v>
      </c>
      <c r="H316" s="3">
        <f>482.3+(170.4-61.9)+(-1.229865+(-0.43452--0.157845))+0-119.5--0.304724999999983</f>
        <v>470.09818499999994</v>
      </c>
      <c r="I316" s="3">
        <f>485.2+(162.4-53.2)+(-0.247452+(-0.082824--0.027132))+0-144.3--0.0735929999999854</f>
        <v>449.87044899999995</v>
      </c>
      <c r="J316" s="3">
        <f>489+(166.4-56.4)+(0.49878+(0.169728-0.057528))+0-150.8-0.153816000000024</f>
        <v>448.65716400000002</v>
      </c>
      <c r="K316" s="3">
        <f>488.2+(171.9-54.7)+(0.497964+(0.175338-0.055794))+0-149.2-0.152184000000024</f>
        <v>456.665324</v>
      </c>
      <c r="L316" s="3">
        <f>528.2+(133.5-55)+(-0.808146+(-0.204255--0.08415))+0-146--0.223380000000008</f>
        <v>459.99512900000002</v>
      </c>
      <c r="M316" s="3">
        <f>571+(139.5-95.5)+(-0.58242+(-0.14229--0.09741))+0-149.1--0.152082000000024</f>
        <v>465.42478199999999</v>
      </c>
      <c r="N316" s="3">
        <f>573+(220.7-218.3)+(-0.29223+(-0.112557--0.111333))+0-153.7--0.0783869999999844</f>
        <v>421.48493299999996</v>
      </c>
      <c r="O316" s="3">
        <f>568.1+(237-225.9)+(0.869193+(0.36261-0.345627))+0-157.1-0.240363000000009</f>
        <v>422.745813</v>
      </c>
      <c r="P316" s="3">
        <f>550.7+(211.4-161)+(1.123428+(0.431256-0.32844))+0-162.7-0.331907999999993</f>
        <v>439.29433599999999</v>
      </c>
      <c r="Q316" s="3">
        <f>543+(182.2-102.9)+(-0.27693+(-0.092922--0.052479))+0-137.9--0.070328999999986</f>
        <v>484.15295599999996</v>
      </c>
      <c r="R316" s="3">
        <f>537.8+(169.9-88.3)+(-1.097112+(-0.346596--0.180132))+0-121.5--0.247859999999995</f>
        <v>496.88428400000004</v>
      </c>
      <c r="S316" s="3">
        <f>535.6+(129.8-47)+(-1.092624+(-0.264792--0.09588))+0-142.7--0.291107999999994</f>
        <v>474.72957200000013</v>
      </c>
      <c r="T316" s="3">
        <f>539.2+(108-72.7)+(0+(0-0))+0-158.1-0</f>
        <v>416.4</v>
      </c>
      <c r="U316" s="3">
        <f>525+(78.5-9.3)+(-1.6065+(-0.24021--0.028458))+0-143.4--0.438804000000017</f>
        <v>449.42055200000004</v>
      </c>
      <c r="V316" s="3">
        <f>540.2+(110-4.4)+(0+(0-0))+0-162-0</f>
        <v>483.80000000000007</v>
      </c>
      <c r="W316" s="3">
        <f>543.7+(197-14)+(0+(0-0))+0-172.5-0</f>
        <v>554.20000000000005</v>
      </c>
      <c r="X316" s="3">
        <f>549.3+(241.7-31.7)+(-1.400715+(-0.616335--0.080835))+0-149.1--0.380204999999978</f>
        <v>608.64398999999992</v>
      </c>
      <c r="Y316" s="3">
        <f>542.6+(239-29.1)+(-1.38363+(-0.60945--0.074205))+0-159.9--0.407744999999977</f>
        <v>591.08887000000004</v>
      </c>
      <c r="Z316" s="3">
        <f>549+(198-17.2)+(-0.55998+(-0.20196--0.017544))+0-148.2--0.151164000000024</f>
        <v>581.00676799999985</v>
      </c>
      <c r="AA316" s="3">
        <f>545+(176.4-4.1)+(-1.1118+(-0.359856--0.008364))+0-146.3--0.298451999999994</f>
        <v>569.83515999999986</v>
      </c>
      <c r="AB316" s="3">
        <f>546.8+(133.6-11.4)+(-0.278868+(-0.068136--0.005814))+0-159--0.0810899999999839</f>
        <v>509.73989999999998</v>
      </c>
      <c r="AC316" s="3">
        <f>548.8+(159.2-30.1)+(-1.119552+(-0.324768--0.061404))+0-138.2--0.281927999999994</f>
        <v>538.59901200000002</v>
      </c>
      <c r="AD316" s="2">
        <v>580.29999999999995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494.2+(167.6-37.6)+(-0.252042+(-0.085476--0.019176))+0-143.2--0.0730319999999855</f>
        <v>480.75469000000004</v>
      </c>
      <c r="G317" s="3">
        <f>494.2+(203.3-41.8)+(-0.252042+(-0.103683--0.021318))+0-136.5--0.0696149999999861</f>
        <v>518.93520799999999</v>
      </c>
      <c r="H317" s="3">
        <f>501.1+(133.5-53.5)+(0+(0-0))+0-89.3-0</f>
        <v>491.8</v>
      </c>
      <c r="I317" s="3">
        <f>498.6+(98.8-46)+(-0.254286+(-0.050388--0.02346))+0-87.4--0.0445739999999911</f>
        <v>463.76336000000003</v>
      </c>
      <c r="J317" s="3">
        <f>495.7+(118.8-47)+(-0.758421+(-0.181764--0.07191))+0-89.2--0.136476000000005</f>
        <v>477.56820099999999</v>
      </c>
      <c r="K317" s="3">
        <f>499.4+(90.7-45.7)+(0.254694+(0.046257-0.023307))+0-82-0.0418199999999917</f>
        <v>462.63582400000001</v>
      </c>
      <c r="L317" s="3">
        <f>496.2+(99.1-58.4)+(-0.506124+(-0.101082--0.059568))+0-103.3--0.105366000000016</f>
        <v>433.15772799999996</v>
      </c>
      <c r="M317" s="3">
        <f>494.9+(143.7-107.7)+(-0.757197+(-0.219861--0.164781))+0-142.1--0.217413000000008</f>
        <v>388.20513599999998</v>
      </c>
      <c r="N317" s="3">
        <f>511.3+(151.7-91.4)+(-0.521526+(-0.154734--0.093228))+0-112.6--0.114852000000018</f>
        <v>458.53182000000004</v>
      </c>
      <c r="O317" s="3">
        <f>563.2+(207.7-38.9)+(-0.287232+(-0.105927--0.019839))+0-131.1--0.0668609999999867</f>
        <v>600.59354099999996</v>
      </c>
      <c r="P317" s="3">
        <f>564.6+(201.8-20.5)+(-0.863838+(-0.308754--0.031365))+0-116.3--0.177939000000007</f>
        <v>628.63671200000022</v>
      </c>
      <c r="Q317" s="3">
        <f>564+(223.2-6.1)+(0+(0-0))+0-147.8-0</f>
        <v>633.29999999999995</v>
      </c>
      <c r="R317" s="3">
        <f>555.1+(187.2-18)+(-1.132404+(-0.381888--0.03672))+0-106--0.216239999999995</f>
        <v>617.03866799999992</v>
      </c>
      <c r="S317" s="3">
        <f>512.3+(239.1-5)+(-1.045092+(-0.487764--0.0102))+0-129.6--0.264383999999994</f>
        <v>615.54172799999992</v>
      </c>
      <c r="T317" s="3">
        <f>500.2+(209.7-4)+(0.255102+(0.106947-0.00204))+0-157.8-0.080477999999984</f>
        <v>548.37953099999993</v>
      </c>
      <c r="U317" s="3">
        <f>496.1+(129.3-22.7)+(-1.012044+(-0.263772--0.046308))+0-139.1--0.283763999999994</f>
        <v>462.65425600000003</v>
      </c>
      <c r="V317" s="3">
        <f>498.5+(131.1-32.1)+(-0.254235+(-0.066861--0.016371))+0-130.6--0.0666059999999867</f>
        <v>466.66188099999999</v>
      </c>
      <c r="W317" s="3">
        <f>526.5+(230.5-38.4)+(0.53703+(0.23511-0.039168))+0-152.2-0.155244000000024</f>
        <v>566.97772800000007</v>
      </c>
      <c r="X317" s="3">
        <f>565.8+(255.6-60.6)+(-0.288558+(-0.130356--0.030906))+0-149.6--0.0762959999999848</f>
        <v>610.88828799999987</v>
      </c>
      <c r="Y317" s="3">
        <f>567.8+(219-19.3)+(-0.868734+(-0.33507--0.029529))+0-155--0.237150000000009</f>
        <v>611.56287500000008</v>
      </c>
      <c r="Z317" s="3">
        <f>575.4+(178.1-17.8)+(0.293454+(0.090831-0.009078))+0-154.9-0.0789989999999843</f>
        <v>581.09620800000005</v>
      </c>
      <c r="AA317" s="3">
        <f>572.7+(141-25.8)+(-0.876231+(-0.21573--0.039474))+0-146.5--0.224145000000008</f>
        <v>540.57165800000007</v>
      </c>
      <c r="AB317" s="3">
        <f>567.9+(111.4-21)+(-1.448145+(-0.28407--0.05355))+0-147.2--0.375359999999979</f>
        <v>509.79669499999994</v>
      </c>
      <c r="AC317" s="3">
        <f>569.5+(126.1-20)+(-0.58089+(-0.128622--0.0204))+0-145.4--0.148308000000023</f>
        <v>529.65919600000007</v>
      </c>
      <c r="AD317" s="2">
        <v>652.79999999999995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567+(99.6-19.8)+(-1.15668+(-0.203184--0.040392))+0-137--0.279479999999994</f>
        <v>508.76000799999991</v>
      </c>
      <c r="G318" s="3">
        <f>492+(109.5-0)+(-0.50184+(-0.11169-0))+0-140.1--0.142902000000022</f>
        <v>460.92937200000006</v>
      </c>
      <c r="H318" s="3">
        <f>484.5+(135.7-0)+(0+(0-0))+0-146.3-0</f>
        <v>473.90000000000003</v>
      </c>
      <c r="I318" s="3">
        <f>483.4+(129.3-0)+(-0.246534+(-0.065943-0))+0-141.7--0.0722669999999856</f>
        <v>470.75979000000012</v>
      </c>
      <c r="J318" s="3">
        <f>484.8+(128-19.5)+(0+(0-0))+0-151-0</f>
        <v>442.29999999999995</v>
      </c>
      <c r="K318" s="3">
        <f>485.8+(147.8-48.4)+(0.247758+(0.075378-0.024684))+0-150.6-0.0768059999999847</f>
        <v>434.82164600000004</v>
      </c>
      <c r="L318" s="3">
        <f>496.1+(144.4-111.5)+(-0.506022+(-0.147288--0.11373))+0-107.3--0.109446000000017</f>
        <v>421.26986599999998</v>
      </c>
      <c r="M318" s="3">
        <f>502.4+(161.1-107.9)+(0.768672+(0.246483-0.165087))+0-114.7-0.175491000000007</f>
        <v>441.57457699999986</v>
      </c>
      <c r="N318" s="3">
        <f>532.4+(151.7-116.7)+(0+(0-0))+0-125.7-0</f>
        <v>441.7</v>
      </c>
      <c r="O318" s="3">
        <f>499.3+(186.7-101.7)+(0.254643+(0.095217-0.051867))+0-144-0.0734399999999854</f>
        <v>440.52455299999997</v>
      </c>
      <c r="P318" s="3">
        <f>520.7+(186.6-103.6)+(0+(0-0))+0-134-0</f>
        <v>469.70000000000005</v>
      </c>
      <c r="Q318" s="3">
        <f>578.6+(170.7-105.5)+(-0.590172+(-0.174114--0.10761))+0-128--0.13056000000002</f>
        <v>515.27388400000007</v>
      </c>
      <c r="R318" s="3">
        <f>537.7+(178.1-99.9)+(-1.096908+(-0.363324--0.203796))+0-145.9--0.297635999999994</f>
        <v>469.04120000000012</v>
      </c>
      <c r="S318" s="3">
        <f>497.7+(152.7-107.2)+(0.507654+(0.155754-0.109344))+0-149.1-0.152082000000024</f>
        <v>394.50198199999994</v>
      </c>
      <c r="T318" s="3">
        <f>490.5+(138.8-125.8)+(-0.50031+(-0.141576--0.128316))+0-125--0.12750000000002</f>
        <v>378.11392999999998</v>
      </c>
      <c r="U318" s="3">
        <f>497.7+(169.2-134.3)+(1.015308+(0.345168-0.273972))+0-138-0.281519999999994</f>
        <v>395.4049839999999</v>
      </c>
      <c r="V318" s="3">
        <f>495.4+(196.3-134.6)+(0+(0-0))+0-130.4-0</f>
        <v>426.70000000000005</v>
      </c>
      <c r="W318" s="3">
        <f>540.3+(253.1-113.6)+(-0.275553+(-0.129081--0.057936))+0-147.5--0.075224999999985</f>
        <v>532.02852699999994</v>
      </c>
      <c r="X318" s="3">
        <f>660.1+(220.4-122.3)+(-0.673302+(-0.224808--0.124746))+0-149--0.151980000000024</f>
        <v>608.57861600000001</v>
      </c>
      <c r="Y318" s="3">
        <f>705+(173.8-109)+(-2.1573+(-0.531828--0.33354))+0-140.8--0.430848000000016</f>
        <v>627.07525999999984</v>
      </c>
      <c r="Z318" s="3">
        <f>716.4+(154.2-125.8)+(0.730728+(0.157284-0.128316))+0-153.9-0.156978000000025</f>
        <v>591.50271799999996</v>
      </c>
      <c r="AA318" s="3">
        <f>702.6+(150-116.8)+(-1.79163+(-0.3825--0.29784))+0-149.1--0.380204999999978</f>
        <v>585.20391499999994</v>
      </c>
      <c r="AB318" s="3">
        <f>709.2+(121.5-107.5)+(-1.446768+(-0.24786--0.2193))+0-139.6--0.284783999999994</f>
        <v>582.40945599999998</v>
      </c>
      <c r="AC318" s="3">
        <f>663.2+(62.5-55.8)+(-1.352928+(-0.1275--0.113832))+0-124.8--0.254591999999995</f>
        <v>543.98799600000018</v>
      </c>
      <c r="AD318" s="2">
        <v>706.60000000000014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661.7+(56-83.5)+(-1.012401+(-0.08568--0.127755))+0-117.1--0.179163000000007</f>
        <v>516.30883700000004</v>
      </c>
      <c r="G319" s="3">
        <f>619.7+(81.9-86.6)+(-1.580235+(-0.208845--0.22083))+0-145.6--0.371279999999979</f>
        <v>468.2030299999999</v>
      </c>
      <c r="H319" s="3">
        <f>540.7+(140.3-25.1)+(0.551514+(0.143106-0.025602))+0-138.9-0.141678000000022</f>
        <v>517.52734000000009</v>
      </c>
      <c r="I319" s="3">
        <f>486.1+(138-0)+(-0.247911+(-0.07038-0))+0-143.2--0.0730319999999855</f>
        <v>480.654741</v>
      </c>
      <c r="J319" s="3">
        <f>421.2+(224.6-0)+(-0.214812+(-0.114546-0))+0-148.5--0.0757349999999849</f>
        <v>497.04637700000001</v>
      </c>
      <c r="K319" s="3">
        <f>416+(200.9-6.7)+(0.42432+(0.204918-0.006834))+0-142.2-0.145044000000023</f>
        <v>468.47735999999998</v>
      </c>
      <c r="L319" s="3">
        <f>414.4+(191.5-24.9)+(-0.422688+(-0.19533--0.025398))+0-144.9--0.147798000000023</f>
        <v>435.65517800000003</v>
      </c>
      <c r="M319" s="3">
        <f>414.2+(177.4-39.1)+(0+(0-0))+0-138.4-0</f>
        <v>414.1</v>
      </c>
      <c r="N319" s="3">
        <f>417.5+(157.1-46.5)+(0.212925+(0.080121-0.023715))+0-130.6-0.0666059999999867</f>
        <v>397.70272499999999</v>
      </c>
      <c r="O319" s="3">
        <f>540.8+(133-85.2)+(0.275808+(0.06783-0.043452))+0-146.5-0.0747149999999851</f>
        <v>442.32547099999999</v>
      </c>
      <c r="P319" s="3">
        <f>564.4+(123.3-116.9)+(-0.863532+(-0.188649--0.178857))+0-134.9--0.206397000000008</f>
        <v>435.23307299999993</v>
      </c>
      <c r="Q319" s="3">
        <f>565.6+(143.1-118.2)+(-1.153824+(-0.291924--0.241128))+0-153.4--0.312935999999993</f>
        <v>436.20831600000002</v>
      </c>
      <c r="R319" s="3">
        <f>571.2+(155.5-168.4)+(-0.291312+(-0.079305--0.085884))+0-141.4--0.0721139999999857</f>
        <v>416.68738100000013</v>
      </c>
      <c r="S319" s="3">
        <f>568.6+(154.9-143.9)+(-1.159944+(-0.315996--0.293556))+0-142.5--0.290699999999994</f>
        <v>436.20831600000008</v>
      </c>
      <c r="T319" s="3">
        <f>567.3+(136.4-111.2)+(-0.867969+(-0.208692--0.170136))+0-148.9--0.227817000000009</f>
        <v>442.92129200000005</v>
      </c>
      <c r="U319" s="3">
        <f>574.1+(138.5-149.3)+(0.878373+(0.211905-0.228429))+0-147.5-0.225675000000009</f>
        <v>416.43617399999994</v>
      </c>
      <c r="V319" s="3">
        <f>572.4+(92.3-106.3)+(-0.583848+(-0.094146--0.108426))+0-143.5--0.146370000000023</f>
        <v>414.47680200000002</v>
      </c>
      <c r="W319" s="3">
        <f>569.4+(214.6-102.8)+(-1.45197+(-0.54723--0.26214))+0-162--0.413099999999976</f>
        <v>517.87603999999988</v>
      </c>
      <c r="X319" s="3">
        <f>574.6+(202.6-136.1)+(-0.879138+(-0.309978--0.208233))+0-144.9--0.221697000000008</f>
        <v>495.4408140000001</v>
      </c>
      <c r="Y319" s="3">
        <f>579.7+(158.7-123.4)+(-0.295647+(-0.080937--0.062934))+0-113.7--0.0579869999999885</f>
        <v>501.04433699999993</v>
      </c>
      <c r="Z319" s="3">
        <f>578.1+(153.3-104.6)+(-0.294831+(-0.078183--0.053346))+0-139.8--0.0712979999999858</f>
        <v>486.75163000000009</v>
      </c>
      <c r="AA319" s="3">
        <f>580.2+(106.1-61.3)+(0.295902+(0.054111-0.031263))+0-153.4-0.0782339999999844</f>
        <v>471.84051600000004</v>
      </c>
      <c r="AB319" s="3">
        <f>582.1+(78.7-42.4)+(-0.890613+(-0.120411--0.064872))+0-144.8--0.221544000000008</f>
        <v>472.87539199999998</v>
      </c>
      <c r="AC319" s="3">
        <f>584.6+(83.9-18)+(-1.192584+(-0.171156--0.03672))+0-148.9--0.303755999999994</f>
        <v>500.5767360000001</v>
      </c>
      <c r="AD319" s="2">
        <v>570.70000000000005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583+(93-61.5)+(-1.18932+(-0.18972--0.12546))+0-141--0.287639999999994</f>
        <v>472.53405999999995</v>
      </c>
      <c r="G320" s="3">
        <f>587+(37.4-47)+(-0.29937+(-0.019074--0.02397))+0-138.1--0.070430999999986</f>
        <v>439.0759569999999</v>
      </c>
      <c r="H320" s="3">
        <f>512.1+(66.8-43)+(-1.044684+(-0.136272--0.08772))+0-137--0.279479999999994</f>
        <v>398.08624399999991</v>
      </c>
      <c r="I320" s="3">
        <f>429.8+(115.9-32)+(-0.219198+(-0.059109--0.01632))+0-139.9--0.0713489999999858</f>
        <v>373.60936200000009</v>
      </c>
      <c r="J320" s="3">
        <f>417.2+(121-33)+(1.06386+(0.30855-0.08415))+0-144.6-0.368729999999979</f>
        <v>361.51952999999997</v>
      </c>
      <c r="K320" s="3">
        <f>416.5+(119.9-33.4)+(0.637245+(0.183447-0.051102))+0-140.6-0.215118000000008</f>
        <v>362.95447199999995</v>
      </c>
      <c r="L320" s="3">
        <f>417.7+(163.5-43.2)+(0.639081+(0.250155-0.066096))+0-139.7-0.213741000000008</f>
        <v>398.90939899999995</v>
      </c>
      <c r="M320" s="3">
        <f>418+(192-48.6)+(-0.63954+(-0.29376--0.074358))+0-124.6--0.190638000000007</f>
        <v>436.13169600000003</v>
      </c>
      <c r="N320" s="3">
        <f>422.5+(181-18.4)+(0.43095+(0.18462-0.018768))+0-122.6-0.12505200000002</f>
        <v>462.97174999999999</v>
      </c>
      <c r="O320" s="3">
        <f>487.7+(173.9-14)+(0+(0-0))+0-136.4-0</f>
        <v>511.20000000000005</v>
      </c>
      <c r="P320" s="3">
        <f>573.3+(150.9-23)+(0.584766+(0.153918-0.02346))+0-137.7-0.140454000000022</f>
        <v>564.07477000000006</v>
      </c>
      <c r="Q320" s="3">
        <f>572.6+(191.5-19)+(-0.584052+(-0.19533--0.01938))+0-138.4--0.141168000000022</f>
        <v>606.08116600000005</v>
      </c>
      <c r="R320" s="3">
        <f>571+(151.9-33)+(-1.45605+(-0.387345--0.08415))+0-142.7--0.363884999999979</f>
        <v>545.80464000000006</v>
      </c>
      <c r="S320" s="3">
        <f>573.7+(125.9-30)+(-0.292587+(-0.064209--0.0153))+0-149.3--0.0761429999999849</f>
        <v>520.03464699999995</v>
      </c>
      <c r="T320" s="3">
        <f>570.7+(112.7-38)+(-1.455285+(-0.287385--0.0969))+0-140.3--0.35776499999998</f>
        <v>503.81199500000008</v>
      </c>
      <c r="U320" s="3">
        <f>568.4+(124.1-39)+(-0.579768+(-0.126582--0.03978))+0-140.1--0.142902000000022</f>
        <v>512.87633200000005</v>
      </c>
      <c r="V320" s="3">
        <f>569.7+(153.6-36)+(0.290547+(0.078336-0.01836))+0-141.9-0.0723689999999856</f>
        <v>545.67815400000006</v>
      </c>
      <c r="W320" s="3">
        <f>569.3+(229.5-24)+(0+(0-0))+0-123.9-0</f>
        <v>650.9</v>
      </c>
      <c r="X320" s="3">
        <f>574.6+(309.4-19)+(-0.293046+(-0.157794--0.00969))+0-143.7--0.0732869999999854</f>
        <v>720.93213700000001</v>
      </c>
      <c r="Y320" s="3">
        <f>571.4+(304.4-19)+(-1.748484+(-0.931464--0.05814))+0-162.3--0.496638000000019</f>
        <v>692.37482999999997</v>
      </c>
      <c r="Z320" s="3">
        <f>572.7+(264.1-20)+(-1.168308+(-0.538764--0.0408))+0-154.2--0.314567999999993</f>
        <v>661.24829599999998</v>
      </c>
      <c r="AA320" s="3">
        <f>581.1+(235.9-23)+(-0.296361+(-0.120309--0.01173))+0-144.1--0.0734909999999854</f>
        <v>649.56855099999996</v>
      </c>
      <c r="AB320" s="3">
        <f>578.2+(172.1-30)+(-1.179528+(-0.351084--0.0612))+0-112.7--0.229907999999995</f>
        <v>606.36049600000001</v>
      </c>
      <c r="AC320" s="3">
        <f>576.8+(143.7-54)+(-0.882504+(-0.219861--0.08262))+0-125.2--0.191556000000007</f>
        <v>540.471811</v>
      </c>
      <c r="AD320" s="2">
        <v>658.3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565.3+(166.7-48)+(-1.153212+(-0.340068--0.09792))+0-147.6--0.301103999999994</f>
        <v>535.305744</v>
      </c>
      <c r="G321" s="3">
        <f>500.3+(158.8-43)+(-0.765459+(-0.242964--0.06579))+0-153.5--0.234855000000009</f>
        <v>461.892222</v>
      </c>
      <c r="H321" s="3">
        <f>502.9+(132.9-46)+(0+(0-0))+0-137.1-0</f>
        <v>452.69999999999993</v>
      </c>
      <c r="I321" s="3">
        <f>502.9+(151-45)+(-0.256479+(-0.07701--0.02295))+0-155.6--0.0793559999999842</f>
        <v>453.06881699999997</v>
      </c>
      <c r="J321" s="3">
        <f>503.8+(148.9-43)+(0.256938+(0.075939-0.02193))+0-148.3-0.075632999999985</f>
        <v>461.63531400000011</v>
      </c>
      <c r="K321" s="3">
        <f>530+(127-46)+(0.5406+(0.12954-0.04692))+0-138.5-0.141270000000022</f>
        <v>472.98194999999993</v>
      </c>
      <c r="L321" s="3">
        <f>595.7+(82.3-27.8)+(0.607614+(0.083946-0.028356))+0-151.1-0.154122000000024</f>
        <v>499.60908199999994</v>
      </c>
      <c r="M321" s="3">
        <f>595.7+(104.9-62.4)+(0.303807+(0.053499-0.031824))+0-145.9-0.0744089999999852</f>
        <v>492.55107300000003</v>
      </c>
      <c r="N321" s="3">
        <f>585+(72.7-12.7)+(-1.1934+(-0.148308--0.025908))+0-144.3--0.294371999999994</f>
        <v>499.67857200000003</v>
      </c>
      <c r="O321" s="3">
        <f>592.4+(113.2-0)+(0.906372+(0.173196-0))+0-139.3-0.213129000000008</f>
        <v>567.16643900000008</v>
      </c>
      <c r="P321" s="3">
        <f>580.7+(185.3-0)+(-0.592314+(-0.189006-0))+0-140.2--0.143004000000022</f>
        <v>625.16168399999992</v>
      </c>
      <c r="Q321" s="3">
        <f>576.8+(205.7-0)+(-1.176672+(-0.419628-0))+0-137.5--0.280499999999994</f>
        <v>643.68419999999992</v>
      </c>
      <c r="R321" s="3">
        <f>608.9+(139.4-0)+(-1.552695+(-0.35547-0))+0-132.4--0.337619999999981</f>
        <v>614.32945499999994</v>
      </c>
      <c r="S321" s="3">
        <f>636.9+(134.9-9.5)+(0.324819+(0.068799-0.004845))+0-130.1-0.0663509999999868</f>
        <v>632.52242200000001</v>
      </c>
      <c r="T321" s="3">
        <f>637.9+(138.2-11.6)+(-0.650658+(-0.140964--0.011832))+0-148--0.150960000000024</f>
        <v>615.87117000000001</v>
      </c>
      <c r="U321" s="3">
        <f>630.2+(134.9-17)+(-0.321402+(-0.068799--0.00867))+0-149.3--0.0761429999999849</f>
        <v>598.49461199999996</v>
      </c>
      <c r="V321" s="3">
        <f>643.3+(94.3-0)+(0+(0-0))+0-147.2-0</f>
        <v>590.39999999999986</v>
      </c>
      <c r="W321" s="3">
        <f>653.4+(177.2-8.1)+(0+(0-0))+0-154.6-0</f>
        <v>667.9</v>
      </c>
      <c r="X321" s="3">
        <f>698.5+(248.2-0)+(0.356235+(0.126582-0))+0-135.3-0.0690029999999863</f>
        <v>811.81381399999998</v>
      </c>
      <c r="Y321" s="3">
        <f>595.3+(290-0)+(-0.910809+(-0.4437-0))+0-125.7--0.192321000000007</f>
        <v>758.43781199999989</v>
      </c>
      <c r="Z321" s="3">
        <f>591.2+(250.4-0)+(-0.603024+(-0.255408-0))+0-148--0.150960000000024</f>
        <v>692.89252800000008</v>
      </c>
      <c r="AA321" s="3">
        <f>598.5+(220.9-0)+(-0.915705+(-0.337977-0))+0-157.7--0.241281000000009</f>
        <v>660.68759899999998</v>
      </c>
      <c r="AB321" s="3">
        <f>599.9+(165.6-2.8)+(-0.611898+(-0.168912--0.002856))+0-132.6--0.135252000000021</f>
        <v>629.45729799999992</v>
      </c>
      <c r="AC321" s="3">
        <f>596.3+(178.1-42)+(-1.520565+(-0.454155--0.1071))+0-144.7--0.368984999999979</f>
        <v>586.20136500000001</v>
      </c>
      <c r="AD321" s="2">
        <v>677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599.3+(192.9-105.7)+(-0.305643+(-0.098379--0.053907))+0-142.5--0.0726749999999855</f>
        <v>543.72256000000004</v>
      </c>
      <c r="G322" s="3">
        <f>600.6+(164.3-103.7)+(0+(0-0))+0-118.7-0</f>
        <v>542.5</v>
      </c>
      <c r="H322" s="3">
        <f>521.3+(224.9-65.4)+(0+(0-0))+0-144.6-0</f>
        <v>536.19999999999993</v>
      </c>
      <c r="I322" s="3">
        <f>490.1+(261.7-64.5)+(0+(0-0))+0-140.3-0</f>
        <v>547</v>
      </c>
      <c r="J322" s="3">
        <f>497.6+(218.6-40.4)+(1.015104+(0.445944-0.082416))+0-144.1-0.293963999999994</f>
        <v>532.78466800000001</v>
      </c>
      <c r="K322" s="3">
        <f>556.2+(188.8-50.5)+(0.850986+(0.288864-0.077265))+0-147.5-0.225675000000009</f>
        <v>547.83690999999999</v>
      </c>
      <c r="L322" s="3">
        <f>607.9+(129.2-39)+(0.620058+(0.131784-0.03978))+0-136.8-0.139536000000022</f>
        <v>561.87252599999977</v>
      </c>
      <c r="M322" s="3">
        <f>602.3+(150.7-41.3)+(-0.614346+(-0.153714--0.042126))+0-151--0.154020000000024</f>
        <v>560.12808599999994</v>
      </c>
      <c r="N322" s="3">
        <f>586.9+(71-19.2)+(-0.897957+(-0.10863--0.029376))+0-139.9--0.214047000000008</f>
        <v>498.03683599999994</v>
      </c>
      <c r="O322" s="3">
        <f>592.2+(88.1-17.8)+(0.302022+(0.044931-0.009078))+0-145.6-0.0742559999999852</f>
        <v>517.16361900000004</v>
      </c>
      <c r="P322" s="3">
        <f>630.2+(127.2-0)+(0+(0-0))+0-155.2-0</f>
        <v>602.20000000000005</v>
      </c>
      <c r="Q322" s="3">
        <f>738.5+(101.5-52.5)+(0.376635+(0.051765-0.026775))+0-141.8-0.0723179999999856</f>
        <v>646.02930700000002</v>
      </c>
      <c r="R322" s="3">
        <f>731.4+(58-79.9)+(-1.86507+(-0.1479--0.203745))+0-150.7--0.384284999999978</f>
        <v>557.37505999999996</v>
      </c>
      <c r="S322" s="3">
        <f>628.2+(65.8-50.3)+(0+(0-0))+0-136.4-0</f>
        <v>507.30000000000007</v>
      </c>
      <c r="T322" s="3">
        <f>586.9+(75.3-31)+(-0.299319+(-0.038403--0.01581))+0-143.7--0.0732869999999854</f>
        <v>487.25137499999994</v>
      </c>
      <c r="U322" s="3">
        <f>572.4+(65.6-35.5)+(-1.45962+(-0.16728--0.090525))+0-143.8--0.366689999999979</f>
        <v>457.53031499999997</v>
      </c>
      <c r="V322" s="3">
        <f>575.2+(76.7-29.1)+(-0.880056+(-0.117351--0.044523))+0-138.2--0.211446000000008</f>
        <v>483.85856200000006</v>
      </c>
      <c r="W322" s="3">
        <f>576.5+(142.1-41.8)+(-0.294015+(-0.072471--0.021318))+0-152.6--0.0778259999999845</f>
        <v>523.93265799999995</v>
      </c>
      <c r="X322" s="3">
        <f>586.9+(214.7-12.5)+(-0.897957+(-0.328491--0.019125))+0-150.4--0.230112000000009</f>
        <v>637.72278899999992</v>
      </c>
      <c r="Y322" s="3">
        <f>583.3+(198.4-12.3)+(-1.784898+(-0.607104--0.037638))+0-150.9--0.461754000000017</f>
        <v>616.60739000000001</v>
      </c>
      <c r="Z322" s="3">
        <f>586+(180-14.2)+(-0.89658+(-0.2754--0.021726))+0-149.5--0.228735000000009</f>
        <v>601.37848099999997</v>
      </c>
      <c r="AA322" s="3">
        <f>584.5+(136.4-26.2)+(-1.19238+(-0.278256--0.053448))+0-155.1--0.316403999999993</f>
        <v>538.49921600000005</v>
      </c>
      <c r="AB322" s="3">
        <f>582.5+(81.3-21.3)+(-1.485375+(-0.207315--0.054315))+0-110.5--0.281774999999984</f>
        <v>530.64340000000004</v>
      </c>
      <c r="AC322" s="3">
        <f>585.9+(109.2-54.8)+(-0.597618+(-0.111384--0.055896))+0-98.4--0.100368000000016</f>
        <v>541.347262</v>
      </c>
      <c r="AD322" s="2">
        <v>633.9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585.2+(65.2-81.7)+(-1.193808+(-0.133008--0.166668))+0-88.2--0.179927999999996</f>
        <v>479.51978000000003</v>
      </c>
      <c r="G323" s="3">
        <f>589.2+(63.9-117.8)+(-0.300492+(-0.032589--0.060078))+0-99--0.05048999999999</f>
        <v>436.07748700000002</v>
      </c>
      <c r="H323" s="3">
        <f>590+(53-122.6)+(0+(0-0))+0-93.9-0</f>
        <v>426.5</v>
      </c>
      <c r="I323" s="3">
        <f>589.5+(55.6-93.3)+(0+(0-0))+0-131.6-0</f>
        <v>420.19999999999993</v>
      </c>
      <c r="J323" s="3">
        <f>593.6+(63.6-74.9)+(0.908208+(0.097308-0.114597))+0-156.3-0.239139000000009</f>
        <v>426.65178000000009</v>
      </c>
      <c r="K323" s="3">
        <f>587.3+(81.6-113.7)+(-0.898569+(-0.124848--0.173961))+0-141.8--0.216954000000008</f>
        <v>412.76749799999988</v>
      </c>
      <c r="L323" s="3">
        <f>589.3+(109.6-186.4)+(0+(0-0))+0-139-0</f>
        <v>373.5</v>
      </c>
      <c r="M323" s="3">
        <f>597.4+(63.6-145.3)+(0+(0-0))+0-123.1-0</f>
        <v>392.59999999999991</v>
      </c>
      <c r="N323" s="3">
        <f>600.7+(75-83.8)+(0+(0-0))+0-145.7-0</f>
        <v>446.2000000000001</v>
      </c>
      <c r="O323" s="3">
        <f>604.7+(68.9-49.4)+(0+(0-0))+0-145.5-0</f>
        <v>478.70000000000005</v>
      </c>
      <c r="P323" s="3">
        <f>595.1+(87.1-32.7)+(-0.910503+(-0.133263--0.050031))+0-125.5--0.192015000000007</f>
        <v>523.19827999999995</v>
      </c>
      <c r="Q323" s="3">
        <f>589.1+(90.9-28.4)+(-0.600882+(-0.092718--0.028968))+0-124.7--0.12719400000002</f>
        <v>526.36256200000003</v>
      </c>
      <c r="R323" s="3">
        <f>587.6+(95.7-19.1)+(-0.899028+(-0.146421--0.029223))+0-134.4--0.205632000000008</f>
        <v>528.98940600000014</v>
      </c>
      <c r="S323" s="3">
        <f>584.5+(80-30.3)+(-0.894285+(-0.1224--0.046359))+0-136.3--0.208539000000008</f>
        <v>497.13821300000006</v>
      </c>
      <c r="T323" s="3">
        <f>582.6+(53-52.6)+(-0.297126+(-0.02703--0.026826))+0-129.3--0.0659429999999869</f>
        <v>453.468613</v>
      </c>
      <c r="U323" s="3">
        <f>582+(52-106.5)+(-0.59364+(-0.05304--0.10863))+0-126.9--0.12943800000002</f>
        <v>400.19138800000002</v>
      </c>
      <c r="V323" s="3">
        <f>582.2+(53-156.5)+(-0.890766+(-0.08109--0.239445))+0-141.4--0.216342000000008</f>
        <v>336.783931</v>
      </c>
      <c r="W323" s="3">
        <f>586.6+(172.1-104.4)+(0+(0-0))+0-126.5-0</f>
        <v>527.79999999999995</v>
      </c>
      <c r="X323" s="3">
        <f>590.4+(274.7-56.2)+(0+(0-0))+0-144.1-0</f>
        <v>664.8</v>
      </c>
      <c r="Y323" s="3">
        <f>582.9+(269.1-39.8)+(-1.783674+(-0.823446--0.121788))+0-154.8--0.473688000000018</f>
        <v>655.38835600000016</v>
      </c>
      <c r="Z323" s="3">
        <f>587.6+(218.1-34.6)+(0+(0-0))+0-158.2-0</f>
        <v>612.90000000000009</v>
      </c>
      <c r="AA323" s="3">
        <f>587+(186.7-49.8)+(-0.29937+(-0.095217--0.025398))+0-160.9--0.0820589999999837</f>
        <v>562.71286999999995</v>
      </c>
      <c r="AB323" s="3">
        <f>584.1+(126.3-70)+(-0.595782+(-0.128826--0.0714))+0-154.1--0.157182000000025</f>
        <v>485.80397400000004</v>
      </c>
      <c r="AC323" s="3">
        <f>581.9+(101.7-75)+(-0.890307+(-0.155601--0.11475))+0-153.4--0.234702000000009</f>
        <v>454.50354400000009</v>
      </c>
      <c r="AD323" s="2">
        <v>634.40000000000009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576.2+(87.6-18.3)+(-1.46931+(-0.22338--0.046665))+0-147.1--0.375104999999979</f>
        <v>497.12907999999993</v>
      </c>
      <c r="G324" s="3">
        <f>578.1+(93.3-2.6)+(-1.179324+(-0.190332--0.005304))+0-153.2--0.312527999999993</f>
        <v>514.54817600000013</v>
      </c>
      <c r="H324" s="3">
        <f>581.3+(79.2-11.8)+(-0.296463+(-0.040392--0.006018))+0-149.8--0.0763979999999848</f>
        <v>498.64556099999993</v>
      </c>
      <c r="I324" s="3">
        <f>583.1+(70.6-13.8)+(0+(0-0))+0-148.5-0</f>
        <v>491.4</v>
      </c>
      <c r="J324" s="3">
        <f>581.6+(89.7-26.7)+(0+(0-0))+0-152-0</f>
        <v>492.6</v>
      </c>
      <c r="K324" s="3">
        <f>587.6+(110.8-86)+(0.899028+(0.169524-0.13158))+0-140.2-0.214506000000008</f>
        <v>472.92246599999993</v>
      </c>
      <c r="L324" s="3">
        <f>582.3+(145.4-162.1)+(0+(0-0))+0-140.4-0</f>
        <v>425.19999999999993</v>
      </c>
      <c r="M324" s="3">
        <f>591.7+(173.1-206.2)+(1.207068+(0.353124-0.420648))+0-138-0.281519999999994</f>
        <v>421.45802400000002</v>
      </c>
      <c r="N324" s="3">
        <f>590.9+(149.2-160.2)+(0+(0-0))+0-124.4-0</f>
        <v>455.5</v>
      </c>
      <c r="O324" s="3">
        <f>592+(140.5-138.7)+(0+(0-0))+0-98.1-0</f>
        <v>495.69999999999993</v>
      </c>
      <c r="P324" s="3">
        <f>579.9+(175.8-117.2)+(-0.591498+(-0.179316--0.119544))+0-119.5--0.121890000000019</f>
        <v>518.47062000000005</v>
      </c>
      <c r="Q324" s="3">
        <f>579.9+(184.2-80.9)+(-0.591498+(-0.187884--0.082518))+0-125.7--0.12821400000002</f>
        <v>556.93134999999995</v>
      </c>
      <c r="R324" s="3">
        <f>571.7+(168.6-73.3)+(-1.749402+(-0.515916--0.224298))+0-142.5--0.436050000000016</f>
        <v>522.89503000000002</v>
      </c>
      <c r="S324" s="3">
        <f>591.6+(136.6-54.9)+(-0.905148+(-0.208998--0.083997))+0-100.1--0.153153000000006</f>
        <v>572.32300399999986</v>
      </c>
      <c r="T324" s="3">
        <f>560.9+(146.1-37.2)+(-1.430295+(-0.372555--0.09486))+0-127.5--0.325124999999982</f>
        <v>540.91713499999992</v>
      </c>
      <c r="U324" s="3">
        <f>560.9+(141.6-45.1)+(-0.286059+(-0.072216--0.023001))+0-116.1--0.0592109999999882</f>
        <v>541.02393699999993</v>
      </c>
      <c r="V324" s="3">
        <f>559.9+(163.5-28.7)+(-0.285549+(-0.083385--0.014637))+0-111.6--0.0569159999999887</f>
        <v>582.80261900000005</v>
      </c>
      <c r="W324" s="3">
        <f>560.6+(244.7-16.9)+(-0.857718+(-0.374391--0.025857))+0-123.9--0.189567000000007</f>
        <v>663.48331500000006</v>
      </c>
      <c r="X324" s="3">
        <f>570.8+(325.6-39.7)+(-1.164432+(-0.664224--0.080988))+0-143.2--0.292127999999994</f>
        <v>712.04446000000007</v>
      </c>
      <c r="Y324" s="3">
        <f>578+(299.9-31.7)+(-0.88434+(-0.458847--0.048501))+0-132.8--0.203184000000008</f>
        <v>712.3084980000001</v>
      </c>
      <c r="Z324" s="3">
        <f>579.9+(288.7-14.1)+(-0.591498+(-0.294474--0.014382))+0-147.4--0.150348000000024</f>
        <v>706.37875800000006</v>
      </c>
      <c r="AA324" s="3">
        <f>583+(289.8-0)+(-0.59466+(-0.295596-0))+0-142.4--0.145248000000023</f>
        <v>729.65499199999999</v>
      </c>
      <c r="AB324" s="3">
        <f>580.6+(227.1-0)+(-0.888318+(-0.347463-0))+0-148.9--0.227817000000009</f>
        <v>657.79203600000005</v>
      </c>
      <c r="AC324" s="3">
        <f>579.6+(194.2-2.8)+(-1.182384+(-0.396168--0.005712))+0-138--0.281519999999994</f>
        <v>631.70867999999996</v>
      </c>
      <c r="AD324" s="2">
        <v>647.09999999999991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579.5+(118.7-0)+(-0.886635+(-0.181611-0))+0-140.7--0.215271000000008</f>
        <v>556.64702499999999</v>
      </c>
      <c r="G325" s="3">
        <f>571.9+(124.7-39.9)+(-1.458345+(-0.317985--0.101745))+0-143.3--0.365414999999979</f>
        <v>512.09082999999998</v>
      </c>
      <c r="H325" s="3">
        <f>578.8+(139.2-73.2)+(-0.885564+(-0.212976--0.111996))+0-142.9--0.218637000000008</f>
        <v>501.132093</v>
      </c>
      <c r="I325" s="3">
        <f>579+(151.8-62)+(-0.88587+(-0.232254--0.09486))+0-133.5--0.204255000000008</f>
        <v>534.4809909999999</v>
      </c>
      <c r="J325" s="3">
        <f>583.1+(151-88.4)+(-0.297381+(-0.07701--0.045084))+0-103.9--0.0529889999999895</f>
        <v>541.52368200000012</v>
      </c>
      <c r="K325" s="3">
        <f>586.2+(155.2-115.4)+(0.597924+(0.158304-0.117708))+0-119.8-0.122196000000019</f>
        <v>506.71632399999993</v>
      </c>
      <c r="L325" s="3">
        <f>580.3+(140.2-97.4)+(-0.887859+(-0.214506--0.149022))+0-147.3--0.225369000000009</f>
        <v>475.07202599999988</v>
      </c>
      <c r="M325" s="3">
        <f>582.3+(153.1-189.2)+(-0.296973+(-0.078081--0.096492))+0-128.5--0.065534999999987</f>
        <v>417.48697299999998</v>
      </c>
      <c r="N325" s="3">
        <f>585.5+(169.7-135.5)+(0+(0-0))+0-129.8-0</f>
        <v>489.90000000000003</v>
      </c>
      <c r="O325" s="3">
        <f>581.7+(238.8-149.3)+(0.593334+(0.243576-0.152286))+0-151.8-0.154836000000024</f>
        <v>519.92978800000003</v>
      </c>
      <c r="P325" s="3">
        <f>576.3+(274.7-155.3)+(0.293913+(0.140097-0.079203))+0-126.7-0.0646169999999871</f>
        <v>569.29018999999994</v>
      </c>
      <c r="Q325" s="3">
        <f>574.7+(233.6-135.2)+(-0.586194+(-0.238272--0.137904))+0-148.2--0.151164000000024</f>
        <v>524.36460199999999</v>
      </c>
      <c r="R325" s="3">
        <f>567.4+(238.8-116.3)+(-1.736244+(-0.730728--0.355878))+0-151--0.462060000000017</f>
        <v>537.25096600000006</v>
      </c>
      <c r="S325" s="3">
        <f>562.7+(212.9-91.1)+(-1.147908+(-0.434316--0.185844))+0-139.8--0.285191999999994</f>
        <v>543.58881199999985</v>
      </c>
      <c r="T325" s="3">
        <f>546.3+(176.7-75.3)+(0+(0-0))+0-139.8-0</f>
        <v>507.89999999999992</v>
      </c>
      <c r="U325" s="3">
        <f>539.6+(173.6-104.7)+(-0.825588+(-0.265608--0.160191))+0-128.2--0.196146000000007</f>
        <v>479.56514099999998</v>
      </c>
      <c r="V325" s="3">
        <f>539+(206.9-125.6)+(-0.54978+(-0.211038--0.128112))+0-141.8--0.144636000000023</f>
        <v>478.01193000000001</v>
      </c>
      <c r="W325" s="3">
        <f>547.1+(284.7-126.3)+(0.837063+(0.435591-0.193239))+0-140.2-0.214506000000008</f>
        <v>566.16490900000008</v>
      </c>
      <c r="X325" s="3">
        <f>550+(334.2-125.7)+(-0.561+(-0.340884--0.128214))+0-148.3--0.151266000000024</f>
        <v>609.57759600000009</v>
      </c>
      <c r="Y325" s="3">
        <f>557.5+(271.6-95.9)+(-0.56865+(-0.277032--0.097818))+0-143.8--0.146676000000023</f>
        <v>588.798812</v>
      </c>
      <c r="Z325" s="3">
        <f>561.1+(234.8-87.7)+(-0.858483+(-0.359244--0.134181))+0-142.4--0.217872000000008</f>
        <v>564.93432600000017</v>
      </c>
      <c r="AA325" s="3">
        <f>565.1+(202.2-108.7)+(-0.864603+(-0.309366--0.166311))+0-138.9--0.212517000000008</f>
        <v>518.9048590000001</v>
      </c>
      <c r="AB325" s="3">
        <f>560.4+(141.2-88.9)+(0.285804+(0.072012-0.045339))+0-154.1-0.0785909999999844</f>
        <v>458.83388599999989</v>
      </c>
      <c r="AC325" s="3">
        <f>565.2+(83.1-44.6)+(-0.576504+(-0.084762--0.045492))+0-129.2--0.131784000000021</f>
        <v>474.01601000000011</v>
      </c>
      <c r="AD325" s="2">
        <v>624.99999999999989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572.5+(71.4-35.6)+(-0.291975+(-0.036414--0.018156))+0-141.7--0.0722669999999856</f>
        <v>466.36203399999994</v>
      </c>
      <c r="G326" s="3">
        <f>575.9+(59-97.5)+(-0.293709+(-0.03009--0.049725))+0-152.6--0.0778259999999845</f>
        <v>384.60375199999987</v>
      </c>
      <c r="H326" s="3">
        <f>540.8+(87.4-139.4)+(-0.275808+(-0.044574--0.071094))+0-134.7--0.0686969999999863</f>
        <v>353.91940899999997</v>
      </c>
      <c r="I326" s="3">
        <f>492.8+(113.5-93.3)+(0.251328+(0.057885-0.047583))+0-145.7-0.0743069999999852</f>
        <v>367.487323</v>
      </c>
      <c r="J326" s="3">
        <f>489.2+(142.4-77.1)+(-0.748476+(-0.217872--0.117963))+0-141.9--0.217107000000008</f>
        <v>411.96872200000001</v>
      </c>
      <c r="K326" s="3">
        <f>426.5+(157.8-85.6)+(0+(0-0))+0-146-0</f>
        <v>352.70000000000005</v>
      </c>
      <c r="L326" s="3">
        <f>416.1+(168.9-162.9)+(-1.273266+(-0.516834--0.498474))+0-140.5--0.429930000000016</f>
        <v>280.73830400000003</v>
      </c>
      <c r="M326" s="3">
        <f>455.8+(190.3-209.6)+(-0.464916+(-0.194106--0.213792))+0-139.6--0.142392000000022</f>
        <v>296.59716200000008</v>
      </c>
      <c r="N326" s="3">
        <f>532.7+(165.9-275.4)+(0.543354+(0.169218-0.280908))+0-131.8-0.134436000000021</f>
        <v>291.69722800000005</v>
      </c>
      <c r="O326" s="3">
        <f>562.2+(180.7-272.2)+(1.43361+(0.460785-0.69411))+0-130.3-0.332264999999981</f>
        <v>341.26802000000004</v>
      </c>
      <c r="P326" s="3">
        <f>571.3+(232.3-261.5)+(0.582726+(0.236946-0.26673))+0-150.7-0.153714000000024</f>
        <v>391.79922799999991</v>
      </c>
      <c r="Q326" s="3">
        <f>605.8+(217.2-258)+(-1.235832+(-0.443088--0.52632))+0-137.1--0.279683999999994</f>
        <v>427.02708399999995</v>
      </c>
      <c r="R326" s="3">
        <f>599.7+(205.7-325.5)+(0+(0-0))+0-143.9-0</f>
        <v>336</v>
      </c>
      <c r="S326" s="3">
        <f>598.1+(173.9-319.5)+(-0.610062+(-0.177378--0.32589))+0-133--0.135660000000021</f>
        <v>319.17411000000004</v>
      </c>
      <c r="T326" s="3">
        <f>560.9+(179.5-292.4)+(0.858177+(0.274635-0.447372))+0-141.3-0.216189000000008</f>
        <v>307.16925100000003</v>
      </c>
      <c r="U326" s="3">
        <f>568.5+(177-277.7)+(-0.57987+(-0.18054--0.283254))+0-155.8--0.158916000000025</f>
        <v>311.68176000000005</v>
      </c>
      <c r="V326" s="3">
        <f>538.8+(205.2-252.9)+(0.274788+(0.104652-0.128979))+0-148-0.075479999999985</f>
        <v>343.27498099999991</v>
      </c>
      <c r="W326" s="3">
        <f>492.3+(309.6-242.5)+(-0.502146+(-0.315792--0.24735))+0-148.9--0.151878000000024</f>
        <v>410.08129000000008</v>
      </c>
      <c r="X326" s="3">
        <f>498.2+(353.6-195.7)+(0.508164+(0.360672-0.199614))+0-167.1-0.170442000000027</f>
        <v>489.49877999999995</v>
      </c>
      <c r="Y326" s="3">
        <f>498.8+(328.6-177.4)+(-0.763164+(-0.502758--0.271422))+0-154--0.235620000000009</f>
        <v>495.24111999999997</v>
      </c>
      <c r="Z326" s="3">
        <f>542.1+(278.5-196.7)+(-0.829413+(-0.426105--0.300951))+0-153.3--0.234549000000009</f>
        <v>469.8799820000001</v>
      </c>
      <c r="AA326" s="3">
        <f>562.1+(222.1-177.5)+(-1.433355+(-0.566355--0.452625))+0-164.5--0.419474999999976</f>
        <v>441.07238999999998</v>
      </c>
      <c r="AB326" s="3">
        <f>586.5+(208.7-156.6)+(-0.299115+(-0.106437--0.079866))+0-146.4--0.0746639999999851</f>
        <v>491.94897800000001</v>
      </c>
      <c r="AC326" s="3">
        <f>579.3+(168.2-124.8)+(-1.477215+(-0.42891--0.31824))+0-129--0.328949999999981</f>
        <v>492.44106499999987</v>
      </c>
      <c r="AD326" s="2">
        <v>621.99999999999989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581.7+(96.5-74.9)+(-0.890001+(-0.147645--0.114597))+0-118.9--0.181917000000007</f>
        <v>483.6588680000001</v>
      </c>
      <c r="G327" s="3">
        <f>579.7+(108.2-27.9)+(-1.478235+(-0.27591--0.071145))+0-147.6--0.376379999999979</f>
        <v>511.09337999999997</v>
      </c>
      <c r="H327" s="3">
        <f>584.6+(97.4-39.6)+(-0.298146+(-0.049674--0.020196))+0-141.4--0.0721139999999857</f>
        <v>500.74448999999998</v>
      </c>
      <c r="I327" s="3">
        <f>585.6+(106.3-50.1)+(-0.298656+(-0.054213--0.025551))+0-148.8--0.0758879999999849</f>
        <v>492.74857000000003</v>
      </c>
      <c r="J327" s="3">
        <f>585.6+(116.3-87.5)+(-0.597312+(-0.118626--0.08925))+0-143.1--0.145962000000023</f>
        <v>470.81927400000001</v>
      </c>
      <c r="K327" s="3">
        <f>592.2+(132.6-128.1)+(1.208088+(0.270504-0.261324))+0-141.6-0.288863999999994</f>
        <v>456.02840400000002</v>
      </c>
      <c r="L327" s="3">
        <f>589.2+(154.2-215.2)+(-0.300492+(-0.078642--0.109752))+0-152.3--0.0776729999999846</f>
        <v>375.70829100000009</v>
      </c>
      <c r="M327" s="3">
        <f>596.3+(150.8-284.2)+(0.304113+(0.076908-0.144942))+0-135.1-0.0689009999999863</f>
        <v>327.96717799999999</v>
      </c>
      <c r="N327" s="3">
        <f>590.2+(145.8-322.5)+(-0.602004+(-0.148716--0.32895))+0-152.4--0.155448000000024</f>
        <v>260.83367800000013</v>
      </c>
      <c r="O327" s="3">
        <f>588.9+(128.5-284.5)+(0.600678+(0.13107-0.29019))+0-143.8-0.146676000000023</f>
        <v>289.39488199999994</v>
      </c>
      <c r="P327" s="3">
        <f>626.7+(135-184.1)+(-1.598085+(-0.34425--0.469455))+0-139.4--0.35546999999998</f>
        <v>437.08258999999998</v>
      </c>
      <c r="Q327" s="3">
        <f>656.6+(106.6-174.3)+(0.334866+(0.054366-0.088893))+0-156.1-0.0796109999999842</f>
        <v>433.02072799999996</v>
      </c>
      <c r="R327" s="3">
        <f>583.8+(181.5-154.6)+(-0.297738+(-0.092565--0.078846))+0-139.7--0.0712469999999858</f>
        <v>470.7597899999999</v>
      </c>
      <c r="S327" s="3">
        <f>577.1+(213.6-155.9)+(0.294321+(0.108936-0.079509))+0-147.1-0.0750209999999851</f>
        <v>487.94872699999996</v>
      </c>
      <c r="T327" s="3">
        <f>623.2+(162.1-225.4)+(0+(0-0))+0-161.4-0</f>
        <v>398.50000000000011</v>
      </c>
      <c r="U327" s="3">
        <f>624.8+(158-253.4)+(0+(0-0))+0-141.4-0</f>
        <v>388</v>
      </c>
      <c r="V327" s="3">
        <f>699.7+(113.5-321.6)+(-0.356847+(-0.057885--0.164016))+0-152.4--0.0777239999999845</f>
        <v>339.02700800000002</v>
      </c>
      <c r="W327" s="3">
        <f>702.9+(146.6-247.9)+(1.075437+(0.224298-0.379287))+0-128-0.195840000000007</f>
        <v>474.32460799999984</v>
      </c>
      <c r="X327" s="3">
        <f>704.5+(219.2-169.2)+(-1.077885+(-0.335376--0.258876))+0-148.8--0.227664000000009</f>
        <v>604.773279</v>
      </c>
      <c r="Y327" s="3">
        <f>698.7+(203.1-181.4)+(-1.425348+(-0.414324--0.370056))+0-132.1--0.269483999999994</f>
        <v>587.09986800000013</v>
      </c>
      <c r="Z327" s="3">
        <f>705.9+(177.9-153.8)+(-0.720018+(-0.181458--0.156876))+0-146.9--0.149838000000023</f>
        <v>582.50523800000008</v>
      </c>
      <c r="AA327" s="3">
        <f>703.1+(128.4-156)+(-0.717162+(-0.130968--0.15912))+0-144.9--0.147798000000023</f>
        <v>530.05878800000005</v>
      </c>
      <c r="AB327" s="3">
        <f>683.9+(102.5-132.3)+(-0.348789+(-0.052275--0.067473))+0-147.8--0.075377999999985</f>
        <v>506.04178699999994</v>
      </c>
      <c r="AC327" s="3">
        <f>722.5+(64.8-89)+(-1.842375+(-0.16524--0.22695))+0-143.9--0.366944999999979</f>
        <v>552.98627999999997</v>
      </c>
      <c r="AD327" s="2">
        <v>627.09999999999991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699.1+(117.1-69.6)+(-1.426164+(-0.238884--0.141984))+0-144.9--0.295595999999994</f>
        <v>600.47253200000011</v>
      </c>
      <c r="G328" s="3">
        <f>588.4+(194.9-52.6)+(0.600168+(0.198798-0.053652))+0-149.9-0.152898000000024</f>
        <v>581.39241600000003</v>
      </c>
      <c r="H328" s="3">
        <f>510.1+(232.7-45.6)+(-0.260151+(-0.118677--0.023256))+0-142.1--0.0724709999999856</f>
        <v>554.81689899999992</v>
      </c>
      <c r="I328" s="3">
        <f>433+(256.4-31.6)+(0.22083+(0.130764-0.016116))+0-133.9-0.0682889999999864</f>
        <v>524.16718900000001</v>
      </c>
      <c r="J328" s="3">
        <f>431.5+(264.3-33.9)+(-0.220065+(-0.134793--0.017289))+0-152.7--0.0778769999999845</f>
        <v>508.94030799999996</v>
      </c>
      <c r="K328" s="3">
        <f>432.8+(261.7-32.2)+(0.662184+(0.400401-0.049266))+0-135.3-0.207009000000008</f>
        <v>527.80630999999994</v>
      </c>
      <c r="L328" s="3">
        <f>432.4+(229.1-28.7)+(0+(0-0))+0-147.3-0</f>
        <v>485.49999999999994</v>
      </c>
      <c r="M328" s="3">
        <f>431.8+(198.6-82)+(0.220218+(0.101286-0.04182))+0-121.1-0.0617609999999877</f>
        <v>427.51792299999994</v>
      </c>
      <c r="N328" s="3">
        <f>485.3+(179.5-114.3)+(0.247503+(0.091545-0.058293))+0-118.2-0.060281999999988</f>
        <v>432.52047300000004</v>
      </c>
      <c r="O328" s="3">
        <f>553+(154.8-170.2)+(0+(0-0))+0-107.4-0</f>
        <v>430.20000000000005</v>
      </c>
      <c r="P328" s="3">
        <f>541.1+(170-140.8)+(-0.275961+(-0.0867--0.071808))+0-131.2--0.0669119999999867</f>
        <v>438.876059</v>
      </c>
      <c r="Q328" s="3">
        <f>544.7+(219.5-100.8)+(-0.277797+(-0.111945--0.051408))+0-159.3--0.0812429999999838</f>
        <v>503.84290900000002</v>
      </c>
      <c r="R328" s="3">
        <f>526.5+(240.7-145)+(-0.268515+(-0.122757--0.07395))+0-149.5--0.0762449999999848</f>
        <v>472.45892300000003</v>
      </c>
      <c r="S328" s="3">
        <f>496.9+(240.3-123.2)+(0.253419+(0.122553-0.062832))+0-132.8-0.0677279999999865</f>
        <v>481.44541199999998</v>
      </c>
      <c r="T328" s="3">
        <f>474.5+(256.4-133.1)+(0.241995+(0.130764-0.067881))+0-151.6-0.0773159999999846</f>
        <v>446.42756199999997</v>
      </c>
      <c r="U328" s="3">
        <f>521.5+(183.6-147.1)+(-1.06386+(-0.374544--0.300084))+0-91.8--0.187271999999996</f>
        <v>465.24895199999997</v>
      </c>
      <c r="V328" s="3">
        <f>528.1+(234-184.4)+(0.807993+(0.35802-0.282132))+0-109.4-0.167382000000006</f>
        <v>469.01649900000001</v>
      </c>
      <c r="W328" s="3">
        <f>643.9+(233.2-155.1)+(0.328389+(0.118932-0.079101))+0-112.8-0.0575279999999886</f>
        <v>609.51069200000006</v>
      </c>
      <c r="X328" s="3">
        <f>661.5+(291.9-150.9)+(0+(0-0))+0-92.8-0</f>
        <v>709.7</v>
      </c>
      <c r="Y328" s="3">
        <f>662.1+(273.6-116.6)+(-1.013013+(-0.418608--0.178398))+0-97.1--0.148563000000006</f>
        <v>720.89533999999992</v>
      </c>
      <c r="Z328" s="3">
        <f>666.5+(241.8-115.5)+(-1.35966+(-0.493272--0.23562))+0-89.6--0.182783999999996</f>
        <v>701.76547199999993</v>
      </c>
      <c r="AA328" s="3">
        <f>683.7+(198.7-115.5)+(-1.743435+(-0.506685--0.294525))+0-94.3--0.240464999999986</f>
        <v>670.88487000000009</v>
      </c>
      <c r="AB328" s="3">
        <f>681.5+(161-87.6)+(-0.347565+(-0.08211--0.044676))+0-95.6--0.0487559999999903</f>
        <v>658.96375699999999</v>
      </c>
      <c r="AC328" s="3">
        <f>678.5+(167.5-60.6)+(-1.038105+(-0.256275--0.092718))+0-134.3--0.205479000000008</f>
        <v>650.10381699999994</v>
      </c>
      <c r="AD328" s="2">
        <v>578.30000000000007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684.1+(108.1-56.9)+(0+(0-0))+0-132.2-0</f>
        <v>603.10000000000014</v>
      </c>
      <c r="G329" s="3">
        <f>686.3+(67.5-85.6)+(-0.350013+(-0.034425--0.043656))+0-136.3--0.0695129999999862</f>
        <v>531.6287309999999</v>
      </c>
      <c r="H329" s="3">
        <f>688.5+(52.5-87.3)+(0+(0-0))+0-138.1-0</f>
        <v>515.6</v>
      </c>
      <c r="I329" s="3">
        <f>689.4+(51-75.8)+(-0.351594+(-0.02601--0.038658))+0-144.2--0.0735419999999854</f>
        <v>520.13459599999999</v>
      </c>
      <c r="J329" s="3">
        <f>689.7+(35-96.7)+(0+(0-0))+0-120.9-0</f>
        <v>507.1</v>
      </c>
      <c r="K329" s="3">
        <f>691.1+(63.5-156.2)+(0.704922+(0.06477-0.159324))+0-130.5-0.133110000000021</f>
        <v>468.37725800000004</v>
      </c>
      <c r="L329" s="3">
        <f>689.2+(107.8-188.7)+(-0.702984+(-0.109956--0.192474))+0-146.1--0.149022000000023</f>
        <v>461.72855600000008</v>
      </c>
      <c r="M329" s="3">
        <f>690.6+(126.4-212.1)+(-0.352206+(-0.064464--0.108171))+0-141.1--0.0719609999999857</f>
        <v>463.56346200000007</v>
      </c>
      <c r="N329" s="3">
        <f>689.8+(133.9-168.7)+(-0.703596+(-0.136578--0.172074))+0-135.7--0.138414000000022</f>
        <v>518.7703140000001</v>
      </c>
      <c r="O329" s="3">
        <f>688.7+(126.4-166.3)+(-1.756185+(-0.32232--0.424065))+0-150.1--0.382754999999978</f>
        <v>497.428315</v>
      </c>
      <c r="P329" s="3">
        <f>676+(133.3-124.8)+(-1.03428+(-0.203949--0.190944))+0-140.6--0.215118000000008</f>
        <v>543.06783299999995</v>
      </c>
      <c r="Q329" s="3">
        <f>675.7+(131.6-113.7)+(-1.723035+(-0.33558--0.289935))+0-136.3--0.34756499999998</f>
        <v>555.87888500000008</v>
      </c>
      <c r="R329" s="3">
        <f>675.4+(131.6-140.4)+(-0.688908+(-0.134232--0.143208))+0-120.1--0.122502000000019</f>
        <v>545.94256999999993</v>
      </c>
      <c r="S329" s="3">
        <f>669.3+(126.7-192.1)+(-1.706715+(-0.323085--0.489855))+0-114.8--0.292739999999983</f>
        <v>487.85279499999996</v>
      </c>
      <c r="T329" s="3">
        <f>666.2+(116.4-195.1)+(-0.339762+(-0.059364--0.099501))+0-129.5--0.0660449999999869</f>
        <v>457.76641999999998</v>
      </c>
      <c r="U329" s="3">
        <f>666.4+(117.7-197.3)+(0.339864+(0.060027-0.100623))+0-120.1-0.0612509999999878</f>
        <v>466.93801699999995</v>
      </c>
      <c r="V329" s="3">
        <f>666.8+(141-207.9)+(-0.680136+(-0.14382--0.212058))+0-127.6--0.13015200000002</f>
        <v>471.81825399999997</v>
      </c>
      <c r="W329" s="3">
        <f>672.7+(231.2-156.5)+(-0.343077+(-0.117912--0.079815))+0-131.4--0.0670139999999867</f>
        <v>615.6858400000001</v>
      </c>
      <c r="X329" s="3">
        <f>680.3+(291.5-134.7)+(0+(0-0))+0-129.9-0</f>
        <v>707.19999999999993</v>
      </c>
      <c r="Y329" s="3">
        <f>678.9+(297.4-102.9)+(-0.346239+(-0.151674--0.052479))+0-140.7--0.0717569999999857</f>
        <v>732.326323</v>
      </c>
      <c r="Z329" s="3">
        <f>678.3+(266.9-110.1)+(0+(0-0))+0-124.1-0</f>
        <v>710.99999999999989</v>
      </c>
      <c r="AA329" s="3">
        <f>676.7+(222.2-111.4)+(-1.035351+(-0.339966--0.170442))+0-138.8--0.212364000000008</f>
        <v>647.7074889999999</v>
      </c>
      <c r="AB329" s="3">
        <f>674.6+(182.3-138.9)+(-1.376184+(-0.371892--0.283356))+0-130.1--0.265403999999994</f>
        <v>586.70068399999991</v>
      </c>
      <c r="AC329" s="3">
        <f>671.3+(100.2-119)+(-1.711815+(-0.25551--0.30345))+0-132.5--0.337874999999981</f>
        <v>518.67399999999998</v>
      </c>
      <c r="AD329" s="2">
        <v>676.19999999999993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672.2+(37-83.9)+(-0.342822+(-0.01887--0.042789))+0-133.5--0.0680849999999865</f>
        <v>491.54918200000009</v>
      </c>
      <c r="G330" s="3">
        <f>671+(36-94.7)+(-0.68442+(-0.03672--0.096594))+0-133.9--0.136578000000021</f>
        <v>477.91203200000001</v>
      </c>
      <c r="H330" s="3">
        <f>672.5+(65.9-124.8)+(0.342975+(0.033609-0.063648))+0-126.9-0.0647189999999871</f>
        <v>486.94821700000011</v>
      </c>
      <c r="I330" s="3">
        <f>676.7+(93.8-104.4)+(-0.690234+(-0.095676--0.106488))+0-133.4--0.136068000000021</f>
        <v>532.15664600000002</v>
      </c>
      <c r="J330" s="3">
        <f>677.8+(67.4-78.6)+(-0.691356+(-0.068748--0.080172))+0-131.7--0.134334000000021</f>
        <v>534.35440199999982</v>
      </c>
      <c r="K330" s="3">
        <f>677.1+(38-129)+(-1.035963+(-0.05814--0.19737))+0-122.9--0.188037000000007</f>
        <v>462.49130400000001</v>
      </c>
      <c r="L330" s="3">
        <f>670.9+(68.8-181.3)+(-1.026477+(-0.105264--0.277389))+0-128.2--0.196146000000007</f>
        <v>429.54179400000004</v>
      </c>
      <c r="M330" s="3">
        <f>654.8+(67.5-229.6)+(-1.001844+(-0.103275--0.351288))+0-121.3--0.185589000000007</f>
        <v>370.83175799999992</v>
      </c>
      <c r="N330" s="3">
        <f>679.9+(83.4-201.4)+(0+(0-0))+0-124-0</f>
        <v>437.9</v>
      </c>
      <c r="O330" s="3">
        <f>693.4+(107-141.8)+(-0.707268+(-0.10914--0.144636))+0-139.6--0.142392000000022</f>
        <v>518.47061999999983</v>
      </c>
      <c r="P330" s="3">
        <f>645.6+(131-108.1)+(-0.329256+(-0.06681--0.055131))+0-115--0.0586499999999883</f>
        <v>553.217715</v>
      </c>
      <c r="Q330" s="3">
        <f>651+(145.4-96.4)+(-0.66402+(-0.148308--0.098328))+0-120.8--0.123216000000019</f>
        <v>578.60921600000006</v>
      </c>
      <c r="R330" s="3">
        <f>663.6+(160.6-71.3)+(-1.353744+(-0.327624--0.145452))+0-130.6--0.266423999999994</f>
        <v>621.03050799999994</v>
      </c>
      <c r="S330" s="3">
        <f>636.6+(138.7-93.2)+(0+(0-0))+0-138.6-0</f>
        <v>543.5</v>
      </c>
      <c r="T330" s="3">
        <f>634+(167.6-56.1)+(0.64668+(0.170952-0.057222))+0-140.3-0.143106000000022</f>
        <v>605.81730399999992</v>
      </c>
      <c r="U330" s="3">
        <f>637.7+(146.5-54.7)+(-0.325227+(-0.074715--0.027897))+0-138.8--0.0707879999999859</f>
        <v>590.39874299999997</v>
      </c>
      <c r="V330" s="3">
        <f>647.6+(118-86.3)+(-0.660552+(-0.12036--0.088026))+0-133.7--0.136374000000021</f>
        <v>545.04348800000014</v>
      </c>
      <c r="W330" s="3">
        <f>629.9+(220.2-82.6)+(0.963747+(0.336906-0.126378))+0-148-0.226440000000009</f>
        <v>620.44783499999994</v>
      </c>
      <c r="X330" s="3">
        <f>650.2+(311.1-153.2)+(-0.663204+(-0.317322--0.156264))+0-147.7--0.150654000000024</f>
        <v>659.72639200000026</v>
      </c>
      <c r="Y330" s="3">
        <f>670.4+(255.8-145.8)+(-0.341904+(-0.130458--0.074358))+0-147--0.0749699999999851</f>
        <v>633.07696599999997</v>
      </c>
      <c r="Z330" s="3">
        <f>663.7+(241.9-149.5)+(0+(0-0))+0-142.2-0</f>
        <v>613.90000000000009</v>
      </c>
      <c r="AA330" s="3">
        <f>668.3+(220.3-159)+(0+(0-0))+0-127.8-0</f>
        <v>601.79999999999995</v>
      </c>
      <c r="AB330" s="3">
        <f>692.5+(195-60.7)+(-2.472225+(-0.69615--0.216699))+0-148.1--0.528717000000002</f>
        <v>676.27704099999994</v>
      </c>
      <c r="AC330" s="3">
        <f>701.3+(127.1-70.9)+(-2.503641+(-0.453747--0.253113))+0-147.4--0.526218000000002</f>
        <v>607.92194299999994</v>
      </c>
      <c r="AD330" s="2">
        <v>667.7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682+(76.7-100.7)+(0+(0-0))+0-132.5-0</f>
        <v>525.5</v>
      </c>
      <c r="G331" s="3">
        <f>671.2+(102.6-99.1)+(0+(0-0))+0-146.4-0</f>
        <v>528.30000000000007</v>
      </c>
      <c r="H331" s="3">
        <f>611.3+(180.3-66.2)+(0.311763+(0.091953-0.033762))+0-139.5-0.0711449999999858</f>
        <v>586.19880899999998</v>
      </c>
      <c r="I331" s="3">
        <f>578.9+(191.7-59.7)+(0+(0-0))+0-135.8-0</f>
        <v>575.09999999999991</v>
      </c>
      <c r="J331" s="3">
        <f>579.2+(163.2-111.3)+(0+(0-0))+0-137.8-0</f>
        <v>493.3</v>
      </c>
      <c r="K331" s="3">
        <f>574.8+(91.7-55.1)+(0.586296+(0.093534-0.056202))+0-139.7-0.142494000000022</f>
        <v>472.18113400000004</v>
      </c>
      <c r="L331" s="3">
        <f>565+(57.5-114.7)+(0+(0-0))+0-132.2-0</f>
        <v>375.6</v>
      </c>
      <c r="M331" s="3">
        <f>649.4+(55-177.3)+(-0.662388+(-0.0561--0.180846))+0-131.4--0.134028000000021</f>
        <v>395.29638599999993</v>
      </c>
      <c r="N331" s="3">
        <f>683.3+(74.7-164.2)+(0.696966+(0.076194-0.167484))+0-139.8-0.142596000000022</f>
        <v>454.46307999999993</v>
      </c>
      <c r="O331" s="3">
        <f>681.9+(75.4-60.8)+(-1.738845+(-0.19227--0.15504))+0-142--0.362099999999979</f>
        <v>553.08602499999995</v>
      </c>
      <c r="P331" s="3">
        <f>688.5+(85.8-38.9)+(-0.351135+(-0.043758--0.019839))+0-139.7--0.0712469999999858</f>
        <v>595.39619299999993</v>
      </c>
      <c r="Q331" s="3">
        <f>708.9+(98.4-24.3)+(-1.084617+(-0.150552--0.037179))+0-122.4--0.187272000000007</f>
        <v>659.58928200000003</v>
      </c>
      <c r="R331" s="3">
        <f>705.8+(153.1-10.5)+(-0.359958+(-0.078081--0.005355))+0-132.2--0.0674219999999866</f>
        <v>715.8347379999999</v>
      </c>
      <c r="S331" s="3">
        <f>702.1+(169.5-36.3)+(-0.716142+(-0.17289--0.037026))+0-124.7--0.12719400000002</f>
        <v>709.87518799999998</v>
      </c>
      <c r="T331" s="3">
        <f>693+(175.4-44.3)+(0.70686+(0.178908-0.045186))+0-138.4-0.141168000000022</f>
        <v>686.39941400000009</v>
      </c>
      <c r="U331" s="3">
        <f>675.3+(164.8-48.3)+(-0.344403+(-0.084048--0.024633))+0-124.7--0.0635969999999874</f>
        <v>666.75977899999987</v>
      </c>
      <c r="V331" s="3">
        <f>650.8+(122.2-42.4)+(-1.65954+(-0.31161--0.10812))+0-111.7--0.284834999999984</f>
        <v>617.32180499999981</v>
      </c>
      <c r="W331" s="3">
        <f>655.4+(179.6-17.5)+(1.002762+(0.274788-0.026775))+0-126.8-0.194004000000007</f>
        <v>691.75677099999996</v>
      </c>
      <c r="X331" s="3">
        <f>674.5+(194.8-7)+(0+(0-0))+0-140.9-0</f>
        <v>721.4</v>
      </c>
      <c r="Y331" s="3">
        <f>677.9+(167-11.4)+(-1.382916+(-0.34068--0.023256))+0-144.8--0.295391999999994</f>
        <v>687.29505199999994</v>
      </c>
      <c r="Z331" s="3">
        <f>681.2+(164.5-40.5)+(-1.389648+(-0.33558--0.08262))+0-149.8--0.305591999999993</f>
        <v>654.06298400000003</v>
      </c>
      <c r="AA331" s="3">
        <f>682.2+(136.7-67.9)+(-0.347922+(-0.069717--0.034629))+0-145.2--0.0740519999999853</f>
        <v>605.49104199999988</v>
      </c>
      <c r="AB331" s="3">
        <f>680+(141.9-72.7)+(-1.3872+(-0.289476--0.148308))+0-140.8--0.287231999999994</f>
        <v>607.15886400000011</v>
      </c>
      <c r="AC331" s="3">
        <f>681.2+(145.3-72.1)+(-1.389648+(-0.296412--0.147084))+0-134.8--0.274991999999994</f>
        <v>618.33601600000009</v>
      </c>
      <c r="AD331" s="2">
        <v>651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606.1+(137.6-111.8)+(-1.236444+(-0.280704--0.228072))+0-138.9--0.283355999999994</f>
        <v>491.99427999999995</v>
      </c>
      <c r="G332" s="3">
        <f>571.7+(172.6-90.2)+(-0.291567+(-0.088026--0.046002))+0-132.2--0.0674219999999866</f>
        <v>521.63383099999999</v>
      </c>
      <c r="H332" s="3">
        <f>459.5+(234-69.6)+(-0.46869+(-0.23868--0.070992))+0-133.5--0.136170000000021</f>
        <v>489.89979199999993</v>
      </c>
      <c r="I332" s="3">
        <f>414+(276.4-60.3)+(-0.42228+(-0.281928--0.061506))+0-146.9--0.149838000000023</f>
        <v>482.70713599999999</v>
      </c>
      <c r="J332" s="3">
        <f>399.3+(235.2-50.8)+(0.203643+(0.119952-0.025908))+0-131.9-0.0672689999999866</f>
        <v>452.03041800000005</v>
      </c>
      <c r="K332" s="3">
        <f>396.7+(225.9-49.3)+(-0.202317+(-0.115209--0.025143))+0-139.7--0.0712469999999858</f>
        <v>433.37886399999996</v>
      </c>
      <c r="L332" s="3">
        <f>395.5+(215.8-73.9)+(-0.80682+(-0.440232--0.150756))+0-138.5--0.282539999999994</f>
        <v>398.08624399999991</v>
      </c>
      <c r="M332" s="3">
        <f>398.1+(212.4-111.6)+(0.406062+(0.216648-0.113832))+0-131.5-0.134130000000021</f>
        <v>367.77474799999999</v>
      </c>
      <c r="N332" s="3">
        <f>566.5+(164.9-161.6)+(-0.57783+(-0.168198--0.164832))+0-129.4--0.131988000000021</f>
        <v>439.95079200000004</v>
      </c>
      <c r="O332" s="3">
        <f>694.7+(123.6-207.8)+(1.771485+(0.31518-0.52989))+0-142.3-0.362864999999979</f>
        <v>469.39391000000001</v>
      </c>
      <c r="P332" s="3">
        <f>689.2+(151-148.3)+(-1.054476+(-0.23103--0.226899))+0-142.8--0.218484000000008</f>
        <v>548.25987699999996</v>
      </c>
      <c r="Q332" s="3">
        <f>688+(120.2-91.2)+(-0.70176+(-0.122604--0.093024))+0-146.7--0.149634000000023</f>
        <v>569.7182939999999</v>
      </c>
      <c r="R332" s="3">
        <f>683.2+(96.6-87.4)+(-2.439024+(-0.344862--0.312018))+0-149.2--0.532644000000002</f>
        <v>541.26077600000019</v>
      </c>
      <c r="S332" s="3">
        <f>683.1+(116.6-132.6)+(-0.348381+(-0.059466--0.067626))+0-135.8--0.0692579999999862</f>
        <v>531.02903700000002</v>
      </c>
      <c r="T332" s="3">
        <f>669.2+(105.4-138.6)+(-0.341292+(-0.053754--0.070686))+0-123.7--0.0630869999999875</f>
        <v>512.03872699999999</v>
      </c>
      <c r="U332" s="3">
        <f>669.5+(112.2-132.4)+(-0.68289+(-0.114444--0.135048))+0-134.2--0.136884000000021</f>
        <v>514.57459799999992</v>
      </c>
      <c r="V332" s="3">
        <f>671+(110.9-124)+(0.68442+(0.113118-0.12648))+0-145.8-0.148716000000023</f>
        <v>512.622342</v>
      </c>
      <c r="W332" s="3">
        <f>671.2+(178.6-119.8)+(0.684624+(0.182172-0.122196))+0-134.5-0.137190000000021</f>
        <v>596.10740999999996</v>
      </c>
      <c r="X332" s="3">
        <f>685.6+(218.6-126.7)+(-1.048968+(-0.334458--0.193851))+0-147.6--0.225828000000009</f>
        <v>628.93625299999997</v>
      </c>
      <c r="Y332" s="3">
        <f>588.5+(281-69.4)+(0.300135+(0.14331-0.035394))+0-144-0.0734399999999854</f>
        <v>656.43461100000002</v>
      </c>
      <c r="Z332" s="3">
        <f>521.9+(283.1-17.5)+(-0.532338+(-0.288762--0.01785))+0-141.2--0.144024000000022</f>
        <v>645.64077400000008</v>
      </c>
      <c r="AA332" s="3">
        <f>521.8+(234.8-17.3)+(0+(0-0))+0-150.9-0</f>
        <v>588.4</v>
      </c>
      <c r="AB332" s="3">
        <f>520.5+(205.8-17.3)+(-0.53091+(-0.209916--0.017646))+0-146.4--0.149328000000023</f>
        <v>562.02614800000003</v>
      </c>
      <c r="AC332" s="3">
        <f>519.8+(239.9-10.4)+(0.265098+(0.122349-0.005304))+0-144.6-0.0737459999999853</f>
        <v>605.00839699999995</v>
      </c>
      <c r="AD332" s="2">
        <v>668.59999999999991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527.1+(175.2-12.4)+(0.268821+(0.089352-0.006324))+0-142.3-0.0725729999999856</f>
        <v>547.879276</v>
      </c>
      <c r="G333" s="3">
        <f>526.8+(143.3-41.7)+(0.268668+(0.073083-0.021267))+0-147.4-0.075173999999985</f>
        <v>481.24530999999996</v>
      </c>
      <c r="H333" s="3">
        <f>489.5+(175.9-38.5)+(0+(0-0))+0-147.3-0</f>
        <v>479.59999999999997</v>
      </c>
      <c r="I333" s="3">
        <f>440+(200.8-38.2)+(-0.2244+(-0.102408--0.019482))+0-145.3--0.0741029999999853</f>
        <v>457.066777</v>
      </c>
      <c r="J333" s="3">
        <f>439.6+(204.7-36.3)+(-0.448392+(-0.208794--0.037026))+0-140.7--0.143514000000022</f>
        <v>466.82335399999999</v>
      </c>
      <c r="K333" s="3">
        <f>441.3+(211.5-34.6)+(0.675189+(0.323595-0.052938))+0-146.3-0.223839000000008</f>
        <v>472.622007</v>
      </c>
      <c r="L333" s="3">
        <f>431.4+(168.9-32.5)+(-0.220014+(-0.086139--0.016575))+0-140.1--0.0714509999999858</f>
        <v>427.48187299999989</v>
      </c>
      <c r="M333" s="3">
        <f>442.7+(128.3-68.2)+(0.451554+(0.130866-0.069564))+0-149.2-0.152184000000024</f>
        <v>353.96067199999999</v>
      </c>
      <c r="N333" s="3">
        <f>471.4+(146.9-191.6)+(-0.240414+(-0.074919--0.097716))+0-127.4--0.0649739999999871</f>
        <v>299.14735699999994</v>
      </c>
      <c r="O333" s="3">
        <f>483+(186.7-186)+(-0.24633+(-0.095217--0.09486))+0-143.9--0.0733889999999854</f>
        <v>339.62670199999997</v>
      </c>
      <c r="P333" s="3">
        <f>481.1+(212.7-138.4)+(-0.981444+(-0.433908--0.282336))+0-146.3--0.298451999999994</f>
        <v>408.26543599999997</v>
      </c>
      <c r="Q333" s="3">
        <f>474.9+(231.5-126)+(-0.726597+(-0.354195--0.19278))+0-145.4--0.222462000000008</f>
        <v>434.33445</v>
      </c>
      <c r="R333" s="3">
        <f>480.6+(233.7-119.3)+(-1.715742+(-0.834309--0.425901))+0-146.8--0.524076000000002</f>
        <v>446.59992599999998</v>
      </c>
      <c r="S333" s="3">
        <f>490.5+(195.7-98.6)+(-0.50031+(-0.199614--0.100572))+0-145.7--0.148614000000023</f>
        <v>441.44926200000009</v>
      </c>
      <c r="T333" s="3">
        <f>481.1+(202.5-93.3)+(-0.245361+(-0.103275--0.047583))+0-144.8--0.0738479999999853</f>
        <v>445.27279500000003</v>
      </c>
      <c r="U333" s="3">
        <f>485.4+(223.5-123)+(0.247554+(0.113985-0.06273))+0-147.7-0.075326999999985</f>
        <v>438.42348200000004</v>
      </c>
      <c r="V333" s="3">
        <f>487+(229-142.3)+(0+(0-0))+0-131.8-0</f>
        <v>441.90000000000003</v>
      </c>
      <c r="W333" s="3">
        <f>490.9+(271.6-153.1)+(0+(0-0))+0-148.9-0</f>
        <v>460.5</v>
      </c>
      <c r="X333" s="3">
        <f>568.7+(339.8-129.1)+(-0.290037+(-0.173298--0.065841))+0-150.4--0.0767039999999847</f>
        <v>628.67921000000001</v>
      </c>
      <c r="Y333" s="3">
        <f>638+(254.7-137.1)+(-1.30152+(-0.519588--0.279684))+0-150.9--0.307835999999993</f>
        <v>603.46641199999999</v>
      </c>
      <c r="Z333" s="3">
        <f>681.4+(213.1-86.8)+(-0.347514+(-0.108681--0.044268))+0-149--0.0759899999999849</f>
        <v>658.36406299999987</v>
      </c>
      <c r="AA333" s="3">
        <f>684.4+(187.3-32.7)+(-1.396176+(-0.382092--0.066708))+0-149.6--0.305183999999993</f>
        <v>687.99362399999995</v>
      </c>
      <c r="AB333" s="3">
        <f>665.5+(158.8-8.7)+(-1.697025+(-0.40494--0.022185))+0-152.9--0.389894999999978</f>
        <v>661.01011500000004</v>
      </c>
      <c r="AC333" s="3">
        <f>695.5+(142.9-13.3)+(-2.482935+(-0.510153--0.047481))+0-130.4--0.465528000000002</f>
        <v>692.219921</v>
      </c>
      <c r="AD333" s="2">
        <v>595.6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677.1+(100.1-36.9)+(-1.726605+(-0.255255--0.094095))+0-147.3--0.375614999999979</f>
        <v>591.48784999999998</v>
      </c>
      <c r="G334" s="3">
        <f>553.1+(170-40.6)+(-1.410405+(-0.4335--0.10353))+0-146.7--0.374084999999979</f>
        <v>534.43371000000002</v>
      </c>
      <c r="H334" s="3">
        <f>522.2+(178.4-40.7)+(-1.065288+(-0.363936--0.083028))+0-145.2--0.296207999999994</f>
        <v>513.65001200000006</v>
      </c>
      <c r="I334" s="3">
        <f>517.7+(150.8-69.7)+(0.264027+(0.076908-0.035547))+0-134.9-0.0687989999999863</f>
        <v>464.13658900000007</v>
      </c>
      <c r="J334" s="3">
        <f>527.3+(155.1-70.9)+(-0.268923+(-0.079101--0.036159))+0-127.9--0.065228999999987</f>
        <v>483.353364</v>
      </c>
      <c r="K334" s="3">
        <f>520.5+(137.3-60.8)+(-0.53091+(-0.140046--0.062016))+0-119.4--0.121788000000019</f>
        <v>477.1128480000001</v>
      </c>
      <c r="L334" s="3">
        <f>518.5+(164.7-118.8)+(-1.05774+(-0.335988--0.242352))+0-115.5--0.235619999999995</f>
        <v>447.98424399999993</v>
      </c>
      <c r="M334" s="3">
        <f>523.3+(162.2-145.3)+(-0.266883+(-0.082722--0.074103))+0-143.8--0.0733379999999854</f>
        <v>396.19783599999994</v>
      </c>
      <c r="N334" s="3">
        <f>600.8+(138.3-159.4)+(0.306408+(0.070533-0.081294))+0-122.5-0.0624749999999876</f>
        <v>457.43317199999996</v>
      </c>
      <c r="O334" s="3">
        <f>643.4+(169.4-138.6)+(1.312536+(0.345576-0.282744))+0-144.4-0.294575999999994</f>
        <v>530.88079200000004</v>
      </c>
      <c r="P334" s="3">
        <f>590.8+(216.2-76.8)+(-0.602616+(-0.220524--0.078336))+0-144.2--0.147084000000023</f>
        <v>585.40227999999991</v>
      </c>
      <c r="Q334" s="3">
        <f>586.3+(233.3-60.4)+(0+(0-0))+0-144.8-0</f>
        <v>614.39999999999986</v>
      </c>
      <c r="R334" s="3">
        <f>583.6+(223.7-30.5)+(-1.48818+(-0.570435--0.077775))+0-151--0.385049999999978</f>
        <v>624.20420999999999</v>
      </c>
      <c r="S334" s="3">
        <f>574.8+(216.8-41.7)+(0.293148+(0.110568-0.021267))+0-142.2-0.0725219999999856</f>
        <v>608.00992700000006</v>
      </c>
      <c r="T334" s="3">
        <f>568.6+(181.2-94.4)+(0+(0-0))+0-112.7-0</f>
        <v>542.69999999999993</v>
      </c>
      <c r="U334" s="3">
        <f>651.7+(154-104.2)+(0+(0-0))+0-109.3-0</f>
        <v>592.20000000000005</v>
      </c>
      <c r="V334" s="3">
        <f>430.9+(247.4-34.9)+(0.659277+(0.378522-0.053397))+0-82.3-0.125919000000005</f>
        <v>561.95848300000011</v>
      </c>
      <c r="W334" s="3">
        <f>398.1+(414-0)+(0.609093+(0.63342-0))+0-89-0.136170000000005</f>
        <v>724.20634300000006</v>
      </c>
      <c r="X334" s="3">
        <f>401.5+(488.2-0)+(0.614295+(0.746946-0))+0-103.9-0.158967000000006</f>
        <v>787.00227400000006</v>
      </c>
      <c r="Y334" s="3">
        <f>400.2+(515.4-0)+(-0.612306+(-0.788562-0))+0-140.4--0.214812000000008</f>
        <v>774.01394400000004</v>
      </c>
      <c r="Z334" s="3">
        <f>400+(481.8-0)+(-0.408+(-0.491436-0))+0-152.8--0.155856000000024</f>
        <v>728.25641999999982</v>
      </c>
      <c r="AA334" s="3">
        <f>402.5+(415.7-0)+(-0.41055+(-0.424014-0))+0-161.2--0.164424000000026</f>
        <v>656.32986000000005</v>
      </c>
      <c r="AB334" s="3">
        <f>399.5+(339.4-13.9)+(-1.426215+(-1.211658--0.049623))+0-159.6--0.569772000000002</f>
        <v>563.38152200000002</v>
      </c>
      <c r="AC334" s="3">
        <f>402.7+(304.7-21.4)+(-0.821508+(-0.621588--0.043656))+0-132.1--0.269483999999994</f>
        <v>552.77004399999998</v>
      </c>
      <c r="AD334" s="2">
        <v>693.30000000000007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403+(288.6-24.1)+(-0.41106+(-0.294372--0.024582))+0-112.4--0.114648000000018</f>
        <v>554.53379800000005</v>
      </c>
      <c r="G335" s="3">
        <f>401.5+(284-5)+(-0.81906+(-0.57936--0.0102))+0-136.4--0.278255999999994</f>
        <v>542.99003599999992</v>
      </c>
      <c r="H335" s="3">
        <f>403+(260-7.3)+(0+(0-0))+0-152.2-0</f>
        <v>503.50000000000006</v>
      </c>
      <c r="I335" s="3">
        <f>399.9+(284-17.8)+(-0.611847+(-0.43452--0.027234))+0-142.1--0.217413000000008</f>
        <v>523.19827999999984</v>
      </c>
      <c r="J335" s="3">
        <f>403.7+(256.2-42)+(0.205887+(0.130662-0.02142))+0-147.3-0.0751229999999851</f>
        <v>470.84000599999996</v>
      </c>
      <c r="K335" s="3">
        <f>402.8+(253.8-42.1)+(0+(0-0))+0-145.8-0</f>
        <v>468.7</v>
      </c>
      <c r="L335" s="3">
        <f>401.3+(228.8-57.7)+(-0.409326+(-0.233376--0.058854))+0-139.6--0.142392000000022</f>
        <v>432.35854400000011</v>
      </c>
      <c r="M335" s="3">
        <f>401.5+(248.6-25.4)+(0+(0-0))+0-144.8-0</f>
        <v>479.90000000000003</v>
      </c>
      <c r="N335" s="3">
        <f>399.2+(294.4-14.1)+(-0.203592+(-0.150144--0.007191))+0-139.2--0.0709919999999859</f>
        <v>540.02444700000001</v>
      </c>
      <c r="O335" s="3">
        <f>402.2+(343.2-14.3)+(0.615366+(0.525096-0.021879))+0-146.2-0.223686000000008</f>
        <v>585.79489699999976</v>
      </c>
      <c r="P335" s="3">
        <f>403.5+(414.6-4.1)+(0.41157+(0.422892-0.004182))+0-155.2-0.158304000000025</f>
        <v>659.47197600000004</v>
      </c>
      <c r="Q335" s="3">
        <f>403.2+(441.4-4.8)+(-0.205632+(-0.225114--0.002448))+0-177--0.090269999999982</f>
        <v>662.46197199999995</v>
      </c>
      <c r="R335" s="3">
        <f>403.7+(370.7-0)+(0+(0-0))+0-131.9-0</f>
        <v>642.5</v>
      </c>
      <c r="S335" s="3">
        <f>403.7+(362.1-1.7)+(-0.823548+(-0.738684--0.003468))+0-131.9--0.269075999999994</f>
        <v>630.91031200000009</v>
      </c>
      <c r="T335" s="3">
        <f>403.7+(294.4-8.7)+(-0.205887+(-0.150144--0.004437))+0-125.5--0.0640049999999873</f>
        <v>563.61241099999995</v>
      </c>
      <c r="U335" s="3">
        <f>402.2+(329.6-8.5)+(-0.410244+(-0.336192--0.00867))+0-141.6--0.144432000000023</f>
        <v>581.10666600000002</v>
      </c>
      <c r="V335" s="3">
        <f>402.2+(316.3-0)+(-0.205122+(-0.161313-0))+0-143--0.0729299999999855</f>
        <v>575.20649500000002</v>
      </c>
      <c r="W335" s="3">
        <f>403.7+(429.1-0)+(0.205887+(0.218841-0))+0-149.1-0.0760409999999849</f>
        <v>684.04868699999986</v>
      </c>
      <c r="X335" s="3">
        <f>406.4+(517.9-0)+(0.207264+(0.264129-0))+0-141.6-0.0722159999999856</f>
        <v>783.09917699999994</v>
      </c>
      <c r="Y335" s="3">
        <f>406.9+(427.9-0)+(-0.830076+(-0.872916-0))+0-147.1--0.300083999999994</f>
        <v>686.29709199999991</v>
      </c>
      <c r="Z335" s="3">
        <f>407+(389-2.2)+(-0.41514+(-0.39678--0.002244))+0-155.1--0.158202000000025</f>
        <v>638.04852600000004</v>
      </c>
      <c r="AA335" s="3">
        <f>406.5+(316.5-19.6)+(0+(0-0))+0-154.1-0</f>
        <v>549.29999999999995</v>
      </c>
      <c r="AB335" s="3">
        <f>405.9+(285-18.5)+(0+(0-0))+0-156.5-0</f>
        <v>515.9</v>
      </c>
      <c r="AC335" s="3">
        <f>401+(264.8-18.6)+(-1.02255+(-0.67524--0.04743))+0-156.2--0.398309999999977</f>
        <v>489.74795000000006</v>
      </c>
      <c r="AD335" s="2">
        <v>682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403.9+(289.8-28.8)+(-0.411978+(-0.295596--0.029376))+0-136.3--0.139026000000022</f>
        <v>528.06082800000013</v>
      </c>
      <c r="G336" s="3">
        <f>406.8+(343.4-48.9)+(0.622404+(0.525402-0.074817))+0-149.4-0.228582000000009</f>
        <v>552.74440700000002</v>
      </c>
      <c r="H336" s="3">
        <f>404+(360-47.3)+(0+(0-0))+0-134.2-0</f>
        <v>582.5</v>
      </c>
      <c r="I336" s="3">
        <f>404.7+(378.6-44.6)+(0+(0-0))+0-149.2-0</f>
        <v>589.5</v>
      </c>
      <c r="J336" s="3">
        <f>403.7+(371.5-48.9)+(0+(0-0))+0-145.2-0</f>
        <v>581.09999999999991</v>
      </c>
      <c r="K336" s="3">
        <f>404.6+(341.3-48.7)+(0.825384+(0.696252-0.099348))+0-139.1-0.283763999999994</f>
        <v>559.23852399999998</v>
      </c>
      <c r="L336" s="3">
        <f>400.1+(262.7-44.4)+(-1.020255+(-0.669885--0.11322))+0-135.8--0.34628999999998</f>
        <v>481.36936999999995</v>
      </c>
      <c r="M336" s="3">
        <f>403.5+(219.5-46.6)+(0.205785+(0.111945-0.023766))+0-124.9-0.0636989999999873</f>
        <v>451.73026499999997</v>
      </c>
      <c r="N336" s="3">
        <f>403.6+(245.9-44.7)+(-0.205836+(-0.125409--0.022797))+0-147.4--0.075173999999985</f>
        <v>457.16672599999998</v>
      </c>
      <c r="O336" s="3">
        <f>408.3+(316.1-19.2)+(0.624699+(0.483633-0.029376))+0-140.4-0.214812000000008</f>
        <v>565.66414399999996</v>
      </c>
      <c r="P336" s="3">
        <f>432.4+(389.7-14.1)+(-0.220524+(-0.198747--0.007191))+0-153.3--0.0781829999999845</f>
        <v>654.36610299999995</v>
      </c>
      <c r="Q336" s="3">
        <f>532.2+(300.8-19.5)+(0.814266+(0.460224-0.029835))+0-146.8-0.224604000000008</f>
        <v>667.72005100000001</v>
      </c>
      <c r="R336" s="3">
        <f>653.1+(224.9-21.9)+(-1.998486+(-0.688194--0.067014))+0-142--0.434520000000016</f>
        <v>711.91485399999999</v>
      </c>
      <c r="S336" s="3">
        <f>568.2+(224.5-15.3)+(-0.869346+(-0.343485--0.023409))+0-151.4--0.231642000000009</f>
        <v>625.04222000000004</v>
      </c>
      <c r="T336" s="3">
        <f>400.9+(324-14)+(0.204459+(0.16524-0.00714))+0-139.7-0.0712469999999858</f>
        <v>571.49131199999999</v>
      </c>
      <c r="U336" s="3">
        <f>400.9+(284-16.1)+(0+(0-0))+0-117-0</f>
        <v>551.79999999999995</v>
      </c>
      <c r="V336" s="3">
        <f>399.4+(318.4-0)+(-0.407388+(-0.324768-0))+0-130.2--0.132804000000021</f>
        <v>587.00064799999984</v>
      </c>
      <c r="W336" s="3">
        <f>400.4+(355.9-0)+(-0.816816+(-0.726036-0))+0-132.8--0.270911999999994</f>
        <v>622.22805999999991</v>
      </c>
      <c r="X336" s="3">
        <f>399.6+(423.7-0)+(-0.203796+(-0.216087-0))+0-135.1--0.0689009999999863</f>
        <v>687.84901799999989</v>
      </c>
      <c r="Y336" s="3">
        <f>399.9+(445.5-2.6)+(-0.611847+(-0.681615--0.003978))+0-129.7--0.198441000000007</f>
        <v>712.00895700000001</v>
      </c>
      <c r="Z336" s="3">
        <f>401.6+(448.1-0)+(-0.614448+(-0.685593-0))+0-153.3--0.234549000000009</f>
        <v>695.33450800000014</v>
      </c>
      <c r="AA336" s="3">
        <f>398.6+(414.4-4.2)+(-1.01643+(-1.05672--0.01071))+0-146.5--0.373574999999979</f>
        <v>660.61113499999988</v>
      </c>
      <c r="AB336" s="3">
        <f>409.4+(331.7-14.6)+(-0.626382+(-0.507501--0.022338))+0-151.6--0.231948000000009</f>
        <v>574.02040299999999</v>
      </c>
      <c r="AC336" s="3">
        <f>405.8+(308.1-16.5)+(-1.03479+(-0.785655--0.042075))+0-123.5--0.314924999999982</f>
        <v>572.43655500000011</v>
      </c>
      <c r="AD336" s="2">
        <v>675.1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406.8+(242.4-25.6)+(-0.414936+(-0.247248--0.026112))+0-127.8--0.13035600000002</f>
        <v>495.294284</v>
      </c>
      <c r="G337" s="3">
        <f>370.9+(285-47.2)+(0.189159+(0.14535-0.024072))+0-122.5-0.0624749999999876</f>
        <v>486.44796200000002</v>
      </c>
      <c r="H337" s="3">
        <f>336.6+(289.3-45.9)+(0.686664+(0.590172-0.093636))+0-127.6-0.260303999999994</f>
        <v>453.32289600000001</v>
      </c>
      <c r="I337" s="3">
        <f>334.1+(289.8-49.2)+(0+(0-0))+0-135.7-0</f>
        <v>439.00000000000006</v>
      </c>
      <c r="J337" s="3">
        <f>333.4+(317.4-32.4)+(-0.170034+(-0.161874--0.016524))+0-127.8--0.065177999999987</f>
        <v>490.34979399999997</v>
      </c>
      <c r="K337" s="3">
        <f>331.3+(306.4-49.6)+(-0.844815+(-0.78132--0.12648))+0-129.3--0.329714999999981</f>
        <v>457.6300599999999</v>
      </c>
      <c r="L337" s="3">
        <f>332.4+(305.2-59.8)+(-0.339048+(-0.311304--0.060996))+0-119.9--0.122298000000019</f>
        <v>457.43294200000003</v>
      </c>
      <c r="M337" s="3">
        <f>347.9+(281.2-76.1)+(-0.177429+(-0.143412--0.038811))+0-103.8--0.0529379999999895</f>
        <v>448.97090800000001</v>
      </c>
      <c r="N337" s="3">
        <f>406.5+(239.8-95.1)+(0+(0-0))+0-103.7-0</f>
        <v>447.50000000000006</v>
      </c>
      <c r="O337" s="3">
        <f>407.9+(272-98.8)+(0+(0-0))+0-121.6-0</f>
        <v>459.49999999999989</v>
      </c>
      <c r="P337" s="3">
        <f>405.9+(283.4-63.1)+(0+(0-0))+0-118.7-0</f>
        <v>507.49999999999994</v>
      </c>
      <c r="Q337" s="3">
        <f>404.1+(270.5-49)+(-0.618273+(-0.413865--0.07497))+0-111--0.169830000000006</f>
        <v>513.81266200000005</v>
      </c>
      <c r="R337" s="3">
        <f>405+(277.1-26.7)+(-0.4131+(-0.282642--0.027234))+0-121.6--0.124032000000019</f>
        <v>533.25552400000015</v>
      </c>
      <c r="S337" s="3">
        <f>403.9+(273.9-46.4)+(0.411978+(0.279378-0.047328))+0-113.8-0.116076000000018</f>
        <v>518.12795200000005</v>
      </c>
      <c r="T337" s="3">
        <f>403.8+(285.3-25.6)+(0.205938+(0.145503-0.013056))+0-119.4-0.0608939999999879</f>
        <v>544.37749100000008</v>
      </c>
      <c r="U337" s="3">
        <f>402.9+(271.5-23.4)+(-0.205479+(-0.138465--0.011934))+0-122.7--0.0625769999999876</f>
        <v>528.03056700000002</v>
      </c>
      <c r="V337" s="3">
        <f>402.2+(245.4-15.9)+(0+(0-0))+0-115.8-0</f>
        <v>515.90000000000009</v>
      </c>
      <c r="W337" s="3">
        <f>403.2+(289.2-29.1)+(0.616896+(0.442476-0.044523))+0-123.8-0.189414000000007</f>
        <v>540.32543499999997</v>
      </c>
      <c r="X337" s="3">
        <f>404.5+(407.2-28.2)+(-0.41259+(-0.415344--0.028764))+0-123.3--0.12576600000002</f>
        <v>659.52659600000004</v>
      </c>
      <c r="Y337" s="3">
        <f>405+(402.4-2.2)+(0.4131+(0.410448-0.002244))+0-127.5-0.13005000000002</f>
        <v>678.39125400000012</v>
      </c>
      <c r="Z337" s="3">
        <f>403.2+(391-0)+(0+(0-0))+0-120-0</f>
        <v>674.2</v>
      </c>
      <c r="AA337" s="3">
        <f>405.3+(342.7-0)+(-0.206703+(-0.174777-0))+0-119.9--0.0611489999999878</f>
        <v>627.77966900000001</v>
      </c>
      <c r="AB337" s="3">
        <f>403.5+(283.3-3.5)+(-1.028925+(-0.722415--0.008925))+0-102.1--0.260354999999985</f>
        <v>579.71793999999989</v>
      </c>
      <c r="AC337" s="3">
        <f>404.5+(244-8.6)+(-0.618885+(-0.37332--0.013158))+0-110.8--0.169524000000006</f>
        <v>528.29047700000001</v>
      </c>
      <c r="AD337" s="2">
        <v>628.79999999999995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404+(228.1-50.9)+(-0.41208+(-0.232662--0.051918))+0-108.1--0.110262000000017</f>
        <v>472.61743800000011</v>
      </c>
      <c r="G338" s="3">
        <f>418.2+(209.4-66.2)+(-0.853128+(-0.427176--0.135048))+0-113.2--0.230927999999995</f>
        <v>447.28567199999998</v>
      </c>
      <c r="H338" s="3">
        <f>417.9+(132.2-46.3)+(0+(0-0))+0-112.8-0</f>
        <v>390.99999999999994</v>
      </c>
      <c r="I338" s="3">
        <f>397.7+(157.3-50.6)+(0+(0-0))+0-135.8-0</f>
        <v>368.59999999999997</v>
      </c>
      <c r="J338" s="3">
        <f>327.5+(224.1-24.6)+(0.167025+(0.114291-0.012546))+0-134.3-0.0684929999999864</f>
        <v>392.90027700000002</v>
      </c>
      <c r="K338" s="3">
        <f>326.5+(230-26.8)+(0.33303+(0.2346-0.027336))+0-126.1-0.12862200000002</f>
        <v>404.01167200000003</v>
      </c>
      <c r="L338" s="3">
        <f>365.5+(212.9-68.5)+(0.186405+(0.108579-0.034935))+0-123.5-0.0629849999999875</f>
        <v>386.59706399999999</v>
      </c>
      <c r="M338" s="3">
        <f>385.9+(214.6-59.5)+(0+(0-0))+0-148.7-0</f>
        <v>392.3</v>
      </c>
      <c r="N338" s="3">
        <f>387.3+(243.8-15.4)+(-0.197523+(-0.124338--0.007854))+0-132.3--0.0674729999999866</f>
        <v>483.15346600000009</v>
      </c>
      <c r="O338" s="3">
        <f>392.7+(299.7-1.7)+(0.400554+(0.305694-0.001734))+0-137.6-0.140352000000022</f>
        <v>553.66416200000003</v>
      </c>
      <c r="P338" s="3">
        <f>401.3+(327.8-0)+(0+(0-0))+0-135.5-0</f>
        <v>593.6</v>
      </c>
      <c r="Q338" s="3">
        <f>401.6+(325.1-0)+(-0.614448+(-0.497403-0))+0-140.5--0.214965000000008</f>
        <v>585.30311400000005</v>
      </c>
      <c r="R338" s="3">
        <f>400.1+(365.7-0)+(-0.816204+(-0.746028-0))+0-141.9--0.289475999999994</f>
        <v>622.62724400000002</v>
      </c>
      <c r="S338" s="3">
        <f>404.5+(333.7-0)+(0.41259+(0.340374-0))+0-141.9-0.144738000000023</f>
        <v>596.90822600000001</v>
      </c>
      <c r="T338" s="3">
        <f>403.3+(286.5-0)+(-0.205683+(-0.146115-0))+0-132.7--0.0676769999999865</f>
        <v>556.815879</v>
      </c>
      <c r="U338" s="3">
        <f>398.7+(317.5-0)+(0.406674+(0.32385-0))+0-133-0.135660000000021</f>
        <v>583.79486399999996</v>
      </c>
      <c r="V338" s="3">
        <f>395.9+(341.5-0)+(-0.201909+(-0.174165-0))+0-124.6--0.0635459999999874</f>
        <v>612.48747199999991</v>
      </c>
      <c r="W338" s="3">
        <f>397+(369.1-0)+(-0.60741+(-0.564723-0))+0-143.9--0.220167000000008</f>
        <v>621.24803400000008</v>
      </c>
      <c r="X338" s="3">
        <f>397+(392.8-0)+(0.20247+(0.200328-0))+0-135.1-0.0689009999999863</f>
        <v>655.03389699999991</v>
      </c>
      <c r="Y338" s="3">
        <f>397+(378.1-0)+(-1.01235+(-0.964155-0))+0-127--0.323849999999982</f>
        <v>646.44734500000004</v>
      </c>
      <c r="Z338" s="3">
        <f>397+(369.9-0)+(-0.20247+(-0.188649-0))+0-122.1--0.0622709999999876</f>
        <v>644.47115199999996</v>
      </c>
      <c r="AA338" s="3">
        <f>397+(398.6-27.1)+(-0.60741+(-0.609858--0.041463))+0-126.1--0.192933000000007</f>
        <v>641.41712800000005</v>
      </c>
      <c r="AB338" s="3">
        <f>401.9+(369.5-34.4)+(-0.614907+(-0.565335--0.052632))+0-138.1--0.211293000000008</f>
        <v>597.98368299999993</v>
      </c>
      <c r="AC338" s="3">
        <f>401.9+(328-38.3)+(-1.024845+(-0.8364--0.097665))+0-133.2--0.339659999999981</f>
        <v>556.9760799999998</v>
      </c>
      <c r="AD338" s="2">
        <v>662.2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487.3+(261.5-86.6)+(-0.745569+(-0.400095--0.132498))+0-119.5--0.182835000000007</f>
        <v>541.86966900000004</v>
      </c>
      <c r="G339" s="3">
        <f>486.9+(160.8-39.7)+(0+(0-0))+0-150.2-0</f>
        <v>457.8</v>
      </c>
      <c r="H339" s="3">
        <f>447.8+(188.2-37.3)+(0.685134+(0.287946-0.057069))+0-133.3-0.203949000000008</f>
        <v>466.11206200000004</v>
      </c>
      <c r="I339" s="3">
        <f>418+(257.8-33.6)+(-0.42636+(-0.262956--0.034272))+0-127.7--0.13025400000002</f>
        <v>513.97521000000006</v>
      </c>
      <c r="J339" s="3">
        <f>421+(197.2-28.2)+(0.64413+(0.301716-0.043146))+0-123-0.188190000000007</f>
        <v>467.71450999999996</v>
      </c>
      <c r="K339" s="3">
        <f>417.9+(194.7-24.2)+(0+(0-0))+0-135.3-0</f>
        <v>453.09999999999997</v>
      </c>
      <c r="L339" s="3">
        <f>418.1+(170.8-43.2)+(-0.852924+(-0.348432--0.088128))+0-113.2--0.230927999999995</f>
        <v>431.61770000000001</v>
      </c>
      <c r="M339" s="3">
        <f>419.2+(198.1-28.4)+(0.213792+(0.101031-0.014484))+0-135.4-0.0690539999999863</f>
        <v>453.73128500000001</v>
      </c>
      <c r="N339" s="3">
        <f>450.8+(291.8-0)+(0.459816+(0.297636-0))+0-130.5-0.133110000000021</f>
        <v>612.72434199999998</v>
      </c>
      <c r="O339" s="3">
        <f>492.1+(269.2-7.9)+(0.752913+(0.411876-0.012087))+0-140.3-0.214659000000008</f>
        <v>614.03804300000002</v>
      </c>
      <c r="P339" s="3">
        <f>493.7+(270.4-5.6)+(0+(0-0))+0-132.3-0</f>
        <v>626.20000000000005</v>
      </c>
      <c r="Q339" s="3">
        <f>493+(282-0)+(0+(0-0))+0-140.1-0</f>
        <v>634.9</v>
      </c>
      <c r="R339" s="3">
        <f>509.4+(283.3-0)+(-0.519588+(-0.288966-0))+0-123.3--0.12576600000002</f>
        <v>668.71721200000013</v>
      </c>
      <c r="S339" s="3">
        <f>466.6+(225-0)+(0.237966+(0.11475-0))+0-125.8-0.0641579999999872</f>
        <v>566.08855800000003</v>
      </c>
      <c r="T339" s="3">
        <f>462.7+(243.1-11.4)+(-0.471954+(-0.247962--0.011628))+0-125.4--0.12790800000002</f>
        <v>568.41962000000001</v>
      </c>
      <c r="U339" s="3">
        <f>461.5+(230.9-13.7)+(-0.47073+(-0.235518--0.013974))+0-141.3--0.144126000000023</f>
        <v>536.85185200000012</v>
      </c>
      <c r="V339" s="3">
        <f>463.6+(161.8-7.7)+(0.709308+(0.247554-0.011781))+0-102-0.156060000000006</f>
        <v>516.48902099999998</v>
      </c>
      <c r="W339" s="3">
        <f>476.4+(233.2-14.9)+(-0.728892+(-0.356796--0.022797))+0-118.1--0.180693000000007</f>
        <v>575.71780199999989</v>
      </c>
      <c r="X339" s="3">
        <f>535.4+(269.4-43.3)+(0+(0-0))+0-146.9-0</f>
        <v>614.6</v>
      </c>
      <c r="Y339" s="3">
        <f>553+(261.5-27.8)+(-1.69218+(-0.80019--0.085068))+0-142.8--0.436968000000017</f>
        <v>641.929666</v>
      </c>
      <c r="Z339" s="3">
        <f>575.7+(223.3-1.8)+(0.587214+(0.227766-0.001836))+0-123.1-0.12556200000002</f>
        <v>674.78758199999993</v>
      </c>
      <c r="AA339" s="3">
        <f>500.4+(261.3-0)+(-0.255204+(-0.133263-0))+0-141.2--0.0720119999999857</f>
        <v>620.18354499999998</v>
      </c>
      <c r="AB339" s="3">
        <f>500.3+(170-0)+(0+(0-0))+0-126.5-0</f>
        <v>543.79999999999995</v>
      </c>
      <c r="AC339" s="3">
        <f>499.4+(147.2-0)+(-0.764082+(-0.225216-0))+0-144.6--0.221238000000008</f>
        <v>501.23193999999995</v>
      </c>
      <c r="AD339" s="2">
        <v>627.6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511.2+(128.8-51.4)+(-0.782136+(-0.197064--0.078642))+0-121.1--0.185283000000007</f>
        <v>466.78472499999998</v>
      </c>
      <c r="G340" s="3">
        <f>509.9+(99-75.5)+(-1.300245+(-0.25245--0.192525))+0-145.4--0.370769999999979</f>
        <v>387.01059999999995</v>
      </c>
      <c r="H340" s="3">
        <f>433.1+(155.7-6.2)+(-0.220881+(-0.079407--0.003162))+0-132.6--0.0676259999999865</f>
        <v>449.77049999999991</v>
      </c>
      <c r="I340" s="3">
        <f>426.1+(173.5-0)+(0.217311+(0.088485-0))+0-148.1-0.075530999999985</f>
        <v>451.73026499999997</v>
      </c>
      <c r="J340" s="3">
        <f>426.2+(138.9-50.4)+(0.217362+(0.070839-0.025704))+0-120.4-0.0614039999999878</f>
        <v>394.50109300000014</v>
      </c>
      <c r="K340" s="3">
        <f>428.3+(128.7-33.1)+(0.873732+(0.262548-0.067524))+0-144.7-0.295187999999994</f>
        <v>379.973568</v>
      </c>
      <c r="L340" s="3">
        <f>426.1+(108.9-78.9)+(-0.434622+(-0.111078--0.080478))+0-114.8--0.117096000000018</f>
        <v>340.95187400000003</v>
      </c>
      <c r="M340" s="3">
        <f>425.8+(131.7-120.7)+(-0.217158+(-0.067167--0.061557))+0-147--0.0749699999999851</f>
        <v>289.65220200000005</v>
      </c>
      <c r="N340" s="3">
        <f>403.9+(126.3-71.4)+(-0.411978+(-0.128826--0.072828))+0-113.9--0.116178000000018</f>
        <v>344.54820199999995</v>
      </c>
      <c r="O340" s="3">
        <f>321+(188.4-104.1)+(0.32742+(0.192168-0.106182))+0-67.5-0.0688500000000108</f>
        <v>338.14455600000002</v>
      </c>
      <c r="P340" s="3">
        <f>336+(219.5-89.9)+(0+(0-0))+0-24.6-0</f>
        <v>441</v>
      </c>
      <c r="Q340" s="3">
        <f>360.7+(216.6-111.9)+(0+(0-0))+0-98.2-0</f>
        <v>367.2</v>
      </c>
      <c r="R340" s="3">
        <f>383.2+(188.7-146.1)+(-0.586296+(-0.288711--0.223533))+0-83.7--0.128061000000005</f>
        <v>341.57658699999996</v>
      </c>
      <c r="S340" s="3">
        <f>383.5+(147.3-96.8)+(-0.195585+(-0.075123--0.049368))+0-96.1--0.0490109999999903</f>
        <v>337.72767100000004</v>
      </c>
      <c r="T340" s="3">
        <f>377.9+(151.2-101.5)+(-0.385458+(-0.154224--0.10353))+0-120.7--0.123114000000019</f>
        <v>306.58696200000003</v>
      </c>
      <c r="U340" s="3">
        <f>377+(189-75.7)+(-0.38454+(-0.19278--0.077214))+0-141.9--0.144738000000023</f>
        <v>348.04463200000004</v>
      </c>
      <c r="V340" s="3">
        <f>379.3+(224.6-66.6)+(0+(0-0))+0-126.5-0</f>
        <v>410.79999999999995</v>
      </c>
      <c r="W340" s="3">
        <f>378.1+(278.1-73.7)+(-0.192831+(-0.141831--0.037587))+0-143.7--0.0732869999999854</f>
        <v>438.57621200000006</v>
      </c>
      <c r="X340" s="3">
        <f>379+(342-95.6)+(-0.19329+(-0.17442--0.048756))+0-115.2--0.0587519999999883</f>
        <v>509.939798</v>
      </c>
      <c r="Y340" s="3">
        <f>384.2+(351.1-69.6)+(0+(0-0))+0-152.4-0</f>
        <v>513.30000000000007</v>
      </c>
      <c r="Z340" s="3">
        <f>393.1+(315-53.7)+(-0.400962+(-0.3213--0.054774))+0-127.4--0.12994800000002</f>
        <v>526.46246000000008</v>
      </c>
      <c r="AA340" s="3">
        <f>395.9+(300.2-28)+(-0.201909+(-0.153102--0.01428))+0-152.7--0.0778769999999845</f>
        <v>515.1371459999998</v>
      </c>
      <c r="AB340" s="3">
        <f>393.9+(278.6-3.4)+(-1.004445+(-0.71043--0.00867))+0-141.6--0.361079999999979</f>
        <v>526.15487500000006</v>
      </c>
      <c r="AC340" s="3">
        <f>371.9+(240.9-9)+(-0.948345+(-0.614295--0.02295))+0-148.2--0.377909999999978</f>
        <v>454.43822</v>
      </c>
      <c r="AD340" s="2">
        <v>575.59999999999991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415.9+(137.3-17.1)+(-0.424218+(-0.140046--0.017442))+0-135.2--0.137904000000022</f>
        <v>400.49108200000006</v>
      </c>
      <c r="G341" s="3">
        <f>424.3+(161.7-0)+(0.432786+(0.164934-0))+0-145.2-0.148104000000023</f>
        <v>441.24961599999995</v>
      </c>
      <c r="H341" s="3">
        <f>321.3+(235-0)+(0.327726+(0.2397-0))+0-146.5-0.149430000000023</f>
        <v>410.21799599999991</v>
      </c>
      <c r="I341" s="3">
        <f>307.6+(276.2-0)+(0.156876+(0.140862-0))+0-147.9-0.075428999999985</f>
        <v>436.12230899999997</v>
      </c>
      <c r="J341" s="3">
        <f>307.5+(229.7-5.7)+(-0.156825+(-0.117147--0.002907))+0-131.8--0.0672179999999866</f>
        <v>399.49615299999994</v>
      </c>
      <c r="K341" s="3">
        <f>308.6+(256.8-20.5)+(0.314772+(0.261936-0.02091))+0-140.5-0.143310000000022</f>
        <v>404.81248800000003</v>
      </c>
      <c r="L341" s="3">
        <f>308.3+(247-36.6)+(0.157233+(0.12597-0.018666))+0-142.9-0.0728789999999855</f>
        <v>375.99165800000009</v>
      </c>
      <c r="M341" s="3">
        <f>407+(211-52.8)+(0.20757+(0.10761-0.026928))+0-139.2-0.0709919999999859</f>
        <v>426.21726000000012</v>
      </c>
      <c r="N341" s="3">
        <f>418+(214.8-24.8)+(0.42636+(0.219096-0.025296))+0-143.4-0.146268000000023</f>
        <v>465.07389200000006</v>
      </c>
      <c r="O341" s="3">
        <f>414+(231.8-16.7)+(0.84456+(0.472872-0.034068))+0-140.8-0.287231999999994</f>
        <v>489.296132</v>
      </c>
      <c r="P341" s="3">
        <f>404+(297.5-0)+(0+(0-0))+0-150.1-0</f>
        <v>551.4</v>
      </c>
      <c r="Q341" s="3">
        <f>404.1+(348.8-0)+(0+(0-0))+0-146.5-0</f>
        <v>606.40000000000009</v>
      </c>
      <c r="R341" s="3">
        <f>401.7+(331.7-0)+(-0.409734+(-0.338334-0))+0-145--0.147900000000023</f>
        <v>587.79983200000004</v>
      </c>
      <c r="S341" s="3">
        <f>401.7+(297.4-0)+(-0.819468+(-0.606696-0))+0-134.9--0.275195999999994</f>
        <v>563.0490319999999</v>
      </c>
      <c r="T341" s="3">
        <f>394+(245-0)+(0+(0-0))+0-131.6-0</f>
        <v>507.4</v>
      </c>
      <c r="U341" s="3">
        <f>393.7+(248.9-0)+(0.200787+(0.126939-0))+0-148.4-0.0756839999999849</f>
        <v>494.45204200000006</v>
      </c>
      <c r="V341" s="3">
        <f>393.9+(254.6-0)+(0+(0-0))+0-124.3-0</f>
        <v>524.20000000000005</v>
      </c>
      <c r="W341" s="3">
        <f>396.6+(313.1-0)+(-0.404532+(-0.319362-0))+0-122.9--0.12535800000002</f>
        <v>586.2014640000001</v>
      </c>
      <c r="X341" s="3">
        <f>391.7+(433.9-0)+(-0.599301+(-0.663867-0))+0-159.1--0.243423000000009</f>
        <v>665.48025499999994</v>
      </c>
      <c r="Y341" s="3">
        <f>402.9+(417.6-0)+(-0.410958+(-0.425952-0))+0-145.4--0.148308000000023</f>
        <v>674.41139800000008</v>
      </c>
      <c r="Z341" s="3">
        <f>406.8+(382.3-0)+(0.207468+(0.194973-0))+0-140.1-0.0714509999999858</f>
        <v>649.33098999999993</v>
      </c>
      <c r="AA341" s="3">
        <f>405+(324-0)+(-0.4131+(-0.33048-0))+0-118.2--0.120564000000019</f>
        <v>610.17698400000006</v>
      </c>
      <c r="AB341" s="3">
        <f>406+(298.1-0)+(-0.41412+(-0.304062-0))+0-134.2--0.136884000000021</f>
        <v>569.31870200000003</v>
      </c>
      <c r="AC341" s="3">
        <f>406.7+(276.3-0)+(-0.207417+(-0.140913-0))+0-111.6--0.0569159999999887</f>
        <v>571.10858599999995</v>
      </c>
      <c r="AD341" s="2">
        <v>661.19999999999993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394+(182.8-0)+(-1.0047+(-0.46614-0))+0-126.2--0.321809999999982</f>
        <v>449.45096999999998</v>
      </c>
      <c r="G342" s="3">
        <f>403+(146.4-28.9)+(-0.20553+(-0.074664--0.014739))+0-93--0.0474299999999906</f>
        <v>427.28197499999999</v>
      </c>
      <c r="H342" s="3">
        <f>410+(143.6-13.7)+(-0.4182+(-0.146472--0.013974))+0-90.3--0.0921060000000144</f>
        <v>449.14140799999996</v>
      </c>
      <c r="I342" s="3">
        <f>405+(153.3-17.6)+(-0.61965+(-0.234549--0.026928))+0-98.3--0.150399000000006</f>
        <v>441.72312800000003</v>
      </c>
      <c r="J342" s="3">
        <f>408+(176.1-3.6)+(0.20808+(0.089811-0.001836))+0-99.5-0.0507449999999899</f>
        <v>481.24531000000002</v>
      </c>
      <c r="K342" s="3">
        <f>403+(138.9-3.1)+(-0.20553+(-0.070839--0.001581))+0-102.7--0.0523769999999896</f>
        <v>435.877589</v>
      </c>
      <c r="L342" s="3">
        <f>408+(156.1-17.3)+(-0.20808+(-0.079611--0.008823))+0-103.7--0.0528869999999895</f>
        <v>442.87401899999998</v>
      </c>
      <c r="M342" s="3">
        <f>409+(177.2-0)+(0.20859+(0.090372-0))+0-105.5-0.0538049999999893</f>
        <v>480.94515699999999</v>
      </c>
      <c r="N342" s="3">
        <f>410+(200.8-0)+(0.2091+(0.102408-0))+0-97.5-0.0497249999999901</f>
        <v>513.56178299999999</v>
      </c>
      <c r="O342" s="3">
        <f>408+(273.7-0)+(0+(0-0))+0-122.8-0</f>
        <v>558.90000000000009</v>
      </c>
      <c r="P342" s="3">
        <f>410+(284.3-0)+(0+(0-0))+0-124.1-0</f>
        <v>570.19999999999993</v>
      </c>
      <c r="Q342" s="3">
        <f>412+(311.2-0)+(-0.21012+(-0.158712-0))+0-130.8--0.0667079999999867</f>
        <v>592.09787599999993</v>
      </c>
      <c r="R342" s="3">
        <f>393+(298.7-18.8)+(-0.80172+(-0.609348--0.038352))+0-121.7--0.248267999999995</f>
        <v>550.0755519999999</v>
      </c>
      <c r="S342" s="3">
        <f>408+(263.2-23.4)+(0.41616+(0.268464-0.023868))+0-104.6-0.106692000000017</f>
        <v>543.75406399999986</v>
      </c>
      <c r="T342" s="3">
        <f>413+(266.4-8.8)+(0.21063+(0.135864-0.004488))+0-91.5-0.0466649999999907</f>
        <v>579.39534099999992</v>
      </c>
      <c r="U342" s="3">
        <f>426+(243.5-11.8)+(0.43452+(0.24837-0.012036))+0-116.3-0.118626000000019</f>
        <v>541.95222799999999</v>
      </c>
      <c r="V342" s="3">
        <f>407+(277.7-13.2)+(0.41514+(0.283254-0.013464))+0-85-0.0867000000000136</f>
        <v>587.09822999999994</v>
      </c>
      <c r="W342" s="3">
        <f>410+(335.7-0)+(-0.8364+(-0.684828-0))+0-97.6--0.199103999999996</f>
        <v>646.77787600000011</v>
      </c>
      <c r="X342" s="3">
        <f>444+(330.1-0)+(-0.22644+(-0.168351-0))+0-93.3--0.0475829999999905</f>
        <v>680.45279200000004</v>
      </c>
      <c r="Y342" s="3">
        <f>470+(296.6-0)+(-0.9588+(-0.605064-0))+0-98.2--0.200327999999996</f>
        <v>667.03646400000002</v>
      </c>
      <c r="Z342" s="3">
        <f>459+(289.3-0)+(-1.17045+(-0.737715-0))+0-100.4--0.256019999999985</f>
        <v>646.24785499999996</v>
      </c>
      <c r="AA342" s="3">
        <f>472+(208-6.8)+(0+(0-0))+0-94.5-0</f>
        <v>578.70000000000005</v>
      </c>
      <c r="AB342" s="3">
        <f>503+(140.1-23.7)+(-0.25653+(-0.071451--0.012087))+0-110.1--0.0561509999999888</f>
        <v>509.040257</v>
      </c>
      <c r="AC342" s="3">
        <f>486+(157.2-32.5)+(-0.74358+(-0.240516--0.049725))+0-101.5--0.155295000000006</f>
        <v>508.42092400000001</v>
      </c>
      <c r="AD342" s="2">
        <v>691.89999999999986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418.8+(139.5-36.4)+(-0.427176+(-0.14229--0.037128))+0-102.2--0.104244000000016</f>
        <v>419.271906</v>
      </c>
      <c r="G343" s="3">
        <f>421.1+(130.2-16.1)+(0.214761+(0.066402-0.008211))+0-111.7-0.0569669999999887</f>
        <v>423.7159850000001</v>
      </c>
      <c r="H343" s="3">
        <f>420.6+(161.1-55.5)+(-0.429012+(-0.164322--0.05661))+0-107.8--0.109956000000017</f>
        <v>417.973232</v>
      </c>
      <c r="I343" s="3">
        <f>420.3+(192.8-57)+(0.214353+(0.098328-0.02907))+0-116.8-0.0595679999999882</f>
        <v>439.52404299999995</v>
      </c>
      <c r="J343" s="3">
        <f>420.3+(247.9-69.8)+(0+(0-0))+0-118.2-0</f>
        <v>480.2000000000001</v>
      </c>
      <c r="K343" s="3">
        <f>361.5+(258.4-13.8)+(-0.553095+(-0.395352--0.021114))+0-144.5--0.221085000000008</f>
        <v>460.89375199999995</v>
      </c>
      <c r="L343" s="3">
        <f>360.5+(265.5-49.3)+(0+(0-0))+0-119.3-0</f>
        <v>457.40000000000003</v>
      </c>
      <c r="M343" s="3">
        <f>366.9+(238.8-27.9)+(0.187119+(0.121788-0.014229))+0-143.6-0.0732359999999854</f>
        <v>434.4214419999999</v>
      </c>
      <c r="N343" s="3">
        <f>427.8+(239-20.8)+(-0.218178+(-0.12189--0.010608))+0-122.2--0.0623219999999876</f>
        <v>523.53286199999991</v>
      </c>
      <c r="O343" s="3">
        <f>424+(378.3-22.9)+(-0.64872+(-0.578799--0.035037))+0-140.2--0.214506000000008</f>
        <v>638.22202400000015</v>
      </c>
      <c r="P343" s="3">
        <f>416.5+(467.3-48.6)+(-0.637245+(-0.714969--0.074358))+0-149.4--0.228582000000009</f>
        <v>684.75072599999999</v>
      </c>
      <c r="Q343" s="3">
        <f>412+(428.7-0)+(-0.84048+(-0.874548-0))+0-151.6--0.309263999999993</f>
        <v>687.69423600000005</v>
      </c>
      <c r="R343" s="3">
        <f>402+(414-0)+(0+(0-0))+0-143.5-0</f>
        <v>672.5</v>
      </c>
      <c r="S343" s="3">
        <f>359.6+(385.7-0)+(-0.550188+(-0.590121-0))+0-148.8--0.227664000000009</f>
        <v>595.58735499999989</v>
      </c>
      <c r="T343" s="3">
        <f>361.4+(363.3-0)+(0.368628+(0.370566-0))+0-139.9-0.142698000000022</f>
        <v>585.39649600000007</v>
      </c>
      <c r="U343" s="3">
        <f>361+(373.6-0)+(-0.18411+(-0.190536-0))+0-147.3--0.0751229999999851</f>
        <v>587.00047699999993</v>
      </c>
      <c r="V343" s="3">
        <f>361+(331.6-0)+(0+(0-0))+0-129-0</f>
        <v>563.6</v>
      </c>
      <c r="W343" s="3">
        <f>388.8+(332.2-0)+(-0.396576+(-0.338844-0))+0-155.1--0.158202000000025</f>
        <v>565.32278200000007</v>
      </c>
      <c r="X343" s="3">
        <f>414.3+(395.8-0)+(-0.211293+(-0.201858-0))+0-154.3--0.0786929999999844</f>
        <v>655.46554199999991</v>
      </c>
      <c r="Y343" s="3">
        <f>416.8+(409.5-1.2)+(-1.06284+(-1.044225--0.00306))+0-145.1--0.370004999999979</f>
        <v>678.26599999999996</v>
      </c>
      <c r="Z343" s="3">
        <f>425.9+(359.8-0)+(0+(0-0))+0-150.7-0</f>
        <v>635</v>
      </c>
      <c r="AA343" s="3">
        <f>424.9+(334.6-0)+(-0.433398+(-0.341292-0))+0-145.7--0.148614000000023</f>
        <v>613.17392400000006</v>
      </c>
      <c r="AB343" s="3">
        <f>424.8+(285.3-12.2)+(-0.433296+(-0.291006--0.012444))+0-147.8--0.150756000000024</f>
        <v>549.53889800000002</v>
      </c>
      <c r="AC343" s="3">
        <f>422.4+(343.7-55.3)+(-1.07712+(-0.876435--0.141015))+0-131.3--0.334814999999981</f>
        <v>578.02227499999981</v>
      </c>
      <c r="AD343" s="2">
        <v>653.19999999999993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422.5+(370.2-35.2)+(-0.646425+(-0.566406--0.053856))+0-135.4--0.207162000000008</f>
        <v>621.14818700000001</v>
      </c>
      <c r="G344" s="3">
        <f>423.8+(369.4-0)+(-0.648414+(-0.565182-0))+0-134.6--0.205938000000008</f>
        <v>657.59234200000003</v>
      </c>
      <c r="H344" s="3">
        <f>424.5+(337.8-0)+(-0.216495+(-0.172278-0))+0-124.8--0.0636479999999873</f>
        <v>637.17487499999993</v>
      </c>
      <c r="I344" s="3">
        <f>424.2+(303.9-0)+(-0.432684+(-0.309978-0))+0-127.8--0.13035600000002</f>
        <v>599.68769399999996</v>
      </c>
      <c r="J344" s="3">
        <f>424.2+(315.3-0)+(0.216342+(0.160803-0))+0-142.4-0.0726239999999856</f>
        <v>597.40452100000005</v>
      </c>
      <c r="K344" s="3">
        <f>426.3+(296.2-0)+(0.869652+(0.604248-0))+0-146.7-0.299267999999994</f>
        <v>576.97463199999993</v>
      </c>
      <c r="L344" s="3">
        <f>421.7+(314.2-0)+(-0.215067+(-0.160242-0))+0-147.5--0.075224999999985</f>
        <v>588.09991599999989</v>
      </c>
      <c r="M344" s="3">
        <f>423.2+(315.9-0)+(-0.215832+(-0.161109-0))+0-144.5--0.0736949999999853</f>
        <v>594.29675399999985</v>
      </c>
      <c r="N344" s="3">
        <f>424.3+(327-0)+(-0.216393+(-0.16677-0))+0-148.4--0.0756839999999849</f>
        <v>602.59252100000003</v>
      </c>
      <c r="O344" s="3">
        <f>424.2+(365.4-1)+(-0.865368+(-0.745416--0.00204))+0-149.9--0.305795999999993</f>
        <v>637.39705199999992</v>
      </c>
      <c r="P344" s="3">
        <f>423.2+(372.8-0)+(-0.215832+(-0.190128-0))+0-147.5--0.075224999999985</f>
        <v>648.16926499999988</v>
      </c>
      <c r="Q344" s="3">
        <f>411.2+(363.6-0)+(-0.419424+(-0.370872-0))+0-116.3--0.118626000000019</f>
        <v>657.82833000000005</v>
      </c>
      <c r="R344" s="3">
        <f>410.6+(440.6-0)+(-0.837624+(-0.898824-0))+0-124--0.252959999999995</f>
        <v>725.71651200000008</v>
      </c>
      <c r="S344" s="3">
        <f>413.4+(403.8-0)+(-0.632502+(-0.617814-0))+0-121.3--0.185589000000007</f>
        <v>694.83527300000014</v>
      </c>
      <c r="T344" s="3">
        <f>414.6+(428.6-0)+(0.211446+(0.218586-0))+0-140.9-0.0718589999999857</f>
        <v>702.65817300000003</v>
      </c>
      <c r="U344" s="3">
        <f>415+(384.4-0)+(0.4233+(0.392088-0))+0-111.5-0.113730000000018</f>
        <v>688.60165799999993</v>
      </c>
      <c r="V344" s="3">
        <f>414.7+(360.7-0)+(0.211497+(0.183957-0))+0-113-0.0576299999999885</f>
        <v>662.73782399999993</v>
      </c>
      <c r="W344" s="3">
        <f>413.4+(388.6-0)+(0.210834+(0.198186-0))+0-146.8-0.0748679999999851</f>
        <v>655.53415200000006</v>
      </c>
      <c r="X344" s="3">
        <f>412.7+(387.6-2.6)+(0+(0-0))+0-130.9-0</f>
        <v>666.80000000000007</v>
      </c>
      <c r="Y344" s="3">
        <f>411.8+(419.4-0)+(0+(0-0))+0-142.7-0</f>
        <v>688.5</v>
      </c>
      <c r="Z344" s="3">
        <f>410.4+(467.5-0)+(-0.209304+(-0.238425-0))+0-158.6--0.0808859999999839</f>
        <v>718.93315699999994</v>
      </c>
      <c r="AA344" s="3">
        <f>418.9+(410.6-11.4)+(0+(0-0))+0-141.5-0</f>
        <v>676.6</v>
      </c>
      <c r="AB344" s="3">
        <f>415.6+(406.6-16.5)+(-0.847824+(-0.829464--0.03366))+0-146.6--0.299063999999994</f>
        <v>657.75543600000003</v>
      </c>
      <c r="AC344" s="3">
        <f>415.9+(505.7-8.3)+(-0.212109+(-0.257907--0.004233))+0-131.1--0.0668609999999867</f>
        <v>781.80107799999996</v>
      </c>
      <c r="AD344" s="2">
        <v>665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412.4+(489.3-10.6)+(-1.05162+(-1.247715--0.02703))+0-137.9--0.35164499999998</f>
        <v>751.27933999999993</v>
      </c>
      <c r="G345" s="3">
        <f>413.6+(417-7.4)+(-0.632808+(-0.63801--0.011322))+0-151.3--0.231489000000009</f>
        <v>670.87199299999997</v>
      </c>
      <c r="H345" s="3">
        <f>414.9+(406.6-31.2)+(0+(0-0))+0-123-0</f>
        <v>667.3</v>
      </c>
      <c r="I345" s="3">
        <f>415.3+(428.8-28)+(0.211803+(0.218688-0.01428))+0-151.4-0.0772139999999846</f>
        <v>665.03899699999999</v>
      </c>
      <c r="J345" s="3">
        <f>411.1+(457.6-24.6)+(-0.838644+(-0.933504--0.050184))+0-142--0.289679999999994</f>
        <v>700.66771600000004</v>
      </c>
      <c r="K345" s="3">
        <f>413.2+(396.5-21.7)+(0.210732+(0.202215-0.011067))+0-138.8-0.0707879999999859</f>
        <v>649.53109199999994</v>
      </c>
      <c r="L345" s="3">
        <f>412.3+(406.1-11)+(0.210273+(0.207111-0.00561))+0-144.8-0.0738479999999853</f>
        <v>662.93792600000006</v>
      </c>
      <c r="M345" s="3">
        <f>422.9+(411.4-0)+(-0.215679+(-0.209814-0))+0-145.4--0.0741539999999853</f>
        <v>688.54866100000004</v>
      </c>
      <c r="N345" s="3">
        <f>420.3+(453.9-0)+(0+(0-0))+0-147.7-0</f>
        <v>726.5</v>
      </c>
      <c r="O345" s="3">
        <f>414.7+(483.1-11.9)+(-0.211497+(-0.246381--0.006069))+0-115.1--0.0587009999999883</f>
        <v>770.40689200000008</v>
      </c>
      <c r="P345" s="3">
        <f>405.2+(506.7-10.2)+(-0.619956+(-0.775251--0.015606))+0-148.9--0.227817000000009</f>
        <v>751.64821600000005</v>
      </c>
      <c r="Q345" s="3">
        <f>406.6+(495.6-11.3)+(-0.207366+(-0.252756--0.005763))+0-139.8--0.0712979999999858</f>
        <v>750.71693900000002</v>
      </c>
      <c r="R345" s="3">
        <f>404.4+(490.7-0)+(-0.206244+(-0.250257-0))+0-138.6--0.0706859999999859</f>
        <v>756.11418499999991</v>
      </c>
      <c r="S345" s="3">
        <f>400.8+(474.1-0)+(0.613224+(0.725373-0))+0-145.5-0.222615000000008</f>
        <v>730.51598200000012</v>
      </c>
      <c r="T345" s="3">
        <f>397.6+(463-0)+(0.405552+(0.47226-0))+0-150.2-0.153204000000024</f>
        <v>711.12460799999997</v>
      </c>
      <c r="U345" s="3">
        <f>391.6+(477.2-0)+(-0.399432+(-0.486744-0))+0-144.9--0.147798000000023</f>
        <v>723.16162200000008</v>
      </c>
      <c r="V345" s="3">
        <f>390.1+(439.4-0)+(0.198951+(0.224094-0))+0-139.8-0.0712979999999858</f>
        <v>690.05174700000009</v>
      </c>
      <c r="W345" s="3">
        <f>391.2+(484.3-0)+(0.199512+(0.246993-0))+0-153.4-0.0782339999999844</f>
        <v>722.46827100000007</v>
      </c>
      <c r="X345" s="3">
        <f>393.5+(568-0)+(-0.200685+(-0.28968-0))+0-149.3--0.0761429999999849</f>
        <v>811.78577799999994</v>
      </c>
      <c r="Y345" s="3">
        <f>394.5+(570.1-0)+(-1.005975+(-1.453755-0))+0-145.7--0.371534999999979</f>
        <v>816.81180500000005</v>
      </c>
      <c r="Z345" s="3">
        <f>401.7+(578.9-0)+(-0.819468+(-1.180956-0))+0-155--0.316199999999993</f>
        <v>823.91577599999994</v>
      </c>
      <c r="AA345" s="3">
        <f>400.4+(543.7-0)+(-1.02102+(-1.386435-0))+0-151.7--0.386834999999978</f>
        <v>790.37938000000008</v>
      </c>
      <c r="AB345" s="3">
        <f>403.1+(468.9-0)+(-0.205581+(-0.239139-0))+0-152.9--0.0779789999999845</f>
        <v>718.73325900000009</v>
      </c>
      <c r="AC345" s="3">
        <f>399.5+(449.8-0)+(-0.611235+(-0.688194-0))+0-150.7--0.230571000000009</f>
        <v>697.53114200000005</v>
      </c>
      <c r="AD345" s="2">
        <v>669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403.6+(438.9-0)+(-0.205836+(-0.223839-0))+0-153.1--0.0780809999999845</f>
        <v>689.048406</v>
      </c>
      <c r="G346" s="3">
        <f>409.5+(382.2-0)+(-0.208845+(-0.194922-0))+0-141.8--0.0723179999999856</f>
        <v>649.56855100000007</v>
      </c>
      <c r="H346" s="3">
        <f>410.5+(307-13.2)+(0.209355+(0.15657-0.006732))+0-146.5-0.0747149999999851</f>
        <v>558.08447799999999</v>
      </c>
      <c r="I346" s="3">
        <f>407.4+(314.5-16.1)+(-0.415548+(-0.32079--0.016422))+0-149.8--0.152796000000024</f>
        <v>555.43288000000007</v>
      </c>
      <c r="J346" s="3">
        <f>409.8+(311.7-14.9)+(0.417996+(0.317934-0.015198))+0-142.5-0.145350000000023</f>
        <v>564.67538200000001</v>
      </c>
      <c r="K346" s="3">
        <f>409+(373.4-11.7)+(0.20859+(0.190434-0.005967))+0-151-0.0770099999999847</f>
        <v>620.01604700000007</v>
      </c>
      <c r="L346" s="3">
        <f>403.6+(292.5-23.2)+(-1.235016+(-0.89505--0.070992))+0-148.2--0.453492000000017</f>
        <v>523.09441800000002</v>
      </c>
      <c r="M346" s="3">
        <f>406.6+(314.1-47.3)+(0.207366+(0.160191-0.024123))+0-125.3-0.0639029999999873</f>
        <v>548.37953100000016</v>
      </c>
      <c r="N346" s="3">
        <f>405.5+(339.6-50.1)+(0+(0-0))+0-140.7-0</f>
        <v>554.29999999999995</v>
      </c>
      <c r="O346" s="3">
        <f>406.2+(352-23.4)+(-0.414324+(-0.35904--0.023868))+0-115.7--0.118014000000018</f>
        <v>618.4685179999999</v>
      </c>
      <c r="P346" s="3">
        <f>408.5+(337.4-45.1)+(0.208335+(0.172074-0.023001))+0-112.5-0.0573749999999886</f>
        <v>588.60003299999994</v>
      </c>
      <c r="Q346" s="3">
        <f>403.9+(355.4-62)+(-0.823956+(-0.725016--0.12648))+0-116.4--0.237455999999995</f>
        <v>579.7149639999999</v>
      </c>
      <c r="R346" s="3">
        <f>400.8+(354.5-146.4)+(-0.408816+(-0.36159--0.149328))+0-106.2--0.108324000000017</f>
        <v>502.18724600000002</v>
      </c>
      <c r="S346" s="3">
        <f>393.9+(360.5-142.3)+(-1.004445+(-0.919275--0.362865))+0-125.7--0.320534999999982</f>
        <v>485.15967999999998</v>
      </c>
      <c r="T346" s="3">
        <f>390.4+(310.6-80.3)+(-0.398208+(-0.316812--0.081906))+0-105.7--0.107814000000017</f>
        <v>514.47469999999998</v>
      </c>
      <c r="U346" s="3">
        <f>389.4+(303.6-87.2)+(-1.191564+(-0.929016--0.266832))+0-102.9--0.314874000000012</f>
        <v>501.36112600000001</v>
      </c>
      <c r="V346" s="3">
        <f>392.6+(323.1-122.7)+(0+(0-0))+0-118.8-0</f>
        <v>474.2</v>
      </c>
      <c r="W346" s="3">
        <f>392+(360.5-111.1)+(-0.39984+(-0.36771--0.113322))+0-134.6--0.137292000000021</f>
        <v>506.28306399999997</v>
      </c>
      <c r="X346" s="3">
        <f>401.2+(442.5-105.3)+(0.409224+(0.45135-0.107406))+0-127.4-0.12994800000002</f>
        <v>611.62321999999995</v>
      </c>
      <c r="Y346" s="3">
        <f>400.5+(404.9-71)+(-0.612765+(-0.619497--0.10863))+0-131.2--0.200736000000008</f>
        <v>602.27710400000001</v>
      </c>
      <c r="Z346" s="3">
        <f>397+(385.6-26.8)+(-0.80988+(-0.786624--0.054672))+0-116.6--0.237863999999995</f>
        <v>637.89603199999988</v>
      </c>
      <c r="AA346" s="3">
        <f>399.1+(370.5-22.8)+(-0.203541+(-0.188955--0.011628))+0-130.5--0.0665549999999868</f>
        <v>615.98568699999998</v>
      </c>
      <c r="AB346" s="3">
        <f>404.1+(355.1-7.1)+(-0.412182+(-0.362202--0.007242))+0-127.4--0.12994800000002</f>
        <v>624.06280600000002</v>
      </c>
      <c r="AC346" s="3">
        <f>405+(386.9-46)+(-0.20655+(-0.197319--0.02346))+0-111--0.0566099999999887</f>
        <v>634.57620099999997</v>
      </c>
      <c r="AD346" s="2">
        <v>651.19999999999993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416+(377.2-58.9)+(-0.42432+(-0.384744--0.060078))+0-110.1--0.112302000000018</f>
        <v>623.56331599999999</v>
      </c>
      <c r="G347" s="3">
        <f>415.5+(347.6-58.5)+(-0.211905+(-0.177276--0.029835))+0-123.9--0.0631889999999874</f>
        <v>580.40384300000005</v>
      </c>
      <c r="H347" s="3">
        <f>414.9+(330.6-98.1)+(-0.423198+(-0.337212--0.100062))+0-132.3--0.134946000000021</f>
        <v>514.57459800000004</v>
      </c>
      <c r="I347" s="3">
        <f>386.5+(337.6-78.8)+(0.197115+(0.172176-0.040188))+0-131.2-0.0669119999999867</f>
        <v>514.36219099999994</v>
      </c>
      <c r="J347" s="3">
        <f>383.9+(330.1-69.2)+(-0.783156+(-0.673404--0.141168))+0-121.1--0.247043999999995</f>
        <v>522.63165199999992</v>
      </c>
      <c r="K347" s="3">
        <f>386.3+(347.5-80.6)+(0.197013+(0.177225-0.041106))+0-138.5-0.0706349999999859</f>
        <v>514.96249699999998</v>
      </c>
      <c r="L347" s="3">
        <f>382.6+(318.4-105.2)+(-1.170756+(-0.974304--0.321912))+0-119.8--0.366588000000014</f>
        <v>474.54344000000003</v>
      </c>
      <c r="M347" s="3">
        <f>384.5+(361.9-170.6)+(-0.588285+(-0.553707--0.261018))+0-133.9--0.204867000000008</f>
        <v>441.22389299999998</v>
      </c>
      <c r="N347" s="3">
        <f>386.4+(279.5-82.5)+(-0.197064+(-0.142545--0.042075))+0-96--0.0489599999999903</f>
        <v>487.1514259999999</v>
      </c>
      <c r="O347" s="3">
        <f>396.7+(269.3-38.1)+(-0.202317+(-0.137343--0.019431))+0-66.6--0.0339659999999932</f>
        <v>561.01373699999988</v>
      </c>
      <c r="P347" s="3">
        <f>394.4+(302.8-11.2)+(-0.201144+(-0.154428--0.005712))+0-73.2--0.0373319999999926</f>
        <v>612.48747199999991</v>
      </c>
      <c r="Q347" s="3">
        <f>391.1+(313.6-12.3)+(0+(0-0))+0-60.9-0</f>
        <v>631.50000000000011</v>
      </c>
      <c r="R347" s="3">
        <f>389.2+(368.6-9.4)+(-0.595476+(-0.563958--0.014382))+0-90.6--0.138618000000005</f>
        <v>656.79356600000006</v>
      </c>
      <c r="S347" s="3">
        <f>386.9+(335.7-5.6)+(0.394638+(0.342414-0.005712))+0-112-0.114240000000018</f>
        <v>605.61710000000005</v>
      </c>
      <c r="T347" s="3">
        <f>387.6+(315.5-7.3)+(0+(0-0))+0-107.2-0</f>
        <v>588.59999999999991</v>
      </c>
      <c r="U347" s="3">
        <f>388.7+(281.8-10.8)+(-0.594711+(-0.431154--0.016524))+0-93.8--0.143514000000005</f>
        <v>565.03417300000012</v>
      </c>
      <c r="V347" s="3">
        <f>387.3+(332.7-4.8)+(0.395046+(0.339354-0.004896))+0-124.8-0.12729600000002</f>
        <v>591.00220800000011</v>
      </c>
      <c r="W347" s="3">
        <f>391.1+(415.7-0)+(0.199461+(0.212007-0))+0-124.7-0.0635969999999874</f>
        <v>682.44787099999996</v>
      </c>
      <c r="X347" s="3">
        <f>394.8+(546.7-16)+(0+(0-0))+0-144.6-0</f>
        <v>780.9</v>
      </c>
      <c r="Y347" s="3">
        <f>395.8+(476.1-19.8)+(-0.201858+(-0.242811--0.010098))+0-140.5--0.0716549999999857</f>
        <v>711.23708399999998</v>
      </c>
      <c r="Z347" s="3">
        <f>398.1+(461.4-16)+(-0.203031+(-0.235314--0.00816))+0-140.8--0.0718079999999857</f>
        <v>702.34162299999991</v>
      </c>
      <c r="AA347" s="3">
        <f>400.5+(406.8-16)+(-0.204255+(-0.207468--0.00816))+0-139.9--0.0713489999999858</f>
        <v>651.06778599999996</v>
      </c>
      <c r="AB347" s="3">
        <f>403.4+(364.9-15)+(-0.411468+(-0.372198--0.0153))+0-136.2--0.138924000000022</f>
        <v>616.47055799999987</v>
      </c>
      <c r="AC347" s="3">
        <f>404.1+(327.3-17.4)+(0.206091+(0.166923-0.008874))+0-150.4-0.0767039999999847</f>
        <v>563.88743600000009</v>
      </c>
      <c r="AD347" s="2">
        <v>566.79999999999995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405.6+(304.9-20.9)+(-1.03428+(-0.777495--0.053295))+0-133.3--0.339914999999981</f>
        <v>554.88143500000001</v>
      </c>
      <c r="G348" s="3">
        <f>405.3+(341.1-12)+(0.413406+(0.347922-0.01224))+0-140.1-0.142902000000022</f>
        <v>594.90618600000005</v>
      </c>
      <c r="H348" s="3">
        <f>403.9+(320.2-18)+(-0.823956+(-0.653208--0.03672))+0-127.8--0.260711999999994</f>
        <v>577.12026800000001</v>
      </c>
      <c r="I348" s="3">
        <f>404.3+(300.4-15)+(-0.412386+(-0.306408--0.0153))+0-131.7--0.134334000000021</f>
        <v>557.4308400000001</v>
      </c>
      <c r="J348" s="3">
        <f>407.4+(284.8-12)+(0.207774+(0.145248-0.00612))+0-132.3-0.0674729999999866</f>
        <v>548.17942900000014</v>
      </c>
      <c r="K348" s="3">
        <f>410.3+(286.1-24)+(0+(0-0))+0-121.6-0</f>
        <v>550.80000000000007</v>
      </c>
      <c r="L348" s="3">
        <f>410.1+(287.1-85.4)+(-0.209151+(-0.146421--0.043554))+0-129.2--0.0658919999999869</f>
        <v>482.35387400000008</v>
      </c>
      <c r="M348" s="3">
        <f>410.1+(348.5-35.2)+(0.418302+(0.35547-0.035904))+0-124.9-0.12739800000002</f>
        <v>599.11047000000019</v>
      </c>
      <c r="N348" s="3">
        <f>405.2+(384.5-22)+(0+(0-0))+0-144.4-0</f>
        <v>623.30000000000007</v>
      </c>
      <c r="O348" s="3">
        <f>396.5+(391.9-23)+(0.606645+(0.599607-0.03519))+0-122.5-0.187425000000007</f>
        <v>643.88363700000002</v>
      </c>
      <c r="P348" s="3">
        <f>390.9+(396.9-22)+(0.199359+(0.202419-0.01122))+0-139.4-0.0710939999999859</f>
        <v>626.71946400000002</v>
      </c>
      <c r="Q348" s="3">
        <f>386.1+(330-18)+(0+(0-0))+0-96.1-0</f>
        <v>602</v>
      </c>
      <c r="R348" s="3">
        <f>384.1+(318.9-29.2)+(-0.195891+(-0.162639--0.014892))+0-130.4--0.0665039999999868</f>
        <v>543.12286599999993</v>
      </c>
      <c r="S348" s="3">
        <f>380.5+(270.8-49.5)+(-0.38811+(-0.276216--0.05049))+0-140.5--0.143310000000022</f>
        <v>460.829474</v>
      </c>
      <c r="T348" s="3">
        <f>381.3+(234.4-53.3)+(-0.388926+(-0.239088--0.054366))+0-116.9--0.119238000000019</f>
        <v>445.04559000000006</v>
      </c>
      <c r="U348" s="3">
        <f>378.8+(284.3-29.8)+(-0.193188+(-0.144993--0.015198))+0-141.4--0.0721139999999857</f>
        <v>491.64913099999995</v>
      </c>
      <c r="V348" s="3">
        <f>377.8+(268.9-26.1)+(-0.192678+(-0.137139--0.013311))+0-109.4--0.0557939999999889</f>
        <v>510.93928800000003</v>
      </c>
      <c r="W348" s="3">
        <f>383+(325.9-18)+(-0.19533+(-0.166209--0.00918))+0-100.7--0.0513569999999898</f>
        <v>589.89899799999989</v>
      </c>
      <c r="X348" s="3">
        <f>386.8+(447-54.5)+(0.394536+(0.45594-0.05559))+0-121-0.123420000000019</f>
        <v>658.97146599999996</v>
      </c>
      <c r="Y348" s="3">
        <f>391.1+(460.4-40.2)+(-0.997305+(-1.17402--0.10251))+0-134.6--0.34322999999998</f>
        <v>674.97441499999991</v>
      </c>
      <c r="Z348" s="3">
        <f>398.3+(441.2-29.8)+(-0.406266+(-0.450024--0.030396))+0-134--0.136680000000021</f>
        <v>675.01078600000017</v>
      </c>
      <c r="AA348" s="3">
        <f>403.5+(382.8-38.8)+(-1.028925+(-0.97614--0.09894))+0-121.7--0.310334999999982</f>
        <v>624.20420999999999</v>
      </c>
      <c r="AB348" s="3">
        <f>405.9+(358.9-27.4)+(-1.035045+(-0.915195--0.06987))+0-128--0.326399999999981</f>
        <v>607.84603000000004</v>
      </c>
      <c r="AC348" s="3">
        <f>406.9+(371.7-0)+(-0.207519+(-0.189567-0))+0-140.8--0.0718079999999857</f>
        <v>637.47472200000004</v>
      </c>
      <c r="AD348" s="2">
        <v>645.80000000000007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409.6+(273.9-0)+(-0.835584+(-0.558756-0))+0-125.8--0.256631999999994</f>
        <v>556.56229199999996</v>
      </c>
      <c r="G349" s="3">
        <f>411.2+(231.8-19)+(-0.419424+(-0.236436--0.01938))+0-140.1--0.142902000000022</f>
        <v>483.40642200000002</v>
      </c>
      <c r="H349" s="3">
        <f>411.9+(258.7-51.9)+(-0.630207+(-0.395811--0.079407))+0-130.2--0.199206000000008</f>
        <v>487.75259499999999</v>
      </c>
      <c r="I349" s="3">
        <f>412+(245.7-55.3)+(-0.84048+(-0.501228--0.112812))+0-131.3--0.267851999999994</f>
        <v>470.13895600000001</v>
      </c>
      <c r="J349" s="3">
        <f>414.1+(234.4-66.5)+(0.211191+(0.119544-0.033915))+0-135.8-0.0692579999999862</f>
        <v>446.42756200000002</v>
      </c>
      <c r="K349" s="3">
        <f>412.6+(248.1-75.7)+(0.631278+(0.379593-0.115821))+0-119.8-0.183294000000007</f>
        <v>465.91175599999997</v>
      </c>
      <c r="L349" s="3">
        <f>414.9+(230.2-98.4)+(0.634797+(0.352206-0.150552))+0-126-0.192780000000007</f>
        <v>421.34367099999992</v>
      </c>
      <c r="M349" s="3">
        <f>414.1+(221.1-86.4)+(0.422382+(0.225522-0.088128))+0-130.8-0.133416000000021</f>
        <v>418.42635999999999</v>
      </c>
      <c r="N349" s="3">
        <f>414+(204-52)+(0+(0-0))+0-96.3-0</f>
        <v>469.7</v>
      </c>
      <c r="O349" s="3">
        <f>391.4+(257.2-40.3)+(-0.598842+(-0.393516--0.061659))+0-107.7--0.164781000000006</f>
        <v>499.83408199999997</v>
      </c>
      <c r="P349" s="3">
        <f>403+(338.8-33)+(0+(0-0))+0-127.2-0</f>
        <v>581.59999999999991</v>
      </c>
      <c r="Q349" s="3">
        <f>385.6+(341.9-32.4)+(-0.98328+(-0.871845--0.08262))+0-124.9--0.318494999999982</f>
        <v>568.74599000000001</v>
      </c>
      <c r="R349" s="3">
        <f>407.5+(302.9-47.4)+(-0.41565+(-0.308958--0.048348))+0-120.7--0.123114000000019</f>
        <v>541.74685399999998</v>
      </c>
      <c r="S349" s="3">
        <f>443.6+(303.7-66.4)+(0.452472+(0.309774-0.067728))+0-116.8-0.119136000000019</f>
        <v>564.67538200000001</v>
      </c>
      <c r="T349" s="3">
        <f>443.5+(292.5-55.4)+(-0.90474+(-0.5967--0.113016))+0-129.6--0.264383999999994</f>
        <v>549.87595999999996</v>
      </c>
      <c r="U349" s="3">
        <f>442.9+(309.8-47.7)+(0+(0-0))+0-136.1-0</f>
        <v>568.9</v>
      </c>
      <c r="V349" s="3">
        <f>452.9+(324.2-52.3)+(-0.230979+(-0.165342--0.026673))+0-108.2--0.055181999999989</f>
        <v>616.28553399999987</v>
      </c>
      <c r="W349" s="3">
        <f>440.1+(371.2-43.7)+(0+(0-0))+0-144.6-0</f>
        <v>623</v>
      </c>
      <c r="X349" s="3">
        <f>518.9+(416.7-19.2)+(0+(0-0))+0-140.6-0</f>
        <v>775.8</v>
      </c>
      <c r="Y349" s="3">
        <f>524+(424.2-4.6)+(-0.26724+(-0.216342--0.002346))+0-155.6--0.0793559999999842</f>
        <v>787.59811999999988</v>
      </c>
      <c r="Z349" s="3">
        <f>530.7+(379.1-6.4)+(-1.353285+(-0.966705--0.01632))+0-128--0.326399999999981</f>
        <v>773.42273000000012</v>
      </c>
      <c r="AA349" s="3">
        <f>537.3+(327.4-27.9)+(0+(0-0))+0-143.9-0</f>
        <v>692.9</v>
      </c>
      <c r="AB349" s="3">
        <f>532.3+(240-10.5)+(-1.357365+(-0.612--0.026775))+0-129.9--0.331244999999981</f>
        <v>630.28865499999995</v>
      </c>
      <c r="AC349" s="3">
        <f>570+(232.3-8.3)+(-1.4535+(-0.592365--0.021165))+0-126.4--0.322319999999982</f>
        <v>665.89761999999996</v>
      </c>
      <c r="AD349" s="2">
        <v>688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577.8+(123.6-36.9)+(-0.589356+(-0.126072--0.037638))+0-112.6--0.114852000000018</f>
        <v>551.33706200000006</v>
      </c>
      <c r="G350" s="3">
        <f>505.5+(135.6-81.1)+(0.257805+(0.069156-0.041361))+0-101.3-0.0516629999999897</f>
        <v>458.93393700000007</v>
      </c>
      <c r="H350" s="3">
        <f>407.7+(206.3-57.6)+(0+(0-0))+0-120-0</f>
        <v>436.4</v>
      </c>
      <c r="I350" s="3">
        <f>441.2+(172.5-74.9)+(-0.675036+(-0.263925--0.114597))+0-124.7--0.190791000000007</f>
        <v>413.46642700000001</v>
      </c>
      <c r="J350" s="3">
        <f>363.7+(243.9-43.5)+(0.370974+(0.248778-0.04437))+0-123.7-0.12617400000002</f>
        <v>440.84920800000003</v>
      </c>
      <c r="K350" s="3">
        <f>329.7+(279.8-10.2)+(-0.336294+(-0.285396--0.010404))+0-130.8--0.133416000000021</f>
        <v>468.02213</v>
      </c>
      <c r="L350" s="3">
        <f>329.5+(268.2-11.8)+(-0.33609+(-0.273564--0.012036))+0-119.9--0.122298000000019</f>
        <v>465.52467999999999</v>
      </c>
      <c r="M350" s="3">
        <f>331.5+(252.9-46.4)+(0.33813+(0.257958-0.047328))+0-138.9-0.141678000000022</f>
        <v>399.50708200000003</v>
      </c>
      <c r="N350" s="3">
        <f>331.2+(275.4-57.4)+(0+(0-0))+0-112.4-0</f>
        <v>436.79999999999995</v>
      </c>
      <c r="O350" s="3">
        <f>387.4+(280.5-40.8)+(0+(0-0))+0-134-0</f>
        <v>493.09999999999991</v>
      </c>
      <c r="P350" s="3">
        <f>398.1+(298.8-37.7)+(0.203031+(0.152388-0.019227))+0-120.1-0.0612509999999878</f>
        <v>539.37494100000004</v>
      </c>
      <c r="Q350" s="3">
        <f>397.8+(305.9-48.8)+(0.608634+(0.468027-0.074664))+0-130.5-0.199665000000008</f>
        <v>525.20233199999996</v>
      </c>
      <c r="R350" s="3">
        <f>396.1+(318.2-66.2)+(-0.808044+(-0.649128--0.135048))+0-122.9--0.250715999999995</f>
        <v>524.12859200000003</v>
      </c>
      <c r="S350" s="3">
        <f>392.6+(274.8-68.6)+(-0.400452+(-0.280296--0.069972))+0-115.3--0.117606000000018</f>
        <v>483.00683000000009</v>
      </c>
      <c r="T350" s="3">
        <f>390.3+(281.9-52.6)+(0+(0-0))+0-110.2-0</f>
        <v>509.40000000000003</v>
      </c>
      <c r="U350" s="3">
        <f>388.6+(293.7-35.1)+(0.198186+(0.149787-0.017901))+0-132-0.0673199999999866</f>
        <v>515.46275200000002</v>
      </c>
      <c r="V350" s="3">
        <f>388.1+(293.3-39.7)+(-0.197931+(-0.149583--0.020247))+0-103--0.0525299999999896</f>
        <v>538.42526299999997</v>
      </c>
      <c r="W350" s="3">
        <f>389.3+(366.1-33.5)+(-0.198543+(-0.186711--0.017085))+0-138.4--0.070583999999986</f>
        <v>583.20241500000009</v>
      </c>
      <c r="X350" s="3">
        <f>390.8+(448.3-28.4)+(-0.398616+(-0.457266--0.028968))+0-137.1--0.139842000000022</f>
        <v>672.91292800000008</v>
      </c>
      <c r="Y350" s="3">
        <f>395.6+(445.6-18)+(-0.605268+(-0.681768--0.02754))+0-145.8--0.223074000000008</f>
        <v>676.36357799999996</v>
      </c>
      <c r="Z350" s="3">
        <f>396.9+(401.5-26.9)+(0+(0-0))+0-131.2-0</f>
        <v>640.29999999999995</v>
      </c>
      <c r="AA350" s="3">
        <f>397.4+(366.4-27.3)+(0+(0-0))+0-144.6-0</f>
        <v>591.9</v>
      </c>
      <c r="AB350" s="3">
        <f>399.6+(340.8-42.5)+(-1.01898+(-0.86904--0.108375))+0-125.6--0.320279999999982</f>
        <v>570.84063500000013</v>
      </c>
      <c r="AC350" s="3">
        <f>400.7+(276.3-0)+(-1.634856+(-1.127304-0))+0-140.2--0.572015999999988</f>
        <v>534.60985599999992</v>
      </c>
      <c r="AD350" s="2">
        <v>668.09999999999991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398.2+(204-0)+(-0.812328+(-0.41616-0))+0-120.8--0.246431999999995</f>
        <v>480.41794400000003</v>
      </c>
      <c r="G351" s="3">
        <f>366.8+(264.7-0)+(-0.561204+(-0.404991-0))+0-132.7--0.203031000000008</f>
        <v>498.03683600000005</v>
      </c>
      <c r="H351" s="3">
        <f>302.7+(337.4-20.7)+(-0.617508+(-0.688296--0.042228))+0-137.3--0.280091999999994</f>
        <v>481.11651599999999</v>
      </c>
      <c r="I351" s="3">
        <f>298.2+(322.5-16.4)+(-0.304164+(-0.32895--0.016728))+0-128.5--0.13107000000002</f>
        <v>475.31468399999994</v>
      </c>
      <c r="J351" s="3">
        <f>301.5+(310.1-16.7)+(0.61506+(0.632604-0.034068))+0-133.7-0.272747999999994</f>
        <v>462.14084800000018</v>
      </c>
      <c r="K351" s="3">
        <f>300.1+(376.6-16.7)+(0+(0-0))+0-126.7-0</f>
        <v>533.29999999999995</v>
      </c>
      <c r="L351" s="3">
        <f>300.6+(356.9-19.7)+(0.459918+(0.546057-0.030141))+0-136.1-0.208233000000008</f>
        <v>502.46760099999989</v>
      </c>
      <c r="M351" s="3">
        <f>300.3+(301.3-0)+(0.153153+(0.153663-0))+0-103.6-0.0528359999999895</f>
        <v>498.25398000000001</v>
      </c>
      <c r="N351" s="3">
        <f>376.4+(341.4-0)+(0.191964+(0.174114-0))+0-116.7-0.0595169999999882</f>
        <v>601.4065609999999</v>
      </c>
      <c r="O351" s="3">
        <f>382.4+(368.1-0)+(0.390048+(0.375462-0))+0-95.8-0.0977160000000153</f>
        <v>655.367794</v>
      </c>
      <c r="P351" s="3">
        <f>378.6+(395.1-0)+(0+(0-0))+0-108.5-0</f>
        <v>665.2</v>
      </c>
      <c r="Q351" s="3">
        <f>376.9+(425.4-0)+(-0.576657+(-0.650862-0))+0-113.4--0.173502000000007</f>
        <v>687.84598299999993</v>
      </c>
      <c r="R351" s="3">
        <f>415.9+(334.9-0)+(-1.272654+(-1.024794-0))+0-111.4--0.340884000000013</f>
        <v>637.44343599999991</v>
      </c>
      <c r="S351" s="3">
        <f>459.4+(271.8-0)+(0.468588+(0.277236-0))+0-115.1-0.117402000000018</f>
        <v>616.72842200000002</v>
      </c>
      <c r="T351" s="3">
        <f>514.9+(225.6-0)+(0+(0-0))+0-113.3-0</f>
        <v>627.20000000000005</v>
      </c>
      <c r="U351" s="3">
        <f>506.7+(251.8-0)+(-0.258417+(-0.128418-0))+0-122--0.0622199999999876</f>
        <v>636.17538500000001</v>
      </c>
      <c r="V351" s="3">
        <f>455.1+(295.6-0)+(-0.232101+(-0.150756-0))+0-109.9--0.0560489999999889</f>
        <v>640.47319200000015</v>
      </c>
      <c r="W351" s="3">
        <f>455.2+(334.1-0)+(-0.232152+(-0.170391-0))+0-121.7--0.0620669999999877</f>
        <v>667.25952399999983</v>
      </c>
      <c r="X351" s="3">
        <f>455.7+(375-0)+(-0.232407+(-0.19125-0))+0-119.1--0.0607409999999879</f>
        <v>711.23708399999998</v>
      </c>
      <c r="Y351" s="3">
        <f>467.7+(336.9-0)+(-0.238527+(-0.171819-0))+0-125.2--0.0638519999999873</f>
        <v>679.05350599999986</v>
      </c>
      <c r="Z351" s="3">
        <f>474.6+(305.8-0)+(-0.726138+(-0.467874-0))+0-108.1--0.165393000000006</f>
        <v>671.27138100000002</v>
      </c>
      <c r="AA351" s="3">
        <f>481.8+(255.7-0)+(-0.982872+(-0.521628-0))+0-94.5--0.192779999999996</f>
        <v>641.68827999999996</v>
      </c>
      <c r="AB351" s="3">
        <f>485.3+(191.2-2)+(-1.237515+(-0.48756--0.0051))+0-128.3--0.327164999999981</f>
        <v>544.80719000000011</v>
      </c>
      <c r="AC351" s="3">
        <f>488.9+(155.8-31.6)+(-0.748017+(-0.238374--0.048348))+0-121--0.185130000000007</f>
        <v>491.34708700000004</v>
      </c>
      <c r="AD351" s="2">
        <v>692.8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481.5+(131.5-39.9)+(-0.49113+(-0.13413--0.040698))+0-108.4--0.110568000000017</f>
        <v>464.22600600000004</v>
      </c>
      <c r="G352" s="3">
        <f>482.1+(150.2-41.6)+(-0.983484+(-0.306408--0.084864))+0-107.6--0.219503999999995</f>
        <v>482.11447600000002</v>
      </c>
      <c r="H352" s="3">
        <f>487.9+(200.6-46)+(0.746487+(0.306918-0.07038))+0-93.7-0.143361000000005</f>
        <v>549.63966399999993</v>
      </c>
      <c r="I352" s="3">
        <f>490.6+(207.9-66.8)+(0.250206+(0.106029-0.034068))+0-100.6-0.0513059999999898</f>
        <v>531.3708610000001</v>
      </c>
      <c r="J352" s="3">
        <f>488.2+(220.5-51.5)+(0.995928+(0.44982-0.10506))+0-119.9-0.244595999999995</f>
        <v>538.39609200000007</v>
      </c>
      <c r="K352" s="3">
        <f>478.9+(185.9-15.4)+(-1.221195+(-0.474045--0.03927))+0-117.5--0.299624999999983</f>
        <v>530.54365499999994</v>
      </c>
      <c r="L352" s="3">
        <f>481.1+(155.6-21.6)+(0+(0-0))+0-117-0</f>
        <v>498.1</v>
      </c>
      <c r="M352" s="3">
        <f>478.1+(156.6-17.3)+(0+(0-0))+0-109.9-0</f>
        <v>507.5</v>
      </c>
      <c r="N352" s="3">
        <f>478.9+(233.5-7.6)+(0.732717+(0.357255-0.011628))+0-121.7-0.186201000000007</f>
        <v>583.99214299999994</v>
      </c>
      <c r="O352" s="3">
        <f>474.2+(318.1-0)+(0.725526+(0.486693-0))+0-119.6-0.182988000000007</f>
        <v>673.72923099999991</v>
      </c>
      <c r="P352" s="3">
        <f>466.6+(304.4-0)+(0.237966+(0.155244-0))+0-121.8-0.0621179999999876</f>
        <v>649.53109200000006</v>
      </c>
      <c r="Q352" s="3">
        <f>454.9+(316.3-0)+(-0.695997+(-0.483939-0))+0-128.4--0.196452000000007</f>
        <v>641.81651600000009</v>
      </c>
      <c r="R352" s="3">
        <f>449.8+(323.5-0)+(-0.688194+(-0.494955-0))+0-116.3--0.177939000000007</f>
        <v>655.99479000000008</v>
      </c>
      <c r="S352" s="3">
        <f>446.4+(274.8-0)+(-0.682992+(-0.420444-0))+0-126.1--0.192933000000007</f>
        <v>594.18949700000007</v>
      </c>
      <c r="T352" s="3">
        <f>453.8+(241-0)+(-0.231438+(-0.12291-0))+0-125.7--0.0641069999999872</f>
        <v>568.80975899999999</v>
      </c>
      <c r="U352" s="3">
        <f>451+(238-0)+(-0.46002+(-0.24276-0))+0-144.9--0.147798000000023</f>
        <v>543.54501800000003</v>
      </c>
      <c r="V352" s="3">
        <f>475.4+(214.8-0)+(0+(0-0))+0-100.4-0</f>
        <v>589.80000000000007</v>
      </c>
      <c r="W352" s="3">
        <f>502.6+(230.3-0)+(0+(0-0))+0-107.6-0</f>
        <v>625.30000000000007</v>
      </c>
      <c r="X352" s="3">
        <f>594.6+(211-33)+(-0.606492+(-0.21522--0.03366))+0-119.8--0.122196000000019</f>
        <v>652.13414400000011</v>
      </c>
      <c r="Y352" s="3">
        <f>588.6+(212.8-13)+(-2.101302+(-0.759696--0.04641))+0-132--0.471240000000002</f>
        <v>654.0566520000001</v>
      </c>
      <c r="Z352" s="3">
        <f>627.1+(142-74.1)+(0+(0-0))+0-132.6-0</f>
        <v>562.4</v>
      </c>
      <c r="AA352" s="3">
        <f>621+(171.1-129.9)+(-1.90026+(-0.523566--0.397494))+0-135.3--0.414018000000016</f>
        <v>525.28768600000001</v>
      </c>
      <c r="AB352" s="3">
        <f>619.8+(108.8-100)+(-2.528784+(-0.443904--0.408))+0-130.9--0.534071999999989</f>
        <v>495.66938399999987</v>
      </c>
      <c r="AC352" s="3">
        <f>611.1+(79.6-84.9)+(-1.246644+(-0.162384--0.173196))+0-137.6--0.280703999999994</f>
        <v>467.24487199999999</v>
      </c>
      <c r="AD352" s="2">
        <v>654.29999999999995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450+(105.2-42)+(-0.2295+(-0.053652--0.02142))+0-133.3--0.0679829999999865</f>
        <v>379.70625099999995</v>
      </c>
      <c r="G353" s="3">
        <f>343.8+(206.2-0)+(-0.350676+(-0.210324-0))+0-129.2--0.131784000000021</f>
        <v>420.37078400000001</v>
      </c>
      <c r="H353" s="3">
        <f>292.2+(288.7-0)+(0.149022+(0.147237-0))+0-131-0.0668099999999867</f>
        <v>450.12944899999997</v>
      </c>
      <c r="I353" s="3">
        <f>292.2+(270-0)+(0.149022+(0.1377-0))+0-129.5-0.0660449999999869</f>
        <v>432.92067700000013</v>
      </c>
      <c r="J353" s="3">
        <f>293.1+(257.4-0)+(0.448443+(0.393822-0))+0-143-0.218790000000008</f>
        <v>408.12347499999998</v>
      </c>
      <c r="K353" s="3">
        <f>289.9+(192.4-0)+(-0.443547+(-0.294372-0))+0-122.3--0.187119000000007</f>
        <v>359.44919999999996</v>
      </c>
      <c r="L353" s="3">
        <f>264.1+(185.3-0)+(-0.134691+(-0.094503-0))+0-124.3--0.0633929999999874</f>
        <v>324.93419899999998</v>
      </c>
      <c r="M353" s="3">
        <f>228.9+(240-4)+(0.233478+(0.2448-0.00408))+0-137.8-0.140556000000022</f>
        <v>327.43364199999996</v>
      </c>
      <c r="N353" s="3">
        <f>214.1+(245.7-32)+(0.109191+(0.125307-0.01632))+0-110.6-0.0564059999999888</f>
        <v>317.36177200000003</v>
      </c>
      <c r="O353" s="3">
        <f>103.3+(410.4-0)+(0+(0-0))+0-126.5-0</f>
        <v>387.19999999999993</v>
      </c>
      <c r="P353" s="3">
        <f>102.6+(467.8-0)+(0+(0-0))+0-106.3-0</f>
        <v>464.09999999999997</v>
      </c>
      <c r="Q353" s="3">
        <f>119.7+(447.2-0)+(-0.061047+(-0.228072-0))+0-129.3--0.0659429999999869</f>
        <v>437.37682399999994</v>
      </c>
      <c r="R353" s="3">
        <f>342.2+(351.1-3)+(-0.698088+(-0.716244--0.00612))+0-110.6--0.225623999999995</f>
        <v>578.51741199999992</v>
      </c>
      <c r="S353" s="3">
        <f>345.6+(218.2-17)+(-0.176256+(-0.111282--0.00867))+0-93.4--0.0476339999999905</f>
        <v>453.16876600000001</v>
      </c>
      <c r="T353" s="3">
        <f>303.6+(185.8-31)+(0.154836+(0.094758-0.01581))+0-105.8-0.0539579999999893</f>
        <v>352.77982600000007</v>
      </c>
      <c r="U353" s="3">
        <f>304.4+(182.1-24)+(0.310488+(0.185742-0.02448))+0-83.6-0.0852720000000133</f>
        <v>379.28647799999999</v>
      </c>
      <c r="V353" s="3">
        <f>285.2+(230.4-0)+(-0.436356+(-0.352512-0))+0-85--0.130050000000005</f>
        <v>429.94118200000003</v>
      </c>
      <c r="W353" s="3">
        <f>242.3+(281.1-0)+(0.494292+(0.573444-0))+0-90.6-0.184823999999996</f>
        <v>433.68291200000004</v>
      </c>
      <c r="X353" s="3">
        <f>315.8+(332.9-0)+(-0.322116+(-0.339558-0))+0-132.4--0.135048000000021</f>
        <v>515.7733740000001</v>
      </c>
      <c r="Y353" s="3">
        <f>369.1+(377.6-0)+(-0.752964+(-0.770304-0))+0-127.6--0.260303999999994</f>
        <v>617.83703600000001</v>
      </c>
      <c r="Z353" s="3">
        <f>365.3+(411.8-0)+(-0.745212+(-0.840072-0))+0-138.6--0.282743999999994</f>
        <v>637.19745999999998</v>
      </c>
      <c r="AA353" s="3">
        <f>366.7+(347.8-0)+(0.561051+(0.532134-0))+0-136.5-0.208845000000008</f>
        <v>578.88433999999995</v>
      </c>
      <c r="AB353" s="3">
        <f>378+(330.2-0)+(-0.9639+(-0.84201-0))+0-130--0.331499999999981</f>
        <v>576.72559000000001</v>
      </c>
      <c r="AC353" s="3">
        <f>418.5+(234.8-2.3)+(0+(0-0))+0-124.3-0</f>
        <v>526.70000000000005</v>
      </c>
      <c r="AD353" s="2">
        <v>653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407+(203.8-0)+(-0.41514+(-0.207876-0))+0-127.9--0.13045800000002</f>
        <v>482.407442</v>
      </c>
      <c r="G354" s="3">
        <f>291.3+(298.5-13)+(0+(0-0))+0-140.5-0</f>
        <v>436.29999999999995</v>
      </c>
      <c r="H354" s="3">
        <f>290.2+(273.8-3)+(0+(0-0))+0-127.9-0</f>
        <v>433.1</v>
      </c>
      <c r="I354" s="3">
        <f>304.8+(201.8-21)+(-0.77724+(-0.51459--0.05355))+0-133.5--0.340424999999981</f>
        <v>351.20214500000003</v>
      </c>
      <c r="J354" s="3">
        <f>353.3+(194.5-15)+(-0.180183+(-0.099195--0.00765))+0-134.2--0.0684419999999864</f>
        <v>398.39671399999992</v>
      </c>
      <c r="K354" s="3">
        <f>414.1+(161.8-0)+(0+(0-0))+0-139.3-0</f>
        <v>436.60000000000008</v>
      </c>
      <c r="L354" s="3">
        <f>486.8+(70.6-17.3)+(-0.496536+(-0.072012--0.017646))+0-110.1--0.112302000000018</f>
        <v>429.56140000000005</v>
      </c>
      <c r="M354" s="3">
        <f>494.6+(55.9-40)+(0.252246+(0.028509-0.0204))+0-130.4-0.0665039999999868</f>
        <v>380.29385100000002</v>
      </c>
      <c r="N354" s="3">
        <f>487.4+(76.6-41.2)+(-0.745722+(-0.117198--0.063036))+0-112.6--0.172278000000007</f>
        <v>409.57239399999992</v>
      </c>
      <c r="O354" s="3">
        <f>486.7+(111.1-14.9)+(0.744651+(0.169983-0.022797))+0-135.2-0.206856000000008</f>
        <v>448.38498099999998</v>
      </c>
      <c r="P354" s="3">
        <f>485.2+(157.2-26.2)+(0+(0-0))+0-121.8-0</f>
        <v>494.40000000000003</v>
      </c>
      <c r="Q354" s="3">
        <f>485.2+(123.2-4.7)+(0.494904+(0.125664-0.004794))+0-139.7-0.142494000000022</f>
        <v>464.47328000000005</v>
      </c>
      <c r="R354" s="3">
        <f>485.3+(111.1-16.8)+(-0.247503+(-0.056661--0.008568))+0-117.8--0.0600779999999881</f>
        <v>461.56448199999994</v>
      </c>
      <c r="S354" s="3">
        <f>482.1+(168.4-61.4)+(-0.983484+(-0.343536--0.125256))+0-139.4--0.284375999999994</f>
        <v>448.78261200000003</v>
      </c>
      <c r="T354" s="3">
        <f>481+(167.6-124.3)+(-0.49062+(-0.170952--0.126786))+0-110--0.112200000000018</f>
        <v>413.87741399999993</v>
      </c>
      <c r="U354" s="3">
        <f>478.8+(166.8-91)+(-0.244188+(-0.085068--0.04641))+0-133.8--0.0682379999999864</f>
        <v>420.58539200000007</v>
      </c>
      <c r="V354" s="3">
        <f>479.5+(188.7-103.9)+(-0.48909+(-0.192474--0.105978))+0-123.8--0.12627600000002</f>
        <v>440.05068999999992</v>
      </c>
      <c r="W354" s="3">
        <f>482.3+(221-41.4)+(-0.737919+(-0.33813--0.063342))+0-133.3--0.203949000000008</f>
        <v>527.79124200000001</v>
      </c>
      <c r="X354" s="3">
        <f>485+(340.7-0)+(0.74205+(0.521271-0))+0-143.1-0.218943000000008</f>
        <v>683.64437800000007</v>
      </c>
      <c r="Y354" s="3">
        <f>483.8+(408.4-0)+(-0.493476+(-0.416568-0))+0-130.4--0.133008000000021</f>
        <v>761.02296400000012</v>
      </c>
      <c r="Z354" s="3">
        <f>481.5+(361.9-0)+(-0.98226+(-0.738276-0))+0-137.8--0.281111999999994</f>
        <v>704.16057599999988</v>
      </c>
      <c r="AA354" s="3">
        <f>447.4+(353.3-0)+(-0.912696+(-0.720732-0))+0-129.7--0.264587999999994</f>
        <v>669.63116000000014</v>
      </c>
      <c r="AB354" s="3">
        <f>298.2+(430.5-13.6)+(-0.912492+(-1.31733--0.041616))+0-141.9--0.434214000000016</f>
        <v>571.44600799999989</v>
      </c>
      <c r="AC354" s="3">
        <f>277.1+(355.6-8.2)+(-0.565284+(-0.725424--0.016728))+0-122.4--0.249695999999995</f>
        <v>501.07571599999994</v>
      </c>
      <c r="AD354" s="2">
        <v>612.79999999999995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215.8+(276.3-13.7)+(-0.330174+(-0.422739--0.020961))+0-132.1--0.202113000000008</f>
        <v>345.77016100000009</v>
      </c>
      <c r="G355" s="3">
        <f>205.9+(214.4-52.1)+(0+(0-0))+0-108.4-0</f>
        <v>259.80000000000007</v>
      </c>
      <c r="H355" s="3">
        <f>209.1+(218.4-43.4)+(-0.319923+(-0.334152--0.066402))+0-133.7--0.204561000000008</f>
        <v>250.01688800000005</v>
      </c>
      <c r="I355" s="3">
        <f>160.6+(259.4-34)+(0.081906+(0.132294-0.01734))+0-120.3-0.0613529999999878</f>
        <v>265.83550700000001</v>
      </c>
      <c r="J355" s="3">
        <f>159.7+(257.4-13)+(0.407235+(0.65637-0.03315))+0-120-0.305999999999983</f>
        <v>284.824455</v>
      </c>
      <c r="K355" s="3">
        <f>194.7+(257-26)+(0.297891+(0.39321-0.03978))+0-133.4-0.204102000000008</f>
        <v>292.74721899999997</v>
      </c>
      <c r="L355" s="3">
        <f>233.6+(240-70.2)+(-0.119136+(-0.1224--0.035802))+0-108.7--0.055436999999989</f>
        <v>294.54970299999997</v>
      </c>
      <c r="M355" s="3">
        <f>234.4+(273-57)+(0.239088+(0.27846-0.05814))+0-112.6-0.114852000000018</f>
        <v>338.14455599999997</v>
      </c>
      <c r="N355" s="3">
        <f>291.9+(267.4-47)+(0.148869+(0.136374-0.02397))+0-98.1-0.05003099999999</f>
        <v>414.4112419999999</v>
      </c>
      <c r="O355" s="3">
        <f>292.6+(391.1-39)+(0.447678+(0.598383-0.05967))+0-138.7-0.212211000000008</f>
        <v>506.77418000000006</v>
      </c>
      <c r="P355" s="3">
        <f>291.3+(416.8-28)+(0.445689+(0.637704-0.04284))+0-112.9-0.172737000000007</f>
        <v>568.06781600000011</v>
      </c>
      <c r="Q355" s="3">
        <f>285.1+(438-44)+(-0.727005+(-1.1169--0.1122))+0-103.7--0.264434999999985</f>
        <v>573.93272999999988</v>
      </c>
      <c r="R355" s="3">
        <f>285.1+(373.9-91.5)+(0+(0-0))+0-92.8-0</f>
        <v>474.7</v>
      </c>
      <c r="S355" s="3">
        <f>283.1+(450.2-89.5)+(0+(0-0))+0-115.3-0</f>
        <v>528.5</v>
      </c>
      <c r="T355" s="3">
        <f>284.4+(427.7-95.6)+(0+(0-0))+0-100.1-0</f>
        <v>516.4</v>
      </c>
      <c r="U355" s="3">
        <f>282.8+(424.4-156.7)+(0.288456+(0.432888-0.159834))+0-108.6-0.110772000000017</f>
        <v>442.35073799999998</v>
      </c>
      <c r="V355" s="3">
        <f>282.5+(438.6-176.4)+(0.432225+(0.671058-0.269892))+0-111.7-0.170901000000006</f>
        <v>433.66249000000005</v>
      </c>
      <c r="W355" s="3">
        <f>282.5+(499.1-165.6)+(0.28815+(0.509082-0.168912))+0-115.2-0.117504000000018</f>
        <v>501.31081600000005</v>
      </c>
      <c r="X355" s="3">
        <f>284.4+(613.3-125)+(0.290088+(0.625566-0.1275))+0-122.8-0.12525600000002</f>
        <v>650.5628979999999</v>
      </c>
      <c r="Y355" s="3">
        <f>285.5+(614.4-121.5)+(0+(0-0))+0-118-0</f>
        <v>660.4</v>
      </c>
      <c r="Z355" s="3">
        <f>283.7+(566.9-116.1)+(0+(0-0))+0-122.4-0</f>
        <v>612.1</v>
      </c>
      <c r="AA355" s="3">
        <f>196.6+(595-62)+(0.100266+(0.30345-0.03162))+0-147-0.0749699999999851</f>
        <v>582.89712600000007</v>
      </c>
      <c r="AB355" s="3">
        <f>194.2+(523.8-72)+(-0.297126+(-0.801414--0.11016))+0-128.9--0.197217000000007</f>
        <v>516.30883700000004</v>
      </c>
      <c r="AC355" s="3">
        <f>191.2+(529.8-138.9)+(0.292536+(0.810594-0.212517))+0-142.8-0.218484000000008</f>
        <v>439.97212899999994</v>
      </c>
      <c r="AD355" s="2">
        <v>680.10000000000014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188.5+(428.3-182.9)+(-0.38454+(-0.873732--0.373116))+0-114.7--0.233987999999995</f>
        <v>318.548832</v>
      </c>
      <c r="G356" s="3">
        <f>188.6+(363.8-144.1)+(-0.384744+(-0.742152--0.293964))+0-132.3--0.269891999999994</f>
        <v>275.43695999999994</v>
      </c>
      <c r="H356" s="3">
        <f>189.2+(400.7-108.5)+(-0.289476+(-0.613071--0.166005))+0-123.8--0.189414000000007</f>
        <v>357.05287199999998</v>
      </c>
      <c r="I356" s="3">
        <f>189.3+(394.2-89.6)+(-0.193086+(-0.402084--0.091392))+0-124.8--0.12729600000002</f>
        <v>368.72351800000001</v>
      </c>
      <c r="J356" s="3">
        <f>189.5+(377.9-109.1)+(-0.096645+(-0.192729--0.055641))+0-126.9--0.0647189999999871</f>
        <v>331.23098599999992</v>
      </c>
      <c r="K356" s="3">
        <f>189.5+(412.3-162.8)+(-0.19329+(-0.420546--0.166056))+0-142--0.144840000000023</f>
        <v>296.69706000000002</v>
      </c>
      <c r="L356" s="3">
        <f>194.4+(385.5-149.3)+(-0.198288+(-0.39321--0.152286))+0-123.9--0.12637800000002</f>
        <v>306.38716600000009</v>
      </c>
      <c r="M356" s="3">
        <f>171.5+(455.3-191.3)+(0+(0-0))+0-115.5-0</f>
        <v>320</v>
      </c>
      <c r="N356" s="3">
        <f>205+(518.6-173.8)+(0.52275+(1.32243-0.44319))+0-100.5-0.256274999999985</f>
        <v>450.44571499999995</v>
      </c>
      <c r="O356" s="3">
        <f>200.5+(653.5-153.4)+(0+(0-0))+0-134-0</f>
        <v>566.6</v>
      </c>
      <c r="P356" s="3">
        <f>277.3+(649.3-208.1)+(0+(0-0))+0-138.2-0</f>
        <v>580.29999999999995</v>
      </c>
      <c r="Q356" s="3">
        <f>316.4+(631.6-235.8)+(-0.161364+(-0.322116--0.120258))+0-116.6--0.0594659999999882</f>
        <v>595.29624400000012</v>
      </c>
      <c r="R356" s="3">
        <f>310.4+(607.4-235.4)+(-0.949824+(-1.858644--0.720324))+0-102.4--0.313344000000012</f>
        <v>578.22520000000009</v>
      </c>
      <c r="S356" s="3">
        <f>311.2+(526.4-223.1)+(-0.158712+(-0.268464--0.113781))+0-129.7--0.0661469999999868</f>
        <v>484.552752</v>
      </c>
      <c r="T356" s="3">
        <f>310.6+(441.1-162.3)+(-0.950436+(-1.349766--0.496638))+0-125.4--0.383724000000015</f>
        <v>462.58016000000009</v>
      </c>
      <c r="U356" s="3">
        <f>309.5+(427.7-144.7)+(0.157845+(0.218127-0.073797))+0-126.1-0.0643109999999872</f>
        <v>466.63786400000004</v>
      </c>
      <c r="V356" s="3">
        <f>309.8+(435-127.5)+(0.315996+(0.4437-0.13005))+0-122.9-0.12535800000002</f>
        <v>494.90428799999995</v>
      </c>
      <c r="W356" s="3">
        <f>319.9+(532.8-151.9)+(0.326298+(0.543456-0.154938))+0-141.2-0.144024000000022</f>
        <v>560.17079200000001</v>
      </c>
      <c r="X356" s="3">
        <f>349.7+(718.4-178.3)+(0+(0-0))+0-143.7-0</f>
        <v>746.09999999999991</v>
      </c>
      <c r="Y356" s="3">
        <f>406.7+(655.2-156.4)+(0+(0-0))+0-130.7-0</f>
        <v>774.8</v>
      </c>
      <c r="Z356" s="3">
        <f>409.2+(618.1-148.7)+(-0.834768+(-1.260924--0.303348))+0-145--0.295799999999994</f>
        <v>732.10345600000005</v>
      </c>
      <c r="AA356" s="3">
        <f>415+(530.7-137.7)+(-0.63495+(-0.811971--0.210681))+0-129.2--0.197676000000007</f>
        <v>677.761436</v>
      </c>
      <c r="AB356" s="3">
        <f>409.9+(485.7-85.1)+(-0.418098+(-0.495414--0.086802))+0-139--0.141780000000022</f>
        <v>670.81506999999999</v>
      </c>
      <c r="AC356" s="3">
        <f>330.4+(436.7-74.6)+(-0.84252+(-1.113585--0.19023))+0-135.8--0.34628999999998</f>
        <v>555.28041499999995</v>
      </c>
      <c r="AD356" s="2">
        <v>701.9000000000002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278+(389.3-52)+(-0.28356+(-0.397086--0.05304))+0-120.1--0.122502000000019</f>
        <v>494.69489599999991</v>
      </c>
      <c r="G357" s="3">
        <f>279.4+(366.2-47)+(-0.284988+(-0.373524--0.04794))+0-136.7--0.139434000000022</f>
        <v>461.42886199999987</v>
      </c>
      <c r="H357" s="3">
        <f>281.4+(402-88.8)+(0+(0-0))+0-135.6-0</f>
        <v>458.99999999999989</v>
      </c>
      <c r="I357" s="3">
        <f>282.8+(401.5-123.4)+(0.432684+(0.614295-0.188802))+0-123.2-0.188496000000007</f>
        <v>438.36968100000007</v>
      </c>
      <c r="J357" s="3">
        <f>279.4+(394.3-116.6)+(-0.142494+(-0.201093--0.059466))+0-128--0.065279999999987</f>
        <v>428.88115899999997</v>
      </c>
      <c r="K357" s="3">
        <f>280.4+(394.5-104.9)+(0.143004+(0.201195-0.053499))+0-121.8-0.0621179999999876</f>
        <v>448.42858200000001</v>
      </c>
      <c r="L357" s="3">
        <f>278.7+(333.9-98.2)+(0+(0-0))+0-123.4-0</f>
        <v>391</v>
      </c>
      <c r="M357" s="3">
        <f>282.6+(385.7-62.5)+(0.288252+(0.393414-0.06375))+0-116.4-0.118728000000019</f>
        <v>489.89918799999998</v>
      </c>
      <c r="N357" s="3">
        <f>287.2+(429.1-41)+(0.146472+(0.218841-0.02091))+0-112.5-0.0573749999999886</f>
        <v>563.08702800000003</v>
      </c>
      <c r="O357" s="3">
        <f>291.3+(490.3-28)+(0.297126+(0.500106-0.02856))+0-114.7-0.116994000000018</f>
        <v>639.55167800000004</v>
      </c>
      <c r="P357" s="3">
        <f>289+(530.6-19)+(-0.14739+(-0.270606--0.00969))+0-104.5--0.0532949999999894</f>
        <v>695.74498899999992</v>
      </c>
      <c r="Q357" s="3">
        <f>372+(472.4-10)+(-0.9486+(-1.20462--0.0255))+0-107.5--0.274124999999984</f>
        <v>725.04640500000005</v>
      </c>
      <c r="R357" s="3">
        <f>493.7+(400.6-55.2)+(-1.007148+(-0.817224--0.112608))+0-129.8--0.264791999999994</f>
        <v>707.85302799999999</v>
      </c>
      <c r="S357" s="3">
        <f>494.4+(381.2-71.1)+(0+(0-0))+0-134.1-0</f>
        <v>670.4</v>
      </c>
      <c r="T357" s="3">
        <f>502.9+(334.2-55.5)+(-0.256479+(-0.170442--0.028305))+0-147.6--0.075275999999985</f>
        <v>633.67665999999997</v>
      </c>
      <c r="U357" s="3">
        <f>502+(337.7-97.9)+(0+(0-0))+0-127.7-0</f>
        <v>614.09999999999991</v>
      </c>
      <c r="V357" s="3">
        <f>499.5+(319.9-46.4)+(-1.01898+(-0.652596--0.094656))+0-121.5--0.247859999999995</f>
        <v>650.17093999999997</v>
      </c>
      <c r="W357" s="3">
        <f>497.8+(353.2-49.5)+(0+(0-0))+0-140.7-0</f>
        <v>660.8</v>
      </c>
      <c r="X357" s="3">
        <f>507.2+(443.2-44.6)+(-0.258672+(-0.226032--0.022746))+0-140.2--0.0715019999999858</f>
        <v>765.20954400000005</v>
      </c>
      <c r="Y357" s="3">
        <f>384.8+(533.1-0)+(-0.392496+(-0.543762-0))+0-111.4--0.113628000000018</f>
        <v>805.67737000000022</v>
      </c>
      <c r="Z357" s="3">
        <f>314+(565.4-0)+(-0.32028+(-0.576708-0))+0-109.6--0.111792000000017</f>
        <v>769.01480400000003</v>
      </c>
      <c r="AA357" s="3">
        <f>335.9+(497.2-4.6)+(-0.856545+(-1.26786--0.01173))+0-123.4--0.314669999999982</f>
        <v>703.30199500000003</v>
      </c>
      <c r="AB357" s="3">
        <f>401.8+(421.1-0)+(-0.614754+(-0.644283-0))+0-132.5--0.202725000000008</f>
        <v>689.34368800000004</v>
      </c>
      <c r="AC357" s="3">
        <f>490.3+(313.6-0)+(-0.750159+(-0.479808-0))+0-127.4--0.194922000000007</f>
        <v>675.46495500000015</v>
      </c>
      <c r="AD357" s="2">
        <v>697.3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323.2+(375.9-11.3)+(0.164832+(0.191709-0.005763))+0-128-0.065279999999987</f>
        <v>560.08549799999992</v>
      </c>
      <c r="G358" s="3">
        <f>303.6+(379.3-11)+(-0.464508+(-0.580329--0.01683))+0-121--0.185130000000007</f>
        <v>550.05712300000005</v>
      </c>
      <c r="H358" s="3">
        <f>305.8+(371.7-8.1)+(0+(0-0))+0-129.8-0</f>
        <v>539.59999999999991</v>
      </c>
      <c r="I358" s="3">
        <f>303.5+(374.2-10)+(-0.773925+(-0.95421--0.0255))+0-124.8--0.318239999999982</f>
        <v>541.51560500000005</v>
      </c>
      <c r="J358" s="3">
        <f>304.3+(382.3-12)+(0+(0-0))+0-127.3-0</f>
        <v>547.30000000000007</v>
      </c>
      <c r="K358" s="3">
        <f>305.5+(361.3-12.3)+(0.31161+(0.368526-0.012546))+0-118.4-0.120768000000019</f>
        <v>536.64682200000004</v>
      </c>
      <c r="L358" s="3">
        <f>307.1+(329-6.2)+(-0.313242+(-0.33558--0.006324))+0-113.8--0.116076000000018</f>
        <v>515.57357800000011</v>
      </c>
      <c r="M358" s="3">
        <f>300.1+(354.1-6.8)+(0.306102+(0.361182-0.006936))+0-124.4-0.12688800000002</f>
        <v>523.5334600000001</v>
      </c>
      <c r="N358" s="3">
        <f>328.2+(383.1-5)+(-0.167382+(-0.195381--0.00255))+0-110.2--0.0562019999999888</f>
        <v>595.79598899999985</v>
      </c>
      <c r="O358" s="3">
        <f>492.2+(288.6-1.2)+(0.251022+(0.147186-0.000612))+0-121.9-0.0621689999999876</f>
        <v>658.03542700000003</v>
      </c>
      <c r="P358" s="3">
        <f>499.9+(319.3-31)+(-0.764847+(-0.488529--0.04743))+0-152--0.232560000000009</f>
        <v>635.22661400000004</v>
      </c>
      <c r="Q358" s="3">
        <f>494.1+(354-14.8)+(0+(0-0))+0-154.9-0</f>
        <v>678.4</v>
      </c>
      <c r="R358" s="3">
        <f>471+(370.7-7.9)+(-0.48042+(-0.378114--0.008058))+0-132.3--0.134946000000021</f>
        <v>700.78446999999994</v>
      </c>
      <c r="S358" s="3">
        <f>413.7+(466.9-0)+(-0.421974+(-0.476238-0))+0-153--0.156060000000024</f>
        <v>726.85784799999999</v>
      </c>
      <c r="T358" s="3">
        <f>403.8+(444.8-1.5)+(0.411876+(0.453696-0.00153))+0-142.1-0.144942000000023</f>
        <v>705.71910000000003</v>
      </c>
      <c r="U358" s="3">
        <f>414.2+(447-0)+(0.211242+(0.22797-0))+0-130.7-0.0666569999999867</f>
        <v>730.87255500000003</v>
      </c>
      <c r="V358" s="3">
        <f>400.3+(459.9-0)+(0+(0-0))+0-162.4-0</f>
        <v>697.80000000000007</v>
      </c>
      <c r="W358" s="3">
        <f>406.8+(422.7-0)+(0.207468+(0.215577-0))+0-109.7-0.0559469999999889</f>
        <v>720.16709800000001</v>
      </c>
      <c r="X358" s="3">
        <f>469.2+(536.4-34.1)+(0+(0-0))+0-138.3-0</f>
        <v>833.2</v>
      </c>
      <c r="Y358" s="3">
        <f>485.7+(515.2-39.2)+(-1.486242+(-1.576512--0.119952))+0-120.4--0.368424000000014</f>
        <v>838.72562200000004</v>
      </c>
      <c r="Z358" s="3">
        <f>497+(441.8-36.8)+(-0.50694+(-0.450636--0.037536))+0-111.1--0.113322000000018</f>
        <v>790.09328200000004</v>
      </c>
      <c r="AA358" s="3">
        <f>500.5+(369-23)+(-1.02102+(-0.75276--0.04692))+0-109.5--0.223379999999995</f>
        <v>735.49652000000003</v>
      </c>
      <c r="AB358" s="3">
        <f>488.4+(386.9-0)+(-0.996336+(-0.789276-0))+0-137.4--0.280295999999994</f>
        <v>736.39468399999998</v>
      </c>
      <c r="AC358" s="3">
        <f>459.7+(368.8-0)+(-1.172235+(-0.94044-0))+0-141.5--0.360824999999979</f>
        <v>685.24815000000001</v>
      </c>
      <c r="AD358" s="2">
        <v>701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507.8+(235.6-0)+(-1.29489+(-0.60078-0))+0-126.7--0.323084999999982</f>
        <v>615.12741499999993</v>
      </c>
      <c r="G359" s="3">
        <f>506.1+(228.5-23.2)+(-1.290555+(-0.582675--0.05916))+0-112.5--0.286874999999984</f>
        <v>597.37280500000008</v>
      </c>
      <c r="H359" s="3">
        <f>448.2+(282.6-34.5)+(-0.228582+(-0.144126--0.017595))+0-107.7--0.0549269999999891</f>
        <v>588.29981399999997</v>
      </c>
      <c r="I359" s="3">
        <f>424.6+(299.4-32.6)+(-0.216546+(-0.152694--0.016626))+0-111.6--0.0569159999999887</f>
        <v>579.50430199999994</v>
      </c>
      <c r="J359" s="3">
        <f>409.4+(286.9-33.6)+(-1.04397+(-0.731595--0.08568))+0-116.3--0.296564999999983</f>
        <v>545.00667999999996</v>
      </c>
      <c r="K359" s="3">
        <f>414+(277.4-53.1)+(-0.21114+(-0.141474--0.027081))+0-126.4--0.0644639999999872</f>
        <v>511.63893100000001</v>
      </c>
      <c r="L359" s="3">
        <f>426.5+(305.3-72.5)+(-0.652545+(-0.467109--0.110925))+0-120.7--0.184671000000007</f>
        <v>537.77594199999987</v>
      </c>
      <c r="M359" s="3">
        <f>424.3+(292.3-75.6)+(0+(0-0))+0-134.8-0</f>
        <v>506.2</v>
      </c>
      <c r="N359" s="3">
        <f>413.7+(368.7-36.1)+(0.210987+(0.188037-0.018411))+0-161.4-0.0823139999999836</f>
        <v>585.19829900000002</v>
      </c>
      <c r="O359" s="3">
        <f>390.6+(420.1-21)+(-0.796824+(-0.857004--0.04284))+0-129--0.263159999999994</f>
        <v>659.352172</v>
      </c>
      <c r="P359" s="3">
        <f>413.7+(442.9-6.7)+(-0.421974+(-0.451758--0.006834))+0-129.7--0.132294000000021</f>
        <v>719.46539600000006</v>
      </c>
      <c r="Q359" s="3">
        <f>409.9+(420.2-17.8)+(0+(0-0))+0-113.2-0</f>
        <v>699.09999999999991</v>
      </c>
      <c r="R359" s="3">
        <f>445.2+(411.7-51.5)+(-0.908208+(-0.839868--0.10506))+0-116.2--0.237047999999995</f>
        <v>687.7940319999999</v>
      </c>
      <c r="S359" s="3">
        <f>484.9+(376.6-89.7)+(-0.247299+(-0.192066--0.045747))+0-115.4--0.0588539999999883</f>
        <v>656.06523600000003</v>
      </c>
      <c r="T359" s="3">
        <f>440.8+(379.9-115.7)+(0+(0-0))+0-122.3-0</f>
        <v>582.70000000000005</v>
      </c>
      <c r="U359" s="3">
        <f>440.8+(371.3-93.3)+(0.449616+(0.378726-0.095166))+0-118.2-0.120564000000019</f>
        <v>601.21261199999981</v>
      </c>
      <c r="V359" s="3">
        <f>437.4+(324.6-108.5)+(-1.11537+(-0.82773--0.276675))+0-108.4--0.276419999999984</f>
        <v>543.70999500000005</v>
      </c>
      <c r="W359" s="3">
        <f>444.7+(388.6-114.1)+(0+(0-0))+0-122.9-0</f>
        <v>596.30000000000007</v>
      </c>
      <c r="X359" s="3">
        <f>447+(526.7-133.8)+(-0.45594+(-0.537234--0.136476))+0-124.6--0.12709200000002</f>
        <v>714.57039400000008</v>
      </c>
      <c r="Y359" s="3">
        <f>449.6+(506.7-91.6)+(-1.14648+(-1.292085--0.23358))+0-109.6--0.279479999999984</f>
        <v>753.17449500000009</v>
      </c>
      <c r="Z359" s="3">
        <f>451.9+(414.4-57.8)+(-0.921876+(-0.845376--0.117912))+0-113.6--0.231743999999995</f>
        <v>693.48240399999997</v>
      </c>
      <c r="AA359" s="3">
        <f>451.4+(363.6-66.7)+(-1.611498+(-1.298052--0.238119))+0-133.7--0.477309000000002</f>
        <v>612.40587799999992</v>
      </c>
      <c r="AB359" s="3">
        <f>421.3+(374.4-127)+(-0.859452+(-0.763776--0.25908))+0-120--0.244799999999995</f>
        <v>547.58065199999999</v>
      </c>
      <c r="AC359" s="3">
        <f>391.6+(378.4-116.9)+(-0.399432+(-0.385968--0.119238))+0-124.1--0.12658200000002</f>
        <v>528.46042</v>
      </c>
      <c r="AD359" s="2">
        <v>821.4000000000002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410.4+(336.2-74.6)+(-1.255824+(-1.028772--0.228276))+0-118.5--0.362610000000014</f>
        <v>551.80628999999999</v>
      </c>
      <c r="G360" s="3">
        <f>416.1+(273-39.2)+(-0.636633+(-0.41769--0.059976))+0-116.2--0.177786000000007</f>
        <v>532.88343900000007</v>
      </c>
      <c r="H360" s="3">
        <f>367+(303.5-49.3)+(-0.56151+(-0.464355--0.075429))+0-120.3--0.184059000000007</f>
        <v>500.13362300000006</v>
      </c>
      <c r="I360" s="3">
        <f>345.6+(313.1-48.2)+(-0.176256+(-0.159681--0.024582))+0-101--0.0515099999999898</f>
        <v>509.24015499999996</v>
      </c>
      <c r="J360" s="3">
        <f>344.2+(305.2-38.2)+(-0.351084+(-0.311304--0.038964))+0-122.3--0.124746000000019</f>
        <v>488.40132200000005</v>
      </c>
      <c r="K360" s="3">
        <f>345.1+(292.7-22.8)+(0.352002+(0.298554-0.023256))+0-119.3-0.121686000000019</f>
        <v>496.20561399999997</v>
      </c>
      <c r="L360" s="3">
        <f>340.6+(265.6-40.9)+(-0.694824+(-0.541824--0.083436))+0-102.8--0.209711999999996</f>
        <v>461.55649999999997</v>
      </c>
      <c r="M360" s="3">
        <f>343.6+(293.1-90.6)+(0.175236+(0.149481-0.046206))+0-110.7-0.0564569999999888</f>
        <v>435.62205400000005</v>
      </c>
      <c r="N360" s="3">
        <f>365.8+(292.5-60.9)+(0.186558+(0.149175-0.031059))+0-103.1-0.0525809999999895</f>
        <v>494.55209299999996</v>
      </c>
      <c r="O360" s="3">
        <f>362.2+(347.2-14)+(0.738888+(0.708288-0.02856))+0-78.6-0.160343999999997</f>
        <v>618.05827199999999</v>
      </c>
      <c r="P360" s="3">
        <f>357.5+(410.2-3.1)+(-0.36465+(-0.418404--0.003162))+0-61--0.0622200000000097</f>
        <v>702.88232799999992</v>
      </c>
      <c r="Q360" s="3">
        <f>352.5+(426-0)+(-0.898875+(-1.0863-0))+0-65.4--0.166769999999991</f>
        <v>711.28159500000004</v>
      </c>
      <c r="R360" s="3">
        <f>376.2+(392.4-22.7)+(-0.95931+(-1.00062--0.057885))+0-62.7--0.159884999999991</f>
        <v>681.45783999999992</v>
      </c>
      <c r="S360" s="3">
        <f>442.6+(320.9-82.4)+(-0.902904+(-0.654636--0.168096))+0-88.3--0.180131999999996</f>
        <v>591.590688</v>
      </c>
      <c r="T360" s="3">
        <f>361.8+(352.9-107.9)+(0.369036+(0.359958-0.110058))+0-109.7-0.111894000000017</f>
        <v>497.60704199999992</v>
      </c>
      <c r="U360" s="3">
        <f>361.8+(351-105)+(0+(0-0))+0-110-0</f>
        <v>497.79999999999995</v>
      </c>
      <c r="V360" s="3">
        <f>347.5+(357.5-99.4)+(-0.531675+(-0.546975--0.152082))+0-117.7--0.180081000000007</f>
        <v>487.15351300000009</v>
      </c>
      <c r="W360" s="3">
        <f>350.1+(432.8-117.3)+(0.357102+(0.441456-0.119646))+0-137.6-0.140352000000022</f>
        <v>528.53855999999996</v>
      </c>
      <c r="X360" s="3">
        <f>410.2+(542.2-121.8)+(0.418404+(0.553044-0.124236))+0-132.1-0.134742000000021</f>
        <v>699.21246999999994</v>
      </c>
      <c r="Y360" s="3">
        <f>456.1+(557.1-131.1)+(-0.697833+(-0.852363--0.200583))+0-138.9--0.212517000000008</f>
        <v>742.06290400000012</v>
      </c>
      <c r="Z360" s="3">
        <f>462.1+(514.2-135.9)+(-0.707013+(-0.786726--0.207927))+0-145.7--0.222921000000008</f>
        <v>693.63710900000024</v>
      </c>
      <c r="AA360" s="3">
        <f>463.3+(414.9-108)+(-0.236283+(-0.211599--0.05508))+0-138.6--0.0706859999999859</f>
        <v>631.27788400000009</v>
      </c>
      <c r="AB360" s="3">
        <f>462.4+(376.8-131)+(-1.17912+(-0.96084--0.33405))+0-139.7--0.35623499999998</f>
        <v>567.05032499999993</v>
      </c>
      <c r="AC360" s="3">
        <f>466.2+(254.8-127.2)+(-0.713286+(-0.389844--0.194616))+0-110.5--0.169065000000006</f>
        <v>482.56055099999998</v>
      </c>
      <c r="AD360" s="2">
        <v>687.30000000000007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351.2+(292-68.7)+(-0.716448+(-0.59568--0.140148))+0-132.3--0.269891999999994</f>
        <v>441.297912</v>
      </c>
      <c r="G361" s="3">
        <f>280.8+(304.3-43.5)+(-0.572832+(-0.620772--0.08874))+0-122.7--0.250307999999995</f>
        <v>418.04544400000003</v>
      </c>
      <c r="H361" s="3">
        <f>279.1+(365.2-27.4)+(-0.284682+(-0.372504--0.027948))+0-122.6--0.12505200000002</f>
        <v>493.79581400000012</v>
      </c>
      <c r="I361" s="3">
        <f>281.6+(369.7-10.9)+(0.430848+(0.565641-0.016677))+0-115.5-0.176715000000007</f>
        <v>525.70309700000007</v>
      </c>
      <c r="J361" s="3">
        <f>279+(345.5-19.8)+(-0.56916+(-0.70482--0.040392))+0-136.3--0.278051999999994</f>
        <v>467.44446399999998</v>
      </c>
      <c r="K361" s="3">
        <f>280.4+(310.9-51.1)+(-0.286008+(-0.317118--0.052122))+0-118.3--0.120666000000019</f>
        <v>421.46966199999991</v>
      </c>
      <c r="L361" s="3">
        <f>246.3+(339.2-92.3)+(-0.125613+(-0.172992--0.047073))+0-125.6--0.0640559999999873</f>
        <v>367.41252400000002</v>
      </c>
      <c r="M361" s="3">
        <f>244.6+(321.1-97.2)+(0.124746+(0.163761-0.049572))+0-126.6-0.0645659999999871</f>
        <v>342.07436900000005</v>
      </c>
      <c r="N361" s="3">
        <f>241.9+(347.5-119.8)+(-0.123369+(-0.177225--0.061098))+0-124.8--0.0636479999999873</f>
        <v>344.62415200000004</v>
      </c>
      <c r="O361" s="3">
        <f>259.2+(350.6-113.6)+(-0.132192+(-0.178806--0.057936))+0-130--0.0662999999999868</f>
        <v>366.01323800000006</v>
      </c>
      <c r="P361" s="3">
        <f>265.3+(400.5-154.2)+(0.405909+(0.612765-0.235926))+0-129.4-0.197982000000007</f>
        <v>382.78476599999999</v>
      </c>
      <c r="Q361" s="3">
        <f>316+(439.4-205.6)+(-0.64464+(-0.896376--0.419424))+0-135.9--0.277235999999994</f>
        <v>413.05564400000003</v>
      </c>
      <c r="R361" s="3">
        <f>354.9+(430.3-241.1)+(-0.361998+(-0.438906--0.245922))+0-129.4--0.131988000000021</f>
        <v>414.27700600000009</v>
      </c>
      <c r="S361" s="3">
        <f>353.5+(423.2-259.2)+(-0.72114+(-0.863328--0.528768))+0-130.1--0.265403999999994</f>
        <v>386.60970399999997</v>
      </c>
      <c r="T361" s="3">
        <f>354.1+(393.6-300.6)+(0.361182+(0.401472-0.306612))+0-123.1-0.12556200000002</f>
        <v>324.33048000000002</v>
      </c>
      <c r="U361" s="3">
        <f>353+(338.9-238.8)+(0.18003+(0.172839-0.121788))+0-128.6-0.0655859999999869</f>
        <v>324.66549500000002</v>
      </c>
      <c r="V361" s="3">
        <f>352.1+(353.6-224.2)+(0.359142+(0.360672-0.228684))+0-121-0.123420000000019</f>
        <v>360.86771000000005</v>
      </c>
      <c r="W361" s="3">
        <f>352.8+(403.9-206.9)+(0+(0-0))+0-126-0</f>
        <v>423.79999999999995</v>
      </c>
      <c r="X361" s="3">
        <f>350.2+(624.3-198.5)+(0.357204+(0.636786-0.20247))+0-142.9-0.145758000000023</f>
        <v>633.74576200000001</v>
      </c>
      <c r="Y361" s="3">
        <f>350.1+(639.8-135.5)+(-0.178551+(-0.326298--0.069105))+0-127.9--0.065228999999987</f>
        <v>726.12948499999993</v>
      </c>
      <c r="Z361" s="3">
        <f>356.8+(593.9-147.9)+(-0.363936+(-0.605778--0.150858))+0-124.1--0.12658200000002</f>
        <v>678.00772599999993</v>
      </c>
      <c r="AA361" s="3">
        <f>357.9+(577.2-178.7)+(-0.365058+(-0.588744--0.182274))+0-123.4--0.12586800000002</f>
        <v>632.35434000000009</v>
      </c>
      <c r="AB361" s="3">
        <f>356.9+(500.7-164.5)+(-0.910095+(-1.276785--0.419475))+0-121.7--0.310334999999982</f>
        <v>569.94292999999982</v>
      </c>
      <c r="AC361" s="3">
        <f>361.1+(422.2-99.8)+(-0.552483+(-0.645966--0.152694))+0-125.7--0.192321000000007</f>
        <v>556.94656599999996</v>
      </c>
      <c r="AD361" s="2">
        <v>623.50000000000011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357.7+(334.9-115.3)+(-1.094562+(-1.024794--0.352818))+0-115.8--0.354348000000013</f>
        <v>460.08780999999999</v>
      </c>
      <c r="G362" s="3">
        <f>364.6+(317.2-148)+(-0.92973+(-0.80886--0.3774))+0-102--0.260099999999985</f>
        <v>430.69890999999996</v>
      </c>
      <c r="H362" s="3">
        <f>310.4+(337.8-112.6)+(-0.633216+(-0.689112--0.229704))+0-132--0.269279999999994</f>
        <v>402.776656</v>
      </c>
      <c r="I362" s="3">
        <f>303.6+(319.1-56.5)+(0+(0-0))+0-124.9-0</f>
        <v>441.30000000000007</v>
      </c>
      <c r="J362" s="3">
        <f>305.3+(362.7-75.1)+(0.467109+(0.554931-0.114903))+0-138.8-0.212364000000008</f>
        <v>454.79477300000008</v>
      </c>
      <c r="K362" s="3">
        <f>304.6+(334.8-84)+(0+(0-0))+0-126.7-0</f>
        <v>428.7000000000001</v>
      </c>
      <c r="L362" s="3">
        <f>304.5+(324.2-134.4)+(-0.155295+(-0.165342--0.068544))+0-125.1--0.0638009999999873</f>
        <v>369.011708</v>
      </c>
      <c r="M362" s="3">
        <f>312+(330.1-134.3)+(0+(0-0))+0-125.4-0</f>
        <v>382.4</v>
      </c>
      <c r="N362" s="3">
        <f>364.5+(280-78.8)+(-0.185895+(-0.1428--0.040188))+0-129.8--0.0661979999999868</f>
        <v>435.67769100000004</v>
      </c>
      <c r="O362" s="3">
        <f>366.2+(367.7-102.5)+(-0.186762+(-0.187527--0.052275))+0-136.9--0.0698189999999861</f>
        <v>494.24780500000003</v>
      </c>
      <c r="P362" s="3">
        <f>364.5+(398.8-154.8)+(0.185895+(0.203388-0.078948))+0-111.3-0.0567629999999887</f>
        <v>497.45357200000001</v>
      </c>
      <c r="Q362" s="3">
        <f>359.5+(458.8-206)+(0+(0-0))+0-135.1-0</f>
        <v>477.19999999999993</v>
      </c>
      <c r="R362" s="3">
        <f>368.1+(426.7-201.8)+(-0.563193+(-0.652851--0.308754))+0-125.6--0.192168000000007</f>
        <v>466.68487799999997</v>
      </c>
      <c r="S362" s="3">
        <f>372.9+(410.7-254.1)+(0.190179+(0.209457-0.129591))+0-127.4-0.0649739999999871</f>
        <v>402.305071</v>
      </c>
      <c r="T362" s="3">
        <f>395.9+(340.4-237.1)+(-0.403818+(-0.347208--0.241842))+0-123.4--0.12586800000002</f>
        <v>375.41668399999998</v>
      </c>
      <c r="U362" s="3">
        <f>520+(243.5-238.8)+(-1.0608+(-0.49674--0.487152))+0-129.1--0.263363999999994</f>
        <v>394.79297600000001</v>
      </c>
      <c r="V362" s="3">
        <f>531.2+(202.2-232.8)+(-1.625472+(-0.618732--0.712368))+0-121.4--0.371484000000014</f>
        <v>378.03964800000006</v>
      </c>
      <c r="W362" s="3">
        <f>529.1+(247-175)+(-2.158728+(-1.00776--0.714))+0-121.5--0.495719999999989</f>
        <v>477.64323200000001</v>
      </c>
      <c r="X362" s="3">
        <f>547+(407.9-190)+(0+(0-0))+0-144.2-0</f>
        <v>620.70000000000005</v>
      </c>
      <c r="Y362" s="3">
        <f>541.1+(431-165.9)+(-1.379805+(-1.09905--0.423045))+0-146.8--0.374339999999979</f>
        <v>657.71852999999999</v>
      </c>
      <c r="Z362" s="3">
        <f>540.9+(399.9-175.9)+(-1.379295+(-1.019745--0.448545))+0-143.9--0.366944999999979</f>
        <v>619.41644999999994</v>
      </c>
      <c r="AA362" s="3">
        <f>559.3+(375.7-214.6)+(-1.140972+(-0.766428--0.437784))+0-148.3--0.302531999999994</f>
        <v>570.93291600000009</v>
      </c>
      <c r="AB362" s="3">
        <f>561.1+(349.1-177.5)+(-0.286161+(-0.178041--0.090525))+0-144.8--0.0738479999999853</f>
        <v>587.60017100000005</v>
      </c>
      <c r="AC362" s="3">
        <f>558.4+(349.9-148.6)+(-1.42392+(-0.892245--0.37893))+0-140.5--0.35827499999998</f>
        <v>617.62103999999988</v>
      </c>
      <c r="AD362" s="2">
        <v>705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453.9+(391.2-208.2)+(-1.388934+(-1.197072--0.637092))+0-150.6--0.460836000000017</f>
        <v>484.81192200000004</v>
      </c>
      <c r="G363" s="3">
        <f>377.5+(399.2-196.8)+(-0.962625+(-1.01796--0.50184))+0-131--0.334049999999981</f>
        <v>447.75530499999996</v>
      </c>
      <c r="H363" s="3">
        <f>378.5+(380.9-215.4)+(-0.77214+(-0.777036--0.439416))+0-132--0.269279999999994</f>
        <v>411.15951999999993</v>
      </c>
      <c r="I363" s="3">
        <f>379+(367.4-160.4)+(-1.15974+(-1.124244--0.490824))+0-151.2--0.462672000000017</f>
        <v>433.46951200000007</v>
      </c>
      <c r="J363" s="3">
        <f>381+(352.9-158.5)+(-0.58293+(-0.539937--0.242505))+0-129.7--0.198441000000007</f>
        <v>445.018079</v>
      </c>
      <c r="K363" s="3">
        <f>380+(310.9-131.2)+(-0.1938+(-0.158559--0.066912))+0-144.9--0.0738989999999853</f>
        <v>414.58845200000007</v>
      </c>
      <c r="L363" s="3">
        <f>378+(324.9-148.6)+(0+(0-0))+0-127.1-0</f>
        <v>427.19999999999993</v>
      </c>
      <c r="M363" s="3">
        <f>366+(363.1-185.1)+(0.37332+(0.370362-0.188802))+0-140.7-0.143514000000022</f>
        <v>403.711366</v>
      </c>
      <c r="N363" s="3">
        <f>364+(380.2-175.4)+(-0.18564+(-0.193902--0.089454))+0-136.4--0.0695639999999862</f>
        <v>432.17947600000002</v>
      </c>
      <c r="O363" s="3">
        <f>417+(356.9-142.6)+(0+(0-0))+0-136.3-0</f>
        <v>494.99999999999994</v>
      </c>
      <c r="P363" s="3">
        <f>437+(424.1-181)+(-1.11435+(-1.081455--0.46155))+0-147.4--0.375869999999979</f>
        <v>531.34161500000005</v>
      </c>
      <c r="Q363" s="3">
        <f>438+(409.4-188.1)+(-0.22338+(-0.208794--0.095931))+0-135.3--0.0690029999999863</f>
        <v>523.73275999999998</v>
      </c>
      <c r="R363" s="3">
        <f>406+(486.9-217.5)+(-1.24236+(-1.489914--0.66555))+0-144.4--0.441864000000017</f>
        <v>529.37513999999999</v>
      </c>
      <c r="S363" s="3">
        <f>382+(492.6-240.5)+(0.19482+(0.251226-0.122655))+0-140-0.0713999999999858</f>
        <v>494.35199100000006</v>
      </c>
      <c r="T363" s="3">
        <f>384+(477.5-235.7)+(-0.78336+(-0.9741--0.480828))+0-123.4--0.251735999999995</f>
        <v>501.37510400000002</v>
      </c>
      <c r="U363" s="3">
        <f>383+(443.5-206.3)+(-0.58599+(-0.678555--0.315639))+0-130.2--0.199206000000008</f>
        <v>489.2503000000001</v>
      </c>
      <c r="V363" s="3">
        <f>385+(455.2-192.9)+(0+(0-0))+0-143-0</f>
        <v>504.29999999999995</v>
      </c>
      <c r="W363" s="3">
        <f>383+(472-197)+(0+(0-0))+0-130.3-0</f>
        <v>527.70000000000005</v>
      </c>
      <c r="X363" s="3">
        <f>383+(646.7-201.3)+(0.19533+(0.329817-0.102663))+0-130.4-0.0665039999999868</f>
        <v>698.35598000000016</v>
      </c>
      <c r="Y363" s="3">
        <f>381+(644.3-190.9)+(-0.19431+(-0.328593--0.097359))+0-128.6--0.0655859999999869</f>
        <v>705.44004199999995</v>
      </c>
      <c r="Z363" s="3">
        <f>381+(602.1-185.2)+(-0.19431+(-0.307071--0.094452))+0-129.4--0.0659939999999869</f>
        <v>668.15906500000006</v>
      </c>
      <c r="AA363" s="3">
        <f>383+(553.9-205.3)+(-0.19533+(-0.282489--0.104703))+0-129.4--0.0659939999999869</f>
        <v>601.89287799999988</v>
      </c>
      <c r="AB363" s="3">
        <f>377+(511.9-206.8)+(-0.96135+(-1.305345--0.52734))+0-129.8--0.330989999999981</f>
        <v>550.89163499999972</v>
      </c>
      <c r="AC363" s="3">
        <f>383+(470.5-170.8)+(-0.78132+(-0.95982--0.348432))+0-122.5--0.249899999999995</f>
        <v>559.0571920000001</v>
      </c>
      <c r="AD363" s="2">
        <v>695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383.9+(402.6-175.5)+(-0.783156+(-0.821304--0.35802))+0-118.7--0.242147999999995</f>
        <v>491.29570799999999</v>
      </c>
      <c r="G364" s="3">
        <f>385.6+(383.1-176.1)+(-0.589968+(-0.586143--0.269433))+0-145.5--0.222615000000008</f>
        <v>446.41593699999999</v>
      </c>
      <c r="H364" s="3">
        <f>360.9+(394.7-209.5)+(-0.920295+(-1.006485--0.534225))+0-138.2--0.35240999999998</f>
        <v>406.85985499999987</v>
      </c>
      <c r="I364" s="3">
        <f>284.1+(413.3-158.1)+(0.144891+(0.210783-0.080631))+0-146.7-0.0748169999999851</f>
        <v>392.80022600000007</v>
      </c>
      <c r="J364" s="3">
        <f>282.9+(400.9-123.9)+(-0.577116+(-0.817836--0.252756))+0-118.2--0.241127999999995</f>
        <v>440.79893199999998</v>
      </c>
      <c r="K364" s="3">
        <f>285.7+(392.2-115.9)+(-0.291414+(-0.400044--0.118218))+0-119--0.121380000000019</f>
        <v>442.54813999999999</v>
      </c>
      <c r="L364" s="3">
        <f>284.9+(389.8-134.6)+(0+(0-0))+0-124.3-0</f>
        <v>415.8</v>
      </c>
      <c r="M364" s="3">
        <f>381.4+(362.6-179.4)+(-0.583542+(-0.554778--0.274482))+0-131.9--0.201807000000008</f>
        <v>432.03796900000009</v>
      </c>
      <c r="N364" s="3">
        <f>391.2+(403-279.5)+(-0.199512+(-0.20553--0.142545))+0-120.9--0.0616589999999877</f>
        <v>393.59916199999998</v>
      </c>
      <c r="O364" s="3">
        <f>389.6+(461.7-242.3)+(-0.99348+(-1.177335--0.617865))+0-126.9--0.323594999999982</f>
        <v>480.87064499999997</v>
      </c>
      <c r="P364" s="3">
        <f>390.5+(476.6-230.8)+(0.199155+(0.243066-0.117708))+0-130.4-0.0665039999999868</f>
        <v>506.15800899999999</v>
      </c>
      <c r="Q364" s="3">
        <f>384.5+(545.5-297.2)+(0.196095+(0.278205-0.151572))+0-120-0.0611999999999878</f>
        <v>513.06152799999995</v>
      </c>
      <c r="R364" s="3">
        <f>381.1+(577.9-321.1)+(-1.166166+(-1.768374--0.982566))+0-121.9--0.373014000000014</f>
        <v>514.42104000000006</v>
      </c>
      <c r="S364" s="3">
        <f>381.1+(550.6-336.5)+(-0.777444+(-1.123224--0.68646))+0-143.3--0.292331999999994</f>
        <v>450.97812400000004</v>
      </c>
      <c r="T364" s="3">
        <f>380.8+(512.4-344.5)+(-0.388416+(-0.522648--0.35139))+0-121.4--0.123828000000019</f>
        <v>426.8641540000001</v>
      </c>
      <c r="U364" s="3">
        <f>384+(467.1-320)+(-0.19584+(-0.238221--0.1632))+0-125.9--0.0642089999999872</f>
        <v>404.99334800000008</v>
      </c>
      <c r="V364" s="3">
        <f>382.9+(442.8-233.7)+(-0.585837+(-0.677484--0.357561))+0-137.8--0.210834000000008</f>
        <v>453.50507400000004</v>
      </c>
      <c r="W364" s="3">
        <f>385.3+(508.8-245.4)+(0.393006+(0.518976-0.250308))+0-130.8-0.133416000000021</f>
        <v>518.42825800000003</v>
      </c>
      <c r="X364" s="3">
        <f>387.9+(701.2-347.1)+(0.395658+(0.715224-0.354042))+0-147.2-0.150144000000023</f>
        <v>595.4066959999999</v>
      </c>
      <c r="Y364" s="3">
        <f>387.1+(644.6-296.2)+(-0.197421+(-0.328746--0.151062))+0-144.9--0.0738989999999853</f>
        <v>590.29879400000004</v>
      </c>
      <c r="Z364" s="3">
        <f>390.2+(623.8-298.8)+(-0.99501+(-1.59069--0.76194))+0-139.4--0.35546999999998</f>
        <v>574.33170999999993</v>
      </c>
      <c r="AA364" s="3">
        <f>393.2+(584.9-354.2)+(0+(0-0))+0-112-0</f>
        <v>511.9</v>
      </c>
      <c r="AB364" s="3">
        <f>390.6+(539.6-324)+(-0.796824+(-1.100784--0.66096))+0-131.9--0.269075999999994</f>
        <v>473.33242800000011</v>
      </c>
      <c r="AC364" s="3">
        <f>396+(474.8-261.9)+(-1.0098+(-1.21074--0.667845))+0-136--0.34679999999998</f>
        <v>471.69410500000009</v>
      </c>
      <c r="AD364" s="2">
        <v>620.00000000000011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396.8+(347.9-246.1)+(0+(0-0))+0-125.8-0</f>
        <v>372.8</v>
      </c>
      <c r="G365" s="3">
        <f>364+(295.6-207.2)+(-0.74256+(-0.603024--0.422688))+0-143--0.291719999999994</f>
        <v>308.76882400000005</v>
      </c>
      <c r="H365" s="3">
        <f>415.4+(275.9-243.5)+(-1.271124+(-0.844254--0.74511))+0-142.6--0.436356000000016</f>
        <v>304.26608799999991</v>
      </c>
      <c r="I365" s="3">
        <f>398.7+(312-287.7)+(-0.406674+(-0.31824--0.293454))+0-139.8--0.142596000000022</f>
        <v>282.911136</v>
      </c>
      <c r="J365" s="3">
        <f>383.8+(310.6-263.1)+(-0.391476+(-0.316812--0.268362))+0-139.7--0.142494000000022</f>
        <v>291.30256800000001</v>
      </c>
      <c r="K365" s="3">
        <f>361.4+(305-285.8)+(0.368628+(0.3111-0.291516))+0-115.5-0.117810000000018</f>
        <v>265.37040199999996</v>
      </c>
      <c r="L365" s="3">
        <f>359.2+(302-315.5)+(-0.366384+(-0.30804--0.32181))+0-109.6--0.111792000000017</f>
        <v>235.85917799999999</v>
      </c>
      <c r="M365" s="3">
        <f>364.6+(345.2-355.4)+(0.371892+(0.352104-0.362508))+0-139.3-0.142086000000022</f>
        <v>215.319402</v>
      </c>
      <c r="N365" s="3">
        <f>445.6+(337.6-400.1)+(-0.227256+(-0.172176--0.204051))+0-132.8--0.0677279999999865</f>
        <v>250.172347</v>
      </c>
      <c r="O365" s="3">
        <f>447.9+(359.6-371.9)+(0+(0-0))+0-151.2-0</f>
        <v>284.40000000000003</v>
      </c>
      <c r="P365" s="3">
        <f>447.5+(424.1-373.7)+(-0.228225+(-0.216291--0.190587))+0-164--0.0836399999999834</f>
        <v>333.72971100000001</v>
      </c>
      <c r="Q365" s="3">
        <f>449+(418.8-427.6)+(0.91596+(0.854352-0.872304))+0-108.4-0.221135999999995</f>
        <v>332.47687199999996</v>
      </c>
      <c r="R365" s="3">
        <f>446.5+(445.4-421.7)+(-0.91086+(-0.908616--0.860268))+0-150.9--0.307835999999993</f>
        <v>318.64862799999997</v>
      </c>
      <c r="S365" s="3">
        <f>457.7+(376.3-428.4)+(-0.466854+(-0.383826--0.436968))+0-131.5--0.134130000000021</f>
        <v>273.82041800000007</v>
      </c>
      <c r="T365" s="3">
        <f>485+(344.7-410.2)+(-0.9894+(-0.703188--0.836808))+0-138.9--0.283355999999994</f>
        <v>280.02757600000001</v>
      </c>
      <c r="U365" s="3">
        <f>488.7+(325.8-391.9)+(-0.747711+(-0.498474--0.599607))+0-134.6--0.205938000000008</f>
        <v>287.55936000000003</v>
      </c>
      <c r="V365" s="3">
        <f>445.3+(327.9-375.9)+(0.908412+(0.668916-0.766836))+0-106.5-0.217259999999995</f>
        <v>291.39323200000001</v>
      </c>
      <c r="W365" s="3">
        <f>440.7+(381.6-329.1)+(-0.899028+(-0.778464--0.671364))+0-127.2--0.259487999999994</f>
        <v>365.25335999999999</v>
      </c>
      <c r="X365" s="3">
        <f>456.2+(542-365.9)+(0.465324+(0.55284-0.373218))+0-150.2-0.153204000000024</f>
        <v>482.59174199999995</v>
      </c>
      <c r="Y365" s="3">
        <f>429.5+(537.3-313.6)+(-0.657135+(-0.822069--0.479808))+0-134.4--0.205632000000008</f>
        <v>518.00623599999994</v>
      </c>
      <c r="Z365" s="3">
        <f>381.4+(550.5-275.4)+(0.389028+(0.56151-0.280908))+0-144.7-0.147594000000023</f>
        <v>512.32203600000003</v>
      </c>
      <c r="AA365" s="3">
        <f>404.9+(512.6-231.2)+(0.412998+(0.522852-0.235824))+0-142.3-0.145146000000023</f>
        <v>544.55487999999991</v>
      </c>
      <c r="AB365" s="3">
        <f>405.6+(490.1-251.7)+(-0.620568+(-0.749853--0.385101))+0-143.5--0.219555000000008</f>
        <v>499.73423500000001</v>
      </c>
      <c r="AC365" s="3">
        <f>405.9+(469.8-264.9)+(-0.414018+(-0.479196--0.270198))+0-145.4--0.148308000000023</f>
        <v>464.92529200000001</v>
      </c>
      <c r="AD365" s="2">
        <v>518.49999999999989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385.55042399999996</v>
      </c>
      <c r="G366" s="1">
        <v>362.48734400000001</v>
      </c>
      <c r="H366" s="1">
        <v>350.94398000000001</v>
      </c>
      <c r="I366" s="1">
        <v>345.89489199999997</v>
      </c>
      <c r="J366" s="1">
        <v>344.04852299999999</v>
      </c>
      <c r="K366" s="1">
        <v>339.05055900000002</v>
      </c>
      <c r="L366" s="1">
        <v>334.73090200000013</v>
      </c>
      <c r="M366" s="1">
        <v>329.79999999999995</v>
      </c>
      <c r="N366" s="1">
        <v>349.79999999999995</v>
      </c>
      <c r="O366" s="1">
        <v>363.79999999999995</v>
      </c>
      <c r="P366" s="1">
        <v>375.69999999999993</v>
      </c>
      <c r="Q366" s="1">
        <v>373.31899400000003</v>
      </c>
      <c r="R366" s="1">
        <v>366.18570499999993</v>
      </c>
      <c r="S366" s="1">
        <v>353.31586399999998</v>
      </c>
      <c r="T366" s="1">
        <v>342.13308000000001</v>
      </c>
      <c r="U366" s="1">
        <v>333.24353500000001</v>
      </c>
      <c r="V366" s="1">
        <v>332.292528</v>
      </c>
      <c r="W366" s="1">
        <v>336.89543500000002</v>
      </c>
      <c r="X366" s="1">
        <v>380.13464699999997</v>
      </c>
      <c r="Y366" s="1">
        <v>394.03429</v>
      </c>
      <c r="Z366" s="1">
        <v>387.67680499999989</v>
      </c>
      <c r="AA366" s="1">
        <v>388.66762499999987</v>
      </c>
      <c r="AB366" s="1">
        <v>386.76839000000001</v>
      </c>
      <c r="AC366" s="1">
        <v>373.6342350000001</v>
      </c>
      <c r="AD366" s="1">
        <v>412.79999999999995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1062.3+(204.9-236.7)+(-1.083546+(-0.208998--0.241434))+0-185.1--0.18880200000003</f>
        <v>844.53769199999988</v>
      </c>
      <c r="G1" s="3">
        <f>1066.4+(204.1-287.1)+(-2.175456+(-0.416364--0.585684))+0-180.6--0.368423999999992</f>
        <v>801.1622880000001</v>
      </c>
      <c r="H1" s="3">
        <f>1071.1+(186-306.5)+(-2.731305+(-0.4743--0.781575))+0-177.4--0.452369999999974</f>
        <v>771.22833999999989</v>
      </c>
      <c r="I1" s="3">
        <f>1060.6+(172.5-302.1)+(-1.622718+(-0.263925--0.462213))+0-175.9--0.26912700000001</f>
        <v>753.94469699999991</v>
      </c>
      <c r="J1" s="3">
        <f>1036.1+(189.8-294.2)+(-0.528411+(-0.096798--0.150042))+0-181.7--0.0926669999999816</f>
        <v>749.61749999999995</v>
      </c>
      <c r="K1" s="3">
        <f>1038.2+(202.1-297.4)+(0+(0-0))+0-181.8-0</f>
        <v>761.10000000000014</v>
      </c>
      <c r="L1" s="3">
        <f>1036.4+(274.9-332.6)+(-0.528564+(-0.140199--0.169626))+0-177.4--0.090473999999982</f>
        <v>800.89133700000002</v>
      </c>
      <c r="M1" s="3">
        <f>1025.6+(407.4-380.6)+(0+(0-0))+0-184.7-0</f>
        <v>867.69999999999982</v>
      </c>
      <c r="N1" s="3">
        <f>1016.3+(414.6-376.9)+(-1.036626+(-0.422892--0.384438))+0-180.8--0.184416000000029</f>
        <v>872.30933600000003</v>
      </c>
      <c r="O1" s="3">
        <f>1007.6+(365.4-351.4)+(-1.541628+(-0.559062--0.537642))+0-177.8--0.27203400000001</f>
        <v>842.50898599999994</v>
      </c>
      <c r="P1" s="3">
        <f>993+(336.3-321.3)+(-1.51929+(-0.514539--0.491589))+0-177--0.27081000000001</f>
        <v>829.72856999999999</v>
      </c>
      <c r="Q1" s="3">
        <f>982.4+(309.5-298.4)+(-0.501024+(-0.157845--0.152184))+0-172.5--0.0879749999999825</f>
        <v>820.58129000000008</v>
      </c>
      <c r="R1" s="3">
        <f>974.8+(332.4-308.4)+(0+(0-0))+0-169.9-0</f>
        <v>828.9</v>
      </c>
      <c r="S1" s="3">
        <f>967.1+(301.8-280.9)+(0.493221+(0.153918-0.143259))+0-172.3-0.0878729999999825</f>
        <v>816.11600700000008</v>
      </c>
      <c r="T1" s="3">
        <f>985.2+(266.8-274)+(-2.51226+(-0.68034--0.6987))+0-170.8--0.435539999999975</f>
        <v>805.14163999999982</v>
      </c>
      <c r="U1" s="3">
        <f>994.8+(249.9-278.7)+(-1.522044+(-0.382347--0.426411))+0-166.2--0.25428600000001</f>
        <v>798.57630600000005</v>
      </c>
      <c r="V1" s="3">
        <f>998.7+(270.2-288.4)+(-1.528011+(-0.413406--0.441252))+0-177.2--0.27111600000001</f>
        <v>802.07095100000004</v>
      </c>
      <c r="W1" s="3">
        <f>1000.7+(301-303.5)+(-1.020714+(-0.30702--0.30957))+0-178.7--0.182274000000028</f>
        <v>818.66411000000016</v>
      </c>
      <c r="X1" s="3">
        <f>1013.5+(398.6-333.6)+(-1.03377+(-0.406572--0.340272))+0-178.4--0.181968000000028</f>
        <v>899.18189800000005</v>
      </c>
      <c r="Y1" s="3">
        <f>1023.3+(404.7-346.6)+(-1.043766+(-0.412794--0.353532))+0-180.6--0.184212000000029</f>
        <v>899.88118399999985</v>
      </c>
      <c r="Z1" s="3">
        <f>1029.4+(360.1-321.1)+(-1.574982+(-0.550953--0.491283))+0-181.7--0.27800100000001</f>
        <v>885.3433490000001</v>
      </c>
      <c r="AA1" s="3">
        <f>1037.2+(349-330)+(-1.586916+(-0.53397--0.5049))+0-187--0.286110000000011</f>
        <v>867.87012400000003</v>
      </c>
      <c r="AB1" s="3">
        <f>1041.7+(307.3-317.7)+(-1.593801+(-0.470169--0.486081))+0-187.2--0.286416000000011</f>
        <v>842.80852700000025</v>
      </c>
      <c r="AC1" s="3">
        <f>1054.5+(263.6-312.4)+(-3.764565+(-0.941052--1.115268))+0-186.1--0.664377000000003</f>
        <v>816.67402800000013</v>
      </c>
      <c r="AD1" s="2">
        <v>866.3</v>
      </c>
      <c r="AE1" s="3">
        <f>1024+(373.1-339.8)+(0+(0-0))+0-179-0</f>
        <v>878.3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776.83701400000007</v>
      </c>
      <c r="G2" s="3">
        <f>1041+(220-326)+(0+(0-0))+0-198-0</f>
        <v>737</v>
      </c>
      <c r="H2" s="3">
        <f>1062+(215-327)+(-1.62486+(-0.32895--0.50031))+0-192--0.293760000000011</f>
        <v>756.84026000000006</v>
      </c>
      <c r="I2" s="3">
        <f>1063.3+(216.7-356.1)+(-1.626849+(-0.331551--0.544833))+0-181.4--0.277542000000011</f>
        <v>741.36397499999998</v>
      </c>
      <c r="J2" s="3">
        <f>1067.3+(222.8-369.6)+(-1.632969+(-0.340884--0.565488))+0-184.9--0.282897000000011</f>
        <v>734.47453200000007</v>
      </c>
      <c r="K2" s="3">
        <f>1067.1+(219.4-370.1)+(1.632663+(0.335682-0.566253))+0-180.7-0.27647100000001</f>
        <v>736.82562099999984</v>
      </c>
      <c r="L2" s="3">
        <f>1073.6+(202.3-345.8)+(-1.642608+(-0.309519--0.529074))+0-177.6--0.27172800000001</f>
        <v>751.34867499999996</v>
      </c>
      <c r="M2" s="3">
        <f>1049.3+(235.5-327.4)+(0.535143+(0.120105-0.166974))+0-181.2-0.0924119999999816</f>
        <v>776.59586200000012</v>
      </c>
      <c r="N2" s="3">
        <f>1012.7+(317.5-331.4)+(0.516477+(0.161925-0.169014))+0-181.8-0.0927179999999816</f>
        <v>817.41666999999995</v>
      </c>
      <c r="O2" s="3">
        <f>995.5+(374.5-338.4)+(0.507705+(0.190995-0.172584))+0-180.9-0.0922589999999816</f>
        <v>851.13385699999992</v>
      </c>
      <c r="P2" s="3">
        <f>980.6+(399.1-320.5)+(0+(0-0))+0-189.9-0</f>
        <v>869.30000000000007</v>
      </c>
      <c r="Q2" s="3">
        <f>1010.4+(430-377.2)+(-1.030608+(-0.4386--0.384744))+0-190.3--0.19410600000003</f>
        <v>872.0096420000001</v>
      </c>
      <c r="R2" s="3">
        <f>1010.5+(414.9-369.1)+(0+(0-0))+0-186.4-0</f>
        <v>869.9</v>
      </c>
      <c r="S2" s="3">
        <f>999.8+(472.6-417.7)+(0+(0-0))+0-190.6-0</f>
        <v>864.1</v>
      </c>
      <c r="T2" s="3">
        <f>991.7+(447.5-390.5)+(-1.011534+(-0.45645--0.39831))+0-192.5--0.196350000000031</f>
        <v>855.32667600000002</v>
      </c>
      <c r="U2" s="3">
        <f>990.8+(432.1-387.6)+(-2.021232+(-0.881484--0.790704))+0-188.4--0.384335999999992</f>
        <v>845.17232399999989</v>
      </c>
      <c r="V2" s="3">
        <f>988.2+(449.1-397.6)+(1.007964+(0.458082-0.405552))+0-191.7-0.195534000000031</f>
        <v>848.86496</v>
      </c>
      <c r="W2" s="3">
        <f>988.3+(460.6-395.3)+(-1.008066+(-0.469812--0.403206))+0-192.7--0.196554000000031</f>
        <v>860.02188199999989</v>
      </c>
      <c r="X2" s="3">
        <f>992.9+(436-357.4)+(-1.012758+(-0.44472--0.364548))+0-192.6--0.196452000000031</f>
        <v>878.00352199999998</v>
      </c>
      <c r="Y2" s="3">
        <f>998.7+(480.2-355.5)+(0+(0-0))+0-189.9-0</f>
        <v>933.50000000000011</v>
      </c>
      <c r="Z2" s="3">
        <f>1008.1+(431.1-322.8)+(-1.542393+(-0.659583--0.493884))+0-190.3--0.291159000000011</f>
        <v>924.68306700000005</v>
      </c>
      <c r="AA2" s="3">
        <f>1014.4+(385.3-309.2)+(-1.034688+(-0.393006--0.315384))+0-191.5--0.195330000000031</f>
        <v>898.08302000000003</v>
      </c>
      <c r="AB2" s="3">
        <f>1014.8+(363.4-309.4)+(1.035096+(0.370668-0.315588))+0-190.7-0.19451400000003</f>
        <v>878.99566199999981</v>
      </c>
      <c r="AC2" s="3">
        <f>1018.1+(425.9-402.7)+(-0.519231+(-0.217209--0.205377))+0-186.7--0.0952169999999811</f>
        <v>854.16415399999994</v>
      </c>
      <c r="AD2" s="2">
        <v>915.69999999999993</v>
      </c>
      <c r="AE2" s="3">
        <f>1000+(456.6-338.3)+(0+(0-0))+0-190.6-0</f>
        <v>927.69999999999993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1025.4+(368.5-384.1)+(-1.568862+(-0.563805--0.587673))+0-188.4--0.288252000000011</f>
        <v>820.14325800000017</v>
      </c>
      <c r="G3" s="3">
        <f>1024.8+(315-364.2)+(-0.522648+(-0.16065--0.185742))+0-186--0.0948599999999811</f>
        <v>789.1973039999998</v>
      </c>
      <c r="H3" s="3">
        <f>1026.4+(268.4-344)+(-0.523464+(-0.136884--0.17544))+0-186.4--0.0950639999999811</f>
        <v>764.01015600000005</v>
      </c>
      <c r="I3" s="3">
        <f>1029.5+(261-353.7)+(2.10018+(0.53244-0.721548))+0-187.1-0.381683999999992</f>
        <v>751.22938799999997</v>
      </c>
      <c r="J3" s="3">
        <f>1036.2+(229.8-330.6)+(0+(0-0))+0-187-0</f>
        <v>748.40000000000009</v>
      </c>
      <c r="K3" s="3">
        <f>1037.8+(251.8-352)+(0.529278+(0.128418-0.17952))+0-188.2-0.0959819999999809</f>
        <v>749.782194</v>
      </c>
      <c r="L3" s="3">
        <f>1035+(273.3-369.6)+(0.52785+(0.139383-0.188496))+0-187.9-0.0958289999999809</f>
        <v>751.18290800000011</v>
      </c>
      <c r="M3" s="3">
        <f>1038.6+(341.6-419.5)+(-2.118744+(-0.696864--0.85578))+0-191.1--0.389843999999992</f>
        <v>768.03001599999993</v>
      </c>
      <c r="N3" s="3">
        <f>1035.1+(379.5-405.2)+(-0.527901+(-0.193545--0.206652))+0-192.5--0.0981749999999805</f>
        <v>816.48338099999978</v>
      </c>
      <c r="O3" s="3">
        <f>1020.4+(423.5-398.1)+(0.520404+(0.215985-0.203031))+0-190.5-0.0971549999999807</f>
        <v>855.73620299999993</v>
      </c>
      <c r="P3" s="3">
        <f>1007.7+(448.6-385.5)+(-0.513927+(-0.228786--0.196605))+0-192.7--0.0982769999999804</f>
        <v>877.65216900000007</v>
      </c>
      <c r="Q3" s="3">
        <f>998.5+(450.5-411.5)+(0+(0-0))+0-168.6-0</f>
        <v>868.9</v>
      </c>
      <c r="R3" s="3">
        <f>1011.4+(437.6-451.9)+(-2.57907+(-1.11588--1.152345))+0-136.9--0.34909499999998</f>
        <v>858.0064900000001</v>
      </c>
      <c r="S3" s="3">
        <f>1011.1+(457.2-453.4)+(1.031322+(0.466344-0.462468))+0-157.1-0.160242000000025</f>
        <v>858.67495600000007</v>
      </c>
      <c r="T3" s="3">
        <f>1013+(462.3-435.7)+(-1.03326+(-0.471546--0.444414))+0-184.2--0.187884000000029</f>
        <v>854.52749199999982</v>
      </c>
      <c r="U3" s="3">
        <f>1016.6+(452.5-429.7)+(-2.073864+(-0.9231--0.876588))+0-192.6--0.392903999999992</f>
        <v>845.07252800000003</v>
      </c>
      <c r="V3" s="3">
        <f>1016.3+(455.4-426.6)+(0+(0-0))+0-195-0</f>
        <v>850.09999999999991</v>
      </c>
      <c r="W3" s="3">
        <f>1017+(454.2-423.3)+(0.51867+(0.231642-0.215883))+0-198.6-0.10128599999998</f>
        <v>849.73314300000015</v>
      </c>
      <c r="X3" s="3">
        <f>1018.4+(497.4-458.8)+(-1.558152+(-0.761022--0.701964))+0-196.2--0.300186000000011</f>
        <v>859.48297600000012</v>
      </c>
      <c r="Y3" s="3">
        <f>1021.2+(553.7-465.5)+(0+(0-0))+0-226.7-0</f>
        <v>882.7</v>
      </c>
      <c r="Z3" s="3">
        <f>1027.4+(528.2-449.6)+(-3.143844+(-1.616292--1.375776))+0-191.3--0.585378000000022</f>
        <v>911.90101800000002</v>
      </c>
      <c r="AA3" s="3">
        <f>1026.5+(450.6-390.6)+(-0.523515+(-0.229806--0.199206))+0-190.7--0.0972569999999807</f>
        <v>895.34314200000006</v>
      </c>
      <c r="AB3" s="3">
        <f>1026+(432.9-390.2)+(-1.04652+(-0.441558--0.398004))+0-192.2--0.196044000000031</f>
        <v>875.60597000000007</v>
      </c>
      <c r="AC3" s="3">
        <f>1025.4+(378.1-353.5)+(-1.568862+(-0.578493--0.540855))+0-194.5--0.297585000000011</f>
        <v>854.19108499999993</v>
      </c>
      <c r="AD3" s="2">
        <v>896.1</v>
      </c>
      <c r="AE3" s="3">
        <f>1019+(555.4-467.2)+(0+(0-0))+0-200.1-0</f>
        <v>907.1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1027.4+(327.3-319.9)+(-1.047948+(-0.333846--0.326298))+0-194.1--0.197982000000031</f>
        <v>839.84248600000024</v>
      </c>
      <c r="G4" s="3">
        <f>993.4+(300.9-286)+(-1.519902+(-0.460377--0.43758))+0-196.5--0.300645000000011</f>
        <v>810.55794600000002</v>
      </c>
      <c r="H4" s="3">
        <f>983.9+(304-310.2)+(-0.501789+(-0.15504--0.158202))+0-193.3--0.0985829999999804</f>
        <v>783.99995599999988</v>
      </c>
      <c r="I4" s="3">
        <f>983.2+(298.6-316.2)+(0+(0-0))+0-194-0</f>
        <v>771.60000000000014</v>
      </c>
      <c r="J4" s="3">
        <f>988.4+(283.8-310.8)+(-1.512252+(-0.434214--0.475524))+0-192.3--0.294219000000011</f>
        <v>767.92327699999998</v>
      </c>
      <c r="K4" s="3">
        <f>996.9+(304.4-341.9)+(-0.508419+(-0.155244--0.174369))+0-189.5--0.0966449999999808</f>
        <v>769.50735099999997</v>
      </c>
      <c r="L4" s="3">
        <f>997.6+(349.5-393.2)+(-2.035104+(-0.71298--0.802128))+0-186.3--0.380051999999992</f>
        <v>766.03409600000009</v>
      </c>
      <c r="M4" s="3">
        <f>994.2+(369.3-393.7)+(-3.042252+(-1.130058--1.204722))+0-191.9--0.587214000000022</f>
        <v>775.51962600000013</v>
      </c>
      <c r="N4" s="3">
        <f>991.6+(424-403)+(1.011432+(0.43248-0.41106))+0-203-0.207060000000032</f>
        <v>810.425792</v>
      </c>
      <c r="O4" s="3">
        <f>982.7+(454.4-412.2)+(0.501177+(0.231744-0.210222))+0-192.3-0.0980729999999805</f>
        <v>833.02462600000024</v>
      </c>
      <c r="P4" s="3">
        <f>977.1+(506.8-442.9)+(0.996642+(0.516936-0.451758))+0-185.3-0.18900600000003</f>
        <v>856.57281399999988</v>
      </c>
      <c r="Q4" s="3">
        <f>971.9+(533.1-443.4)+(0+(0-0))+0-198.6-0</f>
        <v>862.99999999999989</v>
      </c>
      <c r="R4" s="3">
        <f>965.7+(531.3-435.9)+(-2.462535+(-1.354815--1.111545))+0-196.9--0.502094999999971</f>
        <v>861.99628999999982</v>
      </c>
      <c r="S4" s="3">
        <f>961.1+(540.3-441.1)+(-1.960644+(-1.102212--0.899844))+0-198.9--0.405755999999991</f>
        <v>859.64274399999999</v>
      </c>
      <c r="T4" s="3">
        <f>955.6+(489.7-392.8)+(-0.974712+(-0.499494--0.400656))+0-199.1--0.203082000000032</f>
        <v>852.5295319999999</v>
      </c>
      <c r="U4" s="3">
        <f>955.6+(471.9-381.6)+(-1.462068+(-0.722007--0.583848))+0-196.1--0.300033000000011</f>
        <v>848.49980600000015</v>
      </c>
      <c r="V4" s="3">
        <f>949.4+(518.1-418)+(0.484194+(0.264231-0.21318))+0-196.4-0.10016399999998</f>
        <v>853.5350810000001</v>
      </c>
      <c r="W4" s="3">
        <f>951.4+(507.4-404.6)+(1.940856+(1.035096-0.825384))+0-198-0.403919999999991</f>
        <v>857.94664799999987</v>
      </c>
      <c r="X4" s="3">
        <f>956.7+(520.8-402)+(-0.487917+(-0.265608--0.20502))+0-197--0.10046999999998</f>
        <v>878.051965</v>
      </c>
      <c r="Y4" s="3">
        <f>992.9+(536-407.5)+(0+(0-0))+0-196-0</f>
        <v>925.40000000000009</v>
      </c>
      <c r="Z4" s="3">
        <f>1001.6+(482.8-368.5)+(-2.55408+(-1.23114--0.939675))+0-195.7--0.499034999999972</f>
        <v>917.85349000000008</v>
      </c>
      <c r="AA4" s="3">
        <f>1003.2+(469.5-371.5)+(-2.046528+(-0.95778--0.75786))+0-196.6--0.401063999999991</f>
        <v>902.75461599999994</v>
      </c>
      <c r="AB4" s="3">
        <f>1002.6+(440.2-369.7)+(0+(0-0))+0-193.6-0</f>
        <v>879.49999999999989</v>
      </c>
      <c r="AC4" s="3">
        <f>1000.3+(422.2-371.1)+(0.510153+(0.215322-0.189261))+0-189.9-0.0968489999999807</f>
        <v>861.93936499999984</v>
      </c>
      <c r="AD4" s="2">
        <v>895.5999999999998</v>
      </c>
      <c r="AE4" s="3">
        <f>1000+(478.1-370.9)+(0+(0-0))+0-198.6-0</f>
        <v>908.6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1003.3+(382.1-360.5)+(-2.558415+(-0.974355--0.919275))+0-191.4--0.488069999999972</f>
        <v>831.37457500000005</v>
      </c>
      <c r="G5" s="3">
        <f>1003.8+(350.4-361.3)+(-2.047752+(-0.714816--0.737052))+0-192.1--0.391883999999992</f>
        <v>799.16636799999981</v>
      </c>
      <c r="H5" s="3">
        <f>874.7+(364.1-270.5)+(0.446097+(0.185691-0.137955))+0-190.4-0.0971039999999807</f>
        <v>778.29672900000014</v>
      </c>
      <c r="I5" s="3">
        <f>877.2+(337.6-259.5)+(-2.684232+(-1.033056--0.79407))+0-191.7--0.586602000000022</f>
        <v>761.26338399999997</v>
      </c>
      <c r="J5" s="3">
        <f>892.8+(325-268.7)+(-0.910656+(-0.3315--0.274074))+0-190.9--0.19471800000003</f>
        <v>757.42663600000003</v>
      </c>
      <c r="K5" s="3">
        <f>888.1+(324.5-261.2)+(0.905862+(0.33099-0.266424))+0-190.5-0.19431000000003</f>
        <v>761.67611800000009</v>
      </c>
      <c r="L5" s="3">
        <f>889.9+(360.6-296.5)+(-1.361547+(-0.551718--0.453645))+0-189.2--0.289476000000011</f>
        <v>763.62985600000013</v>
      </c>
      <c r="M5" s="3">
        <f>891.7+(394.5-291.5)+(-0.454767+(-0.201195--0.148665))+0-192.2--0.0980219999999805</f>
        <v>802.09072500000013</v>
      </c>
      <c r="N5" s="3">
        <f>881.4+(460.5-310.7)+(0.449514+(0.234855-0.158457))+0-193.5-0.0986849999999804</f>
        <v>838.12722700000018</v>
      </c>
      <c r="O5" s="3">
        <f>883.4+(519.6-332.2)+(0.450534+(0.264996-0.169422))+0-184.3-0.0939929999999813</f>
        <v>886.95211500000005</v>
      </c>
      <c r="P5" s="3">
        <f>880.4+(574.8-353.5)+(0+(0-0))+0-187-0</f>
        <v>914.69999999999982</v>
      </c>
      <c r="Q5" s="3">
        <f>872.4+(621.7-376.7)+(0.444924+(0.317067-0.192117))+0-190.1-0.0969509999999807</f>
        <v>927.77292300000011</v>
      </c>
      <c r="R5" s="3">
        <f>866.9+(632.8-386.6)+(-1.768476+(-1.290912--0.788664))+0-186.7--0.380867999999992</f>
        <v>924.51014399999985</v>
      </c>
      <c r="S5" s="3">
        <f>881.1+(602-375.5)+(-1.348083+(-0.92106--0.574515))+0-190.1--0.290853000000011</f>
        <v>916.09622499999989</v>
      </c>
      <c r="T5" s="3">
        <f>930.2+(578.3-410.9)+(-0.474402+(-0.294933--0.209559))+0-184.7--0.0941969999999813</f>
        <v>912.43442099999982</v>
      </c>
      <c r="U5" s="3">
        <f>991.7+(498.3-397.9)+(-2.528835+(-1.270665--1.014645))+0-183.3--0.467414999999973</f>
        <v>906.48256000000003</v>
      </c>
      <c r="V5" s="3">
        <f>998.7+(509.7-416)+(0+(0-0))+0-181.9-0</f>
        <v>910.50000000000011</v>
      </c>
      <c r="W5" s="3">
        <f>1002+(519.5-416.8)+(0.51102+(0.264945-0.212568))+0-187.8-0.0957779999999809</f>
        <v>917.36761899999999</v>
      </c>
      <c r="X5" s="3">
        <f>1006.8+(520.5-407.6)+(0+(0-0))+0-188.8-0</f>
        <v>930.89999999999986</v>
      </c>
      <c r="Y5" s="3">
        <f>1010.5+(590.4-425.8)+(1.03071+(0.602208-0.434316))+0-192.1-0.195942000000031</f>
        <v>984.00265999999976</v>
      </c>
      <c r="Z5" s="3">
        <f>1014+(551-393)+(-1.03428+(-0.56202--0.40086))+0-197.9--0.201858000000032</f>
        <v>973.10641800000008</v>
      </c>
      <c r="AA5" s="3">
        <f>1018.6+(500.5-380.7)+(-1.558458+(-0.765765--0.582471))+0-191.2--0.292536000000011</f>
        <v>945.75078400000018</v>
      </c>
      <c r="AB5" s="3">
        <f>1022.3+(446.5-361.8)+(0.521373+(0.227715-0.184518))+0-183.5-0.0935849999999814</f>
        <v>923.97098500000004</v>
      </c>
      <c r="AC5" s="3">
        <f>999.2+(415.7-340.8)+(-2.038368+(-0.848028--0.695232))+0-183.5--0.374339999999992</f>
        <v>888.7831759999998</v>
      </c>
      <c r="AD5" s="2">
        <v>939.5</v>
      </c>
      <c r="AE5" s="3">
        <f>1010+(534.8-397.3)+(0+(0-0))+0-194-0</f>
        <v>953.5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819.6+(492.2-257.5)+(-1.253988+(-0.753066--0.393975))+0-183.2--0.280296000000011</f>
        <v>869.76721699999996</v>
      </c>
      <c r="G6" s="3">
        <f>808.5+(436.7-231.4)+(-2.061675+(-1.113585--0.59007))+0-181.9--0.463844999999974</f>
        <v>829.77865499999996</v>
      </c>
      <c r="H6" s="3">
        <f>813.6+(416.8-243)+(-1.244808+(-0.637704--0.37179))+0-181.7--0.27800100000001</f>
        <v>804.46727900000008</v>
      </c>
      <c r="I6" s="3">
        <f>813.7+(398.6-236.7)+(0+(0-0))+0-181.5-0</f>
        <v>794.10000000000014</v>
      </c>
      <c r="J6" s="3">
        <f>815.6+(382.6-228.8)+(0+(0-0))+0-185.4-0</f>
        <v>784.00000000000011</v>
      </c>
      <c r="K6" s="3">
        <f>822.3+(397.3-240.4)+(0.419373+(0.202623-0.122604))+0-184-0.0938399999999813</f>
        <v>795.60555199999988</v>
      </c>
      <c r="L6" s="3">
        <f>819.6+(414.2-244.9)+(-0.417996+(-0.211242--0.124899))+0-184.4--0.0940439999999813</f>
        <v>804.08970499999998</v>
      </c>
      <c r="M6" s="3">
        <f>829.4+(449.5-233.7)+(0+(0-0))+0-190.6-0</f>
        <v>854.6</v>
      </c>
      <c r="N6" s="3">
        <f>861.4+(447.5-222.3)+(0+(0-0))+0-192.8-0</f>
        <v>893.8</v>
      </c>
      <c r="O6" s="3">
        <f>852.6+(542.4-275)+(1.739304+(1.106496-0.561))+0-192.3-0.392291999999992</f>
        <v>929.59250799999995</v>
      </c>
      <c r="P6" s="3">
        <f>874+(604.9-343.4)+(0.89148+(0.616998-0.350268))+0-181.9-0.185538000000029</f>
        <v>954.57267200000001</v>
      </c>
      <c r="Q6" s="3">
        <f>981.2+(507.7-349.7)+(-2.001648+(-1.035708--0.713388))+0-174.1--0.355163999999992</f>
        <v>963.13119600000005</v>
      </c>
      <c r="R6" s="3">
        <f>997.2+(551.9-416)+(-1.017144+(-0.562938--0.42432))+0-174.3--0.177786000000028</f>
        <v>957.82202399999994</v>
      </c>
      <c r="S6" s="3">
        <f>994.8+(518.9-388.6)+(-2.029392+(-1.058556--0.792744))+0-176.3--0.359651999999992</f>
        <v>946.86444799999992</v>
      </c>
      <c r="T6" s="3">
        <f>991.7+(582.7-453.8)+(0.505767+(0.297177-0.231438))+0-181.9-0.0927689999999815</f>
        <v>939.17873700000018</v>
      </c>
      <c r="U6" s="3">
        <f>992.1+(553.7-429.3)+(-1.517913+(-0.847161--0.656829))+0-182.6--0.279378000000011</f>
        <v>932.47113300000001</v>
      </c>
      <c r="V6" s="3">
        <f>991.7+(522.6-395.4)+(-1.011534+(-0.533052--0.403308))+0-187.9--0.19165800000003</f>
        <v>930.05038000000013</v>
      </c>
      <c r="W6" s="3">
        <f>992.9+(513.5-392.3)+(-3.544653+(-1.833195--1.400511))+0-187.2--0.668304000000003</f>
        <v>923.59096699999986</v>
      </c>
      <c r="X6" s="3">
        <f>996+(471.8-354.4)+(-0.50796+(-0.240618--0.180744))+0-187.8--0.0957779999999809</f>
        <v>925.12794400000018</v>
      </c>
      <c r="Y6" s="3">
        <f>999.3+(580.1-404.7)+(1.019286+(0.591702-0.412794))+0-183.2-0.186864000000029</f>
        <v>992.51133000000004</v>
      </c>
      <c r="Z6" s="3">
        <f>1008.1+(550.6-392)+(-1.542393+(-0.842418--0.59976))+0-185.1--0.283203000000011</f>
        <v>980.09815199999991</v>
      </c>
      <c r="AA6" s="3">
        <f>1015+(484.1-349.1)+(-1.0353+(-0.493782--0.356082))+0-194.9--0.198798000000031</f>
        <v>954.12579800000003</v>
      </c>
      <c r="AB6" s="3">
        <f>1021.6+(464.9-363.2)+(-0.521016+(-0.237099--0.185232))+0-191.1--0.0974609999999806</f>
        <v>931.72457799999984</v>
      </c>
      <c r="AC6" s="3">
        <f>1028.2+(392.9-330.4)+(0+(0-0))+0-189.7-0</f>
        <v>901</v>
      </c>
      <c r="AD6" s="2">
        <v>970.2</v>
      </c>
      <c r="AE6" s="3">
        <f>1004+(581.9-425.5)+(0+(0-0))+0-178.2-0</f>
        <v>982.2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1033.1+(373.4-349.1)+(-1.053762+(-0.380868--0.356082))+0-190.2--0.19400400000003</f>
        <v>866.31545599999993</v>
      </c>
      <c r="G7" s="3">
        <f>1037.4+(336.5-346.4)+(-1.058148+(-0.34323--0.353328))+0-190.5--0.19431000000003</f>
        <v>836.14625999999998</v>
      </c>
      <c r="H7" s="3">
        <f>1029.9+(329.6-361.2)+(-1.050498+(-0.336192--0.368424))+0-188.5--0.19227000000003</f>
        <v>808.97400400000015</v>
      </c>
      <c r="I7" s="3">
        <f>1030.5+(313.2-368)+(0.525555+(0.159732-0.18768))+0-185.8-0.0947579999999812</f>
        <v>790.30284900000015</v>
      </c>
      <c r="J7" s="3">
        <f>1031.7+(293.8-355)+(-1.052334+(-0.299676--0.3621))+0-186.1--0.18982200000003</f>
        <v>783.59991200000002</v>
      </c>
      <c r="K7" s="3">
        <f>1027.7+(298.9-355.2)+(2.620635+(0.762195-0.90576))+0-186.5-0.475574999999973</f>
        <v>786.90149500000018</v>
      </c>
      <c r="L7" s="3">
        <f>1032.3+(323.5-369.4)+(0.526473+(0.164985-0.188394))+0-184.6-0.0941459999999813</f>
        <v>802.20891799999993</v>
      </c>
      <c r="M7" s="3">
        <f>1022.1+(356.4-356.5)+(0+(0-0))+0-178.5-0</f>
        <v>843.5</v>
      </c>
      <c r="N7" s="3">
        <f>1020.2+(382.9-326.9)+(-1.560906+(-0.585837--0.500157))+0-184.9--0.282897000000011</f>
        <v>889.93631100000005</v>
      </c>
      <c r="O7" s="3">
        <f>1012.6+(400-304.4)+(-1.032852+(-0.408--0.310488))+0-183.3--0.186966000000029</f>
        <v>923.95660199999998</v>
      </c>
      <c r="P7" s="3">
        <f>995.6+(442.9-299.8)+(1.015512+(0.451758-0.305796))+0-181.6-0.185232000000029</f>
        <v>958.07624199999998</v>
      </c>
      <c r="Q7" s="3">
        <f>994.7+(431.4-288.6)+(-2.029188+(-0.880056--0.588744))+0-176.6--0.360263999999992</f>
        <v>958.93976399999997</v>
      </c>
      <c r="R7" s="3">
        <f>1000.6+(417.9-291.5)+(-1.530918+(-0.639387--0.445995))+0-180.2--0.27570600000001</f>
        <v>945.35139599999991</v>
      </c>
      <c r="S7" s="3">
        <f>992+(373.4-282.7)+(-2.02368+(-0.761736--0.576708))+0-181.5--0.370259999999992</f>
        <v>899.36155200000019</v>
      </c>
      <c r="T7" s="3">
        <f>991.3+(342.3-285)+(-2.022252+(-0.698292--0.5814))+0-181.2--0.369647999999992</f>
        <v>865.63050399999986</v>
      </c>
      <c r="U7" s="3">
        <f>988+(301.8-261.9)+(0+(0-0))+0-181.9-0</f>
        <v>846.00000000000011</v>
      </c>
      <c r="V7" s="3">
        <f>987.3+(308.6-244.1)+(-1.510569+(-0.472158--0.373473))+0-187.7--0.287181000000011</f>
        <v>862.77792699999998</v>
      </c>
      <c r="W7" s="3">
        <f>989.2+(312.3-240.7)+(1.008984+(0.318546-0.245514))+0-191.1-0.19492200000003</f>
        <v>870.58709400000021</v>
      </c>
      <c r="X7" s="3">
        <f>1003.8+(358.5-271.3)+(-2.55969+(-0.914175--0.691815))+0-192.3--0.490364999999972</f>
        <v>896.40831500000002</v>
      </c>
      <c r="Y7" s="3">
        <f>996+(410.2-257.9)+(0.50796+(0.209202-0.131529))+0-189.1-0.0964409999999808</f>
        <v>959.68919199999982</v>
      </c>
      <c r="Z7" s="3">
        <f>983.4+(420.3-261)+(-1.003068+(-0.428706--0.26622))+0-189.2--0.19298400000003</f>
        <v>952.52743000000009</v>
      </c>
      <c r="AA7" s="3">
        <f>981.8+(417.5-275)+(-2.50359+(-1.064625--0.70125))+0-195.4--0.498269999999972</f>
        <v>926.53130499999997</v>
      </c>
      <c r="AB7" s="3">
        <f>985.3+(375.3-258.2)+(-2.512515+(-0.957015--0.65841))+0-197--0.502349999999971</f>
        <v>903.09123</v>
      </c>
      <c r="AC7" s="3">
        <f>993.6+(395.7-326.3)+(1.013472+(0.403614-0.332826))+0-191.1-0.19492200000003</f>
        <v>872.78933800000004</v>
      </c>
      <c r="AD7" s="2">
        <v>935.6</v>
      </c>
      <c r="AE7" s="3">
        <f>976+(419.2-264.2)+(0+(0-0))+0-185.4-0</f>
        <v>945.6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988.1+(382-326.4)+(-2.015724+(-0.77928--0.665856))+0-191.1--0.389843999999992</f>
        <v>850.86069600000008</v>
      </c>
      <c r="G8" s="3">
        <f>999.4+(358.7-331)+(-2.038776+(-0.731748--0.67524))+0-190.9--0.389435999999992</f>
        <v>834.49415199999999</v>
      </c>
      <c r="H8" s="3">
        <f>1007.4+(353.9-363.3)+(2.055096+(0.721956-0.741132))+0-190.4-0.388415999999992</f>
        <v>809.24750400000005</v>
      </c>
      <c r="I8" s="3">
        <f>1007.7+(371.3-393.9)+(1.027854+(0.378726-0.401778))+0-191.9-0.195738000000031</f>
        <v>794.00906400000019</v>
      </c>
      <c r="J8" s="3">
        <f>1002.5+(349.6-388.4)+(-2.556375+(-0.89148--0.99042))+0-192.7--0.491384999999972</f>
        <v>769.03394999999989</v>
      </c>
      <c r="K8" s="3">
        <f>1004.3+(355.2-400.7)+(-1.024386+(-0.362304--0.408714))+0-190.7--0.19451400000003</f>
        <v>767.31653800000004</v>
      </c>
      <c r="L8" s="3">
        <f>1009.8+(342.3-375.4)+(2.57499+(0.872865-0.95727))+0-188-0.479399999999973</f>
        <v>790.71118500000011</v>
      </c>
      <c r="M8" s="3">
        <f>1003.6+(387.3-363.2)+(-1.535508+(-0.592569--0.555696))+0-191.7--0.293301000000011</f>
        <v>834.72092000000009</v>
      </c>
      <c r="N8" s="3">
        <f>1008.5+(405.3-346.5)+(1.02867+(0.413406-0.35343))+0-193.3-0.197166000000031</f>
        <v>874.89147999999989</v>
      </c>
      <c r="O8" s="3">
        <f>1012.1+(410.8-326)+(1.032342+(0.419016-0.33252))+0-191.5-0.195330000000031</f>
        <v>906.32350800000017</v>
      </c>
      <c r="P8" s="3">
        <f>1003.5+(387.9-283.7)+(1.02357+(0.395658-0.289374))+0-188.1-0.19186200000003</f>
        <v>920.53799200000003</v>
      </c>
      <c r="Q8" s="3">
        <f>998.5+(386-270.7)+(0.509235+(0.19686-0.138057))+0-185.8-0.0947579999999812</f>
        <v>928.47327999999993</v>
      </c>
      <c r="R8" s="3">
        <f>987+(393.4-270.5)+(0+(0-0))+0-181.4-0</f>
        <v>928.50000000000011</v>
      </c>
      <c r="S8" s="3">
        <f>980.3+(396.2-272.2)+(-1.999812+(-0.808248--0.555288))+0-185.8--0.379031999999992</f>
        <v>916.62625999999989</v>
      </c>
      <c r="T8" s="3">
        <f>979.1+(390.3-267.6)+(-1.498023+(-0.597159--0.409428))+0-186.7--0.285651000000011</f>
        <v>913.69989699999985</v>
      </c>
      <c r="U8" s="3">
        <f>974.8+(371.8-258.2)+(-0.994296+(-0.379236--0.263364))+0-181.4--0.185028000000029</f>
        <v>906.07486000000017</v>
      </c>
      <c r="V8" s="3">
        <f>975+(364.1-248.2)+(-1.49175+(-0.557073--0.379746))+0-184.6--0.282438000000011</f>
        <v>904.91336100000001</v>
      </c>
      <c r="W8" s="3">
        <f>982.7+(362.1-243.5)+(-1.002354+(-0.369342--0.24837))+0-182.7--0.186354000000029</f>
        <v>917.66302800000028</v>
      </c>
      <c r="X8" s="3">
        <f>982.2+(373.8-240.9)+(0.500922+(0.190638-0.122859))+0-181.6-0.0926159999999816</f>
        <v>933.97608500000001</v>
      </c>
      <c r="Y8" s="3">
        <f>990.4+(452.9-277)+(1.010208+(0.461958-0.28254))+0-181.1-0.184722000000029</f>
        <v>986.20490399999994</v>
      </c>
      <c r="Z8" s="3">
        <f>995+(441.9-286.8)+(-1.52235+(-0.676107--0.438804))+0-186.5--0.285345000000011</f>
        <v>962.12569199999984</v>
      </c>
      <c r="AA8" s="3">
        <f>994.5+(425.4-289.6)+(-0.507195+(-0.216954--0.147696))+0-191.2--0.0975119999999806</f>
        <v>938.62105899999995</v>
      </c>
      <c r="AB8" s="3">
        <f>996.5+(413.3-305.8)+(0+(0-0))+0-188.6-0</f>
        <v>915.4</v>
      </c>
      <c r="AC8" s="3">
        <f>1000.9+(374.5-298.5)+(-0.510459+(-0.190995--0.152235))+0-188.2--0.0959819999999809</f>
        <v>888.24676299999999</v>
      </c>
      <c r="AD8" s="2">
        <v>957.7</v>
      </c>
      <c r="AE8" s="3">
        <f>995+(443.4-286.9)+(0+(0-0))+0-180.8-0</f>
        <v>970.7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1005.3+(372.9-321.5)+(-1.025406+(-0.380358--0.32793))+0-185.7--0.18941400000003</f>
        <v>870.11157999999989</v>
      </c>
      <c r="G9" s="3">
        <f>1003.3+(347.8-321.6)+(-1.535049+(-0.532134--0.492048))+0-187.8--0.287334000000011</f>
        <v>840.41219899999999</v>
      </c>
      <c r="H9" s="3">
        <f>1004.8+(327.3-327.8)+(-0.512448+(-0.166923--0.167178))+0-186.6--0.0951659999999811</f>
        <v>817.28297299999986</v>
      </c>
      <c r="I9" s="3">
        <f>1008.4+(327-344.5)+(-1.028568+(-0.33354--0.35139))+0-185.7--0.18941400000003</f>
        <v>804.3786960000001</v>
      </c>
      <c r="J9" s="3">
        <f>1003.4+(332.5-354.8)+(-1.023468+(-0.33915--0.361896))+0-184.4--0.188088000000029</f>
        <v>795.88736599999993</v>
      </c>
      <c r="K9" s="3">
        <f>1005.4+(354.8-376)+(0.512754+(0.180948-0.19176))+0-182.7-0.0931769999999815</f>
        <v>801.90876500000013</v>
      </c>
      <c r="L9" s="3">
        <f>1003.9+(363.7-373)+(1.023978+(0.370974-0.38046))+0-182-0.185640000000029</f>
        <v>813.42885199999989</v>
      </c>
      <c r="M9" s="3">
        <f>1009.6+(387.2-347.7)+(-0.514896+(-0.197472--0.177327))+0-186.5--0.0951149999999811</f>
        <v>862.16007399999978</v>
      </c>
      <c r="N9" s="3">
        <f>1009.5+(391.6-300.7)+(-0.514845+(-0.199716--0.153357))+0-187.3--0.095522999999981</f>
        <v>912.634319</v>
      </c>
      <c r="O9" s="3">
        <f>1011.5+(415.3-297.4)+(-0.515865+(-0.211803--0.151674))+0-177.9--0.0907289999999819</f>
        <v>951.01473500000009</v>
      </c>
      <c r="P9" s="3">
        <f>1012+(445-301)+(0+(0-0))+0-181.1-0</f>
        <v>974.9</v>
      </c>
      <c r="Q9" s="3">
        <f>1021.6+(465.8-321.6)+(1.042032+(0.475116-0.328032))+0-176-0.179520000000028</f>
        <v>990.80959599999994</v>
      </c>
      <c r="R9" s="3">
        <f>1017.6+(466.1-326)+(0+(0-0))+0-173.6-0</f>
        <v>984.1</v>
      </c>
      <c r="S9" s="3">
        <f>1018+(473.8-352.5)+(-2.5959+(-1.20819--0.898875))+0-182.4--0.465119999999974</f>
        <v>954.45990499999994</v>
      </c>
      <c r="T9" s="3">
        <f>1007.9+(468.9-364.9)+(-1.028058+(-0.478278--0.372198))+0-181.5--0.185130000000029</f>
        <v>929.45099200000027</v>
      </c>
      <c r="U9" s="3">
        <f>998.7+(461.9-361.3)+(-1.528011+(-0.706707--0.552789))+0-173.9--0.26606700000001</f>
        <v>923.98413799999992</v>
      </c>
      <c r="V9" s="3">
        <f>974.9+(486.9-353.4)+(0+(0-0))+0-181.4-0</f>
        <v>927.00000000000011</v>
      </c>
      <c r="W9" s="3">
        <f>977.7+(483.3-338.3)+(2.493135+(1.232415-0.862665))+0-186.1-0.474554999999973</f>
        <v>938.98833000000002</v>
      </c>
      <c r="X9" s="3">
        <f>978.5+(452.7-307.8)+(1.99614+(0.923508-0.627912))+0-184.7-0.376787999999992</f>
        <v>940.61494799999991</v>
      </c>
      <c r="Y9" s="3">
        <f>992+(517.1-338.2)+(1.01184+(0.527442-0.344964))+0-188.1-0.19186200000003</f>
        <v>983.80245600000012</v>
      </c>
      <c r="Z9" s="3">
        <f>1004.6+(506-349)+(0.512346+(0.25806-0.17799))+0-188-0.0958799999999809</f>
        <v>974.0965359999999</v>
      </c>
      <c r="AA9" s="3">
        <f>1006.8+(496.5-358.4)+(0+(0-0))+0-192.5-0</f>
        <v>952.40000000000009</v>
      </c>
      <c r="AB9" s="3">
        <f>1010.9+(465.5-351.1)+(-1.546677+(-0.712215--0.537183))+0-192--0.293760000000011</f>
        <v>931.87205100000006</v>
      </c>
      <c r="AC9" s="3">
        <f>1014.4+(425.4-342.8)+(-0.517344+(-0.216954--0.174828))+0-187.2--0.095471999999981</f>
        <v>909.33600200000001</v>
      </c>
      <c r="AD9" s="2">
        <v>953.60000000000014</v>
      </c>
      <c r="AE9" s="3">
        <f>1004+(513.7-364.3)+(0+(0-0))+0-186.8-0</f>
        <v>966.60000000000014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1008.7+(445.7-391.9)+(-1.543311+(-0.681921--0.599607))+0-184.2--0.281826000000011</f>
        <v>876.95620100000008</v>
      </c>
      <c r="G10" s="3">
        <f>1004.1+(385.7-361.7)+(0+(0-0))+0-185.2-0</f>
        <v>842.89999999999986</v>
      </c>
      <c r="H10" s="3">
        <f>996.6+(364.2-355.2)+(-1.524798+(-0.557226--0.543456))+0-186.7--0.285651000000011</f>
        <v>817.64708299999995</v>
      </c>
      <c r="I10" s="3">
        <f>988.2+(355.3-345.1)+(-1.511946+(-0.543609--0.528003))+0-185.3--0.283509000000011</f>
        <v>811.8559570000001</v>
      </c>
      <c r="J10" s="3">
        <f>994.8+(343.6-346.9)+(-1.522044+(-0.525708--0.530757))+0-184.3--0.281979000000011</f>
        <v>805.96498400000007</v>
      </c>
      <c r="K10" s="3">
        <f>993.1+(355.4-357.7)+(0+(0-0))+0-183.7-0</f>
        <v>807.09999999999991</v>
      </c>
      <c r="L10" s="3">
        <f>993.6+(362.3-362.1)+(0+(0-0))+0-183.2-0</f>
        <v>810.59999999999991</v>
      </c>
      <c r="M10" s="3">
        <f>1002.9+(379-353.3)+(-0.511479+(-0.19329--0.180183))+0-184.9--0.0942989999999812</f>
        <v>843.26971299999991</v>
      </c>
      <c r="N10" s="3">
        <f>993.2+(415.6-343.7)+(0+(0-0))+0-188.8-0</f>
        <v>876.30000000000018</v>
      </c>
      <c r="O10" s="3">
        <f>978+(495.4-374.4)+(-0.99756+(-0.505308--0.381888))+0-184.7--0.188394000000029</f>
        <v>913.36741400000005</v>
      </c>
      <c r="P10" s="3">
        <f>977+(543.7-389.4)+(-0.49827+(-0.277287--0.198594))+0-182.4--0.0930239999999815</f>
        <v>948.41606100000024</v>
      </c>
      <c r="Q10" s="3">
        <f>972.1+(607-435.4)+(-0.991542+(-0.61914--0.444108))+0-177.7--0.181254000000028</f>
        <v>965.01468</v>
      </c>
      <c r="R10" s="3">
        <f>968.9+(614.8-440.7)+(-0.494139+(-0.313548--0.224757))+0-173.8--0.0886379999999824</f>
        <v>968.70570799999996</v>
      </c>
      <c r="S10" s="3">
        <f>966.6+(633.2-466.3)+(-1.971864+(-1.291728--0.951252))+4.3-177.7--0.362507999999992</f>
        <v>958.15016800000001</v>
      </c>
      <c r="T10" s="3">
        <f>956.8+(678.5-491.9)+(0.487968+(0.346035-0.250869))+0.2-177.2-0.090371999999982</f>
        <v>966.89276200000006</v>
      </c>
      <c r="U10" s="3">
        <f>966.2+(609-436.3)+(-0.985524+(-0.62118--0.445026))+0-170.6--0.174012000000027</f>
        <v>967.31233400000019</v>
      </c>
      <c r="V10" s="3">
        <f>966.1+(587.2-409.8)+(-0.492711+(-0.299472--0.208998))+0-179.7--0.0916469999999818</f>
        <v>963.30846199999996</v>
      </c>
      <c r="W10" s="3">
        <f>966.6+(565.6-389)+(-1.478898+(-0.865368--0.59517))+0-179.2--0.27417600000001</f>
        <v>962.52508</v>
      </c>
      <c r="X10" s="3">
        <f>979.3+(505.9-341.1)+(-0.998886+(-0.516018--0.347922))+0-180.6--0.184212000000029</f>
        <v>962.51722999999993</v>
      </c>
      <c r="Y10" s="3">
        <f>987.8+(646.3-437.3)+(1.007556+(0.659226-0.446046))+0-181.3-0.184926000000029</f>
        <v>1016.53581</v>
      </c>
      <c r="Z10" s="3">
        <f>999.4+(641.3-443)+(-3.058164+(-1.962378--1.35558))+0-183.6--0.561816000000021</f>
        <v>1010.9968539999998</v>
      </c>
      <c r="AA10" s="3">
        <f>1005.2+(592.6-426.7)+(0+(0-0))+0-182.7-0</f>
        <v>988.40000000000009</v>
      </c>
      <c r="AB10" s="3">
        <f>1008.4+(584.9-442.3)+(-0.514284+(-0.298299--0.225573))+0-184--0.0938399999999813</f>
        <v>966.50683000000004</v>
      </c>
      <c r="AC10" s="3">
        <f>1019.3+(532.4-425)+(-2.079372+(-1.086096--0.867))+0-181.9--0.371075999999992</f>
        <v>942.8726079999999</v>
      </c>
      <c r="AD10" s="2">
        <v>1010.3000000000002</v>
      </c>
      <c r="AE10" s="3">
        <f>998+(642.9-435.8)+(0+(0-0))+0-181.8-0</f>
        <v>1023.3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1018.3+(513.9-422.6)+(-1.038666+(-0.524178--0.431052))+0-181.5--0.185130000000029</f>
        <v>927.15333800000008</v>
      </c>
      <c r="G11" s="3">
        <f>1020.9+(468.6-415.8)+(-1.561977+(-0.716958--0.636174))+0-181.1--0.27708300000001</f>
        <v>891.23432200000002</v>
      </c>
      <c r="H11" s="3">
        <f>1019.9+(445.5-420.3)+(-1.560447+(-0.681615--0.643059))+0-180.7--0.27647100000001</f>
        <v>863.07746799999984</v>
      </c>
      <c r="I11" s="3">
        <f>1022+(396.2-392)+(-0.52122+(-0.202062--0.19992))+0-177.5--0.090524999999982</f>
        <v>848.2671630000001</v>
      </c>
      <c r="J11" s="3">
        <f>1018.2+(392.4-396.9)+(1.038564+(0.400248-0.404838))+0-176.3-0.179826000000028</f>
        <v>838.25414799999999</v>
      </c>
      <c r="K11" s="3">
        <f>1025.6+(375.9-378.3)+(0+(0-0))+0-180-0</f>
        <v>843.19999999999982</v>
      </c>
      <c r="L11" s="3">
        <f>1023.1+(404.5-402.1)+(-2.087124+(-0.82518--0.820284))+0-179.1--0.365363999999992</f>
        <v>844.67334399999993</v>
      </c>
      <c r="M11" s="3">
        <f>1018.7+(395.2-361.9)+(-0.519537+(-0.201552--0.184569))+0-181.2--0.0924119999999816</f>
        <v>870.35589199999981</v>
      </c>
      <c r="N11" s="3">
        <f>1011.7+(472.2-405.7)+(-1.031934+(-0.481644--0.413814))+0-182.1--0.185742000000029</f>
        <v>895.18597799999998</v>
      </c>
      <c r="O11" s="3">
        <f>1009.7+(506.7-405.5)+(-0.514947+(-0.258417--0.206805))+0-183.7--0.0936869999999814</f>
        <v>926.72712799999988</v>
      </c>
      <c r="P11" s="3">
        <f>992.3+(589.8-444.9)+(-1.012146+(-0.601596--0.453798))+0-180.2--0.183804000000029</f>
        <v>956.02385999999979</v>
      </c>
      <c r="Q11" s="3">
        <f>976.5+(618.3-434.7)+(-1.494045+(-0.945999--0.665091))+0-182.8--0.279684000000011</f>
        <v>975.80473099999983</v>
      </c>
      <c r="R11" s="3">
        <f>966.3+(664.9-466.8)+(-0.985626+(-0.678198--0.476136))+0-183--0.186660000000029</f>
        <v>980.39897199999996</v>
      </c>
      <c r="S11" s="3">
        <f>964.2+(706-500.9)+(-1.475226+(-1.08018--0.766377))+0-189.8--0.290394000000011</f>
        <v>978.00136500000019</v>
      </c>
      <c r="T11" s="3">
        <f>962.3+(655.2-446.4)+(-1.472319+(-1.002456--0.682992))+0-189.6--0.290088000000011</f>
        <v>979.99830499999996</v>
      </c>
      <c r="U11" s="3">
        <f>960.8+(640.9-440.6)+(-1.470024+(-0.980577--0.674118))+0-184.8--0.282744000000011</f>
        <v>974.80626099999984</v>
      </c>
      <c r="V11" s="3">
        <f>968.2+(619.5-426.4)+(-2.962692+(-1.89567--1.304784))+0-188.8--0.577728000000022</f>
        <v>969.52415000000019</v>
      </c>
      <c r="W11" s="3">
        <f>968.1+(532-339.6)+(-0.987462+(-0.54264--0.346392))+0-190.2--0.19400400000003</f>
        <v>969.310294</v>
      </c>
      <c r="X11" s="3">
        <f>971+(530.4-350.4)+(0.49521+(0.270504-0.178704))+0-188.8-0.0962879999999808</f>
        <v>962.69072200000005</v>
      </c>
      <c r="Y11" s="3">
        <f>976.2+(631.3-395.7)+(0+(0-0))+0-189.2-0</f>
        <v>1022.5999999999999</v>
      </c>
      <c r="Z11" s="3">
        <f>983.3+(669-431.9)+(-2.005932+(-1.36476--0.881076))+0-189.2--0.385967999999992</f>
        <v>1029.096352</v>
      </c>
      <c r="AA11" s="3">
        <f>981.8+(687.5-467.6)+(-1.001436+(-0.70125--0.476952))+0-188.5--0.19227000000003</f>
        <v>1012.1665359999997</v>
      </c>
      <c r="AB11" s="3">
        <f>969.1+(667.9-451.5)+(-0.494241+(-0.340629--0.230265))+0-189.5--0.0966449999999808</f>
        <v>995.49203999999997</v>
      </c>
      <c r="AC11" s="3">
        <f>944.7+(638.5-424.4)+(-1.445391+(-0.976905--0.649332))+0-190.7--0.291771000000011</f>
        <v>966.61880700000017</v>
      </c>
      <c r="AD11" s="2">
        <v>1008.3</v>
      </c>
      <c r="AE11" s="3">
        <f>979+(627.2-401.2)+(0+(0-0))+0-185.7-0</f>
        <v>1019.3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944.3+(644-461.2)+(-1.444779+(-0.98532--0.705636))+0-187--0.286110000000011</f>
        <v>938.6616469999999</v>
      </c>
      <c r="G12" s="3">
        <f>949.1+(598.7-456.5)+(-0.968082+(-0.610674--0.46563))+0-186.2--0.18992400000003</f>
        <v>904.17679800000019</v>
      </c>
      <c r="H12" s="3">
        <f>964.4+(537.5-441.9)+(0.983688+(0.54825-0.450738))+0-185.5-0.18921000000003</f>
        <v>875.39199000000008</v>
      </c>
      <c r="I12" s="3">
        <f>989.1+(478.4-423.4)+(1.513323+(0.731952-0.647802))+0-186.5-0.285345000000011</f>
        <v>858.91212799999994</v>
      </c>
      <c r="J12" s="3">
        <f>990.9+(459.8-421)+(0.505359+(0.234498-0.21471))+0-186.6-0.0951659999999811</f>
        <v>843.52998100000013</v>
      </c>
      <c r="K12" s="3">
        <f>991.3+(440.1-401.7)+(1.516689+(0.673353-0.614601))+0-187.2-0.286416000000011</f>
        <v>843.78902499999992</v>
      </c>
      <c r="L12" s="3">
        <f>990+(398.5-371.5)+(-1.5147+(-0.609705--0.568395))+0-182--0.278460000000011</f>
        <v>833.72244999999998</v>
      </c>
      <c r="M12" s="3">
        <f>991.1+(417.9-372.2)+(-1.010922+(-0.426258--0.379644))+0-186.5--0.19023000000003</f>
        <v>849.43269399999997</v>
      </c>
      <c r="N12" s="3">
        <f>984.3+(439.2-359.4)+(-0.501993+(-0.223992--0.183294))+0-183.7--0.0936869999999814</f>
        <v>879.95099599999969</v>
      </c>
      <c r="O12" s="3">
        <f>980.3+(465.5-356.8)+(0.999906+(0.47481-0.363936))+0-175.6-0.179112000000028</f>
        <v>914.33166799999992</v>
      </c>
      <c r="P12" s="3">
        <f>968.4+(524.6-370.2)+(1.481652+(0.802638-0.566406))+0-179.9-0.27524700000001</f>
        <v>944.34263699999985</v>
      </c>
      <c r="Q12" s="3">
        <f>985.8+(581.9-420.7)+(-0.502758+(-0.296769--0.214557))+0-179.7--0.0916469999999818</f>
        <v>966.80667699999981</v>
      </c>
      <c r="R12" s="3">
        <f>980+(615-434.9)+(-0.9996+(-0.6273--0.443598))+0-183.5--0.187170000000029</f>
        <v>975.60386800000003</v>
      </c>
      <c r="S12" s="3">
        <f>978+(660-478.3)+(0+(0-0))+0-182.1-0</f>
        <v>977.6</v>
      </c>
      <c r="T12" s="3">
        <f>971+(700.3-526)+(0.49521+(0.357153-0.26826))+0-178.6-0.0910859999999819</f>
        <v>967.19301699999983</v>
      </c>
      <c r="U12" s="3">
        <f>971.8+(688.6-530.1)+(-0.495618+(-0.351186--0.270351))+0-171.6--0.0875159999999826</f>
        <v>958.21106299999997</v>
      </c>
      <c r="V12" s="3">
        <f>974.5+(625.5-471.1)+(1.490985+(0.957015-0.720783))+0-176.3-0.26973900000001</f>
        <v>954.05747800000029</v>
      </c>
      <c r="W12" s="3">
        <f>978.6+(495.9-351.6)+(-0.998172+(-0.505818--0.358632))+0-185.7--0.18941400000003</f>
        <v>936.24405600000011</v>
      </c>
      <c r="X12" s="3">
        <f>983.4+(522.3-383.8)+(-0.501534+(-0.266373--0.195738))+0-184--0.0938399999999813</f>
        <v>937.42167099999983</v>
      </c>
      <c r="Y12" s="3">
        <f>989.9+(603.5-410.3)+(1.009698+(0.61557-0.418506))+0-183.4-0.187068000000029</f>
        <v>1000.7196939999999</v>
      </c>
      <c r="Z12" s="3">
        <f>1001.4+(585.9-392.9)+(0.510714+(0.298809-0.200379))+0-184.6-0.0941459999999813</f>
        <v>1010.3149980000001</v>
      </c>
      <c r="AA12" s="3">
        <f>1012+(587.6-413)+(0.51612+(0.299676-0.21063))+0-188.7-0.0962369999999809</f>
        <v>998.40892899999994</v>
      </c>
      <c r="AB12" s="3">
        <f>1018.5+(550.2-396.6)+(-1.03887+(-0.561204--0.404532))+0-185.3--0.18900600000003</f>
        <v>985.79346400000009</v>
      </c>
      <c r="AC12" s="3">
        <f>1017.1+(554-433.8)+(-0.518721+(-0.28254--0.221238))+0-184.1--0.0938909999999813</f>
        <v>952.71386799999993</v>
      </c>
      <c r="AD12" s="2">
        <v>998.69999999999993</v>
      </c>
      <c r="AE12" s="3">
        <f>996+(635.1-436.5)+(0+(0-0))+0-184.9-0</f>
        <v>1009.6999999999999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1013.8+(462.6-373.3)+(-0.517038+(-0.235926--0.190383))+0-185--0.0943499999999812</f>
        <v>917.63176899999996</v>
      </c>
      <c r="G13" s="3">
        <f>1009.3+(438.8-383.2)+(-1.029486+(-0.447576--0.390864))+0-180.6--0.184212000000029</f>
        <v>883.3980140000001</v>
      </c>
      <c r="H13" s="3">
        <f>998.6+(390.1-361)+(-1.018572+(-0.397902--0.36822))+0-177--0.180540000000028</f>
        <v>849.83228600000007</v>
      </c>
      <c r="I13" s="3">
        <f>943+(364.1-295.8)+(0+(0-0))+0-178.7-0</f>
        <v>832.59999999999991</v>
      </c>
      <c r="J13" s="3">
        <f>943.4+(363.5-306.3)+(0.481134+(0.185385-0.156213))+0-177.2-0.090371999999982</f>
        <v>823.81993399999999</v>
      </c>
      <c r="K13" s="3">
        <f>944.4+(355.2-300.1)+(0.963288+(0.362304-0.306102))+0-181.5-0.185130000000029</f>
        <v>818.83435999999995</v>
      </c>
      <c r="L13" s="3">
        <f>949+(366.4-331.1)+(0+(0-0))+0-176.5-0</f>
        <v>807.8</v>
      </c>
      <c r="M13" s="3">
        <f>945+(322-278)+(-0.48195+(-0.16422--0.14178))+0-181.9--0.0927689999999815</f>
        <v>806.68837900000005</v>
      </c>
      <c r="N13" s="3">
        <f>942+(365-313.8)+(0.96084+(0.3723-0.320076))+0-183.8-0.187476000000029</f>
        <v>810.22558800000002</v>
      </c>
      <c r="O13" s="3">
        <f>935.2+(355.3-300.6)+(-0.476952+(-0.181203--0.153306))+0-179--0.0912899999999818</f>
        <v>810.48644100000001</v>
      </c>
      <c r="P13" s="3">
        <f>930.7+(347.6-289.7)+(-2.373285+(-0.88638--0.738735))+0-179.3--0.457214999999974</f>
        <v>807.23628500000007</v>
      </c>
      <c r="Q13" s="3">
        <f>927.6+(369-326.7)+(-0.473076+(-0.18819--0.166617))+0-177.2--0.090371999999982</f>
        <v>792.29572300000007</v>
      </c>
      <c r="R13" s="3">
        <f>918.1+(398.1-363.2)+(0+(0-0))+0-178-0</f>
        <v>775</v>
      </c>
      <c r="S13" s="3">
        <f>915.7+(420.2-378.9)+(0+(0-0))+0-179.6-0</f>
        <v>777.4</v>
      </c>
      <c r="T13" s="3">
        <f>915.5+(435.3-392.4)+(-0.93381+(-0.444006--0.400248))+0-179.3--0.182886000000029</f>
        <v>778.30531800000017</v>
      </c>
      <c r="U13" s="3">
        <f>909.7+(410.6-369.2)+(-0.463947+(-0.209406--0.188292))+0-177.8--0.090677999999982</f>
        <v>772.90561700000012</v>
      </c>
      <c r="V13" s="3">
        <f>912.5+(409.1-363.3)+(0.465375+(0.208641-0.185283))+0-178.6-0.0910859999999819</f>
        <v>780.09764699999994</v>
      </c>
      <c r="W13" s="3">
        <f>904.1+(416.2-371.6)+(-0.461091+(-0.212262--0.189516))+0-178.5--0.0910349999999819</f>
        <v>769.80719800000008</v>
      </c>
      <c r="X13" s="3">
        <f>898.9+(398.6-333.9)+(-0.916878+(-0.406572--0.340578))+0-180.3--0.183906000000029</f>
        <v>782.50103399999989</v>
      </c>
      <c r="Y13" s="3">
        <f>965.9+(503.7-415.5)+(0.492609+(0.256887-0.211905))+0-177.8-0.090677999999982</f>
        <v>876.74691299999995</v>
      </c>
      <c r="Z13" s="3">
        <f>973.9+(577.3-441.8)+(-0.993378+(-0.588846--0.450636))+0-180.7--0.184314000000029</f>
        <v>927.75272599999994</v>
      </c>
      <c r="AA13" s="3">
        <f>981.1+(556.9-425.6)+(-0.500361+(-0.284019--0.217056))+0-183.2--0.0934319999999814</f>
        <v>928.72610799999995</v>
      </c>
      <c r="AB13" s="3">
        <f>983.7+(558.1-460.5)+(-1.003374+(-0.569262--0.46971))+0-179.4--0.182988000000029</f>
        <v>900.9800620000002</v>
      </c>
      <c r="AC13" s="3">
        <f>994.2+(471.9-425.7)+(-0.507042+(-0.240669--0.217107))+0-182--0.0928199999999815</f>
        <v>857.96221600000001</v>
      </c>
      <c r="AD13" s="2">
        <v>914.89999999999986</v>
      </c>
      <c r="AE13" s="3">
        <f>969+(594.3-464.1)+(0+(0-0))+0-173.3-0</f>
        <v>925.89999999999986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998.3+(438.3-422.4)+(-1.018266+(-0.447066--0.430848))+0-184.7--0.188394000000029</f>
        <v>828.65391</v>
      </c>
      <c r="G14" s="3">
        <f>1006.1+(358.2-380.6)+(-1.026222+(-0.365364--0.388212))+0-185.1--0.18880200000003</f>
        <v>797.78542800000002</v>
      </c>
      <c r="H14" s="3">
        <f>1010+(319.4-371.8)+(-1.0302+(-0.325788--0.379236))+0-180.9--0.184518000000029</f>
        <v>775.90776599999992</v>
      </c>
      <c r="I14" s="3">
        <f>1008.3+(305.1-365.3)+(-1.028466+(-0.311202--0.372606))+0-180.8--0.184416000000029</f>
        <v>766.51735399999984</v>
      </c>
      <c r="J14" s="3">
        <f>1010.9+(276.4-341.9)+(-1.031118+(-0.281928--0.348738))+0-182.4--0.186048000000029</f>
        <v>762.22174000000007</v>
      </c>
      <c r="K14" s="3">
        <f>1029.1+(261-333.6)+(0.524841+(0.13311-0.170136))+0-183.8-0.0937379999999814</f>
        <v>773.09407699999974</v>
      </c>
      <c r="L14" s="3">
        <f>1060.8+(245.8-344.7)+(0+(0-0))+0-183.8-0</f>
        <v>778.09999999999991</v>
      </c>
      <c r="M14" s="3">
        <f>1060.6+(291-333.6)+(0.540906+(0.14841-0.170136))+0-185.8-0.0947579999999812</f>
        <v>832.62442199999987</v>
      </c>
      <c r="N14" s="3">
        <f>1053.1+(336.8-297.6)+(-0.537081+(-0.171768--0.151776))+0-188.3--0.0960329999999809</f>
        <v>903.53896000000009</v>
      </c>
      <c r="O14" s="3">
        <f>1046.5+(365.8-286.4)+(0+(0-0))+0-184-0</f>
        <v>941.90000000000009</v>
      </c>
      <c r="P14" s="3">
        <f>1125.9+(384.2-378.9)+(0+(0-0))+0-163.8-0</f>
        <v>967.40000000000009</v>
      </c>
      <c r="Q14" s="3">
        <f>1136.6+(425.1-405.7)+(-0.579666+(-0.216801--0.206907))+0-162--0.0826199999999836</f>
        <v>993.49306000000013</v>
      </c>
      <c r="R14" s="3">
        <f>1143.3+(479.6-440.8)+(-1.166166+(-0.489192--0.449616))+0-172--0.175440000000027</f>
        <v>1009.0696979999998</v>
      </c>
      <c r="S14" s="3">
        <f>1143.7+(518.9-470.6)+(-2.333148+(-1.058556--0.960024))+0-177.7--0.362507999999992</f>
        <v>1012.2308280000001</v>
      </c>
      <c r="T14" s="3">
        <f>1140+(506.7-449.6)+(-1.7442+(-0.775251--0.687888))+0-184.7--0.282591000000011</f>
        <v>1010.8510279999999</v>
      </c>
      <c r="U14" s="3">
        <f>1137.1+(492-434.7)+(-1.159842+(-0.50184--0.443394))+0-186.5--0.19023000000003</f>
        <v>1006.8719419999999</v>
      </c>
      <c r="V14" s="3">
        <f>1141.6+(441.4-394.4)+(0+(0-0))+0-189.5-0</f>
        <v>999.09999999999991</v>
      </c>
      <c r="W14" s="3">
        <f>1144.8+(410.8-371.8)+(-0.583848+(-0.209508--0.189618))+0-191.8--0.0978179999999805</f>
        <v>991.49407999999994</v>
      </c>
      <c r="X14" s="3">
        <f>1148.2+(353.7-346)+(-0.585582+(-0.180387--0.17646))+0-191--0.0974099999999806</f>
        <v>964.40790100000015</v>
      </c>
      <c r="Y14" s="3">
        <f>1157.5+(388.1-325.1)+(0.590325+(0.197931-0.165801))+0-186.9-0.095318999999981</f>
        <v>1034.1271359999998</v>
      </c>
      <c r="Z14" s="3">
        <f>1162.8+(412.6-339.7)+(-3.558168+(-1.262556--1.039482))+0-191.9--0.587214000000022</f>
        <v>1040.6059720000001</v>
      </c>
      <c r="AA14" s="3">
        <f>1167.8+(403.6-352.3)+(-1.786734+(-0.617508--0.539019))+0-193.8--0.296514000000011</f>
        <v>1023.7312909999999</v>
      </c>
      <c r="AB14" s="3">
        <f>1174.3+(526.2-506.1)+(-0.598893+(-0.268362--0.258111))+0-189.1--0.0964409999999808</f>
        <v>1004.7872970000001</v>
      </c>
      <c r="AC14" s="3">
        <f>1180.2+(472.6-498.9)+(-1.805706+(-0.723078--0.763317))+0-193.6--0.296208000000011</f>
        <v>958.8307410000001</v>
      </c>
      <c r="AD14" s="2">
        <v>1052</v>
      </c>
      <c r="AE14" s="3">
        <f>1159+(445.6-352.6)+(0+(0-0))+0-189-0</f>
        <v>1063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1183+(426.4-490.1)+(-2.41332+(-0.869856--0.999804))+0-190.5--0.388619999999992</f>
        <v>926.9052479999998</v>
      </c>
      <c r="G15" s="3">
        <f>1188+(382.4-491.5)+(-3.0294+(-0.97512--1.253325))+0-192.3--0.490364999999972</f>
        <v>884.33917000000008</v>
      </c>
      <c r="H15" s="3">
        <f>1194.9+(336.5-476.5)+(-3.046995+(-0.858075--1.215075))+0-186--0.474299999999973</f>
        <v>866.68430500000011</v>
      </c>
      <c r="I15" s="3">
        <f>1195.1+(298.2-451.1)+(-1.219002+(-0.304164--0.460122))+0-189.1--0.19288200000003</f>
        <v>852.22983799999986</v>
      </c>
      <c r="J15" s="3">
        <f>1200+(290.5-456.8)+(0.612+(0.148155-0.232968))+0-189.7-0.0967469999999808</f>
        <v>844.43043999999998</v>
      </c>
      <c r="K15" s="3">
        <f>1202.4+(287.9-451.1)+(-0.613224+(-0.146829--0.230061))+0-188.9--0.0963389999999808</f>
        <v>849.86634700000002</v>
      </c>
      <c r="L15" s="3">
        <f>1203.9+(290.6-438.9)+(0.613989+(0.148206-0.223839))+0-188.1-0.0959309999999809</f>
        <v>867.94242500000018</v>
      </c>
      <c r="M15" s="3">
        <f>1198.7+(318.1-414.4)+(-0.611337+(-0.162231--0.211344))+0-193.2--0.0985319999999804</f>
        <v>908.73630800000001</v>
      </c>
      <c r="N15" s="3">
        <f>1173.8+(385.3-409.6)+(0+(0-0))+0-194.2-0</f>
        <v>955.3</v>
      </c>
      <c r="O15" s="3">
        <f>1122.6+(431.8-386.4)+(-1.145052+(-0.440436--0.394128))+0-182.5--0.186150000000029</f>
        <v>984.49478999999997</v>
      </c>
      <c r="P15" s="3">
        <f>1152.2+(424.2-397.6)+(-0.587622+(-0.216342--0.202776))+0-167.4--0.085373999999983</f>
        <v>1010.8841859999999</v>
      </c>
      <c r="Q15" s="3">
        <f>1158+(457-396)+(-2.9529+(-1.16535--1.0098))+0-167--0.425849999999976</f>
        <v>1049.3174000000001</v>
      </c>
      <c r="R15" s="3">
        <f>1138+(650.7-581)+(-1.16076+(-0.663714--0.59262))+0-179--0.182580000000029</f>
        <v>1027.6507259999998</v>
      </c>
      <c r="S15" s="3">
        <f>1138+(662.9-588)+(-2.9019+(-1.690395--1.4994))+0-180--0.458999999999974</f>
        <v>1030.2661050000002</v>
      </c>
      <c r="T15" s="3">
        <f>1138+(630.5-564)+(-2.9019+(-1.607775--1.4382))+0-179--0.456449999999974</f>
        <v>1022.8849750000001</v>
      </c>
      <c r="U15" s="3">
        <f>1141+(612.6-615)+(-1.16382+(-0.624852--0.6273))+0-171--0.174420000000027</f>
        <v>966.61304799999994</v>
      </c>
      <c r="V15" s="3">
        <f>1140+(549.8-488)+(-2.3256+(-1.121592--0.99552))+0-170--0.346799999999993</f>
        <v>1029.6951280000001</v>
      </c>
      <c r="W15" s="3">
        <f>1140+(512.1-428)+(-0.5814+(-0.261171--0.21828))+0-167--0.0851699999999831</f>
        <v>1056.5608789999999</v>
      </c>
      <c r="X15" s="3">
        <f>1143+(491.6-392)+(0+(0-0))+0-169-0</f>
        <v>1073.5999999999999</v>
      </c>
      <c r="Y15" s="3">
        <f>1144+(572.3-469)+(0.58344+(0.291873-0.23919))+0-170-0.0866999999999827</f>
        <v>1077.8494229999999</v>
      </c>
      <c r="Z15" s="3">
        <f>1150+(573.6-418)+(1.173+(0.585072-0.42636))+0-175-0.178500000000028</f>
        <v>1131.7532119999998</v>
      </c>
      <c r="AA15" s="3">
        <f>1158+(568.1-463)+(-1.77174+(-0.869193--0.70839))+0-179--0.27387000000001</f>
        <v>1082.441327</v>
      </c>
      <c r="AB15" s="3">
        <f>1175+(583.3-557)+(0+(0-0))+0-178-0</f>
        <v>1023.3</v>
      </c>
      <c r="AC15" s="3">
        <f>1180+(559.8-595)+(-1.2036+(-0.570996--0.6069))+0-181--0.184620000000029</f>
        <v>962.81692399999997</v>
      </c>
      <c r="AD15" s="2">
        <v>1081.2</v>
      </c>
      <c r="AE15" s="3">
        <f>1166+(456.1-366.3)+(0+(0-0))+0-166.6-0</f>
        <v>1089.2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1165+(444.1-474.7)+(0+(0-0))+0-172.3-0</f>
        <v>962.10000000000014</v>
      </c>
      <c r="G16" s="3">
        <f>1171+(394.4-468.9)+(0+(0-0))+0-173.1-0</f>
        <v>923.4</v>
      </c>
      <c r="H16" s="3">
        <f>1172+(371-472.3)+(0+(0-0))+0-173.4-0</f>
        <v>897.30000000000007</v>
      </c>
      <c r="I16" s="3">
        <f>1178+(344.9-468.6)+(0+(0-0))+0-174.1-0</f>
        <v>880.19999999999993</v>
      </c>
      <c r="J16" s="3">
        <f>1176+(322.8-456.8)+(0+(0-0))+0-171.8-0</f>
        <v>870.2</v>
      </c>
      <c r="K16" s="3">
        <f>1184+(320.1-450.7)+(0+(0-0))+0-182.9-0</f>
        <v>870.50000000000011</v>
      </c>
      <c r="L16" s="3">
        <f>1201.6+(312.6-431.3)+(0.612816+(0.159426-0.219963))+0-187.6-0.095675999999981</f>
        <v>895.75660299999981</v>
      </c>
      <c r="M16" s="3">
        <f>1204.6+(341.2-421.4)+(1.843038+(0.522036-0.644742))+0-195.3-0.298809000000011</f>
        <v>930.521523</v>
      </c>
      <c r="N16" s="3">
        <f>1175.2+(370.1-389.7)+(-1.198704+(-0.377502--0.397494))+0-192.5--0.196350000000031</f>
        <v>962.11763800000028</v>
      </c>
      <c r="O16" s="3">
        <f>1171.2+(398.3-386.9)+(-1.194624+(-0.406266--0.394638))+0-187.6--0.19135200000003</f>
        <v>993.98510000000022</v>
      </c>
      <c r="P16" s="3">
        <f>1161.3+(456.4-390.2)+(-1.776789+(-0.698292--0.597006))+0-184.3--0.281979000000011</f>
        <v>1041.6039040000001</v>
      </c>
      <c r="Q16" s="3">
        <f>1151+(487.5-397.2)+(0+(0-0))+0-177-0</f>
        <v>1064.3</v>
      </c>
      <c r="R16" s="3">
        <f>1138.9+(540.9-414.7)+(-3.485034+(-1.655154--1.268982))+0-182.1--0.557226000000021</f>
        <v>1079.6860200000003</v>
      </c>
      <c r="S16" s="3">
        <f>1129.5+(637.8-497.9)+(0.576045+(0.325278-0.253929))+0-186.2-0.0949619999999811</f>
        <v>1083.7524320000002</v>
      </c>
      <c r="T16" s="3">
        <f>1109.8+(639.3-489.5)+(-1.131996+(-0.652086--0.49929))+0-189.5--0.19329000000003</f>
        <v>1069.0084979999999</v>
      </c>
      <c r="U16" s="3">
        <f>1110.9+(632.4-500.6)+(-0.566559+(-0.322524--0.255306))+0-182.9--0.0932789999999814</f>
        <v>1059.2595019999999</v>
      </c>
      <c r="V16" s="3">
        <f>1115.1+(586.8-470.7)+(-1.137402+(-0.598536--0.480114))+0-186.3--0.19002600000003</f>
        <v>1043.8342019999998</v>
      </c>
      <c r="W16" s="3">
        <f>1118.3+(506.2-411.5)+(0+(0-0))+0-185.2-0</f>
        <v>1027.8</v>
      </c>
      <c r="X16" s="3">
        <f>1132+(427.9-361.7)+(-0.57732+(-0.218229--0.184467))+0-186.4--0.0950639999999811</f>
        <v>1011.2839820000002</v>
      </c>
      <c r="Y16" s="3">
        <f>1147.7+(486.5-379.8)+(0.585327+(0.248115-0.193698))+0-185.1-0.0944009999999812</f>
        <v>1069.8453430000002</v>
      </c>
      <c r="Z16" s="3">
        <f>1156.6+(536.5-398.5)+(-1.769598+(-0.820845--0.609705))+0-188.8--0.288864000000011</f>
        <v>1104.1081260000001</v>
      </c>
      <c r="AA16" s="3">
        <f>1161.9+(594.2-470.3)+(-3.555414+(-1.818252--1.439118))+0-193.3--0.591498000000022</f>
        <v>1089.1569500000003</v>
      </c>
      <c r="AB16" s="3">
        <f>1166.2+(590.3-494.3)+(-2.97381+(-1.505265--1.260465))+0-192.4--0.490619999999972</f>
        <v>1067.0720100000001</v>
      </c>
      <c r="AC16" s="3">
        <f>1166.8+(576-515.4)+(-2.380272+(-1.17504--1.051416))+0-192--0.391679999999992</f>
        <v>1033.2877840000001</v>
      </c>
      <c r="AD16" s="2">
        <v>1099.5</v>
      </c>
      <c r="AE16" s="3">
        <f>1152+(549.4-405.7)+(0+(0-0))+0-186.2-0</f>
        <v>1109.5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1167.2+(531.6-505.8)+(-0.595272+(-0.271116--0.257958))+0-188.3--0.0960329999999809</f>
        <v>1004.1876030000001</v>
      </c>
      <c r="G17" s="3">
        <f>1167.4+(498-513.7)+(-1.786122+(-0.76194--0.785961))+0-185.4--0.283662000000011</f>
        <v>964.82156100000009</v>
      </c>
      <c r="H17" s="3">
        <f>1175.5+(460.3-511.6)+(1.19901+(0.469506-0.521832))+0-185-0.18870000000003</f>
        <v>940.15798400000006</v>
      </c>
      <c r="I17" s="3">
        <f>1161.7+(434.2-495.1)+(1.184934+(0.442884-0.505002))+0-181.7-0.185334000000029</f>
        <v>920.03748199999995</v>
      </c>
      <c r="J17" s="3">
        <f>1130.7+(416.1-462.9)+(-1.153314+(-0.424422--0.472158))+0-174.7--0.178194000000028</f>
        <v>908.2726160000002</v>
      </c>
      <c r="K17" s="3">
        <f>1132.4+(390.8-448.1)+(0.577524+(0.199308-0.228531))+0-169.9-0.0866489999999828</f>
        <v>905.66165200000023</v>
      </c>
      <c r="L17" s="3">
        <f>1138.4+(370.7-442.9)+(-1.161168+(-0.378114--0.451758))+0-173.4--0.176868000000028</f>
        <v>891.88934400000005</v>
      </c>
      <c r="M17" s="3">
        <f>1129.8+(389.3-419.7)+(1.152396+(0.397086-0.428094))+0-177.4-0.180948000000028</f>
        <v>922.94044000000008</v>
      </c>
      <c r="N17" s="3">
        <f>1099.5+(438.8-390.3)+(1.12149+(0.447576-0.398106))+0-171.8-0.175236000000027</f>
        <v>977.19572399999993</v>
      </c>
      <c r="O17" s="3">
        <f>1086.5+(481.1-376.4)+(1.662345+(0.736083-0.575892))+0-169.2-0.25887600000001</f>
        <v>1023.5636599999999</v>
      </c>
      <c r="P17" s="3">
        <f>1083.2+(533-382.8)+(1.657296+(0.81549-0.585684))+0-164.8-0.25214400000001</f>
        <v>1070.234958</v>
      </c>
      <c r="Q17" s="3">
        <f>1083.4+(621.9-451.9)+(0+(0-0))+0-155.5-0</f>
        <v>1097.9000000000001</v>
      </c>
      <c r="R17" s="3">
        <f>1074.1+(695.7-492.2)+(0+(0-0))+0-157.8-0</f>
        <v>1119.8</v>
      </c>
      <c r="S17" s="3">
        <f>1133.1+(703.6-564.5)+(-3.467286+(-2.153016--1.72737))+0-162.4--0.496944000000019</f>
        <v>1106.4040119999997</v>
      </c>
      <c r="T17" s="3">
        <f>1141+(716.8-588.7)+(0+(0-0))+0-166.7-0</f>
        <v>1102.3999999999999</v>
      </c>
      <c r="U17" s="3">
        <f>1135.5+(696.5-584.8)+(0+(0-0))+0-160.5-0</f>
        <v>1086.7</v>
      </c>
      <c r="V17" s="3">
        <f>1133.5+(585.2-502.6)+(-1.15617+(-0.596904--0.512652))+0-157.6--0.160752000000025</f>
        <v>1057.4203299999999</v>
      </c>
      <c r="W17" s="3">
        <f>1139.5+(480.8-434.6)+(-1.743435+(-0.735624--0.664938))+0-153.8--0.235314000000009</f>
        <v>1030.321193</v>
      </c>
      <c r="X17" s="3">
        <f>1139.9+(420.1-397.9)+(-0.581349+(-0.214251--0.202929))+0-155.8--0.0794579999999842</f>
        <v>1005.786787</v>
      </c>
      <c r="Y17" s="3">
        <f>1144.6+(530.9-447.4)+(1.751238+(0.812277-0.684522))+0-156.2-0.238986000000009</f>
        <v>1073.5400069999998</v>
      </c>
      <c r="Z17" s="3">
        <f>1145+(627.6-501.5)+(0+(0-0))+0-157.2-0</f>
        <v>1113.8999999999999</v>
      </c>
      <c r="AA17" s="3">
        <f>1159+(686.4-579.8)+(-1.77327+(-1.050192--0.887094))+0-160.1--0.244953000000009</f>
        <v>1103.808585</v>
      </c>
      <c r="AB17" s="3">
        <f>1159.7+(647.4-553.8)+(-2.365788+(-1.320696--1.129752))+0-158.4--0.323135999999993</f>
        <v>1092.6664040000001</v>
      </c>
      <c r="AC17" s="3">
        <f>1163.7+(625.7-554)+(-2.967435+(-1.595535--1.4127))+0-170.7--0.435284999999975</f>
        <v>1061.985015</v>
      </c>
      <c r="AD17" s="2">
        <v>1101.0999999999999</v>
      </c>
      <c r="AE17" s="3">
        <f>1138+(589.2-460.1)+(0+(0-0))+0-156-0</f>
        <v>1111.0999999999999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1162.4+(563.3-523.6)+(1.778472+(0.861849-0.801108))+0-173.6-0.26560800000001</f>
        <v>1030.073605</v>
      </c>
      <c r="G18" s="3">
        <f>1173.3+(518.5-523.2)+(-1.795149+(-0.793305--0.800496))+0-181.7--0.27800100000001</f>
        <v>985.39004299999999</v>
      </c>
      <c r="H18" s="3">
        <f>1178.3+(472-508.8)+(-0.600933+(-0.24072--0.259488))+0-184.2--0.0939419999999813</f>
        <v>956.81177699999989</v>
      </c>
      <c r="I18" s="3">
        <f>1183+(447-509.6)+(-3.01665+(-1.13985--1.29948))+0-183.9--0.468944999999973</f>
        <v>934.11192500000016</v>
      </c>
      <c r="J18" s="3">
        <f>1187.8+(410.9-497.3)+(2.423112+(0.838236-1.014492))+0-186.8-0.381071999999992</f>
        <v>916.46578399999987</v>
      </c>
      <c r="K18" s="3">
        <f>1190.2+(390.9-485.3)+(-0.607002+(-0.199359--0.247503))+0-186--0.0948599999999811</f>
        <v>909.33600199999978</v>
      </c>
      <c r="L18" s="3">
        <f>1200.6+(373.9-503.2)+(-2.449224+(-0.762756--1.026528))+0-182.9--0.373115999999992</f>
        <v>886.58766400000002</v>
      </c>
      <c r="M18" s="3">
        <f>1193.8+(396.1-517.8)+(-1.826514+(-0.606033--0.792234))+0-181.9--0.278307000000011</f>
        <v>888.83799399999987</v>
      </c>
      <c r="N18" s="3">
        <f>1182.2+(476.4-542.9)+(-0.602922+(-0.242964--0.276879))+0-188.4--0.0960839999999809</f>
        <v>926.82707700000003</v>
      </c>
      <c r="O18" s="3">
        <f>1172.5+(560.5-563.1)+(0+(0-0))+0-192.5-0</f>
        <v>977.40000000000009</v>
      </c>
      <c r="P18" s="3">
        <f>1160.6+(607.4-554.7)+(0+(0-0))+0-190.3-0</f>
        <v>1022.9999999999998</v>
      </c>
      <c r="Q18" s="3">
        <f>1151.3+(669.2-575.9)+(0.587163+(0.341292-0.293709))+0-189.1-0.0964409999999808</f>
        <v>1056.038305</v>
      </c>
      <c r="R18" s="3">
        <f>1158.6+(720-618.5)+(-0.590886+(-0.3672--0.315435))+0-184.1--0.0938909999999813</f>
        <v>1075.4512400000001</v>
      </c>
      <c r="S18" s="3">
        <f>1156+(832.2-719.7)+(-1.17912+(-0.848844--0.734094))+0-188--0.19176000000003</f>
        <v>1079.39789</v>
      </c>
      <c r="T18" s="3">
        <f>1154.7+(862.1-750.4)+(-0.588897+(-0.439671--0.382704))+0-194.1--0.0989909999999803</f>
        <v>1071.7531270000002</v>
      </c>
      <c r="U18" s="3">
        <f>1158.8+(780.6-691)+(-2.95494+(-1.99053--1.76205))+0-191.7--0.488834999999972</f>
        <v>1054.0054149999999</v>
      </c>
      <c r="V18" s="3">
        <f>1162.5+(676.4-605)+(0+(0-0))+0-193-0</f>
        <v>1040.9000000000001</v>
      </c>
      <c r="W18" s="3">
        <f>1201.7+(536.8-530.9)+(-3.064335+(-1.36884--1.353795))+0-193.3--0.492914999999972</f>
        <v>1011.713535</v>
      </c>
      <c r="X18" s="3">
        <f>1213.7+(490.3-509.8)+(-0.618987+(-0.250053--0.259998))+0-190--0.0968999999999807</f>
        <v>1003.687858</v>
      </c>
      <c r="Y18" s="3">
        <f>1255.6+(592.8-586.9)+(-0.640356+(-0.302328--0.299319))+0-191.1--0.0974609999999806</f>
        <v>1069.8540960000003</v>
      </c>
      <c r="Z18" s="3">
        <f>1274.6+(716.3-671.2)+(-1.950138+(-1.095939--1.026936))+0-195.7--0.299421000000011</f>
        <v>1122.2802799999997</v>
      </c>
      <c r="AA18" s="3">
        <f>1265.3+(786.8-731.9)+(-2.581212+(-1.605072--1.493076))+0-195.7--0.399227999999991</f>
        <v>1122.2060199999999</v>
      </c>
      <c r="AB18" s="3">
        <f>1266.7+(818.6-782.2)+(-0.646017+(-0.417486--0.398922))+0-191.8--0.0978179999999805</f>
        <v>1110.7332369999999</v>
      </c>
      <c r="AC18" s="3">
        <f>1267.1+(792.2-799.7)+(0.646221+(0.404022-0.407847))+0-191.4-0.0976139999999806</f>
        <v>1068.7447819999998</v>
      </c>
      <c r="AD18" s="2">
        <v>1113.9000000000001</v>
      </c>
      <c r="AE18" s="3">
        <f>1271+(748-697)+(0+(0-0))+0-198.1-0</f>
        <v>1123.9000000000001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1270.4+(736.2-792.5)+(-3.23952+(-1.87731--2.020875))+0-187.7--0.478634999999973</f>
        <v>1023.78268</v>
      </c>
      <c r="G19" s="3">
        <f>1282.4+(618.1-721.6)+(-3.27012+(-1.576155--1.84008))+0-189.6--0.483479999999972</f>
        <v>986.77728500000012</v>
      </c>
      <c r="H19" s="3">
        <f>1239.2+(609.8-702.8)+(1.895976+(0.932994-1.075284))+0-188.6-0.288558000000011</f>
        <v>959.06512800000007</v>
      </c>
      <c r="I19" s="3">
        <f>1223.8+(570.8-667.6)+(3.12069+(1.45554-1.70238))+0-187.5-0.478124999999973</f>
        <v>941.89572499999997</v>
      </c>
      <c r="J19" s="3">
        <f>1225.5+(544.7-650.6)+(-3.125025+(-1.388985--1.65903))+0-188.5--0.480674999999973</f>
        <v>928.72569499999986</v>
      </c>
      <c r="K19" s="3">
        <f>1229.4+(472.3-590.5)+(0+(0-0))+0-186.6-0</f>
        <v>924.6</v>
      </c>
      <c r="L19" s="3">
        <f>1233.6+(411.4-533.4)+(-2.516544+(-0.839256--1.088136))+0-184.7--0.376787999999992</f>
        <v>925.00912399999993</v>
      </c>
      <c r="M19" s="3">
        <f>1231.4+(428.5-509.8)+(0.628014+(0.218535-0.259998))+0-190.3-0.0970529999999807</f>
        <v>960.28949800000032</v>
      </c>
      <c r="N19" s="3">
        <f>1218.7+(493.4-523.9)+(1.243074+(0.503268-0.534378))+0-191.4-0.195228000000031</f>
        <v>997.81673600000011</v>
      </c>
      <c r="O19" s="3">
        <f>1212.4+(535.4-541.7)+(0+(0-0))+0-188-0</f>
        <v>1018.0999999999999</v>
      </c>
      <c r="P19" s="3">
        <f>1210.9+(512.7-492.6)+(-0.617559+(-0.261477--0.251226))+0-185.8--0.0947579999999812</f>
        <v>1044.666948</v>
      </c>
      <c r="Q19" s="3">
        <f>1207.8+(580.1-531)+(-2.463912+(-1.183404--1.08324))+0-184.6--0.376583999999992</f>
        <v>1070.1125080000002</v>
      </c>
      <c r="R19" s="3">
        <f>1245.2+(718.3-655.6)+(1.270104+(0.732666-0.668712))+0-181.8-0.185436000000029</f>
        <v>1127.2486220000001</v>
      </c>
      <c r="S19" s="3">
        <f>1261.3+(838.4-771.5)+(-1.929789+(-1.282752--1.180395))+0-184.8--0.282744000000011</f>
        <v>1141.6505979999999</v>
      </c>
      <c r="T19" s="3">
        <f>1245.7+(842.6-770.9)+(-0.635307+(-0.429726--0.393159))+0-189.2--0.0964919999999808</f>
        <v>1127.6246180000001</v>
      </c>
      <c r="U19" s="3">
        <f>1252.3+(752.8-719.1)+(-1.916019+(-1.151784--1.100223))+0-183.5--0.280755000000011</f>
        <v>1100.813175</v>
      </c>
      <c r="V19" s="3">
        <f>1270.7+(600.5-614.7)+(0.648057+(0.306255-0.313497))+0-184.8-0.0942479999999813</f>
        <v>1072.2465670000001</v>
      </c>
      <c r="W19" s="3">
        <f>1268.4+(464.4-499.1)+(-1.293768+(-0.473688--0.509082))+0-186.7--0.19043400000003</f>
        <v>1045.9320600000001</v>
      </c>
      <c r="X19" s="3">
        <f>1276.1+(400.2-469.3)+(-2.603244+(-0.816408--0.957372))+0-185.9--0.379235999999992</f>
        <v>1019.0169560000001</v>
      </c>
      <c r="Y19" s="3">
        <f>1292.2+(503.9-527.8)+(0.659022+(0.256989-0.269178))+0-181.5-0.0925649999999816</f>
        <v>1087.3542680000003</v>
      </c>
      <c r="Z19" s="3">
        <f>1300.5+(621.2-613)+(-1.989765+(-0.950436--0.93789))+0-182.1--0.27861300000001</f>
        <v>1124.8763020000001</v>
      </c>
      <c r="AA19" s="3">
        <f>1301.6+(676.3-668.9)+(-3.31908+(-1.724565--1.705695))+0-185.5--0.473024999999973</f>
        <v>1120.6350749999999</v>
      </c>
      <c r="AB19" s="3">
        <f>1280.4+(718.2-710.7)+(-2.612016+(-1.465128--1.449828))+0-183.8--0.374951999999992</f>
        <v>1101.847636</v>
      </c>
      <c r="AC19" s="3">
        <f>1270.1+(757-779.9)+(-2.591004+(-1.54428--1.590996))+0-188.4--0.384335999999992</f>
        <v>1056.6400479999998</v>
      </c>
      <c r="AD19" s="2">
        <v>1122.7</v>
      </c>
      <c r="AE19" s="3">
        <f>1298+(630.4-617.2)+(0+(0-0))+0-177.5-0</f>
        <v>1133.6999999999998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1282+(723.4-787.9)+(0+(0-0))+0-188.6-0</f>
        <v>1028.9000000000001</v>
      </c>
      <c r="G20" s="3">
        <f>1289.4+(663-765.8)+(-2.630376+(-1.35252--1.562232))+0-188.7--0.384947999999992</f>
        <v>995.86428400000011</v>
      </c>
      <c r="H20" s="3">
        <f>1289.4+(570.7-709)+(-2.630376+(-1.164228--1.44636))+0-185.5--0.378419999999992</f>
        <v>963.63017600000012</v>
      </c>
      <c r="I20" s="3">
        <f>1294.3+(507.1-668.2)+(-1.320186+(-0.517242--0.681564))+0-188.3--0.19206600000003</f>
        <v>943.93620199999987</v>
      </c>
      <c r="J20" s="3">
        <f>1298.2+(470.6-653.4)+(-1.986246+(-0.720018--0.999702))+0-185.5--0.283815000000011</f>
        <v>928.47725300000002</v>
      </c>
      <c r="K20" s="3">
        <f>1304+(463.1-659.9)+(0.66504+(0.236181-0.336549))+0-183.3-0.0934829999999814</f>
        <v>924.37118900000007</v>
      </c>
      <c r="L20" s="3">
        <f>1307.6+(376.8-575.3)+(0+(0-0))+0-182.5-0</f>
        <v>926.59999999999991</v>
      </c>
      <c r="M20" s="3">
        <f>1302.5+(387.4-543.5)+(-0.664275+(-0.197574--0.277185))+0-180.2--0.0919019999999817</f>
        <v>965.70723800000007</v>
      </c>
      <c r="N20" s="3">
        <f>1289.8+(398.9-514.4)+(-1.973394+(-0.610317--0.787032))+0-170.1--0.26025300000001</f>
        <v>1002.6635739999999</v>
      </c>
      <c r="O20" s="3">
        <f>1275+(494.4-578.3)+(0.65025+(0.252144-0.294933))+0-167.3-0.085322999999983</f>
        <v>1024.322138</v>
      </c>
      <c r="P20" s="3">
        <f>1253.7+(558.2-604.6)+(0+(0-0))+0-162.9-0</f>
        <v>1044.4000000000001</v>
      </c>
      <c r="Q20" s="3">
        <f>1249.3+(705.4-710)+(1.274286+(0.719508-0.7242))+0-158.3-0.161466000000025</f>
        <v>1087.5081279999999</v>
      </c>
      <c r="R20" s="3">
        <f>1244.5+(841.1-809.1)+(0.634695+(0.428961-0.412641))+0-157.4-0.080273999999984</f>
        <v>1119.6707409999999</v>
      </c>
      <c r="S20" s="3">
        <f>1242.9+(883.2-828.2)+(-3.803274+(-2.702592--2.534292))+4-159.8--0.488988000000019</f>
        <v>1138.6174140000003</v>
      </c>
      <c r="T20" s="3">
        <f>1266.3+(767.7-767.4)+(-1.291626+(-0.783054--0.782748))+17.5-161.1--0.164322000000026</f>
        <v>1121.87239</v>
      </c>
      <c r="U20" s="3">
        <f>1277.8+(708.1-730.1)+(-1.955034+(-1.083393--1.117053))+0-159.1--0.243423000000009</f>
        <v>1095.0220490000002</v>
      </c>
      <c r="V20" s="3">
        <f>1295.5+(638-700.8)+(-0.660705+(-0.32538--0.357408))+0-166.9--0.0851189999999831</f>
        <v>1065.2564420000001</v>
      </c>
      <c r="W20" s="3">
        <f>1295.8+(533.6-622.8)+(0.660858+(0.272136-0.317628))+0-168.9-0.0861389999999829</f>
        <v>1038.2292269999998</v>
      </c>
      <c r="X20" s="3">
        <f>1298.5+(393.8-535.1)+(-1.986705+(-0.602514--0.818703))+0-167.7--0.25658100000001</f>
        <v>987.98606499999994</v>
      </c>
      <c r="Y20" s="3">
        <f>1304.1+(492.4-541.4)+(-1.330182+(-0.502248--0.552228))+0-170.1--0.173502000000027</f>
        <v>1083.8933000000002</v>
      </c>
      <c r="Z20" s="3">
        <f>1311.7+(599.8-631.6)+(-3.344835+(-1.52949--1.61058))+0-167.2--0.426359999999976</f>
        <v>1109.862615</v>
      </c>
      <c r="AA20" s="3">
        <f>1317.6+(637.1-693.6)+(-2.687904+(-1.299684--1.414944))+0-163.8--0.334151999999993</f>
        <v>1095.0615079999998</v>
      </c>
      <c r="AB20" s="3">
        <f>1286+(766.6-812.2)+(-1.31172+(-0.781932--0.828444))+0-163.3--0.166566000000026</f>
        <v>1076.0013580000002</v>
      </c>
      <c r="AC20" s="3">
        <f>1284.1+(788.1-873.3)+(-1.964673+(-1.205793--1.336149))+0-169.3--0.25902900000001</f>
        <v>1028.0247120000001</v>
      </c>
      <c r="AD20" s="2">
        <v>1100.7</v>
      </c>
      <c r="AE20" s="3">
        <f>1313+(616.8-650.9)+(0+(0-0))+0-166.2-0</f>
        <v>1112.7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1287.1+(741.4-847)+(-1.969263+(-1.134342--1.29591))+0-176--0.26928000000001</f>
        <v>1003.961585</v>
      </c>
      <c r="G21" s="3">
        <f>1287+(685.2-816.2)+(-2.62548+(-1.397808--1.665048))+0-183.2--0.373727999999992</f>
        <v>970.81548799999996</v>
      </c>
      <c r="H21" s="3">
        <f>1286.3+(585.8-753.1)+(-1.312026+(-0.597516--0.768162))+0-183.7--0.187374000000029</f>
        <v>934.34599399999991</v>
      </c>
      <c r="I21" s="3">
        <f>1290.1+(514.1-697.9)+(-1.973853+(-0.786573--1.067787))+0-185.2--0.283356000000011</f>
        <v>919.69071699999984</v>
      </c>
      <c r="J21" s="3">
        <f>1290.9+(472.2-665.1)+(-0.658359+(-0.240822--0.339201))+0-185.5--0.0946049999999812</f>
        <v>912.03462500000001</v>
      </c>
      <c r="K21" s="3">
        <f>1296.8+(439.6-639.8)+(0.661368+(0.224196-0.326298))+0-185-0.0943499999999812</f>
        <v>912.06491599999993</v>
      </c>
      <c r="L21" s="3">
        <f>1298.6+(373.9-576.4)+(-4.636002+(-1.334823--2.057748))+0-184.1--0.657237000000003</f>
        <v>908.74415999999997</v>
      </c>
      <c r="M21" s="3">
        <f>1282.2+(366.8-519.4)+(0+(0-0))+0-182.1-0</f>
        <v>947.50000000000011</v>
      </c>
      <c r="N21" s="3">
        <f>1242.9+(412.2-517.2)+(0.633879+(0.210222-0.263772))+0-176.6-0.0900659999999821</f>
        <v>961.79026299999998</v>
      </c>
      <c r="O21" s="3">
        <f>1265.7+(452.7-541.8)+(-1.291014+(-0.461754--0.552636))+0-176.3--0.179826000000028</f>
        <v>999.27969400000029</v>
      </c>
      <c r="P21" s="3">
        <f>1255.7+(539.7-602.5)+(0.640407+(0.275247-0.307275))+0-174.1-0.0887909999999823</f>
        <v>1019.3195880000001</v>
      </c>
      <c r="Q21" s="3">
        <f>1252+(674.2-680.3)+(0+(0-0))+0-173.6-0</f>
        <v>1072.3000000000002</v>
      </c>
      <c r="R21" s="3">
        <f>1247.8+(689.1-669.7)+(0+(0-0))+0-175-0</f>
        <v>1092.1999999999998</v>
      </c>
      <c r="S21" s="3">
        <f>1245.4+(877.8-841)+(-3.17577+(-2.23839--2.14455))+0-177--0.451349999999974</f>
        <v>1102.38174</v>
      </c>
      <c r="T21" s="3">
        <f>1270.3+(869.7-846.9)+(0+(0-0))+0-174.2-0</f>
        <v>1118.8999999999999</v>
      </c>
      <c r="U21" s="3">
        <f>1268+(733.7-731.4)+(-1.29336+(-0.748374--0.746028))+0-174.9--0.178398000000028</f>
        <v>1094.282692</v>
      </c>
      <c r="V21" s="3">
        <f>1271.8+(621.8-627.8)+(-1.945854+(-0.951354--0.960534))+0-178.9--0.27371700000001</f>
        <v>1085.2370429999999</v>
      </c>
      <c r="W21" s="3">
        <f>1283.8+(470.4-517)+(-0.654738+(-0.239904--0.26367))+0-178.9--0.0912389999999818</f>
        <v>1057.7602669999999</v>
      </c>
      <c r="X21" s="3">
        <f>1285.7+(348.5-423.9)+(-1.967121+(-0.533205--0.648567))+0-182.5--0.279225000000011</f>
        <v>1026.2274660000003</v>
      </c>
      <c r="Y21" s="3">
        <f>1294.1+(469.8-492.8)+(-0.659991+(-0.239598--0.251328))+0-184.9--0.0942989999999812</f>
        <v>1085.6460379999999</v>
      </c>
      <c r="Z21" s="3">
        <f>1292.2+(416.1-417.7)+(-1.318044+(-0.424422--0.426054))+0-188.7--0.19247400000003</f>
        <v>1100.7760620000001</v>
      </c>
      <c r="AA21" s="3">
        <f>1270.4+(482.7-492)+(-0.647904+(-0.246177--0.25092))+0-189.5--0.0966449999999808</f>
        <v>1071.0534840000003</v>
      </c>
      <c r="AB21" s="3">
        <f>1272.6+(531.1-555.1)+(-2.596104+(-1.083444--1.132404))+0-188.6--0.384743999999992</f>
        <v>1057.8376000000001</v>
      </c>
      <c r="AC21" s="3">
        <f>1281.9+(499.3-581)+(0.653769+(0.254643-0.29631))+0-183.6-0.0936359999999814</f>
        <v>1017.1184660000001</v>
      </c>
      <c r="AD21" s="2">
        <v>1097.4999999999998</v>
      </c>
      <c r="AE21" s="3">
        <f>1296+(415.3-420.1)+(0+(0-0))+0-185.7-0</f>
        <v>1105.5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1118.3+(573.5-549.7)+(0.570333+(0.292485-0.280347))+0-181.5-0.0925649999999816</f>
        <v>961.08990599999981</v>
      </c>
      <c r="G22" s="3">
        <f>1040.8+(590.6-498)+(-0.530808+(-0.301206--0.25398))+0-179.5--0.0915449999999818</f>
        <v>953.4135110000002</v>
      </c>
      <c r="H22" s="3">
        <f>1044.3+(542.3-472.5)+(-0.532593+(-0.276573--0.240975))+0-184.4--0.0940439999999813</f>
        <v>929.2258529999998</v>
      </c>
      <c r="I22" s="3">
        <f>1042.2+(497.1-439.4)+(0+(0-0))+0-188.1-0</f>
        <v>911.80000000000007</v>
      </c>
      <c r="J22" s="3">
        <f>1044.3+(444.2-403)+(0+(0-0))+0-185.4-0</f>
        <v>900.1</v>
      </c>
      <c r="K22" s="3">
        <f>1050.9+(412-376.9)+(-1.607877+(-0.63036--0.576657))+0-185.5--0.283815000000011</f>
        <v>899.12223500000005</v>
      </c>
      <c r="L22" s="3">
        <f>1055.6+(311.9-298.6)+(-1.076712+(-0.318138--0.304572))+0-178.4--0.181968000000028</f>
        <v>889.59168999999997</v>
      </c>
      <c r="M22" s="3">
        <f>1048.2+(346.4-292.9)+(1.069164+(0.353328-0.298758))+0-180.1-0.183702000000029</f>
        <v>922.540032</v>
      </c>
      <c r="N22" s="3">
        <f>1084.2+(374-314.8)+(2.211768+(0.76296-0.642192))+0-175.8-0.358631999999992</f>
        <v>969.57390400000008</v>
      </c>
      <c r="O22" s="3">
        <f>1101+(375.8-293.1)+(-1.12302+(-0.383316--0.298962))+0-176.2--0.179724000000028</f>
        <v>1006.47235</v>
      </c>
      <c r="P22" s="3">
        <f>1101.4+(408.2-302.6)+(-0.561714+(-0.208182--0.154326))+0-176.2--0.0898619999999821</f>
        <v>1030.2742920000001</v>
      </c>
      <c r="Q22" s="3">
        <f>1094.2+(467.7-327)+(1.116084+(0.477054-0.33354))+0-163.8-0.167076000000026</f>
        <v>1072.1925220000003</v>
      </c>
      <c r="R22" s="3">
        <f>1088+(571.7-406.3)+(0+(0-0))+0-156.8-0</f>
        <v>1096.6000000000001</v>
      </c>
      <c r="S22" s="3">
        <f>1037.4+(738.3-514.5)+(-2.116296+(-1.506132--1.04958))+0-158.9--0.324155999999993</f>
        <v>1100.0513079999998</v>
      </c>
      <c r="T22" s="3">
        <f>1030.4+(761.5-542)+(1.051008+(0.77673-0.55284))+0-157.6-0.160752000000025</f>
        <v>1093.4141460000001</v>
      </c>
      <c r="U22" s="3">
        <f>1012.2+(765.6-536.1)+(1.032444+(0.780912-0.546822))+0-157.1-0.160242000000025</f>
        <v>1085.7062920000003</v>
      </c>
      <c r="V22" s="3">
        <f>986.1+(689.3-455.2)+(-1.508733+(-1.054629--0.696456))+0-155.5--0.237915000000009</f>
        <v>1063.071009</v>
      </c>
      <c r="W22" s="3">
        <f>989.7+(556.2-344.9)+(-0.504747+(-0.283662--0.175899))+0-161.2--0.0822119999999836</f>
        <v>1039.2697020000001</v>
      </c>
      <c r="X22" s="3">
        <f>999.7+(489.6-303.2)+(-2.549235+(-1.24848--0.77316))+0-169.4--0.431969999999975</f>
        <v>1014.1074150000002</v>
      </c>
      <c r="Y22" s="3">
        <f>1020.2+(627.1-387.4)+(1.040604+(0.639642-0.395148))+0-180.3-0.183906000000029</f>
        <v>1080.7011920000002</v>
      </c>
      <c r="Z22" s="3">
        <f>1059.4+(709.5-465.7)+(-0.540294+(-0.361845--0.237507))+0-182.9--0.0932789999999814</f>
        <v>1119.7286469999999</v>
      </c>
      <c r="AA22" s="3">
        <f>1069.5+(763.8-533.8)+(-2.18178+(-1.558152--1.088952))+0-187.2--0.381887999999992</f>
        <v>1110.030908</v>
      </c>
      <c r="AB22" s="3">
        <f>1069.3+(839.9-627.4)+(-1.090686+(-0.856698--0.639948))+0-188.9--0.19267800000003</f>
        <v>1091.7852419999999</v>
      </c>
      <c r="AC22" s="3">
        <f>1078.1+(802.7-643.3)+(-2.199324+(-1.637508--1.312332))+0-187.2--0.381887999999992</f>
        <v>1048.1573879999999</v>
      </c>
      <c r="AD22" s="2">
        <v>1115.8999999999999</v>
      </c>
      <c r="AE22" s="3">
        <f>1059+(728.1-488)+(0+(0-0))+0-178.2-0</f>
        <v>1120.8999999999999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1080.7+(818.3-695.7)+(-0.551157+(-0.417333--0.354807))+0-183.3--0.0934829999999814</f>
        <v>1019.4798</v>
      </c>
      <c r="G23" s="3">
        <f>1086.8+(738.7-654.6)+(-1.662804+(-1.130211--1.001538))+0-184.5--0.282285000000011</f>
        <v>984.89080800000011</v>
      </c>
      <c r="H23" s="3">
        <f>1087.9+(671.8-621.9)+(0+(0-0))+0-183.5-0</f>
        <v>954.30000000000018</v>
      </c>
      <c r="I23" s="3">
        <f>1098.1+(585.3-565.7)+(-2.800155+(-1.492515--1.442535))+0-181.7--0.463334999999974</f>
        <v>933.61319999999989</v>
      </c>
      <c r="J23" s="3">
        <f>1099.5+(530.1-523.4)+(1.12149+(0.540702-0.533868))+0-182.7-0.186354000000029</f>
        <v>924.44196999999997</v>
      </c>
      <c r="K23" s="3">
        <f>1100.1+(490.6-483.1)+(-0.561051+(-0.250206--0.246381))+0-182.2--0.0929219999999815</f>
        <v>924.92804599999988</v>
      </c>
      <c r="L23" s="3">
        <f>1113.8+(348.1-365.3)+(-2.84019+(-0.887655--0.931515))+0-183.5--0.467924999999973</f>
        <v>910.77159499999993</v>
      </c>
      <c r="M23" s="3">
        <f>1111.4+(289.4-274.3)+(-0.566814+(-0.147594--0.139893))+0-190.2--0.0970019999999807</f>
        <v>935.82248699999991</v>
      </c>
      <c r="N23" s="3">
        <f>1103.3+(322.3-262.1)+(-0.562683+(-0.164373--0.133671))+0-186.5--0.0951149999999811</f>
        <v>976.50173000000007</v>
      </c>
      <c r="O23" s="3">
        <f>1090.5+(385.1-278.5)+(0.556155+(0.196401-0.142035))+0-185.7-0.0947069999999812</f>
        <v>1011.915814</v>
      </c>
      <c r="P23" s="3">
        <f>1081+(485.4-338.2)+(1.10262+(0.495108-0.344964))+0-186.3-0.19002600000003</f>
        <v>1042.9627380000002</v>
      </c>
      <c r="Q23" s="3">
        <f>1074.2+(571.9-376.6)+(0+(0-0))+0-188.2-0</f>
        <v>1081.3</v>
      </c>
      <c r="R23" s="3">
        <f>1065.6+(716-524.9)+(-1.086912+(-0.73032--0.535398))+0-183.3--0.186966000000029</f>
        <v>1072.305132</v>
      </c>
      <c r="S23" s="3">
        <f>1061.9+(792.2-587.9)+(-0.541569+(-0.404022--0.299829))+0-183--0.0933299999999814</f>
        <v>1082.6475680000001</v>
      </c>
      <c r="T23" s="3">
        <f>1072.3+(777.1-588.7)+(-2.187492+(-1.585284--1.200948))+0-174.3--0.355571999999992</f>
        <v>1084.1837439999997</v>
      </c>
      <c r="U23" s="3">
        <f>1079.7+(730.4-565.2)+(0+(0-0))+0-177.3-0</f>
        <v>1067.6000000000001</v>
      </c>
      <c r="V23" s="3">
        <f>1145.5+(517.4-431.3)+(-1.752615+(-0.791622--0.659889))+0-179.7--0.27494100000001</f>
        <v>1050.2905929999997</v>
      </c>
      <c r="W23" s="3">
        <f>1151.4+(412.5-350.2)+(-0.587214+(-0.210375--0.178602))+0-187.8--0.0957779999999809</f>
        <v>1025.3767909999999</v>
      </c>
      <c r="X23" s="3">
        <f>1087+(381.5-265.1)+(-2.21748+(-0.77826--0.540804))+0-185.3--0.378011999999992</f>
        <v>1016.0230760000001</v>
      </c>
      <c r="Y23" s="3">
        <f>1093.3+(467.2-301.1)+(0.557583+(0.238272-0.153561))+0-185.1-0.0944009999999812</f>
        <v>1074.8478929999999</v>
      </c>
      <c r="Z23" s="3">
        <f>1115.6+(548.7-378.4)+(-0.568956+(-0.279837--0.192984))+0-185.2--0.0944519999999812</f>
        <v>1100.138643</v>
      </c>
      <c r="AA23" s="3">
        <f>1120.7+(587.9-431.8)+(-1.143114+(-0.599658--0.440436))+0-184.4--0.188088000000029</f>
        <v>1091.285752</v>
      </c>
      <c r="AB23" s="3">
        <f>1120.9+(622.9-488.4)+(0+(0-0))+0-184.9-0</f>
        <v>1070.5</v>
      </c>
      <c r="AC23" s="3">
        <f>1122.8+(620-529.2)+(-2.290512+(-1.2648--1.079568))+0-184.6--0.376583999999992</f>
        <v>1026.90084</v>
      </c>
      <c r="AD23" s="2">
        <v>1092.8</v>
      </c>
      <c r="AE23" s="3">
        <f>1114+(553.1-386.1)+(0+(0-0))+0-180.2-0</f>
        <v>1100.8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1111.9+(646.6-576)+(-1.134138+(-0.659532--0.58752))+0-179.6--0.183192000000029</f>
        <v>1001.8770420000001</v>
      </c>
      <c r="G24" s="3">
        <f>1101.5+(617.2-576)+(-1.12353+(-0.629544--0.58752))+0-174.3--0.177786000000028</f>
        <v>967.41223200000024</v>
      </c>
      <c r="H24" s="3">
        <f>1107.5+(557.4-546.1)+(-2.824125+(-1.42137--1.392555))+0-178.8--0.455939999999974</f>
        <v>937.60299999999995</v>
      </c>
      <c r="I24" s="3">
        <f>1104.6+(492.2-493.7)+(-1.126692+(-0.502044--0.503574))+0-180.6--0.184212000000029</f>
        <v>921.55904999999984</v>
      </c>
      <c r="J24" s="3">
        <f>1103.5+(449.5-462.8)+(0.562785+(0.229245-0.236028))+0-179.7-0.0916469999999818</f>
        <v>910.96435500000007</v>
      </c>
      <c r="K24" s="3">
        <f>1104.9+(373.3-406.4)+(0.563499+(0.190383-0.207264))+0-179.6-0.0915959999999818</f>
        <v>892.65502200000026</v>
      </c>
      <c r="L24" s="3">
        <f>1110.5+(250.3-317.8)+(-1.13271+(-0.255306--0.324156))+0-179.5--0.183090000000029</f>
        <v>862.61923000000002</v>
      </c>
      <c r="M24" s="3">
        <f>1108+(256.4-295.5)+(1.13016+(0.261528-0.30141))+0-182.2-0.185844000000029</f>
        <v>887.60443399999997</v>
      </c>
      <c r="N24" s="3">
        <f>1096.9+(317.2-286.4)+(2.237676+(0.647088-0.584256))+0-182.9-0.373115999999992</f>
        <v>946.72739200000012</v>
      </c>
      <c r="O24" s="3">
        <f>1086+(384.3-314.3)+(0.55386+(0.195993-0.160293))+0-183-0.0933299999999814</f>
        <v>973.49622999999985</v>
      </c>
      <c r="P24" s="3">
        <f>1074.5+(396.5-289.5)+(0+(0-0))+0-176.5-0</f>
        <v>1005</v>
      </c>
      <c r="Q24" s="3">
        <f>1060.6+(504-352.9)+(-0.540906+(-0.25704--0.179979))+0-176.9--0.0902189999999821</f>
        <v>1034.2722519999998</v>
      </c>
      <c r="R24" s="3">
        <f>1071.9+(609-426.6)+(-1.093338+(-0.62118--0.435132))+0-176.7--0.180234000000028</f>
        <v>1076.5008480000001</v>
      </c>
      <c r="S24" s="3">
        <f>1065+(695.7-499.5)+(-1.0863+(-0.709614--0.50949))+0-177.8--0.181356000000028</f>
        <v>1082.2949320000002</v>
      </c>
      <c r="T24" s="3">
        <f>1060.4+(704.8-500.8)+(-1.081608+(-0.718896--0.510816))+0-173.7--0.177174000000028</f>
        <v>1089.5874859999999</v>
      </c>
      <c r="U24" s="3">
        <f>1055.4+(608.5-429.1)+(-0.538254+(-0.310335--0.218841))+0-161.5--0.0823649999999836</f>
        <v>1072.7526170000001</v>
      </c>
      <c r="V24" s="3">
        <f>1054.3+(529.3-376.6)+(0+(0-0))+0-160.9-0</f>
        <v>1046.0999999999999</v>
      </c>
      <c r="W24" s="3">
        <f>1061.7+(398.3-267.6)+(-1.082934+(-0.406266--0.272952))+0-175.1--0.178602000000028</f>
        <v>1016.2623540000002</v>
      </c>
      <c r="X24" s="3">
        <f>1061.9+(338.9-221.2)+(1.083138+(0.345678-0.225624))+0-181.3-0.184926000000029</f>
        <v>999.31826600000011</v>
      </c>
      <c r="Y24" s="3">
        <f>1065.9+(438.9-266.9)+(0+(0-0))+0-177.7-0</f>
        <v>1060.2</v>
      </c>
      <c r="Z24" s="3">
        <f>1055.6+(549-332.6)+(-2.153424+(-1.11996--0.678504))+0-172.9--0.352715999999992</f>
        <v>1096.8578359999999</v>
      </c>
      <c r="AA24" s="3">
        <f>1060.1+(604.6-389.1)+(-1.081302+(-0.616692--0.396882))+0-187.9--0.19165800000003</f>
        <v>1086.5905459999997</v>
      </c>
      <c r="AB24" s="3">
        <f>1061.1+(628.4-422.8)+(-2.164644+(-1.281936--0.862512))+0-185.4--0.378215999999992</f>
        <v>1079.0941479999999</v>
      </c>
      <c r="AC24" s="3">
        <f>1066.9+(611.8-445.5)+(-1.632357+(-0.936054--0.681615))+0-184.3--0.281979000000011</f>
        <v>1047.2951830000002</v>
      </c>
      <c r="AD24" s="2">
        <v>1113.5999999999999</v>
      </c>
      <c r="AE24" s="3">
        <f>1063+(553.7-334.1)+(0+(0-0))+0-164-0</f>
        <v>1118.5999999999999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1076+(596.1-456.3)+(-1.09752+(-0.608022--0.465426))+0-183--0.186660000000029</f>
        <v>1031.7465440000001</v>
      </c>
      <c r="G25" s="3">
        <f>1083+(596.3-500.9)+(-1.65699+(-0.912339--0.766377))+0-182.4--0.279072000000011</f>
        <v>994.47612000000015</v>
      </c>
      <c r="H25" s="3">
        <f>1083+(537.7-479.2)+(-1.10466+(-0.548454--0.488784))+0-177.1--0.180642000000028</f>
        <v>963.41631199999995</v>
      </c>
      <c r="I25" s="3">
        <f>1085.4+(458.2-431.5)+(-1.107108+(-0.467364--0.44013))+0-170.8--0.174216000000027</f>
        <v>940.33987400000012</v>
      </c>
      <c r="J25" s="3">
        <f>1087.8+(434.8-420.7)+(1.109556+(0.443496-0.429114))+0-171.4-0.174828000000027</f>
        <v>931.44911000000002</v>
      </c>
      <c r="K25" s="3">
        <f>1090.6+(379.6-363.1)+(-0.556206+(-0.193596--0.185181))+0-181.2--0.0924119999999816</f>
        <v>925.42779099999984</v>
      </c>
      <c r="L25" s="3">
        <f>1087.5+(310-311.3)+(-3.32775+(-0.9486--0.952578))+0-183.9--0.562734000000021</f>
        <v>899.53896200000008</v>
      </c>
      <c r="M25" s="3">
        <f>1085.4+(262.4-265.7)+(-0.553554+(-0.133824--0.135507))+0-183.7--0.0936869999999814</f>
        <v>897.94181600000013</v>
      </c>
      <c r="N25" s="3">
        <f>1076+(272.8-247.5)+(0.54876+(0.139128-0.126225))+0-185.9-0.0948089999999811</f>
        <v>915.86685399999999</v>
      </c>
      <c r="O25" s="3">
        <f>1076.3+(339.5-277.3)+(-0.548913+(-0.173145--0.141423))+0-186.9--0.095318999999981</f>
        <v>951.11468400000001</v>
      </c>
      <c r="P25" s="3">
        <f>1074.9+(369-277)+(0.548199+(0.18819-0.14127))+0-184-0.0938399999999813</f>
        <v>983.40127900000016</v>
      </c>
      <c r="Q25" s="3">
        <f>1068.1+(453-320.2)+(-1.089462+(-0.46206--0.326604))+0-183.5--0.187170000000029</f>
        <v>1016.362252</v>
      </c>
      <c r="R25" s="3">
        <f>1065.3+(543.5-382.8)+(0.543303+(0.277185-0.195228))+0-184.3-0.0939929999999813</f>
        <v>1042.2312670000001</v>
      </c>
      <c r="S25" s="3">
        <f>1066.8+(598.7-432.4)+(0.544068+(0.305337-0.220524))+0-187.1-0.095420999999981</f>
        <v>1046.5334600000001</v>
      </c>
      <c r="T25" s="3">
        <f>1068.3+(611.7-477.6)+(0.544833+(0.311967-0.243576))+0-186.6-0.0951659999999811</f>
        <v>1016.3180580000001</v>
      </c>
      <c r="U25" s="3">
        <f>1066.6+(534.9-432.5)+(-1.087932+(-0.545598--0.44115))+0-185.6--0.18931200000003</f>
        <v>982.39693200000011</v>
      </c>
      <c r="V25" s="3">
        <f>1070.6+(468.5-384.1)+(1.092012+(0.47787-0.391782))+0-186.5-0.19023000000003</f>
        <v>969.48787000000004</v>
      </c>
      <c r="W25" s="3">
        <f>1071.3+(368.5-293.9)+(1.639089+(0.563805-0.449667))+0-185.3-0.283509000000011</f>
        <v>962.06971800000008</v>
      </c>
      <c r="X25" s="3">
        <f>1067.8+(292.3-218.4)+(-1.633734+(-0.447219--0.334152))+0-189.3--0.289629000000011</f>
        <v>950.94282800000008</v>
      </c>
      <c r="Y25" s="3">
        <f>1085.2+(413.7-300.4)+(0.553452+(0.210987-0.153204))+0-186.6-0.0951659999999811</f>
        <v>1012.4160690000001</v>
      </c>
      <c r="Z25" s="3">
        <f>1092.3+(515.9-365)+(-1.671219+(-0.789327--0.55845))+0-188.1--0.287793000000011</f>
        <v>1053.4856969999998</v>
      </c>
      <c r="AA25" s="3">
        <f>1098.5+(546.2-398.4)+(-2.801175+(-1.39281--1.01592))+0-187.3--0.477614999999973</f>
        <v>1056.2995500000002</v>
      </c>
      <c r="AB25" s="3">
        <f>1081+(608.2-463.9)+(-1.10262+(-0.620364--0.473178))+0-187.5--0.19125000000003</f>
        <v>1036.7414440000002</v>
      </c>
      <c r="AC25" s="3">
        <f>1077.1+(599.6-496.7)+(-0.549321+(-0.305796--0.253317))+0-185.2--0.0944519999999812</f>
        <v>994.29265199999998</v>
      </c>
      <c r="AD25" s="2">
        <v>1051.5999999999999</v>
      </c>
      <c r="AE25" s="3">
        <f>1090+(532.8-379.1)+(0+(0-0))+0-187.1-0</f>
        <v>1056.5999999999999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992.9+(588.6-445.2)+(-0.506379+(-0.300186--0.227052))+0-178.4--0.0909839999999819</f>
        <v>957.41147100000001</v>
      </c>
      <c r="G26" s="3">
        <f>985.7+(536.7-421.6)+(0.502707+(0.273717-0.215016))+0-179.4-0.0914939999999818</f>
        <v>921.86991400000022</v>
      </c>
      <c r="H26" s="3">
        <f>982.8+(554.6-451.9)+(-0.501228+(-0.282846--0.230469))+0-185.7--0.0947069999999812</f>
        <v>899.34110199999986</v>
      </c>
      <c r="I26" s="3">
        <f>983.1+(500.2-409.5)+(-1.002762+(-0.510204--0.41769))+0-182.9--0.186558000000029</f>
        <v>889.99128199999996</v>
      </c>
      <c r="J26" s="3">
        <f>983.4+(457-372.1)+(2.006136+(0.93228-0.759084))+0-186.7-0.380867999999992</f>
        <v>883.39846399999988</v>
      </c>
      <c r="K26" s="3">
        <f>980.4+(427.1-340.4)+(-1.000008+(-0.435642--0.347208))+0-183.5--0.187170000000029</f>
        <v>882.69872799999996</v>
      </c>
      <c r="L26" s="3">
        <f>982.7+(359.9-278.5)+(1.503531+(0.550647-0.426105))+0-185.1-0.283203000000011</f>
        <v>880.34487000000001</v>
      </c>
      <c r="M26" s="3">
        <f>983.8+(342.6-223.8)+(-0.501738+(-0.174726--0.114138))+0-189.9--0.0968489999999807</f>
        <v>912.23452299999997</v>
      </c>
      <c r="N26" s="3">
        <f>1029.3+(366.3-250.4)+(-0.524943+(-0.186813--0.127704))+0-190.4--0.0971039999999807</f>
        <v>954.31305200000008</v>
      </c>
      <c r="O26" s="3">
        <f>1084.3+(376.2-299.3)+(-1.105986+(-0.383724--0.305286))+0-171.4--0.174828000000027</f>
        <v>988.79040399999985</v>
      </c>
      <c r="P26" s="3">
        <f>1074+(404.1-283.6)+(-1.64322+(-0.618273--0.433908))+0-171.5--0.26239500000001</f>
        <v>1021.43481</v>
      </c>
      <c r="Q26" s="3">
        <f>1070.3+(407.6-271.6)+(-2.183412+(-0.831504--0.554064))+0-157.4--0.321095999999993</f>
        <v>1046.7602439999998</v>
      </c>
      <c r="R26" s="3">
        <f>1064.6+(454.8-291.4)+(-1.628838+(-0.695844--0.445842))+0-169--0.25857000000001</f>
        <v>1057.3797299999999</v>
      </c>
      <c r="S26" s="3">
        <f>1061.3+(543.3-362)+(-2.165052+(-1.108332--0.73848))+0-169.4--0.345575999999993</f>
        <v>1071.0106719999997</v>
      </c>
      <c r="T26" s="3">
        <f>1052.8+(559.8-380.9)+(-1.610784+(-0.856494--0.582777))+0-163--0.249390000000009</f>
        <v>1067.0648889999998</v>
      </c>
      <c r="U26" s="3">
        <f>1051.2+(515.1-358)+(-3.216672+(-1.576206--1.09548))+0-156.5--0.478890000000018</f>
        <v>1048.5814920000003</v>
      </c>
      <c r="V26" s="3">
        <f>1053.2+(479.7-336.8)+(-0.537132+(-0.244647--0.171768))+0-163.3--0.0832829999999834</f>
        <v>1032.2732719999999</v>
      </c>
      <c r="W26" s="3">
        <f>1047.9+(427.9-290.2)+(-2.672145+(-1.091145--0.74001))+0-174.1--0.443954999999975</f>
        <v>1008.920675</v>
      </c>
      <c r="X26" s="3">
        <f>1048.8+(384.5-254.6)+(-0.534888+(-0.196095--0.129846))+0-186.4--0.0950639999999811</f>
        <v>991.79392699999994</v>
      </c>
      <c r="Y26" s="3">
        <f>1053.6+(507.4-324.4)+(0.537336+(0.258774-0.165444))+0-186.3-0.0950129999999811</f>
        <v>1050.8356530000001</v>
      </c>
      <c r="Z26" s="3">
        <f>1060.3+(612.9-404)+(-2.703765+(-1.562895--1.0302))+0-182.9--0.466394999999973</f>
        <v>1083.5299349999996</v>
      </c>
      <c r="AA26" s="3">
        <f>1067.9+(672.2-471.9)+(-2.723145+(-1.71411--1.203345))+0-191.1--0.487304999999972</f>
        <v>1074.3533950000003</v>
      </c>
      <c r="AB26" s="3">
        <f>1073.5+(680.2-512.4)+(-0.547485+(-0.346902--0.261324))+0-188.7--0.0962369999999809</f>
        <v>1052.0631740000001</v>
      </c>
      <c r="AC26" s="3">
        <f>1078+(621.9-502.4)+(-2.19912+(-1.268676--1.024896))+0-189.7--0.386987999999992</f>
        <v>1005.7440879999999</v>
      </c>
      <c r="AD26" s="2">
        <v>1077.3000000000002</v>
      </c>
      <c r="AE26" s="3">
        <f>1058+(658.2-444.9)+(0+(0-0))+0-188-0</f>
        <v>1083.3000000000002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1081.3+(584.4-503.2)+(-2.205852+(-1.192176--1.026528))+0-186.5--0.380459999999992</f>
        <v>974.00896</v>
      </c>
      <c r="G27" s="3">
        <f>1083.9+(545.4-502)+(-1.658367+(-0.834462--0.76806))+0-187--0.286110000000011</f>
        <v>938.86134100000027</v>
      </c>
      <c r="H27" s="3">
        <f>1086.8+(496.1-483.9)+(0+(0-0))+0-185.6-0</f>
        <v>913.4</v>
      </c>
      <c r="I27" s="3">
        <f>1094.9+(453.3-462.7)+(-1.116798+(-0.462366--0.471954))+0-185.7--0.18941400000003</f>
        <v>898.88220400000012</v>
      </c>
      <c r="J27" s="3">
        <f>1040.6+(433.2-399.7)+(0+(0-0))+0-185.2-0</f>
        <v>888.89999999999986</v>
      </c>
      <c r="K27" s="3">
        <f>949.1+(455.6-334.1)+(0+(0-0))+0-183.8-0</f>
        <v>886.8</v>
      </c>
      <c r="L27" s="3">
        <f>946.9+(392.5-269.6)+(1.448757+(0.600525-0.412488))+0-183.8-0.281214000000011</f>
        <v>887.35558000000003</v>
      </c>
      <c r="M27" s="3">
        <f>939.6+(423.3-248)+(-0.958392+(-0.431766--0.25296))+0-187.7--0.19145400000003</f>
        <v>926.25425600000017</v>
      </c>
      <c r="N27" s="3">
        <f>939.5+(483.2-277.5)+(-0.479145+(-0.246432--0.141525))+0-181.4--0.0925139999999816</f>
        <v>963.30846200000008</v>
      </c>
      <c r="O27" s="3">
        <f>938.9+(533.4-284)+(0+(0-0))+0-187.2-0</f>
        <v>1001.0999999999999</v>
      </c>
      <c r="P27" s="3">
        <f>956+(589.9-329.5)+(-0.97512+(-0.601698--0.33609))+0-183.5--0.187170000000029</f>
        <v>1031.846442</v>
      </c>
      <c r="Q27" s="3">
        <f>961.9+(638.6-356.9)+(-1.471707+(-0.977058--0.546057))+0-186--0.284580000000011</f>
        <v>1055.9818719999998</v>
      </c>
      <c r="R27" s="3">
        <f>952.1+(698.2-386.6)+(-0.971142+(-0.712164--0.394332))+0-190.3--0.19410600000003</f>
        <v>1072.305132</v>
      </c>
      <c r="S27" s="3">
        <f>953.3+(835-521.5)+(-1.944732+(-1.7034--1.06386))+0-189.4--0.386375999999992</f>
        <v>1075.2021039999997</v>
      </c>
      <c r="T27" s="3">
        <f>949.2+(835.2-533)+(-0.484092+(-0.425952--0.27183))+0-189.3--0.0965429999999808</f>
        <v>1061.558329</v>
      </c>
      <c r="U27" s="3">
        <f>949.8+(809.3-517.2)+(-2.42199+(-2.063715--1.31886))+0-186.6--0.475829999999973</f>
        <v>1052.6089849999998</v>
      </c>
      <c r="V27" s="3">
        <f>947.7+(749.6-460.4)+(-2.899962+(-2.293776--1.408824))+0-191.3--0.585378000000022</f>
        <v>1042.4004640000001</v>
      </c>
      <c r="W27" s="3">
        <f>947.5+(653.2-381.3)+(-1.449675+(-0.999396--0.583389))+0-191.7--0.293301000000011</f>
        <v>1026.1276189999999</v>
      </c>
      <c r="X27" s="3">
        <f>952.8+(532.3-282.2)+(-0.971856+(-0.542946--0.287844))+0-191.6--0.195432000000031</f>
        <v>1010.2684739999999</v>
      </c>
      <c r="Y27" s="3">
        <f>957.2+(673.8-385.3)+(0.488172+(0.343638-0.196503))+0-190.6-0.0972059999999807</f>
        <v>1055.6381010000002</v>
      </c>
      <c r="Z27" s="3">
        <f>970.8+(760.2-447.9)+(-1.485324+(-1.163106--0.685287))+0-191.5--0.292995000000011</f>
        <v>1089.929852</v>
      </c>
      <c r="AA27" s="3">
        <f>976.7+(805.5-505.1)+(-1.494351+(-1.232415--0.772803))+0-192--0.293760000000011</f>
        <v>1083.439797</v>
      </c>
      <c r="AB27" s="3">
        <f>979+(834.2-551)+(-0.99858+(-0.850884--0.56202))+0-189.1--0.19288200000003</f>
        <v>1072.0054380000001</v>
      </c>
      <c r="AC27" s="3">
        <f>979.1+(814.6-583.4)+(0+(0-0))+0-186.6-0</f>
        <v>1023.7000000000002</v>
      </c>
      <c r="AD27" s="2">
        <v>1090.1000000000001</v>
      </c>
      <c r="AE27" s="3">
        <f>972+(774.9-461)+(0+(0-0))+0-189.8-0</f>
        <v>1096.1000000000001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982.1+(737.9-536.4)+(-1.502613+(-1.128987--0.820692))+0-189.3--0.289629000000011</f>
        <v>992.77872100000002</v>
      </c>
      <c r="G28" s="3">
        <f>986.1+(686.3-516.1)+(-1.508733+(-1.050039--0.789633))+0-189.3--0.289629000000011</f>
        <v>965.52049</v>
      </c>
      <c r="H28" s="3">
        <f>985.2+(604.8-468.6)+(-1.507356+(-0.925344--0.716958))+0-187.2--0.286416000000011</f>
        <v>932.77067399999999</v>
      </c>
      <c r="I28" s="3">
        <f>969.6+(534.5-391.8)+(0+(0-0))+0-188.8-0</f>
        <v>923.5</v>
      </c>
      <c r="J28" s="3">
        <f>963.9+(519-381.6)+(0.983178+(0.52938-0.389232))+0-185.2-0.18890400000003</f>
        <v>917.03442199999984</v>
      </c>
      <c r="K28" s="3">
        <f>967.4+(485.1-351.8)+(0+(0-0))+0-186.4-0</f>
        <v>914.30000000000007</v>
      </c>
      <c r="L28" s="3">
        <f>971.2+(464.1-330.4)+(-1.485936+(-0.710073--0.505512))+0-186.6--0.285498000000011</f>
        <v>916.89500099999998</v>
      </c>
      <c r="M28" s="3">
        <f>976.4+(474.2-312.4)+(0+(0-0))+0-189.8-0</f>
        <v>948.40000000000009</v>
      </c>
      <c r="N28" s="3">
        <f>968.5+(538.7-331.3)+(-0.493935+(-0.274737--0.168963))+0-186.5--0.0951149999999811</f>
        <v>988.89540599999998</v>
      </c>
      <c r="O28" s="3">
        <f>962+(586.4-339.8)+(-0.98124+(-0.598128--0.346596))+0-185.8--0.18951600000003</f>
        <v>1021.7567439999999</v>
      </c>
      <c r="P28" s="3">
        <f>952.9+(612.1-331)+(0.485979+(0.312171-0.16881))+0-186.8-0.0952679999999811</f>
        <v>1047.734072</v>
      </c>
      <c r="Q28" s="3">
        <f>947.1+(731-411.3)+(0.483021+(0.37281-0.209763))+0-188.3-0.0960329999999809</f>
        <v>1079.050035</v>
      </c>
      <c r="R28" s="3">
        <f>939.2+(783.7-446.7)+(0.478992+(0.399687-0.227817))+0-184.1-0.0938909999999813</f>
        <v>1092.6569710000001</v>
      </c>
      <c r="S28" s="3">
        <f>935.6+(879.8-529.7)+(0.477156+(0.448698-0.270147))+0-183.8-0.0937379999999814</f>
        <v>1102.4619689999997</v>
      </c>
      <c r="T28" s="3">
        <f>947.5+(847.6-529.5)+(1.449675+(1.296828-0.810135))+0-171.8-0.26285400000001</f>
        <v>1095.4735139999998</v>
      </c>
      <c r="U28" s="3">
        <f>949.7+(802.9-503.5)+(-0.968694+(-0.818958--0.51357))+0-177.7--0.181254000000028</f>
        <v>1070.307172</v>
      </c>
      <c r="V28" s="3">
        <f>951.8+(716.7-447.4)+(-0.485418+(-0.365517--0.228174))+0-174.2--0.0888419999999823</f>
        <v>1046.3660809999997</v>
      </c>
      <c r="W28" s="3">
        <f>952+(582.4-336)+(-0.48552+(-0.297024--0.17136))+0-174.9--0.0891989999999823</f>
        <v>1022.978015</v>
      </c>
      <c r="X28" s="3">
        <f>956.5+(488.9-268.3)+(-1.95126+(-0.997356--0.547332))+0-176.3--0.359651999999992</f>
        <v>998.7583679999999</v>
      </c>
      <c r="Y28" s="3">
        <f>959.8+(670.3-404.7)+(1.468494+(1.025559-0.619191))+0-172.1-0.26331300000001</f>
        <v>1054.9115489999999</v>
      </c>
      <c r="Z28" s="3">
        <f>968.9+(789.3-489.4)+(-0.494139+(-0.402543--0.249594))+0-178.7--0.0911369999999819</f>
        <v>1089.5440489999999</v>
      </c>
      <c r="AA28" s="3">
        <f>974.1+(846-561.9)+(-1.490373+(-1.29438--0.859707))+0-183.6--0.280908000000011</f>
        <v>1072.955862</v>
      </c>
      <c r="AB28" s="3">
        <f>975.1+(899.7-637.7)+(-2.486505+(-2.294235--1.626135))+0-183.1--0.466904999999973</f>
        <v>1051.3123000000001</v>
      </c>
      <c r="AC28" s="3">
        <f>982.2+(866.7-654.5)+(0.500922+(0.442017-0.333795))+0-183.9-0.0937889999999813</f>
        <v>1011.0153550000001</v>
      </c>
      <c r="AD28" s="2">
        <v>1093.0999999999999</v>
      </c>
      <c r="AE28" s="3">
        <f>969+(801.6-495)+(0+(0-0))+0-176.5-0</f>
        <v>1099.0999999999999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984.9+(809.8-631.7)+(-1.004598+(-0.825996--0.644334))+0-182.5--0.186150000000029</f>
        <v>979.49989000000005</v>
      </c>
      <c r="G29" s="3">
        <f>989.3+(774.4-635.3)+(-2.018172+(-1.579776--1.296012))+0-180.2--0.367607999999992</f>
        <v>946.265672</v>
      </c>
      <c r="H29" s="3">
        <f>993.7+(709.4-601.5)+(-0.506787+(-0.361794--0.306765))+0-180.5--0.0920549999999817</f>
        <v>920.63023899999996</v>
      </c>
      <c r="I29" s="3">
        <f>993.3+(656.4-561.4)+(0.506583+(0.334764-0.286314))+0-182.7-0.0931769999999815</f>
        <v>906.06185600000003</v>
      </c>
      <c r="J29" s="3">
        <f>996.5+(550.3-466.4)+(-0.508215+(-0.280653--0.237864))+0-187--0.095369999999981</f>
        <v>892.94436600000017</v>
      </c>
      <c r="K29" s="3">
        <f>996.5+(534.3-452.9)+(0.508215+(0.272493-0.230979))+0-187.9-0.0958289999999809</f>
        <v>890.4539000000002</v>
      </c>
      <c r="L29" s="3">
        <f>1003.4+(396.7-341.6)+(-1.023468+(-0.404634--0.348432))+0-183.1--0.186762000000029</f>
        <v>874.50709199999994</v>
      </c>
      <c r="M29" s="3">
        <f>1001.1+(408.7-303.9)+(1.021122+(0.416874-0.309978))+0-188.3-0.19206600000003</f>
        <v>918.53595200000018</v>
      </c>
      <c r="N29" s="3">
        <f>993.5+(460.2-303.9)+(1.01337+(0.469404-0.309978))+0-187.4-0.19114800000003</f>
        <v>963.38164800000004</v>
      </c>
      <c r="O29" s="3">
        <f>984.8+(523.5-316.4)+(1.004496+(0.53397-0.322728))+0-177.1-0.180642000000028</f>
        <v>1015.8350960000001</v>
      </c>
      <c r="P29" s="3">
        <f>980.7+(589.4-352.3)+(1.000314+(0.601188-0.359346))+0-177.3-0.180846000000028</f>
        <v>1041.56131</v>
      </c>
      <c r="Q29" s="3">
        <f>975.2+(719-466.7)+(-2.984112+(-2.20014--1.428102))+0-180.9--0.553554000000021</f>
        <v>1043.3974040000001</v>
      </c>
      <c r="R29" s="3">
        <f>962.5+(736.8-447.7)+(0.98175+(0.751536-0.456654))+0-174.6-0.178092000000028</f>
        <v>1078.09854</v>
      </c>
      <c r="S29" s="3">
        <f>961+(842-538.2)+(-0.98022+(-0.85884--0.548964))+0-180.3--0.183906000000029</f>
        <v>1083.39381</v>
      </c>
      <c r="T29" s="3">
        <f>959.5+(869.6-570.7)+(-2.93607+(-2.660976--1.746342))+0-183--0.559980000000021</f>
        <v>1072.1092760000001</v>
      </c>
      <c r="U29" s="3">
        <f>964.9+(814.5-543.8)+(-1.968396+(-1.66158--1.109352))+0-179.7--0.366587999999992</f>
        <v>1053.745964</v>
      </c>
      <c r="V29" s="3">
        <f>964.2+(752.4-501.8)+(-0.491742+(-0.383724--0.255918))+0-187.1--0.095420999999981</f>
        <v>1027.1758730000001</v>
      </c>
      <c r="W29" s="3">
        <f>959.8+(638.3-410.1)+(1.957992+(1.302132-0.836604))+0-182.8-0.372911999999992</f>
        <v>1007.2506080000001</v>
      </c>
      <c r="X29" s="3">
        <f>964.9+(570.4-356.2)+(-0.984198+(-0.581808--0.363324))+0-184.8--0.188496000000029</f>
        <v>993.28581399999985</v>
      </c>
      <c r="Y29" s="3">
        <f>969+(643.4-395)+(-0.98838+(-0.656268--0.4029))+0-186--0.18972000000003</f>
        <v>1030.3479720000003</v>
      </c>
      <c r="Z29" s="3">
        <f>976.5+(699-440)+(-1.494045+(-1.06947--0.6732))+0-184.7--0.282591000000011</f>
        <v>1049.1922759999998</v>
      </c>
      <c r="AA29" s="3">
        <f>976.4+(765.4-521)+(-0.995928+(-0.780708--0.53142))+0-187.1--0.19084200000003</f>
        <v>1032.645626</v>
      </c>
      <c r="AB29" s="3">
        <f>991.4+(794.8-578.5)+(-1.011228+(-0.810696--0.59007))+0-187.3--0.19104600000003</f>
        <v>1019.3591919999998</v>
      </c>
      <c r="AC29" s="3">
        <f>989.5+(769.2-582)+(-1.00929+(-0.784584--0.59364))+0-187.3--0.19104600000003</f>
        <v>988.39081200000021</v>
      </c>
      <c r="AD29" s="2">
        <v>1048.4000000000001</v>
      </c>
      <c r="AE29" s="3">
        <f>976+(704-442.3)+(0+(0-0))+0-183.3-0</f>
        <v>1054.4000000000001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910.9+(834.7-598.1)+(-1.393677+(-1.277091--0.915093))+0-186.7--0.285651000000011</f>
        <v>959.32997599999987</v>
      </c>
      <c r="G30" s="3">
        <f>844.9+(793.9-528.3)+(-0.430899+(-0.404889--0.269433))+0-185.8--0.0947579999999812</f>
        <v>924.22840300000007</v>
      </c>
      <c r="H30" s="3">
        <f>844.2+(774.3-535.1)+(1.291626+(1.184679-0.818703))+0-187.5-0.286875000000011</f>
        <v>897.27072700000008</v>
      </c>
      <c r="I30" s="3">
        <f>705.2+(890-518.2)+(-0.719304+(-0.9078--0.528564))+0-185.2--0.18890400000003</f>
        <v>890.89036399999998</v>
      </c>
      <c r="J30" s="3">
        <f>688.7+(831.7-453.7)+(-0.702474+(-0.848334--0.462774))+0-184.1--0.187782000000029</f>
        <v>881.699748</v>
      </c>
      <c r="K30" s="3">
        <f>691+(753.2-382)+(-1.40964+(-1.536528--0.77928))+0-184.3--0.375971999999992</f>
        <v>876.10908400000017</v>
      </c>
      <c r="L30" s="3">
        <f>702.3+(627.2-259.1)+(-1.432692+(-1.279488--0.528564))+0-178.9--0.364955999999992</f>
        <v>889.68134000000009</v>
      </c>
      <c r="M30" s="3">
        <f>707.1+(610.6-196.1)+(0.360621+(0.311406-0.100011))+0-183.3-0.0934829999999814</f>
        <v>938.77853300000004</v>
      </c>
      <c r="N30" s="3">
        <f>781.6+(626.9-240.3)+(0.398616+(0.319719-0.122553))+0-188.9-0.0963389999999808</f>
        <v>979.79944300000022</v>
      </c>
      <c r="O30" s="3">
        <f>838+(649.2-295.2)+(0.42738+(0.331092-0.150552))+0-187.5-0.095624999999981</f>
        <v>1005.012295</v>
      </c>
      <c r="P30" s="3">
        <f>869.7+(664.2-331.3)+(0.443547+(0.338742-0.168963))+0-187.7-0.095726999999981</f>
        <v>1015.417599</v>
      </c>
      <c r="Q30" s="3">
        <f>860.1+(749.8-384.1)+(-0.438651+(-0.382398--0.195891))+0-188.9--0.0963389999999808</f>
        <v>1036.3711809999998</v>
      </c>
      <c r="R30" s="3">
        <f>866.9+(829.3-457.7)+(0.442119+(0.422943-0.233427))+0-185.9-0.0948089999999811</f>
        <v>1053.1368259999999</v>
      </c>
      <c r="S30" s="3">
        <f>930.7+(853.4-546.2)+(-2.373285+(-2.17617--1.39281))+0-186.4--0.475319999999973</f>
        <v>1048.818675</v>
      </c>
      <c r="T30" s="3">
        <f>984.8+(779.4-562.1)+(-0.502248+(-0.397494--0.286671))+0-179.6--0.0915959999999818</f>
        <v>1021.9785249999999</v>
      </c>
      <c r="U30" s="3">
        <f>966.1+(721.4-511.1)+(-1.970844+(-1.471656--1.042644))+0-173.3--0.353531999999992</f>
        <v>1001.0536760000001</v>
      </c>
      <c r="V30" s="3">
        <f>970.3+(572.8-408.6)+(-0.494853+(-0.292128--0.208386))+0-175.8--0.0896579999999822</f>
        <v>958.21106300000008</v>
      </c>
      <c r="W30" s="3">
        <f>979.7+(435.5-296.8)+(-1.998588+(-0.88842--0.605472))+0-183.5--0.374339999999992</f>
        <v>932.99280400000009</v>
      </c>
      <c r="X30" s="3">
        <f>998.2+(326.3-232.4)+(-1.527246+(-0.499239--0.355572))+0-179.2--0.27417600000001</f>
        <v>911.50326300000017</v>
      </c>
      <c r="Y30" s="3">
        <f>1038.6+(411.6-310.2)+(-2.64843+(-1.04958--0.79101))+0-182.4--0.465119999999974</f>
        <v>955.15812000000005</v>
      </c>
      <c r="Z30" s="3">
        <f>1037.8+(480.8-357.8)+(-1.587834+(-0.735624--0.547434))+0-186.2--0.284886000000011</f>
        <v>973.10886199999993</v>
      </c>
      <c r="AA30" s="3">
        <f>1018.5+(505.7-373.5)+(-2.597175+(-1.289535--0.952425))+0-189--0.481949999999973</f>
        <v>959.24766499999998</v>
      </c>
      <c r="AB30" s="3">
        <f>1003.8+(558.2-446.6)+(-1.535814+(-0.854046--0.683298))+0-185.1--0.283203000000011</f>
        <v>928.87664099999995</v>
      </c>
      <c r="AC30" s="3">
        <f>1017+(504.8-445)+(-2.07468+(-1.029792--0.9078))+0-188.4--0.384335999999992</f>
        <v>886.5876639999999</v>
      </c>
      <c r="AD30" s="2">
        <v>955.50000000000011</v>
      </c>
      <c r="AE30" s="3">
        <f>1035+(463.4-350.3)+(0+(0-0))+0-186.6-0</f>
        <v>961.49999999999989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1018.2+(452.9-418)+(-2.077128+(-0.923916--0.85272))+0-179.9--0.366995999999992</f>
        <v>871.4186719999999</v>
      </c>
      <c r="G31" s="3">
        <f>1017.9+(410.9-397.8)+(-1.557387+(-0.628677--0.608634))+0-186.2--0.284886000000011</f>
        <v>843.50745599999993</v>
      </c>
      <c r="H31" s="3">
        <f>1012.8+(336.2-343.8)+(-2.58264+(-0.85731--0.87669))+0-183.6--0.468179999999973</f>
        <v>819.50491999999986</v>
      </c>
      <c r="I31" s="3">
        <f>938.2+(337.5-284.2)+(0+(0-0))+0-182.9-0</f>
        <v>808.6</v>
      </c>
      <c r="J31" s="3">
        <f>920.7+(308.4-234.7)+(-0.469557+(-0.157284--0.119697))+0-183.3--0.0934829999999814</f>
        <v>810.68633899999998</v>
      </c>
      <c r="K31" s="3">
        <f>921.3+(294.2-219.1)+(0.469863+(0.150042-0.111741))+0-182.1-0.0928709999999815</f>
        <v>814.71529299999997</v>
      </c>
      <c r="L31" s="3">
        <f>919.4+(304.6-229.7)+(-0.468894+(-0.155346--0.117147))+0-180.9--0.0922589999999816</f>
        <v>812.98516599999994</v>
      </c>
      <c r="M31" s="3">
        <f>995.8+(305-254.3)+(0.507858+(0.15555-0.129693))+0-184.3-0.0939929999999813</f>
        <v>862.63972200000012</v>
      </c>
      <c r="N31" s="3">
        <f>1044.1+(304.6-248.1)+(-0.532491+(-0.155346--0.126531))+0-185.3--0.0945029999999812</f>
        <v>914.83319699999993</v>
      </c>
      <c r="O31" s="3">
        <f>1014.3+(348-235.3)+(-1.034586+(-0.35496--0.240006))+0-185.5--0.18921000000003</f>
        <v>940.53967000000011</v>
      </c>
      <c r="P31" s="3">
        <f>945.6+(384.1-201.3)+(0.482256+(0.195891-0.102663))+0-181.1-0.0923609999999816</f>
        <v>947.78312300000005</v>
      </c>
      <c r="Q31" s="3">
        <f>1029.7+(391.7-260.2)+(-3.150882+(-1.198602--0.796212))+0-185.3--0.567018000000021</f>
        <v>972.91374600000006</v>
      </c>
      <c r="R31" s="3">
        <f>1028+(405.1-266.9)+(-2.09712+(-0.826404--0.544476))+0-181.2--0.369647999999992</f>
        <v>982.99059999999997</v>
      </c>
      <c r="S31" s="3">
        <f>1023+(437.3-309.2)+(-2.60865+(-1.115115--0.78846))+0-184.7--0.470984999999973</f>
        <v>963.93567999999982</v>
      </c>
      <c r="T31" s="3">
        <f>1021+(414.7-305.4)+(0+(0-0))+0-183.9-0</f>
        <v>946.4</v>
      </c>
      <c r="U31" s="3">
        <f>1019.9+(388.5-291.7)+(-1.040298+(-0.39627--0.297534))+0-182.4--0.186048000000029</f>
        <v>933.34701400000006</v>
      </c>
      <c r="V31" s="3">
        <f>1015.4+(353.8-253.1)+(-0.517854+(-0.180438--0.129081))+0-184--0.0938399999999813</f>
        <v>931.62462899999991</v>
      </c>
      <c r="W31" s="3">
        <f>990.8+(371.9-236)+(-1.010616+(-0.379338--0.24072))+0-184--0.187680000000029</f>
        <v>941.73844599999984</v>
      </c>
      <c r="X31" s="3">
        <f>945.6+(373.1-198.8)+(0.964512+(0.380562-0.202776))+0-183.2-0.186864000000029</f>
        <v>937.65543400000001</v>
      </c>
      <c r="Y31" s="3">
        <f>979.2+(404.9-213.4)+(0.499392+(0.206499-0.108834))+0-183.1-0.0933809999999814</f>
        <v>988.10367599999995</v>
      </c>
      <c r="Z31" s="3">
        <f>1026.8+(353.8-199.8)+(-1.571004+(-0.541314--0.305694))+0-189--0.289170000000011</f>
        <v>990.28254599999991</v>
      </c>
      <c r="AA31" s="3">
        <f>1026.8+(334.6-206)+(-1.571004+(-0.511938--0.31518))+0-191--0.292230000000011</f>
        <v>962.92446800000016</v>
      </c>
      <c r="AB31" s="3">
        <f>1027.3+(304.8-203.4)+(-1.571769+(-0.466344--0.311202))+0-189--0.289170000000011</f>
        <v>938.26225900000009</v>
      </c>
      <c r="AC31" s="3">
        <f>1027.5+(291.7-221.7)+(-1.04805+(-0.297534--0.226134))+0-187.3--0.19104600000003</f>
        <v>909.27159600000016</v>
      </c>
      <c r="AD31" s="2">
        <v>974.59999999999991</v>
      </c>
      <c r="AE31" s="3">
        <f>1024+(357.1-218.3)+(0+(0-0))+0-183.2-0</f>
        <v>979.59999999999991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1028.7+(261.3-206.7)+(-0.524637+(-0.133263--0.105417))+0-183.4--0.0935339999999814</f>
        <v>899.44105100000024</v>
      </c>
      <c r="G32" s="3">
        <f>1028.8+(257.6-244)+(-1.049376+(-0.262752--0.24888))+0-178.1--0.181662000000028</f>
        <v>863.41841400000021</v>
      </c>
      <c r="H32" s="3">
        <f>1027.2+(234.2-240.8)+(-1.047744+(-0.238884--0.245616))+0-177.6--0.181152000000028</f>
        <v>842.14013999999997</v>
      </c>
      <c r="I32" s="3">
        <f>1026.8+(217.5-234.1)+(0+(0-0))+0-180.7-0</f>
        <v>829.5</v>
      </c>
      <c r="J32" s="3">
        <f>1030.8+(221.4-246.7)+(0+(0-0))+0-182.5-0</f>
        <v>823</v>
      </c>
      <c r="K32" s="3">
        <f>1029.9+(223-249.1)+(-1.050498+(-0.22746--0.254082))+0-183.9--0.187578000000029</f>
        <v>819.06370200000015</v>
      </c>
      <c r="L32" s="3">
        <f>1031.4+(200.4-240.1)+(0+(0-0))+0-181.7-0</f>
        <v>810</v>
      </c>
      <c r="M32" s="3">
        <f>1030.4+(216.3-231.3)+(0+(0-0))+0-182.5-0</f>
        <v>832.90000000000009</v>
      </c>
      <c r="N32" s="3">
        <f>1026.7+(224-195.8)+(1.047234+(0.22848-0.199716))+0-184.3-0.187986000000029</f>
        <v>871.48801200000014</v>
      </c>
      <c r="O32" s="3">
        <f>1017.9+(253.9-181.9)+(1.038258+(0.258978-0.185538))+0-184.3-0.187986000000029</f>
        <v>906.52371200000005</v>
      </c>
      <c r="P32" s="3">
        <f>1045+(278.3-206.4)+(0+(0-0))+0-182.4-0</f>
        <v>934.50000000000011</v>
      </c>
      <c r="Q32" s="3">
        <f>993+(365.1-221.6)+(-1.51929+(-0.558603--0.339048))+0-183.5--0.280755000000011</f>
        <v>951.54190999999992</v>
      </c>
      <c r="R32" s="3">
        <f>993.4+(393-243.4)+(0+(0-0))+0-183.8-0</f>
        <v>959.2</v>
      </c>
      <c r="S32" s="3">
        <f>943.5+(471.6-266.5)+(-1.92474+(-0.962064--0.54366))+0-181.4--0.370055999999992</f>
        <v>965.22691199999997</v>
      </c>
      <c r="T32" s="3">
        <f>932.6+(485.7-280.9)+(0+(0-0))+0-183-0</f>
        <v>954.40000000000009</v>
      </c>
      <c r="U32" s="3">
        <f>925.3+(491.2-280.8)+(-2.831418+(-1.503072--0.859248))+0-180.8--0.553248000000021</f>
        <v>951.97800599999994</v>
      </c>
      <c r="V32" s="3">
        <f>986.5+(392.2-249.2)+(0.503115+(0.200022-0.127092))+0-185.3-0.0945029999999812</f>
        <v>944.68154200000004</v>
      </c>
      <c r="W32" s="3">
        <f>1031.8+(319.4-222)+(-0.526218+(-0.162894--0.11322))+0-184.7--0.0941969999999813</f>
        <v>944.01830499999971</v>
      </c>
      <c r="X32" s="3">
        <f>1045+(270.9-189.8)+(0+(0-0))+0-184.2-0</f>
        <v>941.89999999999986</v>
      </c>
      <c r="Y32" s="3">
        <f>1122.8+(318.6-271.7)+(0+(0-0))+0-182.1-0</f>
        <v>987.6</v>
      </c>
      <c r="Z32" s="3">
        <f>1150+(372.8-324)+(-1.173+(-0.380256--0.33048))+0-186.8--0.19053600000003</f>
        <v>1010.96776</v>
      </c>
      <c r="AA32" s="3">
        <f>1072.7+(420.9-313.1)+(-1.641231+(-0.643977--0.479043))+0-187--0.286110000000011</f>
        <v>991.97994500000004</v>
      </c>
      <c r="AB32" s="3">
        <f>1017+(500.4-367.3)+(-2.07468+(-1.020816--0.749292))+0-184.7--0.376787999999992</f>
        <v>963.43058399999995</v>
      </c>
      <c r="AC32" s="3">
        <f>1025.6+(469.6-391.3)+(-0.523056+(-0.239496--0.199563))+0-185.2--0.0944519999999812</f>
        <v>918.23146299999974</v>
      </c>
      <c r="AD32" s="2">
        <v>1060.5</v>
      </c>
      <c r="AE32" s="3">
        <f>1153+(417.3-321.2)+(0+(0-0))+0-182.6-0</f>
        <v>1066.5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1029.9+(420.5-381.7)+(-1.050498+(-0.42891--0.389334))+0-183.2--0.186864000000029</f>
        <v>884.59679000000006</v>
      </c>
      <c r="G33" s="3">
        <f>1031.7+(397.5-383.8)+(-1.052334+(-0.40545--0.391476))+0-182.6--0.186252000000029</f>
        <v>861.91994400000021</v>
      </c>
      <c r="H33" s="3">
        <f>1036.1+(344-352.2)+(-2.642055+(-0.8772--0.89811))+0-181.4--0.462569999999974</f>
        <v>844.34142499999984</v>
      </c>
      <c r="I33" s="3">
        <f>1031.5+(339.9-358.7)+(1.05213+(0.346698-0.365874))+0-181-0.184620000000029</f>
        <v>832.54833400000007</v>
      </c>
      <c r="J33" s="3">
        <f>1033.1+(305.4-331.3)+(1.053762+(0.311508-0.337926))+0-181.4-0.185028000000029</f>
        <v>826.64231599999982</v>
      </c>
      <c r="K33" s="3">
        <f>1032.9+(287.6-306.7)+(0.526779+(0.146676-0.156417))+0-182.6-0.0931259999999815</f>
        <v>831.62391200000013</v>
      </c>
      <c r="L33" s="3">
        <f>1040.5+(255.8-273.3)+(-0.530655+(-0.130458--0.139383))+0-183.4--0.0935339999999814</f>
        <v>839.17180399999995</v>
      </c>
      <c r="M33" s="3">
        <f>1046.7+(297.1-266.7)+(0.533817+(0.151521-0.136017))+0-184.2-0.0939419999999813</f>
        <v>893.35537900000008</v>
      </c>
      <c r="N33" s="3">
        <f>1027.8+(379.3-275.6)+(0+(0-0))+0-183.2-0</f>
        <v>948.3</v>
      </c>
      <c r="O33" s="3">
        <f>1013.8+(364.6-224.8)+(0.517038+(0.185946-0.114648))+0-182.3-0.0929729999999815</f>
        <v>971.79536299999995</v>
      </c>
      <c r="P33" s="3">
        <f>1022.2+(388.3-236.2)+(1.042644+(0.396066-0.240924))+0-181.8-0.185436000000029</f>
        <v>993.5123500000002</v>
      </c>
      <c r="Q33" s="3">
        <f>1012.9+(441-262)+(-0.516579+(-0.22491--0.13362))+0-174.9--0.0891989999999823</f>
        <v>1016.4813300000002</v>
      </c>
      <c r="R33" s="3">
        <f>1020.5+(470.7-286.7)+(-2.08182+(-0.960228--0.584868))+0-171--0.348839999999993</f>
        <v>1031.3916599999998</v>
      </c>
      <c r="S33" s="3">
        <f>1081.8+(449.2-321.8)+(-2.75859+(-1.14546--0.82059))+0-169.8--0.432989999999975</f>
        <v>1036.7495299999998</v>
      </c>
      <c r="T33" s="3">
        <f>1116.7+(426.3-343.3)+(-1.139034+(-0.434826--0.350166))+0-170.5--0.173910000000027</f>
        <v>1028.150216</v>
      </c>
      <c r="U33" s="3">
        <f>1107.8+(444.8-359.8)+(1.129956+(0.453696-0.366996))+0-168.1-0.171462000000027</f>
        <v>1025.7451940000001</v>
      </c>
      <c r="V33" s="3">
        <f>1106.5+(413.1-353.2)+(-1.692945+(-0.632043--0.540396))+0-162.2--0.248166000000009</f>
        <v>1002.663574</v>
      </c>
      <c r="W33" s="3">
        <f>1106.1+(297.3-236.7)+(-0.564111+(-0.151623--0.120717))+0-169.1--0.0862409999999828</f>
        <v>997.09122399999967</v>
      </c>
      <c r="X33" s="3">
        <f>1112.3+(466.7-418.4)+(-2.836365+(-1.190085--1.06692))+0-176.8--0.450839999999974</f>
        <v>981.29130999999984</v>
      </c>
      <c r="Y33" s="3">
        <f>1118.3+(353.6-259.4)+(0.570333+(0.180336-0.132294))+0-179.8-0.0916979999999818</f>
        <v>1033.2266770000001</v>
      </c>
      <c r="Z33" s="3">
        <f>1126.3+(391.5-267.1)+(-2.297652+(-0.79866--0.544884))+0-181.4--0.370055999999992</f>
        <v>1067.1186279999997</v>
      </c>
      <c r="AA33" s="3">
        <f>1127.1+(383.7-273.9)+(-2.874105+(-0.978435--0.698445))+0-182.2--0.464609999999974</f>
        <v>1052.0105149999997</v>
      </c>
      <c r="AB33" s="3">
        <f>1135.6+(371.2-296.2)+(-2.89578+(-0.94656--0.75531))+0-181.4--0.462569999999974</f>
        <v>1026.5755399999998</v>
      </c>
      <c r="AC33" s="3">
        <f>1140.8+(345.1-320.7)+(-1.745424+(-0.528003--0.490671))+0-182.2--0.278766000000011</f>
        <v>981.49600999999996</v>
      </c>
      <c r="AD33" s="2">
        <v>1062.9000000000001</v>
      </c>
      <c r="AE33" s="3">
        <f>1119+(413.7-285.2)+(0+(0-0))+0-179.6-0</f>
        <v>1067.9000000000001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1130.1+(309.8-312.3)+(-1.152702+(-0.315996--0.318546))+0-180.4--0.184008000000029</f>
        <v>946.23385600000006</v>
      </c>
      <c r="G34" s="3">
        <f>1145.6+(304.9-345.7)+(-1.168512+(-0.310998--0.352614))+0-180.8--0.184416000000029</f>
        <v>923.05752000000007</v>
      </c>
      <c r="H34" s="3">
        <f>1148.4+(262.1-328.7)+(-1.171368+(-0.267342--0.335274))+0-180.2--0.183804000000029</f>
        <v>900.68036800000004</v>
      </c>
      <c r="I34" s="3">
        <f>1157.1+(225.4-313.2)+(-0.590121+(-0.114954--0.159732))+0-184.6--0.0941459999999813</f>
        <v>884.24880299999995</v>
      </c>
      <c r="J34" s="3">
        <f>1165.1+(212.4-312.8)+(-2.376804+(-0.433296--0.638112))+0-184.2--0.375767999999992</f>
        <v>878.70377999999971</v>
      </c>
      <c r="K34" s="3">
        <f>1149.8+(224.8-321.1)+(1.172796+(0.229296-0.327522))+0-182-0.185640000000029</f>
        <v>872.38892999999996</v>
      </c>
      <c r="L34" s="3">
        <f>1156.3+(238.8-355.9)+(-0.589713+(-0.121788--0.181509))+0-179.9--0.0917489999999817</f>
        <v>858.86175700000001</v>
      </c>
      <c r="M34" s="3">
        <f>1154+(246-317.1)+(1.76562+(0.37638-0.485163))+0-181.4-0.277542000000011</f>
        <v>902.87929500000007</v>
      </c>
      <c r="N34" s="3">
        <f>1128.1+(322.5-314.5)+(1.150662+(0.32895-0.32079))+0-185.1-0.18880200000003</f>
        <v>951.97001999999998</v>
      </c>
      <c r="O34" s="3">
        <f>929+(544.1-300.6)+(-0.47379+(-0.277491--0.153306))+0-183.4--0.0935339999999814</f>
        <v>988.59555900000009</v>
      </c>
      <c r="P34" s="3">
        <f>949.9+(540-291.9)+(-0.484449+(-0.2754--0.148869))+0-181.9--0.0927689999999815</f>
        <v>1015.5817890000001</v>
      </c>
      <c r="Q34" s="3">
        <f>1003.2+(524.9-305.9)+(-1.534896+(-0.803097--0.468027))+0-180.7--0.27647100000001</f>
        <v>1039.9065049999999</v>
      </c>
      <c r="R34" s="3">
        <f>1016.5+(535.7-314.3)+(0+(0-0))+0-174.6-0</f>
        <v>1063.3000000000002</v>
      </c>
      <c r="S34" s="3">
        <f>1036.3+(523.7-305.1)+(-2.642565+(-1.335435--0.778005))+0-177.3--0.452114999999974</f>
        <v>1074.8521200000002</v>
      </c>
      <c r="T34" s="3">
        <f>1017.5+(557.5-325.8)+(1.03785+(0.56865-0.332316))+0-177.6-0.181152000000028</f>
        <v>1072.6930320000001</v>
      </c>
      <c r="U34" s="3">
        <f>1061.2+(514.6-335)+(-1.623636+(-0.787338--0.51255))+0-177.2--0.27111600000001</f>
        <v>1061.9726920000003</v>
      </c>
      <c r="V34" s="3">
        <f>1154.6+(389.1-321.4)+(-0.588846+(-0.198441--0.163914))+0-178.4--0.0909839999999819</f>
        <v>1043.3676109999999</v>
      </c>
      <c r="W34" s="3">
        <f>1255.3+(279.1-330.1)+(-1.920609+(-0.427023--0.505053))+0-181.9--0.278307000000011</f>
        <v>1020.8357280000001</v>
      </c>
      <c r="X34" s="3">
        <f>1265.8+(225.7-315.5)+(-0.645558+(-0.115107--0.160905))+0-181.1--0.0923609999999816</f>
        <v>994.3926009999999</v>
      </c>
      <c r="Y34" s="3">
        <f>1271.4+(292.4-344.5)+(0+(0-0))+0-182.5-0</f>
        <v>1036.8000000000002</v>
      </c>
      <c r="Z34" s="3">
        <f>1284+(373.2-387.1)+(0+(0-0))+0-186.3-0</f>
        <v>1083.8</v>
      </c>
      <c r="AA34" s="3">
        <f>1292.1+(384.5-418.6)+(-2.635884+(-0.78438--0.853944))+0-185.9--0.379235999999992</f>
        <v>1069.912916</v>
      </c>
      <c r="AB34" s="3">
        <f>1298.1+(372.6-436.9)+(-1.324062+(-0.380052--0.445638))+0-179.2--0.182784000000029</f>
        <v>1053.524308</v>
      </c>
      <c r="AC34" s="3">
        <f>1294.8+(351.6-454.2)+(-0.660348+(-0.179316--0.231642))+0-182.1--0.0928709999999815</f>
        <v>1009.5848490000001</v>
      </c>
      <c r="AD34" s="2">
        <v>1077.8999999999999</v>
      </c>
      <c r="AE34" s="3">
        <f>1284+(378.1-398.2)+(0+(0-0))+0-179-0</f>
        <v>1084.9000000000001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1286.1+(325.5-441.4)+(-2.623644+(-0.66402--0.900456))+0-181.4--0.370055999999992</f>
        <v>986.78284799999972</v>
      </c>
      <c r="G35" s="3">
        <f>1292.2+(339.4-494)+(-0.659022+(-0.173094--0.25194))+0-180.1--0.0918509999999817</f>
        <v>957.01167499999997</v>
      </c>
      <c r="H35" s="3">
        <f>1298.4+(315.4-515.5)+(-0.662184+(-0.160854--0.262905))+0-168--0.085679999999983</f>
        <v>929.82554700000026</v>
      </c>
      <c r="I35" s="3">
        <f>1301.8+(282.7-498.8)+(1.991754+(0.432531-0.763164))+0-178.8-0.27356400000001</f>
        <v>908.28755699999999</v>
      </c>
      <c r="J35" s="3">
        <f>1307.9+(269.6-490.9)+(-2.001087+(-0.412488--0.751077))+0-180.8--0.27662400000001</f>
        <v>904.41412600000024</v>
      </c>
      <c r="K35" s="3">
        <f>1311.2+(262-497.8)+(-0.668712+(-0.13362--0.253878))+0-175.7--0.0896069999999822</f>
        <v>899.24115300000005</v>
      </c>
      <c r="L35" s="3">
        <f>1282.9+(260.7-463.6)+(-2.617116+(-0.531828--0.945744))+0-179.6--0.366383999999992</f>
        <v>898.56318400000009</v>
      </c>
      <c r="M35" s="3">
        <f>1291.5+(305.2-486.3)+(2.63466+(0.622608-0.992052))+0-182.1-0.371483999999992</f>
        <v>930.19373200000007</v>
      </c>
      <c r="N35" s="3">
        <f>1288.1+(408.4-514)+(0.656931+(0.208284-0.26214))+0-175.3-0.0894029999999822</f>
        <v>1007.7136720000001</v>
      </c>
      <c r="O35" s="3">
        <f>1232.9+(519.1-545.7)+(0.628779+(0.264741-0.278307))+0-170.8-0.0871079999999827</f>
        <v>1036.0281050000003</v>
      </c>
      <c r="P35" s="3">
        <f>1090.8+(578.9-447.2)+(-0.556308+(-0.295239--0.228072))+0-165.3--0.0843029999999832</f>
        <v>1056.660828</v>
      </c>
      <c r="Q35" s="3">
        <f>1083.8+(611.4-443.7)+(1.105476+(0.623628-0.452574))+0-155.9-0.159018000000025</f>
        <v>1096.7175119999999</v>
      </c>
      <c r="R35" s="3">
        <f>1076.6+(612.3-410.8)+(-1.098132+(-0.624546--0.419016))+0-148.7--0.151674000000024</f>
        <v>1128.2480119999998</v>
      </c>
      <c r="S35" s="3">
        <f>1072+(626.2-405.6)+(1.09344+(0.638724-0.413712))+0-153.9-0.156978000000025</f>
        <v>1139.8614739999998</v>
      </c>
      <c r="T35" s="3">
        <f>1067.3+(597.3-374.1)+(1.088646+(0.609246-0.381582))+0-169.8-0.173196000000027</f>
        <v>1121.843114</v>
      </c>
      <c r="U35" s="3">
        <f>1065.9+(578-371.2)+(-0.543609+(-0.29478--0.189312))+0-168.6--0.0859859999999829</f>
        <v>1103.5369090000002</v>
      </c>
      <c r="V35" s="3">
        <f>1069.4+(551.5-362.2)+(-2.181576+(-1.12506--0.738888))+0-169.1--0.344963999999993</f>
        <v>1087.3772160000001</v>
      </c>
      <c r="W35" s="3">
        <f>1070.3+(488.3-332)+(-2.729265+(-1.245165--0.8466))+0-168.6--0.429929999999976</f>
        <v>1055.3021000000001</v>
      </c>
      <c r="X35" s="3">
        <f>1072.1+(457-339.4)+(-3.827397+(-1.63149--1.211658))+0-167.8--0.599046000000002</f>
        <v>1018.2518169999998</v>
      </c>
      <c r="Y35" s="3">
        <f>1073.7+(528.9-374.5)+(0.547587+(0.269739-0.190995))+0-164.9-0.0840989999999833</f>
        <v>1063.7422319999998</v>
      </c>
      <c r="Z35" s="3">
        <f>1080.9+(589-379.3)+(-0.551259+(-0.30039--0.193443))+0-163.2--0.0832319999999834</f>
        <v>1126.825026</v>
      </c>
      <c r="AA35" s="3">
        <f>1090.3+(591.9-384.3)+(-4.448424+(-2.414952--1.567944))+0-177.4--0.723791999999985</f>
        <v>1115.9283599999999</v>
      </c>
      <c r="AB35" s="3">
        <f>1095.1+(586.4-410.5)+(-2.792505+(-1.49532--1.046775))+0-175.7--0.448034999999974</f>
        <v>1092.5069849999998</v>
      </c>
      <c r="AC35" s="3">
        <f>1101.7+(527.4-409.1)+(-1.685601+(-0.806922--0.625923))+0-175.5--0.26851500000001</f>
        <v>1042.9019149999999</v>
      </c>
      <c r="AD35" s="2">
        <v>1136.8999999999999</v>
      </c>
      <c r="AE35" s="3">
        <f>1079+(602.5-372.4)+(0+(0-0))+0-167.2-0</f>
        <v>1141.8999999999999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1106.1+(481.4-400.6)+(-2.256444+(-0.982056--0.817224))+0-179--0.365159999999992</f>
        <v>1005.8438839999998</v>
      </c>
      <c r="G36" s="3">
        <f>1106.4+(411-362.4)+(-2.257056+(-0.83844--0.739296))+0-178.1--0.363323999999992</f>
        <v>974.90712400000007</v>
      </c>
      <c r="H36" s="3">
        <f>1106.4+(359.7-341.6)+(-2.82132+(-0.917235--0.87108))+0-178.2--0.454409999999974</f>
        <v>943.88693499999988</v>
      </c>
      <c r="I36" s="3">
        <f>1103.4+(321.3-315.6)+(1.125468+(0.327726-0.321912))+0-182.6-0.186252000000029</f>
        <v>927.44503000000009</v>
      </c>
      <c r="J36" s="3">
        <f>1103.9+(300.2-302.2)+(-0.562989+(-0.153102--0.154122))+0-183--0.0933299999999814</f>
        <v>918.43136100000004</v>
      </c>
      <c r="K36" s="3">
        <f>1107+(265.4-285.8)+(0+(0-0))+0-180.9-0</f>
        <v>905.69999999999993</v>
      </c>
      <c r="L36" s="3">
        <f>1085.4+(274.2-286.9)+(-0.553554+(-0.139842--0.146319))+0-178.4--0.0909839999999819</f>
        <v>893.84390700000006</v>
      </c>
      <c r="M36" s="3">
        <f>1109.1+(303.2-305.4)+(1.131282+(0.309264-0.311508))+0-184.4-0.188088000000029</f>
        <v>923.44094999999993</v>
      </c>
      <c r="N36" s="3">
        <f>1097.8+(363.2-304.3)+(0.559878+(0.185232-0.155193))+0-174.2-0.0888419999999823</f>
        <v>983.00107499999979</v>
      </c>
      <c r="O36" s="3">
        <f>1088.5+(411.9-316.2)+(0.555135+(0.210069-0.161262))+0-169.7-0.0865469999999828</f>
        <v>1015.017395</v>
      </c>
      <c r="P36" s="3">
        <f>1077.8+(487.1-342.3)+(-1.649034+(-0.745263--0.523719))+0-172.8--0.26438400000001</f>
        <v>1048.193806</v>
      </c>
      <c r="Q36" s="3">
        <f>1071.3+(562.7-369.8)+(-0.546363+(-0.286977--0.188598))+0-171.6--0.0875159999999826</f>
        <v>1092.0427740000002</v>
      </c>
      <c r="R36" s="3">
        <f>1075.2+(597.7-369.7)+(-2.193408+(-1.219308--0.754188))+0-178.5--0.364139999999992</f>
        <v>1122.405612</v>
      </c>
      <c r="S36" s="3">
        <f>1083.4+(608.1-388.3)+(-1.105068+(-0.620262--0.396066))+0-181.6--0.185232000000029</f>
        <v>1120.4559680000002</v>
      </c>
      <c r="T36" s="3">
        <f>1099.2+(641.2-449.7)+(1.121184+(0.654024-0.458694))+0-181.7-0.185334000000029</f>
        <v>1110.1311800000001</v>
      </c>
      <c r="U36" s="3">
        <f>1097.7+(531-359.5)+(-1.679481+(-0.81243--0.550035))+0-178.8--0.27356400000001</f>
        <v>1088.7316880000001</v>
      </c>
      <c r="V36" s="3">
        <f>1101.3+(453.8-307.7)+(-1.684989+(-0.694314--0.470781))+0-178.9--0.27371700000001</f>
        <v>1066.8651950000001</v>
      </c>
      <c r="W36" s="3">
        <f>1110.3+(384.5-275.6)+(-3.397518+(-1.17657--0.843336))+0-180.6--0.552636000000021</f>
        <v>1035.4218840000001</v>
      </c>
      <c r="X36" s="3">
        <f>1128+(412.4-360.3)+(-2.30112+(-0.841296--0.735012))+0-177.3--0.361691999999992</f>
        <v>1000.7542879999999</v>
      </c>
      <c r="Y36" s="3">
        <f>1160.3+(482-413.8)+(0+(0-0))+0-176.2-0</f>
        <v>1052.3</v>
      </c>
      <c r="Z36" s="3">
        <f>1217.5+(453-393)+(-1.862775+(-0.69309--0.60129))+0-179--0.27387000000001</f>
        <v>1096.819295</v>
      </c>
      <c r="AA36" s="3">
        <f>1291.5+(400.7-420.5)+(-2.63466+(-0.817428--0.85782))+0-181.8--0.370871999999992</f>
        <v>1087.676604</v>
      </c>
      <c r="AB36" s="3">
        <f>1303.9+(327.1-381.7)+(0+(0-0))+0-178.5-0</f>
        <v>1070.8000000000002</v>
      </c>
      <c r="AC36" s="3">
        <f>1311.3+(289.9-375.5)+(-1.337526+(-0.295698--0.38301))+0-179.1--0.182682000000029</f>
        <v>1045.5324680000001</v>
      </c>
      <c r="AD36" s="2">
        <v>1096.5999999999999</v>
      </c>
      <c r="AE36" s="3">
        <f>1215+(421.2-363.2)+(0+(0-0))+0-172.4-0</f>
        <v>1100.5999999999999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1201.2+(355.5-353.3)+(-1.225224+(-0.36261--0.360366))+0-178.1--0.181662000000028</f>
        <v>1024.2541940000001</v>
      </c>
      <c r="G37" s="3">
        <f>1088.6+(390.4-321)+(-1.110372+(-0.398208--0.32742))+0-175.9--0.179418000000028</f>
        <v>981.09825799999999</v>
      </c>
      <c r="H37" s="3">
        <f>1045.4+(359-284.7)+(-1.066308+(-0.36618--0.290394))+0-171.6--0.175032000000027</f>
        <v>947.13293799999997</v>
      </c>
      <c r="I37" s="3">
        <f>1047.4+(292.3-235.8)+(0+(0-0))+0-171.9-0</f>
        <v>932.00000000000011</v>
      </c>
      <c r="J37" s="3">
        <f>1050.5+(264.2-231.2)+(-1.07151+(-0.269484--0.235824))+0-166.5--0.169830000000027</f>
        <v>916.06466</v>
      </c>
      <c r="K37" s="3">
        <f>1052+(239.7-237)+(-1.60956+(-0.366741--0.36261))+0-165.2--0.25275600000001</f>
        <v>888.13906499999996</v>
      </c>
      <c r="L37" s="3">
        <f>1059.3+(310.2-353.2)+(-2.701215+(-0.79101--0.90066))+0-166--0.423299999999976</f>
        <v>848.13173499999994</v>
      </c>
      <c r="M37" s="3">
        <f>1053.9+(345.9-364.4)+(0+(0-0))+0-179.4-0</f>
        <v>856.00000000000011</v>
      </c>
      <c r="N37" s="3">
        <f>1043.9+(322.1-308.6)+(0+(0-0))+0-179.5-0</f>
        <v>877.90000000000009</v>
      </c>
      <c r="O37" s="3">
        <f>1045.9+(326.7-276.2)+(0+(0-0))+0-178.1-0</f>
        <v>918.30000000000007</v>
      </c>
      <c r="P37" s="3">
        <f>1040.9+(322.3-243.3)+(-2.123436+(-0.657492--0.496332))+0-179.2--0.365567999999992</f>
        <v>938.78097200000002</v>
      </c>
      <c r="Q37" s="3">
        <f>1028.9+(356.5-236.2)+(0.524739+(0.181815-0.120462))+0-176-0.0897599999999821</f>
        <v>973.6963320000001</v>
      </c>
      <c r="R37" s="3">
        <f>1037.8+(460.5-306)+(-2.117112+(-0.93942--0.62424))+0-172--0.350879999999992</f>
        <v>1018.218588</v>
      </c>
      <c r="S37" s="3">
        <f>1029.4+(512.4-336.3)+(0+(0-0))+0-172.5-0</f>
        <v>1033</v>
      </c>
      <c r="T37" s="3">
        <f>1030.3+(697.1-456.5)+(-0.525453+(-0.355521--0.232815))+0-172--0.0877199999999825</f>
        <v>1098.339561</v>
      </c>
      <c r="U37" s="3">
        <f>1033.9+(613.5-403)+(-2.109156+(-1.25154--0.82212))+0-164.3--0.335171999999993</f>
        <v>1077.8965960000003</v>
      </c>
      <c r="V37" s="3">
        <f>1042.8+(500-393.1)+(-0.531828+(-0.255--0.200481))+0-171.5--0.0874649999999826</f>
        <v>977.70111799999984</v>
      </c>
      <c r="W37" s="3">
        <f>1062+(353.4-286)+(-2.16648+(-0.720936--0.58344))+0-174.1--0.355163999999992</f>
        <v>953.35118800000009</v>
      </c>
      <c r="X37" s="3">
        <f>1065.2+(348.1-295.3)+(-2.173008+(-0.710124--0.602412))+0-174.2--0.355367999999992</f>
        <v>941.87464799999998</v>
      </c>
      <c r="Y37" s="3">
        <f>1099.2+(485.3-381.1)+(-0.560592+(-0.247503--0.194361))+0-173.3--0.0883829999999824</f>
        <v>1029.5746490000001</v>
      </c>
      <c r="Z37" s="3">
        <f>1126.5+(559-466.4)+(-1.723545+(-0.85527--0.713592))+0-176.3--0.26973900000001</f>
        <v>1041.204516</v>
      </c>
      <c r="AA37" s="3">
        <f>1128.9+(570.2-464.8)+(-1.727217+(-0.872406--0.711144))+0-179--0.27387000000001</f>
        <v>1053.6853910000002</v>
      </c>
      <c r="AB37" s="3">
        <f>1143.1+(707.8-578.3)+(-0.582981+(-0.360978--0.294933))+0-179.7--0.0916469999999818</f>
        <v>1092.3426209999998</v>
      </c>
      <c r="AC37" s="3">
        <f>1145.7+(610.5-550.8)+(-0.584307+(-0.311355--0.280908))+0-178.5--0.0910349999999819</f>
        <v>1026.3762810000001</v>
      </c>
      <c r="AD37" s="2">
        <v>1057.8999999999999</v>
      </c>
      <c r="AE37" s="3">
        <f>1124+(582.6-468.8)+(0+(0-0))+0-172.9-0</f>
        <v>1064.8999999999999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1117.4+(542.9-503.7)+(-0.569874+(-0.276879--0.256887))+0-176.9--0.0902189999999821</f>
        <v>979.20035300000006</v>
      </c>
      <c r="G38" s="3">
        <f>1113.9+(512.9-502.2)+(-2.272356+(-1.046316--1.024488))+0-179.2--0.365567999999992</f>
        <v>943.47138399999994</v>
      </c>
      <c r="H38" s="3">
        <f>1121.4+(458.1-489.4)+(-0.571914+(-0.233631--0.249594))+0-175.2--0.0893519999999822</f>
        <v>914.433401</v>
      </c>
      <c r="I38" s="3">
        <f>1119.6+(375-427.7)+(-0.570996+(-0.19125--0.218127))+0-177.1--0.090320999999982</f>
        <v>889.34620199999995</v>
      </c>
      <c r="J38" s="3">
        <f>1129.3+(299.4-377.8)+(-1.151886+(-0.305388--0.385356))+0-175.5--0.179010000000028</f>
        <v>874.50709199999983</v>
      </c>
      <c r="K38" s="3">
        <f>1128.2+(254.4-335.3)+(-1.150764+(-0.259488--0.342006))+0-177.3--0.180846000000028</f>
        <v>869.11259999999993</v>
      </c>
      <c r="L38" s="3">
        <f>1127.1+(215.7-300.9)+(-2.299284+(-0.440028--0.613836))+0-177.4--0.361895999999992</f>
        <v>862.73641999999995</v>
      </c>
      <c r="M38" s="3">
        <f>1119.7+(273.4-299.9)+(0.571047+(0.139434-0.152949))+0-179.7-0.0916469999999818</f>
        <v>913.96588500000007</v>
      </c>
      <c r="N38" s="3">
        <f>1102+(335.3-292.1)+(0.56202+(0.171003-0.148971))+0-179-0.0912899999999818</f>
        <v>966.69276200000002</v>
      </c>
      <c r="O38" s="3">
        <f>1094.2+(393.6-325.9)+(-0.558042+(-0.200736--0.166209))+0-173--0.0882299999999824</f>
        <v>988.39566100000013</v>
      </c>
      <c r="P38" s="3">
        <f>1096.6+(412.2-310.1)+(1.118532+(0.420444-0.316302))+0-172-0.175440000000027</f>
        <v>1027.7472339999999</v>
      </c>
      <c r="Q38" s="3">
        <f>1089.9+(500.8-350.5)+(0+(0-0))+0-168.4-0</f>
        <v>1071.8</v>
      </c>
      <c r="R38" s="3">
        <f>1060.4+(581.9-374.2)+(-1.081608+(-0.593538--0.381684))+0-170.4--0.173808000000027</f>
        <v>1096.580346</v>
      </c>
      <c r="S38" s="3">
        <f>1051.4+(632.6-433.4)+(-0.536214+(-0.322626--0.221034))+0-173.4--0.0884339999999824</f>
        <v>1076.6506280000001</v>
      </c>
      <c r="T38" s="3">
        <f>1091+(608-474.5)+(-1.11282+(-0.62016--0.48399))+0-176.2--0.179724000000028</f>
        <v>1047.230734</v>
      </c>
      <c r="U38" s="3">
        <f>1104.9+(625.6-502)+(-1.690497+(-0.957168--0.76806))+0-172.6--0.26407800000001</f>
        <v>1054.2844729999999</v>
      </c>
      <c r="V38" s="3">
        <f>1070+(566-417.1)+(0+(0-0))+0-164.8-0</f>
        <v>1054.1000000000001</v>
      </c>
      <c r="W38" s="3">
        <f>1068.9+(464.1-324.5)+(-0.545139+(-0.236691--0.165495))+0-168--0.085679999999983</f>
        <v>1039.969345</v>
      </c>
      <c r="X38" s="3">
        <f>1102.4+(357.4-280.1)+(-1.686672+(-0.546822--0.428553))+0-172--0.26316000000001</f>
        <v>1006.1582189999999</v>
      </c>
      <c r="Y38" s="3">
        <f>1111.9+(412.3-304.9)+(-0.567069+(-0.210273--0.155499))+0-175.5--0.0895049999999822</f>
        <v>1043.2676620000002</v>
      </c>
      <c r="Z38" s="3">
        <f>1120.9+(542.4-382.5)+(-1.143318+(-0.553248--0.39015))+0-177.9--0.181458000000028</f>
        <v>1101.7750420000002</v>
      </c>
      <c r="AA38" s="3">
        <f>1127.8+(604-452.6)+(-1.725534+(-0.92412--0.692478))+0-178.9--0.27371700000001</f>
        <v>1098.6165409999999</v>
      </c>
      <c r="AB38" s="3">
        <f>1133.4+(659.9-525.7)+(-1.156068+(-0.673098--0.536214))+0-176.5--0.180030000000028</f>
        <v>1089.9870779999999</v>
      </c>
      <c r="AC38" s="3">
        <f>1134.5+(657-556.2)+(1.735785+(1.00521-0.850986))+0-173.9-0.26606700000001</f>
        <v>1063.0239419999998</v>
      </c>
      <c r="AD38" s="2">
        <v>1098.5</v>
      </c>
      <c r="AE38" s="3">
        <f>1119+(583.5-418.8)+(0+(0-0))+0-178.2-0</f>
        <v>1105.5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1139.2+(570.5-497)+(0+(0-0))+0-173.2-0</f>
        <v>1039.5</v>
      </c>
      <c r="G39" s="3">
        <f>1142.7+(525.3-507.4)+(-0.582777+(-0.267903--0.258774))+0-173.4--0.0884339999999824</f>
        <v>986.69652799999983</v>
      </c>
      <c r="H39" s="3">
        <f>1142.3+(453-471.5)+(1.747719+(0.69309-0.721395))+0-168.7-0.25811100000001</f>
        <v>956.56130299999984</v>
      </c>
      <c r="I39" s="3">
        <f>1145.2+(375-422.4)+(-2.336208+(-0.765--0.861696))+0-166.1--0.338843999999993</f>
        <v>929.79933200000005</v>
      </c>
      <c r="J39" s="3">
        <f>1147.8+(317-385.1)+(-1.756134+(-0.48501--0.589203))+0-159.9--0.244647000000009</f>
        <v>918.39270599999975</v>
      </c>
      <c r="K39" s="3">
        <f>1149.9+(318.4-406.7)+(-1.172898+(-0.324768--0.414834))+0-157--0.160140000000025</f>
        <v>903.67730800000015</v>
      </c>
      <c r="L39" s="3">
        <f>1154.7+(237-352.9)+(-4.122279+(-0.84609--1.259853))+0-156.4--0.558348000000002</f>
        <v>879.24983200000031</v>
      </c>
      <c r="M39" s="3">
        <f>1123+(368.7-429.5)+(0.57273+(0.188037-0.219045))+0-157.8-0.080477999999984</f>
        <v>904.86124400000006</v>
      </c>
      <c r="N39" s="3">
        <f>1112+(351.3-356.5)+(0.56712+(0.179163-0.181815))+0-160.6-0.0819059999999837</f>
        <v>946.68256199999996</v>
      </c>
      <c r="O39" s="3">
        <f>1104.4+(392.3-356.7)+(-1.126488+(-0.400146--0.363834))+0-157.2--0.160344000000025</f>
        <v>981.7975439999999</v>
      </c>
      <c r="P39" s="3">
        <f>1093.1+(494.2-397.4)+(-1.672443+(-0.756126--0.608022))+0-167.6--0.25642800000001</f>
        <v>1020.7358809999998</v>
      </c>
      <c r="Q39" s="3">
        <f>1085.4+(553-414.1)+(-2.214216+(-1.12812--0.844764))+0-160.4--0.327215999999993</f>
        <v>1061.729644</v>
      </c>
      <c r="R39" s="3">
        <f>1114.2+(610.4-490.6)+(0+(0-0))+0-154.7-0</f>
        <v>1079.3</v>
      </c>
      <c r="S39" s="3">
        <f>1199.5+(575.1-529.9)+(-1.835235+(-0.879903--0.810747))+0-153.4--0.234702000000009</f>
        <v>1089.6303109999999</v>
      </c>
      <c r="T39" s="3">
        <f>1156.3+(638-535.9)+(-0.589713+(-0.32538--0.273309))+0-166--0.0846599999999832</f>
        <v>1091.8428760000002</v>
      </c>
      <c r="U39" s="3">
        <f>1131.4+(589.3-460.2)+(-1.154028+(-0.601086--0.469404))+0-175.5--0.179010000000028</f>
        <v>1083.8933</v>
      </c>
      <c r="V39" s="3">
        <f>1132.6+(527.2-421.9)+(-1.155252+(-0.537744--0.430338))+0-180--0.183600000000029</f>
        <v>1056.8209420000001</v>
      </c>
      <c r="W39" s="3">
        <f>1133.7+(409.6-341.8)+(-1.734561+(-0.626688--0.522954))+0-180.1--0.27555300000001</f>
        <v>1019.837258</v>
      </c>
      <c r="X39" s="3">
        <f>1136.2+(285.6-253)+(-1.738386+(-0.436968--0.38709))+0-179.7--0.27494100000001</f>
        <v>987.58667700000012</v>
      </c>
      <c r="Y39" s="3">
        <f>1139.5+(400.2-321.4)+(-1.16229+(-0.408204--0.327828))+0-179.8--0.183396000000029</f>
        <v>1037.44073</v>
      </c>
      <c r="Z39" s="3">
        <f>1155.9+(561.2-401.8)+(-0.589509+(-0.286212--0.204918))+0-179.7--0.0916469999999818</f>
        <v>1135.0208440000001</v>
      </c>
      <c r="AA39" s="3">
        <f>1161.1+(656.7-486.8)+(-1.184322+(-0.669834--0.496536))+0-182--0.185640000000029</f>
        <v>1147.8280199999999</v>
      </c>
      <c r="AB39" s="3">
        <f>1168.4+(695.5-555.3)+(0.595884+(0.354705-0.283203))+0-181.2-0.0924119999999816</f>
        <v>1127.9749740000002</v>
      </c>
      <c r="AC39" s="3">
        <f>1174.4+(715.2-624.5)+(-1.796832+(-1.094256--0.955485))+0-180.2--0.27570600000001</f>
        <v>1083.2401030000001</v>
      </c>
      <c r="AD39" s="2">
        <v>1138.4999999999998</v>
      </c>
      <c r="AE39" s="3">
        <f>1147+(646.8-464.1)+(0+(0-0))+0-182.2-0</f>
        <v>1147.4999999999998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1155.1+(640.2-574.9)+(-0.589101+(-0.326502--0.293199))+0-171.7--0.0875669999999826</f>
        <v>1048.1651630000001</v>
      </c>
      <c r="G40" s="3">
        <f>1145.7+(611.5-579.6)+(-1.752921+(-0.935595--0.886788))+0-170.5--0.26086500000001</f>
        <v>1005.559137</v>
      </c>
      <c r="H40" s="3">
        <f>1153.7+(494.1-503.6)+(1.176774+(0.503982-0.513672))+0-171.4-0.174828000000027</f>
        <v>973.79225599999995</v>
      </c>
      <c r="I40" s="3">
        <f>1161.4+(467.1-505.6)+(0.592314+(0.238221-0.257856))+0-174.9-0.0891989999999823</f>
        <v>948.48348000000021</v>
      </c>
      <c r="J40" s="3">
        <f>1159+(436.6-479.9)+(0+(0-0))+0-175-0</f>
        <v>940.7</v>
      </c>
      <c r="K40" s="3">
        <f>1172.3+(365.8-434)+(-1.793619+(-0.559674--0.66402))+0-176.4--0.26989200000001</f>
        <v>926.280619</v>
      </c>
      <c r="L40" s="3">
        <f>1169.2+(285.2-362.1)+(-0.596292+(-0.145452--0.184671))+0-174.1--0.0887909999999823</f>
        <v>917.731718</v>
      </c>
      <c r="M40" s="3">
        <f>1161.4+(322.8-358.1)+(0.592314+(0.164628-0.182631))+0-181.6-0.0926159999999816</f>
        <v>944.98169500000017</v>
      </c>
      <c r="N40" s="3">
        <f>1157.7+(343.2-327.2)+(0.590427+(0.175032-0.166872))+0-178.2-0.0908819999999819</f>
        <v>996.00770499999999</v>
      </c>
      <c r="O40" s="3">
        <f>1141.4+(382.4-310.3)+(0+(0-0))+0-178.4-0</f>
        <v>1035.0999999999999</v>
      </c>
      <c r="P40" s="3">
        <f>1124+(404.5-285.9)+(0+(0-0))+0-179.4-0</f>
        <v>1063.1999999999998</v>
      </c>
      <c r="Q40" s="3">
        <f>1129.1+(455.2-290.7)+(-1.727523+(-0.696456--0.444771))+0-183.3--0.280449000000011</f>
        <v>1108.6012410000001</v>
      </c>
      <c r="R40" s="3">
        <f>1167.3+(535.2-369.6)+(-2.381292+(-1.091808--0.753984))+0-179.8--0.366791999999992</f>
        <v>1150.7476760000002</v>
      </c>
      <c r="S40" s="3">
        <f>1173.1+(631.5-464)+(-1.196562+(-0.64413--0.47328))+0-177.4--0.180948000000028</f>
        <v>1162.0135359999997</v>
      </c>
      <c r="T40" s="3">
        <f>1170.5+(674-511)+(0+(0-0))+0-186-0</f>
        <v>1147.5</v>
      </c>
      <c r="U40" s="3">
        <f>1209.7+(569.1-475.7)+(-1.233894+(-0.580482--0.485214))+0-177.4--0.180948000000028</f>
        <v>1124.551786</v>
      </c>
      <c r="V40" s="3">
        <f>1224.5+(481.5-409)+(-1.24899+(-0.49113--0.41718))+0-179.9--0.183498000000029</f>
        <v>1115.960558</v>
      </c>
      <c r="W40" s="3">
        <f>1256.2+(305.6-314.9)+(-1.281324+(-0.311712--0.321198))+0-182.2--0.185844000000029</f>
        <v>1063.6140060000002</v>
      </c>
      <c r="X40" s="3">
        <f>1258.7+(307-366.9)+(-1.925811+(-0.46971--0.561357))+0-181.5--0.27769500000001</f>
        <v>1015.7435310000001</v>
      </c>
      <c r="Y40" s="3">
        <f>1263.3+(315.6-320)+(-1.932849+(-0.482868--0.4896))+0-180.3--0.27585900000001</f>
        <v>1076.9497420000002</v>
      </c>
      <c r="Z40" s="3">
        <f>1304.2+(466.3-412)+(-2.660568+(-0.951252--0.84048))+0-185.3--0.378011999999992</f>
        <v>1170.8066719999999</v>
      </c>
      <c r="AA40" s="3">
        <f>1323.3+(533.5-488.2)+(-1.349766+(-0.54417--0.497964))+0-189.4--0.19318800000003</f>
        <v>1177.9972159999998</v>
      </c>
      <c r="AB40" s="3">
        <f>1329.3+(572.7-557.4)+(-2.033829+(-0.876231--0.852822))+0-185.7--0.284121000000011</f>
        <v>1157.1268829999997</v>
      </c>
      <c r="AC40" s="3">
        <f>1335.5+(548.5-578.3)+(-2.72442+(-1.11894--1.179732))+0-186.3--0.380051999999992</f>
        <v>1117.1164240000001</v>
      </c>
      <c r="AD40" s="2">
        <v>1155.3999999999999</v>
      </c>
      <c r="AE40" s="3">
        <f>1310+(486.5-431.9)+(0+(0-0))+0-188.2-0</f>
        <v>1176.3999999999999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1322+(506.9-558.5)+(-2.02266+(-0.775557--0.854505))+0-185.6--0.283968000000011</f>
        <v>1083.1402560000001</v>
      </c>
      <c r="G41" s="3">
        <f>1327.3+(434.4-531.6)+(-2.030769+(-0.664632--0.813348))+0-185.6--0.283968000000011</f>
        <v>1042.9019149999999</v>
      </c>
      <c r="H41" s="3">
        <f>1334.6+(356.3-497.2)+(0.680646+(0.181713-0.253572))+0-180.9-0.0922589999999816</f>
        <v>1013.3165279999997</v>
      </c>
      <c r="I41" s="3">
        <f>1341+(281.3-465.3)+(1.36782+(0.286926-0.474606))+0-163.9-0.167178000000026</f>
        <v>994.11296199999992</v>
      </c>
      <c r="J41" s="3">
        <f>1344.2+(239.3-440)+(-0.685542+(-0.122043--0.2244))+0-160.9--0.0820589999999837</f>
        <v>982.09887400000002</v>
      </c>
      <c r="K41" s="3">
        <f>1352.7+(202.7-425)+(-2.759508+(-0.413508--0.867))+0-161.7--0.329867999999993</f>
        <v>966.72385200000008</v>
      </c>
      <c r="L41" s="3">
        <f>1349.6+(229.9-511.9)+(-2.064888+(-0.351747--0.783207))+0-142.8--0.218484000000008</f>
        <v>923.38505599999985</v>
      </c>
      <c r="M41" s="3">
        <f>1351.7+(274.3-534.9)+(0+(0-0))+0-142.8-0</f>
        <v>948.30000000000018</v>
      </c>
      <c r="N41" s="3">
        <f>1337.5+(249.7-461.3)+(0.682125+(0.127347-0.235263))+0-124.1-0.0632909999999874</f>
        <v>1002.3109180000002</v>
      </c>
      <c r="O41" s="3">
        <f>1167.4+(320.4-320)+(0.595374+(0.163404-0.1632))+0-116.5-0.0594149999999882</f>
        <v>1051.8361630000002</v>
      </c>
      <c r="P41" s="3">
        <f>1121.5+(376.9-291.1)+(-0.571965+(-0.192219--0.148461))+0-114.8--0.0585479999999884</f>
        <v>1091.9428250000001</v>
      </c>
      <c r="Q41" s="3">
        <f>1113.2+(463-331.4)+(-1.703196+(-0.70839--0.507042))+0-104.7--0.160191000000006</f>
        <v>1138.3556470000001</v>
      </c>
      <c r="R41" s="3">
        <f>1107.3+(644.3-471.4)+(-1.129446+(-0.657186--0.480828))+0-104.2--0.106284000000017</f>
        <v>1174.8004799999997</v>
      </c>
      <c r="S41" s="3">
        <f>1106.5+(793.8-595)+(-2.25726+(-1.619352--1.2138))+0-105.9--0.216035999999995</f>
        <v>1196.9532239999999</v>
      </c>
      <c r="T41" s="3">
        <f>1099.9+(879.7-677.2)+(-0.560949+(-0.448647--0.345372))+0-115.4--0.0588539999999883</f>
        <v>1186.3946299999998</v>
      </c>
      <c r="U41" s="3">
        <f>1127.3+(756.3-591.7)+(-2.299692+(-1.542852--1.207068))+0-117--0.238679999999995</f>
        <v>1172.5032039999999</v>
      </c>
      <c r="V41" s="3">
        <f>1117.5+(535.5-386.4)+(-1.13985+(-0.54621--0.394128))+0-129.1--0.131682000000021</f>
        <v>1136.3397499999999</v>
      </c>
      <c r="W41" s="3">
        <f>1103+(367.3-257.6)+(-2.81265+(-0.936615--0.65688))+0-127.7--0.325634999999981</f>
        <v>1082.23325</v>
      </c>
      <c r="X41" s="3">
        <f>1138.1+(225.7-188.8)+(-5.223879+(-1.035963--0.866592))+0-128--0.587520000000022</f>
        <v>1042.19427</v>
      </c>
      <c r="Y41" s="3">
        <f>1143.4+(279-213)+(0+(0-0))+0-126.3-0</f>
        <v>1083.1000000000001</v>
      </c>
      <c r="Z41" s="3">
        <f>1151+(468.5-317.1)+(-0.58701+(-0.238935--0.161721))+0-127.5--0.0650249999999871</f>
        <v>1174.3008009999999</v>
      </c>
      <c r="AA41" s="3">
        <f>1161.2+(617.9-461.3)+(-3.553272+(-1.890774--1.411578))+0-129.3--0.395658000000015</f>
        <v>1184.8631899999998</v>
      </c>
      <c r="AB41" s="3">
        <f>1165.1+(667.1-529.1)+(0+(0-0))+0-125.8-0</f>
        <v>1177.3</v>
      </c>
      <c r="AC41" s="3">
        <f>1174.8+(658.3-579.7)+(0+(0-0))+0-124.1-0</f>
        <v>1129.3</v>
      </c>
      <c r="AD41" s="2">
        <v>1179.7</v>
      </c>
      <c r="AE41" s="3">
        <f>1150+(554-389.3)+(0+(0-0))+0-126-0</f>
        <v>1188.7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1166.2+(601-551.7)+(-1.189524+(-0.61302--0.562734))+0-121.1--0.123522000000019</f>
        <v>1093.2837120000002</v>
      </c>
      <c r="G42" s="3">
        <f>1164.5+(620.8-607.9)+(-1.18779+(-0.633216--0.620058))+0-117.6--0.119952000000019</f>
        <v>1058.7190040000003</v>
      </c>
      <c r="H42" s="3">
        <f>1166.8+(550.8-567.9)+(0+(0-0))+0-120.1-0</f>
        <v>1029.5999999999999</v>
      </c>
      <c r="I42" s="3">
        <f>1168.7+(520.6-560.3)+(1.192074+(0.531012-0.571506))+0-119.5-0.121890000000019</f>
        <v>1010.52969</v>
      </c>
      <c r="J42" s="3">
        <f>1181.1+(450.7-519)+(-1.204722+(-0.459714--0.52938))+0-119.7--0.122094000000019</f>
        <v>992.08703799999989</v>
      </c>
      <c r="K42" s="3">
        <f>1180+(356.8-444.2)+(-0.6018+(-0.181968--0.226542))+0-119--0.0606899999999879</f>
        <v>973.10346400000003</v>
      </c>
      <c r="L42" s="3">
        <f>1185.1+(228.5-339.5)+(-3.022005+(-0.582675--0.865725))+0-118.7--0.302684999999983</f>
        <v>952.96372999999983</v>
      </c>
      <c r="M42" s="3">
        <f>1178.3+(239.4-318.5)+(1.802799+(0.366282-0.487305))+0-126-0.192780000000007</f>
        <v>974.68899599999997</v>
      </c>
      <c r="N42" s="3">
        <f>1171.8+(296.5-311.9)+(0+(0-0))+0-129-0</f>
        <v>1027.4000000000001</v>
      </c>
      <c r="O42" s="3">
        <f>1154.8+(369.5-329)+(0.588948+(0.188445-0.16779))+0-126.9-0.0647189999999871</f>
        <v>1068.944884</v>
      </c>
      <c r="P42" s="3">
        <f>1143.4+(468.1-375.4)+(-0.583134+(-0.238731--0.191454))+0-122.9--0.0626789999999875</f>
        <v>1112.6322679999998</v>
      </c>
      <c r="Q42" s="3">
        <f>1144.2+(593.8-442.9)+(-2.91771+(-1.51419--1.129395))+0-122.3--0.311864999999982</f>
        <v>1169.8093599999997</v>
      </c>
      <c r="R42" s="3">
        <f>1127.7+(763-554.6)+(-2.300508+(-1.55652--1.131384))+0-122.3--0.249491999999995</f>
        <v>1211.3238479999998</v>
      </c>
      <c r="S42" s="3">
        <f>1119.1+(894.4-659.7)+(-1.712223+(-1.368432--1.009341))+0-123.9--0.189567000000007</f>
        <v>1228.0182529999995</v>
      </c>
      <c r="T42" s="3">
        <f>1109.1+(901.2-664.6)+(1.696923+(1.378836-1.016838))+0-127.2-0.194616000000007</f>
        <v>1220.3643049999998</v>
      </c>
      <c r="U42" s="3">
        <f>1108.8+(824.9-597.3)+(-2.82744+(-2.103495--1.523115))+0-127.8--0.325889999999981</f>
        <v>1205.5180700000003</v>
      </c>
      <c r="V42" s="3">
        <f>1109.6+(701.5-505.9)+(-1.131792+(-0.71553--0.516018))+0-128.5--0.13107000000002</f>
        <v>1175.4997659999997</v>
      </c>
      <c r="W42" s="3">
        <f>1115.7+(475.9-329.5)+(-2.845035+(-1.213545--0.840225))+0-129.9--0.331244999999981</f>
        <v>1129.3128899999999</v>
      </c>
      <c r="X42" s="3">
        <f>1114.7+(475.9-332.5)+(-2.842485+(-1.213545--0.847875))+0-129.9--0.331244999999981</f>
        <v>1125.3230899999999</v>
      </c>
      <c r="Y42" s="3">
        <f>1115.9+(345.4-250.7)+(-2.845545+(-0.88077--0.639285))+0-126.6--0.322829999999982</f>
        <v>1081.2358000000004</v>
      </c>
      <c r="Z42" s="3">
        <f>1130.5+(622.3-416)+(-1.729665+(-0.952119--0.63648))+0-130.5--0.199665000000008</f>
        <v>1204.4543610000001</v>
      </c>
      <c r="AA42" s="3">
        <f>1145.9+(732.2-526.3)+(-1.753227+(-1.120266--0.805239))+0-132.4--0.202572000000008</f>
        <v>1217.534318</v>
      </c>
      <c r="AB42" s="3">
        <f>1157.8+(790-609.8)+(1.771434+(1.2087-0.932994))+0-141.7-0.216801000000008</f>
        <v>1198.1303389999998</v>
      </c>
      <c r="AC42" s="3">
        <f>1174.3+(794.2-664.5)+(-2.994465+(-2.02521--1.694475))+0-145.9--0.372044999999979</f>
        <v>1155.146845</v>
      </c>
      <c r="AD42" s="2">
        <v>1153.2</v>
      </c>
      <c r="AE42" s="3">
        <f>1129+(699.4-534)+(0+(0-0))+0-132.2-0</f>
        <v>1162.2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1170.6+(717.5-675)+(-1.791018+(-1.097775--1.03275))+0-141.3--0.216189000000008</f>
        <v>1070.1601459999999</v>
      </c>
      <c r="G43" s="3">
        <f>1158.2+(684.6-655.5)+(-2.362728+(-1.396584--1.33722))+0-144.3--0.294371999999994</f>
        <v>1040.8722800000003</v>
      </c>
      <c r="H43" s="3">
        <f>1155.5+(605.6-591.4)+(-1.767915+(-0.926568--0.904842))+0-147.2--0.225216000000008</f>
        <v>1020.935575</v>
      </c>
      <c r="I43" s="3">
        <f>1156.6+(530.9-536.9)+(-2.94933+(-1.353795--1.369095))+0-148.7--0.379184999999978</f>
        <v>999.34515499999998</v>
      </c>
      <c r="J43" s="3">
        <f>1152.7+(486-506.5)+(0.587877+(0.24786-0.258315))+0-147.8-0.075377999999985</f>
        <v>984.90204400000016</v>
      </c>
      <c r="K43" s="3">
        <f>1154.5+(376.3-415)+(-2.35518+(-0.767652--0.8466))+0-149--0.303959999999994</f>
        <v>964.82772799999998</v>
      </c>
      <c r="L43" s="3">
        <f>1143+(225.2-324.3)+(1.16586+(0.229704-0.330786))+0-148.2-0.151164000000024</f>
        <v>896.61361399999998</v>
      </c>
      <c r="M43" s="3">
        <f>1147.4+(278.5-321.1)+(0+(0-0))+0-161.4-0</f>
        <v>943.4000000000002</v>
      </c>
      <c r="N43" s="3">
        <f>1143.7+(344.5-320.6)+(1.166574+(0.35139-0.327012))+0-147.5-0.150450000000024</f>
        <v>1021.1405019999999</v>
      </c>
      <c r="O43" s="3">
        <f>1134.5+(462-352.5)+(0+(0-0))+0-157.7-0</f>
        <v>1086.3</v>
      </c>
      <c r="P43" s="3">
        <f>1129+(485.4-371.1)+(-0.57579+(-0.247554--0.189261))+0-150--0.0764999999999848</f>
        <v>1092.7424169999999</v>
      </c>
      <c r="Q43" s="3">
        <f>1139.9+(584.7-438.4)+(0.581349+(0.298197-0.223584))+0-151.5-0.0772649999999846</f>
        <v>1135.2786970000004</v>
      </c>
      <c r="R43" s="3">
        <f>1132+(755.9-565.6)+(-2.30928+(-1.542036--1.153824))+0-149.2--0.304367999999993</f>
        <v>1170.706876</v>
      </c>
      <c r="S43" s="3">
        <f>1118.3+(877.8-669.1)+(-1.140666+(-0.895356--0.682482))+0-155.5--0.158610000000025</f>
        <v>1170.3050699999999</v>
      </c>
      <c r="T43" s="3">
        <f>1110.8+(862.4-645.3)+(-1.133016+(-0.879648--0.658206))+0-155.8--0.158916000000025</f>
        <v>1170.9044580000002</v>
      </c>
      <c r="U43" s="3">
        <f>1109+(767.7-575.7)+(-3.39354+(-2.349162--1.761642))+0-157.7--0.482562000000018</f>
        <v>1139.8015019999998</v>
      </c>
      <c r="V43" s="3">
        <f>1108.7+(651.5-450.5)+(-2.261748+(-1.32906--0.91902))+0-168.7--0.344147999999993</f>
        <v>1138.6723599999998</v>
      </c>
      <c r="W43" s="3">
        <f>1108.8+(521.7-363.7)+(-1.696464+(-0.798201--0.556461))+0-167.9--0.25688700000001</f>
        <v>1097.2186829999998</v>
      </c>
      <c r="X43" s="3">
        <f>1113.3+(397.9-281.6)+(-2.271132+(-0.811716--0.574464))+0-169.2--0.345167999999993</f>
        <v>1058.2367839999999</v>
      </c>
      <c r="Y43" s="3">
        <f>1120.1+(443.7-317.1)+(-0.571251+(-0.226287--0.161721))+0-172.3--0.0878729999999825</f>
        <v>1073.8520559999997</v>
      </c>
      <c r="Z43" s="3">
        <f>1125.4+(645.3-430.1)+(-1.147908+(-0.658206--0.438702))+0-174.5--0.177990000000028</f>
        <v>1164.910578</v>
      </c>
      <c r="AA43" s="3">
        <f>1142.1+(719-516.4)+(-2.329884+(-1.46676--1.053456))+0-176.5--0.360059999999992</f>
        <v>1165.8168719999999</v>
      </c>
      <c r="AB43" s="3">
        <f>1148.8+(783.2-599.1)+(-1.757664+(-1.198296--0.916623))+0-172.9--0.26453700000001</f>
        <v>1158.2252000000001</v>
      </c>
      <c r="AC43" s="3">
        <f>1156.9+(765.4-621.5)+(-2.950095+(-1.95177--1.584825))+0-169--0.430949999999975</f>
        <v>1128.9139100000002</v>
      </c>
      <c r="AD43" s="2">
        <v>1169.3000000000002</v>
      </c>
      <c r="AE43" s="3">
        <f>1134+(713.9-498.1)+(0+(0-0))+0-171.5-0</f>
        <v>1178.3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1149.9+(731.4-637.5)+(-1.172898+(-0.746028--0.65025))+0-166.3--0.169626000000027</f>
        <v>1076.4009500000004</v>
      </c>
      <c r="G44" s="3">
        <f>1154+(632.9-578.5)+(0+(0-0))+0-168.3-0</f>
        <v>1040.1000000000001</v>
      </c>
      <c r="H44" s="3">
        <f>1154.5+(563.1-537.8)+(-2.943975+(-1.435905--1.37139))+0-167.5--0.427124999999976</f>
        <v>1009.7186350000002</v>
      </c>
      <c r="I44" s="3">
        <f>1158.2+(493.6-492.6)+(0+(0-0))+0-168.2-0</f>
        <v>991</v>
      </c>
      <c r="J44" s="3">
        <f>1159+(432.2-438.2)+(-2.36436+(-0.881688--0.893928))+0-170.3--0.347411999999993</f>
        <v>980.69529199999999</v>
      </c>
      <c r="K44" s="3">
        <f>1171.5+(315.5-351.9)+(-2.987325+(-0.804525--0.897345))+0-169--0.430949999999975</f>
        <v>963.63644499999987</v>
      </c>
      <c r="L44" s="3">
        <f>1171.5+(325.2-364.4)+(-2.987325+(-0.82926--0.92922))+0-169--0.430949999999975</f>
        <v>960.84358499999985</v>
      </c>
      <c r="M44" s="3">
        <f>1180.9+(271.1-321.1)+(-4.215813+(-0.967827--1.146327))+0-167.7--0.598689000000002</f>
        <v>959.76137600000004</v>
      </c>
      <c r="N44" s="3">
        <f>1176.2+(244.1-305.7)+(0.599862+(0.124491-0.155907))+0-171.2-0.0873119999999826</f>
        <v>943.88113400000009</v>
      </c>
      <c r="O44" s="3">
        <f>1165.9+(354.4-354.4)+(0.594609+(0.180744-0.180744))+0-168.1-0.0857309999999829</f>
        <v>998.30887800000005</v>
      </c>
      <c r="P44" s="3">
        <f>1141.3+(509.1-397.7)+(0+(0-0))+0-164.8-0</f>
        <v>1087.9000000000001</v>
      </c>
      <c r="Q44" s="3">
        <f>1126.3+(614.7-437.9)+(0.574413+(0.313497-0.223329))+0-162.1-0.0826709999999835</f>
        <v>1141.5819100000001</v>
      </c>
      <c r="R44" s="3">
        <f>1112.2+(781.6-579.5)+(-1.701666+(-1.195848--0.886635))+0-158.2--0.242046000000009</f>
        <v>1154.3311670000003</v>
      </c>
      <c r="S44" s="3">
        <f>1102.7+(947.6-716.5)+(0+(0-0))+20-158.6-0</f>
        <v>1195.2000000000003</v>
      </c>
      <c r="T44" s="3">
        <f>1096.5+(923.6-751.9)+(-2.23686+(-1.884144--1.533876))+75-165.1--0.336803999999993</f>
        <v>1175.8496760000003</v>
      </c>
      <c r="U44" s="3">
        <f>1094.1+(780.7-643)+(-2.231964+(-1.592628--1.31172))+100-170--0.346799999999993</f>
        <v>1159.633928</v>
      </c>
      <c r="V44" s="3">
        <f>1091.7+(788.6-565.2)+(-2.227068+(-1.608744--1.153008))+11.7-177.8--0.362711999999992</f>
        <v>1146.6799080000001</v>
      </c>
      <c r="W44" s="3">
        <f>1094.5+(555.8-349.6)+(-4.46556+(-2.267664--1.426368))+0-182.3--0.743783999999984</f>
        <v>1113.8369279999999</v>
      </c>
      <c r="X44" s="3">
        <f>1098.6+(406.6-255.2)+(-5.042574+(-1.866294--1.171368))+0-183.1--0.840429000000032</f>
        <v>1062.0029290000002</v>
      </c>
      <c r="Y44" s="3">
        <f>1102.8+(446.1-265.2)+(0+(0-0))+0-186.2-0</f>
        <v>1097.5</v>
      </c>
      <c r="Z44" s="3">
        <f>1105.7+(735.3-451)+(1.127814+(0.750006-0.46002))+0-191.5-0.195330000000031</f>
        <v>1199.7224699999999</v>
      </c>
      <c r="AA44" s="3">
        <f>1118.4+(794.5-520.3)+(-3.992688+(-2.836365--1.857471))+0-191.7--0.684369000000003</f>
        <v>1196.6127870000003</v>
      </c>
      <c r="AB44" s="3">
        <f>1129.5+(851.4-612.6)+(-1.15209+(-0.868428--0.624852))+0-190.6--0.19441200000003</f>
        <v>1176.4987460000002</v>
      </c>
      <c r="AC44" s="3">
        <f>1137.1+(861.1-674.4)+(-2.319684+(-1.756644--1.375776))+0-184.3--0.375971999999992</f>
        <v>1137.17542</v>
      </c>
      <c r="AD44" s="2">
        <v>1186.0999999999999</v>
      </c>
      <c r="AE44" s="3">
        <f>1095+(801.5-517.7)+(0+(0-0))+0-183.7-0</f>
        <v>1195.0999999999999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1141.4+(828.2-688.1)+(-0.582114+(-0.422382--0.350931))+0-187.4--0.095573999999981</f>
        <v>1093.5420089999998</v>
      </c>
      <c r="G45" s="3">
        <f>1145.3+(749.8-649.9)+(-1.168206+(-0.764796--0.662898))+0-187.1--0.19084200000003</f>
        <v>1057.0207379999999</v>
      </c>
      <c r="H45" s="3">
        <f>1148.3+(644.4-575.5)+(-2.928165+(-1.64322--1.467525))+0-188.7--0.481184999999973</f>
        <v>1025.8773249999997</v>
      </c>
      <c r="I45" s="3">
        <f>1164.4+(538.3-509.9)+(-0.593844+(-0.274533--0.260049))+0-188.7--0.0962369999999809</f>
        <v>1003.5879090000001</v>
      </c>
      <c r="J45" s="3">
        <f>1198.3+(470.8-492.7)+(-1.222266+(-0.480216--0.502554))+0-190.9--0.19471800000003</f>
        <v>984.49479000000019</v>
      </c>
      <c r="K45" s="3">
        <f>1247.6+(331.2-410.5)+(-2.545104+(-0.675648--0.83742))+0-190.9--0.389435999999992</f>
        <v>975.40610399999991</v>
      </c>
      <c r="L45" s="3">
        <f>1271.3+(223-383.6)+(-1.296726+(-0.22746--0.391272))+0-185.5--0.18921000000003</f>
        <v>924.25629599999979</v>
      </c>
      <c r="M45" s="3">
        <f>1309.9+(227.9-388.9)+(-0.668049+(-0.116229--0.198339))+0-189.5--0.0966449999999808</f>
        <v>958.910706</v>
      </c>
      <c r="N45" s="3">
        <f>1317.9+(316.1-415.2)+(0+(0-0))+0-191.1-0</f>
        <v>1027.7000000000003</v>
      </c>
      <c r="O45" s="3">
        <f>1295+(451.8-476.1)+(0.66045+(0.230418-0.242811))+0-190.1-0.0969509999999807</f>
        <v>1081.1511060000003</v>
      </c>
      <c r="P45" s="3">
        <f>1256.5+(565-499.7)+(1.922445+(0.86445-0.764541))+0-190.5-0.291465000000011</f>
        <v>1133.0308889999999</v>
      </c>
      <c r="Q45" s="3">
        <f>1242.3+(719.5-584.3)+(-0.633573+(-0.366945--0.297993))+0-189.4--0.0965939999999808</f>
        <v>1187.4940689999999</v>
      </c>
      <c r="R45" s="3">
        <f>1232.1+(756.2-604)+(-1.256742+(-0.771324--0.61608))+0-188.2--0.19196400000003</f>
        <v>1194.8799779999999</v>
      </c>
      <c r="S45" s="3">
        <f>1222+(859.7-687)+(-1.86966+(-1.315341--1.05111))+0-192.2--0.294066000000011</f>
        <v>1200.660175</v>
      </c>
      <c r="T45" s="3">
        <f>1244.9+(876.6-739.6)+(-1.904697+(-1.341198--1.131588))+0-187.9--0.287487000000011</f>
        <v>1192.17318</v>
      </c>
      <c r="U45" s="3">
        <f>1249.8+(861.9-746.1)+(-1.274796+(-0.879138--0.761022))+0-190.5--0.19431000000003</f>
        <v>1173.901398</v>
      </c>
      <c r="V45" s="3">
        <f>1248.6+(711.9-614.8)+(-3.820716+(-2.178414--1.881288))+0-191.5--0.585990000000022</f>
        <v>1150.6681479999997</v>
      </c>
      <c r="W45" s="3">
        <f>1248.1+(472.7-432.5)+(-1.909593+(-0.723231--0.661725))+0-191.3--0.292689000000011</f>
        <v>1095.32159</v>
      </c>
      <c r="X45" s="3">
        <f>1258.9+(311.1-327.8)+(-0.642039+(-0.158661--0.167178))+0-191.6--0.0977159999999806</f>
        <v>1050.064194</v>
      </c>
      <c r="Y45" s="3">
        <f>1261.8+(449.6-376)+(0.643518+(0.229296-0.19176))+0-191.6-0.0977159999999806</f>
        <v>1144.3833380000001</v>
      </c>
      <c r="Z45" s="3">
        <f>1268.6+(671.2-503)+(-1.293972+(-0.684624--0.51306))+0-191.6--0.195432000000031</f>
        <v>1243.9298960000001</v>
      </c>
      <c r="AA45" s="3">
        <f>1281.1+(655.2-598.8)+(-1.960083+(-1.002456--0.916164))+0-194.5--0.297585000000011</f>
        <v>1141.2512100000001</v>
      </c>
      <c r="AB45" s="3">
        <f>1294+(703.3-669.2)+(-3.95964+(-2.152098--2.047752))+0-193.3--0.591498000000022</f>
        <v>1131.3275119999998</v>
      </c>
      <c r="AC45" s="3">
        <f>1300.4+(718.2-697.4)+(-1.326408+(-0.732564--0.711348))+0-195.4--0.199308000000031</f>
        <v>1124.6516840000002</v>
      </c>
      <c r="AD45" s="2">
        <v>1102.6999999999998</v>
      </c>
      <c r="AE45" s="3">
        <f>1242+(655.3-592.2)+(0+(0-0))+0-193.4-0</f>
        <v>1111.6999999999998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1291.1+(731.3-737.6)+(-2.633844+(-1.491852--1.504704))+0-192.2--0.392087999999992</f>
        <v>1090.3710959999999</v>
      </c>
      <c r="G46" s="3">
        <f>1294.1+(660.7-694.3)+(-1.319982+(-0.673914--0.708186))+0-193.3--0.197166000000031</f>
        <v>1066.1114559999999</v>
      </c>
      <c r="H46" s="3">
        <f>1301.5+(604.8-684.6)+(-0.663765+(-0.308448--0.349146))+0-194.4--0.0991439999999803</f>
        <v>1026.7760769999998</v>
      </c>
      <c r="I46" s="3">
        <f>1309.3+(524.4-633.2)+(2.670972+(1.069776-1.291728))+0-191-0.389639999999992</f>
        <v>1011.55938</v>
      </c>
      <c r="J46" s="3">
        <f>1310.5+(473.3-593.2)+(0+(0-0))+0-192.5-0</f>
        <v>998.09999999999991</v>
      </c>
      <c r="K46" s="3">
        <f>1313.6+(393.2-525.3)+(-2.009808+(-0.601596--0.803709))+0-189.7--0.290241000000011</f>
        <v>990.28254600000002</v>
      </c>
      <c r="L46" s="3">
        <f>1309.8+(269.6-460.1)+(-1.335996+(-0.274992--0.469302))+0-189.1--0.19288200000003</f>
        <v>929.25119600000005</v>
      </c>
      <c r="M46" s="3">
        <f>1308.7+(283.7-463.5)+(-1.334874+(-0.289374--0.47277))+0-189.6--0.19339200000003</f>
        <v>938.34191400000009</v>
      </c>
      <c r="N46" s="3">
        <f>1292.9+(309.6-431.8)+(-0.659379+(-0.157896--0.220218))+0-190.5--0.0971549999999807</f>
        <v>979.70009800000003</v>
      </c>
      <c r="O46" s="3">
        <f>1279.1+(339.8-395.2)+(0+(0-0))+0-190.4-0</f>
        <v>1033.2999999999997</v>
      </c>
      <c r="P46" s="3">
        <f>1267.1+(431.5-430.7)+(0+(0-0))+0-190.4-0</f>
        <v>1077.4999999999998</v>
      </c>
      <c r="Q46" s="3">
        <f>1251.1+(576.2-496.8)+(-1.914183+(-0.881586--0.760104))+0-189--0.289170000000011</f>
        <v>1139.7535049999999</v>
      </c>
      <c r="R46" s="3">
        <f>1237.6+(736.4-642.9)+(-0.631176+(-0.375564--0.327879))+0-188.3--0.0960329999999809</f>
        <v>1142.2171719999999</v>
      </c>
      <c r="S46" s="3">
        <f>1224.5+(878.1-756.3)+(0+(0-0))+0-188.3-0</f>
        <v>1158.0000000000002</v>
      </c>
      <c r="T46" s="3">
        <f>1226.2+(887.6-777.9)+(-3.12681+(-2.26338--1.983645))+0-187.6--0.478379999999973</f>
        <v>1145.3718350000001</v>
      </c>
      <c r="U46" s="3">
        <f>1224.8+(772.4-671.8)+(-1.873944+(-1.181772--1.027854))+0-187.2--0.286416000000011</f>
        <v>1136.458554</v>
      </c>
      <c r="V46" s="3">
        <f>1226.6+(551.8-467.5)+(-3.12783+(-1.40709--1.192125))+0-192.2--0.490109999999972</f>
        <v>1115.8473149999998</v>
      </c>
      <c r="W46" s="3">
        <f>1228.3+(380.6-334.3)+(-1.252866+(-0.388212--0.340986))+0-188.2--0.19196400000003</f>
        <v>1085.291872</v>
      </c>
      <c r="X46" s="3">
        <f>1230.5+(309.4-291.5)+(-1.882665+(-0.473382--0.445995))+0-191--0.292230000000011</f>
        <v>1055.7821780000002</v>
      </c>
      <c r="Y46" s="3">
        <f>1235.7+(353.3-328.4)+(-0.630207+(-0.180183--0.167484))+0-190.2--0.0970019999999807</f>
        <v>1069.854096</v>
      </c>
      <c r="Z46" s="3">
        <f>1253.3+(551.3-444.1)+(0+(0-0))+0-191.9-0</f>
        <v>1168.5999999999999</v>
      </c>
      <c r="AA46" s="3">
        <f>1265.4+(627.6-514.3)+(-2.581416+(-1.280304--1.049172))+0-194.1--0.395963999999991</f>
        <v>1182.1834160000003</v>
      </c>
      <c r="AB46" s="3">
        <f>1264.5+(699.6-592.8)+(-2.57958+(-1.427184--1.209312))+0-193.5--0.394739999999992</f>
        <v>1175.3972880000001</v>
      </c>
      <c r="AC46" s="3">
        <f>1277.3+(691.6-626.5)+(-1.954269+(-1.058148--0.958545))+0-191.7--0.293301000000011</f>
        <v>1148.939429</v>
      </c>
      <c r="AD46" s="2">
        <v>1191.3</v>
      </c>
      <c r="AE46" s="3">
        <f>1262+(631.2-507.7)+(0+(0-0))+0-185.2-0</f>
        <v>1200.3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1268.1+(670-648.6)+(-0.646731+(-0.3417--0.330786))+0-187.9--0.0958289999999809</f>
        <v>1101.038184</v>
      </c>
      <c r="G47" s="3">
        <f>1267.6+(638.3-644.3)+(-1.939428+(-0.976599--0.985779))+0-189.6--0.290088000000011</f>
        <v>1070.3598400000001</v>
      </c>
      <c r="H47" s="3">
        <f>1274.5+(557.1-595.2)+(-1.29999+(-0.568242--0.607104))+0-190.5--0.19431000000003</f>
        <v>1044.8331820000001</v>
      </c>
      <c r="I47" s="3">
        <f>1279.9+(490.3-556.3)+(-3.263745+(-1.250265--1.418565))+0-189.7--0.483734999999972</f>
        <v>1021.5882900000001</v>
      </c>
      <c r="J47" s="3">
        <f>1288.5+(466.6-553.1)+(-3.285675+(-1.18983--1.410405))+0-189--0.481949999999973</f>
        <v>1010.41685</v>
      </c>
      <c r="K47" s="3">
        <f>1284.9+(361.4-457.9)+(-1.965897+(-0.552942--0.700587))+0-189.9--0.290547000000011</f>
        <v>996.97229500000014</v>
      </c>
      <c r="L47" s="3">
        <f>1293.6+(268.4-398.4)+(-3.958416+(-0.821304--1.219104))+0-189.5--0.579870000000022</f>
        <v>971.11925399999996</v>
      </c>
      <c r="M47" s="3">
        <f>1292.3+(262.1-366)+(-0.659073+(-0.133671--0.18666))+0-188.8--0.0962879999999808</f>
        <v>999.09020400000009</v>
      </c>
      <c r="N47" s="3">
        <f>1273.2+(294.6-330.9)+(3.24666+(0.75123-0.843795))+0-192.6-0.491129999999972</f>
        <v>1046.9629650000004</v>
      </c>
      <c r="O47" s="3">
        <f>1229.7+(392.9-338.6)+(-1.254294+(-0.400758--0.345372))+0-190--0.19380000000003</f>
        <v>1092.8841199999999</v>
      </c>
      <c r="P47" s="3">
        <f>1243.2+(454.6-354.5)+(-1.268064+(-0.463692--0.36159))+0-191.2--0.19502400000003</f>
        <v>1150.9248580000003</v>
      </c>
      <c r="Q47" s="3">
        <f>1224.3+(560.3-387.5)+(-2.497572+(-1.143012--0.7905))+0-191.6--0.390863999999992</f>
        <v>1203.04078</v>
      </c>
      <c r="R47" s="3">
        <f>1187.9+(762.5-535.4)+(0.605829+(0.388875-0.273054))+0-190.5-0.0971549999999807</f>
        <v>1225.124495</v>
      </c>
      <c r="S47" s="3">
        <f>1197.8+(897.7-669.7)+(-1.832634+(-1.373481--1.024641))+0-191.5--0.292995000000011</f>
        <v>1232.411521</v>
      </c>
      <c r="T47" s="3">
        <f>1205+(911.5-714.3)+(0.61455+(0.464865-0.364293))+0-186.5-0.0951149999999811</f>
        <v>1216.320007</v>
      </c>
      <c r="U47" s="3">
        <f>1211.5+(874.4-661.6)+(0.617865+(0.445944-0.337416))+0-190.8-0.0973079999999806</f>
        <v>1234.129085</v>
      </c>
      <c r="V47" s="3">
        <f>1226.5+(753.9-595.8)+(-2.50206+(-1.537956--1.215432))+0-188--0.383519999999992</f>
        <v>1194.158936</v>
      </c>
      <c r="W47" s="3">
        <f>1224.9+(551.5-418.4)+(-3.748194+(-1.68759--1.280304))+0-192.8--0.589968000000022</f>
        <v>1161.6344880000001</v>
      </c>
      <c r="X47" s="3">
        <f>1230.6+(362.3-289.9)+(-4.393242+(-1.293411--1.034943))+0-192.4--0.686868000000003</f>
        <v>1106.6351579999998</v>
      </c>
      <c r="Y47" s="3">
        <f>1240.9+(392-325.2)+(-2.531436+(-0.79968--0.663408))+0-190.3--0.388211999999992</f>
        <v>1115.1205040000002</v>
      </c>
      <c r="Z47" s="3">
        <f>1256.8+(575.6-420.1)+(-1.281936+(-0.587112--0.428502))+0-190.1--0.19390200000003</f>
        <v>1220.953356</v>
      </c>
      <c r="AA47" s="3">
        <f>1267.4+(685.6-538)+(-3.878244+(-2.097936--1.64628))+0-193--0.590580000000022</f>
        <v>1218.2606800000001</v>
      </c>
      <c r="AB47" s="3">
        <f>1267.1+(755.4-621.8)+(-2.584884+(-1.541016--1.268472))+0-193.8--0.395351999999992</f>
        <v>1204.4379239999998</v>
      </c>
      <c r="AC47" s="3">
        <f>1279.4+(772-685.7)+(-1.304988+(-0.78744--0.699414))+0-193.2--0.197064000000031</f>
        <v>1171.30405</v>
      </c>
      <c r="AD47" s="2">
        <v>1235.8</v>
      </c>
      <c r="AE47" s="3">
        <f>1272+(664.1-512.8)+(0+(0-0))+0-180.5-0</f>
        <v>1242.8000000000002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1292.8+(689.9-597.6)+(-1.977984+(-1.055547--0.914328))+0-192.6--0.294678000000011</f>
        <v>1190.675475</v>
      </c>
      <c r="G48" s="3">
        <f>1292.8+(645.5-588.2)+(-1.977984+(-0.987615--0.899946))+0-195.4--0.298962000000011</f>
        <v>1152.9333089999998</v>
      </c>
      <c r="H48" s="3">
        <f>1302.5+(553-530.3)+(0+(0-0))+0-194.6-0</f>
        <v>1130.6000000000001</v>
      </c>
      <c r="I48" s="3">
        <f>1311.3+(501.3-517.6)+(-1.337526+(-0.511326--0.527952))+0-194.2--0.198084000000031</f>
        <v>1099.6771840000001</v>
      </c>
      <c r="J48" s="3">
        <f>1313.7+(415.6-450.4)+(-2.009961+(-0.635868--0.689112))+0-190.9--0.292077000000011</f>
        <v>1086.33536</v>
      </c>
      <c r="K48" s="3">
        <f>1326.9+(346-432.6)+(-3.383595+(-0.8823--1.10313))+0-188--0.479399999999973</f>
        <v>1049.6166350000001</v>
      </c>
      <c r="L48" s="3">
        <f>1323.6+(280.3-398.8)+(0+(0-0))+0-187-0</f>
        <v>1018.0999999999999</v>
      </c>
      <c r="M48" s="3">
        <f>1325.6+(275.8-373.4)+(-0.676056+(-0.140658--0.190434))+0-190.1--0.0969509999999807</f>
        <v>1037.3706710000001</v>
      </c>
      <c r="N48" s="3">
        <f>1309.2+(314.8-327)+(0+(0-0))+0-187.4-0</f>
        <v>1109.5999999999999</v>
      </c>
      <c r="O48" s="3">
        <f>1311.6+(369.8-327.3)+(-0.668916+(-0.188598--0.166923))+0-182.8--0.0932279999999815</f>
        <v>1170.7026369999999</v>
      </c>
      <c r="P48" s="3">
        <f>1291.9+(435.9-312.6)+(-0.658869+(-0.222309--0.159426))+0-181.6--0.0926159999999816</f>
        <v>1232.9708640000001</v>
      </c>
      <c r="Q48" s="3">
        <f>1308.1+(556.5-385.4)+(-0.667131+(-0.283815--0.196554))+0-183.7--0.0936869999999814</f>
        <v>1294.8392949999998</v>
      </c>
      <c r="R48" s="3">
        <f>1317.7+(695.5-510.2)+(0+(0-0))+0-181.2-0</f>
        <v>1321.8</v>
      </c>
      <c r="S48" s="3">
        <f>1347.6+(798.7-640.9)+(-2.749104+(-1.629348--1.307436))+0-179.6--0.366383999999992</f>
        <v>1323.095368</v>
      </c>
      <c r="T48" s="3">
        <f>1357.2+(837-680.4)+(-0.692172+(-0.42687--0.347004))+0-185.8--0.0947579999999812</f>
        <v>1327.3227200000001</v>
      </c>
      <c r="U48" s="3">
        <f>1413.7+(661.6-594.5)+(-1.441974+(-0.674832--0.60639))+0-182.2--0.185844000000029</f>
        <v>1297.2754280000001</v>
      </c>
      <c r="V48" s="3">
        <f>1425.1+(518.5-480.3)+(-3.634005+(-1.322175--1.224765))+0-186.3--0.475064999999973</f>
        <v>1273.7436500000001</v>
      </c>
      <c r="W48" s="3">
        <f>1425.3+(315-342)+(-1.453806+(-0.3213--0.34884))+0-184.7--0.188394000000029</f>
        <v>1212.362128</v>
      </c>
      <c r="X48" s="3">
        <f>1434+(411.5-516.7)+(-4.38804+(-1.25919--1.581102))+0-184.5--0.564570000000021</f>
        <v>1140.798442</v>
      </c>
      <c r="Y48" s="3">
        <f>1437.8+(381.9-451.6)+(0+(0-0))+0-184.2-0</f>
        <v>1183.8999999999999</v>
      </c>
      <c r="Z48" s="3">
        <f>1447.9+(432.2-391.2)+(-1.476858+(-0.440844--0.399024))+0-183.8--0.187476000000029</f>
        <v>1303.7687980000003</v>
      </c>
      <c r="AA48" s="3">
        <f>1461.3+(512.5-466.4)+(-3.726315+(-1.306875--1.18932))+0-189.9--0.484244999999972</f>
        <v>1314.1403749999999</v>
      </c>
      <c r="AB48" s="3">
        <f>1466.8+(563.2-551.1)+(-2.244204+(-0.861696--0.843183))+0-186--0.284580000000011</f>
        <v>1290.921863</v>
      </c>
      <c r="AC48" s="3">
        <f>1475.2+(482.8-543.7)+(-3.009408+(-0.984912--1.109148))+0-177.2--0.361487999999992</f>
        <v>1234.5763159999999</v>
      </c>
      <c r="AD48" s="2">
        <v>1267.0000000000002</v>
      </c>
      <c r="AE48" s="3">
        <f>1457+(511.4-517.1)+(0+(0-0))+0-175.3-0</f>
        <v>1276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1401.6+(522.6-533.2)+(-5.003712+(-1.865682--1.903524))+0-179.7--0.641529000000002</f>
        <v>1206.975659</v>
      </c>
      <c r="G49" s="3">
        <f>1346.1+(496.4-466.5)+(-4.805577+(-1.772148--1.665405))+0-184.6--0.659022000000003</f>
        <v>1187.1467020000002</v>
      </c>
      <c r="H49" s="3">
        <f>1348.4+(457.6-456.5)+(-1.375368+(-0.466752--0.46563))+0-187.2--0.19094400000003</f>
        <v>1161.1144539999998</v>
      </c>
      <c r="I49" s="3">
        <f>1351.1+(474.7-506.4)+(-0.689061+(-0.242097--0.258264))+0-190.1--0.0969509999999807</f>
        <v>1128.7240569999999</v>
      </c>
      <c r="J49" s="3">
        <f>1359.7+(398-456.6)+(-0.693447+(-0.20298--0.232866))+0-186.5--0.0951149999999811</f>
        <v>1114.0315539999999</v>
      </c>
      <c r="K49" s="3">
        <f>1366.5+(315.6-403)+(-2.78766+(-0.643824--0.82212))+0-187.4--0.382295999999992</f>
        <v>1089.4729319999999</v>
      </c>
      <c r="L49" s="3">
        <f>1374.9+(289.7-440.7)+(-2.804796+(-0.590988--0.899028))+0-187.1--0.381683999999992</f>
        <v>1034.6849280000001</v>
      </c>
      <c r="M49" s="3">
        <f>1363.6+(287.8-410.3)+(3.47718+(0.73389-1.046265))+0-192.4-0.490619999999972</f>
        <v>1051.3741849999997</v>
      </c>
      <c r="N49" s="3">
        <f>1353.3+(358-408.8)+(0.690183+(0.18258-0.208488))+0-209.1-0.106640999999979</f>
        <v>1093.9576340000001</v>
      </c>
      <c r="O49" s="3">
        <f>1335.5+(366.9-349.6)+(-0.681105+(-0.187119--0.178296))+0-187--0.095369999999981</f>
        <v>1165.2054419999999</v>
      </c>
      <c r="P49" s="3">
        <f>1318.2+(417.5-337.4)+(-0.672282+(-0.212925--0.172074))+0-185.3--0.0945029999999812</f>
        <v>1212.3813700000003</v>
      </c>
      <c r="Q49" s="3">
        <f>1304.1+(459.1-265.8)+(-0.665091+(-0.234141--0.135558))+0-187.6--0.095675999999981</f>
        <v>1309.1320019999998</v>
      </c>
      <c r="R49" s="3">
        <f>1293+(611-391)+(-3.95658+(-1.86966--1.19646))+0-188.7--0.577422000000022</f>
        <v>1320.247642</v>
      </c>
      <c r="S49" s="3">
        <f>1290.2+(760.6-524.9)+(-1.974006+(-1.163718--0.803097))+0-184.4--0.282132000000011</f>
        <v>1339.4475050000001</v>
      </c>
      <c r="T49" s="3">
        <f>1282.8+(726.4-554.9)+(0.654228+(0.370464-0.282999))+0-188.6-0.0961859999999809</f>
        <v>1266.345507</v>
      </c>
      <c r="U49" s="3">
        <f>1294.4+(602.5-514.7)+(-3.30072+(-1.536375--1.312485))+0-190.4--0.485519999999972</f>
        <v>1188.76091</v>
      </c>
      <c r="V49" s="3">
        <f>1307.5+(491.3-376.9)+(-3.334125+(-1.252815--0.961095))+0-189.9--0.484244999999972</f>
        <v>1228.8583999999998</v>
      </c>
      <c r="W49" s="3">
        <f>1315.8+(329.4-276.5)+(-3.35529+(-0.83997--0.705075))+0-192.3--0.490364999999972</f>
        <v>1173.4001799999996</v>
      </c>
      <c r="X49" s="3">
        <f>1315.4+(411.4-390.6)+(-1.341708+(-0.419628--0.398412))+0-190.5--0.19431000000003</f>
        <v>1144.5313860000001</v>
      </c>
      <c r="Y49" s="3">
        <f>1321.6+(442.5-396.5)+(-0.674016+(-0.225675--0.202215))+0-190.3--0.0970529999999807</f>
        <v>1176.6995769999999</v>
      </c>
      <c r="Z49" s="3">
        <f>1338+(482.5-346.4)+(-2.04714+(-0.738225--0.529992))+0-191.6--0.293148000000011</f>
        <v>1280.537775</v>
      </c>
      <c r="AA49" s="3">
        <f>1336.5+(588.7-442.4)+(-3.408075+(-1.501185--1.12812))+0-188.1--0.479654999999973</f>
        <v>1291.3985150000001</v>
      </c>
      <c r="AB49" s="3">
        <f>1338.2+(633.6-499.7)+(-2.047446+(-0.969408--0.764541))+0-189--0.289170000000011</f>
        <v>1281.1368570000002</v>
      </c>
      <c r="AC49" s="3">
        <f>1346.2+(664.6-603.6)+(-2.059686+(-1.016838--0.923508))+0-192.2--0.294066000000011</f>
        <v>1213.14105</v>
      </c>
      <c r="AD49" s="2">
        <v>1270.5</v>
      </c>
      <c r="AE49" s="3">
        <f>1335+(567-434.5)+(0+(0-0))+0-187-0</f>
        <v>1280.5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1339.8+(574.7-550.7)+(-3.41649+(-1.465485--1.404285))+0-190.7--0.486284999999972</f>
        <v>1170.1085949999999</v>
      </c>
      <c r="G50" s="3">
        <f>1341.5+(561.2-562)+(-2.052495+(-0.858636--0.85986))+0-191.7--0.293301000000011</f>
        <v>1147.2420299999999</v>
      </c>
      <c r="H50" s="3">
        <f>1348.1+(467.8-503.4)+(-3.437655+(-1.19289--1.28367))+0-191.3--0.487814999999972</f>
        <v>1118.34094</v>
      </c>
      <c r="I50" s="3">
        <f>1353.9+(384.3-452.9)+(-2.761956+(-0.783972--0.923916))+0-189.6--0.386783999999992</f>
        <v>1093.4647720000003</v>
      </c>
      <c r="J50" s="3">
        <f>1357.6+(353.8-448.1)+(-2.077128+(-0.541314--0.685593))+0-187.7--0.287181000000011</f>
        <v>1073.9543319999998</v>
      </c>
      <c r="K50" s="3">
        <f>1364.7+(310.4-446.7)+(-1.391994+(-0.316608--0.455634))+0-188.7--0.19247400000003</f>
        <v>1038.639506</v>
      </c>
      <c r="L50" s="3">
        <f>1361.7+(292-499.6)+(-2.777868+(-0.59568--1.019184))+0-188--0.383519999999992</f>
        <v>964.12915599999985</v>
      </c>
      <c r="M50" s="3">
        <f>1344.7+(333.5-505.2)+(1.371594+(0.34017-0.515304))+0-193.1-0.196962000000031</f>
        <v>980.89949799999988</v>
      </c>
      <c r="N50" s="3">
        <f>1332.1+(382.6-506.4)+(-1.358742+(-0.390252--0.516528))+0-190.8--0.19461600000003</f>
        <v>1016.4621500000001</v>
      </c>
      <c r="O50" s="3">
        <f>1313.2+(450.5-472.9)+(0+(0-0))+0-187.6-0</f>
        <v>1103.2000000000003</v>
      </c>
      <c r="P50" s="3">
        <f>1304.6+(423.4-374.4)+(0+(0-0))+0-189.6-0</f>
        <v>1164</v>
      </c>
      <c r="Q50" s="3">
        <f>1292.2+(458.1-342.3)+(0+(0-0))+0-174.1-0</f>
        <v>1233.9000000000001</v>
      </c>
      <c r="R50" s="3">
        <f>1284+(700.7-595)+(0+(0-0))+0-176-0</f>
        <v>1213.7</v>
      </c>
      <c r="S50" s="3">
        <f>1296.4+(743.3-593.9)+(-3.30582+(-1.895415--1.514445))+0-182.3--0.464864999999974</f>
        <v>1260.2780750000002</v>
      </c>
      <c r="T50" s="3">
        <f>1276+(797.2-730)+(-3.2538+(-2.03286--1.8615))+0-174--0.443699999999975</f>
        <v>1166.2185400000001</v>
      </c>
      <c r="U50" s="3">
        <f>1292+(650.1-554.5)+(-1.97676+(-0.994653--0.848385))+0-168--0.25704000000001</f>
        <v>1217.7340119999999</v>
      </c>
      <c r="V50" s="3">
        <f>1285.7+(486-389.9)+(-2.622828+(-0.99144--0.795396))+1.1-176.3--0.359651999999992</f>
        <v>1204.1407800000002</v>
      </c>
      <c r="W50" s="3">
        <f>1310.2+(336.3-277.1)+(-3.34101+(-0.857565--0.706605))+5-185.6--0.473279999999973</f>
        <v>1185.7813100000001</v>
      </c>
      <c r="X50" s="3">
        <f>1322.3+(339.8-360.9)+(-3.371865+(-0.86649--0.920295))+0-183.2--0.467159999999973</f>
        <v>1115.1490999999999</v>
      </c>
      <c r="Y50" s="3">
        <f>1327.7+(356.8-343.4)+(-1.354254+(-0.363936--0.350268))+0-185.6--0.18931200000003</f>
        <v>1154.3213900000003</v>
      </c>
      <c r="Z50" s="3">
        <f>1336.1+(486.6-345.8)+(-2.044233+(-0.744498--0.529074))+0-191.2--0.292536000000011</f>
        <v>1283.7328789999997</v>
      </c>
      <c r="AA50" s="3">
        <f>1352+(566.6-426.1)+(-4.13712+(-1.733796--1.303866))+0-190.5--0.582930000000022</f>
        <v>1298.0158799999999</v>
      </c>
      <c r="AB50" s="3">
        <f>1354.6+(604.9-490.9)+(-0.690846+(-0.308499--0.250359))+0-187.4--0.095573999999981</f>
        <v>1280.5465879999997</v>
      </c>
      <c r="AC50" s="3">
        <f>1271+(666.7-517)+(-1.94463+(-1.020051--0.79101))+0-187.6--0.287028000000011</f>
        <v>1231.2133570000001</v>
      </c>
      <c r="AD50" s="2">
        <v>1289.4000000000001</v>
      </c>
      <c r="AE50" s="3">
        <f>1337+(554.7-412.3)+(0+(0-0))+0-181-0</f>
        <v>1298.4000000000001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1220.8+(651.1-492.5)+(-3.11304+(-1.660305--1.255875))+0-188.1--0.479654999999973</f>
        <v>1188.262185</v>
      </c>
      <c r="G51" s="3">
        <f>1227.7+(665-596.3)+(-3.130635+(-1.69575--1.520565))+0-192.4--0.490619999999972</f>
        <v>1101.1848</v>
      </c>
      <c r="H51" s="3">
        <f>1280.1+(523.5-550.5)+(-2.611404+(-1.06794--1.12302))+0-192.4--0.392495999999992</f>
        <v>1058.5361719999999</v>
      </c>
      <c r="I51" s="3">
        <f>1323.7+(423.6-493.6)+(-0.675087+(-0.216036--0.251736))+0-193.8--0.0988379999999803</f>
        <v>1059.359451</v>
      </c>
      <c r="J51" s="3">
        <f>1361.6+(358.8-488.9)+(2.083248+(0.548964-0.748017))+0-193.2-0.295596000000011</f>
        <v>1039.8885990000001</v>
      </c>
      <c r="K51" s="3">
        <f>1413.5+(266.4-474.1)+(-2.162655+(-0.407592--0.725373))+0-188.2--0.287946000000011</f>
        <v>1016.0430720000001</v>
      </c>
      <c r="L51" s="3">
        <f>1490.5+(263.9-604.7)+(-0.760155+(-0.134589--0.308397))+0-183.1--0.0933809999999814</f>
        <v>966.10703399999989</v>
      </c>
      <c r="M51" s="3">
        <f>1506.7+(350.4-664)+(-3.073668+(-0.714816--1.35456))+0-186.3--0.380051999999992</f>
        <v>1004.746128</v>
      </c>
      <c r="N51" s="3">
        <f>1476.2+(374.3-577.8)+(-2.258586+(-0.572679--0.884034))+0-190.9--0.292077000000011</f>
        <v>1080.1448459999999</v>
      </c>
      <c r="O51" s="3">
        <f>1457.1+(346.9-492.7)+(-1.486242+(-0.353838--0.502554))+0-192.6--0.196452000000031</f>
        <v>1117.5589260000002</v>
      </c>
      <c r="P51" s="3">
        <f>1437.1+(361.2-411)+(-1.465842+(-0.368424--0.41922))+0-190.6--0.19441200000003</f>
        <v>1195.479366</v>
      </c>
      <c r="Q51" s="3">
        <f>1423.8+(452-430.4)+(-1.452276+(-0.46104--0.439008))+0-190.5--0.19431000000003</f>
        <v>1253.6200020000001</v>
      </c>
      <c r="R51" s="3">
        <f>1410.8+(759.6-699.4)+(-0.719508+(-0.387396--0.356694))+0-185.8--0.0947579999999812</f>
        <v>1284.5445480000001</v>
      </c>
      <c r="S51" s="3">
        <f>1415.4+(693.3-656.6)+(-2.887416+(-1.414332--1.339464))+0-182.8--0.372911999999992</f>
        <v>1266.710628</v>
      </c>
      <c r="T51" s="3">
        <f>1417.4+(693.3-647.6)+(-2.891496+(-1.414332--1.321104))+0-182.8--0.372911999999992</f>
        <v>1277.6881880000001</v>
      </c>
      <c r="U51" s="3">
        <f>1422.1+(601.9-583.4)+(0+(0-0))+0-188.2-0</f>
        <v>1252.3999999999999</v>
      </c>
      <c r="V51" s="3">
        <f>1430.8+(417.7-420.3)+(-2.918832+(-0.852108--0.857412))+0-190.3--0.388211999999992</f>
        <v>1235.3746839999999</v>
      </c>
      <c r="W51" s="3">
        <f>1436.2+(267.1-361.8)+(-4.394772+(-0.817326--1.107108))+0-187.7--0.574362000000022</f>
        <v>1150.269372</v>
      </c>
      <c r="X51" s="3">
        <f>1437.2+(330.1-443.4)+(-4.397832+(-1.010106--1.356804))+0-187.7--0.574362000000022</f>
        <v>1132.7232280000001</v>
      </c>
      <c r="Y51" s="3">
        <f>1444+(332.3-475)+(-5.15508+(-1.186311--1.69575))+0-191.7--0.684369000000003</f>
        <v>1105.6387279999999</v>
      </c>
      <c r="Z51" s="3">
        <f>1462.2+(350.1-394.1)+(-0.745722+(-0.178551--0.200991))+0-193.9--0.0988889999999803</f>
        <v>1223.6756069999999</v>
      </c>
      <c r="AA51" s="3">
        <f>1480+(380.2-440)+(-4.5288+(-1.163412--1.3464))+0-193.9--0.593334000000022</f>
        <v>1222.5475219999998</v>
      </c>
      <c r="AB51" s="3">
        <f>1483.3+(350.4-455.5)+(-2.269449+(-0.536112--0.696915))+0-192.2--0.294066000000011</f>
        <v>1184.1854199999998</v>
      </c>
      <c r="AC51" s="3">
        <f>1484.3+(342.4-470.3)+(-3.027972+(-0.698496--0.959412))+0-193.9--0.395555999999992</f>
        <v>1160.1284999999998</v>
      </c>
      <c r="AD51" s="2">
        <v>1231.0999999999999</v>
      </c>
      <c r="AE51" s="3">
        <f>1468+(392.7-426.1)+(0+(0-0))+0-194.5-0</f>
        <v>1240.0999999999999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1497.2+(302.8-490.4)+(-3.81786+(-0.77214--1.25052))+0-193.4--0.493169999999972</f>
        <v>1113.3536899999999</v>
      </c>
      <c r="G52" s="3">
        <f>1503.7+(293-529.9)+(-3.067548+(-0.59772--1.080996))+0-193.4--0.394535999999992</f>
        <v>1071.2102640000001</v>
      </c>
      <c r="H52" s="3">
        <f>1506.9+(262.5-509.9)+(-2.305557+(-0.401625--0.780147))+0-192.4--0.294372000000011</f>
        <v>1065.467337</v>
      </c>
      <c r="I52" s="3">
        <f>1510.1+(239.7-512.6)+(3.850755+(0.611235-1.30713))+0-191.7-0.488834999999972</f>
        <v>1048.166025</v>
      </c>
      <c r="J52" s="3">
        <f>1514.3+(217.7-505.9)+(-2.316879+(-0.333081--0.774027))+0-190.5--0.291465000000011</f>
        <v>1034.0155319999999</v>
      </c>
      <c r="K52" s="3">
        <f>1518.2+(217.3-524.2)+(-0.774282+(-0.110823--0.267342))+0-189.9--0.0968489999999807</f>
        <v>1020.879086</v>
      </c>
      <c r="L52" s="3">
        <f>1527.7+(254.2-618.6)+(-1.558254+(-0.259284--0.630972))+0-184.4--0.188088000000029</f>
        <v>977.90152199999989</v>
      </c>
      <c r="M52" s="3">
        <f>1520.6+(262.6-583.5)+(0.775506+(0.133926-0.297585))+0-188.5-0.0961349999999809</f>
        <v>1011.7157119999997</v>
      </c>
      <c r="N52" s="3">
        <f>1510.9+(275.5-532.5)+(0+(0-0))+0-186.7-0</f>
        <v>1067.2</v>
      </c>
      <c r="O52" s="3">
        <f>1488.9+(259.5-428.2)+(-1.518678+(-0.26469--0.436764))+0-174.8--0.178296000000028</f>
        <v>1144.2316920000001</v>
      </c>
      <c r="P52" s="3">
        <f>1468.8+(288-381)+(0.749088+(0.14688-0.19431))+0-171-0.0872099999999826</f>
        <v>1205.414448</v>
      </c>
      <c r="Q52" s="3">
        <f>1462.8+(334-375)+(-0.746028+(-0.17034--0.19125))+0-172--0.0877199999999825</f>
        <v>1249.1626019999999</v>
      </c>
      <c r="R52" s="3">
        <f>1423.6+(431-390)+(1.452072+(0.43962-0.3978))+0-168-0.171360000000027</f>
        <v>1297.9225319999998</v>
      </c>
      <c r="S52" s="3">
        <f>1371.1+(616.4-547.4)+(-2.797044+(-1.257456--1.116696))+0-171.7--0.350267999999992</f>
        <v>1265.8124639999999</v>
      </c>
      <c r="T52" s="3">
        <f>1360.1+(640.8-586.3)+(0.693651+(0.326808-0.299013))+0-165.7-0.0845069999999832</f>
        <v>1249.5369389999998</v>
      </c>
      <c r="U52" s="3">
        <f>1429.5+(541.5-565.5)+(-1.45809+(-0.55233--0.57681))+0-168.9--0.172278000000027</f>
        <v>1235.3386679999999</v>
      </c>
      <c r="V52" s="3">
        <f>1430.5+(378.8-412.7)+(-2.91822+(-0.772752--0.841908))+0-178.1--0.363323999999992</f>
        <v>1216.0142599999999</v>
      </c>
      <c r="W52" s="3">
        <f>1447.8+(231.7-352)+(0.738378+(0.118167-0.17952))+0-178.5-0.0910349999999819</f>
        <v>1149.58599</v>
      </c>
      <c r="X52" s="3">
        <f>1470.1+(253.4-480.1)+(-5.248257+(-0.904638--1.713957))+0-180.6--0.644742000000002</f>
        <v>1059.0058039999999</v>
      </c>
      <c r="Y52" s="3">
        <f>1480.8+(252.4-472.2)+(-2.265624+(-0.386172--0.722466))+0-173.9--0.26606700000001</f>
        <v>1085.436737</v>
      </c>
      <c r="Z52" s="3">
        <f>1477.2+(267.2-406.3)+(-1.506744+(-0.272544--0.414426))+0-182.2--0.185844000000029</f>
        <v>1154.720982</v>
      </c>
      <c r="AA52" s="3">
        <f>1487.1+(271.8-433.1)+(-4.550526+(-0.831708--1.325286))+0-188.4--0.576504000000022</f>
        <v>1133.9195560000001</v>
      </c>
      <c r="AB52" s="3">
        <f>1503.6+(350.7-542.3)+(0+(0-0))+0-186.7-0</f>
        <v>1125.3</v>
      </c>
      <c r="AC52" s="3">
        <f>1506+(433.4-654)+(-0.76806+(-0.221034--0.33354))+0-185.8--0.0947579999999812</f>
        <v>1099.0392040000002</v>
      </c>
      <c r="AD52" s="2">
        <v>1140</v>
      </c>
      <c r="AE52" s="3">
        <f>1484+(290.2-435)+(0+(0-0))+0-189.2-0</f>
        <v>1150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1504.6+(470.8-693.5)+(-3.83673+(-1.20054--1.768425))+0-179.7--0.458234999999974</f>
        <v>1099.3893899999998</v>
      </c>
      <c r="G53" s="3">
        <f>1500.1+(391.7-643.6)+(-0.765051+(-0.199767--0.328236))+0-176.8--0.0901679999999821</f>
        <v>1070.8535859999997</v>
      </c>
      <c r="H53" s="3">
        <f>1505.1+(359.7-650)+(-2.302803+(-0.550341--0.9945))+0-173.4--0.26530200000001</f>
        <v>1039.806658</v>
      </c>
      <c r="I53" s="3">
        <f>1507.2+(300.6-612.9)+(-3.074688+(-0.613224--1.250316))+0-170.2--0.347207999999993</f>
        <v>1022.6096120000001</v>
      </c>
      <c r="J53" s="3">
        <f>1502.5+(285.8-593.4)+(0+(0-0))+0-173.8-0</f>
        <v>1021.1000000000001</v>
      </c>
      <c r="K53" s="3">
        <f>1479.6+(262.9-572.6)+(-3.018384+(-0.536316--1.168104))+0-175.9--0.358835999999992</f>
        <v>991.97223999999983</v>
      </c>
      <c r="L53" s="3">
        <f>1510.6+(186.6-590.7)+(-3.081624+(-0.380664--1.205028))+0-168.8--0.344351999999993</f>
        <v>935.78709199999992</v>
      </c>
      <c r="M53" s="3">
        <f>1504.6+(219-598.1)+(0+(0-0))+0-173.8-0</f>
        <v>951.7</v>
      </c>
      <c r="N53" s="3">
        <f>1481.6+(250.2-553.1)+(-1.511232+(-0.255204--0.564162))+0-181--0.184620000000029</f>
        <v>996.68234599999982</v>
      </c>
      <c r="O53" s="3">
        <f>1464+(264.2-514.8)+(0+(0-0))+0-177.9-0</f>
        <v>1035.5</v>
      </c>
      <c r="P53" s="3">
        <f>1452.3+(274.1-450.3)+(0+(0-0))+0-182.4-0</f>
        <v>1093.6999999999998</v>
      </c>
      <c r="Q53" s="3">
        <f>1442+(365.2-477.6)+(-0.73542+(-0.186252--0.243576))+0-181.8--0.0927179999999816</f>
        <v>1147.2146219999997</v>
      </c>
      <c r="R53" s="3">
        <f>1431.6+(468.7-546.5)+(-0.730116+(-0.239037--0.278715))+0-184.5--0.0940949999999813</f>
        <v>1168.7036569999998</v>
      </c>
      <c r="S53" s="3">
        <f>1428.1+(646.3-726)+(-1.456662+(-0.659226--0.74052))+0-186.4--0.19012800000003</f>
        <v>1160.8147599999998</v>
      </c>
      <c r="T53" s="3">
        <f>1427.4+(673.3-747.2)+(-2.183922+(-1.030149--1.143216))+0-187.8--0.287334000000011</f>
        <v>1163.9164790000002</v>
      </c>
      <c r="U53" s="3">
        <f>1419.8+(638.4-747.2)+(-1.448196+(-0.651168--0.762144))+0-186.1--0.18982200000003</f>
        <v>1123.7526020000003</v>
      </c>
      <c r="V53" s="3">
        <f>1418.6+(465.4-612)+(0.723486+(0.237354-0.31212))+0-188.6-0.0961859999999809</f>
        <v>1083.952534</v>
      </c>
      <c r="W53" s="3">
        <f>1415.5+(292.4-481.3)+(-0.721905+(-0.149124--0.245463))+0-188.7--0.0962369999999809</f>
        <v>1037.3706709999999</v>
      </c>
      <c r="X53" s="3">
        <f>1435.5+(229.4-472.8)+(-3.660525+(-0.58497--1.20564))+0-188.7--0.481184999999973</f>
        <v>1000.8413299999999</v>
      </c>
      <c r="Y53" s="3">
        <f>1447.9+(242.2-439.3)+(-2.215287+(-0.370566--0.672129))+0-188.1--0.287793000000011</f>
        <v>1061.0740690000002</v>
      </c>
      <c r="Z53" s="3">
        <f>1458.3+(345.4-459)+(-2.231199+(-0.528462--0.70227))+0-189.5--0.289935000000011</f>
        <v>1153.4325439999998</v>
      </c>
      <c r="AA53" s="3">
        <f>1462+(398.6-500.6)+(-2.23686+(-0.609858--0.765918))+0-190.9--0.292077000000011</f>
        <v>1167.311277</v>
      </c>
      <c r="AB53" s="3">
        <f>1466.2+(489-629.8)+(1.495524+(0.49878-0.642396))+0-187.9-0.19165800000003</f>
        <v>1138.6602500000001</v>
      </c>
      <c r="AC53" s="3">
        <f>1471.6+(488.8-638.7)+(-1.501032+(-0.498576--0.651474))+0-191.5--0.195330000000031</f>
        <v>1129.0471959999998</v>
      </c>
      <c r="AD53" s="2">
        <v>1174</v>
      </c>
      <c r="AE53" s="3">
        <f>1469+(385-485.2)+(0+(0-0))+0-185.8-0</f>
        <v>1183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1471.7+(493.9-687.6)+(-0.750567+(-0.251889--0.350676))+0-195.4--0.0996539999999802</f>
        <v>1082.0478739999999</v>
      </c>
      <c r="G54" s="3">
        <f>1477.1+(393.7-613.4)+(-3.766605+(-1.003935--1.56417))+0-191.9--0.489344999999972</f>
        <v>1062.7829749999996</v>
      </c>
      <c r="H54" s="3">
        <f>1487.5+(340.4-605.4)+(0+(0-0))+0-181.3-0</f>
        <v>1041.2</v>
      </c>
      <c r="I54" s="3">
        <f>1499+(322.1-619.7)+(-2.29347+(-0.492813--0.948141))+0-184.4--0.282132000000011</f>
        <v>1015.4439900000001</v>
      </c>
      <c r="J54" s="3">
        <f>1498.8+(286.6-586.7)+(2.293164+(0.438498-0.897651))+0-191.9-0.293607000000011</f>
        <v>1008.3404039999997</v>
      </c>
      <c r="K54" s="3">
        <f>1501.2+(215.6-532.3)+(-1.531224+(-0.219912--0.542946))+0-189.4--0.19318800000003</f>
        <v>994.08499800000004</v>
      </c>
      <c r="L54" s="3">
        <f>1499.3+(229.8-582.3)+(-2.293929+(-0.351594--0.890919))+0-187.3--0.286569000000011</f>
        <v>958.03196500000001</v>
      </c>
      <c r="M54" s="3">
        <f>1490.8+(250.8-570.8)+(0.760308+(0.127908-0.291108))+0-189.8-0.0967979999999807</f>
        <v>981.5003099999999</v>
      </c>
      <c r="N54" s="3">
        <f>1474.4+(263.8-504.5)+(3.007776+(0.538152-1.02918))+0-191.2-0.390047999999992</f>
        <v>1044.6267</v>
      </c>
      <c r="O54" s="3">
        <f>1453.8+(268.9-442.5)+(-0.741438+(-0.137139--0.225675))+0-188.9--0.0963389999999808</f>
        <v>1090.7434369999996</v>
      </c>
      <c r="P54" s="3">
        <f>1440.2+(276.2-359.5)+(0+(0-0))+0-187.8-0</f>
        <v>1169.1000000000001</v>
      </c>
      <c r="Q54" s="3">
        <f>1432.3+(343.4-385.7)+(-1.460946+(-0.350268--0.393414))+0-189.3--0.19308600000003</f>
        <v>1199.4752860000001</v>
      </c>
      <c r="R54" s="3">
        <f>1462.4+(467.9-516.4)+(-0.745824+(-0.238629--0.263364))+0-183.7--0.0936869999999814</f>
        <v>1229.5725980000002</v>
      </c>
      <c r="S54" s="3">
        <f>1454.7+(656.2-694)+(-1.483794+(-0.669324--0.70788))+0-185.3--0.18900600000003</f>
        <v>1230.3437680000002</v>
      </c>
      <c r="T54" s="3">
        <f>1450.9+(684.6-723.4)+(-0.739959+(-0.349146--0.368934))+0-185.9--0.0948089999999811</f>
        <v>1225.574638</v>
      </c>
      <c r="U54" s="3">
        <f>1451.4+(684.7-714.6)+(-2.220642+(-1.047591--1.093338))+0-185--0.283050000000011</f>
        <v>1234.6081549999999</v>
      </c>
      <c r="V54" s="3">
        <f>1452.4+(527.6-579.4)+(0+(0-0))+0-185.3-0</f>
        <v>1215.3000000000002</v>
      </c>
      <c r="W54" s="3">
        <f>1448.3+(295.3-397.5)+(-2.215899+(-0.451809--0.608175))+0-186.9--0.285957000000011</f>
        <v>1157.4264239999998</v>
      </c>
      <c r="X54" s="3">
        <f>1451.1+(215.5-405.6)+(-3.700305+(-0.549525--1.03428))+0-162.5--0.414374999999976</f>
        <v>1095.6988250000002</v>
      </c>
      <c r="Y54" s="3">
        <f>1451.8+(243.5-456)+(-2.221254+(-0.372555--0.69768))+0-167.4--0.25612200000001</f>
        <v>1070.2599929999999</v>
      </c>
      <c r="Z54" s="3">
        <f>1473.1+(333.9-536)+(-0.751281+(-0.170289--0.27336))+0-173.4--0.0884339999999824</f>
        <v>1097.0402239999999</v>
      </c>
      <c r="AA54" s="3">
        <f>1489.2+(425.4-537.5)+(-3.037968+(-0.867816--1.0965))+0-182.4--0.372095999999992</f>
        <v>1192.2628119999999</v>
      </c>
      <c r="AB54" s="3">
        <f>1500.7+(432.3-580)+(-0.765357+(-0.220473--0.2958))+0-182.5--0.0930749999999815</f>
        <v>1169.903045</v>
      </c>
      <c r="AC54" s="3">
        <f>1502.2+(491.2-666.3)+(0.766122+(0.250512-0.339813))+0-185.4-0.0945539999999812</f>
        <v>1142.282267</v>
      </c>
      <c r="AD54" s="2">
        <v>1177.7</v>
      </c>
      <c r="AE54" s="3">
        <f>1476+(426.1-544.6)+(0+(0-0))+0-169.8-0</f>
        <v>1187.7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1502.1+(522.6-719)+(-1.532142+(-0.533052--0.73338))+0-188.5--0.19227000000003</f>
        <v>1116.0604559999999</v>
      </c>
      <c r="G55" s="3">
        <f>1510+(451.9-691.4)+(-3.8505+(-1.152345--1.76307))+0-189.8--0.483989999999973</f>
        <v>1077.944215</v>
      </c>
      <c r="H55" s="3">
        <f>1515.4+(363.4-606.1)+(-2.318562+(-0.556002--0.927333))+0-189.7--0.290241000000011</f>
        <v>1081.3430099999998</v>
      </c>
      <c r="I55" s="3">
        <f>1530.7+(307.3-541.4)+(-1.561314+(-0.313446--0.552228))+0-191.9--0.195738000000031</f>
        <v>1103.5732060000003</v>
      </c>
      <c r="J55" s="3">
        <f>1534+(278.1-545.6)+(-1.56468+(-0.283662--0.556512))+0-187.2--0.19094400000003</f>
        <v>1078.199114</v>
      </c>
      <c r="K55" s="3">
        <f>1537.2+(214.5-508.1)+(-3.91986+(-0.546975--1.295655))+0-183.8--0.468689999999973</f>
        <v>1057.0975099999998</v>
      </c>
      <c r="L55" s="3">
        <f>1538.5+(156.6-544.3)+(-3.13854+(-0.319464--1.110372))+0-180.6--0.368423999999992</f>
        <v>968.22079200000019</v>
      </c>
      <c r="M55" s="3">
        <f>1520.7+(182.4-506.6)+(2.326671+(0.279072-0.775098))+0-198.3-0.303399000000011</f>
        <v>999.72724600000004</v>
      </c>
      <c r="N55" s="3">
        <f>1509.7+(202.4-449.3)+(1.539894+(0.206448-0.458286))+0-189.4-0.19318800000003</f>
        <v>1074.494868</v>
      </c>
      <c r="O55" s="3">
        <f>1490.9+(229.2-416.4)+(0+(0-0))+0-188.9-0</f>
        <v>1114.8</v>
      </c>
      <c r="P55" s="3">
        <f>1477.7+(268.8-394.5)+(0+(0-0))+0-186.1-0</f>
        <v>1165.9000000000001</v>
      </c>
      <c r="Q55" s="3">
        <f>1462.1+(361.9-418.4)+(0+(0-0))+0-184.6-0</f>
        <v>1221</v>
      </c>
      <c r="R55" s="3">
        <f>1453.2+(572.1-668.2)+(-0.741132+(-0.291771--0.340782))+0-185.3--0.0945029999999812</f>
        <v>1171.2023819999999</v>
      </c>
      <c r="S55" s="3">
        <f>1441.8+(745.8-828.5)+(-1.470636+(-0.760716--0.84507))+0-186.3--0.19002600000003</f>
        <v>1171.603744</v>
      </c>
      <c r="T55" s="3">
        <f>1437.9+(788.8-870.9)+(0+(0-0))+0-190-0</f>
        <v>1165.8000000000002</v>
      </c>
      <c r="U55" s="3">
        <f>1433.4+(671.6-772.5)+(-2.924136+(-1.370064--1.5759))+0-185.5--0.378419999999992</f>
        <v>1144.66012</v>
      </c>
      <c r="V55" s="3">
        <f>1433.1+(431.4-586.9)+(-3.654405+(-1.10007--1.496595))+0-188.4--0.480419999999973</f>
        <v>1086.4225399999996</v>
      </c>
      <c r="W55" s="3">
        <f>1434.7+(247.5-440.1)+(-5.121879+(-0.883575--1.571157))+0-188.2--0.671874000000003</f>
        <v>1050.137577</v>
      </c>
      <c r="X55" s="3">
        <f>1436.1+(317.3-564.9)+(-5.126877+(-1.132761--2.016693))+0-187.1--0.667947000000003</f>
        <v>997.82500200000004</v>
      </c>
      <c r="Y55" s="3">
        <f>1439.3+(327.4-565.1)+(-0.734043+(-0.166974--0.288201))+0-186.6--0.0951659999999811</f>
        <v>1014.4823499999998</v>
      </c>
      <c r="Z55" s="3">
        <f>1453.1+(340.5-473)+(0.741081+(0.173655-0.24123))+0-190.1-0.0969509999999807</f>
        <v>1131.0765550000001</v>
      </c>
      <c r="AA55" s="3">
        <f>1469.5+(419-557.3)+(-4.49667+(-1.28214--1.705338))+0-193.4--0.591804000000022</f>
        <v>1134.3183319999998</v>
      </c>
      <c r="AB55" s="3">
        <f>1483.9+(447.4-617.8)+(-3.783945+(-1.14087--1.57539))+0-197.1--0.502604999999971</f>
        <v>1113.5531799999999</v>
      </c>
      <c r="AC55" s="3">
        <f>1490+(415.9-625.4)+(-3.7995+(-1.060545--1.59477))+0-197--0.502349999999971</f>
        <v>1080.737075</v>
      </c>
      <c r="AD55" s="2">
        <v>1184.2</v>
      </c>
      <c r="AE55" s="3">
        <f>1451+(405.4-480.8)+(0+(0-0))+0-182.4-0</f>
        <v>1193.1999999999998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1491.3+(381.4-631.2)+(-1.521126+(-0.389028--0.643824))+0-194.6--0.198492000000031</f>
        <v>1045.8321620000002</v>
      </c>
      <c r="G56" s="3">
        <f>1493.2+(349.3-625.5)+(-0.761532+(-0.178143--0.319005))+0-193.6--0.0987359999999804</f>
        <v>1022.878066</v>
      </c>
      <c r="H56" s="3">
        <f>1494.4+(302.9-609)+(-3.048576+(-0.617916--1.24236))+0-192--0.391679999999992</f>
        <v>994.26754800000003</v>
      </c>
      <c r="I56" s="3">
        <f>1503.2+(263.3-594.7)+(-2.299896+(-0.402849--0.909891))+0-191.8--0.293454000000011</f>
        <v>978.50059999999996</v>
      </c>
      <c r="J56" s="3">
        <f>1505.3+(237.9-590.8)+(0+(0-0))+0-187.3-0</f>
        <v>965.10000000000014</v>
      </c>
      <c r="K56" s="3">
        <f>1507+(226.5-595.9)+(-3.07428+(-0.46206--1.215636))+0-184.9--0.377195999999992</f>
        <v>950.75649199999998</v>
      </c>
      <c r="L56" s="3">
        <f>1500.9+(295.9-654.1)+(-0.765459+(-0.150909--0.333591))+0-181.2--0.0924119999999816</f>
        <v>961.00963499999989</v>
      </c>
      <c r="M56" s="3">
        <f>1501.9+(379.7-698.5)+(-0.765969+(-0.193647--0.356235))+0-180.7--0.0921569999999817</f>
        <v>1001.8887760000001</v>
      </c>
      <c r="N56" s="3">
        <f>1493.8+(463-717)+(0.761838+(0.23613-0.36567))+0-171.6-0.0875159999999826</f>
        <v>1068.744782</v>
      </c>
      <c r="O56" s="3">
        <f>1485.6+(487.3-689.3)+(0.757656+(0.248523-0.351543))+0-165.1-0.0842009999999832</f>
        <v>1119.0704350000001</v>
      </c>
      <c r="P56" s="3">
        <f>1475.3+(476.3-606.5)+(-1.504806+(-0.485826--0.61863))+0-167.3--0.170646000000027</f>
        <v>1176.5986439999999</v>
      </c>
      <c r="Q56" s="3">
        <f>1460.1+(440.7-503.4)+(0+(0-0))+0-168.2-0</f>
        <v>1229.1999999999998</v>
      </c>
      <c r="R56" s="3">
        <f>1441.9+(415.6-420.3)+(0+(0-0))+0-166.8-0</f>
        <v>1270.4000000000001</v>
      </c>
      <c r="S56" s="3">
        <f>1444.6+(575.3-586.4)+(-2.210238+(-0.880209--0.897192))+0-168.4--0.25765200000001</f>
        <v>1263.164397</v>
      </c>
      <c r="T56" s="3">
        <f>1433.5+(588.9-605.5)+(-3.655425+(-1.501695--1.544025))+0-166.4--0.424319999999976</f>
        <v>1247.3112250000001</v>
      </c>
      <c r="U56" s="3">
        <f>1431.6+(459.9-507.5)+(-3.65058+(-1.172745--1.294125))+0-169.4--0.431969999999975</f>
        <v>1211.5027699999998</v>
      </c>
      <c r="V56" s="3">
        <f>1429.6+(361.7-393.5)+(-2.916384+(-0.737868--0.80274))+0-174.6--0.356183999999992</f>
        <v>1220.7046720000001</v>
      </c>
      <c r="W56" s="3">
        <f>1434.1+(287.4-352.3)+(-1.462782+(-0.293148--0.359346))+0-170.6--0.174012000000027</f>
        <v>1197.3774279999998</v>
      </c>
      <c r="X56" s="3">
        <f>1438.5+(297.7-436.7)+(-3.668175+(-0.759135--1.113585))+0-167.9--0.428144999999976</f>
        <v>1128.71442</v>
      </c>
      <c r="Y56" s="3">
        <f>1441.7+(292.8-453.8)+(0.735267+(0.149328-0.231438))+0-165.6-0.0844559999999832</f>
        <v>1115.6687010000001</v>
      </c>
      <c r="Z56" s="3">
        <f>1445.5+(354.4-420.5)+(0+(0-0))+0-169.2-0</f>
        <v>1210.2</v>
      </c>
      <c r="AA56" s="3">
        <f>1451.7+(446-499.2)+(-4.442202+(-1.36476--1.527552))+0-175.8--0.53794800000002</f>
        <v>1218.9585379999999</v>
      </c>
      <c r="AB56" s="3">
        <f>1458.7+(533.4-598.8)+(-2.231811+(-0.816102--0.916164))+0-184.8--0.282744000000011</f>
        <v>1206.6509950000004</v>
      </c>
      <c r="AC56" s="3">
        <f>1462.8+(528-606.4)+(-2.238084+(-0.80784--0.927792))+0-192.2--0.294066000000011</f>
        <v>1190.3759339999999</v>
      </c>
      <c r="AD56" s="2">
        <v>1217.8999999999999</v>
      </c>
      <c r="AE56" s="3">
        <f>1445+(449.3-496.6)+(0+(0-0))+0-170.8-0</f>
        <v>1226.9000000000001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1465.7+(519.1-654.4)+(-1.495014+(-0.529482--0.667488))+0-189.5--0.19329000000003</f>
        <v>1139.7362820000001</v>
      </c>
      <c r="G57" s="3">
        <f>1472.5+(443.7-615.4)+(-2.252925+(-0.678861--0.941562))+0-186.9--0.285957000000011</f>
        <v>1112.195733</v>
      </c>
      <c r="H57" s="3">
        <f>1441.6+(402.1-571.8)+(-0.735216+(-0.205071--0.291618))+0-188.8--0.0962879999999808</f>
        <v>1082.5476190000002</v>
      </c>
      <c r="I57" s="3">
        <f>1422.8+(365.4-532.1)+(0.725628+(0.186354-0.271371))+0-190.7-0.0972569999999807</f>
        <v>1065.943354</v>
      </c>
      <c r="J57" s="3">
        <f>1431.6+(329.2-516.2)+(0+(0-0))+0-194-0</f>
        <v>1050.5999999999999</v>
      </c>
      <c r="K57" s="3">
        <f>1438.1+(247.9-458.3)+(-2.200293+(-0.379287--0.701199))+0-190.8--0.291924000000011</f>
        <v>1035.313543</v>
      </c>
      <c r="L57" s="3">
        <f>1440.6+(202.2-452.8)+(0+(0-0))+0-188.5-0</f>
        <v>1001.5</v>
      </c>
      <c r="M57" s="3">
        <f>1430.2+(227.6-443.7)+(0+(0-0))+0-195.3-0</f>
        <v>1018.8000000000002</v>
      </c>
      <c r="N57" s="3">
        <f>1417.4+(238.5-392.6)+(-1.445748+(-0.24327--0.400452))+0-196.8--0.200736000000031</f>
        <v>1065.4121700000003</v>
      </c>
      <c r="O57" s="3">
        <f>1415.2+(272.8-368.8)+(-0.721752+(-0.139128--0.188088))+0-197--0.10046999999998</f>
        <v>1121.6276780000001</v>
      </c>
      <c r="P57" s="3">
        <f>1427.5+(340.7-394)+(3.640125+(0.868785-1.0047))+0-195.5-0.498524999999972</f>
        <v>1181.7056850000001</v>
      </c>
      <c r="Q57" s="3">
        <f>1416.9+(468.7-441.1)+(0.722619+(0.239037-0.224961))+0-194.6-0.0992459999999803</f>
        <v>1250.5374490000002</v>
      </c>
      <c r="R57" s="3">
        <f>1392.1+(605.1-536.2)+(1.419942+(0.617202-0.546924))+0-192.9-0.196758000000031</f>
        <v>1269.3934619999998</v>
      </c>
      <c r="S57" s="3">
        <f>1427.1+(820.2-780.4)+(0+(0-0))+0-197.6-0</f>
        <v>1269.3000000000002</v>
      </c>
      <c r="T57" s="3">
        <f>1416.9+(815.9-757.8)+(1.445238+(0.832218-0.772956))+0-197.7-0.201654000000032</f>
        <v>1278.602846</v>
      </c>
      <c r="U57" s="3">
        <f>1394+(725-689.7)+(0+(0-0))+0-197.1-0</f>
        <v>1232.2</v>
      </c>
      <c r="V57" s="3">
        <f>1415.7+(547.8-533.3)+(-3.610035+(-1.39689--1.359915))+0-199.8--0.509489999999971</f>
        <v>1227.2624800000001</v>
      </c>
      <c r="W57" s="3">
        <f>1418.1+(342.1-367.8)+(-2.169693+(-0.523413--0.562734))+0-198.9--0.304317000000011</f>
        <v>1191.6739449999998</v>
      </c>
      <c r="X57" s="3">
        <f>1426.3+(328.7-415.1)+(-5.091891+(-1.173459--1.481907))+0-200.8--0.716856000000003</f>
        <v>1135.0334129999999</v>
      </c>
      <c r="Y57" s="3">
        <f>1428.4+(331.4-418.8)+(-0.728484+(-0.169014--0.213588))+0-198.4--0.10118399999998</f>
        <v>1142.0172739999998</v>
      </c>
      <c r="Z57" s="3">
        <f>1443+(502.2-484.4)+(-1.47186+(-0.512244--0.494088))+0-198.8--0.202776000000032</f>
        <v>1260.7127600000001</v>
      </c>
      <c r="AA57" s="3">
        <f>1460.1+(595.4-582.8)+(-2.978604+(-1.214616--1.188912))+0-200.2--0.408407999999991</f>
        <v>1269.9040999999997</v>
      </c>
      <c r="AB57" s="3">
        <f>1459.9+(637.9-647.1)+(-4.467294+(-1.951974--1.980126))+0-195.8--0.599148000000023</f>
        <v>1251.0600060000002</v>
      </c>
      <c r="AC57" s="3">
        <f>1464.5+(613.7-660.9)+(-2.98758+(-1.251948--1.348236))+0-191.5--0.390659999999992</f>
        <v>1223.2993680000002</v>
      </c>
      <c r="AD57" s="2">
        <v>1259.8999999999999</v>
      </c>
      <c r="AE57" s="3">
        <f>1449+(603.1-583.5)+(0+(0-0))+0-199.7-0</f>
        <v>1268.8999999999999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1472.4+(578.1-633.8)+(-0.750924+(-0.294831--0.323238))+0-191.6--0.0977159999999806</f>
        <v>1224.4751990000004</v>
      </c>
      <c r="G58" s="3">
        <f>1482.6+(536.7-634)+(-3.78063+(-1.368585--1.6167))+0-193--0.492149999999972</f>
        <v>1189.2596349999999</v>
      </c>
      <c r="H58" s="3">
        <f>1489.4+(451-582.7)+(-3.038376+(-0.92004--1.188708))+0-190--0.387599999999992</f>
        <v>1165.317892</v>
      </c>
      <c r="I58" s="3">
        <f>1489.3+(408.1-573.1)+(-2.278629+(-0.624393--0.876843))+0-189.5--0.289935000000011</f>
        <v>1133.063756</v>
      </c>
      <c r="J58" s="3">
        <f>1498.2+(331.2-518)+(-3.82041+(-0.84456--1.3209))+0-188.8--0.481439999999973</f>
        <v>1119.7373700000001</v>
      </c>
      <c r="K58" s="3">
        <f>1513.7+(238.9-462.5)+(-3.859935+(-0.609195--1.179375))+0-188.5--0.480674999999973</f>
        <v>1098.7909200000001</v>
      </c>
      <c r="L58" s="3">
        <f>1523+(218.9-498.9)+(0.77673+(0.111639-0.254439))+0-185.8-0.0947579999999812</f>
        <v>1057.7391720000001</v>
      </c>
      <c r="M58" s="3">
        <f>1516.3+(233.4-472.9)+(2.319939+(0.357102-0.723537))+0-188.7-0.288711000000011</f>
        <v>1089.7647930000001</v>
      </c>
      <c r="N58" s="3">
        <f>1491.3+(252-415.6)+(1.521126+(0.25704-0.423912))+0-190.2-0.19400400000003</f>
        <v>1138.6602499999999</v>
      </c>
      <c r="O58" s="3">
        <f>1481.6+(307.7-392)+(-2.266848+(-0.470781--0.59976))+0-188.6--0.288558000000011</f>
        <v>1206.8506890000001</v>
      </c>
      <c r="P58" s="3">
        <f>1470.2+(357.6-381.3)+(-2.249406+(-0.547128--0.583389))+0-187.7--0.287181000000011</f>
        <v>1256.8740359999999</v>
      </c>
      <c r="Q58" s="3">
        <f>1461.2+(455.1-407.4)+(-2.235636+(-0.696303--0.623322))+0-193.6--0.296208000000011</f>
        <v>1313.2875910000002</v>
      </c>
      <c r="R58" s="3">
        <f>1457.3+(653.2-562.2)+(0+(0-0))+0-197.1-0</f>
        <v>1351.2</v>
      </c>
      <c r="S58" s="3">
        <f>1450.3+(829.5-719)+(1.479306+(0.84609-0.73338))+0-196.8-0.200736000000031</f>
        <v>1365.3912800000001</v>
      </c>
      <c r="T58" s="3">
        <f>1442+(819.6-703.4)+(-2.20626+(-1.253988--1.076202))+0-197.6--0.302328000000011</f>
        <v>1358.5182820000002</v>
      </c>
      <c r="U58" s="3">
        <f>1433.3+(745.7-637.6)+(1.461966+(0.760614-0.650352))+0-194.3-0.198186000000031</f>
        <v>1348.4740420000001</v>
      </c>
      <c r="V58" s="3">
        <f>1366.3+(712.7-555.6)+(-0.696813+(-0.363477--0.283356))+0-197.5--0.10072499999998</f>
        <v>1325.2237910000001</v>
      </c>
      <c r="W58" s="3">
        <f>1259.5+(491.4-298.7)+(-3.211725+(-1.25307--0.761685))+0-196.6--0.501329999999971</f>
        <v>1252.3982200000003</v>
      </c>
      <c r="X58" s="3">
        <f>1267.7+(291.7-204.9)+(-3.232635+(-0.743835--0.522495))+0-191.5--0.488324999999972</f>
        <v>1160.0343500000001</v>
      </c>
      <c r="Y58" s="3">
        <f>1274.4+(314.3-232.5)+(-1.299888+(-0.320586--0.23715))+0-192.4--0.196248000000031</f>
        <v>1162.612924</v>
      </c>
      <c r="Z58" s="3">
        <f>1281.3+(658.8-372.6)+(0+(0-0))+0-196.9-0</f>
        <v>1370.6</v>
      </c>
      <c r="AA58" s="3">
        <f>1293.4+(728.4-435)+(-3.29817+(-1.85742--1.10925))+0-201.1--0.512804999999971</f>
        <v>1382.1664650000002</v>
      </c>
      <c r="AB58" s="3">
        <f>1302.2+(820.9-564.9)+(-3.32061+(-2.093295--1.440495))+0-201.2--0.513059999999971</f>
        <v>1353.5396499999999</v>
      </c>
      <c r="AC58" s="3">
        <f>1283.4+(819.6-599.9)+(-0.654534+(-0.417996--0.305949))+0-199.8--0.10189799999998</f>
        <v>1302.635317</v>
      </c>
      <c r="AD58" s="2">
        <v>1324</v>
      </c>
      <c r="AE58" s="3">
        <f>1274+(649.4-396.4)+(0+(0-0))+0-193-0</f>
        <v>1334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1281.2+(727-609)+(-4.573884+(-2.59539--2.17413))+0-200--0.714000000000003</f>
        <v>1194.918856</v>
      </c>
      <c r="G59" s="3">
        <f>1318.2+(628.2-594.4)+(-0.672282+(-0.320382--0.303144))+0-197.4--0.10067399999998</f>
        <v>1154.011154</v>
      </c>
      <c r="H59" s="3">
        <f>1333.2+(550.4-563.4)+(0+(0-0))+0-198.1-0</f>
        <v>1122.1000000000001</v>
      </c>
      <c r="I59" s="3">
        <f>1326.5+(504.2-526.7)+(-2.029545+(-0.771426--0.805851))+0-199.9--0.305847000000012</f>
        <v>1102.410727</v>
      </c>
      <c r="J59" s="3">
        <f>1332.6+(438.4-495.1)+(-3.39813+(-1.11792--1.262505))+0-197.2--0.502859999999971</f>
        <v>1075.9493149999998</v>
      </c>
      <c r="K59" s="3">
        <f>1339+(317.5-410.8)+(-2.73156+(-0.6477--0.838032))+0-195.4--0.398615999999991</f>
        <v>1048.1573879999999</v>
      </c>
      <c r="L59" s="3">
        <f>1344.2+(237-325.9)+(-2.056626+(-0.36261--0.498627))+0-195--0.298350000000011</f>
        <v>1058.6777410000002</v>
      </c>
      <c r="M59" s="3">
        <f>1336.9+(271.1-338.6)+(0+(0-0))+0-196.5-0</f>
        <v>1072.9000000000001</v>
      </c>
      <c r="N59" s="3">
        <f>1331.9+(327.4-315.6)+(0.679269+(0.166974-0.160956))+0-197.2-0.10057199999998</f>
        <v>1147.084715</v>
      </c>
      <c r="O59" s="3">
        <f>1311.5+(378.1-289.6)+(-0.668865+(-0.192831--0.147696))+0-199.3--0.10164299999998</f>
        <v>1200.0876430000001</v>
      </c>
      <c r="P59" s="3">
        <f>1297.8+(423.1-295.6)+(0+(0-0))+0-199.9-0</f>
        <v>1225.3999999999999</v>
      </c>
      <c r="Q59" s="3">
        <f>1283+(558.4-339.3)+(-0.65433+(-0.284784--0.173043))+0-195.9--0.0999089999999801</f>
        <v>1305.5338379999998</v>
      </c>
      <c r="R59" s="3">
        <f>1274.7+(755.8-503.2)+(1.300194+(0.770916-0.513264))+0-194-0.197880000000031</f>
        <v>1334.6599659999999</v>
      </c>
      <c r="S59" s="3">
        <f>1261.8+(926.8-671)+(-1.930554+(-1.418004--1.02663))+0-194.4--0.297432000000011</f>
        <v>1321.1755039999998</v>
      </c>
      <c r="T59" s="3">
        <f>1261+(944.8-688.6)+(0.64311+(0.481848-0.351186))+0-193.2-0.0985319999999804</f>
        <v>1324.6752399999998</v>
      </c>
      <c r="U59" s="3">
        <f>1283.6+(863.7-646.3)+(-3.927816+(-2.642922--1.977678))+0-189.8--0.580788000000022</f>
        <v>1307.1877280000001</v>
      </c>
      <c r="V59" s="3">
        <f>1293.4+(714-533.1)+(-2.638536+(-1.45656--1.087524))+0-189.7--0.386987999999992</f>
        <v>1281.9794160000001</v>
      </c>
      <c r="W59" s="3">
        <f>1355.9+(380.4-334)+(-3.457545+(-0.97002--0.8517))+0-190.6--0.486029999999972</f>
        <v>1208.6101650000003</v>
      </c>
      <c r="X59" s="3">
        <f>1422.1+(253.5-350.8)+(-4.351626+(-0.77571--1.073448))+0-194.7--0.595782000000022</f>
        <v>1126.6418940000001</v>
      </c>
      <c r="Y59" s="3">
        <f>1431+(258.3-373.7)+(1.45962+(0.263466-0.381174))+0-192.9-0.196758000000031</f>
        <v>1123.8451539999999</v>
      </c>
      <c r="Z59" s="3">
        <f>1440.7+(420.7-429.9)+(-0.734757+(-0.214557--0.219249))+0-190.6--0.0972059999999807</f>
        <v>1240.267141</v>
      </c>
      <c r="AA59" s="3">
        <f>1457.7+(490.5-480.4)+(-3.717135+(-1.250775--1.22502))+0-200.8--0.512039999999971</f>
        <v>1263.7691500000003</v>
      </c>
      <c r="AB59" s="3">
        <f>1457+(429.9-440.3)+(-2.22921+(-0.657747--0.673659))+0-201.8--0.308754000000012</f>
        <v>1242.895456</v>
      </c>
      <c r="AC59" s="3">
        <f>1458.1+(433.8-481.4)+(-1.487262+(-0.442476--0.491028))+0-198.1--0.202062000000032</f>
        <v>1211.1633520000003</v>
      </c>
      <c r="AD59" s="2">
        <v>1182.8</v>
      </c>
      <c r="AE59" s="3">
        <f>1438+(480.7-530.6)+(0+(0-0))+0-196.3-0</f>
        <v>1191.8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1470.5+(459-555.1)+(-1.49991+(-0.46818--0.566202))+0-198.9--0.202878000000032</f>
        <v>1174.30099</v>
      </c>
      <c r="G60" s="3">
        <f>1483.8+(366.3-503.8)+(1.513476+(0.373626-0.513876))+0-198.5-0.202470000000032</f>
        <v>1148.9707559999999</v>
      </c>
      <c r="H60" s="3">
        <f>1490.9+(305-487.6)+(-0.760359+(-0.15555--0.248676))+0-197.4--0.10067399999998</f>
        <v>1110.3334410000002</v>
      </c>
      <c r="I60" s="3">
        <f>1493.4+(270.3-477.3)+(0+(0-0))+0-196.5-0</f>
        <v>1089.9000000000001</v>
      </c>
      <c r="J60" s="3">
        <f>1498.9+(234.5-468.3)+(0+(0-0))+0-191.4-0</f>
        <v>1073.7</v>
      </c>
      <c r="K60" s="3">
        <f>1511.5+(172-453.6)+(-2.312595+(-0.26316--0.694008))+0-192.7--0.294831000000011</f>
        <v>1035.6130840000001</v>
      </c>
      <c r="L60" s="3">
        <f>1501.3+(175.6-504.5)+(-2.296989+(-0.268668--0.771885))+0-177.2--0.27111600000001</f>
        <v>993.67734400000006</v>
      </c>
      <c r="M60" s="3">
        <f>1487.6+(177.4-481.8)+(-2.276028+(-0.271422--0.737154))+0-174.5--0.26698500000001</f>
        <v>1007.1566889999997</v>
      </c>
      <c r="N60" s="3">
        <f>1468.9+(201.4-452.2)+(0+(0-0))+0-175.3-0</f>
        <v>1042.8000000000002</v>
      </c>
      <c r="O60" s="3">
        <f>1462.9+(223.4-413.7)+(-0.746079+(-0.113934--0.210987))+0-176.9--0.0902189999999821</f>
        <v>1095.1411929999999</v>
      </c>
      <c r="P60" s="3">
        <f>1447.2+(256.2-363.9)+(1.476144+(0.261324-0.371178))+0-180.5-0.184110000000029</f>
        <v>1160.18218</v>
      </c>
      <c r="Q60" s="3">
        <f>1430.5+(344.3-386.3)+(2.188665+(0.526779-0.591039))+0-181.1-0.27708300000001</f>
        <v>1209.2473220000002</v>
      </c>
      <c r="R60" s="3">
        <f>1422.9+(546.9-585.7)+(0+(0-0))+0-184.3-0</f>
        <v>1199.8</v>
      </c>
      <c r="S60" s="3">
        <f>1422+(702.1-721.6)+(-0.72522+(-0.358071--0.368016))+0-189--0.0963899999999808</f>
        <v>1212.8811149999999</v>
      </c>
      <c r="T60" s="3">
        <f>1421.4+(761.9-775.8)+(-1.449828+(-0.777138--0.791316))+0-194--0.197880000000031</f>
        <v>1212.26223</v>
      </c>
      <c r="U60" s="3">
        <f>1422.9+(704.5-727.6)+(-1.451358+(-0.71859--0.742152))+0-193.4--0.197268000000031</f>
        <v>1205.1694720000003</v>
      </c>
      <c r="V60" s="3">
        <f>1428.8+(548.2-588.7)+(-2.914752+(-1.118328--1.200948))+0-197.4--0.402695999999991</f>
        <v>1188.4705639999997</v>
      </c>
      <c r="W60" s="3">
        <f>1433.4+(336.5-418.8)+(-2.924136+(-0.68646--0.854352))+0-201.4--0.410855999999991</f>
        <v>1147.3546120000001</v>
      </c>
      <c r="X60" s="3">
        <f>1432.8+(232.3-392.3)+(-2.192184+(-0.355419--0.600219))+0-202--0.309060000000012</f>
        <v>1069.1616759999999</v>
      </c>
      <c r="Y60" s="3">
        <f>1437.6+(241.1-395.7)+(-0.733176+(-0.122961--0.201807))+0-199.5--0.10174499999998</f>
        <v>1082.9474149999999</v>
      </c>
      <c r="Z60" s="3">
        <f>1444.2+(428.5-492.1)+(0+(0-0))+0-199.6-0</f>
        <v>1181</v>
      </c>
      <c r="AA60" s="3">
        <f>1453+(491.2-507.1)+(-2.22309+(-0.751536--0.775863))+0-200.8--0.307224000000012</f>
        <v>1234.4084609999998</v>
      </c>
      <c r="AB60" s="3">
        <f>1459.8+(537.5-610.9)+(-2.977992+(-1.0965--1.246236))+0-199.7--0.407387999999991</f>
        <v>1184.2791320000001</v>
      </c>
      <c r="AC60" s="3">
        <f>1461.7+(581.8-680.8)+(-2.981868+(-1.186872--1.388832))+0-199.9--0.407795999999991</f>
        <v>1160.4278879999999</v>
      </c>
      <c r="AD60" s="2">
        <v>1206.5000000000002</v>
      </c>
      <c r="AE60" s="3">
        <f>1447+(482.9-515.3)+(0+(0-0))+0-198.1-0</f>
        <v>1216.5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1468.6+(556.6-659.9)+(-0.748986+(-0.283866--0.336549))+0-197--0.10046999999998</f>
        <v>1167.7041670000001</v>
      </c>
      <c r="G61" s="3">
        <f>1484+(468.2-623.3)+(-3.7842+(-1.19391--1.589415))+0-196.8--0.501839999999971</f>
        <v>1129.2131449999999</v>
      </c>
      <c r="H61" s="3">
        <f>1487.9+(396.7-582.3)+(-3.035316+(-0.809268--1.187892))+0-199.9--0.407795999999991</f>
        <v>1100.151104</v>
      </c>
      <c r="I61" s="3">
        <f>1480.8+(351.8-555)+(-3.020832+(-0.717672--1.1322))+0-196--0.399839999999991</f>
        <v>1079.393536</v>
      </c>
      <c r="J61" s="3">
        <f>1497.6+(310.5-525.9)+(0.763776+(0.158355-0.268209))+0-190.9-0.0973589999999806</f>
        <v>1091.8565629999998</v>
      </c>
      <c r="K61" s="3">
        <f>1502.1+(294.9-573.2)+(-3.064284+(-0.601596--1.169328))+0-189.7--0.386987999999992</f>
        <v>1031.9904359999996</v>
      </c>
      <c r="L61" s="3">
        <f>1505.5+(228.7-556.6)+(-0.767805+(-0.116637--0.283866))+0-179--0.0912899999999818</f>
        <v>998.09071399999982</v>
      </c>
      <c r="M61" s="3">
        <f>1481.5+(220.5-469.8)+(1.51113+(0.22491-0.479196))+0-182.7-0.186354000000029</f>
        <v>1050.5704900000001</v>
      </c>
      <c r="N61" s="3">
        <f>1467+(238.7-419.5)+(0+(0-0))+0-189.5-0</f>
        <v>1096.7</v>
      </c>
      <c r="O61" s="3">
        <f>1447.1+(274.3-380.5)+(1.476042+(0.279786-0.38811))+0-195.6-0.199512000000031</f>
        <v>1146.4682059999998</v>
      </c>
      <c r="P61" s="3">
        <f>1448.5+(323.2-365.7)+(0+(0-0))+0-190.6-0</f>
        <v>1215.4000000000001</v>
      </c>
      <c r="Q61" s="3">
        <f>1438.3+(440.4-407.8)+(0+(0-0))+0-192.1-0</f>
        <v>1278.8</v>
      </c>
      <c r="R61" s="3">
        <f>1438.4+(623.5-550.3)+(-0.733584+(-0.317985--0.280653))+0-189.3--0.0965429999999808</f>
        <v>1321.6256270000001</v>
      </c>
      <c r="S61" s="3">
        <f>1432.7+(716.1-662.9)+(-2.922708+(-1.460844--1.352316))+0-192.7--0.393107999999992</f>
        <v>1290.561872</v>
      </c>
      <c r="T61" s="3">
        <f>1413.7+(794.6-705.5)+(0+(0-0))+0-192.9-0</f>
        <v>1309.9000000000001</v>
      </c>
      <c r="U61" s="3">
        <f>1421.7+(732.5-671.7)+(-2.900268+(-1.4943--1.370268))+0-191.6--0.390863999999992</f>
        <v>1288.266564</v>
      </c>
      <c r="V61" s="3">
        <f>1417.9+(569.7-558.5)+(-3.615645+(-1.452735--1.424175))+0-192.3--0.490364999999972</f>
        <v>1233.64616</v>
      </c>
      <c r="W61" s="3">
        <f>1423.5+(330.3-371.7)+(-2.177955+(-0.505359--0.568701))+0-198.5--0.303705000000011</f>
        <v>1181.789092</v>
      </c>
      <c r="X61" s="3">
        <f>1433.6+(207.1-315.6)+(-5.117952+(-0.739347--1.126692))+0-200.4--0.715428000000003</f>
        <v>1120.6848209999998</v>
      </c>
      <c r="Y61" s="3">
        <f>1433+(252.6-356)+(-3.65415+(-0.64413--0.9078))+0-200.7--0.511784999999971</f>
        <v>1126.0213049999998</v>
      </c>
      <c r="Z61" s="3">
        <f>1441.7+(392.8-388.2)+(-0.735267+(-0.200328--0.197982))+0-199.6--0.10179599999998</f>
        <v>1246.0641830000002</v>
      </c>
      <c r="AA61" s="3">
        <f>1457.6+(477.8-473.6)+(-3.71688+(-1.21839--1.20768))+0-196.7--0.501584999999971</f>
        <v>1261.8739949999999</v>
      </c>
      <c r="AB61" s="3">
        <f>1470.1+(566.5-591.4)+(-2.999004+(-1.15566--1.206456))+0-196.2--0.400247999999991</f>
        <v>1246.4520399999997</v>
      </c>
      <c r="AC61" s="3">
        <f>1489.8+(577-661.6)+(-3.039192+(-1.17708--1.349664))+0-195.4--0.398615999999991</f>
        <v>1207.3320079999996</v>
      </c>
      <c r="AD61" s="2">
        <v>1208.5999999999999</v>
      </c>
      <c r="AE61" s="3">
        <f>1442+(463.7-490.2)+(0+(0-0))+0-196.9-0</f>
        <v>1218.5999999999999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1485.3+(514.6-668.3)+(-3.787515+(-1.31223--1.704165))+0-195.7--0.499034999999972</f>
        <v>1133.0034549999998</v>
      </c>
      <c r="G62" s="3">
        <f>1484.2+(493.6-681.4)+(-3.78471+(-1.25868--1.73757))+0-197.7--0.504134999999971</f>
        <v>1095.8983149999999</v>
      </c>
      <c r="H62" s="3">
        <f>1487.9+(419.7-618.6)+(-2.276487+(-0.642141--0.946458))+0-198.3--0.303399000000011</f>
        <v>1089.0312289999999</v>
      </c>
      <c r="I62" s="3">
        <f>1485.7+(334.6-552.2)+(-0.757707+(-0.170646--0.281622))+0-197.8--0.10087799999998</f>
        <v>1069.7541469999999</v>
      </c>
      <c r="J62" s="3">
        <f>1484.7+(267.8-493.2)+(-2.271591+(-0.409734--0.754596))+0-197.1--0.301563000000011</f>
        <v>1060.5748340000002</v>
      </c>
      <c r="K62" s="3">
        <f>1490.2+(197-461.1)+(-3.80001+(-0.50235--1.175805))+0-187.7--0.478634999999973</f>
        <v>1035.7520799999998</v>
      </c>
      <c r="L62" s="3">
        <f>1522.6+(176.8-486.2)+(-0.776526+(-0.090168--0.247962))+0-186.5--0.0951149999999811</f>
        <v>1026.176383</v>
      </c>
      <c r="M62" s="3">
        <f>1513.9+(191-451.5)+(-1.544178+(-0.19482--0.46053))+0-192--0.195840000000031</f>
        <v>1060.3173720000002</v>
      </c>
      <c r="N62" s="3">
        <f>1466.6+(217.1-373.3)+(0.747966+(0.110721-0.190383))+0-194.1-0.0989909999999803</f>
        <v>1116.8693129999999</v>
      </c>
      <c r="O62" s="3">
        <f>1457.9+(244.8-332)+(-1.487058+(-0.249696--0.33864))+0-197.3--0.201246000000031</f>
        <v>1172.2031320000001</v>
      </c>
      <c r="P62" s="3">
        <f>1458.2+(287.3-306.6)+(2.231046+(0.439569-0.469098))+0-193.8-0.296514000000011</f>
        <v>1247.005003</v>
      </c>
      <c r="Q62" s="3">
        <f>1440.7+(393.2-339.6)+(2.204271+(0.601596-0.519588))+0-191.5-0.292995000000011</f>
        <v>1304.7932839999999</v>
      </c>
      <c r="R62" s="3">
        <f>1449.8+(596.3-532.3)+(0+(0-0))+0-191.1-0</f>
        <v>1322.7</v>
      </c>
      <c r="S62" s="3">
        <f>1438.9+(692.3-621.2)+(0+(0-0))+0-192.5-0</f>
        <v>1317.5</v>
      </c>
      <c r="T62" s="3">
        <f>1430.8+(695-638.7)+(-2.189124+(-1.06335--0.977211))+0-192.6--0.294678000000011</f>
        <v>1292.519415</v>
      </c>
      <c r="U62" s="3">
        <f>1426.4+(629.2-604.2)+(-2.909856+(-1.283568--1.232568))+0-190.4--0.388415999999992</f>
        <v>1258.4275600000001</v>
      </c>
      <c r="V62" s="3">
        <f>1428.6+(442.4-459.2)+(-3.64293+(-1.12812--1.17096))+0-192.2--0.490109999999972</f>
        <v>1216.49002</v>
      </c>
      <c r="W62" s="3">
        <f>1434.1+(252.2-334.2)+(-0.731391+(-0.128622--0.170442))+0-189.3--0.0965429999999808</f>
        <v>1162.206972</v>
      </c>
      <c r="X62" s="3">
        <f>1452.7+(337.4-480.2)+(-2.963508+(-0.688296--0.979608))+0-192.9--0.393515999999992</f>
        <v>1114.7213200000001</v>
      </c>
      <c r="Y62" s="3">
        <f>1455.7+(349.8-509.5)+(-0.742407+(-0.178398--0.259845))+0-196.9--0.10041899999998</f>
        <v>1098.5394589999999</v>
      </c>
      <c r="Z62" s="3">
        <f>1463.8+(333.6-364)+(0.746538+(0.170136-0.18564))+0-200.1-0.10205099999998</f>
        <v>1233.928983</v>
      </c>
      <c r="AA62" s="3">
        <f>1476.2+(378-411.1)+(-3.011448+(-0.77112--0.838644))+0-202.4--0.412895999999991</f>
        <v>1238.1689719999999</v>
      </c>
      <c r="AB62" s="3">
        <f>1483.4+(427.5-472.5)+(-2.269602+(-0.654075--0.722925))+0-198.5--0.303705000000011</f>
        <v>1238.0029530000002</v>
      </c>
      <c r="AC62" s="3">
        <f>1484.1+(427.9-515.3)+(-3.027564+(-0.872916--1.051212))+0-195.1--0.398003999999991</f>
        <v>1199.1487359999999</v>
      </c>
      <c r="AD62" s="2">
        <v>1258.8</v>
      </c>
      <c r="AE62" s="3">
        <f>1474+(403.2-403.5)+(0+(0-0))+0-205.9-0</f>
        <v>1267.8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1489.6+(406.5-494.9)+(-1.519392+(-0.41463--0.504798))+0-196.3--0.200226000000031</f>
        <v>1203.6710019999998</v>
      </c>
      <c r="G63" s="3">
        <f>1501.5+(372.9-517.4)+(-3.828825+(-0.950895--1.31937))+0-196.6--0.501329999999971</f>
        <v>1157.4409800000001</v>
      </c>
      <c r="H63" s="3">
        <f>1499.8+(353.7-531.7)+(-1.529796+(-0.360774--0.542334))+0-197.3--0.201246000000031</f>
        <v>1123.35301</v>
      </c>
      <c r="I63" s="3">
        <f>1516.9+(330.4-545.8)+(-2.320857+(-0.505512--0.835074))+0-196.1--0.300033000000011</f>
        <v>1103.708738</v>
      </c>
      <c r="J63" s="3">
        <f>1514+(290.9-516)+(0+(0-0))+0-195.9-0</f>
        <v>1093</v>
      </c>
      <c r="K63" s="3">
        <f>1508.5+(236.4-490.2)+(-2.308005+(-0.361692--0.750006))+0-197--0.301410000000011</f>
        <v>1056.081719</v>
      </c>
      <c r="L63" s="3">
        <f>1510.2+(231-533.8)+(-1.540404+(-0.23562--0.544476))+0-193.4--0.197268000000031</f>
        <v>1012.9657200000001</v>
      </c>
      <c r="M63" s="3">
        <f>1506.7+(302.1-554.6)+(-2.305251+(-0.462213--0.848538))+0-197.3--0.301869000000011</f>
        <v>1055.2829430000002</v>
      </c>
      <c r="N63" s="3">
        <f>1346.8+(351.8-394.7)+(-0.686868+(-0.179418--0.201297))+0-188.3--0.0960329999999809</f>
        <v>1115.0310440000001</v>
      </c>
      <c r="O63" s="3">
        <f>1385.6+(338.3-359.3)+(0+(0-0))+0-186.3-0</f>
        <v>1178.3</v>
      </c>
      <c r="P63" s="3">
        <f>1394.1+(341-293.2)+(0+(0-0))+0-186.8-0</f>
        <v>1255.0999999999999</v>
      </c>
      <c r="Q63" s="3">
        <f>1395.6+(379.3-259)+(0.711756+(0.193443-0.13209))+0-186.4-0.0950639999999811</f>
        <v>1330.1780449999997</v>
      </c>
      <c r="R63" s="3">
        <f>1382.8+(588.5-437)+(-0.705228+(-0.300135--0.22287))+0-181.5--0.0925649999999816</f>
        <v>1352.1100719999999</v>
      </c>
      <c r="S63" s="3">
        <f>1394.4+(736.6-606.9)+(-1.422288+(-0.751332--0.619038))+0-180--0.183600000000029</f>
        <v>1342.7290180000002</v>
      </c>
      <c r="T63" s="3">
        <f>1403.2+(791.4-663.4)+(-0.715632+(-0.403614--0.338334))+0-184.8--0.0942479999999813</f>
        <v>1345.713336</v>
      </c>
      <c r="U63" s="3">
        <f>1412.9+(670-594.9)+(-1.441158+(-0.6834--0.606798))+0-183.8--0.187476000000029</f>
        <v>1302.8697160000002</v>
      </c>
      <c r="V63" s="3">
        <f>1409.8+(507.3-444.5)+(-4.313988+(-1.552338--1.36017))+0-183.9--0.562734000000021</f>
        <v>1284.756578</v>
      </c>
      <c r="W63" s="3">
        <f>1409.9+(327-308.5)+(-2.157147+(-0.50031--0.472005))+0-190.9--0.292077000000011</f>
        <v>1235.6066250000001</v>
      </c>
      <c r="X63" s="3">
        <f>1392.3+(346.5-389)+(-4.970511+(-1.237005--1.38873))+0-194.2--0.693294000000003</f>
        <v>1151.4745079999998</v>
      </c>
      <c r="Y63" s="3">
        <f>1401.3+(400.4-458.1)+(-3.573315+(-1.02102--1.168155))+0-196.2--0.500309999999972</f>
        <v>1144.4741299999998</v>
      </c>
      <c r="Z63" s="3">
        <f>1436.8+(386.5-339.3)+(0.732768+(0.197115-0.173043))+0-198-0.10097999999998</f>
        <v>1286.6558600000001</v>
      </c>
      <c r="AA63" s="3">
        <f>1448.7+(460.4-409.5)+(-2.216511+(-0.704412--0.626535))+0-197.6--0.302328000000011</f>
        <v>1300.00794</v>
      </c>
      <c r="AB63" s="3">
        <f>1455.5+(501-485.2)+(-2.96922+(-1.02204--0.989808))+0-194.2--0.396167999999991</f>
        <v>1274.4947159999999</v>
      </c>
      <c r="AC63" s="3">
        <f>1458.8+(564.5-605.1)+(-1.487976+(-0.57579--0.617202))+0-193--0.196860000000031</f>
        <v>1223.9502959999998</v>
      </c>
      <c r="AD63" s="2">
        <v>1216.9000000000001</v>
      </c>
      <c r="AE63" s="3">
        <f>1441+(467.7-486.9)+(0+(0-0))+0-195.9-0</f>
        <v>1225.8999999999999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1464.5+(601.1-719.8)+(-2.240685+(-0.919683--1.101294))+0-192.4--0.294372000000011</f>
        <v>1151.6352980000001</v>
      </c>
      <c r="G64" s="3">
        <f>1477.4+(539.9-706)+(-3.013896+(-1.101396--1.44024))+0-195.7--0.399227999999991</f>
        <v>1113.3241760000001</v>
      </c>
      <c r="H64" s="3">
        <f>1482.4+(481.3-685.6)+(-3.78012+(-1.227315--1.74828))+0-189.4--0.482969999999973</f>
        <v>1085.9238150000001</v>
      </c>
      <c r="I64" s="3">
        <f>1482.9+(455.6-674.6)+(-2.268837+(-0.697068--1.032138))+0-187.8--0.287334000000011</f>
        <v>1074.4535670000002</v>
      </c>
      <c r="J64" s="3">
        <f>1501.2+(446-695.5)+(-2.296836+(-0.68238--1.064115))+0-187.6--0.287028000000011</f>
        <v>1062.4719270000001</v>
      </c>
      <c r="K64" s="3">
        <f>1495.3+(332.5-603.7)+(-4.575618+(-1.01745--1.847322))+0-187.2--0.572832000000022</f>
        <v>1033.7270859999999</v>
      </c>
      <c r="L64" s="3">
        <f>1501.8+(299.8-625.2)+(0.765918+(0.152898-0.318852))+0-188.6-0.0961859999999809</f>
        <v>988.30377799999985</v>
      </c>
      <c r="M64" s="3">
        <f>1487+(295.2-558.4)+(-0.75837+(-0.150552--0.284784))+0-192.9--0.0983789999999804</f>
        <v>1030.374241</v>
      </c>
      <c r="N64" s="3">
        <f>1470.5+(317.1-488.6)+(0.749955+(0.161721-0.249186))+0-193.8-0.0988379999999803</f>
        <v>1105.7636520000001</v>
      </c>
      <c r="O64" s="3">
        <f>1462.2+(314-423.7)+(0+(0-0))+0-184.5-0</f>
        <v>1168</v>
      </c>
      <c r="P64" s="3">
        <f>1450.2+(400.6-439.3)+(0+(0-0))+0-177.3-0</f>
        <v>1234.2</v>
      </c>
      <c r="Q64" s="3">
        <f>1436.6+(615.9-575.6)+(0+(0-0))+0-172.7-0</f>
        <v>1304.1999999999998</v>
      </c>
      <c r="R64" s="3">
        <f>1424.2+(805.9-735.5)+(0+(0-0))+0-175.1-0</f>
        <v>1319.5</v>
      </c>
      <c r="S64" s="3">
        <f>1430.1+(906.4-836.7)+(-2.917404+(-1.849056--1.706868))+0-187.5--0.382499999999992</f>
        <v>1309.6229079999996</v>
      </c>
      <c r="T64" s="3">
        <f>1437.5+(894.1-834.6)+(-0.733125+(-0.455991--0.425646))+0-192.8--0.0983279999999804</f>
        <v>1303.534858</v>
      </c>
      <c r="U64" s="3">
        <f>1434.6+(793.3-733.2)+(-2.926584+(-1.618332--1.495728))+0-200.5--0.409019999999991</f>
        <v>1291.5598319999999</v>
      </c>
      <c r="V64" s="3">
        <f>1429.6+(615.1-560.1)+(-5.103672+(-2.195907--1.999557))+0-200.5--0.715785000000003</f>
        <v>1279.5157630000001</v>
      </c>
      <c r="W64" s="3">
        <f>1432.2+(411.3-406.3)+(-4.382532+(-1.258578--1.243278))+0-201.6--0.616896000000023</f>
        <v>1231.819064</v>
      </c>
      <c r="X64" s="3">
        <f>1432.5+(257.1-323.7)+(-1.46115+(-0.262242--0.330174))+0-199.6--0.203592000000032</f>
        <v>1165.1103740000003</v>
      </c>
      <c r="Y64" s="3">
        <f>1438+(280.1-375.5)+(0+(0-0))+0-196-0</f>
        <v>1146.5999999999999</v>
      </c>
      <c r="Z64" s="3">
        <f>1448.4+(522.4-518.6)+(-1.477368+(-0.532848--0.528972))+0-192.9--0.196758000000031</f>
        <v>1258.0155139999999</v>
      </c>
      <c r="AA64" s="3">
        <f>1449.8+(591.4-589.5)+(-3.69699+(-1.50807--1.503225))+0-183.3--0.467414999999973</f>
        <v>1265.1655799999999</v>
      </c>
      <c r="AB64" s="3">
        <f>1471.9+(670.1-694.6)+(-3.002676+(-1.367004--1.416984))+0-187.1--0.381683999999992</f>
        <v>1257.7289880000001</v>
      </c>
      <c r="AC64" s="3">
        <f>1480.3+(620.4-680.7)+(-5.284671+(-2.214828--2.430099))+0-188.4--0.672588000000003</f>
        <v>1227.2031879999997</v>
      </c>
      <c r="AD64" s="2">
        <v>1257.1999999999998</v>
      </c>
      <c r="AE64" s="3">
        <f>1430+(593.7-582.6)+(0+(0-0))+0-174.9-0</f>
        <v>1266.1999999999998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1485.5+(562.9-679.8)+(-5.303235+(-2.009553--2.426886))+0-190.8--0.681156000000003</f>
        <v>1173.5952540000001</v>
      </c>
      <c r="G65" s="3">
        <f>1488.7+(479.8-637.1)+(-4.555422+(-1.468188--1.949526))+0-189.9--0.581094000000022</f>
        <v>1138.00701</v>
      </c>
      <c r="H65" s="3">
        <f>1492.8+(451.9-643)+(-3.045312+(-0.921876--1.31172))+0-191.1--0.389843999999992</f>
        <v>1108.334376</v>
      </c>
      <c r="I65" s="3">
        <f>1495+(402.7-610)+(-3.0498+(-0.821508--1.2444))+0-190.5--0.388619999999992</f>
        <v>1094.961712</v>
      </c>
      <c r="J65" s="3">
        <f>1496.2+(348.2-570.6)+(-3.052248+(-0.710328--1.164024))+0-191.2--0.390047999999992</f>
        <v>1080.391496</v>
      </c>
      <c r="K65" s="3">
        <f>1506.2+(271.4-534.6)+(-2.304486+(-0.415242--0.817938))+0-190.1--0.290853000000011</f>
        <v>1051.2890630000002</v>
      </c>
      <c r="L65" s="3">
        <f>1500+(248.1-526.3)+(-3.06+(-0.506124--1.073652))+0-185.3--0.378011999999992</f>
        <v>1034.3855400000002</v>
      </c>
      <c r="M65" s="3">
        <f>1485.7+(237.5-463)+(0.757707+(0.121125-0.23613))+0-192.6-0.0982259999999805</f>
        <v>1068.1444760000002</v>
      </c>
      <c r="N65" s="3">
        <f>1458+(245.9-378.3)+(-1.48716+(-0.250818--0.385866))+0-197.5--0.201450000000031</f>
        <v>1126.9493379999999</v>
      </c>
      <c r="O65" s="3">
        <f>1444.9+(284.4-336.4)+(-4.421394+(-0.870264--1.029384))+0-193.2--0.591192000000022</f>
        <v>1196.0289180000002</v>
      </c>
      <c r="P65" s="3">
        <f>1429.1+(384.2-378.9)+(0.728841+(0.195942-0.193239))+0-193.1-0.0984809999999804</f>
        <v>1241.9330629999999</v>
      </c>
      <c r="Q65" s="3">
        <f>1403.6+(513.6-422)+(0+(0-0))+0-193.4-0</f>
        <v>1301.7999999999997</v>
      </c>
      <c r="R65" s="3">
        <f>1399.9+(605.9-541.3)+(0+(0-0))+0-192.5-0</f>
        <v>1272</v>
      </c>
      <c r="S65" s="3">
        <f>1383.8+(742.9-657.8)+(-3.52869+(-1.894395--1.67739))+0-189.1--0.482204999999973</f>
        <v>1276.5365100000001</v>
      </c>
      <c r="T65" s="3">
        <f>1379.4+(781.8-709.5)+(-0.703494+(-0.398718--0.361845))+0-188.7--0.0962369999999809</f>
        <v>1262.3558699999999</v>
      </c>
      <c r="U65" s="3">
        <f>1383.5+(719.9-687.2)+(-2.82234+(-1.468596--1.401888))+0-188.4--0.384335999999992</f>
        <v>1225.2952879999998</v>
      </c>
      <c r="V65" s="3">
        <f>1399.9+(544-538.8)+(-1.427898+(-0.55488--0.549576))+0-191.3--0.195126000000031</f>
        <v>1212.5619240000003</v>
      </c>
      <c r="W65" s="3">
        <f>1391.4+(360.5-391.4)+(-1.419228+(-0.36771--0.399228))+0-186.2--0.18992400000003</f>
        <v>1173.102214</v>
      </c>
      <c r="X65" s="3">
        <f>1385.2+(287.4-355.6)+(-0.706452+(-0.146574--0.181356))+0-198--0.10097999999998</f>
        <v>1118.42931</v>
      </c>
      <c r="Y65" s="3">
        <f>1392.7+(301.7-392.1)+(-2.130831+(-0.461601--0.599913))+0-200.1--0.306153000000012</f>
        <v>1100.5136340000001</v>
      </c>
      <c r="Z65" s="3">
        <f>1406.8+(527.2-521.7)+(-1.434936+(-0.537744--0.532134))+0-198.9--0.202878000000032</f>
        <v>1212.1623319999999</v>
      </c>
      <c r="AA65" s="3">
        <f>1417+(589.4-563.2)+(-1.44534+(-0.601188--0.574464))+0-203.1--0.207162000000032</f>
        <v>1238.8350979999998</v>
      </c>
      <c r="AB65" s="3">
        <f>1435.6+(646.2-651.5)+(-3.66078+(-1.64781--1.661325))+0-198--0.504899999999971</f>
        <v>1229.1576349999998</v>
      </c>
      <c r="AC65" s="3">
        <f>1446.9+(718.9-772)+(0+(0-0))+0-199.5-0</f>
        <v>1194.3000000000002</v>
      </c>
      <c r="AD65" s="2">
        <v>1242.0999999999999</v>
      </c>
      <c r="AE65" s="3">
        <f>1415+(588.1-564.1)+(0+(0-0))+0-187.9-0</f>
        <v>1251.0999999999999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1431.1+(636.9-738.2)+(-1.459722+(-0.649638--0.752964))+0-201.1--0.205122000000032</f>
        <v>1127.548726</v>
      </c>
      <c r="G66" s="3">
        <f>1450.6+(558.1-700.3)+(-0.739806+(-0.284631--0.357153))+0-200.1--0.10205099999998</f>
        <v>1107.7347670000001</v>
      </c>
      <c r="H66" s="3">
        <f>1461.4+(468-641.6)+(2.235942+(0.71604-0.981648))+0-198.1-0.303093000000011</f>
        <v>1091.3672410000004</v>
      </c>
      <c r="I66" s="3">
        <f>1457.7+(422.1-613.8)+(0.743427+(0.215271-0.313038))+0-199.4-0.10169399999998</f>
        <v>1067.1439659999999</v>
      </c>
      <c r="J66" s="3">
        <f>1456+(370.8-567.5)+(-2.22768+(-0.567324--0.868275))+0-201.6--0.308448000000012</f>
        <v>1056.081719</v>
      </c>
      <c r="K66" s="3">
        <f>1460.1+(293.3-529)+(-3.723255+(-0.747915--1.34895))+0-197.4--0.503369999999971</f>
        <v>1024.3811499999999</v>
      </c>
      <c r="L66" s="3">
        <f>1476.5+(237.9-534.2)+(-1.50603+(-0.242658--0.544884))+0-196.4--0.200328000000031</f>
        <v>982.79652399999986</v>
      </c>
      <c r="M66" s="3">
        <f>1479.8+(229.4-490.5)+(1.509396+(0.233988-0.50031))+0-197.5-0.201450000000031</f>
        <v>1022.2416239999998</v>
      </c>
      <c r="N66" s="3">
        <f>1476.5+(249.3-460.9)+(-1.50603+(-0.254286--0.470118))+0-195.8--0.199716000000031</f>
        <v>1068.0095180000003</v>
      </c>
      <c r="O66" s="3">
        <f>1471.5+(291.5-449.5)+(1.50093+(0.29733-0.45849))+0-190.8-0.19461600000003</f>
        <v>1123.8451540000001</v>
      </c>
      <c r="P66" s="3">
        <f>1466.5+(394.3-492.9)+(0+(0-0))+0-193.9-0</f>
        <v>1174</v>
      </c>
      <c r="Q66" s="3">
        <f>1464.2+(464-503.6)+(0.746742+(0.23664-0.256836))+0-194.3-0.0990929999999803</f>
        <v>1230.927453</v>
      </c>
      <c r="R66" s="3">
        <f>1446.6+(523.8-517.7)+(-2.951064+(-1.068552--1.056108))+0-195.8--0.399431999999991</f>
        <v>1254.3359239999997</v>
      </c>
      <c r="S66" s="3">
        <f>1440.2+(652.5-638.1)+(-1.469004+(-0.66555--0.650862))+0-191.5--0.195330000000031</f>
        <v>1261.8116379999999</v>
      </c>
      <c r="T66" s="3">
        <f>1440.4+(743.4-741.6)+(-0.734604+(-0.379134--0.378216))+0-195--0.0994499999999802</f>
        <v>1246.563928</v>
      </c>
      <c r="U66" s="3">
        <f>1426.8+(692.5-668.6)+(-2.910672+(-1.4127--1.363944))+0-197--0.401879999999991</f>
        <v>1251.1424519999998</v>
      </c>
      <c r="V66" s="3">
        <f>1426.3+(520.9-522.3)+(-3.637065+(-1.328295--1.331865))+0-194.5--0.495974999999972</f>
        <v>1227.2624800000001</v>
      </c>
      <c r="W66" s="3">
        <f>1426.4+(309.1-362)+(-2.909856+(-0.630564--0.73848))+0-196.2--0.400247999999991</f>
        <v>1174.8983079999998</v>
      </c>
      <c r="X66" s="3">
        <f>1423.5+(247.6-372.7)+(-3.629925+(-0.63138--0.950385))+0-194.9--0.496994999999972</f>
        <v>1100.6860750000001</v>
      </c>
      <c r="Y66" s="3">
        <f>1443.1+(269.3-434)+(-0.735981+(-0.137343--0.22134))+0-193.2--0.0985319999999804</f>
        <v>1084.6465479999997</v>
      </c>
      <c r="Z66" s="3">
        <f>1465.2+(424.9-495.1)+(-0.747252+(-0.216699--0.252501))+0-199.4--0.10169399999998</f>
        <v>1194.9902439999998</v>
      </c>
      <c r="AA66" s="3">
        <f>1468.2+(458.4-521.4)+(-3.74391+(-1.16892--1.32957))+0-203.1--0.517904999999971</f>
        <v>1199.034645</v>
      </c>
      <c r="AB66" s="3">
        <f>1476.6+(473.1-578)+(-3.76533+(-1.206405--1.4739))+0-190.1--0.484754999999972</f>
        <v>1178.58692</v>
      </c>
      <c r="AC66" s="3">
        <f>1487+(472.1-616.3)+(-0.75837+(-0.240771--0.314313))+0-185.7--0.0947069999999812</f>
        <v>1156.5098790000002</v>
      </c>
      <c r="AD66" s="2">
        <v>1196.3999999999999</v>
      </c>
      <c r="AE66" s="3">
        <f>1471+(461.2-528.1)+(0+(0-0))+0-198.7-0</f>
        <v>1205.3999999999999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1485.3+(485.7-661.3)+(-0.757503+(-0.247707--0.337263))+0-194.3--0.0990929999999803</f>
        <v>1114.8311460000002</v>
      </c>
      <c r="G67" s="3">
        <f>1497.6+(483.1-705.5)+(-1.527552+(-0.492762--0.71961))+0-198--0.201960000000032</f>
        <v>1076.1012559999999</v>
      </c>
      <c r="H67" s="3">
        <f>1502.1+(398.5-638.6)+(-2.298213+(-0.609705--0.977058))+0-196.8--0.301104000000011</f>
        <v>1063.5702440000002</v>
      </c>
      <c r="I67" s="3">
        <f>1509.6+(317.1-579.2)+(-1.539792+(-0.323442--0.590784))+0-197.4--0.201348000000031</f>
        <v>1049.028898</v>
      </c>
      <c r="J67" s="3">
        <f>1518.4+(287.7-573.8)+(2.323152+(0.440181-0.877914))+0-198.2-0.303246000000011</f>
        <v>1035.6821730000001</v>
      </c>
      <c r="K67" s="3">
        <f>1514.5+(218.2-527.3)+(-0.772395+(-0.111282--0.268923))+0-197--0.10046999999998</f>
        <v>1007.8857160000001</v>
      </c>
      <c r="L67" s="3">
        <f>1472+(182.6-485.8)+(0.75072+(0.093126-0.247758))+0-193.7-0.0987869999999803</f>
        <v>975.5973009999999</v>
      </c>
      <c r="M67" s="3">
        <f>1451.9+(178.4-438.8)+(-0.740469+(-0.090984--0.223788))+0-196.4--0.10016399999998</f>
        <v>994.59249899999998</v>
      </c>
      <c r="N67" s="3">
        <f>1446.2+(215.1-438.6)+(-2.212686+(-0.329103--0.671058))+0-198.1--0.303093000000011</f>
        <v>1023.032362</v>
      </c>
      <c r="O67" s="3">
        <f>1425.5+(244.5-410.5)+(-1.45401+(-0.24939--0.41871))+0-195.7--0.199614000000031</f>
        <v>1062.7149240000001</v>
      </c>
      <c r="P67" s="3">
        <f>1411.2+(300.7-400.9)+(-0.719712+(-0.153357--0.204459))+0-198--0.10097999999998</f>
        <v>1112.43237</v>
      </c>
      <c r="Q67" s="3">
        <f>1402.2+(397.1-436.1)+(-1.430244+(-0.405042--0.444822))+0-203.5--0.207570000000032</f>
        <v>1158.517106</v>
      </c>
      <c r="R67" s="3">
        <f>1394.3+(570.3-580.3)+(0.711093+(0.290853-0.295953))+0-205.8-0.104957999999979</f>
        <v>1179.1010350000001</v>
      </c>
      <c r="S67" s="3">
        <f>1388.2+(800.6-793)+(-0.707982+(-0.408306--0.40443))+0-202.5--0.103274999999979</f>
        <v>1192.6914170000002</v>
      </c>
      <c r="T67" s="3">
        <f>1381.5+(870.2-845.8)+(-0.704565+(-0.443802--0.431358))+0-200.6--0.10230599999998</f>
        <v>1204.6852970000002</v>
      </c>
      <c r="U67" s="3">
        <f>1374.4+(909-883.8)+(3.50472+(2.31795-2.25369))+0-198.9-0.507194999999971</f>
        <v>1203.7617850000001</v>
      </c>
      <c r="V67" s="3">
        <f>1359.2+(732-696.9)+(-0.693192+(-0.37332--0.355419))+0-200.2--0.10210199999998</f>
        <v>1193.4910090000003</v>
      </c>
      <c r="W67" s="3">
        <f>1343.7+(516-521.1)+(-1.370574+(-0.52632--0.531522))+0-200.7--0.204714000000032</f>
        <v>1136.7393419999999</v>
      </c>
      <c r="X67" s="3">
        <f>1336.7+(323.4-392.3)+(-4.090302+(-0.989604--1.200438))+0-199.7--0.611082000000023</f>
        <v>1064.8316139999999</v>
      </c>
      <c r="Y67" s="3">
        <f>1347.4+(321-448.4)+(-2.061522+(-0.49113--0.686052))+0-196.2--0.300186000000011</f>
        <v>1022.2335859999999</v>
      </c>
      <c r="Z67" s="3">
        <f>1334.7+(416.5-369.3)+(-1.361394+(-0.42483--0.376686))+0-198.7--0.202674000000032</f>
        <v>1181.993136</v>
      </c>
      <c r="AA67" s="3">
        <f>1372.9+(487.8-456.5)+(-2.100537+(-0.746334--0.698445))+0-197.1--0.301563000000011</f>
        <v>1205.2531370000002</v>
      </c>
      <c r="AB67" s="3">
        <f>1447.5+(517.8-578)+(-2.214675+(-0.792234--0.88434))+0-191.4--0.292842000000011</f>
        <v>1194.0702729999998</v>
      </c>
      <c r="AC67" s="3">
        <f>1470.7+(553-666.5)+(-0.750057+(-0.28203--0.339915))+0-191.5--0.0976649999999806</f>
        <v>1165.105493</v>
      </c>
      <c r="AD67" s="2">
        <v>1203.5999999999999</v>
      </c>
      <c r="AE67" s="3">
        <f>1442+(465.6-499.6)+(0+(0-0))+0-195.4-0</f>
        <v>1212.5999999999999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1481.5+(547.4-710.4)+(-3.02226+(-1.116696--1.449216))+0-193.4--0.394535999999992</f>
        <v>1122.8047959999999</v>
      </c>
      <c r="G68" s="3">
        <f>1493.1+(439.3-649.6)+(-3.807405+(-1.120215--1.65648))+0-192.5--0.490874999999972</f>
        <v>1087.5197349999999</v>
      </c>
      <c r="H68" s="3">
        <f>1499.9+(380.3-620)+(-3.059796+(-0.775812--1.2648))+0-192.4--0.392495999999992</f>
        <v>1065.6216879999999</v>
      </c>
      <c r="I68" s="3">
        <f>1502.7+(353.9-613.6)+(-1.532754+(-0.360978--0.625872))+0-192.7--0.196554000000031</f>
        <v>1049.2286940000001</v>
      </c>
      <c r="J68" s="3">
        <f>1507.8+(318.9-591)+(-1.537956+(-0.325278--0.60282))+0-192.6--0.196452000000031</f>
        <v>1042.036038</v>
      </c>
      <c r="K68" s="3">
        <f>1514.3+(272.6-582.8)+(-3.861465+(-0.69513--1.48614))+0-195.2--0.497759999999972</f>
        <v>1006.3273049999998</v>
      </c>
      <c r="L68" s="3">
        <f>1510.6+(245.1-570.5)+(-0.770406+(-0.125001--0.290955))+0-196.4--0.10016399999998</f>
        <v>988.29571199999975</v>
      </c>
      <c r="M68" s="3">
        <f>1503.2+(257.5-537.5)+(1.533264+(0.26265-0.54825))+0-200-0.204000000000032</f>
        <v>1024.2436640000001</v>
      </c>
      <c r="N68" s="3">
        <f>1464.3+(304.8-492.8)+(0.746793+(0.155448-0.251328))+0-197.2-0.10057199999998</f>
        <v>1079.6503409999998</v>
      </c>
      <c r="O68" s="3">
        <f>1444.1+(331-437.5)+(0.736491+(0.16881-0.223125))+0-196.6-0.10026599999998</f>
        <v>1141.5819100000001</v>
      </c>
      <c r="P68" s="3">
        <f>1434.6+(355.6-392.6)+(-2.194938+(-0.544068--0.600678))+0-187.9--0.287487000000011</f>
        <v>1207.8491589999999</v>
      </c>
      <c r="Q68" s="3">
        <f>1433.8+(418-388.6)+(-0.731238+(-0.21318--0.198186))+0-183--0.0933299999999814</f>
        <v>1279.5470979999998</v>
      </c>
      <c r="R68" s="3">
        <f>1474.5+(469.1-456.5)+(1.50399+(0.478482-0.46563))+0-179.2-0.182784000000029</f>
        <v>1309.2340579999998</v>
      </c>
      <c r="S68" s="3">
        <f>1470.2+(626.9-592.4)+(-1.499604+(-0.639438--0.604248))+0-191.2--0.19502400000003</f>
        <v>1312.1602300000002</v>
      </c>
      <c r="T68" s="3">
        <f>1459.9+(675.9-629.2)+(-0.744549+(-0.344709--0.320892))+0-192.5--0.0981749999999805</f>
        <v>1313.429809</v>
      </c>
      <c r="U68" s="3">
        <f>1457.7+(642.6-614.3)+(-3.717135+(-1.63863--1.566465))+0-190.6--0.486029999999972</f>
        <v>1292.0967300000002</v>
      </c>
      <c r="V68" s="3">
        <f>1456.9+(478.1-471.7)+(-0.743019+(-0.243831--0.240567))+0-170--0.0866999999999827</f>
        <v>1292.6404170000003</v>
      </c>
      <c r="W68" s="3">
        <f>1447+(302.2-338.8)+(-2.95188+(-0.616488--0.691152))+0-172.8--0.352511999999993</f>
        <v>1235.075296</v>
      </c>
      <c r="X68" s="3">
        <f>1434.9+(356.4-464.9)+(-3.658995+(-0.90882--1.185495))+0-181.4--0.462569999999974</f>
        <v>1142.08025</v>
      </c>
      <c r="Y68" s="3">
        <f>1435.4+(379.9-507.1)+(0.732054+(0.193749-0.258621))+0-197.9-0.10092899999998</f>
        <v>1110.8662529999999</v>
      </c>
      <c r="Z68" s="3">
        <f>1440.9+(360.1-369.5)+(-0.734859+(-0.183651--0.188445))+0-204.4--0.104243999999979</f>
        <v>1226.4741789999998</v>
      </c>
      <c r="AA68" s="3">
        <f>1454.5+(433.3-437.4)+(-2.225385+(-0.662949--0.669222))+0-206.7--0.316251000000012</f>
        <v>1241.797139</v>
      </c>
      <c r="AB68" s="3">
        <f>1462.3+(461.5-495.2)+(-4.474638+(-1.41219--1.515312))+0-208--0.636480000000024</f>
        <v>1216.8649640000001</v>
      </c>
      <c r="AC68" s="3">
        <f>1470.8+(421.6-494.4)+(-3.75054+(-1.07508--1.26072))+0-204.5--0.52147499999997</f>
        <v>1190.4565749999999</v>
      </c>
      <c r="AD68" s="2">
        <v>1235.5</v>
      </c>
      <c r="AE68" s="3">
        <f>1443+(452.5-454.4)+(0+(0-0))+0-196.6-0</f>
        <v>1244.5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1470.5+(385.4-481.5)+(0+(0-0))+0-195.8-0</f>
        <v>1178.6000000000001</v>
      </c>
      <c r="G69" s="3">
        <f>1484.2+(430.6-586.3)+(-2.270826+(-0.658818--0.897039))+0-195.1--0.298503000000011</f>
        <v>1131.665898</v>
      </c>
      <c r="H69" s="3">
        <f>1505.8+(350.1-548)+(-3.071832+(-0.714204--1.11792))+0-195.5--0.398819999999991</f>
        <v>1110.1307039999999</v>
      </c>
      <c r="I69" s="3">
        <f>1497.3+(301.9-522.3)+(-3.054492+(-0.615876--1.065492))+0-195--0.397799999999991</f>
        <v>1079.6929239999999</v>
      </c>
      <c r="J69" s="3">
        <f>1488+(256.2-465)+(-0.75888+(-0.130662--0.23715))+0-193.7--0.0987869999999803</f>
        <v>1084.9463949999999</v>
      </c>
      <c r="K69" s="3">
        <f>1497.2+(230.1-489.2)+(-3.054288+(-0.469404--0.997968))+0-192--0.391679999999992</f>
        <v>1043.9659559999998</v>
      </c>
      <c r="L69" s="3">
        <f>1498.7+(246.7-545.9)+(-3.821685+(-0.629085--1.392045))+0-191.7--0.488834999999972</f>
        <v>1005.2301099999999</v>
      </c>
      <c r="M69" s="3">
        <f>1491.1+(308.1-580.3)+(0.760461+(0.157131-0.295953))+0-192.9-0.0983789999999804</f>
        <v>1026.5232599999999</v>
      </c>
      <c r="N69" s="3">
        <f>1482.1+(373.4-567.2)+(0+(0-0))+0-193.9-0</f>
        <v>1094.3999999999996</v>
      </c>
      <c r="O69" s="3">
        <f>1465.6+(396.4-518.9)+(-0.747456+(-0.202164--0.264639))+0-193.3--0.0985829999999804</f>
        <v>1149.2136019999998</v>
      </c>
      <c r="P69" s="3">
        <f>1452.7+(403.2-437.5)+(0.740877+(0.205632-0.223125))+0-191.7-0.0977669999999806</f>
        <v>1227.325617</v>
      </c>
      <c r="Q69" s="3">
        <f>1439.7+(473.6-424.7)+(-1.468494+(-0.483072--0.433194))+0-189.8--0.19359600000003</f>
        <v>1297.4752240000003</v>
      </c>
      <c r="R69" s="3">
        <f>1428.4+(612.2-534.7)+(0.728484+(0.312222-0.272697))+0-188-0.0958799999999809</f>
        <v>1318.5721289999999</v>
      </c>
      <c r="S69" s="3">
        <f>1444.9+(704.2-633.6)+(-0.736899+(-0.359142--0.323136))+0-189.4--0.0965939999999808</f>
        <v>1325.4236889999997</v>
      </c>
      <c r="T69" s="3">
        <f>1444.2+(734.2-686.2)+(0+(0-0))+0-189-0</f>
        <v>1303.2</v>
      </c>
      <c r="U69" s="3">
        <f>1444.4+(699.4-646.8)+(-0.736644+(-0.356694--0.329868))+0-187.4--0.095573999999981</f>
        <v>1308.9321039999998</v>
      </c>
      <c r="V69" s="3">
        <f>1440.5+(484.4-490.1)+(-2.93862+(-0.988176--0.999804))+0-188.4--0.384335999999992</f>
        <v>1243.857344</v>
      </c>
      <c r="W69" s="3">
        <f>1439.8+(322.1-343.2)+(-4.405788+(-0.985626--1.050192))+0-194.5--0.595170000000023</f>
        <v>1220.4539480000001</v>
      </c>
      <c r="X69" s="3">
        <f>1447.6+(377.9-477.8)+(-2.953104+(-0.770916--0.974712))+0-190.9--0.389435999999992</f>
        <v>1154.4401279999997</v>
      </c>
      <c r="Y69" s="3">
        <f>1460.8+(357.4-495.1)+(2.235024+(0.546822-0.757503))+0-188-0.287640000000011</f>
        <v>1136.8367029999999</v>
      </c>
      <c r="Z69" s="3">
        <f>1476.8+(406.7-439.3)+(0+(0-0))+0-192.8-0</f>
        <v>1251.3999999999999</v>
      </c>
      <c r="AA69" s="3">
        <f>1491.8+(445-482.7)+(-3.043272+(-0.9078--0.984708))+0-193.9--0.395555999999992</f>
        <v>1257.6291919999996</v>
      </c>
      <c r="AB69" s="3">
        <f>1496.2+(437.6-498)+(-2.289186+(-0.669528--0.76194))+0-190.5--0.291465000000011</f>
        <v>1243.3946910000002</v>
      </c>
      <c r="AC69" s="3">
        <f>1487.5+(422.1-509.9)+(-0.758625+(-0.215271--0.260049))+0-192--0.0979199999999805</f>
        <v>1207.084073</v>
      </c>
      <c r="AD69" s="2">
        <v>1229.6999999999998</v>
      </c>
      <c r="AE69" s="3">
        <f>1490+(423.8-493.7)+(0+(0-0))+0-180.4-0</f>
        <v>1239.6999999999998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1478+(400.6-521.6)+(-2.26134+(-0.612918--0.798048))+0-191.3--0.292689000000011</f>
        <v>1163.9164790000002</v>
      </c>
      <c r="G70" s="3">
        <f>1473.6+(388.3-525.6)+(0+(0-0))+0-193.5-0</f>
        <v>1142.8</v>
      </c>
      <c r="H70" s="3">
        <f>1485.1+(402.1-592)+(0+(0-0))+0-192.1-0</f>
        <v>1103.0999999999999</v>
      </c>
      <c r="I70" s="3">
        <f>1458.3+(403.4-595)+(1.487466+(0.411468-0.6069))+0-192.4-0.196248000000031</f>
        <v>1075.3957859999998</v>
      </c>
      <c r="J70" s="3">
        <f>1427.6+(345.4-523.8)+(-0.728076+(-0.176154--0.267138))+0-190.3--0.0970529999999807</f>
        <v>1058.3599609999999</v>
      </c>
      <c r="K70" s="3">
        <f>1423.1+(289.3-475.3)+(-3.628905+(-0.737715--1.212015))+0-189.8--0.483989999999973</f>
        <v>1044.629385</v>
      </c>
      <c r="L70" s="3">
        <f>1424.9+(257.5-487.1)+(-1.453398+(-0.26265--0.496842))+0-187.5--0.19125000000003</f>
        <v>1006.7720440000003</v>
      </c>
      <c r="M70" s="3">
        <f>1424+(311.1-521.2)+(1.45248+(0.317322-0.531624))+0-187.5-0.19125000000003</f>
        <v>1027.4469280000001</v>
      </c>
      <c r="N70" s="3">
        <f>1471.3+(368.7-578.9)+(2.251089+(0.564111-0.885717))+0-178.6-0.27325800000001</f>
        <v>1084.1562249999999</v>
      </c>
      <c r="O70" s="3">
        <f>1462.7+(413.9-549.6)+(1.491954+(0.422178-0.560592))+0-175-0.178500000000028</f>
        <v>1153.1750400000001</v>
      </c>
      <c r="P70" s="3">
        <f>1455.1+(442.4-520.7)+(2.226303+(0.676872-0.796671))+0-173.5-0.26545500000001</f>
        <v>1205.1410489999998</v>
      </c>
      <c r="Q70" s="3">
        <f>1447.7+(453.6-456)+(0+(0-0))+0-171.8-0</f>
        <v>1273.5000000000002</v>
      </c>
      <c r="R70" s="3">
        <f>1432.5+(514.8-489.1)+(-0.730575+(-0.262548--0.249441))+0-172.1--0.0877709999999825</f>
        <v>1285.4440889999998</v>
      </c>
      <c r="S70" s="3">
        <f>1434.3+(667.2-615)+(-2.194479+(-1.020816--0.94095))+0-176--0.26928000000001</f>
        <v>1308.4949349999999</v>
      </c>
      <c r="T70" s="3">
        <f>1427.4+(707.8-677.6)+(2.183922+(1.082934-1.036728))+0-179.1-0.27402300000001</f>
        <v>1280.456105</v>
      </c>
      <c r="U70" s="3">
        <f>1409+(674.9-638.7)+(-1.43718+(-0.688398--0.651474))+0-178.9--0.182478000000029</f>
        <v>1265.0083739999998</v>
      </c>
      <c r="V70" s="3">
        <f>1412+(552.1-512.1)+(-3.6006+(-1.407855--1.305855))+0-175.7--0.448034999999974</f>
        <v>1273.0454349999998</v>
      </c>
      <c r="W70" s="3">
        <f>1407+(387.8-370.1)+(-2.15271+(-0.593334--0.566253))+0-180.5--0.27616500000001</f>
        <v>1242.296374</v>
      </c>
      <c r="X70" s="3">
        <f>1411+(382.3-445)+(-3.59805+(-0.974865--1.13475))+0-183.9--0.468944999999973</f>
        <v>1161.4307799999999</v>
      </c>
      <c r="Y70" s="3">
        <f>1417+(372.5-484.2)+(-1.44534+(-0.37995--0.493884))+0-177.1--0.180642000000028</f>
        <v>1127.0492360000001</v>
      </c>
      <c r="Z70" s="3">
        <f>1417.6+(427.9-435.1)+(-1.445952+(-0.436458--0.443802))+0-176--0.179520000000028</f>
        <v>1233.1409120000001</v>
      </c>
      <c r="AA70" s="3">
        <f>1446.5+(508.9-500.2)+(-2.213145+(-0.778617--0.765306))+0-177.4--0.27142200000001</f>
        <v>1275.8449659999999</v>
      </c>
      <c r="AB70" s="3">
        <f>1458.9+(527.1-566.6)+(-3.720195+(-1.344105--1.44483))+0-177.5--0.452624999999974</f>
        <v>1238.7331549999999</v>
      </c>
      <c r="AC70" s="3">
        <f>1466.2+(627.8-705.1)+(-2.243286+(-0.960534--1.078803))+0-172.1--0.26331300000001</f>
        <v>1214.938296</v>
      </c>
      <c r="AD70" s="2">
        <v>1268.8999999999999</v>
      </c>
      <c r="AE70" s="3">
        <f>1445+(516.1-509.5)+(0+(0-0))+0-172.7-0</f>
        <v>1278.8999999999999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1455.4+(610.4-724.6)+(-2.226762+(-0.933912--1.108638))+0-167.5--0.25627500000001</f>
        <v>1171.904239</v>
      </c>
      <c r="G71" s="3">
        <f>1477.3+(507.9-671.9)+(-0.753423+(-0.259029--0.342669))+0-168.4--0.0858839999999829</f>
        <v>1144.3161009999999</v>
      </c>
      <c r="H71" s="3">
        <f>1488.5+(424.4-629.2)+(-1.51827+(-0.432888--0.641784))+0-156--0.159120000000025</f>
        <v>1126.5497459999999</v>
      </c>
      <c r="I71" s="3">
        <f>1491.9+(349-588)+(-2.282607+(-0.53397--0.89964))+0-152--0.232560000000009</f>
        <v>1099.2156230000001</v>
      </c>
      <c r="J71" s="3">
        <f>1504.5+(308-575)+(-3.06918+(-0.62832--1.173))+0-149.5--0.304979999999993</f>
        <v>1085.7804799999999</v>
      </c>
      <c r="K71" s="3">
        <f>1504.9+(262-558)+(-2.302497+(-0.40086--0.85374))+0-149.1--0.228123000000009</f>
        <v>1058.1785060000002</v>
      </c>
      <c r="L71" s="3">
        <f>1511.7+(229.7-578.4)+(-3.083868+(-0.468588--1.179936))+0-144.5--0.294779999999994</f>
        <v>1016.4222600000001</v>
      </c>
      <c r="M71" s="3">
        <f>1499.6+(242.9-525.2)+(0+(0-0))+0-148.4-0</f>
        <v>1068.8999999999996</v>
      </c>
      <c r="N71" s="3">
        <f>1479.8+(257.9-468.4)+(1.509396+(0.263058-0.477768))+0-150.3-0.153306000000024</f>
        <v>1120.14138</v>
      </c>
      <c r="O71" s="3">
        <f>1465.3+(304.8-426.3)+(2.989212+(0.621792-0.869652))+0-147.8-0.301511999999994</f>
        <v>1198.43984</v>
      </c>
      <c r="P71" s="3">
        <f>1458.9+(366.2-400.2)+(-1.488078+(-0.373524--0.408204))+0-146.6--0.149532000000023</f>
        <v>1276.9961340000002</v>
      </c>
      <c r="Q71" s="3">
        <f>1447.4+(524.2-498)+(0+(0-0))+0-144.7-0</f>
        <v>1328.9</v>
      </c>
      <c r="R71" s="3">
        <f>1433.4+(680.3-630.2)+(-2.193102+(-1.040859--0.964206))+0-139.6--0.213588000000008</f>
        <v>1341.8438330000001</v>
      </c>
      <c r="S71" s="3">
        <f>1441.2+(852.8-807.2)+(1.470024+(0.869856-0.823344))+0-149.2-0.152184000000024</f>
        <v>1338.964352</v>
      </c>
      <c r="T71" s="3">
        <f>1421.4+(859.3-775.4)+(1.449828+(0.876486-0.790908))+0-153.5-0.156570000000024</f>
        <v>1353.178836</v>
      </c>
      <c r="U71" s="3">
        <f>1415.2+(816.2-750.1)+(0+(0-0))+0-150.7-0</f>
        <v>1330.6000000000001</v>
      </c>
      <c r="V71" s="3">
        <f>1435.9+(643.4-577)+(-1.464618+(-0.656268--0.58854))+0-164.4--0.167688000000026</f>
        <v>1336.5353420000001</v>
      </c>
      <c r="W71" s="3">
        <f>1431.2+(397.5-348.1)+(-2.919648+(-0.8109--0.710124))+0-167.2--0.341087999999993</f>
        <v>1310.7206639999997</v>
      </c>
      <c r="X71" s="3">
        <f>1434.7+(259.9-295.9)+(-4.390182+(-0.795294--0.905454))+0-167.6--0.512856000000019</f>
        <v>1227.3328340000003</v>
      </c>
      <c r="Y71" s="3">
        <f>1444.2+(292.4-398)+(1.473084+(0.298248-0.40596))+0-170.2-0.173604000000027</f>
        <v>1169.5917679999998</v>
      </c>
      <c r="Z71" s="3">
        <f>1454.6+(473.3-490.8)+(-0.741846+(-0.241383--0.250308))+0-162.7--0.0829769999999835</f>
        <v>1273.7500559999999</v>
      </c>
      <c r="AA71" s="3">
        <f>1454.5+(576.7-575.2)+(-1.48359+(-0.588234--0.586704))+0-162.4--0.165648000000026</f>
        <v>1292.2805279999998</v>
      </c>
      <c r="AB71" s="3">
        <f>1448.9+(685.5-699)+(-2.955756+(-1.39842--1.42596))+0-159.4--0.325175999999993</f>
        <v>1273.39696</v>
      </c>
      <c r="AC71" s="3">
        <f>1459.7+(668.7-711.4)+(-2.233341+(-1.023111--1.088442))+0-170--0.26010000000001</f>
        <v>1245.0920899999999</v>
      </c>
      <c r="AD71" s="2">
        <v>1267.7</v>
      </c>
      <c r="AE71" s="3">
        <f>1445+(586.7-591.8)+(0+(0-0))+0-162.2-0</f>
        <v>1277.7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1451.5+(650.1-739.4)+(-2.96106+(-1.326204--1.508376))+0-166.9--0.340475999999993</f>
        <v>1192.861588</v>
      </c>
      <c r="G72" s="3">
        <f>1471.6+(552.3-692)+(-3.002064+(-1.126692--1.41168))+0-167.6--0.341903999999993</f>
        <v>1161.9248279999999</v>
      </c>
      <c r="H72" s="3">
        <f>1483.2+(493.3-666.2)+(-2.269296+(-0.754749--1.019286))+0-175.8--0.26897400000001</f>
        <v>1132.7642150000001</v>
      </c>
      <c r="I72" s="3">
        <f>1491.2+(409.8-616)+(-4.563072+(-1.253988--1.88496))+0-173.2--0.52999200000002</f>
        <v>1108.397892</v>
      </c>
      <c r="J72" s="3">
        <f>1498.8+(368.1-591.6)+(-3.057552+(-0.750924--1.206864))+0-170.5--0.347819999999993</f>
        <v>1102.546208</v>
      </c>
      <c r="K72" s="3">
        <f>1506.6+(247.1-513.8)+(-3.84183+(-0.630105--1.31019))+0-169.2--0.431459999999975</f>
        <v>1067.969715</v>
      </c>
      <c r="L72" s="3">
        <f>1514.4+(213.3-533.6)+(-3.089376+(-0.435132--1.088544))+0-171.2--0.349247999999993</f>
        <v>1020.8132840000001</v>
      </c>
      <c r="M72" s="3">
        <f>1503.2+(238.3-505.8)+(4.599792+(0.729198-1.547748))+0-176.3-0.53947800000002</f>
        <v>1062.6417640000002</v>
      </c>
      <c r="N72" s="3">
        <f>1487.2+(272.7-442.6)+(0+(0-0))+0-179.1-0</f>
        <v>1138.2</v>
      </c>
      <c r="O72" s="3">
        <f>1471.8+(338.7-425.9)+(1.501236+(0.345474-0.434418))+0-179.9-0.183498000000029</f>
        <v>1205.9287939999997</v>
      </c>
      <c r="P72" s="3">
        <f>1459.3+(409.8-407.6)+(-1.488486+(-0.417996--0.415752))+0-178.6--0.182172000000028</f>
        <v>1281.5914420000001</v>
      </c>
      <c r="Q72" s="3">
        <f>1445.3+(532.4-481.9)+(0+(0-0))+0-162.6-0</f>
        <v>1333.2</v>
      </c>
      <c r="R72" s="3">
        <f>1453+(706-637)+(-0.74103+(-0.36006--0.32487))+0-171.1--0.0872609999999826</f>
        <v>1350.211041</v>
      </c>
      <c r="S72" s="3">
        <f>1449.5+(900.9-834.7)+(-1.47849+(-0.918918--0.851394))+0-165.9--0.169218000000026</f>
        <v>1348.4232039999997</v>
      </c>
      <c r="T72" s="3">
        <f>1430.7+(764.8-720.3)+(0+(0-0))+0-173.9-0</f>
        <v>1301.3</v>
      </c>
      <c r="U72" s="3">
        <f>1435.2+(787.5-708.8)+(-1.463904+(-0.80325--0.722976))+0-180.1--0.183702000000029</f>
        <v>1332.4395240000001</v>
      </c>
      <c r="V72" s="3">
        <f>1432.1+(704.4-601.1)+(-2.191113+(-1.077732--0.919683))+0-183.3--0.280449000000011</f>
        <v>1350.031287</v>
      </c>
      <c r="W72" s="3">
        <f>1427.4+(438.2-370.3)+(-4.367844+(-1.340892--1.133118))+0-179.5--0.549270000000021</f>
        <v>1311.7736520000001</v>
      </c>
      <c r="X72" s="3">
        <f>1428.6+(255-276.6)+(-0.728586+(-0.13005--0.141066))+0-183.5--0.0935849999999814</f>
        <v>1222.8760150000001</v>
      </c>
      <c r="Y72" s="3">
        <f>1441+(246.2-337.4)+(-1.46982+(-0.251124--0.344148))+0-182--0.185640000000029</f>
        <v>1166.6088439999999</v>
      </c>
      <c r="Z72" s="3">
        <f>1452.2+(461-451.9)+(0.740622+(0.23511-0.230469))+0-182.9-0.0932789999999814</f>
        <v>1279.0519840000002</v>
      </c>
      <c r="AA72" s="3">
        <f>1465.3+(558-536.5)+(-1.494606+(-0.56916--0.54723))+0-183.1--0.186762000000029</f>
        <v>1302.370226</v>
      </c>
      <c r="AB72" s="3">
        <f>1472.4+(598-622.4)+(-1.501848+(-0.60996--0.634848))+0-181--0.184620000000029</f>
        <v>1265.70766</v>
      </c>
      <c r="AC72" s="3">
        <f>1473.4+(594.5-648.5)+(0.751434+(0.303195-0.330735))+0-176.1-0.0898109999999821</f>
        <v>1243.9340830000001</v>
      </c>
      <c r="AD72" s="2">
        <v>1278</v>
      </c>
      <c r="AE72" s="3">
        <f>1457+(559.2-543.6)+(0+(0-0))+0-184.6-0</f>
        <v>1288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1451.7+(599.8-678.7)+(-2.961468+(-1.223592--1.384548))+0-173.3--0.353531999999992</f>
        <v>1197.0530200000001</v>
      </c>
      <c r="G73" s="3">
        <f>1472.1+(559.8-698.5)+(0+(0-0))+0-171.8-0</f>
        <v>1161.5999999999999</v>
      </c>
      <c r="H73" s="3">
        <f>1486.7+(462.6-636.7)+(-0.758217+(-0.235926--0.324717))+0-175--0.0892499999999822</f>
        <v>1137.019824</v>
      </c>
      <c r="I73" s="3">
        <f>1488.5+(397-601.9)+(2.277405+(0.60741-0.920907))+0-175.1-0.26790300000001</f>
        <v>1110.196005</v>
      </c>
      <c r="J73" s="3">
        <f>1499.5+(345.9-573.1)+(-2.294235+(-0.529227--0.876843))+0-174.5--0.26698500000001</f>
        <v>1096.1203659999999</v>
      </c>
      <c r="K73" s="3">
        <f>1505.6+(290.5-581)+(-3.83928+(-0.740775--1.48155))+0-174.9--0.445994999999975</f>
        <v>1037.5474899999999</v>
      </c>
      <c r="L73" s="3">
        <f>1501.9+(235.3-519.3)+(-1.531938+(-0.240006--0.529686))+0-173.8--0.177276000000028</f>
        <v>1043.0350180000003</v>
      </c>
      <c r="M73" s="3">
        <f>1500.2+(252.1-490)+(-0.765102+(-0.128571--0.2499))+0-181.9--0.0927689999999815</f>
        <v>1079.8489959999999</v>
      </c>
      <c r="N73" s="3">
        <f>1488.1+(252.9-434.4)+(3.794655+(0.644895-1.10772))+0-169.4-0.431969999999975</f>
        <v>1140.09986</v>
      </c>
      <c r="O73" s="3">
        <f>1465.2+(303.6-397.1)+(3.73626+(0.77418-1.012605))+0-171.8-0.438089999999975</f>
        <v>1202.9597450000001</v>
      </c>
      <c r="P73" s="3">
        <f>1449.8+(414.9-420.9)+(2.957592+(0.846396-0.858636))+0-175.9-0.358835999999992</f>
        <v>1270.4865159999999</v>
      </c>
      <c r="Q73" s="3">
        <f>1436.4+(584.5-522.5)+(1.465128+(0.59619-0.53295))+0-170-0.173400000000027</f>
        <v>1329.754968</v>
      </c>
      <c r="R73" s="3">
        <f>1425.5+(784.7-710.5)+(0.727005+(0.400197-0.362355))+0-168-0.085679999999983</f>
        <v>1332.3791670000001</v>
      </c>
      <c r="S73" s="3">
        <f>1417.5+(950.1-855.6)+(-1.44585+(-0.969102--0.872712))+0-176.6--0.180132000000028</f>
        <v>1334.0378920000001</v>
      </c>
      <c r="T73" s="3">
        <f>1408.7+(965.8-871.4)+(-0.718437+(-0.492558--0.444414))+0-177.3--0.090422999999982</f>
        <v>1325.1238419999997</v>
      </c>
      <c r="U73" s="3">
        <f>1398.5+(917-831.3)+(-1.42647+(-0.93534--0.847926))+0-161.9--0.165138000000026</f>
        <v>1320.9512540000001</v>
      </c>
      <c r="V73" s="3">
        <f>1393.6+(762.5-710.7)+(0.710736+(0.388875-0.362457))+0-163.5-0.0833849999999834</f>
        <v>1282.5537689999999</v>
      </c>
      <c r="W73" s="3">
        <f>1393.2+(507.7-490.6)+(-1.421064+(-0.517854--0.500412))+0-171--0.174420000000027</f>
        <v>1238.035914</v>
      </c>
      <c r="X73" s="3">
        <f>1403.6+(257.2-318.8)+(-1.431672+(-0.262344--0.325176))+0-176.9--0.180438000000028</f>
        <v>1163.9115979999999</v>
      </c>
      <c r="Y73" s="3">
        <f>1405.4+(238.8-335.5)+(-1.433508+(-0.243576--0.34221))+0-178.1--0.181662000000028</f>
        <v>1129.4467880000002</v>
      </c>
      <c r="Z73" s="3">
        <f>1427.3+(450.7-467.5)+(-2.183769+(-0.689571--0.715275))+0-186.9--0.285957000000011</f>
        <v>1221.7278919999999</v>
      </c>
      <c r="AA73" s="3">
        <f>1458.2+(510.9-535.8)+(-2.974728+(-1.042236--1.093032))+0-188.5--0.384539999999992</f>
        <v>1242.2606080000003</v>
      </c>
      <c r="AB73" s="3">
        <f>1477+(538-623.5)+(-2.25981+(-0.82314--0.953955))+0-175.4--0.26836200000001</f>
        <v>1214.2393669999999</v>
      </c>
      <c r="AC73" s="3">
        <f>1451.2+(584-664.2)+(-2.960448+(-1.19136--1.354968))+0-170.9--0.348635999999993</f>
        <v>1197.6517959999999</v>
      </c>
      <c r="AD73" s="2">
        <v>1206.9000000000001</v>
      </c>
      <c r="AE73" s="3">
        <f>1451+(508.2-564.7)+(0+(0-0))+0-178.6-0</f>
        <v>1215.9000000000001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1445+(606.2-702.9)+(-2.21085+(-0.927486--1.075437))+0-171.4--0.26224200000001</f>
        <v>1175.0993430000001</v>
      </c>
      <c r="G74" s="3">
        <f>1344.6+(683.8-718.7)+(-0.685746+(-0.348738--0.366537))+0-173.6--0.0885359999999824</f>
        <v>1135.520589</v>
      </c>
      <c r="H74" s="3">
        <f>1303.6+(686.3-703.5)+(-1.329672+(-0.700026--0.71757))+0-187.6--0.19135200000003</f>
        <v>1097.679224</v>
      </c>
      <c r="I74" s="3">
        <f>1311.3+(592.2-635.3)+(-0.668763+(-0.302022--0.324003))+0-189.4--0.0965939999999808</f>
        <v>1078.2498119999998</v>
      </c>
      <c r="J74" s="3">
        <f>1312+(509.9-575.9)+(-4.68384+(-1.820343--2.055963))+0-189.1--0.675087000000003</f>
        <v>1053.1268670000002</v>
      </c>
      <c r="K74" s="3">
        <f>1320+(389.8-479.7)+(-6.732+(-1.98798--2.44647))+0-190--0.969000000000014</f>
        <v>1034.79549</v>
      </c>
      <c r="L74" s="3">
        <f>1313.8+(347.4-465.3)+(-1.340076+(-0.354348--0.474606))+0-189.9--0.19369800000003</f>
        <v>1004.9738799999999</v>
      </c>
      <c r="M74" s="3">
        <f>1299.9+(332-414.2)+(1.988847+(0.50796-0.633726))+0-188.2-0.287946000000011</f>
        <v>1031.075135</v>
      </c>
      <c r="N74" s="3">
        <f>1283.3+(331.3-350)+(2.617932+(0.675852-0.714))+0-189.3-0.386171999999992</f>
        <v>1077.493612</v>
      </c>
      <c r="O74" s="3">
        <f>1263.5+(365.9-306.4)+(-0.644385+(-0.186609--0.156264))+0-191.9--0.0978689999999805</f>
        <v>1130.5231389999999</v>
      </c>
      <c r="P74" s="3">
        <f>1257.6+(464.1-342.9)+(0+(0-0))+0-191.9-0</f>
        <v>1186.8999999999999</v>
      </c>
      <c r="Q74" s="3">
        <f>1242.2+(656.3-473.8)+(0+(0-0))+0-185.7-0</f>
        <v>1239</v>
      </c>
      <c r="R74" s="3">
        <f>1235.7+(853-658.1)+(1.890621+(1.30509-1.006893))+0-187.1-0.286263000000011</f>
        <v>1245.4025550000001</v>
      </c>
      <c r="S74" s="3">
        <f>1222+(966.3-775.3)+(-1.24644+(-0.985626--0.790806))+0-187.8--0.19155600000003</f>
        <v>1223.950296</v>
      </c>
      <c r="T74" s="3">
        <f>1220.8+(1070.6-863.7)+(-1.245216+(-1.092012--0.880974))+0-180--0.183600000000029</f>
        <v>1246.4273459999999</v>
      </c>
      <c r="U74" s="3">
        <f>1223.9+(1060.7-851.7)+(0+(0-0))+0-182.6-0</f>
        <v>1250.3000000000002</v>
      </c>
      <c r="V74" s="3">
        <f>1223.3+(953.8-743.1)+(-0.623883+(-0.486438--0.378981))+0-184.8--0.0942479999999813</f>
        <v>1248.5629079999999</v>
      </c>
      <c r="W74" s="3">
        <f>1247.2+(690.3-553.4)+(-1.272144+(-0.704106--0.564468))+0-183.1--0.186762000000029</f>
        <v>1199.7749800000001</v>
      </c>
      <c r="X74" s="3">
        <f>1252.7+(319-262.3)+(-3.194385+(-0.81345--0.668865))+0-181.9--0.463844999999974</f>
        <v>1124.624875</v>
      </c>
      <c r="Y74" s="3">
        <f>1259.5+(299.7-305.2)+(-1.28469+(-0.305694--0.311304))+0-183.6--0.187272000000029</f>
        <v>1069.3081920000002</v>
      </c>
      <c r="Z74" s="3">
        <f>1277.6+(560.7-446)+(-0.651576+(-0.285957--0.22746))+0-195.2--0.0995519999999802</f>
        <v>1196.4894789999998</v>
      </c>
      <c r="AA74" s="3">
        <f>1285.1+(664.7-506.7)+(-2.621604+(-1.355988--1.033668))+0-198--0.403919999999991</f>
        <v>1242.559996</v>
      </c>
      <c r="AB74" s="3">
        <f>1295.3+(704.3-566.8)+(-0.660603+(-0.359193--0.289068))+0-197.5--0.10072499999998</f>
        <v>1234.669997</v>
      </c>
      <c r="AC74" s="3">
        <f>1279.8+(772.5-648.8)+(-3.26349+(-1.969875--1.65444))+0-196.7--0.501584999999971</f>
        <v>1203.7226599999999</v>
      </c>
      <c r="AD74" s="2">
        <v>1209.8</v>
      </c>
      <c r="AE74" s="3">
        <f>1284+(667.2-542.5)+(0+(0-0))+0-190.9-0</f>
        <v>1217.8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1275.1+(778.3-676.6)+(0.650301+(0.396933-0.345066))+0-196.7-0.10031699999998</f>
        <v>1180.7018509999998</v>
      </c>
      <c r="G75" s="3">
        <f>1278.8+(738.8-670.8)+(0+(0-0))+0-194.9-0</f>
        <v>1151.8999999999999</v>
      </c>
      <c r="H75" s="3">
        <f>1284.7+(651.1-619.6)+(2.620788+(1.328244-1.263984))+0-193.8-0.395351999999992</f>
        <v>1124.6896960000001</v>
      </c>
      <c r="I75" s="3">
        <f>1296.4+(578.7-581.8)+(-3.966984+(-1.770822--1.780308))+0-193.9--0.593334000000022</f>
        <v>1096.035836</v>
      </c>
      <c r="J75" s="3">
        <f>1296.3+(484.4-515.2)+(-0.661113+(-0.247044--0.262752))+0-192.3--0.0980729999999805</f>
        <v>1072.6526679999999</v>
      </c>
      <c r="K75" s="3">
        <f>1304.1+(352.1-419.8)+(-3.990546+(-1.077426--1.284588))+0-191.8--0.586908000000022</f>
        <v>1041.4035239999998</v>
      </c>
      <c r="L75" s="3">
        <f>1300.3+(296.4-381.4)+(-3.315765+(-0.75582--0.97257))+0-191.2--0.487559999999972</f>
        <v>1021.4885449999998</v>
      </c>
      <c r="M75" s="3">
        <f>1288.4+(306-335.4)+(0+(0-0))+0-194.2-0</f>
        <v>1064.8</v>
      </c>
      <c r="N75" s="3">
        <f>1275.4+(326.6-267.5)+(0+(0-0))+0-195-0</f>
        <v>1139.5</v>
      </c>
      <c r="O75" s="3">
        <f>1262.5+(418.5-285.1)+(0+(0-0))+0-194.5-0</f>
        <v>1201.4000000000001</v>
      </c>
      <c r="P75" s="3">
        <f>1251.9+(559.6-342)+(-0.638469+(-0.285396--0.17442))+0-182.4--0.0930239999999815</f>
        <v>1286.443579</v>
      </c>
      <c r="Q75" s="3">
        <f>1246.6+(728.7-473.1)+(-0.635766+(-0.371637--0.241281))+0-179.3--0.0914429999999818</f>
        <v>1322.2253209999999</v>
      </c>
      <c r="R75" s="3">
        <f>1229.3+(895.1-668)+(-0.626943+(-0.456501--0.34068))+0-175.8--0.0896579999999822</f>
        <v>1279.9468939999999</v>
      </c>
      <c r="S75" s="3">
        <f>1226.2+(1021.3-786.1)+(-0.625362+(-0.520863--0.400911))+0-179--0.0912899999999818</f>
        <v>1281.7459760000002</v>
      </c>
      <c r="T75" s="3">
        <f>1245.2+(952.5-762.9)+(-1.270104+(-0.97155--0.778158))+0-184.1--0.187782000000029</f>
        <v>1249.4242860000002</v>
      </c>
      <c r="U75" s="3">
        <f>1249.1+(1005.5-771.1)+(-1.274082+(-1.02561--0.786522))+0-183.6--0.187272000000029</f>
        <v>1298.5741020000003</v>
      </c>
      <c r="V75" s="3">
        <f>1243.2+(917.2-678.4)+(-1.902096+(-1.403316--1.037952))+0-178.6--0.27325800000001</f>
        <v>1301.405798</v>
      </c>
      <c r="W75" s="3">
        <f>1237.4+(654.4-435.4)+(-1.893222+(-1.001232--0.666162))+0-191.2--0.292536000000011</f>
        <v>1263.264244</v>
      </c>
      <c r="X75" s="3">
        <f>1248.2+(321-176.2)+(-3.18291+(-0.81855--0.44931))+0-192.4--0.490619999999972</f>
        <v>1197.53847</v>
      </c>
      <c r="Y75" s="3">
        <f>1262.9+(356.2-323.6)+(-2.576316+(-0.726648--0.660144))+0-190.3--0.388211999999992</f>
        <v>1102.9453920000001</v>
      </c>
      <c r="Z75" s="3">
        <f>1278.1+(599.2-465.6)+(-1.303662+(-0.611184--0.474912))+0-194.9--0.198798000000031</f>
        <v>1215.5588639999999</v>
      </c>
      <c r="AA75" s="3">
        <f>1292.7+(717.2-569.2)+(-3.296385+(-1.82886--1.45146))+0-197--0.502349999999971</f>
        <v>1240.5285650000001</v>
      </c>
      <c r="AB75" s="3">
        <f>1305.4+(764.4-638)+(-2.663016+(-1.559376--1.30152))+0-195.9--0.399635999999991</f>
        <v>1233.3787640000003</v>
      </c>
      <c r="AC75" s="3">
        <f>1314.1+(766.5-679.8)+(-0.670191+(-0.390915--0.346698))+0-199.3--0.10164299999998</f>
        <v>1200.8872349999999</v>
      </c>
      <c r="AD75" s="2">
        <v>1237.7</v>
      </c>
      <c r="AE75" s="3">
        <f>1286+(768.4-603.7)+(0+(0-0))+0-204-0</f>
        <v>1246.6999999999998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1307.8+(728.6-637.4)+(0+(0-0))+0-200.1-0</f>
        <v>1198.9000000000001</v>
      </c>
      <c r="G76" s="3">
        <f>1304.4+(699.5-650.5)+(-1.330488+(-0.71349--0.66351))+0-198.8--0.202776000000032</f>
        <v>1153.4223080000002</v>
      </c>
      <c r="H76" s="3">
        <f>1295.7+(694.9-671.2)+(0.660807+(0.354399-0.342312))+0-195.3-0.0996029999999802</f>
        <v>1124.6732910000003</v>
      </c>
      <c r="I76" s="3">
        <f>1307.2+(593.4-612.2)+(1.333344+(0.605268-0.624444))+0-195.8-0.199716000000031</f>
        <v>1093.7144520000002</v>
      </c>
      <c r="J76" s="3">
        <f>1310+(513.9-561.4)+(-1.3362+(-0.524178--0.572628))+0-194.1--0.197982000000031</f>
        <v>1067.3102320000003</v>
      </c>
      <c r="K76" s="3">
        <f>1319.3+(365.3-438.9)+(-1.345686+(-0.372606--0.447678))+0-191.5--0.195330000000031</f>
        <v>1053.124716</v>
      </c>
      <c r="L76" s="3">
        <f>1154.3+(407.7-349.5)+(-3.532158+(-1.247562--1.06947))+0-188.4--0.576504000000022</f>
        <v>1020.9662539999999</v>
      </c>
      <c r="M76" s="3">
        <f>1111.4+(416.1-286.1)+(2.267256+(0.848844-0.583644))+0-191.8-0.391271999999992</f>
        <v>1051.741184</v>
      </c>
      <c r="N76" s="3">
        <f>1097.9+(421-228.1)+(0+(0-0))+0-197.2-0</f>
        <v>1093.6000000000001</v>
      </c>
      <c r="O76" s="3">
        <f>1100+(463.2-206.1)+(-0.561+(-0.236232--0.105111))+0-196.9--0.10041899999998</f>
        <v>1159.6082979999996</v>
      </c>
      <c r="P76" s="3">
        <f>1123.4+(560.9-270.1)+(0+(0-0))+0-188.8-0</f>
        <v>1225.4000000000001</v>
      </c>
      <c r="Q76" s="3">
        <f>1072.1+(792.1-402.9)+(0+(0-0))+0-187-0</f>
        <v>1274.3</v>
      </c>
      <c r="R76" s="3">
        <f>1090+(955.3-585)+(0+(0-0))+0-186.6-0</f>
        <v>1273.7</v>
      </c>
      <c r="S76" s="3">
        <f>1117.9+(981.7-726.3)+(-2.280516+(-2.002668--1.481652))+0-190.8--0.389231999999992</f>
        <v>1180.0877000000003</v>
      </c>
      <c r="T76" s="3">
        <f>1068+(1186.3-802.6)+(0.54468+(0.605013-0.409326))+0-186.7-0.0952169999999811</f>
        <v>1265.6451499999998</v>
      </c>
      <c r="U76" s="3">
        <f>1111.5+(1082.4-784.2)+(-0.566865+(-0.552024--0.399942))+0-188.7--0.0962369999999809</f>
        <v>1220.3772899999999</v>
      </c>
      <c r="V76" s="3">
        <f>1117.7+(990.6-671.7)+(1.140054+(1.010412-0.685134))+0-190.8-0.19461600000003</f>
        <v>1247.0707159999999</v>
      </c>
      <c r="W76" s="3">
        <f>1158.3+(689-432.3)+(-1.772199+(-1.05417--0.661419))+0-193.1--0.295443000000011</f>
        <v>1220.030493</v>
      </c>
      <c r="X76" s="3">
        <f>1214.4+(372.8-226.7)+(-1.238688+(-0.380256--0.231234))+0-194.7--0.198594000000031</f>
        <v>1164.6108839999999</v>
      </c>
      <c r="Y76" s="3">
        <f>1248.3+(361-299)+(-1.273266+(-0.36822--0.30498))+0-192.5--0.196350000000031</f>
        <v>1116.6598439999998</v>
      </c>
      <c r="Z76" s="3">
        <f>1259.7+(599.3-437.1)+(0+(0-0))+0-195.4-0</f>
        <v>1226.5</v>
      </c>
      <c r="AA76" s="3">
        <f>1269.6+(728.1-541.6)+(-1.942488+(-1.113993--0.828648))+0-194.2--0.297126000000011</f>
        <v>1259.9692929999999</v>
      </c>
      <c r="AB76" s="3">
        <f>1270.7+(783-605)+(-1.296114+(-0.79866--0.6171))+0-192.3--0.196146000000031</f>
        <v>1255.1184720000001</v>
      </c>
      <c r="AC76" s="3">
        <f>1272.3+(755.9-611.8)+(1.297746+(0.771018-0.624036))+0-193.2-0.197064000000031</f>
        <v>1224.447664</v>
      </c>
      <c r="AD76" s="2">
        <v>1242.6000000000001</v>
      </c>
      <c r="AE76" s="3">
        <f>1265+(667.5-492.8)+(0+(0-0))+0-188.1-0</f>
        <v>1251.6000000000001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1259.5+(779.6-659.7)+(-1.28469+(-0.795192--0.672894))+0-193.3--0.197166000000031</f>
        <v>1184.8901780000001</v>
      </c>
      <c r="G77" s="3">
        <f>1263+(723.6-641.6)+(1.28826+(0.738072-0.654432))+0-194.4-0.198288000000031</f>
        <v>1151.773612</v>
      </c>
      <c r="H77" s="3">
        <f>1277.7+(644.5-610.2)+(-0.651627+(-0.328695--0.311202))+0-193.9--0.0988889999999803</f>
        <v>1117.5297689999998</v>
      </c>
      <c r="I77" s="3">
        <f>1292.4+(582.2-586.1)+(0+(0-0))+0-190.9-0</f>
        <v>1097.5999999999999</v>
      </c>
      <c r="J77" s="3">
        <f>1320.9+(427-481.3)+(-2.020977+(-0.65331--0.736389))+0-190--0.290700000000011</f>
        <v>1074.9528020000002</v>
      </c>
      <c r="K77" s="3">
        <f>1321.3+(326.7-410.4)+(-1.347726+(-0.333234--0.418608))+0-192.5--0.196350000000031</f>
        <v>1044.0339979999999</v>
      </c>
      <c r="L77" s="3">
        <f>1326.4+(289-418)+(-3.38232+(-0.73695--1.0659))+0-190.5--0.485774999999972</f>
        <v>1004.332405</v>
      </c>
      <c r="M77" s="3">
        <f>1322.6+(303.4-401.2)+(2.023578+(0.464202-0.613836))+0-191.3-0.292689000000011</f>
        <v>1035.0812549999998</v>
      </c>
      <c r="N77" s="3">
        <f>1316.7+(334-376.2)+(0.671517+(0.17034-0.191862))+0-192.9-0.0983789999999804</f>
        <v>1082.1516159999999</v>
      </c>
      <c r="O77" s="3">
        <f>1306.1+(354.7-353.5)+(1.332222+(0.361794-0.36057))+0-183.3-0.186966000000029</f>
        <v>1125.1464800000001</v>
      </c>
      <c r="P77" s="3">
        <f>1294.8+(404.6-328.9)+(0+(0-0))+0-182.7-0</f>
        <v>1187.8</v>
      </c>
      <c r="Q77" s="3">
        <f>1296.1+(564.8-441.5)+(-1.983033+(-0.864144--0.675495))+0-183.6--0.280908000000011</f>
        <v>1233.909226</v>
      </c>
      <c r="R77" s="3">
        <f>1335.6+(726.3-628.5)+(0.681156+(0.370413-0.320535))+0-185.8-0.0947579999999812</f>
        <v>1248.2362759999999</v>
      </c>
      <c r="S77" s="3">
        <f>1328.1+(827-727.4)+(-3.386655+(-2.10885--1.85487))+0-188.8--0.481439999999973</f>
        <v>1235.7408049999999</v>
      </c>
      <c r="T77" s="3">
        <f>1371.7+(872.7-815.2)+(-3.497835+(-2.225385--2.07876))+0-190.3--0.485264999999972</f>
        <v>1235.7408050000001</v>
      </c>
      <c r="U77" s="3">
        <f>1416.9+(819.1-800.1)+(0+(0-0))+0-187-0</f>
        <v>1248.9000000000001</v>
      </c>
      <c r="V77" s="3">
        <f>1408.4+(749.3-704.8)+(-2.154852+(-1.146429--1.078344))+0-193.4--0.295902000000011</f>
        <v>1257.5729650000001</v>
      </c>
      <c r="W77" s="3">
        <f>1408.4+(434.4-452.4)+(-3.59142+(-1.10772--1.15362))+0-192.3--0.490364999999972</f>
        <v>1195.0448450000001</v>
      </c>
      <c r="X77" s="3">
        <f>1412.5+(260-335.6)+(-3.601875+(-0.663--0.85578))+0-188.7--0.481184999999973</f>
        <v>1145.2720899999999</v>
      </c>
      <c r="Y77" s="3">
        <f>1418.2+(285.2-430.1)+(-2.169846+(-0.436356--0.658053))+0-186.4--0.285192000000011</f>
        <v>1085.2370429999999</v>
      </c>
      <c r="Z77" s="3">
        <f>1429.2+(561.5-561.9)+(1.457784+(0.57273-0.573138))+0-196-0.199920000000031</f>
        <v>1234.0574560000002</v>
      </c>
      <c r="AA77" s="3">
        <f>1437.8+(654.9-625.7)+(-0.733278+(-0.333999--0.319107))+0-197.1--0.10052099999998</f>
        <v>1269.2523510000001</v>
      </c>
      <c r="AB77" s="3">
        <f>1446+(693.1-670.2)+(-2.21238+(-1.060443--1.025406))+0-194.7--0.297891000000011</f>
        <v>1272.2504739999999</v>
      </c>
      <c r="AC77" s="3">
        <f>1452.7+(689.4-699.6)+(-1.481754+(-0.703188--0.713592))+0-195.4--0.199308000000031</f>
        <v>1245.8279579999999</v>
      </c>
      <c r="AD77" s="2">
        <v>1259.5</v>
      </c>
      <c r="AE77" s="3">
        <f>1431+(708.7-675.6)+(0+(0-0))+0-195.6-0</f>
        <v>1268.5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1456.7+(664.8-730.7)+(0+(0-0))+0-191-0</f>
        <v>1199.8</v>
      </c>
      <c r="G78" s="3">
        <f>1464.9+(619.9-692)+(-2.988396+(-1.264596--1.41168))+0-195--0.397799999999991</f>
        <v>1195.3564880000001</v>
      </c>
      <c r="H78" s="3">
        <f>1471.8+(555.3-677)+(-3.75309+(-1.416015--1.72635))+0-195--0.497249999999972</f>
        <v>1152.1544949999998</v>
      </c>
      <c r="I78" s="3">
        <f>1478.9+(428.3-580.7)+(-1.508478+(-0.436866--0.592314))+0-195.7--0.199614000000031</f>
        <v>1129.6465840000001</v>
      </c>
      <c r="J78" s="3">
        <f>1496.1+(369.7-542.7)+(-0.763011+(-0.188547--0.276777))+0-197.1--0.10052099999998</f>
        <v>1125.4257400000001</v>
      </c>
      <c r="K78" s="3">
        <f>1498.6+(298.1-509.9)+(-0.764286+(-0.152031--0.260049))+0-196.6--0.10026599999998</f>
        <v>1089.643998</v>
      </c>
      <c r="L78" s="3">
        <f>1500.2+(266.1-505.1)+(0+(0-0))+0-195-0</f>
        <v>1066.2</v>
      </c>
      <c r="M78" s="3">
        <f>1497.1+(255.3-457.5)+(2.290563+(0.390609-0.699975))+0-197.6-0.302328000000011</f>
        <v>1098.978869</v>
      </c>
      <c r="N78" s="3">
        <f>1496.2+(266.3-391.4)+(-2.289186+(-0.407439--0.598842))+0-192.7--0.294831000000011</f>
        <v>1176.5970480000001</v>
      </c>
      <c r="O78" s="3">
        <f>1483.1+(288.2-355)+(0+(0-0))+0-188.7-0</f>
        <v>1227.5999999999999</v>
      </c>
      <c r="P78" s="3">
        <f>1469.6+(322-318.2)+(0+(0-0))+0-186.9-0</f>
        <v>1286.4999999999998</v>
      </c>
      <c r="Q78" s="3">
        <f>1454.2+(387.4-357.1)+(0+(0-0))+0-178.2-0</f>
        <v>1306.3</v>
      </c>
      <c r="R78" s="3">
        <f>1469.5+(521.1-485.5)+(1.49889+(0.531522-0.49521))+0-183.2-0.186864000000029</f>
        <v>1323.2483379999999</v>
      </c>
      <c r="S78" s="3">
        <f>1465.8+(654.1-613.2)+(-0.747558+(-0.333591--0.312732))+0-183.9--0.0937889999999813</f>
        <v>1322.1253719999997</v>
      </c>
      <c r="T78" s="3">
        <f>1452.5+(704.4-657.2)+(-0.740775+(-0.359244--0.335172))+0-181.5--0.0925649999999816</f>
        <v>1317.5277179999998</v>
      </c>
      <c r="U78" s="3">
        <f>1450.3+(674.1-641.2)+(0+(0-0))+0-169.5-0</f>
        <v>1313.6999999999998</v>
      </c>
      <c r="V78" s="3">
        <f>1447.6+(562.4-511.6)+(-2.953104+(-1.147296--1.043664))+0-167.6--0.341903999999993</f>
        <v>1328.0851679999998</v>
      </c>
      <c r="W78" s="3">
        <f>1433.9+(354.1-343.4)+(-4.387734+(-1.083546--1.050804))+0-167.1--0.511326000000019</f>
        <v>1273.5908500000003</v>
      </c>
      <c r="X78" s="3">
        <f>1421.5+(273.4-331.7)+(-6.524685+(-1.254906--1.522503))+0-167.4--0.768366000000029</f>
        <v>1190.3112779999999</v>
      </c>
      <c r="Y78" s="3">
        <f>1429.4+(303.6-415.6)+(-3.64497+(-0.77418--1.05978))+0-166.5--0.424574999999976</f>
        <v>1147.9652050000002</v>
      </c>
      <c r="Z78" s="3">
        <f>1438.9+(411-408.8)+(-2.201517+(-0.62883--0.625464))+0-170.2--0.26040600000001</f>
        <v>1268.9555230000001</v>
      </c>
      <c r="AA78" s="3">
        <f>1447.6+(578.2-539.5)+(-0.738276+(-0.294882--0.275145))+0-175.1--0.0893009999999822</f>
        <v>1310.5312880000001</v>
      </c>
      <c r="AB78" s="3">
        <f>1463+(635.9-626.5)+(-3.73065+(-1.621545--1.597575))+0-181.6--0.463079999999974</f>
        <v>1287.5084600000002</v>
      </c>
      <c r="AC78" s="3">
        <f>1470.5+(579.9-595.6)+(-2.99982+(-1.182996--1.215024))+0-182.6--0.372503999999992</f>
        <v>1269.6047120000001</v>
      </c>
      <c r="AD78" s="2">
        <v>1292.6000000000001</v>
      </c>
      <c r="AE78" s="3">
        <f>1439+(571.5-543.1)+(0+(0-0))+0-165.8-0</f>
        <v>1301.6000000000001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1478+(438.1-525.3)+(-0.75378+(-0.223431--0.267903))+0-181.3--0.0924629999999816</f>
        <v>1208.8831550000002</v>
      </c>
      <c r="G79" s="3">
        <f>1482+(411.4-536.1)+(0+(0-0))+0-179-0</f>
        <v>1178.3</v>
      </c>
      <c r="H79" s="3">
        <f>1487.1+(385.4-544.8)+(-0.758421+(-0.196554--0.277848))+0-183.1--0.0933809999999814</f>
        <v>1144.0162539999999</v>
      </c>
      <c r="I79" s="3">
        <f>1504.4+(340.3-544.8)+(-2.301732+(-0.520659--0.833544))+0-184.9--0.282897000000011</f>
        <v>1113.29405</v>
      </c>
      <c r="J79" s="3">
        <f>1506.9+(297.9-523.7)+(-2.305557+(-0.455787--0.801261))+0-177.5--0.27157500000001</f>
        <v>1101.911492</v>
      </c>
      <c r="K79" s="3">
        <f>1517.8+(257.2-540.5)+(-3.87039+(-0.65586--1.378275))+0-176.8--0.450839999999974</f>
        <v>1055.0028649999999</v>
      </c>
      <c r="L79" s="3">
        <f>1523.8+(232.2-539.2)+(-2.331414+(-0.355266--0.824976))+0-180.2--0.27570600000001</f>
        <v>1035.0140019999999</v>
      </c>
      <c r="M79" s="3">
        <f>1511.1+(262.5-512.4)+(2.311983+(0.401625-0.783972))+0-185.4-0.283662000000011</f>
        <v>1077.4459739999998</v>
      </c>
      <c r="N79" s="3">
        <f>1499.9+(279.2-450)+(3.824745+(0.71196-1.1475))+0-187.7-0.478634999999973</f>
        <v>1144.3105700000001</v>
      </c>
      <c r="O79" s="3">
        <f>1469.3+(349-359.1)+(1.498686+(0.35598-0.366282))+0-191.1-0.19492200000003</f>
        <v>1269.3934619999998</v>
      </c>
      <c r="P79" s="3">
        <f>1458.9+(306.2-311.1)+(-2.232117+(-0.468486--0.475983))+0-187.1--0.286263000000011</f>
        <v>1264.9616430000001</v>
      </c>
      <c r="Q79" s="3">
        <f>1449.2+(345.6-298.3)+(2.217276+(0.528768-0.456399))+0-180.8-0.27662400000001</f>
        <v>1317.713021</v>
      </c>
      <c r="R79" s="3">
        <f>1434.1+(495.7-434.7)+(0+(0-0))+0-183.1-0</f>
        <v>1312</v>
      </c>
      <c r="S79" s="3">
        <f>1423.3+(665.6-584)+(-0.725883+(-0.339456--0.29784))+0-185.7--0.0947069999999812</f>
        <v>1318.527208</v>
      </c>
      <c r="T79" s="3">
        <f>1414.3+(732.6-625.8)+(-0.721293+(-0.373626--0.319158))+0-186--0.0948599999999811</f>
        <v>1334.4190989999997</v>
      </c>
      <c r="U79" s="3">
        <f>1404.5+(731.9-616.2)+(0.716295+(0.373269-0.314262))+0-183.6-0.0936359999999814</f>
        <v>1337.2816659999999</v>
      </c>
      <c r="V79" s="3">
        <f>1418.8+(708.8-614.1)+(-1.447176+(-0.722976--0.626382))+0-183.3--0.186966000000029</f>
        <v>1328.843196</v>
      </c>
      <c r="W79" s="3">
        <f>1426.7+(450.6-414.7)+(-2.910468+(-0.919224--0.845988))+0-184--0.375359999999992</f>
        <v>1275.9916560000001</v>
      </c>
      <c r="X79" s="3">
        <f>1421.2+(266.7-294.9)+(-1.449624+(-0.272034--0.300798))+0-182.8--0.186456000000029</f>
        <v>1208.9655960000002</v>
      </c>
      <c r="Y79" s="3">
        <f>1432.1+(252.9-361.6)+(-2.921484+(-0.515916--0.737664))+0-179--0.365159999999992</f>
        <v>1142.0654239999999</v>
      </c>
      <c r="Z79" s="3">
        <f>1447.2+(330.2-347.3)+(-0.738072+(-0.168402--0.177123))+0-181--0.0923099999999816</f>
        <v>1248.462959</v>
      </c>
      <c r="AA79" s="3">
        <f>1453.6+(404.6-382.4)+(-2.224008+(-0.619038--0.585072))+0-187.8--0.287334000000011</f>
        <v>1286.02936</v>
      </c>
      <c r="AB79" s="3">
        <f>1475.5+(429.3-438.2)+(0+(0-0))+0-186.4-0</f>
        <v>1280.1999999999998</v>
      </c>
      <c r="AC79" s="3">
        <f>1481.9+(456.2-497.6)+(-2.267307+(-0.697986--0.761328))+0-187.5--0.286875000000011</f>
        <v>1251.0829100000001</v>
      </c>
      <c r="AD79" s="2">
        <v>1251.6999999999998</v>
      </c>
      <c r="AE79" s="3">
        <f>1443+(426.8-418.7)+(0+(0-0))+0-190.4-0</f>
        <v>1260.6999999999998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1454.7+(489.1-512.3)+(-1.483794+(-0.498882--0.522546))+0-177.6--0.181152000000028</f>
        <v>1252.6210220000003</v>
      </c>
      <c r="G80" s="3">
        <f>1439.5+(443.8-494.6)+(-1.46829+(-0.452676--0.504492))+0-177.7--0.181254000000028</f>
        <v>1209.76478</v>
      </c>
      <c r="H80" s="3">
        <f>1444+(363.5-471.4)+(0+(0-0))+0-173.8-0</f>
        <v>1162.3</v>
      </c>
      <c r="I80" s="3">
        <f>1447.6+(317.3-449)+(-0.738276+(-0.161823--0.22899))+0-179.9--0.0917489999999817</f>
        <v>1135.4206399999998</v>
      </c>
      <c r="J80" s="3">
        <f>1456.4+(265-416.8)+(-2.228292+(-0.40545--0.637704))+0-181.2--0.27723600000001</f>
        <v>1121.681198</v>
      </c>
      <c r="K80" s="3">
        <f>1471.4+(233.4-446.8)+(-1.500828+(-0.238068--0.455736))+0-182.7--0.186354000000029</f>
        <v>1074.2031939999999</v>
      </c>
      <c r="L80" s="3">
        <f>1474.1+(249.9-498)+(-3.007164+(-0.509796--1.01592))+0-176.1--0.359243999999992</f>
        <v>1047.758204</v>
      </c>
      <c r="M80" s="3">
        <f>1451.6+(244.4-418.8)+(2.220948+(0.373932-0.640764))+0-179.6-0.27478800000001</f>
        <v>1099.2793280000001</v>
      </c>
      <c r="N80" s="3">
        <f>1431.7+(267.7-351)+(2.190501+(0.409581-0.53703))+0-184.7-0.282591000000011</f>
        <v>1165.4804610000001</v>
      </c>
      <c r="O80" s="3">
        <f>1424.5+(281.4-283.4)+(0+(0-0))+0-183.6-0</f>
        <v>1238.9000000000001</v>
      </c>
      <c r="P80" s="3">
        <f>1411.4+(364.1-291.9)+(0.719814+(0.185691-0.148869))+0-183.3-0.0934829999999814</f>
        <v>1300.9631530000004</v>
      </c>
      <c r="Q80" s="3">
        <f>1405+(523.4-375.4)+(0+(0-0))+0-184.5-0</f>
        <v>1368.5</v>
      </c>
      <c r="R80" s="3">
        <f>1401.4+(720.7-602.3)+(0+(0-0))+0-188.3-0</f>
        <v>1331.5000000000002</v>
      </c>
      <c r="S80" s="3">
        <f>1409.3+(867.4-749.3)+(-2.156229+(-1.327122--1.146429))+0-186.2--0.284886000000011</f>
        <v>1339.147964</v>
      </c>
      <c r="T80" s="3">
        <f>1402.9+(885.5-768.2)+(-1.430958+(-0.90321--0.783564))+0-176.2--0.179724000000028</f>
        <v>1342.6291200000001</v>
      </c>
      <c r="U80" s="3">
        <f>1384.6+(759.6-674.8)+(-2.824584+(-1.549584--1.376592))+0-178.2--0.363527999999992</f>
        <v>1288.5659520000002</v>
      </c>
      <c r="V80" s="3">
        <f>1379.7+(678.8-583.9)+(0.703647+(0.346188-0.297789))+0-181.9-0.0927689999999815</f>
        <v>1293.3592769999998</v>
      </c>
      <c r="W80" s="3">
        <f>1412.1+(392.3-349.4)+(0+(0-0))+0-189.8-0</f>
        <v>1265.2</v>
      </c>
      <c r="X80" s="3">
        <f>1408.8+(265.6-306.8)+(-1.436976+(-0.270912--0.312936))+0-189.6--0.19339200000003</f>
        <v>1176.79844</v>
      </c>
      <c r="Y80" s="3">
        <f>1420.3+(318.2-438.3)+(-0.724353+(-0.162282--0.223533))+0-187.8--0.0957779999999809</f>
        <v>1111.8326759999998</v>
      </c>
      <c r="Z80" s="3">
        <f>1426.1+(390-406.4)+(1.454622+(0.3978-0.414528))+0-189.6-0.19339200000003</f>
        <v>1221.3445019999997</v>
      </c>
      <c r="AA80" s="3">
        <f>1463.9+(409.4-437.3)+(-2.239767+(-0.626382--0.669069))+0-192.5--0.294525000000011</f>
        <v>1241.5974450000001</v>
      </c>
      <c r="AB80" s="3">
        <f>1464.2+(463.7-502.2)+(-1.493484+(-0.472974--0.512244))+0-185.5--0.18921000000003</f>
        <v>1238.934996</v>
      </c>
      <c r="AC80" s="3">
        <f>1464.3+(474.8-537.4)+(0.746793+(0.242148-0.274074))+0-188.6-0.0961859999999809</f>
        <v>1213.7186810000001</v>
      </c>
      <c r="AD80" s="2">
        <v>1219.0999999999999</v>
      </c>
      <c r="AE80" s="3">
        <f>1446+(473.1-500)+(0+(0-0))+0-191-0</f>
        <v>1228.0999999999999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1455.2+(450-540)+(-0.742152+(-0.2295--0.2754))+0-191.2--0.0975119999999806</f>
        <v>1173.4012600000001</v>
      </c>
      <c r="G81" s="3">
        <f>1472.9+(381.8-505.1)+(-0.751179+(-0.194718--0.257601))+0-191.5--0.0976649999999806</f>
        <v>1157.5093690000001</v>
      </c>
      <c r="H81" s="3">
        <f>1478.9+(324.5-485)+(0+(0-0))+0-190.1-0</f>
        <v>1128.3000000000002</v>
      </c>
      <c r="I81" s="3">
        <f>1474.1+(287.4-460.2)+(0+(0-0))+0-190.4-0</f>
        <v>1110.8999999999999</v>
      </c>
      <c r="J81" s="3">
        <f>1474.3+(286.2-478)+(-3.007572+(-0.583848--0.97512))+0-188.6--0.384743999999992</f>
        <v>1091.6684440000001</v>
      </c>
      <c r="K81" s="3">
        <f>1479.9+(241.4-470.3)+(-3.773745+(-0.61557--1.199265))+0-188.3--0.480164999999973</f>
        <v>1059.9901150000001</v>
      </c>
      <c r="L81" s="3">
        <f>1485.9+(219.5-497.6)+(-3.789045+(-0.559725--1.26888))+0-185.9--0.474044999999973</f>
        <v>1019.2941550000002</v>
      </c>
      <c r="M81" s="3">
        <f>1469.2+(238.7-482.5)+(1.498584+(0.243474-0.49215))+0-189.1-0.19288200000003</f>
        <v>1037.3570260000001</v>
      </c>
      <c r="N81" s="3">
        <f>1451.3+(254.5-428.5)+(-0.740163+(-0.129795--0.218535))+0-194.1--0.0989909999999803</f>
        <v>1082.6475680000001</v>
      </c>
      <c r="O81" s="3">
        <f>1433.1+(279.9-380.5)+(-1.461762+(-0.285498--0.38811))+0-194.8--0.198696000000031</f>
        <v>1136.539546</v>
      </c>
      <c r="P81" s="3">
        <f>1417.1+(338.9-351.1)+(0+(0-0))+0-191.9-0</f>
        <v>1212.9999999999998</v>
      </c>
      <c r="Q81" s="3">
        <f>1399.6+(401.1-376.7)+(0.713796+(0.204561-0.192117))+0-192.4-0.0981239999999805</f>
        <v>1232.228116</v>
      </c>
      <c r="R81" s="3">
        <f>1418.7+(501.8-445.7)+(1.447074+(0.511836-0.454614))+0-191.4-0.195228000000031</f>
        <v>1284.7090680000001</v>
      </c>
      <c r="S81" s="3">
        <f>1416.4+(623.4-562.8)+(-0.722364+(-0.317934--0.287028))+0-192.4--0.0981239999999805</f>
        <v>1283.9448539999999</v>
      </c>
      <c r="T81" s="3">
        <f>1407.3+(688.8-614.5)+(0+(0-0))+0-185.8-0</f>
        <v>1295.8</v>
      </c>
      <c r="U81" s="3">
        <f>1408.3+(689.3-642.7)+(-1.436466+(-0.703086--0.655554))+0-169.9--0.173298000000027</f>
        <v>1283.6892999999998</v>
      </c>
      <c r="V81" s="3">
        <f>1401.7+(588.2-532.8)+(0+(0-0))+0-189.5-0</f>
        <v>1267.6000000000001</v>
      </c>
      <c r="W81" s="3">
        <f>1403.7+(338.2-329.7)+(-1.431774+(-0.344964--0.336294))+0-192.5--0.196350000000031</f>
        <v>1218.4559059999999</v>
      </c>
      <c r="X81" s="3">
        <f>1398.9+(247.5-309.7)+(-1.426878+(-0.25245--0.315894))+0-191.7--0.195534000000031</f>
        <v>1143.8320999999999</v>
      </c>
      <c r="Y81" s="3">
        <f>1406.5+(337.5-461)+(-1.43463+(-0.34425--0.47022))+0-191.7--0.195534000000031</f>
        <v>1090.186874</v>
      </c>
      <c r="Z81" s="3">
        <f>1433.6+(346.5-360.9)+(1.462272+(0.35343-0.368118))+0-193.9-0.197778000000031</f>
        <v>1226.5498059999998</v>
      </c>
      <c r="AA81" s="3">
        <f>1467+(429.2-434.8)+(-0.74817+(-0.218892--0.221748))+0-196.3--0.10011299999998</f>
        <v>1264.4547990000001</v>
      </c>
      <c r="AB81" s="3">
        <f>1463+(465-480.3)+(1.49226+(0.4743-0.489906))+0-195.4-0.199308000000031</f>
        <v>1253.577346</v>
      </c>
      <c r="AC81" s="3">
        <f>1471.1+(496.5-527.6)+(-1.500522+(-0.50643--0.538152))+0-194.6--0.198492000000031</f>
        <v>1244.129692</v>
      </c>
      <c r="AD81" s="2">
        <v>1222.3999999999999</v>
      </c>
      <c r="AE81" s="3">
        <f>1459+(446.8-475.7)+(0+(0-0))+0-198.7-0</f>
        <v>1231.3999999999999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1477.3+(484.4-577)+(-0.753423+(-0.247044--0.29427))+0-194.1--0.0989909999999803</f>
        <v>1189.992794</v>
      </c>
      <c r="G82" s="3">
        <f>1475.5+(481-603.1)+(-3.762525+(-1.22655--1.537905))+0-191.2--0.487559999999972</f>
        <v>1159.23639</v>
      </c>
      <c r="H82" s="3">
        <f>1479.6+(422.2-583.5)+(-1.509192+(-0.430644--0.59517))+0-189.9--0.19369800000003</f>
        <v>1127.2490319999999</v>
      </c>
      <c r="I82" s="3">
        <f>1483.7+(356.4-541.5)+(-1.513374+(-0.363528--0.55233))+0-189.2--0.19298400000003</f>
        <v>1108.2684119999999</v>
      </c>
      <c r="J82" s="3">
        <f>1479.8+(338.5-531.6)+(-0.754698+(-0.172635--0.271116))+0-189.8--0.0967979999999807</f>
        <v>1096.3405809999999</v>
      </c>
      <c r="K82" s="3">
        <f>1484+(286.2-523)+(-3.7842+(-0.72981--1.33365))+0-185.2--0.472259999999973</f>
        <v>1059.2918999999999</v>
      </c>
      <c r="L82" s="3">
        <f>1484.5+(248.7-516.3)+(-1.51419+(-0.253674--0.526626))+0-182.4--0.186048000000029</f>
        <v>1033.44481</v>
      </c>
      <c r="M82" s="3">
        <f>1486.4+(246.2-433.1)+(-3.79032+(-0.62781--1.104405))+0-188.3--0.480164999999973</f>
        <v>1108.36644</v>
      </c>
      <c r="N82" s="3">
        <f>1461.1+(323.2-445)+(-0.745161+(-0.164832--0.22695))+0-193.1--0.0984809999999804</f>
        <v>1145.615438</v>
      </c>
      <c r="O82" s="3">
        <f>1447.4+(403.9-456.7)+(-0.738174+(-0.205989--0.232917))+0-189--0.0963899999999808</f>
        <v>1204.985144</v>
      </c>
      <c r="P82" s="3">
        <f>1436.7+(386.8-363.4)+(-1.465434+(-0.394536--0.370668))+0-187.5--0.19125000000003</f>
        <v>1271.3019480000003</v>
      </c>
      <c r="Q82" s="3">
        <f>1440.9+(416.9-323.7)+(0+(0-0))+0-189.9-0</f>
        <v>1344.2</v>
      </c>
      <c r="R82" s="3">
        <f>1440.4+(620.1-501.4)+(-2.203812+(-0.948753--0.767142))+0-192.8--0.294984000000011</f>
        <v>1364.2095610000003</v>
      </c>
      <c r="S82" s="3">
        <f>1432.7+(705.6-589.5)+(-2.922708+(-1.439424--1.20258))+0-194--0.395759999999992</f>
        <v>1352.036208</v>
      </c>
      <c r="T82" s="3">
        <f>1427.9+(748.4-611.1)+(1.456458+(0.763368-0.623322))+0-197.3-0.201246000000031</f>
        <v>1369.2952580000001</v>
      </c>
      <c r="U82" s="3">
        <f>1417.3+(731.1-594.4)+(-0.722823+(-0.372861--0.303144))+0-195.3--0.0996029999999802</f>
        <v>1358.007063</v>
      </c>
      <c r="V82" s="3">
        <f>1408.5+(593.5-462.5)+(-2.155005+(-0.908055--0.707625))+0-196.8--0.301104000000011</f>
        <v>1340.6456690000002</v>
      </c>
      <c r="W82" s="3">
        <f>1384.7+(389.1-252)+(0+(0-0))+0-197-0</f>
        <v>1324.8000000000002</v>
      </c>
      <c r="X82" s="3">
        <f>1385.2+(357.1-317.3)+(-1.412904+(-0.364242--0.323646))+0-191.6--0.195432000000031</f>
        <v>1232.141932</v>
      </c>
      <c r="Y82" s="3">
        <f>1400.5+(368.1-406.6)+(0+(0-0))+0-189.1-0</f>
        <v>1172.9000000000001</v>
      </c>
      <c r="Z82" s="3">
        <f>1427.3+(398.8-351.9)+(0.727923+(0.203388-0.179469))+0-195.8-0.0998579999999801</f>
        <v>1279.0519839999999</v>
      </c>
      <c r="AA82" s="3">
        <f>1458.3+(508-444)+(-2.974932+(-1.03632--0.90576))+0-199.2--0.406367999999991</f>
        <v>1320.4008759999999</v>
      </c>
      <c r="AB82" s="3">
        <f>1470.3+(532.8-501.8)+(-3.749265+(-1.35864--1.27959))+0-197.7--0.504134999999971</f>
        <v>1300.2758199999998</v>
      </c>
      <c r="AC82" s="3">
        <f>1456.1+(533.8-507.1)+(-2.227833+(-0.816714--0.775863))+0-196.7--0.300951000000011</f>
        <v>1284.1322669999997</v>
      </c>
      <c r="AD82" s="2">
        <v>1297.2</v>
      </c>
      <c r="AE82" s="3">
        <f>1448+(515.2-468.3)+(0+(0-0))+0-188.7-0</f>
        <v>1306.2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1437.1+(541.9-555.4)+(-3.664605+(-1.381845--1.41627))+0-196.3--0.500564999999972</f>
        <v>1224.1703849999999</v>
      </c>
      <c r="G83" s="3">
        <f>1432.6+(454.4-496.2)+(-1.461252+(-0.463488--0.506124))+0-194.2--0.198084000000031</f>
        <v>1195.3794680000001</v>
      </c>
      <c r="H83" s="3">
        <f>1438.3+(419.8-514.8)+(0.733533+(0.214098-0.262548))+0-192.2-0.0980219999999805</f>
        <v>1151.6870610000001</v>
      </c>
      <c r="I83" s="3">
        <f>1442.7+(408.7-526.3)+(2.943108+(0.833748-1.073652))+0-193.2-0.394127999999992</f>
        <v>1134.2090760000001</v>
      </c>
      <c r="J83" s="3">
        <f>1461.3+(342.3-489.5)+(-2.235789+(-0.523719--0.748935))+0-193--0.295290000000011</f>
        <v>1119.3847169999999</v>
      </c>
      <c r="K83" s="3">
        <f>1461.4+(287.7-469.4)+(-3.72657+(-0.733635--1.19697))+0-192.1--0.489854999999972</f>
        <v>1084.8266200000003</v>
      </c>
      <c r="L83" s="3">
        <f>1457.9+(264.9-494.1)+(-1.487058+(-0.270198--0.503982))+0-191.8--0.195636000000031</f>
        <v>1035.8423620000001</v>
      </c>
      <c r="M83" s="3">
        <f>1455.4+(278.8-454.7)+(0+(0-0))+0-195-0</f>
        <v>1084.5</v>
      </c>
      <c r="N83" s="3">
        <f>1443.3+(301.4-379.6)+(2.208249+(0.461142-0.580788))+0-200-0.306000000000012</f>
        <v>1166.8826029999998</v>
      </c>
      <c r="O83" s="3">
        <f>1454.2+(312.3-329.3)+(0+(0-0))+0-194.9-0</f>
        <v>1242.3</v>
      </c>
      <c r="P83" s="3">
        <f>1442.3+(334.9-287.9)+(0.735573+(0.170799-0.146829))+0-185.5-0.0946049999999812</f>
        <v>1304.4649379999998</v>
      </c>
      <c r="Q83" s="3">
        <f>1434.6+(422.2-290.5)+(-1.463292+(-0.430644--0.29631))+0-191.8--0.195636000000031</f>
        <v>1373.0980099999999</v>
      </c>
      <c r="R83" s="3">
        <f>1428.2+(558.7-414)+(-0.728382+(-0.284937--0.21114))+0-186.8--0.0952679999999811</f>
        <v>1385.3930890000001</v>
      </c>
      <c r="S83" s="3">
        <f>1416.1+(730.8-584.5)+(-2.166633+(-1.118124--0.894285))+0-188.6--0.288558000000011</f>
        <v>1371.6980859999999</v>
      </c>
      <c r="T83" s="3">
        <f>1394.9+(718.5-637.1)+(-2.134197+(-1.099305--0.974763))+0-189.4--0.289782000000011</f>
        <v>1284.931043</v>
      </c>
      <c r="U83" s="3">
        <f>1396.7+(701.5-611.4)+(-3.561585+(-1.788825--1.55907))+0-183.2--0.467159999999973</f>
        <v>1300.2758200000001</v>
      </c>
      <c r="V83" s="3">
        <f>1398+(595.5-482.9)+(-0.71298+(-0.303705--0.246279))+0-185.3--0.0945029999999812</f>
        <v>1324.6240969999999</v>
      </c>
      <c r="W83" s="3">
        <f>1404.2+(388.2-314.5)+(-2.864568+(-0.791928--0.64158))+0-187.9--0.383315999999992</f>
        <v>1287.3683999999998</v>
      </c>
      <c r="X83" s="3">
        <f>1417.8+(323.9-343.2)+(-3.61539+(-0.825945--0.87516))+0-185.2--0.472259999999973</f>
        <v>1210.206085</v>
      </c>
      <c r="Y83" s="3">
        <f>1428+(395.2-488.4)+(-2.18484+(-0.604656--0.747252))+0-185.7--0.284121000000011</f>
        <v>1147.3418769999998</v>
      </c>
      <c r="Z83" s="3">
        <f>1447.8+(426.3-442.5)+(0+(0-0))+0-182.2-0</f>
        <v>1249.3999999999999</v>
      </c>
      <c r="AA83" s="3">
        <f>1458.8+(499.2-495.1)+(-2.231964+(-0.763776--0.757503))+0-183.4--0.280602000000011</f>
        <v>1277.5423649999998</v>
      </c>
      <c r="AB83" s="3">
        <f>1468.2+(501.1-524.3)+(-4.492692+(-1.533366--1.604358))+0-183.5--0.561510000000021</f>
        <v>1257.6398099999999</v>
      </c>
      <c r="AC83" s="3">
        <f>1461.6+(559.3-610.8)+(0+(0-0))+0-179.5-0</f>
        <v>1230.5999999999999</v>
      </c>
      <c r="AD83" s="2">
        <v>1297.6000000000001</v>
      </c>
      <c r="AE83" s="3">
        <f>1457+(505.9-475.1)+(0+(0-0))+0-181.2-0</f>
        <v>1306.5999999999999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1445.4+(513.6-553.6)+(-1.474308+(-0.523872--0.564672))+0-177.5--0.181050000000028</f>
        <v>1226.6475420000002</v>
      </c>
      <c r="G84" s="3">
        <f>1438.7+(483.3-557)+(0+(0-0))+0-177.5-0</f>
        <v>1187.5</v>
      </c>
      <c r="H84" s="3">
        <f>1445.1+(429.1-508.7)+(-0.737001+(-0.218841--0.259437))+0-172.6--0.0880259999999825</f>
        <v>1192.2916210000001</v>
      </c>
      <c r="I84" s="3">
        <f>1449.4+(375.8-522.6)+(-2.217582+(-0.574974--0.799578))+0-175.4--0.26836200000001</f>
        <v>1125.4753840000001</v>
      </c>
      <c r="J84" s="3">
        <f>1452.2+(343.2-469.5)+(-3.70311+(-0.87516--1.197225))+0-175.1--0.446504999999975</f>
        <v>1147.86546</v>
      </c>
      <c r="K84" s="3">
        <f>1453.4+(304.2-462.5)+(-3.70617+(-0.77571--1.179375))+0-172.5--0.439874999999975</f>
        <v>1119.7373700000001</v>
      </c>
      <c r="L84" s="3">
        <f>1428.6+(270.9-471.9)+(-1.457172+(-0.276318--0.481338))+0-169.3--0.172686000000027</f>
        <v>1057.220534</v>
      </c>
      <c r="M84" s="3">
        <f>1437.4+(322.4-497.6)+(2.199222+(0.493272-0.761328))+0-171.2-0.26193600000001</f>
        <v>1092.66923</v>
      </c>
      <c r="N84" s="3">
        <f>1429.9+(374.8-494.2)+(-0.729249+(-0.191148--0.252042))+0-167.9--0.085628999999983</f>
        <v>1142.0172739999998</v>
      </c>
      <c r="O84" s="3">
        <f>1459.9+(394.4-485.3)+(-1.489098+(-0.402288--0.495006))+0-165.3--0.168606000000026</f>
        <v>1202.4722260000001</v>
      </c>
      <c r="P84" s="3">
        <f>1456+(432.2-469.9)+(-1.48512+(-0.440844--0.479298))+0-160.7--0.163914000000026</f>
        <v>1256.3172479999998</v>
      </c>
      <c r="Q84" s="3">
        <f>1445.8+(461.5-412.8)+(1.474716+(0.47073-0.421056))+0-161-0.164220000000026</f>
        <v>1334.8601699999999</v>
      </c>
      <c r="R84" s="3">
        <f>1460.6+(586.2-534.9)+(0+(0-0))+0-160.8-0</f>
        <v>1351.1000000000001</v>
      </c>
      <c r="S84" s="3">
        <f>1448.6+(676.5-602.9)+(-0.738786+(-0.345015--0.307479))+0-163.6--0.0834359999999834</f>
        <v>1357.9071139999999</v>
      </c>
      <c r="T84" s="3">
        <f>1438.4+(689.6-613)+(0.733584+(0.351696-0.31263))+0-165.2-0.0842519999999832</f>
        <v>1350.4883980000002</v>
      </c>
      <c r="U84" s="3">
        <f>1434+(664.5-595.4)+(1.46268+(0.67779-0.607308))+0-171.9-0.175338000000027</f>
        <v>1332.5578239999998</v>
      </c>
      <c r="V84" s="3">
        <f>1429.9+(574-470.1)+(-2.187747+(-0.87822--0.719253))+0-170.2--0.26040600000001</f>
        <v>1361.5136920000002</v>
      </c>
      <c r="W84" s="3">
        <f>1436.8+(359.6-347.1)+(-4.396608+(-1.100376--1.062126))+0-167.8--0.513468000000019</f>
        <v>1277.57861</v>
      </c>
      <c r="X84" s="3">
        <f>1441.6+(340.7-402.4)+(-1.470432+(-0.347514--0.410448))+0-166.9--0.170238000000027</f>
        <v>1211.7627399999997</v>
      </c>
      <c r="Y84" s="3">
        <f>1457.7+(352.3-477.7)+(-4.460562+(-1.078038--1.461762))+0-165--0.504900000000019</f>
        <v>1163.7280620000001</v>
      </c>
      <c r="Z84" s="3">
        <f>1473.8+(391.1-413.3)+(1.503276+(0.398922-0.421566))+0-166.1-0.169422000000026</f>
        <v>1286.8112100000001</v>
      </c>
      <c r="AA84" s="3">
        <f>1497+(450-469.5)+(-2.29041+(-0.6885--0.718335))+0-170.1--0.26025300000001</f>
        <v>1305.399678</v>
      </c>
      <c r="AB84" s="3">
        <f>1491+(457.2-484.4)+(-0.76041+(-0.233172--0.247044))+0-162.7--0.0829769999999835</f>
        <v>1300.4364389999998</v>
      </c>
      <c r="AC84" s="3">
        <f>1487.3+(467.3-516.8)+(-2.275569+(-0.714969--0.790704))+0-170.1--0.26025300000001</f>
        <v>1265.760419</v>
      </c>
      <c r="AD84" s="2">
        <v>1289.5</v>
      </c>
      <c r="AE84" s="3">
        <f>1488+(484.7-520.6)+(0+(0-0))+0-153.6-0</f>
        <v>1298.5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1490.5+(473.5-501.1)+(-3.04062+(-0.96594--1.022244))+0-172.9--0.352715999999992</f>
        <v>1287.3684000000001</v>
      </c>
      <c r="G85" s="3">
        <f>1492.4+(396.3-465.3)+(-1.522248+(-0.404226--0.474606))+0-177.9--0.181458000000028</f>
        <v>1244.2295899999999</v>
      </c>
      <c r="H85" s="3">
        <f>1500.9+(326.3-445.3)+(-0.765459+(-0.166413--0.227103))+0-178.9--0.0912389999999818</f>
        <v>1202.3864700000001</v>
      </c>
      <c r="I85" s="3">
        <f>1519.2+(319.1-479.2)+(-2.324376+(-0.488223--0.733176))+0-180.8--0.27662400000001</f>
        <v>1176.4972010000004</v>
      </c>
      <c r="J85" s="3">
        <f>1530.6+(297.3-489.2)+(-2.341818+(-0.454869--0.748476))+0-183.4--0.280602000000011</f>
        <v>1153.5323909999997</v>
      </c>
      <c r="K85" s="3">
        <f>1528.9+(266.5-496.2)+(-3.118956+(-0.54366--1.012248))+0-181.2--0.369647999999992</f>
        <v>1115.71928</v>
      </c>
      <c r="L85" s="3">
        <f>1535.8+(243.7-573.5)+(0+(0-0))+0-178.5-0</f>
        <v>1027.5</v>
      </c>
      <c r="M85" s="3">
        <f>1513.8+(265.3-519.7)+(-2.316114+(-0.405909--0.795141))+0-183.6--0.280908000000011</f>
        <v>1074.1540259999999</v>
      </c>
      <c r="N85" s="3">
        <f>1486+(367.9-513.6)+(0+(0-0))+0-196.9-0</f>
        <v>1143.3999999999999</v>
      </c>
      <c r="O85" s="3">
        <f>1477+(327.9-382.6)+(1.50654+(0.334458-0.390252))+0-181.5-0.185130000000029</f>
        <v>1242.0656159999999</v>
      </c>
      <c r="P85" s="3">
        <f>1468+(363.8-340)+(2.24604+(0.556614-0.5202))+0-179.1-0.27402300000001</f>
        <v>1314.708431</v>
      </c>
      <c r="Q85" s="3">
        <f>1452.4+(437.5-369.4)+(1.481448+(0.44625-0.376788))+0-177.8-0.181356000000028</f>
        <v>1344.0695539999999</v>
      </c>
      <c r="R85" s="3">
        <f>1451.7+(558.3-386.4)+(2.961468+(1.138932-0.788256))+0-174.1-0.355163999999992</f>
        <v>1452.4569799999999</v>
      </c>
      <c r="S85" s="3">
        <f>1451+(710.8-601.8)+(0.74001+(0.362508-0.306918))+0-173.3-0.0883829999999824</f>
        <v>1387.4072169999999</v>
      </c>
      <c r="T85" s="3">
        <f>1451.5+(689.3-595.3)+(-0.740265+(-0.351543--0.303603))+0-183.2--0.0934319999999814</f>
        <v>1361.6052269999998</v>
      </c>
      <c r="U85" s="3">
        <f>1450.8+(610.4-580.4)+(0+(0-0))+0-181-0</f>
        <v>1299.8</v>
      </c>
      <c r="V85" s="3">
        <f>1450.5+(472.9-409)+(0+(0-0))+0-185-0</f>
        <v>1329.4</v>
      </c>
      <c r="W85" s="3">
        <f>1450.7+(313.3-294.1)+(-0.739857+(-0.159783--0.149991))+0-184.2--0.0939419999999813</f>
        <v>1285.0442929999999</v>
      </c>
      <c r="X85" s="3">
        <f>1451.2+(265.9-343.5)+(-0.740112+(-0.135609--0.175185))+0-179.1--0.0913409999999818</f>
        <v>1193.890805</v>
      </c>
      <c r="Y85" s="3">
        <f>1451.4+(346.4-487.5)+(-3.70107+(-0.88332--1.243125))+0-180.9--0.461294999999974</f>
        <v>1126.5200300000001</v>
      </c>
      <c r="Z85" s="3">
        <f>1511.8+(386-438.8)+(1.542036+(0.39372-0.447576))+0-185-0.18870000000003</f>
        <v>1275.2994800000001</v>
      </c>
      <c r="AA85" s="3">
        <f>1524.8+(467.8-484.6)+(-3.110592+(-0.954312--0.988584))+0-184.5--0.376379999999992</f>
        <v>1320.80006</v>
      </c>
      <c r="AB85" s="3">
        <f>1527.3+(452.3-500.3)+(-2.336769+(-0.692019--0.765459))+0-180.9--0.27677700000001</f>
        <v>1296.4134479999998</v>
      </c>
      <c r="AC85" s="3">
        <f>1509.7+(501.9-547.3)+(-0.769947+(-0.255969--0.279123))+0-181.9--0.0927689999999815</f>
        <v>1281.7459760000002</v>
      </c>
      <c r="AD85" s="2">
        <v>1319.1999999999998</v>
      </c>
      <c r="AE85" s="3">
        <f>1517+(480.7-489.6)+(0+(0-0))+0-179.9-0</f>
        <v>1328.1999999999998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1493.9+(469.1-562)+(0+(0-0))+0-181.9-0</f>
        <v>1219.0999999999999</v>
      </c>
      <c r="G86" s="3">
        <f>1520.3+(371.2-542.6)+(-3.101412+(-0.757248--1.106904))+0-174.9--0.356795999999992</f>
        <v>1171.6050399999999</v>
      </c>
      <c r="H86" s="3">
        <f>1527.8+(327.8-543.2)+(-1.558356+(-0.334356--0.554064))+0-167.9--0.171258000000027</f>
        <v>1143.3326099999999</v>
      </c>
      <c r="I86" s="3">
        <f>1531+(291.4-538.7)+(2.34243+(0.445842-0.824211))+0-166.2-0.25428600000001</f>
        <v>1119.2097749999996</v>
      </c>
      <c r="J86" s="3">
        <f>1530.8+(260.2-511.5)+(-0.780708+(-0.132702--0.260865))+0-167.7--0.085526999999983</f>
        <v>1111.232982</v>
      </c>
      <c r="K86" s="3">
        <f>1538.4+(229.4-526.4)+(-3.92292+(-0.58497--1.34232))+0-168.4--0.429419999999976</f>
        <v>1070.26385</v>
      </c>
      <c r="L86" s="3">
        <f>1537.1+(214-552.8)+(-1.567842+(-0.21828--0.563856))+0-167.1--0.170442000000027</f>
        <v>1030.1481760000001</v>
      </c>
      <c r="M86" s="3">
        <f>1523.6+(229-507.9)+(2.331108+(0.35037-0.777087))+0-170.1-0.26025300000001</f>
        <v>1076.244138</v>
      </c>
      <c r="N86" s="3">
        <f>1504.2+(246.9-440.9)+(-0.767142+(-0.125919--0.224859))+0-165.8--0.0845579999999832</f>
        <v>1143.816356</v>
      </c>
      <c r="O86" s="3">
        <f>1488.1+(272.8-375.2)+(2.276793+(0.417384-0.574056))+0-160.8-0.246024000000009</f>
        <v>1226.7740969999998</v>
      </c>
      <c r="P86" s="3">
        <f>1486.5+(329.1-356.5)+(0.758115+(0.167841-0.181815))+0-165.3-0.0843029999999832</f>
        <v>1294.4598379999998</v>
      </c>
      <c r="Q86" s="3">
        <f>1479.1+(441.6-397.7)+(0+(0-0))+0-168.5-0</f>
        <v>1354.5</v>
      </c>
      <c r="R86" s="3">
        <f>1470.1+(577.2-522.2)+(0+(0-0))+0-160.5-0</f>
        <v>1364.6</v>
      </c>
      <c r="S86" s="3">
        <f>1468+(673.5-657.6)+(-1.49736+(-0.68697--0.670752))+0-161--0.164220000000026</f>
        <v>1321.5506420000002</v>
      </c>
      <c r="T86" s="3">
        <f>1490+(678-712.2)+(-0.7599+(-0.34578--0.363222))+0-152.6--0.0778259999999845</f>
        <v>1302.5353680000001</v>
      </c>
      <c r="U86" s="3">
        <f>1502.4+(614.9-670.3)+(-0.766224+(-0.313599--0.341853))+0-151.1--0.0770609999999847</f>
        <v>1295.2390910000001</v>
      </c>
      <c r="V86" s="3">
        <f>1486.7+(489.9-550.7)+(-3.032868+(-0.999396--1.123428))+0-151.6--0.309263999999993</f>
        <v>1271.7004280000001</v>
      </c>
      <c r="W86" s="3">
        <f>1482.4+(277.4-381.5)+(-1.512048+(-0.282948--0.38913))+0-157--0.160140000000025</f>
        <v>1220.0542740000001</v>
      </c>
      <c r="X86" s="3">
        <f>1479.8+(240.7-393.3)+(-2.264094+(-0.368271--0.601749))+0-160.3--0.245259000000009</f>
        <v>1165.1146429999999</v>
      </c>
      <c r="Y86" s="3">
        <f>1480.8+(269.2-442.6)+(-1.510416+(-0.274584--0.451452))+0-165--0.168300000000026</f>
        <v>1141.2347519999998</v>
      </c>
      <c r="Z86" s="3">
        <f>1497.3+(395.7-451.4)+(0.763623+(0.201807-0.230214))+0-178-0.0907799999999819</f>
        <v>1264.244436</v>
      </c>
      <c r="AA86" s="3">
        <f>1523.8+(494.2-552.5)+(-3.108552+(-1.008168--1.1271))+0-181.2--0.369647999999992</f>
        <v>1281.680028</v>
      </c>
      <c r="AB86" s="3">
        <f>1523.6+(520.2-589.1)+(0+(0-0))+0-181.9-0</f>
        <v>1272.7999999999997</v>
      </c>
      <c r="AC86" s="3">
        <f>1512.3+(560.5-629.6)+(-0.771273+(-0.285855--0.321096))+0-186.8--0.0952679999999811</f>
        <v>1255.7592359999999</v>
      </c>
      <c r="AD86" s="2">
        <v>1244.2999999999997</v>
      </c>
      <c r="AE86" s="3">
        <f>1519+(483.8-575.6)+(0+(0-0))+0-173.9-0</f>
        <v>1253.3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1506.1+(618.9-735.4)+(-3.072444+(-1.262556--1.500216))+0-189.4--0.386375999999992</f>
        <v>1197.7515919999998</v>
      </c>
      <c r="G87" s="3">
        <f>1511+(533.3-684.9)+(0+(0-0))+0-188.2-0</f>
        <v>1171.2</v>
      </c>
      <c r="H87" s="3">
        <f>1524.3+(475.6-678)+(1.554786+(0.485112-0.69156))+0-189.8-0.19359600000003</f>
        <v>1133.2547420000001</v>
      </c>
      <c r="I87" s="3">
        <f>1534.3+(412.2-651.2)+(0+(0-0))+0-189.3-0</f>
        <v>1106</v>
      </c>
      <c r="J87" s="3">
        <f>1532.9+(349.5-600.4)+(1.563558+(0.35649-0.612408))+0-188.5-0.19227000000003</f>
        <v>1094.61537</v>
      </c>
      <c r="K87" s="3">
        <f>1537.8+(258.2-554.1)+(-3.92139+(-0.65841--1.412955))+0-186.5--0.475574999999973</f>
        <v>1052.7087299999998</v>
      </c>
      <c r="L87" s="3">
        <f>1542.5+(208-539.5)+(-2.360025+(-0.31824--0.825435))+0-185.3--0.283509000000011</f>
        <v>1024.1306790000001</v>
      </c>
      <c r="M87" s="3">
        <f>1531.7+(216.4-494.7)+(2.343501+(0.331092-0.756891))+0-191.1-0.292383000000011</f>
        <v>1063.9253190000002</v>
      </c>
      <c r="N87" s="3">
        <f>1514+(240.2-415.7)+(0.77214+(0.122502-0.212007))+0-196.7-0.10031699999998</f>
        <v>1142.3823179999999</v>
      </c>
      <c r="O87" s="3">
        <f>1501+(281.9-382.9)+(1.53102+(0.287538-0.390558))+0-190.7-0.19451400000003</f>
        <v>1210.533486</v>
      </c>
      <c r="P87" s="3">
        <f>1484.7+(399.4-423.9)+(1.514394+(0.407388-0.432378))+0-194.6-0.198492000000031</f>
        <v>1266.8909120000001</v>
      </c>
      <c r="Q87" s="3">
        <f>1480+(545.7-511.9)+(-2.2644+(-0.834921--0.783207))+0-196.2--0.300186000000011</f>
        <v>1315.5840720000001</v>
      </c>
      <c r="R87" s="3">
        <f>1476.3+(684.8-640)+(0+(0-0))+0-193.3-0</f>
        <v>1327.8</v>
      </c>
      <c r="S87" s="3">
        <f>1474.2+(821-778.5)+(-4.511052+(-2.51226--2.38221))+0-188.7--0.577422000000022</f>
        <v>1323.93632</v>
      </c>
      <c r="T87" s="3">
        <f>1462.8+(801-786.9)+(-1.492056+(-0.81702--0.802638))+0-176.7--0.180234000000028</f>
        <v>1298.8737960000001</v>
      </c>
      <c r="U87" s="3">
        <f>1456+(775.7-775.3)+(-1.48512+(-0.791214--0.790806))+0-168.1--0.171462000000027</f>
        <v>1286.9859340000003</v>
      </c>
      <c r="V87" s="3">
        <f>1443.3+(661.9-647.3)+(-2.208249+(-1.012707--0.990369))+0-176.3--0.26973900000001</f>
        <v>1279.6391520000002</v>
      </c>
      <c r="W87" s="3">
        <f>1435+(394.1-418.2)+(-0.73185+(-0.200991--0.213282))+0-188.2--0.0959819999999809</f>
        <v>1222.0764230000002</v>
      </c>
      <c r="X87" s="3">
        <f>1436.9+(253.8-359)+(-2.931276+(-0.517752--0.73236))+0-189--0.385559999999992</f>
        <v>1140.368892</v>
      </c>
      <c r="Y87" s="3">
        <f>1447.6+(265.3-424.4)+(0+(0-0))+0-186-0</f>
        <v>1102.5</v>
      </c>
      <c r="Z87" s="3">
        <f>1467.1+(435.8-487)+(0+(0-0))+0-186.4-0</f>
        <v>1229.4999999999998</v>
      </c>
      <c r="AA87" s="3">
        <f>1496.5+(531-587.6)+(-2.289645+(-0.81243--0.899028))+0-185.6--0.283968000000011</f>
        <v>1252.3809210000002</v>
      </c>
      <c r="AB87" s="3">
        <f>1500.9+(556.2-622.1)+(-3.061836+(-1.134648--1.269084))+0-188.2--0.383927999999992</f>
        <v>1244.2565279999999</v>
      </c>
      <c r="AC87" s="3">
        <f>1482.1+(558.1-634.2)+(-0.755871+(-0.284631--0.323442))+0-184.9--0.0942989999999812</f>
        <v>1220.4772390000001</v>
      </c>
      <c r="AD87" s="2">
        <v>1222.1000000000001</v>
      </c>
      <c r="AE87" s="3">
        <f>1498+(545.7-626)+(0+(0-0))+0-186.6-0</f>
        <v>1231.1000000000001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1292.9+(738.1-678.3)+(-1.318758+(-0.752862--0.691866))+0-177.8--0.181356000000028</f>
        <v>1173.7016020000003</v>
      </c>
      <c r="G88" s="3">
        <f>1282.5+(666-636)+(-3.92445+(-2.03796--1.94616))+0-176.3--0.53947800000002</f>
        <v>1132.7232280000001</v>
      </c>
      <c r="H88" s="3">
        <f>1314+(595-619.7)+(-2.68056+(-1.2138--1.264188))+0-181.9--0.371075999999992</f>
        <v>1105.1409039999999</v>
      </c>
      <c r="I88" s="3">
        <f>1436+(370.3-545.8)+(-3.6618+(-0.944265--1.39179))+0-180.9--0.461294999999974</f>
        <v>1076.8470199999999</v>
      </c>
      <c r="J88" s="3">
        <f>1500.3+(317.9-574.5)+(0+(0-0))+0-181.1-0</f>
        <v>1062.5999999999999</v>
      </c>
      <c r="K88" s="3">
        <f>1506+(206.1-505.8)+(-2.30418+(-0.315333--0.773874))+0-183.9--0.281367000000011</f>
        <v>1020.8357280000001</v>
      </c>
      <c r="L88" s="3">
        <f>1439+(252-522.6)+(0.73389+(0.12852-0.266526))+0-181.9-0.0927689999999815</f>
        <v>987.00311500000021</v>
      </c>
      <c r="M88" s="3">
        <f>1417.1+(279.9-513.9)+(0.722721+(0.142749-0.262089))+0-187.4-0.095573999999981</f>
        <v>996.20780699999989</v>
      </c>
      <c r="N88" s="3">
        <f>1412.3+(245.8-415.1)+(0+(0-0))+0-188-0</f>
        <v>1055</v>
      </c>
      <c r="O88" s="3">
        <f>1411.9+(269.9-395.6)+(0.720069+(0.137649-0.201756))+0-183.2-0.0934319999999814</f>
        <v>1103.5625300000002</v>
      </c>
      <c r="P88" s="3">
        <f>1396.5+(302.6-364.7)+(0.712215+(0.154326-0.185997))+0-187.5-0.095624999999981</f>
        <v>1147.4849190000002</v>
      </c>
      <c r="Q88" s="3">
        <f>1428.7+(422.3-465.2)+(2.185911+(0.646119-0.711756))+0-190.1-0.290853000000011</f>
        <v>1197.5294210000004</v>
      </c>
      <c r="R88" s="3">
        <f>1437.9+(550.1-571.2)+(4.399974+(1.683306-1.747872))+0-190.7-0.583542000000022</f>
        <v>1229.851866</v>
      </c>
      <c r="S88" s="3">
        <f>1430.5+(748.5-732.5)+(1.45911+(0.76347-0.74715))+0-202.5-0.206550000000032</f>
        <v>1245.2688799999999</v>
      </c>
      <c r="T88" s="3">
        <f>1409.9+(831.1-788.6)+(2.157147+(1.271583-1.206558))+0-204.4-0.312732000000012</f>
        <v>1249.9094399999999</v>
      </c>
      <c r="U88" s="3">
        <f>1395.1+(805.3-775)+(0.711501+(0.410703-0.39525))+0-199.9-0.10194899999998</f>
        <v>1226.1250049999999</v>
      </c>
      <c r="V88" s="3">
        <f>1395.3+(659.1-643.5)+(0.711603+(0.336141-0.328185))+0-203.8-0.103937999999979</f>
        <v>1207.7156210000001</v>
      </c>
      <c r="W88" s="3">
        <f>1394.9+(395.6-436.2)+(0+(0-0))+0-203.5-0</f>
        <v>1150.8000000000002</v>
      </c>
      <c r="X88" s="3">
        <f>1397.1+(227.7-327.9)+(-1.425042+(-0.232254--0.334458))+0-200.1--0.204102000000032</f>
        <v>1095.6812639999998</v>
      </c>
      <c r="Y88" s="3">
        <f>1400.9+(240.9-376.4)+(0+(0-0))+0-197.9-0</f>
        <v>1067.5</v>
      </c>
      <c r="Z88" s="3">
        <f>1421.6+(488.1-511.2)+(2.175048+(0.746793-0.782136))+0-200.9-0.307377000000012</f>
        <v>1199.4323279999999</v>
      </c>
      <c r="AA88" s="3">
        <f>1440.2+(609.3-601.5)+(2.938008+(1.242972-1.22706))+0-197.5-0.402899999999991</f>
        <v>1253.0510199999999</v>
      </c>
      <c r="AB88" s="3">
        <f>1434.9+(662.9-652.6)+(-0.731799+(-0.338079--0.332826))+0-196.9--0.10041899999998</f>
        <v>1247.6633669999999</v>
      </c>
      <c r="AC88" s="3">
        <f>1426.3+(769.8-775.4)+(0.727413+(0.392598-0.395454))+0-197.5-0.10072499999998</f>
        <v>1223.8238319999998</v>
      </c>
      <c r="AD88" s="2">
        <v>1233.9999999999998</v>
      </c>
      <c r="AE88" s="3">
        <f>1435+(647.7-640)+(0+(0-0))+0-200.7-0</f>
        <v>1242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1436.8+(747.2-814.1)+(-1.465536+(-0.762144--0.830382))+0-196--0.199920000000031</f>
        <v>1172.702622</v>
      </c>
      <c r="G89" s="3">
        <f>1443.3+(687.7-791.1)+(-4.416498+(-2.104362--2.420766))+0-197--0.602820000000023</f>
        <v>1139.4027260000003</v>
      </c>
      <c r="H89" s="3">
        <f>1453.3+(575.5-722.7)+(-1.482366+(-0.58701--0.737154))+0-196.5--0.200430000000031</f>
        <v>1108.468208</v>
      </c>
      <c r="I89" s="3">
        <f>1467.3+(491-671.6)+(1.496646+(0.50082-0.685032))+0-196.9-0.200838000000031</f>
        <v>1090.9115959999997</v>
      </c>
      <c r="J89" s="3">
        <f>1477.6+(489.6-691)+(3.014304+(0.998784-1.40964))+0-195.2-0.398207999999991</f>
        <v>1083.2052399999998</v>
      </c>
      <c r="K89" s="3">
        <f>1487.2+(367.6-622.4)+(-1.516944+(-0.374952--0.634848))+0-194.9--0.198798000000031</f>
        <v>1036.4417500000002</v>
      </c>
      <c r="L89" s="3">
        <f>1480.7+(325.2-616.2)+(3.775785+(0.82926-1.57131))+0-192.4-0.490619999999972</f>
        <v>999.84311500000013</v>
      </c>
      <c r="M89" s="3">
        <f>1477.1+(263.6-486)+(2.259963+(0.403308-0.74358))+0-192.1-0.293913000000011</f>
        <v>1064.225778</v>
      </c>
      <c r="N89" s="3">
        <f>1431.4+(288.4-388.2)+(3.65007+(0.73542-0.98991))+0-203.6-0.51917999999997</f>
        <v>1130.8764000000003</v>
      </c>
      <c r="O89" s="3">
        <f>1405.6+(317.7-336)+(3.58428+(0.810135-0.8568))+0-185.2-0.472259999999973</f>
        <v>1205.1653549999999</v>
      </c>
      <c r="P89" s="3">
        <f>1393.6+(419.3-358.9)+(1.421472+(0.427686-0.366078))+0-192.2-0.196044000000031</f>
        <v>1263.0870359999999</v>
      </c>
      <c r="Q89" s="3">
        <f>1417.6+(493.8-421.8)+(3.61488+(1.25919-1.07559))+0-184.7-0.470984999999973</f>
        <v>1308.2274949999999</v>
      </c>
      <c r="R89" s="3">
        <f>1430.1+(632.3-582.4)+(1.458702+(0.644946-0.594048))+0-201.2-0.205224000000032</f>
        <v>1280.104376</v>
      </c>
      <c r="S89" s="3">
        <f>1437.8+(632.2-614.5)+(-0.733278+(-0.322422--0.313395))+0-203--0.103529999999979</f>
        <v>1251.8612250000001</v>
      </c>
      <c r="T89" s="3">
        <f>1433.1+(677.8-651.4)+(0.730881+(0.345678-0.332214))+0-201.8-0.10291799999998</f>
        <v>1258.3414270000001</v>
      </c>
      <c r="U89" s="3">
        <f>1431.9+(604.4-551.3)+(0+(0-0))+0-199.9-0</f>
        <v>1285.0999999999999</v>
      </c>
      <c r="V89" s="3">
        <f>1405.3+(549.6-473.6)+(-0.716703+(-0.280296--0.241536))+0-198--0.10097999999998</f>
        <v>1282.6455169999999</v>
      </c>
      <c r="W89" s="3">
        <f>1409+(314.6-283.6)+(-4.31154+(-0.962676--0.867816))+0-195.2--0.597312000000022</f>
        <v>1240.990912</v>
      </c>
      <c r="X89" s="3">
        <f>1410.7+(230.2-241.9)+(-2.877828+(-0.469608--0.493476))+0-195.6--0.399023999999991</f>
        <v>1200.9450640000002</v>
      </c>
      <c r="Y89" s="3">
        <f>1418.8+(256.2-323.4)+(-3.61794+(-0.65331--0.82467))+0-198.9--0.507194999999971</f>
        <v>1149.7606149999997</v>
      </c>
      <c r="Z89" s="3">
        <f>1438.1+(367.5-337.7)+(0+(0-0))+0-204.2-0</f>
        <v>1263.6999999999998</v>
      </c>
      <c r="AA89" s="3">
        <f>1482.5+(447.7-441.3)+(-2.268225+(-0.684981--0.675189))+0-207.9--0.318087000000012</f>
        <v>1279.04007</v>
      </c>
      <c r="AB89" s="3">
        <f>1476.7+(485.5-468.9)+(0+(0-0))+0-203.9-0</f>
        <v>1289.4000000000001</v>
      </c>
      <c r="AC89" s="3">
        <f>1437.5+(560.3-531.3)+(-2.9325+(-1.143012--1.083852))+0-202.4--0.412895999999991</f>
        <v>1261.521236</v>
      </c>
      <c r="AD89" s="2">
        <v>1278.5</v>
      </c>
      <c r="AE89" s="3">
        <f>1479+(455.8-439.7)+(0+(0-0))+0-207.6-0</f>
        <v>1287.5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1435.3+(484.5-514.9)+(-2.928012+(-0.98838--1.050396))+0-200--0.407999999999991</f>
        <v>1202.442004</v>
      </c>
      <c r="G90" s="3">
        <f>1440.7+(430.2-509.2)+(-0.734757+(-0.219402--0.259692))+0-199.7--0.10184699999998</f>
        <v>1161.4073799999999</v>
      </c>
      <c r="H90" s="3">
        <f>1460.1+(349.8-475.3)+(-2.233953+(-0.535194--0.727209))+0-201.6--0.308448000000012</f>
        <v>1131.2665099999999</v>
      </c>
      <c r="I90" s="3">
        <f>1468+(290.2-439.3)+(-3.7434+(-0.74001--1.120215))+0-203.4--0.518669999999971</f>
        <v>1112.655475</v>
      </c>
      <c r="J90" s="3">
        <f>1468+(311.2-490.3)+(-0.74868+(-0.158712--0.250053))+0-199.6--0.10179599999998</f>
        <v>1088.744457</v>
      </c>
      <c r="K90" s="3">
        <f>1481.9+(280.1-515.2)+(-3.778845+(-0.714255--1.31376))+0-197.1--0.502604999999971</f>
        <v>1047.0232650000003</v>
      </c>
      <c r="L90" s="3">
        <f>1485.6+(250.7-527)+(0.757656+(0.127857-0.26877))+0-195-0.0994499999999802</f>
        <v>1014.8172930000001</v>
      </c>
      <c r="M90" s="3">
        <f>1479+(222.3-439.5)+(2.26287+(0.340119-0.672435))+0-199.4-0.305082000000012</f>
        <v>1064.0254719999998</v>
      </c>
      <c r="N90" s="3">
        <f>1460.1+(235.2-347.3)+(2.233953+(0.359856-0.531369))+0-202.2-0.309366000000012</f>
        <v>1147.5530739999999</v>
      </c>
      <c r="O90" s="3">
        <f>1445.6+(328.1-333.3)+(-0.737256+(-0.167331--0.169983))+0-199.6--0.10179599999998</f>
        <v>1240.1671919999999</v>
      </c>
      <c r="P90" s="3">
        <f>1427.7+(339.9-318.6)+(0+(0-0))+0-193.6-0</f>
        <v>1255.4000000000001</v>
      </c>
      <c r="Q90" s="3">
        <f>1411.4+(345-249.2)+(0+(0-0))+0-193.2-0</f>
        <v>1314</v>
      </c>
      <c r="R90" s="3">
        <f>1405.1+(522.8-417.6)+(1.433202+(0.533256-0.425952))+0-193.1-0.196962000000031</f>
        <v>1318.5435439999999</v>
      </c>
      <c r="S90" s="3">
        <f>1404.3+(456.8-498.4)+(-2.148579+(-0.698904--0.762552))+51.2-196.9--0.301257000000011</f>
        <v>1215.216326</v>
      </c>
      <c r="T90" s="3">
        <f>1407.4+(556.9-491.8)+(-2.153322+(-0.852057--0.752454))+0-197.7--0.302481000000011</f>
        <v>1272.8495559999999</v>
      </c>
      <c r="U90" s="3">
        <f>1389.1+(594-499)+(-1.416882+(-0.60588--0.50898))+0-192.2--0.196044000000031</f>
        <v>1290.5822619999999</v>
      </c>
      <c r="V90" s="3">
        <f>1385.9+(375.4-290.9)+(0.706809+(0.191454-0.148359))+0-199.5-0.10174499999998</f>
        <v>1271.5481590000002</v>
      </c>
      <c r="W90" s="3">
        <f>1387.3+(307.6-206.6)+(-2.122569+(-0.470628--0.316098))+0-200.6--0.306918000000012</f>
        <v>1285.7298190000001</v>
      </c>
      <c r="X90" s="3">
        <f>1389.9+(351.3-337.3)+(-0.708849+(-0.179163--0.172023))+0-200.2--0.10210199999998</f>
        <v>1203.0861130000001</v>
      </c>
      <c r="Y90" s="3">
        <f>1427+(419.7-504.9)+(-0.72777+(-0.214047--0.257499))+0-203.8--0.103937999999979</f>
        <v>1137.4196199999999</v>
      </c>
      <c r="Z90" s="3">
        <f>1469.9+(357.6-371.2)+(-0.749649+(-0.182376--0.189312))+0-207.8--0.105977999999979</f>
        <v>1247.8632650000002</v>
      </c>
      <c r="AA90" s="3">
        <f>1490.5+(343.3-331.3)+(-5.321085+(-1.225581--1.182741))+0-210.7--0.752199000000003</f>
        <v>1287.1882739999999</v>
      </c>
      <c r="AB90" s="3">
        <f>1499.3+(337.2-351.8)+(-0.764643+(-0.171972--0.179418))+0-205.2--0.104651999999979</f>
        <v>1278.8474549999999</v>
      </c>
      <c r="AC90" s="3">
        <f>1478+(336-349.6)+(-0.75378+(-0.17136--0.178296))+0-197.1--0.10052099999998</f>
        <v>1266.6536770000002</v>
      </c>
      <c r="AD90" s="2">
        <v>1265.4000000000001</v>
      </c>
      <c r="AE90" s="3">
        <f>1482+(342.2-339.4)+(0+(0-0))+0-210.4-0</f>
        <v>1274.3999999999999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1521+(311.6-422.2)+(0+(0-0))+0-198.2-0</f>
        <v>1212.2</v>
      </c>
      <c r="G91" s="3">
        <f>1535.2+(285.7-460.8)+(-3.91476+(-0.728535--1.17504))+0-191.8--0.489089999999972</f>
        <v>1165.320835</v>
      </c>
      <c r="H91" s="3">
        <f>1534.5+(263.6-476)+(-0.782595+(-0.134436--0.24276))+0-194.7--0.0992969999999802</f>
        <v>1126.8250259999998</v>
      </c>
      <c r="I91" s="3">
        <f>1544.9+(255.5-497)+(0+(0-0))+0-195.3-0</f>
        <v>1108.1000000000001</v>
      </c>
      <c r="J91" s="3">
        <f>1542.8+(251.9-504)+(-1.573656+(-0.256938--0.51408))+0-193.2--0.197064000000031</f>
        <v>1096.3805499999999</v>
      </c>
      <c r="K91" s="3">
        <f>1544.7+(224.8-510.3)+(-3.938985+(-0.57324--1.301265))+0-192.8--0.491639999999972</f>
        <v>1063.6806799999999</v>
      </c>
      <c r="L91" s="3">
        <f>1551.2+(204.1-527.3)+(-1.582224+(-0.208182--0.537846))+0-191.4--0.195228000000031</f>
        <v>1035.542668</v>
      </c>
      <c r="M91" s="3">
        <f>1545+(248.8-548.1)+(0+(0-0))+0-193.6-0</f>
        <v>1052.1000000000001</v>
      </c>
      <c r="N91" s="3">
        <f>1530.6+(272.6-514.4)+(-1.561212+(-0.278052--0.524688))+0-194.1--0.197982000000031</f>
        <v>1093.5834060000002</v>
      </c>
      <c r="O91" s="3">
        <f>1511.6+(306.6-469.3)+(1.541832+(0.312732-0.478686))+0-194.3-0.198186000000031</f>
        <v>1155.7776919999999</v>
      </c>
      <c r="P91" s="3">
        <f>1494.7+(394.4-469.7)+(0.762297+(0.201144-0.239547))+0-194.8-0.0993479999999802</f>
        <v>1225.2245460000001</v>
      </c>
      <c r="Q91" s="3">
        <f>1481.7+(367.5-383.6)+(1.511334+(0.37485-0.391272))+0-196.9-0.200838000000031</f>
        <v>1269.994074</v>
      </c>
      <c r="R91" s="3">
        <f>1467.1+(415.2-420.7)+(0.748221+(0.211752-0.214557))+0-194.9-0.0993989999999802</f>
        <v>1267.3460169999998</v>
      </c>
      <c r="S91" s="3">
        <f>1462.1+(467-463.6)+(-1.491342+(-0.47634--0.472872))+0-195.1--0.199002000000031</f>
        <v>1269.1041920000002</v>
      </c>
      <c r="T91" s="3">
        <f>1456.2+(597.4-597.8)+(-2.227986+(-0.914022--0.914634))+0-195.1--0.298503000000011</f>
        <v>1258.7711290000002</v>
      </c>
      <c r="U91" s="3">
        <f>1449.2+(585.3-580.8)+(-0.739092+(-0.298503--0.296208))+0-190--0.0968999999999807</f>
        <v>1263.055513</v>
      </c>
      <c r="V91" s="3">
        <f>1442.7+(524.8-495.2)+(1.471554+(0.535296-0.505104))+0-192.6-0.196452000000031</f>
        <v>1281.0052939999998</v>
      </c>
      <c r="W91" s="3">
        <f>1445.5+(337.2-337)+(-1.47441+(-0.343944--0.34374))+0-192.4--0.196248000000031</f>
        <v>1252.0216339999999</v>
      </c>
      <c r="X91" s="3">
        <f>1448.7+(313-397.3)+(-2.955348+(-0.63852--0.810492))+0-192.9--0.393515999999992</f>
        <v>1169.11014</v>
      </c>
      <c r="Y91" s="3">
        <f>1459.5+(383.4-540.5)+(-1.48869+(-0.391068--0.55131))+0-196.3--0.200226000000031</f>
        <v>1104.9717780000001</v>
      </c>
      <c r="Z91" s="3">
        <f>1481.1+(320.5-381.3)+(0+(0-0))+0-198-0</f>
        <v>1222.3</v>
      </c>
      <c r="AA91" s="3">
        <f>1486.4+(402.1-421)+(-3.032256+(-0.820284--0.85884))+0-201.7--0.411467999999991</f>
        <v>1263.217768</v>
      </c>
      <c r="AB91" s="3">
        <f>1494.5+(443.6-458.8)+(-3.04878+(-0.904944--0.935952))+0-198.2--0.404327999999991</f>
        <v>1278.4865560000001</v>
      </c>
      <c r="AC91" s="3">
        <f>1480.1+(440.1-465.1)+(-0.754851+(-0.224451--0.237201))+0-196.6--0.10026599999998</f>
        <v>1257.8581649999999</v>
      </c>
      <c r="AD91" s="2">
        <v>1260.1000000000001</v>
      </c>
      <c r="AE91" s="3">
        <f>1493+(454.9-480.1)+(0+(0-0))+0-197.7-0</f>
        <v>1270.0999999999999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1491.2+(391.6-462.8)+(-1.521024+(-0.399432--0.472056))+0-200.1--0.204102000000032</f>
        <v>1218.655702</v>
      </c>
      <c r="G92" s="3">
        <f>1499.6+(345.6-465.2)+(-3.059184+(-0.705024--0.949008))+0-195.3--0.398411999999992</f>
        <v>1182.283212</v>
      </c>
      <c r="H92" s="3">
        <f>1507.7+(323-486.1)+(-2.306781+(-0.49419--0.743733))+0-188.5--0.288405000000011</f>
        <v>1154.3311669999998</v>
      </c>
      <c r="I92" s="3">
        <f>1519.4+(289.4-486)+(-3.099576+(-0.590376--0.99144))+0-188.9--0.385355999999992</f>
        <v>1131.5868440000002</v>
      </c>
      <c r="J92" s="3">
        <f>1511+(257.1-456.6)+(0.77061+(0.131121-0.232866))+0-188.3-0.0960329999999809</f>
        <v>1123.7728320000001</v>
      </c>
      <c r="K92" s="3">
        <f>1514.1+(217.2-438.9)+(-3.088764+(-0.443088--0.895356))+0-187.4--0.382295999999992</f>
        <v>1102.7457999999997</v>
      </c>
      <c r="L92" s="3">
        <f>1511.1+(229.5-467.8)+(3.082644+(0.46818-0.954312))+0-183.9-0.375155999999992</f>
        <v>1091.1213559999999</v>
      </c>
      <c r="M92" s="3">
        <f>1511.3+(283.1-484.3)+(0+(0-0))+0-181.3-0</f>
        <v>1128.8</v>
      </c>
      <c r="N92" s="3">
        <f>1473.5+(325.9-422)+(1.50297+(0.332418-0.43044))+0-188.8-0.19257600000003</f>
        <v>1189.8123720000003</v>
      </c>
      <c r="O92" s="3">
        <f>1458.5+(321.6-330.1)+(0+(0-0))+0-188-0</f>
        <v>1262</v>
      </c>
      <c r="P92" s="3">
        <f>1446.3+(344-237)+(1.475226+(0.35088-0.24174))+0-187-0.19074000000003</f>
        <v>1367.693626</v>
      </c>
      <c r="Q92" s="3">
        <f>1444.4+(399-271)+(0.736644+(0.20349-0.13821))+0-189-0.0963899999999808</f>
        <v>1384.1055340000003</v>
      </c>
      <c r="R92" s="3">
        <f>1454.9+(537-472.6)+(0.741999+(0.27387-0.241026))+0-188.2-0.0959819999999809</f>
        <v>1331.778861</v>
      </c>
      <c r="S92" s="3">
        <f>1456.3+(692.3-603.4)+(-3.713565+(-1.765365--1.53867))+0-198.4--0.505919999999971</f>
        <v>1343.3656599999997</v>
      </c>
      <c r="T92" s="3">
        <f>1455.6+(704.5-624.4)+(-1.484712+(-0.71859--0.636888))+0-194.2--0.198084000000031</f>
        <v>1340.13167</v>
      </c>
      <c r="U92" s="3">
        <f>1452.8+(648.2-579)+(-3.70464+(-1.65291--1.47645))+0-194.2--0.495209999999972</f>
        <v>1324.4141099999999</v>
      </c>
      <c r="V92" s="3">
        <f>1457.6+(510.6-449.2)+(-1.486752+(-0.520812--0.458184))+0-197.3--0.201246000000031</f>
        <v>1320.3518660000002</v>
      </c>
      <c r="W92" s="3">
        <f>1458.3+(301.6-268.7)+(-3.718665+(-0.76908--0.685185))+0-200.9--0.512294999999971</f>
        <v>1287.0097349999999</v>
      </c>
      <c r="X92" s="3">
        <f>1457.8+(338.9-394.3)+(-3.71739+(-0.864195--1.005465))+0-200.3--0.510764999999971</f>
        <v>1199.034645</v>
      </c>
      <c r="Y92" s="3">
        <f>1460.1+(352.6-475.6)+(-2.978604+(-0.719304--0.970224))+0-197.1--0.402083999999991</f>
        <v>1137.6744000000001</v>
      </c>
      <c r="Z92" s="3">
        <f>1481.5+(331.8-363.3)+(0+(0-0))+0-200.1-0</f>
        <v>1249.9000000000001</v>
      </c>
      <c r="AA92" s="3">
        <f>1495.8+(392.8-401.6)+(-4.577148+(-1.201968--1.228896))+0-198--0.605880000000023</f>
        <v>1285.05566</v>
      </c>
      <c r="AB92" s="3">
        <f>1500+(473.8-494.3)+(-3.06+(-0.966552--1.008372))+0-193.2--0.394127999999992</f>
        <v>1283.6759479999998</v>
      </c>
      <c r="AC92" s="3">
        <f>1484.3+(502-532.9)+(-1.513986+(-0.51204--0.543558))+0-195.4--0.199308000000031</f>
        <v>1256.71684</v>
      </c>
      <c r="AD92" s="2">
        <v>1273.3000000000002</v>
      </c>
      <c r="AE92" s="3">
        <f>1490+(478.2-489.9)+(0+(0-0))+0-196-0</f>
        <v>1282.3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1506.8+(394.7-463)+(-2.305404+(-0.603891--0.70839))+0-199.9--0.305847000000012</f>
        <v>1236.7049420000001</v>
      </c>
      <c r="G93" s="3">
        <f>1509.7+(451.3-563.7)+(-3.079788+(-0.920652--1.149948))+0-199.7--0.407387999999991</f>
        <v>1195.156896</v>
      </c>
      <c r="H93" s="3">
        <f>1517.9+(371.5-527.7)+(-2.322387+(-0.568395--0.807381))+0-197.3--0.301869000000011</f>
        <v>1162.6184680000001</v>
      </c>
      <c r="I93" s="3">
        <f>1510.8+(286.8-450.8)+(-0.770508+(-0.146268--0.229908))+0-197.6--0.10077599999998</f>
        <v>1148.613908</v>
      </c>
      <c r="J93" s="3">
        <f>1522.3+(246.3-430.9)+(-1.552746+(-0.251226--0.439518))+0-197.7--0.201654000000032</f>
        <v>1138.8371999999999</v>
      </c>
      <c r="K93" s="3">
        <f>1524.2+(195.8-426.1)+(-1.554684+(-0.199716--0.434622))+0-194.1--0.197982000000031</f>
        <v>1098.6782040000003</v>
      </c>
      <c r="L93" s="3">
        <f>1535.5+(192.9-482)+(0+(0-0))+0-185.4-0</f>
        <v>1061</v>
      </c>
      <c r="M93" s="3">
        <f>1533.4+(198.5-436.5)+(0.782034+(0.101235-0.222615))+0-197.1-0.10052099999998</f>
        <v>1098.8601330000001</v>
      </c>
      <c r="N93" s="3">
        <f>1527.6+(221.3-401.9)+(1.558152+(0.225726-0.409938))+0-199.4-0.203388000000032</f>
        <v>1148.7705519999997</v>
      </c>
      <c r="O93" s="3">
        <f>1517+(241.6-346.7)+(1.54734+(0.246432-0.353634))+0-199-0.202980000000032</f>
        <v>1214.137158</v>
      </c>
      <c r="P93" s="3">
        <f>1509.3+(279.4-303)+(0+(0-0))+0-203.1-0</f>
        <v>1282.5999999999999</v>
      </c>
      <c r="Q93" s="3">
        <f>1498.9+(390.4-346.8)+(0+(0-0))+0-199.7-0</f>
        <v>1342.8</v>
      </c>
      <c r="R93" s="3">
        <f>1473.9+(585.5-546.3)+(-3.758445+(-1.493025--1.393065))+0-202.6--0.516629999999971</f>
        <v>1307.1582250000004</v>
      </c>
      <c r="S93" s="3">
        <f>1460.6+(705.2-655.5)+(-3.72453+(-1.79826--1.671525))+0-198.4--0.505919999999971</f>
        <v>1308.5546549999999</v>
      </c>
      <c r="T93" s="3">
        <f>1449.2+(832.1-706.1)+(-0.739092+(-0.424371--0.360111))+0-201.6--0.10281599999998</f>
        <v>1372.8994640000003</v>
      </c>
      <c r="U93" s="3">
        <f>1458.5+(768.4-694.9)+(-2.97534+(-1.567536--1.417596))+0-197.8--0.403511999999991</f>
        <v>1331.4782320000002</v>
      </c>
      <c r="V93" s="3">
        <f>1452.3+(676.6-609.7)+(-2.962692+(-1.380264--1.243788))+0-199--0.405959999999991</f>
        <v>1317.5067919999999</v>
      </c>
      <c r="W93" s="3">
        <f>1456.6+(406.4-394.8)+(-3.71433+(-1.03632--1.00674))+0-197.8--0.504389999999971</f>
        <v>1267.16048</v>
      </c>
      <c r="X93" s="3">
        <f>1468.5+(228.7-298.2)+(-3.744675+(-0.583185--0.76041))+0-200.7--0.511784999999971</f>
        <v>1195.2443349999999</v>
      </c>
      <c r="Y93" s="3">
        <f>1480.6+(224-369.1)+(-0.755106+(-0.11424--0.188241))+0-199.5--0.10174499999998</f>
        <v>1135.42064</v>
      </c>
      <c r="Z93" s="3">
        <f>1508.9+(388.4-441.4)+(0+(0-0))+0-203.3-0</f>
        <v>1252.6000000000001</v>
      </c>
      <c r="AA93" s="3">
        <f>1532+(486.8-516.9)+(-3.12528+(-0.993072--1.054476))+0-203.3--0.414731999999991</f>
        <v>1295.9508560000002</v>
      </c>
      <c r="AB93" s="3">
        <f>1541.6+(494.4-556.2)+(-2.358648+(-0.756432--0.850986))+0-191.4--0.292842000000011</f>
        <v>1286.4287479999996</v>
      </c>
      <c r="AC93" s="3">
        <f>1543+(494-586.3)+(-1.57386+(-0.50388--0.598026))+0-200.1--0.204102000000032</f>
        <v>1249.324388</v>
      </c>
      <c r="AD93" s="2">
        <v>1221.7</v>
      </c>
      <c r="AE93" s="3">
        <f>1529+(494.9-589.3)+(0+(0-0))+0-203.9-0</f>
        <v>1230.6999999999998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1539.5+(537.5-703)+(-1.57029+(-0.54825--0.71706))+0-201--0.205020000000032</f>
        <v>1171.8035400000001</v>
      </c>
      <c r="G94" s="3">
        <f>1546.6+(478.1-682.8)+(-1.577532+(-0.487662--0.696456))+0-199.1--0.203082000000032</f>
        <v>1141.6343440000003</v>
      </c>
      <c r="H94" s="3">
        <f>1548.6+(429.2-660)+(1.579572+(0.437784-0.6732))+0-197.3-0.201246000000031</f>
        <v>1121.64291</v>
      </c>
      <c r="I94" s="3">
        <f>1555.8+(421.8-675.9)+(-1.586916+(-0.430236--0.689418))+0-196.3--0.200226000000031</f>
        <v>1104.2724920000001</v>
      </c>
      <c r="J94" s="3">
        <f>1559.1+(448.2-727.1)+(2.385423+(0.685746-1.112463))+0-196.7-0.300951000000011</f>
        <v>1085.1577549999997</v>
      </c>
      <c r="K94" s="3">
        <f>1569.4+(334.3-636.8)+(-4.00197+(-0.852465--1.62384))+0-195.9--0.499544999999972</f>
        <v>1068.2689499999999</v>
      </c>
      <c r="L94" s="3">
        <f>1567.5+(279.1-631.6)+(-0.799425+(-0.142341--0.322116))+0-192.2--0.0980219999999805</f>
        <v>1022.2783719999999</v>
      </c>
      <c r="M94" s="3">
        <f>1533.1+(289.7-562.6)+(1.563762+(0.295494-0.573852))+0-192.4-0.196248000000031</f>
        <v>1068.8891559999997</v>
      </c>
      <c r="N94" s="3">
        <f>1375.7+(301.2-369.6)+(1.403214+(0.307224-0.376992))+0-186.4-0.19012800000003</f>
        <v>1122.043318</v>
      </c>
      <c r="O94" s="3">
        <f>1480.9+(266.3-374)+(0.755259+(0.135813-0.19074))+0-193.7-0.0987869999999803</f>
        <v>1180.101545</v>
      </c>
      <c r="P94" s="3">
        <f>1521.3+(276-365.7)+(0+(0-0))+0-190.7-0</f>
        <v>1240.8999999999999</v>
      </c>
      <c r="Q94" s="3">
        <f>1510.1+(367.5-403.1)+(2.310453+(0.562275-0.616743))+0-191-0.292230000000011</f>
        <v>1285.463755</v>
      </c>
      <c r="R94" s="3">
        <f>1443.5+(637.5-602.1)+(1.47237+(0.65025-0.614142))+0-189.2-0.19298400000003</f>
        <v>1291.015494</v>
      </c>
      <c r="S94" s="3">
        <f>1399.4+(916.3-764.2)+(-2.854776+(-1.869252--1.558968))+0-191--0.389639999999992</f>
        <v>1357.7245800000001</v>
      </c>
      <c r="T94" s="3">
        <f>1467.8+(843.1-823)+(-2.994312+(-1.719924--1.67892))+0-190.5--0.388619999999992</f>
        <v>1294.7533040000001</v>
      </c>
      <c r="U94" s="3">
        <f>1387.7+(945.1-849.8)+(-0.707727+(-0.482001--0.433398))+0-187.3--0.095522999999981</f>
        <v>1295.0391930000001</v>
      </c>
      <c r="V94" s="3">
        <f>1309.7+(839.9-680.9)+(-2.003841+(-1.285047--1.041777))+0-191.9--0.293607000000011</f>
        <v>1274.8464960000001</v>
      </c>
      <c r="W94" s="3">
        <f>1312.1+(543.6-456.9)+(-3.345855+(-1.38618--1.165095))+0-193.8--0.494189999999972</f>
        <v>1201.92725</v>
      </c>
      <c r="X94" s="3">
        <f>1313.3+(274.2-262)+(-3.348915+(-0.69921--0.6681))+0-192.8--0.491639999999972</f>
        <v>1129.8116150000001</v>
      </c>
      <c r="Y94" s="3">
        <f>1322.8+(315.4-381.6)+(-0.674628+(-0.160854--0.194616))+0-190.5--0.0971549999999807</f>
        <v>1065.5562889999999</v>
      </c>
      <c r="Z94" s="3">
        <f>1334.8+(474-412.1)+(2.042244+(0.72522-0.630513))+0-193.3-0.295749000000011</f>
        <v>1205.2412019999997</v>
      </c>
      <c r="AA94" s="3">
        <f>1346.5+(660.7-572.7)+(-2.060145+(-1.010871--0.876231))+0-193.3--0.295749000000011</f>
        <v>1239.3009640000002</v>
      </c>
      <c r="AB94" s="3">
        <f>1367+(636.6-603.7)+(-3.48585+(-1.62333--1.539435))+0-174.1--0.443954999999975</f>
        <v>1222.6742100000001</v>
      </c>
      <c r="AC94" s="3">
        <f>1364.4+(674.9-666.3)+(-2.087532+(-1.032597--1.019439))+0-170.2--0.26040600000001</f>
        <v>1200.9597160000001</v>
      </c>
      <c r="AD94" s="2">
        <v>1189.0999999999999</v>
      </c>
      <c r="AE94" s="3">
        <f>1332+(691.7-630.6)+(0+(0-0))+0-195-0</f>
        <v>1198.0999999999999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1368+(629.6-606.9)+(-1.39536+(-0.642192--0.619038))+0-167.1--0.170442000000027</f>
        <v>1222.3519280000003</v>
      </c>
      <c r="G95" s="3">
        <f>1369.4+(538.3-547.5)+(-2.793576+(-1.098132--1.1169))+0-172.3--0.351491999999992</f>
        <v>1185.4766840000002</v>
      </c>
      <c r="H95" s="3">
        <f>1370.9+(447.5-483.9)+(-1.398318+(-0.45645--0.493578))+0-184.4--0.188088000000029</f>
        <v>1148.9268979999999</v>
      </c>
      <c r="I95" s="3">
        <f>1377.8+(404.2-475.9)+(0+(0-0))+0-186.7-0</f>
        <v>1119.3999999999999</v>
      </c>
      <c r="J95" s="3">
        <f>1385.6+(372.9-466.8)+(-2.826624+(-0.760716--0.952272))+0-186.9--0.381275999999992</f>
        <v>1102.5462079999998</v>
      </c>
      <c r="K95" s="3">
        <f>1394.3+(319.1-455.7)+(-3.555465+(-0.813705--1.162035))+0-190--0.484499999999972</f>
        <v>1064.977365</v>
      </c>
      <c r="L95" s="3">
        <f>1394.8+(298.6-503.3)+(-3.55674+(-0.76143--1.283415))+0-189.8--0.483989999999973</f>
        <v>997.749235</v>
      </c>
      <c r="M95" s="3">
        <f>1388.1+(293.8-480.4)+(-2.123793+(-0.449514--0.735012))+0-190.4--0.291312000000011</f>
        <v>1009.5530170000001</v>
      </c>
      <c r="N95" s="3">
        <f>1366.8+(331.1-467.5)+(-0.697068+(-0.168861--0.238425))+0-188.6--0.0961859999999809</f>
        <v>1041.2686820000001</v>
      </c>
      <c r="O95" s="3">
        <f>1358.1+(367.2-450.6)+(-1.385262+(-0.374544--0.459612))+0-190.2--0.19400400000003</f>
        <v>1083.3938099999998</v>
      </c>
      <c r="P95" s="3">
        <f>1347.9+(407.8-412.7)+(0.687429+(0.207978-0.210477))+0-188-0.0958799999999809</f>
        <v>1155.5890499999998</v>
      </c>
      <c r="Q95" s="3">
        <f>1335.1+(485.6-421.9)+(-0.680901+(-0.247656--0.215169))+0-189.3--0.0965429999999808</f>
        <v>1208.883155</v>
      </c>
      <c r="R95" s="3">
        <f>1327.2+(585.4-494.3)+(-2.030616+(-0.895662--0.756279))+0-193.1--0.295443000000011</f>
        <v>1223.3254440000001</v>
      </c>
      <c r="S95" s="3">
        <f>1314.2+(724.9-611.8)+(-2.010726+(-1.109097--0.936054))+0-194.6--0.297738000000011</f>
        <v>1230.8139690000003</v>
      </c>
      <c r="T95" s="3">
        <f>1304.6+(826.7-726)+(-0.665346+(-0.421617--0.37026))+0-194.3--0.0990929999999803</f>
        <v>1210.38239</v>
      </c>
      <c r="U95" s="3">
        <f>1291.3+(815.4-668.5)+(-1.317126+(-0.831708--0.68187))+0-197.2--0.201144000000031</f>
        <v>1239.7341799999999</v>
      </c>
      <c r="V95" s="3">
        <f>1288.5+(787.6-646.6)+(-1.971405+(-1.205028--0.989298))+0-199--0.304470000000012</f>
        <v>1228.6173350000001</v>
      </c>
      <c r="W95" s="3">
        <f>1278.1+(641.9-529)+(-2.607324+(-1.309476--1.07916))+0-200.1--0.408203999999991</f>
        <v>1188.4705640000002</v>
      </c>
      <c r="X95" s="3">
        <f>1283.4+(349.6-305)+(-1.963602+(-0.534888--0.46665))+0-198.5--0.303705000000011</f>
        <v>1127.7718649999999</v>
      </c>
      <c r="Y95" s="3">
        <f>1319.8+(256.3-302.5)+(-2.692392+(-0.522852--0.6171))+0-196.6--0.401063999999991</f>
        <v>1074.8029199999999</v>
      </c>
      <c r="Z95" s="3">
        <f>1372.2+(493-471.7)+(0+(0-0))+0-198.9-0</f>
        <v>1194.5999999999999</v>
      </c>
      <c r="AA95" s="3">
        <f>1489.4+(475.5-522)+(0.759594+(0.242505-0.26622))+0-203-0.103529999999979</f>
        <v>1240.5323490000001</v>
      </c>
      <c r="AB95" s="3">
        <f>1502.7+(464.8-527)+(-3.065508+(-0.948192--1.07508))+0-198.4--0.404735999999991</f>
        <v>1239.566116</v>
      </c>
      <c r="AC95" s="3">
        <f>1493.5+(504.5-573.3)+(-2.285055+(-0.771885--0.877149))+0-199.3--0.304929000000012</f>
        <v>1223.525138</v>
      </c>
      <c r="AD95" s="2">
        <v>1207.8999999999999</v>
      </c>
      <c r="AE95" s="3">
        <f>1486+(456-516.2)+(0+(0-0))+0-208.9-0</f>
        <v>1216.8999999999999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1504.1+(440.5-566.7)+(-1.534182+(-0.44931--0.578034))+0-197.5--0.201450000000031</f>
        <v>1179.1959919999999</v>
      </c>
      <c r="G96" s="3">
        <f>1513.5+(361.3-575.3)+(-0.771885+(-0.184263--0.293403))+0-194.9--0.0993989999999802</f>
        <v>1104.0366539999998</v>
      </c>
      <c r="H96" s="3">
        <f>1517.3+(320.1-561.1)+(-1.547646+(-0.326502--0.572322))+0-193.3--0.197166000000031</f>
        <v>1081.89534</v>
      </c>
      <c r="I96" s="3">
        <f>1521.4+(295.8-541.2)+(-1.551828+(-0.301716--0.552024))+0-191.9--0.195738000000031</f>
        <v>1082.994218</v>
      </c>
      <c r="J96" s="3">
        <f>1527.5+(270.5-517.5)+(-2.337075+(-0.413865--0.791775))+0-192.4--0.294372000000011</f>
        <v>1086.435207</v>
      </c>
      <c r="K96" s="3">
        <f>1532.1+(246.9-531.7)+(-3.906855+(-0.629595--1.355835))+0-193.2--0.492659999999972</f>
        <v>1051.4120449999996</v>
      </c>
      <c r="L96" s="3">
        <f>1498.7+(233.9-527.4)+(1.528674+(0.238578-0.537948))+0-187.7-0.19145400000003</f>
        <v>1018.5378499999999</v>
      </c>
      <c r="M96" s="3">
        <f>1505.5+(245.7-491.4)+(0+(0-0))+0-191-0</f>
        <v>1068.8</v>
      </c>
      <c r="N96" s="3">
        <f>1472.1+(275.4-421.2)+(1.501542+(0.280908-0.429624))+0-187.4-0.19114800000003</f>
        <v>1140.0616779999998</v>
      </c>
      <c r="O96" s="3">
        <f>1456.3+(308.7-379.8)+(0+(0-0))+0-181.5-0</f>
        <v>1203.6999999999998</v>
      </c>
      <c r="P96" s="3">
        <f>1451.8+(409.7-399.9)+(0.740418+(0.208947-0.203949))+0-180.8-0.0922079999999817</f>
        <v>1281.4532079999999</v>
      </c>
      <c r="Q96" s="3">
        <f>1438.2+(481.9-403.2)+(1.466964+(0.491538-0.411264))+0-181.1-0.184722000000029</f>
        <v>1337.1625160000003</v>
      </c>
      <c r="R96" s="3">
        <f>1438.4+(588.6-528.8)+(0+(0-0))+0-171.5-0</f>
        <v>1326.7000000000003</v>
      </c>
      <c r="S96" s="3">
        <f>1425+(673-591.9)+(-0.72675+(-0.34323--0.301869))+0-170.2--0.0868019999999827</f>
        <v>1335.2186909999998</v>
      </c>
      <c r="T96" s="3">
        <f>1425.6+(693.4-611.1)+(-1.454112+(-0.707268--0.623322))+0-173.7--0.177174000000028</f>
        <v>1332.8391159999996</v>
      </c>
      <c r="U96" s="3">
        <f>1416.6+(840.4-742.4)+(1.444932+(0.857208-0.757248))+0-182.6-0.186252000000029</f>
        <v>1333.3586399999999</v>
      </c>
      <c r="V96" s="3">
        <f>1415.6+(766.5-664.9)+(-2.165868+(-1.172745--1.017297))+0-188.8--0.288864000000011</f>
        <v>1326.3675479999999</v>
      </c>
      <c r="W96" s="3">
        <f>1415.9+(526-463.5)+(-3.610545+(-1.3413--1.181925))+0-192.2--0.490109999999972</f>
        <v>1282.92019</v>
      </c>
      <c r="X96" s="3">
        <f>1417.2+(249.7-254.7)+(-2.891088+(-0.509388--0.519588))+0-187.5--0.382499999999992</f>
        <v>1222.2016120000001</v>
      </c>
      <c r="Y96" s="3">
        <f>1428.5+(250.3-350.3)+(-2.91414+(-0.510612--0.714612))+0-184.3--0.375971999999992</f>
        <v>1141.8658320000002</v>
      </c>
      <c r="Z96" s="3">
        <f>1442+(445.1-465.5)+(1.47084+(0.454002-0.47481))+0-186.2-0.18992400000003</f>
        <v>1236.6601079999998</v>
      </c>
      <c r="AA96" s="3">
        <f>1466.9+(536.8-528.3)+(-2.244357+(-0.821304--0.808299))+0-186.9--0.285957000000011</f>
        <v>1286.528595</v>
      </c>
      <c r="AB96" s="3">
        <f>1472.9+(592.5-597.9)+(0.751179+(0.302175-0.304929))+0-185.4-0.0945539999999812</f>
        <v>1282.7538709999999</v>
      </c>
      <c r="AC96" s="3">
        <f>1469.7+(572.4-596.3)+(0.749547+(0.291924-0.304113))+0-186.9-0.095318999999981</f>
        <v>1259.5420390000002</v>
      </c>
      <c r="AD96" s="2">
        <v>1288.2</v>
      </c>
      <c r="AE96" s="3">
        <f>1469+(554.6-550.8)+(0+(0-0))+0-175.6-0</f>
        <v>1297.2000000000003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1517.6+(490.7-567.4)+(-3.095904+(-1.001028--1.157496))+0-183.8--0.374951999999992</f>
        <v>1254.5355159999999</v>
      </c>
      <c r="G97" s="3">
        <f>1519.6+(433.6-558.9)+(-2.324988+(-0.663408--0.855117))+0-181.1--0.27708300000001</f>
        <v>1211.3438040000001</v>
      </c>
      <c r="H97" s="3">
        <f>1522.7+(338.7-491.2)+(0.776577+(0.172737-0.250512))+0-179.1-0.0913409999999818</f>
        <v>1191.707461</v>
      </c>
      <c r="I97" s="3">
        <f>1521.7+(327.9-513.5)+(3.104268+(0.668916-1.04754))+0-185.5-0.378419999999992</f>
        <v>1152.947224</v>
      </c>
      <c r="J97" s="3">
        <f>1530.7+(317.3-516.1)+(-3.903285+(-0.809115--1.316055))+0-183.7--0.468434999999973</f>
        <v>1145.2720899999999</v>
      </c>
      <c r="K97" s="3">
        <f>1540.5+(265.8-506)+(-3.928275+(-0.67779--1.2903))+0-182--0.464099999999974</f>
        <v>1115.4483349999998</v>
      </c>
      <c r="L97" s="3">
        <f>1534.7+(239.2-499)+(-2.348091+(-0.365976--0.76347))+0-181.5--0.27769500000001</f>
        <v>1091.7270980000001</v>
      </c>
      <c r="M97" s="3">
        <f>1530+(258.6-481.1)+(2.3409+(0.395658-0.736083))+0-181.1-0.27708300000001</f>
        <v>1128.1233920000002</v>
      </c>
      <c r="N97" s="3">
        <f>1515.3+(310.3-465.8)+(0.772803+(0.158253-0.237558))+0-182.2-0.0929219999999815</f>
        <v>1178.200576</v>
      </c>
      <c r="O97" s="3">
        <f>1493.7+(329.4-408.9)+(0.761787+(0.167994-0.208539))+0-179.9-0.0917489999999817</f>
        <v>1234.9294930000001</v>
      </c>
      <c r="P97" s="3">
        <f>1475.3+(453-408)+(2.257209+(0.69309-0.62424))+0-190-0.290700000000011</f>
        <v>1332.3353589999999</v>
      </c>
      <c r="Q97" s="3">
        <f>1461.5+(487.8-426.1)+(0+(0-0))+0-182.8-0</f>
        <v>1340.4</v>
      </c>
      <c r="R97" s="3">
        <f>1450.3+(682.4-593.7)+(-2.958612+(-1.392096--1.211148))+0-179--0.365159999999992</f>
        <v>1357.2256</v>
      </c>
      <c r="S97" s="3">
        <f>1447.6+(848.4-739.4)+(-2.953104+(-1.730736--1.508376))+0-189.9--0.387395999999992</f>
        <v>1363.911932</v>
      </c>
      <c r="T97" s="3">
        <f>1439.1+(790.5-681.5)+(0+(0-0))+0-184.9-0</f>
        <v>1363.1999999999998</v>
      </c>
      <c r="U97" s="3">
        <f>1433.8+(772-652.1)+(-0.731238+(-0.39372--0.332571))+0-184.1--0.0938909999999813</f>
        <v>1368.9015039999999</v>
      </c>
      <c r="V97" s="3">
        <f>1423+(671.1-530.1)+(-2.17719+(-1.026783--0.811053))+0-186.9--0.285957000000011</f>
        <v>1374.993037</v>
      </c>
      <c r="W97" s="3">
        <f>1424.7+(453.4-355.1)+(-3.632985+(-1.15617--0.905505))+0-189.3--0.482714999999973</f>
        <v>1330.2990649999999</v>
      </c>
      <c r="X97" s="3">
        <f>1428.5+(308.2-297.8)+(-2.91414+(-0.628728--0.607512))+0-186.1--0.379643999999992</f>
        <v>1250.2442880000003</v>
      </c>
      <c r="Y97" s="3">
        <f>1440.4+(346.5-442.9)+(-2.938416+(-0.70686--0.903516))+0-184--0.375359999999992</f>
        <v>1157.6335999999999</v>
      </c>
      <c r="Z97" s="3">
        <f>1460.4+(366.2-345.3)+(0.744804+(0.186762-0.176103))+0-187.7-0.095726999999981</f>
        <v>1294.2597360000002</v>
      </c>
      <c r="AA97" s="3">
        <f>1486.6+(443.4-396.7)+(-0.758166+(-0.226134--0.202317))+0-188.7--0.0962369999999809</f>
        <v>1343.9142539999998</v>
      </c>
      <c r="AB97" s="3">
        <f>1484.9+(497.5-460.9)+(-3.786495+(-1.268625--1.175295))+0-185.6--0.473279999999973</f>
        <v>1332.493455</v>
      </c>
      <c r="AC97" s="3">
        <f>1481.8+(526.6-508.3)+(-1.511436+(-0.537132--0.518466))+0-187.6--0.19135200000003</f>
        <v>1311.1612500000001</v>
      </c>
      <c r="AD97" s="2">
        <v>1353.2</v>
      </c>
      <c r="AE97" s="3">
        <f>1477+(463.8-387.8)+(0+(0-0))+0-190.8-0</f>
        <v>1362.2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1481.5+(488.4-532.8)+(-3.02226+(-0.996336--1.086912))+0-189.6--0.386783999999992</f>
        <v>1244.9551000000001</v>
      </c>
      <c r="G98" s="3">
        <f>1487.7+(518-651.3)+(-2.276181+(-0.79254--0.996489))+0-187.2--0.286416000000011</f>
        <v>1165.414184</v>
      </c>
      <c r="H98" s="3">
        <f>1493.4+(458.2-609.1)+(-3.046536+(-0.934728--1.242564))+0-180.2--0.367607999999992</f>
        <v>1159.9289079999999</v>
      </c>
      <c r="I98" s="3">
        <f>1493.3+(384-570.4)+(-0.761583+(-0.19584--0.290904))+0-170.7--0.0870569999999827</f>
        <v>1135.6205379999999</v>
      </c>
      <c r="J98" s="3">
        <f>1494.5+(338.5-540)+(-3.04878+(-0.69054--1.1016))+0-165--0.336599999999993</f>
        <v>1125.6988800000001</v>
      </c>
      <c r="K98" s="3">
        <f>1501.4+(281.8-529.5)+(-3.82857+(-0.71859--1.350225))+0-152.3--0.388364999999978</f>
        <v>1098.5914300000002</v>
      </c>
      <c r="L98" s="3">
        <f>1527.7+(255.4-568.3)+(-2.337381+(-0.390762--0.869499))+0-147.8--0.226134000000009</f>
        <v>1065.3674900000003</v>
      </c>
      <c r="M98" s="3">
        <f>1520.3+(267.7-529.7)+(1.550706+(0.273054-0.540294))+0-151.9-0.154938000000024</f>
        <v>1107.5285279999998</v>
      </c>
      <c r="N98" s="3">
        <f>1499.5+(306.2-476.6)+(1.52949+(0.312324-0.486132))+0-155.6-0.158712000000025</f>
        <v>1174.69697</v>
      </c>
      <c r="O98" s="3">
        <f>1480.6+(327-427.5)+(0+(0-0))+0-152.6-0</f>
        <v>1227.5</v>
      </c>
      <c r="P98" s="3">
        <f>1475.5+(355.7-368.6)+(0+(0-0))+0-151.9-0</f>
        <v>1310.6999999999998</v>
      </c>
      <c r="Q98" s="3">
        <f>1463.8+(465-421.2)+(1.493076+(0.4743-0.429624))+0-155.1-0.158202000000025</f>
        <v>1353.8795499999999</v>
      </c>
      <c r="R98" s="3">
        <f>1450.2+(612.5-531.4)+(2.218806+(0.937125-0.813042))+0-158.1-0.241893000000009</f>
        <v>1375.3009960000002</v>
      </c>
      <c r="S98" s="3">
        <f>1441.5+(773.1-679)+(-2.94066+(-1.577124--1.38516))+0-159.1--0.324563999999993</f>
        <v>1373.6919399999999</v>
      </c>
      <c r="T98" s="3">
        <f>1429+(810.5-697.9)+(0.72879+(0.413355-0.355929))+0-158.4-0.0807839999999839</f>
        <v>1383.9054319999998</v>
      </c>
      <c r="U98" s="3">
        <f>1425+(770.6-658.1)+(-3.63375+(-1.96503--1.678155))+0-157.9--0.402644999999977</f>
        <v>1376.0820199999998</v>
      </c>
      <c r="V98" s="3">
        <f>1416.1+(675.4-555.7)+(-2.888844+(-1.377816--1.133628))+0-158.1--0.322523999999993</f>
        <v>1374.8894919999998</v>
      </c>
      <c r="W98" s="3">
        <f>1408+(458.3-372.1)+(-4.30848+(-1.402398--1.138626))+0-160--0.489600000000018</f>
        <v>1330.1173480000002</v>
      </c>
      <c r="X98" s="3">
        <f>1412.8+(308.5-299.5)+(-4.323168+(-0.94401--0.91647))+0-160.2--0.490212000000018</f>
        <v>1257.7395039999999</v>
      </c>
      <c r="Y98" s="3">
        <f>1428.7+(394.5-476)+(-3.643185+(-1.005975--1.2138))+0-157.5--0.401624999999977</f>
        <v>1186.6662650000001</v>
      </c>
      <c r="Z98" s="3">
        <f>1450.2+(389.1-392.7)+(-0.739602+(-0.198441--0.200277))+0-157.9--0.080528999999984</f>
        <v>1288.0427630000001</v>
      </c>
      <c r="AA98" s="3">
        <f>1471.5+(479.6-458.1)+(-1.50093+(-0.489192--0.467262))+0-158.3--0.161466000000025</f>
        <v>1333.338606</v>
      </c>
      <c r="AB98" s="3">
        <f>1477.3+(505-500)+(-0.753423+(-0.25755--0.255))+0-155.8--0.0794579999999842</f>
        <v>1325.8234849999999</v>
      </c>
      <c r="AC98" s="3">
        <f>1466.5+(520.9-527.4)+(-1.49583+(-0.531318--0.537948))+0-156.8--0.159936000000025</f>
        <v>1301.8707360000001</v>
      </c>
      <c r="AD98" s="2">
        <v>1295.0999999999999</v>
      </c>
      <c r="AE98" s="3">
        <f>1459+(501-497.9)+(0+(0-0))+0-157-0</f>
        <v>1305.0999999999999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1470.5+(468.8-527)+(-2.99982+(-0.956352--1.07508))+0-155.9--0.318035999999993</f>
        <v>1253.8369439999997</v>
      </c>
      <c r="G99" s="3">
        <f>1473.6+(401.4-504.7)+(-1.503072+(-0.409428--0.514794))+0-152.9--0.155958000000024</f>
        <v>1216.1582519999999</v>
      </c>
      <c r="H99" s="3">
        <f>1493.8+(371.8-530.7)+(-3.047352+(-0.758472--1.082628))+0-153.6--0.313343999999993</f>
        <v>1178.890148</v>
      </c>
      <c r="I99" s="3">
        <f>1522.2+(346.6-563.1)+(-3.88161+(-0.88383--1.435905))+0-152.8--0.389639999999978</f>
        <v>1149.9601049999999</v>
      </c>
      <c r="J99" s="3">
        <f>1528.7+(329.6-574)+(1.559274+(0.336192-0.58548))+0-153.4-0.156468000000024</f>
        <v>1132.0535179999999</v>
      </c>
      <c r="K99" s="3">
        <f>1534.1+(288.8-546.9)+(-3.911955+(-0.73644--1.394595))+0-153.8--0.392189999999978</f>
        <v>1119.3383900000001</v>
      </c>
      <c r="L99" s="3">
        <f>1535+(243.8-533.1)+(-3.91425+(-0.62169--1.359405))+0-148.4--0.378419999999979</f>
        <v>1094.5018849999999</v>
      </c>
      <c r="M99" s="3">
        <f>1531.9+(262-507.5)+(1.562538+(0.26724-0.51765))+0-151.3-0.154326000000024</f>
        <v>1136.2578020000001</v>
      </c>
      <c r="N99" s="3">
        <f>1519.9+(302.1-465.3)+(0.775149+(0.154071-0.237303))+0-157.3-0.080222999999984</f>
        <v>1200.0116940000003</v>
      </c>
      <c r="O99" s="3">
        <f>1502.8+(341.1-417)+(-0.766428+(-0.173961--0.21267))+0-157.3--0.080222999999984</f>
        <v>1268.9525040000001</v>
      </c>
      <c r="P99" s="3">
        <f>1481.7+(352-331.2)+(0.755667+(0.17952-0.168912))+0-156.8-0.0799679999999841</f>
        <v>1346.386307</v>
      </c>
      <c r="Q99" s="3">
        <f>1467.3+(478.5-406)+(-2.244969+(-0.732105--0.62118))+0-156.4--0.239292000000009</f>
        <v>1381.2833979999998</v>
      </c>
      <c r="R99" s="3">
        <f>1447.6+(699-601.9)+(-1.476552+(-0.71298--0.613938))+0-155.9--0.159018000000025</f>
        <v>1387.3834239999999</v>
      </c>
      <c r="S99" s="3">
        <f>1445.8+(713.5-612.4)+(-5.161506+(-2.547195--2.186268))+0-157.9--0.563703000000002</f>
        <v>1384.0412699999999</v>
      </c>
      <c r="T99" s="3">
        <f>1433.1+(715.8-585.1)+(-0.730881+(-0.365058--0.298401))+0-159.8--0.0814979999999838</f>
        <v>1403.2839599999998</v>
      </c>
      <c r="U99" s="3">
        <f>1424+(663-546)+(0+(0-0))+0-156.4-0</f>
        <v>1384.6</v>
      </c>
      <c r="V99" s="3">
        <f>1423+(569.8-437.2)+(-2.17719+(-0.871794--0.668916))+0-158.7--0.242811000000009</f>
        <v>1394.762743</v>
      </c>
      <c r="W99" s="3">
        <f>1426.3+(387.6-282.1)+(-2.909652+(-0.790704--0.575484))+0-162.1--0.330683999999993</f>
        <v>1366.905812</v>
      </c>
      <c r="X99" s="3">
        <f>1429.9+(346.4-337.4)+(-2.187747+(-0.529992--0.516222))+0-162--0.247860000000009</f>
        <v>1274.9463430000001</v>
      </c>
      <c r="Y99" s="3">
        <f>1434.6+(373.3-448.8)+(-1.463292+(-0.380766--0.457776))+0-158.5--0.161670000000025</f>
        <v>1199.3753879999999</v>
      </c>
      <c r="Z99" s="3">
        <f>1462.8+(365.7-362.8)+(-0.746028+(-0.186507--0.185028))+0-161.2--0.0822119999999836</f>
        <v>1303.8347049999998</v>
      </c>
      <c r="AA99" s="3">
        <f>1471.6+(476-412.9)+(-2.251548+(-0.72828--0.631737))+0-160.8--0.246024000000009</f>
        <v>1371.7979329999998</v>
      </c>
      <c r="AB99" s="3">
        <f>1481.6+(482.6-482)+(-3.022464+(-0.984504--0.98328))+0-159.7--0.325787999999993</f>
        <v>1319.8020999999999</v>
      </c>
      <c r="AC99" s="3">
        <f>1471.6+(512.9-464.3)+(-1.501032+(-0.523158--0.473586))+0-176.5--0.180030000000028</f>
        <v>1342.3294259999998</v>
      </c>
      <c r="AD99" s="2">
        <v>1354.2</v>
      </c>
      <c r="AE99" s="3">
        <f>1466+(492-435.8)+(0+(0-0))+0-159-0</f>
        <v>1363.2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1465.5+(516.9-538.7)+(-0.747405+(-0.263619--0.274737))+0-183.9--0.0937889999999813</f>
        <v>1259.1575019999998</v>
      </c>
      <c r="G100" s="3">
        <f>1476.3+(511.6-612.9)+(-2.258739+(-0.782748--0.937737))+0-181.7--0.27800100000001</f>
        <v>1191.4742509999999</v>
      </c>
      <c r="H100" s="3">
        <f>1488+(500.2-655.2)+(-2.27664+(-0.765306--1.002456))+0-182.2--0.278766000000011</f>
        <v>1149.039276</v>
      </c>
      <c r="I100" s="3">
        <f>1494.3+(436.6-606.3)+(0+(0-0))+0-184.4-0</f>
        <v>1140.1999999999998</v>
      </c>
      <c r="J100" s="3">
        <f>1515.1+(392.3-607.5)+(-3.863505+(-1.000365--1.549125))+0-189.9--0.484244999999972</f>
        <v>1107.1694999999997</v>
      </c>
      <c r="K100" s="3">
        <f>1525+(292.4-534.2)+(-3.111+(-0.596496--1.089768))+0-190.8--0.389231999999992</f>
        <v>1090.1715039999999</v>
      </c>
      <c r="L100" s="3">
        <f>1525.7+(271.3-550.2)+(-2.334321+(-0.415089--0.841806))+0-188.6--0.288558000000011</f>
        <v>1056.580954</v>
      </c>
      <c r="M100" s="3">
        <f>1518.1+(296.8-538.8)+(1.548462+(0.302736-0.549576))+0-187-0.19074000000003</f>
        <v>1090.2108819999999</v>
      </c>
      <c r="N100" s="3">
        <f>1496.5+(333.5-502.5)+(1.52643+(0.34017-0.51255))+0-176.5-0.180030000000028</f>
        <v>1152.1740199999999</v>
      </c>
      <c r="O100" s="3">
        <f>1483.1+(377.6-462.6)+(-1.512762+(-0.385152--0.471852))+0-171--0.174420000000027</f>
        <v>1225.848358</v>
      </c>
      <c r="P100" s="3">
        <f>1465.8+(528-493)+(0+(0-0))+0-180-0</f>
        <v>1320.8</v>
      </c>
      <c r="Q100" s="3">
        <f>1453.2+(439.8-372.9)+(2.223396+(0.672894-0.570537))+0-170.8-0.26132400000001</f>
        <v>1351.3644290000002</v>
      </c>
      <c r="R100" s="3">
        <f>1453.4+(538.2-460.5)+(-0.741234+(-0.274482--0.234855))+0-170.1--0.0867509999999827</f>
        <v>1360.3058900000003</v>
      </c>
      <c r="S100" s="3">
        <f>1459.8+(655.5-594.2)+(-1.488996+(-0.66861--0.606084))+0-169.6--0.172992000000027</f>
        <v>1350.12147</v>
      </c>
      <c r="T100" s="3">
        <f>1455.3+(690.2-612.1)+(-0.742203+(-0.352002--0.312171))+0-159.8--0.0814979999999838</f>
        <v>1372.8994640000001</v>
      </c>
      <c r="U100" s="3">
        <f>1448.7+(687.3-622.6)+(2.216511+(1.051569-0.952578))+0-164.2-0.25122600000001</f>
        <v>1351.2642759999999</v>
      </c>
      <c r="V100" s="3">
        <f>1445.2+(604.3-524.7)+(-1.474104+(-0.616386--0.535194))+0-164--0.167280000000026</f>
        <v>1359.4119840000001</v>
      </c>
      <c r="W100" s="3">
        <f>1428+(371.4-317.9)+(-2.18484+(-0.568242--0.486387))+0-162.5--0.248625000000009</f>
        <v>1316.9819299999999</v>
      </c>
      <c r="X100" s="3">
        <f>1438.7+(318.3-359.9)+(-4.402422+(-0.973998--1.101294))+0-158--0.483480000000018</f>
        <v>1235.3083540000002</v>
      </c>
      <c r="Y100" s="3">
        <f>1446+(354.6-479.7)+(-2.94984+(-0.723384--0.978588))+0-152.8--0.311711999999993</f>
        <v>1165.7170760000001</v>
      </c>
      <c r="Z100" s="3">
        <f>1460.4+(340-383.8)+(1.489608+(0.3468-0.391476))+0-156.9-0.160038000000025</f>
        <v>1260.9848940000002</v>
      </c>
      <c r="AA100" s="3">
        <f>1476.9+(438-461.2)+(-1.506438+(-0.44676--0.470424))+0-162.4--0.165648000000026</f>
        <v>1289.9828739999998</v>
      </c>
      <c r="AB100" s="3">
        <f>1483.4+(484-519.4)+(0.756534+(0.24684-0.264894))+0-167.9-0.085628999999983</f>
        <v>1280.752851</v>
      </c>
      <c r="AC100" s="3">
        <f>1481.4+(503.4-544.9)+(0+(0-0))+0-172.4-0</f>
        <v>1267.5</v>
      </c>
      <c r="AD100" s="2">
        <v>1227.1000000000001</v>
      </c>
      <c r="AE100" s="3">
        <f>1457+(480.9-529.6)+(0+(0-0))+0-172.2-0</f>
        <v>1236.0999999999999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1498.1+(433.1-527.7)+(0.764031+(0.220881-0.269127))+0-173-0.0882299999999824</f>
        <v>1231.127555</v>
      </c>
      <c r="G101" s="3">
        <f>1493.9+(350.9-461.6)+(1.523778+(0.357918-0.470832))+0-184.2-0.187884000000029</f>
        <v>1200.22298</v>
      </c>
      <c r="H101" s="3">
        <f>1502.5+(294.7-456.7)+(0+(0-0))+0-175.5-0</f>
        <v>1165</v>
      </c>
      <c r="I101" s="3">
        <f>1514.8+(298.4-493.5)+(0.772548+(0.152184-0.251685))+0-179-0.0912899999999818</f>
        <v>1141.2817569999997</v>
      </c>
      <c r="J101" s="3">
        <f>1511.4+(288.6-498.1)+(0.770814+(0.147186-0.254031))+0-174.4-0.0889439999999823</f>
        <v>1128.0750249999999</v>
      </c>
      <c r="K101" s="3">
        <f>1518.5+(252.5-497.7)+(-1.54887+(-0.25755--0.507654))+0-182.2--0.185844000000029</f>
        <v>1089.9870780000001</v>
      </c>
      <c r="L101" s="3">
        <f>1513.9+(236.4-496.2)+(-1.544178+(-0.241128--0.506124))+0-180.7--0.184314000000029</f>
        <v>1072.3051320000002</v>
      </c>
      <c r="M101" s="3">
        <f>1478.2+(271.2-459.8)+(2.261646+(0.414936-0.703494))+0-181.7-0.27800100000001</f>
        <v>1109.5950869999999</v>
      </c>
      <c r="N101" s="3">
        <f>1404.2+(348-403.6)+(3.58071+(0.8874-1.02918))+0-185.6-0.473279999999973</f>
        <v>1165.9656500000001</v>
      </c>
      <c r="O101" s="3">
        <f>1387+(396.2-364.6)+(2.82948+(0.808248-0.743784))+0-186.5-0.380459999999992</f>
        <v>1234.6134839999997</v>
      </c>
      <c r="P101" s="3">
        <f>1390.2+(378.2-288)+(2.836008+(0.771528-0.58752))+0-185.2-0.377807999999992</f>
        <v>1297.842208</v>
      </c>
      <c r="Q101" s="3">
        <f>1386.1+(408-274.4)+(2.120733+(0.62424-0.419832))+0-180.4-0.27601200000001</f>
        <v>1341.3491289999997</v>
      </c>
      <c r="R101" s="3">
        <f>1394.2+(519.3-392.3)+(2.844168+(1.059372-0.800292))+0-176.2-0.359447999999992</f>
        <v>1347.7438</v>
      </c>
      <c r="S101" s="3">
        <f>1388+(630.2-493.4)+(-3.5394+(-1.60701--1.25817))+0-174.5--0.444974999999975</f>
        <v>1346.8567350000001</v>
      </c>
      <c r="T101" s="3">
        <f>1387.1+(765.6-634.6)+(0+(0-0))+0-175.6-0</f>
        <v>1342.5</v>
      </c>
      <c r="U101" s="3">
        <f>1379.7+(740.9-600.7)+(0+(0-0))+0-180.1-0</f>
        <v>1339.8000000000002</v>
      </c>
      <c r="V101" s="3">
        <f>1368.7+(660-520.7)+(0+(0-0))+0-179.9-0</f>
        <v>1328.1</v>
      </c>
      <c r="W101" s="3">
        <f>1359.9+(407.2-295.9)+(-2.774196+(-0.830688--0.603636))+0-182--0.371279999999992</f>
        <v>1286.5700320000001</v>
      </c>
      <c r="X101" s="3">
        <f>1363.9+(301.7-273.1)+(-4.173534+(-0.923202--0.835686))+0-180.6--0.552636000000021</f>
        <v>1208.1915860000001</v>
      </c>
      <c r="Y101" s="3">
        <f>1373.6+(342.6-389.1)+(-2.802144+(-0.698904--0.793764))+0-180.9--0.369035999999992</f>
        <v>1143.8617519999998</v>
      </c>
      <c r="Z101" s="3">
        <f>1388.9+(357.8-336.2)+(1.416678+(0.364956-0.342924))+0-184.8-0.188496000000029</f>
        <v>1226.950214</v>
      </c>
      <c r="AA101" s="3">
        <f>1405.2+(465.6-419.8)+(-5.016564+(-1.662192--1.498686))+0-186.1--0.664377000000003</f>
        <v>1260.3843070000003</v>
      </c>
      <c r="AB101" s="3">
        <f>1409.5+(510.7-477.1)+(-2.156535+(-0.781371--0.729963))+0-186.3--0.285039000000011</f>
        <v>1254.8770960000002</v>
      </c>
      <c r="AC101" s="3">
        <f>1399.2+(603.7-562.4)+(-2.854368+(-1.231548--1.147296))+0-189--0.385559999999992</f>
        <v>1248.94694</v>
      </c>
      <c r="AD101" s="2">
        <v>1232.2</v>
      </c>
      <c r="AE101" s="3">
        <f>1395+(522.5-485.5)+(0+(0-0))+0-187.8-0</f>
        <v>1244.2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1388.8+(595.3-616.6)+(1.416576+(0.607206-0.628932))+0-184.8-0.188496000000029</f>
        <v>1183.906354</v>
      </c>
      <c r="G102" s="3">
        <f>1405.8+(497.8-544.8)+(-2.867832+(-1.015512--1.111392))+0-185.5--0.378419999999992</f>
        <v>1170.9064679999999</v>
      </c>
      <c r="H102" s="3">
        <f>1409.9+(387.9-482.8)+(-2.157147+(-0.593487--0.738684))+0-184.8--0.282744000000011</f>
        <v>1128.4707940000001</v>
      </c>
      <c r="I102" s="3">
        <f>1418.8+(324.1-446.1)+(-1.447176+(-0.330582--0.455022))+0-185.2--0.18890400000003</f>
        <v>1110.4661679999999</v>
      </c>
      <c r="J102" s="3">
        <f>1420.2+(292.8-435.2)+(-1.448604+(-0.298656--0.443904))+0-187--0.19074000000003</f>
        <v>1089.6873840000003</v>
      </c>
      <c r="K102" s="3">
        <f>1424.1+(300.5-475.9)+(-2.178873+(-0.459765--0.728127))+0-188.4--0.288252000000011</f>
        <v>1058.6777409999997</v>
      </c>
      <c r="L102" s="3">
        <f>1440.3+(240-483.2)+(-3.672765+(-0.612--1.23216))+0-184.1--0.469454999999973</f>
        <v>1010.4168499999997</v>
      </c>
      <c r="M102" s="3">
        <f>1422.5+(240.7-442)+(-0.725475+(-0.122757--0.22542))+0-185.2--0.0944519999999812</f>
        <v>1035.47164</v>
      </c>
      <c r="N102" s="3">
        <f>1405.4+(268.2-401.7)+(-1.433508+(-0.273564--0.409734))+0-188.9--0.19267800000003</f>
        <v>1081.89534</v>
      </c>
      <c r="O102" s="3">
        <f>1388.1+(294.4-365.7)+(-2.123793+(-0.450432--0.559521))+0-190.3--0.291159000000011</f>
        <v>1124.7764550000002</v>
      </c>
      <c r="P102" s="3">
        <f>1378.7+(346.8-347.2)+(0+(0-0))+0-190.1-0</f>
        <v>1188.2000000000003</v>
      </c>
      <c r="Q102" s="3">
        <f>1370.8+(485.5-430.2)+(1.398216+(0.49521-0.438804))+0-190.8-0.19461600000003</f>
        <v>1236.5600059999999</v>
      </c>
      <c r="R102" s="3">
        <f>1360.8+(551-458.9)+(0.694008+(0.28101-0.234039))+0-189.5-0.0966449999999808</f>
        <v>1264.0443339999999</v>
      </c>
      <c r="S102" s="3">
        <f>1352.6+(709.1-602)+(0.689826+(0.361641-0.30702))+0-185.1-0.0944009999999812</f>
        <v>1275.2500459999999</v>
      </c>
      <c r="T102" s="3">
        <f>1313.2+(832.1-679.3)+(-0.669732+(-0.424371--0.346443))+0-185--0.0943499999999812</f>
        <v>1280.3466900000001</v>
      </c>
      <c r="U102" s="3">
        <f>1287.8+(911.8-744)+(-0.656778+(-0.465018--0.37944))+0-182--0.0928199999999815</f>
        <v>1272.950464</v>
      </c>
      <c r="V102" s="3">
        <f>1299.1+(822-670)+(0.662541+(0.41922-0.3417))+0-181.6-0.0926159999999816</f>
        <v>1270.1474450000001</v>
      </c>
      <c r="W102" s="3">
        <f>1357.5+(484.1-420.3)+(-3.461625+(-1.234455--1.071765))+0-184.9--0.471494999999973</f>
        <v>1233.2471799999998</v>
      </c>
      <c r="X102" s="3">
        <f>1349.2+(267.4-255.3)+(-3.44046+(-0.68187--0.651015))+0-185.9--0.474044999999973</f>
        <v>1172.4027299999998</v>
      </c>
      <c r="Y102" s="3">
        <f>1364.2+(250.3-328.4)+(-0.695742+(-0.127653--0.167484))+0-184.4--0.0940439999999813</f>
        <v>1101.1381329999999</v>
      </c>
      <c r="Z102" s="3">
        <f>1452.1+(434.8-506.3)+(-1.481142+(-0.443496--0.516426))+0-188.8--0.19257600000003</f>
        <v>1190.5843639999998</v>
      </c>
      <c r="AA102" s="3">
        <f>1475.4+(489.3-512)+(-3.76227+(-1.247715--1.3056))+0-191.6--0.488579999999972</f>
        <v>1257.8841950000001</v>
      </c>
      <c r="AB102" s="3">
        <f>1472.3+(591.6-613.4)+(-0.750873+(-0.301716--0.312834))+0-187.4--0.095573999999981</f>
        <v>1262.4558189999998</v>
      </c>
      <c r="AC102" s="3">
        <f>1466+(611.3-651.6)+(-2.24298+(-0.935289--0.996948))+0-186.2--0.284886000000011</f>
        <v>1237.6035649999997</v>
      </c>
      <c r="AD102" s="2">
        <v>1261.2</v>
      </c>
      <c r="AE102" s="3">
        <f>1477+(615.3-632.7)+(0+(0-0))+0-187.4-0</f>
        <v>1272.1999999999998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1479.4+(554.5-657.1)+(0+(0-0))+0-188-0</f>
        <v>1188.8000000000002</v>
      </c>
      <c r="G103" s="3">
        <f>1482+(538.4-681.6)+(-0.75582+(-0.274584--0.347616))+0-184.8--0.0942479999999813</f>
        <v>1153.4114599999998</v>
      </c>
      <c r="H103" s="3">
        <f>1482.4+(483.3-663.4)+(0.756024+(0.246483-0.338334))+0-185.4-0.0945539999999812</f>
        <v>1117.469619</v>
      </c>
      <c r="I103" s="3">
        <f>1483+(419.8-624.9)+(0+(0-0))+0-187.4-0</f>
        <v>1090.5</v>
      </c>
      <c r="J103" s="3">
        <f>1504.6+(355.8-596.5)+(-1.534692+(-0.362916--0.60843))+0-188.7--0.19247400000003</f>
        <v>1074.1032959999998</v>
      </c>
      <c r="K103" s="3">
        <f>1520.1+(268.4-544.9)+(-3.876255+(-0.68442--1.389495))+0-185.9--0.474044999999973</f>
        <v>1055.0028649999997</v>
      </c>
      <c r="L103" s="3">
        <f>1511.2+(246.4-535)+(0+(0-0))+0-181.4-0</f>
        <v>1041.1999999999998</v>
      </c>
      <c r="M103" s="3">
        <f>1495.4+(247.2-473.6)+(1.525308+(0.252144-0.483072))+0-181.6-0.185232000000029</f>
        <v>1088.5091480000001</v>
      </c>
      <c r="N103" s="3">
        <f>1469.4+(276.6-401.3)+(1.498788+(0.282132-0.409326))+0-188.2-0.19196400000003</f>
        <v>1157.6796299999999</v>
      </c>
      <c r="O103" s="3">
        <f>1454.2+(296.3-322.6)+(0+(0-0))+0-185.4-0</f>
        <v>1242.5</v>
      </c>
      <c r="P103" s="3">
        <f>1443+(345-312.4)+(2.20779+(0.52785-0.477972))+0-179.4-0.27448200000001</f>
        <v>1298.1831859999998</v>
      </c>
      <c r="Q103" s="3">
        <f>1450.1+(496.6-432.4)+(0+(0-0))+0-159-0</f>
        <v>1355.3</v>
      </c>
      <c r="R103" s="3">
        <f>1449+(659.9-582.5)+(-0.73899+(-0.336549--0.297075))+0-157.6--0.080375999999984</f>
        <v>1368.1019120000001</v>
      </c>
      <c r="S103" s="3">
        <f>1441.2+(847.2-750)+(0.735012+(0.432072-0.3825))+0-161.6-0.0824159999999836</f>
        <v>1377.5021680000002</v>
      </c>
      <c r="T103" s="3">
        <f>1425.5+(972.6-838)+(-1.45401+(-0.992052--0.85476))+0-176.6--0.180132000000028</f>
        <v>1382.0888299999999</v>
      </c>
      <c r="U103" s="3">
        <f>1418.7+(845.4-706.4)+(-1.447074+(-0.862308--0.720528))+0-175.4--0.178908000000028</f>
        <v>1380.890054</v>
      </c>
      <c r="V103" s="3">
        <f>1410.2+(767.8-611.8)+(-0.719202+(-0.391578--0.312018))+0-176.9--0.0902189999999821</f>
        <v>1388.591457</v>
      </c>
      <c r="W103" s="3">
        <f>1396.6+(510.3-380.6)+(-2.849064+(-1.041012--0.776424))+0-178.6--0.364343999999992</f>
        <v>1344.9506920000001</v>
      </c>
      <c r="X103" s="3">
        <f>1406+(260-210.2)+(-2.15118+(-0.3978--0.321606))+0-175.9--0.26912700000001</f>
        <v>1277.9417529999998</v>
      </c>
      <c r="Y103" s="3">
        <f>1410.4+(246.7-279.9)+(-1.438608+(-0.251634--0.285498))+0-177.9--0.181458000000028</f>
        <v>1198.076714</v>
      </c>
      <c r="Z103" s="3">
        <f>1429.7+(455.3-414.1)+(1.458294+(0.464406-0.422382))+0-186.9-0.19063800000003</f>
        <v>1285.3096800000001</v>
      </c>
      <c r="AA103" s="3">
        <f>1444.6+(613.1-541.2)+(-2.946984+(-1.250724--1.104048))+0-190.5--0.388619999999992</f>
        <v>1323.2949599999999</v>
      </c>
      <c r="AB103" s="3">
        <f>1442.6+(657.5-587.9)+(-3.67863+(-1.676625--1.499145))+0-189.2--0.482459999999973</f>
        <v>1319.6263499999998</v>
      </c>
      <c r="AC103" s="3">
        <f>1432.5+(667.4-617.3)+(-2.9223+(-1.361496--1.259292))+0-189.2--0.385967999999992</f>
        <v>1290.7614639999999</v>
      </c>
      <c r="AD103" s="2">
        <v>1357.1</v>
      </c>
      <c r="AE103" s="3">
        <f>1445+(653.7-531)+(0+(0-0))+0-187.6-0</f>
        <v>1380.1000000000001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1458.3+(550.1-538.3)+(0+(0-0))+0-189-0</f>
        <v>1281.0999999999999</v>
      </c>
      <c r="G104" s="3">
        <f>1477.2+(478.2-530.3)+(-4.520232+(-1.463292--1.622718))+0-188.1--0.575586000000022</f>
        <v>1233.2147800000002</v>
      </c>
      <c r="H104" s="3">
        <f>1469.5+(522.8-597.8)+(-2.99778+(-1.066512--1.219512))+0-188.9--0.385355999999992</f>
        <v>1203.140576</v>
      </c>
      <c r="I104" s="3">
        <f>1471.5+(417.1-521.3)+(-3.752325+(-1.063605--1.329315))+0-186.9--0.476594999999973</f>
        <v>1177.3899799999999</v>
      </c>
      <c r="J104" s="3">
        <f>1492.9+(340.4-480)+(-4.568274+(-1.041624--1.4688))+0-185.7--0.568242000000021</f>
        <v>1164.0271440000001</v>
      </c>
      <c r="K104" s="3">
        <f>1493.9+(298.5-478.9)+(-3.047556+(-0.60894--0.976956))+0-187.1--0.381683999999992</f>
        <v>1124.102144</v>
      </c>
      <c r="L104" s="3">
        <f>1488.7+(228.2-444.3)+(-3.796185+(-0.58191--1.132965))+0-183.6--0.468179999999973</f>
        <v>1086.2230500000001</v>
      </c>
      <c r="M104" s="3">
        <f>1477.6+(244-399.3)+(2.260728+(0.37332-0.610929))+0-187-0.286110000000011</f>
        <v>1137.0370089999999</v>
      </c>
      <c r="N104" s="3">
        <f>1460.8+(278.6-348.6)+(2.235024+(0.426258-0.533358))+0-180.4-0.27601200000001</f>
        <v>1212.2519119999997</v>
      </c>
      <c r="O104" s="3">
        <f>1444+(315.7-287.7)+(1.47288+(0.322014-0.293454))+0-179.1-0.182682000000029</f>
        <v>1294.218758</v>
      </c>
      <c r="P104" s="3">
        <f>1441.6+(353.8-245)+(0+(0-0))+0-176.3-0</f>
        <v>1374.1</v>
      </c>
      <c r="Q104" s="3">
        <f>1435.7+(505.3-326.1)+(3.661035+(1.288515-0.831555))+0-177.2-0.451859999999974</f>
        <v>1441.3661350000002</v>
      </c>
      <c r="R104" s="3">
        <f>1424.2+(712.2-501.9)+(0.726342+(0.363222-0.255969))+0-182.1-0.0928709999999815</f>
        <v>1453.1407240000001</v>
      </c>
      <c r="S104" s="3">
        <f>1416.1+(853.5-641.3)+(-1.444422+(-0.87057--0.654126))+0-180.6--0.184212000000029</f>
        <v>1446.2233460000002</v>
      </c>
      <c r="T104" s="3">
        <f>1373+(899.2-643.2)+(-1.40046+(-0.917184--0.656064))+0-183--0.186660000000029</f>
        <v>1444.5250800000001</v>
      </c>
      <c r="U104" s="3">
        <f>1379.1+(878.8-636.4)+(-3.516705+(-2.24094--1.62282))+0-185.2--0.472259999999973</f>
        <v>1432.6374349999999</v>
      </c>
      <c r="V104" s="3">
        <f>1382.3+(788.8-535.8)+(-0.704973+(-0.402288--0.273258))+0-188.1--0.0959309999999809</f>
        <v>1446.4619280000002</v>
      </c>
      <c r="W104" s="3">
        <f>1362.6+(592.5-378.1)+(-2.779704+(-1.2087--0.771324))+0-186.9--0.381275999999992</f>
        <v>1387.2641960000001</v>
      </c>
      <c r="X104" s="3">
        <f>1371.2+(319.3-207)+(-2.097936+(-0.488529--0.31671))+0-183.6--0.280908000000011</f>
        <v>1297.911153</v>
      </c>
      <c r="Y104" s="3">
        <f>1379.2+(346.1-320.3)+(-3.51696+(-0.882555--0.816765))+0-181.1--0.461804999999974</f>
        <v>1220.779055</v>
      </c>
      <c r="Z104" s="3">
        <f>1398.4+(447.9-303.1)+(0+(0-0))+0-184.5-0</f>
        <v>1358.7</v>
      </c>
      <c r="AA104" s="3">
        <f>1429.3+(576.6-415.4)+(-3.644715+(-1.47033--1.05927))+0-187.3--0.477614999999973</f>
        <v>1399.62184</v>
      </c>
      <c r="AB104" s="3">
        <f>1426.4+(600.4-437.8)+(-1.454928+(-0.612408--0.446556))+0-186.5--0.19023000000003</f>
        <v>1401.06945</v>
      </c>
      <c r="AC104" s="3">
        <f>1410.2+(712.8-560.8)+(-1.438404+(-0.727056--0.572016))+0-187.3--0.19104600000003</f>
        <v>1373.4976020000001</v>
      </c>
      <c r="AD104" s="2">
        <v>1400</v>
      </c>
      <c r="AE104" s="3">
        <f>1424+(578.3-407.5)+(0+(0-0))+0-183.8-0</f>
        <v>1411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1423.2+(738.6-653.3)+(-3.62916+(-1.88343--1.665915))+0-188.4--0.480419999999973</f>
        <v>1316.7337449999998</v>
      </c>
      <c r="G105" s="3">
        <f>1451.1+(598-588.6)+(-2.960244+(-1.21992--1.200744))+0-184--0.375359999999992</f>
        <v>1273.8959400000001</v>
      </c>
      <c r="H105" s="3">
        <f>1454.7+(493.6-524.5)+(-2.225691+(-0.755208--0.802485))+0-185.4--0.283662000000011</f>
        <v>1236.5052480000002</v>
      </c>
      <c r="I105" s="3">
        <f>1454.5+(428.2-493.4)+(-2.96718+(-0.873528--1.006536))+0-191.1--0.389843999999992</f>
        <v>1195.755672</v>
      </c>
      <c r="J105" s="3">
        <f>1464.9+(385.8-476.3)+(-3.735495+(-0.98379--1.214565))+0-189.9--0.484244999999972</f>
        <v>1181.479525</v>
      </c>
      <c r="K105" s="3">
        <f>1462.9+(329.1-450.3)+(-3.730395+(-0.839205--1.148265))+0-188--0.479399999999973</f>
        <v>1150.758065</v>
      </c>
      <c r="L105" s="3">
        <f>1472.1+(304.6-482.8)+(-0.750771+(-0.155346--0.246228))+0-188.7--0.0962369999999809</f>
        <v>1104.6363479999998</v>
      </c>
      <c r="M105" s="3">
        <f>1456.2+(306-406.5)+(1.485324+(0.31212-0.41463))+0-192.1-0.195942000000031</f>
        <v>1164.7868720000001</v>
      </c>
      <c r="N105" s="3">
        <f>1438.4+(393.2-401.7)+(0+(0-0))+0-192.1-0</f>
        <v>1237.8000000000002</v>
      </c>
      <c r="O105" s="3">
        <f>1391.6+(489.8-386.5)+(-3.54858+(-1.24899--0.985575))+0-185.4--0.472769999999973</f>
        <v>1306.1607749999998</v>
      </c>
      <c r="P105" s="3">
        <f>1396.6+(588.7-426.8)+(0+(0-0))+0-181.6-0</f>
        <v>1376.9</v>
      </c>
      <c r="Q105" s="3">
        <f>1397.7+(677-439.3)+(-1.425654+(-0.69054--0.448086))+0-184.9--0.188598000000029</f>
        <v>1449.0204899999999</v>
      </c>
      <c r="R105" s="3">
        <f>1386.7+(797.2-555)+(0+(0-0))+0-182.2-0</f>
        <v>1446.7</v>
      </c>
      <c r="S105" s="3">
        <f>1377.2+(962.7-692.5)+(-1.404744+(-0.981954--0.70635))+0-183.1--0.186762000000029</f>
        <v>1462.8064140000001</v>
      </c>
      <c r="T105" s="3">
        <f>1365.6+(947.8-720.9)+(-2.089368+(-1.450134--1.102977))+6.5-184.1--0.281673000000011</f>
        <v>1412.745148</v>
      </c>
      <c r="U105" s="3">
        <f>1358+(947.3-714.6)+(1.38516+(0.966246-0.728892))+2.7-179.6-0.183192000000029</f>
        <v>1415.2393219999999</v>
      </c>
      <c r="V105" s="3">
        <f>1350.1+(896.6-639.3)+(-0.688551+(-0.457266--0.326043))+0-182.8--0.0932279999999815</f>
        <v>1423.873454</v>
      </c>
      <c r="W105" s="3">
        <f>1355.5+(654-437.6)+(-4.839135+(-2.33478--1.562232))+0-186.6--0.666162000000003</f>
        <v>1380.3544790000001</v>
      </c>
      <c r="X105" s="3">
        <f>1366.2+(305.2-184.2)+(-4.877334+(-1.089564--0.657594))+0-185.3--0.661521000000003</f>
        <v>1297.252217</v>
      </c>
      <c r="Y105" s="3">
        <f>1372.5+(335.1-280.6)+(-1.39995+(-0.341802--0.286212))+0-179.4--0.182988000000029</f>
        <v>1246.327448</v>
      </c>
      <c r="Z105" s="3">
        <f>1384.9+(458.5-294.7)+(0+(0-0))+0-183.2-0</f>
        <v>1365.5</v>
      </c>
      <c r="AA105" s="3">
        <f>1399.3+(589.4-385.6)+(-1.427286+(-0.601188--0.393312))+0-184.2--0.187884000000029</f>
        <v>1417.4527219999998</v>
      </c>
      <c r="AB105" s="3">
        <f>1400.1+(622.3-426.2)+(-1.428102+(-0.634746--0.434724))+0-180.9--0.184518000000029</f>
        <v>1413.8563939999997</v>
      </c>
      <c r="AC105" s="3">
        <f>1401+(619.7-454.4)+(0+(0-0))+0-182.9-0</f>
        <v>1383.4</v>
      </c>
      <c r="AD105" s="2">
        <v>1392.5000000000002</v>
      </c>
      <c r="AE105" s="3">
        <f>1395+(618.7-413.4)+(0+(0-0))+0-183.8-0</f>
        <v>1416.5000000000002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1409.9+(616.4-511.9)+(0.719049+(0.314364-0.261069))+0-179.9-0.0917489999999817</f>
        <v>1335.180595</v>
      </c>
      <c r="G106" s="3">
        <f>1429.4+(585-539.5)+(0+(0-0))+0-179.8-0</f>
        <v>1295.1000000000001</v>
      </c>
      <c r="H106" s="3">
        <f>1450.1+(449.9-460.2)+(0+(0-0))+0-175.4-0</f>
        <v>1264.3999999999999</v>
      </c>
      <c r="I106" s="3">
        <f>1453.7+(389.2-425.2)+(0+(0-0))+0-178.1-0</f>
        <v>1239.6000000000001</v>
      </c>
      <c r="J106" s="3">
        <f>1454.2+(339.1-392.4)+(-2.224926+(-0.518823--0.600372))+0-175.7--0.26882100000001</f>
        <v>1223.3254440000001</v>
      </c>
      <c r="K106" s="3">
        <f>1450.4+(319.6-400)+(-1.479408+(-0.325992--0.408))+0-173.2--0.176664000000028</f>
        <v>1195.579264</v>
      </c>
      <c r="L106" s="3">
        <f>1447.7+(281.3-408)+(-2.953308+(-0.573852--0.83232))+0-169.5--0.345779999999993</f>
        <v>1149.15094</v>
      </c>
      <c r="M106" s="3">
        <f>1434.4+(300.9-365.4)+(0+(0-0))+0-171-0</f>
        <v>1198.9000000000001</v>
      </c>
      <c r="N106" s="3">
        <f>1418.4+(344.5-314.6)+(1.446768+(0.35139-0.320892))+0-175.4-0.178908000000028</f>
        <v>1274.1983580000001</v>
      </c>
      <c r="O106" s="3">
        <f>1385.1+(373.9-229.5)+(-2.825604+(-0.762756--0.46818))+0-176.4--0.359855999999992</f>
        <v>1350.3396760000001</v>
      </c>
      <c r="P106" s="3">
        <f>1376.8+(444.1-216.4)+(-0.702168+(-0.226491--0.110364))+0-178.4--0.0909839999999819</f>
        <v>1425.3726889999998</v>
      </c>
      <c r="Q106" s="3">
        <f>1386.2+(639.5-370)+(-0.706962+(-0.326145--0.1887))+0-175.8--0.0896579999999822</f>
        <v>1479.1452509999999</v>
      </c>
      <c r="R106" s="3">
        <f>1389.4+(769-497.8)+(0+(0-0))+0-176.1-0</f>
        <v>1484.5000000000002</v>
      </c>
      <c r="S106" s="3">
        <f>1372.1+(826.1-574.4)+(-2.799084+(-1.685244--1.171776))+0-168.6--0.343943999999993</f>
        <v>1452.2313919999999</v>
      </c>
      <c r="T106" s="3">
        <f>1372.9+(776.6-541.1)+(-1.400358+(-0.792132--0.551922))+0-173.9--0.177378000000028</f>
        <v>1433.0368100000001</v>
      </c>
      <c r="U106" s="3">
        <f>1367.2+(824.2-563.9)+(-0.697272+(-0.420342--0.287589))+0-171.9--0.0876689999999826</f>
        <v>1454.8576439999999</v>
      </c>
      <c r="V106" s="3">
        <f>1350.1+(761.8-484.8)+(-0.688551+(-0.388518--0.247248))+0-174.5--0.0889949999999823</f>
        <v>1451.8591739999999</v>
      </c>
      <c r="W106" s="3">
        <f>1349.2+(546.1-307.3)+(2.064276+(0.835533-0.470169))+0-177-0.27081000000001</f>
        <v>1413.1588300000001</v>
      </c>
      <c r="X106" s="3">
        <f>1353.1+(380.9-217)+(-2.070243+(-0.582777--0.33201))+0-177.9--0.27218700000001</f>
        <v>1337.0511770000001</v>
      </c>
      <c r="Y106" s="3">
        <f>1365+(292.4-203.9)+(1.3923+(0.298248-0.207978))+0-176.4-0.179928000000028</f>
        <v>1278.4026419999998</v>
      </c>
      <c r="Z106" s="3">
        <f>1401.9+(507.5-330.2)+(-0.714969+(-0.258825--0.168402))+0-181.3--0.0924629999999816</f>
        <v>1397.1870710000001</v>
      </c>
      <c r="AA106" s="3">
        <f>1419.4+(680.8-469.4)+(-2.895576+(-1.388832--0.957576))+0-187.1--0.381683999999992</f>
        <v>1440.7548520000003</v>
      </c>
      <c r="AB106" s="3">
        <f>1407.8+(765.5-552.4)+(-0.717978+(-0.390405--0.281724))+0-184.5--0.0940949999999813</f>
        <v>1435.667436</v>
      </c>
      <c r="AC106" s="3">
        <f>1406.7+(777.2-580)+(-1.434834+(-0.792744--0.5916))+0-184.8--0.188496000000029</f>
        <v>1417.6525180000001</v>
      </c>
      <c r="AD106" s="2">
        <v>1440.5</v>
      </c>
      <c r="AE106" s="3">
        <f>1417+(715.1-494.1)+(0+(0-0))+0-184.5-0</f>
        <v>1453.5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1429.3+(713.9-609.9)+(-3.644715+(-1.820445--1.555245))+0-186.7--0.476084999999973</f>
        <v>1343.16617</v>
      </c>
      <c r="G107" s="3">
        <f>1443.3+(682.1-627.4)+(1.472166+(0.695742-0.639948))+0-181.7-0.185334000000029</f>
        <v>1317.6426259999998</v>
      </c>
      <c r="H107" s="3">
        <f>1452+(602.4-583.7)+(-1.48104+(-0.614448--0.595374))+0-183.4--0.187068000000029</f>
        <v>1285.9869539999997</v>
      </c>
      <c r="I107" s="3">
        <f>1452.8+(560.7-569.9)+(0.740928+(0.285957-0.290649))+0-186.1-0.0949109999999811</f>
        <v>1258.1413250000001</v>
      </c>
      <c r="J107" s="3">
        <f>1464.4+(508.6-541.5)+(-2.240532+(-0.778158--0.828495))+0-187.3--0.286569000000011</f>
        <v>1242.2963740000002</v>
      </c>
      <c r="K107" s="3">
        <f>1471.4+(405.9-482.1)+(-2.251242+(-0.621027--0.737613))+0-186.6--0.285498000000011</f>
        <v>1206.7508420000001</v>
      </c>
      <c r="L107" s="3">
        <f>1468.2+(303.1-462.8)+(-2.246346+(-0.463743--0.708084))+0-183--0.279990000000011</f>
        <v>1123.7779849999999</v>
      </c>
      <c r="M107" s="3">
        <f>1470.5+(273.8-410.4)+(1.49991+(0.279276-0.418608))+0-185.5-0.18921000000003</f>
        <v>1149.5713680000001</v>
      </c>
      <c r="N107" s="3">
        <f>1454.9+(308-322.2)+(0+(0-0))+0-187.8-0</f>
        <v>1252.9000000000001</v>
      </c>
      <c r="O107" s="3">
        <f>1444.7+(340.3-285.3)+(-2.210391+(-0.520659--0.436509))+0-182.2--0.278766000000011</f>
        <v>1315.4842249999999</v>
      </c>
      <c r="P107" s="3">
        <f>1432.1+(406.5-291.6)+(-2.191113+(-0.621945--0.446148))+0-181.6--0.27784800000001</f>
        <v>1363.3109380000001</v>
      </c>
      <c r="Q107" s="3">
        <f>1402.6+(609.3-405)+(0+(0-0))+0-183.6-0</f>
        <v>1423.3</v>
      </c>
      <c r="R107" s="3">
        <f>1389.3+(827.7-584.3)+(1.417086+(0.844254-0.595986))+0-178.8-0.182376000000029</f>
        <v>1455.3829780000001</v>
      </c>
      <c r="S107" s="3">
        <f>1392.1+(778.3-612.3)+(-4.259826+(-2.381598--1.873638))+41.3-158.8--0.485928000000018</f>
        <v>1436.3181420000001</v>
      </c>
      <c r="T107" s="3">
        <f>1387.4+(783.7-659.4)+(-0.707574+(-0.399687--0.336294))+2.7-144.6--0.0737459999999853</f>
        <v>1369.1027790000005</v>
      </c>
      <c r="U107" s="3">
        <f>1382+(743.3-595.5)+(-1.40964+(-0.758166--0.60741))+0-144.1--0.146982000000023</f>
        <v>1384.2865859999999</v>
      </c>
      <c r="V107" s="3">
        <f>1380.1+(716.6-512.4)+(-2.111553+(-1.096398--0.783972))+0-150.1--0.229653000000009</f>
        <v>1432.0056740000002</v>
      </c>
      <c r="W107" s="3">
        <f>1382.1+(548.4-365)+(-2.819484+(-1.118736--0.7446))+0-154--0.314159999999993</f>
        <v>1408.6205399999999</v>
      </c>
      <c r="X107" s="3">
        <f>1381.4+(304.2-197.5)+(-5.636112+(-1.241136--0.8058))+0-167.7--0.684215999999985</f>
        <v>1315.0127680000001</v>
      </c>
      <c r="Y107" s="3">
        <f>1385.6+(327.6-304.5)+(-2.119968+(-0.501228--0.465885))+0-179.1--0.27402300000001</f>
        <v>1227.7187119999999</v>
      </c>
      <c r="Z107" s="3">
        <f>1406.2+(402.9-275.7)+(-0.717162+(-0.205479--0.140607))+0-184.8--0.0942479999999813</f>
        <v>1347.9122139999999</v>
      </c>
      <c r="AA107" s="3">
        <f>1426.6+(594.8-457.7)+(-4.365396+(-1.820088--1.400562))+0-191.2--0.585072000000022</f>
        <v>1368.3001499999998</v>
      </c>
      <c r="AB107" s="3">
        <f>1438.4+(559.7-436)+(-2.934336+(-1.141788--0.88944))+0-190.4--0.388415999999992</f>
        <v>1368.901732</v>
      </c>
      <c r="AC107" s="3">
        <f>1455.7+(588.9-484.7)+(-2.227221+(-0.901017--0.741591))+0-191.2--0.292536000000011</f>
        <v>1366.6058889999999</v>
      </c>
      <c r="AD107" s="2">
        <v>1345.2999999999997</v>
      </c>
      <c r="AE107" s="3">
        <f>1415+(587.1-450.4)+(0+(0-0))+0-193.4-0</f>
        <v>1358.3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1347.5+(720.5-524.1)+(-0.687225+(-0.367455--0.267291))+0-192.5--0.0981749999999805</f>
        <v>1350.7107860000001</v>
      </c>
      <c r="G108" s="3">
        <f>1313.2+(745.8-560.7)+(0.669732+(0.380358-0.285957))+0-190.5-0.0971549999999807</f>
        <v>1308.4669779999999</v>
      </c>
      <c r="H108" s="3">
        <f>1320.8+(661.3-522.8)+(-2.020824+(-1.011789--0.799884))+0-191.3--0.292689000000011</f>
        <v>1266.05996</v>
      </c>
      <c r="I108" s="3">
        <f>1327.5+(553.5-445.6)+(0+(0-0))+0-192.3-0</f>
        <v>1243.1000000000001</v>
      </c>
      <c r="J108" s="3">
        <f>1335.7+(494.6-422)+(0+(0-0))+0-191.9-0</f>
        <v>1216.4000000000001</v>
      </c>
      <c r="K108" s="3">
        <f>1340.7+(416.5-392)+(-3.418785+(-1.062075--0.9996))+0-191.7--0.488834999999972</f>
        <v>1170.5075749999999</v>
      </c>
      <c r="L108" s="3">
        <f>1384.3+(313.9-394.2)+(-4.941951+(-1.120623--1.407294))+0-190.5--0.680085000000003</f>
        <v>1109.524805</v>
      </c>
      <c r="M108" s="3">
        <f>1394.5+(338.8-414.8)+(0+(0-0))+0-190.2-0</f>
        <v>1128.3</v>
      </c>
      <c r="N108" s="3">
        <f>1481.3+(322.4-437.8)+(0+(0-0))+0-191.7-0</f>
        <v>1174.1999999999998</v>
      </c>
      <c r="O108" s="3">
        <f>1478.5+(372.1-426.4)+(0.754035+(0.189771-0.217464))+0-178.5-0.0910349999999819</f>
        <v>1246.3353070000001</v>
      </c>
      <c r="P108" s="3">
        <f>1462.2+(439.6-415.5)+(0+(0-0))+0-173.1-0</f>
        <v>1313.2000000000003</v>
      </c>
      <c r="Q108" s="3">
        <f>1442.8+(491.1-385.1)+(1.471656+(0.500922-0.392802))+0-185.1-0.18880200000003</f>
        <v>1365.090974</v>
      </c>
      <c r="R108" s="3">
        <f>1430.4+(662.1-535.8)+(-0.729504+(-0.337671--0.273258))+0-187.9--0.0958289999999809</f>
        <v>1368.1019120000003</v>
      </c>
      <c r="S108" s="3">
        <f>1418.8+(736.9-590.2)+(-0.723588+(-0.375819--0.301002))+0-188.5--0.0961349999999809</f>
        <v>1376.29773</v>
      </c>
      <c r="T108" s="3">
        <f>1407.9+(789.2-620.2)+(-1.436058+(-0.804984--0.632604))+0-188.4--0.19216800000003</f>
        <v>1387.0837300000001</v>
      </c>
      <c r="U108" s="3">
        <f>1397.9+(748.6-586.4)+(0+(0-0))+0-172-0</f>
        <v>1388.1000000000001</v>
      </c>
      <c r="V108" s="3">
        <f>1391.4+(627.5-494.7)+(0.709614+(0.320025-0.252297))+0-147.9-0.075428999999985</f>
        <v>1377.0019130000001</v>
      </c>
      <c r="W108" s="3">
        <f>1393.7+(443.4-330.4)+(-4.264722+(-1.356804--1.011024))+0-166--0.507960000000019</f>
        <v>1336.597458</v>
      </c>
      <c r="X108" s="3">
        <f>1388.4+(305.5-263.8)+(-3.54042+(-0.779025--0.67269))+0-181.9--0.463844999999974</f>
        <v>1245.0170900000001</v>
      </c>
      <c r="Y108" s="3">
        <f>1381.4+(325.7-357.8)+(-0.704514+(-0.166107--0.182478))+0-184.6--0.0941459999999813</f>
        <v>1164.1060030000001</v>
      </c>
      <c r="Z108" s="3">
        <f>1411+(467.9-387.6)+(0.71961+(0.238629-0.197676))+0-190.8-0.0973079999999806</f>
        <v>1301.1632550000002</v>
      </c>
      <c r="AA108" s="3">
        <f>1442.2+(513.9-431)+(-2.206566+(-0.786267--0.65943))+0-192--0.293760000000011</f>
        <v>1331.0603569999998</v>
      </c>
      <c r="AB108" s="3">
        <f>1430.3+(558.7-463.2)+(-0.729453+(-0.284937--0.236232))+0-187.8--0.0957779999999809</f>
        <v>1337.3176199999998</v>
      </c>
      <c r="AC108" s="3">
        <f>1437.4+(651-582.8)+(0.733074+(0.33201-0.297228))+0-191.3-0.0975629999999806</f>
        <v>1314.9702930000001</v>
      </c>
      <c r="AD108" s="2">
        <v>1335.7</v>
      </c>
      <c r="AE108" s="3">
        <f>1440+(513-418.2)+(0+(0-0))+0-188.1-0</f>
        <v>1346.7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1445.7+(642.9-610.6)+(1.474614+(0.655758-0.622812))+0-192.3-0.196146000000031</f>
        <v>1287.0114140000001</v>
      </c>
      <c r="G109" s="3">
        <f>1457+(606.3-621.4)+(0.74307+(0.309213-0.316914))+0-189.9-0.0968489999999807</f>
        <v>1252.63852</v>
      </c>
      <c r="H109" s="3">
        <f>1471.9+(525.2-590.4)+(2.252007+(0.803556-0.903312))+0-187.6-0.287028000000011</f>
        <v>1220.9652230000004</v>
      </c>
      <c r="I109" s="3">
        <f>1476.7+(528.9-620)+(0+(0-0))+0-187.2-0</f>
        <v>1198.3999999999999</v>
      </c>
      <c r="J109" s="3">
        <f>1484.2+(490.2-598.9)+(-1.513884+(-0.500004--0.610878))+0-187.8--0.19155600000003</f>
        <v>1186.488546</v>
      </c>
      <c r="K109" s="3">
        <f>1492.8+(431.5-584.5)+(-5.329296+(-1.540455--2.086665))+0-186.6--0.666162000000003</f>
        <v>1149.0830760000001</v>
      </c>
      <c r="L109" s="3">
        <f>1492.7+(444.1-651)+(-2.283831+(-0.679473--0.99603))+0-185.2--0.283356000000011</f>
        <v>1098.916082</v>
      </c>
      <c r="M109" s="3">
        <f>1478.3+(459.4-625.1)+(0.753933+(0.234294-0.318801))+0-187.7-0.095726999999981</f>
        <v>1125.4736989999999</v>
      </c>
      <c r="N109" s="3">
        <f>1469.3+(420.4-526.9)+(-0.749343+(-0.214404--0.268719))+0-190.2--0.0970019999999807</f>
        <v>1172.0019739999998</v>
      </c>
      <c r="O109" s="3">
        <f>1453.2+(384.9-421.3)+(2.223396+(0.588897-0.644589))+0-188.2-0.287946000000011</f>
        <v>1230.4797579999999</v>
      </c>
      <c r="P109" s="3">
        <f>1435.4+(394-344.2)+(0.732054+(0.20094-0.175542))+0-189.5-0.0966449999999808</f>
        <v>1296.360807</v>
      </c>
      <c r="Q109" s="3">
        <f>1417.1+(520.5-415.1)+(0.722721+(0.265455-0.211701))+0-182.1-0.0928709999999815</f>
        <v>1341.0836039999999</v>
      </c>
      <c r="R109" s="3">
        <f>1404.6+(661.2-528.8)+(1.432692+(0.674424-0.539376))+0-175.3-0.178806000000028</f>
        <v>1363.0889339999999</v>
      </c>
      <c r="S109" s="3">
        <f>1394.1+(800.3-647.2)+(2.843964+(1.632612-1.320288))+0-173.8-0.354551999999992</f>
        <v>1376.2017359999998</v>
      </c>
      <c r="T109" s="3">
        <f>1388.1+(828.8-664.4)+(2.123793+(1.268064-1.016532))+0-176.3-0.26973900000001</f>
        <v>1378.3055859999999</v>
      </c>
      <c r="U109" s="3">
        <f>1383.6+(831.3-666.2)+(1.411272+(0.847926-0.679524))+0-172.3-0.175746000000027</f>
        <v>1377.8039279999998</v>
      </c>
      <c r="V109" s="3">
        <f>1380.3+(752.9-584.5)+(0.703953+(0.383979-0.298095))+0-172.8-0.0881279999999825</f>
        <v>1376.601709</v>
      </c>
      <c r="W109" s="3">
        <f>1380.1+(536.7-407.9)+(-0.703851+(-0.273717--0.208029))+0-172.6--0.0880259999999825</f>
        <v>1335.6184870000002</v>
      </c>
      <c r="X109" s="3">
        <f>1380.6+(288.3-245.3)+(-2.816424+(-0.588132--0.500412))+0-174.2--0.355367999999992</f>
        <v>1246.8512239999998</v>
      </c>
      <c r="Y109" s="3">
        <f>1393.8+(281.9-330.3)+(0.710838+(0.143769-0.168453))+0-171.1-0.0872609999999826</f>
        <v>1174.898893</v>
      </c>
      <c r="Z109" s="3">
        <f>1425.9+(463.9-392.1)+(-0.727209+(-0.236589--0.199971))+0-173.4--0.0884339999999824</f>
        <v>1323.624607</v>
      </c>
      <c r="AA109" s="3">
        <f>1437.3+(656.9-530)+(-1.466046+(-0.670038--0.5406))+0-173.3--0.176766000000028</f>
        <v>1389.481282</v>
      </c>
      <c r="AB109" s="3">
        <f>1441.7+(701.5-590.7)+(-1.470534+(-0.71553--0.602514))+0-171.7--0.175134000000027</f>
        <v>1379.391584</v>
      </c>
      <c r="AC109" s="3">
        <f>1444.3+(750.9-670.1)+(-0.736593+(-0.382959--0.341751))+0-171.1--0.0872609999999826</f>
        <v>1353.3094599999999</v>
      </c>
      <c r="AD109" s="2">
        <v>1360.5</v>
      </c>
      <c r="AE109" s="3">
        <f>1434+(737.9-625)+(0+(0-0))+0-175.4-0</f>
        <v>1371.5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1462.9+(658.1-629.1)+(-0.746079+(-0.335631--0.320841))+0-183.6--0.0936359999999814</f>
        <v>1307.6327670000003</v>
      </c>
      <c r="G110" s="3">
        <f>1470.5+(595.9-614.5)+(0+(0-0))+0-184.6-0</f>
        <v>1267.3000000000002</v>
      </c>
      <c r="H110" s="3">
        <f>1484.1+(518.9-581.9)+(-0.756891+(-0.264639--0.296769))+0-184.8--0.0942479999999813</f>
        <v>1235.6694869999999</v>
      </c>
      <c r="I110" s="3">
        <f>1489.8+(462.9-555.8)+(-0.759798+(-0.236079--0.283458))+0-180.9--0.0922589999999816</f>
        <v>1215.3798400000001</v>
      </c>
      <c r="J110" s="3">
        <f>1492+(414.7-523.2)+(-1.52184+(-0.422994--0.533664))+0-179.7--0.183294000000029</f>
        <v>1202.5721239999998</v>
      </c>
      <c r="K110" s="3">
        <f>1504.3+(359.6-504.5)+(-3.835965+(-0.91698--1.286475))+0-178.5--0.455174999999974</f>
        <v>1177.8887050000001</v>
      </c>
      <c r="L110" s="3">
        <f>1505.7+(295.9-470.5)+(-1.535814+(-0.301818--0.47991))+0-179.3--0.182886000000029</f>
        <v>1150.625164</v>
      </c>
      <c r="M110" s="3">
        <f>1489.7+(297.8-406.2)+(2.279241+(0.455634-0.621486))+0-184.3-0.281979000000011</f>
        <v>1198.8314100000002</v>
      </c>
      <c r="N110" s="3">
        <f>1484.8+(289.1-331.4)+(0+(0-0))+0-172.4-0</f>
        <v>1270.0999999999999</v>
      </c>
      <c r="O110" s="3">
        <f>1458.2+(342-300.2)+(1.487364+(0.34884-0.306204))+0-166-0.169320000000026</f>
        <v>1335.36068</v>
      </c>
      <c r="P110" s="3">
        <f>1428.8+(431-286.4)+(2.186064+(0.65943-0.438192))+0-174.6-0.26713800000001</f>
        <v>1400.9401640000003</v>
      </c>
      <c r="Q110" s="3">
        <f>1412.5+(666-447)+(2.161125+(1.01898-0.68391))+0-183-0.279990000000011</f>
        <v>1450.7162049999999</v>
      </c>
      <c r="R110" s="3">
        <f>1397.4+(748.2-486.4)+(2.850696+(1.526328-0.992256))+0-174.7-0.356387999999992</f>
        <v>1487.5283800000002</v>
      </c>
      <c r="S110" s="3">
        <f>1388.1+(885.4-622.9)+(0.707931+(0.451554-0.317679))+0-176.7-0.0901169999999821</f>
        <v>1474.6516889999998</v>
      </c>
      <c r="T110" s="3">
        <f>1377.6+(917.2-652)+(-0.702576+(-0.467772--0.33252))+0-175.3--0.0894029999999822</f>
        <v>1466.751575</v>
      </c>
      <c r="U110" s="3">
        <f>1365.5+(905.1-627.7)+(0+(0-0))+0-179.6-0</f>
        <v>1463.3000000000002</v>
      </c>
      <c r="V110" s="3">
        <f>1362.4+(825.9-551)+(-1.389648+(-0.842418--0.56202))+0-180.5--0.184110000000029</f>
        <v>1455.3140640000001</v>
      </c>
      <c r="W110" s="3">
        <f>1363.1+(643.8-398.5)+(-2.085543+(-0.985014--0.609705))+0-181.6--0.27784800000001</f>
        <v>1424.616996</v>
      </c>
      <c r="X110" s="3">
        <f>1362.4+(333.2-177.5)+(-3.47412+(-0.84966--0.452625))+0-180.6--0.460529999999974</f>
        <v>1334.0893750000002</v>
      </c>
      <c r="Y110" s="3">
        <f>1363.1+(367.1-295.8)+(-2.085543+(-0.561663--0.452574))+0-180--0.27540000000001</f>
        <v>1252.4807679999999</v>
      </c>
      <c r="Z110" s="3">
        <f>1378.9+(561.7-362.5)+(1.406478+(0.572934-0.36975))+0-187.1-0.19084200000003</f>
        <v>1392.4188200000003</v>
      </c>
      <c r="AA110" s="3">
        <f>1397.2+(675.5-436.3)+(-2.137716+(-1.033515--0.667539))+0-185.6--0.283968000000011</f>
        <v>1448.5802760000001</v>
      </c>
      <c r="AB110" s="3">
        <f>1421.8+(670.1-488.8)+(-2.175354+(-1.025253--0.747864))+0-180.8--0.27662400000001</f>
        <v>1420.123881</v>
      </c>
      <c r="AC110" s="3">
        <f>1418.2+(669.6-502.9)+(-1.446564+(-0.682992--0.512958))+0-178.7--0.182274000000028</f>
        <v>1404.765676</v>
      </c>
      <c r="AD110" s="2">
        <v>1433.7</v>
      </c>
      <c r="AE110" s="3">
        <f>1401+(661.4-431.4)+(0+(0-0))+0-189.3-0</f>
        <v>1441.7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1444.8+(584.2-515.8)+(-1.473696+(-0.595884--0.526116))+0-178--0.181560000000028</f>
        <v>1333.838096</v>
      </c>
      <c r="G111" s="3">
        <f>1441.7+(491.6-459.5)+(-1.470534+(-0.501432--0.46869))+0-182--0.185640000000029</f>
        <v>1290.4823640000002</v>
      </c>
      <c r="H111" s="3">
        <f>1449.7+(416.6-416.3)+(-2.218041+(-0.637398--0.636939))+0-183.6--0.280908000000011</f>
        <v>1264.4624080000001</v>
      </c>
      <c r="I111" s="3">
        <f>1452.7+(375.9-398.7)+(-4.445262+(-1.150254--1.220022))+0-181.4--0.555084000000021</f>
        <v>1244.6795900000002</v>
      </c>
      <c r="J111" s="3">
        <f>1464.7+(359.7-411.4)+(-3.734985+(-0.917235--1.04907))+0-183.1--0.466904999999973</f>
        <v>1226.7637550000002</v>
      </c>
      <c r="K111" s="3">
        <f>1468.3+(399-481.3)+(-6.739497+(-1.83141--2.209167))+0-185.1--0.849609000000032</f>
        <v>1195.3878690000001</v>
      </c>
      <c r="L111" s="3">
        <f>1485+(384-534.8)+(0+(0-0))+0-182.2-0</f>
        <v>1152</v>
      </c>
      <c r="M111" s="3">
        <f>1466.6+(373.1-456.1)+(0.747966+(0.190281-0.232611))+0-182.2-0.0929219999999815</f>
        <v>1202.0127139999997</v>
      </c>
      <c r="N111" s="3">
        <f>1415.8+(365.3-317.4)+(1.444116+(0.372606-0.323748))+0-181.9-0.185538000000029</f>
        <v>1283.107436</v>
      </c>
      <c r="O111" s="3">
        <f>1390.3+(335.8-198.5)+(0.709053+(0.171258-0.101235))+0-170.7-0.0870569999999827</f>
        <v>1357.5920189999999</v>
      </c>
      <c r="P111" s="3">
        <f>1394.3+(403.2-189.8)+(0.711093+(0.205632-0.096798))+0-174.1-0.0887909999999823</f>
        <v>1434.331136</v>
      </c>
      <c r="Q111" s="3">
        <f>1386.9+(519.3-238.1)+(0.707319+(0.264843-0.121431))+0-171.4-0.0874139999999826</f>
        <v>1497.4633169999997</v>
      </c>
      <c r="R111" s="3">
        <f>1377+(680.4-374.7)+(0+(0-0))+0-171.8-0</f>
        <v>1510.9</v>
      </c>
      <c r="S111" s="3">
        <f>1364.8+(813.1-498.9)+(-0.696048+(-0.414681--0.254439))+0-173.7--0.0885869999999824</f>
        <v>1504.532297</v>
      </c>
      <c r="T111" s="3">
        <f>1355.5+(844.5-541.3)+(1.38261+(0.86139-0.552126))+0-176.2-0.179724000000028</f>
        <v>1484.01215</v>
      </c>
      <c r="U111" s="3">
        <f>1352.1+(836.9-515.1)+(0+(0-0))+0-174.5-0</f>
        <v>1499.3999999999999</v>
      </c>
      <c r="V111" s="3">
        <f>1350.5+(733-408.4)+(0+(0-0))+0-177.6-0</f>
        <v>1497.5</v>
      </c>
      <c r="W111" s="3">
        <f>1344+(525.1-243.1)+(-4.11264+(-1.606806--0.743886))+0-171.6--0.52509600000002</f>
        <v>1449.9495360000001</v>
      </c>
      <c r="X111" s="3">
        <f>1342.6+(398.9-216.8)+(-6.162534+(-1.830951--0.995112))+0-170.7--0.78351300000003</f>
        <v>1347.78514</v>
      </c>
      <c r="Y111" s="3">
        <f>1361.2+(439.4-348.6)+(-1.388424+(-0.448188--0.355572))+0-168.6--0.171972000000027</f>
        <v>1282.0909320000003</v>
      </c>
      <c r="Z111" s="3">
        <f>1390.1+(477.2-299)+(0+(0-0))+0-169-0</f>
        <v>1399.3</v>
      </c>
      <c r="AA111" s="3">
        <f>1406.1+(605.5-383.3)+(-1.434222+(-0.61761--0.390966))+0-178--0.181560000000028</f>
        <v>1448.820694</v>
      </c>
      <c r="AB111" s="3">
        <f>1411.2+(644.4-430.4)+(-2.878848+(-1.314576--0.878016))+0-179--0.365159999999992</f>
        <v>1443.2497520000002</v>
      </c>
      <c r="AC111" s="3">
        <f>1404.3+(649.7-461.8)+(-1.432386+(-0.662694--0.471036))+0-183.8--0.187476000000029</f>
        <v>1406.9634320000002</v>
      </c>
      <c r="AD111" s="2">
        <v>1437.8999999999999</v>
      </c>
      <c r="AE111" s="3">
        <f>1417+(621.3-405.1)+(0+(0-0))+0-179.3-0</f>
        <v>1453.8999999999999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1412.3+(635.5-500.6)+(-1.440546+(-0.64821--0.510612))+0-186.1--0.18982200000003</f>
        <v>1359.7116779999999</v>
      </c>
      <c r="G112" s="3">
        <f>1403.5+(637.1-518.4)+(-2.147355+(-0.974763--0.793152))+0-187.2--0.286416000000011</f>
        <v>1332.9574499999999</v>
      </c>
      <c r="H112" s="3">
        <f>1413.3+(604.5-526.3)+(-3.603915+(-1.541475--1.342065))+0-187.3--0.477614999999973</f>
        <v>1300.87429</v>
      </c>
      <c r="I112" s="3">
        <f>1410.3+(585.4-533.8)+(0.719253+(0.298554-0.272238))+0-185.9-0.0948089999999811</f>
        <v>1276.65076</v>
      </c>
      <c r="J112" s="3">
        <f>1415.3+(507.2-470)+(-0.721803+(-0.258672--0.2397))+0-187.5--0.095624999999981</f>
        <v>1264.3548499999999</v>
      </c>
      <c r="K112" s="3">
        <f>1425.2+(415-412.8)+(-2.180556+(-0.63495--0.631584))+0-185.2--0.283356000000011</f>
        <v>1240.299434</v>
      </c>
      <c r="L112" s="3">
        <f>1428.6+(353.2-407.9)+(0+(0-0))+0-181.1-0</f>
        <v>1192.8</v>
      </c>
      <c r="M112" s="3">
        <f>1423.8+(335.5-329.9)+(-0.726138+(-0.171105--0.168249))+0-184.7--0.0941969999999813</f>
        <v>1244.0652029999999</v>
      </c>
      <c r="N112" s="3">
        <f>1407.6+(418.9-318.7)+(2.871504+(0.854556-0.650148))+0-187.3-0.382091999999992</f>
        <v>1323.19382</v>
      </c>
      <c r="O112" s="3">
        <f>1399.3+(463.3-290.9)+(-1.427286+(-0.472566--0.296718))+0-189.9--0.19369800000003</f>
        <v>1380.390564</v>
      </c>
      <c r="P112" s="3">
        <f>1412.8+(525.8-282.6)+(-0.720528+(-0.268158--0.144126))+0-189.3--0.0965429999999808</f>
        <v>1465.9519829999999</v>
      </c>
      <c r="Q112" s="3">
        <f>1394+(642.9-323.5)+(2.84376+(1.311516-0.65994))+0-177.6-0.362303999999992</f>
        <v>1538.9330320000001</v>
      </c>
      <c r="R112" s="3">
        <f>1379.4+(801-468.9)+(1.406988+(0.81702-0.478278))+0-179.9-0.183498000000029</f>
        <v>1533.1622319999999</v>
      </c>
      <c r="S112" s="3">
        <f>1363.5+(764.9-512.6)+(0.695385+(0.390099-0.261426))+12.7-186.3-0.0950129999999811</f>
        <v>1442.9290450000001</v>
      </c>
      <c r="T112" s="3">
        <f>1366.9+(887.9-593)+(-0.697119+(-0.452829--0.30243))+0-190.9--0.0973589999999806</f>
        <v>1470.1498409999999</v>
      </c>
      <c r="U112" s="3">
        <f>1365.9+(842.8-541.9)+(0+(0-0))+0-189.9-0</f>
        <v>1476.9</v>
      </c>
      <c r="V112" s="3">
        <f>1359.2+(788.6-456.4)+(0.693192+(0.402186-0.232764))+0-188.5-0.0961349999999809</f>
        <v>1503.666479</v>
      </c>
      <c r="W112" s="3">
        <f>1356.3+(616-315.3)+(0+(0-0))+0-189.4-0</f>
        <v>1467.6</v>
      </c>
      <c r="X112" s="3">
        <f>1351.9+(397.9-199.7)+(-1.378938+(-0.405858--0.203694))+0-187.7--0.19145400000003</f>
        <v>1361.010352</v>
      </c>
      <c r="Y112" s="3">
        <f>1358.7+(401-293.2)+(2.771748+(0.81804-0.598128))+0-186.6-0.380663999999992</f>
        <v>1282.510996</v>
      </c>
      <c r="Z112" s="3">
        <f>1388.1+(581.4-353.5)+(2.123793+(0.889542-0.540855))+0-187.7-0.287181000000011</f>
        <v>1430.4852989999999</v>
      </c>
      <c r="AA112" s="3">
        <f>1402.6+(744.6-479.4)+(-2.861304+(-1.518984--0.977976))+0-188.1--0.383723999999992</f>
        <v>1476.6814120000001</v>
      </c>
      <c r="AB112" s="3">
        <f>1408+(792.3-548)+(-2.15424+(-1.212219--0.83844))+0-178.6--0.27325800000001</f>
        <v>1471.4452389999999</v>
      </c>
      <c r="AC112" s="3">
        <f>1410.9+(818.1-626.4)+(-0.719559+(-0.417231--0.319464))+0-158--0.080579999999984</f>
        <v>1443.8632540000001</v>
      </c>
      <c r="AD112" s="2">
        <v>1474.2</v>
      </c>
      <c r="AE112" s="3">
        <f>1399+(775.1-501.8)+(0+(0-0))+0-186.1-0</f>
        <v>1486.2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1414.6+(782-650.6)+(-2.164338+(-1.19646--0.995418))+0-156.6--0.239598000000009</f>
        <v>1387.2742180000002</v>
      </c>
      <c r="G113" s="3">
        <f>1422.1+(679.2-605.8)+(-3.626355+(-1.73196--1.54479))+0-153.7--0.391934999999978</f>
        <v>1338.3784099999998</v>
      </c>
      <c r="H113" s="3">
        <f>1426.9+(640.4-608.4)+(-2.910876+(-1.306416--1.241136))+0-151.5--0.309059999999993</f>
        <v>1304.7329040000002</v>
      </c>
      <c r="I113" s="3">
        <f>1436.2+(463.1-469.6)+(-3.66231+(-1.180905--1.19748))+0-144.1--0.367454999999979</f>
        <v>1282.3217200000001</v>
      </c>
      <c r="J113" s="3">
        <f>1449.3+(375.4-408.4)+(-0.739143+(-0.191454--0.208284))+0-140.6--0.0717059999999857</f>
        <v>1275.049393</v>
      </c>
      <c r="K113" s="3">
        <f>1460.8+(350.1-430.7)+(0+(0-0))+0-135.9-0</f>
        <v>1244.3</v>
      </c>
      <c r="L113" s="3">
        <f>1460.8+(293.3-420.5)+(-2.235024+(-0.448749--0.643365))+0-134.6--0.205938000000008</f>
        <v>1197.16553</v>
      </c>
      <c r="M113" s="3">
        <f>1453.8+(315.7-402.6)+(2.224314+(0.483021-0.615978))+0-134.2-0.205326000000008</f>
        <v>1234.5860309999998</v>
      </c>
      <c r="N113" s="3">
        <f>1430.6+(316.1-299)+(0+(0-0))+0-135.7-0</f>
        <v>1311.9999999999998</v>
      </c>
      <c r="O113" s="3">
        <f>1428.5+(343-241.1)+(0+(0-0))+0-132.3-0</f>
        <v>1398.1000000000001</v>
      </c>
      <c r="P113" s="3">
        <f>1408.1+(439.3-265.4)+(0+(0-0))+0-134-0</f>
        <v>1448</v>
      </c>
      <c r="Q113" s="3">
        <f>1395.9+(574.4-326.2)+(1.423818+(0.585888-0.332724))+0-129-0.131580000000021</f>
        <v>1516.6454020000001</v>
      </c>
      <c r="R113" s="3">
        <f>1381+(731.8-479.7)+(1.40862+(0.746436-0.489294))+0-127.7-0.13025400000002</f>
        <v>1506.935508</v>
      </c>
      <c r="S113" s="3">
        <f>1377.5+(815.3-566.8)+(-2.107575+(-1.247409--0.867204))+0-129.9--0.198747000000008</f>
        <v>1493.8109669999999</v>
      </c>
      <c r="T113" s="3">
        <f>1365.6+(803.2-541.5)+(-1.392912+(-0.819264--0.55233))+0-132.1--0.134742000000021</f>
        <v>1493.674896</v>
      </c>
      <c r="U113" s="3">
        <f>1366.3+(762.3-498.4)+(-2.787252+(-1.555092--1.016736))+0-128.6--0.262343999999994</f>
        <v>1498.5367359999998</v>
      </c>
      <c r="V113" s="3">
        <f>1360.3+(731.1-448.5)+(-0.693753+(-0.372861--0.228735))+0-132.6--0.0676259999999865</f>
        <v>1509.5297470000003</v>
      </c>
      <c r="W113" s="3">
        <f>1359.5+(520.8-281.5)+(-2.080035+(-0.796824--0.430695))+0-130.2--0.199206000000008</f>
        <v>1466.353042</v>
      </c>
      <c r="X113" s="3">
        <f>1361.8+(342.5-201.8)+(-3.47259+(-0.873375--0.51459))+0-127.6--0.325379999999981</f>
        <v>1371.3940050000001</v>
      </c>
      <c r="Y113" s="3">
        <f>1358.5+(381.4-309.1)+(0+(0-0))+0-122.5-0</f>
        <v>1308.3</v>
      </c>
      <c r="Z113" s="3">
        <f>1378.7+(484.4-292.8)+(0+(0-0))+0-127.9-0</f>
        <v>1442.3999999999999</v>
      </c>
      <c r="AA113" s="3">
        <f>1408.8+(649.6-439.3)+(-2.155464+(-0.993888--0.672129))+0-125.8--0.192474000000007</f>
        <v>1491.0152509999998</v>
      </c>
      <c r="AB113" s="3">
        <f>1420.8+(651.4-470.4)+(-2.173824+(-0.996642--0.719712))+0-123.8--0.189414000000007</f>
        <v>1475.73866</v>
      </c>
      <c r="AC113" s="3">
        <f>1420.7+(686.3-523.6)+(-1.449114+(-0.700026--0.534072))+0-126.2--0.12872400000002</f>
        <v>1455.7136559999999</v>
      </c>
      <c r="AD113" s="2">
        <v>1469.5000000000002</v>
      </c>
      <c r="AE113" s="3">
        <f>1398+(660.2-450.4)+(0+(0-0))+0-124.3-0</f>
        <v>1483.5000000000002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1422.7+(632.6-532.4)+(-0.725577+(-0.322626--0.271524))+0-126--0.0642599999999872</f>
        <v>1396.1875809999999</v>
      </c>
      <c r="G114" s="3">
        <f>1428.2+(522.3-474.5)+(-2.913528+(-1.065492--0.96798))+0-123--0.250919999999995</f>
        <v>1350.2398799999999</v>
      </c>
      <c r="H114" s="3">
        <f>1441.8+(485.7-485.7)+(-0.735318+(-0.247707--0.247707))+0-122.8--0.0626279999999875</f>
        <v>1318.3273099999999</v>
      </c>
      <c r="I114" s="3">
        <f>1445+(458.7-478.7)+(-2.21085+(-0.701811--0.732411))+0-125.2--0.191556000000007</f>
        <v>1297.8113060000001</v>
      </c>
      <c r="J114" s="3">
        <f>1446+(406.4-449.7)+(-1.47492+(-0.414528--0.458694))+0-123.5--0.12597000000002</f>
        <v>1277.8952160000001</v>
      </c>
      <c r="K114" s="3">
        <f>1459.5+(357.9-441.8)+(-4.46607+(-1.095174--1.351908))+0-123.2--0.376992000000014</f>
        <v>1248.5676559999999</v>
      </c>
      <c r="L114" s="3">
        <f>1461.1+(281.9-418.8)+(0+(0-0))+0-117.5-0</f>
        <v>1206.6999999999998</v>
      </c>
      <c r="M114" s="3">
        <f>1465.2+(279.8-411.5)+(0.747252+(0.142698-0.209865))+0-123.3-0.0628829999999875</f>
        <v>1210.817202</v>
      </c>
      <c r="N114" s="3">
        <f>1439.8+(319.7-328.6)+(1.468596+(0.326094-0.335172))+0-117.4-0.119748000000019</f>
        <v>1314.8397699999996</v>
      </c>
      <c r="O114" s="3">
        <f>1421.7+(359.9-262.4)+(0+(0-0))+0-120.2-0</f>
        <v>1399</v>
      </c>
      <c r="P114" s="3">
        <f>1399.2+(474.7-280.6)+(2.140776+(0.726291-0.429318))+0-131.2-0.200736000000008</f>
        <v>1464.3370129999998</v>
      </c>
      <c r="Q114" s="3">
        <f>1391.1+(637-352)+(-1.418922+(-0.64974--0.35904))+0-133.7--0.136374000000021</f>
        <v>1540.8267519999997</v>
      </c>
      <c r="R114" s="3">
        <f>1397.6+(719.4-490.1)+(0.712776+(0.366894-0.249951))+0-128.1-0.065330999999987</f>
        <v>1499.564388</v>
      </c>
      <c r="S114" s="3">
        <f>1399.4+(728.1-549.2)+(-3.56847+(-1.856655--1.40046))+0-128.8--0.328439999999981</f>
        <v>1445.8037750000003</v>
      </c>
      <c r="T114" s="3">
        <f>1391.8+(762.9-562.9)+(-1.419636+(-0.778158--0.574158))+0-133.5--0.136170000000021</f>
        <v>1456.8125339999999</v>
      </c>
      <c r="U114" s="3">
        <f>1363.8+(752.4-528.9)+(-0.695538+(-0.383724--0.269739))+0-128.6--0.0655859999999869</f>
        <v>1457.9560630000001</v>
      </c>
      <c r="V114" s="3">
        <f>1347.1+(675.1-439.1)+(0.687021+(0.344301-0.223941))+0-128.2-0.065381999999987</f>
        <v>1455.6419989999999</v>
      </c>
      <c r="W114" s="3">
        <f>1328.9+(478.3-268.1)+(-0.677739+(-0.243933--0.136731))+0-133.4--0.0680339999999865</f>
        <v>1404.9830930000001</v>
      </c>
      <c r="X114" s="3">
        <f>1308.1+(329.3-200.4)+(-1.334262+(-0.335886--0.204408))+0-130.8--0.133416000000021</f>
        <v>1304.8676760000001</v>
      </c>
      <c r="Y114" s="3">
        <f>1320.6+(389.9-361)+(-2.694024+(-0.795396--0.73644))+0-124.9--0.254795999999995</f>
        <v>1222.1018159999999</v>
      </c>
      <c r="Z114" s="3">
        <f>1379.4+(415.1-303.5)+(2.813976+(0.846804-0.61914))+0-125-0.254999999999995</f>
        <v>1368.78664</v>
      </c>
      <c r="AA114" s="3">
        <f>1410.7+(541.9-420.8)+(-1.438914+(-0.552738--0.429216))+0-124.3--0.12678600000002</f>
        <v>1406.0643500000001</v>
      </c>
      <c r="AB114" s="3">
        <f>1426+(579.7-472.5)+(-2.90904+(-1.182588--0.9639))+0-120.5--0.245819999999995</f>
        <v>1409.8180920000002</v>
      </c>
      <c r="AC114" s="3">
        <f>1440.7+(586.6-528)+(0.734757+(0.299166-0.26928))+0-118.4-0.060383999999988</f>
        <v>1381.6042590000002</v>
      </c>
      <c r="AD114" s="2">
        <v>1394.6</v>
      </c>
      <c r="AE114" s="3">
        <f>1406+(555.5-437.5)+(0+(0-0))+0-119.4-0</f>
        <v>1404.6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1431.1+(525.8-518.7)+(-0.729861+(-0.268158--0.264537))+0-118.1--0.060230999999988</f>
        <v>1319.4267489999997</v>
      </c>
      <c r="G115" s="3">
        <f>1439.3+(490.3-524.7)+(-0.734043+(-0.250053--0.267597))+0-118.5--0.060434999999988</f>
        <v>1285.7439359999998</v>
      </c>
      <c r="H115" s="3">
        <f>1452.4+(482.3-560.2)+(-1.481448+(-0.491946--0.571404))+0-117.3--0.119646000000019</f>
        <v>1255.9176560000001</v>
      </c>
      <c r="I115" s="3">
        <f>1456.3+(452.6-555.3)+(-2.228139+(-0.692478--0.849609))+0-118.2--0.180846000000007</f>
        <v>1233.5098379999999</v>
      </c>
      <c r="J115" s="3">
        <f>1456.7+(410.1-536.3)+(-1.485834+(-0.418302--0.547026))+0-116.2--0.118524000000019</f>
        <v>1213.061414</v>
      </c>
      <c r="K115" s="3">
        <f>1456.5+(346.1-509)+(-1.48563+(-0.353022--0.51918))+0-117.1--0.119442000000019</f>
        <v>1175.29997</v>
      </c>
      <c r="L115" s="3">
        <f>1470.3+(264.4-493.3)+(0.749853+(0.134844-0.251583))+0-113.1-0.0576809999999885</f>
        <v>1128.8754329999999</v>
      </c>
      <c r="M115" s="3">
        <f>1468.1+(242.8-457.2)+(2.246193+(0.371484-0.699516))+0-113.7-0.173961000000007</f>
        <v>1141.7441999999999</v>
      </c>
      <c r="N115" s="3">
        <f>1433.9+(257.5-349.1)+(-0.731289+(-0.131325--0.178041))+0-116.5--0.0594149999999882</f>
        <v>1225.1748420000001</v>
      </c>
      <c r="O115" s="3">
        <f>1407.3+(296.7-283.4)+(2.870892+(0.605268-0.578136))+0-118.9-0.242555999999995</f>
        <v>1304.355468</v>
      </c>
      <c r="P115" s="3">
        <f>1392.4+(466-293.7)+(0+(0-0))+0-120.3-0</f>
        <v>1444.4</v>
      </c>
      <c r="Q115" s="3">
        <f>1382.6+(593.8-356.4)+(2.820504+(1.211352-0.727056))+0-122.1-0.249083999999995</f>
        <v>1500.9557159999999</v>
      </c>
      <c r="R115" s="3">
        <f>1395.6+(768.5-545.9)+(-0.711756+(-0.391935--0.278409))+0-120.5--0.0614549999999878</f>
        <v>1496.9361729999998</v>
      </c>
      <c r="S115" s="3">
        <f>1386+(849.1-630.4)+(-1.41372+(-0.866082--0.643008))+0-119.9--0.122298000000019</f>
        <v>1483.2855039999999</v>
      </c>
      <c r="T115" s="3">
        <f>1372.7+(806.9-579.8)+(1.400154+(0.823038-0.591396))+0-120-0.122400000000019</f>
        <v>1481.3093960000001</v>
      </c>
      <c r="U115" s="3">
        <f>1358.2+(791.3-553.6)+(-0.692682+(-0.403563--0.282336))+0-116.9--0.0596189999999881</f>
        <v>1478.2457099999999</v>
      </c>
      <c r="V115" s="3">
        <f>1359+(713-475.2)+(-1.38618+(-0.72726--0.484704))+0-118.1--0.120462000000019</f>
        <v>1477.1917260000002</v>
      </c>
      <c r="W115" s="3">
        <f>1337.2+(538.7-319.1)+(0.681972+(0.274737-0.162741))+0-119-0.0606899999999879</f>
        <v>1438.5332780000001</v>
      </c>
      <c r="X115" s="3">
        <f>1335.6+(368.6-244.6)+(-2.043468+(-0.563958--0.374238))+0-117.9--0.180387000000007</f>
        <v>1339.647199</v>
      </c>
      <c r="Y115" s="3">
        <f>1344.8+(384-344.2)+(-2.743392+(-0.78336--0.702168))+0-117.9--0.240515999999995</f>
        <v>1264.1159319999999</v>
      </c>
      <c r="Z115" s="3">
        <f>1354+(571-389.9)+(0.69054+(0.29121-0.198849))+0-118.8-0.060587999999988</f>
        <v>1417.0223129999999</v>
      </c>
      <c r="AA115" s="3">
        <f>1378.7+(664.1-489.8)+(-2.109411+(-1.016073--0.749394))+0-120--0.183600000000007</f>
        <v>1430.8075100000001</v>
      </c>
      <c r="AB115" s="3">
        <f>1409.7+(656.2-528.9)+(-1.437894+(-0.669324--0.539478))+0-118.3--0.120666000000019</f>
        <v>1417.2529260000001</v>
      </c>
      <c r="AC115" s="3">
        <f>1361.5+(655.4-483)+(-2.083095+(-1.002762--0.73899))+0-119.3--0.182529000000007</f>
        <v>1412.4356620000001</v>
      </c>
      <c r="AD115" s="2">
        <v>1423.5</v>
      </c>
      <c r="AE115" s="3">
        <f>1375+(666.2-493.3)+(0+(0-0))+0-113.4-0</f>
        <v>1434.5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1363.9+(564.1-446.2)+(2.086767+(0.863073-0.682686))+0-118.1-0.180693000000007</f>
        <v>1365.7864610000001</v>
      </c>
      <c r="G116" s="3">
        <f>1357.5+(500.9-411.9)+(0+(0-0))+0-116.2-0</f>
        <v>1330.3</v>
      </c>
      <c r="H116" s="3">
        <f>1360.9+(468.7-411.3)+(1.388118+(0.478074-0.419526))+0-123.4-0.12586800000002</f>
        <v>1296.2207980000001</v>
      </c>
      <c r="I116" s="3">
        <f>1382.2+(464.8-448.7)+(-1.409844+(-0.474096--0.457674))+0-126.4--0.12892800000002</f>
        <v>1270.6026620000002</v>
      </c>
      <c r="J116" s="3">
        <f>1384+(422.2-418.8)+(-0.70584+(-0.215322--0.213588))+0-127.1--0.0648209999999871</f>
        <v>1259.6572470000001</v>
      </c>
      <c r="K116" s="3">
        <f>1387.6+(385.3-421.4)+(-3.53838+(-0.982515--1.07457))+0-121.4--0.309569999999982</f>
        <v>1226.9632449999999</v>
      </c>
      <c r="L116" s="3">
        <f>1379.4+(357.7-453.8)+(-2.813976+(-0.729708--0.925752))+0-117.1--0.238883999999995</f>
        <v>1163.8209520000003</v>
      </c>
      <c r="M116" s="3">
        <f>1365.5+(352.9-417.5)+(-0.696405+(-0.179979--0.212925))+0-118.3--0.060332999999988</f>
        <v>1181.9968739999999</v>
      </c>
      <c r="N116" s="3">
        <f>1360.3+(317.9-350.1)+(-1.387506+(-0.324258--0.357102))+0-120.6--0.123012000000019</f>
        <v>1206.2683500000001</v>
      </c>
      <c r="O116" s="3">
        <f>1344.4+(341.9-283.4)+(-1.371288+(-0.348738--0.289068))+0-121.3--0.123726000000019</f>
        <v>1280.2927680000003</v>
      </c>
      <c r="P116" s="3">
        <f>1327.3+(372.8-218.7)+(-0.676923+(-0.190128--0.111537))+0-120.6--0.0615059999999878</f>
        <v>1360.1059920000002</v>
      </c>
      <c r="Q116" s="3">
        <f>1313.4+(500.1-283.8)+(-0.669834+(-0.255051--0.144738))+0-121.4--0.0619139999999877</f>
        <v>1407.5817669999999</v>
      </c>
      <c r="R116" s="3">
        <f>1298.4+(638.4-357.6)+(0+(0-0))+0-122-0</f>
        <v>1457.2</v>
      </c>
      <c r="S116" s="3">
        <f>1261.5+(724.3-361.3)+(-1.28673+(-0.738786--0.368526))+0-122.3--0.124746000000019</f>
        <v>1500.6677560000001</v>
      </c>
      <c r="T116" s="3">
        <f>1254.3+(788.3-433)+(1.279386+(0.804066-0.44166))+0-119.6-0.121992000000019</f>
        <v>1491.5197999999998</v>
      </c>
      <c r="U116" s="3">
        <f>1301.3+(762.3-464.7)+(-1.327326+(-0.777546--0.473994))+0-119.3--0.121686000000019</f>
        <v>1478.0908079999999</v>
      </c>
      <c r="V116" s="3">
        <f>1312.1+(670.5-399.5)+(-2.676684+(-1.36782--0.81498))+0-120.2--0.245207999999995</f>
        <v>1459.9156839999998</v>
      </c>
      <c r="W116" s="3">
        <f>1305.1+(461.8-245.1)+(-1.331202+(-0.471036--0.250002))+0-120--0.122400000000019</f>
        <v>1400.3701639999999</v>
      </c>
      <c r="X116" s="3">
        <f>1313.9+(390.9-288.1)+(-2.010267+(-0.598077--0.440793))+0-121.1--0.185283000000007</f>
        <v>1293.6177320000002</v>
      </c>
      <c r="Y116" s="3">
        <f>1328.2+(454.1-406.3)+(-0.677382+(-0.231591--0.207213))+0-119.1--0.0607409999999879</f>
        <v>1256.2589810000002</v>
      </c>
      <c r="Z116" s="3">
        <f>1365.2+(477.9-307.7)+(0+(0-0))+0-119.8-0</f>
        <v>1415.6000000000001</v>
      </c>
      <c r="AA116" s="3">
        <f>1415.5+(578.2-412.1)+(2.165715+(0.884646-0.630513))+0-123-0.188190000000007</f>
        <v>1460.8316579999998</v>
      </c>
      <c r="AB116" s="3">
        <f>1409.1+(656.8-483.2)+(-2.155923+(-1.004904--0.739296))+0-119.3--0.182529000000007</f>
        <v>1461.1609979999998</v>
      </c>
      <c r="AC116" s="3">
        <f>1421.1+(680.6-535.7)+(-2.174283+(-1.041318--0.819621))+0-119.3--0.182529000000007</f>
        <v>1444.486549</v>
      </c>
      <c r="AD116" s="2">
        <v>1396.7</v>
      </c>
      <c r="AE116" s="3">
        <f>1414+(613.3-499)+(0+(0-0))+0-121.6-0</f>
        <v>1406.7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1419.1+(629.7-581.5)+(-0.723741+(-0.321147--0.296565))+0-118.5--0.060434999999988</f>
        <v>1348.112112</v>
      </c>
      <c r="G117" s="3">
        <f>1425.1+(551.9-531.4)+(-2.180403+(-0.844407--0.813042))+0-116.9--0.178857000000007</f>
        <v>1326.667089</v>
      </c>
      <c r="H117" s="3">
        <f>1426.3+(510.7-519.5)+(-1.454826+(-0.520914--0.52989))+0-119.7--0.122094000000019</f>
        <v>1296.476244</v>
      </c>
      <c r="I117" s="3">
        <f>1426.3+(489.8-535)+(-1.454826+(-0.499596--0.5457))+0-118.5--0.120870000000019</f>
        <v>1261.312148</v>
      </c>
      <c r="J117" s="3">
        <f>1428.9+(441.7-499.3)+(-1.457478+(-0.450534--0.509286))+0-117.2--0.119544000000019</f>
        <v>1252.8208180000001</v>
      </c>
      <c r="K117" s="3">
        <f>1438+(326.9-414.5)+(-2.93352+(-0.666876--0.84558))+0-115.6--0.235823999999995</f>
        <v>1232.2810080000004</v>
      </c>
      <c r="L117" s="3">
        <f>1443.5+(334.5-458)+(0+(0-0))+0-114.1-0</f>
        <v>1205.9000000000001</v>
      </c>
      <c r="M117" s="3">
        <f>1423.3+(329.1-385)+(-0.725883+(-0.167841--0.19635))+0-116.1--0.0592109999999882</f>
        <v>1250.6618370000001</v>
      </c>
      <c r="N117" s="3">
        <f>1414+(344.4-310.9)+(1.44228+(0.351288-0.317118))+0-116.8-0.119136000000019</f>
        <v>1332.0573140000001</v>
      </c>
      <c r="O117" s="3">
        <f>1397.4+(362.7-237.3)+(-0.712674+(-0.184977--0.121023))+0-117.2--0.0597719999999881</f>
        <v>1404.8831440000001</v>
      </c>
      <c r="P117" s="3">
        <f>1389.5+(442.9-232.3)+(1.41729+(0.451758-0.236946))+0-120.9-0.123318000000019</f>
        <v>1480.7087839999999</v>
      </c>
      <c r="Q117" s="3">
        <f>1388.3+(540.4-274.5)+(0.708033+(0.275604-0.139995))+0-116.4-0.0593639999999882</f>
        <v>1538.5842779999998</v>
      </c>
      <c r="R117" s="3">
        <f>1397+(666.1-401.1)+(0.71247+(0.339711-0.204561))+0-114.9-0.0585989999999883</f>
        <v>1547.889021</v>
      </c>
      <c r="S117" s="3">
        <f>1385.2+(769-494.5)+(-0.706452+(-0.39219--0.252195))+0-113.6--0.0579359999999885</f>
        <v>1545.3114890000002</v>
      </c>
      <c r="T117" s="3">
        <f>1374.5+(756.2-493.1)+(-2.102985+(-1.156986--0.754443))+0-118.5--0.181305000000007</f>
        <v>1516.7757770000001</v>
      </c>
      <c r="U117" s="3">
        <f>1366.3+(749.1-482.5)+(-2.787252+(-1.528164--0.9843))+0-116.9--0.238475999999995</f>
        <v>1512.9073599999999</v>
      </c>
      <c r="V117" s="3">
        <f>1366.2+(689.5-399.7)+(-2.787048+(-1.40658--0.815388))+0-118.1--0.240923999999995</f>
        <v>1534.762684</v>
      </c>
      <c r="W117" s="3">
        <f>1360.8+(471.3-210)+(-2.082024+(-0.721089--0.3213))+0-116.8--0.178704000000007</f>
        <v>1502.9968909999998</v>
      </c>
      <c r="X117" s="3">
        <f>1366.9+(435.9-278.4)+(-4.879833+(-1.556163--0.993888))+0-116.1--0.414477000000002</f>
        <v>1403.2723690000003</v>
      </c>
      <c r="Y117" s="3">
        <f>1380.6+(457.3-396.5)+(-3.52053+(-1.166115--1.011075))+0-115.7--0.295034999999983</f>
        <v>1322.3194649999996</v>
      </c>
      <c r="Z117" s="3">
        <f>1385+(524.1-348.8)+(2.8254+(1.069164-0.711552))+0-113.3-0.231131999999995</f>
        <v>1449.9518800000001</v>
      </c>
      <c r="AA117" s="3">
        <f>1387.5+(637.4-402.8)+(-0.707625+(-0.325074--0.205428))+0-115.3--0.0588029999999883</f>
        <v>1506.0315319999997</v>
      </c>
      <c r="AB117" s="3">
        <f>1384.5+(686.8-468)+(-4.23657+(-2.101608--1.43208))+0-115.3--0.352818000000013</f>
        <v>1483.4467200000001</v>
      </c>
      <c r="AC117" s="3">
        <f>1384.4+(687.3-502.7)+(0.706044+(0.350523-0.256377))+0-114.5-0.0583949999999884</f>
        <v>1455.2417949999999</v>
      </c>
      <c r="AD117" s="2">
        <v>1483.1</v>
      </c>
      <c r="AE117" s="3">
        <f>1375+(669.5-433.4)+(0+(0-0))+0-116-0</f>
        <v>1495.1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1396+(589-503.9)+(-2.13588+(-0.90117--0.770967))+0-114.1--0.174573000000007</f>
        <v>1364.90849</v>
      </c>
      <c r="G118" s="3">
        <f>1410.8+(514.9-472.9)+(0.719508+(0.262599-0.241179))+0-113.3-0.0577829999999885</f>
        <v>1340.183145</v>
      </c>
      <c r="H118" s="3">
        <f>1422.2+(459.9-465.9)+(-0.725322+(-0.234549--0.237609))+0-112.1--0.0571709999999886</f>
        <v>1303.4349090000001</v>
      </c>
      <c r="I118" s="3">
        <f>1427.6+(425.4-449.4)+(-1.456152+(-0.433908--0.458388))+0-113.7--0.115974000000018</f>
        <v>1288.584302</v>
      </c>
      <c r="J118" s="3">
        <f>1439.6+(372.1-422.4)+(-2.936784+(-0.759084--0.861696))+0-116--0.236639999999995</f>
        <v>1270.702468</v>
      </c>
      <c r="K118" s="3">
        <f>1451.6+(330.9-425.9)+(-2.220948+(-0.506277--0.651627))+0-115.3--0.176409000000007</f>
        <v>1239.400811</v>
      </c>
      <c r="L118" s="3">
        <f>1452.1+(328.5-461.2)+(-3.702855+(-0.837675--1.17606))+0-115.2--0.293759999999983</f>
        <v>1201.1292899999999</v>
      </c>
      <c r="M118" s="3">
        <f>1445+(335.4-417.7)+(2.9478+(0.684216-0.852108))+0-120.9-0.246635999999995</f>
        <v>1244.3332719999999</v>
      </c>
      <c r="N118" s="3">
        <f>1434.8+(337.4-326.9)+(0+(0-0))+0-122.1-0</f>
        <v>1323.2</v>
      </c>
      <c r="O118" s="3">
        <f>1425.7+(340.9-257.8)+(1.454214+(0.347718-0.262956))+0-121.6-0.124032000000019</f>
        <v>1388.6149440000002</v>
      </c>
      <c r="P118" s="3">
        <f>1408.2+(396.3-232.1)+(1.436364+(0.404226-0.236742))+0-124.5-0.12699000000002</f>
        <v>1449.3768580000001</v>
      </c>
      <c r="Q118" s="3">
        <f>1396.2+(551.2-301.3)+(0+(0-0))+0-121.6-0</f>
        <v>1524.5000000000002</v>
      </c>
      <c r="R118" s="3">
        <f>1399.5+(659.2-402.6)+(0.713745+(0.336192-0.205326))+0-121.9-0.0621689999999876</f>
        <v>1534.9824419999998</v>
      </c>
      <c r="S118" s="3">
        <f>1391.8+(793-527.5)+(-1.419636+(-0.80886--0.53805))+0-124.2--0.12668400000002</f>
        <v>1531.5362379999999</v>
      </c>
      <c r="T118" s="3">
        <f>1387.9+(764.7-511.8)+(-2.831316+(-1.559988--1.044072))+0-119.3--0.243371999999995</f>
        <v>1518.3961400000001</v>
      </c>
      <c r="U118" s="3">
        <f>1366.3+(764.2-491.3)+(0.696813+(0.389742-0.250563))+0-113.3-0.0577829999999885</f>
        <v>1526.6782090000002</v>
      </c>
      <c r="V118" s="3">
        <f>1391.8+(652-393.2)+(-2.839272+(-1.33008--0.802128))+0-117.7--0.240107999999995</f>
        <v>1529.7728839999997</v>
      </c>
      <c r="W118" s="3">
        <f>1369+(447.9-239.5)+(-1.39638+(-0.456858--0.24429))+0-124.7--0.12719400000002</f>
        <v>1451.2182459999999</v>
      </c>
      <c r="X118" s="3">
        <f>1364+(386.3-274.4)+(-1.39128+(-0.394026--0.279888))+0-122.7--0.12515400000002</f>
        <v>1351.8197360000001</v>
      </c>
      <c r="Y118" s="3">
        <f>1373.2+(432.5-374)+(0+(0-0))+0-120.9-0</f>
        <v>1310.8</v>
      </c>
      <c r="Z118" s="3">
        <f>1395.8+(451.4-292.4)+(0+(0-0))+0-122.2-0</f>
        <v>1432.6</v>
      </c>
      <c r="AA118" s="3">
        <f>1409.7+(599.2-406.2)+(-2.875788+(-1.222368--0.828648))+0-125--0.254999999999995</f>
        <v>1474.6854919999998</v>
      </c>
      <c r="AB118" s="3">
        <f>1398.4+(686.9-495.2)+(-2.852736+(-1.401276--1.010208))+0-124--0.252959999999995</f>
        <v>1463.1091560000002</v>
      </c>
      <c r="AC118" s="3">
        <f>1400.7+(704.4-538.7)+(-3.571785+(-1.79622--1.373685))+0-121.6--0.310079999999982</f>
        <v>1441.1157600000001</v>
      </c>
      <c r="AD118" s="2">
        <v>1442.1</v>
      </c>
      <c r="AE118" s="3">
        <f>1403+(599.8-422.2)+(0+(0-0))+0-126.5-0</f>
        <v>1454.1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1404.1+(619.5-507.9)+(-3.580455+(-1.579725--1.295145))+0-126.2--0.321809999999982</f>
        <v>1385.9567749999997</v>
      </c>
      <c r="G119" s="3">
        <f>1416.8+(557-495.6)+(-2.167704+(-0.85221--0.758268))+0-125.9--0.192627000000007</f>
        <v>1350.2309809999997</v>
      </c>
      <c r="H119" s="3">
        <f>1422.8+(537-514.7)+(-0.725628+(-0.27387--0.262497))+0-125--0.0637499999999873</f>
        <v>1319.426749</v>
      </c>
      <c r="I119" s="3">
        <f>1421.3+(478.2-472.8)+(-3.624315+(-1.21941--1.20564))+0-125.8--0.320789999999982</f>
        <v>1297.5827049999998</v>
      </c>
      <c r="J119" s="3">
        <f>1443+(458.1-497.9)+(-2.94372+(-0.934524--1.015716))+0-117.5--0.239699999999995</f>
        <v>1283.077172</v>
      </c>
      <c r="K119" s="3">
        <f>1454.8+(344.4-418)+(-1.483896+(-0.351288--0.42636))+0-115.6--0.117912000000018</f>
        <v>1264.3090879999997</v>
      </c>
      <c r="L119" s="3">
        <f>1459.2+(320.6-470.8)+(-3.72096+(-0.81753--1.20054))+0-113.8--0.290189999999983</f>
        <v>1192.1522399999999</v>
      </c>
      <c r="M119" s="3">
        <f>1457.5+(323.4-425.8)+(2.9733+(0.659736-0.868632))+0-117-0.238679999999995</f>
        <v>1240.625724</v>
      </c>
      <c r="N119" s="3">
        <f>1456.4+(348-379.1)+(3.71382+(0.8874-0.966705))+0-120-0.305999999999983</f>
        <v>1308.6285150000001</v>
      </c>
      <c r="O119" s="3">
        <f>1449.6+(362.2-316.2)+(1.478592+(0.369444-0.322524))+0-115.6-0.117912000000018</f>
        <v>1381.4076</v>
      </c>
      <c r="P119" s="3">
        <f>1440.6+(427.6-314.8)+(2.204118+(0.654228-0.481644))+0-114.7-0.175491000000007</f>
        <v>1440.9012109999999</v>
      </c>
      <c r="Q119" s="3">
        <f>1426.5+(520.3-322.1)+(2.91006+(1.061412-0.657084))+0-115.9-0.236435999999995</f>
        <v>1511.8779519999998</v>
      </c>
      <c r="R119" s="3">
        <f>1409.1+(654.8-423.5)+(2.155923+(1.001844-0.647955))+0-113.2-0.173196000000007</f>
        <v>1529.5366159999999</v>
      </c>
      <c r="S119" s="3">
        <f>1399.1+(777-537.5)+(-0.713541+(-0.39627--0.274125))+0-120.2--0.0613019999999878</f>
        <v>1517.625616</v>
      </c>
      <c r="T119" s="3">
        <f>1386.3+(829.7-578.8)+(0+(0-0))+0-123.5-0</f>
        <v>1513.7</v>
      </c>
      <c r="U119" s="3">
        <f>1376.1+(807.7-534.4)+(-3.509055+(-2.059635--1.36272))+0-118.8--0.302939999999983</f>
        <v>1526.6969700000002</v>
      </c>
      <c r="V119" s="3">
        <f>1357.4+(730.7-452.4)+(0.692274+(0.372657-0.230724))+0-117.1-0.0597209999999881</f>
        <v>1519.3744860000004</v>
      </c>
      <c r="W119" s="3">
        <f>1360.3+(513-284.5)+(-2.081259+(-0.78489--0.435285))+0-119.4--0.182682000000007</f>
        <v>1467.151818</v>
      </c>
      <c r="X119" s="3">
        <f>1367.9+(379.3-253.6)+(-4.185774+(-1.160658--0.776016))+0-121.5--0.371790000000014</f>
        <v>1367.901374</v>
      </c>
      <c r="Y119" s="3">
        <f>1375.6+(427.2-368.3)+(0+(0-0))+0-119.9-0</f>
        <v>1314.6</v>
      </c>
      <c r="Z119" s="3">
        <f>1400+(475.6-308.9)+(-2.142+(-0.727668--0.472617))+0-132--0.201960000000008</f>
        <v>1432.5049090000002</v>
      </c>
      <c r="AA119" s="3">
        <f>1424.4+(593.3-406.2)+(-2.179332+(-0.907749--0.621486))+0-132.5--0.202725000000008</f>
        <v>1476.7371300000002</v>
      </c>
      <c r="AB119" s="3">
        <f>1431.5+(737.4-578.2)+(-4.38039+(-2.256444--1.769292))+0-131.5--0.402390000000015</f>
        <v>1454.7348479999998</v>
      </c>
      <c r="AC119" s="3">
        <f>1421.7+(747.2-599.2)+(-2.175201+(-1.143216--0.916776))+0-129.5--0.198135000000007</f>
        <v>1437.9964940000002</v>
      </c>
      <c r="AD119" s="2">
        <v>1455.8</v>
      </c>
      <c r="AE119" s="3">
        <f>1427+(602.8-438.2)+(0+(0-0))+0-123.8-0</f>
        <v>1467.8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1430.6+(681.5-605.5)+(-5.107242+(-2.432955--2.161635))+0-127.4--0.454818000000002</f>
        <v>1374.2762559999996</v>
      </c>
      <c r="G120" s="3">
        <f>1436.8+(632.7-604.9)+(-3.66384+(-1.613385--1.542495))+0-125.9--0.321044999999982</f>
        <v>1335.2863149999998</v>
      </c>
      <c r="H120" s="3">
        <f>1457.1+(483.4-504.7)+(-2.972484+(-0.986136--1.029588))+0-126.7--0.258467999999994</f>
        <v>1306.4294359999999</v>
      </c>
      <c r="I120" s="3">
        <f>1465.8+(349.9-403.2)+(-2.990232+(-0.713796--0.822528))+0-124.7--0.254387999999995</f>
        <v>1285.1728880000001</v>
      </c>
      <c r="J120" s="3">
        <f>1477.9+(369.4-456)+(0+(0-0))+0-126.6-0</f>
        <v>1264.7000000000003</v>
      </c>
      <c r="K120" s="3">
        <f>1480.9+(332.8-444.3)+(-3.021036+(-0.678912--0.906372))+0-126.9--0.258875999999995</f>
        <v>1239.9653000000001</v>
      </c>
      <c r="L120" s="3">
        <f>1446.9+(367.7-503.1)+(0+(0-0))+0-122.3-0</f>
        <v>1189.2</v>
      </c>
      <c r="M120" s="3">
        <f>1436.6+(346.5-439.3)+(2.197998+(0.530145-0.672129))+0-123.4-0.188802000000007</f>
        <v>1222.267212</v>
      </c>
      <c r="N120" s="3">
        <f>1452.9+(332-355.8)+(0.740979+(0.16932-0.181458))+0-128.1-0.065330999999987</f>
        <v>1301.6635100000003</v>
      </c>
      <c r="O120" s="3">
        <f>1445.8+(378-323.9)+(0.737358+(0.19278-0.165189))+0-123.2-0.0628319999999875</f>
        <v>1377.4021169999999</v>
      </c>
      <c r="P120" s="3">
        <f>1432.3+(386.1-245)+(2.921892+(0.787644-0.4998))+0-123.8-0.252551999999995</f>
        <v>1452.5571840000002</v>
      </c>
      <c r="Q120" s="3">
        <f>1423.3+(485.7-270.6)+(2.177649+(0.743121-0.414018))+0-123.7-0.189261000000007</f>
        <v>1517.0174909999998</v>
      </c>
      <c r="R120" s="3">
        <f>1425.6+(595.3-366.1)+(-0.727056+(-0.303603--0.186711))+0-121.5--0.0619649999999877</f>
        <v>1532.5180169999999</v>
      </c>
      <c r="S120" s="3">
        <f>1418.6+(678.1-494.4)+(-2.170458+(-1.037493--0.756432))+0-121.8--0.186354000000007</f>
        <v>1478.234835</v>
      </c>
      <c r="T120" s="3">
        <f>1421.1+(711.5-502)+(-0.724761+(-0.362865--0.25602))+0-126.3--0.0644129999999872</f>
        <v>1503.532807</v>
      </c>
      <c r="U120" s="3">
        <f>1416.6+(661.2-439.8)+(2.889864+(1.348848-0.897192))+0-124.5-0.253979999999995</f>
        <v>1516.58754</v>
      </c>
      <c r="V120" s="3">
        <f>1393.4+(669.2-410.8)+(0+(0-0))+0-127-0</f>
        <v>1524.8000000000002</v>
      </c>
      <c r="W120" s="3">
        <f>1392.1+(483.3-268.4)+(-3.549855+(-1.232415--0.68442))+0-127.8--0.325889999999981</f>
        <v>1475.42804</v>
      </c>
      <c r="X120" s="3">
        <f>1384.5+(356.3-235.5)+(-2.118285+(-0.545139--0.360315))+0-129--0.197370000000007</f>
        <v>1374.1942610000001</v>
      </c>
      <c r="Y120" s="3">
        <f>1404.4+(331.2-305.8)+(-0.716244+(-0.168912--0.155958))+0-120.5--0.0614549999999878</f>
        <v>1308.6322570000002</v>
      </c>
      <c r="Z120" s="3">
        <f>1440.8+(498.3-362.2)+(1.469616+(0.508266-0.369444))+0-132.7-0.135354000000021</f>
        <v>1445.673084</v>
      </c>
      <c r="AA120" s="3">
        <f>1441.7+(660.2-491.3)+(-1.470534+(-0.673404--0.501126))+0-136.3--0.139026000000022</f>
        <v>1472.7962140000002</v>
      </c>
      <c r="AB120" s="3">
        <f>1451.7+(646.9-496)+(-1.480734+(-0.659838--0.50592))+0-139--0.141780000000022</f>
        <v>1462.1071279999999</v>
      </c>
      <c r="AC120" s="3">
        <f>1439.5+(643.6-515.7)+(-1.46829+(-0.656472--0.526014))+0-132.1--0.134742000000021</f>
        <v>1433.8359940000003</v>
      </c>
      <c r="AD120" s="2">
        <v>1470.6000000000001</v>
      </c>
      <c r="AE120" s="3">
        <f>1427+(684-487.8)+(0+(0-0))+0-144.6-0</f>
        <v>1478.6000000000001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1449.6+(567.4-508.5)+(-2.217888+(-0.868122--0.778005))+0-128--0.195840000000007</f>
        <v>1378.387835</v>
      </c>
      <c r="G121" s="3">
        <f>1463.1+(509-512.4)+(-0.746181+(-0.25959--0.261324))+0-124.8--0.0636479999999873</f>
        <v>1334.2192009999999</v>
      </c>
      <c r="H121" s="3">
        <f>1467+(471.5-494.2)+(-2.24451+(-0.721395--0.756126))+0-129.1--0.197523000000007</f>
        <v>1313.1877440000001</v>
      </c>
      <c r="I121" s="3">
        <f>1465.1+(402.4-452.5)+(-1.494402+(-0.410448--0.46155))+0-128.4--0.13096800000002</f>
        <v>1285.2876679999999</v>
      </c>
      <c r="J121" s="3">
        <f>1481+(368.6-458.1)+(-3.77655+(-0.93993--1.168155))+0-131.1--0.334304999999981</f>
        <v>1257.1859800000002</v>
      </c>
      <c r="K121" s="3">
        <f>1479.2+(360.8-488.1)+(-3.77196+(-0.92004--1.244655))+0-133--0.339149999999981</f>
        <v>1215.7918050000001</v>
      </c>
      <c r="L121" s="3">
        <f>1473.7+(359.5-516.2)+(1.503174+(0.36669-0.526524))+0-125.7-0.12821400000002</f>
        <v>1192.5151259999998</v>
      </c>
      <c r="M121" s="3">
        <f>1470.9+(336.4-438.1)+(-0.750159+(-0.171564--0.223431))+0-128.9--0.0657389999999869</f>
        <v>1239.6674469999998</v>
      </c>
      <c r="N121" s="3">
        <f>1450.8+(315.1-340.8)+(2.219724+(0.482103-0.521424))+0-127.3-0.194769000000007</f>
        <v>1299.7856340000001</v>
      </c>
      <c r="O121" s="3">
        <f>1451.5+(358.3-303)+(0+(0-0))+0-129.6-0</f>
        <v>1377.2</v>
      </c>
      <c r="P121" s="3">
        <f>1437.8+(360.2-216.8)+(1.466556+(0.367404-0.221136))+0-130.5-0.133110000000021</f>
        <v>1452.1797139999999</v>
      </c>
      <c r="Q121" s="3">
        <f>1421.8+(512.7-298.5)+(2.175354+(0.784431-0.456705))+0-129-0.197370000000007</f>
        <v>1509.3057099999999</v>
      </c>
      <c r="R121" s="3">
        <f>1414.8+(682.7-447.4)+(2.164644+(1.044531-0.684522))+0-131.8-0.201654000000008</f>
        <v>1520.6229989999999</v>
      </c>
      <c r="S121" s="3">
        <f>1394.2+(865.1-614.1)+(-2.844168+(-1.764804--1.252764))+0-138--0.281519999999994</f>
        <v>1504.1253120000001</v>
      </c>
      <c r="T121" s="3">
        <f>1404.3+(870.9-619.5)+(0+(0-0))+0-142.6-0</f>
        <v>1513.1</v>
      </c>
      <c r="U121" s="3">
        <f>1415.8+(806.9-586.3)+(-2.166174+(-1.234557--0.897039))+0-139.2--0.212976000000008</f>
        <v>1494.9092840000001</v>
      </c>
      <c r="V121" s="3">
        <f>1405.3+(615.5-483.9)+(0.716703+(0.313905-0.246789))+12.5-144-0.0734399999999854</f>
        <v>1406.1103790000002</v>
      </c>
      <c r="W121" s="3">
        <f>1390.8+(380.2-306.7)+(-2.127924+(-0.581706--0.469251))+11-159.2--0.243576000000009</f>
        <v>1314.1031969999999</v>
      </c>
      <c r="X121" s="3">
        <f>1410.9+(276.3-275.6)+(-2.878236+(-0.563652--0.562224))+0-162.1--0.330683999999993</f>
        <v>1246.9510200000002</v>
      </c>
      <c r="Y121" s="3">
        <f>1418.1+(333.4-357.5)+(-0.723231+(-0.170034--0.182325))+0-161.3--0.0822629999999836</f>
        <v>1232.0713230000001</v>
      </c>
      <c r="Z121" s="3">
        <f>1424.5+(569.7-439.5)+(3.632475+(1.452735-1.120725))+0-169-0.430949999999975</f>
        <v>1389.2335350000001</v>
      </c>
      <c r="AA121" s="3">
        <f>1443.4+(724.4-558.1)+(0.736134+(0.369444-0.284631))+0-179.2-0.0913919999999818</f>
        <v>1431.2295549999999</v>
      </c>
      <c r="AB121" s="3">
        <f>1445.4+(768.1-615.1)+(1.474308+(0.783462-0.627402))+0-181.5-0.185130000000029</f>
        <v>1418.3452380000001</v>
      </c>
      <c r="AC121" s="3">
        <f>1434.5+(844.2-695.2)+(0.731595+(0.430542-0.354552))+0-181.5-0.0925649999999816</f>
        <v>1402.7150200000001</v>
      </c>
      <c r="AD121" s="2">
        <v>1425.9</v>
      </c>
      <c r="AE121" s="3">
        <f>1432+(735.5-553.3)+(0+(0-0))+0-179.3-0</f>
        <v>1434.9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1425+(819.6-702.4)+(-2.18025+(-1.253988--1.074672))+0-178.9--0.27371700000001</f>
        <v>1361.2141509999999</v>
      </c>
      <c r="G122" s="3">
        <f>1429.6+(788.9-716)+(-1.458192+(-0.804678--0.73032))+0-180.4--0.184008000000029</f>
        <v>1320.751458</v>
      </c>
      <c r="H122" s="3">
        <f>1434.3+(692.6-651.1)+(-1.462986+(-0.706452--0.664122))+0-181.3--0.184926000000029</f>
        <v>1293.1796100000001</v>
      </c>
      <c r="I122" s="3">
        <f>1425.9+(688.4-663.5)+(0+(0-0))+0-180.9-0</f>
        <v>1269.9000000000001</v>
      </c>
      <c r="J122" s="3">
        <f>1442.1+(580.2-584.1)+(-0.735471+(-0.295902--0.297891))+0-177.8--0.090677999999982</f>
        <v>1259.7571959999998</v>
      </c>
      <c r="K122" s="3">
        <f>1466+(423.7-478.9)+(-1.49532+(-0.432174--0.488478))+0-178.9--0.182478000000029</f>
        <v>1230.6434619999998</v>
      </c>
      <c r="L122" s="3">
        <f>1463.9+(319.5-409.1)+(0+(0-0))+0-177-0</f>
        <v>1197.3000000000002</v>
      </c>
      <c r="M122" s="3">
        <f>1442.6+(324.9-362.4)+(1.471452+(0.331398-0.369648))+0-173.5-0.176970000000028</f>
        <v>1232.8562319999999</v>
      </c>
      <c r="N122" s="3">
        <f>1433.5+(336.1-299.7)+(3.655425+(0.857055-0.764235))+0-169.4-0.431969999999975</f>
        <v>1303.8162750000001</v>
      </c>
      <c r="O122" s="3">
        <f>1435.4+(374.8-275.8)+(2.196162+(0.573444-0.421974))+0-173.7-0.26576100000001</f>
        <v>1362.7818709999999</v>
      </c>
      <c r="P122" s="3">
        <f>1426.4+(526.6-348.3)+(1.454928+(0.537132-0.355266))+0-180.7-0.184314000000029</f>
        <v>1425.4524799999999</v>
      </c>
      <c r="Q122" s="3">
        <f>1412.4+(701.6-463.5)+(2.160972+(1.073448-0.709155))+0-176.5-0.27004500000001</f>
        <v>1476.25522</v>
      </c>
      <c r="R122" s="3">
        <f>1398.3+(848.9-583.6)+(-0.713133+(-0.432939--0.297636))+0-185--0.0943499999999812</f>
        <v>1477.845914</v>
      </c>
      <c r="S122" s="3">
        <f>1398.3+(912.5-670)+(-3.565665+(-2.326875--1.7085))+0-186.6--0.475829999999973</f>
        <v>1450.4917899999998</v>
      </c>
      <c r="T122" s="3">
        <f>1388.7+(945.1-698.2)+(0+(0-0))+0-185.8-0</f>
        <v>1449.8</v>
      </c>
      <c r="U122" s="3">
        <f>1395.8+(902.1-677.8)+(-2.135574+(-1.380213--1.037034))+0-178.5--0.27310500000001</f>
        <v>1439.3943519999998</v>
      </c>
      <c r="V122" s="3">
        <f>1389.3+(790.1-583.8)+(-2.125629+(-1.208853--0.893214))+0-176.5--0.27004500000001</f>
        <v>1416.9287769999999</v>
      </c>
      <c r="W122" s="3">
        <f>1370.4+(582.8-404.5)+(-1.397808+(-0.594456--0.41259))+0-178.4--0.181968000000028</f>
        <v>1368.902294</v>
      </c>
      <c r="X122" s="3">
        <f>1382.5+(331-252.6)+(-1.41015+(-0.33762--0.257652))+0-183.5--0.187170000000029</f>
        <v>1276.0970520000001</v>
      </c>
      <c r="Y122" s="3">
        <f>1391.4+(289.7-262.2)+(2.128842+(0.443241-0.401166))+0-182-0.278460000000011</f>
        <v>1238.792457</v>
      </c>
      <c r="Z122" s="3">
        <f>1406.9+(661.7-524.3)+(1.435038+(0.674934-0.534786))+0-182.9-0.186558000000029</f>
        <v>1362.788628</v>
      </c>
      <c r="AA122" s="3">
        <f>1427.6+(780.6-619.6)+(-2.912304+(-1.592424--1.263984))+0-184.8--0.376991999999992</f>
        <v>1400.936248</v>
      </c>
      <c r="AB122" s="3">
        <f>1449.7+(787.4-661.4)+(-1.478694+(-0.803148--0.674628))+0-185.8--0.18951600000003</f>
        <v>1388.4823020000001</v>
      </c>
      <c r="AC122" s="3">
        <f>1443+(805.7-691.7)+(-0.73593+(-0.410907--0.352767))+0-184.8--0.0942479999999813</f>
        <v>1371.500178</v>
      </c>
      <c r="AD122" s="2">
        <v>1378.6</v>
      </c>
      <c r="AE122" s="3">
        <f>1410+(795.6-629.2)+(0+(0-0))+0-187.8-0</f>
        <v>1388.6000000000001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1434.4+(817-733.4)+(0+(0-0))+0-180.9-0</f>
        <v>1337.1</v>
      </c>
      <c r="G123" s="3">
        <f>1447.1+(771.9-737.3)+(-1.476042+(-0.787338--0.752046))+0-182.4--0.186048000000029</f>
        <v>1297.9747139999997</v>
      </c>
      <c r="H123" s="3">
        <f>1444+(704.3-701.9)+(0+(0-0))+0-180.4-0</f>
        <v>1266</v>
      </c>
      <c r="I123" s="3">
        <f>1430.3+(647-640)+(-1.458906+(-0.65994--0.6528))+0-181.1--0.184722000000029</f>
        <v>1254.918676</v>
      </c>
      <c r="J123" s="3">
        <f>1436.9+(597.5-612.3)+(-2.198457+(-0.914175--0.936819))+0-179.3--0.27432900000001</f>
        <v>1240.8985160000002</v>
      </c>
      <c r="K123" s="3">
        <f>1437.3+(457-523)+(-2.932092+(-0.93228--1.06692))+0-171.9--0.350675999999992</f>
        <v>1196.9532239999999</v>
      </c>
      <c r="L123" s="3">
        <f>1450.9+(300.3-422.2)+(-2.219877+(-0.459459--0.645966))+0-174.3--0.26667900000001</f>
        <v>1152.933309</v>
      </c>
      <c r="M123" s="3">
        <f>1449.9+(364.8-475.1)+(2.218347+(0.558144-0.726903))+0-177.9-0.27218700000001</f>
        <v>1163.4774010000001</v>
      </c>
      <c r="N123" s="3">
        <f>1443.4+(348.8-417.5)+(1.472268+(0.355776-0.42585))+0-172.6-0.176052000000028</f>
        <v>1203.3261420000001</v>
      </c>
      <c r="O123" s="3">
        <f>1441.5+(354-373.2)+(0.735165+(0.18054-0.190332))+0-170.3-0.0868529999999827</f>
        <v>1252.63852</v>
      </c>
      <c r="P123" s="3">
        <f>1436.1+(418.8-396.7)+(2.197233+(0.640764-0.606951))+0-166.4-0.25459200000001</f>
        <v>1293.7764539999998</v>
      </c>
      <c r="Q123" s="3">
        <f>1425.4+(659.4-567.3)+(1.453908+(0.672588-0.578646))+0-169.2-0.172584000000027</f>
        <v>1349.675266</v>
      </c>
      <c r="R123" s="3">
        <f>1412.4+(867.6-732.3)+(1.440648+(0.884952-0.746946))+0-170.5-0.173910000000027</f>
        <v>1378.6047440000002</v>
      </c>
      <c r="S123" s="3">
        <f>1417.4+(915.2-774.9)+(1.445748+(0.933504-0.790398))+0-173.5-0.176970000000028</f>
        <v>1385.6118840000004</v>
      </c>
      <c r="T123" s="3">
        <f>1418.7+(918.1-778.1)+(0+(0-0))+0-171.4-0</f>
        <v>1387.3</v>
      </c>
      <c r="U123" s="3">
        <f>1416+(899.3-758.3)+(0+(0-0))+0-173.3-0</f>
        <v>1383.7</v>
      </c>
      <c r="V123" s="3">
        <f>1413+(841.8-689)+(0+(0-0))+0-177.9-0</f>
        <v>1387.8999999999999</v>
      </c>
      <c r="W123" s="3">
        <f>1405.2+(652.9-532.7)+(0+(0-0))+0-180.5-0</f>
        <v>1344.9</v>
      </c>
      <c r="X123" s="3">
        <f>1407.4+(369.7-321.2)+(-2.153322+(-0.565641--0.491436))+0-184.3--0.281979000000011</f>
        <v>1269.6544520000002</v>
      </c>
      <c r="Y123" s="3">
        <f>1410.6+(313.6-331.2)+(-2.877624+(-0.639744--0.675648))+0-185.2--0.377807999999992</f>
        <v>1205.336088</v>
      </c>
      <c r="Z123" s="3">
        <f>1425.2+(656.9-554.2)+(0+(0-0))+0-183.7-0</f>
        <v>1344.2</v>
      </c>
      <c r="AA123" s="3">
        <f>1438.4+(830.2-686.6)+(-3.66792+(-2.11701--1.75083))+0-186.9--0.476594999999973</f>
        <v>1391.5424949999997</v>
      </c>
      <c r="AB123" s="3">
        <f>1437.9+(884.1-748.2)+(0.733329+(0.450891-0.381582))+0-180.9-0.0922589999999816</f>
        <v>1393.610379</v>
      </c>
      <c r="AC123" s="3">
        <f>1443.7+(896.5-772)+(-0.736287+(-0.457215--0.39372))+0-182.8--0.0932279999999815</f>
        <v>1384.693446</v>
      </c>
      <c r="AD123" s="2">
        <v>1391.4</v>
      </c>
      <c r="AE123" s="3">
        <f>1433+(839.8-681.9)+(0+(0-0))+0-188.5-0</f>
        <v>1402.4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1462.9+(835.8-762.9)+(-1.492158+(-0.852516--0.778158))+0-185.8--0.18951600000003</f>
        <v>1348.6230000000003</v>
      </c>
      <c r="G124" s="3">
        <f>1460.8+(743.4-725.3)+(-0.745008+(-0.379134--0.369903))+0-183.8--0.0937379999999814</f>
        <v>1294.4394990000001</v>
      </c>
      <c r="H124" s="3">
        <f>1457.7+(663.8-674.1)+(0.743427+(0.338538-0.343791))+0-184-0.0938399999999813</f>
        <v>1264.0443340000002</v>
      </c>
      <c r="I124" s="3">
        <f>1447.2+(670.5-668.9)+(0.738072+(0.341955-0.341139))+0-184.1-0.0938909999999813</f>
        <v>1265.3449970000004</v>
      </c>
      <c r="J124" s="3">
        <f>1454.3+(618-624.3)+(-2.225079+(-0.94554--0.955179))+0-183.7--0.281061000000011</f>
        <v>1262.3656209999999</v>
      </c>
      <c r="K124" s="3">
        <f>1461.4+(485.3-535.6)+(-1.490628+(-0.495006--0.546312))+0-183.8--0.187476000000029</f>
        <v>1226.0481540000003</v>
      </c>
      <c r="L124" s="3">
        <f>1465.7+(345.9-429)+(-1.495014+(-0.352818--0.43758))+0-181.8--0.185436000000029</f>
        <v>1199.575184</v>
      </c>
      <c r="M124" s="3">
        <f>1455.5+(403.2-454.3)+(0.742305+(0.205632-0.231693))+0-180.5-0.0920549999999817</f>
        <v>1224.524189</v>
      </c>
      <c r="N124" s="3">
        <f>1444.2+(499.7-462.8)+(2.946168+(1.019388-0.944112))+0-181.8-0.370871999999992</f>
        <v>1301.950572</v>
      </c>
      <c r="O124" s="3">
        <f>1441.1+(632.9-529.3)+(1.469922+(0.645558-0.539886))+0-181.8-0.185436000000029</f>
        <v>1364.2901579999998</v>
      </c>
      <c r="P124" s="3">
        <f>1431.5+(718.3-540.5)+(0.730065+(0.366333-0.275655))+0-179.8-0.0916979999999818</f>
        <v>1430.229045</v>
      </c>
      <c r="Q124" s="3">
        <f>1427.7+(826.3-607.7)+(0.728127+(0.421413-0.309927))+0-166.6-0.0849659999999831</f>
        <v>1480.4546470000003</v>
      </c>
      <c r="R124" s="3">
        <f>1440.6+(916.5-711.9)+(1.469412+(0.93483-0.726138))+0-152.5-0.155550000000024</f>
        <v>1494.2225539999999</v>
      </c>
      <c r="S124" s="3">
        <f>1430.6+(968.2-751.1)+(-2.188818+(-1.481346--1.149183))+0-158--0.241740000000009</f>
        <v>1487.4207589999999</v>
      </c>
      <c r="T124" s="3">
        <f>1427.1+(1011.7-797.1)+(-0.727821+(-0.515967--0.406521))+25.3-159.7--0.0814469999999838</f>
        <v>1506.5441799999996</v>
      </c>
      <c r="U124" s="3">
        <f>1424.5+(1063.9-859.4)+(0.726495+(0.542589-0.438294))+45-159.6-0.0813959999999838</f>
        <v>1515.149394</v>
      </c>
      <c r="V124" s="3">
        <f>1425.7+(1064.4-863.6)+(2.181321+(1.628532-1.321308))+45-169-0.25857000000001</f>
        <v>1504.729975</v>
      </c>
      <c r="W124" s="3">
        <f>1412.4+(959.4-754.8)+(0.720324+(0.489294-0.384948))+12.5-178.2-0.0908819999999819</f>
        <v>1452.033788</v>
      </c>
      <c r="X124" s="3">
        <f>1411.5+(636-520.7)+(-2.159595+(-0.97308--0.796671))+0-179.9--0.27524700000001</f>
        <v>1344.8392429999999</v>
      </c>
      <c r="Y124" s="3">
        <f>1422.9+(564.9-507.2)+(0+(0-0))+0-179.2-0</f>
        <v>1301.4000000000001</v>
      </c>
      <c r="Z124" s="3">
        <f>1447.6+(868.4-696.2)+(1.476552+(0.885768-0.710124))+0-179.9-0.183498000000029</f>
        <v>1441.3686979999995</v>
      </c>
      <c r="AA124" s="3">
        <f>1469.7+(891.9-702.2)+(-3.747735+(-2.274345--1.79061))+0-185.7--0.473534999999973</f>
        <v>1469.9420650000002</v>
      </c>
      <c r="AB124" s="3">
        <f>1478.5+(890.8-729.2)+(0.754035+(0.454308-0.371892))+0-181.5-0.0925649999999816</f>
        <v>1459.3438859999999</v>
      </c>
      <c r="AC124" s="3">
        <f>1469.8+(895.3-750.9)+(-1.499196+(-0.913206--0.765918))+0-183.7--0.187374000000029</f>
        <v>1429.0408899999998</v>
      </c>
      <c r="AD124" s="2">
        <v>1479.4</v>
      </c>
      <c r="AE124" s="3">
        <f>1474+(879.5-676.3)+(0+(0-0))+0-185.8-0</f>
        <v>1491.4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1448.9+(860.5-755.4)+(-0.738939+(-0.438855--0.385254))+0-184.1--0.0938909999999813</f>
        <v>1369.2013510000002</v>
      </c>
      <c r="G125" s="3">
        <f>1481.9+(761.5-709.6)+(0+(0-0))+0-182.9-0</f>
        <v>1350.9</v>
      </c>
      <c r="H125" s="3">
        <f>1485.2+(649.5-634.6)+(1.514904+(0.66249-0.647292))+0-182.7-0.186354000000029</f>
        <v>1318.7437479999999</v>
      </c>
      <c r="I125" s="3">
        <f>1492.7+(562.3-574.3)+(2.283831+(0.860319-0.878679))+0-183.4-0.280602000000011</f>
        <v>1299.2848689999998</v>
      </c>
      <c r="J125" s="3">
        <f>1494.1+(548.9-581)+(-1.523982+(-0.559878--0.59262))+0-179--0.182580000000029</f>
        <v>1281.6913399999999</v>
      </c>
      <c r="K125" s="3">
        <f>1501.9+(419.5-502.2)+(-3.063876+(-0.85578--1.024488))+0-180.2--0.367607999999992</f>
        <v>1236.47244</v>
      </c>
      <c r="L125" s="3">
        <f>1505.2+(281.3-414.4)+(-3.83826+(-0.717315--1.05672))+0-177.4--0.452369999999974</f>
        <v>1191.653515</v>
      </c>
      <c r="M125" s="3">
        <f>1493.1+(289.1-403)+(2.284443+(0.442323-0.61659))+0-174.6-0.26713800000001</f>
        <v>1206.4430379999999</v>
      </c>
      <c r="N125" s="3">
        <f>1481.2+(383.2-404)+(2.266236+(0.586296-0.61812))+0-165.8-0.25367400000001</f>
        <v>1296.5807380000001</v>
      </c>
      <c r="O125" s="3">
        <f>1474+(541.8-473.9)+(3.00696+(1.105272-0.966756))+0-168.8-0.344351999999993</f>
        <v>1375.901124</v>
      </c>
      <c r="P125" s="3">
        <f>1445+(705.8-538.9)+(0.73695+(0.359958-0.274839))+0-161.2-0.0822119999999836</f>
        <v>1451.4398570000001</v>
      </c>
      <c r="Q125" s="3">
        <f>1412.9+(846.5-602.8)+(1.441158+(0.86343-0.614856))+0-152.2-0.155244000000024</f>
        <v>1505.9344880000001</v>
      </c>
      <c r="R125" s="3">
        <f>1438.8+(917.7-711.1)+(2.201364+(1.404081-1.087983))+0-146.5-0.224145000000008</f>
        <v>1501.1933170000002</v>
      </c>
      <c r="S125" s="3">
        <f>1437.9+(1002.1-790.4)+(-0.733329+(-0.511071--0.403104))+0-148.4--0.0756839999999849</f>
        <v>1500.4343879999999</v>
      </c>
      <c r="T125" s="3">
        <f>1427.1+(1111.7-880.5)+(1.455642+(1.133934-0.89811))+0-158.1-0.161262000000025</f>
        <v>1501.730204</v>
      </c>
      <c r="U125" s="3">
        <f>1416.9+(1028.3-795)+(-0.722619+(-0.524433--0.40545))+0-149.4--0.0761939999999848</f>
        <v>1500.034592</v>
      </c>
      <c r="V125" s="3">
        <f>1413.6+(979.3-752.8)+(1.441872+(0.998886-0.767856))+0-155.6-0.158712000000025</f>
        <v>1486.0141900000001</v>
      </c>
      <c r="W125" s="3">
        <f>1409.4+(811.4-616.3)+(-2.875176+(-1.655256--1.257252))+0-157--0.320279999999993</f>
        <v>1444.5471</v>
      </c>
      <c r="X125" s="3">
        <f>1410.5+(552.2-445.9)+(-2.158065+(-0.844866--0.682227))+0-151.1--0.231183000000009</f>
        <v>1363.6104790000004</v>
      </c>
      <c r="Y125" s="3">
        <f>1413.9+(495.1-420.3)+(1.442178+(0.505002-0.428706))+0-150.4-0.153408000000024</f>
        <v>1339.6650659999998</v>
      </c>
      <c r="Z125" s="3">
        <f>1426.5+(839.7-636.9)+(3.637575+(2.141235-1.624095))+0-161-0.410549999999977</f>
        <v>1472.044165</v>
      </c>
      <c r="AA125" s="3">
        <f>1441.5+(943.3-719)+(-0.735165+(-0.481083--0.36669))+0-181.4--0.0925139999999816</f>
        <v>1483.6429559999999</v>
      </c>
      <c r="AB125" s="3">
        <f>1451+(968.7-763.4)+(-2.22003+(-1.482111--1.168002))+0-180.5--0.27616500000001</f>
        <v>1473.5420260000001</v>
      </c>
      <c r="AC125" s="3">
        <f>1451+(898.1-726.6)+(-2.22003+(-1.374093--1.111698))+0-177.8--0.27203400000001</f>
        <v>1442.4896090000002</v>
      </c>
      <c r="AD125" s="2">
        <v>1495.1</v>
      </c>
      <c r="AE125" s="3">
        <f>1435+(927.5-683)+(0+(0-0))+0-172.4-0</f>
        <v>1507.1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1457.5+(783.8-671.4)+(1.48665+(0.799476-0.684828))+0-176.8-0.180336000000028</f>
        <v>1394.5209620000001</v>
      </c>
      <c r="G126" s="3">
        <f>1471.1+(698.5-647.9)+(0+(0-0))+0-180.9-0</f>
        <v>1340.7999999999997</v>
      </c>
      <c r="H126" s="3">
        <f>1473.8+(637.3-617.7)+(1.503276+(0.650046-0.630054))+0-176.7-0.180234000000028</f>
        <v>1318.0430339999998</v>
      </c>
      <c r="I126" s="3">
        <f>1482.4+(603-604.9)+(0.756024+(0.30753-0.308499))+0-173.2-0.0883319999999824</f>
        <v>1307.966723</v>
      </c>
      <c r="J126" s="3">
        <f>1489+(549.8-561.5)+(-0.75939+(-0.280398--0.286365))+0-174.7--0.0890969999999823</f>
        <v>1301.9356739999998</v>
      </c>
      <c r="K126" s="3">
        <f>1501.2+(442.5-510.5)+(-3.062448+(-0.9027--1.04142))+0-175.9--0.358835999999992</f>
        <v>1254.7351079999999</v>
      </c>
      <c r="L126" s="3">
        <f>1503.7+(310.8-433.3)+(0+(0-0))+0-173.6-0</f>
        <v>1207.6000000000001</v>
      </c>
      <c r="M126" s="3">
        <f>1503.1+(329.8-426.8)+(0.766581+(0.168198-0.217668))+0-175.9-0.0897089999999822</f>
        <v>1230.8274019999997</v>
      </c>
      <c r="N126" s="3">
        <f>1490.9+(428.8-447.4)+(0.760359+(0.218688-0.228174))+0-179.5-0.0915449999999818</f>
        <v>1293.4593280000001</v>
      </c>
      <c r="O126" s="3">
        <f>1476.4+(492.5-424.8)+(0.752964+(0.251175-0.216648))+0-181.7-0.0926669999999816</f>
        <v>1363.0948240000002</v>
      </c>
      <c r="P126" s="3">
        <f>1464.6+(576.5-449.7)+(-0.746946+(-0.294015--0.229347))+0-173.5--0.0884849999999824</f>
        <v>1417.1768709999999</v>
      </c>
      <c r="Q126" s="3">
        <f>1447.3+(755.4-572.4)+(2.214369+(1.155762-0.875772))+0-167.7-0.25658100000001</f>
        <v>1464.8377779999998</v>
      </c>
      <c r="R126" s="3">
        <f>1450.4+(909.6-701.9)+(-2.219112+(-1.391688--1.073907))+0-167.6--0.25642800000001</f>
        <v>1488.2195350000002</v>
      </c>
      <c r="S126" s="3">
        <f>1445.2+(976.7-755.6)+(-0.737052+(-0.498117--0.385356))+0-179.5--0.0915449999999818</f>
        <v>1486.0417320000001</v>
      </c>
      <c r="T126" s="3">
        <f>1438.4+(1007.1-770)+(-2.200752+(-1.540863--1.1781))+11.7-187.7--0.287181000000011</f>
        <v>1497.2236659999999</v>
      </c>
      <c r="U126" s="3">
        <f>1429.9+(1000.9-757.4)+(-1.458498+(-1.020918--0.772548))+20-184.5--0.188190000000029</f>
        <v>1507.3813220000002</v>
      </c>
      <c r="V126" s="3">
        <f>1413.6+(884.1-634.5)+(0.720936+(0.450891-0.323595))+20-183.8-0.0937379999999814</f>
        <v>1500.1544939999999</v>
      </c>
      <c r="W126" s="3">
        <f>1412.4+(692.2-492.6)+(-0.720324+(-0.353022--0.251226))+0.7-184.9--0.0942989999999812</f>
        <v>1427.072179</v>
      </c>
      <c r="X126" s="3">
        <f>1418.1+(478.3-362.4)+(-2.169693+(-0.731799--0.554472))+0-181.4--0.277542000000011</f>
        <v>1350.530522</v>
      </c>
      <c r="Y126" s="3">
        <f>1426.9+(414.5-352.9)+(-0.727719+(-0.211395--0.179979))+0-176.6--0.0900659999999821</f>
        <v>1311.2309310000001</v>
      </c>
      <c r="Z126" s="3">
        <f>1443.8+(723.1-556.9)+(1.472676+(0.737562-0.568038))+0-176.7-0.180234000000028</f>
        <v>1434.761966</v>
      </c>
      <c r="AA126" s="3">
        <f>1459.5+(788-606.1)+(0.744345+(0.40188-0.309111))+0-182.9-0.0932789999999814</f>
        <v>1459.243835</v>
      </c>
      <c r="AB126" s="3">
        <f>1466.8+(781.2-622.6)+(-2.992272+(-1.593648--1.270104))+0-181.4--0.370055999999992</f>
        <v>1441.0542399999999</v>
      </c>
      <c r="AC126" s="3">
        <f>1464.3+(783.5-642.8)+(0.746793+(0.399585-0.327828))+0-180.8-0.0922079999999817</f>
        <v>1424.926342</v>
      </c>
      <c r="AD126" s="2">
        <v>1452.7</v>
      </c>
      <c r="AE126" s="3">
        <f>1451+(802.8-608.9)+(0+(0-0))+0-181.2-0</f>
        <v>1463.7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1468.3+(735.6-645.3)+(0.748833+(0.375156-0.329103))+0-178.8-0.0911879999999819</f>
        <v>1380.503698</v>
      </c>
      <c r="G127" s="3">
        <f>1481.8+(635.6-601.8)+(0.755718+(0.324156-0.306918))+0-180.5-0.0920549999999817</f>
        <v>1335.7809009999999</v>
      </c>
      <c r="H127" s="3">
        <f>1502.3+(569.5-590.5)+(0.766173+(0.290445-0.301155))+0-177.2-0.090371999999982</f>
        <v>1304.765091</v>
      </c>
      <c r="I127" s="3">
        <f>1510.3+(522.5-565.3)+(1.540506+(0.53295-0.576606))+0-180.1-0.183702000000029</f>
        <v>1288.713148</v>
      </c>
      <c r="J127" s="3">
        <f>1514.7+(476.3-529.8)+(0.772497+(0.242913-0.270198))+0-178.5-0.0910349999999819</f>
        <v>1283.3541770000002</v>
      </c>
      <c r="K127" s="3">
        <f>1517+(374.4-474)+(-3.09468+(-0.763776--0.96696))+0-180.4--0.368015999999992</f>
        <v>1234.4765199999999</v>
      </c>
      <c r="L127" s="3">
        <f>1522.8+(296-445.8)+(-0.776628+(-0.15096--0.227358))+0-171.9--0.0876689999999826</f>
        <v>1200.487439</v>
      </c>
      <c r="M127" s="3">
        <f>1519.9+(280.6-414.1)+(1.550298+(0.286212-0.422382))+0-175.2-0.178704000000028</f>
        <v>1212.435424</v>
      </c>
      <c r="N127" s="3">
        <f>1491.9+(343.9-393.5)+(0.760869+(0.175389-0.200685))+0-180.7-0.0921569999999817</f>
        <v>1262.243416</v>
      </c>
      <c r="O127" s="3">
        <f>1482.7+(381.2-358.4)+(-1.512354+(-0.388824--0.365568))+0-184.3--0.187986000000029</f>
        <v>1319.8523760000003</v>
      </c>
      <c r="P127" s="3">
        <f>1477.2+(437.6-373.4)+(3.013488+(0.892704-0.761736))+0-183.9-0.375155999999992</f>
        <v>1360.2692999999999</v>
      </c>
      <c r="Q127" s="3">
        <f>1472.5+(499.8-413.8)+(0.750975+(0.254898-0.211038))+0-144.4-0.0736439999999854</f>
        <v>1414.8211909999998</v>
      </c>
      <c r="R127" s="3">
        <f>1471.2+(658-532)+(1.500624+(0.67116-0.54264))+0-169.2-0.172584000000027</f>
        <v>1429.4565600000001</v>
      </c>
      <c r="S127" s="3">
        <f>1452.5+(786.9-623.4)+(-2.222325+(-1.203957--0.953802))+0-178.3--0.27279900000001</f>
        <v>1435.5003190000002</v>
      </c>
      <c r="T127" s="3">
        <f>1444.2+(787.2-633.7)+(-2.946168+(-1.605888--1.292748))+0-182.6--0.372503999999992</f>
        <v>1412.2131960000002</v>
      </c>
      <c r="U127" s="3">
        <f>1442.3+(814.8-648.1)+(-2.942292+(-1.662192--1.322124))+0-180.9--0.369035999999992</f>
        <v>1425.186676</v>
      </c>
      <c r="V127" s="3">
        <f>1431.3+(777.9-569.6)+(-1.459926+(-0.793458--0.580992))+0-186.4--0.19012800000003</f>
        <v>1451.7177359999998</v>
      </c>
      <c r="W127" s="3">
        <f>1431.9+(574.1-407.5)+(-0.730269+(-0.292791--0.207825))+0-188.8--0.0962879999999808</f>
        <v>1408.981053</v>
      </c>
      <c r="X127" s="3">
        <f>1428.7+(358.9-276.5)+(-3.643185+(-0.915195--0.705075))+0-190.9--0.486794999999972</f>
        <v>1316.8334899999998</v>
      </c>
      <c r="Y127" s="3">
        <f>1439.3+(301.1-275.9)+(-4.404258+(-0.921366--0.844254))+0-189--0.578340000000022</f>
        <v>1271.5969700000001</v>
      </c>
      <c r="Z127" s="3">
        <f>1453.8+(599.6-467.9)+(1.482876+(0.611592-0.477258))+0-190-0.19380000000003</f>
        <v>1396.9234099999999</v>
      </c>
      <c r="AA127" s="3">
        <f>1463.6+(687.5-533)+(-2.239308+(-1.051875--0.81549))+0-197.9--0.302787000000011</f>
        <v>1418.0270939999998</v>
      </c>
      <c r="AB127" s="3">
        <f>1462+(701.1-555.8)+(-3.7281+(-1.787805--1.41729))+0-197.2--0.502859999999971</f>
        <v>1406.5042450000001</v>
      </c>
      <c r="AC127" s="3">
        <f>1443+(671.8-537.8)+(-2.94372+(-1.370472--1.097112))+0-195.9--0.399635999999991</f>
        <v>1378.2825560000001</v>
      </c>
      <c r="AD127" s="2">
        <v>1413.9999999999998</v>
      </c>
      <c r="AE127" s="3">
        <f>1450+(736.7-564.9)+(0+(0-0))+0-196.8-0</f>
        <v>1425.0000000000002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1445.2+(645.1-567.2)+(-0.737052+(-0.329001--0.289272))+0-198.6--0.10128599999998</f>
        <v>1323.824505</v>
      </c>
      <c r="G128" s="3">
        <f>1450.9+(561.7-535.5)+(-1.479918+(-0.572934--0.54621))+0-195.7--0.199614000000031</f>
        <v>1280.0929720000001</v>
      </c>
      <c r="H128" s="3">
        <f>1471.6+(502.3-530.2)+(0.750516+(0.256173-0.270402))+0-193.9-0.0988889999999803</f>
        <v>1250.4373979999998</v>
      </c>
      <c r="I128" s="3">
        <f>1492.1+(509.6-572)+(0+(0-0))+0-193.6-0</f>
        <v>1236.0999999999999</v>
      </c>
      <c r="J128" s="3">
        <f>1510.2+(439-509.6)+(-3.080808+(-0.89556--1.039584))+0-190.3--0.388211999999992</f>
        <v>1246.751428</v>
      </c>
      <c r="K128" s="3">
        <f>1516.4+(339.3-450.2)+(-3.86682+(-0.865215--1.14801))+0-192.2--0.490109999999972</f>
        <v>1210.2060849999998</v>
      </c>
      <c r="L128" s="3">
        <f>1520.2+(307.7-453.3)+(-3.87651+(-0.784635--1.155915))+0-190.9--0.486794999999972</f>
        <v>1180.6815649999999</v>
      </c>
      <c r="M128" s="3">
        <f>1516.9+(321.1-446.4)+(0.773619+(0.163761-0.227664))+0-191.8-0.0978179999999805</f>
        <v>1200.4118980000003</v>
      </c>
      <c r="N128" s="3">
        <f>1505.3+(338.8-379.2)+(1.535406+(0.345576-0.386784))+0-193.7-0.197574000000031</f>
        <v>1272.4966240000001</v>
      </c>
      <c r="O128" s="3">
        <f>1489.4+(344.7-312.4)+(2.278782+(0.527391-0.477972))+0-182.6-0.279378000000011</f>
        <v>1341.1488230000002</v>
      </c>
      <c r="P128" s="3">
        <f>1460.1+(365.4-261.8)+(1.489302+(0.372708-0.267036))+0-186.2-0.18992400000003</f>
        <v>1378.9050499999998</v>
      </c>
      <c r="Q128" s="3">
        <f>1461.1+(459.5-289.6)+(2.235483+(0.703035-0.443088))+0-184.2-0.281826000000011</f>
        <v>1449.013604</v>
      </c>
      <c r="R128" s="3">
        <f>1465.8+(678.8-488.7)+(-2.242674+(-1.038564--0.747711))+0-185.3--0.283509000000011</f>
        <v>1468.349982</v>
      </c>
      <c r="S128" s="3">
        <f>1445.8+(435-392.4)+(-1.474716+(-0.4437--0.400248))+181.5-192--0.195840000000031</f>
        <v>1476.5776720000001</v>
      </c>
      <c r="T128" s="3">
        <f>1442.3+(741.1-631.9)+(-1.471146+(-0.755922--0.644538))+90-196.7--0.200634000000031</f>
        <v>1443.4181040000001</v>
      </c>
      <c r="U128" s="3">
        <f>1437.7+(864.1-698.3)+(-2.199681+(-1.322073--1.068399))+67.5-194.8--0.298044000000011</f>
        <v>1474.0446890000001</v>
      </c>
      <c r="V128" s="3">
        <f>1431.4+(889-678.9)+(-2.190042+(-1.36017--1.038717))+0-197.9--0.302787000000011</f>
        <v>1441.391292</v>
      </c>
      <c r="W128" s="3">
        <f>1423.7+(767.1-578.7)+(-3.630435+(-1.956105--1.475685))+0-198.8--0.506939999999971</f>
        <v>1409.696085</v>
      </c>
      <c r="X128" s="3">
        <f>1428.6+(420.5-328.2)+(-1.457172+(-0.42891--0.334764))+0-199--0.202980000000032</f>
        <v>1320.5516619999999</v>
      </c>
      <c r="Y128" s="3">
        <f>1436.2+(356.3-313.9)+(-0.732462+(-0.181713--0.160089))+0-196.8--0.10036799999998</f>
        <v>1281.1462820000002</v>
      </c>
      <c r="Z128" s="3">
        <f>1450+(669.1-560.7)+(1.479+(0.682482-0.571914))+0-195.9-0.199818000000031</f>
        <v>1363.88975</v>
      </c>
      <c r="AA128" s="3">
        <f>1459.7+(872.5-698.7)+(-2.977788+(-1.7799--1.425348))+0-197.4--0.402695999999991</f>
        <v>1433.1703559999999</v>
      </c>
      <c r="AB128" s="3">
        <f>1458.9+(876.9-704.6)+(-0.744039+(-0.447219--0.359346))+0-196.3--0.10011299999998</f>
        <v>1434.168201</v>
      </c>
      <c r="AC128" s="3">
        <f>1459.6+(853.2-707.1)+(-2.233188+(-1.305396--1.081863))+0-192.8--0.294984000000011</f>
        <v>1410.738263</v>
      </c>
      <c r="AD128" s="2">
        <v>1436.8</v>
      </c>
      <c r="AE128" s="3">
        <f>1452+(880.9-695.9)+(0+(0-0))+0-195.2-0</f>
        <v>1441.8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1445.8+(840.8-727.6)+(0+(0-0))+0-195.8-0</f>
        <v>1363.2</v>
      </c>
      <c r="G129" s="3">
        <f>1468.5+(763.6-720.5)+(0.748935+(0.389436-0.367455))+0-199-0.10148999999998</f>
        <v>1313.2694259999998</v>
      </c>
      <c r="H129" s="3">
        <f>1486.5+(686.5-698.3)+(-1.51623+(-0.70023--0.712266))+0-195.4--0.199308000000031</f>
        <v>1277.9951139999998</v>
      </c>
      <c r="I129" s="3">
        <f>1498.1+(664.7-668)+(-0.764031+(-0.338997--0.34068))+0-195.8--0.0998579999999801</f>
        <v>1298.3375100000001</v>
      </c>
      <c r="J129" s="3">
        <f>1511.8+(541.7-587.1)+(-2.313054+(-0.828801--0.898263))+0-193.7--0.296361000000011</f>
        <v>1270.7527689999999</v>
      </c>
      <c r="K129" s="3">
        <f>1517.7+(417.7-519.2)+(-2.322081+(-0.639081--0.794376))+0-192.6--0.294678000000011</f>
        <v>1221.7278920000001</v>
      </c>
      <c r="L129" s="3">
        <f>1523.8+(329.9-500.7)+(0+(0-0))+0-190.6-0</f>
        <v>1162.4000000000001</v>
      </c>
      <c r="M129" s="3">
        <f>1514.9+(338.6-464.3)+(4.635594+(1.036116-1.420758))+0-192-0.587520000000022</f>
        <v>1200.8634320000001</v>
      </c>
      <c r="N129" s="3">
        <f>1505.9+(412.9-469.3)+(3.840045+(1.052895-1.196715))+0-197.3-0.503114999999971</f>
        <v>1255.39311</v>
      </c>
      <c r="O129" s="3">
        <f>1489.9+(462.6-433.9)+(4.559094+(1.415556-1.327734))+0-189.6-0.580176000000022</f>
        <v>1333.0667400000002</v>
      </c>
      <c r="P129" s="3">
        <f>1478+(621-518.1)+(0+(0-0))+0-191-0</f>
        <v>1389.9</v>
      </c>
      <c r="Q129" s="3">
        <f>1456+(786.4-625.6)+(2.22768+(1.203192-0.957168))+0-185.4-0.283662000000011</f>
        <v>1433.5900419999998</v>
      </c>
      <c r="R129" s="3">
        <f>1436.4+(884.6-697.9)+(0+(0-0))+0-183-0</f>
        <v>1440.1000000000001</v>
      </c>
      <c r="S129" s="3">
        <f>1435.3+(904.2-701.6)+(-4.392018+(-2.766852--2.146896))+0-187.8--0.574668000000022</f>
        <v>1445.6626940000001</v>
      </c>
      <c r="T129" s="3">
        <f>1431.4+(921.4-718.2)+(-0.730014+(-0.469914--0.366282))+0-190.8--0.0973079999999806</f>
        <v>1443.0636619999998</v>
      </c>
      <c r="U129" s="3">
        <f>1427.2+(903.5-698.2)+(-0.727872+(-0.460785--0.356082))+0-194.1--0.0989909999999803</f>
        <v>1437.6664160000003</v>
      </c>
      <c r="V129" s="3">
        <f>1423+(802.7-620.8)+(-0.72573+(-0.409377--0.316608))+0-197.2--0.10057199999998</f>
        <v>1406.9820730000001</v>
      </c>
      <c r="W129" s="3">
        <f>1420.7+(621.3-479.1)+(1.449114+(0.633726-0.488682))+0-194.7-0.198594000000031</f>
        <v>1369.5955640000002</v>
      </c>
      <c r="X129" s="3">
        <f>1426.9+(315.9-264.9)+(0.727719+(0.161109-0.135099))+0-195.8-0.0998579999999801</f>
        <v>1282.7538710000001</v>
      </c>
      <c r="Y129" s="3">
        <f>1439.8+(284-285.3)+(0+(0-0))+0-196.1-0</f>
        <v>1242.4000000000001</v>
      </c>
      <c r="Z129" s="3">
        <f>1458.4+(524.6-418.6)+(-2.231352+(-0.802638--0.640458))+0-198.9--0.304317000000011</f>
        <v>1363.410785</v>
      </c>
      <c r="AA129" s="3">
        <f>1461.2+(652.3-524.4)+(-0.745212+(-0.332673--0.267444))+0-197.9--0.10092899999998</f>
        <v>1390.4904879999997</v>
      </c>
      <c r="AB129" s="3">
        <f>1467.3+(687.5-574.6)+(-1.496646+(-0.70125--0.586092))+0-199.4--0.203388000000032</f>
        <v>1379.391584</v>
      </c>
      <c r="AC129" s="3">
        <f>1471.6+(730.2-662)+(-3.002064+(-1.489608--1.35048))+0-201.1--0.410243999999991</f>
        <v>1335.9690519999999</v>
      </c>
      <c r="AD129" s="2">
        <v>1388</v>
      </c>
      <c r="AE129" s="3">
        <f>1454+(672-528.9)+(0+(0-0))+0-201.1-0</f>
        <v>1396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1405.4+(808.7-701.9)+(-0.716754+(-0.412437--0.357969))+0-197--0.10046999999998</f>
        <v>1314.5292480000003</v>
      </c>
      <c r="G130" s="3">
        <f>1324.5+(880.7-727.9)+(-0.675495+(-0.449157--0.371229))+0-193.7--0.0987869999999803</f>
        <v>1282.9453639999999</v>
      </c>
      <c r="H130" s="3">
        <f>1210.2+(893.9-668.6)+(0+(0-0))+0-193.4-0</f>
        <v>1242.0999999999999</v>
      </c>
      <c r="I130" s="3">
        <f>1222.1+(869.5-657.5)+(-3.116355+(-2.217225--1.676625))+0-194.4--0.495719999999972</f>
        <v>1236.5387649999998</v>
      </c>
      <c r="J130" s="3">
        <f>1199.9+(826-597.2)+(-1.223898+(-0.84252--0.609144))+0-194.7--0.198594000000031</f>
        <v>1232.7413199999999</v>
      </c>
      <c r="K130" s="3">
        <f>1206.8+(620-431.1)+(-4.308276+(-2.2134--1.539027))+0-194.9--0.695793000000003</f>
        <v>1196.5131439999998</v>
      </c>
      <c r="L130" s="3">
        <f>1233+(444.1-344.3)+(-4.40181+(-1.585437--1.229151))+0-192.1--0.685797000000003</f>
        <v>1136.6277010000001</v>
      </c>
      <c r="M130" s="3">
        <f>1335.6+(414.4-420.4)+(0.681156+(0.211344-0.214404))+0-194.2-0.0990419999999803</f>
        <v>1135.9790539999999</v>
      </c>
      <c r="N130" s="3">
        <f>1325.1+(465.1-426.1)+(-0.675801+(-0.237201--0.217311))+0-198.3--0.10113299999998</f>
        <v>1165.2054419999999</v>
      </c>
      <c r="O130" s="3">
        <f>1304.3+(536.9-431.3)+(1.995579+(0.821457-0.659889))+0-199.7-0.305541000000012</f>
        <v>1212.0516059999998</v>
      </c>
      <c r="P130" s="3">
        <f>1304.5+(619.1-461.2)+(0+(0-0))+0-198-0</f>
        <v>1264.4000000000001</v>
      </c>
      <c r="Q130" s="3">
        <f>1306.4+(712.9-505.2)+(1.998792+(1.090737-0.772956))+0-197-0.301410000000011</f>
        <v>1319.1151630000002</v>
      </c>
      <c r="R130" s="3">
        <f>1293.3+(869.4-623.7)+(1.319166+(0.886788-0.636174))+0-195.1-0.199002000000031</f>
        <v>1345.2707780000001</v>
      </c>
      <c r="S130" s="3">
        <f>1292.7+(1023.6-735.1)+(2.637108+(2.088144-1.499604))+0-198.8-0.405551999999991</f>
        <v>1385.2200960000002</v>
      </c>
      <c r="T130" s="3">
        <f>1286.5+(1085.6-778.7)+(2.62446+(2.214624-1.588548))+0-199.1-0.406163999999991</f>
        <v>1397.144372</v>
      </c>
      <c r="U130" s="3">
        <f>1261.4+(1138.2-810.8)+(1.286628+(1.160964-0.827016))+0-198.3-0.202266000000032</f>
        <v>1391.9183100000002</v>
      </c>
      <c r="V130" s="3">
        <f>1261+(1094.5-763)+(-0.64311+(-0.558195--0.38913))+0-201.9--0.10296899999998</f>
        <v>1389.8907939999999</v>
      </c>
      <c r="W130" s="3">
        <f>1248.8+(889-582.5)+(1.273776+(0.90678-0.59415))+0-200.8-0.204816000000032</f>
        <v>1355.88159</v>
      </c>
      <c r="X130" s="3">
        <f>1254.4+(548.9-339.7)+(-0.639744+(-0.279939--0.173247))+0-196.8--0.10036799999998</f>
        <v>1266.1539320000002</v>
      </c>
      <c r="Y130" s="3">
        <f>1262+(510.4-355.3)+(-2.57448+(-1.041216--0.724812))+0-193.3--0.394331999999992</f>
        <v>1221.3034480000001</v>
      </c>
      <c r="Z130" s="3">
        <f>1284.4+(796-521)+(0+(0-0))+0-191.4-0</f>
        <v>1368</v>
      </c>
      <c r="AA130" s="3">
        <f>1310.6+(826.5-535.3)+(-3.34203+(-2.107575--1.365015))+0-199.6--0.508979999999971</f>
        <v>1398.6243900000002</v>
      </c>
      <c r="AB130" s="3">
        <f>1350+(819.7-572.8)+(0+(0-0))+0-197.5-0</f>
        <v>1399.4</v>
      </c>
      <c r="AC130" s="3">
        <f>1370.9+(769.8-567.9)+(2.097477+(1.177794-0.868887))+0-194.5-0.297585000000011</f>
        <v>1380.408799</v>
      </c>
      <c r="AD130" s="2">
        <v>1375.6</v>
      </c>
      <c r="AE130" s="3">
        <f>1322+(817.4-551.9)+(0+(0-0))+0-203.9-0</f>
        <v>1383.6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1464.8+(667-595.6)+(-2.988192+(-1.36068--1.215024))+0-199.1--0.406163999999991</f>
        <v>1334.372316</v>
      </c>
      <c r="G131" s="3">
        <f>1474.6+(549.3-541.8)+(-3.76023+(-1.400715--1.38159))+0-197.2--0.502859999999971</f>
        <v>1281.623505</v>
      </c>
      <c r="H131" s="3">
        <f>1485.4+(517.9-554.6)+(-5.302878+(-1.848903--1.979922))+0-195.5--0.697935000000003</f>
        <v>1248.7260759999999</v>
      </c>
      <c r="I131" s="3">
        <f>1494.6+(494.2-555.7)+(0+(0-0))+0-192.3-0</f>
        <v>1240.8</v>
      </c>
      <c r="J131" s="3">
        <f>1506.4+(469.4-545.8)+(-3.84132+(-1.19697--1.39179))+0-192.5--0.490874999999972</f>
        <v>1234.3443749999999</v>
      </c>
      <c r="K131" s="3">
        <f>1516.9+(359.3-494.6)+(-4.641714+(-1.099458--1.513476))+0-194--0.593640000000022</f>
        <v>1183.9659440000003</v>
      </c>
      <c r="L131" s="3">
        <f>1516.1+(293.7-478.7)+(0+(0-0))+0-190.1-0</f>
        <v>1141</v>
      </c>
      <c r="M131" s="3">
        <f>1508.2+(287.7-421.4)+(0+(0-0))+0-194.2-0</f>
        <v>1180.3</v>
      </c>
      <c r="N131" s="3">
        <f>1497.6+(344.7-391.5)+(-0.763776+(-0.175797--0.199665))+0-197.2--0.10057199999998</f>
        <v>1252.960664</v>
      </c>
      <c r="O131" s="3">
        <f>1482.2+(422.5-376.7)+(-2.267766+(-0.646425--0.576351))+0-200.2--0.306306000000012</f>
        <v>1325.768466</v>
      </c>
      <c r="P131" s="3">
        <f>1464.3+(522.4-392.9)+(0+(0-0))+0-195.6-0</f>
        <v>1398.2</v>
      </c>
      <c r="Q131" s="3">
        <f>1457+(672.9-511.8)+(2.22921+(1.029537-0.783054))+0-186.2-0.284886000000011</f>
        <v>1434.090807</v>
      </c>
      <c r="R131" s="3">
        <f>1471.3+(838-671.2)+(1.500726+(0.85476-0.684624))+0-184.6-0.188292000000029</f>
        <v>1454.9825699999999</v>
      </c>
      <c r="S131" s="3">
        <f>1476.6+(907.4-730.3)+(0+(0-0))+0-195.2-0</f>
        <v>1458.4999999999998</v>
      </c>
      <c r="T131" s="3">
        <f>1468.5+(916.2-742.8)+(0.748935+(0.467262-0.378828))+0-198.7-0.10133699999998</f>
        <v>1443.9360320000001</v>
      </c>
      <c r="U131" s="3">
        <f>1457.3+(965.1-774.1)+(0+(0-0))+0-196.2-0</f>
        <v>1452.1</v>
      </c>
      <c r="V131" s="3">
        <f>1434.8+(869.2-648.9)+(0.731748+(0.443292-0.330939))+0-199.1-0.10154099999998</f>
        <v>1456.7425599999999</v>
      </c>
      <c r="W131" s="3">
        <f>1424.8+(681.5-490.6)+(0.726648+(0.347565-0.250206))+0-197.4-0.10067399999998</f>
        <v>1419.0233329999996</v>
      </c>
      <c r="X131" s="3">
        <f>1422.6+(385.6-267.4)+(0.725526+(0.196656-0.136374))+0-196.1-0.10001099999998</f>
        <v>1345.3857970000001</v>
      </c>
      <c r="Y131" s="3">
        <f>1423.5+(361.2-277.5)+(1.45197+(0.368424-0.28305))+0-198.6-0.202572000000032</f>
        <v>1309.9347720000001</v>
      </c>
      <c r="Z131" s="3">
        <f>1441+(592.8-407.8)+(0+(0-0))+0-195.8-0</f>
        <v>1430.2</v>
      </c>
      <c r="AA131" s="3">
        <f>1471.6+(644.6-461.2)+(-3.002064+(-1.314984--0.940848))+0-197.6--0.403103999999991</f>
        <v>1454.4269040000001</v>
      </c>
      <c r="AB131" s="3">
        <f>1490+(625.2-476.7)+(0+(0-0))+0-199.5-0</f>
        <v>1439</v>
      </c>
      <c r="AC131" s="3">
        <f>1491.2+(636.4-512.3)+(0.760512+(0.324564-0.261273))+0-200.1-0.10205099999998</f>
        <v>1415.9217520000002</v>
      </c>
      <c r="AD131" s="2">
        <v>1426.7</v>
      </c>
      <c r="AE131" s="3">
        <f>1440+(650.5-457.1)+(0+(0-0))+0-198.7-0</f>
        <v>1434.7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1479.8+(602.2-541.2)+(1.509396+(0.614244-0.552024))+0-200.8-0.204816000000032</f>
        <v>1341.3668</v>
      </c>
      <c r="G132" s="3">
        <f>1507.7+(527.6-521.3)+(-2.306781+(-0.807228--0.797589))+0-198--0.302940000000011</f>
        <v>1313.9865199999999</v>
      </c>
      <c r="H132" s="3">
        <f>1514.3+(445.5-488.2)+(0+(0-0))+0-196.7-0</f>
        <v>1274.8999999999999</v>
      </c>
      <c r="I132" s="3">
        <f>1522.2+(399.3-467.9)+(-1.552644+(-0.407286--0.477258))+0-195.5--0.199410000000031</f>
        <v>1256.816738</v>
      </c>
      <c r="J132" s="3">
        <f>1532.8+(329.8-418)+(-3.126912+(-0.672792--0.85272))+0-192.5--0.392699999999992</f>
        <v>1249.5457160000001</v>
      </c>
      <c r="K132" s="3">
        <f>1541.7+(262.9-408.3)+(-3.931335+(-0.670395--1.041165))+0-192.3--0.490364999999972</f>
        <v>1200.9297999999999</v>
      </c>
      <c r="L132" s="3">
        <f>1536.3+(284.9-479.3)+(-1.567026+(-0.290598--0.488886))+0-189.1--0.19288200000003</f>
        <v>1151.6241440000001</v>
      </c>
      <c r="M132" s="3">
        <f>1524.8+(301.9-450.4)+(0.777648+(0.153969-0.229704))+0-193.6-0.0987359999999804</f>
        <v>1183.3031770000002</v>
      </c>
      <c r="N132" s="3">
        <f>1508.3+(330.8-385.9)+(1.538466+(0.337416-0.393618))+0-198.1-0.202062000000032</f>
        <v>1256.3802020000001</v>
      </c>
      <c r="O132" s="3">
        <f>1488.5+(390.2-353.9)+(2.277405+(0.597006-0.541467))+0-194.9-0.298197000000011</f>
        <v>1331.9347469999998</v>
      </c>
      <c r="P132" s="3">
        <f>1469.6+(476.9-346.3)+(1.498992+(0.486438-0.353226))+0-189.1-0.19288200000003</f>
        <v>1412.5393219999999</v>
      </c>
      <c r="Q132" s="3">
        <f>1455.2+(647.8-453.5)+(2.968608+(1.321512-0.92514))+0-185.4-0.378215999999992</f>
        <v>1467.0867639999999</v>
      </c>
      <c r="R132" s="3">
        <f>1468.9+(795.9-596.4)+(2.247417+(1.217727-0.912492))+0-185.6-0.283968000000011</f>
        <v>1485.0686840000003</v>
      </c>
      <c r="S132" s="3">
        <f>1461.6+(864-662)+(2.236248+(1.32192-1.01286))+0-189.3-0.289629000000011</f>
        <v>1476.5556789999998</v>
      </c>
      <c r="T132" s="3">
        <f>1451.8+(849.1-639.8)+(-1.480836+(-0.866082--0.652596))+0-184.6--0.188292000000029</f>
        <v>1474.99397</v>
      </c>
      <c r="U132" s="3">
        <f>1437.1+(853.1-641.3)+(1.465842+(0.870162-0.654126))+0-182.4-0.186048000000029</f>
        <v>1467.9958300000001</v>
      </c>
      <c r="V132" s="3">
        <f>1430.3+(756.5-577.9)+(0+(0-0))+0-179.2-0</f>
        <v>1429.7</v>
      </c>
      <c r="W132" s="3">
        <f>1413.1+(590.8-382.8)+(0+(0-0))+0-185.3-0</f>
        <v>1435.8</v>
      </c>
      <c r="X132" s="3">
        <f>1411.5+(324.3-186.4)+(0.719865+(0.165393-0.095064))+0-194.6-0.0992459999999803</f>
        <v>1355.4909480000001</v>
      </c>
      <c r="Y132" s="3">
        <f>1418.9+(300.7-200)+(2.170917+(0.460071-0.306))+0-198.9-0.304317000000011</f>
        <v>1322.720671</v>
      </c>
      <c r="Z132" s="3">
        <f>1446.4+(596.1-397)+(0+(0-0))+0-198.2-0</f>
        <v>1447.3</v>
      </c>
      <c r="AA132" s="3">
        <f>1458.6+(654.5-440)+(-5.207202+(-2.336565--1.5708))+0-200.1--0.714357000000003</f>
        <v>1467.7413900000001</v>
      </c>
      <c r="AB132" s="3">
        <f>1484.5+(655-488.1)+(-2.271285+(-1.00215--0.746793))+0-195.4--0.298962000000011</f>
        <v>1453.77232</v>
      </c>
      <c r="AC132" s="3">
        <f>1484.2+(638.8-497.5)+(0.756942+(0.325788-0.253725))+0-197-0.10046999999998</f>
        <v>1429.228535</v>
      </c>
      <c r="AD132" s="2">
        <v>1463.1999999999998</v>
      </c>
      <c r="AE132" s="3">
        <f>1447+(721.1-495.7)+(0+(0-0))+0-202.2-0</f>
        <v>1470.2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1493+(555.2-473)+(-1.52286+(-0.566304--0.48246))+0-197.9--0.201858000000032</f>
        <v>1375.895154</v>
      </c>
      <c r="G133" s="3">
        <f>1491.7+(461.8-464)+(-3.043068+(-0.942072--0.94656))+0-195.8--0.399431999999991</f>
        <v>1291.0608520000001</v>
      </c>
      <c r="H133" s="3">
        <f>1491.6+(415.2-448.5)+(-2.282148+(-0.635256--0.686205))+0-194--0.296820000000011</f>
        <v>1262.3656209999999</v>
      </c>
      <c r="I133" s="3">
        <f>1494.8+(352.2-407.9)+(-0.762348+(-0.179622--0.208029))+0-193.9--0.0988889999999803</f>
        <v>1244.5649479999997</v>
      </c>
      <c r="J133" s="3">
        <f>1513.9+(324.4-385.8)+(-3.088356+(-0.661776--0.787032))+0-193.4--0.394535999999992</f>
        <v>1256.531436</v>
      </c>
      <c r="K133" s="3">
        <f>1532.8+(295.9-431.1)+(-2.345184+(-0.452727--0.659583))+0-192.7--0.294831000000011</f>
        <v>1203.0565029999998</v>
      </c>
      <c r="L133" s="3">
        <f>1518.1+(234.9-441.3)+(0+(0-0))+0-191-0</f>
        <v>1120.6999999999998</v>
      </c>
      <c r="M133" s="3">
        <f>1509.5+(241.8-399)+(2.309535+(0.369954-0.61047))+0-192.8-0.294984000000011</f>
        <v>1161.2740349999999</v>
      </c>
      <c r="N133" s="3">
        <f>1513.9+(276.4-362.8)+(0.772089+(0.140964-0.185028))+0-183.6-0.0936359999999814</f>
        <v>1244.5343889999999</v>
      </c>
      <c r="O133" s="3">
        <f>1492.3+(302.4-280.5)+(0.761073+(0.154224-0.143055))+0-188-0.0958799999999809</f>
        <v>1326.8763619999997</v>
      </c>
      <c r="P133" s="3">
        <f>1470.6+(374.6-263.6)+(3.000024+(0.764184-0.537744))+0-189.4-0.386375999999992</f>
        <v>1395.040088</v>
      </c>
      <c r="Q133" s="3">
        <f>1452.5+(606.3-404.5)+(2.222325+(0.927639-0.618885))+0-186.3-0.285039000000011</f>
        <v>1470.24604</v>
      </c>
      <c r="R133" s="3">
        <f>1441+(745.4-502.5)+(-2.93964+(-1.520616--1.0251))+0-186.5--0.380459999999992</f>
        <v>1494.3453040000002</v>
      </c>
      <c r="S133" s="3">
        <f>1445.3+(746.1-511.6)+(-2.211309+(-1.141533--0.782748))+0-180.8--0.27662400000001</f>
        <v>1496.7065300000002</v>
      </c>
      <c r="T133" s="3">
        <f>1429.2+(718.5-489.8)+(2.186676+(1.099305-0.749394))+0-185.5-0.283815000000011</f>
        <v>1474.6527720000001</v>
      </c>
      <c r="U133" s="3">
        <f>1363+(765.3-484.8)+(1.39026+(0.780606-0.494496))+0-185.2-0.18890400000003</f>
        <v>1459.7874659999998</v>
      </c>
      <c r="V133" s="3">
        <f>1354+(721.7-428.7)+(0.69054+(0.368067-0.218637))+0-185.2-0.0944519999999812</f>
        <v>1462.5455179999999</v>
      </c>
      <c r="W133" s="3">
        <f>1338+(592.5-337.3)+(-0.68238+(-0.302175--0.172023))+0-189.3--0.0965429999999808</f>
        <v>1403.1840110000001</v>
      </c>
      <c r="X133" s="3">
        <f>1340+(344.4-169.8)+(1.3668+(0.351288-0.173196))+0-198.1-0.202062000000032</f>
        <v>1317.8428299999998</v>
      </c>
      <c r="Y133" s="3">
        <f>1363+(341.8-191.2)+(2.78052+(0.697272-0.390048))+0-204.5-0.417179999999991</f>
        <v>1311.7705639999999</v>
      </c>
      <c r="Z133" s="3">
        <f>1411.3+(596.7-360.3)+(0.719763+(0.304317-0.183753))+0-200.7-0.10235699999998</f>
        <v>1447.7379699999999</v>
      </c>
      <c r="AA133" s="3">
        <f>1425.3+(646.8-400.7)+(-2.907612+(-1.319472--0.817428))+0-201.4--0.410855999999991</f>
        <v>1467.0011999999997</v>
      </c>
      <c r="AB133" s="3">
        <f>1420.7+(673.3-434.3)+(1.449114+(0.686766-0.442986))+0-200.4-0.204408000000032</f>
        <v>1460.7884859999999</v>
      </c>
      <c r="AC133" s="3">
        <f>1413.5+(688.7-473.2)+(0+(0-0))+0-197.7-0</f>
        <v>1431.3</v>
      </c>
      <c r="AD133" s="2">
        <v>1472.5</v>
      </c>
      <c r="AE133" s="3">
        <f>1417+(650.5-399.2)+(0+(0-0))+0-188.8-0</f>
        <v>1479.5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1418.2+(683.6-514.3)+(-2.169846+(-1.045908--0.786879))+0-198.8--0.304164000000011</f>
        <v>1386.5752889999999</v>
      </c>
      <c r="G134" s="3">
        <f>1422.3+(615.2-514.5)+(-1.450746+(-0.627504--0.52479))+0-197.1--0.201042000000031</f>
        <v>1324.5475820000001</v>
      </c>
      <c r="H134" s="3">
        <f>1422.5+(553.5-487.2)+(-0.725475+(-0.282285--0.248472))+0-192.8--0.0983279999999804</f>
        <v>1295.3390400000001</v>
      </c>
      <c r="I134" s="3">
        <f>1436.4+(510.7-473.5)+(-1.465128+(-0.520914--0.48297))+0-190--0.19380000000003</f>
        <v>1282.2907280000002</v>
      </c>
      <c r="J134" s="3">
        <f>1454.6+(453.8-429.3)+(1.483692+(0.462876-0.437886))+0-189.5-0.19329000000003</f>
        <v>1290.9153919999999</v>
      </c>
      <c r="K134" s="3">
        <f>1490.2+(322-383.8)+(0.760002+(0.16422-0.195738))+0-190.7-0.0972569999999807</f>
        <v>1238.3312270000001</v>
      </c>
      <c r="L134" s="3">
        <f>1478.4+(296.6-391.1)+(-2.261952+(-0.453798--0.598383))+0-189.3--0.289629000000011</f>
        <v>1192.7722620000002</v>
      </c>
      <c r="M134" s="3">
        <f>1473.5+(352-360.4)+(0.751485+(0.17952-0.183804))+0-190.7-0.0972569999999807</f>
        <v>1275.0499439999999</v>
      </c>
      <c r="N134" s="3">
        <f>1449.9+(384.3-306.3)+(1.478898+(0.391986-0.312426))+0-184.2-0.187884000000029</f>
        <v>1345.0705740000001</v>
      </c>
      <c r="O134" s="3">
        <f>1437.4+(393.6-287.6)+(1.466148+(0.401472-0.293352))+0-175.5-0.179010000000028</f>
        <v>1369.2952580000001</v>
      </c>
      <c r="P134" s="3">
        <f>1421.1+(504.3-331.3)+(0.724761+(0.257193-0.168963))+0-158.2-0.0806819999999839</f>
        <v>1436.6323089999999</v>
      </c>
      <c r="Q134" s="3">
        <f>1401.8+(695.8-444.3)+(1.429836+(0.709716-0.453186))+0-158.2-0.161364000000025</f>
        <v>1496.6250019999998</v>
      </c>
      <c r="R134" s="3">
        <f>1385.1+(870.1-585.8)+(0.706401+(0.443751-0.298758))+0-163.9-0.0835889999999834</f>
        <v>1506.267805</v>
      </c>
      <c r="S134" s="3">
        <f>1379.4+(921.6-631.9)+(0.703494+(0.470016-0.322269))+0-168.1-0.0857309999999829</f>
        <v>1501.7655100000004</v>
      </c>
      <c r="T134" s="3">
        <f>1383.6+(855-601.1)+(0.705636+(0.43605-0.306561))+0-169.5-0.0864449999999828</f>
        <v>1468.7486800000001</v>
      </c>
      <c r="U134" s="3">
        <f>1395.3+(827.8-586.2)+(-2.134809+(-1.266534--0.896886))+0-164.1--0.251073000000009</f>
        <v>1470.5466159999999</v>
      </c>
      <c r="V134" s="3">
        <f>1399.4+(795.8-536.7)+(0.713694+(0.405858-0.273717))+0-171.2-0.0873119999999826</f>
        <v>1488.0585230000002</v>
      </c>
      <c r="W134" s="3">
        <f>1388.3+(575.6-350.2)+(-1.416066+(-0.587112--0.357204))+0-177.3--0.180846000000028</f>
        <v>1434.934872</v>
      </c>
      <c r="X134" s="3">
        <f>1397.1+(313.3-179.9)+(-2.137563+(-0.479349--0.275247))+0-177.2--0.27111600000001</f>
        <v>1351.2294510000002</v>
      </c>
      <c r="Y134" s="3">
        <f>1411.4+(347.1-248.4)+(1.439628+(0.354042-0.253368))+0-174-0.177480000000028</f>
        <v>1337.4628220000002</v>
      </c>
      <c r="Z134" s="3">
        <f>1436.2+(630.8-430.6)+(1.464924+(0.643416-0.439212))+0-173.5-0.176970000000028</f>
        <v>1464.3921580000001</v>
      </c>
      <c r="AA134" s="3">
        <f>1445.3+(685.7-465.8)+(-1.474206+(-0.699414--0.475116))+0-187.1--0.19084200000003</f>
        <v>1476.5923380000002</v>
      </c>
      <c r="AB134" s="3">
        <f>1444.6+(712.2-485.1)+(0.736746+(0.363222-0.247401))+0-191.8-0.0978179999999805</f>
        <v>1480.6547489999998</v>
      </c>
      <c r="AC134" s="3">
        <f>1458.7+(698.6-509.7)+(3.719685+(1.78143-1.299735))+0-193-0.492149999999972</f>
        <v>1458.3092300000001</v>
      </c>
      <c r="AD134" s="2">
        <v>1472.9</v>
      </c>
      <c r="AE134" s="3">
        <f>1436+(707.8-482.4)+(0+(0-0))+0-176.5-0</f>
        <v>1484.9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1470.4+(620.8-504.7)+(2.249712+(0.949824-0.772191))+0-190.7-0.291771000000011</f>
        <v>1397.9355740000001</v>
      </c>
      <c r="G135" s="3">
        <f>1461.3+(621.1-545)+(-0.745263+(-0.316761--0.27795))+0-187.3--0.095522999999981</f>
        <v>1349.4114490000002</v>
      </c>
      <c r="H135" s="3">
        <f>1460+(568.5-529.5)+(1.4892+(0.57987-0.54009))+0-190.3-0.19410600000003</f>
        <v>1310.0348740000002</v>
      </c>
      <c r="I135" s="3">
        <f>1476+(545-535.3)+(1.50552+(0.5559-0.546006))+0-192.4-0.196248000000031</f>
        <v>1294.619166</v>
      </c>
      <c r="J135" s="3">
        <f>1493.2+(499.1-513.6)+(3.046128+(1.018164-1.047744))+0-189.2-0.385967999999992</f>
        <v>1292.13058</v>
      </c>
      <c r="K135" s="3">
        <f>1500.9+(439.1-511.2)+(-4.592754+(-1.343646--1.564272))+0-187.8--0.574668000000022</f>
        <v>1237.2025400000002</v>
      </c>
      <c r="L135" s="3">
        <f>1497.9+(359.5-470.7)+(-3.819645+(-0.916725--1.200285))+0-183.7--0.468434999999973</f>
        <v>1199.93235</v>
      </c>
      <c r="M135" s="3">
        <f>1491+(323.3-410.6)+(0+(0-0))+0-188.7-0</f>
        <v>1215</v>
      </c>
      <c r="N135" s="3">
        <f>1483.1+(344.2-335.2)+(-0.756381+(-0.175542--0.170952))+0-191.5--0.0976649999999806</f>
        <v>1299.936694</v>
      </c>
      <c r="O135" s="3">
        <f>1464.4+(433.2-334.2)+(0+(0-0))+0-192.7-0</f>
        <v>1370.7</v>
      </c>
      <c r="P135" s="3">
        <f>1446.1+(538-381.2)+(2.212533+(0.82314-0.583236))+0-189.1-0.289323000000011</f>
        <v>1415.9631139999999</v>
      </c>
      <c r="Q135" s="3">
        <f>1414.4+(654.4-402.6)+(2.164032+(1.001232-0.615978))+0-182.9-0.279837000000011</f>
        <v>1485.5694489999998</v>
      </c>
      <c r="R135" s="3">
        <f>1430+(803.2-546.8)+(-1.4586+(-0.819264--0.557736))+0-172.7--0.176154000000028</f>
        <v>1512.1560260000001</v>
      </c>
      <c r="S135" s="3">
        <f>1420.5+(851.7-660.1)+(-0.724455+(-0.434367--0.336651))+0-176.4--0.0899639999999821</f>
        <v>1434.9677929999998</v>
      </c>
      <c r="T135" s="3">
        <f>1419.6+(942.4-700.4)+(-2.895984+(-1.922496--1.428816))+0-182.7--0.372707999999992</f>
        <v>1475.8830439999999</v>
      </c>
      <c r="U135" s="3">
        <f>1408.1+(944.8-668.1)+(-2.154393+(-1.445544--1.022193))+0-188.9--0.289017000000011</f>
        <v>1493.6112729999998</v>
      </c>
      <c r="V135" s="3">
        <f>1393.9+(920.3-621.7)+(0+(0-0))+0-195.2-0</f>
        <v>1497.3</v>
      </c>
      <c r="W135" s="3">
        <f>1396.7+(708.2-450.3)+(2.136951+(1.083546-0.688959))+0-199.1-0.304623000000012</f>
        <v>1457.7269150000002</v>
      </c>
      <c r="X135" s="3">
        <f>1398.2+(448.4-281.1)+(2.139246+(0.686052-0.430083))+0-197.1-0.301563000000011</f>
        <v>1370.4936520000001</v>
      </c>
      <c r="Y135" s="3">
        <f>1405.9+(347-219.7)+(2.868036+(0.70788-0.448188))+0-193.5-0.394739999999992</f>
        <v>1342.432988</v>
      </c>
      <c r="Z135" s="3">
        <f>1422.5+(632.3-403.5)+(1.45095+(0.644946-0.41157))+0-193.6-0.197472000000031</f>
        <v>1459.186854</v>
      </c>
      <c r="AA135" s="3">
        <f>1451.3+(692.6-457.8)+(-2.960652+(-1.412904--0.933912))+0-193.3--0.394331999999992</f>
        <v>1489.754688</v>
      </c>
      <c r="AB135" s="3">
        <f>1441.3+(758.1-521.7)+(-0.735063+(-0.386631--0.266067))+0-190.5--0.0971549999999807</f>
        <v>1486.4415279999998</v>
      </c>
      <c r="AC135" s="3">
        <f>1469.8+(720.5-535.6)+(-0.749598+(-0.367455--0.273156))+0-191.3--0.0975629999999806</f>
        <v>1462.6536659999999</v>
      </c>
      <c r="AD135" s="2">
        <v>1481.8000000000002</v>
      </c>
      <c r="AE135" s="3">
        <f>1430+(683.3-436.4)+(0+(0-0))+0-184.1-0</f>
        <v>1492.8000000000002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1454.1+(798.1-658.6)+(0.741591+(0.407031-0.335886))+0-192-0.0979199999999805</f>
        <v>1402.3148160000001</v>
      </c>
      <c r="G136" s="3">
        <f>1410+(807.1-671.6)+(2.1573+(1.234863-1.027548))+0-189.8-0.290394000000011</f>
        <v>1357.7742209999999</v>
      </c>
      <c r="H136" s="3">
        <f>1409.9+(749.7-656.4)+(0.719049+(0.382347-0.334764))+0-190.6-0.0972059999999807</f>
        <v>1313.2694260000005</v>
      </c>
      <c r="I136" s="3">
        <f>1418.4+(656.1-587)+(1.446768+(0.669222-0.59874))+0-193.4-0.197268000000031</f>
        <v>1295.4199819999999</v>
      </c>
      <c r="J136" s="3">
        <f>1424+(562.3-510.5)+(-1.45248+(-0.573546--0.52071))+0-191.1--0.19492200000003</f>
        <v>1283.3896060000002</v>
      </c>
      <c r="K136" s="3">
        <f>1426.5+(423.2-428.3)+(-2.91006+(-0.863328--0.873732))+0-189--0.385559999999992</f>
        <v>1229.885904</v>
      </c>
      <c r="L136" s="3">
        <f>1420.4+(381.5-438.7)+(-4.346424+(-1.16739--1.342422))+0-184.4--0.564264000000021</f>
        <v>1175.1928720000001</v>
      </c>
      <c r="M136" s="3">
        <f>1410.2+(430.7-442.5)+(2.876808+(0.878628-0.9027))+0-187.2-0.381887999999992</f>
        <v>1213.6708480000002</v>
      </c>
      <c r="N136" s="3">
        <f>1401.3+(473.7-396.5)+(4.287978+(1.449522-1.21329))+0-191.1-0.584766000000022</f>
        <v>1291.3394440000002</v>
      </c>
      <c r="O136" s="3">
        <f>1387.8+(528.8-363.5)+(2.123334+(0.809064-0.556155))+0-191.3-0.292689000000011</f>
        <v>1363.8835539999998</v>
      </c>
      <c r="P136" s="3">
        <f>1367.3+(729.9-469.6)+(1.394646+(0.744498-0.478992))+0-190.3-0.19410600000003</f>
        <v>1438.766046</v>
      </c>
      <c r="Q136" s="3">
        <f>1360.2+(957.9-637)+(0.693702+(0.488529-0.32487))+0-195.3-0.0996029999999802</f>
        <v>1486.5577580000001</v>
      </c>
      <c r="R136" s="3">
        <f>1345.9+(1115.4-769.5)+(0.686409+(0.568854-0.392445))+0-194.2-0.0990419999999803</f>
        <v>1498.3637760000001</v>
      </c>
      <c r="S136" s="3">
        <f>1332.4+(1059-710.1)+(-4.077144+(-3.24054--2.172906))+0-182.2--0.557532000000021</f>
        <v>1494.5127540000001</v>
      </c>
      <c r="T136" s="3">
        <f>1339.8+(1082-727.6)+(-3.41649+(-2.7591--1.85538))+0-188.7--0.481184999999973</f>
        <v>1501.6609749999996</v>
      </c>
      <c r="U136" s="3">
        <f>1335.4+(1063.8-731)+(-0.681054+(-0.542538--0.37281))+0-192.8--0.0983279999999804</f>
        <v>1474.6475460000001</v>
      </c>
      <c r="V136" s="3">
        <f>1335.5+(1015.6-685.3)+(-2.043315+(-1.553868--1.048509))+0-191.8--0.293454000000011</f>
        <v>1471.7447800000004</v>
      </c>
      <c r="W136" s="3">
        <f>1323.1+(812.2-522.6)+(-3.373905+(-2.07111--1.33263))+0-194.9--0.496994999999972</f>
        <v>1414.1846099999998</v>
      </c>
      <c r="X136" s="3">
        <f>1326.7+(512.2-313.1)+(-2.029851+(-0.783666--0.479043))+0-194.8--0.298044000000011</f>
        <v>1328.9635700000003</v>
      </c>
      <c r="Y136" s="3">
        <f>1342.4+(513.6-357.2)+(0+(0-0))+0-194-0</f>
        <v>1304.8000000000002</v>
      </c>
      <c r="Z136" s="3">
        <f>1354.2+(785.2-517.4)+(1.381284+(0.800904-0.527748))+0-196.2-0.200124000000031</f>
        <v>1427.254316</v>
      </c>
      <c r="AA136" s="3">
        <f>1378.3+(828.3-564.8)+(-1.405866+(-0.844866--0.576096))+0-197.6--0.201552000000032</f>
        <v>1442.7269160000001</v>
      </c>
      <c r="AB136" s="3">
        <f>1384.7+(843.8-586)+(-2.118591+(-1.291014--0.89658))+0-198.2--0.303246000000011</f>
        <v>1442.0902209999999</v>
      </c>
      <c r="AC136" s="3">
        <f>1375.6+(860.7-617.4)+(-2.104668+(-1.316871--0.944622))+0-197.6--0.302328000000011</f>
        <v>1419.1254110000002</v>
      </c>
      <c r="AD136" s="2">
        <v>1436.8</v>
      </c>
      <c r="AE136" s="3">
        <f>1371+(842-571.8)+(0+(0-0))+0-192.4-0</f>
        <v>1448.8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1371.5+(830.3-612.7)+(-2.098395+(-1.270359--0.937431))+0-196--0.299880000000011</f>
        <v>1390.9685569999999</v>
      </c>
      <c r="G137" s="3">
        <f>1379+(813.9-654.1)+(0.70329+(0.415089-0.333591))+0-191.8-0.0978179999999805</f>
        <v>1347.68697</v>
      </c>
      <c r="H137" s="3">
        <f>1401.1+(728.2-617.2)+(0+(0-0))+0-193.3-0</f>
        <v>1318.8</v>
      </c>
      <c r="I137" s="3">
        <f>1414+(717.2-639)+(-1.44228+(-0.731544--0.65178))+0-192.1--0.195942000000031</f>
        <v>1298.7738980000001</v>
      </c>
      <c r="J137" s="3">
        <f>1425+(652.7-589.9)+(-2.18025+(-0.998631--0.902547))+0-197.4--0.302022000000011</f>
        <v>1288.4256880000003</v>
      </c>
      <c r="K137" s="3">
        <f>1426.9+(464.3-476.9)+(-2.910876+(-0.947172--0.972876))+0-196.8--0.401471999999991</f>
        <v>1215.0163000000002</v>
      </c>
      <c r="L137" s="3">
        <f>1415.5+(363.8-461.2)+(-3.609525+(-0.92769--1.17606))+0-195.5--0.498524999999972</f>
        <v>1119.7373699999998</v>
      </c>
      <c r="M137" s="3">
        <f>1407.8+(466.2-493.7)+(-1.435956+(-0.475524--0.503574))+0-197.5--0.201450000000031</f>
        <v>1181.5935440000001</v>
      </c>
      <c r="N137" s="3">
        <f>1397+(531.5-510.3)+(-2.13741+(-0.813195--0.780759))+0-193.2--0.295596000000011</f>
        <v>1223.1257499999999</v>
      </c>
      <c r="O137" s="3">
        <f>1373.8+(586-491)+(0+(0-0))+0-194.5-0</f>
        <v>1274.3</v>
      </c>
      <c r="P137" s="3">
        <f>1357.9+(606.1-413.9)+(2.077587+(0.927333-0.633267))+0-193.8-0.296514000000011</f>
        <v>1358.375139</v>
      </c>
      <c r="Q137" s="3">
        <f>1350+(701.6-458.1)+(-1.377+(-0.715632--0.467262))+0-194.4--0.198288000000031</f>
        <v>1397.672918</v>
      </c>
      <c r="R137" s="3">
        <f>1295.6+(876.7-576)+(0.660756+(0.447117-0.29376))+0-191.4-0.0976139999999806</f>
        <v>1405.6164989999997</v>
      </c>
      <c r="S137" s="3">
        <f>1288.6+(1015.4-691)+(-0.657186+(-0.517854--0.35241))+0-190.9--0.0973589999999806</f>
        <v>1421.3747289999999</v>
      </c>
      <c r="T137" s="3">
        <f>1340.9+(922.4-674.2)+(0.683859+(0.470424-0.343842))+0-190.6-0.0972059999999807</f>
        <v>1399.2132350000002</v>
      </c>
      <c r="U137" s="3">
        <f>1384.2+(895.6-692.3)+(0.705942+(0.456756-0.353073))+0-187.7-0.095726999999981</f>
        <v>1400.5138980000002</v>
      </c>
      <c r="V137" s="3">
        <f>1383.2+(905.3-680.5)+(0.705432+(0.461703-0.347055))+0-189.9-0.0968489999999807</f>
        <v>1418.8232309999999</v>
      </c>
      <c r="W137" s="3">
        <f>1387.3+(652.8-470.2)+(-0.707523+(-0.332928--0.239802))+0-189.6--0.0966959999999808</f>
        <v>1379.596047</v>
      </c>
      <c r="X137" s="3">
        <f>1394.8+(368.1-271)+(0+(0-0))+0-189.5-0</f>
        <v>1302.4000000000001</v>
      </c>
      <c r="Y137" s="3">
        <f>1412.4+(366.8-304.7)+(-0.720324+(-0.187068--0.155397))+0-188.3--0.0960329999999809</f>
        <v>1285.544038</v>
      </c>
      <c r="Z137" s="3">
        <f>1433.4+(682.6-517.4)+(0.731034+(0.348126-0.263874))+0-187.7-0.095726999999981</f>
        <v>1411.6195590000002</v>
      </c>
      <c r="AA137" s="3">
        <f>1435.6+(808.7-597.8)+(-1.464312+(-0.824874--0.609756))+0-194.9--0.198798000000031</f>
        <v>1450.1193680000001</v>
      </c>
      <c r="AB137" s="3">
        <f>1436.9+(848.5-647.8)+(0.732819+(0.432735-0.330378))+0-194.6-0.0992459999999803</f>
        <v>1443.7359300000003</v>
      </c>
      <c r="AC137" s="3">
        <f>1431.4+(878.2-688.1)+(-0.730014+(-0.447882--0.350931))+0-194.2--0.0990419999999803</f>
        <v>1426.572077</v>
      </c>
      <c r="AD137" s="2">
        <v>1453.8</v>
      </c>
      <c r="AE137" s="3">
        <f>1437+(827.5-610.8)+(0+(0-0))+0-188.9-0</f>
        <v>1464.8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1440.3+(825.7-678.8)+(-0.734553+(-0.421107--0.346188))+0-188.6--0.0961859999999809</f>
        <v>1397.8867140000002</v>
      </c>
      <c r="G138" s="3">
        <f>1450+(779.8-699.3)+(-2.2185+(-1.193094--1.069929))+0-184--0.281520000000011</f>
        <v>1344.4398550000001</v>
      </c>
      <c r="H138" s="3">
        <f>1463.6+(698.7-664.1)+(0+(0-0))+0-184.9-0</f>
        <v>1313.2999999999997</v>
      </c>
      <c r="I138" s="3">
        <f>1471.3+(641.1-633.8)+(0.750363+(0.326961-0.323238))+0-184.2-0.0939419999999813</f>
        <v>1295.0601439999998</v>
      </c>
      <c r="J138" s="3">
        <f>1479.1+(602.9-604.3)+(-3.017364+(-1.229916--1.232772))+0-182.9--0.373115999999992</f>
        <v>1292.1586079999997</v>
      </c>
      <c r="K138" s="3">
        <f>1497.2+(544-593.9)+(-3.81786+(-1.3872--1.514445))+0-185.8--0.473789999999973</f>
        <v>1258.2831750000003</v>
      </c>
      <c r="L138" s="3">
        <f>1493.4+(404.9-490.2)+(-1.523268+(-0.412998--0.500004))+0-183.6--0.187272000000029</f>
        <v>1223.2510100000004</v>
      </c>
      <c r="M138" s="3">
        <f>1489.6+(372.2-443.2)+(0+(0-0))+0-188.3-0</f>
        <v>1230.3</v>
      </c>
      <c r="N138" s="3">
        <f>1480.1+(387.6-416.6)+(0.754851+(0.197676-0.212466))+0-183.9-0.0937889999999813</f>
        <v>1267.8462719999998</v>
      </c>
      <c r="O138" s="3">
        <f>1458.7+(484.1-430.7)+(0+(0-0))+0-183.9-0</f>
        <v>1328.2</v>
      </c>
      <c r="P138" s="3">
        <f>1438.8+(617-477.8)+(2.201364+(0.94401-0.731034))+0-177.8-0.27203400000001</f>
        <v>1402.342306</v>
      </c>
      <c r="Q138" s="3">
        <f>1431.7+(769.1-571.2)+(-0.730167+(-0.392241--0.291312))+0-177.5--0.090524999999982</f>
        <v>1451.3594290000001</v>
      </c>
      <c r="R138" s="3">
        <f>1456.8+(887.3-691)+(0+(0-0))+0-177.5-0</f>
        <v>1475.6</v>
      </c>
      <c r="S138" s="3">
        <f>1446.3+(878.3-653.5)+(-0.737613+(-0.447933--0.333285))+0-178.4--0.0909839999999819</f>
        <v>1491.9387229999998</v>
      </c>
      <c r="T138" s="3">
        <f>1435.9+(934-705.2)+(0.732309+(0.47634-0.359652))+0-187.3-0.095522999999981</f>
        <v>1478.1534740000002</v>
      </c>
      <c r="U138" s="3">
        <f>1432.3+(885.1-672.3)+(0.730473+(0.451401-0.342873))+0-187.3-0.095522999999981</f>
        <v>1458.5434780000001</v>
      </c>
      <c r="V138" s="3">
        <f>1427.6+(806.6-577.6)+(-2.912304+(-1.645464--1.178304))+0-187--0.381479999999992</f>
        <v>1466.6020159999998</v>
      </c>
      <c r="W138" s="3">
        <f>1403.8+(612.1-411.7)+(-2.863752+(-1.248684--0.839868))+0-186.9--0.381275999999992</f>
        <v>1414.4087079999999</v>
      </c>
      <c r="X138" s="3">
        <f>1417.3+(304.2-206.9)+(-3.614115+(-0.77571--0.527595))+0-187.1--0.477104999999973</f>
        <v>1324.114875</v>
      </c>
      <c r="Y138" s="3">
        <f>1433.1+(263.6-237.7)+(0+(0-0))+0-184-0</f>
        <v>1275</v>
      </c>
      <c r="Z138" s="3">
        <f>1459.7+(540.3-381.8)+(2.233341+(0.826659-0.584154))+0-185.7-0.284121000000011</f>
        <v>1434.6917250000001</v>
      </c>
      <c r="AA138" s="3">
        <f>1469.9+(613.5-441.7)+(-4.497894+(-1.87731--1.351602))+0-186.8--0.571608000000022</f>
        <v>1450.4480060000001</v>
      </c>
      <c r="AB138" s="3">
        <f>1472.7+(650.8-506.1)+(-1.502154+(-0.663816--0.516222))+0-182.6--0.186252000000029</f>
        <v>1433.3365040000001</v>
      </c>
      <c r="AC138" s="3">
        <f>1466.6+(726.5-590.4)+(0.747966+(0.370515-0.301104))+0-182.1-0.0928709999999815</f>
        <v>1421.3245059999999</v>
      </c>
      <c r="AD138" s="2">
        <v>1438.6000000000001</v>
      </c>
      <c r="AE138" s="3">
        <f>1461+(599.9-422.2)+(0+(0-0))+0-189.1-0</f>
        <v>1449.6000000000001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1472.5+(692.1-600.5)+(0+(0-0))+0-187.2-0</f>
        <v>1376.8999999999999</v>
      </c>
      <c r="G139" s="3">
        <f>1486.9+(666.5-639.5)+(-0.758319+(-0.339915--0.326145))+0-186.8--0.0952679999999811</f>
        <v>1326.4231790000001</v>
      </c>
      <c r="H139" s="3">
        <f>1503.1+(560.3-584.2)+(-1.533162+(-0.571506--0.595884))+0-187.5--0.19125000000003</f>
        <v>1290.3824659999998</v>
      </c>
      <c r="I139" s="3">
        <f>1501.6+(430-475.8)+(-0.765816+(-0.2193--0.242658))+0-186.4--0.0950639999999811</f>
        <v>1268.752606</v>
      </c>
      <c r="J139" s="3">
        <f>1507.4+(408.9-471.7)+(-3.075096+(-0.834156--0.962268))+0-186.3--0.380051999999992</f>
        <v>1255.7330680000002</v>
      </c>
      <c r="K139" s="3">
        <f>1511.9+(326.7-434.5)+(-1.542138+(-0.333234--0.44319))+0-185.2--0.18890400000003</f>
        <v>1217.6567220000002</v>
      </c>
      <c r="L139" s="3">
        <f>1518.4+(282-451.6)+(-1.548768+(-0.28764--0.460632))+0-181.5--0.185130000000029</f>
        <v>1166.1093540000002</v>
      </c>
      <c r="M139" s="3">
        <f>1517.4+(250.2-401.5)+(0.773874+(0.127602-0.204765))+0-186.7-0.0952169999999811</f>
        <v>1180.0014940000001</v>
      </c>
      <c r="N139" s="3">
        <f>1493.3+(286.6-334.6)+(0.761583+(0.146166-0.170646))+0-192.3-0.0980729999999805</f>
        <v>1253.63903</v>
      </c>
      <c r="O139" s="3">
        <f>1475.6+(347.5-301)+(-0.752556+(-0.177225--0.15351))+0-192.6--0.0982259999999805</f>
        <v>1328.8219550000001</v>
      </c>
      <c r="P139" s="3">
        <f>1462.1+(465.9-351.6)+(-1.491342+(-0.475218--0.358632))+0-189.6--0.19339200000003</f>
        <v>1385.3854640000002</v>
      </c>
      <c r="Q139" s="3">
        <f>1448.1+(594.4-420.7)+(2.215593+(0.909432-0.643671))+0-186.9-0.285957000000011</f>
        <v>1437.0953969999998</v>
      </c>
      <c r="R139" s="3">
        <f>1469+(715.7-548)+(-1.49838+(-0.730014--0.55896))+0-186.6--0.19033200000003</f>
        <v>1448.6208980000004</v>
      </c>
      <c r="S139" s="3">
        <f>1458.6+(799.3-610.3)+(-2.231658+(-1.222929--0.933759))+0-189.7--0.290241000000011</f>
        <v>1455.6694129999998</v>
      </c>
      <c r="T139" s="3">
        <f>1444.7+(819.1-622.3)+(-2.210391+(-1.253223--0.952119))+0-190.4--0.291312000000011</f>
        <v>1448.879817</v>
      </c>
      <c r="U139" s="3">
        <f>1441.1+(826-626.2)+(-1.469922+(-0.84252--0.638724))+0-185.8--0.18951600000003</f>
        <v>1453.615798</v>
      </c>
      <c r="V139" s="3">
        <f>1431.1+(750-549.9)+(-0.729861+(-0.3825--0.280449))+0-187.3--0.095522999999981</f>
        <v>1443.1636109999997</v>
      </c>
      <c r="W139" s="3">
        <f>1412+(525.7-345.6)+(-2.88048+(-1.072428--0.705024))+0-191.1--0.389843999999992</f>
        <v>1398.1419599999999</v>
      </c>
      <c r="X139" s="3">
        <f>1410.3+(311.2-217.5)+(-4.315518+(-0.952272--0.66555))+0-186.9--0.571914000000022</f>
        <v>1313.0696740000001</v>
      </c>
      <c r="Y139" s="3">
        <f>1417.4+(293-223.7)+(2.891496+(0.59772-0.456348))+0-183.9-0.375155999999992</f>
        <v>1305.4577119999999</v>
      </c>
      <c r="Z139" s="3">
        <f>1442.3+(474.7-308.9)+(2.942292+(0.968388-0.630156))+0-183.3-0.373931999999992</f>
        <v>1427.706592</v>
      </c>
      <c r="AA139" s="3">
        <f>1458.3+(556.4-374.7)+(-2.974932+(-1.135056--0.764388))+0-188.6--0.384743999999992</f>
        <v>1448.4391439999999</v>
      </c>
      <c r="AB139" s="3">
        <f>1454.5+(635.4-460.7)+(0+(0-0))+0-185.7-0</f>
        <v>1443.5</v>
      </c>
      <c r="AC139" s="3">
        <f>1462.6+(630.7-488)+(-1.491852+(-0.643314--0.49776))+0-185--0.18870000000003</f>
        <v>1418.8512939999998</v>
      </c>
      <c r="AD139" s="2">
        <v>1448.1</v>
      </c>
      <c r="AE139" s="3">
        <f>1447+(561.3-363.6)+(0+(0-0))+0-184.6-0</f>
        <v>1460.1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1467.7+(585.8-509.9)+(0+(0-0))+0-185.2-0</f>
        <v>1358.3999999999999</v>
      </c>
      <c r="G140" s="3">
        <f>1488.2+(478.1-474.2)+(0+(0-0))+0-187.5-0</f>
        <v>1304.6000000000001</v>
      </c>
      <c r="H140" s="3">
        <f>1498.9+(485-540)+(1.528878+(0.4947-0.5508))+0-185.8-0.18951600000003</f>
        <v>1259.3832620000001</v>
      </c>
      <c r="I140" s="3">
        <f>1510.4+(412.2-492.1)+(-1.540608+(-0.420444--0.501942))+0-188.4--0.19216800000003</f>
        <v>1240.8330579999999</v>
      </c>
      <c r="J140" s="3">
        <f>1519.3+(370.2-461.3)+(-3.874215+(-0.94401--1.176315))+0-189.9--0.484244999999972</f>
        <v>1235.1423349999995</v>
      </c>
      <c r="K140" s="3">
        <f>1531.4+(313.8-456.3)+(-3.90507+(-0.80019--1.163565))+0-188--0.479399999999973</f>
        <v>1197.8377050000001</v>
      </c>
      <c r="L140" s="3">
        <f>1532.1+(243.2-437.9)+(-0.781371+(-0.124032--0.223329))+0-184.1--0.0938909999999813</f>
        <v>1152.7118169999999</v>
      </c>
      <c r="M140" s="3">
        <f>1521.4+(246.4-427.8)+(2.327742+(0.376992-0.654534))+0-182.9-0.279837000000011</f>
        <v>1158.8703629999998</v>
      </c>
      <c r="N140" s="3">
        <f>1506.8+(291.3-384.7)+(3.073872+(0.594252-0.784788))+0-186.9-0.381275999999992</f>
        <v>1229.00206</v>
      </c>
      <c r="O140" s="3">
        <f>1488.8+(319-314.7)+(0+(0-0))+0-178.3-0</f>
        <v>1314.8</v>
      </c>
      <c r="P140" s="3">
        <f>1473.2+(382.9-292.5)+(2.253996+(0.585837-0.447525))+0-179.4-0.27448200000001</f>
        <v>1386.3178259999997</v>
      </c>
      <c r="Q140" s="3">
        <f>1461.1+(504.2-347.8)+(0+(0-0))+0-179.1-0</f>
        <v>1438.4</v>
      </c>
      <c r="R140" s="3">
        <f>1446.5+(702.3-507.2)+(-0.737715+(-0.358173--0.258672))+0-182.3--0.0929729999999815</f>
        <v>1458.5557570000001</v>
      </c>
      <c r="S140" s="3">
        <f>1455.2+(766-574.9)+(-2.226456+(-1.17198--0.879597))+0-187.1--0.286263000000011</f>
        <v>1456.9674240000002</v>
      </c>
      <c r="T140" s="3">
        <f>1449.8+(823.6-623.8)+(0+(0-0))+0-182.3-0</f>
        <v>1467.3</v>
      </c>
      <c r="U140" s="3">
        <f>1440.1+(842.2-637.6)+(-1.468902+(-0.859044--0.650352))+0-181.5--0.185130000000029</f>
        <v>1461.7075359999999</v>
      </c>
      <c r="V140" s="3">
        <f>1424.7+(744.1-529.4)+(-3.632985+(-1.897455--1.34997))+0-186.2--0.474809999999973</f>
        <v>1449.49434</v>
      </c>
      <c r="W140" s="3">
        <f>1410.3+(514.8-332.4)+(0+(0-0))+0-181.4-0</f>
        <v>1411.2999999999997</v>
      </c>
      <c r="X140" s="3">
        <f>1417.7+(291.6-204.6)+(-2.892108+(-0.594864--0.417384))+0-183.4--0.374135999999992</f>
        <v>1318.6045479999998</v>
      </c>
      <c r="Y140" s="3">
        <f>1429.3+(292.3-234.7)+(0+(0-0))+0-180.2-0</f>
        <v>1306.7</v>
      </c>
      <c r="Z140" s="3">
        <f>1449.3+(522.3-368.8)+(-0.739143+(-0.266373--0.188088))+0-180.5--0.0920549999999817</f>
        <v>1421.574627</v>
      </c>
      <c r="AA140" s="3">
        <f>1466.9+(602.5-448.8)+(-4.488714+(-1.84365--1.373328))+0-186.1--0.569466000000021</f>
        <v>1430.1104300000002</v>
      </c>
      <c r="AB140" s="3">
        <f>1470.5+(649.8-508.1)+(1.49991+(0.662796-0.518262))+0-185.3-0.18900600000003</f>
        <v>1428.3554379999998</v>
      </c>
      <c r="AC140" s="3">
        <f>1473+(613.6-481.9)+(0+(0-0))+0-188.5-0</f>
        <v>1416.2</v>
      </c>
      <c r="AD140" s="2">
        <v>1449.1</v>
      </c>
      <c r="AE140" s="3">
        <f>1451+(590.5-403)+(0+(0-0))+0-179.4-0</f>
        <v>1459.1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1493.9+(565.6-511.9)+(2.285667+(0.865368-0.783207))+0-187.5-0.286875000000011</f>
        <v>1362.180953</v>
      </c>
      <c r="G141" s="3">
        <f>1498.9+(539.7-538.4)+(-2.293317+(-0.825741--0.823752))+0-186.1--0.284733000000011</f>
        <v>1312.0894270000003</v>
      </c>
      <c r="H141" s="3">
        <f>1496.5+(460.8-500.1)+(0+(0-0))+0-185.2-0</f>
        <v>1272</v>
      </c>
      <c r="I141" s="3">
        <f>1504+(421.1-482.7)+(-0.76704+(-0.214761--0.246177))+0-183.7--0.0936869999999814</f>
        <v>1258.0580630000002</v>
      </c>
      <c r="J141" s="3">
        <f>1506.8+(383.4-449.7)+(2.305404+(0.586602-0.688041))+0-184.4-0.282132000000011</f>
        <v>1258.0218329999998</v>
      </c>
      <c r="K141" s="3">
        <f>1519.7+(358.5-477.6)+(-3.875235+(-0.914175--1.21788))+0-182--0.464099999999974</f>
        <v>1215.4925699999999</v>
      </c>
      <c r="L141" s="3">
        <f>1518.3+(276.3-439.2)+(-3.871665+(-0.704565--1.11996))+0-181.1--0.461804999999974</f>
        <v>1171.3055350000002</v>
      </c>
      <c r="M141" s="3">
        <f>1508.1+(276.1-402.3)+(0+(0-0))+0-183.9-0</f>
        <v>1197.9999999999998</v>
      </c>
      <c r="N141" s="3">
        <f>1499.3+(296.4-348.3)+(2.293929+(0.453492-0.532899))+0-182.6-0.279378000000011</f>
        <v>1266.735144</v>
      </c>
      <c r="O141" s="3">
        <f>1486.4+(331.1-309.9)+(3.79032+(0.844305-0.790245))+0-182.6-0.465629999999974</f>
        <v>1328.3787500000003</v>
      </c>
      <c r="P141" s="3">
        <f>1466.7+(452.2-344.6)+(2.244051+(0.691866-0.527238))+0-185.7-0.284121000000011</f>
        <v>1390.7245579999999</v>
      </c>
      <c r="Q141" s="3">
        <f>1453.4+(586.1-409.3)+(0.741234+(0.298911-0.208743))+0-186.3-0.0950129999999811</f>
        <v>1444.6363890000002</v>
      </c>
      <c r="R141" s="3">
        <f>1452.5+(679.3-488.9)+(-0.740775+(-0.346443--0.249339))+0-186.9--0.095318999999981</f>
        <v>1455.2574400000001</v>
      </c>
      <c r="S141" s="3">
        <f>1451.3+(768.1-578.5)+(0+(0-0))+0-184.3-0</f>
        <v>1456.6000000000001</v>
      </c>
      <c r="T141" s="3">
        <f>1448.4+(815.5-610.4)+(-2.216052+(-1.247715--0.933912))+0-187.5--0.286875000000011</f>
        <v>1463.75702</v>
      </c>
      <c r="U141" s="3">
        <f>1437+(779.6-584.6)+(1.46574+(0.795192-0.596292))+0-182.8-0.186456000000029</f>
        <v>1450.6781839999999</v>
      </c>
      <c r="V141" s="3">
        <f>1418.7+(716.7-506.3)+(0.723537+(0.365517-0.258213))+0-177.2-0.090371999999982</f>
        <v>1452.6404690000002</v>
      </c>
      <c r="W141" s="3">
        <f>1407.5+(503.4-327.8)+(0.717825+(0.256734-0.167178))+0-182.8-0.0932279999999815</f>
        <v>1401.0141530000001</v>
      </c>
      <c r="X141" s="3">
        <f>1409.4+(311.6-212.9)+(1.437588+(0.317832-0.217158))+0-190.9-0.19471800000003</f>
        <v>1318.5435440000001</v>
      </c>
      <c r="Y141" s="3">
        <f>1415.1+(308.8-226.8)+(2.165103+(0.472464-0.347004))+0-189.6-0.290088000000011</f>
        <v>1309.5004750000001</v>
      </c>
      <c r="Z141" s="3">
        <f>1434.2+(596.2-416.6)+(0+(0-0))+0-176.7-0</f>
        <v>1437.1000000000001</v>
      </c>
      <c r="AA141" s="3">
        <f>1466.4+(717.8-557.3)+(-1.495728+(-0.732156--0.568446))+0-177.9--0.181458000000028</f>
        <v>1447.5220200000001</v>
      </c>
      <c r="AB141" s="3">
        <f>1421.3+(714.2-556.3)+(0.724863+(0.364242-0.283713))+0-180.8-0.0922079999999817</f>
        <v>1399.113184</v>
      </c>
      <c r="AC141" s="3">
        <f>1401.6+(697.6-539.2)+(-0.714816+(-0.355776--0.274992))+0-182.1--0.0928709999999815</f>
        <v>1377.1972710000002</v>
      </c>
      <c r="AD141" s="2">
        <v>1419.4999999999998</v>
      </c>
      <c r="AE141" s="3">
        <f>1452+(746.6-594.7)+(0+(0-0))+0-174.4-0</f>
        <v>1429.5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1448.6+(601.6-489.8)+(0+(0-0))+0-185.1-0</f>
        <v>1375.3</v>
      </c>
      <c r="G142" s="3">
        <f>1468.3+(581.1-531.7)+(-2.246499+(-0.889083--0.813501))+0-189.3--0.289629000000011</f>
        <v>1326.3675479999999</v>
      </c>
      <c r="H142" s="3">
        <f>1479.5+(564.5-553.1)+(-1.50909+(-0.57579--0.564162))+0-191.8--0.195636000000031</f>
        <v>1297.7749180000001</v>
      </c>
      <c r="I142" s="3">
        <f>1487.2+(560.4-574.5)+(-2.275416+(-0.857412--0.878985))+0-190.3--0.291159000000011</f>
        <v>1280.8373160000001</v>
      </c>
      <c r="J142" s="3">
        <f>1466.8+(546.8-551)+(2.244204+(0.836604-0.84303))+0-190.7-0.291771000000011</f>
        <v>1273.8460069999999</v>
      </c>
      <c r="K142" s="3">
        <f>1461.2+(444.7-489.2)+(-1.490424+(-0.453594--0.498984))+0-191.8--0.195636000000031</f>
        <v>1223.6506019999999</v>
      </c>
      <c r="L142" s="3">
        <f>1465+(393-511.7)+(0+(0-0))+0-188.1-0</f>
        <v>1158.2</v>
      </c>
      <c r="M142" s="3">
        <f>1467.5+(388.2-508.7)+(1.49685+(0.395964-0.518874))+0-186.8-0.19053600000003</f>
        <v>1161.3834039999999</v>
      </c>
      <c r="N142" s="3">
        <f>1464.8+(397.1-459.2)+(1.494096+(0.405042-0.468384))+0-183-0.186660000000029</f>
        <v>1220.944094</v>
      </c>
      <c r="O142" s="3">
        <f>1464.2+(410.1-373.3)+(1.493484+(0.418302-0.380766))+0-182.8-0.186456000000029</f>
        <v>1319.5445639999998</v>
      </c>
      <c r="P142" s="3">
        <f>1450.8+(488.9-364.4)+(3.69954+(1.246695-0.92922))+0-179.2-0.456959999999974</f>
        <v>1399.6600549999998</v>
      </c>
      <c r="Q142" s="3">
        <f>1433.4+(603.9-411.6)+(2.193102+(0.923967-0.629748))+0-183.7-0.281061000000011</f>
        <v>1444.2062600000002</v>
      </c>
      <c r="R142" s="3">
        <f>1422.5+(803.2-593.4)+(0+(0-0))+0-181.3-0</f>
        <v>1451.0000000000002</v>
      </c>
      <c r="S142" s="3">
        <f>1415.1+(868.8-645)+(0.721701+(0.443088-0.32895))+0-182.7-0.0931769999999815</f>
        <v>1456.9426619999999</v>
      </c>
      <c r="T142" s="3">
        <f>1408.3+(949.4-710.4)+(-2.872932+(-1.936776--1.449216))+0-177--0.361079999999992</f>
        <v>1467.3005879999998</v>
      </c>
      <c r="U142" s="3">
        <f>1393.7+(868.3-636.3)+(-2.132361+(-1.328499--0.973539))+0-167.9--0.25688700000001</f>
        <v>1455.5695659999999</v>
      </c>
      <c r="V142" s="3">
        <f>1392.3+(789.8-541.3)+(0+(0-0))+0-182.7-0</f>
        <v>1458.1</v>
      </c>
      <c r="W142" s="3">
        <f>1391.3+(560.3-359.7)+(0+(0-0))+0-188.6-0</f>
        <v>1403.3</v>
      </c>
      <c r="X142" s="3">
        <f>1395.6+(331.9-232.4)+(-1.423512+(-0.338538--0.237048))+0-184.1--0.187782000000029</f>
        <v>1309.6627799999999</v>
      </c>
      <c r="Y142" s="3">
        <f>1408.1+(325.2-244)+(2.154393+(0.497556-0.37332))+0-176.5-0.27004500000001</f>
        <v>1314.8085839999999</v>
      </c>
      <c r="Z142" s="3">
        <f>1432.9+(563.8-384.9)+(0+(0-0))+0-175.3-0</f>
        <v>1436.5000000000002</v>
      </c>
      <c r="AA142" s="3">
        <f>1445.6+(631.3-449.8)+(-2.211768+(-0.965889--0.688194))+0-179.6--0.27478800000001</f>
        <v>1445.2853250000001</v>
      </c>
      <c r="AB142" s="3">
        <f>1463.2+(619.1-466.3)+(-1.492464+(-0.631482--0.475626))+0-179.2--0.182784000000029</f>
        <v>1435.334464</v>
      </c>
      <c r="AC142" s="3">
        <f>1471+(626.9-517.2)+(0.75021+(0.319719-0.263772))+0-170.7-0.0870569999999827</f>
        <v>1410.7190999999998</v>
      </c>
      <c r="AD142" s="2">
        <v>1440.7</v>
      </c>
      <c r="AE142" s="3">
        <f>1429+(649.6-453.1)+(0+(0-0))+0-174.8-0</f>
        <v>1450.7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1478.5+(660.4-592.4)+(0.754035+(0.336804-0.302124))+0-185.7-0.0947069999999812</f>
        <v>1361.4940079999999</v>
      </c>
      <c r="G143" s="3">
        <f>1426.4+(685.4-607.5)+(-0.727464+(-0.349554--0.309825))+0-187.9--0.0958289999999809</f>
        <v>1315.7286360000003</v>
      </c>
      <c r="H143" s="3">
        <f>1400.9+(620.6-560.1)+(2.857836+(1.266024-1.142604))+0-187.3-0.382091999999992</f>
        <v>1276.6991640000001</v>
      </c>
      <c r="I143" s="3">
        <f>1409+(548.9-508.7)+(-3.59295+(-1.399695--1.297185))+0-183.5--0.467924999999973</f>
        <v>1262.4724650000001</v>
      </c>
      <c r="J143" s="3">
        <f>1418.4+(488.4-482)+(-2.170152+(-0.747252--0.73746))+0-170.5--0.26086500000001</f>
        <v>1252.3809210000002</v>
      </c>
      <c r="K143" s="3">
        <f>1421.9+(397.5-429.9)+(-2.175507+(-0.608175--0.657747))+0-169.5--0.25933500000001</f>
        <v>1218.1333999999999</v>
      </c>
      <c r="L143" s="3">
        <f>1422.8+(380.9-480.9)+(-2.902512+(-0.777036--0.981036))+0-167--0.340679999999993</f>
        <v>1153.442168</v>
      </c>
      <c r="M143" s="3">
        <f>1416.6+(372.7-443.2)+(0+(0-0))+0-167.2-0</f>
        <v>1178.8999999999999</v>
      </c>
      <c r="N143" s="3">
        <f>1405+(423-422.6)+(1.4331+(0.43146-0.431052))+0-171.9-0.175338000000027</f>
        <v>1234.7581700000001</v>
      </c>
      <c r="O143" s="3">
        <f>1401.5+(477-381.8)+(0.714765+(0.24327-0.194718))+0-173.2-0.0883319999999824</f>
        <v>1324.1749849999999</v>
      </c>
      <c r="P143" s="3">
        <f>1378+(458.3-271.5)+(1.40556+(0.467466-0.27693))+0-180.1-0.183702000000029</f>
        <v>1386.112394</v>
      </c>
      <c r="Q143" s="3">
        <f>1369.9+(620.6-364.7)+(1.397298+(0.633012-0.371994))+0-189.6-0.19339200000003</f>
        <v>1437.6649240000002</v>
      </c>
      <c r="R143" s="3">
        <f>1374.6+(758.3-484.3)+(0.701046+(0.386733-0.246993))+0-189.1-0.0964409999999808</f>
        <v>1460.2443450000001</v>
      </c>
      <c r="S143" s="3">
        <f>1369.5+(869.3-585.3)+(-0.698445+(-0.443343--0.298503))+0-188.7--0.0962369999999809</f>
        <v>1464.052952</v>
      </c>
      <c r="T143" s="3">
        <f>1358+(932.6-627)+(0.69258+(0.475626-0.31977))+0-195.6-0.0997559999999802</f>
        <v>1468.7486799999999</v>
      </c>
      <c r="U143" s="3">
        <f>1353+(916.4-620.1)+(-0.69003+(-0.467364--0.316251))+0-195--0.0994499999999802</f>
        <v>1453.5583069999998</v>
      </c>
      <c r="V143" s="3">
        <f>1341.2+(810.6-543.8)+(0.684012+(0.413406-0.277338))+0-194.8-0.0993479999999802</f>
        <v>1413.920732</v>
      </c>
      <c r="W143" s="3">
        <f>1321.8+(595.8-368.1)+(-0.674118+(-0.303858--0.187731))+0-190.3--0.0970529999999807</f>
        <v>1358.5068080000001</v>
      </c>
      <c r="X143" s="3">
        <f>1327.4+(352.5-189.5)+(-2.030922+(-0.539325--0.289935))+0-198.3--0.303399000000011</f>
        <v>1290.1230869999999</v>
      </c>
      <c r="Y143" s="3">
        <f>1352.1+(431.9-282)+(-3.447855+(-1.101345--0.7191))+0-198.7--0.506684999999971</f>
        <v>1299.9765850000001</v>
      </c>
      <c r="Z143" s="3">
        <f>1360.3+(679.6-440.8)+(0+(0-0))+0-193.7-0</f>
        <v>1405.3999999999999</v>
      </c>
      <c r="AA143" s="3">
        <f>1368.3+(735.9-497.2)+(-4.884831+(-2.627163--1.775004))+0-190.9--0.681513000000003</f>
        <v>1411.0445229999998</v>
      </c>
      <c r="AB143" s="3">
        <f>1370.3+(705.5-491.6)+(0+(0-0))+0-181.5-0</f>
        <v>1402.6999999999998</v>
      </c>
      <c r="AC143" s="3">
        <f>1379.7+(653-491.3)+(0.703647+(0.33303-0.250563))+0-171.6-0.0875159999999826</f>
        <v>1370.4985980000001</v>
      </c>
      <c r="AD143" s="2">
        <v>1469.1999999999998</v>
      </c>
      <c r="AE143" s="3">
        <f>1366+(759.2-456.2)+(0+(0-0))+0-189.8-0</f>
        <v>1479.2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1382+(605.7-483.8)+(2.81928+(1.235628-0.986952))+0-166.5-0.339659999999993</f>
        <v>1340.1282960000001</v>
      </c>
      <c r="G144" s="3">
        <f>1391.1+(560-481.2)+(1.418922+(0.5712-0.490824))+0-169-0.172380000000027</f>
        <v>1302.2269179999998</v>
      </c>
      <c r="H144" s="3">
        <f>1397.6+(515.3-485.6)+(-1.425552+(-0.525606--0.495312))+0-165.5--0.168810000000026</f>
        <v>1260.5129639999998</v>
      </c>
      <c r="I144" s="3">
        <f>1400.1+(504.6-491.8)+(-0.714051+(-0.257346--0.250818))+0-171.1--0.0872609999999826</f>
        <v>1241.1666819999998</v>
      </c>
      <c r="J144" s="3">
        <f>1410.8+(443.6-440.7)+(-2.878032+(-0.904944--0.899028))+0-173.1--0.353123999999992</f>
        <v>1238.0691760000002</v>
      </c>
      <c r="K144" s="3">
        <f>1419.7+(435.4-500.4)+(-1.448094+(-0.444108--0.510408))+0-170.5--0.173910000000027</f>
        <v>1182.9921160000001</v>
      </c>
      <c r="L144" s="3">
        <f>1418.5+(369.8-474.5)+(-1.44687+(-0.377196--0.48399))+0-171.3--0.174726000000027</f>
        <v>1141.33465</v>
      </c>
      <c r="M144" s="3">
        <f>1356+(496.6-549.3)+(0+(0-0))+0-175.5-0</f>
        <v>1127.8000000000002</v>
      </c>
      <c r="N144" s="3">
        <f>1342.4+(550.5-539.9)+(0+(0-0))+0-179.7-0</f>
        <v>1173.3</v>
      </c>
      <c r="O144" s="3">
        <f>1329.5+(563.8-472.9)+(-0.678045+(-0.287538--0.241179))+0-185.8--0.0947579999999812</f>
        <v>1233.970354</v>
      </c>
      <c r="P144" s="3">
        <f>1316.7+(610.4-445.9)+(0.671517+(0.311304-0.227409))+0-187.3-0.095522999999981</f>
        <v>1294.5598890000001</v>
      </c>
      <c r="Q144" s="3">
        <f>1303.7+(654.5-436.4)+(1.329774+(0.66759-0.445128))+0-188.9-0.19267800000003</f>
        <v>1334.259558</v>
      </c>
      <c r="R144" s="3">
        <f>1336.3+(680.6-482.5)+(0.681513+(0.347106-0.246075))+0-189.4-0.0965939999999808</f>
        <v>1345.68595</v>
      </c>
      <c r="S144" s="3">
        <f>1328.5+(777-546)+(2.032605+(1.18881-0.83538))+0-192.4-0.294372000000011</f>
        <v>1369.1916629999998</v>
      </c>
      <c r="T144" s="3">
        <f>1324.1+(845.9-595.5)+(-1.350582+(-0.862818--0.60741))+0-191.8--0.195636000000031</f>
        <v>1381.2896459999999</v>
      </c>
      <c r="U144" s="3">
        <f>1317.1+(834.1-590.9)+(1.343442+(0.850782-0.602718))+0-188-0.19176000000003</f>
        <v>1373.699746</v>
      </c>
      <c r="V144" s="3">
        <f>1256.2+(867.3-538.9)+(0.640662+(0.442323-0.274839))+0-188.1-0.0959309999999809</f>
        <v>1397.212215</v>
      </c>
      <c r="W144" s="3">
        <f>1239+(687.1-370.1)+(-1.26378+(-0.700842--0.377502))+0-192.9--0.196758000000031</f>
        <v>1361.709638</v>
      </c>
      <c r="X144" s="3">
        <f>1258.4+(444.2-222.8)+(-2.567136+(-0.906168--0.454512))+0-190.5--0.388619999999992</f>
        <v>1286.6698280000001</v>
      </c>
      <c r="Y144" s="3">
        <f>1348.8+(391.1-272.2)+(-0.687888+(-0.199461--0.138822))+0-190.6--0.0972059999999807</f>
        <v>1276.4486790000001</v>
      </c>
      <c r="Z144" s="3">
        <f>1399.8+(668.5-481.6)+(0+(0-0))+0-188.1-0</f>
        <v>1398.6</v>
      </c>
      <c r="AA144" s="3">
        <f>1406.5+(734.6-523.1)+(-2.86926+(-1.498584--1.067124))+0-192--0.391679999999992</f>
        <v>1423.09096</v>
      </c>
      <c r="AB144" s="3">
        <f>1411.9+(786.6-583.8)+(-0.720069+(-0.401166--0.297738))+0-192.7--0.0982769999999804</f>
        <v>1421.2747800000002</v>
      </c>
      <c r="AC144" s="3">
        <f>1429.6+(761.9-592.2)+(-0.729096+(-0.388569--0.302022))+0-191.4--0.0976139999999806</f>
        <v>1407.1819709999997</v>
      </c>
      <c r="AD144" s="2">
        <v>1399.8000000000002</v>
      </c>
      <c r="AE144" s="3">
        <f>1394+(717.9-512)+(0+(0-0))+0-190.1-0</f>
        <v>1409.8000000000002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1446+(701.8-602.2)+(-2.21238+(-1.073754--0.921366))+0-187.7--0.287181000000011</f>
        <v>1355.8224129999999</v>
      </c>
      <c r="G145" s="3">
        <f>1451.3+(650.4-608.3)+(-2.960652+(-1.326816--1.240932))+0-189.5--0.386579999999992</f>
        <v>1301.2400440000001</v>
      </c>
      <c r="H145" s="3">
        <f>1457.6+(579.8-570)+(-3.71688+(-1.47849--1.4535))+0-190.6--0.486029999999972</f>
        <v>1273.5441599999999</v>
      </c>
      <c r="I145" s="3">
        <f>1457.9+(529.7-538.4)+(-2.230587+(-0.810441--0.823752))+0-189.2--0.289476000000011</f>
        <v>1258.0722000000001</v>
      </c>
      <c r="J145" s="3">
        <f>1459+(439.1-447.4)+(-2.23227+(-0.671823--0.684522))+0-185.9--0.284427000000011</f>
        <v>1262.8648559999999</v>
      </c>
      <c r="K145" s="3">
        <f>1454.9+(370.1-408.5)+(-3.709995+(-0.943755--1.041675))+0-190.9--0.486794999999972</f>
        <v>1222.4747199999999</v>
      </c>
      <c r="L145" s="3">
        <f>1461.5+(349.7-446)+(-0.745365+(-0.178347--0.22746))+0-187.3--0.095522999999981</f>
        <v>1177.2992710000001</v>
      </c>
      <c r="M145" s="3">
        <f>1464.3+(343.1-415.5)+(0.746793+(0.174981-0.211905))+0-191.1-0.0974609999999806</f>
        <v>1201.4124080000001</v>
      </c>
      <c r="N145" s="3">
        <f>1453.1+(382.6-369.9)+(1.482162+(0.390252-0.377298))+0-194.6-0.198492000000031</f>
        <v>1272.4966240000001</v>
      </c>
      <c r="O145" s="3">
        <f>1414.9+(443.6-316.5)+(1.443198+(0.452472-0.32283))+0-187.7-0.19145400000003</f>
        <v>1355.681386</v>
      </c>
      <c r="P145" s="3">
        <f>1411.6+(589.2-405.8)+(0.719916+(0.300492-0.206958))+0-184.8-0.0942479999999813</f>
        <v>1410.9192020000003</v>
      </c>
      <c r="Q145" s="3">
        <f>1413.1+(689.9-437.9)+(0+(0-0))+0-184.6-0</f>
        <v>1480.5</v>
      </c>
      <c r="R145" s="3">
        <f>1426.4+(741.5-492.6)+(0+(0-0))+25-187-0</f>
        <v>1513.3000000000002</v>
      </c>
      <c r="S145" s="3">
        <f>1422.1+(777.3-542.1)+(-2.175813+(-1.189269--0.829413))+25-187.1--0.286263000000011</f>
        <v>1492.9505939999997</v>
      </c>
      <c r="T145" s="3">
        <f>1417.7+(855.7-598.7)+(-2.892108+(-1.745628--1.221348))+25-190.2--0.388007999999992</f>
        <v>1506.4716199999998</v>
      </c>
      <c r="U145" s="3">
        <f>1411.4+(841.6-600.9)+(-0.719814+(-0.429216--0.306459))+25-187.6--0.095675999999981</f>
        <v>1488.7531050000002</v>
      </c>
      <c r="V145" s="3">
        <f>1399.5+(771.2-505.4)+(-2.141235+(-1.179936--0.773262))+32.4-190.1--0.290853000000011</f>
        <v>1505.3429440000004</v>
      </c>
      <c r="W145" s="3">
        <f>1370.1+(628-374.1)+(-0.698751+(-0.32028--0.190791))+12-192--0.0979199999999805</f>
        <v>1443.2696799999999</v>
      </c>
      <c r="X145" s="3">
        <f>1370.7+(423-231.2)+(-0.699057+(-0.21573--0.117912))+12-194.8--0.0993479999999802</f>
        <v>1379.002473</v>
      </c>
      <c r="Y145" s="3">
        <f>1386.3+(456.2-287.9)+(0.707013+(0.232662-0.146829))+12-190.8-0.0973079999999806</f>
        <v>1376.4955380000001</v>
      </c>
      <c r="Z145" s="3">
        <f>1422.7+(717.7-486.8)+(-1.451154+(-0.732054--0.496536))+12-186.1--0.18982200000003</f>
        <v>1478.0031500000002</v>
      </c>
      <c r="AA145" s="3">
        <f>1435.6+(745.1-515.2)+(-2.196468+(-1.140003--0.788256))+4.4-188.5--0.288405000000011</f>
        <v>1479.1401900000001</v>
      </c>
      <c r="AB145" s="3">
        <f>1433.3+(774.4-539.9)+(-0.730983+(-0.394944--0.275349))+0-189.7--0.0967469999999808</f>
        <v>1477.3461689999999</v>
      </c>
      <c r="AC145" s="3">
        <f>1427.5+(742.7-536.8)+(0+(0-0))+0-188-0</f>
        <v>1445.4</v>
      </c>
      <c r="AD145" s="2">
        <v>1425.8999999999999</v>
      </c>
      <c r="AE145" s="3">
        <f>1424+(739.2-550.3)+(0+(0-0))+0-179-0</f>
        <v>1433.9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1438.3+(666-514.8)+(-1.467066+(-0.67932--0.525096))+0-192.7--0.196554000000031</f>
        <v>1395.375264</v>
      </c>
      <c r="G146" s="3">
        <f>1456.3+(623.7-538.2)+(-4.456278+(-1.908522--1.646892))+0-192.1--0.587826000000022</f>
        <v>1345.5699179999999</v>
      </c>
      <c r="H146" s="3">
        <f>1451+(574.5-509.2)+(-1.48002+(-0.58599--0.519384))+0-190.1--0.19390200000003</f>
        <v>1324.847276</v>
      </c>
      <c r="I146" s="3">
        <f>1458+(534.8-497.7)+(1.48716+(0.545496-0.507654))+0-190.1-0.19390200000003</f>
        <v>1306.3311000000001</v>
      </c>
      <c r="J146" s="3">
        <f>1470+(489.5-464.2)+(-2.9988+(-0.99858--0.946968))+0-189.4--0.386375999999992</f>
        <v>1303.2359639999997</v>
      </c>
      <c r="K146" s="3">
        <f>1479.6+(392.8-435.9)+(-0.754596+(-0.200328--0.222309))+0-190.6--0.0972059999999807</f>
        <v>1245.2645910000001</v>
      </c>
      <c r="L146" s="3">
        <f>1485.2+(419.1-518.8)+(0+(0-0))+6.2-190.9-0</f>
        <v>1200.8</v>
      </c>
      <c r="M146" s="3">
        <f>1493.5+(391.7-496.8)+(1.52337+(0.399534-0.506736))+10-191.7-0.195534000000031</f>
        <v>1207.9206340000001</v>
      </c>
      <c r="N146" s="3">
        <f>1475.1+(395.8-416.7)+(3.009204+(0.807432-0.850068))+2.3-191.5-0.390659999999992</f>
        <v>1267.5759079999998</v>
      </c>
      <c r="O146" s="3">
        <f>1453.5+(388.4-296.6)+(2.223855+(0.594252-0.453798))+0-192.6-0.294678000000011</f>
        <v>1354.7696310000001</v>
      </c>
      <c r="P146" s="3">
        <f>1435.8+(513.1-321.7)+(1.464516+(0.523362-0.328134))+0-197.5-0.201450000000031</f>
        <v>1431.1582940000001</v>
      </c>
      <c r="Q146" s="3">
        <f>1422.2+(663.9-409.3)+(0.725322+(0.338589-0.208743))+0-197.5-0.10072499999998</f>
        <v>1480.054443</v>
      </c>
      <c r="R146" s="3">
        <f>1428.9+(769.9-477.2)+(-0.728739+(-0.392649--0.243372))+0-196.1--0.10001099999998</f>
        <v>1524.7219950000003</v>
      </c>
      <c r="S146" s="3">
        <f>1420.5+(860.7-569)+(0+(0-0))+0-197.1-0</f>
        <v>1515.1000000000001</v>
      </c>
      <c r="T146" s="3">
        <f>1413.1+(771.9-555.3)+(0+(0-0))+0-197.4-0</f>
        <v>1432.2999999999997</v>
      </c>
      <c r="U146" s="3">
        <f>1410.9+(494.8-472.7)+(-0.719559+(-0.252348--0.241077))+0-198.7--0.10133699999998</f>
        <v>1233.670507</v>
      </c>
      <c r="V146" s="3">
        <f>1393.2+(411-386.3)+(0+(0-0))+0-198.5-0</f>
        <v>1219.4000000000001</v>
      </c>
      <c r="W146" s="3">
        <f>1377.3+(286.2-219.2)+(-1.404846+(-0.291924--0.223584))+0-198--0.201960000000032</f>
        <v>1245.0287740000001</v>
      </c>
      <c r="X146" s="3">
        <f>1382.6+(256.1-217.1)+(-2.115378+(-0.391833--0.332163))+0-197.7--0.302481000000011</f>
        <v>1222.0274329999997</v>
      </c>
      <c r="Y146" s="3">
        <f>1394.7+(279.3-199.4)+(-0.711297+(-0.142443--0.101694))+0-195--0.0994499999999802</f>
        <v>1278.947404</v>
      </c>
      <c r="Z146" s="3">
        <f>1418.6+(514.4-334.8)+(-0.723486+(-0.262344--0.170748))+0-198.7--0.10133699999998</f>
        <v>1398.7862549999998</v>
      </c>
      <c r="AA146" s="3">
        <f>1456.2+(550.6-393.4)+(-2.970648+(-1.123224--0.802536))+0-199.1--0.406163999999991</f>
        <v>1411.4148280000002</v>
      </c>
      <c r="AB146" s="3">
        <f>1461+(592.5-441.6)+(-1.49022+(-0.60435--0.450432))+0-200.5--0.204510000000032</f>
        <v>1409.960372</v>
      </c>
      <c r="AC146" s="3">
        <f>1441.9+(614.1-466.7)+(1.470738+(0.626382-0.476034))+0-196.2-0.200124000000031</f>
        <v>1394.5209620000003</v>
      </c>
      <c r="AD146" s="2">
        <v>1399.7</v>
      </c>
      <c r="AE146" s="3">
        <f>1439+(557-393.7)+(0+(0-0))+0-195.6-0</f>
        <v>1406.7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1443.4+(587.7-504.9)+(1.472268+(0.599454-0.514998))+0-194.7-0.198594000000031</f>
        <v>1332.8581300000003</v>
      </c>
      <c r="G147" s="3">
        <f>1446.8+(563-521.9)+(0.737868+(0.28713-0.266169))+0-196.5-0.10021499999998</f>
        <v>1292.0586140000003</v>
      </c>
      <c r="H147" s="3">
        <f>1465.2+(543.4-562.3)+(0+(0-0))+0-195.2-0</f>
        <v>1251.1000000000001</v>
      </c>
      <c r="I147" s="3">
        <f>1482.1+(446.5-513.2)+(3.023484+(0.91086-1.046928))+0-192.6-0.392903999999992</f>
        <v>1225.2945119999999</v>
      </c>
      <c r="J147" s="3">
        <f>1489.9+(361.4-434.4)+(-0.759849+(-0.184314--0.221544))+0-188.5--0.0961349999999809</f>
        <v>1227.7735160000002</v>
      </c>
      <c r="K147" s="3">
        <f>1504.8+(317.2-434.4)+(-3.83724+(-0.80886--1.10772))+0-187.4--0.477869999999973</f>
        <v>1197.1394899999998</v>
      </c>
      <c r="L147" s="3">
        <f>1506.9+(281.7-460.6)+(-3.842595+(-0.718335--1.17453))+0-186.7--0.476084999999973</f>
        <v>1138.3896849999999</v>
      </c>
      <c r="M147" s="3">
        <f>1494.5+(308.4-449.5)+(2.286585+(0.471852-0.687735))+0-188.4-0.288252000000011</f>
        <v>1166.7824499999999</v>
      </c>
      <c r="N147" s="3">
        <f>1489.3+(317.6-382.8)+(0.759543+(0.161976-0.195228))+0-187.6-0.095675999999981</f>
        <v>1237.130615</v>
      </c>
      <c r="O147" s="3">
        <f>1474.3+(363.8-326.8)+(0.751893+(0.185538-0.166668))+0-188.4-0.0960839999999809</f>
        <v>1323.5746789999998</v>
      </c>
      <c r="P147" s="3">
        <f>1460.9+(451.6-352.4)+(2.235177+(0.690948-0.539172))+0-187.7-0.287181000000011</f>
        <v>1374.4997720000001</v>
      </c>
      <c r="Q147" s="3">
        <f>1445.6+(559.3-364.7)+(2.211768+(0.855729-0.557991))+0-186.9-0.285957000000011</f>
        <v>1455.5235489999998</v>
      </c>
      <c r="R147" s="3">
        <f>1443.3+(664.9-444.2)+(0+(0-0))+0-189.6-0</f>
        <v>1474.4</v>
      </c>
      <c r="S147" s="3">
        <f>1450.2+(692-464.6)+(-2.218806+(-1.05876--0.710838))+0-194.6--0.297738000000011</f>
        <v>1480.73101</v>
      </c>
      <c r="T147" s="3">
        <f>1441.5+(705.3-474.6)+(0.735165+(0.359703-0.242046))+0-194.8-0.0993479999999802</f>
        <v>1478.153474</v>
      </c>
      <c r="U147" s="3">
        <f>1432.4+(701.1-463.7)+(-0.730524+(-0.357561--0.236487))+0-194.5--0.0991949999999803</f>
        <v>1474.5475970000002</v>
      </c>
      <c r="V147" s="3">
        <f>1415.4+(637.8-387.5)+(-2.887416+(-1.301112--0.7905))+0-193.3--0.394331999999992</f>
        <v>1469.3963040000001</v>
      </c>
      <c r="W147" s="3">
        <f>1402.7+(466.9-284.9)+(-5.007639+(-1.666833--1.017093))+0-187.7--0.670089000000003</f>
        <v>1392.01271</v>
      </c>
      <c r="X147" s="3">
        <f>1407.4+(318.3-211.7)+(-1.435548+(-0.324666--0.215934))+0-182.2--0.185844000000029</f>
        <v>1330.441564</v>
      </c>
      <c r="Y147" s="3">
        <f>1408.6+(351.4-233)+(0.718386+(0.179214-0.11883))+0-185.6-0.0946559999999812</f>
        <v>1342.084114</v>
      </c>
      <c r="Z147" s="3">
        <f>1436.1+(623.3-424.7)+(1.464822+(0.635766-0.433194))+0-187.2-0.19094400000003</f>
        <v>1448.9764499999999</v>
      </c>
      <c r="AA147" s="3">
        <f>1447.4+(685.6-479.7)+(-2.952696+(-1.398624--0.978588))+0-192.7--0.393107999999992</f>
        <v>1457.6203760000001</v>
      </c>
      <c r="AB147" s="3">
        <f>1461.5+(616.2-448.8)+(-2.98146+(-1.257048--0.915552))+0-191.6--0.390863999999992</f>
        <v>1434.3679080000002</v>
      </c>
      <c r="AC147" s="3">
        <f>1467.5+(602.1-468.7)+(0.748425+(0.307071-0.239037))+0-187.7-0.095726999999981</f>
        <v>1413.920732</v>
      </c>
      <c r="AD147" s="2">
        <v>1437.9000000000003</v>
      </c>
      <c r="AE147" s="3">
        <f>1434+(671.8-465.1)+(0+(0-0))+0-195.8-0</f>
        <v>1444.8999999999999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1457.3+(619.3-531.5)+(0.743223+(0.315843-0.271065))+0-182.4-0.0930239999999815</f>
        <v>1363.3949769999997</v>
      </c>
      <c r="G148" s="3">
        <f>1474.3+(554.8-520.9)+(0+(0-0))+0-185.6-0</f>
        <v>1322.6</v>
      </c>
      <c r="H148" s="3">
        <f>1492.5+(475.6-504.5)+(-1.52235+(-0.485112--0.51459))+0-184.8--0.188496000000029</f>
        <v>1277.4956239999999</v>
      </c>
      <c r="I148" s="3">
        <f>1498.3+(440-489.5)+(0+(0-0))+0-188.3-0</f>
        <v>1260.5</v>
      </c>
      <c r="J148" s="3">
        <f>1508.7+(396.3-457.4)+(-2.308311+(-0.606339--0.699822))+0-182.3--0.278919000000011</f>
        <v>1263.3640910000004</v>
      </c>
      <c r="K148" s="3">
        <f>1512.4+(308.4-407.6)+(-4.627944+(-0.943704--1.247256))+0-186.6--0.570996000000022</f>
        <v>1222.8466040000001</v>
      </c>
      <c r="L148" s="3">
        <f>1517.9+(310.8-488.5)+(-1.548258+(-0.317016--0.49827))+0-181.9--0.185538000000029</f>
        <v>1157.118534</v>
      </c>
      <c r="M148" s="3">
        <f>1517.4+(313.2-478.7)+(0+(0-0))+0-184.4-0</f>
        <v>1167.5</v>
      </c>
      <c r="N148" s="3">
        <f>1506.1+(305.4-370.1)+(0+(0-0))+0-190.3-0</f>
        <v>1251.0999999999999</v>
      </c>
      <c r="O148" s="3">
        <f>1490.2+(315.6-277.3)+(1.520004+(0.321912-0.282846))+0-193.7-0.197574000000031</f>
        <v>1336.1614959999999</v>
      </c>
      <c r="P148" s="3">
        <f>1469.2+(397.6-293.6)+(1.498584+(0.405552-0.299472))+0-181.6-0.185232000000029</f>
        <v>1393.0194320000001</v>
      </c>
      <c r="Q148" s="3">
        <f>1465+(476.8-325.2)+(0+(0-0))+0-173.3-0</f>
        <v>1443.3</v>
      </c>
      <c r="R148" s="3">
        <f>1472.1+(583.9-421.8)+(0.750771+(0.297789-0.215118))+0-153.3-0.0781829999999845</f>
        <v>1481.6552589999999</v>
      </c>
      <c r="S148" s="3">
        <f>1466.2+(673.9-504.3)+(-2.243286+(-1.031067--0.771579))+0-152.5--0.233325000000009</f>
        <v>1481.0305509999998</v>
      </c>
      <c r="T148" s="3">
        <f>1458.1+(727.8-519.2)+(-0.743631+(-0.371178--0.264792))+0-167.3--0.085322999999983</f>
        <v>1498.6353059999999</v>
      </c>
      <c r="U148" s="3">
        <f>1452.3+(695.9-501)+(-2.222019+(-1.064727--0.76653))+0-181.2--0.27723600000001</f>
        <v>1463.7570199999998</v>
      </c>
      <c r="V148" s="3">
        <f>1441.1+(610.9-422.1)+(-2.204883+(-0.934677--0.645813))+0-185.2--0.283356000000011</f>
        <v>1442.4896089999997</v>
      </c>
      <c r="W148" s="3">
        <f>1403.9+(534.5-358.3)+(-3.579945+(-1.362975--0.913665))+0-189--0.481949999999973</f>
        <v>1387.5526950000001</v>
      </c>
      <c r="X148" s="3">
        <f>1401.8+(391.8-289)+(-5.004426+(-1.398726--1.03173))+0-188.1--0.671517000000003</f>
        <v>1311.8000950000001</v>
      </c>
      <c r="Y148" s="3">
        <f>1416.3+(434.7-339.7)+(0+(0-0))+0-185.6-0</f>
        <v>1325.7</v>
      </c>
      <c r="Z148" s="3">
        <f>1436.8+(739.1-530.6)+(0.732768+(0.376941-0.270606))+0-188.7-0.0962369999999809</f>
        <v>1457.342866</v>
      </c>
      <c r="AA148" s="3">
        <f>1448.1+(797.5-584.3)+(-4.431186+(-2.44035--1.787958))+0-194--0.593640000000022</f>
        <v>1462.810062</v>
      </c>
      <c r="AB148" s="3">
        <f>1448.9+(791.9-589.8)+(-4.433634+(-2.423214--1.804788))+0-194.2--0.594252000000022</f>
        <v>1452.3421920000001</v>
      </c>
      <c r="AC148" s="3">
        <f>1469.6+(753.2-620.3)+(1.498992+(0.768264-0.632706))+0-192.4-0.196248000000031</f>
        <v>1411.5383019999999</v>
      </c>
      <c r="AD148" s="2">
        <v>1476.3999999999999</v>
      </c>
      <c r="AE148" s="3">
        <f>1437+(813.2-575.3)+(0+(0-0))+0-190.5-0</f>
        <v>1484.4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1486.9+(699.1-639.3)+(0+(0-0))+0-192.7-0</f>
        <v>1354.0000000000002</v>
      </c>
      <c r="G149" s="3">
        <f>1489.4+(649.8-640.7)+(0.759594+(0.331398-0.326757))+0-190.9-0.0973589999999806</f>
        <v>1308.2668760000001</v>
      </c>
      <c r="H149" s="3">
        <f>1491.2+(578.9-606.5)+(0+(0-0))+0-193.9-0</f>
        <v>1269.6999999999998</v>
      </c>
      <c r="I149" s="3">
        <f>1507.5+(539-581)+(-1.53765+(-0.54978--0.59262))+0-194.4--0.198288000000031</f>
        <v>1269.803478</v>
      </c>
      <c r="J149" s="3">
        <f>1499+(519.3-579.1)+(3.82245+(1.324215-1.476705))+0-190-0.484499999999972</f>
        <v>1252.3854599999997</v>
      </c>
      <c r="K149" s="3">
        <f>1515.7+(403.3-513.9)+(-3.865035+(-1.028415--1.310445))+0-188.7--0.481184999999973</f>
        <v>1213.29818</v>
      </c>
      <c r="L149" s="3">
        <f>1524.5+(315.9-499.2)+(-4.66497+(-0.966654--1.527552))+0-188.8--0.577728000000022</f>
        <v>1148.873656</v>
      </c>
      <c r="M149" s="3">
        <f>1510.2+(340.9-493.4)+(2.310606+(0.521577-0.754902))+0-188.9-0.289017000000011</f>
        <v>1170.588264</v>
      </c>
      <c r="N149" s="3">
        <f>1506.1+(326.8-386.3)+(0.768111+(0.166668-0.197013))+0-192.5-0.0981749999999805</f>
        <v>1254.7395909999998</v>
      </c>
      <c r="O149" s="3">
        <f>1488.6+(375.2-354.8)+(0.759186+(0.191352-0.180948))+0-186.3-0.0950129999999811</f>
        <v>1323.3745770000003</v>
      </c>
      <c r="P149" s="3">
        <f>1462.7+(573.8-491)+(2.237931+(0.877914-0.75123))+0-193-0.295290000000011</f>
        <v>1354.5693249999999</v>
      </c>
      <c r="Q149" s="3">
        <f>1458+(618.1-444)+(0+(0-0))+0-195.3-0</f>
        <v>1436.8</v>
      </c>
      <c r="R149" s="3">
        <f>1473.3+(700.4-526.7)+(-1.502766+(-0.714408--0.537234))+0-184.9--0.188598000000029</f>
        <v>1460.6086579999999</v>
      </c>
      <c r="S149" s="3">
        <f>1465.4+(794.7-594.6)+(0+(0-0))+0-185.6-0</f>
        <v>1479.9</v>
      </c>
      <c r="T149" s="3">
        <f>1457.2+(875.6-656.6)+(-0.743172+(-0.446556--0.334866))+0-192.6--0.0982259999999805</f>
        <v>1482.8433640000003</v>
      </c>
      <c r="U149" s="3">
        <f>1449.3+(750-627)+(-1.478286+(-0.765--0.63954))+9.2-183--0.186660000000029</f>
        <v>1397.0829140000001</v>
      </c>
      <c r="V149" s="3">
        <f>1432.1+(707.8-548.4)+(-1.460742+(-0.721956--0.559368))+0-179.3--0.182886000000029</f>
        <v>1410.7595560000002</v>
      </c>
      <c r="W149" s="3">
        <f>1410.6+(481.9-395.1)+(-0.719406+(-0.245769--0.201501))+0-184.8--0.0942479999999813</f>
        <v>1311.9305739999998</v>
      </c>
      <c r="X149" s="3">
        <f>1408.4+(295.7-291)+(-2.873136+(-0.603228--0.59364))+0-191.2--0.390047999999992</f>
        <v>1219.407324</v>
      </c>
      <c r="Y149" s="3">
        <f>1416.7+(366.8-307)+(-1.445034+(-0.374136--0.31314))+0-195.4--0.199308000000031</f>
        <v>1279.7932779999999</v>
      </c>
      <c r="Z149" s="3">
        <f>1444.7+(652.7-478.8)+(-0.736797+(-0.332877--0.244188))+0-194.9--0.0993989999999802</f>
        <v>1422.973913</v>
      </c>
      <c r="AA149" s="3">
        <f>1448.3+(735.5-549.1)+(-0.738633+(-0.375105--0.280041))+0-197.5--0.10072499999998</f>
        <v>1436.4670279999998</v>
      </c>
      <c r="AB149" s="3">
        <f>1463.7+(783.6-616.5)+(-3.732435+(-1.99818--1.572075))+0-199.5--0.508724999999971</f>
        <v>1427.6501850000002</v>
      </c>
      <c r="AC149" s="3">
        <f>1476.8+(732-604)+(-0.753168+(-0.37332--0.30804))+0-200.2--0.10210199999998</f>
        <v>1403.883654</v>
      </c>
      <c r="AD149" s="2">
        <v>1419.6999999999998</v>
      </c>
      <c r="AE149" s="3">
        <f>1439+(719.6-537.9)+(0+(0-0))+0-193-0</f>
        <v>1427.7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1405+(722.6-592.1)+(0+(0-0))+0-189.9-0</f>
        <v>1345.6</v>
      </c>
      <c r="G150" s="3">
        <f>1414.3+(651.6-590.2)+(-2.885172+(-1.329264--1.204008))+0-189--0.385559999999992</f>
        <v>1284.0751319999997</v>
      </c>
      <c r="H150" s="3">
        <f>1414.6+(676.3-646.5)+(-2.164338+(-1.034739--0.989145))+0-188.1--0.287793000000011</f>
        <v>1254.3778609999999</v>
      </c>
      <c r="I150" s="3">
        <f>1423.1+(626.6-620)+(-3.628905+(-1.59783--1.581))+0-189.9--0.484244999999972</f>
        <v>1236.6385099999995</v>
      </c>
      <c r="J150" s="3">
        <f>1427.7+(570.6-574.1)+(1.456254+(0.582012-0.585582))+0-185.8-0.18951600000003</f>
        <v>1239.663168</v>
      </c>
      <c r="K150" s="3">
        <f>1436.7+(476.4-526.5)+(-3.663585+(-1.21482--1.342575))+0-188--0.479399999999973</f>
        <v>1195.5435699999998</v>
      </c>
      <c r="L150" s="3">
        <f>1442.5+(361-475.2)+(-3.678375+(-0.92055--1.21176))+0-184.6--0.470729999999973</f>
        <v>1140.783565</v>
      </c>
      <c r="M150" s="3">
        <f>1432.2+(334.1-417.3)+(0.730422+(0.170391-0.212823))+0-187.7-0.095726999999981</f>
        <v>1161.892263</v>
      </c>
      <c r="N150" s="3">
        <f>1418.1+(398.1-409.5)+(1.446462+(0.406062-0.41769))+0-188.8-0.19257600000003</f>
        <v>1219.1422579999999</v>
      </c>
      <c r="O150" s="3">
        <f>1403+(439.7-358.7)+(2.14659+(0.672741-0.548811))+0-193.3-0.295749000000011</f>
        <v>1292.674771</v>
      </c>
      <c r="P150" s="3">
        <f>1391.3+(532.1-360.6)+(-0.709563+(-0.271371--0.183906))+0-194.8--0.0993479999999802</f>
        <v>1367.30232</v>
      </c>
      <c r="Q150" s="3">
        <f>1374.4+(616.5-404.5)+(1.401888+(0.62883-0.41259))+0-168.7-0.172074000000027</f>
        <v>1419.146054</v>
      </c>
      <c r="R150" s="3">
        <f>1372+(691.6-484.6)+(-1.39944+(-0.705432--0.494292))+0-140.8--0.143616000000022</f>
        <v>1436.7330360000001</v>
      </c>
      <c r="S150" s="3">
        <f>1376.3+(798.3-572.8)+(0.701913+(0.407133-0.292128))+0-155.2-0.0791519999999842</f>
        <v>1447.3377659999999</v>
      </c>
      <c r="T150" s="3">
        <f>1368.5+(862.1-620.5)+(0+(0-0))+0-152.6-0</f>
        <v>1457.5</v>
      </c>
      <c r="U150" s="3">
        <f>1320.1+(926-642.5)+(-2.019753+(-1.41678--0.983025))+0-161.2--0.246636000000009</f>
        <v>1440.1931279999999</v>
      </c>
      <c r="V150" s="3">
        <f>1291.7+(833.1-532.2)+(-1.976301+(-1.274643--0.814266))+0-160.3--0.245259000000009</f>
        <v>1430.108581</v>
      </c>
      <c r="W150" s="3">
        <f>1325.4+(564.3-358.3)+(-3.37977+(-1.438965--0.913665))+0-161.1--0.410804999999977</f>
        <v>1366.8057350000001</v>
      </c>
      <c r="X150" s="3">
        <f>1356.5+(322.6-253)+(-2.075445+(-0.493578--0.38709))+0-161.4--0.246942000000009</f>
        <v>1262.7650089999997</v>
      </c>
      <c r="Y150" s="3">
        <f>1407.7+(340.5-315.4)+(1.435854+(0.34731-0.321708))+0-165.4-0.168708000000026</f>
        <v>1268.6927480000002</v>
      </c>
      <c r="Z150" s="3">
        <f>1428.4+(649.7-527.1)+(0+(0-0))+0-163.3-0</f>
        <v>1387.7</v>
      </c>
      <c r="AA150" s="3">
        <f>1457.7+(641.9-532.9)+(-0.743427+(-0.327369--0.271779))+0-166.5--0.0849149999999831</f>
        <v>1399.4858979999999</v>
      </c>
      <c r="AB150" s="3">
        <f>1488.3+(630.6-558.6)+(-1.518066+(-0.643212--0.569772))+0-168.3--0.171666000000027</f>
        <v>1390.58016</v>
      </c>
      <c r="AC150" s="3">
        <f>1474.2+(626.5-564)+(-3.007368+(-1.27806--1.15056))+0-168.7--0.344147999999993</f>
        <v>1365.2092799999998</v>
      </c>
      <c r="AD150" s="2">
        <v>1392.9999999999998</v>
      </c>
      <c r="AE150" s="3">
        <f>1444+(637.7-514.4)+(0+(0-0))+0-164.3-0</f>
        <v>1403.0000000000002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1478.9+(623.6-613.8)+(-2.262717+(-0.954108--0.939114))+0-165.8--0.25367400000001</f>
        <v>1320.8759630000004</v>
      </c>
      <c r="G151" s="3">
        <f>1486.1+(537-584.8)+(0+(0-0))+0-170.9-0</f>
        <v>1267.3999999999999</v>
      </c>
      <c r="H151" s="3">
        <f>1500.4+(528.3-616.7)+(-3.82602+(-1.347165--1.572585))+0-182.7--0.465884999999973</f>
        <v>1226.165285</v>
      </c>
      <c r="I151" s="3">
        <f>1505+(493-584.9)+(-3.0702+(-1.00572--1.193196))+0-189.2--0.385967999999992</f>
        <v>1221.4032439999999</v>
      </c>
      <c r="J151" s="3">
        <f>1498.1+(447.8-554.5)+(-1.528062+(-0.456756--0.56559))+0-184.4--0.188088000000029</f>
        <v>1205.7688599999999</v>
      </c>
      <c r="K151" s="3">
        <f>1505.3+(382.8-524.3)+(-3.838515+(-0.97614--1.336965))+0-184.5--0.470474999999973</f>
        <v>1176.2927850000001</v>
      </c>
      <c r="L151" s="3">
        <f>1514+(367.2-577.6)+(-2.31642+(-0.561816--0.883728))+0-183.7--0.281061000000011</f>
        <v>1118.1865529999998</v>
      </c>
      <c r="M151" s="3">
        <f>1519.2+(359.4-573.2)+(-1.549584+(-0.366588--0.584664))+0-185.6--0.18931200000003</f>
        <v>1118.6578040000002</v>
      </c>
      <c r="N151" s="3">
        <f>1488.6+(346.4-483.5)+(0+(0-0))+0-191.4-0</f>
        <v>1160.0999999999999</v>
      </c>
      <c r="O151" s="3">
        <f>1471+(324.4-373.6)+(-1.50042+(-0.330888--0.381072))+0-192.5--0.196350000000031</f>
        <v>1228.046114</v>
      </c>
      <c r="P151" s="3">
        <f>1451.5+(327-308.4)+(0.740265+(0.16677-0.157284))+0-191.2-0.0975119999999806</f>
        <v>1279.5522389999999</v>
      </c>
      <c r="Q151" s="3">
        <f>1433+(408.3-303.7)+(0.73083+(0.208233-0.154887))+0-193-0.0984299999999804</f>
        <v>1345.2857459999998</v>
      </c>
      <c r="R151" s="3">
        <f>1418.9+(593.3-464)+(-0.723639+(-0.302583--0.23664))+0-182.9--0.0932789999999814</f>
        <v>1364.6036969999998</v>
      </c>
      <c r="S151" s="3">
        <f>1426.4+(688.2-554.6)+(-1.454928+(-0.701964--0.565692))+0-178.1--0.181662000000028</f>
        <v>1380.490462</v>
      </c>
      <c r="T151" s="3">
        <f>1425.4+(686.8-554)+(-2.907816+(-1.401072--1.13016))+0-177--0.361079999999992</f>
        <v>1378.3823519999999</v>
      </c>
      <c r="U151" s="3">
        <f>1419.6+(607.3-525.1)+(-1.447992+(-0.619446--0.535602))+0-168.5--0.171870000000027</f>
        <v>1331.9400339999997</v>
      </c>
      <c r="V151" s="3">
        <f>1396.2+(553.1-459.1)+(-0.712062+(-0.282081--0.234141))+0-172.1--0.0877709999999825</f>
        <v>1317.4277690000001</v>
      </c>
      <c r="W151" s="3">
        <f>1396.9+(369.8-307.8)+(-2.849676+(-0.754392--0.627912))+0-178.2--0.363527999999992</f>
        <v>1278.0873720000002</v>
      </c>
      <c r="X151" s="3">
        <f>1398.5+(253.7-262.9)+(-2.85294+(-0.517548--0.536316))+0-182.3--0.371891999999992</f>
        <v>1204.5377199999998</v>
      </c>
      <c r="Y151" s="3">
        <f>1400+(318.8-291.9)+(-1.428+(-0.325176--0.297738))+0-189.6--0.19339200000003</f>
        <v>1236.0379540000004</v>
      </c>
      <c r="Z151" s="3">
        <f>1425.9+(530.4-396.1)+(0+(0-0))+0-189.6-0</f>
        <v>1370.6000000000001</v>
      </c>
      <c r="AA151" s="3">
        <f>1451.3+(557.5-449.1)+(-2.220489+(-0.852975--0.687123))+0-182.3--0.278919000000011</f>
        <v>1375.292578</v>
      </c>
      <c r="AB151" s="3">
        <f>1448.9+(580-461.1)+(0+(0-0))+0-184.1-0</f>
        <v>1383.7000000000003</v>
      </c>
      <c r="AC151" s="3">
        <f>1446.2+(575-464.6)+(0.737562+(0.29325-0.236946))+0-190.2-0.0970019999999807</f>
        <v>1367.0968639999999</v>
      </c>
      <c r="AD151" s="2">
        <v>1371.9999999999998</v>
      </c>
      <c r="AE151" s="3">
        <f>1455+(536.6-419.9)+(0+(0-0))+0-189.7-0</f>
        <v>1382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1458.5+(527.8-473.7)+(-0.743835+(-0.269178--0.241587))+0-189.8--0.0967979999999807</f>
        <v>1322.125372</v>
      </c>
      <c r="G152" s="3">
        <f>1472.5+(459-471.5)+(-2.252925+(-0.70227--0.721395))+0-189.4--0.289782000000011</f>
        <v>1268.655982</v>
      </c>
      <c r="H152" s="3">
        <f>1469.9+(443-480.7)+(-0.749649+(-0.22593--0.245157))+0-190.5--0.0971549999999807</f>
        <v>1241.0667329999999</v>
      </c>
      <c r="I152" s="3">
        <f>1480.6+(397.5-465.4)+(-3.020424+(-0.8109--0.949416))+0-183--0.373319999999992</f>
        <v>1227.1914119999997</v>
      </c>
      <c r="J152" s="3">
        <f>1484.9+(333.1-405.3)+(0.757299+(0.169881-0.206703))+0-186.5-0.0951149999999811</f>
        <v>1226.825362</v>
      </c>
      <c r="K152" s="3">
        <f>1504.4+(282.5-404.1)+(-0.767244+(-0.144075--0.206091))+0-188.4--0.0960839999999809</f>
        <v>1193.7908560000001</v>
      </c>
      <c r="L152" s="3">
        <f>1506+(307-482.8)+(-0.76806+(-0.15657--0.246228))+0-180.6--0.0921059999999817</f>
        <v>1149.0137040000002</v>
      </c>
      <c r="M152" s="3">
        <f>1475.2+(288.3-407.7)+(0+(0-0))+0-180.9-0</f>
        <v>1174.9000000000001</v>
      </c>
      <c r="N152" s="3">
        <f>1464.1+(300.2-345.4)+(0.746691+(0.153102-0.176154))+0-182.9-0.0932789999999814</f>
        <v>1236.6303599999999</v>
      </c>
      <c r="O152" s="3">
        <f>1456+(334-304.2)+(0.74256+(0.17034-0.155142))+0-181.2-0.0924119999999816</f>
        <v>1305.2653459999999</v>
      </c>
      <c r="P152" s="3">
        <f>1445+(403.2-304.9)+(0.73695+(0.205632-0.155499))+0-179-0.0912899999999818</f>
        <v>1364.9957929999998</v>
      </c>
      <c r="Q152" s="3">
        <f>1432.3+(519.5-353.8)+(2.191419+(0.794835-0.541314))+0-178.4-0.27295200000001</f>
        <v>1421.771988</v>
      </c>
      <c r="R152" s="3">
        <f>1420.5+(640.5-430.4)+(0.724455+(0.326655-0.219504))+0-177.4-0.090473999999982</f>
        <v>1453.9411319999997</v>
      </c>
      <c r="S152" s="3">
        <f>1413.9+(745.1-516.6)+(-1.442178+(-0.760002--0.526932))+0-174.5--0.177990000000028</f>
        <v>1466.4027420000002</v>
      </c>
      <c r="T152" s="3">
        <f>1417.1+(777.6-549.2)+(-0.722721+(-0.396576--0.280092))+0-175.6--0.0895559999999822</f>
        <v>1469.150351</v>
      </c>
      <c r="U152" s="3">
        <f>1419.3+(732.2-534.2)+(0.723843+(0.373422-0.272442))+0-171.3-0.0873629999999826</f>
        <v>1446.7374599999998</v>
      </c>
      <c r="V152" s="3">
        <f>1419.5+(672-503.2)+(-0.723945+(-0.34272--0.256632))+0-167.9--0.085628999999983</f>
        <v>1419.6755959999998</v>
      </c>
      <c r="W152" s="3">
        <f>1398.7+(496.9-345.5)+(-0.713337+(-0.253419--0.176205))+0-171.3--0.0873629999999826</f>
        <v>1378.096812</v>
      </c>
      <c r="X152" s="3">
        <f>1393.4+(298-216.5)+(-2.131902+(-0.45594--0.331245))+0-173.6--0.26560800000001</f>
        <v>1299.3090110000001</v>
      </c>
      <c r="Y152" s="3">
        <f>1401.7+(353.9-255.5)+(1.429734+(0.360978-0.26061))+0-174.5-0.177990000000028</f>
        <v>1326.9521119999997</v>
      </c>
      <c r="Z152" s="3">
        <f>1439.1+(570.9-388.3)+(0.733941+(0.291159-0.198033))+0-178.6-0.0910859999999819</f>
        <v>1443.8359809999999</v>
      </c>
      <c r="AA152" s="3">
        <f>1460.6+(609.6-430.2)+(-2.979624+(-1.243584--0.877608))+0-182--0.371279999999992</f>
        <v>1455.02568</v>
      </c>
      <c r="AB152" s="3">
        <f>1462+(604.8-449.8)+(-1.49124+(-0.616896--0.458796))+0-182--0.185640000000029</f>
        <v>1433.5363</v>
      </c>
      <c r="AC152" s="3">
        <f>1465+(584.2-448.6)+(0+(0-0))+0-185.9-0</f>
        <v>1414.6999999999998</v>
      </c>
      <c r="AD152" s="2">
        <v>1450.0000000000002</v>
      </c>
      <c r="AE152" s="3">
        <f>1442+(630.3-431.6)+(0+(0-0))+0-179.7-0</f>
        <v>1460.9999999999998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1486.8+(521.2-457.7)+(-1.516536+(-0.531624--0.466854))+0-185.3--0.18900600000003</f>
        <v>1363.6077</v>
      </c>
      <c r="G153" s="3">
        <f>1492.6+(451.6-449.3)+(-3.044904+(-0.921264--0.916572))+0-189--0.385559999999992</f>
        <v>1303.2359639999997</v>
      </c>
      <c r="H153" s="3">
        <f>1491.3+(400.1-437.7)+(-0.760563+(-0.204051--0.223227))+0-188.9--0.0963389999999808</f>
        <v>1264.1549519999999</v>
      </c>
      <c r="I153" s="3">
        <f>1497.7+(349.4-437.2)+(0+(0-0))+0-187.5-0</f>
        <v>1222.4000000000001</v>
      </c>
      <c r="J153" s="3">
        <f>1500.3+(354.1-455.8)+(-2.295459+(-0.541773--0.697374))+0-188.6--0.288558000000011</f>
        <v>1208.1487</v>
      </c>
      <c r="K153" s="3">
        <f>1509.3+(299.2-431.5)+(-3.078972+(-0.610368--0.88026))+0-187.3--0.382091999999992</f>
        <v>1187.2730120000001</v>
      </c>
      <c r="L153" s="3">
        <f>1518.4+(249.8-443.2)+(-6.195072+(-1.019184--1.808256))+0-180.6--0.736847999999984</f>
        <v>1139.7308480000002</v>
      </c>
      <c r="M153" s="3">
        <f>1508.6+(233.9-445.8)+(0+(0-0))+0-186-0</f>
        <v>1110.6999999999998</v>
      </c>
      <c r="N153" s="3">
        <f>1491+(246.2-409.9)+(1.52082+(0.251124-0.418098))+0-191.3-0.195126000000031</f>
        <v>1137.1587199999999</v>
      </c>
      <c r="O153" s="3">
        <f>1464.9+(288.2-355.8)+(-0.747099+(-0.146982--0.181458))+0-191.6--0.0977159999999806</f>
        <v>1205.0850930000004</v>
      </c>
      <c r="P153" s="3">
        <f>1443.9+(357.5-351.4)+(-0.736389+(-0.182325--0.179214))+0-186.8--0.0952679999999811</f>
        <v>1262.5557680000002</v>
      </c>
      <c r="Q153" s="3">
        <f>1427.1+(420.4-359.2)+(0+(0-0))+0-180.7-0</f>
        <v>1307.5999999999999</v>
      </c>
      <c r="R153" s="3">
        <f>1416.5+(469.7-372.1)+(-0.722415+(-0.239547--0.189771))+0-186.5--0.0951149999999811</f>
        <v>1326.922924</v>
      </c>
      <c r="S153" s="3">
        <f>1416.3+(545-436.5)+(-1.444626+(-0.5559--0.44523))+0-188.4--0.19216800000003</f>
        <v>1335.0368719999999</v>
      </c>
      <c r="T153" s="3">
        <f>1405.9+(550.5-428.7)+(-2.868036+(-1.12302--0.874548))+0-188.2--0.383927999999992</f>
        <v>1336.7674199999999</v>
      </c>
      <c r="U153" s="3">
        <f>1404+(584.4-460.2)+(1.43208+(0.596088-0.469404))+0-184-0.187680000000029</f>
        <v>1345.5710840000002</v>
      </c>
      <c r="V153" s="3">
        <f>1396.9+(594.3-455)+(2.137257+(0.909279-0.69615))+0-186.8-0.285804000000011</f>
        <v>1351.4645820000001</v>
      </c>
      <c r="W153" s="3">
        <f>1396+(406.3-306.9)+(-1.42392+(-0.414426--0.313038))+0-186.1--0.18982200000003</f>
        <v>1307.9645140000002</v>
      </c>
      <c r="X153" s="3">
        <f>1407.7+(307.7-286.2)+(-2.153781+(-0.470781--0.437886))+0-188.7--0.288711000000011</f>
        <v>1238.6020349999999</v>
      </c>
      <c r="Y153" s="3">
        <f>1420.4+(353.2-333.2)+(-0.724404+(-0.180132--0.169932))+0-192.9--0.0983789999999804</f>
        <v>1246.863775</v>
      </c>
      <c r="Z153" s="3">
        <f>1442.2+(498.8-363.7)+(-2.206566+(-0.763164--0.556461))+0-197.3--0.301869000000011</f>
        <v>1377.8886000000005</v>
      </c>
      <c r="AA153" s="3">
        <f>1448.5+(532.9-399.5)+(-2.216205+(-0.815337--0.611235))+0-194.6--0.297738000000011</f>
        <v>1385.1774310000001</v>
      </c>
      <c r="AB153" s="3">
        <f>1445.5+(560.3-443.3)+(-0.737205+(-0.285753--0.226083))+0-185.6--0.0946559999999812</f>
        <v>1376.1977810000001</v>
      </c>
      <c r="AC153" s="3">
        <f>1453.4+(540-471.7)+(-0.741234+(-0.2754--0.240567))+0-178.3--0.0909329999999819</f>
        <v>1342.714866</v>
      </c>
      <c r="AD153" s="2">
        <v>1382.9</v>
      </c>
      <c r="AE153" s="3">
        <f>1444+(524.4-379)+(0+(0-0))+0-195.5-0</f>
        <v>1393.9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1477.3+(484.3-480.9)+(0.753423+(0.246993-0.245259))+0-174-0.0887399999999823</f>
        <v>1307.3664170000002</v>
      </c>
      <c r="G154" s="3">
        <f>1488.1+(440.6-482.9)+(0.758931+(0.224706-0.246279))+0-179-0.0912899999999818</f>
        <v>1267.446068</v>
      </c>
      <c r="H154" s="3">
        <f>1496.9+(397.5-475.7)+(-0.763419+(-0.202725--0.242607))+0-186--0.0948599999999811</f>
        <v>1232.0713229999999</v>
      </c>
      <c r="I154" s="3">
        <f>1507.3+(390.2-505)+(-0.768723+(-0.199002--0.25755))+0-185.2--0.0944519999999812</f>
        <v>1206.6842770000001</v>
      </c>
      <c r="J154" s="3">
        <f>1515.5+(354.8-498.9)+(-2.318715+(-0.542844--0.763317))+0-180.9--0.27677700000001</f>
        <v>1188.678535</v>
      </c>
      <c r="K154" s="3">
        <f>1519.7+(299.7-471.7)+(0+(0-0))+0-180.2-0</f>
        <v>1167.5</v>
      </c>
      <c r="L154" s="3">
        <f>1521.2+(230.4-438.7)+(-3.87906+(-0.58752--1.118685))+0-186.4--0.475319999999973</f>
        <v>1123.6274249999999</v>
      </c>
      <c r="M154" s="3">
        <f>1521.7+(227-427)+(-1.552134+(-0.23154--0.43554))+0-190.1--0.19390200000003</f>
        <v>1130.445768</v>
      </c>
      <c r="N154" s="3">
        <f>1495.1+(256-382.6)+(1.525002+(0.26112-0.390252))+0-195.8-0.199716000000031</f>
        <v>1173.896154</v>
      </c>
      <c r="O154" s="3">
        <f>1485.9+(302.4-360.9)+(-0.757809+(-0.154224--0.184059))+0-192--0.0979199999999805</f>
        <v>1234.7699460000001</v>
      </c>
      <c r="P154" s="3">
        <f>1464.8+(330.9-303)+(1.494096+(0.337518-0.30906))+0-191.9-0.195738000000031</f>
        <v>1302.1268159999995</v>
      </c>
      <c r="Q154" s="3">
        <f>1451.7+(382.9-295.5)+(-1.480734+(-0.390558--0.30141))+0-188.7--0.19247400000003</f>
        <v>1349.0225919999998</v>
      </c>
      <c r="R154" s="3">
        <f>1436.5+(500.8-374.6)+(-0.732615+(-0.255408--0.191046))+0-190.9--0.0973589999999806</f>
        <v>1371.1003819999999</v>
      </c>
      <c r="S154" s="3">
        <f>1438+(598.8-463.4)+(-0.73338+(-0.305388--0.236334))+0-190.9--0.0973589999999806</f>
        <v>1381.7949249999999</v>
      </c>
      <c r="T154" s="3">
        <f>1443.3+(663.5-523.4)+(-2.944332+(-1.35354--1.067736))+0-191.3--0.390251999999992</f>
        <v>1389.2601160000002</v>
      </c>
      <c r="U154" s="3">
        <f>1435.4+(659.4-519.4)+(0+(0-0))+0-191.8-0</f>
        <v>1383.6000000000001</v>
      </c>
      <c r="V154" s="3">
        <f>1434.3+(591.3-445.3)+(-0.731493+(-0.301563--0.227103))+0-195.8--0.0998579999999801</f>
        <v>1383.793905</v>
      </c>
      <c r="W154" s="3">
        <f>1412.1+(436-305.3)+(-2.880684+(-0.88944--0.622812))+0-199.4--0.406775999999991</f>
        <v>1340.6594639999998</v>
      </c>
      <c r="X154" s="3">
        <f>1416.4+(377-342.4)+(-2.167092+(-0.57681--0.523872))+0-198.7--0.304011000000011</f>
        <v>1250.3839809999999</v>
      </c>
      <c r="Y154" s="3">
        <f>1434.8+(460-420.6)+(-2.195244+(-0.7038--0.643518))+0-194.6--0.297738000000011</f>
        <v>1277.642212</v>
      </c>
      <c r="Z154" s="3">
        <f>1458.4+(613.9-464.5)+(-2.975136+(-1.252356--0.94758))+0-200.2--0.408407999999991</f>
        <v>1404.7284960000002</v>
      </c>
      <c r="AA154" s="3">
        <f>1453.6+(624.9-469.7)+(-1.482672+(-0.637398--0.479094))+0-201.1--0.205122000000032</f>
        <v>1406.2641460000002</v>
      </c>
      <c r="AB154" s="3">
        <f>1458.4+(638.8-495)+(-2.975136+(-1.303152--1.0098))+0-192.2--0.392087999999992</f>
        <v>1407.1236000000001</v>
      </c>
      <c r="AC154" s="3">
        <f>1463.3+(600.8-501.8)+(0+(0-0))+0-183.8-0</f>
        <v>1378.5</v>
      </c>
      <c r="AD154" s="2">
        <v>1401.5</v>
      </c>
      <c r="AE154" s="3">
        <f>1457+(641.5-488.2)+(0+(0-0))+0-197.8-0</f>
        <v>1412.5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1465.7+(566-510.9)+(0.747507+(0.28866-0.260559))+0-184.3-0.0939929999999813</f>
        <v>1337.1816150000002</v>
      </c>
      <c r="G155" s="3">
        <f>1473.6+(483.9-484.5)+(0.751536+(0.246789-0.247095))+0-182.9-0.0932789999999814</f>
        <v>1290.757951</v>
      </c>
      <c r="H155" s="3">
        <f>1481.6+(421.8-464.7)+(0+(0-0))+0-188.8-0</f>
        <v>1249.8999999999999</v>
      </c>
      <c r="I155" s="3">
        <f>1483.3+(387.6-462.4)+(0+(0-0))+0-187.5-0</f>
        <v>1221</v>
      </c>
      <c r="J155" s="3">
        <f>1497.6+(346.5-455.5)+(-3.055104+(-0.70686--0.92922))+0-187--0.381479999999992</f>
        <v>1199.1487359999999</v>
      </c>
      <c r="K155" s="3">
        <f>1500.3+(335.4-457.5)+(-3.060612+(-0.684216--0.9333))+0-187.5--0.382499999999992</f>
        <v>1188.2709719999998</v>
      </c>
      <c r="L155" s="3">
        <f>1503.8+(291.2-450.8)+(-6.135504+(-1.188096--1.839264))+0-186.6--0.761327999999984</f>
        <v>1152.876992</v>
      </c>
      <c r="M155" s="3">
        <f>1498.7+(265.8-394.1)+(1.528674+(0.271116-0.401982))+0-188.3-0.19206600000003</f>
        <v>1183.305742</v>
      </c>
      <c r="N155" s="3">
        <f>1490+(301.2-364.8)+(1.5198+(0.307224-0.372096))+0-188.2-0.19196400000003</f>
        <v>1239.4629640000001</v>
      </c>
      <c r="O155" s="3">
        <f>1474.8+(386.2-374.5)+(0.752148+(0.196962-0.190995))+0-175.6-0.0895559999999822</f>
        <v>1311.5685590000003</v>
      </c>
      <c r="P155" s="3">
        <f>1460.9+(419.8-318.7)+(0.745059+(0.214098-0.162537))+0-170.8-0.0871079999999827</f>
        <v>1391.9095120000002</v>
      </c>
      <c r="Q155" s="3">
        <f>1442.9+(496.2-310)+(2.207637+(0.759186-0.4743))+0-180.8-0.27662400000001</f>
        <v>1450.515899</v>
      </c>
      <c r="R155" s="3">
        <f>1435.1+(644.7-415.7)+(-0.731901+(-0.328797--0.212007))+0-177.9--0.0907289999999819</f>
        <v>1485.4420379999999</v>
      </c>
      <c r="S155" s="3">
        <f>1419.4+(821.4-561.7)+(-1.447788+(-0.837828--0.572934))+0-182.3--0.185946000000029</f>
        <v>1495.2732639999999</v>
      </c>
      <c r="T155" s="3">
        <f>1413.2+(889-619.1)+(-2.162196+(-1.36017--0.947223))+0-183.1--0.280143000000011</f>
        <v>1497.7049999999999</v>
      </c>
      <c r="U155" s="3">
        <f>1404.1+(859.6-589.7)+(0.716091+(0.438396-0.300747))+0-181.1-0.0923609999999816</f>
        <v>1493.6613790000001</v>
      </c>
      <c r="V155" s="3">
        <f>1403.1+(744-506.6)+(-0.715581+(-0.37944--0.258366))+0-181.5--0.0925649999999816</f>
        <v>1458.2559099999999</v>
      </c>
      <c r="W155" s="3">
        <f>1407.4+(521.3-330.6)+(-0.717774+(-0.265863--0.168606))+0-180.3--0.0919529999999817</f>
        <v>1417.0769219999997</v>
      </c>
      <c r="X155" s="3">
        <f>1416.5+(334.5-239.3)+(-2.167245+(-0.511785--0.366129))+0-183.3--0.280449000000011</f>
        <v>1326.3675480000002</v>
      </c>
      <c r="Y155" s="3">
        <f>1432.2+(393.5-308.1)+(-1.460844+(-0.40137--0.314262))+0-183.3--0.186966000000029</f>
        <v>1332.939014</v>
      </c>
      <c r="Z155" s="3">
        <f>1447.6+(637.1-448.6)+(0.738276+(0.324921-0.228786))+0-182.3-0.0929729999999815</f>
        <v>1454.541438</v>
      </c>
      <c r="AA155" s="3">
        <f>1469.1+(683.3-509.5)+(-2.996964+(-1.393932--1.03938))+0-182.3--0.371891999999992</f>
        <v>1457.6203759999999</v>
      </c>
      <c r="AB155" s="3">
        <f>1457.1+(727.5-569.7)+(0.743121+(0.371025-0.290547))+0-179.5-0.0915449999999818</f>
        <v>1436.1320539999999</v>
      </c>
      <c r="AC155" s="3">
        <f>1457.9+(698.5-574.2)+(1.487058+(0.71247-0.585684))+0-179.3-0.182886000000029</f>
        <v>1404.330958</v>
      </c>
      <c r="AD155" s="2">
        <v>1466.6999999999998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1491.6+(597.2-567.2)+(-1.521432+(-0.609144--0.578544))+0-165.8--0.169116000000026</f>
        <v>1354.4170839999999</v>
      </c>
      <c r="G156" s="3">
        <f>1487.3+(514.5-532.1)+(-0.758523+(-0.262395--0.271371))+0-164.1--0.0836909999999833</f>
        <v>1304.9341440000001</v>
      </c>
      <c r="H156" s="3">
        <f>1494.9+(410.5-468.6)+(-3.049596+(-0.83742--0.955944))+0-160.4--0.327215999999993</f>
        <v>1273.7961439999999</v>
      </c>
      <c r="I156" s="3">
        <f>1508.5+(357-452.4)+(0.769335+(0.18207-0.230724))+0-163.9-0.0835889999999834</f>
        <v>1249.8370919999998</v>
      </c>
      <c r="J156" s="3">
        <f>1512.3+(381.8-500.3)+(4.627638+(1.168308-1.530918))+0-169.3-0.51805800000002</f>
        <v>1228.2469699999999</v>
      </c>
      <c r="K156" s="3">
        <f>1524.2+(355.7-499.7)+(0.777342+(0.181407-0.254847))+0-167.8-0.085577999999983</f>
        <v>1213.0183240000001</v>
      </c>
      <c r="L156" s="3">
        <f>1523.2+(320.7-515.8)+(-3.107328+(-0.654228--1.052232))+0-164.3--0.335171999999993</f>
        <v>1161.4258480000003</v>
      </c>
      <c r="M156" s="3">
        <f>1518+(299.3-473)+(-0.77418+(-0.152643--0.24123))+0-160.1--0.0816509999999838</f>
        <v>1183.5960580000001</v>
      </c>
      <c r="N156" s="3">
        <f>1501.5+(326.9-429.2)+(1.53153+(0.333438-0.437784))+0-152.5-0.155550000000024</f>
        <v>1247.971634</v>
      </c>
      <c r="O156" s="3">
        <f>1445.9+(371.3-333.6)+(0+(0-0))+0-156.1-0</f>
        <v>1327.5000000000002</v>
      </c>
      <c r="P156" s="3">
        <f>1430.2+(412.6-298.6)+(0+(0-0))+0-161.8-0</f>
        <v>1382.4</v>
      </c>
      <c r="Q156" s="3">
        <f>1448.2+(509.2-347.7)+(-1.477164+(-0.519384--0.354654))+0-158.6--0.161772000000025</f>
        <v>1449.619878</v>
      </c>
      <c r="R156" s="3">
        <f>1445.7+(658.3-484)+(-1.474614+(-0.671466--0.49368))+0-155.2--0.158304000000025</f>
        <v>1463.3059040000001</v>
      </c>
      <c r="S156" s="3">
        <f>1436.9+(803.8-614.2)+(-1.465638+(-0.819876--0.626484))+0-154.2--0.157284000000025</f>
        <v>1470.798254</v>
      </c>
      <c r="T156" s="3">
        <f>1428.3+(819-642.6)+(0+(0-0))+0-142.2-0</f>
        <v>1462.4999999999998</v>
      </c>
      <c r="U156" s="3">
        <f>1421.6+(800.5-621.8)+(0.725016+(0.408255-0.317118))+0-139-0.0708899999999859</f>
        <v>1462.045263</v>
      </c>
      <c r="V156" s="3">
        <f>1415.8+(698.7-507.9)+(-3.61029+(-1.781685--1.295145))+0-141.6--0.361079999999979</f>
        <v>1461.2642499999999</v>
      </c>
      <c r="W156" s="3">
        <f>1394.1+(483.9-316.1)+(-2.843964+(-0.987156--0.644844))+0-144--0.293759999999994</f>
        <v>1415.007484</v>
      </c>
      <c r="X156" s="3">
        <f>1397.8+(305.8-222.7)+(-2.851512+(-0.623832--0.454308))+0-148--0.301919999999994</f>
        <v>1330.1808839999999</v>
      </c>
      <c r="Y156" s="3">
        <f>1405+(347.7-260.3)+(-0.71655+(-0.177327--0.132753))+0-152.4--0.0777239999999845</f>
        <v>1339.3165999999999</v>
      </c>
      <c r="Z156" s="3">
        <f>1423.5+(591.4-404.1)+(0+(0-0))+0-158.7-0</f>
        <v>1452.1</v>
      </c>
      <c r="AA156" s="3">
        <f>1444+(668.3-496.3)+(-3.6822+(-1.704165--1.265565))+0-163.9--0.417944999999976</f>
        <v>1448.3971449999999</v>
      </c>
      <c r="AB156" s="3">
        <f>1460+(686.8-537.3)+(-2.9784+(-1.401072--1.096092))+0-175.7--0.358427999999992</f>
        <v>1430.8750479999999</v>
      </c>
      <c r="AC156" s="3">
        <f>1468+(685.5-583)+(-1.49736+(-0.69921--0.59466))+0-178.1--0.181662000000028</f>
        <v>1390.979752</v>
      </c>
      <c r="AD156" s="2">
        <v>1451.3000000000002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1467.5+(703.1-650.8)+(0+(0-0))+0-182.5-0</f>
        <v>1337.3000000000002</v>
      </c>
      <c r="G157" s="3">
        <f>1471.6+(638.9-630.8)+(0.750516+(0.325839-0.321708))+0-182.8-0.0932279999999815</f>
        <v>1297.5614189999999</v>
      </c>
      <c r="H157" s="3">
        <f>1475.7+(549.3-582.4)+(3.010428+(1.120572-1.188096))+0-183.8-0.374951999999992</f>
        <v>1261.3679520000001</v>
      </c>
      <c r="I157" s="3">
        <f>1484.4+(474.5-545.9)+(-0.757044+(-0.241995--0.278409))+0-179.5--0.0915449999999818</f>
        <v>1232.870915</v>
      </c>
      <c r="J157" s="3">
        <f>1492.8+(411.8-515.5)+(-1.522656+(-0.420036--0.52581))+0-173.4--0.176868000000028</f>
        <v>1214.4599859999998</v>
      </c>
      <c r="K157" s="3">
        <f>1495.3+(372.1-494.7)+(-2.287809+(-0.569313--0.756891))+0-174.9--0.26759700000001</f>
        <v>1195.9673660000001</v>
      </c>
      <c r="L157" s="3">
        <f>1498.6+(381.3-547.6)+(-5.350002+(-1.361241--1.954932))+0-170.1--0.607257000000002</f>
        <v>1158.0509459999998</v>
      </c>
      <c r="M157" s="3">
        <f>1505.6+(359-518.1)+(-0.767856+(-0.18309--0.264231))+0-174.1--0.0887909999999823</f>
        <v>1171.8020759999999</v>
      </c>
      <c r="N157" s="3">
        <f>1491.3+(339.6-429.5)+(2.281689+(0.519588-0.657135))+0-177.8-0.27203400000001</f>
        <v>1225.4721080000002</v>
      </c>
      <c r="O157" s="3">
        <f>1479.5+(401-400.1)+(-1.50909+(-0.40902--0.408102))+0-171--0.174420000000027</f>
        <v>1308.0644120000002</v>
      </c>
      <c r="P157" s="3">
        <f>1463.8+(458.9-377.1)+(-0.746538+(-0.234039--0.192321))+0-172.1--0.0877709999999825</f>
        <v>1372.7995149999999</v>
      </c>
      <c r="Q157" s="3">
        <f>1447.7+(611.2-464.5)+(0.738327+(0.311712-0.236895))+0-171.1-0.0872609999999826</f>
        <v>1424.0258830000002</v>
      </c>
      <c r="R157" s="3">
        <f>1434.3+(761.1-566)+(0.731493+(0.388161-0.28866))+0-171.1-0.0872609999999826</f>
        <v>1459.0437330000002</v>
      </c>
      <c r="S157" s="3">
        <f>1422.6+(893-686.2)+(1.451052+(0.91086-0.699924))+0-171.6-0.175032000000027</f>
        <v>1459.2869559999999</v>
      </c>
      <c r="T157" s="3">
        <f>1417.8+(855.8-627.9)+(-2.892312+(-1.745832--1.280916))+0-180.7--0.368627999999992</f>
        <v>1462.0113999999996</v>
      </c>
      <c r="U157" s="3">
        <f>1408.1+(859.9-649.1)+(-1.436262+(-0.877098--0.662082))+0-177.5--0.181050000000028</f>
        <v>1439.929772</v>
      </c>
      <c r="V157" s="3">
        <f>1400.6+(735-528.7)+(-0.714306+(-0.37485--0.269637))+0-176.6--0.0900659999999821</f>
        <v>1429.570547</v>
      </c>
      <c r="W157" s="3">
        <f>1403.2+(506.3-361.1)+(-2.146896+(-0.774639--0.552483))+0-181.2--0.27723600000001</f>
        <v>1365.1081839999999</v>
      </c>
      <c r="X157" s="3">
        <f>1409.3+(288.6-226.5)+(-4.312458+(-0.883116--0.69309))+0-182.1--0.557226000000021</f>
        <v>1285.3547420000002</v>
      </c>
      <c r="Y157" s="3">
        <f>1419.6+(342-268.1)+(0+(0-0))+0-182.3-0</f>
        <v>1311.2</v>
      </c>
      <c r="Z157" s="3">
        <f>1439.7+(645.8-496.1)+(0.734247+(0.329358-0.253011))+0-186.9-0.095318999999981</f>
        <v>1403.215275</v>
      </c>
      <c r="AA157" s="3">
        <f>1461.1+(686-563.9)+(-2.235483+(-1.04958--0.862767))+0-186.6--0.285498000000011</f>
        <v>1394.4632019999999</v>
      </c>
      <c r="AB157" s="3">
        <f>1464.5+(675.8-573.6)+(-1.49379+(-0.689316--0.585072))+0-179.5--0.183090000000029</f>
        <v>1385.7850559999997</v>
      </c>
      <c r="AC157" s="3">
        <f>1464.7+(660.7-587.9)+(-1.493994+(-0.673914--0.599658))+0-179--0.182580000000029</f>
        <v>1357.1143299999999</v>
      </c>
      <c r="AD157" s="2">
        <v>1371.9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1481.9+(599.8-573.7)+(0+(0-0))+0-178.6-0</f>
        <v>1329.4</v>
      </c>
      <c r="G158" s="3">
        <f>1483.6+(546.8-568.6)+(-2.269908+(-0.836604--0.869958))+0-178.9--0.27371700000001</f>
        <v>1280.9371629999996</v>
      </c>
      <c r="H158" s="3">
        <f>1444.6+(516.9-534.3)+(-2.210238+(-0.790857--0.817479))+0-177.2--0.27111600000001</f>
        <v>1248.0874999999999</v>
      </c>
      <c r="I158" s="3">
        <f>1325.5+(560.7-490.5)+(-2.70402+(-1.143828--1.00062))+0-174.4--0.355775999999992</f>
        <v>1218.808548</v>
      </c>
      <c r="J158" s="3">
        <f>1315+(570-496.4)+(-3.35325+(-1.4535--1.26582))+0-174.7--0.445484999999975</f>
        <v>1210.8045549999999</v>
      </c>
      <c r="K158" s="3">
        <f>1336.9+(514.7-485.6)+(-0.681819+(-0.262497--0.247656))+0-175.5--0.0895049999999822</f>
        <v>1189.8928449999999</v>
      </c>
      <c r="L158" s="3">
        <f>1329.2+(445.4-462)+(0+(0-0))+0-172.8-0</f>
        <v>1139.8</v>
      </c>
      <c r="M158" s="3">
        <f>1341.7+(429.1-463.3)+(-2.052801+(-0.656523--0.708849))+0-175.9--0.26912700000001</f>
        <v>1129.8686519999999</v>
      </c>
      <c r="N158" s="3">
        <f>1327.6+(423.1-406.7)+(0+(0-0))+0-175.9-0</f>
        <v>1168.0999999999999</v>
      </c>
      <c r="O158" s="3">
        <f>1365.8+(383.1-340.5)+(0.696558+(0.195381-0.173655))+0-185-0.0943499999999812</f>
        <v>1224.0239340000001</v>
      </c>
      <c r="P158" s="3">
        <f>1295.2+(588.3-419.4)+(-1.321104+(-0.600066--0.427788))+0-178.6--0.182172000000028</f>
        <v>1284.1887899999999</v>
      </c>
      <c r="Q158" s="3">
        <f>1282.7+(672.7-445.8)+(-0.654177+(-0.343077--0.227358))+0-163.5--0.0833849999999834</f>
        <v>1345.413489</v>
      </c>
      <c r="R158" s="3">
        <f>1269.8+(813.8-559.2)+(-0.647598+(-0.415038--0.285192))+0-159.3--0.0812429999999838</f>
        <v>1364.4037989999999</v>
      </c>
      <c r="S158" s="3">
        <f>1264.9+(882.6-571.2)+(-1.290198+(-0.900252--0.582624))+0-174--0.177480000000028</f>
        <v>1400.8696540000003</v>
      </c>
      <c r="T158" s="3">
        <f>1254+(929-605.4)+(-1.27908+(-0.94758--0.617508))+0-178.6--0.182172000000028</f>
        <v>1397.57302</v>
      </c>
      <c r="U158" s="3">
        <f>1245.4+(964.8-633.7)+(3.17577+(2.46024-1.615935))+0-181.8-0.463589999999974</f>
        <v>1398.2564849999999</v>
      </c>
      <c r="V158" s="3">
        <f>1244.6+(900.2-580.7)+(0.634746+(0.459102-0.296157))+0-184.3-0.0939929999999813</f>
        <v>1380.503698</v>
      </c>
      <c r="W158" s="3">
        <f>1257.4+(609.1-356.8)+(-1.282548+(-0.621282--0.363936))+0-180.1--0.183702000000029</f>
        <v>1328.2438080000002</v>
      </c>
      <c r="X158" s="3">
        <f>1279.4+(331.9-175.3)+(0.652494+(0.169269-0.089403))+0-172.7-0.0880769999999825</f>
        <v>1263.944283</v>
      </c>
      <c r="Y158" s="3">
        <f>1305.8+(418.1-252.9)+(0.665958+(0.213231-0.128979))+0-158.2-0.0806819999999839</f>
        <v>1313.4695279999999</v>
      </c>
      <c r="Z158" s="3">
        <f>1325.2+(666-419.4)+(0+(0-0))+0-158.8-0</f>
        <v>1413.0000000000002</v>
      </c>
      <c r="AA158" s="3">
        <f>1372.8+(718.8-504.6)+(-4.200768+(-2.199528--1.544076))+0-162.3--0.496638000000019</f>
        <v>1420.3404180000002</v>
      </c>
      <c r="AB158" s="3">
        <f>1448.8+(628.7-501.9)+(-2.955552+(-1.282548--1.023876))+0-159.4--0.325175999999993</f>
        <v>1413.3109519999998</v>
      </c>
      <c r="AC158" s="3">
        <f>1438.8+(630.2-530)+(-0.733788+(-0.321402--0.2703))+0-162--0.0826199999999836</f>
        <v>1376.29773</v>
      </c>
      <c r="AD158" s="2">
        <v>1410.6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1445.4+(597.6-550.4)+(1.474308+(0.609552-0.561408))+0-161.3-0.164526000000026</f>
        <v>1332.6579260000001</v>
      </c>
      <c r="G159" s="3">
        <f>1453.8+(493.3-485.4)+(-2.224314+(-0.754749--0.742662))+0-158.7--0.242811000000009</f>
        <v>1301.0064100000002</v>
      </c>
      <c r="H159" s="3">
        <f>1463.1+(439.4-468.9)+(0+(0-0))+0-158.9-0</f>
        <v>1274.6999999999998</v>
      </c>
      <c r="I159" s="3">
        <f>1490.4+(383.1-467.2)+(-3.040416+(-0.781524--0.953088))+0-158.3--0.322931999999993</f>
        <v>1245.4540800000002</v>
      </c>
      <c r="J159" s="3">
        <f>1500.2+(379-495.6)+(-3.060408+(-0.77316--1.011024))+0-157--0.320279999999993</f>
        <v>1224.0977359999997</v>
      </c>
      <c r="K159" s="3">
        <f>1502.6+(330.2-461.3)+(0.766326+(0.168402-0.235263))+0-155.9-0.0795089999999842</f>
        <v>1216.2199559999999</v>
      </c>
      <c r="L159" s="3">
        <f>1509.8+(267.6-442)+(-1.539996+(-0.272952--0.45084))+0-146.9--0.149838000000023</f>
        <v>1187.28773</v>
      </c>
      <c r="M159" s="3">
        <f>1510.1+(258-410)+(3.080604+(0.52632-0.8364))+0-149.8-0.305591999999993</f>
        <v>1210.764932</v>
      </c>
      <c r="N159" s="3">
        <f>1498.6+(274.6-358.7)+(0.764286+(0.140046-0.182937))+0-149.5-0.0762449999999848</f>
        <v>1265.6451500000001</v>
      </c>
      <c r="O159" s="3">
        <f>1483+(327.4-326.3)+(1.51266+(0.333948-0.332826))+0-149-0.151980000000024</f>
        <v>1336.4618019999998</v>
      </c>
      <c r="P159" s="3">
        <f>1468+(384.5-301.3)+(0.74868+(0.196095-0.153663))+0-153.2-0.0781319999999845</f>
        <v>1398.71298</v>
      </c>
      <c r="Q159" s="3">
        <f>1438.5+(488.7-327.1)+(2.200905+(0.747711-0.500463))+0-152.4-0.233172000000009</f>
        <v>1449.9149809999999</v>
      </c>
      <c r="R159" s="3">
        <f>1437.5+(683.1-485.6)+(-2.199375+(-1.045143--0.742968))+0-148.9--0.227817000000009</f>
        <v>1483.8262669999999</v>
      </c>
      <c r="S159" s="3">
        <f>1435.2+(856.7-648.3)+(-1.463904+(-0.873834--0.661266))+0-150.8--0.153816000000024</f>
        <v>1491.2773440000001</v>
      </c>
      <c r="T159" s="3">
        <f>1430.1+(836.3-627.6)+(0.729351+(0.426513-0.320076))+0-155.6-0.0793559999999842</f>
        <v>1483.9564319999999</v>
      </c>
      <c r="U159" s="3">
        <f>1430.3+(791.3-605.4)+(0.729453+(0.403563-0.308754))+0-146.7-0.0748169999999851</f>
        <v>1470.2494449999999</v>
      </c>
      <c r="V159" s="3">
        <f>1434+(665.8-489.3)+(-2.92536+(-1.358232--0.998172))+0-144.5--0.294779999999994</f>
        <v>1463.00936</v>
      </c>
      <c r="W159" s="3">
        <f>1430.7+(413.6-293.8)+(-2.188971+(-0.632808--0.449514))+0-147.3--0.225369000000009</f>
        <v>1401.0531040000001</v>
      </c>
      <c r="X159" s="3">
        <f>1425.2+(324.8-308.1)+(-2.180556+(-0.496944--0.471393))+0-146.7--0.224451000000008</f>
        <v>1293.2183440000001</v>
      </c>
      <c r="Y159" s="3">
        <f>1435.1+(409.2-359.3)+(-0.731901+(-0.208692--0.183243))+0-145.7--0.0743069999999852</f>
        <v>1338.616957</v>
      </c>
      <c r="Z159" s="3">
        <f>1462.7+(581.4-432.5)+(0+(0-0))+0-150.4-0</f>
        <v>1461.1999999999998</v>
      </c>
      <c r="AA159" s="3">
        <f>1471.2+(598.7-460.8)+(-3.75156+(-1.526685--1.17504))+0-151.4--0.386069999999978</f>
        <v>1453.9828650000002</v>
      </c>
      <c r="AB159" s="3">
        <f>1471.7+(606.9-491.6)+(-3.752835+(-1.547595--1.25358))+0-148--0.377399999999979</f>
        <v>1435.3305500000001</v>
      </c>
      <c r="AC159" s="3">
        <f>1470.9+(605.6-515.2)+(-3.750795+(-1.54428--1.31376))+0-148.4--0.378419999999979</f>
        <v>1409.2971050000001</v>
      </c>
      <c r="AD159" s="2">
        <v>1431.7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1475.1+(521.1-481.2)+(-0.752301+(-0.265761--0.245412))+0-147.7--0.075326999999985</f>
        <v>1366.6026769999999</v>
      </c>
      <c r="G160" s="3">
        <f>1481.4+(440.7-455.3)+(3.022056+(0.899028-0.928812))+0-146.8-0.299471999999994</f>
        <v>1322.6928000000003</v>
      </c>
      <c r="H160" s="3">
        <f>1497.7+(351-410.3)+(-2.291481+(-0.53703--0.627759))+0-146.3--0.223839000000008</f>
        <v>1290.1230870000002</v>
      </c>
      <c r="I160" s="3">
        <f>1509+(326.2-425.9)+(1.53918+(0.332724-0.434418))+0-145.9-0.148818000000023</f>
        <v>1264.6886679999998</v>
      </c>
      <c r="J160" s="3">
        <f>1513.7+(316.4-442.1)+(-3.087948+(-0.645456--0.901884))+0-144.5--0.294779999999994</f>
        <v>1240.96326</v>
      </c>
      <c r="K160" s="3">
        <f>1513.8+(317.6-466.1)+(-0.772038+(-0.161976--0.237711))+0-145.4--0.0741539999999853</f>
        <v>1219.2778509999998</v>
      </c>
      <c r="L160" s="3">
        <f>1524.5+(273.6-485)+(-3.887475+(-0.69768--1.23675))+0-147.5--0.376124999999979</f>
        <v>1162.62772</v>
      </c>
      <c r="M160" s="3">
        <f>1517.1+(271.6-468.3)+(0+(0-0))+0-147.4-0</f>
        <v>1172.9999999999998</v>
      </c>
      <c r="N160" s="3">
        <f>1507.6+(306.3-441.4)+(0.768876+(0.156213-0.225114))+0-148.5-0.0757349999999849</f>
        <v>1224.6242400000001</v>
      </c>
      <c r="O160" s="3">
        <f>1491.7+(419-421.3)+(0.760767+(0.21369-0.214863))+0-149-0.0759899999999849</f>
        <v>1341.0836040000002</v>
      </c>
      <c r="P160" s="3">
        <f>1476.5+(347-327.6)+(-0.753015+(-0.17697--0.167076))+0-130.9--0.0667589999999867</f>
        <v>1364.30385</v>
      </c>
      <c r="Q160" s="3">
        <f>1462.8+(406.8-327.1)+(1.492056+(0.414936-0.333642))+0-122-0.124440000000019</f>
        <v>1421.9489099999998</v>
      </c>
      <c r="R160" s="3">
        <f>1451.7+(536-363.3)+(-0.740367+(-0.27336--0.185283))+0-123.2--0.0628319999999875</f>
        <v>1500.4343880000001</v>
      </c>
      <c r="S160" s="3">
        <f>1437.1+(576.7-461.5)+(-1.465842+(-0.588234--0.47073))+0-125.1--0.12760200000002</f>
        <v>1425.7442560000002</v>
      </c>
      <c r="T160" s="3">
        <f>1426.2+(733.6-579.8)+(0+(0-0))+0-126.3-0</f>
        <v>1453.7</v>
      </c>
      <c r="U160" s="3">
        <f>1422.6+(657.2-495.8)+(0.725526+(0.335172-0.252858))+0-129.3-0.0659429999999869</f>
        <v>1455.4418969999999</v>
      </c>
      <c r="V160" s="3">
        <f>1417.3+(551.4-374.1)+(-0.722823+(-0.281214--0.190791))+0-138--0.070379999999986</f>
        <v>1455.8571339999999</v>
      </c>
      <c r="W160" s="3">
        <f>1411.8+(341.5-221)+(-1.440036+(-0.34833--0.22542))+0-142--0.144840000000023</f>
        <v>1388.8818939999999</v>
      </c>
      <c r="X160" s="3">
        <f>1420.3+(407.9-387.6)+(1.448706+(0.416058-0.395352))+0-136.7-0.139434000000022</f>
        <v>1305.2299779999998</v>
      </c>
      <c r="Y160" s="3">
        <f>1433.1+(451.1-396.8)+(0.730881+(0.230061-0.202368))+0-135-0.0688499999999863</f>
        <v>1353.0897239999999</v>
      </c>
      <c r="Z160" s="3">
        <f>1463.8+(465.6-321.4)+(-1.493076+(-0.474912--0.327828))+0-136.9--0.139638000000022</f>
        <v>1469.5994780000001</v>
      </c>
      <c r="AA160" s="3">
        <f>1473.9+(500-371.8)+(-2.255067+(-0.765--0.568854))+0-133.9--0.204867000000008</f>
        <v>1465.9536539999999</v>
      </c>
      <c r="AB160" s="3">
        <f>1470.8+(510.5-404.7)+(-2.250324+(-0.781065--0.619191))+0-131.7--0.201501000000008</f>
        <v>1442.6893029999999</v>
      </c>
      <c r="AC160" s="3">
        <f>1472.7+(499.3-436.2)+(-3.755385+(-1.273215--1.11231))+0-129.5--0.330224999999981</f>
        <v>1402.7139350000002</v>
      </c>
      <c r="AD160" s="2">
        <v>1449.5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1478.8+(463.6-462)+(0+(0-0))+0-124.9-0</f>
        <v>1355.5</v>
      </c>
      <c r="G161" s="3">
        <f>1487.4+(390.6-449.7)+(-0.758574+(-0.199206--0.229347))+0-125.1--0.0638009999999873</f>
        <v>1302.5353680000003</v>
      </c>
      <c r="H161" s="3">
        <f>1503.3+(327.7-437.5)+(0+(0-0))+0-126-0</f>
        <v>1267.5</v>
      </c>
      <c r="I161" s="3">
        <f>1512.1+(288.3-431.8)+(-3.084684+(-0.588132--0.880872))+0-127.7--0.260507999999994</f>
        <v>1238.3685639999999</v>
      </c>
      <c r="J161" s="3">
        <f>1512.6+(295.6-452.3)+(0+(0-0))+0-127.5-0</f>
        <v>1228.3999999999999</v>
      </c>
      <c r="K161" s="3">
        <f>1524.2+(267.9-440.5)+(-3.88671+(-0.683145--1.123275))+0-129.8--0.330989999999981</f>
        <v>1218.6844099999998</v>
      </c>
      <c r="L161" s="3">
        <f>1529.3+(242.3-481.5)+(-3.899715+(-0.617865--1.227825))+0-124.6--0.317729999999982</f>
        <v>1162.527975</v>
      </c>
      <c r="M161" s="3">
        <f>1526.3+(242.7-459.5)+(0.778413+(0.123777-0.234345))+0-125.5-0.0640049999999873</f>
        <v>1184.60384</v>
      </c>
      <c r="N161" s="3">
        <f>1509.9+(259.8-409.2)+(0+(0-0))+0-130.8-0</f>
        <v>1229.7</v>
      </c>
      <c r="O161" s="3">
        <f>1496.8+(371-378.2)+(1.526736+(0.37842-0.385764))+0-145-0.147900000000023</f>
        <v>1345.9714919999999</v>
      </c>
      <c r="P161" s="3">
        <f>1483.7+(325.2-322.2)+(0+(0-0))+0-128.9-0</f>
        <v>1357.8</v>
      </c>
      <c r="Q161" s="3">
        <f>1464.6+(387.2-321)+(0.746946+(0.197472-0.16371))+0-127.7-0.065126999999987</f>
        <v>1403.8155809999998</v>
      </c>
      <c r="R161" s="3">
        <f>1471.9+(466.3-375.2)+(-1.501338+(-0.475626--0.382704))+0-128.5--0.13107000000002</f>
        <v>1433.0368099999998</v>
      </c>
      <c r="S161" s="3">
        <f>1463.5+(579.6-447.6)+(-0.746385+(-0.295596--0.228276))+0-149.1--0.0760409999999849</f>
        <v>1445.6623360000001</v>
      </c>
      <c r="T161" s="3">
        <f>1452+(695.6-527.9)+(-1.48104+(-0.709512--0.538458))+0-163.9--0.167178000000026</f>
        <v>1454.3150839999998</v>
      </c>
      <c r="U161" s="3">
        <f>1445.4+(680.6-505.1)+(2.211462+(1.041318-0.772803))+0-168.5-0.25780500000001</f>
        <v>1454.6221720000001</v>
      </c>
      <c r="V161" s="3">
        <f>1436.8+(549.8-378.4)+(0+(0-0))+0-170.2-0</f>
        <v>1437.9999999999998</v>
      </c>
      <c r="W161" s="3">
        <f>1427.6+(425.7-305.3)+(-2.184228+(-0.651321--0.467109))+0-168.1--0.25719300000001</f>
        <v>1377.788753</v>
      </c>
      <c r="X161" s="3">
        <f>1427.6+(376.1-340.2)+(-5.096532+(-1.342677--1.214514))+0-174.7--0.623679000000002</f>
        <v>1284.1989839999999</v>
      </c>
      <c r="Y161" s="3">
        <f>1434.9+(465.4-365.8)+(0+(0-0))+0-179.3-0</f>
        <v>1355.2</v>
      </c>
      <c r="Z161" s="3">
        <f>1460+(511.6-328.7)+(0.7446+(0.260916-0.167637))+0-186-0.0948599999999811</f>
        <v>1457.6430190000001</v>
      </c>
      <c r="AA161" s="3">
        <f>1476.4+(542.4-384.5)+(-3.011856+(-1.106496--0.78438))+0-190--0.387599999999992</f>
        <v>1441.3536280000003</v>
      </c>
      <c r="AB161" s="3">
        <f>1489+(552.4-430.2)+(0+(0-0))+0-181.7-0</f>
        <v>1429.5</v>
      </c>
      <c r="AC161" s="3">
        <f>1487.1+(489.9-408)+(-0.758421+(-0.249849--0.20808))+0-180.7--0.0921569999999817</f>
        <v>1387.5919670000001</v>
      </c>
      <c r="AD161" s="2">
        <v>1443.3000000000002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1495.5+(430.9-408.6)+(-1.52541+(-0.439518--0.416772))+0-178.2--0.181764000000028</f>
        <v>1338.2336079999998</v>
      </c>
      <c r="G162" s="3">
        <f>1499+(380.9-406.1)+(-0.76449+(-0.194259--0.207111))+0-183.9--0.0937889999999813</f>
        <v>1289.2421509999999</v>
      </c>
      <c r="H162" s="3">
        <f>1507.2+(325.4-395.2)+(-2.306016+(-0.497862--0.604656))+0-182.5--0.279225000000011</f>
        <v>1252.9800030000001</v>
      </c>
      <c r="I162" s="3">
        <f>1509.4+(295.9-386.8)+(-0.769794+(-0.150909--0.197268))+0-185.7--0.0947069999999812</f>
        <v>1232.1712719999998</v>
      </c>
      <c r="J162" s="3">
        <f>1488.9+(334.9-428.9)+(2.278017+(0.512397-0.656217))+0-183.5-0.280755000000011</f>
        <v>1213.2534420000002</v>
      </c>
      <c r="K162" s="3">
        <f>1478.8+(311.5-423.8)+(2.262564+(0.476595-0.648414))+0-182.1-0.27861300000001</f>
        <v>1186.2121320000001</v>
      </c>
      <c r="L162" s="3">
        <f>1479.4+(256.6-403.7)+(1.508988+(0.261732-0.411774))+0-180.5-0.184110000000029</f>
        <v>1152.9748360000003</v>
      </c>
      <c r="M162" s="3">
        <f>1476+(235.6-375.1)+(0+(0-0))+0-181.9-0</f>
        <v>1154.5999999999999</v>
      </c>
      <c r="N162" s="3">
        <f>1471.7+(253.8-321)+(-2.251701+(-0.388314--0.49113))+0-184.4--0.282132000000011</f>
        <v>1218.2332469999999</v>
      </c>
      <c r="O162" s="3">
        <f>1452.9+(298.1-274.8)+(0.740979+(0.152031-0.140148))+0-182.5-0.0930749999999815</f>
        <v>1294.3597870000001</v>
      </c>
      <c r="P162" s="3">
        <f>1442.3+(362-269.7)+(3.677865+(0.9231-0.687735))+0-177.9-0.453644999999974</f>
        <v>1360.1595849999999</v>
      </c>
      <c r="Q162" s="3">
        <f>1431.3+(483.9-311.3)+(0.729963+(0.246789-0.158763))+0-181.2-0.0924119999999816</f>
        <v>1423.4255769999997</v>
      </c>
      <c r="R162" s="3">
        <f>1420+(600.2-405.6)+(-0.7242+(-0.306102--0.206856))+0-174.4--0.0889439999999823</f>
        <v>1439.4654979999998</v>
      </c>
      <c r="S162" s="3">
        <f>1404.9+(708.8-486.3)+(0+(0-0))+0-178.3-0</f>
        <v>1449.1000000000001</v>
      </c>
      <c r="T162" s="3">
        <f>1402+(743.3-513.3)+(-0.71502+(-0.379083--0.261783))+0-181.5--0.0925649999999816</f>
        <v>1449.7602449999999</v>
      </c>
      <c r="U162" s="3">
        <f>1393.8+(719.6-501.7)+(-0.710838+(-0.366996--0.255867))+0-183.7--0.0936869999999814</f>
        <v>1427.27172</v>
      </c>
      <c r="V162" s="3">
        <f>1391.4+(598.1-376.4)+(-1.419228+(-0.610062--0.383928))+0-189--0.19278000000003</f>
        <v>1422.6474180000002</v>
      </c>
      <c r="W162" s="3">
        <f>1395.4+(402.8-255.6)+(-0.711654+(-0.205428--0.130356))+0-185.4--0.0945539999999812</f>
        <v>1356.507828</v>
      </c>
      <c r="X162" s="3">
        <f>1390.4+(372.5-310.1)+(-2.127312+(-0.569925--0.474453))+0-185--0.283050000000011</f>
        <v>1265.8602660000001</v>
      </c>
      <c r="Y162" s="3">
        <f>1395.2+(416.3-292.2)+(0+(0-0))+0-183.7-0</f>
        <v>1335.6000000000001</v>
      </c>
      <c r="Z162" s="3">
        <f>1435+(525.3-328.8)+(-1.4637+(-0.535806--0.335376))+0-187.4--0.19114800000003</f>
        <v>1442.6270179999999</v>
      </c>
      <c r="AA162" s="3">
        <f>1473.9+(568-408.6)+(-0.751689+(-0.28968--0.208386))+0-192.9--0.0983789999999804</f>
        <v>1439.6653960000001</v>
      </c>
      <c r="AB162" s="3">
        <f>1483.2+(624.7-501)+(-0.756432+(-0.318597--0.25551))+0-192.6--0.0982259999999805</f>
        <v>1413.5787070000003</v>
      </c>
      <c r="AC162" s="3">
        <f>1473.7+(644.3-562.1)+(-2.254761+(-0.985779--0.860013))+0-182--0.278460000000011</f>
        <v>1371.7979330000001</v>
      </c>
      <c r="AD162" s="2">
        <v>1437.1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1472.7+(641.9-614.5)+(-1.502154+(-0.654738--0.62679))+0-181.8--0.185436000000029</f>
        <v>1316.955334</v>
      </c>
      <c r="G163" s="3">
        <f>1495.8+(559.4-595)+(-3.051432+(-1.141176--1.2138))+0-185.4--0.378215999999992</f>
        <v>1272.1994079999997</v>
      </c>
      <c r="H163" s="3">
        <f>1496.3+(469.1-552.6)+(-2.289339+(-0.717723--0.845478))+0-184.3--0.281979000000011</f>
        <v>1226.6203950000001</v>
      </c>
      <c r="I163" s="3">
        <f>1505.5+(424.8-534.6)+(-3.839025+(-1.08324--1.36323))+0-190.1--0.484754999999972</f>
        <v>1202.5257200000001</v>
      </c>
      <c r="J163" s="3">
        <f>1509.8+(395.6-529.2)+(3.079992+(0.807024-1.079568))+0-188-0.383519999999992</f>
        <v>1190.6239279999998</v>
      </c>
      <c r="K163" s="3">
        <f>1511.6+(343.5-483.3)+(1.541832+(0.35037-0.492966))+0-187.7-0.19145400000003</f>
        <v>1185.3077819999999</v>
      </c>
      <c r="L163" s="3">
        <f>1519.7+(253.3-437.8)+(-2.325141+(-0.387549--0.669834))+0-186.8--0.285804000000011</f>
        <v>1146.6429480000002</v>
      </c>
      <c r="M163" s="3">
        <f>1515.2+(249.6-420.8)+(0.772752+(0.127296-0.214608))+0-184.9-0.0942989999999812</f>
        <v>1159.6911409999998</v>
      </c>
      <c r="N163" s="3">
        <f>1501.8+(266.2-365.9)+(0+(0-0))+0-181.7-0</f>
        <v>1220.3999999999999</v>
      </c>
      <c r="O163" s="3">
        <f>1487+(364.8-378)+(0.75837+(0.186048-0.19278))+0-174.8-0.0891479999999823</f>
        <v>1299.6624899999999</v>
      </c>
      <c r="P163" s="3">
        <f>1463.8+(430.7-344.3)+(0.746538+(0.219657-0.175593))+0-178.4-0.0909839999999819</f>
        <v>1372.4996179999998</v>
      </c>
      <c r="Q163" s="3">
        <f>1449.8+(487.8-324.9)+(2.218194+(0.746334-0.497097))+0-178.8-0.27356400000001</f>
        <v>1436.093867</v>
      </c>
      <c r="R163" s="3">
        <f>1451.9+(616.2-427.4)+(1.480938+(0.628524-0.435948))+0-179.1-0.182682000000029</f>
        <v>1463.0908320000003</v>
      </c>
      <c r="S163" s="3">
        <f>1442.3+(799.7-579.4)+(0.735573+(0.407847-0.295494))+0-182.4-0.0930239999999815</f>
        <v>1480.9549019999997</v>
      </c>
      <c r="T163" s="3">
        <f>1437+(856.7-636)+(0+(0-0))+0-182.6-0</f>
        <v>1475.1000000000001</v>
      </c>
      <c r="U163" s="3">
        <f>1432.8+(818.5-606.3)+(-0.730728+(-0.417435--0.309213))+0-180.4--0.0920039999999817</f>
        <v>1463.8530539999999</v>
      </c>
      <c r="V163" s="3">
        <f>1429.2+(725.3-505.4)+(-3.64446+(-1.849515--1.28877))+0-181.5--0.462824999999974</f>
        <v>1463.85762</v>
      </c>
      <c r="W163" s="3">
        <f>1412+(492.2-336.2)+(-4.32072+(-1.506132--1.028772))+0-185.4--0.567324000000021</f>
        <v>1378.369244</v>
      </c>
      <c r="X163" s="3">
        <f>1407.7+(428.8-338.7)+(-2.153781+(-0.656064--0.518211))+0-183.9--0.281367000000011</f>
        <v>1311.8897330000002</v>
      </c>
      <c r="Y163" s="3">
        <f>1425.8+(514.7-378.6)+(0.727158+(0.262497-0.193086))+0-181.3-0.0924629999999816</f>
        <v>1381.3041060000003</v>
      </c>
      <c r="Z163" s="3">
        <f>1446+(647.7-436.6)+(-1.47492+(-0.660654--0.445332))+0-187.1--0.19084200000003</f>
        <v>1468.5006000000001</v>
      </c>
      <c r="AA163" s="3">
        <f>1460.4+(690.6-500.8)+(-2.979216+(-1.408824--1.021632))+0-187.8--0.383111999999992</f>
        <v>1459.416704</v>
      </c>
      <c r="AB163" s="3">
        <f>1473.1+(708.4-567.2)+(-2.253843+(-1.083852--0.867816))+0-181.1--0.27708300000001</f>
        <v>1431.0072039999998</v>
      </c>
      <c r="AC163" s="3">
        <f>1464.4+(628-517.5)+(2.240532+(0.96084-0.791775))+0-183-0.279990000000011</f>
        <v>1394.0296070000002</v>
      </c>
      <c r="AD163" s="2">
        <v>1463.3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1488.6+(545.4-504.4)+(-1.518372+(-0.556308--0.514488))+0-181.4--0.185028000000029</f>
        <v>1346.824836</v>
      </c>
      <c r="G164" s="3">
        <f>1490.2+(473.7-477.2)+(0.760002+(0.241587-0.243372))+0-182.1-0.0928709999999815</f>
        <v>1305.2653460000001</v>
      </c>
      <c r="H164" s="3">
        <f>1497.4+(420.9-471.4)+(1.527348+(0.429318-0.480828))+0-182-0.185640000000029</f>
        <v>1266.1901980000002</v>
      </c>
      <c r="I164" s="3">
        <f>1508.1+(403.1-488.9)+(-1.538262+(-0.411162--0.498678))+0-185.4--0.18910800000003</f>
        <v>1235.6383619999999</v>
      </c>
      <c r="J164" s="3">
        <f>1327.8+(578.2-501)+(4.063068+(1.769292-1.53306))+0-182.4-0.558144000000021</f>
        <v>1226.3411559999997</v>
      </c>
      <c r="K164" s="3">
        <f>1432.3+(412.6-462.4)+(2.921892+(0.841704-0.943296))+0-176.4-0.359855999999992</f>
        <v>1208.560444</v>
      </c>
      <c r="L164" s="3">
        <f>1470.4+(265.3-402.6)+(1.499808+(0.270606-0.410652))+0-174.4-0.177888000000028</f>
        <v>1159.8818740000002</v>
      </c>
      <c r="M164" s="3">
        <f>1475.2+(238.2-378.8)+(4.514112+(0.728892-1.159128))+0-177-0.54162000000002</f>
        <v>1161.1422559999999</v>
      </c>
      <c r="N164" s="3">
        <f>1445.8+(289.1-333.2)+(2.212074+(0.442323-0.509796))+0-181.9-0.278307000000011</f>
        <v>1221.6662939999999</v>
      </c>
      <c r="O164" s="3">
        <f>1434.3+(369.9-310)+(0+(0-0))+0-181.4-0</f>
        <v>1312.7999999999997</v>
      </c>
      <c r="P164" s="3">
        <f>1429.8+(408.7-284.2)+(0.729198+(0.208437-0.144942))+0-176.6-0.0900659999999821</f>
        <v>1378.4026270000002</v>
      </c>
      <c r="Q164" s="3">
        <f>1440+(475.3-288.9)+(0.7344+(0.242403-0.147339))+0-182.8-0.0932279999999815</f>
        <v>1444.3362360000001</v>
      </c>
      <c r="R164" s="3">
        <f>1432+(645.6-437.5)+(-2.19096+(-0.987768--0.669375))+0-183.2--0.280296000000011</f>
        <v>1454.6709429999999</v>
      </c>
      <c r="S164" s="3">
        <f>1427.2+(811.9-594.7)+(-2.183616+(-1.242207--0.909891))+0-180.2--0.27570600000001</f>
        <v>1461.9597739999999</v>
      </c>
      <c r="T164" s="3">
        <f>1428.2+(851.1-637.7)+(-0.728382+(-0.434061--0.325227))+0-178.3--0.0909329999999819</f>
        <v>1462.553717</v>
      </c>
      <c r="U164" s="3">
        <f>1425.6+(845.9-645.8)+(0+(0-0))+0-176-0</f>
        <v>1449.6999999999998</v>
      </c>
      <c r="V164" s="3">
        <f>1425.2+(676.5-503.4)+(-0.726852+(-0.345015--0.256734))+0-180.2--0.0919019999999817</f>
        <v>1417.376769</v>
      </c>
      <c r="W164" s="3">
        <f>1413.5+(414.4-297.5)+(0+(0-0))+0-184-0</f>
        <v>1346.4</v>
      </c>
      <c r="X164" s="3">
        <f>1404.8+(304.8-267.1)+(-2.149344+(-0.466344--0.408663))+0-182.6--0.279378000000011</f>
        <v>1257.9723530000001</v>
      </c>
      <c r="Y164" s="3">
        <f>1420.7+(417.2-325.1)+(0+(0-0))+0-177.2-0</f>
        <v>1335.6</v>
      </c>
      <c r="Z164" s="3">
        <f>1454.3+(556.2-423.9)+(0+(0-0))+0-180.8-0</f>
        <v>1405.8</v>
      </c>
      <c r="AA164" s="3">
        <f>1444.9+(597.1-473)+(-2.210697+(-0.913563--0.72369))+0-180.2--0.27570600000001</f>
        <v>1386.6751359999998</v>
      </c>
      <c r="AB164" s="3">
        <f>1436.4+(637.5-522.3)+(-3.66282+(-1.625625--1.331865))+0-175.4--0.447269999999975</f>
        <v>1372.6906899999999</v>
      </c>
      <c r="AC164" s="3">
        <f>1458.4+(577.3-502.9)+(-1.487568+(-0.588846--0.512958))+0-178.3--0.181866000000028</f>
        <v>1353.1184100000003</v>
      </c>
      <c r="AD164" s="2">
        <v>1384.2999999999997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1484.4+(530.3-509.7)+(-2.271132+(-0.811359--0.779841))+0-179.4--0.27448200000001</f>
        <v>1323.5718319999999</v>
      </c>
      <c r="G165" s="3">
        <f>1486.3+(498.7-518.6)+(-2.274039+(-0.763011--0.793458))+0-177.1--0.27096300000001</f>
        <v>1287.3273709999999</v>
      </c>
      <c r="H165" s="3">
        <f>1489.3+(446.8-517.1)+(-1.519086+(-0.455736--0.527442))+0-173--0.176460000000028</f>
        <v>1244.7290800000001</v>
      </c>
      <c r="I165" s="3">
        <f>1495.4+(395.2-501.3)+(0.762654+(0.201552-0.255663))+0-172-0.0877199999999825</f>
        <v>1217.9208230000002</v>
      </c>
      <c r="J165" s="3">
        <f>1500.4+(361.7-497.8)+(-3.060816+(-0.737868--1.015512))+0-172.3--0.351491999999992</f>
        <v>1189.5683200000003</v>
      </c>
      <c r="K165" s="3">
        <f>1501.3+(364.3-514.5)+(-2.296989+(-0.557379--0.787185))+0-176.1--0.26943300000001</f>
        <v>1173.2022499999998</v>
      </c>
      <c r="L165" s="3">
        <f>1504.9+(234.9-443.8)+(-3.837495+(-0.598995--1.13169))+0-167.5--0.427124999999976</f>
        <v>1125.622325</v>
      </c>
      <c r="M165" s="3">
        <f>1494.5+(236.7-435.5)+(0.762195+(0.120717-0.222105))+0-168.6-0.0859859999999829</f>
        <v>1127.6748210000001</v>
      </c>
      <c r="N165" s="3">
        <f>1485.1+(252.3-423.8)+(0.757401+(0.128673-0.216138))+0-176.2-0.0898619999999821</f>
        <v>1137.9800739999998</v>
      </c>
      <c r="O165" s="3">
        <f>1471+(278.6-355.5)+(-1.50042+(-0.284172--0.36261))+0-182.3--0.185946000000029</f>
        <v>1210.5639639999999</v>
      </c>
      <c r="P165" s="3">
        <f>1454.8+(344.3-336.9)+(0+(0-0))+0-178.6-0</f>
        <v>1283.6000000000001</v>
      </c>
      <c r="Q165" s="3">
        <f>1436.5+(444.7-360.6)+(0+(0-0))+0-178.9-0</f>
        <v>1341.6999999999998</v>
      </c>
      <c r="R165" s="3">
        <f>1416.9+(511.8-391.4)+(-0.722619+(-0.261018--0.199614))+0-176.3--0.0899129999999821</f>
        <v>1360.3058900000003</v>
      </c>
      <c r="S165" s="3">
        <f>1409.7+(726.4-556.3)+(-2.156841+(-1.111392--0.851139))+0-182.7--0.279531000000011</f>
        <v>1394.9624370000001</v>
      </c>
      <c r="T165" s="3">
        <f>1394.8+(802.8-602.8)+(-2.845392+(-1.637712--1.229712))+0-183.9--0.375155999999992</f>
        <v>1408.0217639999998</v>
      </c>
      <c r="U165" s="3">
        <f>1394.8+(796.3-607.4)+(0.711348+(0.406113-0.309774))+0-178-0.0907799999999819</f>
        <v>1406.4169069999998</v>
      </c>
      <c r="V165" s="3">
        <f>1389+(671.5-493.6)+(-3.54195+(-1.712325--1.25868))+0-183.8--0.468689999999973</f>
        <v>1379.573095</v>
      </c>
      <c r="W165" s="3">
        <f>1388.2+(460.3-331.9)+(-3.53991+(-1.173765--0.846345))+0-184.5--0.470474999999973</f>
        <v>1328.7031450000002</v>
      </c>
      <c r="X165" s="3">
        <f>1386.2+(309.4-265.6)+(-1.413924+(-0.315588--0.270912))+0-181.2--0.184824000000029</f>
        <v>1247.526224</v>
      </c>
      <c r="Y165" s="3">
        <f>1418.3+(358.5-295.5)+(0.723333+(0.182835-0.150705))+0-182.2-0.0929219999999815</f>
        <v>1299.7625409999998</v>
      </c>
      <c r="Z165" s="3">
        <f>1424.3+(548-388)+(0+(0-0))+0-185-0</f>
        <v>1399.3</v>
      </c>
      <c r="AA165" s="3">
        <f>1452.2+(581-456.6)+(-2.962488+(-1.18524--0.931464))+0-174--0.354959999999992</f>
        <v>1399.7386959999999</v>
      </c>
      <c r="AB165" s="3">
        <f>1446+(605-507.5)+(0+(0-0))+0-155.3-0</f>
        <v>1388.2</v>
      </c>
      <c r="AC165" s="3">
        <f>1475.7+(633.3-592.2)+(-0.752607+(-0.322983--0.302022))+0-158.7--0.0809369999999839</f>
        <v>1357.4073689999998</v>
      </c>
      <c r="AD165" s="2">
        <v>1379.5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1469.1+(592.8-578.2)+(-1.498482+(-0.604656--0.589764))+0-158.8--0.161976000000025</f>
        <v>1323.5486019999998</v>
      </c>
      <c r="G166" s="3">
        <f>1477.1+(478.8-524.1)+(-0.753321+(-0.244188--0.267291))+0-155.4--0.0792539999999842</f>
        <v>1275.7490359999999</v>
      </c>
      <c r="H166" s="3">
        <f>1481.1+(423.8-511.1)+(-1.510722+(-0.432276--0.521322))+0-152.1--0.155142000000024</f>
        <v>1240.4334660000002</v>
      </c>
      <c r="I166" s="3">
        <f>1456.5+(441.6-537.7)+(2.228445+(0.675648-0.822681))+0-150.7-0.230571000000009</f>
        <v>1211.550841</v>
      </c>
      <c r="J166" s="3">
        <f>1438.6+(372.6-467.3)+(-0.733686+(-0.190026--0.238323))+0-152.3--0.0776729999999846</f>
        <v>1190.9922839999999</v>
      </c>
      <c r="K166" s="3">
        <f>1447.6+(307-416.3)+(-3.69138+(-0.78285--1.061565))+0-152.6--0.389129999999978</f>
        <v>1182.676465</v>
      </c>
      <c r="L166" s="3">
        <f>1457.9+(256.6-414.6)+(-2.974116+(-0.523464--0.845784))+0-151.9--0.309875999999993</f>
        <v>1145.6580799999999</v>
      </c>
      <c r="M166" s="3">
        <f>1456.6+(231.3-374.9)+(0.742866+(0.117963-0.191199))+0-155.5-0.0793049999999842</f>
        <v>1158.0903250000001</v>
      </c>
      <c r="N166" s="3">
        <f>1443.8+(263.5-333.5)+(0+(0-0))+0-151-0</f>
        <v>1222.8</v>
      </c>
      <c r="O166" s="3">
        <f>1424.6+(334-315.2)+(0+(0-0))+0-152.1-0</f>
        <v>1291.3</v>
      </c>
      <c r="P166" s="3">
        <f>1342.7+(444.4-247.7)+(1.369554+(0.453288-0.252654))+0-156.1-0.159222000000025</f>
        <v>1384.7109660000001</v>
      </c>
      <c r="Q166" s="3">
        <f>1393.3+(478.1-289.7)+(0+(0-0))+0-152.4-0</f>
        <v>1429.3</v>
      </c>
      <c r="R166" s="3">
        <f>1424+(635.6-449.5)+(0+(0-0))+0-152.7-0</f>
        <v>1457.3999999999999</v>
      </c>
      <c r="S166" s="3">
        <f>1425.9+(809.5-617.2)+(-2.908836+(-1.65138--1.259088))+0-148.3--0.302531999999994</f>
        <v>1466.901404</v>
      </c>
      <c r="T166" s="3">
        <f>1421.7+(840.9-648.6)+(-2.175201+(-1.286577--0.992358))+0-140.9--0.215577000000008</f>
        <v>1470.8461569999999</v>
      </c>
      <c r="U166" s="3">
        <f>1413.3+(729.6-547.5)+(0.720783+(0.372096-0.279225))+0-144.9-0.0738989999999853</f>
        <v>1451.2397550000001</v>
      </c>
      <c r="V166" s="3">
        <f>1409.5+(605.4-415.8)+(0.718845+(0.308754-0.212058))+0-152.1-0.0775709999999846</f>
        <v>1447.7379699999999</v>
      </c>
      <c r="W166" s="3">
        <f>1405.1+(382.2-221.6)+(0+(0-0))+0-170.6-0</f>
        <v>1395.1</v>
      </c>
      <c r="X166" s="3">
        <f>1412.4+(411.3-335.1)+(1.440648+(0.419526-0.341802))+0-172.8-0.176256000000028</f>
        <v>1317.1421160000002</v>
      </c>
      <c r="Y166" s="3">
        <f>1429.5+(463.7-361.5)+(0+(0-0))+0-173.5-0</f>
        <v>1358.2</v>
      </c>
      <c r="Z166" s="3">
        <f>1451.9+(488.8-319.8)+(-0.740469+(-0.249288--0.163098))+0-175.1--0.0893009999999822</f>
        <v>1445.0626420000001</v>
      </c>
      <c r="AA166" s="3">
        <f>1475.8+(509.9-370.2)+(-0.752658+(-0.260049--0.188802))+0-174.7--0.0890969999999823</f>
        <v>1440.065192</v>
      </c>
      <c r="AB166" s="3">
        <f>1490.8+(518-422.9)+(-1.520616+(-0.52836--0.431358))+0-174.8--0.178296000000028</f>
        <v>1409.6606780000002</v>
      </c>
      <c r="AC166" s="3">
        <f>1488.4+(483.1-416.9)+(-1.518168+(-0.492762--0.425238))+0-176.4--0.179928000000028</f>
        <v>1376.794236</v>
      </c>
      <c r="AD166" s="2">
        <v>1420.1999999999998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1488+(444.1-432.6)+(-2.27664+(-0.679473--0.661878))+0-178.7--0.27341100000001</f>
        <v>1318.779176</v>
      </c>
      <c r="G167" s="3">
        <f>1498.1+(377-414)+(-3.820155+(-0.96135--1.0557))+0-176.7--0.450584999999974</f>
        <v>1281.1247799999999</v>
      </c>
      <c r="H167" s="3">
        <f>1503.5+(352.7-443.1)+(-1.53357+(-0.359754--0.451962))+0-175.2--0.178704000000028</f>
        <v>1236.6373419999998</v>
      </c>
      <c r="I167" s="3">
        <f>1511.7+(327.1-439.8)+(-3.083868+(-0.667284--0.897192))+0-183--0.373319999999992</f>
        <v>1213.51936</v>
      </c>
      <c r="J167" s="3">
        <f>1512.5+(333.9-477.1)+(-0.771375+(-0.170289--0.243321))+0-181.1--0.0923609999999816</f>
        <v>1187.594018</v>
      </c>
      <c r="K167" s="3">
        <f>1520.2+(275.6-434)+(-0.775302+(-0.140556--0.22134))+0-179.9--0.0917489999999817</f>
        <v>1181.297231</v>
      </c>
      <c r="L167" s="3">
        <f>1529.3+(214.8-436)+(-5.459601+(-0.766836--1.55652))+0-180.2--0.643314000000002</f>
        <v>1123.8733969999998</v>
      </c>
      <c r="M167" s="3">
        <f>1522.7+(238.7-421.7)+(0.776577+(0.121737-0.215067))+0-180.6-0.0921059999999817</f>
        <v>1159.691141</v>
      </c>
      <c r="N167" s="3">
        <f>1512.5+(325.8-434.8)+(-0.771375+(-0.166158--0.221748))+0-183.4--0.0935339999999814</f>
        <v>1219.4777489999999</v>
      </c>
      <c r="O167" s="3">
        <f>1491.6+(392-412.3)+(0+(0-0))+0-178-0</f>
        <v>1293.3</v>
      </c>
      <c r="P167" s="3">
        <f>1480.8+(432.4-372.9)+(-0.755208+(-0.220524--0.190179))+0-172.8--0.0881279999999825</f>
        <v>1366.8025749999999</v>
      </c>
      <c r="Q167" s="3">
        <f>1478.7+(459.7-329.2)+(-0.754137+(-0.234447--0.167892))+0-172.5--0.0879749999999825</f>
        <v>1435.967283</v>
      </c>
      <c r="R167" s="3">
        <f>1449.4+(524.6-335.5)+(-1.478388+(-0.535092--0.34221))+0-178.1--0.181662000000028</f>
        <v>1458.910392</v>
      </c>
      <c r="S167" s="3">
        <f>1454.7+(594.4-401.6)+(-0.741897+(-0.303144--0.204816))+0-179.7--0.0916469999999818</f>
        <v>1467.051422</v>
      </c>
      <c r="T167" s="3">
        <f>1447.9+(665.2-462.1)+(-3.692145+(-1.69626--1.178355))+0-173.8--0.443189999999975</f>
        <v>1473.4331400000001</v>
      </c>
      <c r="U167" s="3">
        <f>1443.2+(582.3-391.9)+(-1.472064+(-0.593946--0.399738))+0-172.9--0.176358000000028</f>
        <v>1459.2100859999998</v>
      </c>
      <c r="V167" s="3">
        <f>1403.5+(530.1-302.3)+(-0.715785+(-0.270351--0.154173))+0-174.4--0.0889439999999823</f>
        <v>1456.1569809999999</v>
      </c>
      <c r="W167" s="3">
        <f>1414.7+(383.4-227.5)+(-3.607485+(-0.97767--0.580125))+0-178.8--0.455939999999974</f>
        <v>1388.25091</v>
      </c>
      <c r="X167" s="3">
        <f>1410.6+(402.6-334.5)+(-2.877624+(-0.821304--0.68238))+0-180.1--0.367403999999992</f>
        <v>1295.9508559999999</v>
      </c>
      <c r="Y167" s="3">
        <f>1428.3+(426.7-326.3)+(0.728433+(0.217617-0.166413))+0-180.6-0.0921059999999817</f>
        <v>1348.7875309999999</v>
      </c>
      <c r="Z167" s="3">
        <f>1455.4+(491.7-317.7)+(0+(0-0))+0-183-0</f>
        <v>1446.4</v>
      </c>
      <c r="AA167" s="3">
        <f>1471.7+(531.1-372.5)+(-5.253969+(-1.896027--1.329825))+0-187.8--0.670446000000003</f>
        <v>1437.3502750000002</v>
      </c>
      <c r="AB167" s="3">
        <f>1477.6+(557.7-428.3)+(-2.260728+(-0.853281--0.655299))+0-184.4--0.282132000000011</f>
        <v>1420.4234219999998</v>
      </c>
      <c r="AC167" s="3">
        <f>1480.5+(503.4-423.1)+(-2.265165+(-0.770202--0.647343))+0-182.7--0.279531000000011</f>
        <v>1375.9915069999997</v>
      </c>
      <c r="AD167" s="2">
        <v>1440.7000000000003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1463.8+(432.3-420.4)+(-3.73269+(-1.102365--1.07202))+0-178.2--0.454409999999974</f>
        <v>1294.1913750000001</v>
      </c>
      <c r="G168" s="3">
        <f>1478.7+(382.7-439.3)+(-4.524822+(-1.171062--1.344258))+0-173.6--0.53121600000002</f>
        <v>1244.6795900000002</v>
      </c>
      <c r="H168" s="3">
        <f>1480.9+(352.5-442.7)+(-2.265777+(-0.539325--0.677331))+0-176--0.26928000000001</f>
        <v>1212.8415090000001</v>
      </c>
      <c r="I168" s="3">
        <f>1491.6+(317.3-448.7)+(-1.521432+(-0.323646--0.457674))+0-170.1--0.173502000000027</f>
        <v>1188.8860979999999</v>
      </c>
      <c r="J168" s="3">
        <f>1497.1+(258.6-406.1)+(-0.763521+(-0.131886--0.207111))+0-175.4--0.0894539999999822</f>
        <v>1173.6011579999997</v>
      </c>
      <c r="K168" s="3">
        <f>1512+(242.9-417.1)+(-2.31336+(-0.371637--0.638163))+0-176.5--0.27004500000001</f>
        <v>1159.5232109999999</v>
      </c>
      <c r="L168" s="3">
        <f>1506.9+(235.7-450.8)+(-0.768519+(-0.120207--0.229908))+0-174.2--0.0888419999999823</f>
        <v>1117.0300239999999</v>
      </c>
      <c r="M168" s="3">
        <f>1503.8+(339.6-538.3)+(0.766938+(0.173196-0.274533))+0-177.3-0.090422999999982</f>
        <v>1128.375178</v>
      </c>
      <c r="N168" s="3">
        <f>1515.8+(377.3-511.4)+(0.773058+(0.192423-0.260814))+0-180.4-0.0920039999999817</f>
        <v>1201.9126629999998</v>
      </c>
      <c r="O168" s="3">
        <f>1498.1+(356.9-398.7)+(-0.764031+(-0.182019--0.203337))+0-175.3--0.0894029999999822</f>
        <v>1280.3466899999999</v>
      </c>
      <c r="P168" s="3">
        <f>1484.3+(389.2-351)+(0.756993+(0.198492-0.17901))+0-175.1-0.0893009999999822</f>
        <v>1348.087174</v>
      </c>
      <c r="Q168" s="3">
        <f>1478+(442-334)+(0.75378+(0.22542-0.17034))+0-173-0.0882299999999824</f>
        <v>1413.72063</v>
      </c>
      <c r="R168" s="3">
        <f>1463.3+(422.4-288.9)+(0+(0-0))+0-168.4-0</f>
        <v>1428.3999999999999</v>
      </c>
      <c r="S168" s="3">
        <f>1452.4+(566.1-395.7)+(-0.740724+(-0.288711--0.201807))+0-176.6--0.0900659999999821</f>
        <v>1445.4624380000002</v>
      </c>
      <c r="T168" s="3">
        <f>1441.5+(624.3-440)+(-0.735165+(-0.318393--0.2244))+0-179.1--0.0913409999999818</f>
        <v>1445.9621830000001</v>
      </c>
      <c r="U168" s="3">
        <f>1435+(562.5-376.1)+(-3.65925+(-1.434375--0.959055))+0-178.8--0.455939999999974</f>
        <v>1438.9213700000003</v>
      </c>
      <c r="V168" s="3">
        <f>1429+(472.7-299.6)+(-2.18637+(-0.723231--0.458388))+0-182.4--0.279072000000011</f>
        <v>1417.5278589999998</v>
      </c>
      <c r="W168" s="3">
        <f>1424.6+(397.2-253.5)+(-4.359276+(-1.215432--0.77571))+0-186.3--0.570078000000022</f>
        <v>1377.77108</v>
      </c>
      <c r="X168" s="3">
        <f>1431.8+(391.9-354)+(-5.111526+(-1.399083--1.26378))+0-185.1--0.660807000000003</f>
        <v>1280.013978</v>
      </c>
      <c r="Y168" s="3">
        <f>1441.5+(383.2-298.6)+(0.735165+(0.195432-0.152286))+0-182.3-0.0929729999999815</f>
        <v>1344.485338</v>
      </c>
      <c r="Z168" s="3">
        <f>1463.1+(514.6-352.1)+(-0.746181+(-0.262446--0.179571))+0-179.9--0.0917489999999817</f>
        <v>1444.9626929999997</v>
      </c>
      <c r="AA168" s="3">
        <f>1487.9+(516.6-387)+(-3.035316+(-1.053864--0.78948))+0-181.3--0.369851999999992</f>
        <v>1433.2701520000001</v>
      </c>
      <c r="AB168" s="3">
        <f>1486.4+(481.3-389.1)+(-2.274192+(-0.736389--0.595323))+0-176.9--0.27065700000001</f>
        <v>1399.5553990000001</v>
      </c>
      <c r="AC168" s="3">
        <f>1496.6+(458.7-415.5)+(-1.526532+(-0.467874--0.42381))+0-178.2--0.181764000000028</f>
        <v>1360.2111679999998</v>
      </c>
      <c r="AD168" s="2">
        <v>1426.8999999999999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1502.9+(440.8-452.8)+(-2.299437+(-0.674424--0.692784))+0-177.3--0.27126900000001</f>
        <v>1311.5901920000001</v>
      </c>
      <c r="G169" s="3">
        <f>1496.6+(423.6-480.1)+(-0.763266+(-0.216036--0.244851))+0-179.3--0.0914429999999818</f>
        <v>1260.1569919999999</v>
      </c>
      <c r="H169" s="3">
        <f>1510+(378.3-490.1)+(-1.5402+(-0.385866--0.499902))+0-172.3--0.175746000000027</f>
        <v>1224.6495820000002</v>
      </c>
      <c r="I169" s="3">
        <f>1515.3+(324.3-462.4)+(-2.318409+(-0.496179--0.707472))+0-176.3--0.26973900000001</f>
        <v>1199.0626230000003</v>
      </c>
      <c r="J169" s="3">
        <f>1508.1+(290.1-434.6)+(3.076524+(0.591804-0.886584))+0-171.7-0.350267999999992</f>
        <v>1194.3314759999998</v>
      </c>
      <c r="K169" s="3">
        <f>1497.7+(251.2-396.2)+(-2.291481+(-0.384336--0.606186))+0-174.1--0.26637300000001</f>
        <v>1176.796742</v>
      </c>
      <c r="L169" s="3">
        <f>1499.4+(226.2-405.4)+(-3.82347+(-0.57681--1.03377))+0-176.3--0.449564999999974</f>
        <v>1140.9830549999999</v>
      </c>
      <c r="M169" s="3">
        <f>1496.6+(258.8-435.4)+(-0.763266+(-0.131988--0.222054))+0-183.5--0.0935849999999814</f>
        <v>1135.9203850000001</v>
      </c>
      <c r="N169" s="3">
        <f>1478.6+(315.1-445.2)+(-0.754086+(-0.160701--0.227052))+0-189.5--0.0966449999999808</f>
        <v>1158.4089100000001</v>
      </c>
      <c r="O169" s="3">
        <f>1429.6+(373.5-401.3)+(0+(0-0))+0-187.7-0</f>
        <v>1214.0999999999999</v>
      </c>
      <c r="P169" s="3">
        <f>1422.6+(354.5-300)+(0+(0-0))+0-188.9-0</f>
        <v>1288.1999999999998</v>
      </c>
      <c r="Q169" s="3">
        <f>1446.1+(386.8-274.7)+(0+(0-0))+0-185.1-0</f>
        <v>1373.1</v>
      </c>
      <c r="R169" s="3">
        <f>1436.2+(475-318.6)+(-2.197386+(-0.72675--0.487458))+0-181.3--0.27738900000001</f>
        <v>1409.140711</v>
      </c>
      <c r="S169" s="3">
        <f>1435.8+(626.4-450.8)+(-1.464516+(-0.638928--0.459816))+0-179.9--0.183498000000029</f>
        <v>1430.0398699999998</v>
      </c>
      <c r="T169" s="3">
        <f>1422.9+(700.5-518.2)+(0+(0-0))+0-176.4-0</f>
        <v>1428.8</v>
      </c>
      <c r="U169" s="3">
        <f>1413.5+(669.6-482.9)+(2.162655+(1.024488-0.738837))+0-172.9-0.26453700000001</f>
        <v>1429.4837689999999</v>
      </c>
      <c r="V169" s="3">
        <f>1416.1+(547.3-375.2)+(-3.611055+(-1.395615--0.95676))+0-175.5--0.447524999999975</f>
        <v>1409.0976149999999</v>
      </c>
      <c r="W169" s="3">
        <f>1415.5+(331.9-219.8)+(-3.609525+(-0.846345--0.56049))+0-173.4--0.442169999999975</f>
        <v>1350.7467899999999</v>
      </c>
      <c r="X169" s="3">
        <f>1412.8+(330.7-303.7)+(-2.161584+(-0.505971--0.464661))+0-173.4--0.26530200000001</f>
        <v>1264.4624079999999</v>
      </c>
      <c r="Y169" s="3">
        <f>1429.6+(412.6-332)+(0.729096+(0.210426-0.16932))+0-175-0.0892499999999822</f>
        <v>1335.8809519999998</v>
      </c>
      <c r="Z169" s="3">
        <f>1455.2+(505.5-340.4)+(-2.226456+(-0.773415--0.520812))+0-178.3--0.27279900000001</f>
        <v>1439.7937400000003</v>
      </c>
      <c r="AA169" s="3">
        <f>1477.7+(501.5-377.9)+(-4.521762+(-1.53459--1.156374))+0-181.3--0.554778000000021</f>
        <v>1415.6548000000003</v>
      </c>
      <c r="AB169" s="3">
        <f>1486.9+(485.4-391.2)+(-3.791595+(-1.23777--0.99756))+0-178.1--0.454154999999974</f>
        <v>1399.4223500000001</v>
      </c>
      <c r="AC169" s="3">
        <f>1478.1+(485.8-427.4)+(-4.522986+(-1.486548--1.307844))+0-183--0.559980000000021</f>
        <v>1349.3582899999999</v>
      </c>
      <c r="AD169" s="2">
        <v>1431.3999999999999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1492.8+(431.4-431.7)+(-3.045312+(-0.880056--0.880668))+0-175.4--0.357815999999992</f>
        <v>1314.4131159999999</v>
      </c>
      <c r="G170" s="3">
        <f>1506.3+(385.3-440.4)+(0.768213+(0.196503-0.224604))+0-178.3-0.0909329999999819</f>
        <v>1273.5491790000001</v>
      </c>
      <c r="H170" s="3">
        <f>1479+(415.6-492)+(0.75429+(0.211956-0.25092))+0-171.8-0.0876179999999826</f>
        <v>1231.4277079999999</v>
      </c>
      <c r="I170" s="3">
        <f>1461.1+(420.2-502.1)+(-2.235483+(-0.642906--0.768213))+0-174.2--0.26652600000001</f>
        <v>1203.15635</v>
      </c>
      <c r="J170" s="3">
        <f>1478+(347.7-462.1)+(-1.50756+(-0.354654--0.471342))+0-173.5--0.176970000000028</f>
        <v>1188.8860979999999</v>
      </c>
      <c r="K170" s="3">
        <f>1472.8+(311.5-436.1)+(-2.253384+(-0.476595--0.667233))+0-172.7--0.26423100000001</f>
        <v>1173.7014849999998</v>
      </c>
      <c r="L170" s="3">
        <f>1475.3+(257.8-423.8)+(-4.514418+(-0.788868--1.296828))+0-168--0.514080000000019</f>
        <v>1137.8076219999998</v>
      </c>
      <c r="M170" s="3">
        <f>1486.4+(282-452.6)+(0.758064+(0.14382-0.230826))+0-167.3-0.085322999999983</f>
        <v>1149.0857350000001</v>
      </c>
      <c r="N170" s="3">
        <f>1465.1+(328.5-412.4)+(-0.747201+(-0.167535--0.210324))+0-173.4--0.0884339999999824</f>
        <v>1207.1840219999997</v>
      </c>
      <c r="O170" s="3">
        <f>1460.6+(317.7-343.4)+(-0.744906+(-0.162027--0.175134))+0-173.3--0.0883829999999824</f>
        <v>1260.956584</v>
      </c>
      <c r="P170" s="3">
        <f>1450.4+(364-324.6)+(-2.219112+(-0.55692--0.496638))+0-166--0.25398000000001</f>
        <v>1321.7745860000002</v>
      </c>
      <c r="Q170" s="3">
        <f>1440.3+(479.8-367.1)+(-0.734553+(-0.244698--0.187221))+0-163.4--0.0833339999999834</f>
        <v>1388.8913039999998</v>
      </c>
      <c r="R170" s="3">
        <f>1449.5+(510-369)+(-2.217735+(-0.7803--0.56457))+0-162.3--0.248319000000009</f>
        <v>1426.014854</v>
      </c>
      <c r="S170" s="3">
        <f>1438+(617.2-451.3)+(-2.20014+(-0.944316--0.690489))+0-163.8--0.25061400000001</f>
        <v>1437.8966470000003</v>
      </c>
      <c r="T170" s="3">
        <f>1430.2+(673.8-510)+(-0.729402+(-0.343638--0.2601))+0-161.6--0.0824159999999836</f>
        <v>1431.669476</v>
      </c>
      <c r="U170" s="3">
        <f>1425.4+(675.8-500.1)+(0.726954+(0.344658-0.255051))+0-165.1-0.0842009999999832</f>
        <v>1436.7323600000002</v>
      </c>
      <c r="V170" s="3">
        <f>1420.8+(561.9-390)+(-1.449216+(-0.573138--0.3978))+0-176.8--0.180336000000028</f>
        <v>1414.455782</v>
      </c>
      <c r="W170" s="3">
        <f>1344.9+(360.7-206.7)+(-2.743596+(-0.735828--0.421668))+0-175.7--0.358427999999992</f>
        <v>1320.5006720000001</v>
      </c>
      <c r="X170" s="3">
        <f>1332.5+(389.1-292)+(-1.35915+(-0.396882--0.29784))+0-172.3--0.175746000000027</f>
        <v>1256.017554</v>
      </c>
      <c r="Y170" s="3">
        <f>1428.5+(450.7-366.3)+(-1.45707+(-0.459714--0.373626))+0-173.7--0.177174000000028</f>
        <v>1337.834016</v>
      </c>
      <c r="Z170" s="3">
        <f>1454.4+(448.5-298.5)+(-0.741744+(-0.228735--0.152235))+0-175.7--0.0896069999999822</f>
        <v>1427.9713629999999</v>
      </c>
      <c r="AA170" s="3">
        <f>1452.6+(472.1-336.1)+(-5.185782+(-1.685397--1.199877))+0-172.2--0.614754000000002</f>
        <v>1411.3434519999998</v>
      </c>
      <c r="AB170" s="3">
        <f>1447.4+(492.3-369.7)+(-2.952696+(-1.004292--0.754188))+0-179.5--0.366179999999992</f>
        <v>1387.66338</v>
      </c>
      <c r="AC170" s="3">
        <f>1451+(467.7-386.2)+(0+(0-0))+0-181.2-0</f>
        <v>1351.3</v>
      </c>
      <c r="AD170" s="2">
        <v>1416.5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1454+(503.8-471.1)+(-1.48308+(-0.513876--0.480522))+0-177.7--0.181254000000028</f>
        <v>1307.6648200000002</v>
      </c>
      <c r="G171" s="3">
        <f>1455.1+(561.5-569.5)+(-2.226303+(-0.859095--0.871335))+0-178--0.27234000000001</f>
        <v>1267.158277</v>
      </c>
      <c r="H171" s="3">
        <f>1411.8+(598.5-594)+(-2.880072+(-1.22094--1.21176))+0-177.5--0.362099999999992</f>
        <v>1236.2728480000001</v>
      </c>
      <c r="I171" s="3">
        <f>1396.4+(578.9-575.9)+(-1.424328+(-0.590478--0.587418))+0-177.1--0.180642000000028</f>
        <v>1221.0532540000002</v>
      </c>
      <c r="J171" s="3">
        <f>1398.9+(565.9-582.8)+(2.140317+(0.865827-0.891684))+0-176.6-0.27019800000001</f>
        <v>1207.2442620000002</v>
      </c>
      <c r="K171" s="3">
        <f>1401.3+(503.9-533.4)+(2.858652+(1.027956-1.088136))+0-176-0.359039999999992</f>
        <v>1198.2394319999999</v>
      </c>
      <c r="L171" s="3">
        <f>1404.7+(303.6-384.2)+(-0.716397+(-0.154836--0.195942))+0-166.1--0.0847109999999831</f>
        <v>1157.4094200000002</v>
      </c>
      <c r="M171" s="3">
        <f>1399.7+(245.8-317.4)+(0+(0-0))+0-170-0</f>
        <v>1158.1000000000001</v>
      </c>
      <c r="N171" s="3">
        <f>1396.9+(281-310.1)+(1.424838+(0.28662-0.316302))+0-172.6-0.176052000000028</f>
        <v>1196.4191040000003</v>
      </c>
      <c r="O171" s="3">
        <f>1384.5+(333.6-275.2)+(0.706095+(0.170136-0.140352))+0-173.9-0.0886889999999824</f>
        <v>1269.6471900000001</v>
      </c>
      <c r="P171" s="3">
        <f>1374.8+(424.4-296.7)+(0.701148+(0.216444-0.151317))+0-169.6-0.0864959999999828</f>
        <v>1333.5797790000001</v>
      </c>
      <c r="Q171" s="3">
        <f>1367.2+(490.3-311)+(0.697272+(0.250053-0.15861))+0-171.7-0.0875669999999826</f>
        <v>1375.5011479999998</v>
      </c>
      <c r="R171" s="3">
        <f>1373+(681-486)+(-0.70023+(-0.34731--0.24786))+0-172.3--0.0878729999999825</f>
        <v>1394.9881929999999</v>
      </c>
      <c r="S171" s="3">
        <f>1371.3+(789.2-581.4)+(-1.398726+(-0.804984--0.593028))+0-171.2--0.174624000000027</f>
        <v>1406.4639419999999</v>
      </c>
      <c r="T171" s="3">
        <f>1369.8+(856.5-664.6)+(-0.698598+(-0.436815--0.338946))+0-165.8--0.0845579999999832</f>
        <v>1395.188091</v>
      </c>
      <c r="U171" s="3">
        <f>1362.6+(818.5-630.1)+(1.389852+(0.83487-0.642702))+0-162.9-0.166158000000026</f>
        <v>1389.515862</v>
      </c>
      <c r="V171" s="3">
        <f>1360.8+(695.9-516.1)+(-2.776032+(-1.419636--1.052844))+0-169.7--0.346187999999993</f>
        <v>1368.1033639999998</v>
      </c>
      <c r="W171" s="3">
        <f>1341.4+(406.6-285.1)+(-0.684114+(-0.207366--0.145401))+0-174.3--0.0888929999999823</f>
        <v>1287.942814</v>
      </c>
      <c r="X171" s="3">
        <f>1361.4+(306.1-263.6)+(-2.082942+(-0.468333--0.403308))+0-176.3--0.26973900000001</f>
        <v>1225.7217720000001</v>
      </c>
      <c r="Y171" s="3">
        <f>1379.4+(456.2-357.4)+(1.406988+(0.465324-0.364548))+0-165.7-0.169014000000026</f>
        <v>1313.8387499999999</v>
      </c>
      <c r="Z171" s="3">
        <f>1393.3+(701-533.8)+(-1.421166+(-0.71502--0.544476))+0-163.8--0.167076000000026</f>
        <v>1395.2753660000001</v>
      </c>
      <c r="AA171" s="3">
        <f>1397.3+(683.7-542.4)+(-0.712623+(-0.348687--0.276624))+0-165.2--0.0842519999999832</f>
        <v>1372.6995659999998</v>
      </c>
      <c r="AB171" s="3">
        <f>1388.7+(669.1-540.4)+(0+(0-0))+0-162.3-0</f>
        <v>1355.1000000000001</v>
      </c>
      <c r="AC171" s="3">
        <f>1396.8+(630.5-529.9)+(-2.137104+(-0.964665--0.810747))+0-166.4--0.25459200000001</f>
        <v>1328.9635699999999</v>
      </c>
      <c r="AD171" s="2">
        <v>1373.1000000000001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1392.1+(630.2-563.4)+(-1.419942+(-0.642804--0.574668))+0-166.7--0.170034000000027</f>
        <v>1290.8819559999999</v>
      </c>
      <c r="G172" s="3">
        <f>1398.2+(582.4-562.9)+(-0.713082+(-0.297024--0.287079))+0-165.1--0.0842009999999832</f>
        <v>1251.961174</v>
      </c>
      <c r="H172" s="3">
        <f>1410.2+(543.2-566.2)+(-2.157606+(-0.831096--0.866286))+0-166.5--0.25474500000001</f>
        <v>1218.8323290000001</v>
      </c>
      <c r="I172" s="3">
        <f>1397.1+(491.1-519.2)+(-0.712521+(-0.250461--0.264792))+0-165.8--0.0845579999999832</f>
        <v>1202.586368</v>
      </c>
      <c r="J172" s="3">
        <f>1402.2+(435.7-485.6)+(-3.57561+(-1.111035--1.23828))+0-166.6--0.424829999999976</f>
        <v>1182.676465</v>
      </c>
      <c r="K172" s="3">
        <f>1402.9+(452.4-522.5)+(2.146437+(0.692172-0.799425))+0-164.6-0.25183800000001</f>
        <v>1169.9873460000003</v>
      </c>
      <c r="L172" s="3">
        <f>1405.7+(343.2-460.8)+(-4.301442+(-1.050192--1.410048))+0-164.2--0.502452000000019</f>
        <v>1120.4608659999999</v>
      </c>
      <c r="M172" s="3">
        <f>1298.7+(351-376.8)+(-1.987011+(-0.53703--0.576504))+0-166.7--0.25505100000001</f>
        <v>1104.5075140000001</v>
      </c>
      <c r="N172" s="3">
        <f>1262.5+(381.9-341.7)+(-1.28775+(-0.389538--0.348534))+0-169.6--0.172992000000027</f>
        <v>1131.9442380000003</v>
      </c>
      <c r="O172" s="3">
        <f>1243.4+(432.4-314.3)+(-2.536536+(-0.882096--0.641172))+0-172.3--0.351491999999992</f>
        <v>1186.774032</v>
      </c>
      <c r="P172" s="3">
        <f>1239.9+(451.5-278.6)+(-1.264698+(-0.46053--0.284172))+0-168.5--0.171870000000027</f>
        <v>1243.0308140000004</v>
      </c>
      <c r="Q172" s="3">
        <f>1232.6+(544.9-321.2)+(-0.628626+(-0.277899--0.163812))+0-163.5--0.0833849999999834</f>
        <v>1292.1406719999998</v>
      </c>
      <c r="R172" s="3">
        <f>1221.2+(715.4-459.4)+(0.622812+(0.364854-0.234294))+0-163.1-0.0831809999999834</f>
        <v>1314.7701910000001</v>
      </c>
      <c r="S172" s="3">
        <f>1221.3+(845.1-561.3)+(-1.245726+(-0.862002--0.572526))+0-167.8--0.171156000000027</f>
        <v>1335.935954</v>
      </c>
      <c r="T172" s="3">
        <f>1208.8+(934.9-626.8)+(-2.465952+(-1.907196--1.278672))+0-169.1--0.344963999999993</f>
        <v>1345.0504880000001</v>
      </c>
      <c r="U172" s="3">
        <f>1215.2+(859.5-576.9)+(1.239504+(0.87669-0.588438))+0-168.6-0.171972000000027</f>
        <v>1330.5557840000001</v>
      </c>
      <c r="V172" s="3">
        <f>1225.7+(727.6-466.8)+(0.625107+(0.371076-0.238068))+0-173.4-0.0884339999999824</f>
        <v>1313.769681</v>
      </c>
      <c r="W172" s="3">
        <f>1303.2+(319.5-203)+(-0.664632+(-0.162945--0.10353))+0-178.4--0.0909839999999819</f>
        <v>1240.666937</v>
      </c>
      <c r="X172" s="3">
        <f>1362.1+(323.3-312.6)+(2.084013+(0.494649-0.478278))+0-182.8-0.279684000000011</f>
        <v>1191.8207</v>
      </c>
      <c r="Y172" s="3">
        <f>1392+(388.2-298.9)+(1.41984+(0.395964-0.304878))+0-179-0.182580000000029</f>
        <v>1303.628346</v>
      </c>
      <c r="Z172" s="3">
        <f>1406.8+(450.6-290.7)+(-1.434936+(-0.459612--0.296514))+0-182.8--0.186456000000029</f>
        <v>1382.4884220000001</v>
      </c>
      <c r="AA172" s="3">
        <f>1411.4+(452.9-319.2)+(-0.719814+(-0.230979--0.162792))+0-183.9--0.0937889999999813</f>
        <v>1360.5057880000002</v>
      </c>
      <c r="AB172" s="3">
        <f>1377.9+(472.5-353.7)+(0.702729+(0.240975-0.180387))+0-175.1-0.0893009999999822</f>
        <v>1322.2740160000001</v>
      </c>
      <c r="AC172" s="3">
        <f>1369.1+(424.5-332.6)+(-2.094723+(-0.649485--0.508878))+0-172.9--0.26453700000001</f>
        <v>1286.129207</v>
      </c>
      <c r="AD172" s="2">
        <v>1355.3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1279+(502.7-333.2)+(-1.30458+(-0.512754--0.339864))+0-174.1--0.177582000000028</f>
        <v>1273.1001120000001</v>
      </c>
      <c r="G173" s="3">
        <f>1262.6+(433.5-283.9)+(-1.931778+(-0.663255--0.434367))+0-174.4--0.26683200000001</f>
        <v>1235.9061659999998</v>
      </c>
      <c r="H173" s="3">
        <f>1126.4+(542.6-293.5)+(-1.723392+(-0.830178--0.449055))+0-179--0.27387000000001</f>
        <v>1194.669355</v>
      </c>
      <c r="I173" s="3">
        <f>1230.3+(389.3-273.9)+(-1.882359+(-0.595629--0.419067))+0-179.6--0.27478800000001</f>
        <v>1164.315867</v>
      </c>
      <c r="J173" s="3">
        <f>1248+(404.2-313.8)+(-2.54592+(-0.824568--0.640152))+0-179--0.365159999999992</f>
        <v>1157.0348240000001</v>
      </c>
      <c r="K173" s="3">
        <f>1246+(342-264.2)+(0.63546+(0.17442-0.134742))+0-178.7-0.0911369999999819</f>
        <v>1145.6840010000001</v>
      </c>
      <c r="L173" s="3">
        <f>1240+(257.2-207.1)+(-1.8972+(-0.393516--0.316863))+0-177.4--0.27142200000001</f>
        <v>1110.9975689999999</v>
      </c>
      <c r="M173" s="3">
        <f>1238.1+(311.7-255.1)+(-0.631431+(-0.158967--0.130101))+0-177.9--0.0907289999999819</f>
        <v>1116.2304319999998</v>
      </c>
      <c r="N173" s="3">
        <f>1220.3+(313.6-182.8)+(1.244706+(0.319872-0.186456))+0-179.8-0.183396000000029</f>
        <v>1172.4947259999999</v>
      </c>
      <c r="O173" s="3">
        <f>1217.9+(435.3-243.6)+(-0.621129+(-0.222003--0.124236))+0-182.6--0.0931259999999815</f>
        <v>1226.3742300000001</v>
      </c>
      <c r="P173" s="3">
        <f>1203.4+(482.7-214.6)+(-0.613734+(-0.246177--0.109446))+0-177.9--0.0907289999999819</f>
        <v>1292.9402639999998</v>
      </c>
      <c r="Q173" s="3">
        <f>1188.6+(487.5-144.2)+(1.818558+(0.745875-0.220626))+0-174-0.26622000000001</f>
        <v>1359.9775869999999</v>
      </c>
      <c r="R173" s="3">
        <f>1182.7+(629.3-214.5)+(1.809531+(0.962829-0.328185))+0-185.5-0.283815000000011</f>
        <v>1414.1603600000001</v>
      </c>
      <c r="S173" s="3">
        <f>1191.1+(741.1-330.7)+(-1.822383+(-1.133883--0.505971))+0-185.1--0.283203000000011</f>
        <v>1414.232908</v>
      </c>
      <c r="T173" s="3">
        <f>1188+(806.4-389.9)+(0+(0-0))+0-183.1-0</f>
        <v>1421.4</v>
      </c>
      <c r="U173" s="3">
        <f>1185.6+(822.1-414.1)+(-3.02328+(-2.096355--1.055955))+0-178.6--0.455429999999974</f>
        <v>1411.39175</v>
      </c>
      <c r="V173" s="3">
        <f>1187.3+(712.9-326.8)+(1.816569+(1.090737-0.500004))+0-184.6-0.282438000000011</f>
        <v>1390.9248640000001</v>
      </c>
      <c r="W173" s="3">
        <f>1180.2+(474.6-145.8)+(-2.407608+(-0.968184--0.297432))+0-185.8--0.379031999999992</f>
        <v>1320.5006720000001</v>
      </c>
      <c r="X173" s="3">
        <f>1187.4+(449.7-214.7)+(-3.633444+(-1.376082--0.656982))+0-182.2--0.557532000000021</f>
        <v>1236.404988</v>
      </c>
      <c r="Y173" s="3">
        <f>1197+(523.1-214.4)+(0+(0-0))+0-184.3-0</f>
        <v>1321.4</v>
      </c>
      <c r="Z173" s="3">
        <f>1214.5+(634.8-253.4)+(0.619395+(0.323748-0.129234))+0-196.9-0.10041899999998</f>
        <v>1399.7134900000001</v>
      </c>
      <c r="AA173" s="3">
        <f>1221.5+(676.5-317.4)+(-1.24593+(-0.69003--0.323748))+0-192.2--0.196044000000031</f>
        <v>1386.9838319999999</v>
      </c>
      <c r="AB173" s="3">
        <f>1215.5+(692.8-365.6)+(0+(0-0))+0-186.5-0</f>
        <v>1356.1999999999998</v>
      </c>
      <c r="AC173" s="3">
        <f>1221.1+(627.7-346.9)+(-2.491044+(-1.280508--0.707676))+0-188.9--0.385355999999992</f>
        <v>1310.3214800000001</v>
      </c>
      <c r="AD173" s="2">
        <v>1411.7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1226.1+(580.2-365.6)+(1.250622+(0.591804-0.372912))+0-182.9-0.186558000000029</f>
        <v>1259.0829559999995</v>
      </c>
      <c r="G174" s="3">
        <f>1179.4+(510.8-291.5)+(1.202988+(0.521016-0.29733))+0-183.5-0.187170000000029</f>
        <v>1216.4395040000002</v>
      </c>
      <c r="H174" s="3">
        <f>1221.5+(389.2-246)+(0+(0-0))+0-181.9-0</f>
        <v>1182.8</v>
      </c>
      <c r="I174" s="3">
        <f>1255.5+(316.6-226.9)+(0.640305+(0.161466-0.115719))+0-181.3-0.0924629999999816</f>
        <v>1164.4935890000002</v>
      </c>
      <c r="J174" s="3">
        <f>1260.8+(266.1-186.4)+(-2.572032+(-0.542844--0.380256))+0-182--0.371279999999992</f>
        <v>1156.1366600000001</v>
      </c>
      <c r="K174" s="3">
        <f>1263+(251-189.8)+(-3.22065+(-0.64005--0.48399))+0-182.8--0.466139999999974</f>
        <v>1138.4894300000001</v>
      </c>
      <c r="L174" s="3">
        <f>1266.3+(293.6-288.7)+(-5.166504+(-1.197888--1.177896))+0-190.2--0.776015999999983</f>
        <v>1076.58952</v>
      </c>
      <c r="M174" s="3">
        <f>1259.8+(329.6-329)+(1.284996+(0.336192-0.33558))+0-178.6-0.182172000000028</f>
        <v>1082.9034360000001</v>
      </c>
      <c r="N174" s="3">
        <f>1253.5+(382.2-314.6)+(1.27857+(0.389844-0.320892))+0-180.8-0.184416000000029</f>
        <v>1141.4631059999999</v>
      </c>
      <c r="O174" s="3">
        <f>1242.8+(405.7-263.3)+(-0.633828+(-0.206907--0.134283))+0-172.2--0.0878219999999825</f>
        <v>1212.3813699999998</v>
      </c>
      <c r="P174" s="3">
        <f>1222.5+(419.1-195)+(1.870425+(0.641223-0.29835))+0-170.3-0.26055900000001</f>
        <v>1278.2527389999998</v>
      </c>
      <c r="Q174" s="3">
        <f>1213.5+(475.3-165.8)+(1.856655+(0.727209-0.253674))+0-169.9-0.25994700000001</f>
        <v>1355.1702429999998</v>
      </c>
      <c r="R174" s="3">
        <f>1205.9+(605.6-248.6)+(-0.615009+(-0.308856--0.126786))+0-168.6--0.0859859999999829</f>
        <v>1393.5889070000003</v>
      </c>
      <c r="S174" s="3">
        <f>1196.8+(812.3-433.9)+(-2.441472+(-1.657092--0.885156))+0-169.3--0.345371999999993</f>
        <v>1403.0319639999998</v>
      </c>
      <c r="T174" s="3">
        <f>1189.3+(883.6-501.8)+(0.606543+(0.450636-0.255918))+0-161-0.0821099999999837</f>
        <v>1410.8191509999999</v>
      </c>
      <c r="U174" s="3">
        <f>1168.5+(758.2-396.2)+(-0.595935+(-0.386682--0.202062))+0-161.1--0.0821609999999837</f>
        <v>1368.7016060000001</v>
      </c>
      <c r="V174" s="3">
        <f>1133.9+(683.1-283.2)+(-1.156578+(-0.696762--0.288864))+0-166--0.169320000000026</f>
        <v>1366.4048440000001</v>
      </c>
      <c r="W174" s="3">
        <f>1132.5+(442-107)+(0.577575+(0.22542-0.05457))+0-166.8-0.0850679999999831</f>
        <v>1301.363357</v>
      </c>
      <c r="X174" s="3">
        <f>1144.5+(491-241.9)+(-4.085865+(-1.75287--0.863583))+0-159.1--0.567987000000002</f>
        <v>1230.0928349999999</v>
      </c>
      <c r="Y174" s="3">
        <f>1208.6+(513.2-245.1)+(1.232772+(0.523464-0.250002))+0-151.6-0.154632000000024</f>
        <v>1326.4516019999999</v>
      </c>
      <c r="Z174" s="3">
        <f>1278.1+(542.2-270.5)+(0+(0-0))+0-156.1-0</f>
        <v>1393.7</v>
      </c>
      <c r="AA174" s="3">
        <f>1294.6+(569.6-314.1)+(-1.980738+(-0.871488--0.480573))+0-165.4--0.25306200000001</f>
        <v>1382.5814089999999</v>
      </c>
      <c r="AB174" s="3">
        <f>1302.8+(656.8-433.7)+(-0.664428+(-0.334968--0.221187))+0-164.5--0.0838949999999833</f>
        <v>1360.7056859999998</v>
      </c>
      <c r="AC174" s="3">
        <f>1305.2+(663-470.1)+(-1.996956+(-1.01439--0.719253))+0-172.5--0.26392500000001</f>
        <v>1323.5718319999999</v>
      </c>
      <c r="AD174" s="2">
        <v>1384.0000000000002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1323.6+(551.7-430.5)+(-0.675036+(-0.281367--0.219555))+0-175.3--0.0894029999999822</f>
        <v>1268.8525549999999</v>
      </c>
      <c r="G175" s="3">
        <f>1323+(480.7-400.5)+(-2.02419+(-0.735471--0.612765))+0-178.4--0.27295200000001</f>
        <v>1222.926056</v>
      </c>
      <c r="H175" s="3">
        <f>1323.4+(393.4-354.1)+(-2.699736+(-0.802536--0.722364))+0-176.7--0.360467999999992</f>
        <v>1183.5805600000001</v>
      </c>
      <c r="I175" s="3">
        <f>1325.8+(344.1-333)+(-2.028474+(-0.526473--0.50949))+0-176.7--0.27035100000001</f>
        <v>1158.4248940000002</v>
      </c>
      <c r="J175" s="3">
        <f>1334.4+(334-349.7)+(-2.041632+(-0.51102--0.535041))+0-176.5--0.27004500000001</f>
        <v>1140.452434</v>
      </c>
      <c r="K175" s="3">
        <f>1333.3+(305.6-328.8)+(1.359966+(0.311712-0.335376))+0-176.2-0.179724000000028</f>
        <v>1135.0565779999997</v>
      </c>
      <c r="L175" s="3">
        <f>1294.6+(226.5-255.8)+(-3.961476+(-0.69309--0.782748))+0-175.7--0.53764200000002</f>
        <v>1086.2658239999998</v>
      </c>
      <c r="M175" s="3">
        <f>1278.8+(216.9-215.8)+(-0.652188+(-0.110619--0.110058))+0-177.4--0.090473999999982</f>
        <v>1101.9377249999998</v>
      </c>
      <c r="N175" s="3">
        <f>1287.5+(258.4-219.1)+(0+(0-0))+0-176.5-0</f>
        <v>1150.3</v>
      </c>
      <c r="O175" s="3">
        <f>1273.4+(325-219)+(0+(0-0))+0-175.3-0</f>
        <v>1204.1000000000001</v>
      </c>
      <c r="P175" s="3">
        <f>1265.3+(388.5-196.7)+(0+(0-0))+0-177.9-0</f>
        <v>1279.1999999999998</v>
      </c>
      <c r="Q175" s="3">
        <f>1262.1+(454-186.1)+(2.574684+(0.92616-0.379644))+0-179-0.365159999999992</f>
        <v>1353.75604</v>
      </c>
      <c r="R175" s="3">
        <f>1265.5+(612.8-298)+(0.645405+(0.312528-0.15198))+0-174.1-0.0887909999999823</f>
        <v>1406.9171620000002</v>
      </c>
      <c r="S175" s="3">
        <f>1260.1+(774.5-447.3)+(-1.285302+(-0.78999--0.456246))+0-168.9--0.172278000000027</f>
        <v>1416.9532319999998</v>
      </c>
      <c r="T175" s="3">
        <f>1258.4+(804.7-464.8)+(-0.641784+(-0.410397--0.237048))+0-172.5--0.0879749999999825</f>
        <v>1425.072842</v>
      </c>
      <c r="U175" s="3">
        <f>1255.3+(765.2-450.9)+(-0.640203+(-0.390252--0.229959))+0-145.3--0.0741029999999853</f>
        <v>1423.5736069999998</v>
      </c>
      <c r="V175" s="3">
        <f>1249.7+(734.6-419.9)+(-2.549388+(-1.498584--0.856596))+0-167.7--0.342107999999993</f>
        <v>1393.8507320000001</v>
      </c>
      <c r="W175" s="3">
        <f>1255.6+(458-209.2)+(0.640356+(0.23358-0.106692))+0-176.4-0.0899639999999821</f>
        <v>1328.6772799999997</v>
      </c>
      <c r="X175" s="3">
        <f>1255.4+(367.9-206.6)+(-1.280508+(-0.375258--0.210732))+0-181.1--0.184722000000029</f>
        <v>1234.339688</v>
      </c>
      <c r="Y175" s="3">
        <f>1255.4+(448-194.1)+(1.920762+(0.68544-0.296973))+0-176.5-0.27004500000001</f>
        <v>1334.8391840000002</v>
      </c>
      <c r="Z175" s="3">
        <f>1261.6+(598.3-295.2)+(-2.573664+(-1.220532--0.602208))+0-172.8--0.352511999999993</f>
        <v>1389.0605239999998</v>
      </c>
      <c r="AA175" s="3">
        <f>1265.8+(622.8-357.7)+(-4.518906+(-2.223396--1.276989))+0-165.3--0.590121000000002</f>
        <v>1360.7248079999999</v>
      </c>
      <c r="AB175" s="3">
        <f>1267+(639.1-402.3)+(-1.93851+(-0.977823--0.615519))+0-162.7--0.248931000000009</f>
        <v>1339.048117</v>
      </c>
      <c r="AC175" s="3">
        <f>1274.9+(623.3-433.6)+(-0.650199+(-0.317883--0.221136))+0-161--0.0821099999999837</f>
        <v>1302.935164</v>
      </c>
      <c r="AD175" s="2">
        <v>1388.8999999999999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1300.5+(545.1-408.9)+(1.32651+(0.556002-0.417078))+0-175.5-0.179010000000028</f>
        <v>1262.4864239999999</v>
      </c>
      <c r="G176" s="3">
        <f>1298.1+(518.5-424)+(1.324062+(0.52887-0.43248))+0-175.7-0.179214000000028</f>
        <v>1218.1412379999999</v>
      </c>
      <c r="H176" s="3">
        <f>1329.1+(455.5-428.2)+(-2.033523+(-0.696915--0.655146))+0-172.5--0.26392500000001</f>
        <v>1182.0886329999998</v>
      </c>
      <c r="I176" s="3">
        <f>1331.3+(346.9-342.2)+(-2.036889+(-0.530757--0.523566))+0-168.6--0.25795800000001</f>
        <v>1165.6138780000001</v>
      </c>
      <c r="J176" s="3">
        <f>1332+(309.9-317.4)+(-0.67932+(-0.158049--0.161874))+0-176.1--0.0898109999999821</f>
        <v>1147.8143160000002</v>
      </c>
      <c r="K176" s="3">
        <f>1333.7+(280.7-299.5)+(-2.720748+(-0.572628--0.61098))+0-177.9--0.362915999999992</f>
        <v>1134.6805200000001</v>
      </c>
      <c r="L176" s="3">
        <f>1335.1+(255.1-331.6)+(-0.680901+(-0.130101--0.169116))+0-172.9--0.0881789999999825</f>
        <v>1085.1462929999998</v>
      </c>
      <c r="M176" s="3">
        <f>1330.7+(266-340.4)+(0+(0-0))+0-179.9-0</f>
        <v>1076.4000000000001</v>
      </c>
      <c r="N176" s="3">
        <f>1321.6+(318.5-322.1)+(0.674016+(0.162435-0.164271))+0-179.5-0.0915449999999818</f>
        <v>1139.080635</v>
      </c>
      <c r="O176" s="3">
        <f>1306.5+(338.4-259.9)+(1.33263+(0.345168-0.265098))+0-180.2-0.183804000000029</f>
        <v>1206.028896</v>
      </c>
      <c r="P176" s="3">
        <f>1285.3+(360.2-192.2)+(2.622012+(0.734808-0.392088))+0-179.2-0.365567999999992</f>
        <v>1276.6991639999999</v>
      </c>
      <c r="Q176" s="3">
        <f>1273.7+(456.9-197.2)+(-0.649587+(-0.233019--0.100572))+0-179--0.0912899999999818</f>
        <v>1353.7092560000001</v>
      </c>
      <c r="R176" s="3">
        <f>1261.9+(582.2-268.8)+(0+(0-0))+0-181.2-0</f>
        <v>1394.1000000000001</v>
      </c>
      <c r="S176" s="3">
        <f>1257+(745.7-403.8)+(-1.28214+(-0.760614--0.411876))+0-179.7--0.183294000000029</f>
        <v>1417.752416</v>
      </c>
      <c r="T176" s="3">
        <f>1251.5+(764.4-434.7)+(-1.914795+(-1.169532--0.665091))+0-178.1--0.27249300000001</f>
        <v>1400.9532570000001</v>
      </c>
      <c r="U176" s="3">
        <f>1252.3+(673.7-392.5)+(-0.638673+(-0.343587--0.200175))+0-170.2--0.0868019999999827</f>
        <v>1362.6047169999999</v>
      </c>
      <c r="V176" s="3">
        <f>1251.4+(577.3-279.6)+(-2.552856+(-1.177692--0.570384))+0-177--0.361079999999992</f>
        <v>1369.3009159999999</v>
      </c>
      <c r="W176" s="3">
        <f>1244+(412.2-180.4)+(-3.80664+(-1.261332--0.552024))+0-174.1--0.53274600000002</f>
        <v>1297.7167980000002</v>
      </c>
      <c r="X176" s="3">
        <f>1248.1+(467.1-306.2)+(-3.819186+(-1.429326--0.936972))+0-176.8--0.54100800000002</f>
        <v>1228.429468</v>
      </c>
      <c r="Y176" s="3">
        <f>1274.4+(487-244.9)+(-1.299888+(-0.49674--0.249798))+0-180.7--0.184314000000029</f>
        <v>1334.437484</v>
      </c>
      <c r="Z176" s="3">
        <f>1291+(532.9-237.9)+(-1.97523+(-0.815337--0.363987))+0-183--0.279990000000011</f>
        <v>1400.8534099999999</v>
      </c>
      <c r="AA176" s="3">
        <f>1296.4+(546.8-277.2)+(-2.644656+(-1.115472--0.565488))+0-180.9--0.369035999999992</f>
        <v>1382.274396</v>
      </c>
      <c r="AB176" s="3">
        <f>1298.3+(557.9-317.2)+(-2.648532+(-1.138116--0.647088))+0-175.4--0.357815999999992</f>
        <v>1360.8182559999998</v>
      </c>
      <c r="AC176" s="3">
        <f>1304.3+(509.6-313.8)+(2.660772+(1.039584-0.640152))+0-176.2-0.359447999999992</f>
        <v>1326.600756</v>
      </c>
      <c r="AD176" s="2">
        <v>1397.1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1323.6+(539.2-401.7)+(-3.37518+(-1.37496--1.024335))+0-178.6--0.455429999999974</f>
        <v>1279.2296249999999</v>
      </c>
      <c r="G177" s="3">
        <f>1255.7+(553.7-405.8)+(0.640407+(0.282387-0.206958))+0-176.3-0.0899129999999821</f>
        <v>1227.9259230000002</v>
      </c>
      <c r="H177" s="3">
        <f>1152+(587.7-363.9)+(-2.9376+(-1.498635--0.927945))+0-175.4--0.447269999999975</f>
        <v>1197.33898</v>
      </c>
      <c r="I177" s="3">
        <f>1165.4+(487.2-296.3)+(0+(0-0))+0-174.7-0</f>
        <v>1181.6000000000001</v>
      </c>
      <c r="J177" s="3">
        <f>1169.2+(440.7-271.4)+(0.596292+(0.224757-0.138414))+0-172.9-0.0881789999999825</f>
        <v>1166.1944559999997</v>
      </c>
      <c r="K177" s="3">
        <f>1171.7+(414.3-260.5)+(1.792701+(0.633879-0.398565))+0-169.3-0.25902900000001</f>
        <v>1157.9689860000001</v>
      </c>
      <c r="L177" s="3">
        <f>1174.5+(376.8-278.2)+(-1.19799+(-0.384336--0.283764))+0-168.3--0.171666000000027</f>
        <v>1103.673104</v>
      </c>
      <c r="M177" s="3">
        <f>1174.4+(300.6-223.3)+(1.796832+(0.459918-0.341649))+0-166-0.25398000000001</f>
        <v>1087.3611210000001</v>
      </c>
      <c r="N177" s="3">
        <f>1153.5+(375.1-234.3)+(-0.588285+(-0.191301--0.119493))+0-175.4--0.0894539999999822</f>
        <v>1118.3293609999998</v>
      </c>
      <c r="O177" s="3">
        <f>1134.9+(496.6-289.3)+(0.578799+(0.253266-0.147543))+0-176.9-0.0902189999999821</f>
        <v>1165.894303</v>
      </c>
      <c r="P177" s="3">
        <f>1110.4+(612-264)+(1.698912+(0.93636-0.40392))+0-173-0.26469000000001</f>
        <v>1287.3666620000001</v>
      </c>
      <c r="Q177" s="3">
        <f>1106.5+(544.9-160.6)+(0+(0-0))+0-180.1-0</f>
        <v>1310.7</v>
      </c>
      <c r="R177" s="3">
        <f>1093.2+(645.5-224.9)+(-0.557532+(-0.329205--0.114699))+0-181.3--0.0924629999999816</f>
        <v>1331.8204250000001</v>
      </c>
      <c r="S177" s="3">
        <f>1087.6+(841.8-394.9)+(-1.664028+(-1.287954--0.604197))+0-175.8--0.26897400000001</f>
        <v>1356.6211890000002</v>
      </c>
      <c r="T177" s="3">
        <f>1082.3+(923.9-459.8)+(0+(0-0))+0-182.6-0</f>
        <v>1363.8</v>
      </c>
      <c r="U177" s="3">
        <f>1087+(833.9-377.5)+(0+(0-0))+0-177.2-0</f>
        <v>1366.2</v>
      </c>
      <c r="V177" s="3">
        <f>1080+(641.9-218.6)+(-2.754+(-1.636845--0.55743))+0-175.1--0.446504999999975</f>
        <v>1324.8130899999999</v>
      </c>
      <c r="W177" s="3">
        <f>1084+(531.2-182.7)+(-2.7642+(-1.35456--0.465885))+0-182.8--0.466139999999974</f>
        <v>1246.513265</v>
      </c>
      <c r="X177" s="3">
        <f>1088+(623.1-338.7)+(-3.32928+(-1.906686--1.036422))+0-181--0.553860000000021</f>
        <v>1187.754316</v>
      </c>
      <c r="Y177" s="3">
        <f>1113.9+(688.1-325.6)+(1.704267+(1.052793-0.498168))+0-181.7-0.27800100000001</f>
        <v>1296.6808910000002</v>
      </c>
      <c r="Z177" s="3">
        <f>1130.3+(700.9-281.4)+(-1.729359+(-1.072377--0.430542))+0-187--0.286110000000011</f>
        <v>1360.7149159999999</v>
      </c>
      <c r="AA177" s="3">
        <f>1132.1+(691.8-278.6)+(-1.732113+(-1.058454--0.426258))+0-185.3--0.283509000000011</f>
        <v>1357.9191999999998</v>
      </c>
      <c r="AB177" s="3">
        <f>1125.7+(767.1-354.1)+(-3.444642+(-2.347326--1.083546))+0-182.6--0.558756000000021</f>
        <v>1351.9503340000003</v>
      </c>
      <c r="AC177" s="3">
        <f>1129.8+(733.7-362.1)+(-2.304792+(-1.496748--0.738684))+0-183--0.373319999999992</f>
        <v>1315.710464</v>
      </c>
      <c r="AD177" s="2">
        <v>1361.2000000000003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1134+(739-407.9)+(-1.15668+(-0.75378--0.416058))+0-181.4--0.185028000000029</f>
        <v>1282.3906259999999</v>
      </c>
      <c r="G178" s="3">
        <f>1139+(728.7-437.3)+(-2.32356+(-1.486548--0.892092))+0-179.4--0.365975999999992</f>
        <v>1248.44796</v>
      </c>
      <c r="H178" s="3">
        <f>1147.2+(619.3-369.1)+(-2.92536+(-1.579215--0.941205))+0-178--0.453899999999974</f>
        <v>1216.29053</v>
      </c>
      <c r="I178" s="3">
        <f>1111.8+(573.7-326.7)+(-1.701054+(-0.877761--0.499851))+0-175.3--0.26820900000001</f>
        <v>1181.689245</v>
      </c>
      <c r="J178" s="3">
        <f>1094.5+(523.6-259.7)+(1.11639+(0.534072-0.264894))+0-176.3-0.179826000000028</f>
        <v>1183.305742</v>
      </c>
      <c r="K178" s="3">
        <f>1090.4+(489.8-235.3)+(-1.668312+(-0.749394--0.360009))+0-174.7--0.26729100000001</f>
        <v>1168.4095940000002</v>
      </c>
      <c r="L178" s="3">
        <f>1092.5+(434.2-212.7)+(-1.11435+(-0.442884--0.216954))+0-174.4--0.177888000000028</f>
        <v>1138.437608</v>
      </c>
      <c r="M178" s="3">
        <f>1103.5+(540.2-345)+(0+(0-0))+0-169.7-0</f>
        <v>1129</v>
      </c>
      <c r="N178" s="3">
        <f>1101.4+(601.6-352.2)+(-0.561714+(-0.306816--0.179622))+0-175.7--0.0896069999999822</f>
        <v>1174.5006989999999</v>
      </c>
      <c r="O178" s="3">
        <f>1066.4+(672-344.5)+(0.543864+(0.34272-0.175695))+0-176.6-0.0900659999999821</f>
        <v>1217.9208230000002</v>
      </c>
      <c r="P178" s="3">
        <f>1064.9+(703.9-300.8)+(-0.543099+(-0.358989--0.153408))+0-170.2--0.0868019999999827</f>
        <v>1297.1381220000001</v>
      </c>
      <c r="Q178" s="3">
        <f>1081.7+(675-237.1)+(-0.551667+(-0.34425--0.120921))+0-161.9--0.0825689999999836</f>
        <v>1357.0075729999996</v>
      </c>
      <c r="R178" s="3">
        <f>1079.9+(783.9-302.3)+(0.550749+(0.399789-0.154173))+0-158.5-0.0808349999999839</f>
        <v>1403.7155299999999</v>
      </c>
      <c r="S178" s="3">
        <f>1091.7+(911-432.4)+(-1.670301+(-1.39383--0.661572))+0-155.5--0.237915000000009</f>
        <v>1412.635356</v>
      </c>
      <c r="T178" s="3">
        <f>1092.1+(992.5-493.4)+(-0.556971+(-0.506175--0.251634))+0-168.1--0.0857309999999829</f>
        <v>1422.3742189999998</v>
      </c>
      <c r="U178" s="3">
        <f>1077.6+(972.7-470.5)+(-1.648728+(-1.488231--0.719865))+0-174.3--0.26667900000001</f>
        <v>1403.3495850000002</v>
      </c>
      <c r="V178" s="3">
        <f>1085.6+(842.1-364.8)+(-1.107312+(-0.858942--0.372096))+0-181.7--0.185334000000029</f>
        <v>1379.7911759999997</v>
      </c>
      <c r="W178" s="3">
        <f>1090.4+(536.3-157.9)+(-1.112208+(-0.547026--0.161058))+0-178.9--0.182478000000029</f>
        <v>1288.584302</v>
      </c>
      <c r="X178" s="3">
        <f>1101.2+(594.9-301.5)+(-2.246448+(-1.213596--0.61506))+0-177--0.361079999999992</f>
        <v>1215.1160959999997</v>
      </c>
      <c r="Y178" s="3">
        <f>1111.7+(681.6-287.8)+(0+(0-0))+0-180.2-0</f>
        <v>1325.3</v>
      </c>
      <c r="Z178" s="3">
        <f>1128.3+(781.4-344.8)+(-1.726299+(-1.195542--0.527544))+0-181.6--0.27784800000001</f>
        <v>1381.1835509999999</v>
      </c>
      <c r="AA178" s="3">
        <f>1129.6+(765.7-336.2)+(-2.304384+(-1.562028--0.685848))+0-182.3--0.371891999999992</f>
        <v>1373.9913279999998</v>
      </c>
      <c r="AB178" s="3">
        <f>1127.3+(812.1-417.2)+(0+(0-0))+0-177.3-0</f>
        <v>1344.9</v>
      </c>
      <c r="AC178" s="3">
        <f>1126.6+(838.7-470.1)+(-2.298264+(-1.710948--0.959004))+0-179.9--0.366995999999992</f>
        <v>1312.6167879999996</v>
      </c>
      <c r="AD178" s="2">
        <v>1384.6999999999998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1126.1+(772-434.9)+(-0.574311+(-0.39372--0.221799))+0-178.9--0.0912389999999818</f>
        <v>1283.6450069999999</v>
      </c>
      <c r="G179" s="3">
        <f>1127.3+(716.7-422.8)+(1.149846+(0.731034-0.431256))+0-177.6-0.181152000000028</f>
        <v>1244.8684720000001</v>
      </c>
      <c r="H179" s="3">
        <f>1102.5+(685-398.9)+(-1.686825+(-1.04805--0.610317))+0-177--0.27081000000001</f>
        <v>1209.7462519999999</v>
      </c>
      <c r="I179" s="3">
        <f>1107.8+(606.2-346.3)+(-0.564978+(-0.309162--0.176613))+0-177.5--0.090524999999982</f>
        <v>1189.5929980000001</v>
      </c>
      <c r="J179" s="3">
        <f>1091.2+(582-317)+(-0.556512+(-0.29682--0.16167))+0-178.7--0.0911369999999819</f>
        <v>1176.8994749999999</v>
      </c>
      <c r="K179" s="3">
        <f>1076.6+(533.4-266.8)+(1.098132+(0.544068-0.272136))+0-178.9-0.182478000000029</f>
        <v>1165.4875859999997</v>
      </c>
      <c r="L179" s="3">
        <f>1073+(402.4-194.5)+(1.09446+(0.410448-0.19839))+0-177-0.180540000000028</f>
        <v>1105.0259780000001</v>
      </c>
      <c r="M179" s="3">
        <f>1076.5+(398.2-213.4)+(1.09803+(0.406164-0.217668))+0-171.6-0.175032000000027</f>
        <v>1090.811494</v>
      </c>
      <c r="N179" s="3">
        <f>997.3+(464.1-175.8)+(1.017246+(0.473382-0.179316))+0-163.1-0.166362000000026</f>
        <v>1123.6449500000001</v>
      </c>
      <c r="O179" s="3">
        <f>937.3+(590.6-181.3)+(0.478023+(0.301206-0.092463))+0-165-0.0841499999999833</f>
        <v>1182.202616</v>
      </c>
      <c r="P179" s="3">
        <f>932.6+(644.5-174.8)+(0+(0-0))+0-163.1-0</f>
        <v>1239.2</v>
      </c>
      <c r="Q179" s="3">
        <f>926.7+(728.5-197.8)+(0+(0-0))+0-166.4-0</f>
        <v>1291</v>
      </c>
      <c r="R179" s="3">
        <f>931.9+(895.3-335.3)+(-0.475269+(-0.456603--0.171003))+0-172.4--0.0879239999999825</f>
        <v>1318.827055</v>
      </c>
      <c r="S179" s="3">
        <f>928.6+(1031.5-448.1)+(-1.420758+(-1.578195--0.685593))+0-178.8--0.27356400000001</f>
        <v>1331.160204</v>
      </c>
      <c r="T179" s="3">
        <f>932.6+(1112.2-514.3)+(-0.951252+(-1.134444--0.524586))+0-178.6--0.182172000000028</f>
        <v>1350.521062</v>
      </c>
      <c r="U179" s="3">
        <f>936.5+(1082.2-490)+(-0.95523+(-1.103844--0.4998))+0-174.8--0.178296000000028</f>
        <v>1352.5190220000002</v>
      </c>
      <c r="V179" s="3">
        <f>888.5+(949.5-335.4)+(-0.90627+(-0.96849--0.342108))+0-178.7--0.182274000000028</f>
        <v>1322.5496219999998</v>
      </c>
      <c r="W179" s="3">
        <f>870.8+(709-142.5)+(-0.888216+(-0.72318--0.14535))+0-177.9--0.181458000000028</f>
        <v>1258.1154119999999</v>
      </c>
      <c r="X179" s="3">
        <f>901+(607.5-133.1)+(-0.45951+(-0.309825--0.067881))+0-178.8--0.0911879999999819</f>
        <v>1195.989734</v>
      </c>
      <c r="Y179" s="3">
        <f>1002.9+(712.2-217.6)+(-0.511479+(-0.363222--0.110976))+0-180.8--0.0922079999999817</f>
        <v>1316.0284830000001</v>
      </c>
      <c r="Z179" s="3">
        <f>1036.6+(884.8-354.5)+(-1.057332+(-0.902496--0.36159))+0-185.1--0.18880200000003</f>
        <v>1380.390564</v>
      </c>
      <c r="AA179" s="3">
        <f>1045.8+(915.2-396.4)+(-1.600074+(-1.400256--0.606492))+0-183.2--0.280296000000011</f>
        <v>1379.2864579999998</v>
      </c>
      <c r="AB179" s="3">
        <f>1038.5+(918.1-421.2)+(1.05927+(0.936462-0.429624))+0-174.1-0.177582000000028</f>
        <v>1362.6885260000001</v>
      </c>
      <c r="AC179" s="3">
        <f>1045.7+(872.2-432.9)+(-0.533307+(-0.444822--0.220779))+0-165.8--0.0845579999999832</f>
        <v>1318.527208</v>
      </c>
      <c r="AD179" s="2">
        <v>1378.9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1096.9+(792-400.9)+(0+(0-0))+0-166.9-0</f>
        <v>1321.1</v>
      </c>
      <c r="G180" s="3">
        <f>1092.1+(798.4-432.8)+(0+(0-0))+0-178.1-0</f>
        <v>1279.5999999999999</v>
      </c>
      <c r="H180" s="3">
        <f>1118+(723.1-418.8)+(0+(0-0))+0-178.4-0</f>
        <v>1243.8999999999999</v>
      </c>
      <c r="I180" s="3">
        <f>1111.5+(661.9-372)+(0+(0-0))+0-179.3-0</f>
        <v>1222.1000000000001</v>
      </c>
      <c r="J180" s="3">
        <f>1113.3+(551.5-278.4)+(2.838915+(1.406325-0.70992))+0-178.7-0.455684999999974</f>
        <v>1210.7796350000001</v>
      </c>
      <c r="K180" s="3">
        <f>1110+(497.6-224.7)+(1.1322+(0.507552-0.229194))+0-174.3-0.177786000000028</f>
        <v>1209.8327720000002</v>
      </c>
      <c r="L180" s="3">
        <f>1106.4+(420-218.6)+(0.564264+(0.2142-0.111486))+0-175.3-0.0894029999999822</f>
        <v>1133.0775750000003</v>
      </c>
      <c r="M180" s="3">
        <f>1133.5+(429.6-233.9)+(-1.15617+(-0.438192--0.238578))+0-181.6--0.185232000000029</f>
        <v>1146.4294480000001</v>
      </c>
      <c r="N180" s="3">
        <f>1127.1+(490.3-246.1)+(2.874105+(1.250265-0.627555))+0-179.5-0.457724999999974</f>
        <v>1194.8390899999999</v>
      </c>
      <c r="O180" s="3">
        <f>1111.6+(556.8-246.7)+(0+(0-0))+0-174.3-0</f>
        <v>1247.3999999999999</v>
      </c>
      <c r="P180" s="3">
        <f>1101.4+(578-198.2)+(0.561714+(0.29478-0.101082))+0-177.1-0.090320999999982</f>
        <v>1304.7650910000002</v>
      </c>
      <c r="Q180" s="3">
        <f>1106.1+(644.7-198.8)+(0.564111+(0.328797-0.101388))+0-175-0.0892499999999822</f>
        <v>1377.70227</v>
      </c>
      <c r="R180" s="3">
        <f>1093.9+(832.6-333.8)+(-1.115778+(-0.849252--0.340476))+0-178.7--0.182274000000028</f>
        <v>1412.55772</v>
      </c>
      <c r="S180" s="3">
        <f>1088.2+(1012-493.8)+(0.554982+(0.51612-0.251838))+0-176.2-0.0898619999999821</f>
        <v>1430.929402</v>
      </c>
      <c r="T180" s="3">
        <f>1088.3+(999.8-485.7)+(0+(0-0))+0-173.9-0</f>
        <v>1428.4999999999998</v>
      </c>
      <c r="U180" s="3">
        <f>1089.6+(917.2-415.9)+(2.77848+(2.33886-1.060545))+0-174.9-0.445994999999975</f>
        <v>1419.6107999999999</v>
      </c>
      <c r="V180" s="3">
        <f>1087.6+(745.8-271.9)+(-2.218704+(-1.521432--0.554676))+0-178.8--0.364751999999992</f>
        <v>1379.8792920000001</v>
      </c>
      <c r="W180" s="3">
        <f>1089.9+(472.2-81)+(-4.446792+(-1.926576--0.33048))+0-176--0.718079999999985</f>
        <v>1299.7751920000001</v>
      </c>
      <c r="X180" s="3">
        <f>1099.6+(564.1-231.7)+(-2.80398+(-1.438455--0.590835))+0-176--0.448799999999974</f>
        <v>1252.7972</v>
      </c>
      <c r="Y180" s="3">
        <f>1110.1+(606-165.8)+(1.132302+(0.61812-0.169116))+0-182.8-0.186456000000029</f>
        <v>1368.8948499999999</v>
      </c>
      <c r="Z180" s="3">
        <f>1127.1+(759.7-285.5)+(-1.149642+(-0.774894--0.29121))+0-183.1--0.186762000000029</f>
        <v>1416.7534360000002</v>
      </c>
      <c r="AA180" s="3">
        <f>1131.2+(804.6-351.7)+(-1.153824+(-0.820692--0.358734))+0-182.5--0.186150000000029</f>
        <v>1400.1703680000001</v>
      </c>
      <c r="AB180" s="3">
        <f>1126.1+(799.4-367)+(-1.148622+(-0.815388--0.37434))+0-179.9--0.183498000000029</f>
        <v>1377.1938279999999</v>
      </c>
      <c r="AC180" s="3">
        <f>1122.4+(768.6-368)+(0.572424+(0.391986-0.18768))+0-183.4-0.0935339999999814</f>
        <v>1340.2831959999999</v>
      </c>
      <c r="AD180" s="2">
        <v>1399.4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1164.4+(804.5-450.7)+(-1.781532+(-1.230885--0.689571))+0-182.8--0.279684000000011</f>
        <v>1333.3568380000002</v>
      </c>
      <c r="G181" s="3">
        <f>1085.4+(853.8-461.1)+(-2.214216+(-1.741752--0.940644))+0-184.2--0.375767999999992</f>
        <v>1291.2604439999998</v>
      </c>
      <c r="H181" s="3">
        <f>1113.3+(766.4-437)+(-1.703349+(-1.172592--0.66861))+0-182.6--0.279378000000011</f>
        <v>1258.1720469999998</v>
      </c>
      <c r="I181" s="3">
        <f>1113.2+(667.2-371.7)+(-0.567732+(-0.340272--0.189567))+0-181.6--0.0926159999999816</f>
        <v>1226.474179</v>
      </c>
      <c r="J181" s="3">
        <f>1119.8+(587.7-305.9)+(2.284392+(1.198908-0.624036))+0-178.1-0.363323999999992</f>
        <v>1225.99594</v>
      </c>
      <c r="K181" s="3">
        <f>1121.5+(502.2-231.8)+(0.571965+(0.256122-0.118218))+0-176.2-0.0898619999999821</f>
        <v>1216.320007</v>
      </c>
      <c r="L181" s="3">
        <f>1126+(466.5-244.1)+(-2.29704+(-0.95166--0.497964))+0-178.7--0.364547999999992</f>
        <v>1167.3138120000001</v>
      </c>
      <c r="M181" s="3">
        <f>1126.1+(529-312.6)+(-0.574311+(-0.26979--0.159426))+0-180.6--0.0921059999999817</f>
        <v>1161.3074310000002</v>
      </c>
      <c r="N181" s="3">
        <f>1123.2+(500.2-233.7)+(0+(0-0))+0-179.2-0</f>
        <v>1210.5</v>
      </c>
      <c r="O181" s="3">
        <f>1105.9+(461.9-129.1)+(-3.948063+(-1.648983--0.460887))+0-171.9--0.613683000000002</f>
        <v>1262.2775240000001</v>
      </c>
      <c r="P181" s="3">
        <f>1070.9+(576.4-152.3)+(0+(0-0))+0-164.7-0</f>
        <v>1330.3</v>
      </c>
      <c r="Q181" s="3">
        <f>1073.6+(652.3-189.4)+(1.095072+(0.665346-0.193188))+0-168-0.171360000000027</f>
        <v>1369.8958700000001</v>
      </c>
      <c r="R181" s="3">
        <f>1073.5+(798.6-281.4)+(0+(0-0))+0-178.2-0</f>
        <v>1412.5</v>
      </c>
      <c r="S181" s="3">
        <f>1063.7+(1069.7-509.9)+(-0.542487+(-0.545547--0.260049))+0-182.3--0.0929729999999815</f>
        <v>1440.4649880000002</v>
      </c>
      <c r="T181" s="3">
        <f>1062.7+(1080.8-514.9)+(-0.541977+(-0.551208--0.262599))+0-183.7--0.0936869999999814</f>
        <v>1444.1631009999999</v>
      </c>
      <c r="U181" s="3">
        <f>1074.9+(972.1-440)+(0+(0-0))+0-178.1-0</f>
        <v>1428.9</v>
      </c>
      <c r="V181" s="3">
        <f>1060.5+(773.6-259.7)+(-1.622565+(-1.183608--0.397341))+0-175.9--0.26912700000001</f>
        <v>1396.360295</v>
      </c>
      <c r="W181" s="3">
        <f>1076.9+(503.8-96.1)+(-0.549219+(-0.256938--0.049011))+0-174.2--0.0888419999999823</f>
        <v>1309.7316960000001</v>
      </c>
      <c r="X181" s="3">
        <f>1101.6+(656.7-303.4)+(0.561816+(0.334917-0.154734))+0-179.3-0.0914429999999818</f>
        <v>1276.2505560000002</v>
      </c>
      <c r="Y181" s="3">
        <f>1130.9+(649.5-216.5)+(-0.576759+(-0.331245--0.110415))+0-175.9--0.0897089999999822</f>
        <v>1387.2921200000001</v>
      </c>
      <c r="Z181" s="3">
        <f>1145.4+(775.5-303.9)+(-1.168308+(-0.79101--0.309978))+0-181.3--0.184926000000029</f>
        <v>1434.2355860000002</v>
      </c>
      <c r="AA181" s="3">
        <f>1153.9+(809.3-363.9)+(-1.176978+(-0.825486--0.371178))+0-183--0.186660000000029</f>
        <v>1414.8553740000002</v>
      </c>
      <c r="AB181" s="3">
        <f>1151.6+(793.3-379.7)+(0+(0-0))+0-179.6-0</f>
        <v>1385.6</v>
      </c>
      <c r="AC181" s="3">
        <f>1157.9+(771.2-410.4)+(-2.362116+(-1.573248--0.837216))+0-177.7--0.362507999999992</f>
        <v>1338.2643600000001</v>
      </c>
      <c r="AD181" s="2">
        <v>1380.3999999999999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1115.8+(737-425.5)+(-3.414348+(-2.25522--1.30203))+0-181.1--0.554166000000021</f>
        <v>1242.3866280000002</v>
      </c>
      <c r="G182" s="3">
        <f>1116.6+(745.5-483.4)+(-2.84733+(-1.901025--1.23267))+0-180.3--0.459764999999974</f>
        <v>1195.3440799999998</v>
      </c>
      <c r="H182" s="3">
        <f>1126.7+(692.8-471.5)+(-1.723851+(-1.059984--0.721395))+0-181.1--0.27708300000001</f>
        <v>1165.1146430000001</v>
      </c>
      <c r="I182" s="3">
        <f>1137.2+(584.3-396.7)+(-4.059804+(-2.085951--1.416219))+0-180--0.642600000000003</f>
        <v>1140.7130639999998</v>
      </c>
      <c r="J182" s="3">
        <f>1142.1+(607.4-450.2)+(1.164942+(0.619548-0.459204))+0-179.9-0.183498000000029</f>
        <v>1120.5417879999998</v>
      </c>
      <c r="K182" s="3">
        <f>1149.5+(492.1-350.9)+(-1.758735+(-0.752913--0.536877))+0-178--0.27234000000001</f>
        <v>1110.9975690000001</v>
      </c>
      <c r="L182" s="3">
        <f>1152.4+(329.2-220.8)+(-3.526344+(-1.007352--0.675648))+0-177.6--0.54345600000002</f>
        <v>1079.8854080000003</v>
      </c>
      <c r="M182" s="3">
        <f>1147.5+(274.3-146.6)+(1.17045+(0.279786-0.149532))+0-181.9-0.185538000000029</f>
        <v>1094.415166</v>
      </c>
      <c r="N182" s="3">
        <f>1139.1+(298.8-107.7)+(1.161882+(0.304776-0.109854))+0-180.9-0.184518000000029</f>
        <v>1150.4722859999997</v>
      </c>
      <c r="O182" s="3">
        <f>1127.3+(358.8-112.7)+(0.574923+(0.182988-0.057477))+0-174.8-0.0891479999999823</f>
        <v>1199.2112860000002</v>
      </c>
      <c r="P182" s="3">
        <f>1117.8+(408.1-114.7)+(1.710234+(0.624393-0.175491))+0-160.1-0.244953000000009</f>
        <v>1253.0141830000002</v>
      </c>
      <c r="Q182" s="3">
        <f>1105.5+(506.2-144.3)+(1.12761+(0.516324-0.147186))+0-161.7-0.164934000000026</f>
        <v>1307.0318139999999</v>
      </c>
      <c r="R182" s="3">
        <f>1110.9+(647.7-255.7)+(-0.566559+(-0.330327--0.130407))+0-158.9--0.0810389999999839</f>
        <v>1343.31456</v>
      </c>
      <c r="S182" s="3">
        <f>1098.3+(859.1-421)+(-1.680399+(-1.314423--0.64413))+0-160.7--0.245871000000009</f>
        <v>1373.5951790000001</v>
      </c>
      <c r="T182" s="3">
        <f>1089.6+(905.3-457.4)+(-0.555696+(-0.461703--0.233274))+0-161.1--0.0821609999999837</f>
        <v>1375.6980360000002</v>
      </c>
      <c r="U182" s="3">
        <f>1094+(842.9-410.9)+(0.55794+(0.429879-0.209559))+0-158.9-0.0810389999999839</f>
        <v>1367.797221</v>
      </c>
      <c r="V182" s="3">
        <f>1113.5+(689.8-290.9)+(-0.567885+(-0.351798--0.148359))+0-163.8--0.0835379999999834</f>
        <v>1347.9122140000002</v>
      </c>
      <c r="W182" s="3">
        <f>1116.8+(452.5-123.8)+(-0.569568+(-0.230775--0.063138))+0-174.9--0.0891989999999823</f>
        <v>1269.951994</v>
      </c>
      <c r="X182" s="3">
        <f>1121.3+(496.6-222.7)+(-2.287452+(-1.013064--0.454308))+0-176.5--0.360059999999992</f>
        <v>1216.2138520000001</v>
      </c>
      <c r="Y182" s="3">
        <f>1128.9+(590.7-216)+(0.575739+(0.301257-0.11016))+0-175.9-0.0897089999999822</f>
        <v>1328.377127</v>
      </c>
      <c r="Z182" s="3">
        <f>1142.8+(700.5-275.6)+(-2.331312+(-1.42902--0.562224))+0-179.7--0.366587999999992</f>
        <v>1385.1684799999998</v>
      </c>
      <c r="AA182" s="3">
        <f>1151+(720-330.6)+(-3.52206+(-2.2032--1.011636))+0-178.6--0.546516000000021</f>
        <v>1357.6328920000003</v>
      </c>
      <c r="AB182" s="3">
        <f>1134.4+(737.4-386.2)+(-1.735632+(-1.128222--0.590886))+0-172.5--0.26392500000001</f>
        <v>1311.0909570000001</v>
      </c>
      <c r="AC182" s="3">
        <f>1141+(717.8-421.2)+(-0.58191+(-0.366078--0.214812))+0-174.4--0.0889439999999823</f>
        <v>1262.5557679999999</v>
      </c>
      <c r="AD182" s="2">
        <v>1369.6999999999998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1158.7+(668.3-404.5)+(-2.363748+(-1.363332--0.82518))+0-176.5--0.360059999999992</f>
        <v>1243.4581599999999</v>
      </c>
      <c r="G183" s="3">
        <f>1158.3+(555.1-338.4)+(-4.725864+(-2.264808--1.380672))+0-176.9--0.721751999999985</f>
        <v>1193.2117519999999</v>
      </c>
      <c r="H183" s="3">
        <f>1158.3+(473.5-290.9)+(-1.772199+(-0.724455--0.445077))+0-178.1--0.27249300000001</f>
        <v>1161.0209160000002</v>
      </c>
      <c r="I183" s="3">
        <f>1159.2+(422-279.4)+(-0.591192+(-0.21522--0.142494))+0-177.4--0.090473999999982</f>
        <v>1123.8265560000002</v>
      </c>
      <c r="J183" s="3">
        <f>1170.5+(368.3-243.8)+(-0.596955+(-0.187833--0.124338))+0-175.7--0.0896069999999822</f>
        <v>1118.7291569999998</v>
      </c>
      <c r="K183" s="3">
        <f>1169.8+(313.8-202.4)+(-0.596598+(-0.160038--0.103224))+0-172.2--0.0878219999999825</f>
        <v>1108.4344100000001</v>
      </c>
      <c r="L183" s="3">
        <f>1167.5+(256.4-186.8)+(-0.595425+(-0.130764--0.095268))+0-170.3--0.0868529999999827</f>
        <v>1066.255932</v>
      </c>
      <c r="M183" s="3">
        <f>1165+(283-198.8)+(1.1883+(0.28866-0.202776))+0-175.5-0.179010000000028</f>
        <v>1074.7951740000001</v>
      </c>
      <c r="N183" s="3">
        <f>1162.1+(372.9-240.9)+(1.778013+(0.570537-0.368577))+0-176.9-0.27065700000001</f>
        <v>1118.9093159999998</v>
      </c>
      <c r="O183" s="3">
        <f>1152.1+(456.9-261.8)+(-1.175142+(-0.466038--0.267036))+0-176.1--0.179622000000028</f>
        <v>1169.9054780000001</v>
      </c>
      <c r="P183" s="3">
        <f>1169.2+(419.4-199.8)+(0+(0-0))+0-175.2-0</f>
        <v>1213.5999999999999</v>
      </c>
      <c r="Q183" s="3">
        <f>1182+(392.4-123.5)+(0.60282+(0.200124-0.062985))+0-174.9-0.0891989999999823</f>
        <v>1276.65076</v>
      </c>
      <c r="R183" s="3">
        <f>1219.4+(533.6-241.2)+(0.621894+(0.272136-0.123012))+0-182.3-0.0929729999999815</f>
        <v>1330.1780450000001</v>
      </c>
      <c r="S183" s="3">
        <f>1253.5+(716.6-422.3)+(-0.639285+(-0.365466--0.215373))+0-182.4--0.0930239999999815</f>
        <v>1364.7036459999999</v>
      </c>
      <c r="T183" s="3">
        <f>1257.1+(750.5-458.1)+(-0.641121+(-0.382755--0.233631))+0-185--0.0943499999999812</f>
        <v>1363.8041050000002</v>
      </c>
      <c r="U183" s="3">
        <f>1263.4+(696.3-419)+(-0.644334+(-0.355113--0.21369))+0-185.3--0.0945029999999812</f>
        <v>1354.708746</v>
      </c>
      <c r="V183" s="3">
        <f>1265.6+(486.7-243.1)+(-3.22728+(-1.241085--0.619905))+0-185.4--0.472769999999973</f>
        <v>1320.4243099999999</v>
      </c>
      <c r="W183" s="3">
        <f>1262.7+(339.8-173.9)+(-2.575908+(-0.693192--0.354756))+0-185.3--0.378011999999992</f>
        <v>1240.7636680000001</v>
      </c>
      <c r="X183" s="3">
        <f>1270.7+(447.3-344)+(-1.296114+(-0.456246--0.35088))+0-183--0.186660000000029</f>
        <v>1189.7851800000001</v>
      </c>
      <c r="Y183" s="3">
        <f>1275.9+(476.4-262.1)+(0.650709+(0.242964-0.133671))+0-184.5-0.0940949999999813</f>
        <v>1306.3659070000001</v>
      </c>
      <c r="Z183" s="3">
        <f>1297.2+(462.8-219.7)+(-1.323144+(-0.472056--0.224094))+0-186--0.18972000000003</f>
        <v>1352.9186140000002</v>
      </c>
      <c r="AA183" s="3">
        <f>1312.2+(454.6-239.8)+(-3.34611+(-1.15923--0.61149))+0-184.4--0.470219999999973</f>
        <v>1339.1763699999999</v>
      </c>
      <c r="AB183" s="3">
        <f>1323.7+(419.7-246.3)+(-2.700348+(-0.856188--0.502452))+0-183.7--0.374747999999992</f>
        <v>1310.7206639999997</v>
      </c>
      <c r="AC183" s="3">
        <f>1330.2+(371.4-256.1)+(-2.713608+(-0.757656--0.522444))+0-180.5--0.368219999999992</f>
        <v>1262.4194</v>
      </c>
      <c r="AD183" s="2">
        <v>1344.3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1331.8+(356.5-284.1)+(-0.679218+(-0.181815--0.144891))+0-178--0.0907799999999819</f>
        <v>1225.5746379999998</v>
      </c>
      <c r="G184" s="3">
        <f>1336.8+(264.2-242.6)+(-3.40884+(-0.67371--0.61863))+0-176.1--0.449054999999974</f>
        <v>1179.2851350000001</v>
      </c>
      <c r="H184" s="3">
        <f>1341+(240.4-262.2)+(-4.10346+(-0.735624--0.802332))+0-170.7--0.52234200000002</f>
        <v>1144.98559</v>
      </c>
      <c r="I184" s="3">
        <f>1343+(224.6-274)+(-4.79451+(-0.801822--0.97818))+0-174.8--0.624036000000002</f>
        <v>1114.8058839999999</v>
      </c>
      <c r="J184" s="3">
        <f>1343+(211.9-284.5)+(-2.73972+(-0.432276--0.58038))+0-175.8--0.358631999999992</f>
        <v>1092.3670160000001</v>
      </c>
      <c r="K184" s="3">
        <f>1346.8+(226.4-317.2)+(2.060604+(0.346392-0.485316))+0-171.9-0.26300700000001</f>
        <v>1085.7586729999998</v>
      </c>
      <c r="L184" s="3">
        <f>1349.9+(205.8-340.1)+(-2.753796+(-0.419832--0.693804))+0-170.7--0.348227999999993</f>
        <v>1042.7684040000001</v>
      </c>
      <c r="M184" s="3">
        <f>1344.2+(271.2-393.4)+(0+(0-0))+0-179.7-0</f>
        <v>1042.3</v>
      </c>
      <c r="N184" s="3">
        <f>1329.7+(364.7-454.2)+(0+(0-0))+0-180.5-0</f>
        <v>1059.7</v>
      </c>
      <c r="O184" s="3">
        <f>1331.6+(417.7-441.1)+(1.358232+(0.426054-0.449922))+0-181.2-0.184824000000029</f>
        <v>1128.1495399999999</v>
      </c>
      <c r="P184" s="3">
        <f>1304.9+(454.9-399)+(1.330998+(0.463998-0.40698))+0-186.6-0.19033200000003</f>
        <v>1175.3976840000003</v>
      </c>
      <c r="Q184" s="3">
        <f>1304.4+(384-268.5)+(1.995732+(0.58752-0.410805))+0-182.7-0.279531000000011</f>
        <v>1239.0929160000001</v>
      </c>
      <c r="R184" s="3">
        <f>1294+(311.2-156.7)+(1.97982+(0.476136-0.239751))+0-183-0.279990000000011</f>
        <v>1267.4362149999999</v>
      </c>
      <c r="S184" s="3">
        <f>1289.4+(393.7-190.3)+(-1.315188+(-0.401574--0.194106))+0-186.4--0.19012800000003</f>
        <v>1305.067472</v>
      </c>
      <c r="T184" s="3">
        <f>1279.8+(449.7-232)+(0+(0-0))+0-185.3-0</f>
        <v>1312.2</v>
      </c>
      <c r="U184" s="3">
        <f>1274.2+(432.6-213.9)+(-1.299684+(-0.441252--0.218178))+0-180--0.183600000000029</f>
        <v>1311.5608420000001</v>
      </c>
      <c r="V184" s="3">
        <f>1278.2+(308.6-103.6)+(-2.607528+(-0.629544--0.211344))+0-178.3--0.363731999999992</f>
        <v>1302.238004</v>
      </c>
      <c r="W184" s="3">
        <f>1276.9+(364.3-229.3)+(-3.256095+(-0.928965--0.584715))+0-185.3--0.472514999999973</f>
        <v>1223.47217</v>
      </c>
      <c r="X184" s="3">
        <f>1281+(418.3-335.2)+(-1.30662+(-0.426666--0.341904))+0-185.3--0.18900600000003</f>
        <v>1177.597624</v>
      </c>
      <c r="Y184" s="3">
        <f>1292.2+(378.2-206.5)+(0.659022+(0.192882-0.105315))+0-187.5-0.095624999999981</f>
        <v>1277.0509640000002</v>
      </c>
      <c r="Z184" s="3">
        <f>1301.1+(338.9-121.7)+(-3.317805+(-0.864195--0.310335))+0-188.8--0.481439999999973</f>
        <v>1326.1097750000001</v>
      </c>
      <c r="AA184" s="3">
        <f>1307.7+(369.5-172.9)+(-1.333854+(-0.37689--0.176358))+0-189.1--0.19288200000003</f>
        <v>1313.8584960000001</v>
      </c>
      <c r="AB184" s="3">
        <f>1325.6+(425.5-277.5)+(-2.028168+(-0.651015--0.424575))+0-190.3--0.291159000000011</f>
        <v>1281.3365510000001</v>
      </c>
      <c r="AC184" s="3">
        <f>1339.7+(399-306.1)+(-0.683247+(-0.20349--0.156111))+0-193.1--0.0984809999999804</f>
        <v>1238.867855</v>
      </c>
      <c r="AD184" s="2">
        <v>1330.9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1341+(598.4-553.5)+(-0.68391+(-0.305184--0.282285))+0-187.1--0.095420999999981</f>
        <v>1198.1886120000001</v>
      </c>
      <c r="G185" s="3">
        <f>1349.3+(505.1-506.5)+(0+(0-0))+0-185-0</f>
        <v>1162.9000000000001</v>
      </c>
      <c r="H185" s="3">
        <f>1313.8+(455.2-458.9)+(-2.680152+(-0.928608--0.936156))+0-183--0.373319999999992</f>
        <v>1124.8007159999997</v>
      </c>
      <c r="I185" s="3">
        <f>1180.4+(472.2-371.4)+(-0.602004+(-0.240822--0.189414))+0-178.9--0.0912389999999818</f>
        <v>1101.7378270000002</v>
      </c>
      <c r="J185" s="3">
        <f>1184.4+(430.4-357.3)+(0+(0-0))+0-177.6-0</f>
        <v>1079.9000000000001</v>
      </c>
      <c r="K185" s="3">
        <f>1190.4+(380-316.6)+(-2.428416+(-0.7752--0.645864))+0-175.8--0.358631999999992</f>
        <v>1075.8008800000002</v>
      </c>
      <c r="L185" s="3">
        <f>1189.5+(250.1-221.7)+(-3.033225+(-0.637755--0.565335))+0-174.7--0.445484999999975</f>
        <v>1040.5398399999999</v>
      </c>
      <c r="M185" s="3">
        <f>1184.9+(209.4-164.5)+(-0.604299+(-0.106794--0.083895))+0-178.3--0.0909329999999819</f>
        <v>1050.9637350000003</v>
      </c>
      <c r="N185" s="3">
        <f>1172.2+(236.7-120.6)+(1.195644+(0.241434-0.123012))+0-176.6-0.180132000000028</f>
        <v>1112.833934</v>
      </c>
      <c r="O185" s="3">
        <f>1158.4+(293.8-116.7)+(0+(0-0))+0-172.9-0</f>
        <v>1162.5999999999999</v>
      </c>
      <c r="P185" s="3">
        <f>1148.5+(448.1-193.7)+(0+(0-0))+0-174.7-0</f>
        <v>1228.2</v>
      </c>
      <c r="Q185" s="3">
        <f>1135.8+(577.8-261.2)+(-1.158516+(-0.589356--0.266424))+0-169.2--0.172584000000027</f>
        <v>1281.8911359999997</v>
      </c>
      <c r="R185" s="3">
        <f>1122+(727.9-376.6)+(0+(0-0))+0-168.9-0</f>
        <v>1304.3999999999999</v>
      </c>
      <c r="S185" s="3">
        <f>1116.8+(893.1-520.1)+(0+(0-0))+0-167.6-0</f>
        <v>1322.2</v>
      </c>
      <c r="T185" s="3">
        <f>1112.2+(947-559.5)+(0+(0-0))+0-161.7-0</f>
        <v>1338</v>
      </c>
      <c r="U185" s="3">
        <f>1095.1+(879.2-490.2)+(0+(0-0))+0-160.2-0</f>
        <v>1323.8999999999999</v>
      </c>
      <c r="V185" s="3">
        <f>1139.5+(677.4-375)+(0+(0-0))+0-155-0</f>
        <v>1286.9000000000001</v>
      </c>
      <c r="W185" s="3">
        <f>1104.3+(483.4-214.7)+(0+(0-0))+0-161.6-0</f>
        <v>1211.4000000000001</v>
      </c>
      <c r="X185" s="3">
        <f>1124.4+(375-159.2)+(0+(0-0))+0-172.8-0</f>
        <v>1167.4000000000001</v>
      </c>
      <c r="Y185" s="3">
        <f>1170.6+(606.4-325.5)+(0+(0-0))+0-167.4-0</f>
        <v>1284.0999999999999</v>
      </c>
      <c r="Z185" s="3">
        <f>1175.5+(716.5-407.2)+(0+(0-0))+0-160.6-0</f>
        <v>1324.2</v>
      </c>
      <c r="AA185" s="3">
        <f>1171.1+(700-409.9)+(0+(0-0))+0-157.8-0</f>
        <v>1303.3999999999999</v>
      </c>
      <c r="AB185" s="3">
        <f>1178.4+(725.3-455.1)+(0+(0-0))+0-161-0</f>
        <v>1287.5999999999999</v>
      </c>
      <c r="AC185" s="3">
        <f>1185.1+(659.3-427.5)+(0+(0-0))+0-165.4-0</f>
        <v>1251.4999999999998</v>
      </c>
      <c r="AD185" s="2">
        <v>1333.3999999999999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1190.5+(611.3-411.2)+(-1.21431+(-0.623526--0.419424))+0-168.7--0.172074000000027</f>
        <v>1220.6536619999999</v>
      </c>
      <c r="G186" s="3">
        <f>1007.7+(691.4-357)+(-2.569635+(-1.76307--0.91035))+0-169--0.430949999999975</f>
        <v>1170.1085949999999</v>
      </c>
      <c r="H186" s="3">
        <f>1100.8+(495.3-323.9)+(-0.561408+(-0.252603--0.165189))+0-154.6--0.0788459999999843</f>
        <v>1117.0300239999999</v>
      </c>
      <c r="I186" s="3">
        <f>1119.4+(444.9-296.9)+(-1.141788+(-0.453798--0.302838))+0-161.5--0.164730000000026</f>
        <v>1104.771982</v>
      </c>
      <c r="J186" s="3">
        <f>1122.4+(410.4-279.3)+(0.572424+(0.209304-0.142443))+0-170.9-0.0871589999999827</f>
        <v>1083.152126</v>
      </c>
      <c r="K186" s="3">
        <f>1116+(304.3-212.8)+(-3.41496+(-0.931158--0.651168))+0-164.5--0.503370000000019</f>
        <v>1039.8084200000001</v>
      </c>
      <c r="L186" s="3">
        <f>1130.3+(245.3-188)+(-0.576453+(-0.125103--0.09588))+0-171.5--0.0874649999999826</f>
        <v>1015.581789</v>
      </c>
      <c r="M186" s="3">
        <f>1122+(270.3-153.5)+(0.57222+(0.137853-0.078285))+0-176.5-0.0900149999999821</f>
        <v>1062.8417729999999</v>
      </c>
      <c r="N186" s="3">
        <f>1090.5+(406.3-212.2)+(-1.668465+(-0.621639--0.324666))+0-178.2--0.27264600000001</f>
        <v>1104.707208</v>
      </c>
      <c r="O186" s="3">
        <f>1073.3+(446.4-175.3)+(-3.284298+(-1.365984--0.536418))+0-167.6--0.512856000000019</f>
        <v>1173.1989920000001</v>
      </c>
      <c r="P186" s="3">
        <f>1070.7+(515.8-189.1)+(-2.184228+(-1.052232--0.385764))+0-165.3--0.337211999999993</f>
        <v>1229.5865160000001</v>
      </c>
      <c r="Q186" s="3">
        <f>1068.6+(663.4-285.4)+(2.179944+(1.353336-0.582216))+0-164.8-0.336191999999993</f>
        <v>1284.4148720000001</v>
      </c>
      <c r="R186" s="3">
        <f>1060.6+(856.1-451.3)+(0.540906+(0.436611-0.230163))+0-170.2-0.0868019999999827</f>
        <v>1295.8605519999999</v>
      </c>
      <c r="S186" s="3">
        <f>1061.8+(926.8-515.1)+(0.541518+(0.472668-0.262701))+0-175.6-0.0895559999999822</f>
        <v>1298.5619290000002</v>
      </c>
      <c r="T186" s="3">
        <f>1055.6+(913.1-490.7)+(-2.153424+(-1.862724--1.001028))+0-177.9--0.362915999999992</f>
        <v>1297.4477959999999</v>
      </c>
      <c r="U186" s="3">
        <f>1056.6+(759.2-381.6)+(-2.155464+(-1.548768--0.778464))+0-171.2--0.349247999999993</f>
        <v>1260.4234799999997</v>
      </c>
      <c r="V186" s="3">
        <f>1049.4+(519.4-196.1)+(-3.746358+(-1.854258--0.700077))+0-175.7--0.627249000000002</f>
        <v>1192.7267099999999</v>
      </c>
      <c r="W186" s="3">
        <f>1055.3+(495.9-219.8)+(-0.538203+(-0.252909--0.112098))+0-182.1--0.0928709999999815</f>
        <v>1148.713857</v>
      </c>
      <c r="X186" s="3">
        <f>1125+(618-274.8)+(-1.1475+(-0.63036--0.280296))+0-184.7--0.188394000000029</f>
        <v>1282.19083</v>
      </c>
      <c r="Y186" s="3">
        <f>1142.7+(783.3-407.8)+(-1.748331+(-1.198449--0.623934))+0-182.2--0.278766000000011</f>
        <v>1333.9559199999999</v>
      </c>
      <c r="Z186" s="3">
        <f>1155.7+(836.7-475.5)+(-2.357628+(-1.706868--0.97002))+0-182.9--0.373115999999992</f>
        <v>1331.27864</v>
      </c>
      <c r="AA186" s="3">
        <f>1161.3+(830.3-499.1)+(-2.369052+(-1.693812--1.018164))+0-181.1--0.369443999999992</f>
        <v>1308.7247440000001</v>
      </c>
      <c r="AB186" s="3">
        <f>1160.2+(784.9-492.3)+(-1.183404+(-0.800598--0.502146))+0-179.7--0.183294000000029</f>
        <v>1271.8014379999997</v>
      </c>
      <c r="AC186" s="3">
        <f>1170.5+(737.5-507)+(-3.58173+(-2.25675--1.55142))+0-180.3--0.551718000000021</f>
        <v>1216.9646579999999</v>
      </c>
      <c r="AD186" s="2">
        <v>1330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1161.5+(636.2-443.8)+(0+(0-0))+0-184-0</f>
        <v>1169.9000000000001</v>
      </c>
      <c r="G187" s="3">
        <f>1166.3+(566.4-416.2)+(-1.784439+(-0.866592--0.636786))+0-180.9--0.27677700000001</f>
        <v>1133.8625319999999</v>
      </c>
      <c r="H187" s="3">
        <f>1165.4+(480.7-352)+(-1.188708+(-0.490314--0.35904))+0-179.2--0.182784000000029</f>
        <v>1113.7628020000002</v>
      </c>
      <c r="I187" s="3">
        <f>1173.8+(380.5-291.9)+(-1.795914+(-0.582165--0.446607))+0-177.6--0.27172800000001</f>
        <v>1083.1402560000001</v>
      </c>
      <c r="J187" s="3">
        <f>1173.2+(336.9-257.6)+(0+(0-0))+0-175.1-0</f>
        <v>1077.4000000000001</v>
      </c>
      <c r="K187" s="3">
        <f>1179.5+(224.9-183.9)+(-1.20309+(-0.229398--0.187578))+0-175.5--0.179010000000028</f>
        <v>1043.9341000000002</v>
      </c>
      <c r="L187" s="3">
        <f>1174.1+(255.2-230.8)+(0+(0-0))+0-175.9-0</f>
        <v>1022.6</v>
      </c>
      <c r="M187" s="3">
        <f>1170.8+(381.1-302.3)+(-0.597108+(-0.194361--0.154173))+0-170.6--0.0870059999999827</f>
        <v>1078.4497099999999</v>
      </c>
      <c r="N187" s="3">
        <f>1153.1+(506.1-339.7)+(-1.176162+(-0.516222--0.346494))+0-168.9--0.172278000000027</f>
        <v>1149.4263879999999</v>
      </c>
      <c r="O187" s="3">
        <f>1134.9+(595.3-357.4)+(1.157598+(0.607206-0.364548))+0-167.4-0.170748000000027</f>
        <v>1206.629508</v>
      </c>
      <c r="P187" s="3">
        <f>1133.8+(653.6-346.9)+(-0.578238+(-0.333336--0.176919))+0-161--0.0821099999999837</f>
        <v>1278.8474550000001</v>
      </c>
      <c r="Q187" s="3">
        <f>1121.2+(629.3-238.5)+(-0.571812+(-0.320943--0.121635))+0-155.8--0.0794579999999842</f>
        <v>1355.5083379999999</v>
      </c>
      <c r="R187" s="3">
        <f>1115.3+(764-331.8)+(-1.137606+(-0.77928--0.338436))+0-155.5--0.158610000000025</f>
        <v>1390.58016</v>
      </c>
      <c r="S187" s="3">
        <f>1111.9+(846.8-407.3)+(-1.701207+(-1.295604--0.623169))+0-155.6--0.238068000000009</f>
        <v>1393.6644260000003</v>
      </c>
      <c r="T187" s="3">
        <f>1130.5+(813.9-390.2)+(-1.729665+(-1.245267--0.597006))+0-157--0.240210000000009</f>
        <v>1395.0622840000001</v>
      </c>
      <c r="U187" s="3">
        <f>1148.1+(613.4-264.8)+(-1.756593+(-0.938502--0.405144))+0-151.9--0.232407000000009</f>
        <v>1342.7424559999997</v>
      </c>
      <c r="V187" s="3">
        <f>1149.8+(508.4-248.5)+(-2.93199+(-1.29642--0.633675))+0-154.7--0.394484999999978</f>
        <v>1251.7997499999999</v>
      </c>
      <c r="W187" s="3">
        <f>1178.4+(571.2-382.1)+(-1.802952+(-0.873936--0.584613))+0-159.2--0.243576000000009</f>
        <v>1206.4513010000001</v>
      </c>
      <c r="X187" s="3">
        <f>1212.4+(651.2-346.6)+(0+(0-0))+0-174.7-0</f>
        <v>1342.3</v>
      </c>
      <c r="Y187" s="3">
        <f>1222.9+(644.5-307.7)+(-3.118395+(-1.643475--0.784635))+0-172.7--0.440384999999975</f>
        <v>1383.4631499999998</v>
      </c>
      <c r="Z187" s="3">
        <f>1262.2+(633-339.7)+(-2.574888+(-1.29132--0.692988))+0-177.6--0.362303999999992</f>
        <v>1375.0890840000002</v>
      </c>
      <c r="AA187" s="3">
        <f>1310.6+(615.8-399.7)+(-2.673624+(-1.256232--0.815388))+0-171.9--0.350675999999992</f>
        <v>1352.0362079999998</v>
      </c>
      <c r="AB187" s="3">
        <f>1311.7+(629.5-444.5)+(-2.675868+(-1.28418--0.90678))+0-173.6--0.354143999999992</f>
        <v>1320.4008760000002</v>
      </c>
      <c r="AC187" s="3">
        <f>1324.3+(552.9-446.7)+(-2.026179+(-0.845937--0.683451))+0-173.7--0.26576100000001</f>
        <v>1254.8770960000002</v>
      </c>
      <c r="AD187" s="2">
        <v>1371.8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1317.1+(492.1-428.5)+(-0.671721+(-0.250971--0.218535))+0-170.1--0.0867509999999827</f>
        <v>1209.9825940000001</v>
      </c>
      <c r="G188" s="3">
        <f>1319.8+(399.2-368)+(-2.692392+(-0.814368--0.75072))+0-175.2--0.357407999999992</f>
        <v>1173.401368</v>
      </c>
      <c r="H188" s="3">
        <f>1324+(352.8-355.1)+(-2.02572+(-0.539784--0.543303))+0-172.5--0.26392500000001</f>
        <v>1147.441724</v>
      </c>
      <c r="I188" s="3">
        <f>1333+(267.4-296)+(-2.03949+(-0.409122--0.45288))+0-169.8--0.25979400000001</f>
        <v>1132.8640620000001</v>
      </c>
      <c r="J188" s="3">
        <f>1318.4+(227.9-263.6)+(1.344768+(0.232458-0.268872))+0-165.6-0.168912000000026</f>
        <v>1118.2394420000001</v>
      </c>
      <c r="K188" s="3">
        <f>1304.4+(215.4-277.3)+(-1.995732+(-0.329562--0.424269))+0-169.6--0.25948800000001</f>
        <v>1071.2584630000001</v>
      </c>
      <c r="L188" s="3">
        <f>1308+(223.6-315.4)+(1.33416+(0.228072-0.321708))+0-167.5-0.170850000000027</f>
        <v>1049.7696740000001</v>
      </c>
      <c r="M188" s="3">
        <f>1302.3+(279.6-339.5)+(1.328346+(0.285192-0.34629))+0-161.5-0.164730000000026</f>
        <v>1082.0025180000002</v>
      </c>
      <c r="N188" s="3">
        <f>1291+(286.2-279.8)+(0.65841+(0.145962-0.142698))+0-167-0.0851699999999831</f>
        <v>1130.976504</v>
      </c>
      <c r="O188" s="3">
        <f>1277.5+(374-254)+(-0.651525+(-0.19074--0.12954))+0-213--0.108629999999978</f>
        <v>1183.8959049999999</v>
      </c>
      <c r="P188" s="3">
        <f>1268.6+(370.6-192.9)+(-1.940958+(-0.567018--0.295137))+0-166.3--0.25443900000001</f>
        <v>1278.0416</v>
      </c>
      <c r="Q188" s="3">
        <f>1264.6+(542.4-305)+(-0.644946+(-0.276624--0.15555))+0-166.8--0.0850679999999831</f>
        <v>1334.5190480000001</v>
      </c>
      <c r="R188" s="3">
        <f>1257.3+(710.8-443.6)+(1.923669+(1.087524-0.678708))+0-158.3-0.242199000000009</f>
        <v>1368.2902859999999</v>
      </c>
      <c r="S188" s="3">
        <f>1247.6+(813.1-505.5)+(1.272552+(0.829362-0.51561))+0-157.8-0.160956000000025</f>
        <v>1398.8253479999998</v>
      </c>
      <c r="T188" s="3">
        <f>1242+(723.8-399.8)+(-1.26684+(-0.738276--0.407796))+0-167.6--0.170952000000027</f>
        <v>1396.973632</v>
      </c>
      <c r="U188" s="3">
        <f>1235.6+(589.6-290.7)+(-3.15078+(-1.50348--0.741285))+0-165.9--0.423044999999976</f>
        <v>1365.11007</v>
      </c>
      <c r="V188" s="3">
        <f>1243.8+(335.3-122.3)+(-3.17169+(-0.855015--0.311865))+0-167--0.425849999999976</f>
        <v>1286.5110099999999</v>
      </c>
      <c r="W188" s="3">
        <f>1249.3+(424.1-262.3)+(-1.274286+(-0.432582--0.267546))+0-168--0.171360000000027</f>
        <v>1241.832038</v>
      </c>
      <c r="X188" s="3">
        <f>1272+(495.4-213.8)+(-0.64872+(-0.252654--0.109038))+0-166.9--0.0851189999999831</f>
        <v>1385.9927829999999</v>
      </c>
      <c r="Y188" s="3">
        <f>1287.4+(600.4-302.5)+(-2.626296+(-1.224816--0.6171))+0-164.1--0.334763999999993</f>
        <v>1418.3007520000003</v>
      </c>
      <c r="Z188" s="3">
        <f>1295.5+(647.8-378.3)+(-1.982115+(-0.991134--0.578799))+0-161.5--0.247095000000009</f>
        <v>1401.3526449999999</v>
      </c>
      <c r="AA188" s="3">
        <f>1301.4+(637.4-399.1)+(-3.982284+(-1.950444--1.221246))+0-161--0.492660000000019</f>
        <v>1374.4811780000002</v>
      </c>
      <c r="AB188" s="3">
        <f>1299.3+(594-393.6)+(-1.987929+(-0.90882--0.602208))+0-158.4--0.242352000000009</f>
        <v>1339.2478109999997</v>
      </c>
      <c r="AC188" s="3">
        <f>1317.5+(545.9-419.1)+(0+(0-0))+0-162-0</f>
        <v>1282.3</v>
      </c>
      <c r="AD188" s="2">
        <v>1413.6000000000001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1316.2+(466.7-380.6)+(-0.671262+(-0.238017--0.194106))+0-161.6--0.0824159999999836</f>
        <v>1240.067243</v>
      </c>
      <c r="G189" s="3">
        <f>1317.3+(401-351.8)+(-2.687292+(-0.81804--0.717672))+0-163.2--0.332927999999993</f>
        <v>1200.845268</v>
      </c>
      <c r="H189" s="3">
        <f>1318.4+(369.5-343.9)+(-0.672384+(-0.188445--0.175389))+0-162.8--0.0830279999999835</f>
        <v>1180.5975880000001</v>
      </c>
      <c r="I189" s="3">
        <f>1325.2+(325.5-331.9)+(-1.351704+(-0.33201--0.338538))+0-162.3--0.165546000000026</f>
        <v>1155.3203700000001</v>
      </c>
      <c r="J189" s="3">
        <f>1331.4+(294.3-319.7)+(2.037042+(0.450279-0.489141))+0-160.5-0.245565000000009</f>
        <v>1147.2526150000001</v>
      </c>
      <c r="K189" s="3">
        <f>1292.4+(278.9-308.6)+(-1.977372+(-0.426717--0.472158))+0-157.2--0.240516000000009</f>
        <v>1103.808585</v>
      </c>
      <c r="L189" s="3">
        <f>1291.1+(307.4-365.6)+(-0.658461+(-0.156774--0.186456))+0-152.3--0.0776729999999846</f>
        <v>1080.048894</v>
      </c>
      <c r="M189" s="3">
        <f>1299.1+(336.3-370.8)+(2.650164+(0.686052-0.756432))+0-149.7-0.305387999999993</f>
        <v>1117.1743959999999</v>
      </c>
      <c r="N189" s="3">
        <f>1286.8+(372.8-338.1)+(-0.656268+(-0.190128--0.172431))+0-152.6--0.0778259999999845</f>
        <v>1168.3038610000001</v>
      </c>
      <c r="O189" s="3">
        <f>1273.3+(431.2-319.1)+(0.649383+(0.219912-0.162741))+0-153-0.0780299999999845</f>
        <v>1233.0285240000001</v>
      </c>
      <c r="P189" s="3">
        <f>1261.7+(465.6-272.1)+(0+(0-0))+0-154.4-0</f>
        <v>1300.8</v>
      </c>
      <c r="Q189" s="3">
        <f>1249.7+(526.6-255.8)+(1.274694+(0.537132-0.260916))+0-154.9-0.157998000000025</f>
        <v>1366.9929119999997</v>
      </c>
      <c r="R189" s="3">
        <f>1236.2+(637.6-319.3)+(-1.891386+(-0.975528--0.488529))+0-155.8--0.238374000000009</f>
        <v>1396.5599890000001</v>
      </c>
      <c r="S189" s="3">
        <f>1237.4+(737.5-412.5)+(-1.893222+(-1.128375--0.631125))+0-153.1--0.234243000000009</f>
        <v>1407.1437710000002</v>
      </c>
      <c r="T189" s="3">
        <f>1234.9+(695.1-395.9)+(-3.148995+(-1.772505--1.009545))+0-142.9--0.364394999999979</f>
        <v>1387.6524400000001</v>
      </c>
      <c r="U189" s="3">
        <f>1231.3+(492.2-245.1)+(-3.767778+(-1.506132--0.750006))+0-140.9--0.431154000000016</f>
        <v>1333.40725</v>
      </c>
      <c r="V189" s="3">
        <f>1286.3+(382.4-229.4)+(-4.592091+(-1.365168--0.818958))+0-144.4--0.515508000000002</f>
        <v>1290.2772069999999</v>
      </c>
      <c r="W189" s="3">
        <f>1238.7+(540.4-399.3)+(-1.263474+(-0.551208--0.407286))+0-146.7--0.149634000000023</f>
        <v>1231.842238</v>
      </c>
      <c r="X189" s="3">
        <f>1277+(605-369)+(-1.95381+(-0.92565--0.56457))+0-160--0.244800000000009</f>
        <v>1350.9299099999998</v>
      </c>
      <c r="Y189" s="3">
        <f>1286.9+(582.9-294.5)+(-2.625276+(-1.189116--0.60078))+0-165--0.336599999999993</f>
        <v>1407.4229880000003</v>
      </c>
      <c r="Z189" s="3">
        <f>1293.3+(624.6-364.2)+(-3.297915+(-1.59273--0.92871))+0-165.1--0.421004999999976</f>
        <v>1385.05907</v>
      </c>
      <c r="AA189" s="3">
        <f>1288.9+(656.3-395.3)+(-3.944034+(-2.008278--1.209618))+0-172.8--0.52876800000002</f>
        <v>1372.8860740000002</v>
      </c>
      <c r="AB189" s="3">
        <f>1269.2+(645.8-397.4)+(-2.589168+(-1.317432--0.810696))+0-178.1--0.363323999999992</f>
        <v>1336.7674199999999</v>
      </c>
      <c r="AC189" s="3">
        <f>1275+(549-367.8)+(-3.25125+(-1.39995--0.93789))+0-173.5--0.442424999999975</f>
        <v>1279.4291149999999</v>
      </c>
      <c r="AD189" s="2">
        <v>1387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1278.3+(474.6-349.8)+(-0.651933+(-0.242046--0.178398))+0-169.2--0.0862919999999828</f>
        <v>1233.2707109999999</v>
      </c>
      <c r="G190" s="3">
        <f>1278.5+(446.4-351.4)+(-1.30407+(-0.455328--0.358428))+0-173.8--0.177276000000028</f>
        <v>1198.4763060000002</v>
      </c>
      <c r="H190" s="3">
        <f>1258.7+(427.8-339)+(-0.641937+(-0.218178--0.17289))+0-174.1--0.0887909999999823</f>
        <v>1172.8015660000001</v>
      </c>
      <c r="I190" s="3">
        <f>1231+(372-282.6)+(-3.13905+(-0.9486--0.72063))+0-173--0.441149999999975</f>
        <v>1144.4741300000001</v>
      </c>
      <c r="J190" s="3">
        <f>1244.7+(312.1-261)+(0.634797+(0.159171-0.13311))+0-172.1-0.0877709999999825</f>
        <v>1124.2730870000003</v>
      </c>
      <c r="K190" s="3">
        <f>1229.2+(299.2-267.2)+(-3.13446+(-0.76296--0.68136))+0-174.7--0.445484999999975</f>
        <v>1083.729425</v>
      </c>
      <c r="L190" s="3">
        <f>1234.2+(379-372)+(-0.629442+(-0.19329--0.18972))+0-177.4--0.090473999999982</f>
        <v>1063.257462</v>
      </c>
      <c r="M190" s="3">
        <f>1239.4+(417.9-380.8)+(-0.632094+(-0.213129--0.194208))+0-175.7--0.0896069999999822</f>
        <v>1100.2385919999999</v>
      </c>
      <c r="N190" s="3">
        <f>1245.1+(424.3-339.2)+(0+(0-0))+0-173.8-0</f>
        <v>1156.3999999999999</v>
      </c>
      <c r="O190" s="3">
        <f>1234.7+(452.9-302.1)+(0+(0-0))+0-175.3-0</f>
        <v>1210.2</v>
      </c>
      <c r="P190" s="3">
        <f>1224.5+(517.6-298.7)+(-1.24899+(-0.527952--0.304674))+0-178.1--0.181662000000028</f>
        <v>1264.0093940000002</v>
      </c>
      <c r="Q190" s="3">
        <f>1219.9+(599.4-291.9)+(-0.622149+(-0.305694--0.148869))+0-183.5--0.0935849999999814</f>
        <v>1343.2146110000001</v>
      </c>
      <c r="R190" s="3">
        <f>1216.4+(789.5-436.3)+(-1.240728+(-0.80529--0.445026))+0-180.6--0.184212000000029</f>
        <v>1387.5832200000004</v>
      </c>
      <c r="S190" s="3">
        <f>1200.8+(760.5-377.6)+(-1.837224+(-1.163565--0.577728))+0-186.5--0.285345000000011</f>
        <v>1395.0622839999999</v>
      </c>
      <c r="T190" s="3">
        <f>1199.2+(617.6-295.3)+(-0.611592+(-0.314976--0.150603))+0-189.2--0.0964919999999808</f>
        <v>1331.6205269999998</v>
      </c>
      <c r="U190" s="3">
        <f>1201.8+(408.7-190.9)+(-3.06459+(-1.042185--0.486795))+0-185.5--0.473024999999973</f>
        <v>1230.953045</v>
      </c>
      <c r="V190" s="3">
        <f>1218.8+(375.4-249.1)+(-1.243176+(-0.382908--0.254082))+0-190.1--0.19390200000003</f>
        <v>1153.8218999999999</v>
      </c>
      <c r="W190" s="3">
        <f>1254.9+(481.7-381.3)+(-1.919997+(-0.737001--0.583389))+0-184.7--0.282591000000011</f>
        <v>1168.808982</v>
      </c>
      <c r="X190" s="3">
        <f>1274.1+(520-335.9)+(-0.649791+(-0.2652--0.171309))+0-184.2--0.0939419999999813</f>
        <v>1273.3502599999997</v>
      </c>
      <c r="Y190" s="3">
        <f>1262.9+(496.6-294.2)+(-3.864474+(-1.519596--0.900252))+0-181.8--0.556308000000021</f>
        <v>1279.5724900000002</v>
      </c>
      <c r="Z190" s="3">
        <f>1272.7+(485.7-275.7)+(-0.649077+(-0.247707--0.140607))+0-183--0.0933299999999814</f>
        <v>1299.037153</v>
      </c>
      <c r="AA190" s="3">
        <f>1274.9+(519.1-310)+(-0.650199+(-0.264741--0.1581))+0-183.8--0.0937379999999814</f>
        <v>1299.5368980000001</v>
      </c>
      <c r="AB190" s="3">
        <f>1271.9+(527.7-342.2)+(-3.243345+(-1.345635--0.87261))+0-180.4--0.460019999999974</f>
        <v>1273.7436499999999</v>
      </c>
      <c r="AC190" s="3">
        <f>1282.3+(464.8-347.9)+(-1.961919+(-0.711144--0.532287))+0-177.5--0.27157500000001</f>
        <v>1219.8307990000001</v>
      </c>
      <c r="AD190" s="2">
        <v>1263.2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1278.1+(405-357.9)+(-2.607324+(-0.8262--0.730116))+0-170.7--0.348227999999993</f>
        <v>1152.1448199999998</v>
      </c>
      <c r="G191" s="3">
        <f>1263.5+(448.9-404.8)+(-3.221925+(-1.144695--1.03224))+0-178.6--0.455429999999974</f>
        <v>1126.12105</v>
      </c>
      <c r="H191" s="3">
        <f>1271.1+(422.8-418)+(-3.241305+(-1.07814--1.0659))+0-177.3--0.452114999999974</f>
        <v>1095.7985699999999</v>
      </c>
      <c r="I191" s="3">
        <f>1277.9+(345.5-378.9)+(-0.651729+(-0.176205--0.193239))+0-175.1--0.0893009999999822</f>
        <v>1068.8546060000001</v>
      </c>
      <c r="J191" s="3">
        <f>1282.2+(320.7-368.1)+(-1.307844+(-0.327114--0.375462))+0-178.5--0.182070000000028</f>
        <v>1055.2225740000001</v>
      </c>
      <c r="K191" s="3">
        <f>1277.4+(309.4-391.9)+(-3.25737+(-0.78897--0.999345))+0-177.6--0.452879999999974</f>
        <v>1014.7058850000001</v>
      </c>
      <c r="L191" s="3">
        <f>1253.7+(382-444.7)+(0+(0-0))+0-175.1-0</f>
        <v>1015.9</v>
      </c>
      <c r="M191" s="3">
        <f>1236.1+(522.2-517.3)+(-0.630411+(-0.266322--0.263823))+0-180.7--0.0921569999999817</f>
        <v>1059.759247</v>
      </c>
      <c r="N191" s="3">
        <f>1236.1+(628.9-547.5)+(-1.260822+(-0.641478--0.55845))+0-178.8--0.182376000000029</f>
        <v>1137.538526</v>
      </c>
      <c r="O191" s="3">
        <f>1237+(705.2-588.8)+(-0.63087+(-0.359652--0.300288))+0-179.7--0.0916469999999818</f>
        <v>1173.1014130000001</v>
      </c>
      <c r="P191" s="3">
        <f>1217.3+(689.8-510.7)+(1.241646+(0.703596-0.520914))+0-175.7-0.179214000000028</f>
        <v>1221.9451139999999</v>
      </c>
      <c r="Q191" s="3">
        <f>1201.3+(716.6-450.7)+(0+(0-0))+0-178.5-0</f>
        <v>1288.7</v>
      </c>
      <c r="R191" s="3">
        <f>1199.1+(693-393.8)+(0.611541+(0.35343-0.200838))+0-179.3-0.0914429999999818</f>
        <v>1319.6726899999999</v>
      </c>
      <c r="S191" s="3">
        <f>1193.9+(739.5-402.9)+(1.217778+(0.75429-0.410958))+0-184.6-0.188292000000029</f>
        <v>1347.2728180000001</v>
      </c>
      <c r="T191" s="3">
        <f>1187.8+(682.6-344.6)+(-1.211556+(-0.696252--0.351492))+0-183.8--0.187476000000029</f>
        <v>1340.6311600000001</v>
      </c>
      <c r="U191" s="3">
        <f>1181.2+(556.5-275.1)+(-4.216884+(-1.986705--0.982107))+0-172.2--0.614754000000002</f>
        <v>1285.7932719999999</v>
      </c>
      <c r="V191" s="3">
        <f>1182.9+(560.9-379.2)+(-1.206558+(-0.572118--0.386784))+0-167.5--0.170850000000027</f>
        <v>1195.878958</v>
      </c>
      <c r="W191" s="3">
        <f>1190.5+(659-498.9)+(0+(0-0))+0-166.4-0</f>
        <v>1184.1999999999998</v>
      </c>
      <c r="X191" s="3">
        <f>1247+(708-480.3)+(-0.63597+(-0.36108--0.244953))+0-164.8--0.0840479999999833</f>
        <v>1309.231951</v>
      </c>
      <c r="Y191" s="3">
        <f>1275.4+(659.3-426.1)+(-2.601816+(-1.344972--0.869244))+0-158.3--0.322931999999993</f>
        <v>1347.545388</v>
      </c>
      <c r="Z191" s="3">
        <f>1280.2+(592.2-370.3)+(-1.305804+(-0.604044--0.377706))+0-158.8--0.161976000000025</f>
        <v>1341.9298340000003</v>
      </c>
      <c r="AA191" s="3">
        <f>1282.1+(559.9-366.9)+(-0.653871+(-0.285549--0.187119))+0-158.2--0.0806819999999839</f>
        <v>1316.2283809999999</v>
      </c>
      <c r="AB191" s="3">
        <f>1289.3+(534.5-392.1)+(-4.602801+(-1.908165--1.399797))+0-152.9--0.545853000000002</f>
        <v>1274.2346839999998</v>
      </c>
      <c r="AC191" s="3">
        <f>1279.6+(580.7-470.3)+(0.652596+(0.296157-0.239853))+0-153-0.0780299999999845</f>
        <v>1237.6308700000002</v>
      </c>
      <c r="AD191" s="2">
        <v>1336.8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1204.7+(643-493.2)+(-1.843191+(-0.98379--0.754596))+0-152.1--0.232713000000009</f>
        <v>1200.5603280000003</v>
      </c>
      <c r="G192" s="3">
        <f>1118.9+(687.2-482.6)+(-1.711917+(-1.051416--0.738378))+0-158.3--0.242199000000009</f>
        <v>1163.417244</v>
      </c>
      <c r="H192" s="3">
        <f>1124.4+(638.8-461.3)+(-2.86722+(-1.62894--1.176315))+0-156.7--0.399584999999977</f>
        <v>1142.2797399999999</v>
      </c>
      <c r="I192" s="3">
        <f>1129.3+(524-377.3)+(-1.151886+(-0.53448--0.384846))+0-155.1--0.158202000000025</f>
        <v>1119.7566820000002</v>
      </c>
      <c r="J192" s="3">
        <f>1135.6+(481.8-356.6)+(0+(0-0))+0-154.3-0</f>
        <v>1106.5</v>
      </c>
      <c r="K192" s="3">
        <f>1133.1+(378.9-289.7)+(-1.733643+(-0.579717--0.443241))+0-154.1--0.235773000000009</f>
        <v>1066.5656540000002</v>
      </c>
      <c r="L192" s="3">
        <f>1126.4+(374.4-286.8)+(0.574464+(0.190944-0.146268))+0-150.5-0.0767549999999847</f>
        <v>1064.042385</v>
      </c>
      <c r="M192" s="3">
        <f>1121.3+(430.2-288.3)+(-0.571863+(-0.219402--0.147033))+0-156.7--0.0799169999999841</f>
        <v>1105.9356849999997</v>
      </c>
      <c r="N192" s="3">
        <f>1115.4+(510.2-293.3)+(-1.137708+(-0.520404--0.299166))+0-155.8--0.158916000000025</f>
        <v>1175.2999700000003</v>
      </c>
      <c r="O192" s="3">
        <f>1120.9+(596.8-344.2)+(-0.571659+(-0.304368--0.175542))+0-160.5--0.0818549999999837</f>
        <v>1212.3813699999998</v>
      </c>
      <c r="P192" s="3">
        <f>1097.7+(620.1-283)+(1.119654+(0.632502-0.28866))+0-165.4-0.168708000000026</f>
        <v>1270.6947880000002</v>
      </c>
      <c r="Q192" s="3">
        <f>1077.2+(731.1-303.7)+(1.648116+(1.118583-0.464661))+0-165.2-0.25275600000001</f>
        <v>1341.449282</v>
      </c>
      <c r="R192" s="3">
        <f>1072.5+(897.7-442.4)+(-1.640925+(-1.373481--0.676872))+0-163.8--0.25061400000001</f>
        <v>1361.9130800000003</v>
      </c>
      <c r="S192" s="3">
        <f>1075.4+(950-520.4)+(0+(0-0))+0-163.3-0</f>
        <v>1341.7</v>
      </c>
      <c r="T192" s="3">
        <f>1073+(900.7-504.6)+(-1.64169+(-1.378071--0.772038))+0-158.5--0.242505000000009</f>
        <v>1308.5947819999999</v>
      </c>
      <c r="U192" s="3">
        <f>1084.7+(701.2-405.2)+(-3.319182+(-2.145672--1.239912))+0-157.2--0.481032000000018</f>
        <v>1219.7560899999999</v>
      </c>
      <c r="V192" s="3">
        <f>1089.1+(472.2-261.9)+(-3.332646+(-1.444932--0.801414))+0-162.2--0.496332000000019</f>
        <v>1133.7201679999998</v>
      </c>
      <c r="W192" s="3">
        <f>1096.6+(566.5-389.7)+(-2.237064+(-1.15566--0.794988))+0-163.2--0.332927999999993</f>
        <v>1107.9351919999999</v>
      </c>
      <c r="X192" s="3">
        <f>1111.3+(589.6-318.6)+(0+(0-0))+0-161.6-0</f>
        <v>1220.7</v>
      </c>
      <c r="Y192" s="3">
        <f>1101.7+(679.4-346.8)+(-5.056803+(-3.118446--1.591812))+0-159.4--0.731646000000028</f>
        <v>1269.0482089999998</v>
      </c>
      <c r="Z192" s="3">
        <f>1114.7+(737.3-408.5)+(-2.842485+(-1.880115--1.041675))+0-164.4--0.419219999999976</f>
        <v>1275.838295</v>
      </c>
      <c r="AA192" s="3">
        <f>1120.1+(718.2-400.7)+(-1.713753+(-1.098846--0.613071))+0-163.1--0.249543000000009</f>
        <v>1272.5500149999998</v>
      </c>
      <c r="AB192" s="3">
        <f>1124+(697.3-420.9)+(-1.71972+(-1.066869--0.643977))+0-160.5--0.245565000000009</f>
        <v>1238.0029529999999</v>
      </c>
      <c r="AC192" s="3">
        <f>1135.8+(694.7-463.1)+(-1.737774+(-1.062891--0.708543))+0-160.7--0.245871000000009</f>
        <v>1204.8537490000001</v>
      </c>
      <c r="AD192" s="2">
        <v>1235.4000000000001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1136.5+(646.7-464.6)+(-2.31846+(-1.319268--0.947784))+0-152.1--0.310283999999993</f>
        <v>1164.1203399999999</v>
      </c>
      <c r="G193" s="3">
        <f>1142.3+(539.2-398.9)+(0.582573+(0.274992-0.203439))+0-151.9-0.0774689999999846</f>
        <v>1131.2766569999997</v>
      </c>
      <c r="H193" s="3">
        <f>1137+(487.6-371.8)+(-0.57987+(-0.248676--0.189618))+0-152.6--0.0778259999999845</f>
        <v>1099.6388979999999</v>
      </c>
      <c r="I193" s="3">
        <f>1136.5+(497.5-408.1)+(-1.738845+(-0.761175--0.624393))+0-149.4--0.228582000000009</f>
        <v>1074.8529550000001</v>
      </c>
      <c r="J193" s="3">
        <f>1142.7+(450.7-375.8)+(-0.582777+(-0.229857--0.191658))+0-152--0.0775199999999846</f>
        <v>1065.056544</v>
      </c>
      <c r="K193" s="3">
        <f>1148.7+(338.6-315.4)+(-2.929185+(-0.86343--0.80427))+0-152.4--0.388619999999978</f>
        <v>1016.9002750000001</v>
      </c>
      <c r="L193" s="3">
        <f>1150.2+(270.5-263.3)+(0+(0-0))+0-151.1-0</f>
        <v>1006.3000000000001</v>
      </c>
      <c r="M193" s="3">
        <f>1137.6+(322.1-273.3)+(-3.481056+(-0.985626--0.836298))+0-155.6--0.476136000000018</f>
        <v>1027.6457519999999</v>
      </c>
      <c r="N193" s="3">
        <f>1137.8+(343.5-236)+(-0.580278+(-0.175185--0.12036))+0-156.7--0.0799169999999841</f>
        <v>1088.0448139999999</v>
      </c>
      <c r="O193" s="3">
        <f>1132+(403.8-235.8)+(-1.73196+(-0.617814--0.360774))+0-156--0.238680000000009</f>
        <v>1142.2496799999999</v>
      </c>
      <c r="P193" s="3">
        <f>1131.8+(504.5-272)+(-1.731654+(-0.771885--0.41616))+0-156--0.238680000000009</f>
        <v>1206.4513009999998</v>
      </c>
      <c r="Q193" s="3">
        <f>1115.6+(618.5-319.5)+(-1.137912+(-0.63087--0.32589))+0-155.9--0.159018000000025</f>
        <v>1257.4161259999998</v>
      </c>
      <c r="R193" s="3">
        <f>1110.2+(704.1-397.7)+(1.132404+(0.718182-0.405654))+0-153.2-0.156264000000024</f>
        <v>1264.6886680000002</v>
      </c>
      <c r="S193" s="3">
        <f>1093.7+(824.2-509.8)+(-1.673361+(-1.261026--0.779994))+0-154.9--0.236997000000009</f>
        <v>1251.282604</v>
      </c>
      <c r="T193" s="3">
        <f>1096.4+(738.6-464.8)+(-1.677492+(-1.130058--0.711144))+0-156.6--0.239598000000009</f>
        <v>1211.7431920000004</v>
      </c>
      <c r="U193" s="3">
        <f>1101.8+(533.9-347.7)+(-2.80959+(-1.361445--0.886635))+0-157.2--0.400859999999977</f>
        <v>1127.9164599999999</v>
      </c>
      <c r="V193" s="3">
        <f>1102.3+(306.2-171.1)+(-2.810865+(-0.78081--0.436305))+0-155.4--0.396269999999977</f>
        <v>1079.2408999999998</v>
      </c>
      <c r="W193" s="3">
        <f>1112.7+(427-326.3)+(-1.134954+(-0.43554--0.332826))+0-158--0.161160000000025</f>
        <v>1054.3234920000002</v>
      </c>
      <c r="X193" s="3">
        <f>1147.6+(490.1-257.5)+(-0.585276+(-0.249951--0.131325))+0-161.4--0.0823139999999836</f>
        <v>1218.1784119999998</v>
      </c>
      <c r="Y193" s="3">
        <f>1151.5+(579.1-314.5)+(-1.17453+(-0.590682--0.32079))+0-159.6--0.162792000000025</f>
        <v>1255.21837</v>
      </c>
      <c r="Z193" s="3">
        <f>1150.2+(673.5-403.6)+(-2.93301+(-1.717425--1.02918))+0-157.1--0.400604999999977</f>
        <v>1259.77935</v>
      </c>
      <c r="AA193" s="3">
        <f>1131.8+(727-454.5)+(-0.577218+(-0.37077--0.231795))+0-157.3--0.080222999999984</f>
        <v>1246.36403</v>
      </c>
      <c r="AB193" s="3">
        <f>1133+(737.6-499.1)+(-2.88915+(-1.88088--1.272705))+0-158.1--0.403154999999977</f>
        <v>1210.30583</v>
      </c>
      <c r="AC193" s="3">
        <f>1132.6+(669.7-487.3)+(-1.155252+(-0.683094--0.497046))+0-151.9--0.154938000000024</f>
        <v>1161.913638</v>
      </c>
      <c r="AD193" s="2">
        <v>1257.3999999999999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1129.2+(595.4-451.7)+(-2.87946+(-1.51827--1.151835))+0-145.7--0.371534999999979</f>
        <v>1124.32564</v>
      </c>
      <c r="G194" s="3">
        <f>1135.9+(521.3-421.4)+(-1.737927+(-0.797589--0.644742))+0-144.3--0.220779000000008</f>
        <v>1089.8300050000003</v>
      </c>
      <c r="H194" s="3">
        <f>1133.6+(471.7-399.2)+(-2.89068+(-1.202835--1.01796))+0-142.7--0.363884999999979</f>
        <v>1060.68833</v>
      </c>
      <c r="I194" s="3">
        <f>1135.4+(478.5-424.6)+(-2.316216+(-0.97614--0.866184))+0-141.2--0.288047999999994</f>
        <v>1045.9618760000001</v>
      </c>
      <c r="J194" s="3">
        <f>1145.3+(424.8-384.3)+(-1.752309+(-0.649944--0.587979))+0-144.3--0.220779000000008</f>
        <v>1039.9065049999999</v>
      </c>
      <c r="K194" s="3">
        <f>1150+(274.5-272.3)+(-0.5865+(-0.139995--0.138873))+0-145.5--0.0742049999999852</f>
        <v>1006.186583</v>
      </c>
      <c r="L194" s="3">
        <f>1162.8+(240.9-253.8)+(1.779084+(0.368577-0.388314))+0-143-0.218790000000008</f>
        <v>1008.4405569999998</v>
      </c>
      <c r="M194" s="3">
        <f>1153.5+(292.8-238)+(1.764855+(0.447984-0.36414))+0-154.9-0.236997000000009</f>
        <v>1055.0117019999998</v>
      </c>
      <c r="N194" s="3">
        <f>1140.6+(350.9-232)+(0+(0-0))+0-150.6-0</f>
        <v>1108.9000000000001</v>
      </c>
      <c r="O194" s="3">
        <f>1127.3+(436.4-302)+(0+(0-0))+0-152.9-0</f>
        <v>1108.7999999999997</v>
      </c>
      <c r="P194" s="3">
        <f>1119.8+(540.9-313.7)+(0+(0-0))+0-141.7-0</f>
        <v>1205.3</v>
      </c>
      <c r="Q194" s="3">
        <f>1090.9+(669.7-370.3)+(-1.669077+(-1.024641--0.566559))+0-138.2--0.211446000000008</f>
        <v>1250.1842870000003</v>
      </c>
      <c r="R194" s="3">
        <f>1103.8+(776.1-459.4)+(-3.377628+(-2.374866--1.405764))+0-142.4--0.435744000000016</f>
        <v>1274.189014</v>
      </c>
      <c r="S194" s="3">
        <f>1106.4+(905.6-566.9)+(-1.128528+(-0.923712--0.578238))+0-145.9--0.148818000000023</f>
        <v>1297.8748160000002</v>
      </c>
      <c r="T194" s="3">
        <f>1101.9+(909.5-564.4)+(-0.561969+(-0.463845--0.287844))+0-150.9--0.0769589999999847</f>
        <v>1295.438989</v>
      </c>
      <c r="U194" s="3">
        <f>1105.4+(696.1-401.6)+(-1.127508+(-0.710022--0.409632))+0-148.3--0.151266000000024</f>
        <v>1250.3233680000003</v>
      </c>
      <c r="V194" s="3">
        <f>1113.1+(368.5-152.1)+(-1.703043+(-0.563805--0.232713))+0-148--0.226440000000009</f>
        <v>1179.6923049999998</v>
      </c>
      <c r="W194" s="3">
        <f>1115.2+(529.3-335.6)+(2.275008+(1.079772-0.684624))+0-147.8-0.301511999999994</f>
        <v>1163.468644</v>
      </c>
      <c r="X194" s="3">
        <f>1137.8+(598.1-306.6)+(1.160556+(0.610062-0.312732))+0-146.6-0.149532000000023</f>
        <v>1284.0083539999998</v>
      </c>
      <c r="Y194" s="3">
        <f>1139.8+(680.9-355.4)+(1.162596+(0.694518-0.362508))+0-148.5-0.151470000000024</f>
        <v>1318.1431359999999</v>
      </c>
      <c r="Z194" s="3">
        <f>1141.4+(659-353.4)+(0+(0-0))+0-149.5-0</f>
        <v>1297.5</v>
      </c>
      <c r="AA194" s="3">
        <f>1144.3+(711.1-385.8)+(0.583593+(0.362661-0.196758))+0-146.9-0.0749189999999851</f>
        <v>1323.3745769999998</v>
      </c>
      <c r="AB194" s="3">
        <f>1141.4+(636.9-376)+(-2.91057+(-1.624095--0.9588))+0-140.4--0.35801999999998</f>
        <v>1258.682155</v>
      </c>
      <c r="AC194" s="3">
        <f>1147.7+(611-408.7)+(-2.341308+(-1.24644--0.833748))+0-140.4--0.286415999999994</f>
        <v>1207.1324159999999</v>
      </c>
      <c r="AD194" s="2">
        <v>1313.8000000000002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1148.8+(516.2-365.6)+(-2.343552+(-1.053048--0.745824))+0-142.1--0.289883999999994</f>
        <v>1154.9391080000003</v>
      </c>
      <c r="G195" s="3">
        <f>1147+(443.4-320.3)+(-4.09479+(-1.582938--1.143471))+0-140.3--0.500871000000002</f>
        <v>1125.7666139999999</v>
      </c>
      <c r="H195" s="3">
        <f>1158.1+(408-331.7)+(1.181262+(0.41616-0.338334))+0-139.2-0.141984000000022</f>
        <v>1096.3171039999997</v>
      </c>
      <c r="I195" s="3">
        <f>1153.7+(385.1-306.4)+(-2.353548+(-0.785604--0.625056))+0-140--0.285599999999994</f>
        <v>1090.1715039999999</v>
      </c>
      <c r="J195" s="3">
        <f>1155.7+(346.4-288.6)+(1.178814+(0.353328-0.294372))+0-139.8-0.142596000000022</f>
        <v>1074.7951740000001</v>
      </c>
      <c r="K195" s="3">
        <f>1157+(277.6-264.9)+(-1.77021+(-0.424728--0.405297))+0-139.8--0.213894000000008</f>
        <v>1028.324253</v>
      </c>
      <c r="L195" s="3">
        <f>1161.3+(261.7-290.4)+(0+(0-0))+0-139.5-0</f>
        <v>993.09999999999991</v>
      </c>
      <c r="M195" s="3">
        <f>1159.2+(330.9-306)+(-1.773576+(-0.506277--0.46818))+0-143.5--0.219555000000008</f>
        <v>1039.0078819999999</v>
      </c>
      <c r="N195" s="3">
        <f>1161.4+(326-259.6)+(0.592314+(0.16626-0.132396))+0-142.2-0.0725219999999856</f>
        <v>1086.1536560000002</v>
      </c>
      <c r="O195" s="3">
        <f>1153.5+(361.1-253.1)+(-1.17657+(-0.368322--0.258162))+0-130.9--0.133518000000021</f>
        <v>1129.446788</v>
      </c>
      <c r="P195" s="3">
        <f>1150.4+(365-204.8)+(-0.586704+(-0.18615--0.104448))+0-134.4--0.0685439999999864</f>
        <v>1175.600138</v>
      </c>
      <c r="Q195" s="3">
        <f>1151.4+(401.5-185.2)+(1.761642+(0.614295-0.283356))+0-136-0.208080000000008</f>
        <v>1233.584501</v>
      </c>
      <c r="R195" s="3">
        <f>1147.3+(567.1-316.4)+(-2.340492+(-1.156884--0.645456))+0-142.2--0.290087999999994</f>
        <v>1253.2381679999999</v>
      </c>
      <c r="S195" s="3">
        <f>1151.3+(664.5-404.2)+(2.348652+(1.35558-0.824568))+0-146.4-0.298655999999994</f>
        <v>1267.7810079999999</v>
      </c>
      <c r="T195" s="3">
        <f>1150.3+(646.3-397)+(-0.586653+(-0.329613--0.20247))+0-147.8--0.075377999999985</f>
        <v>1251.161582</v>
      </c>
      <c r="U195" s="3">
        <f>1149.1+(496.7-298.1)+(-2.930205+(-1.266585--0.760155))+0-146.5--0.373574999999979</f>
        <v>1198.1369399999999</v>
      </c>
      <c r="V195" s="3">
        <f>1147.6+(338.5-181.3)+(-4.096932+(-1.208445--0.647241))+0-147--0.524790000000002</f>
        <v>1153.6666539999999</v>
      </c>
      <c r="W195" s="3">
        <f>1144.5+(432.2-252.8)+(-1.751085+(-0.661266--0.386784))+0-150.1--0.229653000000009</f>
        <v>1172.0040860000004</v>
      </c>
      <c r="X195" s="3">
        <f>1138.8+(529.5-245)+(-2.323152+(-1.08018--0.4998))+0-149.3--0.304571999999994</f>
        <v>1271.40104</v>
      </c>
      <c r="Y195" s="3">
        <f>1145.4+(625.5-319.6)+(-2.92077+(-1.595025--0.81498))+0-149--0.379949999999978</f>
        <v>1298.9791350000003</v>
      </c>
      <c r="Z195" s="3">
        <f>1148.9+(638.6-345.6)+(-2.343756+(-1.302744--0.705024))+0-152--0.310079999999993</f>
        <v>1287.2686040000001</v>
      </c>
      <c r="AA195" s="3">
        <f>1154.9+(685.6-416.3)+(-2.944995+(-1.74828--1.061565))+0-149.5--0.381224999999978</f>
        <v>1271.449515</v>
      </c>
      <c r="AB195" s="3">
        <f>1154.9+(648.8-417.9)+(0.588999+(0.330888-0.213129))+0-149.8-0.0763979999999848</f>
        <v>1236.6303600000003</v>
      </c>
      <c r="AC195" s="3">
        <f>1160.6+(627.3-463.4)+(-2.95953+(-1.599615--1.18167))+0-150.6--0.384029999999978</f>
        <v>1170.906555</v>
      </c>
      <c r="AD195" s="2">
        <v>1305.7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1168.9+(590.5-485.9)+(-0.596139+(-0.301155--0.247809))+0-150.1--0.0765509999999848</f>
        <v>1122.8270660000001</v>
      </c>
      <c r="G196" s="3">
        <f>1150+(513.4-417.5)+(-0.5865+(-0.261834--0.212925))+0-149.7--0.0763469999999848</f>
        <v>1095.640938</v>
      </c>
      <c r="H196" s="3">
        <f>1153.3+(385.9-317.9)+(1.764549+(0.590427-0.486387))+0-150.1-0.229653000000009</f>
        <v>1072.8389359999999</v>
      </c>
      <c r="I196" s="3">
        <f>1163.7+(400.2-371.6)+(1.780461+(0.612306-0.568548))+0-150.9-0.230877000000009</f>
        <v>1042.993342</v>
      </c>
      <c r="J196" s="3">
        <f>1166.5+(376.6-352)+(-2.37966+(-0.768264--0.71808))+0-149.7--0.305387999999993</f>
        <v>1039.2755439999999</v>
      </c>
      <c r="K196" s="3">
        <f>1170+(254.2-273.4)+(-1.7901+(-0.388926--0.418302))+0-146.8--0.224604000000008</f>
        <v>1002.46388</v>
      </c>
      <c r="L196" s="3">
        <f>1177.2+(197.4-229.9)+(-1.801116+(-0.302022--0.351747))+0-145.9--0.223227000000008</f>
        <v>997.27183600000001</v>
      </c>
      <c r="M196" s="3">
        <f>1175.6+(232.7-235.7)+(2.99778+(0.593385-0.601035))+0-142.2-0.362609999999979</f>
        <v>1033.0275199999999</v>
      </c>
      <c r="N196" s="3">
        <f>1160.8+(286.8-220.6)+(0+(0-0))+0-139.7-0</f>
        <v>1087.3</v>
      </c>
      <c r="O196" s="3">
        <f>1158.4+(316.1-200.6)+(1.772352+(0.483633-0.306918))+0-143.5-0.219555000000008</f>
        <v>1132.1295120000002</v>
      </c>
      <c r="P196" s="3">
        <f>1150.5+(362.3-202.3)+(0+(0-0))+0-145.3-0</f>
        <v>1165.2</v>
      </c>
      <c r="Q196" s="3">
        <f>1138.9+(460.2-263)+(1.161678+(0.469404-0.26826))+0-147.6-0.150552000000024</f>
        <v>1189.7122700000002</v>
      </c>
      <c r="R196" s="3">
        <f>1134.8+(666.9-429.1)+(-0.578748+(-0.340119--0.218841))+0-152.8--0.0779279999999845</f>
        <v>1219.1779019999999</v>
      </c>
      <c r="S196" s="3">
        <f>1127.2+(784.4-521.8)+(1.149744+(0.800088-0.532236))+0-145.5-0.148410000000023</f>
        <v>1245.5691860000002</v>
      </c>
      <c r="T196" s="3">
        <f>1122.7+(776-491.5)+(1.717731+(1.18728-0.751995))+0-143.5-0.219555000000008</f>
        <v>1265.6334610000001</v>
      </c>
      <c r="U196" s="3">
        <f>1120.6+(614-370.7)+(0+(0-0))+0-141.7-0</f>
        <v>1222.1999999999998</v>
      </c>
      <c r="V196" s="3">
        <f>1122.5+(372.6-208.9)+(-0.572475+(-0.190026--0.106539))+0-140.1--0.0714509999999858</f>
        <v>1145.5154890000001</v>
      </c>
      <c r="W196" s="3">
        <f>1127.2+(375.3-221.6)+(1.724616+(0.574209-0.339048))+0-137.6-0.210528000000008</f>
        <v>1145.0492490000001</v>
      </c>
      <c r="X196" s="3">
        <f>1146.1+(580.8-327.4)+(-1.169022+(-0.592416--0.333948))+0-135.8--0.138516000000022</f>
        <v>1262.411026</v>
      </c>
      <c r="Y196" s="3">
        <f>1164.5+(702.7-436.3)+(-2.969475+(-1.791885--1.112565))+0-142.3--0.362864999999979</f>
        <v>1285.3140700000001</v>
      </c>
      <c r="Z196" s="3">
        <f>1171.6+(730.6-485)+(-2.390064+(-1.490424--0.9894))+0-146.2--0.298247999999994</f>
        <v>1268.4071599999997</v>
      </c>
      <c r="AA196" s="3">
        <f>1176.6+(686.4-469.2)+(-1.800198+(-1.050192--0.717876))+0-142.3--0.217719000000008</f>
        <v>1249.5852050000001</v>
      </c>
      <c r="AB196" s="3">
        <f>1180+(680.3-515.1)+(-3.009+(-1.734765--1.313505))+0-136.7--0.34858499999998</f>
        <v>1205.4183249999996</v>
      </c>
      <c r="AC196" s="3">
        <f>1187.4+(574.4-463.9)+(-3.02787+(-1.46472--1.182945))+0-144.6--0.368729999999979</f>
        <v>1150.3590850000001</v>
      </c>
      <c r="AD196" s="2">
        <v>1271.0999999999999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1178.3+(484.4-421.1)+(-0.600933+(-0.247044--0.214761))+0-146.7--0.0748169999999851</f>
        <v>1094.3416009999999</v>
      </c>
      <c r="G197" s="3">
        <f>1179.9+(378-354.2)+(0.601749+(0.19278-0.180642))+0-139.3-0.0710429999999859</f>
        <v>1064.9428440000002</v>
      </c>
      <c r="H197" s="3">
        <f>1169.6+(377.8-379)+(1.192992+(0.385356-0.38658))+0-132.7-0.135354000000021</f>
        <v>1036.7564139999997</v>
      </c>
      <c r="I197" s="3">
        <f>1173.1+(300.9-327.1)+(-0.598281+(-0.153459--0.166821))+0-132.3--0.0674729999999866</f>
        <v>1014.082554</v>
      </c>
      <c r="J197" s="3">
        <f>1171.5+(279.9-315.8)+(0.597465+(0.142749-0.161058))+0-133.2-0.0679319999999865</f>
        <v>1002.9112239999998</v>
      </c>
      <c r="K197" s="3">
        <f>1168.5+(192.2-250.3)+(-1.787805+(-0.294066--0.382959))+0-130.8--0.200124000000008</f>
        <v>978.10121200000003</v>
      </c>
      <c r="L197" s="3">
        <f>1175.6+(206.7-299.3)+(1.199112+(0.210834-0.305286))+0-132-0.134640000000021</f>
        <v>951.97001999999998</v>
      </c>
      <c r="M197" s="3">
        <f>1156.5+(222.9-242.6)+(1.17963+(0.227358-0.247452))+0-141.9-0.144738000000023</f>
        <v>995.91479799999979</v>
      </c>
      <c r="N197" s="3">
        <f>1156+(261.3-219.3)+(-0.58956+(-0.133263--0.111843))+0-145.5--0.0742049999999852</f>
        <v>1051.963225</v>
      </c>
      <c r="O197" s="3">
        <f>1148.2+(298.1-217.6)+(-0.585582+(-0.152031--0.110976))+0-140--0.0713999999999858</f>
        <v>1088.144763</v>
      </c>
      <c r="P197" s="3">
        <f>1140.6+(332.4-218.6)+(0+(0-0))+0-123.1-0</f>
        <v>1131.3</v>
      </c>
      <c r="Q197" s="3">
        <f>1122.9+(438.1-266.6)+(-1.145358+(-0.446862--0.271932))+0-119.9--0.122298000000019</f>
        <v>1173.3020100000001</v>
      </c>
      <c r="R197" s="3">
        <f>1117+(630.8-423.9)+(0.56967+(0.321708-0.216189))+0-126.6-0.0645659999999871</f>
        <v>1197.9106230000002</v>
      </c>
      <c r="S197" s="3">
        <f>1120+(647.7-432.6)+(0+(0-0))+0-127.5-0</f>
        <v>1207.5999999999999</v>
      </c>
      <c r="T197" s="3">
        <f>1121.6+(660.6-452)+(1.144032+(0.673812-0.46104))+0-121.9-0.124338000000019</f>
        <v>1209.5324659999997</v>
      </c>
      <c r="U197" s="3">
        <f>1121.7+(558.5-372.9)+(-2.860335+(-1.424175--0.950895))+0-135--0.34424999999998</f>
        <v>1169.310635</v>
      </c>
      <c r="V197" s="3">
        <f>1123.7+(312.1-172.6)+(-1.719261+(-0.477513--0.264078))+0-135.4--0.207162000000008</f>
        <v>1126.0744659999998</v>
      </c>
      <c r="W197" s="3">
        <f>1124.9+(330.1-206)+(1.147398+(0.336702-0.21012))+0-133.5-0.136170000000021</f>
        <v>1116.6378099999999</v>
      </c>
      <c r="X197" s="3">
        <f>1136.8+(472-257.9)+(0+(0-0))+0-132.3-0</f>
        <v>1218.6000000000001</v>
      </c>
      <c r="Y197" s="3">
        <f>1148.1+(615.1-384.6)+(-2.342124+(-1.254804--0.784584))+0-140.3--0.286211999999994</f>
        <v>1235.773868</v>
      </c>
      <c r="Z197" s="3">
        <f>1151.1+(635.9-423.7)+(-1.174122+(-0.648618--0.432174))+0-142.6--0.145452000000023</f>
        <v>1219.454886</v>
      </c>
      <c r="AA197" s="3">
        <f>1157.9+(646.9-452.1)+(-0.590529+(-0.329919--0.230571))+0-142.5--0.0726749999999855</f>
        <v>1209.5827979999999</v>
      </c>
      <c r="AB197" s="3">
        <f>1165.5+(599.3-444.3)+(-2.972025+(-1.528215--1.132965))+0-138.7--0.35368499999998</f>
        <v>1178.7864099999999</v>
      </c>
      <c r="AC197" s="3">
        <f>1172.9+(509.9-407.8)+(-2.990895+(-1.300245--1.03989))+0-140--0.35699999999998</f>
        <v>1132.1057499999999</v>
      </c>
      <c r="AD197" s="2">
        <v>1228.5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1176.5+(402-348.4)+(-1.800045+(-0.61506--0.533052))+0-144.1--0.220473000000008</f>
        <v>1084.33842</v>
      </c>
      <c r="G198" s="3">
        <f>1183.1+(330-319)+(-3.016905+(-0.8415--0.81345))+0-139.7--0.35623499999998</f>
        <v>1051.7112799999998</v>
      </c>
      <c r="H198" s="3">
        <f>1193.2+(253.4-280)+(-1.825596+(-0.387702--0.4284))+0-139--0.212670000000008</f>
        <v>1026.0277720000001</v>
      </c>
      <c r="I198" s="3">
        <f>1197+(213.8-263.2)+(0+(0-0))+0-138.2-0</f>
        <v>1009.3999999999999</v>
      </c>
      <c r="J198" s="3">
        <f>1199.7+(204.9-264.1)+(-0.611847+(-0.104499--0.134691))+0-138.7--0.0707369999999859</f>
        <v>1001.289082</v>
      </c>
      <c r="K198" s="3">
        <f>1197.1+(180.6-272.1)+(-1.831563+(-0.276318--0.416313))+0-138--0.211140000000008</f>
        <v>966.11957199999995</v>
      </c>
      <c r="L198" s="3">
        <f>1194.3+(252.1-365.2)+(0.609093+(0.128571-0.186252))+0-137.7-0.070226999999986</f>
        <v>943.9811850000001</v>
      </c>
      <c r="M198" s="3">
        <f>1195.1+(258.7-325.2)+(0.609501+(0.131937-0.165852))+0-142.2-0.0725219999999856</f>
        <v>986.90306399999986</v>
      </c>
      <c r="N198" s="3">
        <f>1186.7+(229.9-255.9)+(0.605217+(0.117249-0.130509))+0-140.7-0.0717569999999857</f>
        <v>1020.5202000000002</v>
      </c>
      <c r="O198" s="3">
        <f>1167.5+(260.1-238.2)+(0.595425+(0.132651-0.121482))+0-142.3-0.0725729999999856</f>
        <v>1047.6340210000003</v>
      </c>
      <c r="P198" s="3">
        <f>1174.7+(298.7-249.7)+(0+(0-0))+0-137.6-0</f>
        <v>1086.1000000000001</v>
      </c>
      <c r="Q198" s="3">
        <f>1166.4+(337.3-238.9)+(0+(0-0))+0-143.1-0</f>
        <v>1121.7000000000003</v>
      </c>
      <c r="R198" s="3">
        <f>1157.7+(428.5-306.4)+(0+(0-0))+0-144-0</f>
        <v>1135.8000000000002</v>
      </c>
      <c r="S198" s="3">
        <f>1181.8+(441.8-327)+(-1.205436+(-0.450636--0.33354))+0-145.5--0.148410000000023</f>
        <v>1149.925878</v>
      </c>
      <c r="T198" s="3">
        <f>1173.9+(465.1-344.2)+(-0.598689+(-0.237201--0.175542))+0-147.1--0.0750209999999851</f>
        <v>1147.114673</v>
      </c>
      <c r="U198" s="3">
        <f>1194.4+(324.7-260)+(-4.264008+(-1.159179--0.9282))+0-145.9--0.520863000000002</f>
        <v>1109.225876</v>
      </c>
      <c r="V198" s="3">
        <f>1234.6+(230.7-250.3)+(0.629646+(0.117657-0.127653))+0-144.3-0.0735929999999854</f>
        <v>1071.2460570000001</v>
      </c>
      <c r="W198" s="3">
        <f>1272.5+(299.9-355.4)+(-1.29795+(-0.305898--0.362508))+0-146.1--0.149022000000023</f>
        <v>1069.8076820000001</v>
      </c>
      <c r="X198" s="3">
        <f>1327.4+(326.8-345.1)+(-2.707896+(-0.666672--0.704004))+0-144.7--0.295187999999994</f>
        <v>1162.0246240000001</v>
      </c>
      <c r="Y198" s="3">
        <f>1340.2+(330-349.1)+(-2.734008+(-0.6732--0.712164))+0-145.2--0.296207999999994</f>
        <v>1173.5011639999998</v>
      </c>
      <c r="Z198" s="3">
        <f>1347.5+(319-367.7)+(-1.37445+(-0.32538--0.375054))+0-145.9--0.148818000000023</f>
        <v>1151.7240420000001</v>
      </c>
      <c r="AA198" s="3">
        <f>1354.9+(287.7-361.4)+(-3.454995+(-0.733635--0.92157))+0-147.4--0.375869999999979</f>
        <v>1130.9088100000001</v>
      </c>
      <c r="AB198" s="3">
        <f>1356.8+(259.3-374.4)+(-2.767872+(-0.528972--0.763776))+0-143--0.291719999999994</f>
        <v>1096.458652</v>
      </c>
      <c r="AC198" s="3">
        <f>1364+(205.3-362.9)+(-0.69564+(-0.104703--0.185079))+0-142.9--0.0728789999999855</f>
        <v>1062.957615</v>
      </c>
      <c r="AD198" s="2">
        <v>1182.4000000000001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1369.3+(166.6-370.6)+(-0.698343+(-0.084966--0.189006))+0-145.4--0.0741539999999853</f>
        <v>1019.3798509999999</v>
      </c>
      <c r="G199" s="3">
        <f>1373.3+(134.4-368.1)+(-3.501915+(-0.34272--0.938655))+0-143.6--0.366179999999979</f>
        <v>993.46019999999987</v>
      </c>
      <c r="H199" s="3">
        <f>1378.9+(130.9-387.2)+(0+(0-0))+0-141.2-0</f>
        <v>981.40000000000009</v>
      </c>
      <c r="I199" s="3">
        <f>1384.8+(126.4-405.6)+(-0.706248+(-0.064464--0.206856))+0-141.5--0.0721649999999856</f>
        <v>963.60830899999996</v>
      </c>
      <c r="J199" s="3">
        <f>1389+(128-433.3)+(1.41678+(0.13056-0.441966))+0-142.2-0.145044000000023</f>
        <v>942.46033</v>
      </c>
      <c r="K199" s="3">
        <f>1391.9+(137.4-472.7)+(-1.419738+(-0.140148--0.482154))+0-140.9--0.143718000000022</f>
        <v>914.76598600000023</v>
      </c>
      <c r="L199" s="3">
        <f>1385.4+(178.3-526.2)+(0.706554+(0.090933-0.268362))+0-140.9-0.0718589999999857</f>
        <v>897.05726600000003</v>
      </c>
      <c r="M199" s="3">
        <f>1377.2+(227.7-522.1)+(0+(0-0))+0-138.5-0</f>
        <v>944.3</v>
      </c>
      <c r="N199" s="3">
        <f>1359.8+(216.1-431.1)+(0.693498+(0.110211-0.219861))+0-137.6-0.070175999999986</f>
        <v>1007.713672</v>
      </c>
      <c r="O199" s="3">
        <f>1347.2+(215.3-360.6)+(0.687072+(0.109803-0.183906))+0-139.7-0.0712469999999858</f>
        <v>1062.741722</v>
      </c>
      <c r="P199" s="3">
        <f>1336+(244.2-350.5)+(-2.04408+(-0.373626--0.536265))+0-144.6--0.221238000000008</f>
        <v>1083.4397970000002</v>
      </c>
      <c r="Q199" s="3">
        <f>1326.8+(252.2-315.9)+(0+(0-0))+0-143.7-0</f>
        <v>1119.3999999999999</v>
      </c>
      <c r="R199" s="3">
        <f>1321+(212.3-256.2)+(-2.02113+(-0.324819--0.391986))+0-141.3--0.216189000000008</f>
        <v>1134.062226</v>
      </c>
      <c r="S199" s="3">
        <f>1308.6+(223.6-257.7)+(-1.334772+(-0.228072--0.262854))+0-139.2--0.141984000000022</f>
        <v>1134.1419940000001</v>
      </c>
      <c r="T199" s="3">
        <f>1304.7+(238-285.5)+(0+(0-0))+0-135.7-0</f>
        <v>1121.5</v>
      </c>
      <c r="U199" s="3">
        <f>1305.3+(198.1-265.5)+(-1.331406+(-0.202062--0.27081))+0-133.2--0.135864000000021</f>
        <v>1103.5732059999998</v>
      </c>
      <c r="V199" s="3">
        <f>1306.3+(209.6-316.7)+(-1.998639+(-0.320688--0.484551))+0-135.2--0.206856000000008</f>
        <v>1062.3720800000001</v>
      </c>
      <c r="W199" s="3">
        <f>1310.3+(283.6-391.6)+(1.336506+(0.289272-0.399432))+0-136.9-0.139638000000022</f>
        <v>1066.4867079999997</v>
      </c>
      <c r="X199" s="3">
        <f>1324.9+(303.7-332.3)+(-3.378495+(-0.774435--0.847365))+0-138--0.35189999999998</f>
        <v>1155.3463350000002</v>
      </c>
      <c r="Y199" s="3">
        <f>1310.9+(340.7-353.4)+(-2.005677+(-0.521271--0.540702))+0-132.9--0.203337000000008</f>
        <v>1163.5170909999999</v>
      </c>
      <c r="Z199" s="3">
        <f>1309.2+(375-407.5)+(-3.33846+(-0.95625--1.039125))+0-132.2--0.337109999999981</f>
        <v>1141.5815249999998</v>
      </c>
      <c r="AA199" s="3">
        <f>1313.7+(349.9-393.9)+(-2.009961+(-0.535347--0.602667))+0-134--0.205020000000008</f>
        <v>1133.9623790000001</v>
      </c>
      <c r="AB199" s="3">
        <f>1332.8+(300.7-381.9)+(-1.359456+(-0.306714--0.389538))+0-135.5--0.138210000000022</f>
        <v>1114.9615779999999</v>
      </c>
      <c r="AC199" s="3">
        <f>1347.3+(250-392.6)+(-0.687123+(-0.1275--0.200226))+0-135.9--0.0693089999999862</f>
        <v>1068.2549119999996</v>
      </c>
      <c r="AD199" s="2">
        <v>1151.6000000000001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1334.4+(229.8-402.3)+(-2.041632+(-0.351594--0.615519))+0-134.4--0.205632000000008</f>
        <v>1025.927925</v>
      </c>
      <c r="G200" s="3">
        <f>1333.5+(222.6-424.5)+(-2.040255+(-0.340578--0.649485))+0-138.4--0.211752000000008</f>
        <v>991.68040399999995</v>
      </c>
      <c r="H200" s="3">
        <f>1336.7+(196-427.7)+(-1.363434+(-0.19992--0.436254))+0-135.5--0.138210000000022</f>
        <v>968.51111000000014</v>
      </c>
      <c r="I200" s="3">
        <f>1336.3+(185.7-426.2)+(-2.044539+(-0.284121--0.652086))+0-137.7--0.210681000000008</f>
        <v>956.63410699999986</v>
      </c>
      <c r="J200" s="3">
        <f>1349.6+(175.3-446.4)+(2.064888+(0.268209-0.682992))+0-132-0.201960000000008</f>
        <v>947.94814499999995</v>
      </c>
      <c r="K200" s="3">
        <f>1340.7+(176.3-478.5)+(-3.418785+(-0.449565--1.220175))+0-130.3--0.332264999999981</f>
        <v>905.88409000000001</v>
      </c>
      <c r="L200" s="3">
        <f>1344.1+(171.3-503.4)+(0+(0-0))+0-129.2-0</f>
        <v>882.8</v>
      </c>
      <c r="M200" s="3">
        <f>1338.6+(193.7-477.3)+(0+(0-0))+0-132.9-0</f>
        <v>922.1</v>
      </c>
      <c r="N200" s="3">
        <f>1327.5+(212.3-434.2)+(-2.7081+(-0.433092--0.885768))+0-131.9--0.269075999999994</f>
        <v>971.71365200000002</v>
      </c>
      <c r="O200" s="3">
        <f>1311.6+(225.7-382.3)+(-1.337832+(-0.230214--0.389946))+0-132.5--0.135150000000021</f>
        <v>1021.45705</v>
      </c>
      <c r="P200" s="3">
        <f>1285.6+(271.4-362.8)+(-1.966968+(-0.415242--0.555084))+0-131.7--0.201501000000008</f>
        <v>1060.8743749999999</v>
      </c>
      <c r="Q200" s="3">
        <f>1275.8+(287-342.4)+(-2.602632+(-0.58548--0.698496))+0-132.6--0.270503999999994</f>
        <v>1085.5808880000002</v>
      </c>
      <c r="R200" s="3">
        <f>1276+(274.8-316.1)+(0+(0-0))+0-130-0</f>
        <v>1104.7</v>
      </c>
      <c r="S200" s="3">
        <f>1272.1+(295.2-330.4)+(-3.243855+(-0.75276--0.84252))+0-133.8--0.341189999999981</f>
        <v>1100.2870949999997</v>
      </c>
      <c r="T200" s="3">
        <f>1271.8+(275.7-313.5)+(-1.945854+(-0.421821--0.479655))+0-133.9--0.204867000000008</f>
        <v>1098.4168469999997</v>
      </c>
      <c r="U200" s="3">
        <f>1273.1+(214-281.1)+(-1.947843+(-0.32742--0.430083))+0-133--0.203490000000008</f>
        <v>1071.3583100000001</v>
      </c>
      <c r="V200" s="3">
        <f>1267.1+(219.7-321.7)+(-1.292442+(-0.224094--0.328134))+0-135.3--0.138006000000022</f>
        <v>1028.7496040000001</v>
      </c>
      <c r="W200" s="3">
        <f>1271.4+(242.9-322.2)+(0.648414+(0.123879-0.164322))+0-138.3-0.070532999999986</f>
        <v>1054.337438</v>
      </c>
      <c r="X200" s="3">
        <f>1276.9+(299.1-308.9)+(0+(0-0))+0-141.5-0</f>
        <v>1125.6000000000001</v>
      </c>
      <c r="Y200" s="3">
        <f>1295.7+(359.4-380)+(-1.982421+(-0.549882--0.5814))+0-144--0.220320000000008</f>
        <v>1129.3694169999999</v>
      </c>
      <c r="Z200" s="3">
        <f>1302.4+(380.8-409.5)+(-0.664224+(-0.194208--0.208845))+0-145.6--0.0742559999999852</f>
        <v>1127.5246689999999</v>
      </c>
      <c r="AA200" s="3">
        <f>1308.9+(420.4-458.3)+(-2.002617+(-0.643212--0.701199))+0-145.8--0.223074000000008</f>
        <v>1123.4784440000001</v>
      </c>
      <c r="AB200" s="3">
        <f>1304.6+(373.5-443.2)+(-4.657422+(-1.333395--1.582224))+0-143.8--0.513366000000002</f>
        <v>1087.2047729999997</v>
      </c>
      <c r="AC200" s="3">
        <f>1303.5+(345.6-457.3)+(-0.664785+(-0.176256--0.233223))+0-142.2--0.0725219999999856</f>
        <v>1049.0647039999999</v>
      </c>
      <c r="AD200" s="2">
        <v>1127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1310.6+(308.3-466)+(-2.673624+(-0.628932--0.95064))+0-142.7--0.291107999999994</f>
        <v>1008.1391919999998</v>
      </c>
      <c r="G201" s="3">
        <f>1312.3+(253.6-454.6)+(-0.669273+(-0.129336--0.231846))+0-138.6--0.0706859999999859</f>
        <v>972.20392299999992</v>
      </c>
      <c r="H201" s="3">
        <f>1315.2+(209.1-434.3)+(-3.35376+(-0.533205--1.107465))+0-139.2--0.35495999999998</f>
        <v>948.37545999999986</v>
      </c>
      <c r="I201" s="3">
        <f>1316.2+(186.3-426.8)+(-3.35631+(-0.475065--1.08834))+0-138.1--0.35215499999998</f>
        <v>935.20911999999998</v>
      </c>
      <c r="J201" s="3">
        <f>1341.7+(189.5-468.6)+(1.368534+(0.19329-0.477972))+0-136.8-0.139536000000022</f>
        <v>926.74431599999991</v>
      </c>
      <c r="K201" s="3">
        <f>1337.9+(175.8-469.1)+(0.682329+(0.089658-0.239241))+0-136.4-0.0695639999999862</f>
        <v>908.66318200000023</v>
      </c>
      <c r="L201" s="3">
        <f>1339.4+(203-503.1)+(1.366188+(0.20706-0.513162))+0-135.8-0.138516000000022</f>
        <v>904.4215700000002</v>
      </c>
      <c r="M201" s="3">
        <f>1336.8+(242.3-492.6)+(0.681768+(0.123573-0.251226))+0-139.8-0.0712979999999858</f>
        <v>947.182817</v>
      </c>
      <c r="N201" s="3">
        <f>1328.1+(233.2-418.1)+(0+(0-0))+0-141.6-0</f>
        <v>1001.5999999999998</v>
      </c>
      <c r="O201" s="3">
        <f>1316.6+(222.6-345.6)+(0+(0-0))+0-143.1-0</f>
        <v>1050.5</v>
      </c>
      <c r="P201" s="3">
        <f>1312.1+(204.9-285.8)+(-0.669171+(-0.104499--0.145758))+0-139.9--0.0713489999999858</f>
        <v>1090.7434369999999</v>
      </c>
      <c r="Q201" s="3">
        <f>1302.9+(225.8-282.2)+(1.993437+(0.345474-0.431766))+0-136.7-0.209151000000008</f>
        <v>1111.4979939999998</v>
      </c>
      <c r="R201" s="3">
        <f>1286.4+(333.8-353.1)+(0+(0-0))+0-134.7-0</f>
        <v>1132.4000000000001</v>
      </c>
      <c r="S201" s="3">
        <f>1276.9+(380.8-382.4)+(0.651219+(0.194208-0.195024))+0-136.8-0.0697679999999861</f>
        <v>1139.0806350000003</v>
      </c>
      <c r="T201" s="3">
        <f>1272.2+(418.7-413.6)+(0+(0-0))+0-133.1-0</f>
        <v>1144.2</v>
      </c>
      <c r="U201" s="3">
        <f>1260.3+(316.2-334.9)+(-4.499271+(-1.128834--1.195593))+0-123.8--0.441966000000002</f>
        <v>1113.809454</v>
      </c>
      <c r="V201" s="3">
        <f>1268.5+(214.8-264.3)+(-2.58774+(-0.438192--0.539172))+0-134.2--0.273767999999994</f>
        <v>1082.587008</v>
      </c>
      <c r="W201" s="3">
        <f>1275.9+(269.3-283.6)+(0.650709+(0.137343-0.144636))+0-136.7-0.0697169999999861</f>
        <v>1125.4736989999999</v>
      </c>
      <c r="X201" s="3">
        <f>1279.3+(391.2-337.1)+(0+(0-0))+0-137.9-0</f>
        <v>1195.4999999999998</v>
      </c>
      <c r="Y201" s="3">
        <f>1289.3+(396.8-343)+(0+(0-0))+0-141.6-0</f>
        <v>1201.5</v>
      </c>
      <c r="Z201" s="3">
        <f>1294.9+(432.4-406)+(-2.641596+(-0.882096--0.82824))+0-141.8--0.289271999999994</f>
        <v>1177.0938200000003</v>
      </c>
      <c r="AA201" s="3">
        <f>1299.7+(433.3-426.7)+(-1.325694+(-0.441966--0.435234))+0-141.6--0.144432000000023</f>
        <v>1163.5120060000004</v>
      </c>
      <c r="AB201" s="3">
        <f>1301.4+(356.4-396.2)+(-1.991142+(-0.545292--0.606186))+0-138.9--0.212517000000008</f>
        <v>1120.9822690000001</v>
      </c>
      <c r="AC201" s="3">
        <f>1314.9+(335.8-433.5)+(-2.682396+(-0.685032--0.88434))+0-145.4--0.296615999999994</f>
        <v>1069.6135280000001</v>
      </c>
      <c r="AD201" s="2">
        <v>1198.4000000000001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1176.7+(393.9-401.3)+(-2.400468+(-0.803556--0.818652))+0-141.9--0.289475999999994</f>
        <v>1025.3041039999998</v>
      </c>
      <c r="G202" s="3">
        <f>1137.5+(329.4-331.2)+(-2.900625+(-0.83997--0.84456))+0-139.8--0.35648999999998</f>
        <v>993.36045500000012</v>
      </c>
      <c r="H202" s="3">
        <f>1145+(316.3-349.5)+(-1.75185+(-0.483939--0.534735))+0-139.7--0.213741000000008</f>
        <v>970.61268699999982</v>
      </c>
      <c r="I202" s="3">
        <f>1144.7+(290.2-338.9)+(-0.583797+(-0.148002--0.172839))+0-141.5--0.0721649999999856</f>
        <v>954.01320499999997</v>
      </c>
      <c r="J202" s="3">
        <f>1144.2+(223.6-278.9)+(1.750626+(0.342108-0.426717))+0-139.8-0.213894000000008</f>
        <v>950.55212300000017</v>
      </c>
      <c r="K202" s="3">
        <f>1148.1+(186.2-266.7)+(-1.756593+(-0.284886--0.408051))+0-139.5--0.213435000000008</f>
        <v>926.68000699999982</v>
      </c>
      <c r="L202" s="3">
        <f>1149.6+(200-306.5)+(0+(0-0))+0-139-0</f>
        <v>904.09999999999991</v>
      </c>
      <c r="M202" s="3">
        <f>1146.9+(170.2-204.6)+(-1.169838+(-0.173604--0.208692))+0-143.3--0.146166000000023</f>
        <v>968.2114160000001</v>
      </c>
      <c r="N202" s="3">
        <f>1139.9+(203.6-180.7)+(1.744047+(0.311508-0.276471))+0-143.2-0.219096000000008</f>
        <v>1021.1599880000001</v>
      </c>
      <c r="O202" s="3">
        <f>1128.6+(240.6-163.2)+(0.575586+(0.122706-0.083232))+0-141.6-0.0722159999999856</f>
        <v>1064.9428440000002</v>
      </c>
      <c r="P202" s="3">
        <f>1116.9+(246.1-123.8)+(0+(0-0))+0-139.8-0</f>
        <v>1099.4000000000001</v>
      </c>
      <c r="Q202" s="3">
        <f>1111.4+(320-152.6)+(-1.133628+(-0.3264--0.155652))+0-146.2--0.149124000000023</f>
        <v>1131.4447480000001</v>
      </c>
      <c r="R202" s="3">
        <f>1111.6+(411.9-234.6)+(0+(0-0))+0-139.3-0</f>
        <v>1149.5999999999999</v>
      </c>
      <c r="S202" s="3">
        <f>1111.4+(528-349.7)+(0.566814+(0.26928-0.178347))+0-140.9-0.0718589999999857</f>
        <v>1149.385888</v>
      </c>
      <c r="T202" s="3">
        <f>1110.6+(556.7-375.7)+(-1.132812+(-0.567834--0.383214))+0-143.5--0.146370000000023</f>
        <v>1146.9289379999998</v>
      </c>
      <c r="U202" s="3">
        <f>1107.9+(446.5-297.5)+(-2.825145+(-1.138575--0.758625))+0-140.3--0.35776499999998</f>
        <v>1113.7526700000001</v>
      </c>
      <c r="V202" s="3">
        <f>1108.6+(253.8-142)+(-1.130772+(-0.258876--0.14484))+0-135.8--0.138516000000022</f>
        <v>1083.493708</v>
      </c>
      <c r="W202" s="3">
        <f>1110.6+(276.8-137.2)+(0.566406+(0.141168-0.069972))+0-139.6-0.0711959999999858</f>
        <v>1111.1664060000001</v>
      </c>
      <c r="X202" s="3">
        <f>1117.3+(413.1-207.2)+(-1.139646+(-0.421362--0.211344))+0-139.1--0.141882000000022</f>
        <v>1182.8922180000002</v>
      </c>
      <c r="Y202" s="3">
        <f>1119.2+(511.9-309.8)+(0+(0-0))+0-144.6-0</f>
        <v>1176.7</v>
      </c>
      <c r="Z202" s="3">
        <f>1120.9+(510.8-330.9)+(-0.571659+(-0.260508--0.168759))+0-145.8--0.0743579999999852</f>
        <v>1154.4109500000004</v>
      </c>
      <c r="AA202" s="3">
        <f>1122.5+(606.6-441.9)+(-0.572475+(-0.309366--0.225369))+0-148.2--0.075581999999985</f>
        <v>1138.41911</v>
      </c>
      <c r="AB202" s="3">
        <f>1122.4+(554.8-436.6)+(-2.289696+(-1.131792--0.890664))+0-147--0.299879999999994</f>
        <v>1091.369056</v>
      </c>
      <c r="AC202" s="3">
        <f>1122.5+(510.7-449.9)+(0+(0-0))+0-146.5-0</f>
        <v>1036.8</v>
      </c>
      <c r="AD202" s="2">
        <v>1177.3999999999999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1151.9+(437.1-408.7)+(0+(0-0))+0-138.9-0</f>
        <v>1041.4000000000001</v>
      </c>
      <c r="G203" s="3">
        <f>1160.2+(366.5-380.3)+(0.591702+(0.186915-0.193953))+0-138.4-0.070583999999986</f>
        <v>1008.5140800000001</v>
      </c>
      <c r="H203" s="3">
        <f>1159.7+(314.6-354.3)+(0.591447+(0.160446-0.180693))+0-138.5-0.0706349999999859</f>
        <v>982.00056500000005</v>
      </c>
      <c r="I203" s="3">
        <f>1165.3+(253.3-316.9)+(1.188606+(0.258366-0.323238))+0-138-0.140760000000022</f>
        <v>964.68297400000006</v>
      </c>
      <c r="J203" s="3">
        <f>1164.7+(221.3-297.4)+(-1.187994+(-0.225726--0.303348))+0-137.4--0.140148000000022</f>
        <v>950.22977600000013</v>
      </c>
      <c r="K203" s="3">
        <f>1171.1+(193.9-312.5)+(-1.194522+(-0.197778--0.31875))+0-136.3--0.139026000000022</f>
        <v>915.26547600000004</v>
      </c>
      <c r="L203" s="3">
        <f>1159.5+(183.4-317.1)+(2.956725+(0.46767-0.808605))+0-136.7-0.34858499999998</f>
        <v>891.36720500000001</v>
      </c>
      <c r="M203" s="3">
        <f>1153.3+(196.1-256.1)+(0.588183+(0.100011-0.130611))+0-140.1-0.0714509999999858</f>
        <v>953.68613199999993</v>
      </c>
      <c r="N203" s="3">
        <f>1137.4+(208.7-184)+(1.160148+(0.212874-0.18768))+0-134.3-0.136986000000021</f>
        <v>1028.8483560000002</v>
      </c>
      <c r="O203" s="3">
        <f>1123+(242-124.6)+(1.71819+(0.37026-0.190638))+0-125.6-0.192168000000007</f>
        <v>1116.5056440000001</v>
      </c>
      <c r="P203" s="3">
        <f>1109.8+(288.8-113.6)+(0.565998+(0.147288-0.057936))+0-129.8-0.0661979999999868</f>
        <v>1155.7891520000001</v>
      </c>
      <c r="Q203" s="3">
        <f>1101.3+(351.4-129.1)+(0+(0-0))+0-136.1-0</f>
        <v>1187.5</v>
      </c>
      <c r="R203" s="3">
        <f>1095.9+(369.5-139)+(-0.558909+(-0.188445--0.07089))+0-135.1--0.0689009999999863</f>
        <v>1190.6924370000004</v>
      </c>
      <c r="S203" s="3">
        <f>1095.1+(422.7-177.7)+(1.675503+(0.646731-0.271881))+0-138.1-0.211293000000008</f>
        <v>1203.83906</v>
      </c>
      <c r="T203" s="3">
        <f>1090.7+(427.9-190.8)+(0.556257+(0.218229-0.097308))+0-142.4-0.0726239999999856</f>
        <v>1186.0045539999999</v>
      </c>
      <c r="U203" s="3">
        <f>1092.9+(340-132.2)+(-3.344274+(-1.0404--0.404532))+0-140.9--0.431154000000016</f>
        <v>1156.2510120000002</v>
      </c>
      <c r="V203" s="3">
        <f>1093.8+(318.2-152.2)+(-2.231352+(-0.649128--0.310488))+0-141.6--0.288863999999994</f>
        <v>1115.9188720000002</v>
      </c>
      <c r="W203" s="3">
        <f>1098.4+(386-199.7)+(0+(0-0))+0-141.4-0</f>
        <v>1143.3</v>
      </c>
      <c r="X203" s="3">
        <f>1106.9+(383.6-122.3)+(-0.564519+(-0.195636--0.062373))+0-140.5--0.0716549999999857</f>
        <v>1227.073873</v>
      </c>
      <c r="Y203" s="3">
        <f>1112.7+(427.2-161)+(-0.567477+(-0.217872--0.08211))+0-140.7--0.0717569999999857</f>
        <v>1237.568518</v>
      </c>
      <c r="Z203" s="3">
        <f>1131.5+(402.1-164.2)+(-1.15413+(-0.410142--0.167484))+0-143.7--0.146574000000023</f>
        <v>1224.4497860000001</v>
      </c>
      <c r="AA203" s="3">
        <f>1137.4+(431.9-219.2)+(-2.320296+(-0.881076--0.447168))+0-143.4--0.292535999999994</f>
        <v>1204.2383319999999</v>
      </c>
      <c r="AB203" s="3">
        <f>1134.4+(404.7-241.5)+(1.157088+(0.412794-0.24633))+0-142.6-0.145452000000023</f>
        <v>1156.1781000000003</v>
      </c>
      <c r="AC203" s="3">
        <f>1145.1+(391.7-292.3)+(-0.584001+(-0.199767--0.149073))+0-142.1--0.0724709999999856</f>
        <v>1101.8377760000001</v>
      </c>
      <c r="AD203" s="2">
        <v>1275.0999999999999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1151.9+(274.7-223)+(-1.762407+(-0.420291--0.34119))+0-141--0.215730000000008</f>
        <v>1060.9742220000003</v>
      </c>
      <c r="G204" s="3">
        <f>1147.3+(296.4-275.4)+(-2.925615+(-0.75582--0.70227))+0-139.4--0.35546999999998</f>
        <v>1026.2763049999999</v>
      </c>
      <c r="H204" s="3">
        <f>1147.4+(274.4-279.6)+(-2.92587+(-0.69972--0.71298))+0-138.3--0.35266499999998</f>
        <v>1001.340055</v>
      </c>
      <c r="I204" s="3">
        <f>1149.6+(246.9-275.7)+(-1.758888+(-0.377757--0.421821))+0-137.5--0.210375000000008</f>
        <v>981.79555100000005</v>
      </c>
      <c r="J204" s="3">
        <f>1150.3+(237.9-264.4)+(-1.173306+(-0.242658--0.269688))+0-138.7--0.141474000000022</f>
        <v>984.09519799999998</v>
      </c>
      <c r="K204" s="3">
        <f>1150.2+(192.9-258)+(-1.759806+(-0.295137--0.39474))+0-138.7--0.212211000000008</f>
        <v>944.95200800000021</v>
      </c>
      <c r="L204" s="3">
        <f>1149.9+(275.7-362.2)+(-1.172898+(-0.281214--0.369444))+0-138.8--0.141576000000022</f>
        <v>923.65690800000016</v>
      </c>
      <c r="M204" s="3">
        <f>1142.1+(278.6-324.7)+(-0.582471+(-0.142086--0.165597))+0-139.6--0.0711959999999858</f>
        <v>955.91223599999989</v>
      </c>
      <c r="N204" s="3">
        <f>1132.9+(296.2-258.2)+(-0.577779+(-0.151062--0.131682))+0-144.5--0.0736949999999853</f>
        <v>1025.8765360000002</v>
      </c>
      <c r="O204" s="3">
        <f>1117.3+(338.4-272.1)+(0+(0-0))+0-142.4-0</f>
        <v>1041.1999999999998</v>
      </c>
      <c r="P204" s="3">
        <f>1106.8+(383.9-265.4)+(1.128936+(0.391578-0.270708))+0-147-0.149940000000023</f>
        <v>1079.399866</v>
      </c>
      <c r="Q204" s="3">
        <f>1098.7+(350.6-176.9)+(-0.560337+(-0.178806--0.090219))+0-149.7--0.0763469999999848</f>
        <v>1122.1274229999999</v>
      </c>
      <c r="R204" s="3">
        <f>1091.4+(417.5-208.6)+(0.556614+(0.212925-0.106386))+0-150.1-0.0765509999999848</f>
        <v>1150.7866020000004</v>
      </c>
      <c r="S204" s="3">
        <f>1087.5+(517.1-297.5)+(-1.663875+(-0.791163--0.455175))+0-154.9--0.236997000000009</f>
        <v>1150.4371339999998</v>
      </c>
      <c r="T204" s="3">
        <f>1087.9+(503.3-284)+(-0.554829+(-0.256683--0.14484))+0-157--0.0800699999999841</f>
        <v>1149.613398</v>
      </c>
      <c r="U204" s="3">
        <f>1088.7+(389.9-202.9)+(-2.776185+(-0.994245--0.517395))+0-155.7--0.397034999999977</f>
        <v>1117.144</v>
      </c>
      <c r="V204" s="3">
        <f>1086.9+(271.3-129.5)+(-1.662957+(-0.415089--0.198135))+0-158.9--0.243117000000009</f>
        <v>1068.1632059999999</v>
      </c>
      <c r="W204" s="3">
        <f>1089.9+(306.1-146.5)+(-0.555849+(-0.156111--0.074715))+0-160.2--0.0817019999999837</f>
        <v>1088.744457</v>
      </c>
      <c r="X204" s="3">
        <f>1103.1+(429.8-201.9)+(-2.812905+(-1.09599--0.514845))+0-154--0.392699999999978</f>
        <v>1173.9986499999998</v>
      </c>
      <c r="Y204" s="3">
        <f>1107.3+(514.5-279.7)+(-2.258892+(-1.04958--0.570588))+0-149.9--0.305795999999993</f>
        <v>1189.767912</v>
      </c>
      <c r="Z204" s="3">
        <f>1111+(530.3-320.9)+(-1.13322+(-0.540906--0.327318))+0-145.9--0.148818000000023</f>
        <v>1173.3020100000001</v>
      </c>
      <c r="AA204" s="3">
        <f>1119+(600.9-397.1)+(-1.71207+(-0.919377--0.607563))+0-145.8--0.223074000000008</f>
        <v>1175.19919</v>
      </c>
      <c r="AB204" s="3">
        <f>1129.6+(550.8-394.9)+(-2.304384+(-1.123632--0.805596))+0-143.8--0.293351999999994</f>
        <v>1139.370932</v>
      </c>
      <c r="AC204" s="3">
        <f>1134.5+(477.7-370.3)+(-2.892975+(-1.218135--0.944265))+0-145.8--0.371789999999979</f>
        <v>1093.3049450000001</v>
      </c>
      <c r="AD204" s="2">
        <v>1178.1999999999998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1141+(380.8-321.8)+(-2.32764+(-0.776832--0.656472))+0-151.8--0.309671999999993</f>
        <v>1046.061672</v>
      </c>
      <c r="G205" s="3">
        <f>1141.3+(297.4-274.3)+(-1.746189+(-0.455022--0.419679))+0-151.1--0.231183000000009</f>
        <v>1011.7496509999999</v>
      </c>
      <c r="H205" s="3">
        <f>1146.7+(266.7-277.7)+(-1.169634+(-0.272034--0.283254))+0-150.8--0.153816000000024</f>
        <v>983.8954020000001</v>
      </c>
      <c r="I205" s="3">
        <f>1144.5+(258.2-283.5)+(0.583695+(0.131682-0.144585))+0-147.3-0.0751229999999851</f>
        <v>972.39566900000011</v>
      </c>
      <c r="J205" s="3">
        <f>1151.4+(238.8-280)+(0+(0-0))+0-146.6-0</f>
        <v>963.6</v>
      </c>
      <c r="K205" s="3">
        <f>1152.9+(204.4-284.4)+(-0.587979+(-0.104244--0.145044))+0-145.9--0.0744089999999852</f>
        <v>926.52723000000015</v>
      </c>
      <c r="L205" s="3">
        <f>1150.2+(210.7-303.8)+(-0.586602+(-0.107457--0.154938))+0-144.7--0.0737969999999853</f>
        <v>911.93467599999985</v>
      </c>
      <c r="M205" s="3">
        <f>1141.5+(222.3-264.8)+(0.582165+(0.113373-0.135048))+0-146.1-0.0745109999999852</f>
        <v>953.38597900000002</v>
      </c>
      <c r="N205" s="3">
        <f>1132.6+(234.7-206.7)+(-0.577626+(-0.119697--0.105417))+0-147.8--0.075377999999985</f>
        <v>1012.2834719999998</v>
      </c>
      <c r="O205" s="3">
        <f>1125.1+(301.3-222.8)+(0+(0-0))+0-149-0</f>
        <v>1054.5999999999999</v>
      </c>
      <c r="P205" s="3">
        <f>1111.9+(365.5-223.4)+(0.567069+(0.186405-0.113934))+0-151.4-0.0772139999999846</f>
        <v>1103.1623259999999</v>
      </c>
      <c r="Q205" s="3">
        <f>1101.2+(424.2-231.2)+(1.123224+(0.432684-0.235824))+0-146-0.148920000000023</f>
        <v>1149.3711639999999</v>
      </c>
      <c r="R205" s="3">
        <f>1094.3+(573.7-346.3)+(-0.558093+(-0.292587--0.176613))+0-145.3--0.0741029999999853</f>
        <v>1175.8000360000001</v>
      </c>
      <c r="S205" s="3">
        <f>1096.7+(648.8-409.6)+(-3.355902+(-1.985328--1.253376))+0-150.8--0.461448000000017</f>
        <v>1181.473594</v>
      </c>
      <c r="T205" s="3">
        <f>1086.9+(643.5-409.7)+(-1.662957+(-0.984555--0.626841))+0-145.2--0.222156000000008</f>
        <v>1173.701485</v>
      </c>
      <c r="U205" s="3">
        <f>1086.2+(519.6-320.5)+(-1.661886+(-0.794988--0.490365))+0-148.1--0.226593000000009</f>
        <v>1135.4600840000003</v>
      </c>
      <c r="V205" s="3">
        <f>1091.7+(329.5-169.8)+(-1.670301+(-0.504135--0.259794))+0-151.5--0.231795000000009</f>
        <v>1098.2171530000001</v>
      </c>
      <c r="W205" s="3">
        <f>1092.6+(361.9-168.3)+(0+(0-0))+0-154-0</f>
        <v>1132.1999999999998</v>
      </c>
      <c r="X205" s="3">
        <f>1099.7+(558.2-292.6)+(-2.243388+(-1.138728--0.596904))+0-150.5--0.307019999999993</f>
        <v>1212.3218080000001</v>
      </c>
      <c r="Y205" s="3">
        <f>1104.2+(674.9-399.8)+(-2.81571+(-1.720995--1.01949))+0-153--0.390149999999978</f>
        <v>1223.1729349999998</v>
      </c>
      <c r="Z205" s="3">
        <f>1119.2+(642.8-396.4)+(-2.85396+(-1.63914--1.01082))+0-154.5--0.393974999999978</f>
        <v>1208.0116949999999</v>
      </c>
      <c r="AA205" s="3">
        <f>1127.2+(672.9-451.1)+(-1.149744+(-0.686358--0.460122))+0-153.1--0.156162000000024</f>
        <v>1194.6801820000001</v>
      </c>
      <c r="AB205" s="3">
        <f>1132.3+(647.9-463)+(-1.154946+(-0.660858--0.47226))+0-151.1--0.154122000000024</f>
        <v>1164.9105779999998</v>
      </c>
      <c r="AC205" s="3">
        <f>1137.5+(543-398.6)+(-1.740375+(-0.83079--0.609858))+0-152.3--0.233019000000009</f>
        <v>1127.8717120000001</v>
      </c>
      <c r="AD205" s="2">
        <v>1206.3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1147.8+(456.6-366.7)+(0+(0-0))+0-153.2-0</f>
        <v>1084.5</v>
      </c>
      <c r="G206" s="3">
        <f>1144.4+(368.5-312.3)+(-1.750932+(-0.563805--0.477819))+0-154.1--0.235773000000009</f>
        <v>1044.8988550000004</v>
      </c>
      <c r="H206" s="3">
        <f>1145.7+(294.7-269.3)+(-1.752921+(-0.450891--0.412029))+0-150.9--0.230877000000009</f>
        <v>1018.639094</v>
      </c>
      <c r="I206" s="3">
        <f>1105.5+(311.1-266.2)+(0+(0-0))+0-150.7-0</f>
        <v>999.7</v>
      </c>
      <c r="J206" s="3">
        <f>1082+(286.7-238.2)+(1.10364+(0.292434-0.242964))+0-148.4-0.151368000000024</f>
        <v>983.10174199999994</v>
      </c>
      <c r="K206" s="3">
        <f>1087.5+(211.7-194)+(1.10925+(0.215934-0.19788))+0-147.1-0.150042000000023</f>
        <v>959.07726200000013</v>
      </c>
      <c r="L206" s="3">
        <f>1081.4+(209.6-213.9)+(1.103028+(0.213792-0.218178))+0-147.4-0.150348000000024</f>
        <v>930.64829400000008</v>
      </c>
      <c r="M206" s="3">
        <f>1073.5+(220.1-156.7)+(0+(0-0))+0-150.1-0</f>
        <v>986.80000000000007</v>
      </c>
      <c r="N206" s="3">
        <f>1063.7+(265.1-138.7)+(0+(0-0))+0-148.2-0</f>
        <v>1041.9000000000001</v>
      </c>
      <c r="O206" s="3">
        <f>1056.5+(284.1-86.3)+(0+(0-0))+0-152.3-0</f>
        <v>1102</v>
      </c>
      <c r="P206" s="3">
        <f>1047+(417.1-159.1)+(0+(0-0))+0-153.5-0</f>
        <v>1151.5</v>
      </c>
      <c r="Q206" s="3">
        <f>1037.2+(580.6-267.1)+(0+(0-0))+0-150.2-0</f>
        <v>1200.5</v>
      </c>
      <c r="R206" s="3">
        <f>1032.9+(692.4-360.8)+(0+(0-0))+0-144.4-0</f>
        <v>1220.0999999999999</v>
      </c>
      <c r="S206" s="3">
        <f>1033.8+(724-409.5)+(0+(0-0))+0-146.6-0</f>
        <v>1201.7</v>
      </c>
      <c r="T206" s="3">
        <f>1016.8+(692-380.6)+(1.037136+(0.70584-0.388212))+0-150.3-0.153306000000024</f>
        <v>1179.1014579999999</v>
      </c>
      <c r="U206" s="3">
        <f>1036.8+(561.9-311.2)+(-2.115072+(-1.146276--0.634848))+0-146.3--0.298451999999994</f>
        <v>1138.871952</v>
      </c>
      <c r="V206" s="3">
        <f>1047.3+(342-145.4)+(0+(0-0))+0-153.5-0</f>
        <v>1090.3999999999999</v>
      </c>
      <c r="W206" s="3">
        <f>1054.7+(406.4-168.7)+(0.537897+(0.207264-0.086037))+0-156.4-0.0797639999999841</f>
        <v>1136.57936</v>
      </c>
      <c r="X206" s="3">
        <f>1144.8+(531.6-303.8)+(-2.91924+(-1.35558--0.77469))+0-156--0.397799999999977</f>
        <v>1213.49767</v>
      </c>
      <c r="Y206" s="3">
        <f>1197.7+(632.7-450.1)+(-3.054135+(-1.613385--1.147755))+0-152.6--0.389129999999978</f>
        <v>1224.5693650000003</v>
      </c>
      <c r="Z206" s="3">
        <f>1212.6+(597.1-445.2)+(-0.618426+(-0.304521--0.227052))+0-151.8--0.0774179999999846</f>
        <v>1212.0815230000001</v>
      </c>
      <c r="AA206" s="3">
        <f>1215.6+(587.4-449.4)+(-0.619956+(-0.299574--0.229194))+0-152.5--0.0777749999999845</f>
        <v>1200.487439</v>
      </c>
      <c r="AB206" s="3">
        <f>1223.8+(581.1-483.1)+(0+(0-0))+0-148.4-0</f>
        <v>1173.3999999999999</v>
      </c>
      <c r="AC206" s="3">
        <f>1233.6+(516.7-471.8)+(-1.887408+(-0.790551--0.721854))+0-149.6--0.228888000000009</f>
        <v>1127.1727830000002</v>
      </c>
      <c r="AD206" s="2">
        <v>1113.8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1230.7+(530.9-520.9)+(-2.510628+(-1.083036--1.062636))+0-151.8--0.309671999999993</f>
        <v>1086.6786440000001</v>
      </c>
      <c r="G207" s="3">
        <f>1234.3+(447.5-468.3)+(-2.517972+(-0.9129--0.955332))+0-150.3--0.306611999999993</f>
        <v>1061.0310720000002</v>
      </c>
      <c r="H207" s="3">
        <f>1236.3+(339.5-392.2)+(-1.891539+(-0.519435--0.600066))+0-148--0.226440000000009</f>
        <v>1034.0155319999999</v>
      </c>
      <c r="I207" s="3">
        <f>1239.5+(284.2-367.2)+(-0.632145+(-0.144942--0.187272))+0-148.5--0.0757349999999849</f>
        <v>1007.48592</v>
      </c>
      <c r="J207" s="3">
        <f>1241.2+(240.3-340.4)+(1.266024+(0.245106-0.347208))+0-147.6-0.150552000000024</f>
        <v>994.51337000000001</v>
      </c>
      <c r="K207" s="3">
        <f>1242.5+(193.2-333.1)+(-2.5347+(-0.394128--0.679524))+0-145.8--0.297431999999994</f>
        <v>954.84812799999997</v>
      </c>
      <c r="L207" s="3">
        <f>1249+(217.4-386.4)+(0.63699+(0.110874-0.197064))+0-144.1-0.0734909999999854</f>
        <v>936.37730899999997</v>
      </c>
      <c r="M207" s="3">
        <f>1244.5+(223.7-343.5)+(0+(0-0))+0-148.3-0</f>
        <v>976.40000000000009</v>
      </c>
      <c r="N207" s="3">
        <f>1238.9+(228.4-291)+(-0.631839+(-0.116484--0.14841))+0-153.9--0.0784889999999844</f>
        <v>1021.8785760000002</v>
      </c>
      <c r="O207" s="3">
        <f>1220.3+(274-279.7)+(0.622353+(0.13974-0.142647))+0-153.5-0.0782849999999844</f>
        <v>1061.6411609999998</v>
      </c>
      <c r="P207" s="3">
        <f>1209.6+(359.5-306.6)+(0+(0-0))+0-154.8-0</f>
        <v>1107.7</v>
      </c>
      <c r="Q207" s="3">
        <f>1199.7+(547.9-438.8)+(0.611847+(0.279429-0.223788))+0-157.9-0.080528999999984</f>
        <v>1151.4869589999998</v>
      </c>
      <c r="R207" s="3">
        <f>1196.2+(645.9-530)+(0+(0-0))+0-155-0</f>
        <v>1157.0999999999999</v>
      </c>
      <c r="S207" s="3">
        <f>1195.2+(651.5-527.5)+(-2.438208+(-1.32906--1.0761))+0-149.1--0.304163999999994</f>
        <v>1167.712996</v>
      </c>
      <c r="T207" s="3">
        <f>1192.1+(615.3-507.7)+(-2.431884+(-1.255212--1.035708))+0-149.9--0.305795999999993</f>
        <v>1147.4544079999998</v>
      </c>
      <c r="U207" s="3">
        <f>1181.1+(472.8-397.2)+(-2.409444+(-0.964512--0.810288))+0-154.7--0.315587999999993</f>
        <v>1099.7519199999997</v>
      </c>
      <c r="V207" s="3">
        <f>1178.1+(287.8-246.9)+(-1.802493+(-0.440334--0.377757))+0-155.2--0.237456000000009</f>
        <v>1062.172386</v>
      </c>
      <c r="W207" s="3">
        <f>1183.8+(369.9-283.1)+(0.603738+(0.188649-0.144381))+0-155.9-0.0795089999999842</f>
        <v>1115.2684969999998</v>
      </c>
      <c r="X207" s="3">
        <f>1181.2+(654-459.5)+(-1.807236+(-1.00062--0.703035))+0-156.7--0.239751000000009</f>
        <v>1217.1349300000002</v>
      </c>
      <c r="Y207" s="3">
        <f>1190.5+(725.6-524.6)+(-3.035775+(-1.85028--1.33773))+0-154.3--0.393464999999978</f>
        <v>1234.0451399999999</v>
      </c>
      <c r="Z207" s="3">
        <f>1209.5+(784.7-618.8)+(-1.850535+(-1.200591--0.946764))+0-145.1--0.222003000000008</f>
        <v>1228.4176410000002</v>
      </c>
      <c r="AA207" s="3">
        <f>1214.1+(740.4-590.1)+(-2.476764+(-1.510416--1.203804))+0-153.4--0.312935999999993</f>
        <v>1208.5295599999997</v>
      </c>
      <c r="AB207" s="3">
        <f>1220.8+(725.5-611.5)+(-2.490432+(-1.48002--1.24746))+0-154.9--0.315995999999993</f>
        <v>1177.4930039999999</v>
      </c>
      <c r="AC207" s="3">
        <f>1225.4+(634.3-570.6)+(-3.12477+(-1.617465--1.45503))+0-155.2--0.395759999999977</f>
        <v>1131.0085549999997</v>
      </c>
      <c r="AD207" s="2">
        <v>1218.1000000000001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1230.3+(537-526.7)+(-1.882359+(-0.82161--0.805851))+0-151.5--0.231795000000009</f>
        <v>1087.4336769999998</v>
      </c>
      <c r="G208" s="3">
        <f>1231.9+(439.5-466.6)+(-1.884807+(-0.672435--0.713898))+0-150.7--0.230571000000009</f>
        <v>1052.4872270000003</v>
      </c>
      <c r="H208" s="3">
        <f>1232+(376.1-420.4)+(-3.1416+(-0.959055--1.07202))+0-154.1--0.392954999999978</f>
        <v>1030.9643200000003</v>
      </c>
      <c r="I208" s="3">
        <f>1240.8+(280.5-358.2)+(-0.632808+(-0.143055--0.182682))+0-153.7--0.0783869999999844</f>
        <v>1008.8852059999999</v>
      </c>
      <c r="J208" s="3">
        <f>1245+(225.7-317.5)+(-0.63495+(-0.115107--0.161925))+0-156.4--0.0797639999999841</f>
        <v>996.29163199999994</v>
      </c>
      <c r="K208" s="3">
        <f>1249.3+(169-287.3)+(-1.274286+(-0.17238--0.293046))+0-159.2--0.162384000000025</f>
        <v>970.80876399999988</v>
      </c>
      <c r="L208" s="3">
        <f>1229.3+(160.4-275.4)+(-0.626943+(-0.081804--0.140454))+0-152.9--0.0779789999999845</f>
        <v>960.90968599999997</v>
      </c>
      <c r="M208" s="3">
        <f>1247.1+(195.2-263)+(1.272042+(0.199104-0.26826))+0-162.8-0.166056000000026</f>
        <v>1017.53683</v>
      </c>
      <c r="N208" s="3">
        <f>1225.2+(299.4-290.7)+(-1.874556+(-0.458082--0.444771))+0-160.9--0.246177000000009</f>
        <v>1071.3583100000001</v>
      </c>
      <c r="O208" s="3">
        <f>1212.3+(342.9-283.6)+(0+(0-0))+0-161.9-0</f>
        <v>1109.6999999999998</v>
      </c>
      <c r="P208" s="3">
        <f>1200+(421.1-303.1)+(0+(0-0))+0-166.6-0</f>
        <v>1151.4000000000001</v>
      </c>
      <c r="Q208" s="3">
        <f>1195.7+(574-394.5)+(0+(0-0))+0-167.4-0</f>
        <v>1207.8</v>
      </c>
      <c r="R208" s="3">
        <f>1190.4+(740.2-525.9)+(0+(0-0))+0-169.5-0</f>
        <v>1235.2000000000003</v>
      </c>
      <c r="S208" s="3">
        <f>1180.5+(834-596.9)+(0+(0-0))+0-164.5-0</f>
        <v>1253.0999999999999</v>
      </c>
      <c r="T208" s="3">
        <f>1175.4+(837.8-620.5)+(0+(0-0))+0-156.1-0</f>
        <v>1236.6000000000001</v>
      </c>
      <c r="U208" s="3">
        <f>1172.7+(680.8-502.7)+(0+(0-0))+0-157.9-0</f>
        <v>1192.8999999999999</v>
      </c>
      <c r="V208" s="3">
        <f>1177.4+(446.3-327.7)+(0+(0-0))+0-160.3-0</f>
        <v>1135.7</v>
      </c>
      <c r="W208" s="3">
        <f>1193+(535.3-378.8)+(0+(0-0))+0-166.9-0</f>
        <v>1182.5999999999999</v>
      </c>
      <c r="X208" s="3">
        <f>1191.3+(765.7-518.2)+(0+(0-0))+0-171.5-0</f>
        <v>1267.3</v>
      </c>
      <c r="Y208" s="3">
        <f>1211.4+(867.3-634.9)+(0+(0-0))+0-167.3-0</f>
        <v>1276.5000000000002</v>
      </c>
      <c r="Z208" s="3">
        <f>1216.8+(857.1-639.9)+(0+(0-0))+0-171.2-0</f>
        <v>1262.8</v>
      </c>
      <c r="AA208" s="3">
        <f>1222.9+(873.9-669.7)+(0+(0-0))+0-170.4-0</f>
        <v>1256.6999999999998</v>
      </c>
      <c r="AB208" s="3">
        <f>1224.2+(858.4-681.9)+(0+(0-0))+0-166.6-0</f>
        <v>1234.1000000000001</v>
      </c>
      <c r="AC208" s="3">
        <f>1234.5+(735.8-625.3)+(0+(0-0))+0-166.7-0</f>
        <v>1178.3</v>
      </c>
      <c r="AD208" s="2">
        <v>1254.4000000000001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1249.8+(628.4-576)+(-1.912194+(-0.961452--0.88128))+0-167.7--0.25658100000001</f>
        <v>1132.7642149999999</v>
      </c>
      <c r="G209" s="3">
        <f>1249.9+(580.7-580.4)+(0.637449+(0.296157-0.296004))+0-169-0.0861899999999829</f>
        <v>1081.7514120000003</v>
      </c>
      <c r="H209" s="3">
        <f>1255.1+(518.9-554.4)+(-1.280202+(-0.529278--0.565488))+0-166.4--0.169728000000027</f>
        <v>1052.125736</v>
      </c>
      <c r="I209" s="3">
        <f>1261.2+(461-520.7)+(-0.643212+(-0.23511--0.265557))+0-166.7--0.0850169999999831</f>
        <v>1034.2722519999998</v>
      </c>
      <c r="J209" s="3">
        <f>1267.6+(372.1-452.4)+(-1.939428+(-0.569313--0.692172))+0-166.3--0.25443900000001</f>
        <v>1019.43787</v>
      </c>
      <c r="K209" s="3">
        <f>1269+(270.9-394.5)+(-0.64719+(-0.138159--0.201195))+0-165.4--0.0843539999999832</f>
        <v>979.50020000000018</v>
      </c>
      <c r="L209" s="3">
        <f>1264.6+(170.7-316.6)+(0+(0-0))+0-163.2-0</f>
        <v>955.49999999999977</v>
      </c>
      <c r="M209" s="3">
        <f>1270.6+(177.1-273.1)+(1.296012+(0.180642-0.278562))+0-167.2-0.170544000000027</f>
        <v>1008.4275479999999</v>
      </c>
      <c r="N209" s="3">
        <f>1243+(245.4-245.2)+(1.26786+(0.250308-0.250104))+0-169.8-0.173196000000027</f>
        <v>1074.4948680000002</v>
      </c>
      <c r="O209" s="3">
        <f>1245.8+(309.4-282.4)+(-0.635358+(-0.157794--0.144024))+0-168.7--0.0860369999999829</f>
        <v>1103.5369089999999</v>
      </c>
      <c r="P209" s="3">
        <f>1246.1+(357.9-293.2)+(0+(0-0))+0-166.1-0</f>
        <v>1144.7</v>
      </c>
      <c r="Q209" s="3">
        <f>1233+(473.6-352.1)+(-1.88649+(-0.724608--0.538713))+0-167.2--0.25581600000001</f>
        <v>1185.4834310000001</v>
      </c>
      <c r="R209" s="3">
        <f>1221.9+(603.7-443.3)+(0+(0-0))+0-166-0</f>
        <v>1216.3000000000002</v>
      </c>
      <c r="S209" s="3">
        <f>1214.4+(680.5-498.7)+(0+(0-0))+0-165.5-0</f>
        <v>1230.7</v>
      </c>
      <c r="T209" s="3">
        <f>1204.2+(610.7-445.2)+(0+(0-0))+0-164.8-0</f>
        <v>1204.9000000000001</v>
      </c>
      <c r="U209" s="3">
        <f>1204+(427.1-315.2)+(0+(0-0))+0-164.6-0</f>
        <v>1151.3000000000002</v>
      </c>
      <c r="V209" s="3">
        <f>1205.6+(285.4-217.2)+(0+(0-0))+0-167.7-0</f>
        <v>1106.0999999999999</v>
      </c>
      <c r="W209" s="3">
        <f>1208.3+(388.8-269.5)+(0+(0-0))+0-167.5-0</f>
        <v>1160.0999999999999</v>
      </c>
      <c r="X209" s="3">
        <f>1216.6+(584.5-387.1)+(0+(0-0))+0-166.1-0</f>
        <v>1247.9000000000001</v>
      </c>
      <c r="Y209" s="3">
        <f>1215.4+(677.2-469.6)+(0+(0-0))+0-166.1-0</f>
        <v>1256.9000000000001</v>
      </c>
      <c r="Z209" s="3">
        <f>1222.4+(704.6-526)+(0+(0-0))+0-167.8-0</f>
        <v>1233.2</v>
      </c>
      <c r="AA209" s="3">
        <f>1223.3+(713.2-545.7)+(0+(0-0))+0-171.6-0</f>
        <v>1219.2</v>
      </c>
      <c r="AB209" s="3">
        <f>1227.1+(667.8-549.9)+(0+(0-0))+0-164.6-0</f>
        <v>1180.4000000000001</v>
      </c>
      <c r="AC209" s="3">
        <f>1238.5+(574.3-514.6)+(0+(0-0))+0-168.8-0</f>
        <v>1129.3999999999999</v>
      </c>
      <c r="AD209" s="2">
        <v>1249.4000000000001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1240.9+(468.6-466.2)+(-3.164295+(-1.19493--1.18881))+0-169.6--0.432479999999975</f>
        <v>1070.9620650000002</v>
      </c>
      <c r="G210" s="3">
        <f>1251.7+(406.4-454.5)+(-3.191835+(-1.03632--1.158975))+0-166.7--0.425084999999976</f>
        <v>1034.255905</v>
      </c>
      <c r="H210" s="3">
        <f>1266.1+(347.5-436.5)+(-0.645711+(-0.177225--0.222615))+0-164.6--0.0839459999999833</f>
        <v>1011.983625</v>
      </c>
      <c r="I210" s="3">
        <f>1271.1+(310-414.9)+(-1.944783+(-0.4743--0.634797))+0-168.4--0.25765200000001</f>
        <v>996.27336599999978</v>
      </c>
      <c r="J210" s="3">
        <f>1271.1+(234.4-344.9)+(-1.944783+(-0.358632--0.527697))+0-166.6--0.25489800000001</f>
        <v>992.47917999999981</v>
      </c>
      <c r="K210" s="3">
        <f>1275.9+(193.9-336.2)+(-1.301418+(-0.197778--0.342924))+0-168.2--0.171564000000027</f>
        <v>964.41529200000014</v>
      </c>
      <c r="L210" s="3">
        <f>1277.2+(202.3-364.8)+(0+(0-0))+0-158-0</f>
        <v>956.7</v>
      </c>
      <c r="M210" s="3">
        <f>1281.2+(217.2-345.2)+(0+(0-0))+0-155.1-0</f>
        <v>998.1</v>
      </c>
      <c r="N210" s="3">
        <f>1276+(223.4-308)+(0+(0-0))+0-152.8-0</f>
        <v>1038.6000000000001</v>
      </c>
      <c r="O210" s="3">
        <f>1266+(286.4-328.7)+(0+(0-0))+0-148.8-0</f>
        <v>1074.9000000000001</v>
      </c>
      <c r="P210" s="3">
        <f>1247.6+(332.9-329.4)+(0+(0-0))+0-148.8-0</f>
        <v>1102.3</v>
      </c>
      <c r="Q210" s="3">
        <f>1239.9+(381.2-342.1)+(0+(0-0))+0-142.2-0</f>
        <v>1136.8</v>
      </c>
      <c r="R210" s="3">
        <f>1234.3+(485.1-406.6)+(0+(0-0))+0-147-0</f>
        <v>1165.8</v>
      </c>
      <c r="S210" s="3">
        <f>1223.6+(571.4-458.6)+(-1.248072+(-0.582828--0.467772))+0-150.6--0.153612000000024</f>
        <v>1184.5904840000001</v>
      </c>
      <c r="T210" s="3">
        <f>1276.9+(470.1-433.7)+(-0.651219+(-0.239751--0.221187))+0-150.3--0.0766529999999848</f>
        <v>1162.4068700000003</v>
      </c>
      <c r="U210" s="3">
        <f>1315.5+(308.3-352.6)+(-2.68362+(-0.628932--0.719304))+0-144.5--0.294779999999994</f>
        <v>1124.4015320000001</v>
      </c>
      <c r="V210" s="3">
        <f>1318.7+(263.5-372.2)+(-1.345074+(-0.26877--0.379644))+0-147.1--0.150042000000023</f>
        <v>1061.815842</v>
      </c>
      <c r="W210" s="3">
        <f>1325.3+(357.5-411.6)+(-1.351806+(-0.36465--0.419832))+0-151.3--0.154326000000024</f>
        <v>1118.7577019999999</v>
      </c>
      <c r="X210" s="3">
        <f>1358+(438-435.7)+(-2.07774+(-0.67014--0.666621))+0-154.3--0.236079000000009</f>
        <v>1204.15482</v>
      </c>
      <c r="Y210" s="3">
        <f>1363.7+(476.9-465.6)+(-2.086461+(-0.729657--0.712368))+0-152.2--0.232866000000009</f>
        <v>1220.929116</v>
      </c>
      <c r="Z210" s="3">
        <f>1365.7+(502.6-507.1)+(-2.089521+(-0.768978--0.775863))+0-153.4--0.234702000000009</f>
        <v>1205.9520659999998</v>
      </c>
      <c r="AA210" s="3">
        <f>1368.5+(478.1-498.2)+(-2.79174+(-0.975324--1.016328))+0-151.6--0.309263999999993</f>
        <v>1194.3585280000002</v>
      </c>
      <c r="AB210" s="3">
        <f>1373.7+(460.9-527.1)+(-0.700587+(-0.235059--0.268821))+0-157.5--0.080324999999984</f>
        <v>1149.4134999999999</v>
      </c>
      <c r="AC210" s="3">
        <f>1380.5+(415.8-531.4)+(-2.112165+(-0.636174--0.813042))+0-159.9--0.244647000000009</f>
        <v>1103.30935</v>
      </c>
      <c r="AD210" s="2">
        <v>1194.2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1379.4+(375.5-547.7)+(-0.703494+(-0.191505--0.279327))+0-162.2--0.0827219999999835</f>
        <v>1044.46705</v>
      </c>
      <c r="G211" s="3">
        <f>1387.4+(323.5-539)+(0+(0-0))+0-157-0</f>
        <v>1014.9000000000001</v>
      </c>
      <c r="H211" s="3">
        <f>1365.6+(302.3-519.2)+(0.696456+(0.154173-0.264792))+0-159.6-0.0813959999999838</f>
        <v>989.60444099999995</v>
      </c>
      <c r="I211" s="3">
        <f>1364.4+(286.3-521.7)+(1.391688+(0.292026-0.532134))+0-160.2-0.163404000000026</f>
        <v>969.78817599999991</v>
      </c>
      <c r="J211" s="3">
        <f>1365.7+(224.8-474.8)+(1.393014+(0.229296-0.484296))+0-158.6-0.161772000000025</f>
        <v>958.07624200000009</v>
      </c>
      <c r="K211" s="3">
        <f>1368.3+(172-445)+(0+(0-0))+0-157.7-0</f>
        <v>937.59999999999991</v>
      </c>
      <c r="L211" s="3">
        <f>1365.1+(126-421.7)+(2.784804+(0.25704-0.860268))+0-154.9-0.315995999999993</f>
        <v>916.3655799999998</v>
      </c>
      <c r="M211" s="3">
        <f>1355.7+(158.3-387.8)+(-1.382814+(-0.161466--0.395556))+0-161.4--0.164628000000026</f>
        <v>963.81590400000016</v>
      </c>
      <c r="N211" s="3">
        <f>1317.1+(184.9-321.2)+(-2.686884+(-0.377196--0.655248))+0-149.6--0.305183999999993</f>
        <v>1029.096352</v>
      </c>
      <c r="O211" s="3">
        <f>1349+(214.2-363)+(-2.06397+(-0.327726--0.55539))+0-141.7--0.216801000000008</f>
        <v>1056.8804950000001</v>
      </c>
      <c r="P211" s="3">
        <f>1344.3+(272-378.2)+(-3.427965+(-0.6936--0.96441))+0-134.1--0.341954999999981</f>
        <v>1101.1847999999998</v>
      </c>
      <c r="Q211" s="3">
        <f>1324.2+(330-390.7)+(-2.026026+(-0.5049--0.597771))+0-138--0.211140000000008</f>
        <v>1123.7779850000002</v>
      </c>
      <c r="R211" s="3">
        <f>1314.5+(456.1-477.5)+(-2.68158+(-0.930444--0.9741))+0-139.1--0.283763999999994</f>
        <v>1151.6458399999999</v>
      </c>
      <c r="S211" s="3">
        <f>1310+(454.2-469.6)+(0.6681+(0.231642-0.239496))+0-144.8-0.0738479999999853</f>
        <v>1150.3863979999999</v>
      </c>
      <c r="T211" s="3">
        <f>1310.3+(452.6-480.5)+(-1.336506+(-0.461652--0.49011))+0-148.9--0.151878000000024</f>
        <v>1132.34383</v>
      </c>
      <c r="U211" s="3">
        <f>1312.8+(313.3-374.9)+(-3.34764+(-0.798915--0.955995))+0-146.6--0.373829999999979</f>
        <v>1101.7832700000001</v>
      </c>
      <c r="V211" s="3">
        <f>1311.6+(220.3-305.7)+(-2.006748+(-0.337059--0.467721))+0-157.9--0.241587000000009</f>
        <v>1066.6655009999997</v>
      </c>
      <c r="W211" s="3">
        <f>1329.5+(315.1-354.9)+(0.678045+(0.160701-0.180999))+0-166.1-0.0847109999999831</f>
        <v>1124.1730360000001</v>
      </c>
      <c r="X211" s="3">
        <f>1345.7+(407.5-397.9)+(-2.058921+(-0.623475--0.608787))+0-164.8--0.25214400000001</f>
        <v>1188.6785350000002</v>
      </c>
      <c r="Y211" s="3">
        <f>1351.9+(463.2-444.2)+(-2.757876+(-0.944928--0.906168))+0-167.1--0.340883999999993</f>
        <v>1201.3442480000001</v>
      </c>
      <c r="Z211" s="3">
        <f>1360.6+(549.2-537)+(-2.775624+(-1.120368--1.09548))+0-183.8--0.374951999999992</f>
        <v>1186.5744399999999</v>
      </c>
      <c r="AA211" s="3">
        <f>1366.4+(528.6-534.1)+(-3.48432+(-1.34793--1.361955))+0-189.1--0.482204999999973</f>
        <v>1168.8119100000001</v>
      </c>
      <c r="AB211" s="3">
        <f>1366.2+(493.8-540)+(-3.48381+(-1.25919--1.377))+0-181.6--0.463079999999974</f>
        <v>1135.4970800000001</v>
      </c>
      <c r="AC211" s="3">
        <f>1355.2+(469-555.3)+(-2.073456+(-0.71757--0.849609))+0-182--0.278460000000011</f>
        <v>1085.2370430000001</v>
      </c>
      <c r="AD211" s="2">
        <v>1181.5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1354.9+(352.4-474.1)+(-2.072997+(-0.539172--0.725373))+0-187--0.286110000000011</f>
        <v>1044.599314</v>
      </c>
      <c r="G212" s="3">
        <f>1316.8+(363.5-480.7)+(-2.014704+(-0.556155--0.735471))+0-186.9--0.285957000000011</f>
        <v>1011.150569</v>
      </c>
      <c r="H212" s="3">
        <f>1315.9+(341-488.1)+(-1.342218+(-0.34782--0.497862))+0-185--0.18870000000003</f>
        <v>982.7965240000002</v>
      </c>
      <c r="I212" s="3">
        <f>1317.2+(327.6-488.8)+(-0.671772+(-0.167076--0.249288))+0-184.6--0.0941459999999813</f>
        <v>970.90458600000011</v>
      </c>
      <c r="J212" s="3">
        <f>1320.6+(256.3-431.1)+(0.673506+(0.130713-0.219861))+0-181.3-0.0924629999999816</f>
        <v>964.99189500000011</v>
      </c>
      <c r="K212" s="3">
        <f>1322.1+(194.4-396.1)+(0.674271+(0.099144-0.202011))+0-174.4-0.0889439999999823</f>
        <v>946.48245999999995</v>
      </c>
      <c r="L212" s="3">
        <f>1323.8+(156.8-396.4)+(-0.675138+(-0.079968--0.202164))+0-167.6--0.085475999999983</f>
        <v>916.13253399999996</v>
      </c>
      <c r="M212" s="3">
        <f>1323.9+(172.3-369.4)+(0+(0-0))+0-167.4-0</f>
        <v>959.4000000000002</v>
      </c>
      <c r="N212" s="3">
        <f>1325.8+(247.7-331.2)+(-2.028474+(-0.378981--0.506736))+0-182.7--0.279531000000011</f>
        <v>1057.9788119999998</v>
      </c>
      <c r="O212" s="3">
        <f>1270.9+(307.1-293.1)+(-0.648159+(-0.156621--0.149481))+0-184.5--0.0940949999999813</f>
        <v>1099.838796</v>
      </c>
      <c r="P212" s="3">
        <f>1326.5+(334.2-336.2)+(-1.35303+(-0.340884--0.342924))+0-185.3--0.18900600000003</f>
        <v>1138.0380160000002</v>
      </c>
      <c r="Q212" s="3">
        <f>1331.8+(362.7-347.2)+(-1.358436+(-0.369954--0.354144))+0-176.2--0.179724000000028</f>
        <v>1169.9054779999999</v>
      </c>
      <c r="R212" s="3">
        <f>1328+(412.6-380.2)+(-0.67728+(-0.210426--0.193902))+0-177.6--0.090575999999982</f>
        <v>1182.1967720000002</v>
      </c>
      <c r="S212" s="3">
        <f>1336+(440.3-426.4)+(-2.04408+(-0.673659--0.652392))+0-179.8--0.27509400000001</f>
        <v>1168.3097470000002</v>
      </c>
      <c r="T212" s="3">
        <f>1330.1+(349.5-384.1)+(-2.035053+(-0.534735--0.587673))+0-166.3--0.25443900000001</f>
        <v>1127.4723240000001</v>
      </c>
      <c r="U212" s="3">
        <f>1330.9+(258.4-341)+(-2.036277+(-0.395352--0.52173))+0-167.8--0.25673400000001</f>
        <v>1078.8468350000003</v>
      </c>
      <c r="V212" s="3">
        <f>1343+(201.8-347.3)+(1.36986+(0.205836-0.354246))+0-172.4-0.175848000000027</f>
        <v>1026.1456019999998</v>
      </c>
      <c r="W212" s="3">
        <f>1356.9+(242.4-367.3)+(0.692019+(0.123624-0.187323))+0-171.4-0.0874139999999826</f>
        <v>1061.1409059999999</v>
      </c>
      <c r="X212" s="3">
        <f>1369.2+(259.7-362.7)+(-2.094876+(-0.397341--0.554931))+0-172.6--0.26407800000001</f>
        <v>1091.926792</v>
      </c>
      <c r="Y212" s="3">
        <f>1382.4+(272-391.3)+(-1.410048+(-0.27744--0.399126))+0-173.8--0.177276000000028</f>
        <v>1088.1889140000003</v>
      </c>
      <c r="Z212" s="3">
        <f>1385.6+(230.9-357.7)+(-1.413312+(-0.235518--0.364854))+0-175.6--0.179112000000028</f>
        <v>1082.0951360000001</v>
      </c>
      <c r="AA212" s="3">
        <f>1385+(221.1-341.8)+(-1.4127+(-0.225522--0.348636))+0-177.6--0.181152000000028</f>
        <v>1085.5915660000001</v>
      </c>
      <c r="AB212" s="3">
        <f>1382.5+(217.6-375.5)+(-3.525375+(-0.55488--0.957525))+0-168.6--0.429929999999976</f>
        <v>1053.3072</v>
      </c>
      <c r="AC212" s="3">
        <f>1337.6+(199-339.3)+(-4.093056+(-0.60894--1.038258))+0-179.8--0.550188000000021</f>
        <v>1014.3864500000001</v>
      </c>
      <c r="AD212" s="2">
        <v>1077.4000000000001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1186.1+(350.8-383.2)+(1.209822+(0.357816-0.390864))+0-180-0.183600000000029</f>
        <v>974.69317399999977</v>
      </c>
      <c r="G213" s="3">
        <f>1162.8+(347.2-383.5)+(0.593028+(0.177072-0.195585))+0-179-0.0912899999999818</f>
        <v>947.98322500000006</v>
      </c>
      <c r="H213" s="3">
        <f>1176.3+(313-388.6)+(1.199826+(0.31926-0.396372))+0-168.1-0.171462000000027</f>
        <v>933.55125199999986</v>
      </c>
      <c r="I213" s="3">
        <f>1171.2+(298.2-383.5)+(-0.597312+(-0.152082--0.195585))+0-159.9--0.0815489999999838</f>
        <v>925.52774000000011</v>
      </c>
      <c r="J213" s="3">
        <f>1171.1+(201.4-286)+(0+(0-0))+0-177.4-0</f>
        <v>909.1</v>
      </c>
      <c r="K213" s="3">
        <f>1170.2+(186.7-283.3)+(-2.387208+(-0.380868--0.577932))+0-179--0.365159999999992</f>
        <v>892.77501599999994</v>
      </c>
      <c r="L213" s="3">
        <f>1172.4+(186.7-304.8)+(1.195848+(0.190434-0.310896))+0-173.8-0.177276000000028</f>
        <v>881.3981100000002</v>
      </c>
      <c r="M213" s="3">
        <f>1166.8+(200.7-274.6)+(0+(0-0))+0-175.5-0</f>
        <v>917.39999999999986</v>
      </c>
      <c r="N213" s="3">
        <f>1204.7+(226.6-312.2)+(0+(0-0))+0-171.8-0</f>
        <v>947.30000000000018</v>
      </c>
      <c r="O213" s="3">
        <f>1215.6+(286.6-334)+(0+(0-0))+0-179.6-0</f>
        <v>988.5999999999998</v>
      </c>
      <c r="P213" s="3">
        <f>1210.1+(301.4-296.8)+(-1.851453+(-0.461142--0.454104))+0-182.5--0.279225000000011</f>
        <v>1030.6207339999999</v>
      </c>
      <c r="Q213" s="3">
        <f>1197.1+(335.3-293.2)+(0+(0-0))+0-180.3-0</f>
        <v>1058.8999999999999</v>
      </c>
      <c r="R213" s="3">
        <f>1179.8+(371.4-299.2)+(-1.805094+(-0.568242--0.457776))+0-184--0.281520000000011</f>
        <v>1066.3659600000001</v>
      </c>
      <c r="S213" s="3">
        <f>1177.4+(336.9-280.7)+(0+(0-0))+0-184.9-0</f>
        <v>1048.7</v>
      </c>
      <c r="T213" s="3">
        <f>1180+(275.2-248.2)+(0+(0-0))+0-184.8-0</f>
        <v>1022.2</v>
      </c>
      <c r="U213" s="3">
        <f>1207+(179.3-217)+(-2.46228+(-0.365772--0.44268))+0-183.5--0.374339999999992</f>
        <v>983.78896799999995</v>
      </c>
      <c r="V213" s="3">
        <f>1224.6+(177.5-258.8)+(-1.873638+(-0.271575--0.395964))+0-181.1--0.27708300000001</f>
        <v>960.72783400000003</v>
      </c>
      <c r="W213" s="3">
        <f>1215.9+(275.1-275.7)+(-0.620109+(-0.140301--0.140607))+0-186.7--0.0952169999999811</f>
        <v>1028.0754140000001</v>
      </c>
      <c r="X213" s="3">
        <f>1218.5+(380.1-350.2)+(-1.864305+(-0.581553--0.535806))+0-188.5--0.288405000000011</f>
        <v>1058.2783530000002</v>
      </c>
      <c r="Y213" s="3">
        <f>1221.9+(364.2-339.6)+(-0.623169+(-0.185742--0.173196))+0-186.9--0.095318999999981</f>
        <v>1059.059604</v>
      </c>
      <c r="Z213" s="3">
        <f>1220.1+(437.5-423)+(1.244502+(0.44625-0.43146))+0-191.2-0.19502400000003</f>
        <v>1044.4642679999997</v>
      </c>
      <c r="AA213" s="3">
        <f>1223.5+(434.2-417)+(0.623985+(0.221442-0.21267))+0-193.1-0.0984809999999804</f>
        <v>1048.1342760000002</v>
      </c>
      <c r="AB213" s="3">
        <f>1232.1+(380.7-404.2)+(-1.256742+(-0.388314--0.412284))+0-188.8--0.19257600000003</f>
        <v>1018.7598039999999</v>
      </c>
      <c r="AC213" s="3">
        <f>1232.3+(314.2-373.9)+(-1.885419+(-0.480726--0.572067))+0-188.7--0.288711000000011</f>
        <v>982.394633</v>
      </c>
      <c r="AD213" s="2">
        <v>1057.3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1234.8+(278.4-381.6)+(-0.629748+(-0.141984--0.194616))+0-183.6--0.0936359999999814</f>
        <v>947.5165199999999</v>
      </c>
      <c r="G214" s="3">
        <f>1234.8+(236.3-366.1)+(-1.259496+(-0.241026--0.373422))+0-181--0.184620000000029</f>
        <v>923.05752000000007</v>
      </c>
      <c r="H214" s="3">
        <f>1241.6+(218.4-381.4)+(-1.899648+(-0.334152--0.583542))+0-179.8--0.27509400000001</f>
        <v>897.42483600000003</v>
      </c>
      <c r="I214" s="3">
        <f>1250.1+(193.4-386.1)+(-2.550204+(-0.394536--0.787644))+0-179.8--0.366791999999992</f>
        <v>875.80969600000003</v>
      </c>
      <c r="J214" s="3">
        <f>1253.2+(196.8-412.5)+(0+(0-0))+0-177.3-0</f>
        <v>860.2</v>
      </c>
      <c r="K214" s="3">
        <f>1248.2+(177.1-393)+(-1.909746+(-0.270963--0.60129))+0-178.4--0.27295200000001</f>
        <v>852.59353300000009</v>
      </c>
      <c r="L214" s="3">
        <f>1242.1+(150.6-377.6)+(-1.900413+(-0.230418--0.577728))+0-174.8--0.26744400000001</f>
        <v>839.01434099999994</v>
      </c>
      <c r="M214" s="3">
        <f>1231.7+(169.8-352.6)+(0.628167+(0.086598-0.179826))+0-179.8-0.0916979999999818</f>
        <v>869.54324100000008</v>
      </c>
      <c r="N214" s="3">
        <f>1231+(177.7-317.3)+(0.62781+(0.090627-0.161823))+0-183.4-0.0935339999999814</f>
        <v>908.46308000000022</v>
      </c>
      <c r="O214" s="3">
        <f>1221.2+(209.8-303.2)+(-2.491248+(-0.427992--0.618528))+0-180.4--0.368015999999992</f>
        <v>945.46730400000024</v>
      </c>
      <c r="P214" s="3">
        <f>1200.6+(277.8-318.2)+(0.612306+(0.141678-0.162282))+0-172.4-0.0879239999999825</f>
        <v>988.30377799999985</v>
      </c>
      <c r="Q214" s="3">
        <f>1192.1+(327.6-336)+(-1.823913+(-0.501228--0.51408))+0-173.9--0.26606700000001</f>
        <v>1008.2550059999998</v>
      </c>
      <c r="R214" s="3">
        <f>1182.5+(384.6-372.5)+(0.603075+(0.196146-0.189975))+0-173.3-0.0883829999999824</f>
        <v>1021.8208629999999</v>
      </c>
      <c r="S214" s="3">
        <f>1177.6+(390.9-382.5)+(-1.201152+(-0.398718--0.39015))+0-177.6--0.181152000000028</f>
        <v>1007.3714319999999</v>
      </c>
      <c r="T214" s="3">
        <f>1173.7+(380-373.4)+(-2.394348+(-0.7752--0.761736))+0-181.1--0.369443999999992</f>
        <v>997.16163200000028</v>
      </c>
      <c r="U214" s="3">
        <f>1176.8+(305.2-333.3)+(-2.400672+(-0.622608--0.679932))+0-176--0.359039999999992</f>
        <v>970.71569199999965</v>
      </c>
      <c r="V214" s="3">
        <f>1175.9+(295.2-325.5)+(1.199418+(0.301104-0.33201))+0-179.3-0.182886000000029</f>
        <v>967.28562600000009</v>
      </c>
      <c r="W214" s="3">
        <f>1182.2+(417.7-361.8)+(-0.602922+(-0.213027--0.184518))+0-186.9--0.095318999999981</f>
        <v>1050.6638879999998</v>
      </c>
      <c r="X214" s="3">
        <f>1184.7+(490.6-390.6)+(1.208394+(0.500412-0.398412))+0-183.8-0.187476000000029</f>
        <v>1102.0229180000001</v>
      </c>
      <c r="Y214" s="3">
        <f>1195.6+(529.9-435.1)+(-1.829268+(-0.810747--0.665703))+0-182.7--0.279531000000011</f>
        <v>1106.0052189999997</v>
      </c>
      <c r="Z214" s="3">
        <f>1202.1+(521.5-452.6)+(-2.452284+(-1.06386--0.923304))+0-185.1--0.377603999999992</f>
        <v>1083.6847640000001</v>
      </c>
      <c r="AA214" s="3">
        <f>1216.2+(527.2-487.4)+(-1.240524+(-0.537744--0.497148))+0-185.4--0.18910800000003</f>
        <v>1069.5079879999998</v>
      </c>
      <c r="AB214" s="3">
        <f>1196.1+(473.9-444.9)+(-1.220022+(-0.483378--0.453798))+0-185.8--0.18951600000003</f>
        <v>1038.239914</v>
      </c>
      <c r="AC214" s="3">
        <f>1202.6+(383.7-425.5)+(-1.226652+(-0.391374--0.43401))+0-176.9--0.180438000000028</f>
        <v>982.89642200000003</v>
      </c>
      <c r="AD214" s="2">
        <v>1099.0999999999999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1203.8+(323.5-404.7)+(-2.455752+(-0.65994--0.825588))+0-177.4--0.361895999999992</f>
        <v>943.271792</v>
      </c>
      <c r="G215" s="3">
        <f>1212.1+(264.3-392.8)+(-0.618171+(-0.134793--0.200328))+0-173.9--0.0886889999999824</f>
        <v>909.23605299999997</v>
      </c>
      <c r="H215" s="3">
        <f>1209.8+(255.2-391)+(-1.850994+(-0.390456--0.59823))+0-177.4--0.27142200000001</f>
        <v>895.22820200000012</v>
      </c>
      <c r="I215" s="3">
        <f>1214.3+(274.7-424.9)+(-1.857879+(-0.420291--0.650097))+0-178.1--0.27249300000001</f>
        <v>884.64441999999985</v>
      </c>
      <c r="J215" s="3">
        <f>1222.2+(224-391)+(-1.246644+(-0.22848--0.39882))+0-177.9--0.181458000000028</f>
        <v>876.40515400000015</v>
      </c>
      <c r="K215" s="3">
        <f>1229.5+(202.2-397.6)+(0+(0-0))+0-173.1-0</f>
        <v>860.99999999999989</v>
      </c>
      <c r="L215" s="3">
        <f>1230.4+(200.3-394)+(-0.627504+(-0.102153--0.20094))+0-171.8--0.0876179999999826</f>
        <v>864.4589010000002</v>
      </c>
      <c r="M215" s="3">
        <f>1228.2+(218.9-354.1)+(-0.626382+(-0.111639--0.180591))+0-176.3--0.0899129999999821</f>
        <v>916.232483</v>
      </c>
      <c r="N215" s="3">
        <f>1222.2+(271-339.5)+(0+(0-0))+0-179.8-0</f>
        <v>973.90000000000009</v>
      </c>
      <c r="O215" s="3">
        <f>1213+(307.4-349.2)+(-2.47452+(-0.627096--0.712368))+0-177.7--0.362507999999992</f>
        <v>991.4732600000001</v>
      </c>
      <c r="P215" s="3">
        <f>1194.9+(313.5-357.5)+(-0.609399+(-0.159885--0.182325))+0-172--0.0877199999999825</f>
        <v>978.4007610000001</v>
      </c>
      <c r="Q215" s="3">
        <f>1123.7+(368.4-275.3)+(-1.146174+(-0.375768--0.280806))+0-168.9--0.172278000000027</f>
        <v>1046.8311419999998</v>
      </c>
      <c r="R215" s="3">
        <f>1112.6+(434.3-328.1)+(-1.702278+(-0.664479--0.501993))+0-164.7--0.25199100000001</f>
        <v>1052.4872270000001</v>
      </c>
      <c r="S215" s="3">
        <f>1131.4+(417.2-323.6)+(-1.731042+(-0.638316--0.495108))+0-168.6--0.25795800000001</f>
        <v>1054.7837079999999</v>
      </c>
      <c r="T215" s="3">
        <f>1152+(393-337.7)+(0.58752+(0.20043-0.172227))+0-173.9-0.0886889999999824</f>
        <v>1033.9270339999998</v>
      </c>
      <c r="U215" s="3">
        <f>1162.5+(360.2-348.7)+(-3.55725+(-1.102212--1.067022))+0-163--0.498780000000019</f>
        <v>1007.9063400000001</v>
      </c>
      <c r="V215" s="3">
        <f>1163.6+(353.9-335.1)+(-1.186872+(-0.360978--0.341802))+0-171.7--0.175134000000027</f>
        <v>1009.6690859999999</v>
      </c>
      <c r="W215" s="3">
        <f>1167.3+(453.2-375.1)+(0+(0-0))+0-178.4-0</f>
        <v>1066.9999999999998</v>
      </c>
      <c r="X215" s="3">
        <f>1180.8+(527.1-408.3)+(-2.408832+(-1.075284--0.832932))+0-181.1--0.369443999999992</f>
        <v>1116.2182599999999</v>
      </c>
      <c r="Y215" s="3">
        <f>1198.5+(558.4-459.6)+(-4.88988+(-2.278272--1.875168))+0-177.7--0.725015999999984</f>
        <v>1115.0320320000001</v>
      </c>
      <c r="Z215" s="3">
        <f>1158.2+(571-442.3)+(-2.95341+(-1.45605--1.127865))+0-173.7--0.442934999999975</f>
        <v>1110.3613400000002</v>
      </c>
      <c r="AA215" s="3">
        <f>1152.4+(571.3-438.5)+(-2.93862+(-1.456815--1.118175))+0-180--0.458999999999974</f>
        <v>1102.38174</v>
      </c>
      <c r="AB215" s="3">
        <f>1173.8+(549.8-486.7)+(-1.795914+(-0.841194--0.744651))+0-179.1--0.27402300000001</f>
        <v>1056.181566</v>
      </c>
      <c r="AC215" s="3">
        <f>1177.2+(533.1-525.9)+(-0.600372+(-0.271881--0.268209))+0-177.3--0.090422999999982</f>
        <v>1006.5863790000002</v>
      </c>
      <c r="AD215" s="2">
        <v>1106.9000000000001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1179.8+(490.1-471.2)+(0.601698+(0.249951-0.240312))+0-175.9-0.0897089999999822</f>
        <v>1023.3216280000001</v>
      </c>
      <c r="G216" s="3">
        <f>1187.1+(415.3-447.8)+(-2.421684+(-0.847212--0.913512))+0-178.9--0.364955999999992</f>
        <v>973.70957199999998</v>
      </c>
      <c r="H216" s="3">
        <f>1191.5+(338-408.1)+(-2.43066+(-0.68952--0.832524))+0-178.1--0.363323999999992</f>
        <v>941.37566800000013</v>
      </c>
      <c r="I216" s="3">
        <f>1202.8+(295.5-409.1)+(2.453712+(0.60282-0.834564))+0-177.1-0.361283999999992</f>
        <v>913.9606839999999</v>
      </c>
      <c r="J216" s="3">
        <f>1355.6+(172.1-439.2)+(3.45678+(0.438855-1.11996))+0-176.1-0.449054999999974</f>
        <v>914.72662000000014</v>
      </c>
      <c r="K216" s="3">
        <f>1378.1+(131.7-430.2)+(2.108493+(0.201501-0.658206))+0-174-0.26622000000001</f>
        <v>906.98556799999983</v>
      </c>
      <c r="L216" s="3">
        <f>1316.9+(143.9-437.6)+(2.686476+(0.293556-0.892704))+0-166.2-0.339047999999993</f>
        <v>858.74828000000002</v>
      </c>
      <c r="M216" s="3">
        <f>1315.9+(219.4-466)+(0+(0-0))+0-167.7-0</f>
        <v>901.60000000000014</v>
      </c>
      <c r="N216" s="3">
        <f>1298.4+(283.8-474.3)+(1.324368+(0.289476-0.483786))+0-167.9-0.171258000000027</f>
        <v>940.9588</v>
      </c>
      <c r="O216" s="3">
        <f>1298.8+(295.6-472.9)+(-1.987164+(-0.452268--0.723537))+0-162.2--0.248166000000009</f>
        <v>957.83227099999988</v>
      </c>
      <c r="P216" s="3">
        <f>1297.1+(303.7-461.1)+(0+(0-0))+0-154.4-0</f>
        <v>985.29999999999984</v>
      </c>
      <c r="Q216" s="3">
        <f>1287.5+(326.4-459.3)+(-1.31325+(-0.332928--0.468486))+0-156.4--0.159528000000025</f>
        <v>997.18183599999998</v>
      </c>
      <c r="R216" s="3">
        <f>1314.8+(380.4-495.3)+(-2.682192+(-0.776016--1.010412))+0-156.2--0.318647999999993</f>
        <v>1041.5708519999998</v>
      </c>
      <c r="S216" s="3">
        <f>1314.9+(337.5-452.6)+(-1.341198+(-0.34425--0.461652))+0-157.4--0.160548000000025</f>
        <v>1041.3367520000002</v>
      </c>
      <c r="T216" s="3">
        <f>1314.5+(285.2-418.5)+(-3.351975+(-0.72726--1.067175))+0-167.6--0.427379999999976</f>
        <v>1011.01532</v>
      </c>
      <c r="U216" s="3">
        <f>1309.3+(285-432.5)+(-0.667743+(-0.14535--0.220575))+0-186--0.0948599999999811</f>
        <v>975.30234199999995</v>
      </c>
      <c r="V216" s="3">
        <f>1314+(265.6-410.3)+(0+(0-0))+0-172.2-0</f>
        <v>997.09999999999991</v>
      </c>
      <c r="W216" s="3">
        <f>1307.7+(388.9-447.3)+(0+(0-0))+0-173.1-0</f>
        <v>1076.2</v>
      </c>
      <c r="X216" s="3">
        <f>1321+(430.6-446.8)+(-1.34742+(-0.439212--0.455736))+0-173.8--0.177276000000028</f>
        <v>1129.8463800000002</v>
      </c>
      <c r="Y216" s="3">
        <f>1331.9+(421.6-454.9)+(-1.358538+(-0.430032--0.463998))+0-174.2--0.177684000000028</f>
        <v>1123.2531120000001</v>
      </c>
      <c r="Z216" s="3">
        <f>1336+(415.5-475.3)+(1.36272+(0.42381-0.484806))+0-176.9-0.180438000000028</f>
        <v>1100.4212859999998</v>
      </c>
      <c r="AA216" s="3">
        <f>1338.2+(391.1-467)+(1.364964+(0.398922-0.47634))+0-179-0.182580000000029</f>
        <v>1084.4049660000003</v>
      </c>
      <c r="AB216" s="3">
        <f>1353.3+(306.2-436.7)+(-2.070549+(-0.468486--0.668151))+0-175.3--0.26820900000001</f>
        <v>1045.8973250000001</v>
      </c>
      <c r="AC216" s="3">
        <f>1361.4+(290.1-481.1)+(-2.777256+(-0.591804--0.981444))+0-175.9--0.358835999999992</f>
        <v>992.47122000000013</v>
      </c>
      <c r="AD216" s="2">
        <v>1105.2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1358.1+(243.5-483.2)+(-0.692631+(-0.124185--0.246432))+0-177.5--0.090524999999982</f>
        <v>940.42014099999972</v>
      </c>
      <c r="G217" s="3">
        <f>1366.9+(181.7-462.1)+(-2.091357+(-0.278001--0.707013))+0-176.6--0.27019800000001</f>
        <v>908.50785300000007</v>
      </c>
      <c r="H217" s="3">
        <f>1367.4+(126.2-429.3)+(-2.789496+(-0.257448--0.875772))+0-174.6--0.356183999999992</f>
        <v>887.88501200000007</v>
      </c>
      <c r="I217" s="3">
        <f>1370+(96.9-410.2)+(-1.3974+(-0.098838--0.418404))+0-177--0.180540000000028</f>
        <v>878.80270600000017</v>
      </c>
      <c r="J217" s="3">
        <f>1372.7+(88-409.6)+(2.100231+(0.13464-0.626688))+0-176.3-0.26973900000001</f>
        <v>876.13844400000005</v>
      </c>
      <c r="K217" s="3">
        <f>1379.5+(102.1-432.7)+(-2.81418+(-0.208284--0.882708))+0-177.5--0.362099999999992</f>
        <v>869.622344</v>
      </c>
      <c r="L217" s="3">
        <f>1377.2+(128.4-446.3)+(0+(0-0))+0-174.5-0</f>
        <v>884.80000000000018</v>
      </c>
      <c r="M217" s="3">
        <f>1368.6+(146-425.3)+(0+(0-0))+0-177.3-0</f>
        <v>912</v>
      </c>
      <c r="N217" s="3">
        <f>1359.9+(157.3-391.6)+(1.387098+(0.160446-0.399432))+0-180.7-0.184314000000029</f>
        <v>945.86379800000009</v>
      </c>
      <c r="O217" s="3">
        <f>1306.2+(184.1-344.2)+(0.666162+(0.093891-0.175542))+0-180.1-0.0918509999999817</f>
        <v>966.49266000000011</v>
      </c>
      <c r="P217" s="3">
        <f>1295.2+(247.6-356.8)+(-1.321104+(-0.252552--0.363936))+0-176.3--0.179826000000028</f>
        <v>1008.670106</v>
      </c>
      <c r="Q217" s="3">
        <f>1331.7+(274.6-390.6)+(-2.037501+(-0.420138--0.597618))+0-175.5--0.26851500000001</f>
        <v>1038.6084940000001</v>
      </c>
      <c r="R217" s="3">
        <f>1326.3+(276.1-396.5)+(-4.058478+(-0.844866--1.21329))+0-174.6--0.53427600000002</f>
        <v>1028.1442220000004</v>
      </c>
      <c r="S217" s="3">
        <f>1319.7+(264.8-375.4)+(0+(0-0))+0-171.6-0</f>
        <v>1037.5000000000002</v>
      </c>
      <c r="T217" s="3">
        <f>1316.7+(261.1-376.9)+(-0.671517+(-0.133161--0.192219))+0-172.4--0.0879239999999825</f>
        <v>1027.975465</v>
      </c>
      <c r="U217" s="3">
        <f>1312.9+(217.8-353.8)+(0+(0-0))+0-170.9-0</f>
        <v>1006.0000000000001</v>
      </c>
      <c r="V217" s="3">
        <f>1321.7+(220.6-370.1)+(-2.696268+(-0.450024--0.755004))+0-171.7--0.350267999999992</f>
        <v>998.45898</v>
      </c>
      <c r="W217" s="3">
        <f>1323+(340.9-416.2)+(-1.34946+(-0.347718--0.424524))+0-171--0.174420000000027</f>
        <v>1075.601766</v>
      </c>
      <c r="X217" s="3">
        <f>1329.6+(328.2-373.7)+(-0.678096+(-0.167382--0.190587))+0-173.7--0.0885869999999824</f>
        <v>1109.8336959999999</v>
      </c>
      <c r="Y217" s="3">
        <f>1334.3+(335.1-392.4)+(-1.360986+(-0.341802--0.400248))+0-172--0.175440000000027</f>
        <v>1103.8729000000001</v>
      </c>
      <c r="Z217" s="3">
        <f>1339.1+(333.6-417.5)+(-3.414705+(-0.85068--1.064625))+0-173.8--0.443189999999975</f>
        <v>1078.6424299999999</v>
      </c>
      <c r="AA217" s="3">
        <f>1343.5+(337.5-428.2)+(-2.74074+(-0.6885--0.873528))+0-174.9--0.356795999999992</f>
        <v>1075.7010839999998</v>
      </c>
      <c r="AB217" s="3">
        <f>1344.7+(282.6-427.3)+(-2.057391+(-0.432378--0.653769))+0-160.3--0.245259000000009</f>
        <v>1038.1092590000001</v>
      </c>
      <c r="AC217" s="3">
        <f>1350.5+(229.6-439.7)+(-1.37751+(-0.234192--0.448494))+0-156.7--0.159834000000025</f>
        <v>982.69662600000015</v>
      </c>
      <c r="AD217" s="2">
        <v>1092.0999999999999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1352.3+(163.6-415.8)+(-0.689673+(-0.083436--0.212058))+0-154.4--0.0787439999999843</f>
        <v>945.21769300000005</v>
      </c>
      <c r="G218" s="3">
        <f>1356.8+(99-392.9)+(0.691968+(0.05049-0.200379))+0-151-0.0770099999999847</f>
        <v>912.36506900000018</v>
      </c>
      <c r="H218" s="3">
        <f>1356.8+(88.7-396.5)+(0+(0-0))+0-154.7-0</f>
        <v>894.3</v>
      </c>
      <c r="I218" s="3">
        <f>1308.7+(90.5-366)+(2.669748+(0.18462-0.74664))+0-154.3-0.314771999999993</f>
        <v>880.69295600000009</v>
      </c>
      <c r="J218" s="3">
        <f>1313.7+(91.6-376.8)+(0.669987+(0.046716-0.192168))+0-152.4-0.0777239999999845</f>
        <v>876.54681100000005</v>
      </c>
      <c r="K218" s="3">
        <f>1316.9+(105.5-400.2)+(1.343238+(0.10761-0.408204))+0-152.1-0.155142000000024</f>
        <v>870.98750199999995</v>
      </c>
      <c r="L218" s="3">
        <f>1315.7+(134-415.5)+(-1.342014+(-0.13668--0.42381))+0-157.7--0.160854000000025</f>
        <v>875.60597000000007</v>
      </c>
      <c r="M218" s="3">
        <f>1315.2+(166.7-405.4)+(3.35376+(0.425085-1.03377))+0-170.2-0.434009999999975</f>
        <v>908.61106500000005</v>
      </c>
      <c r="N218" s="3">
        <f>1311.6+(174.7-351.5)+(-1.337832+(-0.178194--0.35853))+0-177.1--0.180642000000028</f>
        <v>956.72314599999993</v>
      </c>
      <c r="O218" s="3">
        <f>1306.5+(193.6-334.5)+(-0.666315+(-0.098736--0.170595))+0-174--0.0887399999999823</f>
        <v>991.0942839999999</v>
      </c>
      <c r="P218" s="3">
        <f>1288.2+(225.4-331.7)+(0+(0-0))+0-170.1-0</f>
        <v>1011.8000000000001</v>
      </c>
      <c r="Q218" s="3">
        <f>1288+(260.1-337.1)+(0.65688+(0.132651-0.171921))+0-169-0.0861899999999829</f>
        <v>1042.53142</v>
      </c>
      <c r="R218" s="3">
        <f>1286+(307.4-383.2)+(-1.31172+(-0.313548--0.390864))+0-169.9--0.173298000000027</f>
        <v>1039.2388939999998</v>
      </c>
      <c r="S218" s="3">
        <f>1268.6+(305.1-368.4)+(-1.293972+(-0.311202--0.375768))+0-170.1--0.173502000000027</f>
        <v>1034.1440960000002</v>
      </c>
      <c r="T218" s="3">
        <f>1251.2+(273.3-330.3)+(1.276224+(0.278766-0.336906))+0-165.2-0.168504000000026</f>
        <v>1030.0495800000001</v>
      </c>
      <c r="U218" s="3">
        <f>1277.2+(231.3-332)+(-1.954116+(-0.353889--0.50796))+0-161.6--0.247248000000009</f>
        <v>1013.347203</v>
      </c>
      <c r="V218" s="3">
        <f>1291.2+(236.8-352.6)+(-1.317024+(-0.241536--0.359652))+0-164.2--0.167484000000026</f>
        <v>1010.168576</v>
      </c>
      <c r="W218" s="3">
        <f>1348.4+(303-352)+(0+(0-0))+0-167.5-0</f>
        <v>1131.9000000000001</v>
      </c>
      <c r="X218" s="3">
        <f>1307.8+(334.2-359.4)+(-2.667912+(-0.681768--0.733176))+0-170.9--0.348635999999993</f>
        <v>1109.4321319999997</v>
      </c>
      <c r="Y218" s="3">
        <f>1315.2+(326.8-381)+(-3.35376+(-0.83334--0.97155))+0-168--0.428399999999976</f>
        <v>1090.2128500000001</v>
      </c>
      <c r="Z218" s="3">
        <f>1323.7+(313.2-397.2)+(-0.675087+(-0.159732--0.202572))+0-167.7--0.085526999999983</f>
        <v>1071.4532799999999</v>
      </c>
      <c r="AA218" s="3">
        <f>1324.6+(300-397.1)+(-2.702184+(-0.612--0.810084))+0-171.3--0.349451999999993</f>
        <v>1054.0453519999999</v>
      </c>
      <c r="AB218" s="3">
        <f>1307.7+(268.3-410)+(-0.666927+(-0.136833--0.2091))+0-164.3--0.0837929999999833</f>
        <v>1001.1891330000001</v>
      </c>
      <c r="AC218" s="3">
        <f>1309.9+(206.5-390.5)+(-4.008294+(-0.63189--1.19493))+0-161.9--0.495414000000019</f>
        <v>961.05016000000012</v>
      </c>
      <c r="AD218" s="2">
        <v>1087.3999999999999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1327.1+(120.9-344.8)+(-1.353642+(-0.123318--0.351696))+0-164.4--0.167688000000026</f>
        <v>937.84242399999982</v>
      </c>
      <c r="G219" s="3">
        <f>1338.8+(89.4-340.8)+(-0.682788+(-0.045594--0.173808))+0-165--0.0841499999999833</f>
        <v>921.92957599999988</v>
      </c>
      <c r="H219" s="3">
        <f>1323.8+(81.7-346.1)+(0+(0-0))+0-162.7-0</f>
        <v>896.69999999999982</v>
      </c>
      <c r="I219" s="3">
        <f>1293.6+(100.9-348.1)+(1.979208+(0.154377-0.532593))+0-166.5-0.25474500000001</f>
        <v>881.24624699999981</v>
      </c>
      <c r="J219" s="3">
        <f>1299.5+(85.1-337)+(-1.32549+(-0.086802--0.34374))+0-164.4--0.167688000000026</f>
        <v>882.29913599999998</v>
      </c>
      <c r="K219" s="3">
        <f>1300.2+(85.2-344)+(-0.663102+(-0.043452--0.17544))+0-159.6--0.0813959999999838</f>
        <v>881.35028200000011</v>
      </c>
      <c r="L219" s="3">
        <f>1298.9+(113.6-347.8)+(-1.987317+(-0.173808--0.532134))+0-163.8--0.25061400000001</f>
        <v>899.52162300000009</v>
      </c>
      <c r="M219" s="3">
        <f>1314.9+(150.1-356.1)+(1.341198+(0.153102-0.363222))+0-172.4-0.175848000000027</f>
        <v>937.45523000000003</v>
      </c>
      <c r="N219" s="3">
        <f>1322+(262-429.2)+(0+(0-0))+0-175.3-0</f>
        <v>979.5</v>
      </c>
      <c r="O219" s="3">
        <f>1324.7+(295.3-435.7)+(-1.351194+(-0.301206--0.444414))+0-175--0.178500000000028</f>
        <v>1008.2705140000003</v>
      </c>
      <c r="P219" s="3">
        <f>1319.9+(316.1-441.2)+(0+(0-0))+0-169.3-0</f>
        <v>1025.5000000000002</v>
      </c>
      <c r="Q219" s="3">
        <f>1334+(323.8-420.9)+(-2.04102+(-0.495414--0.643977))+0-171--0.26163000000001</f>
        <v>1064.2691730000001</v>
      </c>
      <c r="R219" s="3">
        <f>1291.9+(363.3-429.6)+(-2.635476+(-0.741132--0.876384))+0-168.5--0.343739999999993</f>
        <v>1054.9435160000003</v>
      </c>
      <c r="S219" s="3">
        <f>1295.1+(356.5-412)+(1.321002+(0.36363-0.42024))+0-172.4-0.175848000000027</f>
        <v>1068.2885439999998</v>
      </c>
      <c r="T219" s="3">
        <f>1302.8+(277.7-342.8)+(-0.664428+(-0.141627--0.174828))+0-178.5--0.0910349999999819</f>
        <v>1058.6598079999997</v>
      </c>
      <c r="U219" s="3">
        <f>1286.4+(249.3-334.7)+(-1.312128+(-0.254286--0.341394))+0-171.4--0.174828000000027</f>
        <v>1028.5498079999998</v>
      </c>
      <c r="V219" s="3">
        <f>1294.2+(257.5-341.7)+(0+(0-0))+0-180.2-0</f>
        <v>1029.8</v>
      </c>
      <c r="W219" s="3">
        <f>1385.7+(311.2-417.4)+(-1.413414+(-0.317424--0.425748))+0-182.5--0.186150000000029</f>
        <v>1095.8810599999999</v>
      </c>
      <c r="X219" s="3">
        <f>1404.8+(325.4-417.5)+(-2.865792+(-0.663816--0.8517))+0-196.3--0.400451999999991</f>
        <v>1114.1225440000001</v>
      </c>
      <c r="Y219" s="3">
        <f>1413.8+(328.5-446)+(0+(0-0))+0-199.5-0</f>
        <v>1096.8</v>
      </c>
      <c r="Z219" s="3">
        <f>1355.6+(291.7-397.5)+(-1.382712+(-0.297534--0.40545))+0-196.7--0.200634000000031</f>
        <v>1052.025838</v>
      </c>
      <c r="AA219" s="3">
        <f>1354.5+(273.8-367.8)+(-2.072385+(-0.418914--0.562734))+0-197.6--0.302328000000011</f>
        <v>1061.2737630000001</v>
      </c>
      <c r="AB219" s="3">
        <f>1361.1+(266-398.6)+(-3.470805+(-0.6783--1.01643))+0-197.7--0.504134999999971</f>
        <v>1028.1714599999998</v>
      </c>
      <c r="AC219" s="3">
        <f>1392.3+(192.4-399.6)+(-1.420146+(-0.196248--0.407592))+0-200.2--0.204204000000032</f>
        <v>983.89540199999976</v>
      </c>
      <c r="AD219" s="2">
        <v>1113.9000000000001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1491.2+(113.5-456.3)+(-3.042048+(-0.23154--0.930852))+0-194.8--0.397391999999992</f>
        <v>951.65465600000005</v>
      </c>
      <c r="G220" s="3">
        <f>1495.6+(90.7-473.8)+(-1.525512+(-0.092514--0.483276))+0-197--0.200940000000031</f>
        <v>914.56619000000012</v>
      </c>
      <c r="H220" s="3">
        <f>1501.6+(55.3-465.8)+(1.531632+(0.056406-0.475116))+0-195.5-0.199410000000031</f>
        <v>896.51351199999988</v>
      </c>
      <c r="I220" s="3">
        <f>1501.7+(58.9-477.8)+(-3.829335+(-0.150195--1.21839))+0-201.9--0.514844999999971</f>
        <v>878.65370499999983</v>
      </c>
      <c r="J220" s="3">
        <f>1507.9+(55-484.9)+(-3.845145+(-0.14025--1.236495))+0-199.7--0.509234999999971</f>
        <v>876.0603349999999</v>
      </c>
      <c r="K220" s="3">
        <f>1509.7+(60.8-502.7)+(-2.309841+(-0.093024--0.769131))+0-193.8--0.296514000000011</f>
        <v>872.66278000000023</v>
      </c>
      <c r="L220" s="3">
        <f>1506.5+(81.7-522.1)+(-2.304945+(-0.125001--0.798813))+0-191.2--0.292536000000011</f>
        <v>873.56140299999981</v>
      </c>
      <c r="M220" s="3">
        <f>1519+(98.7-508.3)+(2.32407+(0.151011-0.777699))+0-192.2-0.294066000000011</f>
        <v>918.60331600000006</v>
      </c>
      <c r="N220" s="3">
        <f>1492.5+(117.5-442.5)+(-0.761175+(-0.059925--0.225675))+0-183.5--0.0935849999999814</f>
        <v>983.49815999999998</v>
      </c>
      <c r="O220" s="3">
        <f>1501.2+(165-459.3)+(-1.531224+(-0.1683--0.468486))+0-181.2--0.184824000000029</f>
        <v>1024.6537860000001</v>
      </c>
      <c r="P220" s="3">
        <f>1490.5+(212.6-482)+(-0.760155+(-0.108426--0.24582))+0-179.7--0.0916469999999818</f>
        <v>1040.8688859999997</v>
      </c>
      <c r="Q220" s="3">
        <f>1456.8+(229.2-444.5)+(-2.228904+(-0.350676--0.680085))+0-174--0.26622000000001</f>
        <v>1065.8667250000001</v>
      </c>
      <c r="R220" s="3">
        <f>1465.4+(237.9-450.1)+(-2.989416+(-0.485316--0.918204))+0-175.1--0.357203999999992</f>
        <v>1075.900676</v>
      </c>
      <c r="S220" s="3">
        <f>1467.8+(202.6-444.2)+(-0.748578+(-0.103326--0.226542))+0-163.7--0.0834869999999834</f>
        <v>1061.9581249999999</v>
      </c>
      <c r="T220" s="3">
        <f>1431.8+(173.1-397.9)+(-2.190654+(-0.264843--0.608787))+0-162.7--0.248931000000009</f>
        <v>1042.702221</v>
      </c>
      <c r="U220" s="3">
        <f>1327+(171.7-316.8)+(-1.35354+(-0.175134--0.323136))+0-169.9--0.173298000000027</f>
        <v>1010.9677600000002</v>
      </c>
      <c r="V220" s="3">
        <f>1331.9+(170.1-327.4)+(0+(0-0))+0-178.6-0</f>
        <v>996.00000000000011</v>
      </c>
      <c r="W220" s="3">
        <f>1320.8+(241.9-307.7)+(-1.347216+(-0.246738--0.313854))+0-179.4--0.182988000000029</f>
        <v>1074.502888</v>
      </c>
      <c r="X220" s="3">
        <f>1327.9+(273.5-314.6)+(-0.677229+(-0.139485--0.160446))+0-175.2--0.0893519999999822</f>
        <v>1111.0330840000001</v>
      </c>
      <c r="Y220" s="3">
        <f>1331.5+(301.6-347.9)+(-2.71626+(-0.615264--0.709716))+0-174.7--0.356387999999992</f>
        <v>1108.2345799999998</v>
      </c>
      <c r="Z220" s="3">
        <f>1340.1+(293.9-363.7)+(-1.366902+(-0.299778--0.370974))+0-177.8--0.181356000000028</f>
        <v>1091.3856499999999</v>
      </c>
      <c r="AA220" s="3">
        <f>1349.2+(275.9-367.1)+(-2.064276+(-0.422127--0.561663))+0-171--0.26163000000001</f>
        <v>1085.33689</v>
      </c>
      <c r="AB220" s="3">
        <f>1357.1+(264-381.1)+(-2.076363+(-0.40392--0.583083))+0-171.1--0.26178300000001</f>
        <v>1067.2645829999999</v>
      </c>
      <c r="AC220" s="3">
        <f>1354+(224.3-373.1)+(-2.76216+(-0.457572--0.761124))+0-176.7--0.360467999999992</f>
        <v>1026.4018600000002</v>
      </c>
      <c r="AD220" s="2">
        <v>1093.4000000000001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1162.4+(366.6-365.1)+(-1.778472+(-0.560898--0.558603))+0-179.7--0.27494100000001</f>
        <v>982.69417400000009</v>
      </c>
      <c r="G221" s="3">
        <f>1151.6+(309.3-329.6)+(-2.93658+(-0.788715--0.84048))+0-180.6--0.460529999999974</f>
        <v>948.27571499999999</v>
      </c>
      <c r="H221" s="3">
        <f>1158+(217-272.6)+(0+(0-0))+0-181-0</f>
        <v>921.40000000000009</v>
      </c>
      <c r="I221" s="3">
        <f>1153.5+(212.6-280.2)+(-2.941425+(-0.54213--0.71451))+0-181--0.461549999999974</f>
        <v>902.59250500000007</v>
      </c>
      <c r="J221" s="3">
        <f>1156.7+(192.3-276.3)+(0.589917+(0.098073-0.140913))+0-178.3-0.0909329999999819</f>
        <v>894.85614400000009</v>
      </c>
      <c r="K221" s="3">
        <f>1161.9+(169.1-278.4)+(0+(0-0))+0-170.8-0</f>
        <v>881.80000000000018</v>
      </c>
      <c r="L221" s="3">
        <f>1160.7+(145.6-283.5)+(-1.183914+(-0.148512--0.28917))+0-164.6--0.167892000000026</f>
        <v>857.32463600000005</v>
      </c>
      <c r="M221" s="3">
        <f>1155.8+(190.9-298.3)+(-1.178916+(-0.194718--0.304266))+0-165.3--0.168606000000026</f>
        <v>882.19923800000004</v>
      </c>
      <c r="N221" s="3">
        <f>1149+(177.2-260.3)+(1.17198+(0.180744-0.265506))+0-164.9-0.168198000000026</f>
        <v>901.91901999999993</v>
      </c>
      <c r="O221" s="3">
        <f>1145+(215.7-260.2)+(0.58395+(0.110007-0.132702))+0-165.7-0.0845069999999832</f>
        <v>935.276748</v>
      </c>
      <c r="P221" s="3">
        <f>1134.3+(294.9-306.7)+(-2.313972+(-0.601596--0.625668))+0-159.9--0.326195999999993</f>
        <v>960.63629600000002</v>
      </c>
      <c r="Q221" s="3">
        <f>1128+(396.8-381.8)+(-0.57528+(-0.202368--0.194718))+0-158.5--0.0808349999999839</f>
        <v>983.99790499999995</v>
      </c>
      <c r="R221" s="3">
        <f>1121.4+(501.3-473.1)+(-1.715742+(-0.766989--0.723843))+0-156.9--0.240057000000009</f>
        <v>991.18116900000007</v>
      </c>
      <c r="S221" s="3">
        <f>1119.9+(529.8-500.9)+(-2.284596+(-1.080792--1.021836))+0-163.6--0.333743999999993</f>
        <v>983.19019200000014</v>
      </c>
      <c r="T221" s="3">
        <f>1119.5+(526.3-492.4)+(-2.28378+(-1.073652--1.004496))+0-175--0.356999999999992</f>
        <v>976.40406400000006</v>
      </c>
      <c r="U221" s="3">
        <f>1116.3+(457.7-443.4)+(-1.138626+(-0.466854--0.452268))+0-170.7--0.174114000000027</f>
        <v>958.92090199999996</v>
      </c>
      <c r="V221" s="3">
        <f>1109.5+(393-364.1)+(-0.565845+(-0.20043--0.185691))+0-174.5--0.0889949999999823</f>
        <v>963.408411</v>
      </c>
      <c r="W221" s="3">
        <f>1112.3+(470.1-360.8)+(-1.701819+(-0.719253--0.552024))+0-181.1--0.27708300000001</f>
        <v>1038.9080349999999</v>
      </c>
      <c r="X221" s="3">
        <f>1125.9+(524-380.1)+(-0.574209+(-0.26724--0.193851))+0-185.7--0.0947069999999812</f>
        <v>1083.5471090000001</v>
      </c>
      <c r="Y221" s="3">
        <f>1128.7+(553.8-405.9)+(-2.302548+(-1.129752--0.828036))+0-185--0.377399999999992</f>
        <v>1089.3731359999999</v>
      </c>
      <c r="Z221" s="3">
        <f>1131.8+(636.4-494.3)+(0+(0-0))+0-181.5-0</f>
        <v>1092.3999999999999</v>
      </c>
      <c r="AA221" s="3">
        <f>1138.1+(650.8-530.6)+(0+(0-0))+0-187.9-0</f>
        <v>1070.3999999999996</v>
      </c>
      <c r="AB221" s="3">
        <f>1144.2+(648-569.8)+(-0.583542+(-0.33048--0.290598))+0-180.3--0.0919529999999817</f>
        <v>1041.5685290000001</v>
      </c>
      <c r="AC221" s="3">
        <f>1149.6+(614.6-581.9)+(-1.758888+(-0.940338--0.890307))+0-186.4--0.285192000000011</f>
        <v>994.37627299999997</v>
      </c>
      <c r="AD221" s="2">
        <v>1097.9000000000001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1150+(544.7-552.6)+(-1.173+(-0.555594--0.563652))+0-182.4--0.186048000000029</f>
        <v>958.72110599999985</v>
      </c>
      <c r="G222" s="3">
        <f>1155+(443.8-494.9)+(-1.1781+(-0.452676--0.504798))+0-182.8--0.186456000000029</f>
        <v>920.16047800000013</v>
      </c>
      <c r="H222" s="3">
        <f>1156+(363.7-441.6)+(0.58956+(0.185487-0.225216))+0-181.1-0.0923609999999816</f>
        <v>897.45746999999994</v>
      </c>
      <c r="I222" s="3">
        <f>1156.8+(306.4-398.5)+(-1.769904+(-0.468792--0.609705))+0-180.5--0.27616500000001</f>
        <v>882.84717399999977</v>
      </c>
      <c r="J222" s="3">
        <f>1159.5+(238.8-339)+(-0.591345+(-0.121788--0.17289))+0-177--0.090269999999982</f>
        <v>881.85002700000007</v>
      </c>
      <c r="K222" s="3">
        <f>1164.2+(186.9-317.9)+(-2.374968+(-0.381276--0.648516))+0-175.2--0.357407999999992</f>
        <v>856.24968000000001</v>
      </c>
      <c r="L222" s="3">
        <f>1155.6+(190.7-298.3)+(-0.589356+(-0.097257--0.152133))+0-174--0.0887399999999823</f>
        <v>873.55426</v>
      </c>
      <c r="M222" s="3">
        <f>1148.9+(232.2-283.6)+(0+(0-0))+0-178.4-0</f>
        <v>919.1</v>
      </c>
      <c r="N222" s="3">
        <f>1140.5+(301.4-285.6)+(0+(0-0))+0-163.5-0</f>
        <v>992.8</v>
      </c>
      <c r="O222" s="3">
        <f>1144.9+(360.5-324.4)+(-2.335596+(-0.73542--0.661776))+0-147.9--0.301715999999994</f>
        <v>1030.9924759999999</v>
      </c>
      <c r="P222" s="3">
        <f>1010+(503.5-300)+(2.0604+(1.02714-0.612))+0-144.3-0.294371999999994</f>
        <v>1071.3811679999999</v>
      </c>
      <c r="Q222" s="3">
        <f>877.7+(716.7-348.2)+(0.447627+(0.365517-0.177582))+0-149.5-0.0762449999999848</f>
        <v>1097.259317</v>
      </c>
      <c r="R222" s="3">
        <f>895.8+(799.4-439)+(-2.28429+(-2.03847--1.11945))+0-153.9--0.392444999999978</f>
        <v>1099.4891349999996</v>
      </c>
      <c r="S222" s="3">
        <f>912+(817.3-469.4)+(0.93024+(0.833646-0.478788))+0-160.7-0.163914000000026</f>
        <v>1100.3211840000001</v>
      </c>
      <c r="T222" s="3">
        <f>1104.8+(608.8-473.9)+(0+(0-0))+0-161.7-0</f>
        <v>1077.9999999999998</v>
      </c>
      <c r="U222" s="3">
        <f>1120.9+(538-447.8)+(-1.143318+(-0.54876--0.456756))+0-159.2--0.162384000000025</f>
        <v>1050.8270620000001</v>
      </c>
      <c r="V222" s="3">
        <f>1120.2+(392.8-316.7)+(1.142604+(0.400656-0.323034))+0-157.6-0.160752000000025</f>
        <v>1039.7594740000002</v>
      </c>
      <c r="W222" s="3">
        <f>1096+(574.7-380.3)+(-1.67688+(-0.879291--0.581859))+0-165.5--0.25321500000001</f>
        <v>1123.178903</v>
      </c>
      <c r="X222" s="3">
        <f>1137.4+(638-447)+(-2.90037+(-1.6269--1.13985))+0-164.8--0.420239999999976</f>
        <v>1160.63282</v>
      </c>
      <c r="Y222" s="3">
        <f>1074.8+(772.1-516.6)+(-2.74074+(-1.968855--1.31733))+0-164.4--0.419219999999976</f>
        <v>1162.9269549999999</v>
      </c>
      <c r="Z222" s="3">
        <f>1014.7+(841.9-549.4)+(-1.552491+(-1.288107--0.840582))+0-166.3--0.25443900000001</f>
        <v>1139.1544230000002</v>
      </c>
      <c r="AA222" s="3">
        <f>1072.8+(803.1-570.4)+(-1.641384+(-1.228743--0.872712))+0-167.2--0.25581600000001</f>
        <v>1136.558401</v>
      </c>
      <c r="AB222" s="3">
        <f>1126.5+(738.8-589.8)+(-1.14903+(-0.753576--0.601596))+0-168.9--0.172278000000027</f>
        <v>1105.471268</v>
      </c>
      <c r="AC222" s="3">
        <f>1163.5+(628.1-563.7)+(-1.18677+(-0.640662--0.574974))+0-172--0.175440000000027</f>
        <v>1054.8229820000001</v>
      </c>
      <c r="AD222" s="2">
        <v>1144.8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1286.9+(462.3-565.8)+(0+(0-0))+0-178.1-0</f>
        <v>1005.3000000000001</v>
      </c>
      <c r="G223" s="3">
        <f>1295.8+(370.8-522.9)+(-1.982574+(-0.567324--0.800037))+0-177.5--0.27157500000001</f>
        <v>964.72171400000002</v>
      </c>
      <c r="H223" s="3">
        <f>1301.9+(312.8-494.4)+(-3.319845+(-0.79764--1.26072))+0-180.7--0.460784999999974</f>
        <v>937.20402000000013</v>
      </c>
      <c r="I223" s="3">
        <f>1304+(281.4-474.3)+(0.66504+(0.143514-0.241893))+0-180.8-0.0922079999999817</f>
        <v>930.77445299999999</v>
      </c>
      <c r="J223" s="3">
        <f>1309.2+(274.1-474.9)+(0+(0-0))+0-183.6-0</f>
        <v>924.80000000000007</v>
      </c>
      <c r="K223" s="3">
        <f>1315.4+(217.8-443.4)+(0+(0-0))+0-182-0</f>
        <v>907.80000000000018</v>
      </c>
      <c r="L223" s="3">
        <f>1321.9+(180-427.1)+(0+(0-0))+0-174.5-0</f>
        <v>900.30000000000018</v>
      </c>
      <c r="M223" s="3">
        <f>1315.9+(196.8-397.4)+(-1.342218+(-0.200736--0.405348))+0-183.2--0.186864000000029</f>
        <v>931.14925800000015</v>
      </c>
      <c r="N223" s="3">
        <f>1303.6+(269.6-397.6)+(0.664836+(0.137496-0.202776))+0-183.2-0.0934319999999814</f>
        <v>992.90612399999975</v>
      </c>
      <c r="O223" s="3">
        <f>1294.8+(268.7-361.6)+(-2.641392+(-0.548148--0.737664))+0-180.8--0.368831999999992</f>
        <v>1019.0169559999998</v>
      </c>
      <c r="P223" s="3">
        <f>1271.5+(296.8-350.2)+(0+(0-0))+0-169.8-0</f>
        <v>1048.3</v>
      </c>
      <c r="Q223" s="3">
        <f>1190+(378.5-337.9)+(-3.0345+(-0.965175--0.861645))+0-169--0.430949999999975</f>
        <v>1058.8929199999998</v>
      </c>
      <c r="R223" s="3">
        <f>1209.5+(425-385.3)+(-1.850535+(-0.65025--0.589509))+0-167.6--0.25642800000001</f>
        <v>1079.945152</v>
      </c>
      <c r="S223" s="3">
        <f>1250.5+(457.4-446.8)+(0.637755+(0.233274-0.227868))+0-177.7-0.090626999999982</f>
        <v>1083.9525339999998</v>
      </c>
      <c r="T223" s="3">
        <f>1267.3+(418.4-446.6)+(-1.292646+(-0.426768--0.455532))+0-178.2--0.181764000000028</f>
        <v>1059.8178819999998</v>
      </c>
      <c r="U223" s="3">
        <f>1263.5+(345.4-403.6)+(-0.644385+(-0.176154--0.205836))+0-172.3--0.0878729999999825</f>
        <v>1032.47317</v>
      </c>
      <c r="V223" s="3">
        <f>1264.9+(300.2-347.3)+(1.290198+(0.306204-0.354246))+0-177.4-0.180948000000028</f>
        <v>1041.4612080000002</v>
      </c>
      <c r="W223" s="3">
        <f>1269.8+(440.2-411)+(0+(0-0))+0-178.3-0</f>
        <v>1120.7</v>
      </c>
      <c r="X223" s="3">
        <f>1293.4+(481.9-436.8)+(-1.319268+(-0.491538--0.445536))+0-182.8--0.186456000000029</f>
        <v>1154.5211860000002</v>
      </c>
      <c r="Y223" s="3">
        <f>1292.9+(497.5-465.4)+(-1.978137+(-0.761175--0.712062))+0-178.1--0.27249300000001</f>
        <v>1145.1452429999999</v>
      </c>
      <c r="Z223" s="3">
        <f>1294+(500.6-492)+(-1.97982+(-0.765918--0.75276))+0-175.9--0.26912700000001</f>
        <v>1124.9761489999999</v>
      </c>
      <c r="AA223" s="3">
        <f>1296.9+(508.9-505.5)+(-1.322838+(-0.519078--0.51561))+0-185.5--0.18921000000003</f>
        <v>1113.6629040000003</v>
      </c>
      <c r="AB223" s="3">
        <f>1301.1+(460.2-496)+(-1.990683+(-0.704106--0.75888))+0-189.4--0.289782000000011</f>
        <v>1074.2538729999999</v>
      </c>
      <c r="AC223" s="3">
        <f>1302.4+(388.4-483.8)+(-3.32112+(-0.99042--1.23369))+0-184--0.469199999999973</f>
        <v>1020.3913500000001</v>
      </c>
      <c r="AD223" s="2">
        <v>1137.3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1297.5+(354.1-477)+(-0.661725+(-0.180591--0.24327))+0-189.7--0.0967469999999808</f>
        <v>984.39770099999976</v>
      </c>
      <c r="G224" s="3">
        <f>1297.8+(337.6-510)+(0+(0-0))+0-183.1-0</f>
        <v>942.30000000000007</v>
      </c>
      <c r="H224" s="3">
        <f>1274.3+(299.5-475.7)+(1.949679+(0.458235-0.727821))+0-180.8-0.27662400000001</f>
        <v>918.70346899999993</v>
      </c>
      <c r="I224" s="3">
        <f>1260.5+(296-463.8)+(1.28571+(0.30192-0.473076))+0-188.8-0.19257600000003</f>
        <v>904.82197800000006</v>
      </c>
      <c r="J224" s="3">
        <f>1263.5+(278.5-447.8)+(1.28877+(0.28407-0.456756))+0-189.9-0.19369800000003</f>
        <v>905.22238600000003</v>
      </c>
      <c r="K224" s="3">
        <f>1267.2+(241.2-420.6)+(-0.646272+(-0.123012--0.214506))+0-187.6--0.095675999999981</f>
        <v>899.74089800000002</v>
      </c>
      <c r="L224" s="3">
        <f>1269.9+(202.9-388.3)+(-0.647649+(-0.103479--0.198033))+0-180.2--0.0919019999999817</f>
        <v>903.83880699999997</v>
      </c>
      <c r="M224" s="3">
        <f>1274+(207.2-360)+(-2.59896+(-0.422688--0.7344))+0-181--0.369239999999992</f>
        <v>938.28199199999995</v>
      </c>
      <c r="N224" s="3">
        <f>1262+(271-358.4)+(1.93086+(0.41463-0.548352))+0-181.9-0.278307000000011</f>
        <v>994.2188309999998</v>
      </c>
      <c r="O224" s="3">
        <f>1261.5+(322.9-374.6)+(-2.57346+(-0.658716--0.764184))+0-187.8--0.383111999999992</f>
        <v>1019.9151199999999</v>
      </c>
      <c r="P224" s="3">
        <f>1253.2+(370.6-390.7)+(0+(0-0))+0-181.5-0</f>
        <v>1051.6000000000001</v>
      </c>
      <c r="Q224" s="3">
        <f>1243.4+(413.1-405.7)+(-0.634134+(-0.210681--0.206907))+0-183.2--0.0934319999999814</f>
        <v>1067.0555240000001</v>
      </c>
      <c r="R224" s="3">
        <f>1251.6+(404.6-410.7)+(-2.553264+(-0.825384--0.837828))+0-180.8--0.368831999999992</f>
        <v>1062.528012</v>
      </c>
      <c r="S224" s="3">
        <f>1250.8+(356.3-405.1)+(-1.275816+(-0.363426--0.413202))+0-185--0.18870000000003</f>
        <v>1015.96266</v>
      </c>
      <c r="T224" s="3">
        <f>1250.2+(276-380.2)+(-0.637602+(-0.14076--0.193902))+0-183.4--0.0935339999999814</f>
        <v>962.10907399999996</v>
      </c>
      <c r="U224" s="3">
        <f>1260.1+(231.8-378.7)+(-1.927953+(-0.354654--0.579411))+0-176.2--0.26958600000001</f>
        <v>935.56638999999984</v>
      </c>
      <c r="V224" s="3">
        <f>1268.6+(376.8-519.8)+(-4.528902+(-1.345176--1.855686))+0-181.2--0.646884000000003</f>
        <v>941.02849199999991</v>
      </c>
      <c r="W224" s="3">
        <f>1270.6+(490.7-563.9)+(-1.296012+(-0.500514--0.575178))+0-174.8--0.178296000000028</f>
        <v>1021.5569479999999</v>
      </c>
      <c r="X224" s="3">
        <f>1277.2+(544.7-601.9)+(-3.25686+(-1.388985--1.534845))+0-175.2--0.446759999999975</f>
        <v>1042.1357599999999</v>
      </c>
      <c r="Y224" s="3">
        <f>1278+(542.3-615.7)+(-0.65178+(-0.276573--0.314007))+0-185.1--0.0944009999999812</f>
        <v>1018.9800549999998</v>
      </c>
      <c r="Z224" s="3">
        <f>1285+(500.4-598.2)+(-4.58745+(-1.786428--2.135574))+0-195.3--0.697221000000003</f>
        <v>988.35891699999991</v>
      </c>
      <c r="AA224" s="3">
        <f>1285.3+(438.5-551.8)+(-2.622012+(-0.89454--1.125672))+0-203--0.414119999999991</f>
        <v>967.0232400000001</v>
      </c>
      <c r="AB224" s="3">
        <f>1289+(347.6-492.5)+(-3.28695+(-0.88638--1.255875))+0-197.4--0.503369999999971</f>
        <v>944.28591499999993</v>
      </c>
      <c r="AC224" s="3">
        <f>1293.2+(237.4-427.4)+(-3.29766+(-0.60537--1.08987))+0-199.9--0.509744999999971</f>
        <v>900.9965850000001</v>
      </c>
      <c r="AD224" s="2">
        <v>1022.6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1300.3+(166.9-393.5)+(-2.652612+(-0.340476--0.80274))+0-195.3--0.398411999999992</f>
        <v>876.60806400000001</v>
      </c>
      <c r="G225" s="3">
        <f>1306.5+(130.7-393.8)+(-2.66526+(-0.266628--0.803352))+0-190--0.387599999999992</f>
        <v>851.65906400000017</v>
      </c>
      <c r="H225" s="3">
        <f>1307.9+(129.4-414.9)+(-1.334058+(-0.131988--0.423198))+0-190.1--0.19390200000003</f>
        <v>831.451054</v>
      </c>
      <c r="I225" s="3">
        <f>1314.1+(151.9-441.2)+(-1.340382+(-0.154938--0.450024))+0-196.7--0.200634000000031</f>
        <v>827.25533799999994</v>
      </c>
      <c r="J225" s="3">
        <f>1279.1+(137.5-405.7)+(1.304682+(0.14025-0.413814))+0-197.3-0.201246000000031</f>
        <v>814.4298719999997</v>
      </c>
      <c r="K225" s="3">
        <f>1278.7+(185-454.1)+(1.304274+(0.1887-0.463182))+0-195.1-0.199002000000031</f>
        <v>815.33078999999998</v>
      </c>
      <c r="L225" s="3">
        <f>1280.3+(189.6-452.7)+(0+(0-0))+0-197.4-0</f>
        <v>819.8</v>
      </c>
      <c r="M225" s="3">
        <f>1284.2+(191.3-409.2)+(1.309884+(0.195126-0.417384))+0-182.7-0.186354000000029</f>
        <v>884.50127200000009</v>
      </c>
      <c r="N225" s="3">
        <f>1287.4+(312.7-468)+(-1.969722+(-0.478431--0.71604))+0-185.3--0.283509000000011</f>
        <v>945.35139600000014</v>
      </c>
      <c r="O225" s="3">
        <f>1292.3+(332.1-464.4)+(1.977219+(0.508113-0.710532))+0-185-0.283050000000011</f>
        <v>976.49174999999991</v>
      </c>
      <c r="P225" s="3">
        <f>1308.7+(373-492.8)+(-0.667437+(-0.19023--0.251328))+0-183.7--0.0936869999999814</f>
        <v>1004.687348</v>
      </c>
      <c r="Q225" s="3">
        <f>1297.9+(383-481.3)+(0+(0-0))+0-164.7-0</f>
        <v>1034.9000000000001</v>
      </c>
      <c r="R225" s="3">
        <f>1289.1+(421-521.5)+(-1.972323+(-0.64413--0.797895))+0-156.4--0.239292000000009</f>
        <v>1030.6207339999999</v>
      </c>
      <c r="S225" s="3">
        <f>1285.3+(391.7-492.9)+(0+(0-0))+0-165.1-0</f>
        <v>1018.9999999999999</v>
      </c>
      <c r="T225" s="3">
        <f>1290+(371.5-492)+(-1.3158+(-0.37893--0.50184))+0-175.1--0.178602000000028</f>
        <v>993.38571200000001</v>
      </c>
      <c r="U225" s="3">
        <f>1294.4+(343.6-473.3)+(-1.980432+(-0.525708--0.724149))+0-179--0.27387000000001</f>
        <v>984.19187899999997</v>
      </c>
      <c r="V225" s="3">
        <f>1303.6+(335.8-469.5)+(-1.329672+(-0.342516--0.47889))+0-179.2--0.182784000000029</f>
        <v>989.68948599999999</v>
      </c>
      <c r="W225" s="3">
        <f>1306.9+(429.8-484)+(1.333038+(0.438396-0.49368))+0-184.7-0.188394000000029</f>
        <v>1069.0893599999999</v>
      </c>
      <c r="X225" s="3">
        <f>1315.2+(419.5-477.4)+(-1.341504+(-0.42789--0.486948))+0-186.5--0.19023000000003</f>
        <v>1069.7077840000002</v>
      </c>
      <c r="Y225" s="3">
        <f>1328.8+(406.5-488)+(-3.38844+(-1.036575--1.2444))+0-182.6--0.465629999999974</f>
        <v>1061.985015</v>
      </c>
      <c r="Z225" s="3">
        <f>1339.9+(397.6-506.7)+(1.366698+(0.405552-0.516834))+0-185.7-0.18941400000003</f>
        <v>1046.1660020000002</v>
      </c>
      <c r="AA225" s="3">
        <f>1339.4+(390-511.9)+(-3.41547+(-0.9945--1.305345))+0-180.2--0.459509999999974</f>
        <v>1034.6548849999999</v>
      </c>
      <c r="AB225" s="3">
        <f>1302.3+(384.7-511.5)+(-0.664173+(-0.196197--0.260865))+0-179.6--0.0915959999999818</f>
        <v>995.39209100000005</v>
      </c>
      <c r="AC225" s="3">
        <f>1272.6+(348.9-490.7)+(-0.649026+(-0.177939--0.250257))+0-182.8--0.0932279999999815</f>
        <v>947.5165199999999</v>
      </c>
      <c r="AD225" s="2">
        <v>1049.6999999999998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1282.1+(274.2-475.4)+(-3.269355+(-0.69921--1.21227))+0-185.8--0.473789999999973</f>
        <v>892.81749500000001</v>
      </c>
      <c r="G226" s="3">
        <f>1284.8+(207.8-444.4)+(-0.655248+(-0.105978--0.226644))+0-182.9--0.0932789999999814</f>
        <v>864.85869700000001</v>
      </c>
      <c r="H226" s="3">
        <f>1290.4+(191.3-453.2)+(-2.632416+(-0.390252--0.924528))+0-176.5--0.360059999999992</f>
        <v>850.26191999999992</v>
      </c>
      <c r="I226" s="3">
        <f>1292.9+(143.7-416.3)+(-1.318758+(-0.146574--0.424626))+0-177.5--0.181050000000028</f>
        <v>841.9403440000001</v>
      </c>
      <c r="J226" s="3">
        <f>1298.5+(136.3-423.4)+(3.311175+(0.347565-1.07967))+0-174.4-0.444719999999975</f>
        <v>839.13435000000015</v>
      </c>
      <c r="K226" s="3">
        <f>1307.9+(126.4-422.2)+(1.334058+(0.128928-0.430644))+0-170.2-0.173604000000027</f>
        <v>842.75873799999999</v>
      </c>
      <c r="L226" s="3">
        <f>1310.3+(137.5-430)+(-0.668253+(-0.070125--0.2193))+0-165.8--0.0845579999999832</f>
        <v>851.56547999999998</v>
      </c>
      <c r="M226" s="3">
        <f>1307.7+(174.8-436.1)+(-2.000781+(-0.267444--0.667233))+0-172.9--0.26453700000001</f>
        <v>872.16354500000023</v>
      </c>
      <c r="N226" s="3">
        <f>1299.2+(175-380.5)+(-3.31296+(-0.44625--0.970275))+0-181.5--0.462824999999974</f>
        <v>909.87388999999996</v>
      </c>
      <c r="O226" s="3">
        <f>1288.3+(217.7-388.5)+(1.971099+(0.333081-0.594405))+0-168.4-0.25765200000001</f>
        <v>950.55212300000005</v>
      </c>
      <c r="P226" s="3">
        <f>1274.4+(248.3-380.6)+(1.299888+(0.253266-0.388212))+0-166.6-0.169932000000027</f>
        <v>976.49501000000021</v>
      </c>
      <c r="Q226" s="3">
        <f>1268.5+(305.1-411.5)+(0+(0-0))+0-161-0</f>
        <v>1001.0999999999999</v>
      </c>
      <c r="R226" s="3">
        <f>1264.7+(327.3-430.6)+(-1.934991+(-0.500769--0.658818))+0-161.7--0.247401000000009</f>
        <v>998.17045900000005</v>
      </c>
      <c r="S226" s="3">
        <f>1262.4+(281.2-375.7)+(-2.575296+(-0.573648--0.766428))+0-168.8--0.344351999999993</f>
        <v>997.0618360000002</v>
      </c>
      <c r="T226" s="3">
        <f>1243+(272.7-356.2)+(-0.63393+(-0.139077--0.181662))+0-170.3--0.0868529999999827</f>
        <v>988.69550800000002</v>
      </c>
      <c r="U226" s="3">
        <f>1080.2+(335.1-263.9)+(-2.75451+(-0.854505--0.672945))+0-168.3--0.429164999999976</f>
        <v>980.59309500000018</v>
      </c>
      <c r="V226" s="3">
        <f>1146.8+(323.4-300.8)+(-2.339472+(-0.659736--0.613632))+0-177.4--0.361895999999992</f>
        <v>989.97631999999999</v>
      </c>
      <c r="W226" s="3">
        <f>1270.1+(341.7-366)+(-0.647751+(-0.174267--0.18666))+0-180.7--0.0921569999999817</f>
        <v>1064.556799</v>
      </c>
      <c r="X226" s="3">
        <f>1296.4+(387.1-416.7)+(-1.322328+(-0.394842--0.425034))+0-186.1--0.18982200000003</f>
        <v>1079.5976860000003</v>
      </c>
      <c r="Y226" s="3">
        <f>1315.2+(377.1-437.4)+(-4.024512+(-1.153926--1.338444))+0-182--0.556920000000021</f>
        <v>1069.6169260000001</v>
      </c>
      <c r="Z226" s="3">
        <f>1322.9+(336.6-433.5)+(-4.048074+(-1.029996--1.32651))+0-181.9--0.556614000000021</f>
        <v>1040.9050540000001</v>
      </c>
      <c r="AA226" s="3">
        <f>1324.5+(302.9-426.9)+(-0.675495+(-0.154479--0.217719))+0-182.5--0.0930749999999815</f>
        <v>1017.48082</v>
      </c>
      <c r="AB226" s="3">
        <f>1327+(313-469.9)+(-2.70708+(-0.63852--0.958596))+0-181.2--0.369647999999992</f>
        <v>986.88264399999991</v>
      </c>
      <c r="AC226" s="3">
        <f>1330.8+(259.3-465.8)+(-2.714832+(-0.528972--0.950232))+0-182--0.371279999999992</f>
        <v>940.37770799999987</v>
      </c>
      <c r="AD226" s="2">
        <v>1052.3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1332+(203.7-451.3)+(-0.67932+(-0.103887--0.230163))+0-183--0.0933299999999814</f>
        <v>900.94028600000013</v>
      </c>
      <c r="G227" s="3">
        <f>1336.3+(185.1-463.4)+(0+(0-0))+0-182.7-0</f>
        <v>875.3</v>
      </c>
      <c r="H227" s="3">
        <f>1319.5+(181.9-458.6)+(1.34589+(0.185538-0.467772))+0-182.4-0.186048000000029</f>
        <v>861.27760799999999</v>
      </c>
      <c r="I227" s="3">
        <f>1292.8+(199.4-469.7)+(2.637312+(0.406776-0.958188))+0-174.8-0.356591999999992</f>
        <v>849.42930800000011</v>
      </c>
      <c r="J227" s="3">
        <f>1301.1+(168.7-450.6)+(0+(0-0))+0-172.6-0</f>
        <v>846.5999999999998</v>
      </c>
      <c r="K227" s="3">
        <f>1299.9+(173.5-451.8)+(1.988847+(0.265455-0.691254))+0-173.4-0.26530200000001</f>
        <v>849.49774600000012</v>
      </c>
      <c r="L227" s="3">
        <f>1300.6+(181.3-447.7)+(-3.31653+(-0.462315--1.141635))+0-169.7--0.432734999999975</f>
        <v>862.29552499999966</v>
      </c>
      <c r="M227" s="3">
        <f>1298.6+(195-431.4)+(1.324572+(0.1989-0.440028))+0-171-0.174420000000027</f>
        <v>892.10902399999986</v>
      </c>
      <c r="N227" s="3">
        <f>1284.6+(238.2-395.5)+(0+(0-0))+0-182.9-0</f>
        <v>944.4</v>
      </c>
      <c r="O227" s="3">
        <f>1272.9+(278.1-399.8)+(0+(0-0))+0-183.8-0</f>
        <v>967.40000000000009</v>
      </c>
      <c r="P227" s="3">
        <f>1260.1+(289.2-371.4)+(0.642651+(0.147492-0.189414))+0-187.6-0.095675999999981</f>
        <v>990.80505299999982</v>
      </c>
      <c r="Q227" s="3">
        <f>1256.4+(317.8-377.1)+(-1.922292+(-0.486234--0.576963))+0-188.4--0.288252000000011</f>
        <v>1007.1566890000003</v>
      </c>
      <c r="R227" s="3">
        <f>1251.1+(339.1-385.6)+(-3.190305+(-0.864705--0.98328))+0-186.3--0.475064999999973</f>
        <v>1015.703335</v>
      </c>
      <c r="S227" s="3">
        <f>1246.2+(305-370.6)+(-1.906686+(-0.46665--0.567018))+0-185.9--0.284427000000011</f>
        <v>993.17810900000006</v>
      </c>
      <c r="T227" s="3">
        <f>1244+(268.4-351.3)+(2.53776+(0.547536-0.716652))+0-188.7-0.384947999999992</f>
        <v>974.38369599999976</v>
      </c>
      <c r="U227" s="3">
        <f>1239.2+(267.1-355.4)+(-1.895976+(-0.408663--0.543762))+0-185.2--0.283356000000011</f>
        <v>964.22247900000013</v>
      </c>
      <c r="V227" s="3">
        <f>1240.3+(297.5-384.2)+(1.897659+(0.455175-0.587826))+0-189.4-0.289782000000011</f>
        <v>965.67522599999995</v>
      </c>
      <c r="W227" s="3">
        <f>1271.6+(367.3-400.1)+(-0.648516+(-0.187323--0.204051))+0-195.3--0.0996029999999802</f>
        <v>1042.967815</v>
      </c>
      <c r="X227" s="3">
        <f>1281.8+(368.8-399.9)+(-2.614872+(-0.752352--0.815796))+0-188--0.383519999999992</f>
        <v>1060.5320920000001</v>
      </c>
      <c r="Y227" s="3">
        <f>1293.1+(337-400.3)+(0.659481+(0.17187-0.204153))+0-180.9-0.0922589999999816</f>
        <v>1049.4349389999998</v>
      </c>
      <c r="Z227" s="3">
        <f>1300.8+(331.2-419)+(-1.990224+(-0.506736--0.64107))+0-188.7--0.288711000000011</f>
        <v>1022.7328209999999</v>
      </c>
      <c r="AA227" s="3">
        <f>1300.5+(286.4-392.3)+(-2.65302+(-0.584256--0.800292))+0-191.7--0.391067999999992</f>
        <v>1000.8540839999999</v>
      </c>
      <c r="AB227" s="3">
        <f>1308.6+(254.1-393)+(-1.334772+(-0.259182--0.40086))+0-189.1--0.19288200000003</f>
        <v>979.59978799999988</v>
      </c>
      <c r="AC227" s="3">
        <f>1314.2+(202.2-379.3)+(-2.010726+(-0.309366--0.580329))+0-186.8--0.285804000000011</f>
        <v>948.8460409999999</v>
      </c>
      <c r="AD227" s="2">
        <v>1041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1325.4+(144-370)+(-3.37977+(-0.3672--0.9435))+0-184.1--0.469454999999973</f>
        <v>912.96598499999993</v>
      </c>
      <c r="G228" s="3">
        <f>1333.7+(139.7-398.2)+(0+(0-0))+0-185.8-0</f>
        <v>889.40000000000009</v>
      </c>
      <c r="H228" s="3">
        <f>1331.8+(111.8-393.3)+(-3.39609+(-0.28509--1.002915))+0-185.9--0.474044999999973</f>
        <v>862.1957799999999</v>
      </c>
      <c r="I228" s="3">
        <f>1328.3+(97.4-389.5)+(-2.032299+(-0.149022--0.595935))+0-184.1--0.281673000000011</f>
        <v>850.79628699999978</v>
      </c>
      <c r="J228" s="3">
        <f>1331.2+(99.3-397)+(0+(0-0))+0-184.1-0</f>
        <v>849.4</v>
      </c>
      <c r="K228" s="3">
        <f>1331.9+(93.5-393)+(1.358538+(0.09537-0.40086))+0-183.1-0.186762000000029</f>
        <v>850.16628600000001</v>
      </c>
      <c r="L228" s="3">
        <f>1310.2+(105.6-394.2)+(-4.677414+(-0.376992--1.407294))+0-176.6--0.630462000000003</f>
        <v>841.98334999999997</v>
      </c>
      <c r="M228" s="3">
        <f>1287+(131.2-351.6)+(-1.96911+(-0.200736--0.537948))+0-179--0.27387000000001</f>
        <v>886.24197199999981</v>
      </c>
      <c r="N228" s="3">
        <f>1267.4+(149.2-308.8)+(0+(0-0))+0-181.3-0</f>
        <v>926.50000000000023</v>
      </c>
      <c r="O228" s="3">
        <f>1255+(173.1-300.4)+(1.2801+(0.176562-0.306408))+0-178.1-0.181662000000028</f>
        <v>950.56859199999985</v>
      </c>
      <c r="P228" s="3">
        <f>1270.5+(199.2-311.2)+(-1.943865+(-0.304776--0.476136))+0-177.1--0.27096300000001</f>
        <v>979.89845800000012</v>
      </c>
      <c r="Q228" s="3">
        <f>1255.1+(255.2-326)+(0.640101+(0.130152-0.16626))+0-184.2-0.0939419999999813</f>
        <v>1000.6100509999999</v>
      </c>
      <c r="R228" s="3">
        <f>1251.5+(290.1-357.2)+(-1.914795+(-0.443853--0.546516))+0-185.8--0.284274000000011</f>
        <v>997.0721420000001</v>
      </c>
      <c r="S228" s="3">
        <f>1250.2+(274.8-359.6)+(-0.637602+(-0.140148--0.183396))+0-185.6--0.0946559999999812</f>
        <v>979.30030199999999</v>
      </c>
      <c r="T228" s="3">
        <f>1257.5+(249.6-357.9)+(-2.5653+(-0.509184--0.730116))+0-186--0.379439999999992</f>
        <v>961.23507200000006</v>
      </c>
      <c r="U228" s="3">
        <f>1259.4+(222.7-339.7)+(-1.284588+(-0.227154--0.346494))+0-183.2--0.186864000000029</f>
        <v>958.22161600000004</v>
      </c>
      <c r="V228" s="3">
        <f>1264.3+(211.7-331.7)+(0+(0-0))+0-185.7-0</f>
        <v>958.59999999999991</v>
      </c>
      <c r="W228" s="3">
        <f>1274.9+(268.6-322)+(-0.650199+(-0.136986--0.16422))+0-184.5--0.0940949999999813</f>
        <v>1036.4711299999999</v>
      </c>
      <c r="X228" s="3">
        <f>1280.4+(269.5-329.4)+(-3.26502+(-0.687225--0.83997))+0-184.6--0.470729999999973</f>
        <v>1033.2584550000001</v>
      </c>
      <c r="Y228" s="3">
        <f>1259+(287.4-335.6)+(-2.56836+(-0.586296--0.684624))+0-188.7--0.384947999999992</f>
        <v>1020.014916</v>
      </c>
      <c r="Z228" s="3">
        <f>1258.5+(255.8-315.4)+(-1.28367+(-0.260916--0.321708))+0-191.6--0.195432000000031</f>
        <v>1006.272554</v>
      </c>
      <c r="AA228" s="3">
        <f>1260.4+(223.2-305.2)+(-1.285608+(-0.227664--0.311304))+0-192.4--0.196248000000031</f>
        <v>984.99428000000012</v>
      </c>
      <c r="AB228" s="3">
        <f>1256.2+(203.3-305.2)+(-3.20331+(-0.518415--0.77826))+0-187.7--0.478634999999973</f>
        <v>964.13517000000002</v>
      </c>
      <c r="AC228" s="3">
        <f>1260.4+(168.5-317.8)+(-3.856824+(-0.51561--0.972468))+0-183.4--0.561204000000021</f>
        <v>924.86123800000018</v>
      </c>
      <c r="AD228" s="2">
        <v>984.40000000000009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1275.9+(152.4-352.4)+(1.952127+(0.233172-0.539172))+0-178.4-0.27295200000001</f>
        <v>898.87317500000006</v>
      </c>
      <c r="G229" s="3">
        <f>1278.6+(151.7-384.1)+(-2.608344+(-0.309468--0.783564))+0-177.2--0.361487999999992</f>
        <v>867.22723999999971</v>
      </c>
      <c r="H229" s="3">
        <f>1276.3+(140.6-398.3)+(0.650913+(0.071706-0.203133))+0-172.7-0.0880769999999825</f>
        <v>846.33140900000001</v>
      </c>
      <c r="I229" s="3">
        <f>1213.1+(152-358)+(3.093405+(0.3876-0.9129))+0-177.4-0.452369999999974</f>
        <v>831.8157349999999</v>
      </c>
      <c r="J229" s="3">
        <f>1210.1+(163.7-363.6)+(-0.617151+(-0.083487--0.185436))+0-176.7--0.0901169999999821</f>
        <v>833.07491499999969</v>
      </c>
      <c r="K229" s="3">
        <f>1205.1+(169.8-361.5)+(-0.614601+(-0.086598--0.184365))+0-182.9--0.0932789999999814</f>
        <v>830.07644499999981</v>
      </c>
      <c r="L229" s="3">
        <f>1199.5+(160.7-358.1)+(-2.44698+(-0.327828--0.730524))+0-179.6--0.366383999999992</f>
        <v>820.82209999999998</v>
      </c>
      <c r="M229" s="3">
        <f>1224+(178.4-369.9)+(0.62424+(0.090984-0.188649))+0-183.5-0.0935849999999814</f>
        <v>849.43299000000013</v>
      </c>
      <c r="N229" s="3">
        <f>1224.4+(236.1-393.7)+(0+(0-0))+0-179.9-0</f>
        <v>886.9000000000002</v>
      </c>
      <c r="O229" s="3">
        <f>1236.4+(241.6-382)+(-0.630564+(-0.123216--0.19482))+0-179.9--0.0917489999999817</f>
        <v>915.63278899999989</v>
      </c>
      <c r="P229" s="3">
        <f>1246.2+(247.3-380)+(-2.542248+(-0.504492--0.7752))+0-174.5--0.355979999999992</f>
        <v>937.08444000000009</v>
      </c>
      <c r="Q229" s="3">
        <f>1273.3+(254.3-389.7)+(1.298766+(0.259386-0.397494))+0-183.3-0.186966000000029</f>
        <v>955.57369200000016</v>
      </c>
      <c r="R229" s="3">
        <f>1319.2+(242.1-417.6)+(-1.345584+(-0.246942--0.425952))+0-181.2--0.184824000000029</f>
        <v>961.51824999999997</v>
      </c>
      <c r="S229" s="3">
        <f>1318.6+(234.8-415.2)+(-2.017458+(-0.359244--0.635256))+0-183--0.279990000000011</f>
        <v>953.73854399999982</v>
      </c>
      <c r="T229" s="3">
        <f>1318.9+(234.4-421.8)+(0.672639+(0.119544-0.215118))+0-183.3-0.0934829999999814</f>
        <v>948.683582</v>
      </c>
      <c r="U229" s="3">
        <f>1269+(227.1-382)+(0.64719+(0.115821-0.19482))+0-183-0.0933299999999814</f>
        <v>931.57486099999994</v>
      </c>
      <c r="V229" s="3">
        <f>1287.2+(231.3-391.8)+(-1.312944+(-0.235926--0.399636))+0-187.6--0.19135200000003</f>
        <v>938.1421180000001</v>
      </c>
      <c r="W229" s="3">
        <f>1430.5+(267.6-484.3)+(-0.729555+(-0.136476--0.246993))+0-189.8--0.0967979999999807</f>
        <v>1023.47776</v>
      </c>
      <c r="X229" s="3">
        <f>1457.2+(300.1-533.7)+(-2.229516+(-0.459153--0.816561))+0-188.8--0.288864000000011</f>
        <v>1033.216756</v>
      </c>
      <c r="Y229" s="3">
        <f>1461.5+(306.4-552.8)+(-1.49073+(-0.312528--0.563856))+0-187.7--0.19145400000003</f>
        <v>1026.352052</v>
      </c>
      <c r="Z229" s="3">
        <f>1461.4+(293.1-561)+(-2.235942+(-0.448443--0.85833))+0-189.6--0.290088000000011</f>
        <v>1002.3640329999999</v>
      </c>
      <c r="AA229" s="3">
        <f>1465.2+(266.8-558.4)+(-0.747252+(-0.136068--0.284784))+0-189.3--0.0965429999999808</f>
        <v>983.79800700000021</v>
      </c>
      <c r="AB229" s="3">
        <f>1468.4+(227.1-552.6)+(-2.246652+(-0.347463--0.845478))+0-182.6--0.279378000000011</f>
        <v>958.83074100000022</v>
      </c>
      <c r="AC229" s="3">
        <f>1483.8+(177.2-553.1)+(-1.513476+(-0.180744--0.564162))+0-184.4--0.188088000000029</f>
        <v>922.55802999999992</v>
      </c>
      <c r="AD229" s="2">
        <v>1012.7000000000002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1483.8+(99.1-513.2)+(0+(0-0))+0-184.6-0</f>
        <v>885.0999999999998</v>
      </c>
      <c r="G230" s="3">
        <f>1486.3+(73.3-510.9)+(-1.516026+(-0.074766--0.521118))+0-182.2--0.185844000000029</f>
        <v>865.6161699999999</v>
      </c>
      <c r="H230" s="3">
        <f>1494.5+(56.4-528)+(-1.52439+(-0.057528--0.53856))+0-181--0.184620000000029</f>
        <v>841.04126199999996</v>
      </c>
      <c r="I230" s="3">
        <f>1486.3+(73.7-546.4)+(-2.274039+(-0.112761--0.835992))+0-176.6--0.27019800000001</f>
        <v>835.71938999999998</v>
      </c>
      <c r="J230" s="3">
        <f>1418.1+(63.9-485.7)+(1.446462+(0.065178-0.495414))+0-171.3-0.174726000000027</f>
        <v>825.84149999999988</v>
      </c>
      <c r="K230" s="3">
        <f>1410.4+(56.2-469.8)+(0.719304+(0.028662-0.239598))+0-166.7-0.0850169999999831</f>
        <v>830.52335100000016</v>
      </c>
      <c r="L230" s="3">
        <f>1406.5+(75.5-453.5)+(-2.151945+(-0.115515--0.693855))+0-176.2--0.26958600000001</f>
        <v>850.99598099999992</v>
      </c>
      <c r="M230" s="3">
        <f>1447.1+(139.2-489.5)+(1.476042+(0.141984-0.49929))+0-182.1-0.185742000000029</f>
        <v>915.63299399999983</v>
      </c>
      <c r="N230" s="3">
        <f>1445+(170.4-472.5)+(-0.73695+(-0.086904--0.240975))+0-181.8--0.0927179999999816</f>
        <v>960.60983900000008</v>
      </c>
      <c r="O230" s="3">
        <f>1430.4+(180-452.8)+(4.377024+(0.5508-1.385568))+0-170.5-0.52173000000002</f>
        <v>990.12052600000004</v>
      </c>
      <c r="P230" s="3">
        <f>1412.3+(182.3-437.5)+(-0.720273+(-0.092973--0.223125))+0-161.1--0.0821609999999837</f>
        <v>995.49203999999986</v>
      </c>
      <c r="Q230" s="3">
        <f>1406.6+(190.9-434.6)+(1.434732+(0.194718-0.443292))+0-153.4-0.156468000000024</f>
        <v>1010.5296899999998</v>
      </c>
      <c r="R230" s="3">
        <f>1424.3+(222.3-460.9)+(-1.452786+(-0.226746--0.470118))+0-155--0.158100000000025</f>
        <v>1029.6486860000002</v>
      </c>
      <c r="S230" s="3">
        <f>1422.1+(209.4-456.2)+(-1.450542+(-0.213588--0.465324))+0-161.3--0.164526000000026</f>
        <v>1012.9657199999999</v>
      </c>
      <c r="T230" s="3">
        <f>1421.7+(188.2-453)+(0.725067+(0.095982-0.23103))+0-156.5-0.0798149999999841</f>
        <v>1000.9102040000001</v>
      </c>
      <c r="U230" s="3">
        <f>1415.7+(168.4-439.9)+(-2.888028+(-0.343536--0.897396))+0-148.8--0.303551999999994</f>
        <v>993.36938399999997</v>
      </c>
      <c r="V230" s="3">
        <f>1418+(213.3-468.1)+(0.72318+(0.108783-0.238731))+0-158.7-0.0809369999999839</f>
        <v>1005.012295</v>
      </c>
      <c r="W230" s="3">
        <f>1479.4+(304.9-524)+(0+(0-0))+0-179.5-0</f>
        <v>1080.8000000000002</v>
      </c>
      <c r="X230" s="3">
        <f>1496.1+(301.2-523.4)+(-3.815055+(-0.76806--1.33467))+0-182.7--0.465884999999973</f>
        <v>1088.4174399999999</v>
      </c>
      <c r="Y230" s="3">
        <f>1501.5+(298.6-554.4)+(-0.765765+(-0.152286--0.282744))+0-177.5--0.090524999999982</f>
        <v>1067.6552180000001</v>
      </c>
      <c r="Z230" s="3">
        <f>1510.8+(275.9-567.1)+(-3.082032+(-0.562836--1.156884))+0-178.3--0.363731999999992</f>
        <v>1039.1757479999999</v>
      </c>
      <c r="AA230" s="3">
        <f>1523.3+(224.7-542.5)+(-4.661298+(-0.687582--1.66005))+0-180.8--0.553248000000021</f>
        <v>1021.564418</v>
      </c>
      <c r="AB230" s="3">
        <f>1529+(192.8-554.7)+(-3.89895+(-0.49164--1.414485))+0-178.3--0.454664999999974</f>
        <v>986.27855999999997</v>
      </c>
      <c r="AC230" s="3">
        <f>1536.8+(145-563.6)+(-3.135072+(-0.2958--1.149744))+0-180.3--0.367811999999992</f>
        <v>935.98668399999974</v>
      </c>
      <c r="AD230" s="2">
        <v>1091.0999999999999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1543.5+(72-542)+(0+(0-0))+0-180.5-0</f>
        <v>893</v>
      </c>
      <c r="G231" s="3">
        <f>1538.7+(59.7-542.8)+(-3.138948+(-0.121788--1.107312))+0-181.5--0.370259999999992</f>
        <v>872.31683600000008</v>
      </c>
      <c r="H231" s="3">
        <f>1550.2+(50.5-564.7)+(-0.790602+(-0.025755--0.287997))+0-180.5--0.0920549999999817</f>
        <v>855.06369499999994</v>
      </c>
      <c r="I231" s="3">
        <f>1555+(55.6-584)+(0+(0-0))+0-180-0</f>
        <v>846.59999999999991</v>
      </c>
      <c r="J231" s="3">
        <f>1558.3+(59.4-594.8)+(0.794733+(0.030294-0.303348))+0-182.5-0.0930749999999815</f>
        <v>840.82860399999993</v>
      </c>
      <c r="K231" s="3">
        <f>1565.7+(66.2-600.7)+(-0.798507+(-0.033762--0.306357))+0-186--0.0948599999999811</f>
        <v>844.76894799999991</v>
      </c>
      <c r="L231" s="3">
        <f>1541.4+(92.1-585.1)+(-0.786114+(-0.046971--0.298401))+0-182--0.0928199999999815</f>
        <v>865.95813600000008</v>
      </c>
      <c r="M231" s="3">
        <f>1535+(103.4-540.3)+(0+(0-0))+0-187.4-0</f>
        <v>910.69999999999993</v>
      </c>
      <c r="N231" s="3">
        <f>1532.9+(152-537)+(-0.781779+(-0.07752--0.27387))+0-186--0.0948599999999811</f>
        <v>961.40943100000004</v>
      </c>
      <c r="O231" s="3">
        <f>1506+(185.7-526.1)+(0.76806+(0.094707-0.268311))+0-183.2-0.0934319999999814</f>
        <v>982.90102399999989</v>
      </c>
      <c r="P231" s="3">
        <f>1321.7+(265.5-423)+(0+(0-0))+0-179.4-0</f>
        <v>984.80000000000007</v>
      </c>
      <c r="Q231" s="3">
        <f>1297.4+(269.4-384.5)+(-0.661674+(-0.137394--0.196095))+0-181.5--0.0925649999999816</f>
        <v>1000.2895920000002</v>
      </c>
      <c r="R231" s="3">
        <f>1295.6+(292.8-396.7)+(-2.643024+(-0.597312--0.809268))+0-183.1--0.373523999999992</f>
        <v>1006.5424559999997</v>
      </c>
      <c r="S231" s="3">
        <f>1282.6+(262.7-367.2)+(-1.962378+(-0.401931--0.561816))+0-187.9--0.287487000000011</f>
        <v>988.68499400000007</v>
      </c>
      <c r="T231" s="3">
        <f>1288.6+(239.7-354.3)+(-1.314372+(-0.244494--0.361386))+0-189.9--0.19369800000003</f>
        <v>983.09621800000002</v>
      </c>
      <c r="U231" s="3">
        <f>1292.3+(215.4-348.9)+(-1.977219+(-0.329562--0.533817))+0-180.8--0.27662400000001</f>
        <v>976.50365999999997</v>
      </c>
      <c r="V231" s="3">
        <f>1319.8+(250-406.6)+(1.346196+(0.255-0.414732))+0-182.2-0.185844000000029</f>
        <v>982.00061999999969</v>
      </c>
      <c r="W231" s="3">
        <f>1399.5+(320.5-458.4)+(-1.42749+(-0.32691--0.467568))+0-189.7--0.19349400000003</f>
        <v>1070.806662</v>
      </c>
      <c r="X231" s="3">
        <f>1514.4+(248.5-490.5)+(-3.86172+(-0.633675--1.250775))+0-188.9--0.481694999999973</f>
        <v>1080.737075</v>
      </c>
      <c r="Y231" s="3">
        <f>1528.7+(258.8-527.7)+(-1.559274+(-0.263976--0.538254))+0-188.1--0.19186200000003</f>
        <v>1070.6068660000001</v>
      </c>
      <c r="Z231" s="3">
        <f>1537.9+(284.3-584)+(0.784329+(0.144993-0.29784))+0-189.3-0.0965429999999808</f>
        <v>1049.4349390000002</v>
      </c>
      <c r="AA231" s="3">
        <f>1541.8+(261.8-594.1)+(-1.572636+(-0.267036--0.605982))+0-189.1--0.19288200000003</f>
        <v>1019.359192</v>
      </c>
      <c r="AB231" s="3">
        <f>1527.9+(211.6-577.6)+(-0.779229+(-0.107916--0.294576))+0-183.2--0.0934319999999814</f>
        <v>978.20086300000014</v>
      </c>
      <c r="AC231" s="3">
        <f>1524.4+(165.3-576.2)+(-2.332332+(-0.252909--0.881586))+0-185.5--0.283815000000011</f>
        <v>926.58015999999998</v>
      </c>
      <c r="AD231" s="2">
        <v>1061.4999999999998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1502.6+(128.4-551.9)+(-3.065304+(-0.261936--1.125876))+0-187.6--0.382703999999992</f>
        <v>889.68133999999986</v>
      </c>
      <c r="G232" s="3">
        <f>1448+(83.1-481.4)+(-2.95392+(-0.169524--0.982056))+0-187.4--0.382295999999992</f>
        <v>860.54090800000006</v>
      </c>
      <c r="H232" s="3">
        <f>1506.7+(53.5-524.9)+(0+(0-0))+0-184.5-0</f>
        <v>850.80000000000018</v>
      </c>
      <c r="I232" s="3">
        <f>1505.7+(48.5-533.2)+(-0.767907+(-0.024735--0.271932))+0-183.4--0.0935339999999814</f>
        <v>837.17282399999999</v>
      </c>
      <c r="J232" s="3">
        <f>1476.1+(60.1-518.7)+(0+(0-0))+0-181.2-0</f>
        <v>836.3</v>
      </c>
      <c r="K232" s="3">
        <f>1473.9+(71.7-519)+(0.751689+(0.036567-0.26469))+0-180.5-0.0920549999999817</f>
        <v>846.53151100000025</v>
      </c>
      <c r="L232" s="3">
        <f>1464.6+(104.7-526.4)+(-2.987784+(-0.213588--1.073856))+0-184--0.375359999999992</f>
        <v>857.14784399999985</v>
      </c>
      <c r="M232" s="3">
        <f>1473.1+(116.5-483.4)+(-2.253843+(-0.178245--0.739602))+0-188.1--0.287793000000011</f>
        <v>916.69530699999984</v>
      </c>
      <c r="N232" s="3">
        <f>1444.4+(167-451.6)+(-2.209932+(-0.25551--0.690948))+0-183.8--0.281214000000011</f>
        <v>974.5067200000002</v>
      </c>
      <c r="O232" s="3">
        <f>1488+(225.3-537.6)+(-0.75888+(-0.114903--0.274176))+0-181.7--0.0926669999999816</f>
        <v>993.4930599999999</v>
      </c>
      <c r="P232" s="3">
        <f>1482.2+(237.4-529.1)+(0+(0-0))+0-180.5-0</f>
        <v>1010</v>
      </c>
      <c r="Q232" s="3">
        <f>1507.1+(217.5-533)+(-1.537242+(-0.22185--0.54366))+0-183.4--0.187068000000029</f>
        <v>1007.171636</v>
      </c>
      <c r="R232" s="3">
        <f>1500.6+(178.6-486.7)+(-0.765306+(-0.091086--0.248217))+0-183.9--0.0937889999999813</f>
        <v>1008.085614</v>
      </c>
      <c r="S232" s="3">
        <f>1494.9+(154.7-479.5)+(3.049596+(0.315588-0.97818))+0-178.3-0.363731999999992</f>
        <v>993.82327200000009</v>
      </c>
      <c r="T232" s="3">
        <f>1488.1+(173.3-501.3)+(1.517862+(0.176766-0.511326))+0-180-0.183600000000029</f>
        <v>981.09970199999975</v>
      </c>
      <c r="U232" s="3">
        <f>1477.1+(199.2-496.6)+(-3.766605+(-0.50796--1.26633))+0-174.1--0.443954999999975</f>
        <v>1003.0357199999997</v>
      </c>
      <c r="V232" s="3">
        <f>1476.4+(221.6-518)+(2.258892+(0.339048-0.79254))+0-177.2-0.27111600000001</f>
        <v>1004.3342839999999</v>
      </c>
      <c r="W232" s="3">
        <f>1496.5+(295.5-531.8)+(-1.52643+(-0.30141--0.542436))+0-186.4--0.19012800000003</f>
        <v>1072.7047239999999</v>
      </c>
      <c r="X232" s="3">
        <f>1523.4+(266-533.7)+(-3.107736+(-0.54264--1.088748))+0-183.4--0.374135999999992</f>
        <v>1070.1125079999999</v>
      </c>
      <c r="Y232" s="3">
        <f>1499.3+(271.1-536.9)+(-4.587858+(-0.829566--1.642914))+0-180.8--0.553248000000021</f>
        <v>1049.478738</v>
      </c>
      <c r="Z232" s="3">
        <f>1490.9+(253.4-515.6)+(-4.562154+(-0.775404--1.577736))+0-184.8--0.565488000000021</f>
        <v>1040.7056660000001</v>
      </c>
      <c r="AA232" s="3">
        <f>1494.6+(220.2-504.7)+(-2.286738+(-0.336906--0.772191))+0-186.9--0.285957000000011</f>
        <v>1021.634504</v>
      </c>
      <c r="AB232" s="3">
        <f>1499.4+(187.8-512.6)+(0+(0-0))+0-183.9-0</f>
        <v>990.70000000000016</v>
      </c>
      <c r="AC232" s="3">
        <f>1501.2+(177.8-550.9)+(-3.062448+(-0.362712--1.123836))+0-185--0.377399999999992</f>
        <v>941.17607600000008</v>
      </c>
      <c r="AD232" s="2">
        <v>1072.6000000000001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1491.1+(147.3-551.9)+(-5.323227+(-0.525861--1.970283))+0-185.5--0.662235000000003</f>
        <v>897.78342999999995</v>
      </c>
      <c r="G233" s="3">
        <f>1493.5+(120.2-557)+(-4.57011+(-0.367812--1.70442))+0-182.4--0.558144000000021</f>
        <v>871.62464199999999</v>
      </c>
      <c r="H233" s="3">
        <f>1496.7+(103.9-566)+(-1.526634+(-0.105978--0.57732))+0-182.3--0.185946000000029</f>
        <v>851.430654</v>
      </c>
      <c r="I233" s="3">
        <f>1513.8+(96.8-590.5)+(0+(0-0))+0-183.3-0</f>
        <v>836.8</v>
      </c>
      <c r="J233" s="3">
        <f>1520.1+(90.2-589)+(1.550502+(0.092004-0.60078))+0-182.6-0.186252000000029</f>
        <v>839.55547399999989</v>
      </c>
      <c r="K233" s="3">
        <f>1516.7+(111.3-608.5)+(-0.773517+(-0.056763--0.310335))+0-181.9--0.0927689999999815</f>
        <v>837.17282399999999</v>
      </c>
      <c r="L233" s="3">
        <f>1513.1+(132.6-597.4)+(-1.543362+(-0.135252--0.609348))+0-180.5--0.184110000000029</f>
        <v>866.91484400000002</v>
      </c>
      <c r="M233" s="3">
        <f>1509.3+(150.6-575.1)+(-1.539486+(-0.153612--0.586602))+0-182.4--0.186048000000029</f>
        <v>901.4795519999999</v>
      </c>
      <c r="N233" s="3">
        <f>1484.1+(165.4-521.1)+(-1.513782+(-0.168708--0.531522))+0-177.6--0.181152000000028</f>
        <v>949.83018399999992</v>
      </c>
      <c r="O233" s="3">
        <f>1477.9+(173.9-506.2)+(2.261187+(0.266067-0.774486))+0-171.9-0.26300700000001</f>
        <v>975.1897610000002</v>
      </c>
      <c r="P233" s="3">
        <f>1465.8+(192.8-493.5)+(-2.990232+(-0.393312--1.00674))+0-171.8--0.350471999999993</f>
        <v>991.27366799999993</v>
      </c>
      <c r="Q233" s="3">
        <f>1459.1+(209.6-483.8)+(-2.976564+(-0.427584--0.986952))+0-177.2--0.361487999999992</f>
        <v>1005.6442919999997</v>
      </c>
      <c r="R233" s="3">
        <f>1459.1+(202.9-485.2)+(-1.488282+(-0.206958--0.494904))+0-181.4--0.185028000000029</f>
        <v>994.38469199999986</v>
      </c>
      <c r="S233" s="3">
        <f>1468.7+(181.8-475.1)+(-2.996148+(-0.370872--0.969204))+0-182.9--0.373115999999992</f>
        <v>990.47530000000017</v>
      </c>
      <c r="T233" s="3">
        <f>1469.7+(166.7-466.8)+(-1.499094+(-0.170034--0.476136))+0-178.8--0.182376000000029</f>
        <v>989.78938399999993</v>
      </c>
      <c r="U233" s="3">
        <f>1466.9+(160.6-445.2)+(-1.496238+(-0.163812--0.454104))+0-172.2--0.175644000000027</f>
        <v>1009.0696980000001</v>
      </c>
      <c r="V233" s="3">
        <f>1472.1+(170.7-484.3)+(0.750771+(0.087057-0.246993))+0-171.7-0.0875669999999826</f>
        <v>987.30326799999989</v>
      </c>
      <c r="W233" s="3">
        <f>1495.6+(275.5-533.8)+(1.525512+(0.28101-0.544476))+0-175.5-0.179010000000028</f>
        <v>1062.8830359999999</v>
      </c>
      <c r="X233" s="3">
        <f>1508.5+(295.7-548.7)+(-2.308005+(-0.452421--0.839511))+0-175.2--0.26805600000001</f>
        <v>1078.6471410000001</v>
      </c>
      <c r="Y233" s="3">
        <f>1521.7+(286.2-566)+(-3.880335+(-0.72981--1.4433))+0-181.3--0.462314999999974</f>
        <v>1057.8954700000002</v>
      </c>
      <c r="Z233" s="3">
        <f>1521.7+(285.2-574.1)+(0.776067+(0.145452-0.292791))+0-183.9-0.0937889999999813</f>
        <v>1049.4349389999998</v>
      </c>
      <c r="AA233" s="3">
        <f>1527.8+(245.8-564.1)+(-0.779178+(-0.125358--0.287691))+0-184.3--0.0939929999999813</f>
        <v>1024.677148</v>
      </c>
      <c r="AB233" s="3">
        <f>1528.5+(212.1-567.7)+(-3.11814+(-0.432684--1.158108))+0-182.5--0.372299999999992</f>
        <v>988.37958400000002</v>
      </c>
      <c r="AC233" s="3">
        <f>1528.5+(173.6-572.7)+(-2.338605+(-0.265608--0.876231))+0-180.5--0.27616500000001</f>
        <v>947.44818299999997</v>
      </c>
      <c r="AD233" s="2">
        <v>1083.2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1527+(111.3-558.2)+(-0.77877+(-0.056763--0.284682))+0-178.8--0.0911879999999819</f>
        <v>900.84033699999998</v>
      </c>
      <c r="G234" s="3">
        <f>1534.8+(103.9-584)+(-0.782748+(-0.052989--0.29784))+0-175.8--0.0896579999999822</f>
        <v>878.45176099999992</v>
      </c>
      <c r="H234" s="3">
        <f>1549.1+(81-592.9)+(-1.580082+(-0.08262--0.604758))+0-173.8--0.177276000000028</f>
        <v>862.51933199999996</v>
      </c>
      <c r="I234" s="3">
        <f>1555.1+(80.1-610.7)+(-0.793101+(-0.040851--0.311457))+0-171.2--0.0873119999999826</f>
        <v>852.86481700000002</v>
      </c>
      <c r="J234" s="3">
        <f>1558.9+(75.2-610.2)+(-3.975195+(-0.19176--1.55601))+0-171.8--0.438089999999975</f>
        <v>849.927145</v>
      </c>
      <c r="K234" s="3">
        <f>1566.2+(58.5-611.2)+(1.597524+(0.05967-0.623424))+0-170.1-0.173502000000027</f>
        <v>844.260268</v>
      </c>
      <c r="L234" s="3">
        <f>1574+(93.1-646.8)+(-4.81644+(-0.284886--1.979208))+0-174.2--0.53305200000002</f>
        <v>843.51093400000013</v>
      </c>
      <c r="M234" s="3">
        <f>1553.5+(118-605.3)+(0+(0-0))+0-175.3-0</f>
        <v>890.90000000000009</v>
      </c>
      <c r="N234" s="3">
        <f>1478.4+(150.3-493.3)+(-1.507968+(-0.153306--0.503166))+0-181.6--0.185232000000029</f>
        <v>952.82712400000003</v>
      </c>
      <c r="O234" s="3">
        <f>1449.9+(159.9-429.5)+(0.739449+(0.081549-0.219045))+0-183.9-0.0937889999999813</f>
        <v>996.90816400000028</v>
      </c>
      <c r="P234" s="3">
        <f>1437.1+(173.2-401)+(-1.465842+(-0.176664--0.40902))+0-180.8--0.184416000000029</f>
        <v>1027.45093</v>
      </c>
      <c r="Q234" s="3">
        <f>1426.3+(186.9-396.4)+(-1.454826+(-0.190638--0.404328))+0-182.4--0.186048000000029</f>
        <v>1033.3449119999998</v>
      </c>
      <c r="R234" s="3">
        <f>1412.4+(218.6-428.4)+(-3.60162+(-0.55743--1.09242))+0-182.7--0.465884999999973</f>
        <v>1017.299255</v>
      </c>
      <c r="S234" s="3">
        <f>1440.8+(197.3-450.2)+(-1.469616+(-0.201246--0.459204))+0-184.4--0.188088000000029</f>
        <v>1002.4764300000002</v>
      </c>
      <c r="T234" s="3">
        <f>1425.8+(179.4-438)+(0+(0-0))+0-183-0</f>
        <v>984.19999999999982</v>
      </c>
      <c r="U234" s="3">
        <f>1416.4+(178.9-451.4)+(-1.444728+(-0.182478--0.460428))+0-177--0.180540000000028</f>
        <v>965.91376200000013</v>
      </c>
      <c r="V234" s="3">
        <f>1429+(192-471.5)+(0+(0-0))+0-182.7-0</f>
        <v>966.8</v>
      </c>
      <c r="W234" s="3">
        <f>1469.2+(233.9-478.4)+(0.749292+(0.119289-0.243984))+0-182.9-0.0932789999999814</f>
        <v>1042.331318</v>
      </c>
      <c r="X234" s="3">
        <f>1498.5+(241-486.6)+(-4.58541+(-0.73746--1.488996))+0-190.7--0.583542000000022</f>
        <v>1058.9496680000002</v>
      </c>
      <c r="Y234" s="3">
        <f>1512.9+(231.9-511.2)+(-4.629474+(-0.709614--1.564272))+0-193.5--0.592110000000022</f>
        <v>1036.9172940000001</v>
      </c>
      <c r="Z234" s="3">
        <f>1520.8+(219-527.2)+(-2.326824+(-0.33507--0.806616))+0-192.9--0.295137000000011</f>
        <v>1018.1398589999999</v>
      </c>
      <c r="AA234" s="3">
        <f>1529.8+(211-534.4)+(-2.340594+(-0.32283--0.817632))+0-192.5--0.294525000000011</f>
        <v>1012.348733</v>
      </c>
      <c r="AB234" s="3">
        <f>1516.5+(196.6-541.5)+(-3.09366+(-0.401064--1.10466))+0-193.4--0.394535999999992</f>
        <v>976.20447200000001</v>
      </c>
      <c r="AC234" s="3">
        <f>1521.4+(182.4-569.4)+(-0.775914+(-0.093024--0.290394))+0-191.7--0.0977669999999806</f>
        <v>942.21922300000006</v>
      </c>
      <c r="AD234" s="2">
        <v>1044.8999999999999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1525.8+(148.3-570.6)+(-3.89079+(-0.378165--1.45503))+0-191.7--0.488834999999972</f>
        <v>909.47491000000002</v>
      </c>
      <c r="G235" s="3">
        <f>1524.8+(91.5-551.4)+(-1.555296+(-0.09333--0.562428))+0-188.5--0.19227000000003</f>
        <v>875.50607200000013</v>
      </c>
      <c r="H235" s="3">
        <f>1529.6+(76-558.5)+(-2.340288+(-0.11628--0.854505))+0-191.4--0.292842000000011</f>
        <v>854.39077899999995</v>
      </c>
      <c r="I235" s="3">
        <f>1523.7+(51.7-532.1)+(-0.777087+(-0.026367--0.271371))+0-191.3--0.0975629999999806</f>
        <v>851.56547999999998</v>
      </c>
      <c r="J235" s="3">
        <f>1530.7+(54.3-553.4)+(-0.780657+(-0.027693--0.282234))+0-188.9--0.0963389999999808</f>
        <v>842.2702230000001</v>
      </c>
      <c r="K235" s="3">
        <f>1531.9+(63.9-576.1)+(0.781269+(0.032589-0.293811))+0-183.8-0.0937379999999814</f>
        <v>836.32630900000004</v>
      </c>
      <c r="L235" s="3">
        <f>1536.4+(74.3-588.5)+(-1.567128+(-0.075786--0.60027))+0-186.7--0.19043400000003</f>
        <v>834.6477900000001</v>
      </c>
      <c r="M235" s="3">
        <f>1532.2+(99.2-559.1)+(0+(0-0))+0-181.9-0</f>
        <v>890.4</v>
      </c>
      <c r="N235" s="3">
        <f>1521.2+(120.1-537.2)+(-0.775812+(-0.061251--0.273972))+0-186.3--0.0950129999999811</f>
        <v>917.33192199999996</v>
      </c>
      <c r="O235" s="3">
        <f>1507.6+(132.9-501.8)+(2.306628+(0.203337-0.767754))+0-182.8-0.279684000000011</f>
        <v>957.36252699999989</v>
      </c>
      <c r="P235" s="3">
        <f>1490.1+(174.4-508.2)+(2.279853+(0.266832-0.777546))+0-177.4-0.27142200000001</f>
        <v>980.39771699999994</v>
      </c>
      <c r="Q235" s="3">
        <f>1480.9+(207.9-507.8)+(-2.265777+(-0.318087--0.776934))+0-189--0.289170000000011</f>
        <v>990.48224000000005</v>
      </c>
      <c r="R235" s="3">
        <f>1469.5+(196.4-493)+(-3.747225+(-0.50082--1.25715))+0-189.3--0.482714999999973</f>
        <v>981.09182000000021</v>
      </c>
      <c r="S235" s="3">
        <f>1467.8+(183.3-492.2)+(-3.74289+(-0.467415--1.25511))+0-189.3--0.482714999999973</f>
        <v>967.12752000000012</v>
      </c>
      <c r="T235" s="3">
        <f>1464.7+(164.5-492.7)+(-3.734985+(-0.419475--1.256385))+0-190.9--0.486794999999972</f>
        <v>943.18871999999988</v>
      </c>
      <c r="U235" s="3">
        <f>1472.8+(158.9-503.2)+(-3.004512+(-0.324156--1.026528))+0-186.8--0.381071999999992</f>
        <v>939.77893200000005</v>
      </c>
      <c r="V235" s="3">
        <f>1490.3+(163-501.8)+(-2.280159+(-0.24939--0.767754))+0-191.2--0.292536000000011</f>
        <v>958.8307410000001</v>
      </c>
      <c r="W235" s="3">
        <f>1502.7+(206.4-470.9)+(-1.532754+(-0.210528--0.480318))+0-192.9--0.196758000000031</f>
        <v>1044.233794</v>
      </c>
      <c r="X235" s="3">
        <f>1509.5+(227.6-492)+(-3.07938+(-0.464304--1.00368))+0-194.9--0.397595999999992</f>
        <v>1048.0575919999999</v>
      </c>
      <c r="Y235" s="3">
        <f>1517.3+(212-504)+(0+(0-0))+0-191.2-0</f>
        <v>1034.0999999999999</v>
      </c>
      <c r="Z235" s="3">
        <f>1524.8+(206.9-521.9)+(-1.555296+(-0.211038--0.532338))+0-194.5--0.198390000000031</f>
        <v>1014.264394</v>
      </c>
      <c r="AA235" s="3">
        <f>1533.5+(215-554.4)+(-1.56417+(-0.2193--0.565488))+0-201.5--0.205530000000032</f>
        <v>991.58754800000008</v>
      </c>
      <c r="AB235" s="3">
        <f>1541.6+(188-578.2)+(-3.144864+(-0.38352--1.179528))+0-195--0.397799999999991</f>
        <v>954.44894399999976</v>
      </c>
      <c r="AC235" s="3">
        <f>1526.8+(161.8-589.8)+(-3.89334+(-0.41259--1.50399))+0-193.2--0.492659999999972</f>
        <v>903.29071999999985</v>
      </c>
      <c r="AD235" s="2">
        <v>1029.5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1545.4+(123.6-602.6)+(-1.576308+(-0.126072--0.614652))+0-191.7--0.195534000000031</f>
        <v>873.80780600000014</v>
      </c>
      <c r="G236" s="3">
        <f>1554.6+(98.9-610.2)+(-3.171384+(-0.201756--1.244808))+0-193.6--0.394943999999992</f>
        <v>847.96661199999971</v>
      </c>
      <c r="H236" s="3">
        <f>1558.9+(70.2-604.1)+(-0.795039+(-0.035802--0.308091))+0-194.5--0.0991949999999803</f>
        <v>830.07644499999992</v>
      </c>
      <c r="I236" s="3">
        <f>1550.5+(66.9-593)+(-3.16302+(-0.136476--1.20972))+0-195.5--0.398819999999991</f>
        <v>827.20904400000006</v>
      </c>
      <c r="J236" s="3">
        <f>1555.3+(67.7-594)+(-3.966015+(-0.172635--1.5147))+0-194.8--0.496739999999972</f>
        <v>832.07279000000005</v>
      </c>
      <c r="K236" s="3">
        <f>1557.1+(86.6-610.6)+(3.176484+(0.176664-1.245624))+0-189.7-0.386987999999992</f>
        <v>845.1205359999999</v>
      </c>
      <c r="L236" s="3">
        <f>1561.4+(116.4-609.3)+(-2.388942+(-0.178092--0.932229))+0-190.6--0.291618000000011</f>
        <v>876.55681300000003</v>
      </c>
      <c r="M236" s="3">
        <f>1546.5+(123.5-571.8)+(-1.57743+(-0.12597--0.583236))+0-193.9--0.197778000000031</f>
        <v>903.37761400000022</v>
      </c>
      <c r="N236" s="3">
        <f>1538.2+(159.1-562.4)+(-2.353446+(-0.243423--0.860472))+0-196.6--0.300798000000011</f>
        <v>936.86440100000016</v>
      </c>
      <c r="O236" s="3">
        <f>1485.7+(160.5-485.9)+(0+(0-0))+0-196.1-0</f>
        <v>964.20000000000016</v>
      </c>
      <c r="P236" s="3">
        <f>1454+(175.6-449.7)+(0+(0-0))+0-194.3-0</f>
        <v>985.60000000000014</v>
      </c>
      <c r="Q236" s="3">
        <f>1437.9+(213.5-458.3)+(-2.933316+(-0.43554--0.934932))+0-190.5--0.388619999999992</f>
        <v>1000.5546960000001</v>
      </c>
      <c r="R236" s="3">
        <f>1477.4+(195.9-475.4)+(-4.520844+(-0.599454--1.454724))+0-190.3--0.582318000000022</f>
        <v>1004.516744</v>
      </c>
      <c r="S236" s="3">
        <f>1483.5+(171.9-466.7)+(-3.02634+(-0.350676--0.952068))+0-191.7--0.391067999999992</f>
        <v>994.96611999999993</v>
      </c>
      <c r="T236" s="3">
        <f>1482.8+(169.5-461.9)+(-2.268684+(-0.259335--0.706707))+0-193.5--0.296055000000011</f>
        <v>995.37474300000008</v>
      </c>
      <c r="U236" s="3">
        <f>1483.4+(165.7-476.6)+(-3.026136+(-0.338028--0.972264))+0-191.6--0.390863999999992</f>
        <v>978.89896399999986</v>
      </c>
      <c r="V236" s="3">
        <f>1485.9+(195.5-506.1)+(-1.515618+(-0.19941--0.516222))+0-190.4--0.19420800000003</f>
        <v>983.8954020000001</v>
      </c>
      <c r="W236" s="3">
        <f>1492.3+(275.5-503.8)+(-2.283219+(-0.421515--0.770814))+0-193.8--0.296514000000011</f>
        <v>1068.5625940000002</v>
      </c>
      <c r="X236" s="3">
        <f>1500.9+(294.7-525.3)+(-3.827295+(-0.751485--1.339515))+0-193.6--0.493679999999972</f>
        <v>1073.9544150000004</v>
      </c>
      <c r="Y236" s="3">
        <f>1511.9+(280.6-548.4)+(-2.313207+(-0.429318--0.839052))+0-193.9--0.296667000000011</f>
        <v>1048.593194</v>
      </c>
      <c r="Z236" s="3">
        <f>1524.7+(270.2-571.4)+(-1.555194+(-0.275604--0.582828))+0-195.5--0.199410000000031</f>
        <v>1026.95144</v>
      </c>
      <c r="AA236" s="3">
        <f>1538.6+(224.1-562.9)+(-3.92343+(-0.571455--1.435395))+0-193.3--0.492914999999972</f>
        <v>1003.9334249999998</v>
      </c>
      <c r="AB236" s="3">
        <f>1500.1+(202.7-546.6)+(0+(0-0))+0-189.4-0</f>
        <v>966.79999999999984</v>
      </c>
      <c r="AC236" s="3">
        <f>1536.2+(115.8-535.6)+(-3.91731+(-0.29529--1.36578))+0-191.8--0.489089999999972</f>
        <v>922.24227000000008</v>
      </c>
      <c r="AD236" s="2">
        <v>1071.5999999999999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1553.2+(75.9-547.4)+(-2.376396+(-0.116127--0.837522))+0-192--0.293760000000011</f>
        <v>888.33875899999998</v>
      </c>
      <c r="G237" s="3">
        <f>1557.3+(62.5-566.7)+(-1.588446+(-0.06375--0.578034))+0-191.2--0.19502400000003</f>
        <v>861.02086199999997</v>
      </c>
      <c r="H237" s="3">
        <f>1556.6+(61.1-588.6)+(-0.793866+(-0.031161--0.300186))+0-188.6--0.0961859999999809</f>
        <v>840.07134499999995</v>
      </c>
      <c r="I237" s="3">
        <f>1562.1+(53.9-605.3)+(0.796671+(0.027489-0.308703))+0-188.2-0.0959819999999809</f>
        <v>822.91947500000003</v>
      </c>
      <c r="J237" s="3">
        <f>1564.7+(60.6-610)+(-0.797997+(-0.030906--0.3111))+0-186.3--0.0950129999999811</f>
        <v>828.57721000000004</v>
      </c>
      <c r="K237" s="3">
        <f>1568.3+(77.4-627.3)+(2.399499+(0.118422-0.959769))+0-181.6-0.27784800000001</f>
        <v>838.08030399999984</v>
      </c>
      <c r="L237" s="3">
        <f>1572.5+(103.3-632.9)+(-3.2079+(-0.210732--1.291116))+0-177.6--0.362303999999992</f>
        <v>863.53478800000005</v>
      </c>
      <c r="M237" s="3">
        <f>1563+(119.6-596.5)+(0+(0-0))+0-174.3-0</f>
        <v>911.8</v>
      </c>
      <c r="N237" s="3">
        <f>1538.4+(179.5-591.7)+(0.784584+(0.091545-0.301767))+0-169.1-0.0862409999999828</f>
        <v>957.58812100000011</v>
      </c>
      <c r="O237" s="3">
        <f>1523+(205.7-573.2)+(3.10692+(0.419628-1.169328))+0-166.7-0.340067999999993</f>
        <v>990.81715200000008</v>
      </c>
      <c r="P237" s="3">
        <f>1510+(180.9-536.6)+(-0.7701+(-0.092259--0.273666))+0-163.2--0.0832319999999834</f>
        <v>990.59453899999994</v>
      </c>
      <c r="Q237" s="3">
        <f>1496.7+(202.9-520.9)+(-1.526634+(-0.206958--0.531318))+0-162.9--0.166158000000026</f>
        <v>1014.7638840000001</v>
      </c>
      <c r="R237" s="3">
        <f>1490.6+(227.9-542.4)+(-0.760206+(-0.116229--0.276624))+0-161.7--0.0824669999999836</f>
        <v>1013.8826559999998</v>
      </c>
      <c r="S237" s="3">
        <f>1476+(184.9-502.1)+(-1.50552+(-0.188598--0.512142))+0-163.5--0.166770000000026</f>
        <v>994.28479399999992</v>
      </c>
      <c r="T237" s="3">
        <f>1457.6+(171.9-476.8)+(1.486752+(0.175338-0.486336))+0-163.7-0.166974000000026</f>
        <v>990.00877999999989</v>
      </c>
      <c r="U237" s="3">
        <f>1470.9+(171.5-498.2)+(-2.250477+(-0.262395--0.762246))+0-161--0.246330000000009</f>
        <v>981.69570400000009</v>
      </c>
      <c r="V237" s="3">
        <f>1475.9+(219.8-529.6)+(-0.752709+(-0.112098--0.270096))+0-162.9--0.0830789999999835</f>
        <v>1002.6883680000002</v>
      </c>
      <c r="W237" s="3">
        <f>1493+(292.8-539.1)+(-0.76143+(-0.149328--0.274941))+0-167.2--0.085271999999983</f>
        <v>1078.9494549999999</v>
      </c>
      <c r="X237" s="3">
        <f>1481.9+(289.4-538)+(-2.267307+(-0.442782--0.82314))+0-170.4--0.26071200000001</f>
        <v>1061.2737630000001</v>
      </c>
      <c r="Y237" s="3">
        <f>1491.9+(276.5-554.1)+(-3.804345+(-0.705075--1.412955))+0-168.8--0.430439999999976</f>
        <v>1042.833975</v>
      </c>
      <c r="Z237" s="3">
        <f>1499+(255.6-561.4)+(-3.05796+(-0.521424--1.145256))+0-177.8--0.362711999999992</f>
        <v>1013.328584</v>
      </c>
      <c r="AA237" s="3">
        <f>1509.9+(233.2-568.1)+(-1.540098+(-0.237864--0.579462))+0-182.8--0.186456000000029</f>
        <v>991.1879560000001</v>
      </c>
      <c r="AB237" s="3">
        <f>1516+(197.8-570.7)+(-3.8658+(-0.50439--1.455285))+0-180.3--0.459764999999974</f>
        <v>960.34485999999981</v>
      </c>
      <c r="AC237" s="3">
        <f>1520+(132.6-566.1)+(-3.876+(-0.33813--1.443555))+0-178--0.453899999999974</f>
        <v>906.18332499999997</v>
      </c>
      <c r="AD237" s="2">
        <v>1084.4000000000001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1517.7+(90.9-554.2)+(-3.096108+(-0.185436--1.130568))+0-178.8--0.364751999999992</f>
        <v>873.81377600000019</v>
      </c>
      <c r="G238" s="3">
        <f>1515.4+(83.6-577.4)+(-0.772854+(-0.042636--0.294474))+0-179.1--0.0913409999999818</f>
        <v>842.07032500000003</v>
      </c>
      <c r="H238" s="3">
        <f>1513.4+(81.8-584.5)+(-1.543668+(-0.083436--0.59619))+0-178.9--0.182478000000029</f>
        <v>830.95156400000008</v>
      </c>
      <c r="I238" s="3">
        <f>1517.5+(82.4-603.6)+(-1.54785+(-0.084048--0.615672))+0-177.2--0.180744000000028</f>
        <v>818.26451799999995</v>
      </c>
      <c r="J238" s="3">
        <f>1520.4+(86.6-611.4)+(-2.326212+(-0.132498--0.935442))+0-176.1--0.26943300000001</f>
        <v>818.24616500000013</v>
      </c>
      <c r="K238" s="3">
        <f>1521.6+(104.5-627.8)+(0+(0-0))+0-176.8-0</f>
        <v>821.5</v>
      </c>
      <c r="L238" s="3">
        <f>1535.6+(122.4-641.7)+(-0.783156+(-0.062424--0.327267))+0-173--0.0882299999999824</f>
        <v>842.86991699999976</v>
      </c>
      <c r="M238" s="3">
        <f>1544.3+(134.1-608.1)+(-0.787593+(-0.068391--0.310131))+0-173.6--0.0885359999999824</f>
        <v>896.24268299999983</v>
      </c>
      <c r="N238" s="3">
        <f>1517.1+(163.7-568.7)+(-1.547442+(-0.166974--0.580074))+0-166.5--0.169830000000027</f>
        <v>944.6354879999999</v>
      </c>
      <c r="O238" s="3">
        <f>1514.4+(183.1-554.2)+(-0.772344+(-0.093381--0.282642))+0-158.3--0.0807329999999839</f>
        <v>984.49765000000025</v>
      </c>
      <c r="P238" s="3">
        <f>1494.7+(200-535.2)+(1.524594+(0.204-0.545904))+0-154.2-0.157284000000025</f>
        <v>1006.325406</v>
      </c>
      <c r="Q238" s="3">
        <f>1480.3+(232.3-527.5)+(-0.754953+(-0.118473--0.269025))+0-164.4--0.0838439999999833</f>
        <v>1020.1794429999999</v>
      </c>
      <c r="R238" s="3">
        <f>1471+(247.9-538.8)+(-3.00084+(-0.505716--1.099152))+0-169.7--0.346187999999993</f>
        <v>1008.3387839999998</v>
      </c>
      <c r="S238" s="3">
        <f>1466.6+(236.7-529.2)+(-2.243898+(-0.362151--0.809676))+0-172--0.26316000000001</f>
        <v>1000.566787</v>
      </c>
      <c r="T238" s="3">
        <f>1459+(200.7-488.6)+(0.74409+(0.102357-0.249186))+0-178.7-0.0911369999999819</f>
        <v>992.90612399999975</v>
      </c>
      <c r="U238" s="3">
        <f>1452+(187.1-471.1)+(-0.74052+(-0.095421--0.240261))+0-181.8--0.0927179999999816</f>
        <v>985.69703800000013</v>
      </c>
      <c r="V238" s="3">
        <f>1452.5+(211.4-477.3)+(2.222325+(0.323442-0.730269))+0-186-0.284580000000011</f>
        <v>1002.1309179999998</v>
      </c>
      <c r="W238" s="3">
        <f>1469.7+(290.2-498.2)+(-1.499094+(-0.296004--0.508164))+0-190.8--0.19461600000003</f>
        <v>1069.8076820000001</v>
      </c>
      <c r="X238" s="3">
        <f>1488.6+(272.5-511)+(-3.036744+(-0.5559--1.04244))+0-188.3--0.384131999999992</f>
        <v>1059.633928</v>
      </c>
      <c r="Y238" s="3">
        <f>1493.9+(270.2-523.1)+(-3.809445+(-0.68901--1.333905))+0-190.5--0.485774999999972</f>
        <v>1047.8212249999999</v>
      </c>
      <c r="Z238" s="3">
        <f>1502.2+(226.3-514.3)+(-2.298366+(-0.346239--0.786879))+0-192.9--0.295137000000011</f>
        <v>1019.7374110000001</v>
      </c>
      <c r="AA238" s="3">
        <f>1512.5+(202.2-508)+(-2.314125+(-0.309366--0.77724))+0-193.8--0.296514000000011</f>
        <v>1011.3502630000002</v>
      </c>
      <c r="AB238" s="3">
        <f>1517.4+(159.9-508.2)+(-0.773874+(-0.081549--0.259182))+0-190--0.0968999999999807</f>
        <v>978.60065900000018</v>
      </c>
      <c r="AC238" s="3">
        <f>1519.5+(123.5-520.9)+(-2.324835+(-0.188955--0.796977))+0-190.1--0.290853000000011</f>
        <v>930.57403999999985</v>
      </c>
      <c r="AD238" s="2">
        <v>1040.8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1515.3+(76.5-507)+(-0.772803+(-0.039015--0.25857))+0-192.4--0.0981239999999805</f>
        <v>891.94487600000002</v>
      </c>
      <c r="G239" s="3">
        <f>1516.5+(76.7-537.9)+(-1.54683+(-0.078234--0.548658))+0-188.2--0.19196400000003</f>
        <v>866.21555799999999</v>
      </c>
      <c r="H239" s="3">
        <f>1517.2+(65.8-555.8)+(0+(0-0))+0-188.9-0</f>
        <v>838.30000000000007</v>
      </c>
      <c r="I239" s="3">
        <f>1490.1+(68.5-536.7)+(-1.519902+(-0.06987--0.547434))+0-183.9--0.187578000000029</f>
        <v>837.14523999999994</v>
      </c>
      <c r="J239" s="3">
        <f>1470.6+(70.6-539.4)+(0+(0-0))+0-171.8-0</f>
        <v>830</v>
      </c>
      <c r="K239" s="3">
        <f>1475.7+(97-574.4)+(-1.505214+(-0.09894--0.585888))+0-166.9--0.170238000000027</f>
        <v>830.55197200000009</v>
      </c>
      <c r="L239" s="3">
        <f>1475.2+(125.7-582.1)+(-2.257056+(-0.192321--0.890613))+0-159.7--0.244341000000009</f>
        <v>857.78557699999999</v>
      </c>
      <c r="M239" s="3">
        <f>1461.2+(153.4-558.8)+(-1.490424+(-0.156468--0.569976))+0-158.8--0.161976000000025</f>
        <v>896.08506000000023</v>
      </c>
      <c r="N239" s="3">
        <f>1446.8+(161.1-497.5)+(-2.951472+(-0.328644--1.0149))+0-162.8--0.332111999999993</f>
        <v>945.66689600000007</v>
      </c>
      <c r="O239" s="3">
        <f>1438.2+(150.9-440.2)+(0+(0-0))+0-166.5-0</f>
        <v>982.40000000000009</v>
      </c>
      <c r="P239" s="3">
        <f>1427.9+(187-448.1)+(-1.456458+(-0.19074--0.457062))+0-175--0.178500000000028</f>
        <v>990.78836400000023</v>
      </c>
      <c r="Q239" s="3">
        <f>1414.3+(176.3-420.5)+(-0.721293+(-0.089913--0.214455))+0-162.1--0.0826709999999835</f>
        <v>1007.4859199999999</v>
      </c>
      <c r="R239" s="3">
        <f>1409.9+(217.5-447.2)+(-3.595245+(-0.554625--1.14036))+0-170.5--0.434774999999975</f>
        <v>1007.1252649999999</v>
      </c>
      <c r="S239" s="3">
        <f>1406.3+(223.2-457.5)+(-0.717213+(-0.113832--0.233325))+0-170.8--0.0871079999999827</f>
        <v>1000.689388</v>
      </c>
      <c r="T239" s="3">
        <f>1384+(221.6-443.7)+(-1.41168+(-0.226032--0.452574))+0-167.2--0.170544000000027</f>
        <v>993.68540600000006</v>
      </c>
      <c r="U239" s="3">
        <f>1389.8+(211.5-454)+(-1.417596+(-0.21573--0.46308))+0-168.4--0.171768000000027</f>
        <v>977.90152200000011</v>
      </c>
      <c r="V239" s="3">
        <f>1451.9+(228-507.7)+(-2.221407+(-0.34884--0.776781))+0-171.3--0.26208900000001</f>
        <v>999.36862300000007</v>
      </c>
      <c r="W239" s="3">
        <f>1470+(266.1-487.3)+(-1.4994+(-0.271422--0.497046))+0-175.8--0.179316000000028</f>
        <v>1071.90554</v>
      </c>
      <c r="X239" s="3">
        <f>1486.1+(271.7-501.5)+(-3.031644+(-0.554268--1.02306))+0-187.4--0.382295999999992</f>
        <v>1066.7194439999998</v>
      </c>
      <c r="Y239" s="3">
        <f>1487.8+(279-528.7)+(-3.035112+(-0.56916--1.078548))+0-187.9--0.383315999999992</f>
        <v>1048.0575919999997</v>
      </c>
      <c r="Z239" s="3">
        <f>1487.1+(266-539.5)+(-3.792105+(-0.6783--1.375725))+0-188.4--0.480419999999973</f>
        <v>1022.58574</v>
      </c>
      <c r="AA239" s="3">
        <f>1482.8+(258.7-538.8)+(-2.268684+(-0.395811--0.824364))+0-185.8--0.284274000000011</f>
        <v>1015.3441430000001</v>
      </c>
      <c r="AB239" s="3">
        <f>1485.2+(231.9-553.8)+(-3.78726+(-0.591345--1.41219))+0-184.7--0.470984999999973</f>
        <v>976.10456999999997</v>
      </c>
      <c r="AC239" s="3">
        <f>1482.3+(183.5-543.1)+(-3.023892+(-0.37434--1.107924))+0-188.3--0.384131999999992</f>
        <v>932.49382399999979</v>
      </c>
      <c r="AD239" s="2">
        <v>1047.9000000000001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1443.6+(150.3-517)+(-2.208708+(-0.229959--0.79101))+0-187.8--0.287334000000011</f>
        <v>887.73967699999992</v>
      </c>
      <c r="G240" s="3">
        <f>1275.7+(177.3-411.4)+(-1.951821+(-0.271269--0.629442))+0-183.2--0.280296000000011</f>
        <v>857.08664800000008</v>
      </c>
      <c r="H240" s="3">
        <f>1263.2+(164.9-404.9)+(-0.644232+(-0.084099--0.206499))+0-182.7--0.0931769999999815</f>
        <v>840.07134500000006</v>
      </c>
      <c r="I240" s="3">
        <f>1265.9+(157.1-405.1)+(-0.645609+(-0.080121--0.206601))+0-186.6--0.0951659999999811</f>
        <v>830.876037</v>
      </c>
      <c r="J240" s="3">
        <f>1246.7+(165.3-400.4)+(-1.271634+(-0.168606--0.408408))+0-181.9--0.185538000000029</f>
        <v>828.85370600000022</v>
      </c>
      <c r="K240" s="3">
        <f>1242.3+(172.9-392.4)+(1.900719+(0.264537-0.600372))+0-179-0.27387000000001</f>
        <v>845.09101399999986</v>
      </c>
      <c r="L240" s="3">
        <f>1244.4+(172.7-371.4)+(-0.634644+(-0.088077--0.189414))+0-173.8--0.0886379999999824</f>
        <v>871.45533100000011</v>
      </c>
      <c r="M240" s="3">
        <f>1257+(190.6-351.9)+(1.28214+(0.194412-0.358938))+0-177.5-0.181050000000028</f>
        <v>919.13656400000002</v>
      </c>
      <c r="N240" s="3">
        <f>1263.6+(243-372.4)+(1.288872+(0.24786-0.379848))+0-187.5-0.19125000000003</f>
        <v>947.66563399999973</v>
      </c>
      <c r="O240" s="3">
        <f>1249.5+(291.6-378.8)+(-1.27449+(-0.297432--0.386376))+0-194.7--0.198594000000031</f>
        <v>966.61304800000005</v>
      </c>
      <c r="P240" s="3">
        <f>1247.6+(311.4-373.9)+(-1.272552+(-0.317628--0.381378))+0-196--0.199920000000031</f>
        <v>988.09111799999982</v>
      </c>
      <c r="Q240" s="3">
        <f>1239.8+(332-331.1)+(1.264596+(0.33864-0.337722))+0-166-0.169320000000026</f>
        <v>1075.7961939999998</v>
      </c>
      <c r="R240" s="3">
        <f>1239.1+(327.1-385.4)+(-2.527764+(-0.667284--0.786216))+0-189.2--0.385967999999992</f>
        <v>989.57713599999988</v>
      </c>
      <c r="S240" s="3">
        <f>1242+(351.8-424.2)+(0+(0-0))+0-191-0</f>
        <v>978.59999999999991</v>
      </c>
      <c r="T240" s="3">
        <f>1239.3+(344.2-416.8)+(-0.632043+(-0.175542--0.212568))+0-196.7--0.10031699999998</f>
        <v>969.50529999999969</v>
      </c>
      <c r="U240" s="3">
        <f>1240.4+(335.6-410.3)+(0+(0-0))+0-193.8-0</f>
        <v>971.90000000000009</v>
      </c>
      <c r="V240" s="3">
        <f>1239.2+(351.8-404.7)+(0.631992+(0.179418-0.206397))+0-195.8-0.0998579999999801</f>
        <v>991.0051550000004</v>
      </c>
      <c r="W240" s="3">
        <f>1286.2+(434.5-447.9)+(0.655962+(0.221595-0.228429))+0-193.1-0.0984809999999804</f>
        <v>1080.2506470000003</v>
      </c>
      <c r="X240" s="3">
        <f>1301.4+(488.8-509.8)+(-3.982284+(-1.495728--1.559988))+0-192.4--0.588744000000022</f>
        <v>1084.6707200000001</v>
      </c>
      <c r="Y240" s="3">
        <f>1306.5+(474.7-526.8)+(-0.666315+(-0.242097--0.268668))+0-188.8--0.0962879999999808</f>
        <v>1065.056544</v>
      </c>
      <c r="Z240" s="3">
        <f>1318+(437.3-530.2)+(-2.68872+(-0.892092--1.081608))+0-192.2--0.392087999999992</f>
        <v>1030.792884</v>
      </c>
      <c r="AA240" s="3">
        <f>1322.3+(407-520.7)+(-2.023119+(-0.62271--0.796671))+0-187.6--0.287028000000011</f>
        <v>1019.4378699999999</v>
      </c>
      <c r="AB240" s="3">
        <f>1321.3+(382.3-533.6)+(-2.695452+(-0.779892--1.088544))+0-183.2--0.373727999999992</f>
        <v>984.78692799999999</v>
      </c>
      <c r="AC240" s="3">
        <f>1323.2+(360.2-545.9)+(-2.024496+(-0.551106--0.835227))+0-187.3--0.286569000000011</f>
        <v>948.74619399999995</v>
      </c>
      <c r="AD240" s="2">
        <v>1085.7000000000003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1327.3+(290.2-525.8)+(-3.384615+(-0.74001--1.34079))+0-186.9--0.476594999999973</f>
        <v>902.49276000000009</v>
      </c>
      <c r="G241" s="3">
        <f>1329.4+(185.5-458.5)+(-3.38997+(-0.473025--1.169175))+0-189.7--0.483734999999972</f>
        <v>864.48991500000011</v>
      </c>
      <c r="H241" s="3">
        <f>1311.9+(177.3-455.3)+(-2.007207+(-0.271269--0.696609))+0-185--0.283050000000011</f>
        <v>847.60118299999999</v>
      </c>
      <c r="I241" s="3">
        <f>1264.9+(177.3-422)+(0.645099+(0.090423-0.21522))+0-183.5-0.0935849999999814</f>
        <v>837.1267170000001</v>
      </c>
      <c r="J241" s="3">
        <f>1266.2+(165-415.8)+(0+(0-0))+0-180.2-0</f>
        <v>835.2</v>
      </c>
      <c r="K241" s="3">
        <f>1266+(209.7-455.5)+(0+(0-0))+0-181.8-0</f>
        <v>838.40000000000009</v>
      </c>
      <c r="L241" s="3">
        <f>1266.3+(267.1-509.2)+(-2.583252+(-0.544884--1.038768))+0-175--0.356999999999992</f>
        <v>847.46763199999998</v>
      </c>
      <c r="M241" s="3">
        <f>1275.5+(303.2-504.1)+(-1.30101+(-0.309264--0.514182))+0-179.6--0.183192000000029</f>
        <v>894.08709999999996</v>
      </c>
      <c r="N241" s="3">
        <f>1274.2+(258.1-401.2)+(1.299684+(0.263262-0.409224))+0-182.1-0.185742000000029</f>
        <v>949.96798000000013</v>
      </c>
      <c r="O241" s="3">
        <f>1268+(280.4-381.1)+(0+(0-0))+0-188.2-0</f>
        <v>979.09999999999991</v>
      </c>
      <c r="P241" s="3">
        <f>1259.9+(324.8-382.4)+(-1.927647+(-0.496944--0.585072))+0-186.6--0.285498000000011</f>
        <v>1014.145979</v>
      </c>
      <c r="Q241" s="3">
        <f>1249.4+(405-443.9)+(-2.548776+(-0.8262--0.905556))+0-185.8--0.379031999999992</f>
        <v>1022.6096120000001</v>
      </c>
      <c r="R241" s="3">
        <f>1175.4+(471.6-445)+(-1.798362+(-0.721548--0.68085))+0-184.1--0.281673000000011</f>
        <v>1016.3426129999999</v>
      </c>
      <c r="S241" s="3">
        <f>1199.6+(362.3-395)+(-2.447184+(-0.739092--0.8058))+0-185.1--0.377603999999992</f>
        <v>979.79712799999982</v>
      </c>
      <c r="T241" s="3">
        <f>1247.4+(295.8-395.3)+(1.272348+(0.301716-0.403206))+0-185.3-0.18900600000003</f>
        <v>963.58185200000003</v>
      </c>
      <c r="U241" s="3">
        <f>1248+(269.7-386.5)+(-1.90944+(-0.412641--0.591345))+0-186.8--0.285804000000011</f>
        <v>942.9550680000001</v>
      </c>
      <c r="V241" s="3">
        <f>1258.8+(323.8-414.6)+(0+(0-0))+0-198.7-0</f>
        <v>969.3</v>
      </c>
      <c r="W241" s="3">
        <f>1308.7+(426.5-509.5)+(-2.002311+(-0.652545--0.779535))+0-198.3--0.303399000000011</f>
        <v>1025.828078</v>
      </c>
      <c r="X241" s="3">
        <f>1332.9+(418.9-524.3)+(-1.359558+(-0.427278--0.534786))+0-200.3--0.204306000000032</f>
        <v>1026.1522560000001</v>
      </c>
      <c r="Y241" s="3">
        <f>1344+(412.3-567.1)+(0+(0-0))+0-200.4-0</f>
        <v>988.80000000000007</v>
      </c>
      <c r="Z241" s="3">
        <f>1349.1+(447.1-648.5)+(0+(0-0))+0-195.3-0</f>
        <v>952.39999999999986</v>
      </c>
      <c r="AA241" s="3">
        <f>1347+(430.5-641.6)+(-2.06091+(-0.658665--0.981648))+0-194.2--0.297126000000011</f>
        <v>940.25919900000019</v>
      </c>
      <c r="AB241" s="3">
        <f>1342+(366.8-591.2)+(0+(0-0))+0-194.1-0</f>
        <v>923.49999999999989</v>
      </c>
      <c r="AC241" s="3">
        <f>1327.3+(339.4-590.6)+(-2.707692+(-0.692376--1.204824))+0-192.8--0.393311999999992</f>
        <v>881.49806799999999</v>
      </c>
      <c r="AD241" s="2">
        <v>1020.3999999999999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1322.3+(285.6-571.4)+(-0.674373+(-0.145656--0.291414))+0-193.4--0.0986339999999804</f>
        <v>842.67001900000002</v>
      </c>
      <c r="G242" s="3">
        <f>1334.5+(224.7-551.5)+(-1.36119+(-0.229194--0.56253))+0-192--0.195840000000031</f>
        <v>814.86798599999997</v>
      </c>
      <c r="H242" s="3">
        <f>1330.8+(168.2-514.1)+(-3.39354+(-0.42891--1.310955))+0-187.9--0.479144999999973</f>
        <v>794.96764999999994</v>
      </c>
      <c r="I242" s="3">
        <f>1333.9+(140.6-514.2)+(-1.360578+(-0.143412--0.524484))+0-189.2--0.19298400000003</f>
        <v>770.31347800000003</v>
      </c>
      <c r="J242" s="3">
        <f>1312.4+(162-507.4)+(0+(0-0))+0-191.2-0</f>
        <v>775.80000000000018</v>
      </c>
      <c r="K242" s="3">
        <f>1303.6+(178.3-504.3)+(0+(0-0))+0-190.1-0</f>
        <v>787.49999999999989</v>
      </c>
      <c r="L242" s="3">
        <f>1299.6+(176.5-490.7)+(-3.31398+(-0.450075--1.251285))+0-188.6--0.480929999999973</f>
        <v>794.76815999999974</v>
      </c>
      <c r="M242" s="3">
        <f>1304.6+(170.8-449.6)+(-1.330692+(-0.174216--0.458592))+0-188.4--0.19216800000003</f>
        <v>836.54585200000008</v>
      </c>
      <c r="N242" s="3">
        <f>1308.9+(182.4-419.8)+(2.002617+(0.279072-0.642294))+0-187.6-0.287028000000011</f>
        <v>885.25236699999994</v>
      </c>
      <c r="O242" s="3">
        <f>1300.4+(228.6-430.4)+(-1.326408+(-0.233172--0.439008))+0-185.5--0.18921000000003</f>
        <v>912.1686380000001</v>
      </c>
      <c r="P242" s="3">
        <f>1293+(293-466.2)+(1.31886+(0.29886-0.475524))+0-189.6-0.19339200000003</f>
        <v>931.14880399999993</v>
      </c>
      <c r="Q242" s="3">
        <f>1269.8+(374.6-504.9)+(-3.23799+(-0.95523--1.287495))+0-186.4--0.475319999999973</f>
        <v>950.66959499999996</v>
      </c>
      <c r="R242" s="3">
        <f>1271.3+(349.6-500.5)+(-4.538541+(-1.248072--1.786785))+0-183.7--0.655809000000003</f>
        <v>933.35598100000004</v>
      </c>
      <c r="S242" s="3">
        <f>1275.2+(323.2-496)+(-1.951056+(-0.494496--0.75888))+0-180.8--0.27662400000001</f>
        <v>920.18995200000006</v>
      </c>
      <c r="T242" s="3">
        <f>1272.2+(314.3-485.3)+(-1.946466+(-0.480879--0.742509))+0-181.4--0.277542000000011</f>
        <v>918.3927060000002</v>
      </c>
      <c r="U242" s="3">
        <f>1264.3+(259.3-443)+(0+(0-0))+0-172.5-0</f>
        <v>908.09999999999991</v>
      </c>
      <c r="V242" s="3">
        <f>1267.9+(249.3-415.6)+(-1.293258+(-0.254286--0.423912))+0-175.3--0.178806000000028</f>
        <v>925.35517400000015</v>
      </c>
      <c r="W242" s="3">
        <f>1297.8+(343-451.7)+(0+(0-0))+0-178.9-0</f>
        <v>1010.1999999999999</v>
      </c>
      <c r="X242" s="3">
        <f>1347.9+(325.9-484.9)+(-2.749716+(-0.664836--0.989196))+0-186.6--0.380663999999992</f>
        <v>1000.2553080000001</v>
      </c>
      <c r="Y242" s="3">
        <f>1355.9+(306.4-498.3)+(0+(0-0))+0-182.3-0</f>
        <v>981.7</v>
      </c>
      <c r="Z242" s="3">
        <f>1358+(335.9-549)+(-2.07774+(-0.513927--0.83997))+0-189.9--0.290547000000011</f>
        <v>953.53885000000025</v>
      </c>
      <c r="AA242" s="3">
        <f>1361.2+(376.7-610.2)+(0+(0-0))+0-189.1-0</f>
        <v>938.6</v>
      </c>
      <c r="AB242" s="3">
        <f>1363.5+(369.5-638.5)+(-2.086155+(-0.565335--0.976905))+0-185.4--0.283662000000011</f>
        <v>907.70907700000009</v>
      </c>
      <c r="AC242" s="3">
        <f>1363.6+(350.6-654.1)+(-2.781744+(-0.715224--1.334364))+0-187--0.381479999999992</f>
        <v>871.31887599999982</v>
      </c>
      <c r="AD242" s="2">
        <v>993.6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1364.4+(271.4-629.4)+(-0.695844+(-0.138414--0.320994))+0-187.7--0.095726999999981</f>
        <v>818.28246300000012</v>
      </c>
      <c r="G243" s="3">
        <f>1367.2+(209.7-593.1)+(-1.394544+(-0.213894--0.604962))+0-186.8--0.19053600000003</f>
        <v>796.18705999999997</v>
      </c>
      <c r="H243" s="3">
        <f>1372.9+(162.2-566.6)+(-4.201074+(-0.496332--1.733796))+0-186.8--0.571608000000022</f>
        <v>779.307998</v>
      </c>
      <c r="I243" s="3">
        <f>1332.5+(158.3-545.4)+(1.35915+(0.161466-0.556308))+0-183.2-0.186864000000029</f>
        <v>762.97744400000011</v>
      </c>
      <c r="J243" s="3">
        <f>1329.6+(166.1-541)+(-1.356192+(-0.169422--0.55182))+0-187.5--0.19125000000003</f>
        <v>766.41745600000002</v>
      </c>
      <c r="K243" s="3">
        <f>1329.1+(200.8-558)+(-1.355682+(-0.204816--0.56916))+0-184.4--0.188088000000029</f>
        <v>786.69674999999984</v>
      </c>
      <c r="L243" s="3">
        <f>1322.9+(286.8-622.3)+(-3.373395+(-0.73134--1.586865))+0-179.7--0.458234999999974</f>
        <v>805.64036500000009</v>
      </c>
      <c r="M243" s="3">
        <f>1328+(261.6-549.9)+(-1.35456+(-0.266832--0.560898))+0-183.5--0.187170000000029</f>
        <v>855.32667600000002</v>
      </c>
      <c r="N243" s="3">
        <f>1242.6+(318.7-468.9)+(-1.901178+(-0.487611--0.717417))+0-179.9--0.27524700000001</f>
        <v>911.1038749999999</v>
      </c>
      <c r="O243" s="3">
        <f>1248.9+(366.9-521.3)+(-2.547756+(-0.748476--1.063452))+0-169.7--0.346187999999993</f>
        <v>922.91340799999989</v>
      </c>
      <c r="P243" s="3">
        <f>1248.4+(452.5-584.4)+(-0.636684+(-0.230775--0.298044))+0-174.2--0.0888419999999823</f>
        <v>941.81942700000002</v>
      </c>
      <c r="Q243" s="3">
        <f>1269+(467.8-593.8)+(-0.64719+(-0.238578--0.302838))+0-185.4--0.0945539999999812</f>
        <v>957.11162400000001</v>
      </c>
      <c r="R243" s="3">
        <f>1273.2+(469.4-603.3)+(-3.24666+(-1.19697--1.538415))+0-178.3--0.454664999999974</f>
        <v>958.54945000000021</v>
      </c>
      <c r="S243" s="3">
        <f>1264.6+(435.8-583.5)+(0+(0-0))+0-160.7-0</f>
        <v>956.19999999999982</v>
      </c>
      <c r="T243" s="3">
        <f>1262.5+(434.6-575.9)+(0+(0-0))+0-170.8-0</f>
        <v>950.40000000000009</v>
      </c>
      <c r="U243" s="3">
        <f>1262.8+(429.2-573.1)+(-0.644028+(-0.218892--0.292281))+0-181.5--0.0925649999999816</f>
        <v>936.92192599999987</v>
      </c>
      <c r="V243" s="3">
        <f>1263+(447.8-567.7)+(0+(0-0))+0-182.6-0</f>
        <v>960.49999999999989</v>
      </c>
      <c r="W243" s="3">
        <f>1273.4+(487.8-543.3)+(1.298868+(0.497556-0.554166))+0-175.9-0.179418000000028</f>
        <v>1043.0628400000001</v>
      </c>
      <c r="X243" s="3">
        <f>1267.4+(555.8-607.7)+(-3.23187+(-1.41729--1.549635))+0-185.2--0.472259999999973</f>
        <v>1027.6727349999999</v>
      </c>
      <c r="Y243" s="3">
        <f>1261.3+(543.7-612.3)+(-1.286526+(-0.554574--0.624546))+0-187.3--0.19104600000003</f>
        <v>1004.374492</v>
      </c>
      <c r="Z243" s="3">
        <f>1264.8+(513.2-608.6)+(-1.935144+(-0.785196--0.931158))+0-189.9--0.290547000000011</f>
        <v>978.00136500000019</v>
      </c>
      <c r="AA243" s="3">
        <f>1278.3+(485.7-616.5)+(-3.259665+(-1.238535--1.572075))+0-191--0.487049999999972</f>
        <v>954.060925</v>
      </c>
      <c r="AB243" s="3">
        <f>1298.6+(435.1-621.2)+(0.662286+(0.221901-0.316812))+0-188.8-0.0962879999999808</f>
        <v>924.17108700000017</v>
      </c>
      <c r="AC243" s="3">
        <f>1301.2+(379.5-616.5)+(-3.31806+(-0.967725--1.572075))+0-190.3--0.485264999999972</f>
        <v>871.67155500000013</v>
      </c>
      <c r="AD243" s="2">
        <v>1015.7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1303.7+(294.1-572.8)+(-1.994661+(-0.449973--0.876384))+0-189.4--0.289782000000011</f>
        <v>834.32153200000005</v>
      </c>
      <c r="G244" s="3">
        <f>1305.6+(237.1-537.2)+(-3.32928+(-0.604605--1.36986))+0-188.5--0.480674999999973</f>
        <v>814.91664999999989</v>
      </c>
      <c r="H244" s="3">
        <f>1256.8+(209-476.9)+(1.281936+(0.21318-0.486438))+0-188.9-0.19267800000003</f>
        <v>800.81600000000003</v>
      </c>
      <c r="I244" s="3">
        <f>1202+(204.4-452)+(0+(0-0))+0-184.9-0</f>
        <v>769.5</v>
      </c>
      <c r="J244" s="3">
        <f>1205.8+(209.8-461.9)+(0.614958+(0.106998-0.235569))+0-184.5-0.0940949999999813</f>
        <v>769.59229200000016</v>
      </c>
      <c r="K244" s="3">
        <f>1213.4+(217.4-446.6)+(-1.856502+(-0.332622--0.683298))+0-184.5--0.282285000000011</f>
        <v>798.47645900000009</v>
      </c>
      <c r="L244" s="3">
        <f>1214.3+(291-493.8)+(-0.619293+(-0.14841--0.251838))+0-183.1--0.0933809999999814</f>
        <v>827.97751600000004</v>
      </c>
      <c r="M244" s="3">
        <f>1211.3+(364.3-518.9)+(-1.853289+(-0.557379--0.793917))+0-184.4--0.282132000000011</f>
        <v>870.96538100000009</v>
      </c>
      <c r="N244" s="3">
        <f>1202.3+(395.1-491.3)+(-1.226346+(-0.403002--0.501126))+0-186.1--0.18982200000003</f>
        <v>919.06159999999988</v>
      </c>
      <c r="O244" s="3">
        <f>1198.8+(418.8-503.1)+(-1.222776+(-0.427176--0.513162))+0-182.5--0.186150000000029</f>
        <v>931.04935999999998</v>
      </c>
      <c r="P244" s="3">
        <f>1192.8+(441.8-509.8)+(-3.04164+(-1.12659--1.29999))+0-181.4--0.462569999999974</f>
        <v>940.99432999999999</v>
      </c>
      <c r="Q244" s="3">
        <f>1184.7+(475.7-522.6)+(-3.020985+(-1.213035--1.33263))+0-180.7--0.460784999999974</f>
        <v>954.6593949999999</v>
      </c>
      <c r="R244" s="3">
        <f>1176.9+(472-525.4)+(-1.800657+(-0.72216--0.803862))+0-175.3--0.26820900000001</f>
        <v>946.74925399999995</v>
      </c>
      <c r="S244" s="3">
        <f>1184.4+(436-512.1)+(-1.208088+(-0.44472--0.522342))+0-168.9--0.172278000000027</f>
        <v>938.44181200000014</v>
      </c>
      <c r="T244" s="3">
        <f>1215.7+(380.3-505.3)+(0.620007+(0.193953-0.257703))+0-169.8-0.0865979999999828</f>
        <v>921.36965900000007</v>
      </c>
      <c r="U244" s="3">
        <f>1252.9+(342.8-506.3)+(1.277958+(0.349656-0.516426))+0-162.9-0.166158000000026</f>
        <v>927.4450300000002</v>
      </c>
      <c r="V244" s="3">
        <f>1255.3+(426.6-544.7)+(0+(0-0))+0-169.9-0</f>
        <v>967.29999999999984</v>
      </c>
      <c r="W244" s="3">
        <f>1258.6+(570.4-612.9)+(-0.641886+(-0.290904--0.312579))+0-179.1--0.0913409999999818</f>
        <v>1036.4711300000001</v>
      </c>
      <c r="X244" s="3">
        <f>1273.6+(544.6-618)+(-0.649536+(-0.277746--0.31518))+0-182.8--0.0932279999999815</f>
        <v>1016.8811259999998</v>
      </c>
      <c r="Y244" s="3">
        <f>1285.8+(492.5-617.9)+(-0.655758+(-0.251175--0.315129))+0-179.9--0.0917489999999817</f>
        <v>979.99994500000014</v>
      </c>
      <c r="Z244" s="3">
        <f>1291.6+(420.6-591)+(-1.317432+(-0.429012--0.60282))+0-179.2--0.182784000000029</f>
        <v>941.03915999999981</v>
      </c>
      <c r="AA244" s="3">
        <f>1295.4+(409.8-596.9)+(-0.660654+(-0.208998--0.304419))+0-183.5--0.0935849999999814</f>
        <v>924.32835200000011</v>
      </c>
      <c r="AB244" s="3">
        <f>1296.4+(358.6-591.2)+(-3.30582+(-0.91443--1.50756))+0-176.4--0.449819999999974</f>
        <v>885.13713000000007</v>
      </c>
      <c r="AC244" s="3">
        <f>1312.2+(318.1-619.9)+(-2.007666+(-0.486693--0.948447))+0-169.5--0.25933500000001</f>
        <v>839.61342300000001</v>
      </c>
      <c r="AD244" s="2">
        <v>1020.6999999999999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1308.2+(200.3-543.4)+(-1.334364+(-0.204306--0.554268))+0-174.4--0.177888000000028</f>
        <v>789.89348600000017</v>
      </c>
      <c r="G245" s="3">
        <f>1310.6+(136.6-491.1)+(-3.34203+(-0.34833--1.252305))+0-173--0.441149999999975</f>
        <v>781.10309499999994</v>
      </c>
      <c r="H245" s="3">
        <f>1282.9+(129.4-476.7)+(0.654279+(0.065994-0.243117))+0-173.5-0.0884849999999824</f>
        <v>762.48867100000018</v>
      </c>
      <c r="I245" s="3">
        <f>1284.1+(137.4-482.3)+(-3.274455+(-0.35037--1.229865))+0-173.4--0.442169999999975</f>
        <v>763.8472099999999</v>
      </c>
      <c r="J245" s="3">
        <f>1283.2+(181.4-529.7)+(-0.654432+(-0.092514--0.270147))+0-173.8--0.0886379999999824</f>
        <v>760.71183899999983</v>
      </c>
      <c r="K245" s="3">
        <f>1287.1+(223.2-553.2)+(-0.656421+(-0.113832--0.282132))+0-174.7--0.0890969999999823</f>
        <v>782.00097600000004</v>
      </c>
      <c r="L245" s="3">
        <f>1287.2+(303.4-598.3)+(1.312944+(0.309468-0.610266))+0-179.2-0.182784000000029</f>
        <v>813.92936200000008</v>
      </c>
      <c r="M245" s="3">
        <f>1283.6+(274.4-514.7)+(0.654636+(0.139944-0.262497))+0-184.9-0.0942989999999812</f>
        <v>858.83778399999983</v>
      </c>
      <c r="N245" s="3">
        <f>1279+(328.4-519.9)+(0+(0-0))+0-186.6-0</f>
        <v>900.9</v>
      </c>
      <c r="O245" s="3">
        <f>1264.8+(375.3-530.2)+(-2.580192+(-0.765612--1.081608))+0-183.7--0.374747999999992</f>
        <v>924.31055199999969</v>
      </c>
      <c r="P245" s="3">
        <f>1250.5+(386.3-520.9)+(-2.55102+(-0.788052--1.062636))+0-180.3--0.367811999999992</f>
        <v>933.69137599999999</v>
      </c>
      <c r="Q245" s="3">
        <f>1248.7+(374.4-504.9)+(-0.636837+(-0.190944--0.257499))+0-177.5--0.090524999999982</f>
        <v>940.2202430000001</v>
      </c>
      <c r="R245" s="3">
        <f>1227.2+(421.4-502.1)+(-2.503488+(-0.859656--1.024284))+0-189.8--0.387191999999992</f>
        <v>954.748332</v>
      </c>
      <c r="S245" s="3">
        <f>1209.3+(395.9-458.6)+(-0.616743+(-0.201909--0.233886))+0-192.8--0.0983279999999804</f>
        <v>953.31356199999993</v>
      </c>
      <c r="T245" s="3">
        <f>1212+(317.1-416.7)+(-1.85436+(-0.485163--0.637551))+0-195.1--0.298503000000011</f>
        <v>915.89653099999998</v>
      </c>
      <c r="U245" s="3">
        <f>1214+(302.8-424.2)+(-0.61914+(-0.154428--0.216342))+0-180.3--0.0919529999999817</f>
        <v>911.83472700000004</v>
      </c>
      <c r="V245" s="3">
        <f>1217.7+(401.9-489.2)+(1.863081+(0.614907-0.748476))+0-181.1-0.27708300000001</f>
        <v>950.75242900000012</v>
      </c>
      <c r="W245" s="3">
        <f>1243+(571.3-595.9)+(-3.16965+(-1.456815--1.519545))+0-182--0.464099999999974</f>
        <v>1033.7571800000001</v>
      </c>
      <c r="X245" s="3">
        <f>1272.6+(521.3-576.6)+(-2.596104+(-1.063452--1.176264))+0-190.6--0.388823999999992</f>
        <v>1024.6055319999998</v>
      </c>
      <c r="Y245" s="3">
        <f>1282.8+(584.8-687.9)+(-3.27114+(-1.49124--1.754145))+0-190.3--0.485264999999972</f>
        <v>986.87702999999988</v>
      </c>
      <c r="Z245" s="3">
        <f>1241+(558.2-654.9)+(-2.53164+(-1.138728--1.335996))+0-188.3--0.384131999999992</f>
        <v>954.04976000000022</v>
      </c>
      <c r="AA245" s="3">
        <f>1238.9+(511.2-633.5)+(-0.631839+(-0.260712--0.323085))+0-176.2--0.0898619999999821</f>
        <v>939.9203960000001</v>
      </c>
      <c r="AB245" s="3">
        <f>1238.6+(488.7-632.1)+(-1.895058+(-0.747711--0.967113))+0-186.8--0.285804000000011</f>
        <v>907.01014799999996</v>
      </c>
      <c r="AC245" s="3">
        <f>1244+(448.3-648.9)+(-2.53776+(-0.914532--1.323756))+0-183.5--0.374339999999992</f>
        <v>858.14580400000011</v>
      </c>
      <c r="AD245" s="2">
        <v>1012.1999999999999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1242.9+(371.9-623.7)+(1.267758+(0.379338-0.636174))+0-181.5-0.185130000000029</f>
        <v>810.425792</v>
      </c>
      <c r="G246" s="3">
        <f>1243.4+(292.9-562.4)+(-1.268268+(-0.298758--0.573648))+0-180--0.183600000000029</f>
        <v>793.09022200000015</v>
      </c>
      <c r="H246" s="3">
        <f>1253.9+(224.1-516.3)+(-1.278978+(-0.228582--0.526626))+0-185.9--0.18961800000003</f>
        <v>775.00868400000013</v>
      </c>
      <c r="I246" s="3">
        <f>1257+(159.4-457.2)+(1.28214+(0.162588-0.466344))+0-184.2-0.187884000000029</f>
        <v>775.79049999999995</v>
      </c>
      <c r="J246" s="3">
        <f>1211.8+(192.4-453.7)+(-0.618018+(-0.098124--0.231387))+0-185.3--0.0945029999999812</f>
        <v>764.80974800000013</v>
      </c>
      <c r="K246" s="3">
        <f>964.9+(302.3-293.2)+(2.460495+(0.770865-0.74766))+0-186.2-0.474809999999973</f>
        <v>789.80889000000002</v>
      </c>
      <c r="L246" s="3">
        <f>733.1+(467.5-182.3)+(0+(0-0))+0-183.4-0</f>
        <v>834.9</v>
      </c>
      <c r="M246" s="3">
        <f>738.3+(504.8-180.3)+(0.753066+(0.514896-0.183906))+0-185.3-0.18900600000003</f>
        <v>878.39504999999986</v>
      </c>
      <c r="N246" s="3">
        <f>738.5+(574.1-190.2)+(1.129905+(0.878373-0.291006))+0-186.2-0.284886000000011</f>
        <v>937.63238600000011</v>
      </c>
      <c r="O246" s="3">
        <f>735.2+(597-192.9)+(-0.374952+(-0.30447--0.098379))+0-184.6--0.0941459999999813</f>
        <v>954.21310300000027</v>
      </c>
      <c r="P246" s="3">
        <f>776+(680.5-271.2)+(0+(0-0))+0-192.8-0</f>
        <v>992.5</v>
      </c>
      <c r="Q246" s="3">
        <f>782+(772.5-371.2)+(-0.39882+(-0.393975--0.189312))+0-188.8--0.0962879999999808</f>
        <v>993.99280499999986</v>
      </c>
      <c r="R246" s="3">
        <f>793.7+(643.9-323.8)+(-2.833509+(-2.298723--1.155966))+0-166.5--0.594405000000002</f>
        <v>943.91813900000011</v>
      </c>
      <c r="S246" s="3">
        <f>840.6+(515.8-288)+(0.428706+(0.263058-0.14688))+0-167.5-0.085424999999983</f>
        <v>901.35945900000002</v>
      </c>
      <c r="T246" s="3">
        <f>836.8+(503.7-307.9)+(-1.280304+(-0.770661--0.471087))+0-164.5--0.251685000000009</f>
        <v>866.77180699999985</v>
      </c>
      <c r="U246" s="3">
        <f>856.3+(550.2-366.8)+(0.436713+(0.280602-0.187068))+0-175.5-0.0895049999999822</f>
        <v>864.64074199999993</v>
      </c>
      <c r="V246" s="3">
        <f>917.4+(586.3-429.1)+(-1.403622+(-0.897039--0.656523))+0-175.9--0.26912700000001</f>
        <v>897.32498899999985</v>
      </c>
      <c r="W246" s="3">
        <f>928.9+(584.4-384.7)+(-1.894956+(-1.192176--0.784788))+0-179--0.365159999999992</f>
        <v>947.66281599999991</v>
      </c>
      <c r="X246" s="3">
        <f>949.7+(553.1-396.6)+(-1.937388+(-1.128324--0.809064))+0-179.5--0.366179999999992</f>
        <v>924.80953199999999</v>
      </c>
      <c r="Y246" s="3">
        <f>947.3+(516.9-369.7)+(-2.415615+(-1.318095--0.942735))+0-185.7--0.473534999999973</f>
        <v>906.48256000000003</v>
      </c>
      <c r="Z246" s="3">
        <f>951+(465.1-344.4)+(-1.45503+(-0.711603--0.526932))+0-188.9--0.289017000000011</f>
        <v>881.44931600000007</v>
      </c>
      <c r="AA246" s="3">
        <f>944+(469.9-362.1)+(-0.96288+(-0.479298--0.369342))+0-191.3--0.195126000000031</f>
        <v>859.62229000000002</v>
      </c>
      <c r="AB246" s="3">
        <f>947.9+(404.5-338.9)+(-1.450287+(-0.618885--0.518517))+0-186.8--0.285804000000011</f>
        <v>825.43514900000002</v>
      </c>
      <c r="AC246" s="3">
        <f>950+(315-298.6)+(0+(0-0))+0-181.5-0</f>
        <v>784.9</v>
      </c>
      <c r="AD246" s="2">
        <v>940.3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951.4+(321.2-347.3)+(-2.42607+(-0.81906--0.885615))+0-175.8--0.448289999999975</f>
        <v>747.58877499999983</v>
      </c>
      <c r="G247" s="3">
        <f>805.8+(329.1-236.4)+(0.410958+(0.167841-0.120564))+0-176-0.0897599999999821</f>
        <v>722.86847499999999</v>
      </c>
      <c r="H247" s="3">
        <f>781.3+(316.7-206.5)+(-0.796926+(-0.323034--0.21063))+0-177.1--0.180642000000028</f>
        <v>713.67131200000006</v>
      </c>
      <c r="I247" s="3">
        <f>781.8+(288.3-188.2)+(0.398718+(0.147033-0.095982))+0-177-0.090269999999982</f>
        <v>705.25949899999989</v>
      </c>
      <c r="J247" s="3">
        <f>784.5+(272.2-177.4)+(2.000475+(0.69411-0.45237))+0-174.3-0.444464999999975</f>
        <v>706.79775000000006</v>
      </c>
      <c r="K247" s="3">
        <f>782+(298.3-184.2)+(0.79764+(0.304266-0.187884))+0-172.8-0.176256000000028</f>
        <v>724.03776600000003</v>
      </c>
      <c r="L247" s="3">
        <f>783.1+(386.6-223.7)+(1.198143+(0.591498-0.342261))+0-171.4-0.26224200000001</f>
        <v>775.78513799999996</v>
      </c>
      <c r="M247" s="3">
        <f>781+(418.6-207.2)+(1.59324+(0.853944-0.422688))+0-174.2-0.355367999999992</f>
        <v>819.86912800000005</v>
      </c>
      <c r="N247" s="3">
        <f>778.6+(459.9-184.8)+(-0.397086+(-0.234549--0.094248))+0-178.2--0.0908819999999819</f>
        <v>875.05349499999988</v>
      </c>
      <c r="O247" s="3">
        <f>803.7+(450.7-184.2)+(-0.819774+(-0.459714--0.187884))+0-173.4--0.176868000000028</f>
        <v>895.88526400000012</v>
      </c>
      <c r="P247" s="3">
        <f>817.5+(426.9-166.6)+(-1.250775+(-0.653157--0.254898))+0-173.1--0.26484300000001</f>
        <v>903.31580899999994</v>
      </c>
      <c r="Q247" s="3">
        <f>846+(383-162)+(-2.1573+(-0.97665--0.4131))+0-168--0.428399999999976</f>
        <v>896.70755000000008</v>
      </c>
      <c r="R247" s="3">
        <f>868.3+(351.9-181.5)+(-0.442833+(-0.179469--0.092565))+10.1-155.4--0.0792539999999842</f>
        <v>892.94951699999967</v>
      </c>
      <c r="S247" s="3">
        <f>866.8+(355.3-200.9)+(-2.21034+(-0.906015--0.512295))+8.8-155.5--0.396524999999977</f>
        <v>872.29246499999988</v>
      </c>
      <c r="T247" s="3">
        <f>861.3+(332.9-164.8)+(0+(0-0))+0-154.7-0</f>
        <v>874.69999999999982</v>
      </c>
      <c r="U247" s="3">
        <f>924.8+(356.5-257.8)+(-2.35824+(-0.909075--0.65739))+0-141.9--0.361844999999979</f>
        <v>879.35192000000006</v>
      </c>
      <c r="V247" s="3">
        <f>928+(418.4-284.1)+(-0.47328+(-0.213384--0.144891))+0-142.1--0.0724709999999856</f>
        <v>919.73069799999996</v>
      </c>
      <c r="W247" s="3">
        <f>934.5+(449.2-229.5)+(0.476595+(0.229092-0.117045))+0-166-0.0846599999999832</f>
        <v>988.703982</v>
      </c>
      <c r="X247" s="3">
        <f>938.7+(416.6-216.8)+(-0.478737+(-0.212466--0.110568))+0-165.7--0.0845069999999832</f>
        <v>972.30387199999996</v>
      </c>
      <c r="Y247" s="3">
        <f>932.9+(407.6-235.4)+(-1.903116+(-0.831504--0.480216))+0-170.1--0.347003999999993</f>
        <v>933.09259999999983</v>
      </c>
      <c r="Z247" s="3">
        <f>928.8+(362.7-214.4)+(-0.947376+(-0.369954--0.218688))+0-176.5--0.180030000000028</f>
        <v>899.68138799999997</v>
      </c>
      <c r="AA247" s="3">
        <f>942.8+(414.9-288.7)+(-0.961656+(-0.423198--0.294474))+0-178.1--0.181662000000028</f>
        <v>889.99128199999996</v>
      </c>
      <c r="AB247" s="3">
        <f>934.4+(397.6-297.7)+(-0.476544+(-0.202776--0.151827))+0-175.9--0.0897089999999822</f>
        <v>857.9622159999999</v>
      </c>
      <c r="AC247" s="3">
        <f>945.4+(377.1-316.7)+(-1.928616+(-0.769284--0.646068))+0-176.1--0.359243999999992</f>
        <v>828.00741199999993</v>
      </c>
      <c r="AD247" s="2">
        <v>976.69999999999993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946.7+(404-392.7)+(0+(0-0))+0-176.7-0</f>
        <v>781.3</v>
      </c>
      <c r="G248" s="3">
        <f>949.3+(448.7-466.6)+(-1.452429+(-0.686511--0.713898))+0-177.3--0.27126900000001</f>
        <v>752.94622699999979</v>
      </c>
      <c r="H248" s="3">
        <f>947.6+(431.7-460.7)+(0.483276+(0.220167-0.234957))+0-178.6-0.0910859999999819</f>
        <v>740.37739999999997</v>
      </c>
      <c r="I248" s="3">
        <f>949.5+(396.7-439.6)+(-0.484245+(-0.202317--0.224196))+0-179.4--0.0914939999999818</f>
        <v>726.82912799999997</v>
      </c>
      <c r="J248" s="3">
        <f>949.2+(300.1-337.9)+(1.936368+(0.612204-0.689316))+0-176.9-0.360875999999992</f>
        <v>735.99838000000011</v>
      </c>
      <c r="K248" s="3">
        <f>948.8+(344.1-363)+(0.483888+(0.175491-0.18513))+0-178.7-0.0911369999999819</f>
        <v>751.58311199999991</v>
      </c>
      <c r="L248" s="3">
        <f>948.5+(385.6-383.2)+(-2.418675+(-0.98328--0.97716))+0-174.6--0.445229999999975</f>
        <v>774.32043499999997</v>
      </c>
      <c r="M248" s="3">
        <f>951.6+(409.4-341.5)+(0.485316+(0.208794-0.174165))+0-179-0.0912899999999818</f>
        <v>840.92865500000005</v>
      </c>
      <c r="N248" s="3">
        <f>945.4+(357.2-237.8)+(0.964308+(0.364344-0.242556))+0-182.4-0.186048000000029</f>
        <v>883.30004799999995</v>
      </c>
      <c r="O248" s="3">
        <f>921.7+(415.4-241.8)+(-0.940134+(-0.423708--0.246636))+0-178.9--0.182478000000029</f>
        <v>915.46527200000014</v>
      </c>
      <c r="P248" s="3">
        <f>988.6+(400.5-280.2)+(-1.008372+(-0.40851--0.285804))+0-182.6--0.186252000000029</f>
        <v>925.35517400000026</v>
      </c>
      <c r="Q248" s="3">
        <f>1009.2+(369.4-278.5)+(-0.514692+(-0.188394--0.142035))+0-175.5--0.0895049999999822</f>
        <v>924.12845400000003</v>
      </c>
      <c r="R248" s="3">
        <f>1053.4+(347.9-319.9)+(-3.760638+(-1.242003--1.142043))+0-175.5--0.626535000000003</f>
        <v>902.6659370000001</v>
      </c>
      <c r="S248" s="3">
        <f>1053+(342.3-342.3)+(-1.61109+(-0.523719--0.523719))+0-179.4--0.27448200000001</f>
        <v>872.26339199999995</v>
      </c>
      <c r="T248" s="3">
        <f>1100.6+(334-367.4)+(-2.245224+(-0.68136--0.749496))+5.1-180.6--0.368423999999992</f>
        <v>889.8913359999998</v>
      </c>
      <c r="U248" s="3">
        <f>1132.4+(369.5-451)+(0+(0-0))+16-176.2-0</f>
        <v>890.7</v>
      </c>
      <c r="V248" s="3">
        <f>1135+(410-472.9)+(0+(0-0))+12-178.4-0</f>
        <v>905.69999999999993</v>
      </c>
      <c r="W248" s="3">
        <f>1141.9+(379.4-375.1)+(0.582369+(0.193494-0.191301))+0-181.9-0.0927689999999815</f>
        <v>964.7917930000001</v>
      </c>
      <c r="X248" s="3">
        <f>1145.2+(366.3-389.2)+(-1.752156+(-0.560439--0.595476))+0-180.9--0.27677700000001</f>
        <v>939.95965800000033</v>
      </c>
      <c r="Y248" s="3">
        <f>1148+(367.7-422.2)+(-3.51288+(-1.125162--1.291932))+0-187.8--0.574668000000022</f>
        <v>902.92855800000007</v>
      </c>
      <c r="Z248" s="3">
        <f>1149.3+(389.5-472.3)+(-1.758429+(-0.595935--0.722619))+0-190.5--0.291465000000011</f>
        <v>874.65972000000011</v>
      </c>
      <c r="AA248" s="3">
        <f>1150.8+(353.6-446.4)+(-1.173816+(-0.360672--0.455328))+0-190.8--0.19461600000003</f>
        <v>866.31545600000004</v>
      </c>
      <c r="AB248" s="3">
        <f>1150.5+(323.1-430.5)+(-0.586755+(-0.164781--0.219555))+0-185.8--0.0947579999999812</f>
        <v>856.86277699999982</v>
      </c>
      <c r="AC248" s="3">
        <f>1150.9+(352.6-498.4)+(-1.760877+(-0.539478--0.762552))+0-186.5--0.285345000000011</f>
        <v>817.34754200000009</v>
      </c>
      <c r="AD248" s="2">
        <v>924.50000000000023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1153.2+(336.5-536.3)+(-2.94066+(-0.858075--1.367565))+0-185.7--0.473534999999973</f>
        <v>765.74236500000018</v>
      </c>
      <c r="G249" s="3">
        <f>1151.7+(366.9-599.7)+(-1.174734+(-0.374238--0.611694))+0-185.5--0.18921000000003</f>
        <v>732.65193199999999</v>
      </c>
      <c r="H249" s="3">
        <f>1149+(362.8-616.4)+(0.58599+(0.185028-0.314364))+0-178.9-0.0912389999999818</f>
        <v>716.8654150000001</v>
      </c>
      <c r="I249" s="3">
        <f>1131.1+(365.8-599.9)+(-1.730583+(-0.559674--0.917847))+0-176.3--0.26973900000001</f>
        <v>719.59732900000006</v>
      </c>
      <c r="J249" s="3">
        <f>1135.5+(336.8-580.5)+(-0.579105+(-0.171768--0.296055))+0-173.4--0.0884339999999824</f>
        <v>718.03361599999994</v>
      </c>
      <c r="K249" s="3">
        <f>1138.9+(285.9-510.9)+(-0.580839+(-0.145809--0.260559))+0-178.4--0.0909839999999819</f>
        <v>735.12489500000004</v>
      </c>
      <c r="L249" s="3">
        <f>1139.5+(310.6-524.7)+(-2.32458+(-0.633624--1.070388))+0-172.8--0.352511999999993</f>
        <v>751.06469600000003</v>
      </c>
      <c r="M249" s="3">
        <f>1144.1+(347.5-529.4)+(-0.583491+(-0.177225--0.269994))+0-174.7--0.0890969999999823</f>
        <v>787.09837500000003</v>
      </c>
      <c r="N249" s="3">
        <f>1142.6+(348.8-479)+(1.748178+(0.533664-0.73287))+0-182-0.278460000000011</f>
        <v>831.67051199999992</v>
      </c>
      <c r="O249" s="3">
        <f>1127.8+(345-427.3)+(-0.575178+(-0.17595--0.217923))+0-180.7--0.0921569999999817</f>
        <v>864.35895199999993</v>
      </c>
      <c r="P249" s="3">
        <f>1120.8+(351.6-419.4)+(0.571608+(0.179316-0.213894))+0-177.6-0.090575999999982</f>
        <v>875.84645399999999</v>
      </c>
      <c r="Q249" s="3">
        <f>1114.6+(328.1-379.1)+(-3.410676+(-1.003986--1.160046))+0-180--0.550800000000021</f>
        <v>880.89618399999995</v>
      </c>
      <c r="R249" s="3">
        <f>1118.2+(316.9-397.8)+(-0.570282+(-0.161619--0.202878))+0-178.4--0.0909839999999819</f>
        <v>858.46196099999986</v>
      </c>
      <c r="S249" s="3">
        <f>1111.1+(342.7-432.6)+(-2.833305+(-0.873885--1.10313))+0-181.8--0.463589999999974</f>
        <v>837.2595299999997</v>
      </c>
      <c r="T249" s="3">
        <f>1113.9+(374-471)+(0.568089+(0.19074-0.24021))+0-180.3-0.0919529999999817</f>
        <v>837.02666600000009</v>
      </c>
      <c r="U249" s="3">
        <f>1113+(296.9-399.5)+(-1.13526+(-0.302838--0.40749))+0-177.1--0.180642000000028</f>
        <v>832.45003399999996</v>
      </c>
      <c r="V249" s="3">
        <f>1116.4+(365.5-427.6)+(0.569364+(0.186405-0.218076))+0-183-0.0933299999999814</f>
        <v>871.74436300000013</v>
      </c>
      <c r="W249" s="3">
        <f>1117.5+(415.8-415.9)+(-1.13985+(-0.424116--0.424218))+0-186.4--0.19012800000003</f>
        <v>930.05038000000013</v>
      </c>
      <c r="X249" s="3">
        <f>1119.6+(375-393.4)+(-1.141992+(-0.3825--0.401268))+0-187.8--0.19155600000003</f>
        <v>912.46833199999992</v>
      </c>
      <c r="Y249" s="3">
        <f>1092.4+(404.9-437.3)+(-1.671372+(-0.619497--0.669069))+0-187.4--0.286722000000011</f>
        <v>871.26492200000018</v>
      </c>
      <c r="Z249" s="3">
        <f>988.8+(431.2-383.5)+(-0.504288+(-0.219912--0.195585))+0-187.1--0.095420999999981</f>
        <v>848.96680600000002</v>
      </c>
      <c r="AA249" s="3">
        <f>617.1+(549-142.3)+(0+(0-0))+0-189.5-0</f>
        <v>834.3</v>
      </c>
      <c r="AB249" s="3">
        <f>497+(620.4-106.6)+(-0.50694+(-0.632808--0.108732))+0-184.2--0.187884000000029</f>
        <v>825.75686800000005</v>
      </c>
      <c r="AC249" s="3">
        <f>395.3+(679.2-93.5)+(-0.604809+(-1.039176--0.143055))+0-182.3--0.278919000000011</f>
        <v>797.47798899999987</v>
      </c>
      <c r="AD249" s="2">
        <v>928.69999999999993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399.4+(614.5-81.1)+(-0.814776+(-1.25358--0.165444))+0-182.3--0.371891999999992</f>
        <v>748.96897999999999</v>
      </c>
      <c r="G250" s="3">
        <f>426.4+(582.3-104.2)+(-1.304784+(-1.781838--0.318852))+0-183--0.559980000000021</f>
        <v>719.29220999999995</v>
      </c>
      <c r="H250" s="3">
        <f>444.2+(539.6-93.9)+(-0.226542+(-0.275196--0.047889))+0-180.8--0.0922079999999817</f>
        <v>708.73835900000017</v>
      </c>
      <c r="I250" s="3">
        <f>463.8+(520.9-92.2)+(-0.473076+(-0.531318--0.094044))+0-182.9--0.186558000000029</f>
        <v>708.87620800000002</v>
      </c>
      <c r="J250" s="3">
        <f>546.3+(450.7-108.6)+(-0.557226+(-0.459714--0.110772))+0-184.3--0.187986000000029</f>
        <v>703.38181799999995</v>
      </c>
      <c r="K250" s="3">
        <f>560.5+(502.2-155.3)+(0.285855+(0.256122-0.079203))+0-187.3-0.095522999999981</f>
        <v>720.46725100000003</v>
      </c>
      <c r="L250" s="3">
        <f>564+(482.2-129.1)+(-0.86292+(-0.737766--0.197523))+0-184.3--0.281979000000011</f>
        <v>731.67881599999998</v>
      </c>
      <c r="M250" s="3">
        <f>564.7+(506.2-134.1)+(-0.287997+(-0.258162--0.068391))+0-185.2--0.0944519999999812</f>
        <v>751.2166840000001</v>
      </c>
      <c r="N250" s="3">
        <f>584.6+(520.1-140.7)+(-0.596292+(-0.530502--0.143514))+0-189.1--0.19288200000003</f>
        <v>774.109602</v>
      </c>
      <c r="O250" s="3">
        <f>585.5+(529.2-138.5)+(-0.59721+(-0.539784--0.14127))+0-191.3--0.195126000000031</f>
        <v>784.09940200000005</v>
      </c>
      <c r="P250" s="3">
        <f>579+(504.4-136.1)+(-0.88587+(-0.771732--0.208233))+0-189.2--0.289476000000011</f>
        <v>756.94010700000001</v>
      </c>
      <c r="Q250" s="3">
        <f>577.3+(510.3-137)+(-0.294423+(-0.260253--0.06987))+0-190.1--0.0969509999999807</f>
        <v>760.11214499999983</v>
      </c>
      <c r="R250" s="3">
        <f>574.5+(506.9-139.8)+(0+(0-0))+0-188.3-0</f>
        <v>753.3</v>
      </c>
      <c r="S250" s="3">
        <f>575.5+(486.2-132.8)+(0.293505+(0.247962-0.067728))+0-188-0.0958799999999809</f>
        <v>741.27785900000003</v>
      </c>
      <c r="T250" s="3">
        <f>573+(490-132.9)+(0.29223+(0.2499-0.067779))+0-188.8-0.0962879999999808</f>
        <v>741.67806300000007</v>
      </c>
      <c r="U250" s="3">
        <f>572.2+(488.2-139)+(0.291822+(0.248982-0.07089))+0-182.2-0.0929219999999815</f>
        <v>739.57699200000013</v>
      </c>
      <c r="V250" s="3">
        <f>575.6+(544.5-162.1)+(0.293556+(0.277695-0.082671))+0-188.5-0.0961349999999809</f>
        <v>769.89244499999995</v>
      </c>
      <c r="W250" s="3">
        <f>576+(643.2-190.1)+(0+(0-0))+0-190.4-0</f>
        <v>838.69999999999993</v>
      </c>
      <c r="X250" s="3">
        <f>574.6+(614.2-186.4)+(0+(0-0))+0-190.5-0</f>
        <v>811.90000000000009</v>
      </c>
      <c r="Y250" s="3">
        <f>577.3+(574.7-178.8)+(-1.177692+(-1.172388--0.364752))+0-191.8--0.391271999999992</f>
        <v>779.80594400000007</v>
      </c>
      <c r="Z250" s="3">
        <f>576.2+(522.3-158.9)+(-0.587724+(-0.532746--0.162078))+0-190.2--0.19400400000003</f>
        <v>748.63561200000015</v>
      </c>
      <c r="AA250" s="3">
        <f>577.1+(492-145.3)+(-0.882963+(-0.75276--0.222309))+0-183.8--0.281214000000011</f>
        <v>738.86779999999987</v>
      </c>
      <c r="AB250" s="3">
        <f>577.3+(457.8-124.3)+(0.294423+(0.233478-0.063393))+0-184.2-0.0939419999999813</f>
        <v>726.97056599999996</v>
      </c>
      <c r="AC250" s="3">
        <f>576.7+(406.9-107.3)+(0+(0-0))+0-181-0</f>
        <v>695.3</v>
      </c>
      <c r="AD250" s="2">
        <v>794.80000000000018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578.1+(379.4-115.4)+(-2.063817+(-1.354458--0.411978))+0-182.4--0.651168000000003</f>
        <v>657.34487100000001</v>
      </c>
      <c r="G251" s="3">
        <f>580.6+(403.8-182)+(-0.592212+(-0.411876--0.18564))+0-173.5--0.176970000000028</f>
        <v>628.25852200000008</v>
      </c>
      <c r="H251" s="3">
        <f>573+(351.7-138.7)+(-0.87669+(-0.538101--0.212211))+0-170.3--0.26055900000001</f>
        <v>614.75797899999998</v>
      </c>
      <c r="I251" s="3">
        <f>560+(323.9-100.6)+(0.5712+(0.330378-0.102612))+0-173-0.176460000000028</f>
        <v>610.92250599999988</v>
      </c>
      <c r="J251" s="3">
        <f>561.9+(329.1-106.9)+(-0.286569+(-0.167841--0.054519))+0-175.1--0.0893009999999822</f>
        <v>608.68940999999995</v>
      </c>
      <c r="K251" s="3">
        <f>563.5+(323.8-108.1)+(0.57477+(0.330276-0.110262))+0-172.9-0.176358000000028</f>
        <v>606.91842600000007</v>
      </c>
      <c r="L251" s="3">
        <f>567.7+(337.8-142.7)+(-2.026689+(-1.205946--0.509439))+0-167.4--0.597618000000002</f>
        <v>593.27442200000007</v>
      </c>
      <c r="M251" s="3">
        <f>570.1+(345.5-147.8)+(-0.290751+(-0.176205--0.075378))+0-171.1--0.0872609999999826</f>
        <v>596.39568299999996</v>
      </c>
      <c r="N251" s="3">
        <f>570.6+(350.4-138.7)+(1.164024+(0.714816-0.282948))+0-167.6-0.341903999999993</f>
        <v>615.95398799999998</v>
      </c>
      <c r="O251" s="3">
        <f>568.1+(374.9-174)+(-0.579462+(-0.382398--0.17748))+0-167.7--0.171054000000027</f>
        <v>600.68667399999993</v>
      </c>
      <c r="P251" s="3">
        <f>564+(359.6-181)+(-2.01348+(-1.283772--0.64617))+0-167.7--0.598689000000002</f>
        <v>572.84760700000004</v>
      </c>
      <c r="Q251" s="3">
        <f>562+(359.9-189.1)+(0.85986+(0.550647-0.289323))+0-165.8-0.25367400000001</f>
        <v>567.86750999999981</v>
      </c>
      <c r="R251" s="3">
        <f>555.8+(357.4-181.3)+(0.850374+(0.546822-0.277389))+0-175.6-0.26866800000001</f>
        <v>557.15113899999983</v>
      </c>
      <c r="S251" s="3">
        <f>556.6+(388.6-181.6)+(0.567732+(0.396372-0.185232))+0-177.9-0.181458000000028</f>
        <v>586.297414</v>
      </c>
      <c r="T251" s="3">
        <f>556.1+(429.7-193)+(-1.134444+(-0.876588--0.39372))+0-176.7--0.360467999999992</f>
        <v>614.84315600000002</v>
      </c>
      <c r="U251" s="3">
        <f>554+(453.2-202.1)+(0.84762+(0.693396-0.309213))+0-178.4-0.27295200000001</f>
        <v>627.65885100000003</v>
      </c>
      <c r="V251" s="3">
        <f>556.7+(491.9-187.1)+(0+(0-0))+0-181.2-0</f>
        <v>680.3</v>
      </c>
      <c r="W251" s="3">
        <f>558.1+(555.3-161.2)+(0.284631+(0.283203-0.082212))+0-186.2-0.0949619999999811</f>
        <v>766.39066000000014</v>
      </c>
      <c r="X251" s="3">
        <f>567.9+(553.1-168.3)+(-1.158516+(-1.128324--0.343332))+0-186.1--0.379643999999992</f>
        <v>765.03613600000006</v>
      </c>
      <c r="Y251" s="3">
        <f>569.6+(527.6-164.9)+(-1.161984+(-1.076304--0.336396))+0-184.8--0.376991999999992</f>
        <v>745.97510000000011</v>
      </c>
      <c r="Z251" s="3">
        <f>571.4+(507-158.5)+(0.582828+(0.51714-0.16167))+0-186.1-0.18982200000003</f>
        <v>734.54847599999994</v>
      </c>
      <c r="AA251" s="3">
        <f>575.9+(498.4-153.8)+(-0.293709+(-0.254184--0.078438))+0-187.1--0.095420999999981</f>
        <v>733.02596599999993</v>
      </c>
      <c r="AB251" s="3">
        <f>580+(491.6-178.8)+(-1.479+(-1.25358--0.45594))+0-181.3--0.462314999999974</f>
        <v>709.68567499999995</v>
      </c>
      <c r="AC251" s="3">
        <f>579.1+(470.1-197.7)+(-1.181364+(-0.959004--0.403308))+0-179.2--0.365567999999992</f>
        <v>670.92850799999997</v>
      </c>
      <c r="AD251" s="2">
        <v>759.80000000000018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579.8+(432.3-198.3)+(-0.887094+(-0.661419--0.303399))+0-170.4--0.26071200000001</f>
        <v>642.41559800000005</v>
      </c>
      <c r="G252" s="3">
        <f>582.2+(384.7-170)+(-0.296922+(-0.196197--0.0867))+0-168--0.085679999999983</f>
        <v>628.57926100000009</v>
      </c>
      <c r="H252" s="3">
        <f>570.8+(371-153.9)+(-0.582216+(-0.37842--0.156978))+0-167.5--0.170850000000027</f>
        <v>619.76719199999991</v>
      </c>
      <c r="I252" s="3">
        <f>572.4+(364.9-156.2)+(0.291924+(0.186099-0.079662))+0-164.7-0.0839969999999833</f>
        <v>616.71436399999993</v>
      </c>
      <c r="J252" s="3">
        <f>573.7+(360.7-146)+(0.292587+(0.183957-0.07446))+0-162.4-0.0828239999999835</f>
        <v>626.3192600000001</v>
      </c>
      <c r="K252" s="3">
        <f>575.4+(387.9-148.1)+(1.173816+(0.791316-0.302124))+0-162.6-0.331703999999993</f>
        <v>653.93130399999995</v>
      </c>
      <c r="L252" s="3">
        <f>600+(462.5-190.3)+(-1.224+(-0.9435--0.388212))+0-158.4--0.323135999999993</f>
        <v>712.34384800000009</v>
      </c>
      <c r="M252" s="3">
        <f>602.4+(562.8-207.6)+(1.228896+(1.148112-0.423504))+0-171-0.348839999999993</f>
        <v>788.20466399999987</v>
      </c>
      <c r="N252" s="3">
        <f>611.5+(582.1-173)+(0.935595+(0.890613-0.26469))+0-174.2-0.26652600000001</f>
        <v>847.69499200000007</v>
      </c>
      <c r="O252" s="3">
        <f>642.3+(556.3-154.4)+(0.327573+(0.283713-0.078744))+0-176-0.0897599999999821</f>
        <v>868.64278199999978</v>
      </c>
      <c r="P252" s="3">
        <f>701.5+(485.4-141.3)+(0+(0-0))+0-169-0</f>
        <v>876.59999999999991</v>
      </c>
      <c r="Q252" s="3">
        <f>725.6+(463.6-122.3)+(-0.370056+(-0.236436--0.062373))+0-170.1--0.0867509999999827</f>
        <v>896.34263200000009</v>
      </c>
      <c r="R252" s="3">
        <f>745.3+(439-125.6)+(-2.660721+(-1.56723--0.448392))+0-168.2--0.600474000000002</f>
        <v>887.32091499999967</v>
      </c>
      <c r="S252" s="3">
        <f>741.1+(481.7-167.4)+(0+(0-0))+0-168-0</f>
        <v>887.40000000000009</v>
      </c>
      <c r="T252" s="3">
        <f>757.1+(466.6-202.4)+(0+(0-0))+0-168.8-0</f>
        <v>852.5</v>
      </c>
      <c r="U252" s="3">
        <f>790.5+(477-219.9)+(0.80631+(0.48654-0.224298))+0-164.4-0.167688000000026</f>
        <v>884.10086399999989</v>
      </c>
      <c r="V252" s="3">
        <f>788.4+(464.6-166.8)+(-1.206252+(-0.710838--0.255204))+0-169.7--0.25964100000001</f>
        <v>915.09775499999989</v>
      </c>
      <c r="W252" s="3">
        <f>847.5+(449.3-140.1)+(-1.296675+(-0.687429--0.214353))+0-174.3--0.26667900000001</f>
        <v>980.896928</v>
      </c>
      <c r="X252" s="3">
        <f>841.6+(442.9-153.4)+(0+(0-0))+0-171.4-0</f>
        <v>959.69999999999993</v>
      </c>
      <c r="Y252" s="3">
        <f>795.3+(473.5-151.7)+(1.622412+(0.96594-0.309468))+0-166.7-0.340067999999993</f>
        <v>952.33881599999995</v>
      </c>
      <c r="Z252" s="3">
        <f>784.4+(478.4-177.6)+(1.200132+(0.731952-0.271728))+0-171.1-0.26178300000001</f>
        <v>915.49857299999985</v>
      </c>
      <c r="AA252" s="3">
        <f>801.5+(428-176)+(1.226295+(0.65484-0.26928))+0-172.7-0.26423100000001</f>
        <v>882.14762400000006</v>
      </c>
      <c r="AB252" s="3">
        <f>850.8+(404.8-252.7)+(-0.867816+(-0.412896--0.257754))+0-167.5--0.170850000000027</f>
        <v>834.54789199999993</v>
      </c>
      <c r="AC252" s="3">
        <f>855.2+(264.4-156.4)+(-1.308456+(-0.404532--0.239292))+0-170.2--0.26040600000001</f>
        <v>791.78670999999997</v>
      </c>
      <c r="AD252" s="2">
        <v>945.20000000000016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854.2+(272.9-192.3)+(-0.871284+(-0.278358--0.196146))+0-171.3--0.174726000000027</f>
        <v>762.72122999999999</v>
      </c>
      <c r="G253" s="3">
        <f>851.3+(318.3-267.3)+(-3.039141+(-1.136331--0.954261))+0-168.7--0.602259000000002</f>
        <v>730.98104799999987</v>
      </c>
      <c r="H253" s="3">
        <f>850.9+(321.1-290.6)+(0.433959+(0.163761-0.148206))+0-165.7-0.0845069999999832</f>
        <v>716.06500699999992</v>
      </c>
      <c r="I253" s="3">
        <f>865+(340.7-327.4)+(0.8823+(0.347514-0.333948))+0-163.4-0.166668000000026</f>
        <v>715.62919799999986</v>
      </c>
      <c r="J253" s="3">
        <f>877.4+(322.8-326.7)+(-0.447474+(-0.164628--0.166617))+0-158--0.080579999999984</f>
        <v>715.13509499999998</v>
      </c>
      <c r="K253" s="3">
        <f>881.3+(346.5-347.7)+(0+(0-0))+0-156.5-0</f>
        <v>723.59999999999991</v>
      </c>
      <c r="L253" s="3">
        <f>881.3+(360.9-334.3)+(-1.348389+(-0.552177--0.511479))+0-151.6--0.231948000000009</f>
        <v>755.14286099999981</v>
      </c>
      <c r="M253" s="3">
        <f>877.6+(468.2-448.8)+(-0.895152+(-0.477564--0.457776))+0-153.1--0.156162000000024</f>
        <v>743.14122199999997</v>
      </c>
      <c r="N253" s="3">
        <f>876.9+(473.7-448.2)+(0+(0-0))+0-147.5-0</f>
        <v>754.9</v>
      </c>
      <c r="O253" s="3">
        <f>871.6+(435.7-388.2)+(-0.444516+(-0.222207--0.197982))+0-136--0.0693599999999862</f>
        <v>782.70061899999996</v>
      </c>
      <c r="P253" s="3">
        <f>866.3+(403.7-344.7)+(-0.883626+(-0.411774--0.351594))+0-129.6--0.132192000000021</f>
        <v>794.88838599999997</v>
      </c>
      <c r="Q253" s="3">
        <f>871+(418.5-361.7)+(-1.33263+(-0.640305--0.553401))+0-127.6--0.195228000000007</f>
        <v>798.97569399999998</v>
      </c>
      <c r="R253" s="3">
        <f>862.4+(425.8-372.1)+(-0.439824+(-0.217158--0.189771))+0-129.3--0.0659429999999869</f>
        <v>786.39873199999977</v>
      </c>
      <c r="S253" s="3">
        <f>856.7+(378.9-328.5)+(-0.873834+(-0.386478--0.33507))+0-133.2--0.135864000000021</f>
        <v>773.11062200000003</v>
      </c>
      <c r="T253" s="3">
        <f>913.7+(350.4-363.1)+(0.931974+(0.357408-0.370362))+0-131.9-0.134538000000021</f>
        <v>769.88448200000005</v>
      </c>
      <c r="U253" s="3">
        <f>914.2+(427.1-434)+(-1.398726+(-0.653463--0.66402))+0-129.3--0.197829000000007</f>
        <v>776.80966000000012</v>
      </c>
      <c r="V253" s="3">
        <f>925.3+(425.1-392.9)+(-0.943806+(-0.433602--0.400758))+0-134.9--0.137598000000022</f>
        <v>821.7609480000001</v>
      </c>
      <c r="W253" s="3">
        <f>934.3+(484.9-347.8)+(-1.429479+(-0.741897--0.532134))+0-154.5--0.236385000000009</f>
        <v>915.49714299999994</v>
      </c>
      <c r="X253" s="3">
        <f>945+(470.3-338)+(-2.40975+(-1.199265--0.8619))+0-164.7--0.419984999999976</f>
        <v>910.27287000000001</v>
      </c>
      <c r="Y253" s="3">
        <f>946.5+(466.3-357.9)+(0.482715+(0.237813-0.182529))+0-165.3-0.0843029999999832</f>
        <v>890.05369600000006</v>
      </c>
      <c r="Z253" s="3">
        <f>949.4+(412.6-345.6)+(-1.452582+(-0.631278--0.528768))+0-168.9--0.25841700000001</f>
        <v>846.20332500000006</v>
      </c>
      <c r="AA253" s="3">
        <f>953.5+(392-358.9)+(-2.431425+(-0.9996--0.915195))+0-169.2--0.431459999999975</f>
        <v>815.31563000000006</v>
      </c>
      <c r="AB253" s="3">
        <f>961.4+(387.6-386.5)+(-0.490314+(-0.197676--0.197115))+0-174.8--0.0891479999999823</f>
        <v>787.29827300000011</v>
      </c>
      <c r="AC253" s="3">
        <f>964.9+(356.1-392.1)+(-1.476297+(-0.544833--0.599913))+0-176.6--0.27019800000001</f>
        <v>751.14898100000005</v>
      </c>
      <c r="AD253" s="2">
        <v>893.50000000000023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952.6+(379.4-460.2)+(-1.943304+(-0.773976--0.938808))+0-175.5--0.358019999999992</f>
        <v>694.879548</v>
      </c>
      <c r="G254" s="3">
        <f>933+(364.2-431.3)+(0+(0-0))+0-178.9-0</f>
        <v>687</v>
      </c>
      <c r="H254" s="3">
        <f>926.8+(357.1-429.3)+(-1.890672+(-0.728484--0.875772))+0-179.7--0.366587999999992</f>
        <v>673.52320399999996</v>
      </c>
      <c r="I254" s="3">
        <f>925.8+(362-452.3)+(-0.472158+(-0.18462--0.230673))+0-180--0.0917999999999817</f>
        <v>655.16569500000003</v>
      </c>
      <c r="J254" s="3">
        <f>931.9+(357.8-445.4)+(1.425807+(0.547434-0.681462))+0-181.1-0.27708300000001</f>
        <v>664.21469599999989</v>
      </c>
      <c r="K254" s="3">
        <f>931.7+(363.5-426.8)+(1.900668+(0.74154-0.870672))+0-183.6-0.374543999999992</f>
        <v>686.19699200000002</v>
      </c>
      <c r="L254" s="3">
        <f>937.7+(415.2-439.9)+(0.478227+(0.211752-0.224349))+0-182.2-0.0929219999999815</f>
        <v>731.17270800000017</v>
      </c>
      <c r="M254" s="3">
        <f>944.8+(404.3-384.7)+(-0.963696+(-0.412386--0.392394))+0-175.9--0.179418000000028</f>
        <v>787.69573000000003</v>
      </c>
      <c r="N254" s="3">
        <f>950.3+(436-388.5)+(0+(0-0))+0-165.4-0</f>
        <v>832.4</v>
      </c>
      <c r="O254" s="3">
        <f>952.1+(457.4-407.2)+(-2.427855+(-1.16637--1.03836))+0-156.5--0.399074999999977</f>
        <v>843.64320999999984</v>
      </c>
      <c r="P254" s="3">
        <f>946.2+(478.2-416.9)+(-2.41281+(-1.21941--1.063095))+0-151.5--0.386324999999978</f>
        <v>853.81719999999996</v>
      </c>
      <c r="Q254" s="3">
        <f>945.8+(475.7-417)+(-1.447074+(-0.727821--0.63801))+0-151.3--0.231489000000009</f>
        <v>851.89460400000007</v>
      </c>
      <c r="R254" s="3">
        <f>938.3+(459.2-402.8)+(-0.957066+(-0.468384--0.410856))+0-162.2--0.165444000000026</f>
        <v>831.65084999999999</v>
      </c>
      <c r="S254" s="3">
        <f>928.6+(433.5-375.5)+(-0.473586+(-0.221085--0.191505))+0-168.5--0.0859349999999829</f>
        <v>817.68276900000001</v>
      </c>
      <c r="T254" s="3">
        <f>924.5+(452-353.1)+(-0.94299+(-0.46104--0.360162))+0-188--0.19176000000003</f>
        <v>834.54789200000005</v>
      </c>
      <c r="U254" s="3">
        <f>926.2+(462-357.4)+(-0.944724+(-0.47124--0.364548))+0-185--0.18870000000003</f>
        <v>844.9372840000002</v>
      </c>
      <c r="V254" s="3">
        <f>930.4+(504-386.6)+(0+(0-0))+0-196-0</f>
        <v>851.8</v>
      </c>
      <c r="W254" s="3">
        <f>944.7+(540.4-356.2)+(1.445391+(0.826812-0.544986))+0-184.2-0.281826000000011</f>
        <v>946.14539100000013</v>
      </c>
      <c r="X254" s="3">
        <f>953.2+(517.7-354.7)+(-0.486132+(-0.264027--0.180897))+0-187.9--0.0958289999999809</f>
        <v>927.82656700000007</v>
      </c>
      <c r="Y254" s="3">
        <f>953+(509.5-374.9)+(0+(0-0))+0-189.5-0</f>
        <v>898.09999999999991</v>
      </c>
      <c r="Z254" s="3">
        <f>958.5+(497.4-395)+(-0.488835+(-0.253674--0.20145))+0-194.2--0.0990419999999803</f>
        <v>866.25798300000008</v>
      </c>
      <c r="AA254" s="3">
        <f>966.3+(463.6-399.7)+(-0.985626+(-0.472872--0.407694))+0-194.9--0.198798000000031</f>
        <v>834.44799400000011</v>
      </c>
      <c r="AB254" s="3">
        <f>964.3+(468.1-443.2)+(-1.475379+(-0.716193--0.678096))+0-194.1--0.296973000000011</f>
        <v>793.88349700000003</v>
      </c>
      <c r="AC254" s="3">
        <f>964.3+(406.5-426.5)+(-2.458965+(-1.036575--1.087575))+0-194.6--0.496229999999972</f>
        <v>747.78826499999991</v>
      </c>
      <c r="AD254" s="2">
        <v>925.69999999999993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838.8+(404.1-325.1)+(-1.711152+(-0.824364--0.663204))+0-196.5--0.400859999999991</f>
        <v>719.82854799999996</v>
      </c>
      <c r="G255" s="3">
        <f>794.8+(416.5-311.2)+(-0.405348+(-0.212415--0.158712))+0-192.7--0.0982769999999804</f>
        <v>707.03922599999976</v>
      </c>
      <c r="H255" s="3">
        <f>799.9+(405.8-312.7)+(-1.631796+(-0.827832--0.637908))+0-192.6--0.392903999999992</f>
        <v>698.97118399999999</v>
      </c>
      <c r="I255" s="3">
        <f>798.8+(379.2-304.2)+(0.407388+(0.193392-0.155142))+0-193.1-0.0984809999999804</f>
        <v>681.04715699999997</v>
      </c>
      <c r="J255" s="3">
        <f>807+(387.1-306.3)+(-1.23471+(-0.592263--0.468639))+0-191.8--0.293454000000011</f>
        <v>694.93511999999998</v>
      </c>
      <c r="K255" s="3">
        <f>805.6+(382.5-291.6)+(1.232568+(0.585225-0.446148))+0-186.9-0.285957000000011</f>
        <v>710.68568799999991</v>
      </c>
      <c r="L255" s="3">
        <f>800.9+(393-276.6)+(-0.408459+(-0.20043--0.141066))+0-185.2--0.0944519999999812</f>
        <v>731.72662899999989</v>
      </c>
      <c r="M255" s="3">
        <f>801.3+(438.6-275.1)+(2.043315+(1.11843-0.701505))+0-180.3-0.459764999999974</f>
        <v>786.50047499999994</v>
      </c>
      <c r="N255" s="3">
        <f>794.8+(449.6-216)+(2.02674+(1.14648-0.5508))+0-182.5-0.465374999999974</f>
        <v>848.05704500000002</v>
      </c>
      <c r="O255" s="3">
        <f>788.3+(432.9-163.2)+(0.402033+(0.220779-0.083232))+0-192-0.0979199999999805</f>
        <v>866.44165999999996</v>
      </c>
      <c r="P255" s="3">
        <f>778.6+(437.2-149.5)+(0.397086+(0.222972-0.076245))+0-186.2-0.0949619999999811</f>
        <v>880.5488509999999</v>
      </c>
      <c r="Q255" s="3">
        <f>777.9+(484.6-187.8)+(-0.793458+(-0.494292--0.191556))+0-188--0.19176000000003</f>
        <v>885.79556600000012</v>
      </c>
      <c r="R255" s="3">
        <f>775.5+(551.5-198.7)+(-2.37303+(-1.68759--0.608022))+0-201--0.615060000000023</f>
        <v>924.46246199999985</v>
      </c>
      <c r="S255" s="3">
        <f>776.4+(504.4-192.3)+(-1.97982+(-1.28622--0.490365))+0-202--0.515099999999971</f>
        <v>884.23942499999987</v>
      </c>
      <c r="T255" s="3">
        <f>759.3+(483.3-161.6)+(0.387243+(0.246483-0.082416))+0-193-0.0984299999999804</f>
        <v>888.45288000000005</v>
      </c>
      <c r="U255" s="3">
        <f>702+(513.9-126)+(0.35802+(0.262089-0.06426))+0-189-0.0963899999999808</f>
        <v>901.35945900000024</v>
      </c>
      <c r="V255" s="3">
        <f>724+(513.5-159.4)+(-1.10772+(-0.785655--0.243882))+0-176.1--0.26943300000001</f>
        <v>900.61994000000004</v>
      </c>
      <c r="W255" s="3">
        <f>766.9+(593-194)+(0.391119+(0.30243-0.09894))+0-182.5-0.0930749999999815</f>
        <v>983.90153400000008</v>
      </c>
      <c r="X255" s="3">
        <f>774.9+(588.5-224.8)+(-1.975995+(-1.500675--0.57324))+0-182.8--0.466139999999974</f>
        <v>953.36270999999988</v>
      </c>
      <c r="Y255" s="3">
        <f>780.8+(546.9-227.6)+(-0.398208+(-0.278919--0.116076))+0-180.3--0.0919529999999817</f>
        <v>919.33090200000004</v>
      </c>
      <c r="Z255" s="3">
        <f>782.7+(498.2-221.2)+(0+(0-0))+0-178.2-0</f>
        <v>881.5</v>
      </c>
      <c r="AA255" s="3">
        <f>785+(504.3-249.3)+(-0.40035+(-0.257193--0.127143))+0-179.5--0.0915449999999818</f>
        <v>860.0611449999999</v>
      </c>
      <c r="AB255" s="3">
        <f>787.7+(475.8-256.5)+(-2.008635+(-1.21329--0.654075))+0-182.7--0.465884999999973</f>
        <v>822.198035</v>
      </c>
      <c r="AC255" s="3">
        <f>788.4+(409.1-232.8)+(-0.804168+(-0.417282--0.237456))+0-187.1--0.19084200000003</f>
        <v>776.80684799999995</v>
      </c>
      <c r="AD255" s="2">
        <v>953.59999999999991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788.1+(391.3-245.2)+(1.205793+(0.598689-0.375156))+0-188.4-0.288252000000011</f>
        <v>746.94107399999996</v>
      </c>
      <c r="G256" s="3">
        <f>795+(367.2-250.6)+(0+(0-0))+0-186.5-0</f>
        <v>725.1</v>
      </c>
      <c r="H256" s="3">
        <f>796.3+(380.2-278.8)+(0.406113+(0.193902-0.142188))+0-188.4-0.0960839999999809</f>
        <v>709.66174299999989</v>
      </c>
      <c r="I256" s="3">
        <f>801.7+(407.7-310.2)+(-0.408867+(-0.207927--0.158202))+0-188.5--0.0961349999999809</f>
        <v>710.3375430000001</v>
      </c>
      <c r="J256" s="3">
        <f>801+(416.7-312.4)+(0+(0-0))+0-189.6-0</f>
        <v>715.69999999999993</v>
      </c>
      <c r="K256" s="3">
        <f>797.3+(385.9-276.6)+(0.813246+(0.393618-0.282132))+0-186.4-0.19012800000003</f>
        <v>720.93460399999981</v>
      </c>
      <c r="L256" s="3">
        <f>804.7+(317.5-204.4)+(-3.693573+(-1.457325--0.938196))+0-186.6--0.856494000000032</f>
        <v>727.84379200000001</v>
      </c>
      <c r="M256" s="3">
        <f>800.8+(374-203)+(0.816816+(0.38148-0.20706))+0-184.9-0.188598000000029</f>
        <v>787.70263799999987</v>
      </c>
      <c r="N256" s="3">
        <f>792.3+(358.1-134)+(-0.808146+(-0.365262--0.13668))+0-188.3--0.19206600000003</f>
        <v>827.25533799999994</v>
      </c>
      <c r="O256" s="3">
        <f>758.1+(373-112)+(0.773262+(0.38046-0.11424))+0-187.4-0.19114800000003</f>
        <v>832.54833400000007</v>
      </c>
      <c r="P256" s="3">
        <f>777.9+(444.6-160.8)+(0.396729+(0.226746-0.082008))+0-192.8-0.0983279999999804</f>
        <v>869.34313900000018</v>
      </c>
      <c r="Q256" s="3">
        <f>773.2+(464.6-178.7)+(-0.788664+(-0.473892--0.182274))+0-179--0.182580000000029</f>
        <v>879.20229800000027</v>
      </c>
      <c r="R256" s="3">
        <f>770.2+(460.5-181.3)+(-1.571208+(-0.93942--0.369852))+0-177.4--0.361895999999992</f>
        <v>870.22112000000016</v>
      </c>
      <c r="S256" s="3">
        <f>769.6+(452.1-183.6)+(-0.784992+(-0.461142--0.187272))+0-186.6--0.19033200000003</f>
        <v>850.63146999999981</v>
      </c>
      <c r="T256" s="3">
        <f>766.3+(489.3-228.7)+(-1.563252+(-0.998172--0.466548))+0-183.2--0.373727999999992</f>
        <v>841.97885199999996</v>
      </c>
      <c r="U256" s="3">
        <f>766.6+(500.7-235.2)+(-0.781932+(-0.510714--0.239904))+0-181.9--0.185538000000029</f>
        <v>849.33279599999992</v>
      </c>
      <c r="V256" s="3">
        <f>772.6+(556.6-247.5)+(0+(0-0))+0-187.9-0</f>
        <v>893.80000000000007</v>
      </c>
      <c r="W256" s="3">
        <f>777.4+(556-187)+(0+(0-0))+0-187.4-0</f>
        <v>959.00000000000011</v>
      </c>
      <c r="X256" s="3">
        <f>780.6+(593.4-241.4)+(-1.592424+(-1.210536--0.492456))+0-189--0.385559999999992</f>
        <v>941.67505599999981</v>
      </c>
      <c r="Y256" s="3">
        <f>782.7+(541.5-231.8)+(1.197531+(0.828495-0.354654))+0-186.5-0.285345000000011</f>
        <v>907.2860270000001</v>
      </c>
      <c r="Z256" s="3">
        <f>789.4+(524.6-244.1)+(-1.207782+(-0.802638--0.373473))+0-189.6--0.290088000000011</f>
        <v>878.95314100000007</v>
      </c>
      <c r="AA256" s="3">
        <f>789.5+(494.2-245.9)+(-0.80529+(-0.504084--0.250818))+0-187.7--0.19145400000003</f>
        <v>849.23289799999998</v>
      </c>
      <c r="AB256" s="3">
        <f>793.4+(503.1-305)+(-1.213902+(-0.769743--0.46665))+0-184.6--0.282438000000011</f>
        <v>805.66544299999998</v>
      </c>
      <c r="AC256" s="3">
        <f>790.7+(506.1-352.8)+(-1.613028+(-1.032444--0.719712))+0-186.2--0.379847999999992</f>
        <v>756.25408800000014</v>
      </c>
      <c r="AD256" s="2">
        <v>906.00000000000023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795.7+(436.6-327.7)+(-2.029035+(-1.11333--0.835635))+0-188.8--0.481439999999973</f>
        <v>713.97471000000019</v>
      </c>
      <c r="G257" s="3">
        <f>784.4+(457-353.3)+(-1.600176+(-0.93228--0.720732))+0-187.5--0.382499999999992</f>
        <v>699.17077599999982</v>
      </c>
      <c r="H257" s="3">
        <f>778.4+(440.7-340.9)+(-0.793968+(-0.449514--0.347718))+0-187.5--0.19125000000003</f>
        <v>689.99548600000014</v>
      </c>
      <c r="I257" s="3">
        <f>783+(420.6-333.7)+(-1.19799+(-0.643518--0.510561))+0-189.4--0.289782000000011</f>
        <v>679.45883500000014</v>
      </c>
      <c r="J257" s="3">
        <f>778.9+(430.4-335.6)+(0+(0-0))+0-187.7-0</f>
        <v>686</v>
      </c>
      <c r="K257" s="3">
        <f>779.9+(458.1-336.4)+(1.193247+(0.700893-0.514692))+0-187.2-0.286416000000011</f>
        <v>715.49303199999997</v>
      </c>
      <c r="L257" s="3">
        <f>780.1+(531.6-346.8)+(-0.795702+(-0.542232--0.353736))+0-184.4--0.188088000000029</f>
        <v>779.70389000000011</v>
      </c>
      <c r="M257" s="3">
        <f>780.4+(549-304.8)+(1.99002+(1.39995-0.77724))+0-189.1-0.482204999999973</f>
        <v>837.63052499999992</v>
      </c>
      <c r="N257" s="3">
        <f>783.2+(572.7-293.9)+(0.798864+(0.584154-0.299778))+0-190.4-0.19420800000003</f>
        <v>872.48903199999995</v>
      </c>
      <c r="O257" s="3">
        <f>784+(525.2-243.7)+(0.79968+(0.535704-0.248574))+0-185.8-0.18951600000003</f>
        <v>880.59729400000003</v>
      </c>
      <c r="P257" s="3">
        <f>777.3+(539-235.4)+(-0.396423+(-0.27489--0.120054))+0-187.8--0.0957779999999809</f>
        <v>892.64451900000006</v>
      </c>
      <c r="Q257" s="3">
        <f>774.3+(540.3-232.5)+(-0.789786+(-0.551106--0.23715))+0-188.1--0.19186200000003</f>
        <v>893.08811999999989</v>
      </c>
      <c r="R257" s="3">
        <f>769.9+(533-241.7)+(-1.963245+(-1.35915--0.616335))+0-183.9--0.468944999999973</f>
        <v>875.06288500000005</v>
      </c>
      <c r="S257" s="3">
        <f>766.1+(534.5-245.2)+(0.390711+(0.272595-0.125052))+0-182-0.0928199999999815</f>
        <v>873.84543400000018</v>
      </c>
      <c r="T257" s="3">
        <f>762.7+(529.1-247.6)+(0+(0-0))+0-180.4-0</f>
        <v>863.80000000000007</v>
      </c>
      <c r="U257" s="3">
        <f>761.5+(524.1-236.5)+(-1.165095+(-0.801873--0.361845))+0-177.7--0.27188100000001</f>
        <v>870.06675799999982</v>
      </c>
      <c r="V257" s="3">
        <f>762.2+(553-222.2)+(0.388722+(0.28203-0.113322))+0-181.9-0.0927689999999815</f>
        <v>911.56466100000011</v>
      </c>
      <c r="W257" s="3">
        <f>767.2+(696.7-276.9)+(-0.782544+(-0.710634--0.282438))+0-183.5--0.187170000000029</f>
        <v>1002.4764300000001</v>
      </c>
      <c r="X257" s="3">
        <f>774.1+(770-375.4)+(0.394791+(0.3927-0.191454))+0-187.7-0.095726999999981</f>
        <v>981.50031000000001</v>
      </c>
      <c r="Y257" s="3">
        <f>776.7+(746.7-383.1)+(-1.188351+(-1.142451--0.586143))+0-187.3--0.286569000000011</f>
        <v>951.54191000000026</v>
      </c>
      <c r="Z257" s="3">
        <f>784.2+(723.8-393.7)+(-2.399652+(-2.214828--1.204722))+0-190.3--0.582318000000022</f>
        <v>921.17255999999998</v>
      </c>
      <c r="AA257" s="3">
        <f>787.3+(673.1-386.9)+(-2.810661+(-2.402967--1.381233))+0-192.5--0.687225000000003</f>
        <v>877.85483000000011</v>
      </c>
      <c r="AB257" s="3">
        <f>791.4+(669.2-427.2)+(-2.01807+(-1.70646--1.08936))+0-189.4--0.482969999999973</f>
        <v>841.84780000000012</v>
      </c>
      <c r="AC257" s="3">
        <f>743.8+(619.6-381.1)+(-1.89669+(-1.57998--0.971805))+0-186.9--0.476594999999973</f>
        <v>793.37172999999996</v>
      </c>
      <c r="AD257" s="2">
        <v>985.39999999999986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745.4+(658.7-485.2)+(-0.380154+(-0.335937--0.247452))+0-191.1--0.0974609999999806</f>
        <v>727.42882199999997</v>
      </c>
      <c r="G258" s="3">
        <f>753.1+(652.4-504.7)+(-1.536324+(-1.330896--1.029588))+0-189.8--0.387191999999992</f>
        <v>709.54956000000004</v>
      </c>
      <c r="H258" s="3">
        <f>754.1+(617.8-494.5)+(0+(0-0))+0-184.7-0</f>
        <v>692.7</v>
      </c>
      <c r="I258" s="3">
        <f>761.5+(621.2-518.5)+(1.165095+(0.950436-0.793305))+0-183.9-0.281367000000011</f>
        <v>681.34085900000002</v>
      </c>
      <c r="J258" s="3">
        <f>760.6+(605.6-492.2)+(1.551624+(1.235424-1.004088))+0-187.8-0.383111999999992</f>
        <v>687.59984800000007</v>
      </c>
      <c r="K258" s="3">
        <f>764.1+(525.4-390.4)+(-0.779382+(-0.535908--0.398208))+0-186.2--0.18992400000003</f>
        <v>712.17284199999995</v>
      </c>
      <c r="L258" s="3">
        <f>793.8+(512.6-319.8)+(0+(0-0))+0-184.6-0</f>
        <v>801.99999999999989</v>
      </c>
      <c r="M258" s="3">
        <f>789.8+(663.4-407.7)+(1.208394+(1.015002-0.623781))+0-188.3-0.288099000000011</f>
        <v>858.51151600000014</v>
      </c>
      <c r="N258" s="3">
        <f>786.8+(681.6-413.7)+(0+(0-0))+0-183.1-0</f>
        <v>871.6</v>
      </c>
      <c r="O258" s="3">
        <f>776.6+(638.3-359.5)+(0+(0-0))+0-168.8-0</f>
        <v>886.60000000000014</v>
      </c>
      <c r="P258" s="3">
        <f>767.9+(611.1-330.3)+(0+(0-0))+0-152.8-0</f>
        <v>895.90000000000009</v>
      </c>
      <c r="Q258" s="3">
        <f>712.5+(653.8-318.1)+(-1.090125+(-1.000314--0.486693))+0-147.5--0.225675000000009</f>
        <v>899.32192899999984</v>
      </c>
      <c r="R258" s="3">
        <f>568.9+(701.8-216.1)+(-1.450695+(-1.78959--0.551055))+0-156.4--0.398819999999977</f>
        <v>895.90958999999998</v>
      </c>
      <c r="S258" s="3">
        <f>619.2+(642.9-216.3)+(-0.631584+(-0.655758--0.220626))+0-168.9--0.172278000000027</f>
        <v>876.00556199999994</v>
      </c>
      <c r="T258" s="3">
        <f>482.9+(676.9-126.1)+(-0.246279+(-0.345219--0.064311))+0-169.7--0.0865469999999828</f>
        <v>863.55935999999986</v>
      </c>
      <c r="U258" s="3">
        <f>394+(734-97)+(0.60282+(1.12302-0.14841))+0-170.6-0.26101800000001</f>
        <v>861.71641199999999</v>
      </c>
      <c r="V258" s="3">
        <f>397.4+(812-113.7)+(0.202674+(0.41412-0.057987))+0-172.4-0.0879239999999825</f>
        <v>923.7708829999998</v>
      </c>
      <c r="W258" s="3">
        <f>398.3+(904.9-117.4)+(0.406266+(0.922998-0.119748))+0-175.4-0.178908000000028</f>
        <v>1011.4306079999999</v>
      </c>
      <c r="X258" s="3">
        <f>401.4+(870.9-97.1)+(0+(0-0))+0-176.2-0</f>
        <v>998.99999999999977</v>
      </c>
      <c r="Y258" s="3">
        <f>405.6+(827.6-84.8)+(0.413712+(0.844152-0.086496))+0-180.8-0.184416000000029</f>
        <v>968.58695200000011</v>
      </c>
      <c r="Z258" s="3">
        <f>404.5+(784.5-73.5)+(0+(0-0))+0-183.3-0</f>
        <v>932.2</v>
      </c>
      <c r="AA258" s="3">
        <f>403.7+(729.1-64.8)+(-0.411774+(-0.743682--0.066096))+0-177.5--0.181050000000028</f>
        <v>889.59169000000009</v>
      </c>
      <c r="AB258" s="3">
        <f>409.4+(701.9-93)+(-1.04397+(-1.789845--0.23715))+0-174.2--0.444209999999975</f>
        <v>841.94754499999988</v>
      </c>
      <c r="AC258" s="3">
        <f>408.1+(656.8-95)+(-1.040655+(-1.67484--0.24225))+0-175.5--0.447524999999975</f>
        <v>792.37427999999989</v>
      </c>
      <c r="AD258" s="2">
        <v>990.9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411+(629.1-107.5)+(-0.62883+(-0.962523--0.164475))+0-181.1--0.27708300000001</f>
        <v>750.35020500000007</v>
      </c>
      <c r="G259" s="3">
        <f>413+(618.2-121.6)+(-0.42126+(-0.630564--0.124032))+0-176.9--0.180438000000028</f>
        <v>731.95264600000007</v>
      </c>
      <c r="H259" s="3">
        <f>414+(586.9-101.6)+(-0.42228+(-0.598638--0.103632))+0-175.7--0.179214000000028</f>
        <v>722.86192800000003</v>
      </c>
      <c r="I259" s="3">
        <f>415.5+(581.7-99.4)+(-0.635715+(-0.890001--0.152082))+0-173.7--0.26576100000001</f>
        <v>722.9921270000001</v>
      </c>
      <c r="J259" s="3">
        <f>413.3+(595.6-110.2)+(0.210783+(0.303756-0.056202))+0-171.6-0.0875159999999826</f>
        <v>727.47082100000011</v>
      </c>
      <c r="K259" s="3">
        <f>415.3+(661.7-146.2)+(0+(0-0))+0-170.6-0</f>
        <v>760.19999999999993</v>
      </c>
      <c r="L259" s="3">
        <f>417.2+(753.1-172.4)+(-1.06386+(-1.920405--0.43962))+0-171.6--0.437579999999975</f>
        <v>824.19293500000015</v>
      </c>
      <c r="M259" s="3">
        <f>412.4+(796.6-164)+(1.05162+(2.03133-0.4182))+0-174.8-0.445739999999975</f>
        <v>872.41900999999996</v>
      </c>
      <c r="N259" s="3">
        <f>410.7+(767.7-99.3)+(0.418914+(0.783054-0.101286))+0-173.6-0.177072000000028</f>
        <v>906.42361000000005</v>
      </c>
      <c r="O259" s="3">
        <f>416.8+(746.1-87.3)+(0.637704+(1.141533-0.133569))+0-171.3-0.26208900000001</f>
        <v>905.68357900000001</v>
      </c>
      <c r="P259" s="3">
        <f>195.6+(975.2-70.2)+(-0.49878+(-2.48676--0.17901))+0-160.4--0.409019999999977</f>
        <v>937.80248999999981</v>
      </c>
      <c r="Q259" s="3">
        <f>86.5+(1088.1-71.3)+(-0.17646+(-2.219724--0.145452))+0-160.7--0.327827999999993</f>
        <v>940.67709599999989</v>
      </c>
      <c r="R259" s="3">
        <f>181.7+(979-84)+(-0.741336+(-3.99432--0.34272))+0-163.3--0.666263999999986</f>
        <v>909.67332800000008</v>
      </c>
      <c r="S259" s="3">
        <f>246.4+(876.7-66.9)+(-0.376992+(-1.341351--0.102357))+0-159.1--0.243423000000009</f>
        <v>895.72743700000001</v>
      </c>
      <c r="T259" s="3">
        <f>382+(725.8-61.7)+(-0.19482+(-0.370158--0.031467))+0-164.5--0.0838949999999833</f>
        <v>881.1503839999998</v>
      </c>
      <c r="U259" s="3">
        <f>478.8+(633.7-71)+(-0.244188+(-0.323187--0.03621))+0-159.1--0.0811409999999839</f>
        <v>881.94997599999988</v>
      </c>
      <c r="V259" s="3">
        <f>547.8+(675.1-129.9)+(0.279378+(0.344301-0.066249))+0-161.8-0.0825179999999836</f>
        <v>931.67491200000018</v>
      </c>
      <c r="W259" s="3">
        <f>578.7+(746.4-137.3)+(0+(0-0))+0-163.4-0</f>
        <v>1024.3999999999999</v>
      </c>
      <c r="X259" s="3">
        <f>584.7+(712.3-118.1)+(-1.490985+(-1.816365--0.301155))+0-167.2--0.426359999999976</f>
        <v>1009.120165</v>
      </c>
      <c r="Y259" s="3">
        <f>586.8+(656.8-105.4)+(-1.197072+(-1.339872--0.215016))+0-165.9--0.338435999999993</f>
        <v>970.31650799999977</v>
      </c>
      <c r="Z259" s="3">
        <f>586.3+(625.4-108)+(-0.598026+(-0.637908--0.11016))+0-168.9--0.172278000000027</f>
        <v>933.84650399999975</v>
      </c>
      <c r="AA259" s="3">
        <f>590.3+(604.9-117.8)+(-1.806318+(-1.850994--0.360468))+0-168.3--0.51499800000002</f>
        <v>906.31815399999994</v>
      </c>
      <c r="AB259" s="3">
        <f>592.6+(610.9-159)+(-1.51113+(-1.557795--0.40545))+0-181.1--0.461804999999974</f>
        <v>861.19832999999994</v>
      </c>
      <c r="AC259" s="3">
        <f>595.7+(622.9-221.8)+(-0.911421+(-0.953037--0.339354))+0-186.4--0.285192000000011</f>
        <v>809.16008799999997</v>
      </c>
      <c r="AD259" s="2">
        <v>1004.7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596.2+(573.8-215.9)+(0+(0-0))+0-182.2-0</f>
        <v>771.90000000000009</v>
      </c>
      <c r="G260" s="3">
        <f>599.2+(615.5-274.3)+(-0.611184+(-0.62781--0.279786))+0-184.4--0.188088000000029</f>
        <v>755.22888000000012</v>
      </c>
      <c r="H260" s="3">
        <f>601.3+(623.3-295.9)+(0.306663+(0.317883-0.150909))+0-182.5-0.0930749999999815</f>
        <v>746.58056199999999</v>
      </c>
      <c r="I260" s="3">
        <f>601.8+(587-263.3)+(0.920754+(0.89811-0.402849))+0-182.6-0.279378000000011</f>
        <v>744.03663699999993</v>
      </c>
      <c r="J260" s="3">
        <f>603.2+(612-289.7)+(0+(0-0))+0-181.3-0</f>
        <v>744.2</v>
      </c>
      <c r="K260" s="3">
        <f>601.6+(677.1-333.5)+(0.613632+(0.690642-0.34017))+0-180.2-0.183804000000029</f>
        <v>765.78030000000012</v>
      </c>
      <c r="L260" s="3">
        <f>601.7+(737.5-339)+(-0.613734+(-0.75225--0.34578))+0-174.6--0.178092000000028</f>
        <v>824.75788799999998</v>
      </c>
      <c r="M260" s="3">
        <f>599.3+(754.3-318.3)+(0.611286+(0.769386-0.324666))+0-184.8-0.188496000000029</f>
        <v>851.36751000000004</v>
      </c>
      <c r="N260" s="3">
        <f>593.1+(807.7-317)+(0.604962+(0.823854-0.32334))+0-189.5-0.19329000000003</f>
        <v>895.21218600000009</v>
      </c>
      <c r="O260" s="3">
        <f>589.5+(817.7-300.6)+(-1.80387+(-2.502162--0.919836))+0-182.8--0.559368000000021</f>
        <v>920.97317200000009</v>
      </c>
      <c r="P260" s="3">
        <f>575.4+(781.1-250.3)+(0+(0-0))+0-180.3-0</f>
        <v>925.89999999999986</v>
      </c>
      <c r="Q260" s="3">
        <f>591.3+(848.3-306.1)+(0.301563+(0.432633-0.156111))+0-181.6-0.0926159999999816</f>
        <v>952.38546900000006</v>
      </c>
      <c r="R260" s="3">
        <f>589.8+(851.2-335.3)+(-0.601596+(-0.868224--0.342006))+0-178.1--0.181662000000028</f>
        <v>926.65384800000015</v>
      </c>
      <c r="S260" s="3">
        <f>585.2+(785.3-284.4)+(-0.895356+(-1.201509--0.435132))+0-176--0.26928000000001</f>
        <v>908.70754699999998</v>
      </c>
      <c r="T260" s="3">
        <f>582.9+(756.8-271.3)+(0.594558+(0.771936-0.276726))+0-172.7-0.176154000000028</f>
        <v>896.61361399999987</v>
      </c>
      <c r="U260" s="3">
        <f>582.6+(735.2-235.4)+(-0.594252+(-0.749904--0.240108))+0-179.3--0.182886000000029</f>
        <v>902.17883800000027</v>
      </c>
      <c r="V260" s="3">
        <f>585.1+(785.7-229.8)+(-0.298401+(-0.400707--0.117198))+0-185.5--0.0946049999999812</f>
        <v>955.01269499999989</v>
      </c>
      <c r="W260" s="3">
        <f>590.7+(848.9-217.6)+(0.301257+(0.432939-0.110976))+0-183.6-0.0936359999999814</f>
        <v>1038.929584</v>
      </c>
      <c r="X260" s="3">
        <f>596.3+(795.1-186.9)+(-1.520565+(-2.027505--0.476595))+0-183.9--0.468944999999973</f>
        <v>1017.99747</v>
      </c>
      <c r="Y260" s="3">
        <f>591.1+(830.3-238.9)+(-1.205844+(-1.693812--0.487356))+0-185--0.377399999999992</f>
        <v>995.46510000000001</v>
      </c>
      <c r="Z260" s="3">
        <f>598.1+(817.4-262.1)+(-1.220124+(-1.667496--0.534684))+0-189.3--0.386171999999992</f>
        <v>962.13323600000012</v>
      </c>
      <c r="AA260" s="3">
        <f>600.2+(795-276.1)+(-0.918306+(-1.21635--0.422433))+0-190.3--0.291159000000011</f>
        <v>927.37893599999995</v>
      </c>
      <c r="AB260" s="3">
        <f>599.5+(783.5-310)+(-1.528725+(-1.997925--0.7905))+0-187.5--0.478124999999973</f>
        <v>883.24197500000002</v>
      </c>
      <c r="AC260" s="3">
        <f>602.6+(825.6-400.8)+(-1.229304+(-1.684224--0.817632))+0-189.5--0.386579999999992</f>
        <v>836.19068400000003</v>
      </c>
      <c r="AD260" s="2">
        <v>1024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604.9+(811.6-423.7)+(-1.850994+(-2.483496--1.296522))+0-190.1--0.581706000000022</f>
        <v>800.24373800000001</v>
      </c>
      <c r="G261" s="3">
        <f>606.6+(816.5-454.4)+(0.309366+(0.416415-0.231744))+0-188-0.0958799999999809</f>
        <v>781.09815700000013</v>
      </c>
      <c r="H261" s="3">
        <f>608+(769-415.9)+(0+(0-0))+0-187.9-0</f>
        <v>773.2</v>
      </c>
      <c r="I261" s="3">
        <f>607.5+(698.6-359.4)+(0+(0-0))+0-188.9-0</f>
        <v>757.80000000000007</v>
      </c>
      <c r="J261" s="3">
        <f>607.5+(655-316.8)+(1.2393+(1.3362-0.646272))+0-188.6-0.384743999999992</f>
        <v>758.64448400000003</v>
      </c>
      <c r="K261" s="3">
        <f>610.1+(728.5-376.4)+(1.244604+(1.48614-0.767856))+0-186.4-0.380255999999992</f>
        <v>777.38263200000006</v>
      </c>
      <c r="L261" s="3">
        <f>608.5+(825.4-424.4)+(0.62067+(0.841908-0.432888))+0-185.2-0.18890400000003</f>
        <v>825.14078600000005</v>
      </c>
      <c r="M261" s="3">
        <f>606.6+(892.5-424.3)+(-0.618732+(-0.91035--0.432786))+0-187.8--0.19155600000003</f>
        <v>886.09526000000005</v>
      </c>
      <c r="N261" s="3">
        <f>603.2+(910.4-385.3)+(0.922896+(1.392912-0.589509))+0-188.4-0.288252000000011</f>
        <v>941.33804699999985</v>
      </c>
      <c r="O261" s="3">
        <f>601.9+(904.9-370.3)+(0.306969+(0.461499-0.188853))+0-184.3-0.0939929999999813</f>
        <v>952.68562200000019</v>
      </c>
      <c r="P261" s="3">
        <f>598.5+(863.7-314.1)+(-0.305235+(-0.440487--0.160191))+0-182.9--0.0932789999999814</f>
        <v>964.70774799999992</v>
      </c>
      <c r="Q261" s="3">
        <f>588.9+(847.7-290.3)+(-1.201356+(-1.729308--0.592212))+0-182.4--0.372095999999992</f>
        <v>961.93364400000019</v>
      </c>
      <c r="R261" s="3">
        <f>585+(775.5-249.4)+(-1.49175+(-1.977525--0.63597))+0-178.4--0.454919999999974</f>
        <v>930.32161499999984</v>
      </c>
      <c r="S261" s="3">
        <f>584.2+(721.4-220.1)+(-2.383536+(-2.943312--0.898008))+0-177.4--0.723791999999985</f>
        <v>904.39495199999999</v>
      </c>
      <c r="T261" s="3">
        <f>581.5+(750.2-262.6)+(0.296565+(0.382602-0.133926))+0-179.6-0.0915959999999818</f>
        <v>889.95364499999994</v>
      </c>
      <c r="U261" s="3">
        <f>582.9+(777.2-283.7)+(-0.891837+(-1.189116--0.434061))+0-180.1--0.27555300000001</f>
        <v>894.92866100000015</v>
      </c>
      <c r="V261" s="3">
        <f>584.7+(817.6-286.6)+(-1.192788+(-1.667904--0.584664))+0-182.5--0.372299999999992</f>
        <v>931.29627200000004</v>
      </c>
      <c r="W261" s="3">
        <f>586.8+(888.5-259.5)+(-0.598536+(-0.90627--0.26469))+0-183.2--0.186864000000029</f>
        <v>1031.546748</v>
      </c>
      <c r="X261" s="3">
        <f>590.2+(827.5-239.7)+(-1.806012+(-2.53215--0.733482))+0-185.1--0.566406000000021</f>
        <v>989.86172600000009</v>
      </c>
      <c r="Y261" s="3">
        <f>591.9+(816.9-264.9)+(-1.207476+(-1.666476--0.540396))+0-188.8--0.385151999999992</f>
        <v>953.15159600000004</v>
      </c>
      <c r="Z261" s="3">
        <f>592.1+(799.8-273.9)+(-1.509855+(-2.03949--0.698445))+0-191.3--0.487814999999972</f>
        <v>924.33691500000009</v>
      </c>
      <c r="AA261" s="3">
        <f>594.1+(775.2-277.2)+(-0.908973+(-1.186056--0.424116))+0-196--0.299880000000011</f>
        <v>894.72896700000024</v>
      </c>
      <c r="AB261" s="3">
        <f>594.6+(774.9-324.5)+(-1.212984+(-1.580796--0.66198))+0-192--0.391679999999992</f>
        <v>851.25987999999984</v>
      </c>
      <c r="AC261" s="3">
        <f>596.6+(778.7-376.3)+(-0.304266+(-0.397137--0.191913))+0-187.2--0.095471999999981</f>
        <v>811.38598200000001</v>
      </c>
      <c r="AD261" s="2">
        <v>1037.8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600.8+(755-395.1)+(-1.225632+(-1.5402--0.806004))+0-186--0.379439999999992</f>
        <v>773.11961199999996</v>
      </c>
      <c r="G262" s="3">
        <f>597.9+(790.3-450)+(-0.609858+(-0.806106--0.459))+0-183.5--0.187170000000029</f>
        <v>753.930206</v>
      </c>
      <c r="H262" s="3">
        <f>597.5+(712.6-393.6)+(-0.304725+(-0.363426--0.200736))+0-181.8--0.0927179999999816</f>
        <v>734.32530299999996</v>
      </c>
      <c r="I262" s="3">
        <f>596.5+(661.2-354.3)+(0.304215+(0.337212-0.180693))+0-181.7-0.0926669999999816</f>
        <v>722.06806700000004</v>
      </c>
      <c r="J262" s="3">
        <f>599.1+(671.5-348.6)+(-1.222164+(-1.36986--0.711144))+0-182.8--0.372911999999992</f>
        <v>737.69203199999993</v>
      </c>
      <c r="K262" s="3">
        <f>597.2+(721-387.1)+(0.609144+(0.73542-0.394842))+0-173.8-0.177276000000028</f>
        <v>758.07244600000001</v>
      </c>
      <c r="L262" s="3">
        <f>595.4+(802.3-423.4)+(-0.303654+(-0.409173--0.215934))+0-171.2--0.0873119999999826</f>
        <v>802.69041899999991</v>
      </c>
      <c r="M262" s="3">
        <f>594.4+(861.8-409.1)+(-0.303144+(-0.439518--0.208641))+0-179.2--0.0913919999999818</f>
        <v>867.45737099999985</v>
      </c>
      <c r="N262" s="3">
        <f>594.2+(862.2-349.8)+(0.909126+(1.319166-0.535194))+0-185.8-0.284274000000011</f>
        <v>922.20882400000016</v>
      </c>
      <c r="O262" s="3">
        <f>595.8+(820.2-284.7)+(0.303858+(0.418302-0.145197))+0-186.2-0.0949619999999811</f>
        <v>945.58200099999988</v>
      </c>
      <c r="P262" s="3">
        <f>561.5+(816.8-229)+(1.14546+(1.666272-0.46716))+0-188.5-0.384539999999992</f>
        <v>962.76003199999991</v>
      </c>
      <c r="Q262" s="3">
        <f>579.4+(804.5-237)+(-0.886482+(-1.230885--0.36261))+0-186--0.284580000000011</f>
        <v>959.42982300000017</v>
      </c>
      <c r="R262" s="3">
        <f>582.3+(772.6-245.9)+(-1.781838+(-2.364156--0.752454))+0-187.2--0.572832000000022</f>
        <v>918.97929199999999</v>
      </c>
      <c r="S262" s="3">
        <f>573.3+(802.2-302.6)+(-0.584766+(-0.818244--0.308652))+0-187--0.19074000000003</f>
        <v>884.99638200000004</v>
      </c>
      <c r="T262" s="3">
        <f>569+(783.4-299.2)+(-0.29019+(-0.399534--0.152592))+0-190.4--0.0971039999999807</f>
        <v>862.35997200000008</v>
      </c>
      <c r="U262" s="3">
        <f>566.5+(806.5-319.3)+(0.57783+(0.82263-0.325686))+0-192-0.195840000000031</f>
        <v>862.578934</v>
      </c>
      <c r="V262" s="3">
        <f>567.5+(841.4-322.5)+(-1.1577+(-1.716456--0.6579))+0-195.5--0.398819999999991</f>
        <v>889.08256400000016</v>
      </c>
      <c r="W262" s="3">
        <f>572+(908.2-322.8)+(0.29172+(0.463182-0.164628))+0-195.1-0.0995009999999802</f>
        <v>962.79077299999994</v>
      </c>
      <c r="X262" s="3">
        <f>574.4+(906.4-343.9)+(-1.757664+(-2.773584--1.052334))+0-193.2--0.591192000000022</f>
        <v>940.81227799999999</v>
      </c>
      <c r="Y262" s="3">
        <f>564.3+(852.9-310.4)+(-1.151172+(-1.739916--0.633216))+0-194.1--0.395963999999991</f>
        <v>910.83809199999996</v>
      </c>
      <c r="Z262" s="3">
        <f>577.6+(840.9-339.3)+(-1.178304+(-1.715436--0.692172))+0-194.5--0.396779999999992</f>
        <v>882.89521200000013</v>
      </c>
      <c r="AA262" s="3">
        <f>580.2+(802.4-339.3)+(-0.591804+(-0.818448--0.346086))+0-196.4--0.200328000000031</f>
        <v>846.0361620000001</v>
      </c>
      <c r="AB262" s="3">
        <f>578.5+(749.7-331.6)+(-0.295035+(-0.382347--0.169116))+0-190.1--0.0969509999999807</f>
        <v>806.08868499999994</v>
      </c>
      <c r="AC262" s="3">
        <f>583+(660-294)+(-1.48665+(-1.683--0.7497))+0-185.5--0.473024999999973</f>
        <v>761.55307500000004</v>
      </c>
      <c r="AD262" s="2">
        <v>950.30000000000007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583.6+(679.5-335.4)+(0+(0-0))+0-188.9-0</f>
        <v>738.80000000000007</v>
      </c>
      <c r="G263" s="3">
        <f>586.1+(670-362)+(-0.896733+(-1.0251--0.55386))+0-187.4--0.286722000000011</f>
        <v>705.61874900000009</v>
      </c>
      <c r="H263" s="3">
        <f>587.1+(667-372.1)+(0+(0-0))+0-183-0</f>
        <v>699</v>
      </c>
      <c r="I263" s="3">
        <f>593.6+(699.7-419.4)+(0.605472+(0.713694-0.427788))+0-178.7-0.182274000000028</f>
        <v>695.90910400000007</v>
      </c>
      <c r="J263" s="3">
        <f>589.9+(705.8-411.8)+(-0.902547+(-1.079874--0.630054))+0-188.3--0.288099000000011</f>
        <v>694.53573199999994</v>
      </c>
      <c r="K263" s="3">
        <f>592.7+(704.4-399.2)+(0.906831+(1.077732-0.610776))+0-188.9-0.289017000000011</f>
        <v>710.08477000000005</v>
      </c>
      <c r="L263" s="3">
        <f>594.6+(699.5-371.7)+(-0.606492+(-0.71349--0.379134))+0-187.4--0.19114800000003</f>
        <v>734.25030000000015</v>
      </c>
      <c r="M263" s="3">
        <f>597.5+(617.3-261)+(-1.82835+(-1.888938--0.79866))+0-187.8--0.574668000000022</f>
        <v>763.65603999999985</v>
      </c>
      <c r="N263" s="3">
        <f>587.4+(568.1-170)+(-0.898722+(-0.869193--0.2601))+0-190.9--0.292077000000011</f>
        <v>793.38426200000004</v>
      </c>
      <c r="O263" s="3">
        <f>573.4+(585.4-146.2)+(0+(0-0))+0-187-0</f>
        <v>825.59999999999991</v>
      </c>
      <c r="P263" s="3">
        <f>571.3+(616-152.5)+(0+(0-0))+0-186.9-0</f>
        <v>847.9</v>
      </c>
      <c r="Q263" s="3">
        <f>580.9+(625.2-158.9)+(-0.592518+(-0.637704--0.162078))+0-189.6--0.19339200000003</f>
        <v>856.72524799999997</v>
      </c>
      <c r="R263" s="3">
        <f>578.5+(616.1-161)+(-1.18014+(-1.256844--0.32844))+0-190.6--0.388823999999992</f>
        <v>841.28027999999995</v>
      </c>
      <c r="S263" s="3">
        <f>574.8+(628.1-181.8)+(-0.293148+(-0.320331--0.092718))+0-194.2--0.0990419999999803</f>
        <v>826.47828099999981</v>
      </c>
      <c r="T263" s="3">
        <f>576+(610.9-173.5)+(-2.05632+(-2.180913--0.619395))+0-191.8--0.684726000000003</f>
        <v>818.66688799999997</v>
      </c>
      <c r="U263" s="3">
        <f>571.2+(599-164.3)+(0.291312+(0.30549-0.083793))+0-191.1-0.0974609999999806</f>
        <v>815.21554800000013</v>
      </c>
      <c r="V263" s="3">
        <f>572.1+(728.6-255.5)+(-0.291771+(-0.371586--0.130305))+0-191.7--0.0977669999999806</f>
        <v>853.06471499999998</v>
      </c>
      <c r="W263" s="3">
        <f>572.6+(754.2-177.6)+(0+(0-0))+0-196.4-0</f>
        <v>952.80000000000007</v>
      </c>
      <c r="X263" s="3">
        <f>580.7+(744.3-167.5)+(-0.888471+(-1.138779--0.256275))+0-196--0.299880000000011</f>
        <v>960.02890500000012</v>
      </c>
      <c r="Y263" s="3">
        <f>587.9+(715.3-168.4)+(-0.899487+(-1.094409--0.257652))+0-197.9--0.302787000000011</f>
        <v>935.466543</v>
      </c>
      <c r="Z263" s="3">
        <f>591.1+(686.9-180.7)+(-1.507305+(-1.751595--0.460785))+0-196.2--0.500309999999972</f>
        <v>898.80219499999987</v>
      </c>
      <c r="AA263" s="3">
        <f>589.3+(659.5-173)+(0+(0-0))+0-196.9-0</f>
        <v>878.9</v>
      </c>
      <c r="AB263" s="3">
        <f>584.5+(688.2-244.7)+(-1.19238+(-1.403928--0.499188))+0-192.8--0.393311999999992</f>
        <v>833.49619200000018</v>
      </c>
      <c r="AC263" s="3">
        <f>608.3+(624.3-256.8)+(-2.171631+(-2.228751--0.916776))+0-190.8--0.681156000000003</f>
        <v>782.19754999999998</v>
      </c>
      <c r="AD263" s="2">
        <v>938.70000000000016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608.4+(575.8-236.5)+(1.55142+(1.46829-0.603075))+0-194.5-0.495974999999972</f>
        <v>755.12066000000004</v>
      </c>
      <c r="G264" s="3">
        <f>608.3+(573.4-260.8)+(0.620466+(0.584868-0.266016))+0-191.2-0.19502400000003</f>
        <v>730.44429399999979</v>
      </c>
      <c r="H264" s="3">
        <f>611.7+(555.8-257.4)+(-0.935901+(-0.850374--0.393822))+0-194.5--0.297585000000011</f>
        <v>714.505132</v>
      </c>
      <c r="I264" s="3">
        <f>610.9+(527.4-235.9)+(0+(0-0))+0-193.2-0</f>
        <v>709.2</v>
      </c>
      <c r="J264" s="3">
        <f>617.4+(567.2-273.6)+(0.314874+(0.289272-0.139536))+0-192.2-0.0980219999999805</f>
        <v>719.16658799999993</v>
      </c>
      <c r="K264" s="3">
        <f>617.6+(620.6-301.9)+(1.259904+(1.266024-0.615876))+0-186.3-0.380051999999992</f>
        <v>751.53</v>
      </c>
      <c r="L264" s="3">
        <f>610.5+(642.9-259.5)+(0.934065+(0.983637-0.397035))+0-186.3-0.285039000000011</f>
        <v>808.83562799999993</v>
      </c>
      <c r="M264" s="3">
        <f>609.3+(650.5-223.3)+(-0.932229+(-0.995265--0.341649))+0-187.7--0.287181000000011</f>
        <v>847.50133599999992</v>
      </c>
      <c r="N264" s="3">
        <f>603.2+(645.2-196.7)+(0.307632+(0.329052-0.100317))+0-182.7-0.0931769999999815</f>
        <v>869.44318999999996</v>
      </c>
      <c r="O264" s="3">
        <f>594.9+(664.6-212.7)+(-1.213596+(-1.355784--0.433908))+0-170--0.346799999999993</f>
        <v>875.01132800000005</v>
      </c>
      <c r="P264" s="3">
        <f>591.8+(621.1-174.4)+(0.603636+(0.633522-0.177888))+0-161.7-0.164934000000026</f>
        <v>877.69433599999991</v>
      </c>
      <c r="Q264" s="3">
        <f>585+(652.6-191.9)+(-0.5967+(-0.665652--0.195738))+0-164.8--0.168096000000026</f>
        <v>880.00148200000001</v>
      </c>
      <c r="R264" s="3">
        <f>573.3+(660.4-189)+(-0.877149+(-1.010412--0.28917))+0-165.1--0.25260300000001</f>
        <v>878.25421199999982</v>
      </c>
      <c r="S264" s="3">
        <f>585.5+(662.4-213)+(-0.298605+(-0.337824--0.10863))+0-163.1--0.0831809999999834</f>
        <v>871.35538200000008</v>
      </c>
      <c r="T264" s="3">
        <f>585.2+(645.1-206.5)+(0.298452+(0.329001-0.105315))+0-165-0.0841499999999833</f>
        <v>859.23798799999997</v>
      </c>
      <c r="U264" s="3">
        <f>584.3+(652.6-228.4)+(-0.297993+(-0.332826--0.116484))+0-155.7--0.0794069999999842</f>
        <v>852.36507200000005</v>
      </c>
      <c r="V264" s="3">
        <f>585.7+(695.8-232.7)+(0.298707+(0.354858-0.118677))+0-164-0.0836399999999834</f>
        <v>885.25124799999992</v>
      </c>
      <c r="W264" s="3">
        <f>589.2+(746.6-187.7)+(-0.600984+(-0.761532--0.191454))+0-165.1--0.168402000000026</f>
        <v>981.99734000000024</v>
      </c>
      <c r="X264" s="3">
        <f>594.3+(738.6-184.3)+(-0.606186+(-0.753372--0.187986))+0-190.2--0.19400400000003</f>
        <v>957.42243199999996</v>
      </c>
      <c r="Y264" s="3">
        <f>597.9+(724.5-188.8)+(-1.219716+(-1.47798--0.385152))+0-195.5--0.398819999999991</f>
        <v>936.18627600000002</v>
      </c>
      <c r="Z264" s="3">
        <f>598.2+(668.7-168.4)+(0+(0-0))+0-193.1-0</f>
        <v>905.4</v>
      </c>
      <c r="AA264" s="3">
        <f>603.3+(647.1-180)+(-2.153781+(-2.310147--0.6426))+0-195.9--0.699363000000003</f>
        <v>871.37803500000007</v>
      </c>
      <c r="AB264" s="3">
        <f>604.1+(606.3-189.2)+(-0.616182+(-0.618426--0.192984))+0-199--0.202980000000032</f>
        <v>821.36135600000011</v>
      </c>
      <c r="AC264" s="3">
        <f>607.9+(578.4-210.2)+(-1.240116+(-1.179936--0.428808))+0-202.2--0.412487999999991</f>
        <v>772.32124399999975</v>
      </c>
      <c r="AD264" s="2">
        <v>972.7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606.1+(624.6-319.2)+(-1.236444+(-1.274184--0.651168))+0-194.8--0.397391999999992</f>
        <v>715.23793199999989</v>
      </c>
      <c r="G265" s="3">
        <f>605.6+(615.3-315.5)+(0+(0-0))+0-195.5-0</f>
        <v>709.9</v>
      </c>
      <c r="H265" s="3">
        <f>607.3+(611.6-321.3)+(-1.238892+(-1.247664--0.655452))+0-193--0.393719999999992</f>
        <v>703.16261599999996</v>
      </c>
      <c r="I265" s="3">
        <f>608.6+(536.6-253.5)+(1.241544+(1.094664-0.51714))+0-198.8-0.405551999999991</f>
        <v>694.31351600000016</v>
      </c>
      <c r="J265" s="3">
        <f>608+(600.3-311.2)+(0.31008+(0.306153-0.158712))+0-195.9-0.0999089999999801</f>
        <v>701.55761199999995</v>
      </c>
      <c r="K265" s="3">
        <f>607.3+(636.8-310.6)+(0+(0-0))+0-193.7-0</f>
        <v>739.8</v>
      </c>
      <c r="L265" s="3">
        <f>607.6+(693.1-312.5)+(0+(0-0))+0-177.6-0</f>
        <v>810.6</v>
      </c>
      <c r="M265" s="3">
        <f>605.4+(694.9-271)+(0.617508+(0.708798-0.27642))+0-179.9-0.183498000000029</f>
        <v>850.26638800000001</v>
      </c>
      <c r="N265" s="3">
        <f>602.8+(644.7-187.1)+(-0.614856+(-0.657594--0.190842))+0-182.1--0.185742000000029</f>
        <v>877.40413400000011</v>
      </c>
      <c r="O265" s="3">
        <f>599.5+(634.9-178.3)+(0.917235+(0.971397-0.272799))+0-180.4-0.27601200000001</f>
        <v>877.03982099999996</v>
      </c>
      <c r="P265" s="3">
        <f>599+(623.8-151.8)+(-0.30549+(-0.318138--0.077418))+0-176.3--0.0899129999999821</f>
        <v>894.2437030000001</v>
      </c>
      <c r="Q265" s="3">
        <f>593.8+(600-128)+(-1.817028+(-1.836--0.39168))+0-178--0.544680000000021</f>
        <v>885.08333199999993</v>
      </c>
      <c r="R265" s="3">
        <f>594.4+(589.8-130.6)+(0.606288+(0.601596-0.133212))+0-179.8-0.183396000000029</f>
        <v>874.6912759999999</v>
      </c>
      <c r="S265" s="3">
        <f>592.4+(560-114.3)+(0+(0-0))+0-175.5-0</f>
        <v>862.59999999999991</v>
      </c>
      <c r="T265" s="3">
        <f>591.2+(576.2-135.7)+(0+(0-0))+0-182.8-0</f>
        <v>848.90000000000009</v>
      </c>
      <c r="U265" s="3">
        <f>592.6+(586.5-149)+(-0.604452+(-0.59823--0.15198))+0-178.9--0.182478000000029</f>
        <v>850.33177599999999</v>
      </c>
      <c r="V265" s="3">
        <f>594.6+(645.7-168.7)+(0+(0-0))+0-178.7-0</f>
        <v>892.90000000000009</v>
      </c>
      <c r="W265" s="3">
        <f>592.9+(777.8-202.4)+(-0.302379+(-0.396678--0.103224))+0-179.7--0.0916469999999818</f>
        <v>988.09581399999979</v>
      </c>
      <c r="X265" s="3">
        <f>600.1+(765.7-197.8)+(-1.530255+(-1.952535--0.50439))+0-178.4--0.454919999999974</f>
        <v>987.07652000000007</v>
      </c>
      <c r="Y265" s="3">
        <f>605.8+(717.5-180.7)+(-1.235832+(-1.4637--0.368628))+0-176.3--0.359651999999992</f>
        <v>964.32874800000002</v>
      </c>
      <c r="Z265" s="3">
        <f>607.8+(658.6-159.5)+(-0.619956+(-0.671772--0.16269))+0-176.5--0.180030000000028</f>
        <v>929.45099200000004</v>
      </c>
      <c r="AA265" s="3">
        <f>607.2+(616.3-153.5)+(-0.619344+(-0.628626--0.15657))+0-179.1--0.182682000000029</f>
        <v>889.99128199999996</v>
      </c>
      <c r="AB265" s="3">
        <f>608.2+(567.9-157.4)+(-0.930546+(-0.868887--0.240822))+0-179.4--0.27448200000001</f>
        <v>838.01587100000006</v>
      </c>
      <c r="AC265" s="3">
        <f>579.3+(524.8-147.6)+(-1.477215+(-1.33824--0.37638))+0-179.4--0.457469999999974</f>
        <v>775.11839499999985</v>
      </c>
      <c r="AD265" s="2">
        <v>973.39999999999986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607.2+(512.7-187.5)+(0.619344+(0.522954-0.19125))+0-183.6-0.187272000000029</f>
        <v>749.56377600000008</v>
      </c>
      <c r="G266" s="3">
        <f>609.2+(476.3-183.4)+(-0.621384+(-0.485826--0.187068))+0-182--0.185640000000029</f>
        <v>719.365498</v>
      </c>
      <c r="H266" s="3">
        <f>608.6+(429.6-149.8)+(-0.620772+(-0.438192--0.152796))+0-180.9--0.184518000000029</f>
        <v>706.77835000000016</v>
      </c>
      <c r="I266" s="3">
        <f>611.3+(430.2-156.8)+(0.935289+(0.658206-0.239904))+0-180.5-0.27616500000001</f>
        <v>705.27742599999999</v>
      </c>
      <c r="J266" s="3">
        <f>613.3+(420.6-143.5)+(0.312783+(0.214506-0.073185))+0-179.5-0.0915449999999818</f>
        <v>711.26255900000001</v>
      </c>
      <c r="K266" s="3">
        <f>611.5+(575.1-256.9)+(-0.62373+(-0.586602--0.262038))+0-178.6--0.182172000000028</f>
        <v>750.33387800000003</v>
      </c>
      <c r="L266" s="3">
        <f>612.5+(624.2-257.8)+(-0.312375+(-0.318342--0.131478))+0-177.9--0.0907289999999819</f>
        <v>800.59149000000014</v>
      </c>
      <c r="M266" s="3">
        <f>609.7+(610.4-211.1)+(-0.310947+(-0.311304--0.107661))+0-168.8--0.0860879999999829</f>
        <v>839.77149800000007</v>
      </c>
      <c r="N266" s="3">
        <f>605.1+(620.7-189.6)+(0.308601+(0.316557-0.096696))+0-155.8-0.0794579999999842</f>
        <v>880.84900400000015</v>
      </c>
      <c r="O266" s="3">
        <f>604.2+(589-161)+(1.232568+(1.20156-0.32844))+0-152.5-0.311099999999993</f>
        <v>881.49458800000014</v>
      </c>
      <c r="P266" s="3">
        <f>598.5+(594.6-140.5)+(-0.305235+(-0.303246--0.071655))+0-157.5--0.080324999999984</f>
        <v>894.64349899999991</v>
      </c>
      <c r="Q266" s="3">
        <f>594+(626.1-164)+(-0.60588+(-0.638622--0.16728))+0-154.1--0.157182000000025</f>
        <v>901.07996000000003</v>
      </c>
      <c r="R266" s="3">
        <f>592.7+(648.1-192)+(-0.604554+(-0.661062--0.19584))+0-164.5--0.167790000000026</f>
        <v>883.39801400000022</v>
      </c>
      <c r="S266" s="3">
        <f>589.6+(629.3-173.9)+(0.300696+(0.320943-0.088689))+0-172.5-0.0879749999999825</f>
        <v>872.944975</v>
      </c>
      <c r="T266" s="3">
        <f>589.3+(619.1-172.7)+(0.901629+(0.947223-0.264231))+0-171.6-0.26254800000001</f>
        <v>865.42207299999995</v>
      </c>
      <c r="U266" s="3">
        <f>585.9+(612.6-169.5)+(0.298809+(0.312426-0.086445))+0-166.6-0.0849659999999831</f>
        <v>862.83982399999991</v>
      </c>
      <c r="V266" s="3">
        <f>587.6+(637.3-154.1)+(-0.299676+(-0.325023--0.078591))+0-167.8--0.085577999999983</f>
        <v>902.53946999999994</v>
      </c>
      <c r="W266" s="3">
        <f>588.5+(780.5-189.2)+(-0.60027+(-0.79611--0.192984))+0-173.3--0.176766000000028</f>
        <v>1005.4733699999999</v>
      </c>
      <c r="X266" s="3">
        <f>591.2+(767.7-193.4)+(0.301512+(0.391527-0.098634))+0-177.4-0.090473999999982</f>
        <v>988.6039310000001</v>
      </c>
      <c r="Y266" s="3">
        <f>597.2+(725-180.7)+(-0.304572+(-0.36975--0.092157))+0-176.7--0.0901169999999821</f>
        <v>964.30795199999989</v>
      </c>
      <c r="Z266" s="3">
        <f>605.4+(661.5-167.2)+(-2.161278+(-2.361555--0.596904))+0-177.2--0.632604000000003</f>
        <v>919.20667500000002</v>
      </c>
      <c r="AA266" s="3">
        <f>605.9+(603.1-152.6)+(-1.545045+(-1.537905--0.38913))+0-175.7--0.448034999999974</f>
        <v>878.45421500000009</v>
      </c>
      <c r="AB266" s="3">
        <f>606+(559.2-147.2)+(0+(0-0))+0-172.4-0</f>
        <v>845.6</v>
      </c>
      <c r="AC266" s="3">
        <f>606.5+(553.9-182.4)+(-0.927945+(-0.847467--0.279072))+0-174--0.26622000000001</f>
        <v>802.76987999999994</v>
      </c>
      <c r="AD266" s="2">
        <v>977.19999999999993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607.6+(530.4-188.9)+(-1.239504+(-1.082016--0.385356))+0-179.6--0.366383999999992</f>
        <v>767.93022000000008</v>
      </c>
      <c r="G267" s="3">
        <f>608.1+(472.6-155.9)+(-0.620262+(-0.482052--0.159018))+0-183.3--0.186966000000029</f>
        <v>740.74367000000007</v>
      </c>
      <c r="H267" s="3">
        <f>607.2+(452.2-152.6)+(-1.238688+(-0.922488--0.311304))+0-179.7--0.366587999999992</f>
        <v>725.61671600000011</v>
      </c>
      <c r="I267" s="3">
        <f>608.3+(414.1-119.9)+(0.310233+(0.211191-0.061149))+0-181.6-0.0926159999999816</f>
        <v>721.26765899999998</v>
      </c>
      <c r="J267" s="3">
        <f>609.3+(420.4-130)+(0+(0-0))+0-181.8-0</f>
        <v>717.89999999999986</v>
      </c>
      <c r="K267" s="3">
        <f>606.4+(494.9-172.1)+(0.927792+(0.757197-0.263313))+0-180.1-0.27555300000001</f>
        <v>750.2461229999999</v>
      </c>
      <c r="L267" s="3">
        <f>607+(630.1-218.1)+(0+(0-0))+0-179.2-0</f>
        <v>839.8</v>
      </c>
      <c r="M267" s="3">
        <f>604.4+(684.7-214.9)+(0.616488+(0.698394-0.219198))+0-181.1-0.184722000000029</f>
        <v>894.01096199999984</v>
      </c>
      <c r="N267" s="3">
        <f>599.7+(669.6-177.9)+(0.611694+(0.682992-0.181458))+0-178.7-0.182274000000028</f>
        <v>913.63095399999997</v>
      </c>
      <c r="O267" s="3">
        <f>601.4+(670.8-150)+(0+(0-0))+0-182.4-0</f>
        <v>939.79999999999984</v>
      </c>
      <c r="P267" s="3">
        <f>595.5+(680.4-149.9)+(0+(0-0))+0-182.7-0</f>
        <v>943.3</v>
      </c>
      <c r="Q267" s="3">
        <f>599.7+(683.4-151.1)+(-0.917541+(-1.045602--0.231183))+0-171.7--0.26270100000001</f>
        <v>958.83074099999988</v>
      </c>
      <c r="R267" s="3">
        <f>590.8+(672.9-144.6)+(-0.301308+(-0.343179--0.073746))+0-170.9--0.0871589999999827</f>
        <v>947.71641799999986</v>
      </c>
      <c r="S267" s="3">
        <f>574+(666.2-132.7)+(-1.17096+(-1.359048--0.270708))+0-174.2--0.355367999999992</f>
        <v>931.39606800000001</v>
      </c>
      <c r="T267" s="3">
        <f>583.7+(658.9-134.9)+(-0.297687+(-0.336039--0.068799))+0-173.9--0.0886889999999824</f>
        <v>933.3237620000001</v>
      </c>
      <c r="U267" s="3">
        <f>585.6+(671.1-145.9)+(0.597312+(0.684522-0.148818))+0-172.3-0.175746000000027</f>
        <v>939.45727000000022</v>
      </c>
      <c r="V267" s="3">
        <f>588.2+(778.3-220.2)+(-0.599964+(-0.793866--0.224604))+0-174.9--0.178398000000028</f>
        <v>970.40917200000001</v>
      </c>
      <c r="W267" s="3">
        <f>580.1+(817-197.5)+(0.887553+(1.25001-0.302175))+0-175.6-0.26866800000001</f>
        <v>1025.56672</v>
      </c>
      <c r="X267" s="3">
        <f>571+(799.9-196)+(-1.16484+(-1.631796--0.39984))+0-176.1--0.359243999999992</f>
        <v>996.76244800000006</v>
      </c>
      <c r="Y267" s="3">
        <f>558.4+(752.3-181.5)+(-0.854352+(-1.151019--0.277695))+0-169.6--0.25948800000001</f>
        <v>958.13181199999985</v>
      </c>
      <c r="Z267" s="3">
        <f>558.7+(726.3-189.6)+(0.569874+(0.740826-0.193392))+0-162.5-0.165750000000026</f>
        <v>933.85155800000018</v>
      </c>
      <c r="AA267" s="3">
        <f>557.8+(683.9-203.5)+(-1.42239+(-1.743945--0.518925))+0-166.8--0.425339999999976</f>
        <v>869.17792999999983</v>
      </c>
      <c r="AB267" s="3">
        <f>558.1+(684.7-255.2)+(-0.284631+(-0.349197--0.130152))+0-156.2--0.0796619999999841</f>
        <v>830.97598600000003</v>
      </c>
      <c r="AC267" s="3">
        <f>555.9+(684.9-309.5)+(-1.417545+(-1.746495--0.789225))+0-138.2--0.35240999999998</f>
        <v>791.07759499999997</v>
      </c>
      <c r="AD267" s="2">
        <v>1009.9000000000001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554.6+(651.6-327.9)+(-0.848538+(-0.996948--0.501687))+0-143--0.218790000000008</f>
        <v>734.17499100000009</v>
      </c>
      <c r="G268" s="3">
        <f>555.4+(594.8-299.1)+(-0.849762+(-0.910044--0.457623))+0-143.6--0.219708000000008</f>
        <v>706.41752499999984</v>
      </c>
      <c r="H268" s="3">
        <f>555.3+(570.1-275.3)+(0.283203+(0.290751-0.140403))+0-162.6-0.0829259999999835</f>
        <v>687.85062499999992</v>
      </c>
      <c r="I268" s="3">
        <f>555.7+(580.2-281.4)+(-1.417035+(-1.47951--0.71757))+0-169.3--0.431714999999975</f>
        <v>683.45273999999995</v>
      </c>
      <c r="J268" s="3">
        <f>553.9+(579.2-275)+(1.129956+(1.181568-0.561))+0-173.3-0.353531999999992</f>
        <v>686.19699200000002</v>
      </c>
      <c r="K268" s="3">
        <f>554+(627-292)+(0.56508+(0.63954-0.29784))+0-171-0.174420000000027</f>
        <v>718.73235999999997</v>
      </c>
      <c r="L268" s="3">
        <f>552.4+(666-266.3)+(0.563448+(0.67932-0.271626))+0-166.2-0.169524000000026</f>
        <v>786.70161799999994</v>
      </c>
      <c r="M268" s="3">
        <f>555.2+(668.3-218.4)+(0.566304+(0.681666-0.222768))+0-174-0.177480000000028</f>
        <v>831.947722</v>
      </c>
      <c r="N268" s="3">
        <f>552.5+(656.7-173.9)+(0.56355+(0.669834-0.177378))+0-176.4-0.179928000000028</f>
        <v>859.77607800000021</v>
      </c>
      <c r="O268" s="3">
        <f>539.5+(692.5-192.9)+(0.275145+(0.353175-0.098379))+0-170.1-0.0867509999999827</f>
        <v>869.44318999999996</v>
      </c>
      <c r="P268" s="3">
        <f>537.7+(695.5-193.9)+(-1.371135+(-1.773525--0.494445))+0-169.4--0.431969999999975</f>
        <v>867.68175500000029</v>
      </c>
      <c r="Q268" s="3">
        <f>543.8+(717-212.8)+(-0.832014+(-1.09701--0.325584))+0-171.7--0.26270100000001</f>
        <v>874.95926099999986</v>
      </c>
      <c r="R268" s="3">
        <f>547.1+(673.7-195.4)+(-1.395105+(-1.717935--0.49827))+0-178--0.453899999999974</f>
        <v>845.23913000000005</v>
      </c>
      <c r="S268" s="3">
        <f>553.6+(651.5-185.4)+(-0.564672+(-0.66453--0.189108))+0-177.6--0.181152000000028</f>
        <v>841.24105800000007</v>
      </c>
      <c r="T268" s="3">
        <f>561.7+(640.8-193.5)+(-0.286467+(-0.326808--0.098685))+0-182.6--0.0931259999999815</f>
        <v>825.97853599999996</v>
      </c>
      <c r="U268" s="3">
        <f>566.7+(666.9-235.4)+(-0.578034+(-0.680238--0.240108))+0-178.6--0.182172000000028</f>
        <v>818.7640080000001</v>
      </c>
      <c r="V268" s="3">
        <f>571.9+(721.7-254.8)+(-0.875007+(-1.104201--0.389844))+0-183.3--0.280449000000011</f>
        <v>854.19108500000004</v>
      </c>
      <c r="W268" s="3">
        <f>581.1+(782.2-236.4)+(1.185444+(1.595688-0.482256))+0-186-0.379439999999992</f>
        <v>942.81943600000011</v>
      </c>
      <c r="X268" s="3">
        <f>587.1+(766.1-231.2)+(-1.497105+(-1.953555--0.58956))+0-186.8--0.476339999999973</f>
        <v>932.8152399999999</v>
      </c>
      <c r="Y268" s="3">
        <f>590.7+(747.2-251.1)+(-0.602514+(-0.762144--0.256122))+0-183.7--0.187374000000029</f>
        <v>902.17883800000016</v>
      </c>
      <c r="Z268" s="3">
        <f>592+(703.8-241.2)+(-0.60384+(-0.717876--0.246024))+0-182.1--0.185742000000029</f>
        <v>871.61005</v>
      </c>
      <c r="AA268" s="3">
        <f>594.8+(691.6-267.7)+(-1.213392+(-1.410864--0.546108))+0-184.9--0.377195999999992</f>
        <v>832.09904800000004</v>
      </c>
      <c r="AB268" s="3">
        <f>596.9+(659.8-284.3)+(-1.217676+(-1.345992--0.579972))+0-177.8--0.362711999999992</f>
        <v>792.97901599999989</v>
      </c>
      <c r="AC268" s="3">
        <f>598.6+(580.8-263.2)+(-0.305286+(-0.296208--0.134232))+0-173.9--0.0886889999999824</f>
        <v>741.92142699999999</v>
      </c>
      <c r="AD268" s="2">
        <v>940.90000000000009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602.4+(513.3-223.4)+(-1.228896+(-1.047132--0.455736))+0-178.8--0.364751999999992</f>
        <v>712.04445999999984</v>
      </c>
      <c r="G269" s="3">
        <f>603.6+(509.6-244.6)+(-0.615672+(-0.519792--0.249492))+0-179.6--0.183192000000029</f>
        <v>688.29722000000004</v>
      </c>
      <c r="H269" s="3">
        <f>603.8+(544.6-298.9)+(-0.615876+(-0.555492--0.304878))+0-179.6--0.183192000000029</f>
        <v>669.21670200000005</v>
      </c>
      <c r="I269" s="3">
        <f>608.5+(512.8-276.4)+(-0.931005+(-0.784584--0.422892))+0-183.4--0.280602000000011</f>
        <v>660.48790500000007</v>
      </c>
      <c r="J269" s="3">
        <f>603.8+(496.1-250.7)+(-0.307938+(-0.253011--0.127857))+0-182.9--0.0932789999999814</f>
        <v>665.96018700000002</v>
      </c>
      <c r="K269" s="3">
        <f>605+(520.1-246.8)+(1.54275+(1.326255-0.62934))+0-181.5-0.462824999999974</f>
        <v>698.57683999999995</v>
      </c>
      <c r="L269" s="3">
        <f>606.1+(583.9-268.5)+(-2.472888+(-2.382312--1.09548))+0-179.2--0.731135999999984</f>
        <v>739.27141599999993</v>
      </c>
      <c r="M269" s="3">
        <f>603+(645.4-264.4)+(0.30753+(0.329154-0.134844))+0-178.6-0.0910859999999819</f>
        <v>805.81075399999997</v>
      </c>
      <c r="N269" s="3">
        <f>601.2+(654.5-210.1)+(0.919836+(1.001385-0.321453))+0-177.6-0.27172800000001</f>
        <v>869.32803999999987</v>
      </c>
      <c r="O269" s="3">
        <f>597.4+(701-235.7)+(0.914022+(1.07253-0.360621))+0-178.5-0.27310500000001</f>
        <v>885.5528260000001</v>
      </c>
      <c r="P269" s="3">
        <f>595.1+(714-218.9)+(0+(0-0))+0-181.8-0</f>
        <v>908.40000000000009</v>
      </c>
      <c r="Q269" s="3">
        <f>591.2+(722.7-212.4)+(0.301512+(0.368577-0.108324))+0-180-0.0917999999999817</f>
        <v>921.96996499999989</v>
      </c>
      <c r="R269" s="3">
        <f>588.2+(725.7-238.7)+(-1.199928+(-1.480428--0.486948))+0-172.7--0.352307999999992</f>
        <v>900.6588999999999</v>
      </c>
      <c r="S269" s="3">
        <f>585.5+(670.8-236.7)+(0+(0-0))+0-165.4-0</f>
        <v>854.19999999999993</v>
      </c>
      <c r="T269" s="3">
        <f>587.8+(637.6-214.7)+(0.899334+(0.975528-0.328491))+0-175.7-0.26882100000001</f>
        <v>836.27755000000013</v>
      </c>
      <c r="U269" s="3">
        <f>585.2+(642.5-211.5)+(0.298452+(0.327675-0.107865))+0-180.2-0.0919019999999817</f>
        <v>836.42636000000005</v>
      </c>
      <c r="V269" s="3">
        <f>584+(717.3-232)+(-0.29784+(-0.365823--0.11832))+0-186.4--0.0950639999999811</f>
        <v>882.44972099999995</v>
      </c>
      <c r="W269" s="3">
        <f>586.2+(837.5-245.1)+(0.298962+(0.427125-0.125001))+0-200.5-0.10225499999998</f>
        <v>978.59883099999979</v>
      </c>
      <c r="X269" s="3">
        <f>590.1+(824.7-257)+(-0.601902+(-0.841194--0.26214))+0-194.7--0.198594000000031</f>
        <v>962.11763800000028</v>
      </c>
      <c r="Y269" s="3">
        <f>591.4+(787.9-250.7)+(-1.50807+(-2.009145--0.639285))+0-197.3--0.503114999999971</f>
        <v>928.92518499999983</v>
      </c>
      <c r="Z269" s="3">
        <f>594.1+(733.1-226.1)+(-0.302991+(-0.373881--0.115311))+0-198.8--0.10138799999998</f>
        <v>901.8398269999999</v>
      </c>
      <c r="AA269" s="3">
        <f>592.4+(714.5-230.9)+(-0.906372+(-1.093185--0.353277))+0-201.8--0.308754000000012</f>
        <v>872.86247400000013</v>
      </c>
      <c r="AB269" s="3">
        <f>593+(667.4-225)+(-0.60486+(-0.680748--0.2295))+0-196.1--0.200022000000031</f>
        <v>838.44391400000006</v>
      </c>
      <c r="AC269" s="3">
        <f>600.2+(575.2-189.2)+(-0.918306+(-0.880056--0.289476))+0-198.9--0.304317000000011</f>
        <v>786.09543100000008</v>
      </c>
      <c r="AD269" s="2">
        <v>967.19999999999982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596.9+(567.4-209.4)+(-1.522095+(-1.44687--0.53397))+0-198--0.504899999999971</f>
        <v>754.96990500000004</v>
      </c>
      <c r="G270" s="3">
        <f>596.7+(502.4-178.9)+(-0.912951+(-0.768672--0.273717))+0-194.1--0.296973000000011</f>
        <v>724.98906699999998</v>
      </c>
      <c r="H270" s="3">
        <f>596.7+(482.7-176.9)+(-1.521585+(-1.230885--0.451095))+0-189.4--0.482969999999973</f>
        <v>711.28159500000004</v>
      </c>
      <c r="I270" s="3">
        <f>599.9+(483.8-196.5)+(-0.611898+(-0.493476--0.20043))+0-189.3--0.19308600000003</f>
        <v>697.18814199999997</v>
      </c>
      <c r="J270" s="3">
        <f>601.2+(445.5-159.5)+(0+(0-0))+0-188.5-0</f>
        <v>698.7</v>
      </c>
      <c r="K270" s="3">
        <f>603.9+(501.8-190.6)+(-1.231956+(-1.023672--0.388824))+0-187.8--0.383111999999992</f>
        <v>725.81630799999994</v>
      </c>
      <c r="L270" s="3">
        <f>604.1+(532.4-190.9)+(-1.540455+(-1.35762--0.486795))+0-188.5--0.480674999999973</f>
        <v>755.16939500000001</v>
      </c>
      <c r="M270" s="3">
        <f>600.8+(579.3-189.6)+(-0.612816+(-0.590886--0.193392))+0-192--0.195840000000031</f>
        <v>797.68552999999986</v>
      </c>
      <c r="N270" s="3">
        <f>595+(593.8-160.3)+(0.91035+(0.908514-0.245259))+0-181.2-0.27723600000001</f>
        <v>848.59636899999998</v>
      </c>
      <c r="O270" s="3">
        <f>588.6+(632.2-167.2)+(-0.600372+(-0.644844--0.170544))+0-178.2--0.181764000000028</f>
        <v>874.50709200000017</v>
      </c>
      <c r="P270" s="3">
        <f>583.9+(643.5-166.4)+(-0.893367+(-0.984555--0.254592))+0-168.2--0.25734600000001</f>
        <v>891.43401600000004</v>
      </c>
      <c r="Q270" s="3">
        <f>580.3+(625.6-172)+(-0.591906+(-0.638112--0.17544))+0-156.1--0.159222000000025</f>
        <v>876.90464400000008</v>
      </c>
      <c r="R270" s="3">
        <f>576.4+(635.3-172.3)+(-0.881892+(-0.972009--0.263619))+0-177.6--0.27172800000001</f>
        <v>860.48144600000001</v>
      </c>
      <c r="S270" s="3">
        <f>573.5+(619.9-159.7)+(-1.462425+(-1.580745--0.407235))+0-182.7--0.465884999999973</f>
        <v>848.82994999999994</v>
      </c>
      <c r="T270" s="3">
        <f>569.4+(594.4-157.4)+(0.290394+(0.303144-0.080274))+0-178.2-0.0908819999999819</f>
        <v>828.62238200000002</v>
      </c>
      <c r="U270" s="3">
        <f>572.6+(571-154.4)+(0+(0-0))+0-153.3-0</f>
        <v>835.90000000000009</v>
      </c>
      <c r="V270" s="3">
        <f>575.1+(664.3-193.9)+(-0.293301+(-0.338793--0.098889))+0-161--0.0821099999999837</f>
        <v>884.04890499999999</v>
      </c>
      <c r="W270" s="3">
        <f>577+(786.7-211.3)+(-0.29427+(-0.401217--0.107763))+0-177.7--0.090626999999982</f>
        <v>974.20290299999999</v>
      </c>
      <c r="X270" s="3">
        <f>577.4+(760.6-208.8)+(-0.883422+(-1.163718--0.319464))+0-179.9--0.27524700000001</f>
        <v>947.8475709999999</v>
      </c>
      <c r="Y270" s="3">
        <f>583.9+(721.8-195.4)+(-1.191156+(-1.472472--0.398616))+0-184.9--0.377195999999992</f>
        <v>923.51218399999993</v>
      </c>
      <c r="Z270" s="3">
        <f>585.1+(693.4-198.6)+(-0.298401+(-0.353634--0.101286))+0-189.1--0.0964409999999808</f>
        <v>890.3456920000001</v>
      </c>
      <c r="AA270" s="3">
        <f>588.7+(689.9-232)+(-0.900711+(-1.055547--0.35496))+0-187.9--0.287487000000011</f>
        <v>857.38618899999994</v>
      </c>
      <c r="AB270" s="3">
        <f>590.4+(676.8-264.8)+(-1.50552+(-1.72584--0.67524))+0-183.6--0.468179999999973</f>
        <v>816.71205999999984</v>
      </c>
      <c r="AC270" s="3">
        <f>591.6+(651.2-287.6)+(-1.206864+(-1.328448--0.586704))+0-185.2--0.377807999999992</f>
        <v>768.42920000000004</v>
      </c>
      <c r="AD270" s="2">
        <v>923.89999999999986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595.2+(612.2-283.2)+(-0.910656+(-0.936666--0.433296))+0-185.5--0.283815000000011</f>
        <v>737.56978900000001</v>
      </c>
      <c r="G271" s="3">
        <f>595.5+(644.4-340.8)+(-0.60741+(-0.657288--0.347616))+0-180.2--0.183804000000029</f>
        <v>718.16672199999994</v>
      </c>
      <c r="H271" s="3">
        <f>597.6+(664.4-380.1)+(0+(0-0))+0-177.6-0</f>
        <v>704.3</v>
      </c>
      <c r="I271" s="3">
        <f>601.1+(645-361.1)+(-0.306561+(-0.32895--0.184161))+0-184.2--0.0939419999999813</f>
        <v>700.44259199999988</v>
      </c>
      <c r="J271" s="3">
        <f>604.4+(569.5-296.4)+(0.308244+(0.290445-0.151164))+0-178.2-0.0908819999999819</f>
        <v>699.65664300000003</v>
      </c>
      <c r="K271" s="3">
        <f>604.1+(636.1-330.7)+(0+(0-0))+0-177.5-0</f>
        <v>732</v>
      </c>
      <c r="L271" s="3">
        <f>604.5+(669.1-291.1)+(0.308295+(0.341241-0.148461))+0-172.3-0.0878729999999825</f>
        <v>810.613202</v>
      </c>
      <c r="M271" s="3">
        <f>606.1+(663.5-235.3)+(0.309111+(0.338385-0.120003))+0-179.6-0.0915959999999818</f>
        <v>855.135897</v>
      </c>
      <c r="N271" s="3">
        <f>599.9+(616.9-168.1)+(0.917847+(0.943857-0.257193))+0-177-0.27081000000001</f>
        <v>873.03370099999984</v>
      </c>
      <c r="O271" s="3">
        <f>598+(622.4-152.6)+(0.30498+(0.317424-0.077826))+0-176.9-0.0902189999999821</f>
        <v>891.35435900000004</v>
      </c>
      <c r="P271" s="3">
        <f>595.9+(625.2-145.3)+(1.215636+(1.275408-0.296412))+0-179.5-0.366179999999992</f>
        <v>898.12845199999992</v>
      </c>
      <c r="Q271" s="3">
        <f>590.7+(627.3-140.5)+(-0.903771+(-0.959769--0.214965))+0-183.6--0.280908000000011</f>
        <v>892.53233300000011</v>
      </c>
      <c r="R271" s="3">
        <f>585.7+(605.1-129.1)+(-1.194828+(-1.234404--0.263364))+0-185.1--0.377603999999992</f>
        <v>874.811736</v>
      </c>
      <c r="S271" s="3">
        <f>578.7+(567.2-97.1)+(0+(0-0))+0-187.6-0</f>
        <v>861.20000000000016</v>
      </c>
      <c r="T271" s="3">
        <f>574.9+(572.6-98.7)+(0+(0-0))+0-187.3-0</f>
        <v>861.5</v>
      </c>
      <c r="U271" s="3">
        <f>574.5+(595.9-123.7)+(-0.292995+(-0.303909--0.063087))+0-182.4--0.0930239999999815</f>
        <v>863.85920700000008</v>
      </c>
      <c r="V271" s="3">
        <f>577.1+(701-180.7)+(-0.882963+(-1.07253--0.276471))+0-186.8--0.285804000000011</f>
        <v>909.20678200000009</v>
      </c>
      <c r="W271" s="3">
        <f>579+(816.8-217.9)+(-0.59058+(-0.833136--0.222258))+0-192.6--0.196452000000031</f>
        <v>984.29499400000009</v>
      </c>
      <c r="X271" s="3">
        <f>582.8+(769.1-191.1)+(-1.188912+(-1.568964--0.389844))+0-193.4--0.394535999999992</f>
        <v>965.42650399999991</v>
      </c>
      <c r="Y271" s="3">
        <f>587.7+(724-172.3)+(-1.198908+(-1.47696--0.351492))+0-190.4--0.388415999999992</f>
        <v>947.06404000000009</v>
      </c>
      <c r="Z271" s="3">
        <f>589.6+(669.9-150.7)+(0+(0-0))+0-193.1-0</f>
        <v>915.70000000000016</v>
      </c>
      <c r="AA271" s="3">
        <f>592.8+(606.5-123.5)+(-0.604656+(-0.61863--0.12597))+0-193.9--0.197778000000031</f>
        <v>881.00046199999997</v>
      </c>
      <c r="AB271" s="3">
        <f>591.6+(559.6-130.7)+(-0.301716+(-0.285396--0.066657))+0-188.4--0.0960839999999809</f>
        <v>831.67562900000007</v>
      </c>
      <c r="AC271" s="3">
        <f>591.9+(496.3-120.6)+(-0.905607+(-0.759339--0.184518))+0-189.6--0.290088000000011</f>
        <v>776.80966000000001</v>
      </c>
      <c r="AD271" s="2">
        <v>951.9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597.5+(445.5-107.2)+(-0.60945+(-0.45441--0.109344))+0-185.7--0.18941400000003</f>
        <v>749.33489799999995</v>
      </c>
      <c r="G272" s="3">
        <f>599.3+(426.9-145.2)+(-1.528215+(-1.088595--0.37026))+0-160.8--0.410039999999977</f>
        <v>718.36348999999996</v>
      </c>
      <c r="H272" s="3">
        <f>596.5+(402.4-134.3)+(0.60843+(0.410448-0.136986))+0-155.9-0.159018000000025</f>
        <v>709.42287399999987</v>
      </c>
      <c r="I272" s="3">
        <f>598.4+(396.5-126.7)+(0+(0-0))+0-158.1-0</f>
        <v>710.1</v>
      </c>
      <c r="J272" s="3">
        <f>600.7+(396.2-123.4)+(0.612714+(0.404124-0.125868))+0-165.6-0.168912000000026</f>
        <v>708.62205800000004</v>
      </c>
      <c r="K272" s="3">
        <f>603.6+(459.5-153.5)+(-1.231344+(-0.93738--0.31314))+0-169--0.344759999999993</f>
        <v>739.08917599999995</v>
      </c>
      <c r="L272" s="3">
        <f>601.2+(537.8-162.6)+(0+(0-0))+0-172.2-0</f>
        <v>804.2</v>
      </c>
      <c r="M272" s="3">
        <f>598.5+(585.5-149.9)+(-0.61047+(-0.59721--0.152898))+0-175.4--0.178908000000028</f>
        <v>857.82412599999998</v>
      </c>
      <c r="N272" s="3">
        <f>596.9+(649.9-164.8)+(0.608838+(0.662898-0.168096))+0-181.8-0.185436000000029</f>
        <v>901.11820400000011</v>
      </c>
      <c r="O272" s="3">
        <f>593.6+(679.7-174.1)+(0.302736+(0.346647-0.088791))+0-184.4-0.0940439999999813</f>
        <v>915.26654800000017</v>
      </c>
      <c r="P272" s="3">
        <f>580.1+(677.4-154.9)+(0+(0-0))+0-178-0</f>
        <v>924.59999999999991</v>
      </c>
      <c r="Q272" s="3">
        <f>579.8+(695.7-148.6)+(-0.887094+(-1.064421--0.227358))+0-183.1--0.280143000000011</f>
        <v>942.35598600000003</v>
      </c>
      <c r="R272" s="3">
        <f>576.5+(687.9-158.5)+(-1.76409+(-2.104974--0.48501))+0-182.5--0.558450000000021</f>
        <v>920.57439599999998</v>
      </c>
      <c r="S272" s="3">
        <f>574.1+(635-146.6)+(-0.878373+(-0.97155--0.224298))+0-168.1--0.25719300000001</f>
        <v>893.03156800000011</v>
      </c>
      <c r="T272" s="3">
        <f>572.9+(606.2-137.7)+(1.168716+(1.236648-0.280908))+0-154.1-0.314363999999993</f>
        <v>889.11009200000012</v>
      </c>
      <c r="U272" s="3">
        <f>573.5+(634.4-145.6)+(-0.877455+(-0.970632--0.222768))+0-162.9--0.249237000000009</f>
        <v>898.02391799999998</v>
      </c>
      <c r="V272" s="3">
        <f>599.1+(700-174.7)+(0.305541+(0.357-0.089097))+0-181.2-0.0924119999999816</f>
        <v>943.68103200000019</v>
      </c>
      <c r="W272" s="3">
        <f>642.2+(738.8-203.7)+(-1.310088+(-1.507152--0.415548))+0-178.3--0.363731999999992</f>
        <v>996.96204000000012</v>
      </c>
      <c r="X272" s="3">
        <f>682.6+(654.8-194.4)+(-0.696252+(-0.667896--0.198288))+0-178.9--0.182478000000029</f>
        <v>963.11661800000002</v>
      </c>
      <c r="Y272" s="3">
        <f>654.2+(646.9-177.6)+(-1.334568+(-1.319676--0.362304))+0-181.6--0.370463999999992</f>
        <v>939.97852399999988</v>
      </c>
      <c r="Z272" s="3">
        <f>663.4+(580.6-157.3)+(0.338334+(0.296106-0.080223))+0-186.5-0.0951149999999811</f>
        <v>900.65910200000019</v>
      </c>
      <c r="AA272" s="3">
        <f>704.9+(477.8-140.8)+(-1.437996+(-0.974712--0.287232))+0-189.6--0.386783999999992</f>
        <v>850.56130800000017</v>
      </c>
      <c r="AB272" s="3">
        <f>767.4+(336.1-127.6)+(-1.174122+(-0.514233--0.195228))+0-180.8--0.27662400000001</f>
        <v>793.88349699999992</v>
      </c>
      <c r="AC272" s="3">
        <f>772.4+(285.2-140)+(0.393924+(0.145452-0.0714))+0-176.6-0.0900659999999821</f>
        <v>741.37790999999993</v>
      </c>
      <c r="AD272" s="2">
        <v>993.30000000000007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772.1+(255.7-153.7)+(-1.968855+(-0.652035--0.391935))+0-174--0.443699999999975</f>
        <v>698.3147449999999</v>
      </c>
      <c r="G273" s="3">
        <f>752.4+(292.3-223.5)+(0+(0-0))+0-174-0</f>
        <v>647.20000000000005</v>
      </c>
      <c r="H273" s="3">
        <f>753.2+(365-313.6)+(-0.384132+(-0.18615--0.159936))+0-180.3--0.0919529999999817</f>
        <v>623.98160700000005</v>
      </c>
      <c r="I273" s="3">
        <f>752.8+(325.7-277.5)+(0.767856+(0.332214-0.28305))+0-181.2-0.184824000000029</f>
        <v>620.43219599999986</v>
      </c>
      <c r="J273" s="3">
        <f>752+(335.5-274.7)+(0.38352+(0.171105-0.140097))+0-180.2-0.0919019999999817</f>
        <v>632.92262599999992</v>
      </c>
      <c r="K273" s="3">
        <f>753.7+(317.9-240.6)+(1.537548+(0.648516-0.490824))+0-181.8-0.370871999999992</f>
        <v>650.52436800000009</v>
      </c>
      <c r="L273" s="3">
        <f>794+(298.9-215.1)+(-1.21482+(-0.457317--0.329103))+0-182.9--0.279837000000011</f>
        <v>693.83680300000003</v>
      </c>
      <c r="M273" s="3">
        <f>804.8+(347.6-227.5)+(0+(0-0))+0-182.2-0</f>
        <v>742.7</v>
      </c>
      <c r="N273" s="3">
        <f>826.5+(384.4-259.6)+(1.264545+(0.588132-0.397188))+0-175.7-0.26882100000001</f>
        <v>776.78666799999985</v>
      </c>
      <c r="O273" s="3">
        <f>875+(427.5-341)+(1.33875+(0.654075-0.52173))+0-176.5-0.27004500000001</f>
        <v>786.20105000000001</v>
      </c>
      <c r="P273" s="3">
        <f>879.5+(405.3-307)+(0+(0-0))+0-188.2-0</f>
        <v>789.59999999999991</v>
      </c>
      <c r="Q273" s="3">
        <f>872.5+(417.3-307.9)+(0.444975+(0.212823-0.157029))+0-188-0.0958799999999809</f>
        <v>794.30488900000012</v>
      </c>
      <c r="R273" s="3">
        <f>870.7+(319.9-224.8)+(-2.220285+(-0.815745--0.57324))+0-182.8--0.466139999999974</f>
        <v>781.00334999999995</v>
      </c>
      <c r="S273" s="3">
        <f>868.6+(330-231.5)+(-0.885972+(-0.3366--0.23613))+0-186.7--0.19043400000003</f>
        <v>779.60399199999995</v>
      </c>
      <c r="T273" s="3">
        <f>863.4+(318.2-220)+(0+(0-0))+0-189.1-0</f>
        <v>772.49999999999989</v>
      </c>
      <c r="U273" s="3">
        <f>904.2+(307.6-240.7)+(-1.844568+(-0.627504--0.491028))+0-190.7--0.389027999999992</f>
        <v>778.80798400000015</v>
      </c>
      <c r="V273" s="3">
        <f>942+(356-288.4)+(0.96084+(0.36312-0.294168))+0-185.9-0.18961800000003</f>
        <v>824.54017400000009</v>
      </c>
      <c r="W273" s="3">
        <f>942.8+(421.8-256.7)+(0+(0-0))+0-187.9-0</f>
        <v>920.00000000000011</v>
      </c>
      <c r="X273" s="3">
        <f>952.3+(418.1-266.1)+(-2.914038+(-1.279386--0.814266))+0-186.6--0.570996000000022</f>
        <v>914.89183800000001</v>
      </c>
      <c r="Y273" s="3">
        <f>940.9+(390.8-244.5)+(-1.439577+(-0.597924--0.374085))+0-184--0.281520000000011</f>
        <v>901.81810399999995</v>
      </c>
      <c r="Z273" s="3">
        <f>936.2+(347.6-232.6)+(-0.954924+(-0.354552--0.237252))+0-190.2--0.19400400000003</f>
        <v>860.12178000000006</v>
      </c>
      <c r="AA273" s="3">
        <f>935.9+(348.2-255)+(-0.954618+(-0.355164--0.2601))+0-201.3--0.205326000000032</f>
        <v>826.95564399999989</v>
      </c>
      <c r="AB273" s="3">
        <f>910+(301.7-228.2)+(-1.8564+(-0.615468--0.465528))+0-190.2--0.388007999999992</f>
        <v>791.68166800000006</v>
      </c>
      <c r="AC273" s="3">
        <f>751.3+(319.7-140.5)+(-0.766326+(-0.326094--0.14331))+0-191.8--0.195636000000031</f>
        <v>737.94652600000006</v>
      </c>
      <c r="AD273" s="2">
        <v>914.90000000000009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751+(341.1-191)+(-1.14903+(-0.521883--0.29223))+0-189.1--0.289323000000011</f>
        <v>710.91063999999994</v>
      </c>
      <c r="G274" s="3">
        <f>752.2+(266.2-146.9)+(-2.301732+(-0.814572--0.449514))+0-192.9--0.590274000000022</f>
        <v>676.52348400000005</v>
      </c>
      <c r="H274" s="3">
        <f>754.2+(279.6-163.8)+(-1.538568+(-0.570384--0.334152))+0-199.3--0.406571999999991</f>
        <v>669.33177199999989</v>
      </c>
      <c r="I274" s="3">
        <f>751.4+(297.6-185.4)+(0+(0-0))+0-197.9-0</f>
        <v>665.7</v>
      </c>
      <c r="J274" s="3">
        <f>751.6+(273.7-173.9)+(0.766632+(0.279174-0.177378))+0-190.5-0.19431000000003</f>
        <v>661.574118</v>
      </c>
      <c r="K274" s="3">
        <f>756.3+(330.6-207.7)+(0+(0-0))+0-192.7-0</f>
        <v>686.5</v>
      </c>
      <c r="L274" s="3">
        <f>757.2+(379-214.4)+(-0.772344+(-0.38658--0.218688))+0-190.7--0.19451400000003</f>
        <v>730.35427800000002</v>
      </c>
      <c r="M274" s="3">
        <f>741.6+(447.3-219.1)+(0.756432+(0.456246-0.223482))+0-195.9-0.199818000000031</f>
        <v>774.68937800000003</v>
      </c>
      <c r="N274" s="3">
        <f>750+(440.2-188.6)+(0.765+(0.449004-0.192372))+0-196-0.199920000000031</f>
        <v>806.42171199999996</v>
      </c>
      <c r="O274" s="3">
        <f>739+(439.8-173.7)+(1.13067+(0.672894-0.265761))+0-189.9-0.290547000000011</f>
        <v>816.44725600000004</v>
      </c>
      <c r="P274" s="3">
        <f>729.3+(457.1-173)+(0+(0-0))+0-189.4-0</f>
        <v>824</v>
      </c>
      <c r="Q274" s="3">
        <f>721.7+(489.5-163)+(0.368067+(0.249645-0.08313))+0-187.6-0.095675999999981</f>
        <v>861.038906</v>
      </c>
      <c r="R274" s="3">
        <f>713.4+(454.8-149.2)+(-2.183004+(-1.391688--0.456552))+0-183.1--0.560286000000021</f>
        <v>833.34214599999996</v>
      </c>
      <c r="S274" s="3">
        <f>710.7+(434.7-150)+(0+(0-0))+0-187.9-0</f>
        <v>807.50000000000011</v>
      </c>
      <c r="T274" s="3">
        <f>709.6+(448.9-177.5)+(0+(0-0))+0-175.9-0</f>
        <v>805.1</v>
      </c>
      <c r="U274" s="3">
        <f>711.8+(444.2-177.8)+(0+(0-0))+0-171.9-0</f>
        <v>806.3</v>
      </c>
      <c r="V274" s="3">
        <f>716.2+(485.8-174.3)+(0+(0-0))+0-181.3-0</f>
        <v>846.40000000000009</v>
      </c>
      <c r="W274" s="3">
        <f>714.4+(631.4-228.3)+(-0.364344+(-0.322014--0.116433))+0-184.7--0.0941969999999813</f>
        <v>932.32427199999995</v>
      </c>
      <c r="X274" s="3">
        <f>726.6+(611.3-236.3)+(-0.741132+(-0.623526--0.241026))+0-181.6--0.185232000000029</f>
        <v>919.06159999999988</v>
      </c>
      <c r="Y274" s="3">
        <f>719.4+(570.9-220.3)+(0+(0-0))+0-179.6-0</f>
        <v>890.4</v>
      </c>
      <c r="Z274" s="3">
        <f>732.3+(518.6-196.2)+(-0.373473+(-0.264486--0.100062))+0-181.7--0.0926669999999816</f>
        <v>872.55477000000008</v>
      </c>
      <c r="AA274" s="3">
        <f>733+(473.9-180.9)+(-0.74766+(-0.483378--0.184518))+0-182.5--0.186150000000029</f>
        <v>842.6396299999999</v>
      </c>
      <c r="AB274" s="3">
        <f>732.9+(413.4-165.5)+(0.373779+(0.210834-0.084405))+0-177.4-0.090473999999982</f>
        <v>803.80973400000005</v>
      </c>
      <c r="AC274" s="3">
        <f>736.9+(344.7-153.5)+(-2.630733+(-1.230579--0.547995))+0-176.5--0.630105000000002</f>
        <v>748.91678799999988</v>
      </c>
      <c r="AD274" s="2">
        <v>944.30000000000007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742.8+(297.7-135.2)+(-1.89414+(-0.759135--0.34476))+0-179.6--0.457979999999974</f>
        <v>723.84946500000001</v>
      </c>
      <c r="G275" s="3">
        <f>719.1+(330.2-160)+(-1.833705+(-0.84201--0.408))+0-183.5--0.467924999999973</f>
        <v>704.00020999999992</v>
      </c>
      <c r="H275" s="3">
        <f>720.4+(303-158.8)+(0.367404+(0.15453-0.080988))+0-184.1-0.0938909999999813</f>
        <v>680.84705499999995</v>
      </c>
      <c r="I275" s="3">
        <f>721.9+(298.9-163.5)+(1.104507+(0.457317-0.250155))+0-186.6-0.285498000000011</f>
        <v>671.72617100000002</v>
      </c>
      <c r="J275" s="3">
        <f>717.7+(328.6-184.7)+(0+(0-0))+0-184.8-0</f>
        <v>676.80000000000018</v>
      </c>
      <c r="K275" s="3">
        <f>719.5+(378.2-214.1)+(1.834725+(0.96441-0.545955))+0-184.9-0.471494999999973</f>
        <v>700.48168500000008</v>
      </c>
      <c r="L275" s="3">
        <f>720.8+(482.9-250.2)+(0.735216+(0.492558-0.255204))+0-178.8-0.182376000000029</f>
        <v>775.49019399999997</v>
      </c>
      <c r="M275" s="3">
        <f>723.3+(519.1-246.4)+(0+(0-0))+0-183.6-0</f>
        <v>812.4</v>
      </c>
      <c r="N275" s="3">
        <f>719.3+(488.9-182.4)+(0.733686+(0.498678-0.186048))+0-191.6-0.195432000000031</f>
        <v>835.05088399999988</v>
      </c>
      <c r="O275" s="3">
        <f>724.6+(469.7-159.5)+(0.739092+(0.479094-0.16269))+0-189.9-0.19369800000003</f>
        <v>845.76179799999989</v>
      </c>
      <c r="P275" s="3">
        <f>699.7+(496.4-153.2)+(-1.784235+(-1.26582--0.39066))+0-187.1--0.477104999999973</f>
        <v>853.6177100000001</v>
      </c>
      <c r="Q275" s="3">
        <f>657+(526.6-150.8)+(-0.33507+(-0.268566--0.076908))+0-182.3--0.0929729999999815</f>
        <v>850.06624499999998</v>
      </c>
      <c r="R275" s="3">
        <f>646.1+(512-136.3)+(-1.647555+(-1.3056--0.347565))+0-185.3--0.472514999999973</f>
        <v>834.36692499999981</v>
      </c>
      <c r="S275" s="3">
        <f>640.1+(489.2-123.7)+(-0.652902+(-0.498984--0.126174))+0-181.4--0.185028000000029</f>
        <v>823.35931600000004</v>
      </c>
      <c r="T275" s="3">
        <f>638.3+(509.8-150)+(-1.302132+(-1.039992--0.306))+0-184.4--0.376175999999992</f>
        <v>812.04005199999995</v>
      </c>
      <c r="U275" s="3">
        <f>645+(525.9-174.1)+(0.98685+(0.804627-0.266373))+0-185-0.283050000000011</f>
        <v>813.04205400000001</v>
      </c>
      <c r="V275" s="3">
        <f>700.1+(555.3-200.3)+(0+(0-0))+0-194.6-0</f>
        <v>860.49999999999989</v>
      </c>
      <c r="W275" s="3">
        <f>723.6+(680.5-248.1)+(-0.369036+(-0.347055--0.126531))+0-200.2--0.10210199999998</f>
        <v>955.31254200000001</v>
      </c>
      <c r="X275" s="3">
        <f>729.5+(666.4-254.2)+(-0.372045+(-0.339864--0.129642))+0-199.5--0.10174499999998</f>
        <v>941.71947799999998</v>
      </c>
      <c r="Y275" s="3">
        <f>735.6+(614.5-239.8)+(-2.250936+(-1.88037--0.733788))+0-193.7--0.592722000000022</f>
        <v>913.7952039999999</v>
      </c>
      <c r="Z275" s="3">
        <f>699.9+(599.7-211.5)+(-0.713898+(-0.611694--0.21573))+0-192.5--0.196350000000031</f>
        <v>894.68648799999994</v>
      </c>
      <c r="AA275" s="3">
        <f>680.7+(562.4-187)+(-1.735785+(-1.43412--0.47685))+0-194.7--0.496484999999972</f>
        <v>859.20342999999991</v>
      </c>
      <c r="AB275" s="3">
        <f>682.1+(486.7-167.4)+(0+(0-0))+0-188.4-0</f>
        <v>813</v>
      </c>
      <c r="AC275" s="3">
        <f>691.4+(399.7-141.8)+(-1.057842+(-0.611541--0.216954))+0-189.5--0.289935000000011</f>
        <v>758.63750599999992</v>
      </c>
      <c r="AD275" s="2">
        <v>1054.3000000000002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693.9+(330.3-115)+(-1.061667+(-0.505359--0.17595))+0-188.4--0.288252000000011</f>
        <v>719.69717600000013</v>
      </c>
      <c r="G276" s="3">
        <f>693.7+(300.3-112.3)+(0+(0-0))+0-186.8-0</f>
        <v>694.90000000000009</v>
      </c>
      <c r="H276" s="3">
        <f>696.2+(334-159)+(-0.355062+(-0.17034--0.08109))+0-184.4--0.0940439999999813</f>
        <v>686.44973200000004</v>
      </c>
      <c r="I276" s="3">
        <f>694.8+(321.8-154.4)+(0.354348+(0.164118-0.078744))+0-181.6-0.0926159999999816</f>
        <v>680.94710599999985</v>
      </c>
      <c r="J276" s="3">
        <f>694.2+(342.3-168)+(0.354042+(0.174573-0.08568))+0-185-0.0943499999999812</f>
        <v>683.84858500000007</v>
      </c>
      <c r="K276" s="3">
        <f>695.5+(397-201.5)+(0.354705+(0.20247-0.102765))+0-184.2-0.0939419999999813</f>
        <v>707.16046800000004</v>
      </c>
      <c r="L276" s="3">
        <f>695.3+(468.7-227.4)+(-1.418412+(-0.956148--0.463896))+0-180.7--0.368627999999992</f>
        <v>754.35796399999981</v>
      </c>
      <c r="M276" s="3">
        <f>697.5+(508-220)+(1.067175+(0.77724-0.3366))+0-184.2-0.281826000000011</f>
        <v>802.5259890000001</v>
      </c>
      <c r="N276" s="3">
        <f>710.3+(506-196.1)+(1.086759+(0.77418-0.300033))+0-185.9-0.284427000000011</f>
        <v>835.57647899999995</v>
      </c>
      <c r="O276" s="3">
        <f>712+(529.4-199.3)+(0.72624+(0.539988-0.203286))+0-183.2-0.186864000000029</f>
        <v>859.77607799999987</v>
      </c>
      <c r="P276" s="3">
        <f>703.2+(542.5-189.8)+(0.358632+(0.276675-0.096798))+0-184.5-0.0940949999999813</f>
        <v>871.84441400000014</v>
      </c>
      <c r="Q276" s="3">
        <f>695.4+(540.7-187)+(0.354654+(0.275757-0.09537))+0-179.7-0.0916469999999818</f>
        <v>869.84339399999999</v>
      </c>
      <c r="R276" s="3">
        <f>691.2+(605-238.5)+(-0.705024+(-0.6171--0.24327))+0-177.4--0.180948000000028</f>
        <v>879.40209400000003</v>
      </c>
      <c r="S276" s="3">
        <f>691.4+(543.4-205.4)+(-1.76307+(-1.38567--0.52377))+0-178.7--0.455684999999974</f>
        <v>848.53071499999999</v>
      </c>
      <c r="T276" s="3">
        <f>682.4+(573.1-249.1)+(1.74012+(1.461405-0.635205))+0-178.6-0.455429999999974</f>
        <v>829.91088999999999</v>
      </c>
      <c r="U276" s="3">
        <f>682.1+(584.7-258.3)+(0+(0-0))+0-177.3-0</f>
        <v>831.2</v>
      </c>
      <c r="V276" s="3">
        <f>684.8+(643.1-283.1)+(0.349248+(0.327981-0.144381))+0-178.8-0.0911879999999819</f>
        <v>866.44166000000007</v>
      </c>
      <c r="W276" s="3">
        <f>697.6+(811.1-359.8)+(-0.355776+(-0.413661--0.183498))+0-182.9--0.0932789999999814</f>
        <v>965.50734</v>
      </c>
      <c r="X276" s="3">
        <f>722.4+(791-374.9)+(-1.105272+(-1.21023--0.573597))+0-181.2--0.27723600000001</f>
        <v>955.83533099999988</v>
      </c>
      <c r="Y276" s="3">
        <f>728.7+(717.5-334)+(-2.229822+(-2.19555--1.02204))+0-186.9--0.571914000000022</f>
        <v>922.46858199999997</v>
      </c>
      <c r="Z276" s="3">
        <f>730+(623.3-292.2)+(-1.4892+(-1.271532--0.596088))+0-183--0.373319999999992</f>
        <v>876.30867599999999</v>
      </c>
      <c r="AA276" s="3">
        <f>738.8+(556.5-251.1)+(1.130364+(0.851445-0.384183))+0-185.1-0.283203000000011</f>
        <v>860.41442299999983</v>
      </c>
      <c r="AB276" s="3">
        <f>741.2+(448.9-192)+(-0.756024+(-0.457878--0.19584))+0-176.6--0.180132000000028</f>
        <v>820.66207000000009</v>
      </c>
      <c r="AC276" s="3">
        <f>734.4+(409.5-174.5)+(-1.123632+(-0.626535--0.266985))+0-177.5--0.27157500000001</f>
        <v>790.68839299999991</v>
      </c>
      <c r="AD276" s="2">
        <v>968.7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695.4+(391.7-158.7)+(-1.418616+(-0.799068--0.323748))+0-177.9--0.362915999999992</f>
        <v>748.96897999999999</v>
      </c>
      <c r="G277" s="3">
        <f>713.6+(404.3-207.5)+(0.727872+(0.412386-0.21165))+0-181.7-0.185334000000029</f>
        <v>729.4432740000002</v>
      </c>
      <c r="H277" s="3">
        <f>719.7+(354.3-190.5)+(-1.101141+(-0.542079--0.291465))+0-178.9--0.27371700000001</f>
        <v>703.52196200000003</v>
      </c>
      <c r="I277" s="3">
        <f>722.2+(379.2-219.6)+(-0.736644+(-0.386784--0.223992))+0-179.9--0.183498000000029</f>
        <v>701.18406200000004</v>
      </c>
      <c r="J277" s="3">
        <f>721.1+(359-204)+(-0.367761+(-0.18309--0.10404))+0-183.5--0.0935849999999814</f>
        <v>692.24677399999996</v>
      </c>
      <c r="K277" s="3">
        <f>725.5+(384.1-224.5)+(-1.850025+(-0.979455--0.572475))+0-177.7--0.453134999999974</f>
        <v>705.5961299999999</v>
      </c>
      <c r="L277" s="3">
        <f>724.4+(445.5-261.3)+(-1.477776+(-0.90882--0.533052))+0-174.1--0.355163999999992</f>
        <v>733.00161999999978</v>
      </c>
      <c r="M277" s="3">
        <f>728.4+(527.7-311.7)+(-0.742968+(-0.538254--0.317934))+0-178.2--0.181764000000028</f>
        <v>765.41847600000017</v>
      </c>
      <c r="N277" s="3">
        <f>679+(619.6-318.5)+(-0.34629+(-0.315996--0.162435))+0-182.6--0.0931259999999815</f>
        <v>797.09327499999995</v>
      </c>
      <c r="O277" s="3">
        <f>649.5+(611.5-281.7)+(0.66249+(0.62373-0.287334))+0-176.2-0.179724000000028</f>
        <v>803.91916199999991</v>
      </c>
      <c r="P277" s="3">
        <f>699.6+(544.5-245.2)+(-0.356796+(-0.277695--0.125052))+0-175.4--0.0894539999999822</f>
        <v>823.080015</v>
      </c>
      <c r="Q277" s="3">
        <f>719.8+(532.9-222.2)+(-1.101294+(-0.815337--0.339966))+0-169.9--0.25994700000001</f>
        <v>859.28328199999999</v>
      </c>
      <c r="R277" s="3">
        <f>723.1+(523.7-223.2)+(-1.106343+(-0.801261--0.341496))+0-185.2--0.283356000000011</f>
        <v>837.11724800000013</v>
      </c>
      <c r="S277" s="3">
        <f>683.2+(592.6-271.1)+(-1.393728+(-1.208904--0.553044))+0-183.1--0.373523999999992</f>
        <v>819.92393600000003</v>
      </c>
      <c r="T277" s="3">
        <f>712+(571.6-288)+(-0.72624+(-0.583032--0.29376))+0-183.8--0.187476000000029</f>
        <v>810.97196400000007</v>
      </c>
      <c r="U277" s="3">
        <f>723.6+(607.8-324.4)+(-0.369036+(-0.309978--0.165444))+0-178.1--0.0908309999999819</f>
        <v>828.477261</v>
      </c>
      <c r="V277" s="3">
        <f>731.6+(684.5-354.7)+(-0.746232+(-0.69819--0.361794))+0-181.2--0.184824000000029</f>
        <v>879.30219599999998</v>
      </c>
      <c r="W277" s="3">
        <f>738.9+(742.3-325.2)+(0.753678+(0.757146-0.331704))+0-177.2-0.180744000000028</f>
        <v>979.79837599999996</v>
      </c>
      <c r="X277" s="3">
        <f>743.8+(695.4-301.8)+(0+(0-0))+0-178.7-0</f>
        <v>958.69999999999982</v>
      </c>
      <c r="Y277" s="3">
        <f>747.7+(644-256.5)+(-1.525308+(-1.31376--0.52326))+0-180.4--0.368015999999992</f>
        <v>952.85220800000002</v>
      </c>
      <c r="Z277" s="3">
        <f>746.7+(558.1-216.8)+(-0.761634+(-0.569262--0.221136))+0-179.2--0.182784000000029</f>
        <v>907.87302399999999</v>
      </c>
      <c r="AA277" s="3">
        <f>746.7+(487-183)+(0+(0-0))+0-183.2-0</f>
        <v>867.5</v>
      </c>
      <c r="AB277" s="3">
        <f>755.7+(398.1-146.9)+(-1.541628+(-0.812124--0.299676))+0-181--0.369239999999992</f>
        <v>824.21516400000007</v>
      </c>
      <c r="AC277" s="3">
        <f>755.5+(306.2-124.1)+(-1.926525+(-0.78081--0.316455))+0-183.1--0.466904999999973</f>
        <v>752.57602499999996</v>
      </c>
      <c r="AD277" s="2">
        <v>948.69999999999982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755+(291.1-152)+(0.7701+(0.296922-0.15504))+0-181.1-0.184722000000029</f>
        <v>713.72725999999989</v>
      </c>
      <c r="G278" s="3">
        <f>760.2+(262.5-146.8)+(-1.93851+(-0.669375--0.37434))+0-180.1--0.459254999999974</f>
        <v>694.02571</v>
      </c>
      <c r="H278" s="3">
        <f>764.6+(235.2-137.4)+(0.389946+(0.119952-0.070074))+0-180.9-0.0922589999999816</f>
        <v>681.84756500000003</v>
      </c>
      <c r="I278" s="3">
        <f>768.5+(231.8-141.7)+(-0.391935+(-0.118218--0.072267))+0-185.2--0.0944519999999812</f>
        <v>673.05656599999986</v>
      </c>
      <c r="J278" s="3">
        <f>770.4+(241.9-157.2)+(-0.392904+(-0.123369--0.080172))+0-182.6--0.0931259999999815</f>
        <v>672.15702499999998</v>
      </c>
      <c r="K278" s="3">
        <f>768.4+(299.8-175.4)+(1.567536+(0.611592-0.357816))+0-180.5-0.368219999999992</f>
        <v>713.75309200000004</v>
      </c>
      <c r="L278" s="3">
        <f>771.6+(464.6-261.9)+(-0.787032+(-0.473892--0.267138))+0-176.8--0.180336000000028</f>
        <v>796.68655000000001</v>
      </c>
      <c r="M278" s="3">
        <f>775.8+(423-185.1)+(0.395658+(0.21573-0.094401))+0-182.5-0.0930749999999815</f>
        <v>831.6239119999999</v>
      </c>
      <c r="N278" s="3">
        <f>762.9+(460.3-190.7)+(0+(0-0))+0-166.3-0</f>
        <v>866.2</v>
      </c>
      <c r="O278" s="3">
        <f>756.2+(469.3-180.1)+(0+(0-0))+0-158.9-0</f>
        <v>886.50000000000011</v>
      </c>
      <c r="P278" s="3">
        <f>747+(472.7-176.4)+(-1.52388+(-0.964308--0.359856))+0-158.2--0.322727999999993</f>
        <v>883.29439599999989</v>
      </c>
      <c r="Q278" s="3">
        <f>740.3+(461.9-157)+(-1.510212+(-0.942276--0.32028))+0-153.2--0.312527999999993</f>
        <v>890.18031999999982</v>
      </c>
      <c r="R278" s="3">
        <f>734.4+(455.4-165.8)+(-1.123632+(-0.696762--0.253674))+0-149.8--0.229194000000009</f>
        <v>872.86247400000002</v>
      </c>
      <c r="S278" s="3">
        <f>733.5+(413.9-143.6)+(-0.74817+(-0.422178--0.146472))+0-150.3--0.153306000000024</f>
        <v>852.62943000000007</v>
      </c>
      <c r="T278" s="3">
        <f>733.8+(386.8-129.5)+(-0.748476+(-0.394536--0.13209))+0-152.2--0.155244000000024</f>
        <v>838.04432199999997</v>
      </c>
      <c r="U278" s="3">
        <f>742.5+(404.8-144.2)+(0+(0-0))+0-141.1-0</f>
        <v>862</v>
      </c>
      <c r="V278" s="3">
        <f>752.5+(497.2-186.8)+(-1.5351+(-1.014288--0.381072))+0-149.8--0.305591999999993</f>
        <v>911.23727600000018</v>
      </c>
      <c r="W278" s="3">
        <f>754.6+(635.8-233.7)+(0.769692+(0.648516-0.238374))+0-156.8-0.159936000000025</f>
        <v>1000.9198980000001</v>
      </c>
      <c r="X278" s="3">
        <f>756.1+(620.4-230.5)+(-2.313666+(-1.898424--0.70533))+0-158.9--0.486234000000018</f>
        <v>984.079474</v>
      </c>
      <c r="Y278" s="3">
        <f>758.5+(586.1-208)+(0.386835+(0.298911-0.10608))+0-161.7-0.0824669999999836</f>
        <v>975.397199</v>
      </c>
      <c r="Z278" s="3">
        <f>764.8+(637.6-300.9)+(-1.560192+(-1.300704--0.613836))+0-170.5--0.347819999999993</f>
        <v>929.10076000000004</v>
      </c>
      <c r="AA278" s="3">
        <f>762.5+(561.6-256.2)+(-1.166625+(-0.859248--0.391986))+0-177.1--0.27096300000001</f>
        <v>889.43707600000016</v>
      </c>
      <c r="AB278" s="3">
        <f>766.7+(459.3-204.9)+(-0.391017+(-0.234243--0.104499))+0-176.4--0.0899639999999821</f>
        <v>844.26920300000006</v>
      </c>
      <c r="AC278" s="3">
        <f>770.6+(426.8-235.2)+(-2.358036+(-1.306008--0.719712))+0-172.1--0.52662600000002</f>
        <v>787.68229399999996</v>
      </c>
      <c r="AD278" s="2">
        <v>994.8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769.4+(413.5-257.8)+(-0.784788+(-0.42177--0.262956))+0-168.7--0.172074000000027</f>
        <v>755.62847199999987</v>
      </c>
      <c r="G279" s="3">
        <f>772.5+(309-185.3)+(0.393975+(0.15759-0.094503))+0-160.3-0.0817529999999837</f>
        <v>736.27530900000011</v>
      </c>
      <c r="H279" s="3">
        <f>770.6+(238.3-142.9)+(-0.393006+(-0.121533--0.072879))+0-163.1--0.0831809999999834</f>
        <v>702.54152099999999</v>
      </c>
      <c r="I279" s="3">
        <f>772.8+(228.8-144.1)+(0.394128+(0.116688-0.073491))+0-160.1-0.0816509999999838</f>
        <v>697.755674</v>
      </c>
      <c r="J279" s="3">
        <f>772.7+(224.5-160.9)+(-0.394077+(-0.114495--0.082059))+0-138.3--0.070532999999986</f>
        <v>697.64402000000007</v>
      </c>
      <c r="K279" s="3">
        <f>774.2+(307.4-213.3)+(0+(0-0))+0-132.8-0</f>
        <v>735.5</v>
      </c>
      <c r="L279" s="3">
        <f>774.5+(454.4-283.5)+(-1.57998+(-0.926976--0.57834))+0-144--0.293759999999994</f>
        <v>799.76514399999996</v>
      </c>
      <c r="M279" s="3">
        <f>778.3+(529.9-309.6)+(-1.587732+(-1.080996--0.631584))+0-132.7--0.270707999999994</f>
        <v>864.13356399999998</v>
      </c>
      <c r="N279" s="3">
        <f>768.3+(474.8-229.6)+(1.175499+(0.726444-0.351288))+0-132.6-0.202878000000008</f>
        <v>882.24777699999993</v>
      </c>
      <c r="O279" s="3">
        <f>762.9+(463.6-201.9)+(-1.167237+(-0.709308--0.308907))+0-130.9--0.200277000000008</f>
        <v>892.33263899999997</v>
      </c>
      <c r="P279" s="3">
        <f>754.9+(487.6-201.5)+(0+(0-0))+0-129.9-0</f>
        <v>911.1</v>
      </c>
      <c r="Q279" s="3">
        <f>751.8+(551.4-203.9)+(-1.91709+(-1.40607--0.519945))+0-126.1--0.321554999999982</f>
        <v>970.71834000000001</v>
      </c>
      <c r="R279" s="3">
        <f>747.7+(540.9-241.2)+(-1.906635+(-1.379295--0.61506))+0-133.1--0.339404999999981</f>
        <v>911.96853500000009</v>
      </c>
      <c r="S279" s="3">
        <f>746.2+(486.2-239.1)+(-1.141686+(-0.743886--0.365823))+0-128.3--0.196299000000007</f>
        <v>863.67654999999991</v>
      </c>
      <c r="T279" s="3">
        <f>743.5+(478.5-248.7)+(-0.379185+(-0.244035--0.126837))+0-118--0.060179999999988</f>
        <v>854.86379699999986</v>
      </c>
      <c r="U279" s="3">
        <f>748+(428.8-213.6)+(-0.38148+(-0.218688--0.108936))+0-108.1--0.055130999999989</f>
        <v>854.66389900000001</v>
      </c>
      <c r="V279" s="3">
        <f>750.8+(519-261.5)+(-0.382908+(-0.26469--0.133365))+0-113.3--0.0577829999999885</f>
        <v>894.54354999999998</v>
      </c>
      <c r="W279" s="3">
        <f>752.8+(706-346.6)+(-0.767856+(-0.72012--0.353532))+0-117.9--0.120258000000019</f>
        <v>993.28581399999985</v>
      </c>
      <c r="X279" s="3">
        <f>763.2+(690.7-346.4)+(-1.556928+(-1.409028--0.706656))+0-117.2--0.239087999999995</f>
        <v>988.27978800000005</v>
      </c>
      <c r="Y279" s="3">
        <f>770.6+(633.1-318.9)+(-1.179018+(-0.968643--0.487917))+0-118.7--0.181611000000007</f>
        <v>964.62186700000007</v>
      </c>
      <c r="Z279" s="3">
        <f>774.1+(557.1-285.4)+(-1.184373+(-0.852363--0.436662))+0-117.5--0.179775000000007</f>
        <v>926.8797010000003</v>
      </c>
      <c r="AA279" s="3">
        <f>775.3+(456.4-216.3)+(-0.790806+(-0.465528--0.220626))+0-122.8--0.12525600000002</f>
        <v>891.68954799999995</v>
      </c>
      <c r="AB279" s="3">
        <f>777.9+(357.1-162.4)+(-1.983645+(-0.910605--0.41412))+0-123--0.313649999999982</f>
        <v>847.43351999999993</v>
      </c>
      <c r="AC279" s="3">
        <f>785.3+(292.5-165.6)+(-2.403018+(-0.89505--0.506736))+0-119.3--0.365058000000014</f>
        <v>790.47372599999994</v>
      </c>
      <c r="AD279" s="2">
        <v>982.90000000000009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782.2+(243.8-155.8)+(-1.595688+(-0.497352--0.317832))+0-131.3--0.267851999999994</f>
        <v>737.39264400000002</v>
      </c>
      <c r="G280" s="3">
        <f>784.9+(242.4-162.5)+(-0.400299+(-0.123624--0.082875))+0-135.7--0.0692069999999862</f>
        <v>728.72815900000001</v>
      </c>
      <c r="H280" s="3">
        <f>789.1+(205.4-142.2)+(-2.012205+(-0.52377--0.36261))+0-137.5--0.35062499999998</f>
        <v>712.97726000000011</v>
      </c>
      <c r="I280" s="3">
        <f>788.4+(216.3-159.6)+(0.402084+(0.110313-0.081396))+0-136.9-0.0698189999999861</f>
        <v>708.56118200000014</v>
      </c>
      <c r="J280" s="3">
        <f>771.7+(255.6-175.2)+(-0.393567+(-0.130356--0.089352))+0-134.5--0.0685949999999864</f>
        <v>717.23402399999998</v>
      </c>
      <c r="K280" s="3">
        <f>763.3+(336.9-227.7)+(0.389283+(0.171819-0.116127))+0-135.4-0.0690539999999863</f>
        <v>737.47592100000008</v>
      </c>
      <c r="L280" s="3">
        <f>768.2+(429.8-261.4)+(-0.783564+(-0.438396--0.266628))+0-133.2--0.135864000000021</f>
        <v>802.58053200000006</v>
      </c>
      <c r="M280" s="3">
        <f>782.8+(469.9-254.5)+(0.798456+(0.479298-0.25959))+0-139.3-0.142086000000022</f>
        <v>859.77607799999987</v>
      </c>
      <c r="N280" s="3">
        <f>768.3+(423.8-174)+(-1.567332+(-0.864552--0.35496))+0-131.6--0.268463999999994</f>
        <v>884.69153999999992</v>
      </c>
      <c r="O280" s="3">
        <f>735.6+(477-195.7)+(0.375156+(0.24327-0.099807))+0-121.8-0.0621179999999876</f>
        <v>895.55650100000014</v>
      </c>
      <c r="P280" s="3">
        <f>738.3+(498.4-192.9)+(-1.506132+(-1.016736--0.393516))+0-130.4--0.266015999999994</f>
        <v>911.53666400000009</v>
      </c>
      <c r="Q280" s="3">
        <f>734.6+(501.5-185.9)+(-1.498584+(-1.02306--0.379236))+0-130.4--0.266015999999994</f>
        <v>917.92360800000017</v>
      </c>
      <c r="R280" s="3">
        <f>732.4+(511.6-212.6)+(-1.120572+(-0.782748--0.325278))+0-133--0.203490000000008</f>
        <v>897.02544799999998</v>
      </c>
      <c r="S280" s="3">
        <f>612.4+(636.4-225.8)+(0.312324+(0.324564-0.115158))+0-144.9-0.0738989999999853</f>
        <v>878.54783100000009</v>
      </c>
      <c r="T280" s="3">
        <f>555+(636.6-170.7)+(-0.28305+(-0.324666--0.087057))+0-144.4--0.0736439999999854</f>
        <v>876.05298500000004</v>
      </c>
      <c r="U280" s="3">
        <f>551.1+(592-135.2)+(-0.281061+(-0.30192--0.068952))+0-146.8--0.0748679999999851</f>
        <v>860.66083900000001</v>
      </c>
      <c r="V280" s="3">
        <f>555.1+(647.8-158)+(-0.849303+(-0.991134--0.24174))+0-154.6--0.236538000000009</f>
        <v>888.93784100000016</v>
      </c>
      <c r="W280" s="3">
        <f>561.5+(798.5-216.1)+(-0.57273+(-0.81447--0.220422))+0-160.7--0.163914000000026</f>
        <v>982.197136</v>
      </c>
      <c r="X280" s="3">
        <f>564.5+(803-223.1)+(-1.15158+(-1.63812--0.455124))+0-154.9--0.315995999999993</f>
        <v>987.48142000000018</v>
      </c>
      <c r="Y280" s="3">
        <f>565.4+(741-201.8)+(0+(0-0))+0-144.8-0</f>
        <v>959.8</v>
      </c>
      <c r="Z280" s="3">
        <f>570.3+(691.3-182)+(0.581706+(0.705126-0.18564))+0-147.3-0.150246000000024</f>
        <v>933.250946</v>
      </c>
      <c r="AA280" s="3">
        <f>570.8+(636.8-158.4)+(-0.873324+(-0.974304--0.242352))+0-151.3--0.231489000000009</f>
        <v>896.52621299999987</v>
      </c>
      <c r="AB280" s="3">
        <f>584.6+(546.4-137.4)+(-0.298146+(-0.278664--0.070074))+0-141.3--0.0720629999999857</f>
        <v>851.86532699999987</v>
      </c>
      <c r="AC280" s="3">
        <f>625.3+(467.9-134.8)+(-1.594515+(-1.193145--0.34374))+0-143.1--0.364904999999979</f>
        <v>813.22098499999981</v>
      </c>
      <c r="AD280" s="2">
        <v>993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642.9+(439.6-156)+(-1.311516+(-0.896784--0.31824))+0-165.7--0.338027999999993</f>
        <v>759.24796800000001</v>
      </c>
      <c r="G281" s="3">
        <f>692.9+(367.6-151.7)+(-1.060137+(-0.562428--0.232101))+0-169.5--0.25933500000001</f>
        <v>738.16887099999997</v>
      </c>
      <c r="H281" s="3">
        <f>710.2+(358.7-187.5)+(-0.724404+(-0.365874--0.19125))+0-168.9--0.172278000000027</f>
        <v>711.77325000000008</v>
      </c>
      <c r="I281" s="3">
        <f>763.3+(310.5-194)+(0+(0-0))+0-167.9-0</f>
        <v>711.9</v>
      </c>
      <c r="J281" s="3">
        <f>763.6+(320.3-191.5)+(0+(0-0))+0-169.9-0</f>
        <v>722.50000000000011</v>
      </c>
      <c r="K281" s="3">
        <f>764.7+(391.1-228)+(0+(0-0))+0-174.5-0</f>
        <v>753.30000000000007</v>
      </c>
      <c r="L281" s="3">
        <f>763.5+(458.9-225.5)+(-0.77877+(-0.468078--0.23001))+0-174.7--0.178194000000028</f>
        <v>821.36135600000011</v>
      </c>
      <c r="M281" s="3">
        <f>764+(471.3-183.2)+(-0.38964+(-0.240363--0.093432))+0-177.2--0.090371999999982</f>
        <v>874.45380099999977</v>
      </c>
      <c r="N281" s="3">
        <f>754.9+(480.7-159.1)+(0.769998+(0.490314-0.162282))+0-185.5-0.18921000000003</f>
        <v>891.90882000000011</v>
      </c>
      <c r="O281" s="3">
        <f>796.3+(469.8-180.8)+(0.812226+(0.479196-0.184416))+0-185.6-0.18931200000003</f>
        <v>900.6176939999998</v>
      </c>
      <c r="P281" s="3">
        <f>840.7+(441-193.8)+(1.286271+(0.67473-0.296514))+0-184.5-0.282285000000011</f>
        <v>904.7822020000001</v>
      </c>
      <c r="Q281" s="3">
        <f>836.9+(451-190)+(0.426819+(0.23001-0.0969))+0-201-0.10250999999998</f>
        <v>897.35741900000016</v>
      </c>
      <c r="R281" s="3">
        <f>832.2+(428.4-168.8)+(-1.273266+(-0.655452--0.258264))+0-184.7--0.282591000000011</f>
        <v>905.71213699999987</v>
      </c>
      <c r="S281" s="3">
        <f>829.7+(431-162)+(-0.846294+(-0.43962--0.16524))+0-190.8--0.19461600000003</f>
        <v>906.97394200000008</v>
      </c>
      <c r="T281" s="3">
        <f>828.6+(387-134.9)+(-2.11293+(-0.98685--0.343995))+0-188.5--0.480674999999973</f>
        <v>889.92489</v>
      </c>
      <c r="U281" s="3">
        <f>828.3+(377.3-130.8)+(0.422433+(0.192423-0.066708))+0-185.5-0.0946049999999812</f>
        <v>889.75354300000004</v>
      </c>
      <c r="V281" s="3">
        <f>833.3+(432-165.5)+(-1.274949+(-0.66096--0.253215))+0-184.2--0.281826000000011</f>
        <v>914.19913199999985</v>
      </c>
      <c r="W281" s="3">
        <f>854.7+(583.5-249.1)+(-0.435897+(-0.297585--0.127041))+0-185.7--0.0947069999999812</f>
        <v>1002.8882659999999</v>
      </c>
      <c r="X281" s="3">
        <f>858.8+(547.6-231.4)+(-1.751952+(-1.117104--0.472056))+0-189.9--0.387395999999992</f>
        <v>983.09039600000006</v>
      </c>
      <c r="Y281" s="3">
        <f>830.1+(509.7-207.9)+(-0.846702+(-0.519894--0.212058))+0-185.7--0.18941400000003</f>
        <v>945.2348760000001</v>
      </c>
      <c r="Z281" s="3">
        <f>676.8+(606-183.8)+(0+(0-0))+0-187-0</f>
        <v>912</v>
      </c>
      <c r="AA281" s="3">
        <f>673.4+(541.9-151.9)+(-1.030302+(-0.829107--0.232407))+0-189.7--0.290241000000011</f>
        <v>872.36323900000014</v>
      </c>
      <c r="AB281" s="3">
        <f>688.9+(455.2-129.1)+(-1.405356+(-0.928608--0.263364))+0-186.2--0.379847999999992</f>
        <v>827.10924799999998</v>
      </c>
      <c r="AC281" s="3">
        <f>647.9+(425.4-107)+(-1.652145+(-1.08477--0.27285))+0-187.4--0.477869999999973</f>
        <v>776.91380499999991</v>
      </c>
      <c r="AD281" s="2">
        <v>990.2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581.1+(438.5-97.1)+(-0.889083+(-0.670905--0.148563))+0-189.3--0.289629000000011</f>
        <v>732.07820400000003</v>
      </c>
      <c r="G282" s="3">
        <f>588.6+(431.1-112.1)+(-0.900558+(-0.659583--0.171513))+0-186.5--0.285345000000011</f>
        <v>719.99671699999999</v>
      </c>
      <c r="H282" s="3">
        <f>585+(404-105.7)+(-1.1934+(-0.82416--0.215628))+0-184.6--0.376583999999992</f>
        <v>697.27465199999995</v>
      </c>
      <c r="I282" s="3">
        <f>582.4+(403.1-108.6)+(0+(0-0))+0-179.5-0</f>
        <v>697.4</v>
      </c>
      <c r="J282" s="3">
        <f>580+(423.9-120.1)+(0.5916+(0.432378-0.122502))+0-179.1-0.182682000000029</f>
        <v>705.41879399999993</v>
      </c>
      <c r="K282" s="3">
        <f>583.5+(492-165.5)+(0+(0-0))+0-179.9-0</f>
        <v>730.1</v>
      </c>
      <c r="L282" s="3">
        <f>622.6+(562.5-202.5)+(0+(0-0))+0-178.6-0</f>
        <v>804</v>
      </c>
      <c r="M282" s="3">
        <f>628.4+(616.2-191.2)+(0+(0-0))+0-182.3-0</f>
        <v>871.10000000000014</v>
      </c>
      <c r="N282" s="3">
        <f>626.1+(623.9-165.3)+(-0.319311+(-0.318189--0.084303))+0-184.6--0.0941459999999813</f>
        <v>899.64094900000009</v>
      </c>
      <c r="O282" s="3">
        <f>634.2+(624.6-160.8)+(0.646884+(0.637092-0.164016))+0-186.6-0.19033200000003</f>
        <v>912.32962799999996</v>
      </c>
      <c r="P282" s="3">
        <f>647.2+(623.6-164.5)+(0.330072+(0.318036-0.083895))+0-183.3-0.0934829999999814</f>
        <v>923.47073000000034</v>
      </c>
      <c r="Q282" s="3">
        <f>713.2+(570.3-166.9)+(-1.454928+(-1.163412--0.340476))+0-181.5--0.370259999999992</f>
        <v>933.19239600000003</v>
      </c>
      <c r="R282" s="3">
        <f>749+(525-166.4)+(0.38199+(0.26775-0.084864))+0-183.6-0.0936359999999814</f>
        <v>924.47123999999985</v>
      </c>
      <c r="S282" s="3">
        <f>721+(519.3-151.2)+(0.36771+(0.264843-0.077112))+0-172.8-0.0881279999999825</f>
        <v>916.76731299999994</v>
      </c>
      <c r="T282" s="3">
        <f>763+(456.7-138.7)+(0.38913+(0.232917-0.070737))+0-176.5-0.0900149999999821</f>
        <v>904.96129500000006</v>
      </c>
      <c r="U282" s="3">
        <f>763.7+(460.1-141.9)+(-1.557948+(-0.938604--0.289476))+0-181.9--0.371075999999992</f>
        <v>898.16400000000021</v>
      </c>
      <c r="V282" s="3">
        <f>769.3+(522.8-168)+(-1.569372+(-1.066512--0.34272))+0-184.8--0.376991999999992</f>
        <v>937.38382799999999</v>
      </c>
      <c r="W282" s="3">
        <f>770.4+(647.4-230)+(-1.178712+(-0.990522--0.3519))+0-183.1--0.280143000000011</f>
        <v>1003.1628089999999</v>
      </c>
      <c r="X282" s="3">
        <f>776+(605.2-218.3)+(0+(0-0))+0-183.2-0</f>
        <v>979.7</v>
      </c>
      <c r="Y282" s="3">
        <f>778.9+(553.6-207.9)+(-0.397239+(-0.282336--0.106029))+0-183.1--0.0933809999999814</f>
        <v>941.01983499999983</v>
      </c>
      <c r="Z282" s="3">
        <f>790.5+(481.2-189.1)+(-1.209465+(-0.736236--0.289323))+0-188--0.287640000000011</f>
        <v>893.23126200000002</v>
      </c>
      <c r="AA282" s="3">
        <f>799.8+(410.5-159)+(-2.447388+(-1.25613--0.48654))+0-195.6--0.598536000000023</f>
        <v>853.08155799999997</v>
      </c>
      <c r="AB282" s="3">
        <f>621.4+(500.1-136.7)+(-0.316914+(-0.255051--0.069717))+0-193.1--0.0984809999999804</f>
        <v>791.29623299999992</v>
      </c>
      <c r="AC282" s="3">
        <f>616.8+(452.1-143.1)+(-1.258272+(-0.922284--0.291924))+0-194.1--0.395963999999991</f>
        <v>730.20733199999984</v>
      </c>
      <c r="AD282" s="2">
        <v>968.30000000000018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623.3+(409.7-157.9)+(-0.953649+(-0.626841--0.241587))+0-188.3--0.288099000000011</f>
        <v>685.74919599999987</v>
      </c>
      <c r="G283" s="3">
        <f>628.7+(361.9-153.7)+(-0.961911+(-0.553707--0.235161))+0-183.8--0.281214000000011</f>
        <v>652.10075700000004</v>
      </c>
      <c r="H283" s="3">
        <f>626.2+(337.8-150.8)+(-1.277448+(-0.689112--0.307632))+0-190.5--0.388619999999992</f>
        <v>621.42969200000005</v>
      </c>
      <c r="I283" s="3">
        <f>624.4+(349.4-160.9)+(-0.318444+(-0.178194--0.082059))+0-192.3--0.0980729999999805</f>
        <v>620.28349399999991</v>
      </c>
      <c r="J283" s="3">
        <f>620.5+(365.5-175.3)+(-0.63291+(-0.37281--0.178806))+0-191.4--0.195228000000031</f>
        <v>618.66831400000012</v>
      </c>
      <c r="K283" s="3">
        <f>622.8+(398.4-198.2)+(0.635256+(0.406368-0.202164))+0-191.7-0.195534000000031</f>
        <v>631.94392600000003</v>
      </c>
      <c r="L283" s="3">
        <f>624+(442-215.6)+(-0.95472+(-0.67626--0.329868))+0-189.8--0.290394000000011</f>
        <v>659.58928200000003</v>
      </c>
      <c r="M283" s="3">
        <f>624.4+(521.7-235.6)+(0+(0-0))+0-187.6-0</f>
        <v>722.9</v>
      </c>
      <c r="N283" s="3">
        <f>615.2+(552.3-210.3)+(0.627504+(0.563346-0.214506))+0-192.6-0.196452000000031</f>
        <v>765.37989200000004</v>
      </c>
      <c r="O283" s="3">
        <f>617+(580-215.4)+(-0.94401+(-0.8874--0.329562))+0-191.1--0.292383000000011</f>
        <v>789.29053499999998</v>
      </c>
      <c r="P283" s="3">
        <f>606.4+(627.1-223.2)+(-0.618528+(-0.639642--0.227664))+0-192--0.195840000000031</f>
        <v>817.46533399999998</v>
      </c>
      <c r="Q283" s="3">
        <f>577.6+(657.8-215.9)+(0.589152+(0.670956-0.220218))+0-194.3-0.198186000000031</f>
        <v>826.04170399999998</v>
      </c>
      <c r="R283" s="3">
        <f>601.7+(617.9-220.1)+(-2.148069+(-2.205903--0.785757))+0-197.7--0.705789000000003</f>
        <v>798.93757399999993</v>
      </c>
      <c r="S283" s="3">
        <f>618.2+(546.6-206)+(0+(0-0))+0-198.8-0</f>
        <v>760</v>
      </c>
      <c r="T283" s="3">
        <f>619.4+(525.9-197.5)+(-0.947682+(-0.804627--0.302175))+0-199.2--0.304776000000011</f>
        <v>747.45464200000004</v>
      </c>
      <c r="U283" s="3">
        <f>620.3+(516.1-200.5)+(-0.632706+(-0.526422--0.20451))+0-194.6--0.198492000000031</f>
        <v>740.54387399999996</v>
      </c>
      <c r="V283" s="3">
        <f>617.5+(575.2-219)+(-0.314925+(-0.293352--0.11169))+0-197.3--0.10062299999998</f>
        <v>776.00403599999993</v>
      </c>
      <c r="W283" s="3">
        <f>615.1+(722.1-243)+(0.941103+(1.104813-0.37179))+0-202.5-0.309825000000012</f>
        <v>893.06430099999989</v>
      </c>
      <c r="X283" s="3">
        <f>619.4+(711.8-244.7)+(-0.947682+(-1.089054--0.374391))+0-200.9--0.307377000000012</f>
        <v>884.24503200000004</v>
      </c>
      <c r="Y283" s="3">
        <f>621.8+(656.6-216.4)+(0+(0-0))+0-199.8-0</f>
        <v>862.2</v>
      </c>
      <c r="Z283" s="3">
        <f>621.7+(616.3-202.3)+(-1.268268+(-1.257252--0.412692))+0-200.2--0.408407999999991</f>
        <v>833.79557999999997</v>
      </c>
      <c r="AA283" s="3">
        <f>618.3+(553.8-178.3)+(-0.630666+(-0.564876--0.181866))+0-201.7--0.205734000000032</f>
        <v>791.29205799999988</v>
      </c>
      <c r="AB283" s="3">
        <f>621.1+(492.9-154.9)+(-0.950283+(-0.754137--0.236997))+0-202.9--0.310437000000012</f>
        <v>755.04301399999997</v>
      </c>
      <c r="AC283" s="3">
        <f>617+(426.3-140.6)+(0.31467+(0.217413-0.071706))+0-199.7-0.10184699999998</f>
        <v>703.35853000000009</v>
      </c>
      <c r="AD283" s="2">
        <v>869.7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623.4+(363.4-117.8)+(-0.953802+(-0.556002--0.180234))+0-193.9--0.296667000000011</f>
        <v>674.06709699999999</v>
      </c>
      <c r="G284" s="3">
        <f>625.1+(351.4-131.4)+(-0.637602+(-0.358428--0.134028))+0-195.9--0.199818000000031</f>
        <v>648.53781600000013</v>
      </c>
      <c r="H284" s="3">
        <f>627.3+(362.4-163.1)+(-0.319923+(-0.184824--0.083181))+0-196.3--0.10011299999998</f>
        <v>629.97854699999993</v>
      </c>
      <c r="I284" s="3">
        <f>627.5+(353.9-155.9)+(-2.240175+(-1.263423--0.556563))+0-194.4--0.694008000000003</f>
        <v>628.84697300000005</v>
      </c>
      <c r="J284" s="3">
        <f>629+(381.7-179.1)+(0.32079+(0.194667-0.091341))+0-195.1-0.0995009999999802</f>
        <v>636.82461499999999</v>
      </c>
      <c r="K284" s="3">
        <f>625+(451.5-220.1)+(-0.95625+(-0.690795--0.336753))+0-195.6--0.299268000000011</f>
        <v>659.78897599999993</v>
      </c>
      <c r="L284" s="3">
        <f>627.4+(556.7-321)+(-1.59987+(-1.419585--0.81855))+0-190.2--0.485009999999972</f>
        <v>671.18410499999993</v>
      </c>
      <c r="M284" s="3">
        <f>626.6+(545.7-258.8)+(0+(0-0))+0-194.3-0</f>
        <v>719.2</v>
      </c>
      <c r="N284" s="3">
        <f>626.7+(644.1-302.4)+(0.319617+(0.328491-0.154224))+0-197.6-0.10077599999998</f>
        <v>771.19310800000005</v>
      </c>
      <c r="O284" s="3">
        <f>625.8+(627.3-245.8)+(0.319158+(0.319923-0.125358))+0-196.4-0.10016399999998</f>
        <v>811.31355900000005</v>
      </c>
      <c r="P284" s="3">
        <f>607.4+(685.9-264.5)+(-0.619548+(-0.699618--0.26979))+0-198.6--0.202572000000032</f>
        <v>829.35319600000003</v>
      </c>
      <c r="Q284" s="3">
        <f>593.5+(776.4-334.6)+(0+(0-0))+0-194.2-0</f>
        <v>841.09999999999991</v>
      </c>
      <c r="R284" s="3">
        <f>613.1+(724.8-310)+(-1.250724+(-1.478592--0.6324))+0-190--0.387599999999992</f>
        <v>836.19068400000015</v>
      </c>
      <c r="S284" s="3">
        <f>611.9+(696.6-299.3)+(-0.624138+(-0.710532--0.305286))+0-190.5--0.19431000000003</f>
        <v>817.86492599999997</v>
      </c>
      <c r="T284" s="3">
        <f>610.9+(713-318.5)+(-1.246236+(-1.45452--0.64974))+0-191.6--0.390863999999992</f>
        <v>812.13984799999992</v>
      </c>
      <c r="U284" s="3">
        <f>610.6+(671.4-286.7)+(0.311406+(0.342414-0.146217))+0-183.4-0.0935339999999814</f>
        <v>812.31406900000002</v>
      </c>
      <c r="V284" s="3">
        <f>612.1+(694.8-273.5)+(-0.936513+(-1.063044--0.418455))+0-188.6--0.288558000000011</f>
        <v>843.50745599999993</v>
      </c>
      <c r="W284" s="3">
        <f>615.3+(812.7-294.4)+(0.627606+(0.828954-0.300288))+0-189.1-0.19288200000003</f>
        <v>945.46338999999978</v>
      </c>
      <c r="X284" s="3">
        <f>614.4+(835.9-324.5)+(-0.626688+(-0.852618--0.33099))+0-189.4--0.19318800000003</f>
        <v>935.44487200000003</v>
      </c>
      <c r="Y284" s="3">
        <f>618.6+(785-297.1)+(0.946458+(1.20105-0.454563))+0-189.2-0.289476000000011</f>
        <v>918.70346899999993</v>
      </c>
      <c r="Z284" s="3">
        <f>619.2+(728.6-269.2)+(0.947376+(1.114758-0.411876))+0-189.2-0.289476000000011</f>
        <v>890.76078199999995</v>
      </c>
      <c r="AA284" s="3">
        <f>620.5+(639.9-230.4)+(0.63291+(0.652698-0.235008))+0-188.8-0.19257600000003</f>
        <v>842.05802400000005</v>
      </c>
      <c r="AB284" s="3">
        <f>620.6+(571.5-204.9)+(-1.266024+(-1.16586--0.417996))+0-186.8--0.381071999999992</f>
        <v>798.76718400000016</v>
      </c>
      <c r="AC284" s="3">
        <f>615.1+(526.8-206.9)+(-1.882206+(-1.612008--0.633114))+0-184.8--0.565488000000021</f>
        <v>747.90438800000004</v>
      </c>
      <c r="AD284" s="2">
        <v>925.90000000000009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603.1+(456.5-166.4)+(0+(0-0))+0-191.1-0</f>
        <v>702.1</v>
      </c>
      <c r="G285" s="3">
        <f>604.1+(401.8-140.6)+(0+(0-0))+0-189.6-0</f>
        <v>675.7</v>
      </c>
      <c r="H285" s="3">
        <f>607+(380.8-133.4)+(-0.30957+(-0.194208--0.068034))+0-192.2--0.0980219999999805</f>
        <v>661.86227799999995</v>
      </c>
      <c r="I285" s="3">
        <f>608.3+(371.3-130.7)+(0.930699+(0.568089-0.199971))+0-189.5-0.289935000000011</f>
        <v>660.40888199999995</v>
      </c>
      <c r="J285" s="3">
        <f>606.7+(410.5-169.1)+(1.237668+(0.83742-0.344964))+0-185.6-0.378623999999992</f>
        <v>663.8515000000001</v>
      </c>
      <c r="K285" s="3">
        <f>605.4+(486.6-214.7)+(1.54377+(1.24083-0.547485))+0-184.7-0.470984999999973</f>
        <v>694.36613000000011</v>
      </c>
      <c r="L285" s="3">
        <f>604.5+(549.2-219.9)+(-0.308295+(-0.280092--0.112149))+0-183.7--0.0936869999999814</f>
        <v>749.7174490000001</v>
      </c>
      <c r="M285" s="3">
        <f>661+(552.9-231.3)+(0.67422+(0.563958-0.235926))+0-193.3-0.197166000000031</f>
        <v>790.10508599999991</v>
      </c>
      <c r="N285" s="3">
        <f>665.9+(611.5-243)+(1.358436+(1.24746-0.49572))+0-192.1-0.391883999999992</f>
        <v>844.01829199999997</v>
      </c>
      <c r="O285" s="3">
        <f>693.5+(605.1-245.7)+(0.353685+(0.308601-0.125307))+0-186.2-0.0949619999999811</f>
        <v>867.14201700000001</v>
      </c>
      <c r="P285" s="3">
        <f>704.1+(626.4-247.3)+(0.718182+(0.638928-0.252246))+0-184.6-0.188292000000029</f>
        <v>899.51657199999988</v>
      </c>
      <c r="Q285" s="3">
        <f>670.4+(661.9-240.5)+(-1.367616+(-1.350276--0.49062))+0-187.3--0.382091999999992</f>
        <v>902.65481999999986</v>
      </c>
      <c r="R285" s="3">
        <f>663.8+(640.5-240.3)+(-1.015614+(-0.979965--0.367659))+0-186.6--0.285498000000011</f>
        <v>876.05757800000003</v>
      </c>
      <c r="S285" s="3">
        <f>714.6+(532.8-233.8)+(0.728892+(0.543456-0.238476))+0-188-0.19176000000003</f>
        <v>826.44211199999984</v>
      </c>
      <c r="T285" s="3">
        <f>717.6+(515.5-227.5)+(0+(0-0))+0-186.1-0</f>
        <v>819.5</v>
      </c>
      <c r="U285" s="3">
        <f>716.6+(526.2-229.9)+(0+(0-0))+0-186.1-0</f>
        <v>826.80000000000007</v>
      </c>
      <c r="V285" s="3">
        <f>723.9+(621.9-280.9)+(0.369189+(0.317169-0.143259))+0-188.4-0.0960839999999809</f>
        <v>876.94701500000008</v>
      </c>
      <c r="W285" s="3">
        <f>735.7+(829.4-396.6)+(0.750414+(0.845988-0.404532))+0-188.5-0.19227000000003</f>
        <v>980.9996000000001</v>
      </c>
      <c r="X285" s="3">
        <f>728.1+(849.3-420.8)+(-0.371331+(-0.433143--0.214608))+0-189.3--0.0965429999999808</f>
        <v>966.80667699999992</v>
      </c>
      <c r="Y285" s="3">
        <f>713+(774.6-368.3)+(-2.18178+(-2.370276--1.126998))+0-186.6--0.570996000000022</f>
        <v>929.84593799999993</v>
      </c>
      <c r="Z285" s="3">
        <f>711.2+(686.4-318.5)+(-0.725424+(-0.700128--0.32487))+0-190.5--0.19431000000003</f>
        <v>887.69362799999999</v>
      </c>
      <c r="AA285" s="3">
        <f>712.1+(565.9-241.7)+(-0.726342+(-0.577218--0.246534))+0-193.1--0.196962000000031</f>
        <v>842.33993599999997</v>
      </c>
      <c r="AB285" s="3">
        <f>713.2+(503.9-231.5)+(-0.727464+(-0.513978--0.23613))+0-191.4--0.195228000000031</f>
        <v>793.38991600000008</v>
      </c>
      <c r="AC285" s="3">
        <f>643.4+(542-196.1)+(-1.968804+(-1.65852--0.600066))+0-188.4--0.576504000000022</f>
        <v>798.44924600000002</v>
      </c>
      <c r="AD285" s="2">
        <v>1007.2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586.3+(539.6-184)+(0.897039+(0.825588-0.28152))+0-188.4-0.288252000000011</f>
        <v>754.65285499999993</v>
      </c>
      <c r="G286" s="3">
        <f>583.6+(522.7-182.8)+(1.48818+(1.332885-0.46614))+0-185.8-0.473789999999973</f>
        <v>739.5811349999999</v>
      </c>
      <c r="H286" s="3">
        <f>587.6+(499.7-182.6)+(1.198704+(1.019388-0.372504))+0-187.9-0.383315999999992</f>
        <v>718.26227200000005</v>
      </c>
      <c r="I286" s="3">
        <f>587.1+(520.3-190.7)+(1.497105+(1.326765-0.486285))+0-187.9-0.479144999999973</f>
        <v>730.65844000000004</v>
      </c>
      <c r="J286" s="3">
        <f>585.5+(500.1-177.1)+(0+(0-0))+0-189.4-0</f>
        <v>719.1</v>
      </c>
      <c r="K286" s="3">
        <f>587.2+(541.7-215.8)+(0.598944+(0.552534-0.220116))+0-188.2-0.19196400000003</f>
        <v>725.63939800000014</v>
      </c>
      <c r="L286" s="3">
        <f>583.5+(613.2-232.7)+(-0.297585+(-0.312732--0.118677))+0-184.1--0.0938909999999813</f>
        <v>779.502251</v>
      </c>
      <c r="M286" s="3">
        <f>583.9+(694.2-260)+(0.297789+(0.354042-0.1326))+0-184.5-0.0940949999999813</f>
        <v>834.02513600000009</v>
      </c>
      <c r="N286" s="3">
        <f>606.9+(709.6-257.8)+(-0.928557+(-1.085688--0.394434))+0-184.3--0.281979000000011</f>
        <v>873.06216800000004</v>
      </c>
      <c r="O286" s="3">
        <f>614.7+(685.3-224.9)+(-1.567485+(-1.747515--0.573495))+0-182.6--0.465629999999974</f>
        <v>890.22412499999984</v>
      </c>
      <c r="P286" s="3">
        <f>623.1+(700.7-232.7)+(-1.271124+(-1.429428--0.474708))+0-171.1--0.349043999999993</f>
        <v>918.12320000000011</v>
      </c>
      <c r="Q286" s="3">
        <f>670.6+(651.6-226.8)+(-1.71003+(-1.66158--0.57834))+0-173.3--0.441914999999975</f>
        <v>919.74864500000024</v>
      </c>
      <c r="R286" s="3">
        <f>721.1+(604.1-231.5)+(-1.103283+(-0.924273--0.354195))+0-176.8--0.27050400000001</f>
        <v>915.49714299999994</v>
      </c>
      <c r="S286" s="3">
        <f>751.3+(372.2-181.8)+(0+(0-0))+58.3-176.1-0</f>
        <v>823.89999999999986</v>
      </c>
      <c r="T286" s="3">
        <f>753.7+(458.5-178.1)+(0.384387+(0.233835-0.090831))+0-179.3-0.0914429999999818</f>
        <v>855.23594800000001</v>
      </c>
      <c r="U286" s="3">
        <f>749.6+(488.2-187.5)+(0.764592+(0.497964-0.19125))+0-179.7-0.183294000000029</f>
        <v>871.48801199999991</v>
      </c>
      <c r="V286" s="3">
        <f>750.9+(561.9-216.6)+(0.765918+(0.573138-0.220932))+0-186.3-0.19002600000003</f>
        <v>910.82809799999995</v>
      </c>
      <c r="W286" s="3">
        <f>758.5+(758.3-309.8)+(0.77367+(0.773466-0.315996))+0-185-0.18870000000003</f>
        <v>1023.0424400000001</v>
      </c>
      <c r="X286" s="3">
        <f>763.5+(759.6-317.4)+(-1.168155+(-1.162188--0.485622))+0-189.8--0.290394000000011</f>
        <v>1014.3456730000001</v>
      </c>
      <c r="Y286" s="3">
        <f>748.9+(730-302.4)+(-0.381939+(-0.3723--0.154224))+0-190.2--0.0970019999999807</f>
        <v>985.79698699999994</v>
      </c>
      <c r="Z286" s="3">
        <f>738.9+(624.1-238.7)+(-0.753678+(-0.636582--0.243474))+0-185.4--0.18910800000003</f>
        <v>937.94232199999999</v>
      </c>
      <c r="AA286" s="3">
        <f>738.5+(542.1-196.3)+(-0.376635+(-0.276471--0.100113))+0-188.4--0.0960839999999809</f>
        <v>895.44309099999998</v>
      </c>
      <c r="AB286" s="3">
        <f>741.6+(472.6-188.5)+(-0.378216+(-0.241026--0.096135))+0-184.7--0.0941969999999813</f>
        <v>840.57109000000003</v>
      </c>
      <c r="AC286" s="3">
        <f>741+(471.7-239.9)+(-0.75582+(-0.481134--0.244698))+0-186.3--0.19002600000003</f>
        <v>785.69776999999999</v>
      </c>
      <c r="AD286" s="2">
        <v>1034.9000000000001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763.6+(500.6-310.3)+(0+(0-0))+0-187.8-0</f>
        <v>766.10000000000014</v>
      </c>
      <c r="G287" s="3">
        <f>767+(454.3-290.3)+(1.17351+(0.695079-0.444159))+0-186.2-0.284886000000011</f>
        <v>745.93954399999996</v>
      </c>
      <c r="H287" s="3">
        <f>767.6+(488.6-336)+(1.565904+(0.996744-0.68544))+0-184.2-0.375767999999992</f>
        <v>737.50144000000012</v>
      </c>
      <c r="I287" s="3">
        <f>767.7+(484.1-337)+(0+(0-0))+0-185.4-0</f>
        <v>729.40000000000009</v>
      </c>
      <c r="J287" s="3">
        <f>776+(480.7-335.8)+(-0.79152+(-0.490314--0.342516))+0-185.9--0.18961800000003</f>
        <v>734.25030000000004</v>
      </c>
      <c r="K287" s="3">
        <f>787+(513.4-359.8)+(0.80274+(0.523668-0.366996))+0-179.9-0.183498000000029</f>
        <v>761.47591399999999</v>
      </c>
      <c r="L287" s="3">
        <f>787.4+(660.6-450.2)+(-2.00787+(-1.68453--1.14801))+0-178--0.453899999999974</f>
        <v>817.70950999999991</v>
      </c>
      <c r="M287" s="3">
        <f>787.3+(677.7-409)+(-0.803046+(-0.691254--0.41718))+0-183.7--0.187374000000029</f>
        <v>871.41025400000001</v>
      </c>
      <c r="N287" s="3">
        <f>793.6+(673.7-366.5)+(-0.809472+(-0.687174--0.37383))+0-183.9--0.187578000000029</f>
        <v>915.96476200000018</v>
      </c>
      <c r="O287" s="3">
        <f>793.3+(675.8-367.4)+(1.618332+(1.378632-0.749496))+0-176.1-0.359243999999992</f>
        <v>927.48822399999983</v>
      </c>
      <c r="P287" s="3">
        <f>784.9+(696-367.3)+(0.400299+(0.35496-0.187323))+0-171.2-0.0873119999999826</f>
        <v>942.88062399999978</v>
      </c>
      <c r="Q287" s="3">
        <f>772.8+(732.4-377.7)+(-1.97064+(-1.86762--0.963135))+0-173.4--0.442169999999975</f>
        <v>951.66704499999992</v>
      </c>
      <c r="R287" s="3">
        <f>740.9+(737.8-357.6)+(-1.511436+(-1.505112--0.729504))+0-172.3--0.351491999999992</f>
        <v>946.86444800000004</v>
      </c>
      <c r="S287" s="3">
        <f>732.7+(709.1-333.4)+(0.373677+(0.361641-0.170034))+0-174.7-0.0890969999999823</f>
        <v>934.17618700000003</v>
      </c>
      <c r="T287" s="3">
        <f>731.3+(649.1-290.8)+(0+(0-0))+0-173.5-0</f>
        <v>916.09999999999991</v>
      </c>
      <c r="U287" s="3">
        <f>731.5+(671.3-319)+(-1.49226+(-1.369452--0.65076))+0-176--0.359039999999992</f>
        <v>905.94808799999998</v>
      </c>
      <c r="V287" s="3">
        <f>740+(761.5-389.9)+(0.7548+(0.77673-0.397698))+0-178.9-0.182478000000029</f>
        <v>933.65135399999986</v>
      </c>
      <c r="W287" s="3">
        <f>831.9+(842.9-462.2)+(1.272807+(1.289637-0.707166))+0-187.3-0.286569000000011</f>
        <v>1026.8687089999999</v>
      </c>
      <c r="X287" s="3">
        <f>869.6+(806-468.1)+(-1.773984+(-1.64424--0.954924))+0-191.9--0.391475999999992</f>
        <v>1013.5281760000001</v>
      </c>
      <c r="Y287" s="3">
        <f>873+(734.3-427)+(0.89046+(0.748986-0.43554))+0-190.7-0.19451400000003</f>
        <v>990.60939199999984</v>
      </c>
      <c r="Z287" s="3">
        <f>777+(736.6-368.2)+(0+(0-0))+0-191.5-0</f>
        <v>953.90000000000009</v>
      </c>
      <c r="AA287" s="3">
        <f>768.2+(616.9-273.3)+(-0.783564+(-0.629238--0.278766))+0-189.3--0.19308600000003</f>
        <v>921.55905000000007</v>
      </c>
      <c r="AB287" s="3">
        <f>768.8+(532.7-240.1)+(-0.784176+(-0.543354--0.244902))+0-188.7--0.19247400000003</f>
        <v>871.80984599999999</v>
      </c>
      <c r="AC287" s="3">
        <f>771.1+(409.2-174.4)+(-1.179783+(-0.626076--0.266832))+0-187--0.286110000000011</f>
        <v>817.64708299999995</v>
      </c>
      <c r="AD287" s="2">
        <v>1035.4000000000001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767+(395.8-204.3)+(-0.39117+(-0.201858--0.104193))+0-188.9--0.0963389999999808</f>
        <v>769.20750399999997</v>
      </c>
      <c r="G288" s="3">
        <f>772.8+(426.6-256.4)+(-1.576512+(-0.870264--0.523056))+0-190.1--0.387803999999992</f>
        <v>751.36408399999993</v>
      </c>
      <c r="H288" s="3">
        <f>769.6+(391.1-232)+(0+(0-0))+0-188.3-0</f>
        <v>740.40000000000009</v>
      </c>
      <c r="I288" s="3">
        <f>764.5+(397.3-236.3)+(-0.389895+(-0.202623--0.120513))+0-190.3--0.0970529999999807</f>
        <v>734.82504799999992</v>
      </c>
      <c r="J288" s="3">
        <f>754.8+(434.4-260.2)+(-0.384948+(-0.221544--0.132702))+0-189.8--0.0967979999999807</f>
        <v>738.82300800000007</v>
      </c>
      <c r="K288" s="3">
        <f>769.4+(497.1-315.3)+(-1.177182+(-0.760563--0.482409))+0-190--0.290700000000011</f>
        <v>760.03536400000007</v>
      </c>
      <c r="L288" s="3">
        <f>769.4+(559.3-315.3)+(-1.177182+(-0.855729--0.482409))+0-189--0.289170000000011</f>
        <v>823.13866799999983</v>
      </c>
      <c r="M288" s="3">
        <f>770+(682.9-414.5)+(-0.3927+(-0.348279--0.211395))+0-189.3--0.0965429999999808</f>
        <v>848.66695900000002</v>
      </c>
      <c r="N288" s="3">
        <f>762.9+(691.4-416.2)+(0+(0-0))+0-181.1-0</f>
        <v>856.99999999999989</v>
      </c>
      <c r="O288" s="3">
        <f>762.1+(770.4-387.4)+(-0.777342+(-0.785808--0.395148))+0-155.4--0.158508000000025</f>
        <v>988.69050600000003</v>
      </c>
      <c r="P288" s="3">
        <f>759.8+(785.8-393)+(-0.774996+(-0.801516--0.40086))+0-151.6--0.154632000000024</f>
        <v>999.97897999999998</v>
      </c>
      <c r="Q288" s="3">
        <f>751.3+(776.8-367.6)+(1.915815+(1.98084-0.93738))+0-155.9-0.397544999999977</f>
        <v>1007.16173</v>
      </c>
      <c r="R288" s="3">
        <f>745.9+(772.1-375.5)+(-2.662863+(-2.756397--1.340535))+0-160.1--0.571557000000002</f>
        <v>978.89283199999988</v>
      </c>
      <c r="S288" s="3">
        <f>742.2+(738.3-362.7)+(-1.514088+(-1.506132--0.739908))+0-161.2--0.328847999999993</f>
        <v>954.64853599999981</v>
      </c>
      <c r="T288" s="3">
        <f>739+(697.1-335.5)+(0.37689+(0.355521-0.171105))+0-161.7-0.0824669999999836</f>
        <v>939.37883899999997</v>
      </c>
      <c r="U288" s="3">
        <f>737+(708.4-347.1)+(-0.37587+(-0.361284--0.177021))+0-163.9--0.0835889999999834</f>
        <v>933.92345599999999</v>
      </c>
      <c r="V288" s="3">
        <f>737.5+(766-368.3)+(0+(0-0))+0-176.9-0</f>
        <v>958.30000000000007</v>
      </c>
      <c r="W288" s="3">
        <f>740.3+(943.8-441.2)+(1.132659+(1.444014-0.675036))+0-179.3-0.27432900000001</f>
        <v>1065.2273079999998</v>
      </c>
      <c r="X288" s="3">
        <f>751+(965.3-472.4)+(-1.53204+(-1.969212--0.963696))+0-181.4--0.370055999999992</f>
        <v>1060.3325</v>
      </c>
      <c r="Y288" s="3">
        <f>754.1+(897.8-440)+(-0.769182+(-0.915756--0.4488))+0-182.8--0.186456000000029</f>
        <v>1028.0503180000003</v>
      </c>
      <c r="Z288" s="3">
        <f>759.7+(823.7-397.2)+(-0.774894+(-0.840174--0.405144))+0-186.9--0.19063800000003</f>
        <v>998.2807140000001</v>
      </c>
      <c r="AA288" s="3">
        <f>706.3+(773.5-332.9)+(0+(0-0))+0-187.7-0</f>
        <v>959.2</v>
      </c>
      <c r="AB288" s="3">
        <f>591.7+(771.6-270.8)+(-0.905301+(-1.180548--0.414324))+0-182.6--0.279378000000011</f>
        <v>908.50785300000007</v>
      </c>
      <c r="AC288" s="3">
        <f>600+(660.6-228.7)+(-0.306+(-0.336906--0.116637))+0-185.6--0.0946559999999812</f>
        <v>845.8683870000001</v>
      </c>
      <c r="AD288" s="2">
        <v>1064.5999999999999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601.6+(593.7-203.8)+(-0.920448+(-0.908361--0.311814))+0-185.3--0.283509000000011</f>
        <v>804.96651400000007</v>
      </c>
      <c r="G289" s="3">
        <f>605.4+(560.3-201.1)+(0+(0-0))+0-185.7-0</f>
        <v>778.89999999999986</v>
      </c>
      <c r="H289" s="3">
        <f>601.6+(600.8-247.4)+(0.306816+(0.306408-0.126174))+0-186.2-0.0949619999999811</f>
        <v>769.1920879999999</v>
      </c>
      <c r="I289" s="3">
        <f>603.2+(635.4-291.5)+(0.615264+(0.648108-0.29733))+0-186.2-0.18992400000003</f>
        <v>761.67611800000009</v>
      </c>
      <c r="J289" s="3">
        <f>602+(647.6-301.2)+(1.22808+(1.321104-0.614448))+0-187.2-0.381887999999992</f>
        <v>762.7528480000002</v>
      </c>
      <c r="K289" s="3">
        <f>638+(727.9-388.9)+(0.65076+(0.742458-0.396678))+0-186.9-0.19063800000003</f>
        <v>790.90590199999997</v>
      </c>
      <c r="L289" s="3">
        <f>653.8+(830.7-456.8)+(0+(0-0))+0-184.4-0</f>
        <v>843.30000000000007</v>
      </c>
      <c r="M289" s="3">
        <f>649.7+(890.3-451.6)+(-0.662694+(-0.908106--0.460632))+0-184.1--0.187782000000029</f>
        <v>903.37761400000022</v>
      </c>
      <c r="N289" s="3">
        <f>686.9+(823.4-396.8)+(0.700638+(0.839868-0.404736))+0-185.7-0.18941400000003</f>
        <v>928.74635599999999</v>
      </c>
      <c r="O289" s="3">
        <f>702.5+(798.5-370.9)+(-0.358275+(-0.407235--0.189159))+0-185.6--0.0946559999999812</f>
        <v>944.01830499999994</v>
      </c>
      <c r="P289" s="3">
        <f>755.8+(767.1-381.9)+(-0.770916+(-0.782442--0.389538))+0-173.4--0.176868000000028</f>
        <v>966.61304800000005</v>
      </c>
      <c r="Q289" s="3">
        <f>748.7+(747.7-358.1)+(-0.381837+(-0.381327--0.182631))+0-169.4--0.0863939999999828</f>
        <v>968.40586100000007</v>
      </c>
      <c r="R289" s="3">
        <f>733.4+(779.6-387.6)+(0+(0-0))+0-167.9-0</f>
        <v>957.50000000000011</v>
      </c>
      <c r="S289" s="3">
        <f>721.7+(760.4-371.8)+(-0.736134+(-0.775608--0.379236))+0-171--0.174420000000027</f>
        <v>938.34191400000009</v>
      </c>
      <c r="T289" s="3">
        <f>724.5+(761.2-372)+(-0.369495+(-0.388212--0.18972))+0-183.3--0.0934829999999814</f>
        <v>929.92549600000018</v>
      </c>
      <c r="U289" s="3">
        <f>726.1+(720.9-356.3)+(0.370311+(0.367659-0.181713))+0-182.1-0.0928709999999815</f>
        <v>909.06338600000004</v>
      </c>
      <c r="V289" s="3">
        <f>725.4+(787.2-376.5)+(-2.219724+(-2.408832--1.15209))+0-186.1--0.569466000000021</f>
        <v>947.09299999999985</v>
      </c>
      <c r="W289" s="3">
        <f>742.3+(928.3-428.6)+(0.757146+(0.946866-0.437172))+0-191.7-0.195534000000031</f>
        <v>1051.371306</v>
      </c>
      <c r="X289" s="3">
        <f>769.1+(920.9-455.9)+(-1.176723+(-1.408977--0.697527))+0-192.6--0.294678000000011</f>
        <v>1039.9065049999999</v>
      </c>
      <c r="Y289" s="3">
        <f>765+(883.1-449.5)+(-1.5606+(-1.801524--0.91698))+0-190.2--0.388007999999992</f>
        <v>1006.3428639999998</v>
      </c>
      <c r="Z289" s="3">
        <f>725.5+(859.8-418.9)+(-1.110015+(-1.315494--0.640917))+0-190.8--0.291924000000011</f>
        <v>974.10733200000016</v>
      </c>
      <c r="AA289" s="3">
        <f>664.8+(849-382.3)+(-1.017144+(-1.29897--0.584919))+0-187.3--0.286569000000011</f>
        <v>942.75537399999996</v>
      </c>
      <c r="AB289" s="3">
        <f>546.5+(911-361)+(0+(0-0))+0-186.7-0</f>
        <v>909.8</v>
      </c>
      <c r="AC289" s="3">
        <f>554+(812.2-329.7)+(-1.13016+(-1.656888--0.672588))+0-186.9--0.381275999999992</f>
        <v>847.86681599999997</v>
      </c>
      <c r="AD289" s="2">
        <v>1047.3000000000002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554+(802-364)+(0+(0-0))+0-188.4-0</f>
        <v>803.6</v>
      </c>
      <c r="G290" s="3">
        <f>556.9+(764.3-360)+(0.852057+(1.169379-0.5508))+0-188.1-0.287793000000011</f>
        <v>774.28284299999996</v>
      </c>
      <c r="H290" s="3">
        <f>557.5+(811.2-420.6)+(0.284325+(0.413712-0.214506))+0-187-0.095369999999981</f>
        <v>761.48816099999999</v>
      </c>
      <c r="I290" s="3">
        <f>558.1+(773.1-391.7)+(0.853893+(1.182843-0.599301))+0-188-0.287640000000011</f>
        <v>752.64979500000004</v>
      </c>
      <c r="J290" s="3">
        <f>555.9+(770.6-383.3)+(0.567018+(0.786012-0.390966))+0-186.8-0.19053600000003</f>
        <v>757.17152800000008</v>
      </c>
      <c r="K290" s="3">
        <f>557+(835-437.9)+(0.56814+(0.8517-0.446658))+0-186.2-0.18992400000003</f>
        <v>768.68325800000002</v>
      </c>
      <c r="L290" s="3">
        <f>552.8+(900.8-472)+(-2.255424+(-3.675264--1.92576))+0-183.4--0.748271999999984</f>
        <v>794.94334399999991</v>
      </c>
      <c r="M290" s="3">
        <f>558.1+(961.3-500.9)+(1.707786+(2.941578-1.532754))+0-183.3-0.560898000000021</f>
        <v>837.75571200000002</v>
      </c>
      <c r="N290" s="3">
        <f>557.5+(966.2-463.3)+(1.1373+(1.971048-0.945132))+0-185.1-0.377603999999992</f>
        <v>877.08561199999997</v>
      </c>
      <c r="O290" s="3">
        <f>555.1+(959.2-441.1)+(0.849303+(1.467576-0.674883))+0-180.9-0.27677700000001</f>
        <v>893.66521900000009</v>
      </c>
      <c r="P290" s="3">
        <f>549.2+(938-419.1)+(-1.120368+(-1.91352--0.854964))+0-176.4--0.359855999999992</f>
        <v>889.88093199999992</v>
      </c>
      <c r="Q290" s="3">
        <f>540.8+(922.7-404.6)+(-0.827424+(-1.411731--0.619038))+0-171.9--0.26300700000001</f>
        <v>885.64289000000019</v>
      </c>
      <c r="R290" s="3">
        <f>535.3+(907.9-390.7)+(-0.546006+(-0.926058--0.398514))+0-181.2--0.184824000000029</f>
        <v>870.41127399999993</v>
      </c>
      <c r="S290" s="3">
        <f>533.1+(767.4-272.4)+(-0.271881+(-0.391374--0.138924))+0-182.4--0.0930239999999815</f>
        <v>845.26869299999987</v>
      </c>
      <c r="T290" s="3">
        <f>529.5+(782.7-280.7)+(-0.270045+(-0.399177--0.143157))+0-190.1--0.0969509999999807</f>
        <v>840.97088599999995</v>
      </c>
      <c r="U290" s="3">
        <f>532.6+(752.7-256)+(-1.086504+(-1.535508--0.52224))+0-185.5--0.378419999999992</f>
        <v>842.07864800000016</v>
      </c>
      <c r="V290" s="3">
        <f>535.4+(817.3-299.6)+(0.273054+(0.416823-0.152796))+0-184.4-0.0940439999999813</f>
        <v>869.14303699999994</v>
      </c>
      <c r="W290" s="3">
        <f>541.4+(994.9-373.9)+(-0.276114+(-0.507399--0.190689))+0-185.1--0.0944009999999812</f>
        <v>976.80157699999995</v>
      </c>
      <c r="X290" s="3">
        <f>543.3+(953-330.8)+(-0.277083+(-0.48603--0.168708))+0-189.8--0.0967979999999807</f>
        <v>975.20239300000003</v>
      </c>
      <c r="Y290" s="3">
        <f>544.8+(891.3-307.7)+(-0.277848+(-0.454563--0.156927))+0-190.4--0.0971039999999807</f>
        <v>937.52161999999987</v>
      </c>
      <c r="Z290" s="3">
        <f>549.6+(845.4-291.4)+(-0.280296+(-0.431154--0.148614))+0-193.5--0.0986849999999804</f>
        <v>909.63584899999978</v>
      </c>
      <c r="AA290" s="3">
        <f>551.4+(847-315.2)+(0.843642+(1.29591-0.482256))+0-192.8-0.294984000000011</f>
        <v>891.76231199999995</v>
      </c>
      <c r="AB290" s="3">
        <f>551.9+(722.4-224.1)+(0+(0-0))+0-187.7-0</f>
        <v>862.49999999999977</v>
      </c>
      <c r="AC290" s="3">
        <f>554.3+(645.3-195.5)+(-0.565386+(-0.658206--0.19941))+0-190.1--0.19390200000003</f>
        <v>813.16971999999987</v>
      </c>
      <c r="AD290" s="2">
        <v>954.09999999999991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555.7+(594.5-182.9)+(-0.850221+(-0.909585--0.279837))+0-190.7--0.291771000000011</f>
        <v>775.41180200000019</v>
      </c>
      <c r="G291" s="3">
        <f>560+(593.9-208.9)+(0+(0-0))+0-189.1-0</f>
        <v>755.9</v>
      </c>
      <c r="H291" s="3">
        <f>559.3+(557.8-186.6)+(0.285243+(0.284478-0.095166))+0-189.6-0.0966959999999808</f>
        <v>741.27785899999992</v>
      </c>
      <c r="I291" s="3">
        <f>557.2+(585.1-214.7)+(0.284172+(0.298401-0.109497))+0-189.4-0.0965939999999808</f>
        <v>738.57648200000017</v>
      </c>
      <c r="J291" s="3">
        <f>559.4+(567.6-202.7)+(-0.285294+(-0.289476--0.103377))+0-182.4--0.0930239999999815</f>
        <v>741.52163099999996</v>
      </c>
      <c r="K291" s="3">
        <f>560.5+(650.5-271.9)+(0.857565+(0.995265-0.416007))+0-182.4-0.279072000000011</f>
        <v>757.85775100000001</v>
      </c>
      <c r="L291" s="3">
        <f>557.1+(722.6-307.5)+(0.852363+(1.105578-0.470475))+0-178.3-0.27279900000001</f>
        <v>795.11466700000017</v>
      </c>
      <c r="M291" s="3">
        <f>559.1+(793.2-325.5)+(-0.285141+(-0.404532--0.166005))+0-179.4--0.0914939999999818</f>
        <v>846.96782600000017</v>
      </c>
      <c r="N291" s="3">
        <f>552.3+(779.4-262.7)+(0.281673+(0.397494-0.133977))+0-183.2-0.0934319999999814</f>
        <v>886.251758</v>
      </c>
      <c r="O291" s="3">
        <f>552.9+(839.4-290.5)+(0.281979+(0.428094-0.148155))+0-188.7-0.0962369999999809</f>
        <v>913.56568100000004</v>
      </c>
      <c r="P291" s="3">
        <f>551.2+(907.9-332.6)+(-0.281112+(-0.463029--0.169626))+0-185.6--0.0946559999999812</f>
        <v>940.42014099999994</v>
      </c>
      <c r="Q291" s="3">
        <f>545.6+(938.9-339.2)+(-0.834768+(-1.436517--0.518976))+0-191--0.292230000000011</f>
        <v>952.83992100000023</v>
      </c>
      <c r="R291" s="3">
        <f>540.8+(940.3-346.7)+(-0.551616+(-0.959106--0.353634))+0-189.3--0.19308600000003</f>
        <v>944.13599799999997</v>
      </c>
      <c r="S291" s="3">
        <f>536.6+(856.6-280.1)+(-0.547332+(-0.873732--0.285702))+0-191.3--0.195126000000031</f>
        <v>920.85976400000004</v>
      </c>
      <c r="T291" s="3">
        <f>534.6+(849.5-277.4)+(-1.090584+(-1.73298--0.565896))+0-192.5--0.392699999999992</f>
        <v>912.33503200000007</v>
      </c>
      <c r="U291" s="3">
        <f>532+(838.2-274.8)+(1.3566+(2.13741-0.70074))+0-187-0.476849999999973</f>
        <v>910.71641999999997</v>
      </c>
      <c r="V291" s="3">
        <f>532.5+(848.7-256.3)+(0+(0-0))+0-187.4-0</f>
        <v>937.50000000000011</v>
      </c>
      <c r="W291" s="3">
        <f>536.1+(1096-391.6)+(0.546822+(1.11792-0.399432))+0-192.4-0.196248000000031</f>
        <v>1049.1690619999999</v>
      </c>
      <c r="X291" s="3">
        <f>542.3+(1098.2-397.2)+(-0.829719+(-1.680246--0.607716))+0-191.9--0.293607000000011</f>
        <v>1049.7913579999999</v>
      </c>
      <c r="Y291" s="3">
        <f>545.6+(1031.1-360.8)+(0.278256+(0.525861-0.184008))+0-190.7-0.0972569999999807</f>
        <v>1025.7228520000001</v>
      </c>
      <c r="Z291" s="3">
        <f>549.3+(957-322.6)+(0.280143+(0.48807-0.164526))+0-191.2-0.0975119999999806</f>
        <v>993.00617499999987</v>
      </c>
      <c r="AA291" s="3">
        <f>552.2+(861.3-261.5)+(0.563244+(0.878526-0.26673))+0-192.7-0.196554000000031</f>
        <v>960.27848600000004</v>
      </c>
      <c r="AB291" s="3">
        <f>553.8+(749.9-202.9)+(-0.564876+(-0.764898--0.206958))+0-189--0.19278000000003</f>
        <v>910.86996399999998</v>
      </c>
      <c r="AC291" s="3">
        <f>553.9+(644.9-163.9)+(-1.412445+(-1.644495--0.417945))+0-191.7--0.488834999999972</f>
        <v>841.04984000000002</v>
      </c>
      <c r="AD291" s="2">
        <v>1040.4000000000001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554.3+(606.2-170.3)+(-0.848079+(-0.927486--0.260559))+0-188.3--0.288099000000011</f>
        <v>800.67309299999999</v>
      </c>
      <c r="G292" s="3">
        <f>556.1+(552.8-151.9)+(0+(0-0))+0-183.4-0</f>
        <v>773.6</v>
      </c>
      <c r="H292" s="3">
        <f>554.8+(521.2-144.7)+(0.282948+(0.265812-0.073797))+0-180.7-0.0921569999999817</f>
        <v>750.9828060000001</v>
      </c>
      <c r="I292" s="3">
        <f>555.4+(539.4-163.1)+(0.849762+(0.825282-0.249543))+0-180.1-0.27555300000001</f>
        <v>752.7499479999999</v>
      </c>
      <c r="J292" s="3">
        <f>555+(574.8-185)+(1.41525+(1.46574-0.47175))+0-184.9-0.471494999999973</f>
        <v>761.83774499999993</v>
      </c>
      <c r="K292" s="3">
        <f>556.6+(652.8-238)+(0.567732+(0.665856-0.24276))+0-184.1-0.187782000000029</f>
        <v>788.10304599999984</v>
      </c>
      <c r="L292" s="3">
        <f>556.9+(822.1-331)+(-1.704114+(-2.515626--1.01286))+0-182.4--0.558144000000021</f>
        <v>862.95126400000004</v>
      </c>
      <c r="M292" s="3">
        <f>554.8+(880.2-319.2)+(0.848844+(1.346706-0.488376))+0-190.3-0.291159000000011</f>
        <v>926.9160149999999</v>
      </c>
      <c r="N292" s="3">
        <f>547.5+(941.4-334.3)+(0+(0-0))+0-189.1-0</f>
        <v>965.49999999999989</v>
      </c>
      <c r="O292" s="3">
        <f>544.1+(938.6-312.9)+(-1.109964+(-1.914744--0.638316))+0-179.8--0.366791999999992</f>
        <v>987.98040000000037</v>
      </c>
      <c r="P292" s="3">
        <f>533.4+(908.3-265.5)+(0.544068+(0.926466-0.27081))+0-172.6-0.176052000000028</f>
        <v>1004.6236719999998</v>
      </c>
      <c r="Q292" s="3">
        <f>527.2+(923.7-271.3)+(0+(0-0))+0-174.5-0</f>
        <v>1005.1000000000001</v>
      </c>
      <c r="R292" s="3">
        <f>524.3+(925.1-285.8)+(-0.802179+(-1.415403--0.437274))+0-172--0.26316000000001</f>
        <v>990.08285199999978</v>
      </c>
      <c r="S292" s="3">
        <f>522.8+(922.3-291.9)+(-0.533256+(-0.940746--0.297738))+0-181.6--0.185232000000029</f>
        <v>970.60896799999989</v>
      </c>
      <c r="T292" s="3">
        <f>520.5+(867.1-249.1)+(0.265455+(0.442221-0.127041))+0-181.1-0.0923609999999816</f>
        <v>957.88827400000002</v>
      </c>
      <c r="U292" s="3">
        <f>518.9+(845.6-237.5)+(0.793917+(1.293768-0.363375))+0-183.9-0.281367000000011</f>
        <v>944.54294300000004</v>
      </c>
      <c r="V292" s="3">
        <f>521.2+(896.8-266.5)+(0.265812+(0.457368-0.135915))+0-181-0.0923099999999816</f>
        <v>970.99495499999989</v>
      </c>
      <c r="W292" s="3">
        <f>522.7+(1146-406.3)+(0+(0-0))+0-184.3-0</f>
        <v>1078.1000000000001</v>
      </c>
      <c r="X292" s="3">
        <f>528.7+(1135.2-390.3)+(-0.269637+(-0.578952--0.199053))+0-185.1--0.0944009999999812</f>
        <v>1087.9448650000004</v>
      </c>
      <c r="Y292" s="3">
        <f>534.5+(1070.3-352.9)+(-1.09038+(-2.183412--0.719916))+0-185.6--0.378623999999992</f>
        <v>1064.1247480000002</v>
      </c>
      <c r="Z292" s="3">
        <f>536+(996.3-322.2)+(-0.27336+(-0.508113--0.164322))+0-189--0.0963899999999808</f>
        <v>1020.5792389999999</v>
      </c>
      <c r="AA292" s="3">
        <f>537.7+(845.3-205.7)+(0+(0-0))+0-192.8-0</f>
        <v>984.5</v>
      </c>
      <c r="AB292" s="3">
        <f>535.6+(755.7-172.4)+(-0.819468+(-1.156221--0.263772))+0-188--0.287640000000011</f>
        <v>929.47572300000002</v>
      </c>
      <c r="AC292" s="3">
        <f>536.7+(667.9-147.2)+(-0.273717+(-0.340629--0.075072))+0-189.6--0.0966959999999808</f>
        <v>867.35742200000004</v>
      </c>
      <c r="AD292" s="2">
        <v>1077.3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518.8+(643.8-155)+(-0.529176+(-0.656676--0.1581))+0-189.1--0.19288200000003</f>
        <v>817.66512999999998</v>
      </c>
      <c r="G293" s="3">
        <f>519.8+(638-177)+(0.265098+(0.32538-0.09027))+0-186.1-0.0949109999999811</f>
        <v>795.10529699999995</v>
      </c>
      <c r="H293" s="3">
        <f>518.9+(607.8-165.3)+(-0.529278+(-0.619956--0.168606))+0-180.4--0.184008000000029</f>
        <v>780.20337999999992</v>
      </c>
      <c r="I293" s="3">
        <f>523.3+(629.9-193.9)+(0.266883+(0.321249-0.098889))+0-177-0.090269999999982</f>
        <v>782.69897299999991</v>
      </c>
      <c r="J293" s="3">
        <f>522.2+(664.2-220.2)+(1.065288+(1.354968-0.449208))+0-170.4-0.347615999999993</f>
        <v>797.42343200000005</v>
      </c>
      <c r="K293" s="3">
        <f>521.4+(734.8-266.2)+(0.531828+(0.749496-0.271524))+0-168.1-0.171462000000027</f>
        <v>822.738338</v>
      </c>
      <c r="L293" s="3">
        <f>521.7+(853.6-315.5)+(0.532134+(0.870672-0.32181))+0-172.6-0.176052000000028</f>
        <v>888.10494400000005</v>
      </c>
      <c r="M293" s="3">
        <f>520.1+(916.8-298)+(-0.530502+(-0.935136--0.30396))+0-175.7--0.179214000000028</f>
        <v>962.21753600000011</v>
      </c>
      <c r="N293" s="3">
        <f>513.3+(930.6-277.6)+(0.523566+(0.949212-0.283152))+0-175.3-0.178806000000028</f>
        <v>992.01082000000008</v>
      </c>
      <c r="O293" s="3">
        <f>507.9+(884.7-212.6)+(0.518058+(0.902394-0.216852))+0-167.8-0.171156000000027</f>
        <v>1013.2324440000001</v>
      </c>
      <c r="P293" s="3">
        <f>484+(930.9-227.9)+(0.24684+(0.474759-0.116229))+0-170.4-0.0869039999999827</f>
        <v>1017.118466</v>
      </c>
      <c r="Q293" s="3">
        <f>11+(1380.2-195.8)+(-0.00561+(-0.703902--0.099858))+0-173.7--0.0885869999999824</f>
        <v>1021.1789329999999</v>
      </c>
      <c r="R293" s="3">
        <f>12+(1341.4-175.6)+(-0.02448+(-2.736456--0.358224))+0-181.8--0.370871999999992</f>
        <v>993.96816000000013</v>
      </c>
      <c r="S293" s="3">
        <f>97+(1223.1-166.1)+(-0.14841+(-1.871343--0.254133))+0-176.9--0.27065700000001</f>
        <v>975.60503700000015</v>
      </c>
      <c r="T293" s="3">
        <f>286.2+(991.3-143.5)+(-0.875772+(-3.033378--0.43911))+0-184.6--0.564876000000021</f>
        <v>946.49483600000008</v>
      </c>
      <c r="U293" s="3">
        <f>393.8+(883.6-152.9)+(0.602514+(1.351908-0.233937))+0-184.1-0.281673000000011</f>
        <v>941.83881200000008</v>
      </c>
      <c r="V293" s="3">
        <f>481.3+(882.2-196.4)+(0+(0-0))+0-183.8-0</f>
        <v>983.30000000000018</v>
      </c>
      <c r="W293" s="3">
        <f>496.2+(1065-292)+(0.253062+(0.54315-0.14892))+0-180.7-0.0921569999999817</f>
        <v>1089.0551350000001</v>
      </c>
      <c r="X293" s="3">
        <f>502.2+(1095.2-319.4)+(-1.28061+(-2.79276--0.81447))+0-187.5--0.478124999999973</f>
        <v>1087.7192249999998</v>
      </c>
      <c r="Y293" s="3">
        <f>501.9+(1065.1-320.3)+(-0.511938+(-1.086402--0.326706))+0-184.3--0.187986000000029</f>
        <v>1061.3163520000001</v>
      </c>
      <c r="Z293" s="3">
        <f>504.6+(997-293.5)+(-0.257346+(-0.50847--0.149685))+0-185.3--0.0945029999999812</f>
        <v>1022.278372</v>
      </c>
      <c r="AA293" s="3">
        <f>504.2+(927-255)+(-1.028568+(-1.89108--0.5202))+0-185.1--0.377603999999992</f>
        <v>989.07815600000015</v>
      </c>
      <c r="AB293" s="3">
        <f>506.2+(849.9-238.1)+(-0.258162+(-0.433449--0.121431))+0-182.7--0.0931769999999815</f>
        <v>934.82299699999999</v>
      </c>
      <c r="AC293" s="3">
        <f>504.8+(805.6-258)+(-1.28724+(-2.05428--0.6579))+0-175.5--0.447524999999975</f>
        <v>874.663905</v>
      </c>
      <c r="AD293" s="2">
        <v>1091.8000000000002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502.7+(724.4-229.6)+(-1.281885+(-1.84722--0.58548))+0-169.6--0.432479999999975</f>
        <v>825.7888549999999</v>
      </c>
      <c r="G294" s="3">
        <f>507+(701.5-236.4)+(-1.29285+(-1.788825--0.60282))+0-162.8--0.415139999999976</f>
        <v>807.23628500000007</v>
      </c>
      <c r="H294" s="3">
        <f>504.3+(685.8-237.4)+(0.514386+(0.699516-0.242148))+0-160.9-0.164118000000026</f>
        <v>792.60763600000007</v>
      </c>
      <c r="I294" s="3">
        <f>495.7+(661.4-221.1)+(0.252807+(0.337314-0.112761))+0-167.9-0.085628999999983</f>
        <v>768.49173100000007</v>
      </c>
      <c r="J294" s="3">
        <f>452+(700.2-210.1)+(-0.46104+(-0.714204--0.214302))+0-172.1--0.175542000000027</f>
        <v>769.21460000000002</v>
      </c>
      <c r="K294" s="3">
        <f>485.9+(747.4-248.4)+(0.495618+(0.762348-0.253368))+0-178.5-0.182070000000028</f>
        <v>807.2225279999999</v>
      </c>
      <c r="L294" s="3">
        <f>500.5+(899.1-342)+(1.02102+(1.834164-0.69768))+0-179.9-0.366995999999992</f>
        <v>879.49050799999998</v>
      </c>
      <c r="M294" s="3">
        <f>501.7+(936-292.5)+(-0.511734+(-0.95472--0.29835))+0-184--0.187680000000029</f>
        <v>960.21957599999996</v>
      </c>
      <c r="N294" s="3">
        <f>501.3+(952-255.3)+(-0.255663+(-0.48552--0.130203))+0-185.7--0.0947069999999812</f>
        <v>1011.783727</v>
      </c>
      <c r="O294" s="3">
        <f>497+(952.6-235.9)+(-0.50694+(-0.971652--0.240618))+0-185.5--0.18921000000003</f>
        <v>1027.1512360000002</v>
      </c>
      <c r="P294" s="3">
        <f>495.8+(969.9-235.5)+(-0.505716+(-0.989298--0.24021))+0-186.8--0.19053600000003</f>
        <v>1042.3357320000002</v>
      </c>
      <c r="Q294" s="3">
        <f>496.9+(948.5-216.7)+(-0.506838+(-0.96747--0.221034))+0-187--0.19074000000003</f>
        <v>1040.6374659999999</v>
      </c>
      <c r="R294" s="3">
        <f>495.1+(955.8-240.4)+(-1.010004+(-1.949832--0.490416))+0-186.2--0.379847999999992</f>
        <v>1022.2104280000001</v>
      </c>
      <c r="S294" s="3">
        <f>493.6+(921.5-225.1)+(0.251736+(0.469965-0.114801))+0-185.2-0.0944519999999812</f>
        <v>1005.312448</v>
      </c>
      <c r="T294" s="3">
        <f>493.6+(851.9-184.4)+(-0.251736+(-0.434469--0.094044))+0-186.8--0.0952679999999811</f>
        <v>973.80310699999995</v>
      </c>
      <c r="U294" s="3">
        <f>492.4+(829.9-179)+(-0.502248+(-0.846498--0.18258))+0-178.4--0.181968000000028</f>
        <v>963.91580199999999</v>
      </c>
      <c r="V294" s="3">
        <f>491.6+(910.5-213.9)+(-0.501432+(-0.92871--0.218178))+0-185.9--0.18961800000003</f>
        <v>1001.277654</v>
      </c>
      <c r="W294" s="3">
        <f>493.3+(1104.1-318.9)+(0.251583+(0.563091-0.162639))+0-187.3-0.095522999999981</f>
        <v>1091.7565120000002</v>
      </c>
      <c r="X294" s="3">
        <f>496.9+(1073.6-297.6)+(-0.760257+(-1.642608--0.455328))+0-190.1--0.290853000000011</f>
        <v>1081.1433159999999</v>
      </c>
      <c r="Y294" s="3">
        <f>494+(1059.9-341.7)+(0.25194+(0.540549-0.174267))+0-188.8-0.0962879999999808</f>
        <v>1023.9219340000002</v>
      </c>
      <c r="Z294" s="3">
        <f>499.9+(975.1-282.4)+(-0.254949+(-0.497301--0.144024))+0-188.9--0.0963389999999808</f>
        <v>1003.1881129999998</v>
      </c>
      <c r="AA294" s="3">
        <f>499+(878.9-230.5)+(-0.50898+(-0.896478--0.23511))+0-187.5--0.19125000000003</f>
        <v>958.92090200000007</v>
      </c>
      <c r="AB294" s="3">
        <f>500+(809.3-207.6)+(-1.02+(-1.650972--0.423504))+0-185.7--0.378827999999992</f>
        <v>914.13135999999975</v>
      </c>
      <c r="AC294" s="3">
        <f>502.1+(681.1-157.3)+(-1.280355+(-1.736805--0.401115))+0-183.7--0.468434999999973</f>
        <v>840.05239000000006</v>
      </c>
      <c r="AD294" s="2">
        <v>1102.3999999999999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500.2+(610.8-134.9)+(-0.255102+(-0.311508--0.068799))+0-180.4--0.0920039999999817</f>
        <v>795.29419299999995</v>
      </c>
      <c r="G295" s="3">
        <f>500.3+(574.3-135.6)+(-1.020612+(-1.171572--0.276624))+0-179.2--0.365567999999992</f>
        <v>758.25000799999998</v>
      </c>
      <c r="H295" s="3">
        <f>502.2+(592.7-161.4)+(0.256122+(0.302277-0.082314))+0-183.5-0.0935849999999814</f>
        <v>750.38250000000005</v>
      </c>
      <c r="I295" s="3">
        <f>504.5+(585.7-165.5)+(-0.771885+(-0.896121--0.253215))+0-185.7--0.284121000000011</f>
        <v>737.8693300000001</v>
      </c>
      <c r="J295" s="3">
        <f>502.1+(601.8-175)+(0.256071+(0.306918-0.08925))+0-184.3-0.0939929999999813</f>
        <v>744.97974599999998</v>
      </c>
      <c r="K295" s="3">
        <f>503.3+(682.3-221.5)+(0.256683+(0.347973-0.112965))+0-184.9-0.0942989999999812</f>
        <v>779.5973919999999</v>
      </c>
      <c r="L295" s="3">
        <f>504.4+(762.5-244.5)+(-1.28622+(-1.944375--0.623475))+0-183.9--0.468944999999973</f>
        <v>836.36182499999995</v>
      </c>
      <c r="M295" s="3">
        <f>504.7+(791.8-216.3)+(-0.772191+(-1.211454--0.330939))+0-187.8--0.287334000000011</f>
        <v>891.034628</v>
      </c>
      <c r="N295" s="3">
        <f>501.1+(803.2-194.1)+(0.511122+(0.819264-0.197982))+0-188.3-0.19206600000003</f>
        <v>922.84033799999997</v>
      </c>
      <c r="O295" s="3">
        <f>503.8+(782.4-177.5)+(-0.256938+(-0.399024--0.090525))+0-186.1--0.0949109999999811</f>
        <v>922.12947400000007</v>
      </c>
      <c r="P295" s="3">
        <f>503.9+(760.9-161.2)+(0.770967+(1.164177-0.246636))+0-183.5-0.280755000000011</f>
        <v>921.50775299999987</v>
      </c>
      <c r="Q295" s="3">
        <f>507.6+(767.7-153.3)+(0+(0-0))+0-176.7-0</f>
        <v>945.3</v>
      </c>
      <c r="R295" s="3">
        <f>510.9+(797.7-194)+(-0.260559+(-0.406827--0.09894))+0-171.4--0.0874139999999826</f>
        <v>942.7189679999999</v>
      </c>
      <c r="S295" s="3">
        <f>512.6+(745.9-161.5)+(-0.261426+(-0.380409--0.082365))+0-167.3--0.085322999999983</f>
        <v>929.22585300000014</v>
      </c>
      <c r="T295" s="3">
        <f>513+(701.9-136.9)+(-0.26163+(-0.357969--0.069819))+0-168.2--0.0857819999999829</f>
        <v>909.33600199999989</v>
      </c>
      <c r="U295" s="3">
        <f>513.6+(718.8-137.9)+(0+(0-0))+0-171.3-0</f>
        <v>923.2</v>
      </c>
      <c r="V295" s="3">
        <f>513+(794.2-182.1)+(-0.26163+(-0.405042--0.092871))+0-169.6--0.0864959999999828</f>
        <v>955.01269499999989</v>
      </c>
      <c r="W295" s="3">
        <f>517.5+(974.2-241.4)+(0.263925+(0.496842-0.123114))+0-183-0.0933299999999814</f>
        <v>1067.8443230000003</v>
      </c>
      <c r="X295" s="3">
        <f>518.8+(981.4-251.2)+(-1.058352+(-2.002056--0.512448))+0-181.1--0.369443999999992</f>
        <v>1065.7214839999999</v>
      </c>
      <c r="Y295" s="3">
        <f>524.4+(961.7-264.4)+(-0.267444+(-0.490467--0.134844))+0-179.3--0.0914429999999818</f>
        <v>1041.8683760000001</v>
      </c>
      <c r="Z295" s="3">
        <f>526.8+(881-237)+(-0.537336+(-0.89862--0.24174))+0-171.6--0.175032000000027</f>
        <v>998.18081599999982</v>
      </c>
      <c r="AA295" s="3">
        <f>528.3+(820-210.7)+(0+(0-0))+0-169.9-0</f>
        <v>967.69999999999993</v>
      </c>
      <c r="AB295" s="3">
        <f>529.5+(726.6-168.2)+(-0.810135+(-1.111698--0.257346))+0-170.4--0.26071200000001</f>
        <v>916.09622500000012</v>
      </c>
      <c r="AC295" s="3">
        <f>531.6+(632.4-144.1)+(-0.542232+(-0.645048--0.146982))+0-176.9--0.180438000000028</f>
        <v>842.14013999999997</v>
      </c>
      <c r="AD295" s="2">
        <v>1053.5999999999999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531.1+(574-134.4)+(-1.354305+(-1.4637--0.34272))+0-178.6--0.455429999999974</f>
        <v>790.08014500000002</v>
      </c>
      <c r="G296" s="3">
        <f>530+(580.1-146.8)+(0+(0-0))+0-181.2-0</f>
        <v>782.09999999999991</v>
      </c>
      <c r="H296" s="3">
        <f>531.5+(602.1-180.1)+(-0.54213+(-0.614142--0.183702))+0-183.5--0.187170000000029</f>
        <v>769.21460000000002</v>
      </c>
      <c r="I296" s="3">
        <f>532+(562.5-151.8)+(-0.54264+(-0.57375--0.154836))+0-185.2--0.18890400000003</f>
        <v>756.72735</v>
      </c>
      <c r="J296" s="3">
        <f>531.9+(564.3-160.5)+(0+(0-0))+0-180.6-0</f>
        <v>755.09999999999991</v>
      </c>
      <c r="K296" s="3">
        <f>537.3+(625.5-202)+(-0.274023+(-0.319005--0.10302))+0-174--0.0887399999999823</f>
        <v>786.398732</v>
      </c>
      <c r="L296" s="3">
        <f>536.5+(758-268.7)+(0+(0-0))+0-168-0</f>
        <v>857.8</v>
      </c>
      <c r="M296" s="3">
        <f>537.7+(800.1-238)+(0.548454+(0.816102-0.24276))+0-172.5-0.175950000000028</f>
        <v>928.24584600000003</v>
      </c>
      <c r="N296" s="3">
        <f>543.6+(760.2-190.5)+(0.554472+(0.775404-0.19431))+0-177.8-0.181356000000028</f>
        <v>936.4542100000001</v>
      </c>
      <c r="O296" s="3">
        <f>573.8+(712.2-169.8)+(0+(0-0))+0-174.1-0</f>
        <v>942.1</v>
      </c>
      <c r="P296" s="3">
        <f>564.7+(702.7-156.2)+(0.863991+(1.075131-0.238986))+0-165.7-0.25352100000001</f>
        <v>946.94661499999995</v>
      </c>
      <c r="Q296" s="3">
        <f>566.5+(724.5-157.4)+(-0.57783+(-0.73899--0.160548))+0-172.2--0.175644000000027</f>
        <v>960.41937199999995</v>
      </c>
      <c r="R296" s="3">
        <f>568.6+(677.7-155)+(-1.44993+(-1.728135--0.39525))+0-176.7--0.450584999999974</f>
        <v>912.26777000000004</v>
      </c>
      <c r="S296" s="3">
        <f>566.5+(643.3-133.8)+(-0.288915+(-0.328083--0.068238))+0-173.4--0.0884339999999824</f>
        <v>902.13967400000013</v>
      </c>
      <c r="T296" s="3">
        <f>566.2+(642.3-125.2)+(-0.288762+(-0.327573--0.063852))+0-185.9--0.0948089999999811</f>
        <v>896.94232599999998</v>
      </c>
      <c r="U296" s="3">
        <f>565.8+(663.6-129)+(0.288558+(0.338436-0.06579))+0-187.2-0.095471999999981</f>
        <v>913.66573200000016</v>
      </c>
      <c r="V296" s="3">
        <f>568.3+(711.5-145.3)+(0+(0-0))+0-187.4-0</f>
        <v>947.1</v>
      </c>
      <c r="W296" s="3">
        <f>567.2+(830.9-203.6)+(0.289272+(0.423759-0.103836))+0-187.7-0.095726999999981</f>
        <v>1007.3134679999999</v>
      </c>
      <c r="X296" s="3">
        <f>566.6+(835.1-220.6)+(-1.44483+(-2.129505--0.56253))+0-186.9--0.476594999999973</f>
        <v>991.66478999999981</v>
      </c>
      <c r="Y296" s="3">
        <f>570.6+(802.4-198.4)+(-1.164024+(-1.636896--0.404736))+0-186.6--0.380663999999992</f>
        <v>985.98447999999996</v>
      </c>
      <c r="Z296" s="3">
        <f>571.8+(745.7-188.7)+(-1.45809+(-1.901535--0.481185))+0-188.9--0.481694999999973</f>
        <v>937.50325499999997</v>
      </c>
      <c r="AA296" s="3">
        <f>571.6+(693.7-171.1)+(-0.583032+(-0.707574--0.174522))+0-189.6--0.19339200000003</f>
        <v>903.67730800000004</v>
      </c>
      <c r="AB296" s="3">
        <f>571.6+(629.9-151.4)+(-0.874548+(-0.963747--0.231642))+0-187.5--0.286875000000011</f>
        <v>861.28022199999987</v>
      </c>
      <c r="AC296" s="3">
        <f>570.9+(553-133.3)+(-0.582318+(-0.56406--0.135966))+0-183.9--0.187578000000029</f>
        <v>805.87716599999999</v>
      </c>
      <c r="AD296" s="2">
        <v>1027.8999999999996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577.4+(557.6-160.4)+(-0.294474+(-0.284376--0.081804))+0-186.6--0.0951659999999811</f>
        <v>787.59811999999999</v>
      </c>
      <c r="G297" s="3">
        <f>574.6+(515.5-146.4)+(0.879138+(0.788715-0.223992))+0-186-0.284580000000011</f>
        <v>758.85928100000001</v>
      </c>
      <c r="H297" s="3">
        <f>576.6+(492.2-134.4)+(-0.294066+(-0.251022--0.068544))+0-184.2--0.0939419999999813</f>
        <v>749.81739799999991</v>
      </c>
      <c r="I297" s="3">
        <f>576.5+(474.3-137.6)+(0.882045+(0.725679-0.210528))+0-183.7-0.281061000000011</f>
        <v>730.6161350000001</v>
      </c>
      <c r="J297" s="3">
        <f>575.5+(488.7-140.9)+(0+(0-0))+0-184.7-0</f>
        <v>738.59999999999991</v>
      </c>
      <c r="K297" s="3">
        <f>575.3+(553-177.1)+(1.173612+(1.12812-0.361284))+0-182.8-0.372911999999992</f>
        <v>769.96753599999988</v>
      </c>
      <c r="L297" s="3">
        <f>573.3+(617.9-207.7)+(-1.169532+(-1.260516--0.423708))+0-180.6--0.368423999999992</f>
        <v>801.26208399999996</v>
      </c>
      <c r="M297" s="3">
        <f>574.9+(676.3-218.1)+(-0.293199+(-0.344913--0.111231))+0-182.2--0.0929219999999815</f>
        <v>850.46604099999979</v>
      </c>
      <c r="N297" s="3">
        <f>520.5+(729.9-162.8)+(-0.265455+(-0.372249--0.083028))+0-187.7--0.095726999999981</f>
        <v>899.4410509999999</v>
      </c>
      <c r="O297" s="3">
        <f>515.4+(737.8-143.6)+(0.525708+(0.752556-0.146472))+0-181.9-0.185538000000029</f>
        <v>928.64625399999977</v>
      </c>
      <c r="P297" s="3">
        <f>511.4+(679.9-119.7)+(-0.260814+(-0.346749--0.061047))+0-136.7--0.0697169999999861</f>
        <v>934.42320099999972</v>
      </c>
      <c r="Q297" s="3">
        <f>502.6+(726.8-119.1)+(0+(0-0))+0-177.5-0</f>
        <v>932.8</v>
      </c>
      <c r="R297" s="3">
        <f>501.2+(715.7-117.6)+(-0.766836+(-1.095021--0.179928))+0-192.4--0.294372000000011</f>
        <v>905.51244299999996</v>
      </c>
      <c r="S297" s="3">
        <f>527.2+(649.3-121.8)+(0+(0-0))+0-194.7-0</f>
        <v>860</v>
      </c>
      <c r="T297" s="3">
        <f>592.8+(591.8-160.1)+(-1.51164+(-1.50909--0.408255))+0-194.8--0.496739999999972</f>
        <v>827.58426499999985</v>
      </c>
      <c r="U297" s="3">
        <f>663.9+(565.9-204.9)+(-1.015767+(-0.865827--0.313497))+0-191.9--0.293607000000011</f>
        <v>831.72551000000021</v>
      </c>
      <c r="V297" s="3">
        <f>730+(581.1-248)+(-1.1169+(-0.889083--0.37944))+0-191.7--0.293301000000011</f>
        <v>870.06675799999982</v>
      </c>
      <c r="W297" s="3">
        <f>751.6+(655.3-264.7)+(0.383316+(0.334203-0.134997))+0-191.9-0.0978689999999805</f>
        <v>950.78465300000005</v>
      </c>
      <c r="X297" s="3">
        <f>753.7+(659.9-261.6)+(-0.768774+(-0.673098--0.266832))+0-191.4--0.195228000000031</f>
        <v>959.62018799999998</v>
      </c>
      <c r="Y297" s="3">
        <f>756.8+(613.6-247)+(-0.771936+(-0.625872--0.25194))+0-191--0.19482000000003</f>
        <v>931.44895200000008</v>
      </c>
      <c r="Z297" s="3">
        <f>752.8+(588.9-252.5)+(-1.91964+(-1.501695--0.643875))+0-192.7--0.491384999999972</f>
        <v>894.21392499999968</v>
      </c>
      <c r="AA297" s="3">
        <f>597.6+(629-168.1)+(0+(0-0))+0-191.7-0</f>
        <v>866.8</v>
      </c>
      <c r="AB297" s="3">
        <f>575.5+(636.9-180.1)+(-1.467525+(-1.624095--0.459255))+0-192--0.489599999999972</f>
        <v>838.15723500000001</v>
      </c>
      <c r="AC297" s="3">
        <f>578.1+(577.8-175.2)+(-0.589662+(-0.589356--0.178704))+0-191.2--0.19502400000003</f>
        <v>788.6947100000001</v>
      </c>
      <c r="AD297" s="2">
        <v>958.09999999999991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581.7+(501.5-143)+(-0.593334+(-0.51153--0.14586))+0-188.2--0.19196400000003</f>
        <v>751.23295999999993</v>
      </c>
      <c r="G298" s="3">
        <f>584.3+(508.4-181.8)+(0+(0-0))+0-185.7-0</f>
        <v>725.19999999999982</v>
      </c>
      <c r="H298" s="3">
        <f>583.1+(441.3-140.1)+(-0.297381+(-0.225063--0.071451))+0-182.6--0.0931259999999815</f>
        <v>701.34213299999999</v>
      </c>
      <c r="I298" s="3">
        <f>585.4+(437.3-146.3)+(0.895662+(0.669069-0.223839))+0-186.4-0.285192000000011</f>
        <v>691.0557</v>
      </c>
      <c r="J298" s="3">
        <f>588.5+(455.1-173.8)+(-1.500675+(-1.160505--0.44319))+0-186--0.474299999999973</f>
        <v>682.05630999999994</v>
      </c>
      <c r="K298" s="3">
        <f>588.6+(469.6-163.8)+(0.300186+(0.239496-0.083538))+0-188-0.0958799999999809</f>
        <v>706.76026400000012</v>
      </c>
      <c r="L298" s="3">
        <f>591.4+(490.6-181.7)+(-1.50807+(-1.25103--0.463335))+0-181.5--0.462824999999974</f>
        <v>716.96705999999995</v>
      </c>
      <c r="M298" s="3">
        <f>589.8+(564.3-227.1)+(-2.406384+(-2.302344--0.926568))+0-189--0.771119999999983</f>
        <v>734.98895999999991</v>
      </c>
      <c r="N298" s="3">
        <f>588.4+(595.9-212.9)+(-0.300084+(-0.303909--0.108579))+0-194.1--0.0989909999999803</f>
        <v>776.90357699999993</v>
      </c>
      <c r="O298" s="3">
        <f>588.7+(624.9-207.2)+(-0.600474+(-0.637398--0.211344))+0-193.3--0.197166000000031</f>
        <v>812.27063800000008</v>
      </c>
      <c r="P298" s="3">
        <f>577.9+(638.3-193.7)+(0.884187+(0.976599-0.296361))+0-192.1-0.293913000000011</f>
        <v>831.67051200000003</v>
      </c>
      <c r="Q298" s="3">
        <f>574.8+(623.4-181.5)+(-1.46574+(-1.58967--0.462825))+0-190.7--0.486284999999972</f>
        <v>823.89369999999985</v>
      </c>
      <c r="R298" s="3">
        <f>573.8+(585.5-173.3)+(-1.46319+(-1.493025--0.441915))+0-186--0.474299999999973</f>
        <v>797.95999999999992</v>
      </c>
      <c r="S298" s="3">
        <f>574.8+(533.9-153.1)+(0+(0-0))+0-191-0</f>
        <v>764.59999999999991</v>
      </c>
      <c r="T298" s="3">
        <f>568.8+(550-175.1)+(-0.580176+(-0.561--0.178602))+0-185.8--0.18951600000003</f>
        <v>757.12694199999999</v>
      </c>
      <c r="U298" s="3">
        <f>580.2+(609.8-233.7)+(0+(0-0))+0-191.2-0</f>
        <v>765.09999999999991</v>
      </c>
      <c r="V298" s="3">
        <f>596.3+(627-231.3)+(0.304113+(0.31977-0.117963))+0-191-0.0974099999999806</f>
        <v>801.40850999999998</v>
      </c>
      <c r="W298" s="3">
        <f>593.5+(761.5-246.4)+(-0.302685+(-0.388365--0.125664))+0-194.6--0.0992459999999803</f>
        <v>913.53385999999989</v>
      </c>
      <c r="X298" s="3">
        <f>608.1+(742.4-232.8)+(-0.310131+(-0.378624--0.118728))+0-190.2--0.0970019999999807</f>
        <v>927.02697499999999</v>
      </c>
      <c r="Y298" s="3">
        <f>621.1+(696.1-224.4)+(0+(0-0))+0-189.6-0</f>
        <v>903.20000000000016</v>
      </c>
      <c r="Z298" s="3">
        <f>617.7+(649-203.5)+(0.315027+(0.33099-0.103785))+0-189.7-0.0967469999999808</f>
        <v>873.94548500000008</v>
      </c>
      <c r="AA298" s="3">
        <f>619.8+(609.8-193.9)+(1.264392+(1.243992-0.395556))+0-189.3-0.386171999999992</f>
        <v>848.12665599999991</v>
      </c>
      <c r="AB298" s="3">
        <f>618.6+(543.2-171.9)+(0+(0-0))+0-179.8-0</f>
        <v>810.10000000000014</v>
      </c>
      <c r="AC298" s="3">
        <f>626.5+(485.1-165.4)+(-2.236605+(-1.731807--0.590478))+0-175--0.624750000000002</f>
        <v>768.44681600000001</v>
      </c>
      <c r="AD298" s="2">
        <v>919.29999999999984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628.2+(434.6-172.2)+(-1.281528+(-0.886584--0.351288))+0-175.4--0.357815999999992</f>
        <v>713.74099200000012</v>
      </c>
      <c r="G299" s="3">
        <f>632.6+(405.7-183.8)+(-1.290504+(-0.827628--0.374952))+0-164.6--0.335783999999993</f>
        <v>688.49260399999991</v>
      </c>
      <c r="H299" s="3">
        <f>634.7+(386.8-162.9)+(-0.971091+(-0.591804--0.249237))+0-170--0.26010000000001</f>
        <v>687.54644199999996</v>
      </c>
      <c r="I299" s="3">
        <f>632.2+(359-134.1)+(-0.967266+(-0.54927--0.205173))+0-172.2--0.26346600000001</f>
        <v>683.85210300000006</v>
      </c>
      <c r="J299" s="3">
        <f>631.5+(367.4-133.3)+(0.64413+(0.374748-0.135966))+0-173-0.176460000000028</f>
        <v>693.30645199999992</v>
      </c>
      <c r="K299" s="3">
        <f>631.7+(425.1-169.7)+(1.288668+(0.867204-0.346188))+0-176.9-0.360875999999992</f>
        <v>711.64880800000014</v>
      </c>
      <c r="L299" s="3">
        <f>633.2+(488.2-196.6)+(-1.291728+(-0.995928--0.401064))+0-183.9--0.375155999999992</f>
        <v>739.38856400000009</v>
      </c>
      <c r="M299" s="3">
        <f>633.5+(584.5-243.2)+(0.323085+(0.298095-0.124032))+0-188-0.0958799999999809</f>
        <v>787.20126800000003</v>
      </c>
      <c r="N299" s="3">
        <f>626.6+(684-280.3)+(-0.958698+(-1.04652--0.428859))+0-189.1--0.289323000000011</f>
        <v>839.91296399999999</v>
      </c>
      <c r="O299" s="3">
        <f>621.6+(730.4-296.6)+(-0.317016+(-0.372504--0.151266))+0-172.8--0.0881279999999825</f>
        <v>882.14987400000007</v>
      </c>
      <c r="P299" s="3">
        <f>617.9+(689.1-241.5)+(-1.260516+(-1.405764--0.49266))+0-168.3--0.343331999999993</f>
        <v>895.36971200000005</v>
      </c>
      <c r="Q299" s="3">
        <f>605.2+(750.5-266.4)+(-0.308652+(-0.382755--0.135864))+0-177.3--0.090422999999982</f>
        <v>911.53488000000027</v>
      </c>
      <c r="R299" s="3">
        <f>609.2+(754.1-273)+(-2.174844+(-2.692137--0.97461))+0-184.7--0.659379000000003</f>
        <v>902.36700800000028</v>
      </c>
      <c r="S299" s="3">
        <f>606.7+(737.8-283)+(0+(0-0))+0-177.8-0</f>
        <v>883.7</v>
      </c>
      <c r="T299" s="3">
        <f>604.8+(703.2-262.7)+(-0.616896+(-0.717264--0.267954))+0-177.2--0.180744000000028</f>
        <v>867.21453799999995</v>
      </c>
      <c r="U299" s="3">
        <f>597.2+(734-298.4)+(0+(0-0))+0-171.2-0</f>
        <v>861.60000000000014</v>
      </c>
      <c r="V299" s="3">
        <f>598.2+(773.1-308.8)+(-0.305082+(-0.394281--0.157488))+0-172.8--0.0881279999999825</f>
        <v>889.24625300000014</v>
      </c>
      <c r="W299" s="3">
        <f>599.3+(963.6-391.6)+(0.305643+(0.491436-0.199716))+0-181.3-0.0924629999999816</f>
        <v>990.50490000000013</v>
      </c>
      <c r="X299" s="3">
        <f>660.1+(932.7-387)+(-1.009953+(-1.427031--0.59211))+0-194.2--0.297126000000011</f>
        <v>1010.0522520000003</v>
      </c>
      <c r="Y299" s="3">
        <f>728.8+(802.3-355.1)+(-1.115064+(-1.227519--0.543303))+0-196.8--0.301104000000011</f>
        <v>977.7018240000001</v>
      </c>
      <c r="Z299" s="3">
        <f>732.5+(728.7-310.6)+(-0.373575+(-0.371637--0.158406))+0-197--0.10046999999998</f>
        <v>953.11366399999986</v>
      </c>
      <c r="AA299" s="3">
        <f>735.4+(639.4-263.7)+(-0.375054+(-0.326094--0.134487))+0-199.1--0.10154099999998</f>
        <v>911.53487999999982</v>
      </c>
      <c r="AB299" s="3">
        <f>741.1+(567.7-236.9)+(-1.511844+(-1.158108--0.483276))+0-194.9--0.397595999999992</f>
        <v>875.2109200000001</v>
      </c>
      <c r="AC299" s="3">
        <f>675.5+(502.4-165.3)+(-1.033515+(-0.768672--0.252909))+0-194.3--0.297279000000011</f>
        <v>817.048001</v>
      </c>
      <c r="AD299" s="2">
        <v>1023.4000000000001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590.4+(571.4-197.9)+(0.301104+(0.291414-0.100929))+0-192.8-0.0983279999999804</f>
        <v>771.49326099999996</v>
      </c>
      <c r="G300" s="3">
        <f>601.6+(510.2-177.7)+(0.613632+(0.520404-0.181254))+0-185.4-0.18910800000003</f>
        <v>749.46367399999997</v>
      </c>
      <c r="H300" s="3">
        <f>585.2+(549.9-216.3)+(0.298452+(0.280449-0.110313))+0-173.6-0.0885359999999824</f>
        <v>745.58005199999991</v>
      </c>
      <c r="I300" s="3">
        <f>419+(683.3-187.5)+(0.64107+(1.045449-0.286875))+0-173.5-0.26545500000001</f>
        <v>742.43418899999995</v>
      </c>
      <c r="J300" s="3">
        <f>401.2+(694.2-180.5)+(0.818448+(1.416168-0.36822))+0-174.3-0.355571999999992</f>
        <v>742.11082400000009</v>
      </c>
      <c r="K300" s="3">
        <f>403.4+(820.4-276)+(0+(0-0))+0-175.7-0</f>
        <v>772.09999999999991</v>
      </c>
      <c r="L300" s="3">
        <f>405.9+(918.2-311.6)+(0.414018+(0.936564-0.317832))+0-171.2-0.174624000000027</f>
        <v>842.15812600000004</v>
      </c>
      <c r="M300" s="3">
        <f>399.7+(892-240.8)+(0.611541+(1.36476-0.368424))+0-172.7-0.26423100000001</f>
        <v>879.54364599999997</v>
      </c>
      <c r="N300" s="3">
        <f>390.1+(906.3-217.5)+(0.596853+(1.386639-0.332775))+0-167.2-0.25581600000001</f>
        <v>913.09490100000005</v>
      </c>
      <c r="O300" s="3">
        <f>376.9+(925.7-213.8)+(0.961095+(2.360535-0.54519))+0-165.3-0.421514999999976</f>
        <v>925.85492500000032</v>
      </c>
      <c r="P300" s="3">
        <f>377.7+(904.4-182.5)+(0.385254+(0.922488-0.18615))+0-167-0.170340000000027</f>
        <v>933.55125199999986</v>
      </c>
      <c r="Q300" s="3">
        <f>416.3+(828.8-147.9)+(0.849252+(1.690752-0.301716))+0-173.2-0.353327999999992</f>
        <v>925.88495999999998</v>
      </c>
      <c r="R300" s="3">
        <f>454.9+(789.7-147.1)+(-0.463998+(-0.805494--0.150042))+0-178.7--0.182274000000028</f>
        <v>917.86282400000005</v>
      </c>
      <c r="S300" s="3">
        <f>476.9+(753.7-138.5)+(0.243219+(0.384387-0.070635))+0-185.4-0.0945539999999812</f>
        <v>907.16241699999989</v>
      </c>
      <c r="T300" s="3">
        <f>510.7+(704.5-130.1)+(0+(0-0))+0-191-0</f>
        <v>894.09999999999991</v>
      </c>
      <c r="U300" s="3">
        <f>517.5+(697.6-131.3)+(-0.52785+(-0.711552--0.133926))+0-190.7--0.19451400000003</f>
        <v>892.18903799999998</v>
      </c>
      <c r="V300" s="3">
        <f>540.9+(698.2-121.8)+(0+(0-0))+0-193.4-0</f>
        <v>923.9000000000002</v>
      </c>
      <c r="W300" s="3">
        <f>622+(778.9-186.3)+(0+(0-0))+0-186.4-0</f>
        <v>1028.1999999999998</v>
      </c>
      <c r="X300" s="3">
        <f>649.2+(785.7-194.6)+(-0.993276+(-1.202121--0.297738))+0-182.6--0.279378000000011</f>
        <v>1056.0817190000002</v>
      </c>
      <c r="Y300" s="3">
        <f>653.4+(726-180.2)+(-0.666468+(-0.74052--0.183804))+0-186.3--0.19002600000003</f>
        <v>1011.8668419999999</v>
      </c>
      <c r="Z300" s="3">
        <f>658.6+(663-158.4)+(-0.671772+(-0.67626--0.161568))+0-188.2--0.19196400000003</f>
        <v>974.0055000000001</v>
      </c>
      <c r="AA300" s="3">
        <f>593.9+(669.4-137.1)+(-0.302889+(-0.341394--0.069921))+0-190.9--0.0973589999999806</f>
        <v>934.82299699999976</v>
      </c>
      <c r="AB300" s="3">
        <f>597.9+(590.9-112.6)+(-0.914787+(-0.904077--0.172278))+0-184--0.281520000000011</f>
        <v>890.83493399999975</v>
      </c>
      <c r="AC300" s="3">
        <f>625.8+(497.6-112.6)+(-1.276632+(-1.015104--0.229704))+0-182.2--0.371687999999992</f>
        <v>826.90965599999981</v>
      </c>
      <c r="AD300" s="2">
        <v>1058.9000000000001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665.8+(419.2-113.6)+(-1.69779+(-1.06896--0.28968))+0-186.2--0.474809999999973</f>
        <v>783.19773999999984</v>
      </c>
      <c r="G301" s="3">
        <f>722+(351.5-127.9)+(-1.8411+(-0.896325--0.326145))+0-183.9--0.468944999999973</f>
        <v>759.75766499999997</v>
      </c>
      <c r="H301" s="3">
        <f>733.6+(336.5-139.4)+(-1.496544+(-0.68646--0.284376))+0-186.3--0.380051999999992</f>
        <v>742.88142399999992</v>
      </c>
      <c r="I301" s="3">
        <f>736+(327.3-135.2)+(-0.37536+(-0.166923--0.068952))+0-188.6--0.0961859999999809</f>
        <v>739.12285499999996</v>
      </c>
      <c r="J301" s="3">
        <f>738.6+(334.1-145.9)+(-1.506744+(-0.681564--0.297636))+0-186.9--0.381275999999992</f>
        <v>738.39060400000005</v>
      </c>
      <c r="K301" s="3">
        <f>739.7+(413.9-190.2)+(1.886235+(1.055445-0.48501))+0-188-0.479399999999973</f>
        <v>777.37727000000018</v>
      </c>
      <c r="L301" s="3">
        <f>739.5+(519.4-241.2)+(0+(0-0))+0-184.4-0</f>
        <v>833.30000000000007</v>
      </c>
      <c r="M301" s="3">
        <f>738.2+(575.3-241.2)+(-0.376482+(-0.293403--0.123012))+0-183.1--0.0933809999999814</f>
        <v>888.74650799999995</v>
      </c>
      <c r="N301" s="3">
        <f>718.8+(560-214.8)+(-0.733176+(-0.5712--0.219096))+0-175.1--0.178602000000028</f>
        <v>887.99332200000003</v>
      </c>
      <c r="O301" s="3">
        <f>712.6+(569-198.8)+(0.363426+(0.29019-0.101388))+0-168.5-0.0859349999999829</f>
        <v>914.76629300000002</v>
      </c>
      <c r="P301" s="3">
        <f>708.7+(628-240.4)+(-0.361437+(-0.32028--0.122604))+0-164.3--0.0837929999999833</f>
        <v>931.52468000000022</v>
      </c>
      <c r="Q301" s="3">
        <f>703.7+(663.9-275.3)+(-1.076661+(-1.015767--0.421209))+0-165.1--0.25260300000001</f>
        <v>925.78138399999989</v>
      </c>
      <c r="R301" s="3">
        <f>699.5+(646.9-248.5)+(-1.783725+(-1.649595--0.633675))+0-167.2--0.426359999999976</f>
        <v>928.32671499999992</v>
      </c>
      <c r="S301" s="3">
        <f>693.2+(597.9-211.5)+(-0.353532+(-0.304929--0.107865))+0-171.2--0.0873119999999826</f>
        <v>907.93671599999982</v>
      </c>
      <c r="T301" s="3">
        <f>690.2+(589.7-197.7)+(0.352002+(0.300747-0.100827))+0-176.7-0.0901169999999821</f>
        <v>905.96180500000014</v>
      </c>
      <c r="U301" s="3">
        <f>689.1+(598.4-203.2)+(0.351441+(0.305184-0.103632))+0-172.5-0.0879749999999825</f>
        <v>912.26501799999994</v>
      </c>
      <c r="V301" s="3">
        <f>692.1+(642.2-220.6)+(0.352971+(0.327522-0.112506))+0-176.6-0.0900659999999821</f>
        <v>937.57792099999995</v>
      </c>
      <c r="W301" s="3">
        <f>696+(709.5-190.9)+(0.35496+(0.361845-0.097359))+0-181.7-0.0926669999999816</f>
        <v>1033.4267789999999</v>
      </c>
      <c r="X301" s="3">
        <f>706.6+(732.9-207.4)+(-0.720732+(-0.747558--0.211548))+0-183.4--0.187068000000029</f>
        <v>1047.6303259999997</v>
      </c>
      <c r="Y301" s="3">
        <f>711.4+(720-215.7)+(-0.725628+(-0.7344--0.220014))+0-183.3--0.186966000000029</f>
        <v>1031.3469520000001</v>
      </c>
      <c r="Z301" s="3">
        <f>675.1+(719.4-214.6)+(0.344301+(0.366894-0.109446))+0-188-0.0958799999999809</f>
        <v>992.40586900000005</v>
      </c>
      <c r="AA301" s="3">
        <f>551.6+(704.8-122.2)+(0.281316+(0.359448-0.062322))+0-188.5-0.0961349999999809</f>
        <v>946.18230699999981</v>
      </c>
      <c r="AB301" s="3">
        <f>557.1+(633.9-110.1)+(-0.284121+(-0.323289--0.056151))+0-182.6--0.0931259999999815</f>
        <v>897.84186699999998</v>
      </c>
      <c r="AC301" s="3">
        <f>560.9+(553.5-91.3)+(-0.286059+(-0.282285--0.046563))+0-186.1--0.0949109999999811</f>
        <v>836.57312999999988</v>
      </c>
      <c r="AD301" s="2">
        <v>1040.6000000000001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562.2+(492.6-78.1)+(-0.573444+(-0.502452--0.079662))+0-190.7--0.19451400000003</f>
        <v>785.19828000000007</v>
      </c>
      <c r="G302" s="3">
        <f>564.6+(465.7-75.2)+(-0.287946+(-0.237507--0.038352))+0-187.1--0.095420999999981</f>
        <v>767.60831999999994</v>
      </c>
      <c r="H302" s="3">
        <f>566.4+(472.7-94)+(0.577728+(0.482154-0.09588))+0-185.8-0.18951600000003</f>
        <v>760.07448599999987</v>
      </c>
      <c r="I302" s="3">
        <f>572+(455.6-96.3)+(-0.87516+(-0.697068--0.147339))+0-185.1--0.283203000000011</f>
        <v>745.05831399999988</v>
      </c>
      <c r="J302" s="3">
        <f>572+(448-104.8)+(0+(0-0))+0-183.9-0</f>
        <v>731.30000000000007</v>
      </c>
      <c r="K302" s="3">
        <f>574.4+(517.8-148.2)+(0.292944+(0.264078-0.075582))+0-186.9-0.095318999999981</f>
        <v>757.48612100000003</v>
      </c>
      <c r="L302" s="3">
        <f>574.3+(636.2-190.7)+(-0.292893+(-0.324462--0.097257))+0-187.1--0.095420999999981</f>
        <v>832.27532299999996</v>
      </c>
      <c r="M302" s="3">
        <f>572.9+(687.8-190.9)+(0.292179+(0.350778-0.097359))+0-186.3-0.0950129999999811</f>
        <v>883.95058499999993</v>
      </c>
      <c r="N302" s="3">
        <f>568.4+(719.9-168.7)+(0+(0-0))+0-187.8-0</f>
        <v>931.8</v>
      </c>
      <c r="O302" s="3">
        <f>561.4+(710-153.2)+(0.286314+(0.3621-0.078132))+0-182.2-0.0929219999999815</f>
        <v>936.47735999999975</v>
      </c>
      <c r="P302" s="3">
        <f>539.1+(739.2-149.9)+(0+(0-0))+0-180.4-0</f>
        <v>948.00000000000011</v>
      </c>
      <c r="Q302" s="3">
        <f>558.6+(721.8-154.6)+(-0.854658+(-1.104354--0.236538))+0-181.4--0.277542000000011</f>
        <v>942.9550680000001</v>
      </c>
      <c r="R302" s="3">
        <f>661.9+(628.1-173.8)+(0.337569+(0.320331-0.088638))+0-178.1-0.0908309999999819</f>
        <v>938.57843100000002</v>
      </c>
      <c r="S302" s="3">
        <f>659.3+(590.3-149.1)+(0.672486+(0.602106-0.152082))+0-177.2-0.180744000000028</f>
        <v>924.24176599999987</v>
      </c>
      <c r="T302" s="3">
        <f>655.9+(577.8-135.9)+(0+(0-0))+0-183.2-0</f>
        <v>914.59999999999991</v>
      </c>
      <c r="U302" s="3">
        <f>657+(624.5-195.4)+(-1.34028+(-1.27398--0.398616))+0-179.3--0.365771999999992</f>
        <v>904.95012799999984</v>
      </c>
      <c r="V302" s="3">
        <f>692.6+(585.6-160.9)+(-1.059678+(-0.895968--0.246177))+0-183.3--0.280449000000011</f>
        <v>932.5709800000003</v>
      </c>
      <c r="W302" s="3">
        <f>726.9+(685.6-191.1)+(1.853595+(1.74828-0.487305))+0-184-0.469199999999973</f>
        <v>1040.04537</v>
      </c>
      <c r="X302" s="3">
        <f>799.1+(631-192.1)+(-1.222623+(-0.96543--0.293913))+0-187.5--0.286875000000011</f>
        <v>1048.8927349999999</v>
      </c>
      <c r="Y302" s="3">
        <f>824.3+(571-188.1)+(-1.261179+(-0.87363--0.287793))+0-189.7--0.290241000000011</f>
        <v>1015.9432249999999</v>
      </c>
      <c r="Z302" s="3">
        <f>662.2+(676.2-166.9)+(-0.675444+(-0.689724--0.170238))+0-189.5--0.19329000000003</f>
        <v>980.99835999999993</v>
      </c>
      <c r="AA302" s="3">
        <f>550.7+(733.6-144.4)+(0.280857+(0.374136-0.073644))+0-191.1-0.0974609999999806</f>
        <v>949.28388800000016</v>
      </c>
      <c r="AB302" s="3">
        <f>556.9+(644.4-120)+(0+(0-0))+0-188.9-0</f>
        <v>892.4</v>
      </c>
      <c r="AC302" s="3">
        <f>556.2+(568.1-98)+(0.283662+(0.289731-0.04998))+0-188.9-0.0963389999999808</f>
        <v>837.82707400000015</v>
      </c>
      <c r="AD302" s="2">
        <v>1054.3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558.8+(493.5-82.2)+(-0.284988+(-0.251685--0.041922))+0-188.1--0.0959309999999809</f>
        <v>781.60117999999989</v>
      </c>
      <c r="G303" s="3">
        <f>561.6+(455.8-74.2)+(-0.859248+(-0.697374--0.113526))+0-184.9--0.282897000000011</f>
        <v>757.13980100000015</v>
      </c>
      <c r="H303" s="3">
        <f>554.1+(461.8-84.4)+(-0.847773+(-0.706554--0.129132))+0-186.5--0.285345000000011</f>
        <v>743.86014999999998</v>
      </c>
      <c r="I303" s="3">
        <f>551+(464.8-87.4)+(0.28101+(0.237048-0.044574))+0-188-0.0958799999999809</f>
        <v>740.777604</v>
      </c>
      <c r="J303" s="3">
        <f>554.9+(468.8-94.1)+(0+(0-0))+0-184.4-0</f>
        <v>745.2</v>
      </c>
      <c r="K303" s="3">
        <f>556.9+(535.4-135.2)+(0+(0-0))+0-186-0</f>
        <v>771.09999999999991</v>
      </c>
      <c r="L303" s="3">
        <f>594.4+(614-178.7)+(-0.606288+(-0.62628--0.182274))+0-184.2--0.187884000000029</f>
        <v>844.63759000000016</v>
      </c>
      <c r="M303" s="3">
        <f>613.8+(654.1-178.8)+(0.313038+(0.333591-0.091188))+0-188.2-0.0959819999999809</f>
        <v>901.3594589999999</v>
      </c>
      <c r="N303" s="3">
        <f>683.8+(574.6-133.1)+(0.697476+(0.586092-0.135762))+0-191-0.19482000000003</f>
        <v>935.25298599999985</v>
      </c>
      <c r="O303" s="3">
        <f>703.8+(567.3-133.4)+(1.076814+(0.867969-0.204102))+0-188.7-0.288711000000011</f>
        <v>950.45196999999973</v>
      </c>
      <c r="P303" s="3">
        <f>742.8+(560.3-145.3)+(-0.757656+(-0.571506--0.148206))+0-190.1--0.19390200000003</f>
        <v>966.71294599999999</v>
      </c>
      <c r="Q303" s="3">
        <f>739.2+(564-149.5)+(0.753984+(0.57528-0.15249))+0-188-0.19176000000003</f>
        <v>966.68501400000002</v>
      </c>
      <c r="R303" s="3">
        <f>734.2+(558.3-146.5)+(-1.123326+(-0.854199--0.224145))+0-187.6--0.287028000000011</f>
        <v>956.93364799999983</v>
      </c>
      <c r="S303" s="3">
        <f>734.1+(513-131.6)+(0.374391+(0.26163-0.067116))+0-181.5-0.0925649999999816</f>
        <v>934.47634000000005</v>
      </c>
      <c r="T303" s="3">
        <f>735.9+(492.7-132.2)+(-1.125927+(-0.753831--0.202266))+0-177.6--0.27172800000001</f>
        <v>917.39423600000009</v>
      </c>
      <c r="U303" s="3">
        <f>735+(507.6-186.9)+(-0.7497+(-0.517752--0.190638))+0-166.2--0.169524000000026</f>
        <v>888.59271000000001</v>
      </c>
      <c r="V303" s="3">
        <f>730.2+(479.9-113.6)+(-0.372402+(-0.244749--0.057936))+0-168.5--0.0859349999999829</f>
        <v>927.52671999999995</v>
      </c>
      <c r="W303" s="3">
        <f>736+(642.3-170.6)+(0+(0-0))+0-170.6-0</f>
        <v>1037.0999999999999</v>
      </c>
      <c r="X303" s="3">
        <f>739.8+(642.2-166.8)+(-1.131894+(-0.982566--0.255204))+0-164.7--0.25199100000001</f>
        <v>1048.8927350000001</v>
      </c>
      <c r="Y303" s="3">
        <f>741.2+(601.2-168.4)+(-1.134036+(-0.919836--0.257652))+0-167.9--0.25688700000001</f>
        <v>1004.5606670000001</v>
      </c>
      <c r="Z303" s="3">
        <f>749.2+(567.5-169.1)+(-0.764184+(-0.57885--0.172482))+0-184.4--0.188088000000029</f>
        <v>962.21753599999988</v>
      </c>
      <c r="AA303" s="3">
        <f>751+(507.3-153.4)+(-0.76602+(-0.517446--0.156468))+0-188.6--0.19237200000003</f>
        <v>915.36537400000009</v>
      </c>
      <c r="AB303" s="3">
        <f>753.1+(436.7-134.5)+(-1.152243+(-0.668151--0.205785))+0-181.4--0.277542000000011</f>
        <v>872.56293300000004</v>
      </c>
      <c r="AC303" s="3">
        <f>721.8+(379-105.5)+(-1.104354+(-0.57987--0.161415))+0-184.2--0.281826000000011</f>
        <v>809.85901699999988</v>
      </c>
      <c r="AD303" s="2">
        <v>1059.3999999999999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747.9+(356.2-139.7)+(-1.525716+(-0.726648--0.284988))+0-186.9--0.381275999999992</f>
        <v>775.91390000000001</v>
      </c>
      <c r="G304" s="3">
        <f>749.8+(401-223.2)+(0+(0-0))+0-168.9-0</f>
        <v>758.69999999999993</v>
      </c>
      <c r="H304" s="3">
        <f>749.9+(383.7-209.9)+(-1.912245+(-0.978435--0.535245))+0-168.6--0.429929999999976</f>
        <v>753.17449499999987</v>
      </c>
      <c r="I304" s="3">
        <f>753.7+(433.2-267.2)+(-1.153161+(-0.662796--0.408816))+0-172--0.26316000000001</f>
        <v>746.55601899999999</v>
      </c>
      <c r="J304" s="3">
        <f>752.2+(472.3-300.6)+(0.383622+(0.240873-0.153306))+0-174.1-0.0887909999999823</f>
        <v>750.18239800000003</v>
      </c>
      <c r="K304" s="3">
        <f>751.4+(587.1-389.5)+(1.532856+(1.197684-0.79458))+0-173.7-0.354347999999992</f>
        <v>776.88161200000002</v>
      </c>
      <c r="L304" s="3">
        <f>749.4+(580.9-346.3)+(-0.764388+(-0.592518--0.353226))+0-169.1--0.172482000000027</f>
        <v>814.06880200000001</v>
      </c>
      <c r="M304" s="3">
        <f>746.8+(595.3-294.4)+(-0.380868+(-0.303603--0.150144))+0-175.3--0.0894029999999822</f>
        <v>871.95507599999974</v>
      </c>
      <c r="N304" s="3">
        <f>745.4+(635.9-273.6)+(0+(0-0))+0-176.7-0</f>
        <v>930.99999999999977</v>
      </c>
      <c r="O304" s="3">
        <f>724.2+(710.1-274.6)+(0.369342+(0.362151-0.140046))+0-176.7-0.0901169999999821</f>
        <v>983.50133000000005</v>
      </c>
      <c r="P304" s="3">
        <f>695.4+(714.6-236.1)+(1.063962+(1.093338-0.361233))+0-180-0.27540000000001</f>
        <v>995.42066700000009</v>
      </c>
      <c r="Q304" s="3">
        <f>686.9+(728.4-231.7)+(-0.700638+(-0.742968--0.236334))+0-181.1--0.184722000000029</f>
        <v>1001.4774499999999</v>
      </c>
      <c r="R304" s="3">
        <f>719.9+(696.8-244.1)+(-0.734298+(-0.710736--0.248982))+0-181.1--0.184722000000029</f>
        <v>990.48866999999996</v>
      </c>
      <c r="S304" s="3">
        <f>720+(603-185.2)+(-0.3672+(-0.30753--0.094452))+0-181.2--0.0924119999999816</f>
        <v>956.11213399999997</v>
      </c>
      <c r="T304" s="3">
        <f>716.9+(583.4-170.2)+(0+(0-0))+0-180.1-0</f>
        <v>949.99999999999989</v>
      </c>
      <c r="U304" s="3">
        <f>714.2+(597.6-192.1)+(-0.728484+(-0.609552--0.195942))+0-174.7--0.178194000000028</f>
        <v>944.03610000000003</v>
      </c>
      <c r="V304" s="3">
        <f>717.3+(581.3-175)+(0+(0-0))+0-177.1-0</f>
        <v>946.49999999999989</v>
      </c>
      <c r="W304" s="3">
        <f>720.6+(739.5-233)+(-0.367506+(-0.377145--0.11883))+0-183.5--0.0935849999999814</f>
        <v>1043.0677639999999</v>
      </c>
      <c r="X304" s="3">
        <f>728.9+(769.2-261.9)+(-1.115217+(-1.176876--0.400707))+0-183.4--0.280602000000011</f>
        <v>1051.189216</v>
      </c>
      <c r="Y304" s="3">
        <f>734.6+(735.2-264.5)+(-0.749292+(-0.749904--0.26979))+0-180.5--0.184110000000029</f>
        <v>1023.7547040000003</v>
      </c>
      <c r="Z304" s="3">
        <f>735.9+(638-210.8)+(0.375309+(0.32538-0.107508))+0-181.4-0.0925139999999816</f>
        <v>982.20066699999995</v>
      </c>
      <c r="AA304" s="3">
        <f>735.5+(595.1-203)+(-0.375105+(-0.303501--0.10353))+0-179.7--0.0916469999999818</f>
        <v>947.41657099999975</v>
      </c>
      <c r="AB304" s="3">
        <f>737.6+(545.9-180.3)+(-1.88088+(-1.392045--0.459765))+0-174.2--0.444209999999975</f>
        <v>926.63105000000007</v>
      </c>
      <c r="AC304" s="3">
        <f>737.8+(516.4-205.8)+(-1.88139+(-1.31682--0.52479))+0-172.3--0.439364999999975</f>
        <v>873.86594499999978</v>
      </c>
      <c r="AD304" s="2">
        <v>1054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721.8+(453.4-152.5)+(-1.472472+(-0.924936--0.3111))+0-175.1--0.357203999999992</f>
        <v>845.8708959999999</v>
      </c>
      <c r="G305" s="3">
        <f>590.5+(512.8-102.9)+(-1.505775+(-1.30764--0.262395))+0-171.7--0.437834999999975</f>
        <v>826.58681499999989</v>
      </c>
      <c r="H305" s="3">
        <f>554.5+(593.3-161.3)+(-1.13118+(-1.210332--0.329052))+0-173.6--0.354143999999992</f>
        <v>811.24168399999996</v>
      </c>
      <c r="I305" s="3">
        <f>550+(687.7-258.6)+(0.2805+(0.350727-0.131886))+0-171.8-0.0876179999999826</f>
        <v>807.71172299999989</v>
      </c>
      <c r="J305" s="3">
        <f>554.6+(697.2-267)+(-0.282846+(-0.355572--0.13617))+0-173--0.0882299999999824</f>
        <v>811.38598200000001</v>
      </c>
      <c r="K305" s="3">
        <f>552.8+(767.3-319.1)+(0.563856+(0.782646-0.325482))+0-174-0.177480000000028</f>
        <v>827.84353999999985</v>
      </c>
      <c r="L305" s="3">
        <f>556.6+(825.2-343.5)+(-0.567732+(-0.841704--0.35037))+0-174.1--0.177582000000028</f>
        <v>863.31851600000016</v>
      </c>
      <c r="M305" s="3">
        <f>553.4+(876.1-349.2)+(-0.846702+(-1.340433--0.534276))+0-177.4--0.27142200000001</f>
        <v>901.5185630000002</v>
      </c>
      <c r="N305" s="3">
        <f>555.1+(940.1-371.4)+(-0.283101+(-0.479451--0.189414))+0-175--0.0892499999999822</f>
        <v>948.3161120000002</v>
      </c>
      <c r="O305" s="3">
        <f>596.7+(943.5-380.5)+(0.608634+(0.96237-0.38811))+0-174.8-0.178296000000028</f>
        <v>985.90459800000008</v>
      </c>
      <c r="P305" s="3">
        <f>644.2+(922.6-402.2)+(0+(0-0))+0-172.3-0</f>
        <v>992.30000000000018</v>
      </c>
      <c r="Q305" s="3">
        <f>641.2+(936.9-414.4)+(-0.981036+(-1.433457--0.634032))+0-174.5--0.26698500000001</f>
        <v>987.68652399999996</v>
      </c>
      <c r="R305" s="3">
        <f>644.5+(943.8-421.2)+(0+(0-0))+0-171.5-0</f>
        <v>995.59999999999991</v>
      </c>
      <c r="S305" s="3">
        <f>698.6+(849-396.1)+(-0.356286+(-0.43299--0.202011))+0-175.8--0.0896579999999822</f>
        <v>975.20239300000014</v>
      </c>
      <c r="T305" s="3">
        <f>696.3+(772.7-332.9)+(0.710226+(0.788154-0.339558))+0-180-0.183600000000029</f>
        <v>957.07522199999994</v>
      </c>
      <c r="U305" s="3">
        <f>694.1+(763-331.5)+(-0.707982+(-0.77826--0.33813))+0-178.7--0.182274000000028</f>
        <v>945.93416199999979</v>
      </c>
      <c r="V305" s="3">
        <f>693.1+(819.1-352)+(-0.353481+(-0.417741--0.17952))+0-182.3--0.0929729999999815</f>
        <v>977.40127100000018</v>
      </c>
      <c r="W305" s="3">
        <f>694.8+(1005.7-445.7)+(0.354348+(0.512907-0.227307))+0-183.1-0.0933809999999814</f>
        <v>1072.2465670000001</v>
      </c>
      <c r="X305" s="3">
        <f>707.8+(1006-463.6)+(-0.721956+(-1.02612--0.472872))+0-179.9--0.183498000000029</f>
        <v>1069.2082939999998</v>
      </c>
      <c r="Y305" s="3">
        <f>710.4+(847.9-331)+(0+(0-0))+0-175.6-0</f>
        <v>1051.7</v>
      </c>
      <c r="Z305" s="3">
        <f>713.9+(736.3-255.4)+(-0.728178+(-0.751026--0.260508))+0-178--0.181560000000028</f>
        <v>1015.762864</v>
      </c>
      <c r="AA305" s="3">
        <f>717.9+(638.9-211.6)+(0.366129+(0.325839-0.107916))+0-176.8-0.0901679999999821</f>
        <v>968.89388399999984</v>
      </c>
      <c r="AB305" s="3">
        <f>716.2+(575.7-195.5)+(0.730524+(0.587214-0.19941))+0-174.6-0.178092000000028</f>
        <v>922.7402360000001</v>
      </c>
      <c r="AC305" s="3">
        <f>717.1+(576.5-250.9)+(-0.731442+(-0.58803--0.255918))+0-176.2--0.179724000000028</f>
        <v>865.61617000000001</v>
      </c>
      <c r="AD305" s="2">
        <v>1056.8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715.6+(451.9-167.4)+(0+(0-0))+0-173.2-0</f>
        <v>826.90000000000009</v>
      </c>
      <c r="G306" s="3">
        <f>714.7+(406.2-168.3)+(0.364497+(0.207162-0.085833))+0-172.5-0.0879749999999825</f>
        <v>780.49785099999997</v>
      </c>
      <c r="H306" s="3">
        <f>716.6+(409.6-171.1)+(-1.096398+(-0.626688--0.261783))+0-178.6--0.27325800000001</f>
        <v>775.31195500000001</v>
      </c>
      <c r="I306" s="3">
        <f>714.6+(435.7-195)+(0.728892+(0.444414-0.1989))+0-177.7-0.181254000000028</f>
        <v>778.39315199999987</v>
      </c>
      <c r="J306" s="3">
        <f>716.5+(450.9-206.8)+(0.73083+(0.459918-0.210936))+0-171.9-0.175338000000027</f>
        <v>789.50447399999996</v>
      </c>
      <c r="K306" s="3">
        <f>721.7+(461-212.4)+(0.736134+(0.47022-0.216648))+0-178-0.181560000000028</f>
        <v>793.10814600000003</v>
      </c>
      <c r="L306" s="3">
        <f>726.4+(683.6-361.7)+(0+(0-0))+0-177.8-0</f>
        <v>870.5</v>
      </c>
      <c r="M306" s="3">
        <f>714.7+(707.6-314)+(-0.364497+(-0.360876--0.16014))+0-180.3--0.0919529999999817</f>
        <v>927.52672000000018</v>
      </c>
      <c r="N306" s="3">
        <f>704.9+(679.9-231.2)+(0.359499+(0.346749-0.117912))+0-183.7-0.0936869999999814</f>
        <v>970.39464899999996</v>
      </c>
      <c r="O306" s="3">
        <f>676.1+(604.2-124.6)+(0+(0-0))+0-186.6-0</f>
        <v>969.1</v>
      </c>
      <c r="P306" s="3">
        <f>668+(609.9-123.2)+(0+(0-0))+0-183.4-0</f>
        <v>971.30000000000007</v>
      </c>
      <c r="Q306" s="3">
        <f>674+(606-121.9)+(-0.34374+(-0.30906--0.062169))+0-181.1--0.0923609999999816</f>
        <v>976.50172999999984</v>
      </c>
      <c r="R306" s="3">
        <f>686.1+(595.2-121)+(-1.049733+(-0.910656--0.18513))+0-179.3--0.27432900000001</f>
        <v>979.49907000000019</v>
      </c>
      <c r="S306" s="3">
        <f>683.8+(544.9-85.5)+(-0.348738+(-0.277899--0.043605))+0-179.6--0.0915959999999818</f>
        <v>963.10856399999977</v>
      </c>
      <c r="T306" s="3">
        <f>684.9+(552.9-103.1)+(-0.698598+(-0.563958--0.105162))+0-179.1--0.182682000000029</f>
        <v>954.62528799999973</v>
      </c>
      <c r="U306" s="3">
        <f>681.3+(569-107.9)+(0.694926+(0.58038-0.110058))+0-176.9-0.180438000000028</f>
        <v>966.48481000000015</v>
      </c>
      <c r="V306" s="3">
        <f>683.8+(616.2-140.9)+(-0.348738+(-0.314262--0.071859))+0-179.8--0.0916979999999818</f>
        <v>978.8005569999998</v>
      </c>
      <c r="W306" s="3">
        <f>684.2+(792.3-217)+(0+(0-0))+0-183.7-0</f>
        <v>1075.8</v>
      </c>
      <c r="X306" s="3">
        <f>669.6+(860.1-254.6)+(-0.341496+(-0.438651--0.129846))+0-181.8--0.0927179999999816</f>
        <v>1092.7424169999999</v>
      </c>
      <c r="Y306" s="3">
        <f>699.3+(822.1-273.6)+(-1.069929+(-1.257813--0.418608))+0-182--0.278460000000011</f>
        <v>1064.169326</v>
      </c>
      <c r="Z306" s="3">
        <f>708.2+(760.3-252.8)+(0+(0-0))+0-181.7-0</f>
        <v>1034</v>
      </c>
      <c r="AA306" s="3">
        <f>713.1+(668-197.6)+(0+(0-0))+0-180.3-0</f>
        <v>1003.2</v>
      </c>
      <c r="AB306" s="3">
        <f>718+(541.4-140.2)+(-1.46472+(-1.104456--0.286008))+0-181.3--0.369851999999992</f>
        <v>935.9866840000002</v>
      </c>
      <c r="AC306" s="3">
        <f>720.3+(512.6-172.2)+(-1.836765+(-1.30713--0.43911))+0-181.7--0.463334999999974</f>
        <v>876.75855000000013</v>
      </c>
      <c r="AD306" s="2">
        <v>1075.0999999999997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719.1+(486.6-197.5)+(0+(0-0))+0-180.2-0</f>
        <v>828</v>
      </c>
      <c r="G307" s="3">
        <f>722.8+(434.2-175.2)+(0.368628+(0.221442-0.089352))+0-176.6-0.0900659999999821</f>
        <v>805.61065199999996</v>
      </c>
      <c r="H307" s="3">
        <f>727.6+(406-162.7)+(0+(0-0))+0-177.9-0</f>
        <v>793.00000000000011</v>
      </c>
      <c r="I307" s="3">
        <f>729.9+(398.9-162.7)+(-1.116747+(-0.610317--0.248931))+0-178.4--0.27295200000001</f>
        <v>786.49481900000001</v>
      </c>
      <c r="J307" s="3">
        <f>725.4+(416.2-175.6)+(-1.479816+(-0.849048--0.358224))+0-176.6--0.360263999999992</f>
        <v>787.789624</v>
      </c>
      <c r="K307" s="3">
        <f>730+(449.1-186)+(1.4892+(0.916164-0.37944))+0-174.1-0.355163999999992</f>
        <v>820.67076000000009</v>
      </c>
      <c r="L307" s="3">
        <f>730.8+(615.4-285.8)+(-0.372708+(-0.313854--0.145758))+0-172.7--0.0880769999999825</f>
        <v>887.24727299999984</v>
      </c>
      <c r="M307" s="3">
        <f>724+(688.6-294.9)+(-0.73848+(-0.702372--0.300798))+0-175.3--0.178806000000028</f>
        <v>941.43875200000014</v>
      </c>
      <c r="N307" s="3">
        <f>711.4+(696.2-248.8)+(-0.362814+(-0.355062--0.126888))+0-177.5--0.090524999999982</f>
        <v>980.79953699999999</v>
      </c>
      <c r="O307" s="3">
        <f>700.1+(630-182.9)+(1.071153+(0.9639-0.279837))+0-170.6-0.26101800000001</f>
        <v>978.09419800000001</v>
      </c>
      <c r="P307" s="3">
        <f>694.7+(643.2-190.8)+(0.708594+(0.656064-0.194616))+0-170.9-0.174318000000027</f>
        <v>977.19572400000015</v>
      </c>
      <c r="Q307" s="3">
        <f>683.5+(636.2-170.5)+(-0.69717+(-0.648924--0.17391))+0-173.5--0.176970000000028</f>
        <v>974.70478600000001</v>
      </c>
      <c r="R307" s="3">
        <f>680.4+(619.9-166)+(-1.388016+(-1.264596--0.33864))+0-167.4--0.341495999999993</f>
        <v>964.92752400000006</v>
      </c>
      <c r="S307" s="3">
        <f>681.6+(576.4-136)+(0.695232+(0.587928-0.13872))+0-171-0.174420000000027</f>
        <v>951.97001999999998</v>
      </c>
      <c r="T307" s="3">
        <f>678.8+(560.6-123.8)+(0.346188+(0.285906-0.063138))+0-174.4-0.0889439999999823</f>
        <v>941.68001200000003</v>
      </c>
      <c r="U307" s="3">
        <f>672.7+(591.9-144.3)+(-1.715385+(-1.509345--0.367965))+0-175.8--0.448289999999975</f>
        <v>942.09152499999993</v>
      </c>
      <c r="V307" s="3">
        <f>669.9+(610.6-139.1)+(0.341649+(0.311406-0.070941))+0-175.3-0.0894029999999822</f>
        <v>966.59271100000024</v>
      </c>
      <c r="W307" s="3">
        <f>684.5+(781.1-215.6)+(1.047285+(1.195083-0.329868))+0-179.5-0.27463500000001</f>
        <v>1072.1378649999999</v>
      </c>
      <c r="X307" s="3">
        <f>694.2+(801.7-222.7)+(-0.354042+(-0.408867--0.113577))+0-180.7--0.0921569999999817</f>
        <v>1091.9428250000001</v>
      </c>
      <c r="Y307" s="3">
        <f>696.5+(765.2-228.2)+(-1.065645+(-1.170756--0.349146))+0-175--0.26775000000001</f>
        <v>1056.8804949999999</v>
      </c>
      <c r="Z307" s="3">
        <f>700.5+(693.4-190.1)+(-1.071765+(-1.060902--0.290853))+0-176.5--0.27004500000001</f>
        <v>1025.7282309999998</v>
      </c>
      <c r="AA307" s="3">
        <f>701.9+(639.1-171.9)+(-1.431876+(-1.303764--0.350676))+0-179.3--0.365771999999992</f>
        <v>987.78080799999987</v>
      </c>
      <c r="AB307" s="3">
        <f>703.7+(545.1-138.7)+(-1.076661+(-0.834003--0.212211))+0-175.9--0.26912700000001</f>
        <v>932.77067400000021</v>
      </c>
      <c r="AC307" s="3">
        <f>709.4+(451.3-113.7)+(-0.361794+(-0.230163--0.057987))+0-176.2--0.0898619999999821</f>
        <v>870.35589199999993</v>
      </c>
      <c r="AD307" s="2">
        <v>1091.8999999999999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708.5+(382.3-99.7)+(0+(0-0))+0-179.2-0</f>
        <v>811.90000000000009</v>
      </c>
      <c r="G308" s="3">
        <f>712.5+(356.9-104)+(-1.4535+(-0.728076--0.21216))+0-176.4--0.359855999999992</f>
        <v>787.39044000000001</v>
      </c>
      <c r="H308" s="3">
        <f>710.4+(372-124.1)+(0.724608+(0.37944-0.126582))+0-175.5-0.179010000000028</f>
        <v>783.59845599999994</v>
      </c>
      <c r="I308" s="3">
        <f>712.4+(358.4-121)+(0.363324+(0.182784-0.06171))+0-175.9-0.0897089999999822</f>
        <v>774.29468900000006</v>
      </c>
      <c r="J308" s="3">
        <f>716+(367.3-130.4)+(-0.36516+(-0.187323--0.066504))+0-178.6--0.0910859999999819</f>
        <v>773.90510699999993</v>
      </c>
      <c r="K308" s="3">
        <f>714.3+(423.4-174.8)+(0.364293+(0.215934-0.089148))+0-168.8-0.0860879999999829</f>
        <v>794.50499099999979</v>
      </c>
      <c r="L308" s="3">
        <f>723+(567.6-245.3)+(0+(0-0))+0-167.1-0</f>
        <v>878.19999999999993</v>
      </c>
      <c r="M308" s="3">
        <f>719.9+(644.4-251.1)+(1.468596+(1.314576-0.512244))+0-173.2-0.353327999999992</f>
        <v>941.91759999999965</v>
      </c>
      <c r="N308" s="3">
        <f>712.3+(628.7-195.4)+(0.726546+(0.641274-0.199308))+0-166.6-0.169932000000027</f>
        <v>979.99857999999983</v>
      </c>
      <c r="O308" s="3">
        <f>709.9+(581-157)+(-0.724098+(-0.59262--0.16014))+0-149.8--0.152796000000024</f>
        <v>983.09621800000014</v>
      </c>
      <c r="P308" s="3">
        <f>733.7+(535-149.6)+(0.374187+(0.27285-0.076296))+0-139.9-0.0713489999999858</f>
        <v>979.69939199999999</v>
      </c>
      <c r="Q308" s="3">
        <f>726.8+(538.6-143)+(-0.370668+(-0.274686--0.07293))+0-141.9--0.0723689999999856</f>
        <v>979.99994500000014</v>
      </c>
      <c r="R308" s="3">
        <f>717.9+(532.3-134.3)+(-1.464516+(-1.085892--0.273972))+0-156.5--0.319259999999993</f>
        <v>957.44282399999975</v>
      </c>
      <c r="S308" s="3">
        <f>734.2+(515.4-132)+(-1.497768+(-1.051416--0.26928))+0-165.9--0.338435999999993</f>
        <v>949.75853199999995</v>
      </c>
      <c r="T308" s="3">
        <f>755.2+(489-133.4)+(-0.770304+(-0.49878--0.136068))+0-175.4--0.178908000000028</f>
        <v>934.44589200000019</v>
      </c>
      <c r="U308" s="3">
        <f>752.9+(474.7-133.3)+(-0.767958+(-0.484194--0.135966))+10.2-175.6--0.179112000000028</f>
        <v>927.96292600000004</v>
      </c>
      <c r="V308" s="3">
        <f>757.7+(466.1-115.5)+(0+(0-0))+0-176.1-0</f>
        <v>932.20000000000016</v>
      </c>
      <c r="W308" s="3">
        <f>763.2+(648-188.1)+(0.778464+(0.66096-0.191862))+0-182.9-0.186558000000029</f>
        <v>1041.2610039999997</v>
      </c>
      <c r="X308" s="3">
        <f>776.9+(694.5-200)+(0+(0-0))+0-189.9-0</f>
        <v>1081.5</v>
      </c>
      <c r="Y308" s="3">
        <f>781+(630.2-178.3)+(-0.79662+(-0.642804--0.181866))+0-186.4--0.19012800000003</f>
        <v>1045.4325699999999</v>
      </c>
      <c r="Z308" s="3">
        <f>783.3+(562.2-154.8)+(-1.997415+(-1.43361--0.39474))+0-188.2--0.479909999999973</f>
        <v>999.94362500000011</v>
      </c>
      <c r="AA308" s="3">
        <f>786.3+(502.6-130.2)+(-0.401013+(-0.256326--0.066402))+0-191.2--0.0975119999999806</f>
        <v>967.006575</v>
      </c>
      <c r="AB308" s="3">
        <f>783+(428.8-110.4)+(-1.19799+(-0.656064--0.168912))+0-188.9--0.289017000000011</f>
        <v>911.10387500000013</v>
      </c>
      <c r="AC308" s="3">
        <f>781.2+(349.6-90.6)+(-0.796824+(-0.356592--0.092412))+0-185.9--0.18961800000003</f>
        <v>853.42861400000015</v>
      </c>
      <c r="AD308" s="2">
        <v>1047.5999999999999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617.2+(482.8-101)+(-1.259088+(-0.984912--0.20604))+0-188.8--0.385151999999992</f>
        <v>808.54719199999988</v>
      </c>
      <c r="G309" s="3">
        <f>614.5+(516.3-144.1)+(-0.940185+(-0.789939--0.220473))+0-186.8--0.285804000000011</f>
        <v>798.676153</v>
      </c>
      <c r="H309" s="3">
        <f>613+(504.7-137.6)+(-0.31263+(-0.257397--0.070176))+0-186.1--0.0949109999999811</f>
        <v>793.59505999999999</v>
      </c>
      <c r="I309" s="3">
        <f>607.6+(492.6-135.5)+(-0.309876+(-0.251226--0.069105))+0-186.2--0.0949619999999811</f>
        <v>778.10296500000015</v>
      </c>
      <c r="J309" s="3">
        <f>615.4+(496-141)+(-0.627708+(-0.50592--0.14382))+0-188.2--0.19196400000003</f>
        <v>781.40215599999999</v>
      </c>
      <c r="K309" s="3">
        <f>614.8+(597.2-211.3)+(0.627096+(0.609144-0.215526))+0-186.7-0.19043400000003</f>
        <v>814.83028000000002</v>
      </c>
      <c r="L309" s="3">
        <f>618.6+(768.9-306.9)+(-0.630972+(-0.784278--0.313038))+0-186.2--0.18992400000003</f>
        <v>893.48771199999987</v>
      </c>
      <c r="M309" s="3">
        <f>616.8+(842.2-338.7)+(0.943704+(1.288566-0.518211))+0-183.2-0.280296000000011</f>
        <v>938.53376299999979</v>
      </c>
      <c r="N309" s="3">
        <f>605.9+(749.5-239.6)+(0.927027+(1.146735-0.366588))+0-172.3-0.26361900000001</f>
        <v>944.94355499999983</v>
      </c>
      <c r="O309" s="3">
        <f>604.1+(686.1-151.2)+(0.308091+(0.349911-0.077112))+0-162.5-0.0828749999999835</f>
        <v>976.99801500000001</v>
      </c>
      <c r="P309" s="3">
        <f>598.8+(701.8-149)+(0.305388+(0.357918-0.07599))+0-161.9-0.0825689999999836</f>
        <v>990.204747</v>
      </c>
      <c r="Q309" s="3">
        <f>594.1+(638.4-91.4)+(-2.120937+(-2.279088--0.326298))+0-168.9--0.602973000000002</f>
        <v>968.72924599999999</v>
      </c>
      <c r="R309" s="3">
        <f>589.1+(624.8-86.9)+(-0.901323+(-0.955944--0.132957))+0-166.1--0.25413300000001</f>
        <v>959.42982299999994</v>
      </c>
      <c r="S309" s="3">
        <f>592.7+(611.9-81)+(-1.813662+(-1.872414--0.24786))+0-167.5--0.512550000000019</f>
        <v>953.17433399999993</v>
      </c>
      <c r="T309" s="3">
        <f>592.1+(599.4-86)+(0+(0-0))+0-163.7-0</f>
        <v>941.8</v>
      </c>
      <c r="U309" s="3">
        <f>591.8+(599.6-93.5)+(-0.603636+(-0.611592--0.09537))+0-163.3--0.166566000000026</f>
        <v>933.6467080000001</v>
      </c>
      <c r="V309" s="3">
        <f>591.8+(641.1-106.6)+(0+(0-0))+0-168.3-0</f>
        <v>958</v>
      </c>
      <c r="W309" s="3">
        <f>590.9+(793.7-168.7)+(0.301359+(0.404787-0.086037))+0-169-0.0861899999999829</f>
        <v>1047.4339190000001</v>
      </c>
      <c r="X309" s="3">
        <f>593.1+(878.6-213.9)+(0+(0-0))+0-171.3-0</f>
        <v>1086.5000000000002</v>
      </c>
      <c r="Y309" s="3">
        <f>596.8+(890.9-245)+(-1.217472+(-1.817436--0.4998))+0-167.7--0.342107999999993</f>
        <v>1072.8069999999998</v>
      </c>
      <c r="Z309" s="3">
        <f>599.6+(823.1-221.3)+(-0.611592+(-0.839562--0.225726))+0-169.6--0.172992000000027</f>
        <v>1030.7475640000002</v>
      </c>
      <c r="AA309" s="3">
        <f>602+(769.5-199.1)+(-1.84212+(-2.35467--0.609246))+0-184.5--0.564570000000021</f>
        <v>984.87702600000011</v>
      </c>
      <c r="AB309" s="3">
        <f>604.4+(693.8-175.4)+(-1.232976+(-1.415352--0.357816))+0-187.5--0.382499999999992</f>
        <v>933.39198799999986</v>
      </c>
      <c r="AC309" s="3">
        <f>606.7+(600.9-151.3)+(-1.547085+(-1.532295--0.385815))+0-189--0.481949999999973</f>
        <v>865.0883849999999</v>
      </c>
      <c r="AD309" s="2">
        <v>1085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607.8+(556.2-143.1)+(-1.54989+(-1.41831--0.364905))+0-188.6--0.480929999999973</f>
        <v>830.1776349999999</v>
      </c>
      <c r="G310" s="3">
        <f>607.8+(537.5-152.3)+(-0.619956+(-0.54825--0.155346))+0-187.1--0.19084200000003</f>
        <v>805.07798199999991</v>
      </c>
      <c r="H310" s="3">
        <f>609.6+(509.9-144.7)+(-1.55448+(-1.300245--0.368985))+0-187.4--0.477869999999973</f>
        <v>785.39212999999995</v>
      </c>
      <c r="I310" s="3">
        <f>609+(516.7-150)+(0.93177+(0.790551-0.2295))+0-187.9-0.287487000000011</f>
        <v>789.00533400000006</v>
      </c>
      <c r="J310" s="3">
        <f>608.6+(511.6-148.8)+(0.931158+(0.782748-0.227664))+0-185.5-0.283815000000011</f>
        <v>787.10242700000003</v>
      </c>
      <c r="K310" s="3">
        <f>605.8+(582.5-194.7)+(0+(0-0))+0-187.9-0</f>
        <v>805.69999999999993</v>
      </c>
      <c r="L310" s="3">
        <f>599.1+(758.8-288.4)+(0+(0-0))+0-189.9-0</f>
        <v>879.6</v>
      </c>
      <c r="M310" s="3">
        <f>589.2+(750.2-228.2)+(-0.300492+(-0.382602--0.116382))+0-188.7--0.0962369999999809</f>
        <v>922.02952499999992</v>
      </c>
      <c r="N310" s="3">
        <f>599.3+(705.8-169)+(-0.305643+(-0.359958--0.08619))+0-195.4--0.0996539999999802</f>
        <v>940.22024299999998</v>
      </c>
      <c r="O310" s="3">
        <f>592.7+(717.4-165.8)+(-0.302277+(-0.365874--0.084558))+0-189.4--0.0965939999999808</f>
        <v>954.41300099999989</v>
      </c>
      <c r="P310" s="3">
        <f>581.5+(728.4-158.3)+(0.59313+(0.742968-0.161466))+0-183.5-0.187170000000029</f>
        <v>969.08746199999985</v>
      </c>
      <c r="Q310" s="3">
        <f>577.4+(735.4-148.9)+(-0.294474+(-0.375054--0.075939))+0-182.3--0.0929729999999815</f>
        <v>981.0993840000001</v>
      </c>
      <c r="R310" s="3">
        <f>582+(728.1-150.5)+(-1.18728+(-1.485324--0.30702))+0-176.2--0.359447999999992</f>
        <v>981.39386400000001</v>
      </c>
      <c r="S310" s="3">
        <f>576.4+(682.8-124.7)+(0+(0-0))+0-179.8-0</f>
        <v>954.7</v>
      </c>
      <c r="T310" s="3">
        <f>583.6+(646.8-111.6)+(0.297636+(0.329868-0.056916))+0-185-0.0943499999999812</f>
        <v>934.27623800000003</v>
      </c>
      <c r="U310" s="3">
        <f>581.4+(655.6-109.1)+(-1.48257+(-1.67178--0.278205))+0-183.3--0.467414999999973</f>
        <v>942.19127000000015</v>
      </c>
      <c r="V310" s="3">
        <f>587.6+(685-124)+(-0.599352+(-0.6987--0.12648))+0-187.1--0.19084200000003</f>
        <v>960.51926999999989</v>
      </c>
      <c r="W310" s="3">
        <f>593.3+(854.3-188.1)+(0.907749+(1.307079-0.287793))+0-189.7-0.290241000000011</f>
        <v>1071.436794</v>
      </c>
      <c r="X310" s="3">
        <f>596.7+(870.9-180.3)+(-0.304317+(-0.444159--0.091953))+0-189.6--0.0966959999999808</f>
        <v>1097.140173</v>
      </c>
      <c r="Y310" s="3">
        <f>596.9+(821.5-164.9)+(-0.304419+(-0.418965--0.084099))+0-188.1--0.0959309999999809</f>
        <v>1064.8566460000002</v>
      </c>
      <c r="Z310" s="3">
        <f>600.4+(784.2-164.5)+(-0.306204+(-0.399942--0.083895))+0-190.9--0.0973589999999806</f>
        <v>1028.6751079999997</v>
      </c>
      <c r="AA310" s="3">
        <f>600.7+(755.9-171.5)+(-0.919071+(-1.156527--0.262395))+0-191--0.292230000000011</f>
        <v>992.579027</v>
      </c>
      <c r="AB310" s="3">
        <f>645.1+(630.8-150.4)+(-1.645005+(-1.60854--0.38352))+0-187.8--0.478889999999973</f>
        <v>935.30886500000008</v>
      </c>
      <c r="AC310" s="3">
        <f>644.6+(584.4-138.8)+(-1.64373+(-1.49022--0.35394))+0-188--0.479399999999973</f>
        <v>899.89939000000004</v>
      </c>
      <c r="AD310" s="2">
        <v>1104.2999999999997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660.6+(539.4-145)+(-0.336906+(-0.275094--0.07395))+0-191.4--0.0976139999999806</f>
        <v>863.15956399999993</v>
      </c>
      <c r="G311" s="3">
        <f>692.4+(535.3-208)+(-1.412496+(-1.092012--0.42432))+0-190.8--0.389231999999992</f>
        <v>827.20904399999995</v>
      </c>
      <c r="H311" s="3">
        <f>724+(483.9-207)+(0+(0-0))+0-183-0</f>
        <v>817.9</v>
      </c>
      <c r="I311" s="3">
        <f>713+(520.6-234.4)+(-1.09089+(-0.796518--0.358632))+0-186.7--0.285651000000011</f>
        <v>811.25687500000015</v>
      </c>
      <c r="J311" s="3">
        <f>712.4+(583.2-291.6)+(0.363324+(0.297432-0.148716))+0-189.2-0.0964919999999808</f>
        <v>815.21554800000001</v>
      </c>
      <c r="K311" s="3">
        <f>705.1+(634.2-321.3)+(0.719202+(0.646884-0.327726))+0-185.2-0.18890400000003</f>
        <v>833.64945599999999</v>
      </c>
      <c r="L311" s="3">
        <f>695.8+(712.1-342.3)+(0+(0-0))+0-179.5-0</f>
        <v>886.09999999999991</v>
      </c>
      <c r="M311" s="3">
        <f>692.4+(713-269.1)+(0.706248+(0.72726-0.274482))+0-187.1-0.19084200000003</f>
        <v>950.168184</v>
      </c>
      <c r="N311" s="3">
        <f>700.6+(771.6-266.4)+(0.357306+(0.393516-0.135864))+0-181.2-0.0924119999999816</f>
        <v>1025.1225460000001</v>
      </c>
      <c r="O311" s="3">
        <f>699.8+(628.3-129.4)+(0+(0-0))+0-175.9-0</f>
        <v>1022.7999999999998</v>
      </c>
      <c r="P311" s="3">
        <f>698.6+(612.1-126.1)+(0.356286+(0.312171-0.064311))+0-167.9-0.085628999999983</f>
        <v>1017.2185169999999</v>
      </c>
      <c r="Q311" s="3">
        <f>706.3+(613.6-126.2)+(-1.080639+(-0.938808--0.193086))+0-166.3--0.25443900000001</f>
        <v>1025.8280780000002</v>
      </c>
      <c r="R311" s="3">
        <f>706.8+(586.4-118.5)+(-1.441872+(-1.196256--0.24174))+0-175.6--0.358223999999992</f>
        <v>997.06183599999986</v>
      </c>
      <c r="S311" s="3">
        <f>713.2+(571.7-125.6)+(-0.363732+(-0.291567--0.064056))+0-180.6--0.0921059999999817</f>
        <v>978.20086300000003</v>
      </c>
      <c r="T311" s="3">
        <f>729.9+(562.3-142.7)+(-1.488996+(-1.147092--0.291108))+0-178.5--0.364139999999992</f>
        <v>969.01915999999994</v>
      </c>
      <c r="U311" s="3">
        <f>777+(516.6-150.7)+(-2.37762+(-1.580796--0.461142))+0-170.6--0.52203600000002</f>
        <v>969.32476200000008</v>
      </c>
      <c r="V311" s="3">
        <f>770.5+(575.9-179.2)+(0.392955+(0.293709-0.091392))+0-177.6-0.090575999999982</f>
        <v>990.1046960000001</v>
      </c>
      <c r="W311" s="3">
        <f>778.9+(712.2-225)+(0.794478+(0.726444-0.2295))+0-182.2-0.185844000000029</f>
        <v>1085.0055779999998</v>
      </c>
      <c r="X311" s="3">
        <f>787.9+(708-196.9)+(0.401829+(0.36108-0.100419))+0-191.6-0.0977159999999806</f>
        <v>1107.964774</v>
      </c>
      <c r="Y311" s="3">
        <f>772+(668.7-192.7)+(-1.9686+(-1.705185--0.491385))+0-184.2--0.469709999999973</f>
        <v>1061.0873100000001</v>
      </c>
      <c r="Z311" s="3">
        <f>751.6+(647.9-191.6)+(-1.533264+(-1.321716--0.390864))+0-188.7--0.384947999999992</f>
        <v>1017.120832</v>
      </c>
      <c r="AA311" s="3">
        <f>593.1+(763.1-168.5)+(0.604962+(0.778362-0.17187))+0-194-0.197880000000031</f>
        <v>994.71357399999999</v>
      </c>
      <c r="AB311" s="3">
        <f>594.4+(697.1-149.9)+(-0.909432+(-1.066563--0.229347))+0-188.7--0.288711000000011</f>
        <v>951.44206299999985</v>
      </c>
      <c r="AC311" s="3">
        <f>603.6+(617.4-129.3)+(0+(0-0))+0-188.2-0</f>
        <v>903.5</v>
      </c>
      <c r="AD311" s="2">
        <v>1089.0999999999997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596.8+(606.4-148)+(-0.608736+(-0.618528--0.15096))+0-190--0.19380000000003</f>
        <v>864.31749599999989</v>
      </c>
      <c r="G312" s="3">
        <f>598.9+(595.9-166.7)+(-1.221756+(-1.215636--0.340068))+0-192.2--0.392087999999992</f>
        <v>834.19476399999974</v>
      </c>
      <c r="H312" s="3">
        <f>599.6+(574-166.1)+(-1.223184+(-1.17096--0.338844))+0-183.6--0.374543999999992</f>
        <v>822.219244</v>
      </c>
      <c r="I312" s="3">
        <f>598.6+(610.9-164.2)+(-0.305286+(-0.311559--0.083742))+0-187.8--0.0957779999999809</f>
        <v>857.06267500000001</v>
      </c>
      <c r="J312" s="3">
        <f>599.2+(614.6-163.4)+(0+(0-0))+0-190.3-0</f>
        <v>860.10000000000014</v>
      </c>
      <c r="K312" s="3">
        <f>599.6+(674.3-197.1)+(0.917388+(1.031679-0.301563))+0-189.5-0.289935000000011</f>
        <v>888.65756899999997</v>
      </c>
      <c r="L312" s="3">
        <f>599.1+(753.4-232.6)+(-1.527705+(-1.92117--0.59313))+0-180.1--0.459254999999974</f>
        <v>937.40350999999998</v>
      </c>
      <c r="M312" s="3">
        <f>604.2+(811.6-253.2)+(-1.54071+(-2.06958--0.64566))+0-180.3--0.459764999999974</f>
        <v>979.79513500000019</v>
      </c>
      <c r="N312" s="3">
        <f>597.4+(793.9-199.2)+(0.304674+(0.404889-0.101592))+0-176.2-0.0898619999999821</f>
        <v>1016.4181089999998</v>
      </c>
      <c r="O312" s="3">
        <f>593.3+(751.7-139)+(-0.907749+(-1.150101--0.21267))+0-174.4--0.26683200000001</f>
        <v>1030.0216519999999</v>
      </c>
      <c r="P312" s="3">
        <f>588.9+(769-132.9)+(0+(0-0))+0-171.7-0</f>
        <v>1053.3</v>
      </c>
      <c r="Q312" s="3">
        <f>583.6+(771.3-120.5)+(-0.297636+(-0.393363--0.061455))+0-172--0.0877199999999825</f>
        <v>1061.8581760000002</v>
      </c>
      <c r="R312" s="3">
        <f>579.5+(747.4-108.9)+(-0.59109+(-0.762348--0.111078))+0-170.2--0.173604000000027</f>
        <v>1046.7312440000001</v>
      </c>
      <c r="S312" s="3">
        <f>578.8+(715-93.4)+(-0.590376+(-0.7293--0.095268))+0-182.2--0.185844000000029</f>
        <v>1017.161436</v>
      </c>
      <c r="T312" s="3">
        <f>577.3+(694.3-76.9)+(-0.294423+(-0.354093--0.039219))+0-188.8--0.0962879999999808</f>
        <v>1005.3869909999999</v>
      </c>
      <c r="U312" s="3">
        <f>578.1+(691.3-84.2)+(-0.884493+(-1.057689--0.128826))+0-186--0.284580000000011</f>
        <v>997.67122399999971</v>
      </c>
      <c r="V312" s="3">
        <f>579.3+(710.4-92.4)+(-0.295443+(-0.362304--0.047124))+0-186.1--0.0949109999999811</f>
        <v>1010.6842879999999</v>
      </c>
      <c r="W312" s="3">
        <f>580.7+(858.8-152.5)+(0+(0-0))+0-186.7-0</f>
        <v>1100.3</v>
      </c>
      <c r="X312" s="3">
        <f>590.5+(901.9-182.3)+(-0.60231+(-0.919938--0.185946))+0-191--0.19482000000003</f>
        <v>1117.9585179999999</v>
      </c>
      <c r="Y312" s="3">
        <f>596.1+(870.3-182.3)+(-1.824066+(-2.663118--0.557838))+0-192.4--0.588744000000022</f>
        <v>1088.3593980000001</v>
      </c>
      <c r="Z312" s="3">
        <f>595.3+(836.9-179.3)+(-1.518015+(-2.134095--0.457215))+0-195.4--0.498269999999972</f>
        <v>1054.8033749999997</v>
      </c>
      <c r="AA312" s="3">
        <f>597.3+(788.5-170.1)+(-1.218492+(-1.60854--0.347004))+0-196.5--0.400859999999991</f>
        <v>1017.1208319999998</v>
      </c>
      <c r="AB312" s="3">
        <f>597.2+(724.5-160.9)+(-0.609144+(-0.73899--0.164118))+0-188.7--0.19247400000003</f>
        <v>971.10845800000027</v>
      </c>
      <c r="AC312" s="3">
        <f>602+(636.8-144.8)+(-1.22808+(-1.299072--0.295392))+0-184.7--0.376787999999992</f>
        <v>907.44502800000009</v>
      </c>
      <c r="AD312" s="2">
        <v>1043.8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607.4+(554.3-122.1)+(-0.309774+(-0.282693--0.062271))+0-182.9--0.0932789999999814</f>
        <v>856.26308299999994</v>
      </c>
      <c r="G313" s="3">
        <f>606.9+(535.9-126.2)+(-0.928557+(-0.819927--0.193086))+0-180.8--0.27662400000001</f>
        <v>834.52122599999996</v>
      </c>
      <c r="H313" s="3">
        <f>607.3+(526.2-129.2)+(-0.619446+(-0.536724--0.131784))+0-179.3--0.182886000000029</f>
        <v>824.1585</v>
      </c>
      <c r="I313" s="3">
        <f>612.3+(528.9-123)+(-1.249092+(-1.078956--0.25092))+0-181.4--0.370055999999992</f>
        <v>835.09292799999992</v>
      </c>
      <c r="J313" s="3">
        <f>656.8+(504.7-142.6)+(-0.334968+(-0.257397--0.072726))+0-183.1--0.0933809999999814</f>
        <v>835.37374199999999</v>
      </c>
      <c r="K313" s="3">
        <f>655.6+(612.9-227.1)+(1.337424+(1.250316-0.463284))+0-182.3-0.371891999999992</f>
        <v>860.85256400000014</v>
      </c>
      <c r="L313" s="3">
        <f>701.3+(761.8-380.9)+(0+(0-0))+0-176.8-0</f>
        <v>905.39999999999986</v>
      </c>
      <c r="M313" s="3">
        <f>707.7+(758.7-314.8)+(-0.360927+(-0.386937--0.160548))+0-175.9--0.0897089999999822</f>
        <v>975.20239300000003</v>
      </c>
      <c r="N313" s="3">
        <f>757.9+(678.9-248.8)+(-0.386529+(-0.346239--0.126888))+0-168.3--0.0858329999999829</f>
        <v>1019.179953</v>
      </c>
      <c r="O313" s="3">
        <f>768+(665.9-229.9)+(0+(0-0))+0-166.4-0</f>
        <v>1037.5999999999999</v>
      </c>
      <c r="P313" s="3">
        <f>772.1+(665.5-234.3)+(0.393771+(0.339405-0.119493))+0-165.2-0.0842519999999832</f>
        <v>1038.6294310000001</v>
      </c>
      <c r="Q313" s="3">
        <f>778.5+(650.6-220.1)+(-0.79407+(-0.663612--0.224502))+0-170.8--0.174216000000027</f>
        <v>1037.1410360000002</v>
      </c>
      <c r="R313" s="3">
        <f>785.7+(631.7-221.3)+(-2.404242+(-1.933002--0.677178))+0-164.7--0.503982000000019</f>
        <v>1028.2439160000001</v>
      </c>
      <c r="S313" s="3">
        <f>782.3+(625.2-217.3)+(-1.994865+(-1.59426--0.554115))+0-163.7--0.417434999999976</f>
        <v>1023.8824249999999</v>
      </c>
      <c r="T313" s="3">
        <f>774.2+(624.7-231.2)+(0+(0-0))+0-158.6-0</f>
        <v>1009.1</v>
      </c>
      <c r="U313" s="3">
        <f>771.3+(559.3-165.1)+(-1.180089+(-0.855729--0.252603))+0-157.4--0.240822000000009</f>
        <v>1006.5576070000001</v>
      </c>
      <c r="V313" s="3">
        <f>771+(601.8-173.2)+(1.17963+(0.920754-0.264996))+0-165.9-0.25382700000001</f>
        <v>1035.2815609999998</v>
      </c>
      <c r="W313" s="3">
        <f>781.9+(749-244.3)+(1.595076+(1.52796-0.498372))+0-174.6-0.356183999999992</f>
        <v>1114.26848</v>
      </c>
      <c r="X313" s="3">
        <f>790.3+(800-273.8)+(-1.209159+(-1.224--0.418914))+0-180.9--0.27677700000001</f>
        <v>1133.8625319999999</v>
      </c>
      <c r="Y313" s="3">
        <f>794+(760.8-287.3)+(0+(0-0))+0-177-0</f>
        <v>1090.5</v>
      </c>
      <c r="Z313" s="3">
        <f>792.8+(689.4-251.8)+(-0.808656+(-0.703188--0.256836))+0-179.3--0.182886000000029</f>
        <v>1050.0278779999999</v>
      </c>
      <c r="AA313" s="3">
        <f>792.6+(606.7-200.7)+(-1.212678+(-0.928251--0.307071))+0-180.3--0.27585900000001</f>
        <v>1016.7420010000002</v>
      </c>
      <c r="AB313" s="3">
        <f>797.2+(532.8-196.6)+(-0.813144+(-0.543456--0.200532))+0-177.2--0.180744000000028</f>
        <v>955.22467600000004</v>
      </c>
      <c r="AC313" s="3">
        <f>797.8+(488.5-210.2)+(-1.627512+(-0.99654--0.428808))+0-177.5--0.362099999999992</f>
        <v>896.76685599999985</v>
      </c>
      <c r="AD313" s="2">
        <v>1171.5000000000002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796.4+(493.4-248.1)+(-1.624656+(-1.006536--0.506124))+0-180.8--0.368831999999992</f>
        <v>859.14376400000003</v>
      </c>
      <c r="G314" s="3">
        <f>801.7+(427.1-206)+(-0.817734+(-0.435642--0.21012))+0-181.7--0.185334000000029</f>
        <v>840.24207799999999</v>
      </c>
      <c r="H314" s="3">
        <f>803.2+(399.5-196.7)+(-0.409632+(-0.203745--0.100317))+0-182.5--0.0930749999999815</f>
        <v>823.080015</v>
      </c>
      <c r="I314" s="3">
        <f>808.4+(377.2-188.4)+(0.824568+(0.384744-0.192168))+0-179.8-0.183396000000029</f>
        <v>818.23374799999999</v>
      </c>
      <c r="J314" s="3">
        <f>807.3+(397.8-206.7)+(-2.058615+(-1.01439--0.527085))+0-180.7--0.460784999999974</f>
        <v>815.61486500000001</v>
      </c>
      <c r="K314" s="3">
        <f>808.3+(492.9-276.7)+(2.061165+(1.256895-0.705585))+0-176.7-0.450584999999974</f>
        <v>849.96188999999993</v>
      </c>
      <c r="L314" s="3">
        <f>805.8+(559-244.5)+(0+(0-0))+0-175.8-0</f>
        <v>944.5</v>
      </c>
      <c r="M314" s="3">
        <f>799.4+(677.5-308)+(-1.223082+(-1.036575--0.47124))+0-182.5--0.279225000000011</f>
        <v>984.89080800000011</v>
      </c>
      <c r="N314" s="3">
        <f>789.1+(720.2-282.8)+(-0.804882+(-0.734604--0.288456))+0-182--0.185640000000029</f>
        <v>1043.43461</v>
      </c>
      <c r="O314" s="3">
        <f>789.9+(644.2-207.2)+(-1.208547+(-0.985626--0.317016))+0-175.2--0.26805600000001</f>
        <v>1050.0908990000003</v>
      </c>
      <c r="P314" s="3">
        <f>785.1+(633.5-192.6)+(-0.800802+(-0.64617--0.196452))+0-174.4--0.177888000000028</f>
        <v>1050.5273679999998</v>
      </c>
      <c r="Q314" s="3">
        <f>794.7+(552.9-183.3)+(-2.026485+(-1.409895--0.467415))+0-167.4--0.426869999999976</f>
        <v>994.35790499999996</v>
      </c>
      <c r="R314" s="3">
        <f>778.7+(649.6-236.5)+(-1.588548+(-1.325184--0.48246))+0-166.4--0.339455999999993</f>
        <v>1023.3081840000002</v>
      </c>
      <c r="S314" s="3">
        <f>766.8+(622.2-207.9)+(-1.564272+(-1.269288--0.424116))+0-166.1--0.338843999999993</f>
        <v>1012.9294</v>
      </c>
      <c r="T314" s="3">
        <f>790+(575-199.8)+(-0.8058+(-0.5865--0.203796))+0-166--0.169320000000026</f>
        <v>998.18081600000005</v>
      </c>
      <c r="U314" s="3">
        <f>793.5+(584.1-202.4)+(0.80937+(0.595782-0.206448))+0-166.3-0.169626000000027</f>
        <v>1009.929078</v>
      </c>
      <c r="V314" s="3">
        <f>791.5+(613.9-210.8)+(0.403665+(0.313089-0.107508))+0-169.9-0.0866489999999828</f>
        <v>1025.2225969999997</v>
      </c>
      <c r="W314" s="3">
        <f>794.5+(682.6-204.1)+(0.81039+(0.696252-0.208182))+0-176.6-0.180132000000028</f>
        <v>1097.5183280000001</v>
      </c>
      <c r="X314" s="3">
        <f>805.7+(628.5-193.5)+(-2.465442+(-1.92321--0.59211))+0-180.8--0.553248000000021</f>
        <v>1056.656706</v>
      </c>
      <c r="Y314" s="3">
        <f>812+(585.4-185)+(-2.0706+(-1.49277--0.47175))+0-176.2--0.449309999999974</f>
        <v>1033.5576900000001</v>
      </c>
      <c r="Z314" s="3">
        <f>815.6+(531.9-183.5)+(-1.247868+(-0.813807--0.280755))+0-173.3--0.26514900000001</f>
        <v>989.18422900000019</v>
      </c>
      <c r="AA314" s="3">
        <f>813.8+(515.5-180.7)+(-0.415038+(-0.262905--0.092157))+0-178.1--0.0908309999999819</f>
        <v>970.00504499999977</v>
      </c>
      <c r="AB314" s="3">
        <f>818.6+(482.2-196.6)+(-0.834972+(-0.491844--0.200532))+0-177.5--0.181050000000028</f>
        <v>925.75476600000013</v>
      </c>
      <c r="AC314" s="3">
        <f>823.9+(487.7-255)+(-2.100945+(-1.243635--0.65025))+0-182--0.464099999999974</f>
        <v>872.3697699999999</v>
      </c>
      <c r="AD314" s="2">
        <v>1054.9000000000001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823.8+(432.1-243.1)+(-0.840276+(-0.440742--0.247962))+0-185.8--0.18951600000003</f>
        <v>826.15646000000004</v>
      </c>
      <c r="G315" s="3">
        <f>822.2+(435.1-270)+(-1.257966+(-0.665703--0.4131))+0-186--0.284580000000011</f>
        <v>800.07401100000004</v>
      </c>
      <c r="H315" s="3">
        <f>819.9+(402.8-258.5)+(0+(0-0))+0-184.3-0</f>
        <v>779.90000000000009</v>
      </c>
      <c r="I315" s="3">
        <f>772.1+(439-248.5)+(-0.787542+(-0.44778--0.25347))+0-184.3--0.187986000000029</f>
        <v>777.50613400000009</v>
      </c>
      <c r="J315" s="3">
        <f>819.3+(401.3-253.6)+(0.417843+(0.204663-0.129336))+0-183.2-0.0934319999999814</f>
        <v>784.19973799999991</v>
      </c>
      <c r="K315" s="3">
        <f>821.6+(436.6-267.2)+(-0.419016+(-0.222666--0.136272))+0-181.5--0.0925649999999816</f>
        <v>809.08715500000005</v>
      </c>
      <c r="L315" s="3">
        <f>815.5+(486.6-243.7)+(-0.415905+(-0.248166--0.124287))+0-175.6--0.0895559999999822</f>
        <v>882.34977200000003</v>
      </c>
      <c r="M315" s="3">
        <f>822.8+(511-217.8)+(0+(0-0))+0-180.5-0</f>
        <v>935.5</v>
      </c>
      <c r="N315" s="3">
        <f>812.8+(526.5-192.4)+(0+(0-0))+0-176.9-0</f>
        <v>970.00000000000011</v>
      </c>
      <c r="O315" s="3">
        <f>800.6+(543-170.2)+(-0.816612+(-0.55386--0.173604))+0-168.5--0.171870000000027</f>
        <v>1003.8750020000001</v>
      </c>
      <c r="P315" s="3">
        <f>791.2+(520.6-168.2)+(0+(0-0))+0-164.3-0</f>
        <v>979.30000000000018</v>
      </c>
      <c r="Q315" s="3">
        <f>790.2+(550.6-163.9)+(-0.403002+(-0.280806--0.083589))+0-163.3--0.0832829999999834</f>
        <v>1013.0830640000001</v>
      </c>
      <c r="R315" s="3">
        <f>784.3+(542-164.4)+(-1.999965+(-1.3821--0.41922))+0-164.5--0.419474999999976</f>
        <v>994.85663</v>
      </c>
      <c r="S315" s="3">
        <f>771.6+(487.6-145.4)+(0+(0-0))+0-176.2-0</f>
        <v>937.60000000000014</v>
      </c>
      <c r="T315" s="3">
        <f>783.3+(473.7-134.6)+(-0.399483+(-0.241587--0.068646))+0-185.6--0.0946559999999812</f>
        <v>936.3222320000001</v>
      </c>
      <c r="U315" s="3">
        <f>783.9+(462.7-136.3)+(-0.799578+(-0.471954--0.139026))+0-181.9--0.185538000000029</f>
        <v>927.45303200000012</v>
      </c>
      <c r="V315" s="3">
        <f>782.5+(497.2-146.3)+(0.399075+(0.253572-0.074613))+0-183.6-0.0936359999999814</f>
        <v>950.28439800000001</v>
      </c>
      <c r="W315" s="3">
        <f>786.6+(618.1-198.1)+(0.401166+(0.315231-0.101031))+0-188.8-0.0962879999999808</f>
        <v>1018.319078</v>
      </c>
      <c r="X315" s="3">
        <f>795.2+(650.8-213.6)+(-1.622208+(-1.327632--0.435744))+0-191.5--0.390659999999992</f>
        <v>1038.776564</v>
      </c>
      <c r="Y315" s="3">
        <f>800.7+(602.1-200.1)+(-1.633428+(-1.228284--0.408204))+0-194.1--0.395963999999991</f>
        <v>1006.5424559999999</v>
      </c>
      <c r="Z315" s="3">
        <f>803+(551.3-180.5)+(-0.81906+(-0.562326--0.18411))+0-194--0.197880000000031</f>
        <v>978.80060399999991</v>
      </c>
      <c r="AA315" s="3">
        <f>806.4+(518.8-177.7)+(-0.822528+(-0.529176--0.181254))+0-195.5--0.199410000000031</f>
        <v>951.02895999999998</v>
      </c>
      <c r="AB315" s="3">
        <f>807.7+(460.1-172.2)+(-1.235781+(-0.703953--0.263466))+0-193--0.295290000000011</f>
        <v>901.21902200000022</v>
      </c>
      <c r="AC315" s="3">
        <f>812.2+(484-238)+(-0.828444+(-0.49368--0.24276))+0-193.1--0.196962000000031</f>
        <v>864.21759800000007</v>
      </c>
      <c r="AD315" s="2">
        <v>1033.6000000000001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809.9+(440.1-243.6)+(-2.065245+(-1.122255--0.62118))+0-190.6--0.486029999999972</f>
        <v>813.71970999999996</v>
      </c>
      <c r="G316" s="3">
        <f>807.2+(401.7-235.1)+(0+(0-0))+0-181.5-0</f>
        <v>792.30000000000007</v>
      </c>
      <c r="H316" s="3">
        <f>806.7+(398.2-241.9)+(-2.057085+(-1.01541--0.616845))+0-186.8--0.476339999999973</f>
        <v>774.22068999999988</v>
      </c>
      <c r="I316" s="3">
        <f>806.3+(357.4-199.1)+(-0.411213+(-0.182274--0.101541))+0-186.1--0.0949109999999811</f>
        <v>778.10296499999993</v>
      </c>
      <c r="J316" s="3">
        <f>802.5+(383.9-218)+(0.81855+(0.391578-0.22236))+0-186.3-0.19002600000003</f>
        <v>782.89774199999988</v>
      </c>
      <c r="K316" s="3">
        <f>797.6+(422.2-247.4)+(0.813552+(0.430644-0.252348))+0-185.2-0.18890400000003</f>
        <v>788.00294399999996</v>
      </c>
      <c r="L316" s="3">
        <f>802.6+(451.5-249)+(-1.227978+(-0.690795--0.38097))+0-183.7--0.281061000000011</f>
        <v>820.14325799999995</v>
      </c>
      <c r="M316" s="3">
        <f>802.4+(468.9-219.6)+(-0.818448+(-0.478278--0.223992))+0-188.9--0.19267800000003</f>
        <v>861.91994399999999</v>
      </c>
      <c r="N316" s="3">
        <f>801.5+(540.8-232)+(-0.408765+(-0.275808--0.11832))+0-188.8--0.0962879999999808</f>
        <v>921.030035</v>
      </c>
      <c r="O316" s="3">
        <f>786.3+(560.7-218.1)+(1.203039+(0.857871-0.333693))+0-182-0.278460000000011</f>
        <v>948.34875700000021</v>
      </c>
      <c r="P316" s="3">
        <f>774.2+(525.5-171.2)+(1.579368+(1.07202-0.349248))+0-179.2-0.365567999999992</f>
        <v>951.23657200000002</v>
      </c>
      <c r="Q316" s="3">
        <f>772.3+(515.6-152.7)+(-0.393873+(-0.262956--0.077877))+0-178.1--0.0908309999999819</f>
        <v>956.61187899999993</v>
      </c>
      <c r="R316" s="3">
        <f>768.4+(506.6-147.4)+(-1.567536+(-1.033464--0.300696))+0-182.2--0.371687999999992</f>
        <v>943.47138399999972</v>
      </c>
      <c r="S316" s="3">
        <f>767.6+(469.3-134.7)+(-1.565904+(-0.957372--0.274788))+0-186.4--0.380255999999992</f>
        <v>913.93176800000015</v>
      </c>
      <c r="T316" s="3">
        <f>770.2+(441.5-126)+(0+(0-0))+0-182.4-0</f>
        <v>903.30000000000007</v>
      </c>
      <c r="U316" s="3">
        <f>775.8+(443.6-140.3)+(-2.373948+(-1.357416--0.429318))+0-181.2--0.554472000000021</f>
        <v>895.15242599999988</v>
      </c>
      <c r="V316" s="3">
        <f>776.6+(497.2-180.5)+(0+(0-0))+0-185.8-0</f>
        <v>907.5</v>
      </c>
      <c r="W316" s="3">
        <f>783.2+(578.1-194.8)+(0+(0-0))+0-192.1-0</f>
        <v>974.4</v>
      </c>
      <c r="X316" s="3">
        <f>788.1+(614-202.4)+(-2.009655+(-1.5657--0.51612))+0-194.1--0.494954999999972</f>
        <v>1003.0357200000001</v>
      </c>
      <c r="Y316" s="3">
        <f>788.4+(575.2-195.5)+(-2.01042+(-1.46676--0.498525))+0-190.1--0.484754999999972</f>
        <v>975.50609999999995</v>
      </c>
      <c r="Z316" s="3">
        <f>789.2+(528.2-184.8)+(-0.804984+(-0.538764--0.188496))+0-190.8--0.19461600000003</f>
        <v>940.83936400000016</v>
      </c>
      <c r="AA316" s="3">
        <f>789.2+(492.9-172.6)+(-1.609968+(-1.005516--0.352104))+0-191.8--0.391271999999992</f>
        <v>915.82789199999991</v>
      </c>
      <c r="AB316" s="3">
        <f>788.6+(444-152.8)+(-0.402186+(-0.22644--0.077928))+0-193.2--0.0985319999999804</f>
        <v>886.14783399999988</v>
      </c>
      <c r="AC316" s="3">
        <f>791.3+(454-219)+(-1.614252+(-0.92616--0.44676))+0-192.2--0.392087999999992</f>
        <v>832.39843599999983</v>
      </c>
      <c r="AD316" s="2">
        <v>994.59999999999968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788.9+(456.8-264.4)+(-0.402339+(-0.232968--0.134844))+0-192.7--0.0982769999999804</f>
        <v>788.19781399999999</v>
      </c>
      <c r="G317" s="3">
        <f>793.6+(447.1-277.8)+(-0.404736+(-0.228021--0.141678))+0-194.1--0.0989909999999803</f>
        <v>768.40791200000001</v>
      </c>
      <c r="H317" s="3">
        <f>794.3+(381.9-228.4)+(0+(0-0))+0-192-0</f>
        <v>755.8</v>
      </c>
      <c r="I317" s="3">
        <f>797.5+(331.6-187.8)+(-0.406725+(-0.169116--0.095778))+0-190.5--0.0971549999999807</f>
        <v>750.41709199999991</v>
      </c>
      <c r="J317" s="3">
        <f>796.4+(357.4-218.8)+(-1.218492+(-0.546822--0.334764))+0-190.2--0.291006000000011</f>
        <v>743.66045599999995</v>
      </c>
      <c r="K317" s="3">
        <f>800.2+(358.6-207.3)+(0.408102+(0.182886-0.105723))+0-188.6-0.0961859999999809</f>
        <v>763.28907900000002</v>
      </c>
      <c r="L317" s="3">
        <f>805.8+(409.8-208.4)+(-0.821916+(-0.417996--0.212568))+0-188.5--0.19227000000003</f>
        <v>817.86492599999997</v>
      </c>
      <c r="M317" s="3">
        <f>812.8+(474.1-211.1)+(-1.243584+(-0.725373--0.322983))+0-191.6--0.293148000000011</f>
        <v>882.84717399999988</v>
      </c>
      <c r="N317" s="3">
        <f>809.1+(504.1-204.7)+(-0.825282+(-0.514182--0.208794))+0-186.6--0.19033200000003</f>
        <v>920.95966199999998</v>
      </c>
      <c r="O317" s="3">
        <f>799.6+(544.4-225.8)+(-0.407796+(-0.277644--0.115158))+0-184.1--0.0938909999999813</f>
        <v>933.6236090000001</v>
      </c>
      <c r="P317" s="3">
        <f>793.5+(507.2-179.4)+(-1.214055+(-0.776016--0.274482))+0-177.5--0.27157500000001</f>
        <v>942.35598600000003</v>
      </c>
      <c r="Q317" s="3">
        <f>791.9+(517.8-186.7)+(0+(0-0))+0-175-0</f>
        <v>948</v>
      </c>
      <c r="R317" s="3">
        <f>787.1+(488.1-181)+(-1.605684+(-0.995724--0.36924))+0-165.7--0.338027999999993</f>
        <v>926.60586000000001</v>
      </c>
      <c r="S317" s="3">
        <f>786.5+(503.6-192.3)+(-1.60446+(-1.027344--0.392292))+0-186--0.379439999999992</f>
        <v>909.9399279999999</v>
      </c>
      <c r="T317" s="3">
        <f>784.5+(463.4-157.1)+(0.400095+(0.236334-0.080121))+0-190.4-0.0971039999999807</f>
        <v>900.85920399999998</v>
      </c>
      <c r="U317" s="3">
        <f>785.9+(431.8-121)+(-1.603236+(-0.880872--0.24684))+0-188.2--0.383927999999992</f>
        <v>906.64665999999988</v>
      </c>
      <c r="V317" s="3">
        <f>789.2+(450.9-128.5)+(-0.402492+(-0.229959--0.065535))+0-192.2--0.0980219999999805</f>
        <v>918.93110599999989</v>
      </c>
      <c r="W317" s="3">
        <f>793.1+(581.8-182)+(0.808962+(0.593436-0.18564))+0-195.8-0.199716000000031</f>
        <v>998.11704200000008</v>
      </c>
      <c r="X317" s="3">
        <f>796.9+(609.8-192.6)+(-0.406419+(-0.310998--0.098226))+0-188.6--0.0961859999999809</f>
        <v>1024.976995</v>
      </c>
      <c r="Y317" s="3">
        <f>800.7+(556.7-174.6)+(-1.225071+(-0.851751--0.267138))+0-194.3--0.297279000000011</f>
        <v>986.98759500000017</v>
      </c>
      <c r="Z317" s="3">
        <f>802.2+(500.4-154.9)+(0.409122+(0.255204-0.078999))+0-197.8-0.10087799999998</f>
        <v>950.38444900000013</v>
      </c>
      <c r="AA317" s="3">
        <f>807.9+(450-135.2)+(-1.236087+(-0.6885--0.206856))+0-197.6--0.302328000000011</f>
        <v>923.68459700000005</v>
      </c>
      <c r="AB317" s="3">
        <f>811.6+(451.7-183.7)+(-2.06958+(-1.151835--0.468435))+0-188.5--0.480674999999973</f>
        <v>888.82769499999995</v>
      </c>
      <c r="AC317" s="3">
        <f>811.3+(437.3-221.2)+(-0.827526+(-0.446046--0.225624))+0-185.4--0.18910800000003</f>
        <v>841.14116000000024</v>
      </c>
      <c r="AD317" s="2">
        <v>1037.1999999999998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749.7+(439.7-203)+(-1.529388+(-0.896988--0.41412))+0-186.4--0.380255999999992</f>
        <v>798.36800000000017</v>
      </c>
      <c r="G318" s="3">
        <f>622.5+(469.4-126.7)+(-0.63495+(-0.478788--0.129234))+0-186.3--0.19002600000003</f>
        <v>778.10552200000006</v>
      </c>
      <c r="H318" s="3">
        <f>621.1+(452.6-129.5)+(0+(0-0))+0-192.2-0</f>
        <v>752</v>
      </c>
      <c r="I318" s="3">
        <f>624+(435.9-115)+(-0.31824+(-0.222309--0.05865))+0-193.4--0.0986339999999804</f>
        <v>751.11673499999995</v>
      </c>
      <c r="J318" s="3">
        <f>624.9+(421.6-105.7)+(0+(0-0))+0-190.8-0</f>
        <v>750</v>
      </c>
      <c r="K318" s="3">
        <f>627.5+(466.8-139.8)+(0.320025+(0.238068-0.071298))+0-189.4-0.0965939999999808</f>
        <v>765.49020100000007</v>
      </c>
      <c r="L318" s="3">
        <f>628.9+(536.4-170.1)+(-0.641478+(-0.547128--0.173502))+0-190.8--0.19461600000003</f>
        <v>803.57951200000002</v>
      </c>
      <c r="M318" s="3">
        <f>622.1+(609.6-174.2)+(0.951813+(0.932688-0.266526))+0-194.3-0.297279000000011</f>
        <v>864.52069599999993</v>
      </c>
      <c r="N318" s="3">
        <f>617.8+(645.3-161.6)+(0+(0-0))+0-192.3-0</f>
        <v>909.2</v>
      </c>
      <c r="O318" s="3">
        <f>613.9+(673.5-160.9)+(0.313089+(0.343485-0.082059))+0-190.1-0.0969509999999807</f>
        <v>936.87756400000001</v>
      </c>
      <c r="P318" s="3">
        <f>607+(667.1-150.4)+(0+(0-0))+0-176.1-0</f>
        <v>947.6</v>
      </c>
      <c r="Q318" s="3">
        <f>600.2+(760.5-142.9)+(-0.612204+(-0.77571--0.145758))+0-177.1--0.180642000000028</f>
        <v>1039.6384860000003</v>
      </c>
      <c r="R318" s="3">
        <f>599.3+(739.4-146.4)+(-1.222572+(-1.508376--0.298656))+0-175.2--0.357407999999992</f>
        <v>1015.0251159999999</v>
      </c>
      <c r="S318" s="3">
        <f>596.6+(698.1-127)+(0.608532+(0.712062-0.12954))+0-185.1-0.18880200000003</f>
        <v>983.60225199999991</v>
      </c>
      <c r="T318" s="3">
        <f>598+(677.9-120)+(-0.60996+(-0.691458--0.1224))+0-186.8--0.19053600000003</f>
        <v>968.11151800000016</v>
      </c>
      <c r="U318" s="3">
        <f>597.2+(707.9-135.4)+(1.218288+(1.444116-0.276216))+0-185.3-0.378011999999992</f>
        <v>986.40817600000003</v>
      </c>
      <c r="V318" s="3">
        <f>599.7+(755.3-144.5)+(0+(0-0))+0-190.7-0</f>
        <v>1019.8</v>
      </c>
      <c r="W318" s="3">
        <f>600.9+(851.6-186.2)+(-0.306459+(-0.434316--0.094962))+0-194.1--0.0989909999999803</f>
        <v>1071.6531780000003</v>
      </c>
      <c r="X318" s="3">
        <f>605.7+(837.4-163.2)+(-0.617814+(-0.854148--0.166464))+0-199.1--0.203082000000032</f>
        <v>1079.6975840000002</v>
      </c>
      <c r="Y318" s="3">
        <f>605.3+(797.8-155.7)+(-1.852218+(-2.441268--0.476442))+0-196.3--0.600678000000023</f>
        <v>1047.883634</v>
      </c>
      <c r="Z318" s="3">
        <f>607.9+(768.7-175.6)+(0.620058+(0.784074-0.179112))+0-195.4-0.199308000000031</f>
        <v>1006.625712</v>
      </c>
      <c r="AA318" s="3">
        <f>618.3+(727.9-161.5)+(-1.576665+(-1.856145--0.411825))+0-197.6--0.503879999999971</f>
        <v>984.58289499999967</v>
      </c>
      <c r="AB318" s="3">
        <f>621.1+(654.9-136)+(-1.267044+(-1.335996--0.27744))+0-196.5--0.400859999999991</f>
        <v>941.57526000000007</v>
      </c>
      <c r="AC318" s="3">
        <f>620.6+(590.9-117.8)+(-1.266024+(-1.205436--0.240312))+0-196.6--0.401063999999991</f>
        <v>895.26991599999997</v>
      </c>
      <c r="AD318" s="2">
        <v>1032.3000000000002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619.6+(540.8-123.5)+(-0.947988+(-0.827424--0.188955))+0-197.6--0.302328000000011</f>
        <v>838.01587099999995</v>
      </c>
      <c r="G319" s="3">
        <f>619.2+(551.5-162.4)+(-1.57896+(-1.406325--0.41412))+0-195.7--0.499034999999972</f>
        <v>810.52787000000001</v>
      </c>
      <c r="H319" s="3">
        <f>618.3+(513.8-151.7)+(0.630666+(0.524076-0.154734))+0-193.1-0.196962000000031</f>
        <v>788.10304599999984</v>
      </c>
      <c r="I319" s="3">
        <f>618.1+(517-168.2)+(-0.315231+(-0.26367--0.085782))+0-192.1--0.0979709999999805</f>
        <v>774.40485200000012</v>
      </c>
      <c r="J319" s="3">
        <f>602.7+(550.9-194.4)+(-0.307377+(-0.280959--0.099144))+0-192.8--0.0983279999999804</f>
        <v>766.00913600000001</v>
      </c>
      <c r="K319" s="3">
        <f>603.7+(541.9-200.5)+(0.615774+(0.552738-0.20451))+0-182.9-0.186558000000029</f>
        <v>762.97744400000011</v>
      </c>
      <c r="L319" s="3">
        <f>603.7+(565.8-192.8)+(-0.615774+(-0.577116--0.196656))+0-181--0.184620000000029</f>
        <v>794.88838600000008</v>
      </c>
      <c r="M319" s="3">
        <f>602+(592.5-207.7)+(0+(0-0))+0-176.9-0</f>
        <v>809.9</v>
      </c>
      <c r="N319" s="3">
        <f>598.9+(576.4-190.7)+(0.305439+(0.293964-0.097257))+0-180.2-0.0919019999999817</f>
        <v>804.8102439999999</v>
      </c>
      <c r="O319" s="3">
        <f>600+(585.7-210.5)+(0.306+(0.298707-0.107355))+0-174.5-0.0889949999999823</f>
        <v>801.10835700000007</v>
      </c>
      <c r="P319" s="3">
        <f>608.4+(615.7-216.9)+(-0.930852+(-0.942021--0.331857))+0-172.5--0.26392500000001</f>
        <v>833.422909</v>
      </c>
      <c r="Q319" s="3">
        <f>613.9+(629.3-209)+(-1.252356+(-1.283772--0.42636))+0-181--0.369239999999992</f>
        <v>851.45947199999978</v>
      </c>
      <c r="R319" s="3">
        <f>604.4+(625.7-231)+(-0.308244+(-0.319107--0.11781))+0-185.4--0.0945539999999812</f>
        <v>813.28501300000005</v>
      </c>
      <c r="S319" s="3">
        <f>603.5+(575.9-201.6)+(-1.23114+(-1.174836--0.411264))+0-185.3--0.378011999999992</f>
        <v>790.88329999999985</v>
      </c>
      <c r="T319" s="3">
        <f>601.3+(554.4-195.5)+(-0.919989+(-0.848232--0.299115))+0-185.6--0.283968000000011</f>
        <v>773.41486199999986</v>
      </c>
      <c r="U319" s="3">
        <f>602.7+(552.9-195.8)+(0.922131+(0.845937-0.299574))+0-180.9-0.27677700000001</f>
        <v>780.0917169999999</v>
      </c>
      <c r="V319" s="3">
        <f>607.3+(571.3-201.8)+(-0.619446+(-0.582726--0.205836))+0-187.5--0.19125000000003</f>
        <v>788.49491399999999</v>
      </c>
      <c r="W319" s="3">
        <f>613.6+(639.7-199.5)+(-1.56468+(-1.631235--0.508725))+0-179.5--0.457724999999974</f>
        <v>872.07053500000006</v>
      </c>
      <c r="X319" s="3">
        <f>616.9+(664.6-184.4)+(-0.943857+(-1.016838--0.282132))+0-182.3--0.278919000000011</f>
        <v>913.40035599999999</v>
      </c>
      <c r="Y319" s="3">
        <f>621.2+(627.9-171.3)+(-0.316812+(-0.320229--0.087363))+0-184.3--0.0939929999999813</f>
        <v>893.04431499999987</v>
      </c>
      <c r="Z319" s="3">
        <f>625.9+(591.8-163.9)+(-0.319209+(-0.301818--0.083589))+0-189.3--0.0965429999999808</f>
        <v>864.05910499999993</v>
      </c>
      <c r="AA319" s="3">
        <f>626.9+(530.1-142.6)+(0.319719+(0.270351-0.072726))+0-187.7-0.095726999999981</f>
        <v>827.1216169999999</v>
      </c>
      <c r="AB319" s="3">
        <f>629.9+(476.6-130.9)+(-0.963747+(-0.729198--0.200277))+0-185--0.283050000000011</f>
        <v>789.39038200000005</v>
      </c>
      <c r="AC319" s="3">
        <f>633.9+(450.1-160.2)+(-1.293156+(-0.918204--0.326808))+0-182--0.371279999999992</f>
        <v>740.28672799999993</v>
      </c>
      <c r="AD319" s="2">
        <v>934.80000000000018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633.8+(439.4-183.3)+(-1.292952+(-0.896376--0.373932))+0-184.1--0.375563999999992</f>
        <v>704.36016799999982</v>
      </c>
      <c r="G320" s="3">
        <f>638.6+(343.3-121)+(-0.325686+(-0.175083--0.06171))+0-179.4--0.0914939999999818</f>
        <v>681.15243500000008</v>
      </c>
      <c r="H320" s="3">
        <f>642.2+(332-131.6)+(-1.310088+(-0.67728--0.268464))+0-174.6--0.356183999999992</f>
        <v>666.63728000000003</v>
      </c>
      <c r="I320" s="3">
        <f>641.3+(351.3-151.5)+(-0.327063+(-0.179163--0.077265))+0-174.9--0.0891989999999823</f>
        <v>665.86023799999998</v>
      </c>
      <c r="J320" s="3">
        <f>642.6+(374.3-174.4)+(1.63863+(0.954465-0.44472))+0-177.6-0.452879999999974</f>
        <v>666.59549500000003</v>
      </c>
      <c r="K320" s="3">
        <f>641.4+(400.5-184)+(0.981342+(0.612765-0.28152))+0-172.9-0.26453700000001</f>
        <v>686.04804999999999</v>
      </c>
      <c r="L320" s="3">
        <f>641.6+(477.1-211.1)+(0.981648+(0.729963-0.322983))+0-169.3-0.25902900000001</f>
        <v>739.42959900000005</v>
      </c>
      <c r="M320" s="3">
        <f>637.6+(534.2-206.7)+(-0.975528+(-0.817326--0.316251))+0-170.3--0.26055900000001</f>
        <v>793.58395600000017</v>
      </c>
      <c r="N320" s="3">
        <f>623.1+(553.7-189)+(0.635562+(0.564774-0.19278))+0-163.6-0.166872000000026</f>
        <v>825.04068400000006</v>
      </c>
      <c r="O320" s="3">
        <f>616+(569.9-185.5)+(0+(0-0))+0-158.5-0</f>
        <v>841.9</v>
      </c>
      <c r="P320" s="3">
        <f>610.5+(558.7-168.8)+(0.62271+(0.569874-0.172176))+0-148.9-0.151878000000024</f>
        <v>852.36853000000008</v>
      </c>
      <c r="Q320" s="3">
        <f>598.9+(591.3-187.1)+(-0.610878+(-0.603126--0.190842))+0-150.8--0.153816000000024</f>
        <v>851.430654</v>
      </c>
      <c r="R320" s="3">
        <f>600.7+(604.4-166.7)+(-1.531785+(-1.54122--0.425085))+0-154.9--0.394994999999978</f>
        <v>881.247075</v>
      </c>
      <c r="S320" s="3">
        <f>598.2+(557.5-127.4)+(-0.305082+(-0.284325--0.064974))+0-163.8--0.0835379999999834</f>
        <v>864.05910500000016</v>
      </c>
      <c r="T320" s="3">
        <f>598.1+(544.9-127)+(-1.525155+(-1.389495--0.32385))+0-167--0.425849999999976</f>
        <v>846.83505000000002</v>
      </c>
      <c r="U320" s="3">
        <f>600.4+(561.4-157.6)+(-0.612408+(-0.572628--0.160752))+0-161.2--0.164424000000026</f>
        <v>842.14013999999997</v>
      </c>
      <c r="V320" s="3">
        <f>601.6+(599.4-180.6)+(0.306816+(0.305694-0.092106))+0-158.6-0.0808859999999839</f>
        <v>862.23951799999998</v>
      </c>
      <c r="W320" s="3">
        <f>610.6+(694.4-187.9)+(0+(0-0))+0-159.4-0</f>
        <v>957.69999999999993</v>
      </c>
      <c r="X320" s="3">
        <f>616.7+(743.4-192.9)+(-0.314517+(-0.379134--0.098379))+0-162.2--0.0827219999999835</f>
        <v>1004.48745</v>
      </c>
      <c r="Y320" s="3">
        <f>625.6+(744-223.3)+(-1.914336+(-2.27664--0.683298))+0-157.9--0.483174000000018</f>
        <v>985.37549600000023</v>
      </c>
      <c r="Z320" s="3">
        <f>628.3+(692.8-209.6)+(-1.281732+(-1.413312--0.427584))+0-162.9--0.332315999999993</f>
        <v>946.66485599999999</v>
      </c>
      <c r="AA320" s="3">
        <f>629.7+(638.7-179.3)+(-0.321147+(-0.325737--0.091443))+0-166.2--0.0847619999999831</f>
        <v>922.42932100000007</v>
      </c>
      <c r="AB320" s="3">
        <f>633+(556.3-161.1)+(-1.29132+(-1.134852--0.328644))+0-166.7--0.340067999999993</f>
        <v>859.74253999999974</v>
      </c>
      <c r="AC320" s="3">
        <f>596.1+(546.7-168.1)+(-0.912033+(-0.836451--0.257193))+0-168.4--0.25765200000001</f>
        <v>805.06636100000003</v>
      </c>
      <c r="AD320" s="2">
        <v>970.19999999999993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637.4+(481.7-213.3)+(-1.300296+(-0.982668--0.435132))+0-169.9--0.346595999999993</f>
        <v>734.39876399999991</v>
      </c>
      <c r="G321" s="3">
        <f>639.4+(434.7-195.8)+(-0.978282+(-0.665091--0.299574))+0-169.3--0.25902900000001</f>
        <v>707.91523000000007</v>
      </c>
      <c r="H321" s="3">
        <f>642+(422.3-203.1)+(0+(0-0))+0-168.9-0</f>
        <v>692.30000000000007</v>
      </c>
      <c r="I321" s="3">
        <f>641+(444.8-234.7)+(-0.32691+(-0.226848--0.119697))+0-169.1--0.0862409999999828</f>
        <v>681.65217999999993</v>
      </c>
      <c r="J321" s="3">
        <f>642.1+(414.8-205.1)+(0.327471+(0.211548-0.104601))+0-166.5-0.0849149999999831</f>
        <v>685.6495030000001</v>
      </c>
      <c r="K321" s="3">
        <f>644.6+(429.9-208.1)+(0.657492+(0.438498-0.212262))+0-166.5-0.169830000000027</f>
        <v>700.61389799999995</v>
      </c>
      <c r="L321" s="3">
        <f>644.1+(434.8-164.1)+(0.656982+(0.443496-0.167382))+0-168.9-0.172278000000027</f>
        <v>746.66081800000006</v>
      </c>
      <c r="M321" s="3">
        <f>645.2+(496.1-170.4)+(0.329052+(0.253011-0.086904))+0-171.3-0.0873629999999826</f>
        <v>800.00779599999998</v>
      </c>
      <c r="N321" s="3">
        <f>638.1+(505.4-139.6)+(-1.301724+(-1.031016--0.284784))+0-165.6--0.337823999999993</f>
        <v>836.58986799999991</v>
      </c>
      <c r="O321" s="3">
        <f>632.6+(519.8-158.3)+(0.967878+(0.795294-0.242199))+0-152.6-0.233478000000009</f>
        <v>842.78749499999992</v>
      </c>
      <c r="P321" s="3">
        <f>630.7+(563.1-194)+(-0.643314+(-0.574362--0.19788))+0-146.6--0.149532000000023</f>
        <v>852.32973600000003</v>
      </c>
      <c r="Q321" s="3">
        <f>627+(548.5-181.5)+(-1.27908+(-1.11894--0.37026))+0-138.2--0.281927999999994</f>
        <v>854.054168</v>
      </c>
      <c r="R321" s="3">
        <f>622.2+(520-155.1)+(-1.58661+(-1.326--0.395505))+0-136.9--0.34909499999998</f>
        <v>848.03199000000006</v>
      </c>
      <c r="S321" s="3">
        <f>621.6+(536.8-175.6)+(0.317016+(0.273768-0.089556))+0-144.8-0.0738479999999853</f>
        <v>838.42737999999986</v>
      </c>
      <c r="T321" s="3">
        <f>622.4+(538.6-181.2)+(-0.634848+(-0.549372--0.184824))+0-149.4--0.152388000000024</f>
        <v>829.5529919999999</v>
      </c>
      <c r="U321" s="3">
        <f>631.6+(540.8-182.3)+(-0.322116+(-0.275808--0.092973))+0-143.1--0.0729809999999855</f>
        <v>846.56802999999991</v>
      </c>
      <c r="V321" s="3">
        <f>641.8+(525.5-154.8)+(0+(0-0))+0-146.1-0</f>
        <v>866.4</v>
      </c>
      <c r="W321" s="3">
        <f>643.9+(619.9-176.6)+(0+(0-0))+0-153.6-0</f>
        <v>933.5999999999998</v>
      </c>
      <c r="X321" s="3">
        <f>650.1+(679.2-217.1)+(0.331551+(0.346392-0.110721))+0-159.6-0.0813959999999838</f>
        <v>953.085826</v>
      </c>
      <c r="Y321" s="3">
        <f>608.9+(711.3-242)+(-0.931617+(-1.088289--0.37026))+0-168.5--0.25780500000001</f>
        <v>908.3081589999997</v>
      </c>
      <c r="Z321" s="3">
        <f>593.7+(638.8-201.9)+(-0.605574+(-0.651576--0.205938))+0-175.2--0.178704000000028</f>
        <v>854.52749199999982</v>
      </c>
      <c r="AA321" s="3">
        <f>623.5+(585.2-225.9)+(-0.953955+(-0.895356--0.345627))+0-173.6--0.26560800000001</f>
        <v>807.96192400000007</v>
      </c>
      <c r="AB321" s="3">
        <f>628.1+(501-213.1)+(-0.640662+(-0.51102--0.217362))+0-161.9--0.165138000000026</f>
        <v>753.33081800000014</v>
      </c>
      <c r="AC321" s="3">
        <f>628.6+(476.1-232.4)+(-1.60293+(-1.214055--0.59262))+0-169.8--0.432989999999975</f>
        <v>700.70862499999998</v>
      </c>
      <c r="AD321" s="2">
        <v>966.40000000000032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634.1+(483.2-289.5)+(-0.323391+(-0.246432--0.147645))+0-173.8--0.0886379999999824</f>
        <v>653.66645999999992</v>
      </c>
      <c r="G322" s="3">
        <f>634.7+(449.7-277.4)+(0+(0-0))+0-171.9-0</f>
        <v>635.1</v>
      </c>
      <c r="H322" s="3">
        <f>634.1+(486-329.6)+(0+(0-0))+0-170.7-0</f>
        <v>619.79999999999995</v>
      </c>
      <c r="I322" s="3">
        <f>636.1+(517.4-371.5)+(0+(0-0))+0-166.4-0</f>
        <v>615.6</v>
      </c>
      <c r="J322" s="3">
        <f>632.6+(459.6-304.3)+(1.290504+(0.937584-0.620772))+0-168.4-0.343535999999993</f>
        <v>620.76378000000011</v>
      </c>
      <c r="K322" s="3">
        <f>631.3+(486.8-314.3)+(0.965889+(0.744804-0.480879))+0-167.8-0.25673400000001</f>
        <v>636.97307999999998</v>
      </c>
      <c r="L322" s="3">
        <f>625.3+(480.7-271.1)+(0.637806+(0.490314-0.276522))+0-161-0.164220000000026</f>
        <v>674.58737799999983</v>
      </c>
      <c r="M322" s="3">
        <f>649.3+(503.8-265)+(-0.662286+(-0.513876--0.2703))+0-167.5--0.170850000000027</f>
        <v>719.86498799999993</v>
      </c>
      <c r="N322" s="3">
        <f>647.3+(485.5-191.6)+(-0.990369+(-0.742815--0.293148))+0-169.1--0.25872300000001</f>
        <v>770.91868699999998</v>
      </c>
      <c r="O322" s="3">
        <f>648.2+(504.2-186.8)+(0.330582+(0.257142-0.095268))+0-165.5-0.0844049999999832</f>
        <v>800.50805100000002</v>
      </c>
      <c r="P322" s="3">
        <f>645.2+(525.5-192.5)+(0+(0-0))+0-165.9-0</f>
        <v>812.30000000000007</v>
      </c>
      <c r="Q322" s="3">
        <f>611.5+(557.7-184.9)+(0.311865+(0.284427-0.094299))+0-163-0.0831299999999835</f>
        <v>821.71886300000006</v>
      </c>
      <c r="R322" s="3">
        <f>614.2+(522.5-147.7)+(-1.56621+(-1.332375--0.376635))+0-169--0.430949999999975</f>
        <v>817.90899999999999</v>
      </c>
      <c r="S322" s="3">
        <f>618.8+(502-140.8)+(0+(0-0))+0-168.2-0</f>
        <v>811.8</v>
      </c>
      <c r="T322" s="3">
        <f>611+(496.5-140.2)+(-0.31161+(-0.253215--0.071502))+0-170.7--0.0870569999999827</f>
        <v>796.19373399999995</v>
      </c>
      <c r="U322" s="3">
        <f>637.4+(478.1-141.1)+(-1.62537+(-1.219155--0.359805))+0-168.9--0.430694999999976</f>
        <v>803.44597499999998</v>
      </c>
      <c r="V322" s="3">
        <f>618.3+(542.6-162.9)+(-0.945999+(-0.830178--0.249237))+0-166.3--0.25443900000001</f>
        <v>830.42749900000013</v>
      </c>
      <c r="W322" s="3">
        <f>573.7+(730.4-196.8)+(-0.292587+(-0.372504--0.100368))+0-170.1--0.0867509999999827</f>
        <v>936.72202799999991</v>
      </c>
      <c r="X322" s="3">
        <f>611.6+(770.7-214.3)+(-0.935748+(-1.179171--0.327879))+0-171.1--0.26178300000001</f>
        <v>995.37474300000008</v>
      </c>
      <c r="Y322" s="3">
        <f>614.4+(736.6-199)+(-1.880064+(-2.253996--0.60894))+0-171.1--0.52356600000002</f>
        <v>977.89844600000004</v>
      </c>
      <c r="Z322" s="3">
        <f>604.1+(693.6-186.6)+(-0.924273+(-1.061208--0.285498))+0-172.6--0.26407800000001</f>
        <v>937.06409499999995</v>
      </c>
      <c r="AA322" s="3">
        <f>583+(658.2-173.2)+(-1.18932+(-1.342728--0.353328))+0-174.5--0.355979999999992</f>
        <v>891.67725999999993</v>
      </c>
      <c r="AB322" s="3">
        <f>578.4+(607.3-167.7)+(-1.47492+(-1.548615--0.427635))+0-172.1--0.438854999999975</f>
        <v>843.74295499999994</v>
      </c>
      <c r="AC322" s="3">
        <f>578.7+(526-148.2)+(-0.590274+(-0.53652--0.151164))+0-171.8--0.175236000000027</f>
        <v>783.89960599999995</v>
      </c>
      <c r="AD322" s="2">
        <v>982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578.9+(486.7-145.2)+(-1.180956+(-0.992868--0.296208))+0-173.3--0.353531999999992</f>
        <v>745.57591599999989</v>
      </c>
      <c r="G323" s="3">
        <f>578+(460.7-146.7)+(-0.29478+(-0.234957--0.074817))+0-173.9--0.0886889999999824</f>
        <v>717.73376899999994</v>
      </c>
      <c r="H323" s="3">
        <f>579+(435.2-130.8)+(0+(0-0))+0-173.2-0</f>
        <v>710.2</v>
      </c>
      <c r="I323" s="3">
        <f>579+(455.6-156.2)+(0+(0-0))+0-173-0</f>
        <v>705.40000000000009</v>
      </c>
      <c r="J323" s="3">
        <f>579+(466.9-172.5)+(0.88587+(0.714357-0.263925))+0-173.1-0.26484300000001</f>
        <v>701.37145899999996</v>
      </c>
      <c r="K323" s="3">
        <f>579.6+(518-200.5)+(-0.886788+(-0.79254--0.306765))+0-173.7--0.26576100000001</f>
        <v>722.29319799999996</v>
      </c>
      <c r="L323" s="3">
        <f>578.7+(621.1-243.9)+(0+(0-0))+0-169-0</f>
        <v>786.90000000000009</v>
      </c>
      <c r="M323" s="3">
        <f>580.4+(641.6-219)+(0+(0-0))+0-173.9-0</f>
        <v>829.1</v>
      </c>
      <c r="N323" s="3">
        <f>575.7+(656.2-187.3)+(0+(0-0))+0-175.9-0</f>
        <v>868.70000000000016</v>
      </c>
      <c r="O323" s="3">
        <f>584.8+(649.3-172.5)+(0+(0-0))+0-178.4-0</f>
        <v>883.19999999999993</v>
      </c>
      <c r="P323" s="3">
        <f>587.3+(654.1-160.7)+(-0.898569+(-1.000773--0.245871))+0-173.4--0.26530200000001</f>
        <v>905.91183100000001</v>
      </c>
      <c r="Q323" s="3">
        <f>588.1+(650.8-156.6)+(-0.599862+(-0.663816--0.159732))+0-174.5--0.177990000000028</f>
        <v>906.87404400000003</v>
      </c>
      <c r="R323" s="3">
        <f>583.3+(643.1-163.8)+(-0.892449+(-0.983943--0.250614))+0-163.8--0.25061400000001</f>
        <v>897.42483599999991</v>
      </c>
      <c r="S323" s="3">
        <f>579.5+(628.1-156.6)+(-0.886635+(-0.960993--0.239598))+0-174.3--0.26667900000001</f>
        <v>875.3586489999999</v>
      </c>
      <c r="T323" s="3">
        <f>583.8+(603.5-133.4)+(-0.297738+(-0.307785--0.068034))+0-179.6--0.0915959999999818</f>
        <v>873.854107</v>
      </c>
      <c r="U323" s="3">
        <f>583.7+(622.3-161.8)+(-0.595374+(-0.634746--0.165036))+0-176.6--0.180132000000028</f>
        <v>866.71504800000002</v>
      </c>
      <c r="V323" s="3">
        <f>583.8+(662.8-185.9)+(-0.893214+(-1.014084--0.284427))+0-173.2--0.26499600000001</f>
        <v>886.14212499999974</v>
      </c>
      <c r="W323" s="3">
        <f>588.4+(808.6-234.4)+(0+(0-0))+0-170-0</f>
        <v>992.59999999999991</v>
      </c>
      <c r="X323" s="3">
        <f>600.7+(847.3-222.5)+(0+(0-0))+0-174.9-0</f>
        <v>1050.5999999999999</v>
      </c>
      <c r="Y323" s="3">
        <f>605.7+(816.8-212.5)+(-1.853442+(-2.499408--0.65025))+0-181.1--0.554166000000021</f>
        <v>1025.7515660000001</v>
      </c>
      <c r="Z323" s="3">
        <f>607.9+(768.8-201.8)+(0+(0-0))+0-181.7-0</f>
        <v>993.2</v>
      </c>
      <c r="AA323" s="3">
        <f>598.2+(750.9-213.2)+(-0.305082+(-0.382959--0.108732))+0-189.6--0.0966959999999808</f>
        <v>945.81738700000005</v>
      </c>
      <c r="AB323" s="3">
        <f>582.9+(689.8-185.6)+(-0.594558+(-0.703596--0.189312))+0-195.8--0.199716000000031</f>
        <v>890.39087399999994</v>
      </c>
      <c r="AC323" s="3">
        <f>583.2+(608.1-158.3)+(-0.892296+(-0.930393--0.242199))+0-199.8--0.305694000000012</f>
        <v>831.92520400000001</v>
      </c>
      <c r="AD323" s="2">
        <v>1040.8999999999999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583.4+(532.6-141.9)+(-1.48767+(-1.35813--0.361845))+0-181.4--0.462569999999974</f>
        <v>790.67861500000004</v>
      </c>
      <c r="G324" s="3">
        <f>587.4+(475.3-139.8)+(-1.198296+(-0.969612--0.285192))+0-166.9--0.340475999999993</f>
        <v>754.45776000000001</v>
      </c>
      <c r="H324" s="3">
        <f>588.5+(445.8-118.5)+(-0.300135+(-0.227358--0.060435))+0-169--0.0861899999999829</f>
        <v>746.41913199999999</v>
      </c>
      <c r="I324" s="3">
        <f>590.6+(435.1-108.4)+(0+(0-0))+0-179.5-0</f>
        <v>737.80000000000007</v>
      </c>
      <c r="J324" s="3">
        <f>589.6+(469.1-138.3)+(0+(0-0))+0-181.7-0</f>
        <v>738.7</v>
      </c>
      <c r="K324" s="3">
        <f>588.1+(542.4-185.4)+(0.899793+(0.829872-0.283662))+0-180.7-0.27647100000001</f>
        <v>765.56953200000009</v>
      </c>
      <c r="L324" s="3">
        <f>591.8+(640.7-221.7)+(0+(0-0))+0-178.3-0</f>
        <v>832.5</v>
      </c>
      <c r="M324" s="3">
        <f>587.1+(688.1-218.6)+(1.197684+(1.403724-0.445944))+0-179.8-0.366791999999992</f>
        <v>878.58867199999986</v>
      </c>
      <c r="N324" s="3">
        <f>575.2+(721.5-211.3)+(0+(0-0))+0-174.7-0</f>
        <v>910.7</v>
      </c>
      <c r="O324" s="3">
        <f>569+(737.4-198.9)+(0+(0-0))+0-167.2-0</f>
        <v>940.3</v>
      </c>
      <c r="P324" s="3">
        <f>560.5+(757.6-203.9)+(-0.57171+(-0.772752--0.207978))+0-158.6--0.161772000000025</f>
        <v>954.62528799999995</v>
      </c>
      <c r="Q324" s="3">
        <f>557.5+(743.3-183.7)+(-0.56865+(-0.758166--0.187374))+0-157--0.160140000000025</f>
        <v>959.12069800000006</v>
      </c>
      <c r="R324" s="3">
        <f>553.5+(726.4-179.2)+(-1.69371+(-2.222784--0.548352))+0-159.7--0.488682000000018</f>
        <v>938.12054000000001</v>
      </c>
      <c r="S324" s="3">
        <f>550.9+(682.8-153.1)+(-0.842877+(-1.044684--0.234243))+0-156.5--0.239445000000009</f>
        <v>922.68612700000006</v>
      </c>
      <c r="T324" s="3">
        <f>549+(669.6-144.1)+(-1.39995+(-1.70748--0.367455))+0-152.3--0.388364999999978</f>
        <v>919.84839000000011</v>
      </c>
      <c r="U324" s="3">
        <f>546.8+(692-172.7)+(-0.278868+(-0.35292--0.088077))+0-145.9--0.0744089999999852</f>
        <v>919.73069799999985</v>
      </c>
      <c r="V324" s="3">
        <f>546.9+(739.1-191.9)+(-0.278919+(-0.376941--0.097869))+0-158.7--0.0809369999999839</f>
        <v>934.92294599999991</v>
      </c>
      <c r="W324" s="3">
        <f>548.5+(880.1-248.2)+(-0.839205+(-1.346553--0.379746))+0-162.8--0.249084000000009</f>
        <v>1016.0430720000002</v>
      </c>
      <c r="X324" s="3">
        <f>557.6+(902.5-220.8)+(-1.137504+(-1.8411--0.450432))+0-169.4--0.345575999999993</f>
        <v>1067.717404</v>
      </c>
      <c r="Y324" s="3">
        <f>565.8+(876.7-210.8)+(-0.865674+(-1.341351--0.322524))+0-183.3--0.280449000000011</f>
        <v>1046.7959480000002</v>
      </c>
      <c r="Z324" s="3">
        <f>567.5+(826.6-195.9)+(-0.57885+(-0.843132--0.199818))+0-185.4--0.18910800000003</f>
        <v>1011.7669440000001</v>
      </c>
      <c r="AA324" s="3">
        <f>570.8+(794.3-209.5)+(-0.582216+(-0.810186--0.21369))+0-171.6--0.175032000000027</f>
        <v>982.99631999999997</v>
      </c>
      <c r="AB324" s="3">
        <f>570.3+(703.8-183.4)+(-0.872559+(-1.076814--0.280602))+0-169.8--0.25979400000001</f>
        <v>919.49102299999981</v>
      </c>
      <c r="AC324" s="3">
        <f>574.8+(589.3-134.9)+(-1.172592+(-1.202172--0.275196))+0-172--0.350879999999992</f>
        <v>855.45131199999969</v>
      </c>
      <c r="AD324" s="2">
        <v>1068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577.2+(531.5-117.5)+(-0.883116+(-0.813195--0.179775))+0-175.2--0.26805600000001</f>
        <v>814.75152000000014</v>
      </c>
      <c r="G325" s="3">
        <f>580.3+(493.5-91.7)+(-1.479765+(-1.258425--0.233835))+0-187.4--0.477869999999973</f>
        <v>792.67351499999984</v>
      </c>
      <c r="H325" s="3">
        <f>580+(546-158.8)+(-0.8874+(-0.83538--0.242964))+0-182.6--0.279378000000011</f>
        <v>783.39956200000006</v>
      </c>
      <c r="I325" s="3">
        <f>578+(527.6-156.2)+(-0.88434+(-0.807228--0.238986))+0-181--0.27693000000001</f>
        <v>767.22434800000008</v>
      </c>
      <c r="J325" s="3">
        <f>581.2+(534.8-163.9)+(-0.296412+(-0.272748--0.083589))+0-175.9--0.0897089999999822</f>
        <v>775.80413799999997</v>
      </c>
      <c r="K325" s="3">
        <f>581.3+(586.1-203.8)+(0.592926+(0.597822-0.207876))+0-171.5-0.174930000000027</f>
        <v>792.90794199999993</v>
      </c>
      <c r="L325" s="3">
        <f>579.4+(662.1-243.1)+(-0.886482+(-1.013013--0.371943))+0-170.3--0.26055900000001</f>
        <v>826.83300699999995</v>
      </c>
      <c r="M325" s="3">
        <f>577.4+(744-250.7)+(-0.294474+(-0.37944--0.127857))+0-173.8--0.0886379999999824</f>
        <v>896.44258100000002</v>
      </c>
      <c r="N325" s="3">
        <f>569.2+(789.2-221.8)+(0+(0-0))+0-184.7-0</f>
        <v>951.90000000000009</v>
      </c>
      <c r="O325" s="3">
        <f>560.9+(838.3-230.6)+(0.572118+(0.855066-0.235212))+0-186-0.18972000000003</f>
        <v>983.60225199999991</v>
      </c>
      <c r="P325" s="3">
        <f>552.6+(833.4-225.7)+(0.281826+(0.425034-0.115107))+0-182.6-0.0931259999999815</f>
        <v>978.1986270000001</v>
      </c>
      <c r="Q325" s="3">
        <f>575.8+(796.6-223.7)+(-0.587316+(-0.812532--0.228174))+0-175.5--0.179010000000028</f>
        <v>972.20733600000017</v>
      </c>
      <c r="R325" s="3">
        <f>572.4+(726.2-176.3)+(-1.751544+(-2.222172--0.539478))+0-170.9--0.52295400000002</f>
        <v>948.48871600000018</v>
      </c>
      <c r="S325" s="3">
        <f>569.3+(682-148)+(-1.161372+(-1.39128--0.30192))+0-180.6--0.368423999999992</f>
        <v>920.81769199999997</v>
      </c>
      <c r="T325" s="3">
        <f>562.9+(651.4-134.9)+(0+(0-0))+0-177.4-0</f>
        <v>902.00000000000011</v>
      </c>
      <c r="U325" s="3">
        <f>564.9+(686.1-162.8)+(-0.864297+(-1.049733--0.249084))+0-179--0.27387000000001</f>
        <v>907.80892399999971</v>
      </c>
      <c r="V325" s="3">
        <f>565.8+(759.9-215.2)+(-0.577116+(-0.775098--0.219504))+0-184.9--0.188598000000029</f>
        <v>924.655888</v>
      </c>
      <c r="W325" s="3">
        <f>574+(833.3-237.5)+(0.87822+(1.274949-0.363375))+0-183.8-0.281214000000011</f>
        <v>987.50858000000005</v>
      </c>
      <c r="X325" s="3">
        <f>583.8+(839.7-211.7)+(-0.595476+(-0.856494--0.215934))+0-186.3--0.19002600000003</f>
        <v>1024.45399</v>
      </c>
      <c r="Y325" s="3">
        <f>590.5+(794.2-202.4)+(-0.60231+(-0.810084--0.206448))+0-186.1--0.18982200000003</f>
        <v>995.18387600000017</v>
      </c>
      <c r="Z325" s="3">
        <f>593.8+(737.5-186.4)+(-0.908514+(-1.128375--0.285192))+0-186.9--0.285957000000011</f>
        <v>956.53426000000024</v>
      </c>
      <c r="AA325" s="3">
        <f>594.1+(700.6-172.3)+(-0.908973+(-1.071918--0.263619))+0-189--0.289170000000011</f>
        <v>931.97189800000001</v>
      </c>
      <c r="AB325" s="3">
        <f>593.8+(636.2-152.1)+(0.302838+(0.324462-0.077571))+0-184.1-0.0938909999999813</f>
        <v>894.25583800000015</v>
      </c>
      <c r="AC325" s="3">
        <f>599.7+(575.5-148.3)+(-0.611694+(-0.58701--0.151266))+0-184.3--0.187986000000029</f>
        <v>841.7405480000001</v>
      </c>
      <c r="AD325" s="2">
        <v>1039.3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599.6+(534.1-142.2)+(-0.305796+(-0.272391--0.072522))+0-188.8--0.0962879999999808</f>
        <v>802.29062299999987</v>
      </c>
      <c r="G326" s="3">
        <f>605.4+(471.5-118.5)+(-0.308754+(-0.240465--0.060435))+0-192.6--0.0982259999999805</f>
        <v>765.4094419999999</v>
      </c>
      <c r="H326" s="3">
        <f>610.5+(474.3-139.2)+(-0.311355+(-0.241893--0.070992))+0-189.6--0.0966959999999808</f>
        <v>755.61443999999995</v>
      </c>
      <c r="I326" s="3">
        <f>613.4+(470.7-151.5)+(0.312834+(0.240057-0.077265))+0-184.6-0.0941459999999813</f>
        <v>748.3814799999999</v>
      </c>
      <c r="J326" s="3">
        <f>615.7+(484.1-159.9)+(-0.942021+(-0.740673--0.244647))+0-185.5--0.283815000000011</f>
        <v>753.24576800000011</v>
      </c>
      <c r="K326" s="3">
        <f>611.9+(511-173.4)+(0+(0-0))+0-185.6-0</f>
        <v>763.9</v>
      </c>
      <c r="L326" s="3">
        <f>614+(562.5-192)+(-1.87884+(-1.72125--0.58752))+0-190.1--0.581706000000022</f>
        <v>791.96913600000005</v>
      </c>
      <c r="M326" s="3">
        <f>609.1+(617-197.9)+(-0.621282+(-0.62934--0.201858))+0-190.4--0.19420800000003</f>
        <v>836.94544400000018</v>
      </c>
      <c r="N326" s="3">
        <f>597.8+(703-230.2)+(0.609756+(0.71706-0.234804))+0-194.6-0.198492000000031</f>
        <v>876.89351999999997</v>
      </c>
      <c r="O326" s="3">
        <f>591.6+(735.2-222.2)+(1.50858+(1.87476-0.56661))+0-193.1-0.492404999999972</f>
        <v>913.82432499999993</v>
      </c>
      <c r="P326" s="3">
        <f>584.6+(753.8-219)+(0.596292+(0.768876-0.22338))+0-189-0.19278000000003</f>
        <v>931.34900799999991</v>
      </c>
      <c r="Q326" s="3">
        <f>580.7+(754.2-221.4)+(-1.184628+(-1.538568--0.451656))+0-183.6--0.374543999999992</f>
        <v>928.00300400000003</v>
      </c>
      <c r="R326" s="3">
        <f>581.1+(738.1-216.4)+(0+(0-0))+0-184.9-0</f>
        <v>917.9000000000002</v>
      </c>
      <c r="S326" s="3">
        <f>578.9+(714.6-205.4)+(-0.590478+(-0.728892--0.209508))+0-188.9--0.19267800000003</f>
        <v>898.28281599999991</v>
      </c>
      <c r="T326" s="3">
        <f>577.2+(693.8-197.4)+(0.883116+(1.061514-0.302022))+0-190.3-0.291159000000011</f>
        <v>884.65144900000007</v>
      </c>
      <c r="U326" s="3">
        <f>576.9+(689.5-201.2)+(-0.588438+(-0.70329--0.205224))+0-188--0.19176000000003</f>
        <v>876.30525599999999</v>
      </c>
      <c r="V326" s="3">
        <f>578.8+(690.2-197.3)+(0.295188+(0.352002-0.100623))+0-189.3-0.0965429999999808</f>
        <v>882.85002400000019</v>
      </c>
      <c r="W326" s="3">
        <f>583.9+(796.6-220.6)+(-0.595578+(-0.812532--0.225012))+0-189.6--0.19339200000003</f>
        <v>969.31029400000011</v>
      </c>
      <c r="X326" s="3">
        <f>586.4+(809.9-186.7)+(0.598128+(0.826098-0.190434))+0-189.5-0.19329000000003</f>
        <v>1021.1405019999999</v>
      </c>
      <c r="Y326" s="3">
        <f>593.4+(772.3-179.3)+(-0.907902+(-1.181619--0.274329))+0-191--0.292230000000011</f>
        <v>993.87703800000008</v>
      </c>
      <c r="Z326" s="3">
        <f>596.6+(745.1-183.9)+(-0.912798+(-1.140003--0.281367))+0-189.6--0.290088000000011</f>
        <v>966.71865400000013</v>
      </c>
      <c r="AA326" s="3">
        <f>605+(672.2-163)+(-1.54275+(-1.71411--0.41565))+0-187.5--0.478124999999973</f>
        <v>924.33691499999998</v>
      </c>
      <c r="AB326" s="3">
        <f>607.5+(631.1-158.6)+(-0.309825+(-0.321861--0.080886))+0-190.9--0.0973589999999806</f>
        <v>888.64655900000002</v>
      </c>
      <c r="AC326" s="3">
        <f>599.5+(576.5-148.3)+(-1.528725+(-1.470075--0.378165))+0-192.3--0.490364999999972</f>
        <v>833.2697300000001</v>
      </c>
      <c r="AD326" s="2">
        <v>1009.8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614.3+(510.3-132.8)+(-0.939879+(-0.780759--0.203184))+0-190.2--0.291006000000011</f>
        <v>800.3735519999999</v>
      </c>
      <c r="G327" s="3">
        <f>621.3+(489-141.9)+(-1.584315+(-1.24695--0.361845))+0-188.3--0.480164999999973</f>
        <v>778.11074499999995</v>
      </c>
      <c r="H327" s="3">
        <f>625.1+(461.2-134.9)+(-0.318801+(-0.235212--0.068799))+0-189.3--0.0965429999999808</f>
        <v>761.71132899999986</v>
      </c>
      <c r="I327" s="3">
        <f>641.8+(433.7-134.5)+(-0.327318+(-0.221187--0.068595))+0-190.8--0.0973079999999806</f>
        <v>749.81739800000003</v>
      </c>
      <c r="J327" s="3">
        <f>639.4+(443.4-142.1)+(-0.652188+(-0.452268--0.144942))+0-192.7--0.196554000000031</f>
        <v>747.23703999999987</v>
      </c>
      <c r="K327" s="3">
        <f>638.9+(504.3-183.2)+(1.303356+(1.028772-0.373728))+0-191.3-0.390251999999992</f>
        <v>770.268148</v>
      </c>
      <c r="L327" s="3">
        <f>641.8+(612-237.9)+(-0.327318+(-0.31212--0.121329))+0-190.5--0.0971549999999807</f>
        <v>824.97904599999993</v>
      </c>
      <c r="M327" s="3">
        <f>637.6+(712.6-264.9)+(0.325176+(0.363426-0.135099))+0-194.3-0.0990929999999803</f>
        <v>891.45441000000039</v>
      </c>
      <c r="N327" s="3">
        <f>631.1+(724.4-220.1)+(-0.643722+(-0.738888--0.224502))+0-193.9--0.197778000000031</f>
        <v>940.53967000000011</v>
      </c>
      <c r="O327" s="3">
        <f>619+(735.4-195.2)+(0.63138+(0.750108-0.199104))+0-187.8-0.19155600000003</f>
        <v>972.39082800000006</v>
      </c>
      <c r="P327" s="3">
        <f>615.4+(743-208.8)+(-1.56927+(-1.89465--0.53244))+0-184.3--0.469964999999973</f>
        <v>962.83848499999999</v>
      </c>
      <c r="Q327" s="3">
        <f>608.6+(720.8-193.8)+(0.310386+(0.367608-0.098838))+0-183-0.0933299999999814</f>
        <v>953.08582599999988</v>
      </c>
      <c r="R327" s="3">
        <f>602.5+(708.6-189.9)+(-0.307275+(-0.361386--0.096849))+0-178.6--0.0910859999999819</f>
        <v>942.11927400000013</v>
      </c>
      <c r="S327" s="3">
        <f>598.8+(692.6-193)+(0.305388+(0.353226-0.09843))+0-171.6-0.0875159999999826</f>
        <v>927.27266800000007</v>
      </c>
      <c r="T327" s="3">
        <f>596.9+(681.4-188.4)+(0+(0-0))+0-171.3-0</f>
        <v>918.60000000000014</v>
      </c>
      <c r="U327" s="3">
        <f>596.2+(683-188.2)+(0+(0-0))+0-174-0</f>
        <v>917</v>
      </c>
      <c r="V327" s="3">
        <f>598.2+(701.7-199.1)+(-0.305082+(-0.357867--0.101541))+0-178.5--0.0910349999999819</f>
        <v>921.82962700000019</v>
      </c>
      <c r="W327" s="3">
        <f>600.1+(764.6-209.3)+(0.918153+(1.169838-0.320229))+0-180.5-0.27616500000001</f>
        <v>976.39159700000005</v>
      </c>
      <c r="X327" s="3">
        <f>604.4+(787.2-175.7)+(-0.924732+(-1.204416--0.268821))+0-187.2--0.286416000000011</f>
        <v>1027.1260889999999</v>
      </c>
      <c r="Y327" s="3">
        <f>608+(756.6-168.3)+(-1.24032+(-1.543464--0.343332))+0-193.4--0.394535999999992</f>
        <v>1000.8540839999999</v>
      </c>
      <c r="Z327" s="3">
        <f>615.6+(696.2-152.3)+(-0.627912+(-0.710124--0.155346))+0-197.3--0.201246000000031</f>
        <v>961.21855600000004</v>
      </c>
      <c r="AA327" s="3">
        <f>621.8+(638.3-132.5)+(-0.634236+(-0.651066--0.13515))+0-196.4--0.200328000000031</f>
        <v>930.25017600000001</v>
      </c>
      <c r="AB327" s="3">
        <f>625.8+(574.1-111.1)+(-0.319158+(-0.292791--0.056661))+0-192.6--0.0982259999999805</f>
        <v>895.74293799999987</v>
      </c>
      <c r="AC327" s="3">
        <f>628.9+(520.8-114.1)+(-1.603695+(-1.32804--0.290955))+0-188.1--0.479654999999973</f>
        <v>845.33887499999992</v>
      </c>
      <c r="AD327" s="2">
        <v>1027.1000000000001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626.6+(554.1-177.5)+(-1.278264+(-1.130364--0.3621))+0-185.9--0.379235999999992</f>
        <v>815.63270800000009</v>
      </c>
      <c r="G328" s="3">
        <f>631.1+(570.1-234)+(0.643722+(0.581502-0.23868))+0-181.2-0.184824000000029</f>
        <v>786.80172000000005</v>
      </c>
      <c r="H328" s="3">
        <f>635.7+(587.2-267.3)+(-0.324207+(-0.299472--0.136323))+0-183.2--0.0934319999999814</f>
        <v>772.00607600000023</v>
      </c>
      <c r="I328" s="3">
        <f>634.6+(550.1-231.9)+(0.323646+(0.280551-0.118269))+0-185-0.0943499999999812</f>
        <v>768.19157800000005</v>
      </c>
      <c r="J328" s="3">
        <f>636.3+(560-249.9)+(-0.324513+(-0.2856--0.127449))+0-184.3--0.0939929999999813</f>
        <v>761.71132899999998</v>
      </c>
      <c r="K328" s="3">
        <f>634.8+(589.1-262.6)+(0.971244+(0.901323-0.401778))+0-183.8-0.281214000000011</f>
        <v>778.68957499999999</v>
      </c>
      <c r="L328" s="3">
        <f>635.3+(599-240.1)+(0+(0-0))+0-182.8-0</f>
        <v>811.39999999999986</v>
      </c>
      <c r="M328" s="3">
        <f>631.9+(615.4-209.3)+(0.322269+(0.313854-0.106743))+0-184.8-0.0942479999999813</f>
        <v>853.635132</v>
      </c>
      <c r="N328" s="3">
        <f>625.6+(664.7-199.3)+(0.319056+(0.338997-0.101643))+0-189.9-0.0968489999999807</f>
        <v>901.55956099999992</v>
      </c>
      <c r="O328" s="3">
        <f>620.9+(649.9-167.2)+(0+(0-0))+0-185.4-0</f>
        <v>918.19999999999993</v>
      </c>
      <c r="P328" s="3">
        <f>615.6+(661.6-165.7)+(-0.313956+(-0.337416--0.084507))+0-181.8--0.0927179999999816</f>
        <v>929.22585300000003</v>
      </c>
      <c r="Q328" s="3">
        <f>610.1+(663.6-164.9)+(-0.311151+(-0.338436--0.084099))+0-180.1--0.0918509999999817</f>
        <v>928.22636300000022</v>
      </c>
      <c r="R328" s="3">
        <f>607.1+(699.4-189.3)+(-0.309621+(-0.356694--0.096543))+0-180.1--0.0918509999999817</f>
        <v>936.62207899999999</v>
      </c>
      <c r="S328" s="3">
        <f>602.7+(676.3-185.3)+(0.307377+(0.344913-0.094503))+0-173.4-0.0884339999999824</f>
        <v>920.76935300000002</v>
      </c>
      <c r="T328" s="3">
        <f>600.2+(656.4-177.5)+(0.306102+(0.334764-0.090525))+0-171.6-0.0875159999999826</f>
        <v>907.96282499999984</v>
      </c>
      <c r="U328" s="3">
        <f>599.3+(644.6-177.7)+(-1.222572+(-1.314984--0.362508))+0-166.9--0.340475999999993</f>
        <v>897.46542799999997</v>
      </c>
      <c r="V328" s="3">
        <f>601+(671.6-190.1)+(0.91953+(1.027548-0.290853))+0-169.2-0.25887600000001</f>
        <v>914.69734899999992</v>
      </c>
      <c r="W328" s="3">
        <f>603.5+(719.5-174.8)+(0.307785+(0.366945-0.089148))+0-177.7-0.090626999999982</f>
        <v>970.994955</v>
      </c>
      <c r="X328" s="3">
        <f>608.6+(787.1-181.2)+(0+(0-0))+0-183.5-0</f>
        <v>1031</v>
      </c>
      <c r="Y328" s="3">
        <f>613+(746.2-173.7)+(-0.93789+(-1.141686--0.265761))+0-175.9--0.26912700000001</f>
        <v>1008.0553120000001</v>
      </c>
      <c r="Z328" s="3">
        <f>621.8+(698.3-161.5)+(-1.268472+(-1.424532--0.32946))+0-177.6--0.362303999999992</f>
        <v>978.99875999999983</v>
      </c>
      <c r="AA328" s="3">
        <f>624.9+(657.8-144)+(-1.593495+(-1.67739--0.3672))+0-183--0.466649999999973</f>
        <v>953.26296499999978</v>
      </c>
      <c r="AB328" s="3">
        <f>622.8+(581.1-120.3)+(-0.317628+(-0.296361--0.061353))+0-177.4--0.090473999999982</f>
        <v>905.73783800000001</v>
      </c>
      <c r="AC328" s="3">
        <f>626.4+(536.3-137.7)+(-0.958392+(-0.820539--0.210681))+0-175.7--0.26882100000001</f>
        <v>848.00057099999992</v>
      </c>
      <c r="AD328" s="2">
        <v>1014.1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628.6+(507.4-159.3)+(0+(0-0))+0-175.7-0</f>
        <v>801</v>
      </c>
      <c r="G329" s="3">
        <f>630.1+(464.6-145.2)+(-0.321351+(-0.236946--0.074052))+0-176.3--0.0899129999999821</f>
        <v>772.80566799999997</v>
      </c>
      <c r="H329" s="3">
        <f>633.3+(472.1-169.2)+(0+(0-0))+0-169.2-0</f>
        <v>767</v>
      </c>
      <c r="I329" s="3">
        <f>631.5+(442.9-144.7)+(-0.322065+(-0.225879--0.073797))+0-169.7--0.0865469999999828</f>
        <v>759.61240000000009</v>
      </c>
      <c r="J329" s="3">
        <f>631.3+(449.4-142.3)+(0+(0-0))+0-172.5-0</f>
        <v>765.89999999999986</v>
      </c>
      <c r="K329" s="3">
        <f>631.3+(511.4-183)+(0.643926+(0.521628-0.18666))+0-172.9-0.176358000000028</f>
        <v>787.60253599999987</v>
      </c>
      <c r="L329" s="3">
        <f>631.3+(618.3-220)+(-0.643926+(-0.630666--0.2244))+0-172.8--0.176256000000028</f>
        <v>855.92606400000011</v>
      </c>
      <c r="M329" s="3">
        <f>629.1+(685.4-225.4)+(-0.320841+(-0.349554--0.114954))+0-175.8--0.0896579999999822</f>
        <v>912.83421699999997</v>
      </c>
      <c r="N329" s="3">
        <f>601.8+(675.2-172.9)+(-0.613836+(-0.688704--0.176358))+0-172.2--0.175644000000027</f>
        <v>930.94946199999993</v>
      </c>
      <c r="O329" s="3">
        <f>585.1+(691.2-147.7)+(-1.492005+(-1.76256--0.376635))+0-170.4--0.434519999999975</f>
        <v>955.75658999999985</v>
      </c>
      <c r="P329" s="3">
        <f>602.8+(675.1-138.6)+(-0.922284+(-1.032903--0.212058))+0-167.6--0.25642800000001</f>
        <v>970.21329900000001</v>
      </c>
      <c r="Q329" s="3">
        <f>604.9+(669.1-127.9)+(-1.542495+(-1.706205--0.326145))+0-171.3--0.436814999999975</f>
        <v>972.31425999999988</v>
      </c>
      <c r="R329" s="3">
        <f>598.6+(647.4-127.6)+(-0.610572+(-0.660348--0.130152))+0-163.8--0.167076000000026</f>
        <v>953.62630800000022</v>
      </c>
      <c r="S329" s="3">
        <f>598.3+(651.2-147.7)+(-1.525665+(-1.66056--0.376635))+0-165.5--0.422024999999976</f>
        <v>933.91243499999985</v>
      </c>
      <c r="T329" s="3">
        <f>592.5+(648.4-150.9)+(-0.302175+(-0.330684--0.076959))+0-163.3--0.0832829999999834</f>
        <v>926.22738299999992</v>
      </c>
      <c r="U329" s="3">
        <f>591.9+(656.4-171.1)+(0.301869+(0.334764-0.087261))+0-152.7-0.0778769999999845</f>
        <v>924.97149499999978</v>
      </c>
      <c r="V329" s="3">
        <f>594.4+(687.3-178.4)+(-0.606288+(-0.701046--0.181968))+0-154.9--0.157998000000025</f>
        <v>947.43263200000001</v>
      </c>
      <c r="W329" s="3">
        <f>594.2+(822.2-228.9)+(-0.303042+(-0.419322--0.116739))+0-159.9--0.0815489999999838</f>
        <v>1027.075924</v>
      </c>
      <c r="X329" s="3">
        <f>603.2+(872.2-224.7)+(0+(0-0))+0-166.6-0</f>
        <v>1084.1000000000001</v>
      </c>
      <c r="Y329" s="3">
        <f>607.2+(836-219.4)+(-0.309672+(-0.42636--0.111894))+0-165.9--0.0846089999999832</f>
        <v>1057.3604710000002</v>
      </c>
      <c r="Z329" s="3">
        <f>607.2+(797.2-202)+(0+(0-0))+0-176.7-0</f>
        <v>1025.7</v>
      </c>
      <c r="AA329" s="3">
        <f>611.3+(741.1-185.4)+(-0.935289+(-1.133883--0.283662))+0-175.5--0.26851500000001</f>
        <v>989.98300500000005</v>
      </c>
      <c r="AB329" s="3">
        <f>616.4+(695.7-193.1)+(-1.257456+(-1.419228--0.393924))+0-178--0.363119999999992</f>
        <v>939.08035999999993</v>
      </c>
      <c r="AC329" s="3">
        <f>617.3+(618.7-178.6)+(-1.574115+(-1.577685--0.45543))+0-177.9--0.453644999999974</f>
        <v>877.25727500000016</v>
      </c>
      <c r="AD329" s="2">
        <v>1067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618.9+(546.7-163.5)+(-0.315639+(-0.278817--0.083385))+0-174.8--0.0891479999999823</f>
        <v>826.87807700000008</v>
      </c>
      <c r="G330" s="3">
        <f>619.1+(502.4-149.2)+(-0.631482+(-0.512448--0.152184))+0-174.6--0.178092000000028</f>
        <v>796.88634599999989</v>
      </c>
      <c r="H330" s="3">
        <f>622.7+(503.1-170.7)+(0.317577+(0.256581-0.087057))+0-172.9-0.0881789999999825</f>
        <v>782.59892200000024</v>
      </c>
      <c r="I330" s="3">
        <f>620.4+(517.6-194.7)+(-0.632808+(-0.527952--0.198594))+0-174.5--0.177990000000028</f>
        <v>768.01582399999995</v>
      </c>
      <c r="J330" s="3">
        <f>622.9+(502.9-175.5)+(-0.635358+(-0.512958--0.17901))+0-172.4--0.175848000000027</f>
        <v>777.10654199999999</v>
      </c>
      <c r="K330" s="3">
        <f>619.8+(519.9-175.4)+(-0.948294+(-0.795447--0.268362))+0-172.2--0.26346600000001</f>
        <v>790.88808699999993</v>
      </c>
      <c r="L330" s="3">
        <f>622+(617.5-210.4)+(-0.95166+(-0.944775--0.321912))+0-169.1--0.25872300000001</f>
        <v>858.68419999999992</v>
      </c>
      <c r="M330" s="3">
        <f>620.4+(671.9-204)+(-0.949212+(-1.028007--0.31212))+0-172.5--0.26392500000001</f>
        <v>914.39882599999987</v>
      </c>
      <c r="N330" s="3">
        <f>613.8+(707.4-194.7)+(0+(0-0))+0-172.2-0</f>
        <v>954.3</v>
      </c>
      <c r="O330" s="3">
        <f>607.8+(707.5-185.7)+(-0.619956+(-0.72165--0.189414))+0-174.8--0.178296000000028</f>
        <v>953.82610399999999</v>
      </c>
      <c r="P330" s="3">
        <f>604.6+(713.1-186.1)+(-0.308346+(-0.363681--0.094911))+0-164.2--0.0837419999999833</f>
        <v>966.90662599999996</v>
      </c>
      <c r="Q330" s="3">
        <f>603.7+(730-186.5)+(-0.615774+(-0.7446--0.19023))+0-166.9--0.170238000000027</f>
        <v>979.30009400000017</v>
      </c>
      <c r="R330" s="3">
        <f>611.8+(716-190.2)+(-1.248072+(-1.46064--0.388008))+0-175.1--0.357203999999992</f>
        <v>960.53649999999993</v>
      </c>
      <c r="S330" s="3">
        <f>606.5+(716.3-179.6)+(0+(0-0))+0-181-0</f>
        <v>962.19999999999982</v>
      </c>
      <c r="T330" s="3">
        <f>607+(690.8-171.6)+(0.61914+(0.704616-0.175032))+0-183.9-0.187578000000029</f>
        <v>943.26114599999971</v>
      </c>
      <c r="U330" s="3">
        <f>613.3+(658.7-148.4)+(-0.312783+(-0.335937--0.075684))+0-178.7--0.0911369999999819</f>
        <v>944.41810099999987</v>
      </c>
      <c r="V330" s="3">
        <f>575.2+(698.4-142.1)+(-0.586704+(-0.712368--0.144942))+0-177.9--0.181458000000028</f>
        <v>952.62732800000015</v>
      </c>
      <c r="W330" s="3">
        <f>536.8+(840.4-188.7)+(0.821304+(1.285812-0.288711))+0-183-0.279990000000011</f>
        <v>1007.038415</v>
      </c>
      <c r="X330" s="3">
        <f>462.4+(967.7-195)+(-0.471648+(-0.987054--0.1989))+0-178.1--0.181662000000028</f>
        <v>1055.9218599999999</v>
      </c>
      <c r="Y330" s="3">
        <f>456.3+(925.9-174)+(-0.232713+(-0.472209--0.08874))+0-180.8--0.0922079999999817</f>
        <v>1026.8760260000001</v>
      </c>
      <c r="Z330" s="3">
        <f>421.8+(936.3-186.2)+(0+(0-0))+0-183.4-0</f>
        <v>988.49999999999989</v>
      </c>
      <c r="AA330" s="3">
        <f>413.1+(909.7-183.8)+(0+(0-0))+0-181.6-0</f>
        <v>957.4</v>
      </c>
      <c r="AB330" s="3">
        <f>517.9+(752.3-182.6)+(-1.848903+(-2.685711--0.651882))+0-177--0.631890000000003</f>
        <v>907.34915799999987</v>
      </c>
      <c r="AC330" s="3">
        <f>520.3+(654.1-152.6)+(-1.857471+(-2.335137--0.544782))+0-177.4--0.633318000000002</f>
        <v>841.385492</v>
      </c>
      <c r="AD330" s="2">
        <v>1051.5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567.7+(550.5-142.4)+(0+(0-0))+0-174.8-0</f>
        <v>801</v>
      </c>
      <c r="G331" s="3">
        <f>607.9+(529.8-181.3)+(0+(0-0))+0-177.2-0</f>
        <v>779.19999999999982</v>
      </c>
      <c r="H331" s="3">
        <f>609.4+(574.7-248.3)+(0.310794+(0.293097-0.126633))+0-175.5-0.0895049999999822</f>
        <v>760.68775299999993</v>
      </c>
      <c r="I331" s="3">
        <f>610.3+(572.3-258.3)+(0+(0-0))+0-174.9-0</f>
        <v>749.4</v>
      </c>
      <c r="J331" s="3">
        <f>612.9+(544.7-238.8)+(0+(0-0))+0-174.1-0</f>
        <v>744.69999999999993</v>
      </c>
      <c r="K331" s="3">
        <f>611.4+(535.2-206.8)+(0.623628+(0.545904-0.210936))+0-174.4-0.177888000000028</f>
        <v>766.18070799999987</v>
      </c>
      <c r="L331" s="3">
        <f>609.5+(569.9-187.4)+(0+(0-0))+0-172.9-0</f>
        <v>819.1</v>
      </c>
      <c r="M331" s="3">
        <f>605.4+(630-181.1)+(-0.617508+(-0.6426--0.184722))+0-175--0.178500000000028</f>
        <v>878.40311399999996</v>
      </c>
      <c r="N331" s="3">
        <f>598.6+(686.9-189.2)+(0.610572+(0.700638-0.192984))+0-168.9-0.172278000000027</f>
        <v>928.34594800000002</v>
      </c>
      <c r="O331" s="3">
        <f>644.3+(646-172.9)+(-1.642965+(-1.6473--0.440895))+0-173.9--0.443444999999975</f>
        <v>941.0940750000002</v>
      </c>
      <c r="P331" s="3">
        <f>723+(599.9-192.5)+(-0.36873+(-0.305949--0.098175))+0-179--0.0912899999999818</f>
        <v>950.91478599999994</v>
      </c>
      <c r="Q331" s="3">
        <f>722.5+(618.1-196.9)+(-1.105425+(-0.945693--0.301257))+0-184.7--0.282591000000011</f>
        <v>957.53273000000002</v>
      </c>
      <c r="R331" s="3">
        <f>721.7+(626.4-211.8)+(-0.368067+(-0.319464--0.108018))+0-187.6--0.095675999999981</f>
        <v>948.21616300000005</v>
      </c>
      <c r="S331" s="3">
        <f>723.6+(595.2-203)+(-0.738072+(-0.607104--0.20706))+0-182.8--0.186456000000029</f>
        <v>932.04834000000017</v>
      </c>
      <c r="T331" s="3">
        <f>716.4+(589.1-212.2)+(0.730728+(0.600882-0.216444))+0-184.5-0.188190000000029</f>
        <v>909.72697599999992</v>
      </c>
      <c r="U331" s="3">
        <f>718.4+(565.2-226.5)+(-0.366384+(-0.288252--0.115515))+0-185.2--0.0944519999999812</f>
        <v>871.45533099999977</v>
      </c>
      <c r="V331" s="3">
        <f>723.7+(551.3-201.6)+(-1.845435+(-1.405815--0.51408))+0-187.7--0.478634999999973</f>
        <v>883.44146499999988</v>
      </c>
      <c r="W331" s="3">
        <f>720.6+(646.3-243)+(1.102518+(0.988839-0.37179))+0-172.6-0.26407800000001</f>
        <v>952.75548900000013</v>
      </c>
      <c r="X331" s="3">
        <f>723.9+(629.4-178.2)+(0+(0-0))+0-173.2-0</f>
        <v>1001.8999999999999</v>
      </c>
      <c r="Y331" s="3">
        <f>731.6+(600.7-167.8)+(-1.492464+(-1.225428--0.342312))+0-172.9--0.352715999999992</f>
        <v>989.57713600000011</v>
      </c>
      <c r="Z331" s="3">
        <f>736.7+(590.8-192.9)+(-1.502868+(-1.205232--0.393516))+0-177.7--0.362507999999992</f>
        <v>954.94792399999994</v>
      </c>
      <c r="AA331" s="3">
        <f>740.2+(553.1-178.9)+(-0.377502+(-0.282081--0.091239))+0-175.6--0.0895559999999822</f>
        <v>938.32121200000006</v>
      </c>
      <c r="AB331" s="3">
        <f>742.4+(547.5-216.2)+(-1.514496+(-1.1169--0.441048))+0-176.9--0.360875999999992</f>
        <v>894.97052799999994</v>
      </c>
      <c r="AC331" s="3">
        <f>748.5+(527-241.6)+(-1.52694+(-1.07508--0.492864))+0-177.6--0.362303999999992</f>
        <v>854.55314800000008</v>
      </c>
      <c r="AD331" s="2">
        <v>1006.3999999999999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741.5+(462.9-227.9)+(-1.51266+(-0.944316--0.464916))+0-174.4--0.355775999999992</f>
        <v>800.46371599999998</v>
      </c>
      <c r="G332" s="3">
        <f>749.8+(455.7-248.3)+(-0.382398+(-0.232407--0.126633))+0-175.4--0.0894539999999822</f>
        <v>781.40128199999992</v>
      </c>
      <c r="H332" s="3">
        <f>748.8+(482.1-301.3)+(-0.763776+(-0.491742--0.307326))+0-176.4--0.179928000000028</f>
        <v>752.431736</v>
      </c>
      <c r="I332" s="3">
        <f>754.6+(509.6-336.9)+(-0.769692+(-0.519792--0.343638))+0-177.2--0.180744000000028</f>
        <v>749.33489800000007</v>
      </c>
      <c r="J332" s="3">
        <f>553.8+(617.6-246.7)+(0.282438+(0.314976-0.125817))+0-171.8-0.0876179999999826</f>
        <v>753.28397900000004</v>
      </c>
      <c r="K332" s="3">
        <f>556+(642.6-245.1)+(-0.28356+(-0.327726--0.125001))+0-172.1--0.0877709999999825</f>
        <v>781.001486</v>
      </c>
      <c r="L332" s="3">
        <f>558.8+(681.4-215.2)+(-1.139952+(-1.390056--0.439008))+0-168.9--0.344555999999993</f>
        <v>854.35355600000003</v>
      </c>
      <c r="M332" s="3">
        <f>557.5+(758.6-200.7)+(0.56865+(0.773772-0.204714))+0-170.7-0.174114000000027</f>
        <v>945.66359399999999</v>
      </c>
      <c r="N332" s="3">
        <f>555.9+(830.6-204.8)+(-0.567018+(-0.847212--0.208896))+0-176.4--0.179928000000028</f>
        <v>1004.2745939999999</v>
      </c>
      <c r="O332" s="3">
        <f>550.2+(862.8-201.3)+(1.40301+(2.20014-0.513315))+0-175.5-0.447524999999975</f>
        <v>1038.84231</v>
      </c>
      <c r="P332" s="3">
        <f>549.2+(842.3-153.5)+(-0.840276+(-1.288719--0.234855))+0-177.1--0.27096300000001</f>
        <v>1059.2768229999999</v>
      </c>
      <c r="Q332" s="3">
        <f>545.3+(832-137.7)+(-0.556206+(-0.84864--0.140454))+0-173.9--0.177378000000028</f>
        <v>1064.6129859999999</v>
      </c>
      <c r="R332" s="3">
        <f>540.6+(816.1-141.2)+(-1.929942+(-2.913477--0.504084))+0-174.6--0.623322000000002</f>
        <v>1037.1839870000001</v>
      </c>
      <c r="S332" s="3">
        <f>539.5+(794.9-153.5)+(-0.275145+(-0.405399--0.078285))+0-175.6--0.0895559999999822</f>
        <v>1004.7872970000001</v>
      </c>
      <c r="T332" s="3">
        <f>538.6+(787.3-186.8)+(-0.274686+(-0.401523--0.095268))+0-163.8--0.0835379999999834</f>
        <v>974.80259699999999</v>
      </c>
      <c r="U332" s="3">
        <f>540.4+(789.8-185.3)+(-0.551208+(-0.805596--0.189006))+0-170.6--0.174012000000027</f>
        <v>973.30621400000018</v>
      </c>
      <c r="V332" s="3">
        <f>541.8+(783.2-196.1)+(0.552636+(0.798864-0.200022))+0-177.1-0.180642000000028</f>
        <v>952.77083600000003</v>
      </c>
      <c r="W332" s="3">
        <f>543.1+(869.6-221.7)+(0.553962+(0.886992-0.226134))+0-177.2-0.180744000000028</f>
        <v>1014.8340759999999</v>
      </c>
      <c r="X332" s="3">
        <f>549.5+(911.7-206.1)+(-0.840735+(-1.394901--0.315333))+0-179.2--0.27417600000001</f>
        <v>1074.2538729999997</v>
      </c>
      <c r="Y332" s="3">
        <f>550.3+(905-220.1)+(0.280653+(0.46155-0.112251))+0-180.1-0.0918509999999817</f>
        <v>1055.638101</v>
      </c>
      <c r="Z332" s="3">
        <f>554+(856.6-223.1)+(-0.56508+(-0.873732--0.227562))+0-183.7--0.187374000000029</f>
        <v>1002.7761239999999</v>
      </c>
      <c r="AA332" s="3">
        <f>557.5+(808.1-208.5)+(0+(0-0))+0-181.4-0</f>
        <v>975.69999999999993</v>
      </c>
      <c r="AB332" s="3">
        <f>560.5+(766.6-209.1)+(-0.57171+(-0.781932--0.213282))+0-179.8--0.183396000000029</f>
        <v>937.24303599999996</v>
      </c>
      <c r="AC332" s="3">
        <f>562.3+(756.9-249.7)+(0.286773+(0.386019-0.127347))+0-180.2-0.0919019999999817</f>
        <v>889.75354299999992</v>
      </c>
      <c r="AD332" s="2">
        <v>1032.1000000000001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562.8+(716.2-250.6)+(0.287028+(0.365262-0.127806))+0-177-0.090269999999982</f>
        <v>851.83421400000009</v>
      </c>
      <c r="G333" s="3">
        <f>564.9+(655.8-230)+(0.288099+(0.334458-0.1173))+0-177.2-0.090371999999982</f>
        <v>813.91488500000003</v>
      </c>
      <c r="H333" s="3">
        <f>564.8+(647-241.9)+(0+(0-0))+0-178.2-0</f>
        <v>791.7</v>
      </c>
      <c r="I333" s="3">
        <f>565.4+(632.7-236.1)+(-0.288354+(-0.322677--0.120411))+0-177.2--0.090371999999982</f>
        <v>784.39975199999992</v>
      </c>
      <c r="J333" s="3">
        <f>566.8+(625.2-231.1)+(-0.578136+(-0.637704--0.235722))+0-176.7--0.180234000000028</f>
        <v>783.40011600000014</v>
      </c>
      <c r="K333" s="3">
        <f>565.8+(669.9-256.4)+(0.865674+(1.024947-0.392292))+0-176.3-0.26973900000001</f>
        <v>804.22859000000005</v>
      </c>
      <c r="L333" s="3">
        <f>568.3+(657.9-252.3)+(-0.289833+(-0.335529--0.128673))+0-176--0.0897599999999821</f>
        <v>797.49307099999987</v>
      </c>
      <c r="M333" s="3">
        <f>567+(671-216)+(0.57834+(0.68442-0.22032))+0-176.9-0.180438000000028</f>
        <v>845.9620020000001</v>
      </c>
      <c r="N333" s="3">
        <f>562.1+(747-221)+(-0.286671+(-0.38097--0.11271))+0-179.9--0.0917489999999817</f>
        <v>907.73681799999997</v>
      </c>
      <c r="O333" s="3">
        <f>558.4+(807.6-232.4)+(-0.284784+(-0.411876--0.118524))+0-182.5--0.0930749999999815</f>
        <v>950.61493899999982</v>
      </c>
      <c r="P333" s="3">
        <f>554.8+(835.6-240.6)+(-1.131792+(-1.704624--0.490824))+0-180.9--0.369035999999992</f>
        <v>966.92344400000002</v>
      </c>
      <c r="Q333" s="3">
        <f>550.6+(851-243.3)+(-0.842418+(-1.30203--0.372249))+0-179--0.27387000000001</f>
        <v>977.80167100000017</v>
      </c>
      <c r="R333" s="3">
        <f>545.5+(862.2-254)+(-1.947435+(-3.078054--0.90678))+0-180.7--0.645099000000003</f>
        <v>969.52638999999988</v>
      </c>
      <c r="S333" s="3">
        <f>540.4+(833.4-255.7)+(-0.551208+(-0.850068--0.260814))+0-171.2--0.174624000000027</f>
        <v>945.93416199999979</v>
      </c>
      <c r="T333" s="3">
        <f>537.2+(801.9-245.2)+(-0.273972+(-0.408969--0.125052))+0-166.3--0.0848129999999831</f>
        <v>927.12692400000014</v>
      </c>
      <c r="U333" s="3">
        <f>535.5+(817.7-254.3)+(0.273105+(0.417027-0.129693))+0-169.1-0.0862409999999828</f>
        <v>930.27419800000018</v>
      </c>
      <c r="V333" s="3">
        <f>538.7+(848.4-265.3)+(0+(0-0))+0-172.5-0</f>
        <v>949.3</v>
      </c>
      <c r="W333" s="3">
        <f>541.1+(915.5-272.5)+(0+(0-0))+0-168.2-0</f>
        <v>1015.8999999999999</v>
      </c>
      <c r="X333" s="3">
        <f>543.5+(1003-285.5)+(-0.277185+(-0.51153--0.145605))+0-176.9--0.0902189999999821</f>
        <v>1083.5471089999999</v>
      </c>
      <c r="Y333" s="3">
        <f>548.9+(964.1-273.3)+(-1.119756+(-1.966764--0.557532))+0-179.1--0.365363999999992</f>
        <v>1058.4363759999999</v>
      </c>
      <c r="Z333" s="3">
        <f>552.1+(902.7-255.3)+(-0.281571+(-0.460377--0.130203))+0-179.4--0.0914939999999818</f>
        <v>1019.5797490000001</v>
      </c>
      <c r="AA333" s="3">
        <f>556.1+(836.2-233)+(-1.134444+(-1.705848--0.47532))+0-178.1--0.363323999999992</f>
        <v>979.19835200000011</v>
      </c>
      <c r="AB333" s="3">
        <f>556.3+(751.9-203.4)+(-1.418565+(-1.917345--0.51867))+0-176.1--0.449054999999974</f>
        <v>926.33181499999978</v>
      </c>
      <c r="AC333" s="3">
        <f>559.4+(690.1-197.7)+(-1.997058+(-2.463657--0.705789))+0-180.1--0.642957000000003</f>
        <v>868.58803099999989</v>
      </c>
      <c r="AD333" s="2">
        <v>1130.5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563.1+(624.6-181.3)+(-1.435905+(-1.59273--0.462315))+0-181.4--0.462569999999974</f>
        <v>822.89625000000012</v>
      </c>
      <c r="G334" s="3">
        <f>562.9+(632.8-200.8)+(-1.435395+(-1.61364--0.51204))+0-181.5--0.462824999999974</f>
        <v>811.32582999999977</v>
      </c>
      <c r="H334" s="3">
        <f>560.2+(634.9-213.8)+(-1.142808+(-1.295196--0.436152))+0-184.9--0.377195999999992</f>
        <v>794.77534400000002</v>
      </c>
      <c r="I334" s="3">
        <f>554.6+(579-167.3)+(0.282846+(0.29529-0.085323))+0-185.8-0.0947579999999812</f>
        <v>780.89805499999989</v>
      </c>
      <c r="J334" s="3">
        <f>555.7+(588.1-174.7)+(-0.283407+(-0.299931--0.089097))+0-186.7--0.0952169999999811</f>
        <v>782.00097600000015</v>
      </c>
      <c r="K334" s="3">
        <f>560.9+(662.9-214.1)+(-0.572118+(-0.676158--0.218382))+0-188.3--0.19206600000003</f>
        <v>820.56217199999992</v>
      </c>
      <c r="L334" s="3">
        <f>560.4+(765.5-253.5)+(-1.143216+(-1.56162--0.51714))+0-184.8--0.376991999999992</f>
        <v>885.78929600000015</v>
      </c>
      <c r="M334" s="3">
        <f>554+(795.9-222.8)+(-0.28254+(-0.405909--0.113628))+0-189.3--0.0965429999999808</f>
        <v>937.32172200000002</v>
      </c>
      <c r="N334" s="3">
        <f>544.3+(853.1-226)+(0.277593+(0.435081-0.11526))+0-189.8-0.0967979999999807</f>
        <v>982.10061600000017</v>
      </c>
      <c r="O334" s="3">
        <f>534.7+(867.1-226.9)+(1.090788+(1.768884-0.462876))+0-185.3-0.378011999999992</f>
        <v>991.61878400000012</v>
      </c>
      <c r="P334" s="3">
        <f>527.3+(877.2-220.9)+(-0.537846+(-0.894744--0.225318))+0-183.6--0.187272000000029</f>
        <v>998.97999999999979</v>
      </c>
      <c r="Q334" s="3">
        <f>521.3+(875.9-215.7)+(0+(0-0))+0-185.4-0</f>
        <v>996.1</v>
      </c>
      <c r="R334" s="3">
        <f>514.8+(872.5-216.1)+(-1.31274+(-2.224875--0.551055))+0-200.1--0.510254999999971</f>
        <v>968.62369499999966</v>
      </c>
      <c r="S334" s="3">
        <f>513.7+(832.6-199.7)+(0.261987+(0.424626-0.101847))+0-185.8-0.0947579999999812</f>
        <v>961.29000800000017</v>
      </c>
      <c r="T334" s="3">
        <f>512.2+(834.4-193.8)+(0+(0-0))+0-189.7-0</f>
        <v>963.09999999999991</v>
      </c>
      <c r="U334" s="3">
        <f>512.2+(822-191.4)+(0+(0-0))+0-179.4-0</f>
        <v>963.4000000000002</v>
      </c>
      <c r="V334" s="3">
        <f>513.2+(857.6-201.5)+(0.785196+(1.312128-0.308295))+0-183.9-0.281367000000011</f>
        <v>986.90766200000019</v>
      </c>
      <c r="W334" s="3">
        <f>514.5+(1015.1-289.2)+(0.787185+(1.553103-0.442476))+0-190-0.290700000000011</f>
        <v>1052.007112</v>
      </c>
      <c r="X334" s="3">
        <f>516.5+(1144.8-351)+(0.790245+(1.751544-0.53703))+0-187.1-0.286263000000011</f>
        <v>1124.918496</v>
      </c>
      <c r="Y334" s="3">
        <f>522.9+(1167.7-409.2)+(-0.800037+(-1.786581--0.626076))+0-186.8--0.285804000000011</f>
        <v>1092.9252620000002</v>
      </c>
      <c r="Z334" s="3">
        <f>525.6+(1124.7-407.8)+(-0.536112+(-1.147194--0.415956))+0-184.5--0.188190000000029</f>
        <v>1056.92084</v>
      </c>
      <c r="AA334" s="3">
        <f>522.2+(1061.8-393.1)+(-0.532644+(-1.083036--0.400962))+0-188.2--0.19196400000003</f>
        <v>1001.6772460000001</v>
      </c>
      <c r="AB334" s="3">
        <f>528.4+(977.2-360.9)+(-1.886388+(-3.488604--1.288413))+0-185.8--0.663306000000003</f>
        <v>955.4767270000001</v>
      </c>
      <c r="AC334" s="3">
        <f>533.9+(898.9-358.3)+(-1.089156+(-1.833756--0.730932))+0-184.9--0.377195999999992</f>
        <v>887.78521599999999</v>
      </c>
      <c r="AD334" s="2">
        <v>1106.6000000000001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530.6+(829.4-327.4)+(-0.541212+(-0.845988--0.333948))+0-185.2--0.18890400000003</f>
        <v>846.53565199999991</v>
      </c>
      <c r="G335" s="3">
        <f>529.1+(744.1-269.9)+(-1.079364+(-1.517964--0.550596))+0-186.2--0.379847999999992</f>
        <v>815.43311600000015</v>
      </c>
      <c r="H335" s="3">
        <f>526.8+(787.3-314.9)+(0+(0-0))+0-183.6-0</f>
        <v>815.59999999999991</v>
      </c>
      <c r="I335" s="3">
        <f>529.2+(809.5-345.6)+(-0.809676+(-1.238535--0.528768))+0-184.7--0.282591000000011</f>
        <v>807.16314799999998</v>
      </c>
      <c r="J335" s="3">
        <f>529.5+(750.2-296.8)+(0.270045+(0.382602-0.151368))+0-183.1-0.0933809999999814</f>
        <v>800.207898</v>
      </c>
      <c r="K335" s="3">
        <f>534.2+(783.8-316.4)+(0+(0-0))+0-181.9-0</f>
        <v>819.7</v>
      </c>
      <c r="L335" s="3">
        <f>536.9+(822.3-290.7)+(-0.547638+(-0.838746--0.296514))+0-179.9--0.183498000000029</f>
        <v>887.69362799999999</v>
      </c>
      <c r="M335" s="3">
        <f>534+(856.4-281.2)+(0+(0-0))+0-175.8-0</f>
        <v>933.40000000000009</v>
      </c>
      <c r="N335" s="3">
        <f>526+(946.9-312.7)+(-0.26826+(-0.482919--0.159477))+0-181--0.0923099999999816</f>
        <v>978.7006080000001</v>
      </c>
      <c r="O335" s="3">
        <f>521.5+(959.1-324.1)+(0.797895+(1.467423-0.495873))+0-176.1-0.26943300000001</f>
        <v>981.90001199999983</v>
      </c>
      <c r="P335" s="3">
        <f>518.1+(970-327.1)+(0.528462+(0.9894-0.333642))+0-176.8-0.180336000000028</f>
        <v>985.20388400000013</v>
      </c>
      <c r="Q335" s="3">
        <f>512.3+(1017.9-358.7)+(-0.261273+(-0.519129--0.182937))+0-174.9--0.0891989999999823</f>
        <v>996.09173399999997</v>
      </c>
      <c r="R335" s="3">
        <f>510.8+(950.2-284.5)+(0+(0-0))+0-173.1-0</f>
        <v>1003.4</v>
      </c>
      <c r="S335" s="3">
        <f>513.4+(906-267.3)+(-1.047336+(-1.84824--0.545292))+0-172.8--0.352511999999993</f>
        <v>977.3022279999999</v>
      </c>
      <c r="T335" s="3">
        <f>509.7+(895.3-255.7)+(-0.259947+(-0.456603--0.130407))+0-169.4--0.0863939999999828</f>
        <v>979.40025099999991</v>
      </c>
      <c r="U335" s="3">
        <f>511.8+(947.1-308.3)+(-0.522036+(-0.966042--0.314466))+0-171--0.174420000000027</f>
        <v>978.60080799999992</v>
      </c>
      <c r="V335" s="3">
        <f>515.3+(954.4-309.2)+(-0.262803+(-0.486744--0.157692))+0-169.5--0.0864449999999828</f>
        <v>990.49459000000013</v>
      </c>
      <c r="W335" s="3">
        <f>517.1+(1043.2-316.3)+(0.263721+(0.532032-0.161313))+0-172.9-0.0881789999999825</f>
        <v>1071.6462609999999</v>
      </c>
      <c r="X335" s="3">
        <f>521.5+(1095.6-311.3)+(0.265965+(0.558756-0.158763))+0-176.6-0.0900659999999821</f>
        <v>1129.7758920000001</v>
      </c>
      <c r="Y335" s="3">
        <f>522.6+(1050.1-290.2)+(-1.066104+(-2.142204--0.592008))+0-178.4--0.363935999999992</f>
        <v>1101.847636</v>
      </c>
      <c r="Z335" s="3">
        <f>527.2+(991.2-270.7)+(-0.537744+(-1.011024--0.276114))+0-177.6--0.181152000000028</f>
        <v>1069.0084980000001</v>
      </c>
      <c r="AA335" s="3">
        <f>531.3+(909.1-239.2)+(0+(0-0))+0-177.5-0</f>
        <v>1023.7</v>
      </c>
      <c r="AB335" s="3">
        <f>530.2+(854.1-247.1)+(0+(0-0))+0-167.7-0</f>
        <v>969.5</v>
      </c>
      <c r="AC335" s="3">
        <f>528.8+(834.8-279.8)+(-1.34844+(-2.12874--0.71349))+0-162.2--0.413609999999976</f>
        <v>919.24991999999986</v>
      </c>
      <c r="AD335" s="2">
        <v>1129.7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528.5+(850.9-331.9)+(-0.53907+(-0.867918--0.338538))+0-165.2--0.168504000000026</f>
        <v>881.40005399999995</v>
      </c>
      <c r="G336" s="3">
        <f>532.1+(891.8-407.7)+(0.814113+(1.364454-0.623781))+0-171.7-0.26270100000001</f>
        <v>845.79208500000016</v>
      </c>
      <c r="H336" s="3">
        <f>534.2+(892.8-434.5)+(0+(0-0))+0-165.9-0</f>
        <v>826.6</v>
      </c>
      <c r="I336" s="3">
        <f>534.4+(903.5-455.7)+(0+(0-0))+0-155.3-0</f>
        <v>826.90000000000009</v>
      </c>
      <c r="J336" s="3">
        <f>535.4+(894.6-452.4)+(0+(0-0))+0-151.6-0</f>
        <v>826</v>
      </c>
      <c r="K336" s="3">
        <f>533.8+(911.4-442.2)+(1.088952+(1.859256-0.902088))+0-152.4-0.310895999999993</f>
        <v>852.33522400000004</v>
      </c>
      <c r="L336" s="3">
        <f>540.5+(849.2-335.2)+(-1.378275+(-2.16546--0.85476))+0-152.1--0.387854999999978</f>
        <v>900.09887999999989</v>
      </c>
      <c r="M336" s="3">
        <f>537.2+(869-297.1)+(0.273972+(0.44319-0.151521))+0-148.8-0.0758879999999849</f>
        <v>960.78975299999991</v>
      </c>
      <c r="N336" s="3">
        <f>528.1+(914.1-293.1)+(-0.269331+(-0.466191--0.149481))+0-148.6--0.0757859999999849</f>
        <v>999.98974499999986</v>
      </c>
      <c r="O336" s="3">
        <f>525.8+(951.7-341.4)+(0.804474+(1.456101-0.522342))+0-140-0.214200000000008</f>
        <v>997.62403299999994</v>
      </c>
      <c r="P336" s="3">
        <f>522.1+(1006.7-382.8)+(-0.266271+(-0.513417--0.195228))+0-138.3--0.070532999999986</f>
        <v>1007.186073</v>
      </c>
      <c r="Q336" s="3">
        <f>516.6+(961.5-316.3)+(0.790398+(1.471095-0.483939))+0-140-0.214200000000008</f>
        <v>1023.3633540000002</v>
      </c>
      <c r="R336" s="3">
        <f>518+(943.7-309)+(-1.58508+(-2.887722--0.94554))+0-149.5--0.457470000000017</f>
        <v>1000.130208</v>
      </c>
      <c r="S336" s="3">
        <f>534.9+(895.5-294.6)+(-0.818397+(-1.370115--0.450738))+0-152.8--0.233784000000009</f>
        <v>981.49601000000007</v>
      </c>
      <c r="T336" s="3">
        <f>533.6+(941.8-355.7)+(0.272136+(0.480318-0.181407))+0-150.9-0.0769589999999847</f>
        <v>969.29408799999976</v>
      </c>
      <c r="U336" s="3">
        <f>531.8+(899.8-320.3)+(0+(0-0))+0-146.9-0</f>
        <v>964.4</v>
      </c>
      <c r="V336" s="3">
        <f>517.4+(893.7-291.4)+(-0.527748+(-0.911574--0.297228))+0-151.4--0.154428000000024</f>
        <v>967.31233400000008</v>
      </c>
      <c r="W336" s="3">
        <f>515.6+(968.6-297.4)+(-1.051824+(-1.975944--0.606696))+0-153.2--0.312527999999993</f>
        <v>1031.491456</v>
      </c>
      <c r="X336" s="3">
        <f>520.9+(1078.1-343.4)+(-0.265659+(-0.549831--0.175134))+0-154.4--0.0787439999999843</f>
        <v>1100.6383879999996</v>
      </c>
      <c r="Y336" s="3">
        <f>522.4+(1081.4-372.4)+(-0.799272+(-1.654542--0.569772))+0-152.8--0.233784000000009</f>
        <v>1076.9497420000002</v>
      </c>
      <c r="Z336" s="3">
        <f>526.5+(1053-381.6)+(-0.805545+(-1.61109--0.583848))+0-156--0.238680000000009</f>
        <v>1040.305893</v>
      </c>
      <c r="AA336" s="3">
        <f>526.8+(998-366.4)+(-1.34334+(-2.5449--0.93432))+0-158.2--0.403409999999977</f>
        <v>997.64949000000013</v>
      </c>
      <c r="AB336" s="3">
        <f>528.6+(907.8-330.8)+(-0.808758+(-1.388934--0.506124))+0-152.5--0.233325000000009</f>
        <v>951.64175699999998</v>
      </c>
      <c r="AC336" s="3">
        <f>530.5+(877.8-354.8)+(-1.352775+(-2.23839--0.90474))+0-154.5--0.393974999999978</f>
        <v>896.70754999999986</v>
      </c>
      <c r="AD336" s="2">
        <v>1080.3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476.7+(862.4-332.3)+(-0.486234+(-0.879648--0.338946))+0-155.1--0.158202000000025</f>
        <v>850.83126600000003</v>
      </c>
      <c r="G337" s="3">
        <f>437.8+(856.1-322.1)+(0.223278+(0.436611-0.164271))+0-152.5-0.0777749999999845</f>
        <v>819.71784300000002</v>
      </c>
      <c r="H337" s="3">
        <f>338.3+(865.5-244.5)+(0.690132+(1.76562-0.49878))+0-152.8-0.311711999999993</f>
        <v>808.14526000000001</v>
      </c>
      <c r="I337" s="3">
        <f>333.8+(866-244.5)+(0+(0-0))+0-152.7-0</f>
        <v>802.59999999999991</v>
      </c>
      <c r="J337" s="3">
        <f>336.6+(865-249.5)+(-0.171666+(-0.44115--0.127245))+0-149.5--0.0762449999999848</f>
        <v>802.19067399999994</v>
      </c>
      <c r="K337" s="3">
        <f>341+(921.3-289.7)+(-0.86955+(-2.349315--0.738735))+0-148.4--0.378419999999979</f>
        <v>822.09828999999991</v>
      </c>
      <c r="L337" s="3">
        <f>337.6+(967.7-271.2)+(-0.344352+(-0.987054--0.276624))+0-143.1--0.145962000000023</f>
        <v>890.09118000000001</v>
      </c>
      <c r="M337" s="3">
        <f>336.7+(1023-261.8)+(-0.171717+(-0.52173--0.133518))+0-147.2--0.0750719999999851</f>
        <v>950.21514300000001</v>
      </c>
      <c r="N337" s="3">
        <f>332.3+(1075.3-276.7)+(0+(0-0))+0-152-0</f>
        <v>978.89999999999986</v>
      </c>
      <c r="O337" s="3">
        <f>363+(1078.4-284.2)+(0+(0-0))+0-150.7-0</f>
        <v>1006.5</v>
      </c>
      <c r="P337" s="3">
        <f>402.9+(1034-290.8)+(0+(0-0))+0-132.9-0</f>
        <v>1013.1999999999999</v>
      </c>
      <c r="Q337" s="3">
        <f>401.2+(1010.6-270.8)+(-0.613836+(-1.546218--0.414324))+0-115.7--0.177021000000007</f>
        <v>1023.7312909999998</v>
      </c>
      <c r="R337" s="3">
        <f>399.9+(1006.3-286.2)+(-0.407898+(-1.026426--0.291924))+0-112.7--0.114954000000018</f>
        <v>1006.272554</v>
      </c>
      <c r="S337" s="3">
        <f>399.4+(934.2-212.8)+(0.407388+(0.952884-0.217056))+0-134.6-0.137292000000021</f>
        <v>987.2059240000001</v>
      </c>
      <c r="T337" s="3">
        <f>397.7+(957.1-231.3)+(0.202827+(0.488121-0.117963))+0-150-0.0764999999999848</f>
        <v>973.99648500000001</v>
      </c>
      <c r="U337" s="3">
        <f>395.1+(973.2-240.9)+(-0.201501+(-0.496332--0.122859))+0-154.3--0.0786929999999844</f>
        <v>972.60371899999996</v>
      </c>
      <c r="V337" s="3">
        <f>445.8+(960.8-265.1)+(0+(0-0))+0-154.6-0</f>
        <v>986.9</v>
      </c>
      <c r="W337" s="3">
        <f>445.3+(1048.9-286)+(0.681309+(1.604817-0.43758))+0-158.5-0.242505000000009</f>
        <v>1051.3060410000001</v>
      </c>
      <c r="X337" s="3">
        <f>453.1+(1127.9-308.7)+(-0.462162+(-1.150458--0.314874))+0-158.3--0.161466000000025</f>
        <v>1112.8637200000003</v>
      </c>
      <c r="Y337" s="3">
        <f>456.2+(1114.7-318.8)+(0.465324+(1.136994-0.325176))+0-156.6-0.159732000000025</f>
        <v>1096.6174100000001</v>
      </c>
      <c r="Z337" s="3">
        <f>457.5+(1094.6-326)+(0+(0-0))+0-166.2-0</f>
        <v>1059.8999999999999</v>
      </c>
      <c r="AA337" s="3">
        <f>461.5+(1032.2-309.1)+(-0.235365+(-0.526422--0.157641))+0-171--0.0872099999999826</f>
        <v>1013.083064</v>
      </c>
      <c r="AB337" s="3">
        <f>465.4+(972.3-311.8)+(-1.18677+(-2.479365--0.79509))+0-162.3--0.413864999999977</f>
        <v>961.14282000000003</v>
      </c>
      <c r="AC337" s="3">
        <f>462.6+(903.1-304.2)+(-0.707778+(-1.381743--0.465426))+0-155.8--0.238374000000009</f>
        <v>904.31427900000017</v>
      </c>
      <c r="AD337" s="2">
        <v>1104.9000000000001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462.5+(882-338)+(-0.47175+(-0.89964--0.34476))+0-159.9--0.163098000000026</f>
        <v>845.73646800000006</v>
      </c>
      <c r="G338" s="3">
        <f>469.2+(836-332.6)+(-0.957168+(-1.70544--0.678504))+0-158.3--0.322931999999993</f>
        <v>812.63882799999988</v>
      </c>
      <c r="H338" s="3">
        <f>471.9+(707.5-227.9)+(0+(0-0))+0-161.1-0</f>
        <v>790.4</v>
      </c>
      <c r="I338" s="3">
        <f>475.4+(697.3-216.4)+(0+(0-0))+0-167.9-0</f>
        <v>788.4</v>
      </c>
      <c r="J338" s="3">
        <f>475.9+(750.9-272.5)+(0.242709+(0.382959-0.138975))+0-168.3-0.0858329999999829</f>
        <v>786.40085999999985</v>
      </c>
      <c r="K338" s="3">
        <f>476.4+(833.8-329)+(0.485928+(0.850476-0.33558))+0-163.7-0.166974000000026</f>
        <v>818.33384999999998</v>
      </c>
      <c r="L338" s="3">
        <f>473.3+(853.9-286.2)+(0.241383+(0.435489-0.145962))+0-165-0.0841499999999833</f>
        <v>876.44675999999993</v>
      </c>
      <c r="M338" s="3">
        <f>471.4+(915.4-275.1)+(0+(0-0))+0-165.8-0</f>
        <v>945.89999999999986</v>
      </c>
      <c r="N338" s="3">
        <f>466.4+(965.6-290.6)+(-0.237864+(-0.492456--0.148206))+0-153.2--0.0781319999999845</f>
        <v>987.69601799999998</v>
      </c>
      <c r="O338" s="3">
        <f>460.4+(1026.8-323.3)+(0.469608+(1.047336-0.329766))+0-163.5-0.166770000000026</f>
        <v>1001.420408</v>
      </c>
      <c r="P338" s="3">
        <f>459.5+(1035.6-309.7)+(0+(0-0))+0-167-0</f>
        <v>1018.3999999999999</v>
      </c>
      <c r="Q338" s="3">
        <f>458.3+(1032-311.5)+(-0.701199+(-1.57896--0.476595))+0-157.4--0.240822000000009</f>
        <v>1019.8372579999999</v>
      </c>
      <c r="R338" s="3">
        <f>454.8+(1047-341.6)+(-0.927792+(-2.13588--0.696864))+0-157.9--0.322115999999993</f>
        <v>1000.255308</v>
      </c>
      <c r="S338" s="3">
        <f>464.5+(975.5-315.1)+(0.47379+(0.99501-0.321402))+0-158.7-0.161874000000025</f>
        <v>967.1855240000001</v>
      </c>
      <c r="T338" s="3">
        <f>466.8+(945.8-302.4)+(-0.238068+(-0.482358--0.154224))+0-155.5--0.0793049999999842</f>
        <v>954.21310300000005</v>
      </c>
      <c r="U338" s="3">
        <f>465.2+(963.8-330.6)+(0.474504+(0.983076-0.337212))+0-148.8-0.151776000000024</f>
        <v>950.56859199999997</v>
      </c>
      <c r="V338" s="3">
        <f>467.7+(991.5-344.2)+(-0.238527+(-0.505665--0.175542))+0-156--0.0795599999999842</f>
        <v>958.51091000000008</v>
      </c>
      <c r="W338" s="3">
        <f>469.7+(1053.5-352.2)+(-0.718641+(-1.611855--0.538866))+0-154.7--0.236691000000009</f>
        <v>1014.7450610000001</v>
      </c>
      <c r="X338" s="3">
        <f>472.5+(1105.7-334.2)+(0.240975+(0.563907-0.170442))+0-154.1-0.0785909999999844</f>
        <v>1090.4558490000002</v>
      </c>
      <c r="Y338" s="3">
        <f>474.7+(1102.4-347.7)+(-1.210485+(-2.81112--0.886635))+0-157.3--0.401114999999977</f>
        <v>1069.366145</v>
      </c>
      <c r="Z338" s="3">
        <f>474.3+(1067.2-355.4)+(-0.241893+(-0.544272--0.181254))+0-162.7--0.0829769999999835</f>
        <v>1022.8780660000002</v>
      </c>
      <c r="AA338" s="3">
        <f>478.1+(1060.2-382.7)+(-0.731493+(-1.622106--0.585531))+0-163.8--0.25061400000001</f>
        <v>990.28254599999991</v>
      </c>
      <c r="AB338" s="3">
        <f>478.4+(1026.7-384.7)+(-0.731952+(-1.570851--0.588591))+0-169.8--0.25979400000001</f>
        <v>949.1455820000001</v>
      </c>
      <c r="AC338" s="3">
        <f>481+(967-372.6)+(-1.22655+(-2.46585--0.95013))+0-174.5--0.444974999999975</f>
        <v>898.60270500000013</v>
      </c>
      <c r="AD338" s="2">
        <v>1078.5999999999999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482.2+(882.3-338.9)+(-0.737766+(-1.349919--0.518517))+0-180.3--0.27585900000001</f>
        <v>844.00669099999993</v>
      </c>
      <c r="G339" s="3">
        <f>482+(760-244.3)+(0+(0-0))+0-179.7-0</f>
        <v>818</v>
      </c>
      <c r="H339" s="3">
        <f>480.8+(770.1-268.9)+(0.735624+(1.178253-0.411417))+0-175.6-0.26866800000001</f>
        <v>807.63379199999997</v>
      </c>
      <c r="I339" s="3">
        <f>480.9+(799.5-325.4)+(-0.490518+(-0.81549--0.331908))+0-175.4--0.178908000000028</f>
        <v>778.80480799999998</v>
      </c>
      <c r="J339" s="3">
        <f>483.2+(753-265.8)+(0.739296+(1.15209-0.406674))+0-174.8-0.26744400000001</f>
        <v>796.8172679999999</v>
      </c>
      <c r="K339" s="3">
        <f>482.8+(806.2-292.9)+(0+(0-0))+0-176.7-0</f>
        <v>819.40000000000009</v>
      </c>
      <c r="L339" s="3">
        <f>482.2+(833.1-287.6)+(-0.983688+(-1.699524--0.586704))+0-176.5--0.360059999999992</f>
        <v>849.46355199999994</v>
      </c>
      <c r="M339" s="3">
        <f>482.8+(900.7-273.5)+(0.246228+(0.459357-0.139485))+0-178.6-0.0910859999999819</f>
        <v>931.87501399999996</v>
      </c>
      <c r="N339" s="3">
        <f>480.4+(1018.7-336.3)+(0.490008+(1.039074-0.343026))+0-180.7-0.184314000000029</f>
        <v>983.10174200000006</v>
      </c>
      <c r="O339" s="3">
        <f>481.4+(1035.1-338.5)+(0.736542+(1.583703-0.517905))+0-178.8-0.27356400000001</f>
        <v>1000.728776</v>
      </c>
      <c r="P339" s="3">
        <f>480.4+(1034.1-327)+(0+(0-0))+0-178.7-0</f>
        <v>1008.8</v>
      </c>
      <c r="Q339" s="3">
        <f>479.7+(1052.1-323.6)+(0+(0-0))+0-175.3-0</f>
        <v>1032.8999999999999</v>
      </c>
      <c r="R339" s="3">
        <f>451.3+(1042.7-326.5)+(-0.460326+(-1.063554--0.33303))+0-174.5--0.177990000000028</f>
        <v>991.98714000000007</v>
      </c>
      <c r="S339" s="3">
        <f>464.7+(954.8-264.9)+(0.236997+(0.486948-0.135099))+0-176.3-0.0899129999999821</f>
        <v>978.79893300000003</v>
      </c>
      <c r="T339" s="3">
        <f>464.7+(1042.1-366)+(-0.473994+(-1.062942--0.37332))+0-179--0.182580000000029</f>
        <v>960.81896399999994</v>
      </c>
      <c r="U339" s="3">
        <f>461.3+(1016.9-353.5)+(-0.470526+(-1.037238--0.36057))+0-173.1--0.176562000000028</f>
        <v>950.62936800000011</v>
      </c>
      <c r="V339" s="3">
        <f>447.9+(915.2-244.5)+(0.685287+(1.400256-0.374085))+0-175.6-0.26866800000001</f>
        <v>944.44278999999983</v>
      </c>
      <c r="W339" s="3">
        <f>448.1+(1016.8-283.7)+(-0.685593+(-1.555704--0.434061))+0-180.9--0.27677700000001</f>
        <v>998.76954099999978</v>
      </c>
      <c r="X339" s="3">
        <f>452.3+(1095.9-277.3)+(0+(0-0))+0-186.8-0</f>
        <v>1084.1000000000001</v>
      </c>
      <c r="Y339" s="3">
        <f>454.8+(1063.7-272.8)+(-1.391688+(-3.254922--0.834768))+0-184.8--0.565488000000021</f>
        <v>1057.653646</v>
      </c>
      <c r="Z339" s="3">
        <f>455.7+(1030.6-276.1)+(0.464814+(1.051212-0.281622))+0-186-0.18972000000003</f>
        <v>1025.2446839999998</v>
      </c>
      <c r="AA339" s="3">
        <f>457.9+(1015.9-309.7)+(-0.233529+(-0.518109--0.157947))+0-182.9--0.0932789999999814</f>
        <v>980.69958799999984</v>
      </c>
      <c r="AB339" s="3">
        <f>459.5+(926.6-278.1)+(0+(0-0))+0-177.7-0</f>
        <v>930.3</v>
      </c>
      <c r="AC339" s="3">
        <f>461.4+(864.7-272.6)+(-0.705942+(-1.322991--0.417078))+0-176.6--0.27019800000001</f>
        <v>875.55834299999992</v>
      </c>
      <c r="AD339" s="2">
        <v>1086.1999999999998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479.5+(794.3-250.3)+(-0.733635+(-1.215279--0.382959))+0-174--0.26622000000001</f>
        <v>848.20026499999994</v>
      </c>
      <c r="G340" s="3">
        <f>484.1+(734.6-219.9)+(-1.234455+(-1.87323--0.560745))+0-179.6--0.457979999999974</f>
        <v>817.11104000000012</v>
      </c>
      <c r="H340" s="3">
        <f>485.5+(730.8-230.7)+(-0.247605+(-0.372708--0.117657))+0-181.2--0.0924119999999816</f>
        <v>803.98975599999994</v>
      </c>
      <c r="I340" s="3">
        <f>487.2+(745.6-266.7)+(0.248472+(0.380256-0.136017))+0-178.6-0.0910859999999819</f>
        <v>787.90162499999997</v>
      </c>
      <c r="J340" s="3">
        <f>489.7+(716.6-247.4)+(0.249747+(0.365466-0.126174))+0-181.2-0.0924119999999816</f>
        <v>778.09662700000013</v>
      </c>
      <c r="K340" s="3">
        <f>488.9+(754.9-269.8)+(0.997356+(1.539996-0.550392))+0-178.6-0.364343999999992</f>
        <v>797.02261599999997</v>
      </c>
      <c r="L340" s="3">
        <f>490+(773.9-260.6)+(-0.4998+(-0.789378--0.265812))+0-173--0.176460000000028</f>
        <v>829.45309399999996</v>
      </c>
      <c r="M340" s="3">
        <f>488.1+(807.3-223.6)+(-0.248931+(-0.411723--0.114036))+0-180.1--0.0918509999999817</f>
        <v>891.24523299999987</v>
      </c>
      <c r="N340" s="3">
        <f>483+(852.8-203.5)+(-0.49266+(-0.869856--0.20757))+0-183.6--0.187272000000029</f>
        <v>947.73232599999983</v>
      </c>
      <c r="O340" s="3">
        <f>477.3+(896-214.4)+(0.486846+(0.91392-0.218688))+0-180.1-0.183702000000029</f>
        <v>979.79837600000008</v>
      </c>
      <c r="P340" s="3">
        <f>473.1+(901.1-193.6)+(0+(0-0))+0-178.8-0</f>
        <v>1001.8</v>
      </c>
      <c r="Q340" s="3">
        <f>424.1+(946.6-187.2)+(0+(0-0))+0-176.5-0</f>
        <v>1007</v>
      </c>
      <c r="R340" s="3">
        <f>397.8+(950.9-190)+(-0.608634+(-1.454877--0.2907))+0-173--0.26469000000001</f>
        <v>984.19187899999997</v>
      </c>
      <c r="S340" s="3">
        <f>424+(886.6-175)+(-0.21624+(-0.452166--0.08925))+0-172.7--0.0880769999999825</f>
        <v>962.40892099999985</v>
      </c>
      <c r="T340" s="3">
        <f>432.4+(866.9-167.9)+(-0.441048+(-0.884238--0.171258))+0-180--0.183600000000029</f>
        <v>950.42957200000023</v>
      </c>
      <c r="U340" s="3">
        <f>427+(882.9-181.1)+(-0.43554+(-0.900558--0.184722))+0-177.5--0.181050000000028</f>
        <v>950.32967399999995</v>
      </c>
      <c r="V340" s="3">
        <f>417+(912.6-192.5)+(0+(0-0))+0-180.7-0</f>
        <v>956.39999999999986</v>
      </c>
      <c r="W340" s="3">
        <f>457+(970.4-226.3)+(-0.23307+(-0.494904--0.115413))+0-184--0.0938399999999813</f>
        <v>1016.581279</v>
      </c>
      <c r="X340" s="3">
        <f>473.6+(1046.1-250.4)+(-0.241536+(-0.533511--0.127704))+0-182.9--0.0932789999999814</f>
        <v>1085.8459359999997</v>
      </c>
      <c r="Y340" s="3">
        <f>475.7+(1037.9-257.9)+(0+(0-0))+0-186.2-0</f>
        <v>1069.5</v>
      </c>
      <c r="Z340" s="3">
        <f>480.9+(999-258.3)+(-0.490518+(-1.01898--0.263466))+0-185.3--0.18900600000003</f>
        <v>1035.242974</v>
      </c>
      <c r="AA340" s="3">
        <f>482.2+(968.6-278.3)+(-0.245922+(-0.493986--0.141933))+0-186.3--0.0950129999999811</f>
        <v>985.69703800000013</v>
      </c>
      <c r="AB340" s="3">
        <f>478.9+(927.6-278.5)+(-1.221195+(-2.36538--0.710175))+0-181.2--0.462059999999974</f>
        <v>944.3856599999998</v>
      </c>
      <c r="AC340" s="3">
        <f>467.4+(864.1-253.4)+(-1.19187+(-2.203455--0.64617))+0-183.7--0.468434999999973</f>
        <v>892.11927999999989</v>
      </c>
      <c r="AD340" s="2">
        <v>1257.2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480.7+(770.6-220.6)+(-0.490314+(-0.786012--0.225012))+0-187.2--0.19094400000003</f>
        <v>842.63963000000001</v>
      </c>
      <c r="G341" s="3">
        <f>486.6+(730.5-217.4)+(0.496332+(0.74511-0.221748))+0-186.2-0.18992400000003</f>
        <v>814.32977000000005</v>
      </c>
      <c r="H341" s="3">
        <f>412.8+(817.1-244.3)+(0.421056+(0.833442-0.249186))+0-183.9-0.187578000000029</f>
        <v>802.5177339999999</v>
      </c>
      <c r="I341" s="3">
        <f>393.6+(846.8-246.5)+(0.200736+(0.431868-0.125715))+0-185.2-0.0944519999999812</f>
        <v>809.11243700000011</v>
      </c>
      <c r="J341" s="3">
        <f>398.5+(841.4-242.5)+(-0.203235+(-0.429114--0.123675))+0-185.5--0.0946049999999812</f>
        <v>811.48593099999994</v>
      </c>
      <c r="K341" s="3">
        <f>425.4+(856.1-264.2)+(0.433908+(0.873222-0.269484))+0-184.8-0.188496000000029</f>
        <v>833.34915000000001</v>
      </c>
      <c r="L341" s="3">
        <f>460.1+(912.4-287.3)+(0.234651+(0.465324-0.146523))+0-182.7-0.0931769999999815</f>
        <v>902.96027499999991</v>
      </c>
      <c r="M341" s="3">
        <f>410+(1015.6-273.8)+(0.2091+(0.517956-0.139638))+0-184.7-0.0941969999999813</f>
        <v>967.59322099999997</v>
      </c>
      <c r="N341" s="3">
        <f>462.5+(1021-286.3)+(0.47175+(1.04142-0.292026))+0-179.7-0.183294000000029</f>
        <v>1018.53785</v>
      </c>
      <c r="O341" s="3">
        <f>462.7+(1022.4-292.3)+(0.943908+(2.085696-0.596292))+0-170.6-0.348023999999993</f>
        <v>1024.285288</v>
      </c>
      <c r="P341" s="3">
        <f>503.1+(1022.5-333.5)+(0+(0-0))+0-163.9-0</f>
        <v>1028.1999999999998</v>
      </c>
      <c r="Q341" s="3">
        <f>514.7+(1072.4-392.4)+(0+(0-0))+0-160.5-0</f>
        <v>1034.2000000000003</v>
      </c>
      <c r="R341" s="3">
        <f>511.8+(1017.6-358.1)+(-0.522036+(-1.037952--0.365262))+0-160.4--0.163608000000026</f>
        <v>1009.8688820000001</v>
      </c>
      <c r="S341" s="3">
        <f>506.6+(947.8-309.4)+(-1.033464+(-1.933512--0.631176))+0-160--0.326399999999993</f>
        <v>982.99059999999997</v>
      </c>
      <c r="T341" s="3">
        <f>508.2+(905.9-274.3)+(0+(0-0))+0-163-0</f>
        <v>976.8</v>
      </c>
      <c r="U341" s="3">
        <f>508.4+(920.7-285.9)+(0.259284+(0.469557-0.145809))+0-166-0.0846599999999832</f>
        <v>977.69837200000006</v>
      </c>
      <c r="V341" s="3">
        <f>511.6+(978.4-317.1)+(0+(0-0))+0-181.9-0</f>
        <v>991.00000000000011</v>
      </c>
      <c r="W341" s="3">
        <f>515.6+(1059-344.8)+(-0.525912+(-1.08018--0.351696))+0-185.3--0.18900600000003</f>
        <v>1043.4346100000002</v>
      </c>
      <c r="X341" s="3">
        <f>518.6+(1135.7-340.6)+(-0.793458+(-1.737621--0.521118))+0-189.3--0.289629000000011</f>
        <v>1122.6796680000002</v>
      </c>
      <c r="Y341" s="3">
        <f>523.1+(1115.5-343)+(-0.533562+(-1.13781--0.34986))+0-189.1--0.19288200000003</f>
        <v>1105.3713700000001</v>
      </c>
      <c r="Z341" s="3">
        <f>525.3+(1064.7-325.7)+(0.267903+(0.542997-0.166107))+0-187.2-0.095471999999981</f>
        <v>1077.6493209999999</v>
      </c>
      <c r="AA341" s="3">
        <f>530.2+(1013.8-307.4)+(-0.540804+(-1.034076--0.313548))+0-186.9--0.19063800000003</f>
        <v>1048.6293059999998</v>
      </c>
      <c r="AB341" s="3">
        <f>533.5+(971.3-333.3)+(-0.54417+(-0.990726--0.339966))+0-180.1--0.183702000000029</f>
        <v>990.3887719999999</v>
      </c>
      <c r="AC341" s="3">
        <f>531.6+(915.7-323.7)+(-0.271116+(-0.467007--0.165087))+0-193.9--0.0988889999999803</f>
        <v>929.22585299999992</v>
      </c>
      <c r="AD341" s="2">
        <v>1110.4000000000001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529.8+(759.1-226.4)+(-1.35099+(-1.935705--0.57732))+0-195.6--0.498779999999972</f>
        <v>864.68940500000008</v>
      </c>
      <c r="G342" s="3">
        <f>532.2+(648.1-153.2)+(-0.271422+(-0.330531--0.078132))+0-198--0.10097999999998</f>
        <v>828.67715900000007</v>
      </c>
      <c r="H342" s="3">
        <f>531.7+(661.9-171)+(-0.542334+(-0.675138--0.17442))+0-198.2--0.202164000000032</f>
        <v>823.55911200000014</v>
      </c>
      <c r="I342" s="3">
        <f>534.1+(674.5-196.6)+(-0.817173+(-1.031985--0.300798))+0-199.6--0.305388000000012</f>
        <v>811.15702799999997</v>
      </c>
      <c r="J342" s="3">
        <f>535.5+(701.9-216.5)+(0.273105+(0.357969-0.110415))+0-197.2-0.10057199999998</f>
        <v>824.12008700000013</v>
      </c>
      <c r="K342" s="3">
        <f>535.6+(766.1-274)+(-0.273156+(-0.390711--0.13974))+0-195--0.0994499999999802</f>
        <v>832.27532300000007</v>
      </c>
      <c r="L342" s="3">
        <f>528+(857.3-291)+(-0.26928+(-0.437223--0.14841))+0-189.6--0.0966959999999808</f>
        <v>904.23860299999978</v>
      </c>
      <c r="M342" s="3">
        <f>534.7+(945.8-320.5)+(0.272697+(0.482358-0.163455))+0-194.3-0.0990929999999803</f>
        <v>966.19250700000009</v>
      </c>
      <c r="N342" s="3">
        <f>536.3+(1004.9-327.2)+(0.273513+(0.512499-0.166872))+0-190.9-0.0973589999999806</f>
        <v>1023.6217810000001</v>
      </c>
      <c r="O342" s="3">
        <f>528.4+(1063.5-348.6)+(0+(0-0))+0-194-0</f>
        <v>1049.3</v>
      </c>
      <c r="P342" s="3">
        <f>516+(1070.1-336)+(0+(0-0))+0-199.4-0</f>
        <v>1050.6999999999998</v>
      </c>
      <c r="Q342" s="3">
        <f>519.4+(1067.4-323)+(-0.264894+(-0.544374--0.16473))+0-202.3--0.103172999999979</f>
        <v>1060.9586350000002</v>
      </c>
      <c r="R342" s="3">
        <f>520+(995-278.5)+(-1.0608+(-2.0298--0.56814))+0-194.1--0.395963999999991</f>
        <v>1040.2735040000002</v>
      </c>
      <c r="S342" s="3">
        <f>517.1+(941.4-254.4)+(0.527442+(0.960228-0.259488))+0-190.8-0.19461600000003</f>
        <v>1014.333566</v>
      </c>
      <c r="T342" s="3">
        <f>523.6+(934.8-277.5)+(0.267036+(0.476748-0.141525))+0-178.1-0.0908309999999819</f>
        <v>1003.3114280000001</v>
      </c>
      <c r="U342" s="3">
        <f>527.1+(925.7-280.6)+(0.537642+(0.944214-0.286212))+0-177.9-0.181458000000028</f>
        <v>995.31418599999995</v>
      </c>
      <c r="V342" s="3">
        <f>536.5+(985.5-331.2)+(0.54723+(1.00521-0.337824))+0-174.3-0.177786000000028</f>
        <v>1017.5368299999999</v>
      </c>
      <c r="W342" s="3">
        <f>540.2+(1078.1-375.6)+(-1.102008+(-2.199324--0.766224))+0-174.3--0.355571999999992</f>
        <v>1066.2204639999998</v>
      </c>
      <c r="X342" s="3">
        <f>543.8+(1082.3-346.3)+(-0.277338+(-0.551973--0.176613))+0-176.1--0.0898109999999821</f>
        <v>1103.137113</v>
      </c>
      <c r="Y342" s="3">
        <f>543+(1025.9-320.6)+(-1.10772+(-2.092836--0.654024))+0-178.3--0.363731999999992</f>
        <v>1067.8172000000002</v>
      </c>
      <c r="Z342" s="3">
        <f>540.5+(980.5-291.4)+(-1.378275+(-2.500275--0.74307))+0-191.7--0.488834999999972</f>
        <v>1035.2533549999998</v>
      </c>
      <c r="AA342" s="3">
        <f>539.1+(901.5-264.3)+(0+(0-0))+0-204.5-0</f>
        <v>971.80000000000018</v>
      </c>
      <c r="AB342" s="3">
        <f>543.5+(826-238.6)+(-0.277185+(-0.42126--0.121686))+0-202.4--0.103223999999979</f>
        <v>928.02646500000003</v>
      </c>
      <c r="AC342" s="3">
        <f>545.9+(789.4-256.2)+(-0.835227+(-1.207782--0.391986))+0-201.9--0.308907000000012</f>
        <v>875.85788400000001</v>
      </c>
      <c r="AD342" s="2">
        <v>1083.9000000000001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544.5+(755.3-274.3)+(-0.55539+(-0.770406--0.279786))+0-194.2--0.198084000000031</f>
        <v>830.45207399999993</v>
      </c>
      <c r="G343" s="3">
        <f>548+(730.4-269.9)+(0.27948+(0.372504-0.137649))+0-203.2-0.103631999999979</f>
        <v>805.71070300000008</v>
      </c>
      <c r="H343" s="3">
        <f>547.6+(725.1-290.1)+(-0.558552+(-0.739602--0.295902))+0-203.7--0.207774000000032</f>
        <v>778.10552200000018</v>
      </c>
      <c r="I343" s="3">
        <f>548.7+(750.6-319.8)+(0.279837+(0.382806-0.163098))+0-201.8-0.10291799999998</f>
        <v>778.09662700000001</v>
      </c>
      <c r="J343" s="3">
        <f>549.4+(805.1-381.9)+(0+(0-0))+0-198.1-0</f>
        <v>774.5</v>
      </c>
      <c r="K343" s="3">
        <f>551.8+(875.4-431.4)+(-0.844254+(-1.339362--0.660042))+0-198.4--0.303552000000011</f>
        <v>796.17997799999989</v>
      </c>
      <c r="L343" s="3">
        <f>553.2+(898.1-416.8)+(0+(0-0))+0-191.2-0</f>
        <v>843.3</v>
      </c>
      <c r="M343" s="3">
        <f>552.2+(920.9-373.9)+(0.281622+(0.469659-0.190689))+0-197.9-0.10092899999998</f>
        <v>901.75966300000016</v>
      </c>
      <c r="N343" s="3">
        <f>548.6+(951-351)+(-0.279786+(-0.48501--0.17901))+0-201.2--0.10261199999998</f>
        <v>946.91682599999979</v>
      </c>
      <c r="O343" s="3">
        <f>546.7+(1025-437.7)+(-0.836451+(-1.56825--0.669681))+0-199--0.304470000000012</f>
        <v>933.56944999999996</v>
      </c>
      <c r="P343" s="3">
        <f>540.4+(1158-517.7)+(-0.826812+(-1.77174--0.792081))+0-195.2--0.298656000000011</f>
        <v>983.99218499999972</v>
      </c>
      <c r="Q343" s="3">
        <f>539.4+(1079.2-422.1)+(-1.100376+(-2.201568--0.861084))+0-198--0.403919999999991</f>
        <v>996.46306000000004</v>
      </c>
      <c r="R343" s="3">
        <f>537.9+(1042.4-417.2)+(0+(0-0))+0-198.2-0</f>
        <v>964.89999999999986</v>
      </c>
      <c r="S343" s="3">
        <f>537.2+(899.4-309.4)+(-0.821916+(-1.376082--0.473382))+0-198.2--0.303246000000011</f>
        <v>927.57863000000009</v>
      </c>
      <c r="T343" s="3">
        <f>538.3+(894.8-323.5)+(0.549066+(0.912696-0.32997))+0-193.4-0.197268000000031</f>
        <v>917.13452399999983</v>
      </c>
      <c r="U343" s="3">
        <f>535.4+(923.3-350.4)+(-0.273054+(-0.470883--0.178704))+0-190.3--0.0970529999999807</f>
        <v>917.53181999999993</v>
      </c>
      <c r="V343" s="3">
        <f>537.1+(905.4-366.4)+(0+(0-0))+0-135.7-0</f>
        <v>940.39999999999986</v>
      </c>
      <c r="W343" s="3">
        <f>545.3+(954.6-349.3)+(-0.556206+(-0.973692--0.356286))+0-150--0.153000000000024</f>
        <v>999.57938799999988</v>
      </c>
      <c r="X343" s="3">
        <f>550.6+(1090.5-413.6)+(-0.280806+(-0.556155--0.210936))+0-148.8--0.0758879999999849</f>
        <v>1078.1498630000001</v>
      </c>
      <c r="Y343" s="3">
        <f>551.1+(1079.6-445.6)+(-1.405305+(-2.75298--1.13628))+0-131.1--0.334304999999981</f>
        <v>1051.3123000000001</v>
      </c>
      <c r="Z343" s="3">
        <f>552+(1008.6-409.1)+(0+(0-0))+0-125.7-0</f>
        <v>1025.8</v>
      </c>
      <c r="AA343" s="3">
        <f>553.3+(975.9-408.8)+(-0.564366+(-0.995418--0.416976))+0-126.3--0.12882600000002</f>
        <v>993.08601799999985</v>
      </c>
      <c r="AB343" s="3">
        <f>555.6+(891-384.6)+(-0.566712+(-0.90882--0.392292))+0-124.1--0.12658200000002</f>
        <v>936.94334200000003</v>
      </c>
      <c r="AC343" s="3">
        <f>556.5+(868-424.4)+(-1.419075+(-2.2134--1.08222))+0-124--0.316199999999982</f>
        <v>873.86594500000001</v>
      </c>
      <c r="AD343" s="2">
        <v>1047.1000000000001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482.2+(911.7-430.5)+(-0.737766+(-1.394901--0.658665))+0-124.2--0.190026000000007</f>
        <v>837.91602399999999</v>
      </c>
      <c r="G344" s="3">
        <f>428.4+(935.6-406.6)+(-0.655452+(-1.431468--0.622098))+0-144.6--0.221238000000008</f>
        <v>811.5564159999999</v>
      </c>
      <c r="H344" s="3">
        <f>429.1+(854.3-338.2)+(-0.218841+(-0.435693--0.172482))+0-148.1--0.075530999999985</f>
        <v>796.69347899999991</v>
      </c>
      <c r="I344" s="3">
        <f>429.4+(836.2-316.2)+(-0.437988+(-0.852924--0.322524))+0-155.6--0.158712000000025</f>
        <v>792.99032399999999</v>
      </c>
      <c r="J344" s="3">
        <f>430.8+(831.5-299.1)+(0.219708+(0.424065-0.152541))+0-167.8-0.085577999999983</f>
        <v>795.805654</v>
      </c>
      <c r="K344" s="3">
        <f>429.8+(900.5-347.7)+(0.876792+(1.83702-0.709308))+0-171.4-0.349655999999993</f>
        <v>812.85484799999995</v>
      </c>
      <c r="L344" s="3">
        <f>432.5+(998.4-377.6)+(-0.220575+(-0.509184--0.192576))+0-175--0.0892499999999822</f>
        <v>877.85206700000003</v>
      </c>
      <c r="M344" s="3">
        <f>431+(1039.4-361.5)+(-0.21981+(-0.530094--0.184365))+0-180--0.0917999999999817</f>
        <v>928.42626100000018</v>
      </c>
      <c r="N344" s="3">
        <f>429.4+(1063.8-339.7)+(-0.218994+(-0.542538--0.173247))+0-189.3--0.0965429999999808</f>
        <v>963.708258</v>
      </c>
      <c r="O344" s="3">
        <f>428.6+(1089.7-339.9)+(-0.874344+(-2.222988--0.693396))+0-193.2--0.394127999999992</f>
        <v>983.19019200000014</v>
      </c>
      <c r="P344" s="3">
        <f>425.5+(1153.2-381.1)+(-0.217005+(-0.588132--0.194361))+0-191.9--0.0978689999999805</f>
        <v>1005.1870929999999</v>
      </c>
      <c r="Q344" s="3">
        <f>422+(1158.1-370.6)+(-0.43044+(-1.181262--0.378012))+0-194.4--0.198288000000031</f>
        <v>1014.064598</v>
      </c>
      <c r="R344" s="3">
        <f>421.3+(1171.1-404.4)+(-0.859452+(-2.389044--0.824976))+0-187.7--0.382907999999992</f>
        <v>998.25938799999994</v>
      </c>
      <c r="S344" s="3">
        <f>421+(1146.4-382.2)+(-0.64413+(-1.753992--0.584766))+0-196.4--0.300492000000011</f>
        <v>987.28713599999992</v>
      </c>
      <c r="T344" s="3">
        <f>419+(1159.6-400.2)+(0.21369+(0.591396-0.204102))+0-196.4-0.10016399999998</f>
        <v>982.50081999999986</v>
      </c>
      <c r="U344" s="3">
        <f>418.4+(1139.8-385.7)+(0.426768+(1.162596-0.393414))+0-193.7-0.197574000000031</f>
        <v>979.79837599999996</v>
      </c>
      <c r="V344" s="3">
        <f>418.3+(1113.4-353.4)+(0.213333+(0.567834-0.180234))+0-195-0.0994499999999802</f>
        <v>983.80148300000019</v>
      </c>
      <c r="W344" s="3">
        <f>417.6+(1195.8-387.6)+(0.212976+(0.609858-0.197676))+0-195.7-0.0998069999999801</f>
        <v>1030.6253509999999</v>
      </c>
      <c r="X344" s="3">
        <f>420.5+(1232.5-346.2)+(0+(0-0))+0-195.8-0</f>
        <v>1111</v>
      </c>
      <c r="Y344" s="3">
        <f>422.5+(1233.3-376.2)+(0+(0-0))+0-196.5-0</f>
        <v>1083.0999999999999</v>
      </c>
      <c r="Z344" s="3">
        <f>423.7+(1224.7-395.3)+(-0.216087+(-0.624597--0.201603))+0-199--0.10148999999998</f>
        <v>1053.5624090000001</v>
      </c>
      <c r="AA344" s="3">
        <f>426.3+(1192-384.9)+(0+(0-0))+0-204.6-0</f>
        <v>1028.8000000000002</v>
      </c>
      <c r="AB344" s="3">
        <f>425.9+(1172.1-420.7)+(-0.868836+(-2.391084--0.858228))+0-196.7--0.401267999999991</f>
        <v>978.59957599999973</v>
      </c>
      <c r="AC344" s="3">
        <f>427.1+(1185.4-492.1)+(-0.217821+(-0.604554--0.250971))+0-190.6--0.0972059999999807</f>
        <v>929.32580200000007</v>
      </c>
      <c r="AD344" s="2">
        <v>1107.3999999999999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430.4+(1128.2-487.1)+(-1.09752+(-2.87691--1.242105))+0-187--0.476849999999973</f>
        <v>882.24452500000007</v>
      </c>
      <c r="G345" s="3">
        <f>429.7+(970.8-370.7)+(-0.657441+(-1.485324--0.567171))+0-187.2--0.286416000000011</f>
        <v>841.31082200000003</v>
      </c>
      <c r="H345" s="3">
        <f>430+(920.2-344.3)+(0+(0-0))+0-183.4-0</f>
        <v>822.50000000000011</v>
      </c>
      <c r="I345" s="3">
        <f>430.6+(912-336.5)+(0.219606+(0.46512-0.171615))+0-188.5-0.0961349999999809</f>
        <v>818.016976</v>
      </c>
      <c r="J345" s="3">
        <f>430.5+(966.8-384.8)+(-0.87822+(-1.972272--0.784992))+0-187.5--0.382499999999992</f>
        <v>823.31699999999989</v>
      </c>
      <c r="K345" s="3">
        <f>430.1+(985.7-376.8)+(0.219351+(0.502707-0.192168))+0-183.3-0.0934829999999814</f>
        <v>856.13640700000008</v>
      </c>
      <c r="L345" s="3">
        <f>429.1+(1079.6-408.5)+(0.218841+(0.550596-0.208335))+0-174.8-0.0891479999999823</f>
        <v>925.87195399999973</v>
      </c>
      <c r="M345" s="3">
        <f>426.4+(1165.6-424.3)+(-0.217464+(-0.594456--0.216393))+0-188.7--0.0962369999999809</f>
        <v>978.5007099999998</v>
      </c>
      <c r="N345" s="3">
        <f>419.6+(1215.3-438.2)+(0+(0-0))+0-183.1-0</f>
        <v>1013.5999999999998</v>
      </c>
      <c r="O345" s="3">
        <f>414.7+(1209.4-415.8)+(-0.211497+(-0.616794--0.212058))+0-185.4--0.0945539999999812</f>
        <v>1022.3783210000003</v>
      </c>
      <c r="P345" s="3">
        <f>413.7+(1226.5-414.3)+(-0.632961+(-1.876545--0.633879))+0-183.5--0.280755000000011</f>
        <v>1040.8051280000002</v>
      </c>
      <c r="Q345" s="3">
        <f>411.2+(1203-393)+(-0.209712+(-0.61353--0.20043))+0-183--0.0933299999999814</f>
        <v>1037.6705179999999</v>
      </c>
      <c r="R345" s="3">
        <f>410.6+(1191.7-391.2)+(-0.209406+(-0.607767--0.199512))+0-187.7--0.095726999999981</f>
        <v>1022.8780659999999</v>
      </c>
      <c r="S345" s="3">
        <f>409.7+(1080.8-301.2)+(0.626841+(1.653624-0.460836))+0-184.1-0.281673000000011</f>
        <v>1006.7379560000001</v>
      </c>
      <c r="T345" s="3">
        <f>411.4+(1064.8-296.5)+(0.419628+(1.086096-0.30243))+0-183.8-0.187476000000029</f>
        <v>996.91581799999972</v>
      </c>
      <c r="U345" s="3">
        <f>409+(1060.8-301.5)+(-0.41718+(-1.082016--0.30753))+0-176.7--0.180234000000028</f>
        <v>990.58856800000001</v>
      </c>
      <c r="V345" s="3">
        <f>409.1+(1080.3-304.9)+(0.208641+(0.550953-0.155499))+0-181.8-0.0927179999999816</f>
        <v>1003.211377</v>
      </c>
      <c r="W345" s="3">
        <f>410.6+(1185.9-363.4)+(0.209406+(0.604809-0.185334))+0-177.8-0.090677999999982</f>
        <v>1055.8382030000002</v>
      </c>
      <c r="X345" s="3">
        <f>410.9+(1304.2-408.1)+(-0.209559+(-0.665142--0.208131))+0-179.5--0.0915449999999818</f>
        <v>1126.9249749999999</v>
      </c>
      <c r="Y345" s="3">
        <f>410.6+(1317.5-442.7)+(-1.04703+(-3.359625--1.128885))+0-178.1--0.454154999999974</f>
        <v>1104.4763850000002</v>
      </c>
      <c r="Z345" s="3">
        <f>412.1+(1311.7-461.1)+(-0.840684+(-2.675868--0.940644))+0-183.8--0.374951999999992</f>
        <v>1076.699044</v>
      </c>
      <c r="AA345" s="3">
        <f>412+(1252.9-436.3)+(-1.0506+(-3.194895--1.112565))+0-179--0.456449999999974</f>
        <v>1046.9235200000001</v>
      </c>
      <c r="AB345" s="3">
        <f>411.9+(1164.4-395.5)+(-0.210069+(-0.593844--0.201705))+0-183.8--0.0937379999999814</f>
        <v>996.49153000000024</v>
      </c>
      <c r="AC345" s="3">
        <f>411.5+(1093.5-376.5)+(-0.629595+(-1.673055--0.576045))+0-183.5--0.280755000000011</f>
        <v>943.55414999999994</v>
      </c>
      <c r="AD345" s="2">
        <v>1130.2999999999997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414.2+(1021.2-344.4)+(-0.211242+(-0.520812--0.175644))+0-186.9--0.095318999999981</f>
        <v>903.63890900000013</v>
      </c>
      <c r="G346" s="3">
        <f>416.6+(963.5-323.6)+(-0.212466+(-0.491385--0.165036))+0-186.9--0.095318999999981</f>
        <v>869.15650399999993</v>
      </c>
      <c r="H346" s="3">
        <f>415.7+(806.6-193.3)+(0.212007+(0.411366-0.098583))+0-185.6-0.0946559999999812</f>
        <v>843.83013399999993</v>
      </c>
      <c r="I346" s="3">
        <f>416.5+(791.7-188.4)+(-0.42483+(-0.807534--0.192168))+0-186--0.18972000000003</f>
        <v>832.94952400000011</v>
      </c>
      <c r="J346" s="3">
        <f>415.3+(801.1-193.8)+(0.423606+(0.817122-0.197676))+0-185.7-0.18941400000003</f>
        <v>837.7536379999998</v>
      </c>
      <c r="K346" s="3">
        <f>416.5+(916.6-283.6)+(0.212415+(0.467466-0.144636))+0-182.6-0.0931259999999815</f>
        <v>867.34211900000003</v>
      </c>
      <c r="L346" s="3">
        <f>419.7+(947.8-273.7)+(-1.284282+(-2.900268--0.837522))+0-178--0.544680000000021</f>
        <v>912.99765200000002</v>
      </c>
      <c r="M346" s="3">
        <f>417.2+(1027.5-274.2)+(0.212772+(0.524025-0.139842))+0-186.2-0.0949619999999811</f>
        <v>984.80199299999992</v>
      </c>
      <c r="N346" s="3">
        <f>409+(1069.5-257.6)+(0+(0-0))+0-187.9-0</f>
        <v>1033</v>
      </c>
      <c r="O346" s="3">
        <f>405+(1076.4-253.6)+(-0.4131+(-1.097928--0.258672))+0-187.3--0.19104600000003</f>
        <v>1039.4386900000004</v>
      </c>
      <c r="P346" s="3">
        <f>401.8+(1049.2-214.6)+(0.204918+(0.535092-0.109446))+0-186.3-0.0950129999999811</f>
        <v>1050.6355510000003</v>
      </c>
      <c r="Q346" s="3">
        <f>402.3+(1038.7-199.9)+(-0.820692+(-2.118948--0.407796))+0-185.5--0.378419999999992</f>
        <v>1053.4465760000001</v>
      </c>
      <c r="R346" s="3">
        <f>401.1+(1079-231.4)+(-0.409122+(-1.10058--0.236028))+0-186.1--0.18982200000003</f>
        <v>1061.5161480000002</v>
      </c>
      <c r="S346" s="3">
        <f>401.6+(1072.5-245.4)+(-1.02408+(-2.734875--0.62577))+0-188.4--0.480419999999973</f>
        <v>1037.6472349999999</v>
      </c>
      <c r="T346" s="3">
        <f>400.6+(1005.9-198.2)+(-0.408612+(-1.026018--0.202164))+0-187.9--0.19165800000003</f>
        <v>1019.3591920000003</v>
      </c>
      <c r="U346" s="3">
        <f>400.9+(983.5-193)+(-1.226754+(-3.00951--0.59058))+0-185.6--0.567936000000021</f>
        <v>1002.722252</v>
      </c>
      <c r="V346" s="3">
        <f>400.9+(1004.5-201.7)+(0+(0-0))+0-185.2-0</f>
        <v>1018.4999999999998</v>
      </c>
      <c r="W346" s="3">
        <f>401.6+(1084.8-246.8)+(-0.409632+(-1.106496--0.251736))+0-186.1--0.18982200000003</f>
        <v>1052.42543</v>
      </c>
      <c r="X346" s="3">
        <f>405.3+(1116.5-217.9)+(0.413406+(1.13883-0.222258))+0-185-0.18870000000003</f>
        <v>1120.0412780000001</v>
      </c>
      <c r="Y346" s="3">
        <f>404.9+(1053.7-189.2)+(-0.619497+(-1.612161--0.289476))+0-181.3--0.27738900000001</f>
        <v>1086.4352070000002</v>
      </c>
      <c r="Z346" s="3">
        <f>404.3+(1038.4-219)+(-0.824772+(-2.118336--0.44676))+0-182.3--0.371891999999992</f>
        <v>1039.2755440000001</v>
      </c>
      <c r="AA346" s="3">
        <f>364.8+(992.9-201)+(-0.186048+(-0.506379--0.10251))+0-183.4--0.0935339999999814</f>
        <v>972.80361700000003</v>
      </c>
      <c r="AB346" s="3">
        <f>313.3+(951-195.2)+(-0.319566+(-0.97002--0.199104))+0-184.3--0.187986000000029</f>
        <v>883.89750399999991</v>
      </c>
      <c r="AC346" s="3">
        <f>137.1+(1024.5-155.6)+(-0.069921+(-0.522495--0.079356))+0-183.6--0.0936359999999814</f>
        <v>821.98057599999993</v>
      </c>
      <c r="AD346" s="2">
        <v>1085.5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46+(1153.5-121.8)+(-0.04692+(-1.17657--0.124236))+0-180.6--0.184212000000029</f>
        <v>896.18495800000005</v>
      </c>
      <c r="G347" s="3">
        <f>34+(1134.6-128.6)+(-0.01734+(-0.578646--0.065586))+0-178.7--0.0911369999999819</f>
        <v>860.86073699999986</v>
      </c>
      <c r="H347" s="3">
        <f>34+(1081.3-89.2)+(-0.03468+(-1.102926--0.090984))+0-179--0.182580000000029</f>
        <v>846.23595799999987</v>
      </c>
      <c r="I347" s="3">
        <f>39+(1074.1-96.5)+(0.01989+(0.547791-0.049215))+0-183.3-0.0934829999999814</f>
        <v>833.72498299999995</v>
      </c>
      <c r="J347" s="3">
        <f>85+(1036.2-101.3)+(-0.1734+(-2.113848--0.206652))+0-183.6--0.374543999999992</f>
        <v>834.59394800000007</v>
      </c>
      <c r="K347" s="3">
        <f>118+(1023.4-110.8)+(0.06018+(0.521934-0.056508))+0-182.6-0.0931259999999815</f>
        <v>848.43247999999983</v>
      </c>
      <c r="L347" s="3">
        <f>153+(1050.3-148.2)+(-0.46818+(-3.213918--0.453492))+0-178--0.544680000000021</f>
        <v>874.41607399999998</v>
      </c>
      <c r="M347" s="3">
        <f>205+(1105.9-192.8)+(-0.31365+(-1.692027--0.294984))+0-180.6--0.27631800000001</f>
        <v>936.06562500000018</v>
      </c>
      <c r="N347" s="3">
        <f>285.2+(1025.4-163.6)+(-0.145452+(-0.522954--0.083436))+0-183.9--0.0937889999999813</f>
        <v>962.60881899999993</v>
      </c>
      <c r="O347" s="3">
        <f>355.2+(993.9-181.5)+(-0.181152+(-0.506889--0.092565))+0-182.2--0.0929219999999815</f>
        <v>984.89744599999983</v>
      </c>
      <c r="P347" s="3">
        <f>391.1+(993.6-192.4)+(-0.199461+(-0.506736--0.098124))+0-178.1--0.0908309999999819</f>
        <v>1013.682758</v>
      </c>
      <c r="Q347" s="3">
        <f>391.5+(971.3-178.6)+(0+(0-0))+0-167.3-0</f>
        <v>1016.8999999999999</v>
      </c>
      <c r="R347" s="3">
        <f>388.3+(965.8-179.8)+(-0.594099+(-1.477674--0.275094))+0-174--0.26622000000001</f>
        <v>998.76954099999989</v>
      </c>
      <c r="S347" s="3">
        <f>388.9+(931.5-167.3)+(0.396678+(0.95013-0.170646))+0-171.9-0.175338000000027</f>
        <v>982.2008239999999</v>
      </c>
      <c r="T347" s="3">
        <f>388.5+(923.5-165.6)+(0+(0-0))+0-174.8-0</f>
        <v>971.60000000000014</v>
      </c>
      <c r="U347" s="3">
        <f>389.1+(902.9-155.4)+(-0.595323+(-1.381437--0.237762))+0-175.9--0.26912700000001</f>
        <v>959.23012899999992</v>
      </c>
      <c r="V347" s="3">
        <f>389.1+(931.5-166.9)+(0.396882+(0.95013-0.170238))+0-181-0.184620000000029</f>
        <v>973.69215400000007</v>
      </c>
      <c r="W347" s="3">
        <f>393.8+(1023.2-224.7)+(0.200838+(0.521832-0.114597))+0-176-0.0897599999999821</f>
        <v>1016.8183130000001</v>
      </c>
      <c r="X347" s="3">
        <f>399.6+(1139.4-259.7)+(0+(0-0))+0-181.2-0</f>
        <v>1098.1000000000001</v>
      </c>
      <c r="Y347" s="3">
        <f>404.6+(1073.5-208.2)+(-0.206346+(-0.547485--0.106182))+0-177.1--0.090320999999982</f>
        <v>1092.2426720000001</v>
      </c>
      <c r="Z347" s="3">
        <f>404.2+(1068.5-228.6)+(-0.206142+(-0.544935--0.116586))+0-185.7--0.0947069999999812</f>
        <v>1057.8602159999998</v>
      </c>
      <c r="AA347" s="3">
        <f>406.4+(1002.6-211.4)+(-0.207264+(-0.511326--0.107814))+0-187.3--0.095522999999981</f>
        <v>1009.7847469999999</v>
      </c>
      <c r="AB347" s="3">
        <f>407.5+(961.3-208.9)+(-0.41565+(-0.980526--0.213078))+0-187.3--0.19104600000003</f>
        <v>971.60794800000019</v>
      </c>
      <c r="AC347" s="3">
        <f>408.8+(919-228.1)+(0.208488+(0.46869-0.116331))+0-186.6-0.0951659999999811</f>
        <v>913.56568100000004</v>
      </c>
      <c r="AD347" s="2">
        <v>1102.3999999999999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409.2+(889.7-230.5)+(-1.04346+(-2.268735--0.587775))+0-186.7--0.476084999999973</f>
        <v>879.45166500000005</v>
      </c>
      <c r="G348" s="3">
        <f>412.4+(838.5-223.4)+(0.420648+(0.85527-0.227868))+0-182.3-0.185946000000029</f>
        <v>846.06210400000009</v>
      </c>
      <c r="H348" s="3">
        <f>413.5+(801.7-197.2)+(-0.84354+(-1.635468--0.402288))+0-182.7--0.372707999999992</f>
        <v>833.59598799999992</v>
      </c>
      <c r="I348" s="3">
        <f>415.1+(786.8-192.2)+(-0.423402+(-0.802536--0.196044))+0-183.7--0.187374000000029</f>
        <v>825.15747999999996</v>
      </c>
      <c r="J348" s="3">
        <f>415.7+(805.2-205.1)+(0.212007+(0.410652-0.104601))+0-183.4-0.0935339999999814</f>
        <v>832.824524</v>
      </c>
      <c r="K348" s="3">
        <f>416+(867.4-241.6)+(0+(0-0))+0-181-0</f>
        <v>860.8</v>
      </c>
      <c r="L348" s="3">
        <f>416+(897.9-207.5)+(-0.21216+(-0.457929--0.105825))+0-181.6--0.0926159999999816</f>
        <v>924.328352</v>
      </c>
      <c r="M348" s="3">
        <f>411.8+(987.9-233.1)+(0.420036+(1.007658-0.237762))+0-187.2-0.19094400000003</f>
        <v>980.3989879999998</v>
      </c>
      <c r="N348" s="3">
        <f>398.6+(1107.9-287.6)+(0+(0-0))+0-188.6-0</f>
        <v>1030.3000000000002</v>
      </c>
      <c r="O348" s="3">
        <f>356.5+(1158.8-303.1)+(0.545445+(1.772964-0.463743))+0-174.9-0.26759700000001</f>
        <v>1038.8870689999997</v>
      </c>
      <c r="P348" s="3">
        <f>381+(1144.9-329.7)+(0.19431+(0.583899-0.168147))+0-170.1-0.0867509999999827</f>
        <v>1026.6233110000001</v>
      </c>
      <c r="Q348" s="3">
        <f>379.4+(1111.3-291.4)+(0+(0-0))+0-163.7-0</f>
        <v>1035.5999999999999</v>
      </c>
      <c r="R348" s="3">
        <f>383.2+(1078.7-275.4)+(-0.195432+(-0.550137--0.140454))+0-168--0.085679999999983</f>
        <v>1017.980565</v>
      </c>
      <c r="S348" s="3">
        <f>382.9+(1021.7-245.1)+(-0.390558+(-1.042134--0.250002))+0-171.9--0.175338000000027</f>
        <v>986.59264799999994</v>
      </c>
      <c r="T348" s="3">
        <f>381.6+(994.2-229)+(-0.389232+(-1.014084--0.23358))+0-171--0.174420000000027</f>
        <v>974.80468400000018</v>
      </c>
      <c r="U348" s="3">
        <f>377.5+(1017.5-242.1)+(-0.192525+(-0.518925--0.123471))+0-174.1--0.0887909999999823</f>
        <v>978.30081200000018</v>
      </c>
      <c r="V348" s="3">
        <f>387.8+(1021.1-239.9)+(-0.197778+(-0.520761--0.122349))+0-184.9--0.0942989999999812</f>
        <v>983.59810900000002</v>
      </c>
      <c r="W348" s="3">
        <f>393.1+(1074.6-264.5)+(-0.200481+(-0.548046--0.134895))+0-187.8--0.0957779999999809</f>
        <v>1014.8821459999998</v>
      </c>
      <c r="X348" s="3">
        <f>396.4+(1152.9-262.4)+(0.404328+(1.175958-0.267648))+0-190.3-0.19410600000003</f>
        <v>1097.7185320000003</v>
      </c>
      <c r="Y348" s="3">
        <f>400.5+(1155.7-268.2)+(-1.021275+(-2.947035--0.68391))+0-191.7--0.488834999999972</f>
        <v>1093.5044349999998</v>
      </c>
      <c r="Z348" s="3">
        <f>401+(1126.7-269.7)+(-0.40902+(-1.149234--0.275094))+0-192.8--0.196656000000031</f>
        <v>1064.1134960000002</v>
      </c>
      <c r="AA348" s="3">
        <f>403.8+(1069.1-241.6)+(-1.02969+(-2.726205--0.61608))+0-194.4--0.495719999999972</f>
        <v>1034.2559049999998</v>
      </c>
      <c r="AB348" s="3">
        <f>405.5+(1001.1-232)+(-1.034025+(-2.552805--0.5916))+0-191.1--0.487304999999972</f>
        <v>980.99207499999989</v>
      </c>
      <c r="AC348" s="3">
        <f>407.8+(974.7-263.8)+(-0.207978+(-0.497097--0.134538))+0-189.9--0.0968489999999807</f>
        <v>928.32631200000003</v>
      </c>
      <c r="AD348" s="2">
        <v>1098.3000000000002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407.5+(918-261.7)+(-0.8313+(-1.87272--0.533868))+0-191.3--0.390251999999992</f>
        <v>870.72010000000012</v>
      </c>
      <c r="G349" s="3">
        <f>411.6+(846-219.4)+(-0.419832+(-0.86292--0.223788))+0-190.3--0.19410600000003</f>
        <v>847.03514200000006</v>
      </c>
      <c r="H349" s="3">
        <f>413.4+(805.1-200.3)+(-0.632502+(-1.231803--0.306459))+0-190.1--0.290853000000011</f>
        <v>826.83300699999984</v>
      </c>
      <c r="I349" s="3">
        <f>413.5+(795.1-201.8)+(-0.84354+(-1.622004--0.411672))+0-189.4--0.386375999999992</f>
        <v>815.73250400000006</v>
      </c>
      <c r="J349" s="3">
        <f>415.3+(798.8-206.2)+(0.211803+(0.407388-0.105162))+0-187.3-0.095522999999981</f>
        <v>821.01850599999989</v>
      </c>
      <c r="K349" s="3">
        <f>416+(842.6-225.2)+(0.63648+(1.289178-0.344556))+0-188.9-0.289017000000011</f>
        <v>845.79208500000016</v>
      </c>
      <c r="L349" s="3">
        <f>414.9+(913.6-232.5)+(0.634797+(1.397808-0.355725))+0-187-0.286110000000011</f>
        <v>910.39076999999997</v>
      </c>
      <c r="M349" s="3">
        <f>409.6+(1009.3-253.3)+(0.417792+(1.029486-0.258366))+0-189.6-0.19339200000003</f>
        <v>976.99551999999994</v>
      </c>
      <c r="N349" s="3">
        <f>402+(1038-253)+(0+(0-0))+0-202-0</f>
        <v>985</v>
      </c>
      <c r="O349" s="3">
        <f>396.5+(1013.6-230.3)+(-0.606645+(-1.550808--0.352359))+0-179.7--0.27494100000001</f>
        <v>998.56984699999987</v>
      </c>
      <c r="P349" s="3">
        <f>401.3+(1064-242)+(0+(0-0))+0-186-0</f>
        <v>1037.3</v>
      </c>
      <c r="Q349" s="3">
        <f>402.6+(1075.5-227.9)+(-1.02663+(-2.742525--0.581145))+0-181.3--0.462314999999974</f>
        <v>1066.174305</v>
      </c>
      <c r="R349" s="3">
        <f>401.9+(1050.5-214.1)+(-0.409938+(-1.07151--0.218382))+0-179.7--0.183294000000029</f>
        <v>1057.5202279999999</v>
      </c>
      <c r="S349" s="3">
        <f>402.9+(1029.3-207.2)+(0.410958+(1.049886-0.211344))+0-181.5-0.185130000000029</f>
        <v>1044.5643699999998</v>
      </c>
      <c r="T349" s="3">
        <f>404.4+(1031-223.3)+(-0.824976+(-2.10324--0.455532))+0-173.2--0.353327999999992</f>
        <v>1036.7806439999997</v>
      </c>
      <c r="U349" s="3">
        <f>403.2+(1032.8-227.6)+(0+(0-0))+0-166.1-0</f>
        <v>1042.3</v>
      </c>
      <c r="V349" s="3">
        <f>405.3+(1024.5-208.2)+(-0.206703+(-0.522495--0.106182))+0-178.4--0.0909839999999819</f>
        <v>1042.6679679999997</v>
      </c>
      <c r="W349" s="3">
        <f>407.2+(1051-205.3)+(0+(0-0))+0-179.8-0</f>
        <v>1073.1000000000001</v>
      </c>
      <c r="X349" s="3">
        <f>406.6+(1145.7-227.3)+(0+(0-0))+0-179.4-0</f>
        <v>1145.5999999999999</v>
      </c>
      <c r="Y349" s="3">
        <f>411.1+(1138.8-238.5)+(-0.209661+(-0.580788--0.121635))+0-182.2--0.0929219999999815</f>
        <v>1128.624108</v>
      </c>
      <c r="Z349" s="3">
        <f>412.8+(1108.8-241.4)+(-1.05264+(-2.82744--0.61557))+0-184.6--0.470729999999973</f>
        <v>1092.8062200000002</v>
      </c>
      <c r="AA349" s="3">
        <f>417.1+(1098-255.3)+(0+(0-0))+0-185.7-0</f>
        <v>1074.1000000000001</v>
      </c>
      <c r="AB349" s="3">
        <f>449.4+(1021.2-261.8)+(-1.14597+(-2.60406--0.66759))+0-183.4--0.467669999999973</f>
        <v>1022.7852300000003</v>
      </c>
      <c r="AC349" s="3">
        <f>448.3+(983.2-287)+(-1.143165+(-2.50716--0.73185))+0-179.2--0.456959999999974</f>
        <v>962.83848499999999</v>
      </c>
      <c r="AD349" s="2">
        <v>1120.1000000000001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449.3+(869.4-223.7)+(-0.458286+(-0.886788--0.228174))+0-182.6--0.186252000000029</f>
        <v>911.46935200000007</v>
      </c>
      <c r="G350" s="3">
        <f>455.1+(780-175.8)+(0.232101+(0.3978-0.089658))+0-180.3-0.0919529999999817</f>
        <v>879.44829000000016</v>
      </c>
      <c r="H350" s="3">
        <f>463.5+(768.9-194.3)+(0+(0-0))+0-174.8-0</f>
        <v>863.3</v>
      </c>
      <c r="I350" s="3">
        <f>467.5+(739.4-183.1)+(-0.715275+(-1.131282--0.280143))+0-170.7--0.26117100000001</f>
        <v>851.794757</v>
      </c>
      <c r="J350" s="3">
        <f>469.9+(780.5-219.8)+(0.479298+(0.79611-0.224196))+0-168-0.171360000000027</f>
        <v>863.47985199999994</v>
      </c>
      <c r="K350" s="3">
        <f>465.3+(874.8-279.1)+(-0.474606+(-0.892296--0.284682))+0-174.1--0.177582000000028</f>
        <v>885.995362</v>
      </c>
      <c r="L350" s="3">
        <f>465.8+(927.3-284.3)+(-0.475116+(-0.945846--0.289986))+0-164.4--0.167688000000026</f>
        <v>943.43671200000006</v>
      </c>
      <c r="M350" s="3">
        <f>466.5+(949.3-263.5)+(0.47583+(0.968286-0.26877))+0-148-0.150960000000024</f>
        <v>1005.3243859999999</v>
      </c>
      <c r="N350" s="3">
        <f>456.1+(1001.1-258.3)+(0+(0-0))+0-153.4-0</f>
        <v>1045.5</v>
      </c>
      <c r="O350" s="3">
        <f>455.4+(1011.5-273.6)+(0+(0-0))+0-158.9-0</f>
        <v>1034.3999999999999</v>
      </c>
      <c r="P350" s="3">
        <f>460.8+(1018.9-264.3)+(0.235008+(0.519639-0.134793))+0-161.6-0.0824159999999836</f>
        <v>1054.337438</v>
      </c>
      <c r="Q350" s="3">
        <f>465.9+(1005.2-252.2)+(0.712827+(1.537956-0.385866))+0-157-0.240210000000009</f>
        <v>1063.5247070000003</v>
      </c>
      <c r="R350" s="3">
        <f>457.7+(990.2-234.9)+(-0.933708+(-2.020008--0.479196))+0-156.5--0.319259999999993</f>
        <v>1054.34474</v>
      </c>
      <c r="S350" s="3">
        <f>459.2+(935.9-202.3)+(-0.468384+(-0.954618--0.206346))+0-160.7--0.163914000000026</f>
        <v>1031.0472579999998</v>
      </c>
      <c r="T350" s="3">
        <f>456.1+(941.3-216.5)+(0+(0-0))+0-163.6-0</f>
        <v>1017.3000000000001</v>
      </c>
      <c r="U350" s="3">
        <f>449.5+(967.5-225.2)+(0.229245+(0.493425-0.114852))+0-174.8-0.0891479999999823</f>
        <v>1017.5186699999999</v>
      </c>
      <c r="V350" s="3">
        <f>452.7+(986.9-239)+(-0.230877+(-0.503319--0.12189))+0-179.5--0.0915449999999818</f>
        <v>1020.5792389999999</v>
      </c>
      <c r="W350" s="3">
        <f>452.5+(1041.1-245.1)+(-0.230775+(-0.530961--0.125001))+0-178.1--0.0908309999999819</f>
        <v>1069.854096</v>
      </c>
      <c r="X350" s="3">
        <f>484.4+(1127.9-289.7)+(-0.494088+(-1.150458--0.295494))+0-179.5--0.183090000000029</f>
        <v>1141.9340379999999</v>
      </c>
      <c r="Y350" s="3">
        <f>518.9+(1068.8-281.8)+(-0.793917+(-1.635264--0.431154))+0-176.8--0.27050400000001</f>
        <v>1127.3724770000001</v>
      </c>
      <c r="Z350" s="3">
        <f>521.1+(1018.4-264.1)+(0+(0-0))+0-181-0</f>
        <v>1094.4000000000001</v>
      </c>
      <c r="AA350" s="3">
        <f>525.2+(963.7-256.6)+(0+(0-0))+0-181.6-0</f>
        <v>1050.7000000000003</v>
      </c>
      <c r="AB350" s="3">
        <f>465.3+(939.3-250.3)+(-1.186515+(-2.395215--0.638265))+0-179.8--0.458489999999974</f>
        <v>972.01502499999992</v>
      </c>
      <c r="AC350" s="3">
        <f>423.9+(859.4-226.1)+(-1.729512+(-3.506352--0.922488))+0-180--0.734399999999984</f>
        <v>873.62102399999969</v>
      </c>
      <c r="AD350" s="2">
        <v>1150.2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522.2+(778.4-223.1)+(-1.065288+(-1.587936--0.455124))+0-179.4--0.365975999999992</f>
        <v>896.267876</v>
      </c>
      <c r="G351" s="3">
        <f>530.8+(781.7-274.5)+(-0.812124+(-1.196001--0.419985))+0-180.8--0.27662400000001</f>
        <v>855.88848399999995</v>
      </c>
      <c r="H351" s="3">
        <f>531.7+(792.6-310.7)+(-1.084668+(-1.616904--0.633828))+0-175.8--0.358631999999992</f>
        <v>836.09088800000018</v>
      </c>
      <c r="I351" s="3">
        <f>532.4+(730.1-265.8)+(-0.543048+(-0.744702--0.271116))+0-173.4--0.176868000000028</f>
        <v>822.46023400000013</v>
      </c>
      <c r="J351" s="3">
        <f>531+(716.5-268.6)+(1.08324+(1.46166-0.547944))+0-174.2-0.355367999999992</f>
        <v>806.341588</v>
      </c>
      <c r="K351" s="3">
        <f>534.1+(861.7-357.6)+(0+(0-0))+0-173.5-0</f>
        <v>864.7</v>
      </c>
      <c r="L351" s="3">
        <f>532+(968.6-382.6)+(0.81396+(1.481958-0.585378))+0-168.8-0.25826400000001</f>
        <v>950.65227600000003</v>
      </c>
      <c r="M351" s="3">
        <f>527.7+(1005.1-386.5)+(0.269127+(0.512601-0.197115))+0-171.1-0.0872609999999826</f>
        <v>975.69735200000014</v>
      </c>
      <c r="N351" s="3">
        <f>520.8+(1059.5-417.4)+(0.265608+(0.540345-0.212874))+0-172.7-0.0880769999999825</f>
        <v>990.70500200000004</v>
      </c>
      <c r="O351" s="3">
        <f>514.5+(1123.6-431.1)+(0.52479+(1.146072-0.439722))+0-169.1-0.172482000000027</f>
        <v>1038.9586580000002</v>
      </c>
      <c r="P351" s="3">
        <f>508.7+(1153.9-420.8)+(0+(0-0))+0-163.9-0</f>
        <v>1077.9000000000001</v>
      </c>
      <c r="Q351" s="3">
        <f>504.8+(1146.9-409.7)+(-0.772344+(-1.754757--0.626841))+0-157.7--0.241281000000009</f>
        <v>1082.6410210000001</v>
      </c>
      <c r="R351" s="3">
        <f>501.7+(1082.8-339.1)+(-1.535202+(-3.313368--1.037646))+0-155.9--0.477054000000018</f>
        <v>1086.1661299999996</v>
      </c>
      <c r="S351" s="3">
        <f>498.3+(1007.3-299.8)+(0.508266+(1.027446-0.305796))+0-165.2-0.168504000000026</f>
        <v>1041.6614119999999</v>
      </c>
      <c r="T351" s="3">
        <f>493.3+(992.3-302.6)+(0+(0-0))+0-163.8-0</f>
        <v>1019.2</v>
      </c>
      <c r="U351" s="3">
        <f>495.5+(1011.1-332.3)+(-0.252705+(-0.515661--0.169473))+0-169.8--0.0865979999999828</f>
        <v>1003.9877049999999</v>
      </c>
      <c r="V351" s="3">
        <f>497.5+(1057.3-359.1)+(-0.253725+(-0.539223--0.183141))+0-169.9--0.0866489999999828</f>
        <v>1025.2768419999998</v>
      </c>
      <c r="W351" s="3">
        <f>502+(1135.3-357.8)+(-0.25602+(-0.579003--0.182478))+0-171.7--0.0875669999999826</f>
        <v>1107.2350220000001</v>
      </c>
      <c r="X351" s="3">
        <f>506.5+(1183.9-346.3)+(-0.258315+(-0.603789--0.176613))+0-188.6--0.0961859999999809</f>
        <v>1154.9106950000003</v>
      </c>
      <c r="Y351" s="3">
        <f>511.3+(1131.7-330.7)+(-0.260763+(-0.577167--0.168657))+0-180.1--0.0918509999999817</f>
        <v>1131.622578</v>
      </c>
      <c r="Z351" s="3">
        <f>517.2+(1092.5-347.2)+(-0.791316+(-1.671525--0.531216))+0-181.3--0.27738900000001</f>
        <v>1079.5457640000002</v>
      </c>
      <c r="AA351" s="3">
        <f>518.7+(1081.6-357.2)+(-1.058148+(-2.206464--0.728688))+0-181.6--0.370463999999992</f>
        <v>1059.3345400000001</v>
      </c>
      <c r="AB351" s="3">
        <f>519.1+(983.9-292.8)+(-1.323705+(-2.508945--0.74664))+0-183.7--0.468434999999973</f>
        <v>1023.8824249999998</v>
      </c>
      <c r="AC351" s="3">
        <f>519.2+(914.5-269.4)+(-0.794376+(-1.399185--0.412182))+0-178.8--0.27356400000001</f>
        <v>983.99218500000018</v>
      </c>
      <c r="AD351" s="2">
        <v>1147.2999999999997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521.4+(805.6-239.3)+(-0.531828+(-0.821712--0.244086))+0-175.1--0.178602000000028</f>
        <v>911.66914799999995</v>
      </c>
      <c r="G352" s="3">
        <f>521.6+(776.7-239.2)+(-1.064064+(-1.584468--0.487968))+0-177.9--0.362915999999992</f>
        <v>879.40235199999995</v>
      </c>
      <c r="H352" s="3">
        <f>522.3+(793.2-283)+(0.799119+(1.213596-0.43299))+0-175.1-0.26790300000001</f>
        <v>858.71182199999998</v>
      </c>
      <c r="I352" s="3">
        <f>526.7+(788.6-296.2)+(0.268617+(0.402186-0.151062))+0-169.7-0.0865469999999828</f>
        <v>849.83319400000016</v>
      </c>
      <c r="J352" s="3">
        <f>531.4+(808.1-314.1)+(1.084056+(1.648524-0.640764))+0-167.3-0.341291999999993</f>
        <v>859.85052400000029</v>
      </c>
      <c r="K352" s="3">
        <f>534.6+(819.3-311.4)+(-1.36323+(-2.089215--0.79407))+0-163.8--0.417689999999976</f>
        <v>876.45931500000006</v>
      </c>
      <c r="L352" s="3">
        <f>534+(838.2-292.9)+(0+(0-0))+0-159.5-0</f>
        <v>919.80000000000018</v>
      </c>
      <c r="M352" s="3">
        <f>530.5+(915.3-306.3)+(0+(0-0))+0-160.8-0</f>
        <v>978.7</v>
      </c>
      <c r="N352" s="3">
        <f>523.6+(983.3-348.5)+(0.801108+(1.504449-0.533205))+0-136.7-0.209151000000008</f>
        <v>1023.263201</v>
      </c>
      <c r="O352" s="3">
        <f>513.6+(1065.3-408.4)+(0.785808+(1.629909-0.624852))+0-129.7-0.198441000000007</f>
        <v>1042.3924239999999</v>
      </c>
      <c r="P352" s="3">
        <f>508.1+(1059.9-373.2)+(0.259131+(0.540549-0.190332))+0-136.3-0.0695129999999862</f>
        <v>1059.0398350000003</v>
      </c>
      <c r="Q352" s="3">
        <f>504.9+(1081.9-362.7)+(-0.772497+(-1.655307--0.554931))+0-152.5--0.233325000000009</f>
        <v>1069.9604519999998</v>
      </c>
      <c r="R352" s="3">
        <f>504.4+(1092-374.7)+(-0.771732+(-1.67076--0.573291))+0-157.7--0.241281000000009</f>
        <v>1062.3720799999999</v>
      </c>
      <c r="S352" s="3">
        <f>505.8+(1027.4-322.5)+(-0.773874+(-1.571922--0.493425))+0-163.5--0.250155000000009</f>
        <v>1045.597784</v>
      </c>
      <c r="T352" s="3">
        <f>506.6+(1015.8-314.3)+(-0.258366+(-0.518058--0.160293))+0-167.3--0.085322999999983</f>
        <v>1040.269192</v>
      </c>
      <c r="U352" s="3">
        <f>506+(1009.9-310.7)+(-0.51612+(-1.030098--0.316914))+0-172--0.175440000000027</f>
        <v>1032.1461360000001</v>
      </c>
      <c r="V352" s="3">
        <f>508.4+(1018.9-310)+(0+(0-0))+0-169.4-0</f>
        <v>1047.8999999999999</v>
      </c>
      <c r="W352" s="3">
        <f>507.5+(1063.3-299.4)+(0+(0-0))+0-178.9-0</f>
        <v>1092.5</v>
      </c>
      <c r="X352" s="3">
        <f>502.7+(1093.7-277.3)+(-0.512754+(-1.115574--0.282846))+0-175.5--0.179010000000028</f>
        <v>1142.4335280000003</v>
      </c>
      <c r="Y352" s="3">
        <f>502.3+(1091.7-285)+(-1.793211+(-3.897369--1.01745))+0-179.5--0.640815000000003</f>
        <v>1125.4676850000001</v>
      </c>
      <c r="Z352" s="3">
        <f>504.7+(1003.7-234.4)+(0+(0-0))+0-180.2-0</f>
        <v>1093.8</v>
      </c>
      <c r="AA352" s="3">
        <f>508.8+(950.6-230.1)+(-1.556928+(-2.908836--0.704106))+0-179.7--0.549882000000021</f>
        <v>1046.388224</v>
      </c>
      <c r="AB352" s="3">
        <f>510+(892.7-205.2)+(-2.0808+(-3.642216--0.837216))+0-177.6--0.724607999999984</f>
        <v>1015.7388079999999</v>
      </c>
      <c r="AC352" s="3">
        <f>512.4+(804.6-177.2)+(-1.045296+(-1.641384--0.361488))+0-181--0.369239999999992</f>
        <v>956.84404800000016</v>
      </c>
      <c r="AD352" s="2">
        <v>1167.2000000000003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522.1+(754-183.4)+(-0.266271+(-0.38454--0.093534))+0-176.6--0.0900659999999821</f>
        <v>915.63278899999989</v>
      </c>
      <c r="G353" s="3">
        <f>520.1+(810.2-263.3)+(-0.530502+(-0.826404--0.268566))+0-181.5--0.185130000000029</f>
        <v>884.59679000000006</v>
      </c>
      <c r="H353" s="3">
        <f>522.2+(867.3-342.4)+(0.266322+(0.442323-0.174624))+0-182.5-0.0930749999999815</f>
        <v>865.04094599999985</v>
      </c>
      <c r="I353" s="3">
        <f>520.5+(849.5-331.7)+(0.265455+(0.433245-0.169167))+0-181.6-0.0926159999999816</f>
        <v>857.13691699999981</v>
      </c>
      <c r="J353" s="3">
        <f>522.6+(853.1-341.4)+(0.799578+(1.305243-0.522342))+0-181.8-0.278154000000011</f>
        <v>853.80432500000018</v>
      </c>
      <c r="K353" s="3">
        <f>522.4+(843.6-316.4)+(-0.799272+(-1.290708--0.484092))+0-179.6--0.27478800000001</f>
        <v>868.66889999999989</v>
      </c>
      <c r="L353" s="3">
        <f>524+(905.2-349.5)+(-0.26724+(-0.461652--0.178245))+0-178.1--0.0908309999999819</f>
        <v>901.14018399999998</v>
      </c>
      <c r="M353" s="3">
        <f>523.9+(946.1-334.4)+(0.534378+(0.965022-0.341088))+0-178.8-0.182376000000029</f>
        <v>957.775936</v>
      </c>
      <c r="N353" s="3">
        <f>519.4+(956.5-306.7)+(0.264894+(0.487815-0.156417))+0-172.7-0.0880769999999825</f>
        <v>997.00821499999972</v>
      </c>
      <c r="O353" s="3">
        <f>513.3+(1039.2-338.1)+(0+(0-0))+0-172.8-0</f>
        <v>1041.6000000000001</v>
      </c>
      <c r="P353" s="3">
        <f>510.4+(1139.3-414.1)+(0+(0-0))+0-179.7-0</f>
        <v>1055.8999999999999</v>
      </c>
      <c r="Q353" s="3">
        <f>507.7+(1144.1-407.2)+(-0.258927+(-0.583491--0.207672))+0-177.6--0.090575999999982</f>
        <v>1066.4558300000001</v>
      </c>
      <c r="R353" s="3">
        <f>506.2+(1040.4-291.6)+(-1.032648+(-2.122416--0.594864))+0-176.4--0.359855999999992</f>
        <v>1076.399656</v>
      </c>
      <c r="S353" s="3">
        <f>510.5+(992.8-321.3)+(-0.260355+(-0.506328--0.163863))+0-176.5--0.0900149999999821</f>
        <v>1004.9871949999999</v>
      </c>
      <c r="T353" s="3">
        <f>502.4+(939.9-297.3)+(0.256224+(0.479349-0.151623))+0-176.5-0.0900149999999821</f>
        <v>968.99393499999996</v>
      </c>
      <c r="U353" s="3">
        <f>510.3+(921.1-285.3)+(0.520506+(0.939522-0.291006))+0-178.2-0.181764000000028</f>
        <v>968.88725799999986</v>
      </c>
      <c r="V353" s="3">
        <f>512.7+(906.8-268.6)+(-0.784431+(-1.387404--0.410958))+0-181.8--0.278154000000011</f>
        <v>967.61727700000017</v>
      </c>
      <c r="W353" s="3">
        <f>518.2+(944.6-267.9)+(1.057128+(1.926984-0.546516))+0-182.2-0.371687999999992</f>
        <v>1014.7659080000001</v>
      </c>
      <c r="X353" s="3">
        <f>542.5+(1044.9-305.3)+(-0.55335+(-1.065798--0.311406))+0-183.8--0.187476000000029</f>
        <v>1097.1797340000003</v>
      </c>
      <c r="Y353" s="3">
        <f>557.4+(1037.2-350.2)+(-1.137096+(-2.115888--0.714408))+0-185.6--0.378623999999992</f>
        <v>1056.6400480000002</v>
      </c>
      <c r="Z353" s="3">
        <f>572.5+(1029.6-372.1)+(-1.1679+(-2.100384--0.759084))+0-186.4--0.380255999999992</f>
        <v>1041.4710559999999</v>
      </c>
      <c r="AA353" s="3">
        <f>584.8+(990.5-369.1)+(0.894744+(1.515465-0.564723))+0-183.8-0.281214000000011</f>
        <v>1023.9642719999998</v>
      </c>
      <c r="AB353" s="3">
        <f>581.7+(953.5-357.7)+(-1.483335+(-2.431425--0.912135))+0-187.1--0.477104999999973</f>
        <v>987.87447999999983</v>
      </c>
      <c r="AC353" s="3">
        <f>565.1+(826.4-267.3)+(0+(0-0))+0-187.2-0</f>
        <v>936.99999999999977</v>
      </c>
      <c r="AD353" s="2">
        <v>1027.3999999999999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559.6+(735.3-219.5)+(-0.570792+(-0.750006--0.22389))+0-185.1--0.18880200000003</f>
        <v>889.39189400000009</v>
      </c>
      <c r="G354" s="3">
        <f>556.8+(799.7-305.8)+(0+(0-0))+0-184.9-0</f>
        <v>865.80000000000007</v>
      </c>
      <c r="H354" s="3">
        <f>555.7+(755.3-292.5)+(0+(0-0))+0-183.9-0</f>
        <v>834.6</v>
      </c>
      <c r="I354" s="3">
        <f>556.6+(700.7-242)+(-1.41933+(-1.786785--0.6171))+0-186.6--0.475829999999973</f>
        <v>826.586815</v>
      </c>
      <c r="J354" s="3">
        <f>556.6+(699.3-239)+(-0.283866+(-0.356643--0.12189))+0-186.4--0.0950639999999811</f>
        <v>830.07644500000004</v>
      </c>
      <c r="K354" s="3">
        <f>558.6+(693.9-225.4)+(0+(0-0))+0-187.4-0</f>
        <v>839.69999999999993</v>
      </c>
      <c r="L354" s="3">
        <f>560.2+(642.7-156.8)+(-0.571404+(-0.655554--0.159936))+0-183.6--0.187272000000029</f>
        <v>861.62025000000017</v>
      </c>
      <c r="M354" s="3">
        <f>561.7+(701.5-163.7)+(0.286467+(0.357765-0.083487))+0-186.4-0.0950639999999811</f>
        <v>913.56568100000004</v>
      </c>
      <c r="N354" s="3">
        <f>560.6+(722.6-142)+(-0.857718+(-1.105578--0.21726))+0-185.2--0.283356000000011</f>
        <v>954.53732000000002</v>
      </c>
      <c r="O354" s="3">
        <f>556.1+(813.1-185.3)+(0.850833+(1.244043-0.283509))+0-186.2-0.284886000000011</f>
        <v>999.22648100000004</v>
      </c>
      <c r="P354" s="3">
        <f>553.6+(906.4-243.3)+(0+(0-0))+0-188.7-0</f>
        <v>1027.9999999999998</v>
      </c>
      <c r="Q354" s="3">
        <f>547+(873.3-223.4)+(0.55794+(0.890766-0.227868))+0-186.2-0.18992400000003</f>
        <v>1011.730914</v>
      </c>
      <c r="R354" s="3">
        <f>578.3+(838.7-205.7)+(-0.294933+(-0.427737--0.104907))+0-182.3--0.0929729999999815</f>
        <v>1028.4752100000001</v>
      </c>
      <c r="S354" s="3">
        <f>578.2+(860.6-247)+(-1.179528+(-1.755624--0.50388))+0-180.7--0.368627999999992</f>
        <v>1009.037356</v>
      </c>
      <c r="T354" s="3">
        <f>573.9+(875.9-265.3)+(-0.585378+(-0.893418--0.270606))+0-181.1--0.184722000000029</f>
        <v>1002.376532</v>
      </c>
      <c r="U354" s="3">
        <f>546.7+(888-265.9)+(-0.278817+(-0.45288--0.135609))+0-170.6--0.0870059999999827</f>
        <v>997.69091800000012</v>
      </c>
      <c r="V354" s="3">
        <f>538.9+(922.9-286)+(-0.549678+(-0.941358--0.29172))+0-177.9--0.181458000000028</f>
        <v>996.88214200000004</v>
      </c>
      <c r="W354" s="3">
        <f>539.5+(1011.1-330.7)+(-0.825435+(-1.546983--0.505971))+0-183.1--0.280143000000011</f>
        <v>1035.213696</v>
      </c>
      <c r="X354" s="3">
        <f>541.6+(1056.5-301.8)+(0.828648+(1.616445-0.461754))+0-186.3-0.285039000000011</f>
        <v>1111.6983</v>
      </c>
      <c r="Y354" s="3">
        <f>545.1+(1066.6-322.7)+(-0.556002+(-1.087932--0.329154))+0-187.4--0.19114800000003</f>
        <v>1100.4763680000001</v>
      </c>
      <c r="Z354" s="3">
        <f>549.7+(1060.4-337.5)+(-1.121388+(-2.163216--0.6885))+0-186.1--0.379643999999992</f>
        <v>1084.2835400000004</v>
      </c>
      <c r="AA354" s="3">
        <f>549.6+(1052-359.2)+(-1.121184+(-2.14608--0.732768))+0-186.1--0.379643999999992</f>
        <v>1054.1451480000003</v>
      </c>
      <c r="AB354" s="3">
        <f>551.4+(1038.6-397.4)+(-1.687284+(-3.178116--1.216044))+0-179.9--0.550494000000021</f>
        <v>1009.6011380000001</v>
      </c>
      <c r="AC354" s="3">
        <f>554.3+(929.3-352.9)+(-1.130772+(-1.895772--0.719916))+0-180.2--0.367607999999992</f>
        <v>948.56097999999974</v>
      </c>
      <c r="AD354" s="2">
        <v>1109.9000000000001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558.4+(802.2-274.4)+(-0.854352+(-1.227366--0.419832))+0-179.6--0.27478800000001</f>
        <v>905.21290199999999</v>
      </c>
      <c r="G355" s="3">
        <f>560.6+(748.5-264.5)+(0+(0-0))+0-175.1-0</f>
        <v>869.49999999999989</v>
      </c>
      <c r="H355" s="3">
        <f>562.3+(754.4-284.9)+(-0.860319+(-1.154232--0.435897))+0-178.6--0.27325800000001</f>
        <v>851.89460400000007</v>
      </c>
      <c r="I355" s="3">
        <f>561.4+(742.7-279.5)+(0.286314+(0.378777-0.142545))+0-181.8-0.0927179999999816</f>
        <v>843.22982799999988</v>
      </c>
      <c r="J355" s="3">
        <f>560.5+(730.1-267.4)+(1.429275+(1.861755-0.68187))+0-182.7-0.465884999999973</f>
        <v>842.64327500000002</v>
      </c>
      <c r="K355" s="3">
        <f>563.9+(772.8-283.4)+(0.862767+(1.182384-0.433602))+0-183.6-0.280908000000011</f>
        <v>871.03064099999983</v>
      </c>
      <c r="L355" s="3">
        <f>562.1+(869.2-323.1)+(-0.286671+(-0.443292--0.164781))+0-179.3--0.0914429999999818</f>
        <v>928.42626100000007</v>
      </c>
      <c r="M355" s="3">
        <f>558.7+(947.7-330.5)+(0.569874+(0.966654-0.33711))+0-180.7-0.184314000000029</f>
        <v>996.21510399999988</v>
      </c>
      <c r="N355" s="3">
        <f>552.5+(999.6-324.4)+(0.281775+(0.509796-0.165444))+0-187.9-0.0958289999999809</f>
        <v>1040.3302979999999</v>
      </c>
      <c r="O355" s="3">
        <f>544.2+(1020.1-324.4)+(0.832626+(1.560753-0.496332))+0-182.6-0.279378000000011</f>
        <v>1058.9176690000002</v>
      </c>
      <c r="P355" s="3">
        <f>536.4+(1032.6-321.6)+(0.820692+(1.579878-0.492048))+0-177.5-0.27157500000001</f>
        <v>1071.5369469999998</v>
      </c>
      <c r="Q355" s="3">
        <f>527.1+(1052.2-325.5)+(-1.344105+(-2.68311--0.830025))+0-179.4--0.457469999999974</f>
        <v>1071.6602800000001</v>
      </c>
      <c r="R355" s="3">
        <f>520.3+(1018.7-303.6)+(0+(0-0))+0-186.1-0</f>
        <v>1049.3000000000002</v>
      </c>
      <c r="S355" s="3">
        <f>516.2+(995-291.2)+(0+(0-0))+0-187.9-0</f>
        <v>1032.0999999999999</v>
      </c>
      <c r="T355" s="3">
        <f>526.9+(974.1-272.8)+(0+(0-0))+0-188.3-0</f>
        <v>1039.8999999999999</v>
      </c>
      <c r="U355" s="3">
        <f>391.4+(1072.5-257.2)+(0.399228+(1.09395-0.262344))+0-181.6-0.185232000000029</f>
        <v>1026.1456019999998</v>
      </c>
      <c r="V355" s="3">
        <f>367.3+(1100.2-253.5)+(0.561969+(1.683306-0.387855))+0-179.3-0.27432900000001</f>
        <v>1036.283091</v>
      </c>
      <c r="W355" s="3">
        <f>454.1+(1098.1-280.2)+(0.463182+(1.120062-0.285804))+0-180.5-0.184110000000029</f>
        <v>1092.6133300000001</v>
      </c>
      <c r="X355" s="3">
        <f>499.2+(1174-332.2)+(0.509184+(1.19748-0.338844))+0-183.4-0.187068000000029</f>
        <v>1158.7807519999999</v>
      </c>
      <c r="Y355" s="3">
        <f>500+(1143.1-325.7)+(0+(0-0))+0-186-0</f>
        <v>1131.3999999999999</v>
      </c>
      <c r="Z355" s="3">
        <f>504.1+(1103.7-316.8)+(0+(0-0))+0-190-0</f>
        <v>1101</v>
      </c>
      <c r="AA355" s="3">
        <f>505.4+(1063.4-317.7)+(0.257754+(0.542334-0.162027))+0-192.1-0.0979709999999805</f>
        <v>1059.5400900000002</v>
      </c>
      <c r="AB355" s="3">
        <f>505.5+(977.4-284.2)+(-0.773415+(-1.495422--0.434826))+0-190.8--0.291924000000011</f>
        <v>1006.3579130000002</v>
      </c>
      <c r="AC355" s="3">
        <f>507.4+(889.5-237.8)+(0.776322+(1.360935-0.363834))+0-197.4-0.302022000000011</f>
        <v>963.17140100000006</v>
      </c>
      <c r="AD355" s="2">
        <v>1120.9000000000001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510.4+(817-207.5)+(-1.041216+(-1.66668--0.4233))+0-199.4--0.406775999999991</f>
        <v>918.62218000000018</v>
      </c>
      <c r="G356" s="3">
        <f>511.8+(749.3-178.3)+(-1.044072+(-1.528572--0.363732))+0-198.3--0.404531999999991</f>
        <v>882.69561999999996</v>
      </c>
      <c r="H356" s="3">
        <f>516.6+(710.3-160.7)+(-0.790398+(-1.086759--0.245871))+0-198.3--0.303399000000011</f>
        <v>866.57211299999983</v>
      </c>
      <c r="I356" s="3">
        <f>514+(700.7-158.2)+(-0.52428+(-0.714714--0.161364))+0-198.9--0.202878000000032</f>
        <v>856.72524800000008</v>
      </c>
      <c r="J356" s="3">
        <f>512.2+(721.1-175.2)+(-0.261222+(-0.367761--0.089352))+0-197.9--0.10092899999998</f>
        <v>859.76129800000001</v>
      </c>
      <c r="K356" s="3">
        <f>509.5+(790.3-226.2)+(-0.51969+(-0.806106--0.230724))+0-197--0.200940000000031</f>
        <v>875.7058679999999</v>
      </c>
      <c r="L356" s="3">
        <f>511.4+(839.8-241.8)+(-0.521628+(-0.856596--0.246636))+0-194.7--0.198594000000031</f>
        <v>913.76700600000015</v>
      </c>
      <c r="M356" s="3">
        <f>511.3+(921.2-255.6)+(0+(0-0))+0-196.9-0</f>
        <v>980.00000000000011</v>
      </c>
      <c r="N356" s="3">
        <f>479.3+(920-189.3)+(1.222215+(2.346-0.482715))+0-195.3-0.498014999999972</f>
        <v>1017.2874849999999</v>
      </c>
      <c r="O356" s="3">
        <f>476.5+(920-157.4)+(0+(0-0))+0-191.3-0</f>
        <v>1047.8</v>
      </c>
      <c r="P356" s="3">
        <f>474.9+(935-162.6)+(0+(0-0))+0-189.3-0</f>
        <v>1058</v>
      </c>
      <c r="Q356" s="3">
        <f>489.8+(951.7-180.5)+(-0.249798+(-0.485367--0.092055))+0-184.7--0.0941969999999813</f>
        <v>1075.7510869999999</v>
      </c>
      <c r="R356" s="3">
        <f>479.3+(952.8-179.4)+(-1.466658+(-2.915568--0.548964))+0-188--0.575280000000022</f>
        <v>1061.442018</v>
      </c>
      <c r="S356" s="3">
        <f>467.5+(917.1-148.4)+(-0.238425+(-0.467721--0.075684))+0-189.3--0.0965429999999808</f>
        <v>1046.3660809999999</v>
      </c>
      <c r="T356" s="3">
        <f>473.4+(891.4-133.5)+(-1.448604+(-2.727684--0.40851))+0-187.1--0.572526000000022</f>
        <v>1041.0047480000001</v>
      </c>
      <c r="U356" s="3">
        <f>469.8+(878.7-127.5)+(0.239598+(0.448137-0.065025))+0-185.3-0.0945029999999812</f>
        <v>1036.2282070000001</v>
      </c>
      <c r="V356" s="3">
        <f>470+(884-127.6)+(0.4794+(0.90168-0.130152))+0-183.3-0.186966000000029</f>
        <v>1044.1639620000001</v>
      </c>
      <c r="W356" s="3">
        <f>470.5+(964.9-170.4)+(0.47991+(0.984198-0.173808))+0-181.9-0.185538000000029</f>
        <v>1084.2047619999998</v>
      </c>
      <c r="X356" s="3">
        <f>471.3+(1092.2-218.3)+(0+(0-0))+0-187-0</f>
        <v>1158.2</v>
      </c>
      <c r="Y356" s="3">
        <f>470.4+(1053.4-197.5)+(0+(0-0))+0-188.3-0</f>
        <v>1138.0000000000002</v>
      </c>
      <c r="Z356" s="3">
        <f>487.2+(1010.7-197.2)+(-0.993888+(-2.061828--0.402288))+0-190.4--0.388415999999992</f>
        <v>1108.0349879999999</v>
      </c>
      <c r="AA356" s="3">
        <f>495.2+(937.7-172.5)+(-0.757656+(-1.434681--0.263925))+0-187.7--0.287181000000011</f>
        <v>1071.058769</v>
      </c>
      <c r="AB356" s="3">
        <f>495.3+(861.5-145)+(-0.505206+(-0.87873--0.1479))+0-184.5--0.188190000000029</f>
        <v>1026.252154</v>
      </c>
      <c r="AC356" s="3">
        <f>494.8+(798.7-140.5)+(-1.26174+(-2.036685--0.358275))+0-183.1--0.466904999999973</f>
        <v>967.42675500000007</v>
      </c>
      <c r="AD356" s="2">
        <v>1158.2999999999997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500.2+(754.1-152.1)+(-0.510204+(-0.769182--0.155142))+0-187.3--0.19104600000003</f>
        <v>913.96680200000003</v>
      </c>
      <c r="G357" s="3">
        <f>501.9+(702.7-126.5)+(-0.511938+(-0.716754--0.12903))+0-184.6--0.188292000000029</f>
        <v>892.58862999999985</v>
      </c>
      <c r="H357" s="3">
        <f>506.8+(729-163.5)+(0+(0-0))+0-189.5-0</f>
        <v>882.8</v>
      </c>
      <c r="I357" s="3">
        <f>508.8+(765.1-205.9)+(0.778464+(1.170603-0.315027))+0-191-0.292230000000011</f>
        <v>878.3418099999999</v>
      </c>
      <c r="J357" s="3">
        <f>513.1+(773.8-205.7)+(-0.261681+(-0.394638--0.104907))+0-185--0.0943499999999812</f>
        <v>895.74293799999975</v>
      </c>
      <c r="K357" s="3">
        <f>515.6+(806.5-241)+(0.262956+(0.411315-0.12291))+0-181.3-0.0924629999999816</f>
        <v>900.25889800000004</v>
      </c>
      <c r="L357" s="3">
        <f>514.7+(842.6-239.6)+(0+(0-0))+0-184-0</f>
        <v>933.7</v>
      </c>
      <c r="M357" s="3">
        <f>513.3+(863.9-208.9)+(0.523566+(0.881178-0.213078))+0-182-0.185640000000029</f>
        <v>987.30602599999986</v>
      </c>
      <c r="N357" s="3">
        <f>508.4+(907.2-204.4)+(0.259284+(0.462672-0.104244))+0-183.4-0.0935339999999814</f>
        <v>1028.3241779999998</v>
      </c>
      <c r="O357" s="3">
        <f>507.7+(964.1-236.1)+(0.517854+(0.983382-0.240822))+0-183.6-0.187272000000029</f>
        <v>1053.1731420000001</v>
      </c>
      <c r="P357" s="3">
        <f>501.3+(974-238.9)+(-0.255663+(-0.49674--0.121839))+0-180.7--0.0921569999999817</f>
        <v>1055.161593</v>
      </c>
      <c r="Q357" s="3">
        <f>521.4+(880.6-178)+(-1.32957+(-2.24553--0.4539))+0-172.4--0.439619999999975</f>
        <v>1048.9184199999997</v>
      </c>
      <c r="R357" s="3">
        <f>521.2+(813.5-150.8)+(-1.063248+(-1.65954--0.307632))+0-172.4--0.351695999999992</f>
        <v>1009.43654</v>
      </c>
      <c r="S357" s="3">
        <f>520.8+(772.3-130.3)+(0+(0-0))+0-170.3-0</f>
        <v>992.5</v>
      </c>
      <c r="T357" s="3">
        <f>521.6+(745.8-120.8)+(-0.266016+(-0.380358--0.061608))+0-165.2--0.0842519999999832</f>
        <v>980.89948599999991</v>
      </c>
      <c r="U357" s="3">
        <f>519.2+(748.7-118.2)+(0+(0-0))+0-170.5-0</f>
        <v>979.2</v>
      </c>
      <c r="V357" s="3">
        <f>524.1+(736.7-111.1)+(-1.069164+(-1.502868--0.226644))+0-174.2--0.355367999999992</f>
        <v>973.50998000000004</v>
      </c>
      <c r="W357" s="3">
        <f>525.7+(806.1-145.6)+(0+(0-0))+0-177-0</f>
        <v>1009.2</v>
      </c>
      <c r="X357" s="3">
        <f>528.6+(938.3-186.2)+(-0.269586+(-0.478533--0.094962))+0-184.9--0.0942989999999812</f>
        <v>1095.2411419999999</v>
      </c>
      <c r="Y357" s="3">
        <f>531.1+(971.4-237.9)+(-0.541722+(-0.990828--0.242658))+0-181.4--0.185028000000029</f>
        <v>1082.0951359999999</v>
      </c>
      <c r="Z357" s="3">
        <f>539.2+(949.4-267.1)+(-0.549984+(-0.968388--0.272442))+0-179.4--0.182988000000029</f>
        <v>1041.0370579999999</v>
      </c>
      <c r="AA357" s="3">
        <f>518.1+(887.6-217.1)+(-1.321155+(-2.26338--0.553605))+0-184.6--0.470729999999973</f>
        <v>1001.4398</v>
      </c>
      <c r="AB357" s="3">
        <f>512.6+(823.4-191.4)+(-0.784278+(-1.259802--0.292842))+0-181.1--0.27708300000001</f>
        <v>962.02584499999989</v>
      </c>
      <c r="AC357" s="3">
        <f>513.2+(783.4-201.7)+(-0.785196+(-1.198602--0.308601))+0-183--0.279990000000011</f>
        <v>910.50479300000006</v>
      </c>
      <c r="AD357" s="2">
        <v>1107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495+(791.8-239)+(0.25245+(0.403818-0.12189))+0-181.8-0.0927179999999816</f>
        <v>866.44166000000007</v>
      </c>
      <c r="G358" s="3">
        <f>509.7+(792.3-268.2)+(-0.779841+(-1.212219--0.410346))+0-183.4--0.280602000000011</f>
        <v>849.0988880000001</v>
      </c>
      <c r="H358" s="3">
        <f>533.9+(768.8-292.6)+(0+(0-0))+0-180.3-0</f>
        <v>829.8</v>
      </c>
      <c r="I358" s="3">
        <f>536.1+(753.1-278)+(-1.367055+(-1.920405--0.7089))+0-181.7--0.463334999999974</f>
        <v>827.3847750000001</v>
      </c>
      <c r="J358" s="3">
        <f>535.7+(794-314.2)+(0+(0-0))+0-181.4-0</f>
        <v>834.1</v>
      </c>
      <c r="K358" s="3">
        <f>535.1+(832-330.2)+(0.545802+(0.84864-0.336804))+0-181.9-0.185538000000029</f>
        <v>855.87210000000005</v>
      </c>
      <c r="L358" s="3">
        <f>536.3+(878.9-326.2)+(-0.547026+(-0.896478--0.332724))+0-180.5--0.184110000000029</f>
        <v>907.57333000000006</v>
      </c>
      <c r="M358" s="3">
        <f>533+(902.9-274.2)+(0.54366+(0.920958-0.279684))+0-185.6-0.18931200000003</f>
        <v>977.09562200000005</v>
      </c>
      <c r="N358" s="3">
        <f>542+(881-225.3)+(-0.27642+(-0.44931--0.114903))+0-186.4--0.0950639999999811</f>
        <v>1010.7842370000001</v>
      </c>
      <c r="O358" s="3">
        <f>554.1+(885.3-223.7)+(0.282591+(0.451503-0.114087))+0-182.9-0.0932789999999814</f>
        <v>1033.3267279999998</v>
      </c>
      <c r="P358" s="3">
        <f>535.1+(862.9-170.9)+(-0.818703+(-1.320237--0.261477))+0-177.7--0.27188100000001</f>
        <v>1047.794418</v>
      </c>
      <c r="Q358" s="3">
        <f>538.2+(863.1-170)+(0+(0-0))+0-178.2-0</f>
        <v>1053.1000000000001</v>
      </c>
      <c r="R358" s="3">
        <f>539.5+(845.8-166.6)+(-0.55029+(-0.862716--0.169932))+0-174.6--0.178092000000028</f>
        <v>1043.035018</v>
      </c>
      <c r="S358" s="3">
        <f>543.2+(811.2-153)+(-0.554064+(-0.827424--0.15606))+0-173.4--0.176868000000028</f>
        <v>1026.95144</v>
      </c>
      <c r="T358" s="3">
        <f>527.4+(792.2-132.9)+(0.537948+(0.808044-0.135558))+0-175-0.178500000000028</f>
        <v>1012.7319340000001</v>
      </c>
      <c r="U358" s="3">
        <f>525.3+(813.3-168.7)+(0.267903+(0.414783-0.086037))+0-174.2-0.0888419999999823</f>
        <v>996.20780699999989</v>
      </c>
      <c r="V358" s="3">
        <f>542.1+(858.7-216.7)+(0+(0-0))+0-175.9-0</f>
        <v>1008.1999999999999</v>
      </c>
      <c r="W358" s="3">
        <f>555.5+(880.6-220.7)+(0.283305+(0.449106-0.112557))+0-174-0.0887399999999823</f>
        <v>1041.9311140000002</v>
      </c>
      <c r="X358" s="3">
        <f>561.3+(963.3-207.8)+(0+(0-0))+0-178.4-0</f>
        <v>1138.3999999999999</v>
      </c>
      <c r="Y358" s="3">
        <f>563.3+(930.1-187.4)+(-1.723698+(-2.846106--0.573444))+0-181.9--0.556614000000021</f>
        <v>1120.6602539999999</v>
      </c>
      <c r="Z358" s="3">
        <f>568.9+(887.5-175.4)+(-0.580278+(-0.90525--0.178908))+0-184.3--0.187986000000029</f>
        <v>1095.5813660000001</v>
      </c>
      <c r="AA358" s="3">
        <f>569.9+(839.2-159.1)+(-1.162596+(-1.711968--0.324564))+0-189.3--0.386171999999992</f>
        <v>1058.5361720000001</v>
      </c>
      <c r="AB358" s="3">
        <f>547.3+(802.1-155.7)+(-1.116492+(-1.636284--0.317628))+0-184.8--0.376991999999992</f>
        <v>1006.841844</v>
      </c>
      <c r="AC358" s="3">
        <f>539.6+(749.6-148.1)+(-1.37598+(-1.91148--0.377655))+0-186.1--0.474554999999973</f>
        <v>952.56474999999989</v>
      </c>
      <c r="AD358" s="2">
        <v>1142.8999999999999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539.8+(661.4-116.1)+(-1.37649+(-1.68657--0.296055))+0-187.3--0.477614999999973</f>
        <v>895.51061000000004</v>
      </c>
      <c r="G359" s="3">
        <f>542.9+(622.4-106.3)+(-1.384395+(-1.58712--0.271065))+0-183.7--0.468434999999973</f>
        <v>873.06798499999991</v>
      </c>
      <c r="H359" s="3">
        <f>540.5+(647.3-144.3)+(-0.275655+(-0.330123--0.073593))+0-186.3--0.0950129999999811</f>
        <v>856.76282800000001</v>
      </c>
      <c r="I359" s="3">
        <f>541.4+(664.9-170.2)+(-0.276114+(-0.339099--0.086802))+0-185.2--0.0944519999999812</f>
        <v>850.46604099999979</v>
      </c>
      <c r="J359" s="3">
        <f>542.9+(687.9-189)+(-1.384395+(-1.754145--0.48195))+0-186--0.474299999999973</f>
        <v>853.61770999999987</v>
      </c>
      <c r="K359" s="3">
        <f>544.7+(714.6-207)+(-0.277797+(-0.364446--0.10557))+0-189.1--0.0964409999999808</f>
        <v>862.75976800000012</v>
      </c>
      <c r="L359" s="3">
        <f>545.8+(778-223)+(-0.835074+(-1.19034--0.34119))+0-188.1--0.287793000000011</f>
        <v>911.30356899999981</v>
      </c>
      <c r="M359" s="3">
        <f>548.7+(840.5-234.9)+(0+(0-0))+0-190-0</f>
        <v>964.30000000000018</v>
      </c>
      <c r="N359" s="3">
        <f>545.9+(834-176.9)+(0.278409+(0.42534-0.090219))+0-188.3-0.0960329999999809</f>
        <v>1015.2174970000001</v>
      </c>
      <c r="O359" s="3">
        <f>554.9+(820.9-178.5)+(-1.131996+(-1.674636--0.36414))+0-187--0.381479999999992</f>
        <v>1008.2389880000001</v>
      </c>
      <c r="P359" s="3">
        <f>557.2+(930.5-256.4)+(-0.568344+(-0.94911--0.261528))+0-184.3--0.187986000000029</f>
        <v>1045.9320600000003</v>
      </c>
      <c r="Q359" s="3">
        <f>553.2+(926-242.3)+(0+(0-0))+0-186.2-0</f>
        <v>1050.7</v>
      </c>
      <c r="R359" s="3">
        <f>551.6+(886.6-221.1)+(-1.125264+(-1.808664--0.451044))+0-187--0.381479999999992</f>
        <v>1027.9985959999999</v>
      </c>
      <c r="S359" s="3">
        <f>550.1+(859.7-229.1)+(-0.280551+(-0.438447--0.116841))+0-181.4--0.0925139999999816</f>
        <v>998.79035699999997</v>
      </c>
      <c r="T359" s="3">
        <f>547.9+(891.8-250.6)+(0+(0-0))+0-187.6-0</f>
        <v>1001.4999999999999</v>
      </c>
      <c r="U359" s="3">
        <f>544.7+(844.4-200.4)+(0.555594+(0.861288-0.204408))+0-180.9-0.184518000000029</f>
        <v>1008.827956</v>
      </c>
      <c r="V359" s="3">
        <f>516.4+(830.5-160.1)+(-1.31682+(-2.117775--0.408255))+0-183.3--0.467414999999973</f>
        <v>1000.9410750000001</v>
      </c>
      <c r="W359" s="3">
        <f>513.9+(912.4-199.5)+(0+(0-0))+0-187-0</f>
        <v>1039.8</v>
      </c>
      <c r="X359" s="3">
        <f>515.6+(967.6-182.4)+(-0.525912+(-0.986952--0.186048))+0-187.7--0.19145400000003</f>
        <v>1111.9646380000001</v>
      </c>
      <c r="Y359" s="3">
        <f>524.5+(957-178.9)+(-1.337475+(-2.44035--0.456195))+0-189.8--0.483989999999973</f>
        <v>1109.96236</v>
      </c>
      <c r="Z359" s="3">
        <f>525+(925.2-175.4)+(-1.071+(-1.887408--0.357816))+0-192.1--0.391883999999992</f>
        <v>1080.4912920000002</v>
      </c>
      <c r="AA359" s="3">
        <f>528.8+(874-161.3)+(-1.887816+(-3.12018--0.575841))+0-192.2--0.686154000000003</f>
        <v>1045.553999</v>
      </c>
      <c r="AB359" s="3">
        <f>532.1+(859.5-194.2)+(-1.085484+(-1.75338--0.396168))+0-187.8--0.383111999999992</f>
        <v>1007.5404160000001</v>
      </c>
      <c r="AC359" s="3">
        <f>533.1+(822-200.8)+(-0.543762+(-0.83844--0.204816))+0-188.3--0.19206600000003</f>
        <v>965.01468000000023</v>
      </c>
      <c r="AD359" s="2">
        <v>1123.8000000000002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548+(759-191.2)+(-1.67688+(-2.32254--0.585072))+0-187.1--0.572526000000022</f>
        <v>925.85817799999995</v>
      </c>
      <c r="G360" s="3">
        <f>539.4+(700.2-167.7)+(-0.825282+(-1.071306--0.256581))+0-186.9--0.285957000000011</f>
        <v>883.6459500000002</v>
      </c>
      <c r="H360" s="3">
        <f>541.4+(683.4-173.8)+(-0.828342+(-1.045602--0.265914))+0-188.3--0.288099000000011</f>
        <v>861.38006899999993</v>
      </c>
      <c r="I360" s="3">
        <f>544+(672.9-174.7)+(-0.27744+(-0.343179--0.089097))+0-192.5--0.0981749999999805</f>
        <v>849.26665300000002</v>
      </c>
      <c r="J360" s="3">
        <f>545.7+(682.4-185.5)+(-0.556614+(-0.696048--0.18921))+0-191.3--0.195126000000031</f>
        <v>850.43167399999993</v>
      </c>
      <c r="K360" s="3">
        <f>544.5+(719.9-226.5)+(0.55539+(0.734298-0.23103))+0-189.5-0.19329000000003</f>
        <v>849.26536799999997</v>
      </c>
      <c r="L360" s="3">
        <f>542.8+(750.3-226.1)+(-1.107312+(-1.530612--0.461244))+0-186.6--0.380663999999992</f>
        <v>878.60398399999997</v>
      </c>
      <c r="M360" s="3">
        <f>535.4+(811.9-205.1)+(0.273054+(0.414069-0.104601))+0-189.6-0.0966959999999808</f>
        <v>953.08582599999977</v>
      </c>
      <c r="N360" s="3">
        <f>528.2+(903.2-231.4)+(0.269382+(0.460632-0.118014))+0-191.4-0.0976139999999806</f>
        <v>1009.1143860000001</v>
      </c>
      <c r="O360" s="3">
        <f>522.1+(945.2-251.9)+(1.065084+(1.928208-0.513876))+0-188.2-0.383927999999992</f>
        <v>1029.295488</v>
      </c>
      <c r="P360" s="3">
        <f>516.1+(951.1-234.2)+(-0.526422+(-0.970122--0.238884))+0-190.5--0.19431000000003</f>
        <v>1041.4366500000001</v>
      </c>
      <c r="Q360" s="3">
        <f>515.3+(938.8-211.6)+(-1.314015+(-2.39394--0.53958))+0-192.3--0.490364999999972</f>
        <v>1047.52199</v>
      </c>
      <c r="R360" s="3">
        <f>514.5+(929.7-210.6)+(-1.311975+(-2.370735--0.53703))+0-191.9--0.489344999999972</f>
        <v>1039.0436649999997</v>
      </c>
      <c r="S360" s="3">
        <f>508.8+(902.9-199.8)+(-1.037952+(-1.841916--0.407592))+0-191.3--0.390251999999992</f>
        <v>1018.517976</v>
      </c>
      <c r="T360" s="3">
        <f>507.2+(913.3-210.9)+(0.517344+(0.931566-0.215118))+0-192.4-0.196248000000031</f>
        <v>1018.2375439999998</v>
      </c>
      <c r="U360" s="3">
        <f>508.2+(903-209)+(0+(0-0))+0-185-0</f>
        <v>1017.2</v>
      </c>
      <c r="V360" s="3">
        <f>510.1+(891-203.3)+(-0.780453+(-1.36323--0.311049))+0-186.6--0.285498000000011</f>
        <v>1009.652864</v>
      </c>
      <c r="W360" s="3">
        <f>510.8+(927.7-226.4)+(0.521016+(0.946254-0.230928))+0-184.5-0.188190000000029</f>
        <v>1028.648152</v>
      </c>
      <c r="X360" s="3">
        <f>514.4+(983.8-216.9)+(0.524688+(1.003476-0.221238))+0-189.2-0.19298400000003</f>
        <v>1093.2139419999999</v>
      </c>
      <c r="Y360" s="3">
        <f>517.6+(937.8-185.1)+(-0.791928+(-1.434834--0.283203))+0-189.3--0.289629000000011</f>
        <v>1079.3460700000001</v>
      </c>
      <c r="Z360" s="3">
        <f>520.7+(908.2-180.9)+(-0.796671+(-1.389546--0.276777))+0-187.2--0.286416000000011</f>
        <v>1059.176976</v>
      </c>
      <c r="AA360" s="3">
        <f>526+(862.5-171)+(-0.26826+(-0.439875--0.08721))+0-189.1--0.0964409999999808</f>
        <v>1027.8755160000001</v>
      </c>
      <c r="AB360" s="3">
        <f>527.8+(846.2-192)+(-1.34589+(-2.15781--0.4896))+0-188.2--0.479909999999973</f>
        <v>991.26580999999987</v>
      </c>
      <c r="AC360" s="3">
        <f>530.7+(772.4-168)+(-0.811971+(-1.181772--0.25704))+0-183.5--0.280755000000011</f>
        <v>950.14405199999987</v>
      </c>
      <c r="AD360" s="2">
        <v>1102.8000000000002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533+(720.6-144.7)+(-1.08732+(-1.470024--0.295188))+0-190.6--0.388823999999992</f>
        <v>916.42666800000006</v>
      </c>
      <c r="G361" s="3">
        <f>533.9+(671.5-144.8)+(-1.089156+(-1.36986--0.295392))+0-188.1--0.383723999999992</f>
        <v>870.72009999999989</v>
      </c>
      <c r="H361" s="3">
        <f>532.8+(648.4-131.6)+(-0.543456+(-0.661368--0.134232))+0-188.7--0.19247400000003</f>
        <v>860.02188199999989</v>
      </c>
      <c r="I361" s="3">
        <f>536.6+(628.8-131.4)+(0.820998+(0.962064-0.201042))+0-189.3-0.289629000000011</f>
        <v>845.99239100000011</v>
      </c>
      <c r="J361" s="3">
        <f>540.1+(630.7-134.7)+(-1.101804+(-1.286628--0.274788))+0-191.8--0.391271999999992</f>
        <v>842.57762800000012</v>
      </c>
      <c r="K361" s="3">
        <f>542+(645.1-144.5)+(-0.55284+(-0.658002--0.14739))+0-189.3--0.19308600000003</f>
        <v>852.42963399999985</v>
      </c>
      <c r="L361" s="3">
        <f>541.2+(656.6-143.4)+(-0.276012+(-0.334866--0.073134))+0-187.1--0.095420999999981</f>
        <v>866.85767700000008</v>
      </c>
      <c r="M361" s="3">
        <f>532+(651.6-81.2)+(0.27132+(0.332316-0.041412))+0-190.8-0.0973079999999806</f>
        <v>912.06491600000015</v>
      </c>
      <c r="N361" s="3">
        <f>525.2+(707.3-69.4)+(-0.267852+(-0.360723--0.035394))+0-197.2--0.10057199999998</f>
        <v>965.40739099999985</v>
      </c>
      <c r="O361" s="3">
        <f>522.7+(719.8-71.7)+(-0.266577+(-0.367098--0.036567))+0-192.9--0.0983789999999804</f>
        <v>977.40127100000007</v>
      </c>
      <c r="P361" s="3">
        <f>517.8+(774-93.4)+(0.792234+(1.18422-0.142902))+0-185.8-0.284274000000011</f>
        <v>1014.1492780000002</v>
      </c>
      <c r="Q361" s="3">
        <f>514.9+(831-125)+(-1.050396+(-1.69524--0.255))+0-186.4--0.380255999999992</f>
        <v>1032.3896199999999</v>
      </c>
      <c r="R361" s="3">
        <f>512+(866.3-152.3)+(-0.52224+(-0.883626--0.155346))+0-188.7--0.19247400000003</f>
        <v>1036.2419539999999</v>
      </c>
      <c r="S361" s="3">
        <f>513.6+(816.5-130.4)+(-1.047744+(-1.66566--0.266016))+0-188.9--0.385355999999992</f>
        <v>1008.737968</v>
      </c>
      <c r="T361" s="3">
        <f>510.1+(817.7-133.5)+(0.520302+(0.834054-0.13617))+0-192.2-0.196044000000031</f>
        <v>1003.1221420000002</v>
      </c>
      <c r="U361" s="3">
        <f>532.7+(738.6-97.6)+(0.271677+(0.376686-0.049776))+0-190.1-0.0969509999999807</f>
        <v>984.10163599999998</v>
      </c>
      <c r="V361" s="3">
        <f>507.2+(749.7-91.1)+(0.517344+(0.764694-0.092922))+0-190.1-0.19390200000003</f>
        <v>976.69521399999996</v>
      </c>
      <c r="W361" s="3">
        <f>512+(779-107.8)+(0+(0-0))+0-193.5-0</f>
        <v>989.7</v>
      </c>
      <c r="X361" s="3">
        <f>513.4+(896.3-139.9)+(0.523668+(0.914226-0.142698))+0-185.9-0.18961800000003</f>
        <v>1085.0055779999998</v>
      </c>
      <c r="Y361" s="3">
        <f>519.7+(894.4-127.8)+(-0.265047+(-0.456144--0.065178))+0-191.8--0.0978179999999805</f>
        <v>1093.9418050000002</v>
      </c>
      <c r="Z361" s="3">
        <f>520.8+(879.9-134.8)+(-0.531216+(-0.897498--0.137496))+0-194.9--0.198798000000031</f>
        <v>1069.9075799999998</v>
      </c>
      <c r="AA361" s="3">
        <f>522.2+(869.7-158.2)+(-0.532644+(-0.887094--0.161364))+0-190--0.19380000000003</f>
        <v>1042.6354260000001</v>
      </c>
      <c r="AB361" s="3">
        <f>523.6+(824.5-149)+(-1.33518+(-2.102475--0.37995))+0-187.5--0.478124999999973</f>
        <v>1009.0204199999999</v>
      </c>
      <c r="AC361" s="3">
        <f>530.2+(749.2-134)+(-0.811206+(-1.146276--0.20502))+0-184.2--0.281826000000011</f>
        <v>959.72936400000015</v>
      </c>
      <c r="AD361" s="2">
        <v>1103.4999999999998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536.9+(662.6-112.5)+(-1.642914+(-2.027556--0.34425))+0-180.1--0.551106000000021</f>
        <v>904.12488600000006</v>
      </c>
      <c r="G362" s="3">
        <f>536.7+(642.3-120.2)+(-1.368585+(-1.637865--0.30651))+0-183.7--0.468434999999973</f>
        <v>872.86849499999994</v>
      </c>
      <c r="H362" s="3">
        <f>538.5+(615.7-123.6)+(-1.09854+(-1.256028--0.252144))+0-178.8--0.364751999999992</f>
        <v>850.06232799999998</v>
      </c>
      <c r="I362" s="3">
        <f>538+(600-117)+(0+(0-0))+0-181.4-0</f>
        <v>839.6</v>
      </c>
      <c r="J362" s="3">
        <f>540.5+(597.6-121.8)+(0.826965+(0.914328-0.186354))+0-185.2-0.283356000000011</f>
        <v>832.37158299999999</v>
      </c>
      <c r="K362" s="3">
        <f>544.2+(622.3-141.6)+(0+(0-0))+0-184.4-0</f>
        <v>840.50000000000011</v>
      </c>
      <c r="L362" s="3">
        <f>540.6+(675.8-152)+(-0.275706+(-0.344658--0.07752))+0-179.5--0.0915449999999818</f>
        <v>884.44870100000003</v>
      </c>
      <c r="M362" s="3">
        <f>534.6+(740.5-147.5)+(0+(0-0))+0-182.5-0</f>
        <v>945.09999999999991</v>
      </c>
      <c r="N362" s="3">
        <f>526.3+(789.5-135.7)+(-0.268413+(-0.402645--0.069207))+0-186.1--0.0949109999999811</f>
        <v>993.49306000000001</v>
      </c>
      <c r="O362" s="3">
        <f>519.5+(793.1-135.7)+(-0.264945+(-0.404481--0.069207))+0-170.8--0.0871079999999827</f>
        <v>1005.5868890000002</v>
      </c>
      <c r="P362" s="3">
        <f>514.3+(822.2-131.4)+(0.262293+(0.419322-0.067014))+0-178.8-0.0911879999999819</f>
        <v>1026.8234130000001</v>
      </c>
      <c r="Q362" s="3">
        <f>510.3+(840-125.7)+(0+(0-0))+0-179.4-0</f>
        <v>1045.1999999999998</v>
      </c>
      <c r="R362" s="3">
        <f>508+(833.1-120.9)+(-0.77724+(-1.274643--0.184977))+0-176.7--0.27035100000001</f>
        <v>1041.9034450000001</v>
      </c>
      <c r="S362" s="3">
        <f>506.3+(841.4-129.6)+(0.258213+(0.429114-0.066096))+0-177.7-0.090626999999982</f>
        <v>1040.9306039999999</v>
      </c>
      <c r="T362" s="3">
        <f>505.1+(809.6-115.7)+(-0.515202+(-0.825792--0.118014))+0-172.2--0.175644000000027</f>
        <v>1025.7526639999999</v>
      </c>
      <c r="U362" s="3">
        <f>506.4+(793-108)+(-1.033056+(-1.61772--0.22032))+0-169.9--0.346595999999993</f>
        <v>1019.41614</v>
      </c>
      <c r="V362" s="3">
        <f>504.8+(789.2-105.1)+(-1.544688+(-2.414952--0.321606))+0-175.8--0.53794800000002</f>
        <v>1009.9999140000001</v>
      </c>
      <c r="W362" s="3">
        <f>508.4+(802.6-120.9)+(-2.074272+(-3.274608--0.493272))+0-169.2--0.690335999999985</f>
        <v>1016.7347279999998</v>
      </c>
      <c r="X362" s="3">
        <f>510.6+(919.8-152.7)+(0+(0-0))+0-166.9-0</f>
        <v>1110.7999999999997</v>
      </c>
      <c r="Y362" s="3">
        <f>516+(933-158.6)+(-1.3158+(-2.37915--0.40443))+0-172.6--0.440129999999975</f>
        <v>1114.9496100000001</v>
      </c>
      <c r="Z362" s="3">
        <f>521.2+(911.3-155)+(-1.32906+(-2.323815--0.39525))+0-185.5--0.473024999999973</f>
        <v>1089.2154</v>
      </c>
      <c r="AA362" s="3">
        <f>525.2+(867.2-139.7)+(-1.071408+(-1.769088--0.284988))+0-186.6--0.380663999999992</f>
        <v>1063.9251560000002</v>
      </c>
      <c r="AB362" s="3">
        <f>525+(807.7-119.6)+(-0.26775+(-0.411927--0.060996))+0-182.8--0.0932279999999815</f>
        <v>1029.774547</v>
      </c>
      <c r="AC362" s="3">
        <f>519.9+(771.7-119.7)+(-1.325745+(-1.967835--0.305235))+0-184.5--0.470474999999973</f>
        <v>984.88213000000007</v>
      </c>
      <c r="AD362" s="2">
        <v>1125.5999999999999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518.9+(747.8-134.7)+(-1.587834+(-2.288268--0.412182))+0-186.1--0.569466000000021</f>
        <v>943.00554600000009</v>
      </c>
      <c r="G363" s="3">
        <f>491+(725.3-124)+(-1.25205+(-1.849515--0.3162))+0-184.9--0.471494999999973</f>
        <v>905.08613000000003</v>
      </c>
      <c r="H363" s="3">
        <f>446.7+(747-117.2)+(-0.911268+(-1.52388--0.239088))+0-186.5--0.380459999999992</f>
        <v>888.18439999999998</v>
      </c>
      <c r="I363" s="3">
        <f>445.8+(710.8-104)+(-1.364148+(-2.175048--0.31824))+0-184.9--0.565794000000021</f>
        <v>865.04483800000003</v>
      </c>
      <c r="J363" s="3">
        <f>448+(694.6-107)+(-0.68544+(-1.062738--0.16371))+0-172.2--0.26346600000001</f>
        <v>862.07899799999984</v>
      </c>
      <c r="K363" s="3">
        <f>449.7+(697.6-103.3)+(-0.229347+(-0.355776--0.052683))+0-158.7--0.0809369999999839</f>
        <v>884.84849699999995</v>
      </c>
      <c r="L363" s="3">
        <f>458.4+(717.7-134)+(0+(0-0))+0-151.6-0</f>
        <v>890.49999999999989</v>
      </c>
      <c r="M363" s="3">
        <f>455.7+(770-144.2)+(0.464814+(0.7854-0.147084))+0-138.8-0.141576000000022</f>
        <v>943.66155400000002</v>
      </c>
      <c r="N363" s="3">
        <f>461.5+(783.1-152.2)+(-0.235365+(-0.399381--0.077622))+0-105.8--0.0539579999999893</f>
        <v>986.09683400000017</v>
      </c>
      <c r="O363" s="3">
        <f>515.8+(736.3-142.1)+(0+(0-0))+0-107.1-0</f>
        <v>1002.9</v>
      </c>
      <c r="P363" s="3">
        <f>514.2+(803.2-160.9)+(-1.31121+(-2.04816--0.410295))+0-113.9--0.290444999999983</f>
        <v>1039.94137</v>
      </c>
      <c r="Q363" s="3">
        <f>506.4+(818.4-155.9)+(-0.258264+(-0.417384--0.079509))+0-113.7--0.0579869999999885</f>
        <v>1054.661848</v>
      </c>
      <c r="R363" s="3">
        <f>505.1+(880.6-207.1)+(-1.545606+(-2.694636--0.633726))+0-119.2--0.364752000000014</f>
        <v>1056.1582359999998</v>
      </c>
      <c r="S363" s="3">
        <f>496.2+(873.5-204.3)+(0.253062+(0.445485-0.104193))+0-119.8-0.0610979999999878</f>
        <v>1046.1332560000003</v>
      </c>
      <c r="T363" s="3">
        <f>495.1+(858.8-204.9)+(-1.010004+(-1.751952--0.417996))+0-115.9--0.236435999999995</f>
        <v>1030.9924759999999</v>
      </c>
      <c r="U363" s="3">
        <f>498.2+(807.1-168.8)+(-0.762246+(-1.234863--0.258264))+0-105.4--0.161262000000006</f>
        <v>1029.5224169999999</v>
      </c>
      <c r="V363" s="3">
        <f>503.6+(788.4-147.8)+(0+(0-0))+0-108.6-0</f>
        <v>1035.5999999999999</v>
      </c>
      <c r="W363" s="3">
        <f>495+(896.6-188)+(0+(0-0))+0-120-0</f>
        <v>1083.5999999999999</v>
      </c>
      <c r="X363" s="3">
        <f>509.9+(998.6-223)+(0.260049+(0.509286-0.11373))+0-133-0.0678299999999865</f>
        <v>1153.087775</v>
      </c>
      <c r="Y363" s="3">
        <f>515.3+(1002.7-227)+(-0.262803+(-0.511377--0.11577))+0-147--0.0749699999999851</f>
        <v>1143.4165599999999</v>
      </c>
      <c r="Z363" s="3">
        <f>517.3+(926.6-194.3)+(-0.263823+(-0.472566--0.099093))+0-144.1--0.0734909999999854</f>
        <v>1104.9361949999998</v>
      </c>
      <c r="AA363" s="3">
        <f>518.8+(929.6-190)+(-0.264588+(-0.474096--0.0969))+0-166.2--0.0847619999999831</f>
        <v>1091.6429780000001</v>
      </c>
      <c r="AB363" s="3">
        <f>521.6+(901.1-197)+(-1.33008+(-2.297805--0.50235))+0-168.3--0.429164999999976</f>
        <v>1054.7036300000002</v>
      </c>
      <c r="AC363" s="3">
        <f>521.9+(824-166.7)+(-1.064676+(-1.68096--0.340068))+0-175.1--0.357203999999992</f>
        <v>1002.0516359999999</v>
      </c>
      <c r="AD363" s="2">
        <v>1061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525.2+(733.4-135.9)+(-1.071408+(-1.496136--0.277236))+0-177.5--0.362099999999992</f>
        <v>943.27179199999989</v>
      </c>
      <c r="G364" s="3">
        <f>525.3+(697.7-144)+(-0.803709+(-1.067481--0.22032))+0-177.2--0.27111600000001</f>
        <v>900.42024600000002</v>
      </c>
      <c r="H364" s="3">
        <f>525.9+(694.4-161.6)+(-1.341045+(-1.77072--0.41208))+0-168.3--0.429164999999976</f>
        <v>888.12947999999983</v>
      </c>
      <c r="I364" s="3">
        <f>527.3+(627.8-112.6)+(0.268923+(0.320178-0.057426))+0-170.2-0.0868019999999827</f>
        <v>872.74487299999987</v>
      </c>
      <c r="J364" s="3">
        <f>530.8+(605.6-102.1)+(-1.082832+(-1.235424--0.208284))+0-169.3--0.345371999999993</f>
        <v>863.23540000000003</v>
      </c>
      <c r="K364" s="3">
        <f>531.3+(609.2-116)+(-0.541926+(-0.621384--0.11832))+0-167.8--0.171156000000027</f>
        <v>855.82616599999994</v>
      </c>
      <c r="L364" s="3">
        <f>531.3+(638-124.7)+(0+(0-0))+0-166.5-0</f>
        <v>878.09999999999991</v>
      </c>
      <c r="M364" s="3">
        <f>528.6+(696.3-119.1)+(-0.808758+(-1.065339--0.182223))+0-170.3--0.26055900000001</f>
        <v>934.06868499999996</v>
      </c>
      <c r="N364" s="3">
        <f>527.8+(893.1-258.7)+(-0.269178+(-0.455481--0.131937))+0-171.4--0.0874139999999826</f>
        <v>990.29469199999994</v>
      </c>
      <c r="O364" s="3">
        <f>573.7+(859.4-251.9)+(-1.462935+(-2.19147--0.642345))+0-167.7--0.427634999999976</f>
        <v>1010.915575</v>
      </c>
      <c r="P364" s="3">
        <f>620+(853.3-274.1)+(0.3162+(0.435183-0.139791))+0-167.4-0.085373999999983</f>
        <v>1032.3262179999997</v>
      </c>
      <c r="Q364" s="3">
        <f>617.2+(950.8-350)+(0.314772+(0.484908-0.1785))+0-185.3-0.0945029999999812</f>
        <v>1033.2266770000001</v>
      </c>
      <c r="R364" s="3">
        <f>610.1+(984.4-380.2)+(-1.866906+(-3.012264--1.163412))+0-174.1--0.53274600000002</f>
        <v>1037.0169880000003</v>
      </c>
      <c r="S364" s="3">
        <f>608.7+(965.8-375)+(-1.241748+(-1.970232--0.765))+0-160.2--0.326807999999993</f>
        <v>1037.179828</v>
      </c>
      <c r="T364" s="3">
        <f>606.7+(952.9-371.9)+(-0.618834+(-0.971958--0.379338))+0-159.4--0.162588000000025</f>
        <v>1027.2511339999999</v>
      </c>
      <c r="U364" s="3">
        <f>606.4+(893.7-321.2)+(-0.309264+(-0.455787--0.163812))+0-167.8--0.085577999999983</f>
        <v>1010.584339</v>
      </c>
      <c r="V364" s="3">
        <f>609.5+(784.4-224.9)+(-0.932535+(-1.200132--0.344097))+0-172.5--0.26392500000001</f>
        <v>994.97535500000004</v>
      </c>
      <c r="W364" s="3">
        <f>593.8+(852.6-267.2)+(0.605676+(0.869652-0.272544))+0-170.4-0.173808000000027</f>
        <v>1009.8289760000001</v>
      </c>
      <c r="X364" s="3">
        <f>519.4+(1070.4-311.7)+(0.529788+(1.091808-0.317934))+0-171.3-0.174726000000027</f>
        <v>1107.928936</v>
      </c>
      <c r="Y364" s="3">
        <f>520.2+(975.8-223.7)+(-0.265302+(-0.497658--0.114087))+0-173.4--0.0884339999999824</f>
        <v>1098.3395609999998</v>
      </c>
      <c r="Z364" s="3">
        <f>525.9+(958.4-213.3)+(-1.341045+(-2.44392--0.543915))+0-174--0.443699999999975</f>
        <v>1094.2026499999999</v>
      </c>
      <c r="AA364" s="3">
        <f>522.6+(1002.9-268)+(0+(0-0))+0-175.7-0</f>
        <v>1081.8</v>
      </c>
      <c r="AB364" s="3">
        <f>525.9+(955.6-238)+(-1.072836+(-1.949424--0.48552))+0-182--0.371279999999992</f>
        <v>1059.3345400000001</v>
      </c>
      <c r="AC364" s="3">
        <f>529.3+(864.9-201.1)+(-1.349715+(-2.205495--0.512805))+0-189.8--0.483989999999973</f>
        <v>1000.741585</v>
      </c>
      <c r="AD364" s="2">
        <v>1077.7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530.5+(786.5-165.3)+(0+(0-0))+0-184-0</f>
        <v>967.7</v>
      </c>
      <c r="G365" s="3">
        <f>529.5+(700.4-126.8)+(-1.08018+(-1.428816--0.258672))+0-183.7--0.374747999999992</f>
        <v>917.52442399999973</v>
      </c>
      <c r="H365" s="3">
        <f>535.8+(707.9-154.7)+(-1.639548+(-2.166174--0.473382))+0-183.5--0.561510000000021</f>
        <v>902.72917000000007</v>
      </c>
      <c r="I365" s="3">
        <f>483.3+(771.5-174.5)+(-0.492966+(-0.78693--0.17799))+0-184.3--0.187986000000029</f>
        <v>895.08607999999992</v>
      </c>
      <c r="J365" s="3">
        <f>457.4+(746.7-141.8)+(-0.466548+(-0.761634--0.144636))+0-185.5--0.18921000000003</f>
        <v>875.90566400000012</v>
      </c>
      <c r="K365" s="3">
        <f>460.2+(781.8-179)+(0.469404+(0.797436-0.18258))+0-183-0.186660000000029</f>
        <v>880.89760000000001</v>
      </c>
      <c r="L365" s="3">
        <f>461.5+(798.3-177.7)+(-0.47073+(-0.814266--0.181254))+0-180--0.183600000000029</f>
        <v>901.17985799999997</v>
      </c>
      <c r="M365" s="3">
        <f>456.2+(883.1-204.8)+(0.465324+(0.900762-0.208896))+0-184.9-0.188598000000029</f>
        <v>950.56859199999985</v>
      </c>
      <c r="N365" s="3">
        <f>458.5+(914.5-200.6)+(-0.233835+(-0.466395--0.102306))+0-182.9--0.0932789999999814</f>
        <v>988.99535500000013</v>
      </c>
      <c r="O365" s="3">
        <f>498.1+(894.7-207)+(0+(0-0))+0-172.7-0</f>
        <v>1013.1000000000001</v>
      </c>
      <c r="P365" s="3">
        <f>518.5+(925.6-242)+(-0.264435+(-0.472056--0.12342))+0-186.3--0.0950129999999811</f>
        <v>1015.281942</v>
      </c>
      <c r="Q365" s="3">
        <f>515.1+(1001.1-302)+(1.050804+(2.042244-0.61608))+0-167.8-0.342311999999993</f>
        <v>1048.534656</v>
      </c>
      <c r="R365" s="3">
        <f>518.2+(1027.1-324)+(-1.057128+(-2.095284--0.66096))+0-176.8--0.360671999999992</f>
        <v>1042.36922</v>
      </c>
      <c r="S365" s="3">
        <f>518.6+(992.9-311.2)+(-0.528972+(-1.012758--0.317424))+0-183.8--0.187476000000029</f>
        <v>1015.4631700000002</v>
      </c>
      <c r="T365" s="3">
        <f>522.9+(954.2-284.9)+(-1.066716+(-1.946568--0.581196))+0-175.4--0.357815999999992</f>
        <v>1014.725728</v>
      </c>
      <c r="U365" s="3">
        <f>529.5+(896.3-243.1)+(-0.810135+(-1.371339--0.371943))+0-179.9--0.27524700000001</f>
        <v>1001.2657159999998</v>
      </c>
      <c r="V365" s="3">
        <f>525.8+(885.1-227.1)+(1.072632+(1.805604-0.463284))+0-184.2-0.375767999999992</f>
        <v>1001.639184</v>
      </c>
      <c r="W365" s="3">
        <f>525.9+(859.3-222.5)+(-1.072836+(-1.752972--0.4539))+0-182.7--0.372707999999992</f>
        <v>978.00079999999969</v>
      </c>
      <c r="X365" s="3">
        <f>528.7+(939.7-286.4)+(0.539274+(0.958494-0.292128))+0-184.2-0.187884000000029</f>
        <v>998.8177559999998</v>
      </c>
      <c r="Y365" s="3">
        <f>530.1+(862.4-253.9)+(-0.811053+(-1.319472--0.388467))+0-182.3--0.278919000000011</f>
        <v>954.83686099999989</v>
      </c>
      <c r="Z365" s="3">
        <f>531.7+(837.1-248.7)+(0.542334+(0.853842-0.253674))+0-183.3-0.186966000000029</f>
        <v>937.75553600000012</v>
      </c>
      <c r="AA365" s="3">
        <f>533.1+(792.9-188.7)+(0.543762+(0.808758-0.192474))+0-183.6-0.187272000000029</f>
        <v>954.67277400000012</v>
      </c>
      <c r="AB365" s="3">
        <f>533.7+(809.3-208)+(-0.816561+(-1.238229--0.31824))+0-182.3--0.278919000000011</f>
        <v>951.24236899999994</v>
      </c>
      <c r="AC365" s="3">
        <f>536.3+(749.5-185.4)+(-0.547026+(-0.76449--0.189108))+0-183.5--0.187170000000029</f>
        <v>915.96476200000018</v>
      </c>
      <c r="AD365" s="2">
        <v>972.09999999999991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869.12604199999987</v>
      </c>
      <c r="G366" s="1">
        <v>829.75122800000008</v>
      </c>
      <c r="H366" s="1">
        <v>807.50025099999993</v>
      </c>
      <c r="I366" s="1">
        <v>797.70569599999999</v>
      </c>
      <c r="J366" s="1">
        <v>804.69709700000021</v>
      </c>
      <c r="K366" s="1">
        <v>802.40127100000007</v>
      </c>
      <c r="L366" s="1">
        <v>815.98448800000017</v>
      </c>
      <c r="M366" s="1">
        <v>861.1</v>
      </c>
      <c r="N366" s="1">
        <v>908.50000000000011</v>
      </c>
      <c r="O366" s="1">
        <v>945.7</v>
      </c>
      <c r="P366" s="1">
        <v>969.40000000000009</v>
      </c>
      <c r="Q366" s="1">
        <v>990.39802599999996</v>
      </c>
      <c r="R366" s="1">
        <v>984.31341899999984</v>
      </c>
      <c r="S366" s="1">
        <v>968.45134799999994</v>
      </c>
      <c r="T366" s="1">
        <v>944.05751499999985</v>
      </c>
      <c r="U366" s="1">
        <v>899.8732849999999</v>
      </c>
      <c r="V366" s="1">
        <v>879.08600299999978</v>
      </c>
      <c r="W366" s="1">
        <v>896.25968699999987</v>
      </c>
      <c r="X366" s="1">
        <v>980.21033799999987</v>
      </c>
      <c r="Y366" s="1">
        <v>986.20722700000022</v>
      </c>
      <c r="Z366" s="1">
        <v>974.16035999999986</v>
      </c>
      <c r="AA366" s="1">
        <v>974.14556999999991</v>
      </c>
      <c r="AB366" s="1">
        <v>953.42793499999993</v>
      </c>
      <c r="AC366" s="1">
        <v>918.7296990000001</v>
      </c>
      <c r="AD366" s="1">
        <v>982.39999999999986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953.3+(130.8-224.3)+(-0.972366+(-0.133416--0.228786))+0-322.4--0.328848000000051</f>
        <v>536.85185200000012</v>
      </c>
      <c r="G1" s="3">
        <f>955.8+(155.9-228.6)+(-1.949832+(-0.318036--0.466344))+0-326.8--0.666671999999986</f>
        <v>555.16514799999993</v>
      </c>
      <c r="H1" s="3">
        <f>957.2+(84.7-232.1)+(-2.44086+(-0.215985--0.591855))+0-326.9--0.833594999999952</f>
        <v>481.66860500000007</v>
      </c>
      <c r="I1" s="3">
        <f>959.9+(73.6-218.1)+(-1.468647+(-0.112608--0.333693))+0-325.7--0.498321000000019</f>
        <v>488.95075900000001</v>
      </c>
      <c r="J1" s="3">
        <f>961.2+(68.2-235.7)+(-0.490212+(-0.034782--0.120207))+0-323.1--0.164780999999967</f>
        <v>470.35999399999992</v>
      </c>
      <c r="K1" s="3">
        <f>961+(77.1-242.1)+(0+(0-0))+0-324-0</f>
        <v>472</v>
      </c>
      <c r="L1" s="3">
        <f>941+(180.9-266)+(-0.47991+(-0.092259--0.13566))+0-323--0.164729999999967</f>
        <v>532.62822099999994</v>
      </c>
      <c r="M1" s="3">
        <f>938+(307.2-288.8)+(0+(0-0))+0-322-0</f>
        <v>634.4</v>
      </c>
      <c r="N1" s="3">
        <f>933+(293.7-311.7)+(-0.95166+(-0.299574--0.317934))+0-323--0.329460000000051</f>
        <v>591.39616000000001</v>
      </c>
      <c r="O1" s="3">
        <f>930+(235.5-313.6)+(-1.4229+(-0.360315--0.479808))+0-323--0.494190000000019</f>
        <v>528.09078299999999</v>
      </c>
      <c r="P1" s="3">
        <f>924+(236.1-316)+(-1.41372+(-0.361233--0.48348))+0-324--0.495720000000019</f>
        <v>519.30424700000003</v>
      </c>
      <c r="Q1" s="3">
        <f>919+(247.2-314.4)+(-0.46869+(-0.126072--0.160344))+0-323--0.164729999999967</f>
        <v>528.53031199999987</v>
      </c>
      <c r="R1" s="3">
        <f>924+(273.5-301.7)+(0+(0-0))+0-323-0</f>
        <v>572.79999999999995</v>
      </c>
      <c r="S1" s="3">
        <f>922+(243.3-314)+(0.47022+(0.124083-0.16014))+0-320-0.163199999999968</f>
        <v>531.57096300000001</v>
      </c>
      <c r="T1" s="3">
        <f>921+(258.6-323.8)+(-2.34855+(-0.65943--0.82569))+0-321--0.818549999999953</f>
        <v>533.43625999999995</v>
      </c>
      <c r="U1" s="3">
        <f>921+(261.2-323.9)+(-1.40913+(-0.399636--0.495567))+0-320--0.489600000000018</f>
        <v>537.4764009999999</v>
      </c>
      <c r="V1" s="3">
        <f>924.3+(255.6-313.4)+(-1.414179+(-0.391068--0.479502))+0-320.8--0.490824000000019</f>
        <v>544.86507899999992</v>
      </c>
      <c r="W1" s="3">
        <f>931.7+(278.2-313.4)+(-0.950334+(-0.283764--0.319668))+0-321.8--0.328236000000051</f>
        <v>574.11380600000007</v>
      </c>
      <c r="X1" s="3">
        <f>937.5+(320.5-343.7)+(-0.95625+(-0.32691--0.350574))+0-322.9--0.329358000000051</f>
        <v>590.79677200000003</v>
      </c>
      <c r="Y1" s="3">
        <f>942.3+(346.9-324.8)+(-0.961146+(-0.353838--0.331296))+0-322.3--0.328746000000051</f>
        <v>641.4450579999999</v>
      </c>
      <c r="Z1" s="3">
        <f>946.5+(311.9-325.8)+(-1.448145+(-0.477207--0.498474))+0-323--0.494190000000019</f>
        <v>608.66731199999992</v>
      </c>
      <c r="AA1" s="3">
        <f>948.7+(304.1-304.9)+(-1.451511+(-0.465273--0.466497))+0-320.7--0.490671000000019</f>
        <v>626.24038400000018</v>
      </c>
      <c r="AB1" s="3">
        <f>949.2+(265.6-294.5)+(-1.452276+(-0.406368--0.450585))+0-320.9--0.490977000000019</f>
        <v>598.48291800000015</v>
      </c>
      <c r="AC1" s="3">
        <f>953.2+(238.6-280)+(-3.402924+(-0.851802--0.9996))+0-321.2--1.146684</f>
        <v>588.49155800000017</v>
      </c>
      <c r="AD1" s="2">
        <v>652.29999999999995</v>
      </c>
      <c r="AE1" s="3">
        <f>953+(332.1-312.1)+(0+(0-0))+0-320.7-0</f>
        <v>652.29999999999995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557.74577900000008</v>
      </c>
      <c r="G2" s="3">
        <f>941+(178-271)+(0+(0-0))+0-321-0</f>
        <v>527</v>
      </c>
      <c r="H2" s="3">
        <f>954.6+(161-272)+(-1.460538+(-0.24633--0.41616))+0-322--0.492660000000019</f>
        <v>520.80195200000003</v>
      </c>
      <c r="I2" s="3">
        <f>957.2+(142.3-280.8)+(-1.464516+(-0.217719--0.429624))+0-323.2--0.494496000000019</f>
        <v>494.74188500000008</v>
      </c>
      <c r="J2" s="3">
        <f>957.6+(139.7-290.3)+(-1.465128+(-0.213741--0.444159))+0-323.2--0.494496000000019</f>
        <v>483.05978600000009</v>
      </c>
      <c r="K2" s="3">
        <f>960.2+(142.5-287.2)+(1.469106+(0.218025-0.439416))+0-323.4-0.494802000000019</f>
        <v>492.852913</v>
      </c>
      <c r="L2" s="3">
        <f>939.4+(169.5-268.3)+(-1.437282+(-0.259335--0.410499))+0-322.4--0.493272000000019</f>
        <v>517.40715399999999</v>
      </c>
      <c r="M2" s="3">
        <f>845.9+(235.6-267.2)+(0.431409+(0.120156-0.136272))+0-320.8-0.163607999999967</f>
        <v>493.75168500000001</v>
      </c>
      <c r="N2" s="3">
        <f>844.5+(283.2-292.8)+(0.430695+(0.144432-0.149328))+0-321.5-0.163964999999967</f>
        <v>513.661834</v>
      </c>
      <c r="O2" s="3">
        <f>846.7+(334.3-307.7)+(0.431817+(0.170493-0.156927))+0-323.1-0.164780999999967</f>
        <v>550.48060200000009</v>
      </c>
      <c r="P2" s="3">
        <f>848.9+(368.7-325.6)+(0+(0-0))+0-323.9-0</f>
        <v>568.1</v>
      </c>
      <c r="Q2" s="3">
        <f>848.5+(428.8-308)+(-0.86547+(-0.437376--0.31416))+0-323.3--0.329766000000052</f>
        <v>645.34107999999992</v>
      </c>
      <c r="R2" s="3">
        <f>847.1+(376.1-311.5)+(0+(0-0))+0-322.7-0</f>
        <v>589</v>
      </c>
      <c r="S2" s="3">
        <f>847.8+(426.7-311.2)+(0+(0-0))+0-323-0</f>
        <v>640.29999999999995</v>
      </c>
      <c r="T2" s="3">
        <f>845.3+(415.6-308.5)+(-0.862206+(-0.423912--0.31467))+0-322.2--0.328644000000051</f>
        <v>629.55719600000009</v>
      </c>
      <c r="U2" s="3">
        <f>872.2+(400.3-317.9)+(-1.779288+(-0.816612--0.648516))+0-321.7--0.656267999999986</f>
        <v>631.60888399999999</v>
      </c>
      <c r="V2" s="3">
        <f>847.1+(417.5-304.4)+(0.864042+(0.42585-0.310488))+0-323-0.329460000000051</f>
        <v>637.84994400000005</v>
      </c>
      <c r="W2" s="3">
        <f>842.4+(417.8-297.2)+(-0.859248+(-0.426156--0.303144))+0-325--0.331500000000052</f>
        <v>637.34924000000001</v>
      </c>
      <c r="X2" s="3">
        <f>919.8+(378.5-304.3)+(-0.938196+(-0.38607--0.310386))+0-326.1--0.332622000000052</f>
        <v>667.21874200000002</v>
      </c>
      <c r="Y2" s="3">
        <f>927.8+(388.9-343.2)+(0+(0-0))+0-327.1-0</f>
        <v>646.4</v>
      </c>
      <c r="Z2" s="3">
        <f>932.5+(369-351)+(-1.426725+(-0.56457--0.53703))+0-325--0.497250000000019</f>
        <v>624.54298500000004</v>
      </c>
      <c r="AA2" s="3">
        <f>935.4+(346.5-341.4)+(-0.954108+(-0.35343--0.348228))+0-324.5--0.330990000000052</f>
        <v>615.37168000000008</v>
      </c>
      <c r="AB2" s="3">
        <f>927+(321-318.6)+(0.94554+(0.32742-0.324972))+0-325.2-0.331704000000052</f>
        <v>604.81628399999988</v>
      </c>
      <c r="AC2" s="3">
        <f>759.4+(470.4-273.5)+(-0.387294+(-0.239904--0.139485))+0-322.9--0.164678999999967</f>
        <v>633.07696599999997</v>
      </c>
      <c r="AD2" s="2">
        <v>673.59999999999991</v>
      </c>
      <c r="AE2" s="3">
        <f>931+(414.3-348.6)+(0+(0-0))+0-323.1-0</f>
        <v>673.6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750.6+(428.4-248.6)+(-1.148418+(-0.655452--0.380358))+0-323--0.494190000000019</f>
        <v>606.47067800000002</v>
      </c>
      <c r="G3" s="3">
        <f>750.6+(403.1-226.2)+(-0.382806+(-0.205581--0.115362))+0-324.6--0.165545999999967</f>
        <v>602.59252099999992</v>
      </c>
      <c r="H3" s="3">
        <f>750.8+(363.1-216.8)+(-0.382908+(-0.185181--0.110568))+0-312--0.159119999999968</f>
        <v>584.80159899999978</v>
      </c>
      <c r="I3" s="3">
        <f>750.7+(383.4-200.9)+(1.531428+(0.782136-0.409836))+0-322.7-0.658307999999986</f>
        <v>611.74541999999997</v>
      </c>
      <c r="J3" s="3">
        <f>753.8+(336.7-206.4)+(0+(0-0))+0-322.5-0</f>
        <v>561.59999999999991</v>
      </c>
      <c r="K3" s="3">
        <f>752.8+(362.8-211)+(0.383928+(0.185028-0.10761))+0-322.5-0.164474999999967</f>
        <v>582.39687100000003</v>
      </c>
      <c r="L3" s="3">
        <f>756.4+(348.4-268.5)+(0.385764+(0.177684-0.136935))+0-322.4-0.164423999999967</f>
        <v>514.16208900000004</v>
      </c>
      <c r="M3" s="3">
        <f>757.5+(419.6-267.4)+(-1.5453+(-0.855984--0.545496))+0-321.5--0.655859999999986</f>
        <v>587.00007200000005</v>
      </c>
      <c r="N3" s="3">
        <f>751.6+(387.2-305.1)+(-0.383316+(-0.197472--0.155601))+0-322--0.164219999999967</f>
        <v>511.43903299999994</v>
      </c>
      <c r="O3" s="3">
        <f>744.3+(411.6-314.8)+(0.379593+(0.209916-0.160548))+0-323.2-0.164831999999967</f>
        <v>518.164129</v>
      </c>
      <c r="P3" s="3">
        <f>738.5+(449.2-321.2)+(-0.376635+(-0.229092--0.163812))+0-324.3--0.165392999999967</f>
        <v>541.92347799999993</v>
      </c>
      <c r="Q3" s="3">
        <f>736.2+(516.2-315.7)+(0+(0-0))+0-323.4-0</f>
        <v>613.30000000000007</v>
      </c>
      <c r="R3" s="3">
        <f>733.1+(585.9-295.8)+(-1.869405+(-1.494045--0.75429))+0-324.4--0.827219999999953</f>
        <v>697.01805999999999</v>
      </c>
      <c r="S3" s="3">
        <f>730+(545.9-288.5)+(0.7446+(0.556818-0.29427))+0-323-0.329460000000051</f>
        <v>665.07768799999997</v>
      </c>
      <c r="T3" s="3">
        <f>729.4+(535.9-291.9)+(-0.743988+(-0.546618--0.297738))+0-323.7--0.330174000000052</f>
        <v>649.03730600000006</v>
      </c>
      <c r="U3" s="3">
        <f>728.5+(531.7-286.6)+(-1.48614+(-1.084668--0.584664))+0-322.9--0.658715999999986</f>
        <v>649.3725720000001</v>
      </c>
      <c r="V3" s="3">
        <f>727.8+(531.9-283.4)+(0+(0-0))+0-323.3-0</f>
        <v>653</v>
      </c>
      <c r="W3" s="3">
        <f>730.3+(513.1-278.6)+(0.372453+(0.261681-0.142086))+0-324.1-0.165290999999967</f>
        <v>641.02675699999998</v>
      </c>
      <c r="X3" s="3">
        <f>734+(548.2-267.2)+(-1.12302+(-0.838746--0.408816))+0-324.8--0.496944000000019</f>
        <v>689.14399400000002</v>
      </c>
      <c r="Y3" s="3">
        <f>738.7+(554.9-295.6)+(0+(0-0))+0-324.9-0</f>
        <v>673.1</v>
      </c>
      <c r="Z3" s="3">
        <f>741.8+(627.4-293.2)+(-2.269908+(-1.919844--0.897192))+0-324--0.991440000000037</f>
        <v>749.69887999999992</v>
      </c>
      <c r="AA3" s="3">
        <f>744.4+(555.9-297.9)+(-0.379644+(-0.283509--0.151929))+0-323.9--0.165188999999967</f>
        <v>678.15396499999997</v>
      </c>
      <c r="AB3" s="3">
        <f>746.2+(563-280.6)+(-0.761124+(-0.57426--0.286212))+0-323.2--0.329664000000052</f>
        <v>704.68049199999996</v>
      </c>
      <c r="AC3" s="3">
        <f>747.3+(503.9-284.6)+(-1.143369+(-0.770967--0.435438))+0-323.7--0.495261000000019</f>
        <v>641.91636300000005</v>
      </c>
      <c r="AD3" s="2">
        <v>730.90000000000009</v>
      </c>
      <c r="AE3" s="3">
        <f>739+(605.5-291.1)+(0+(0-0))+0-322.5-0</f>
        <v>730.90000000000009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750.5+(411-285.1)+(-0.76551+(-0.41922--0.290802))+0-322.4--0.328848000000051</f>
        <v>553.43492000000015</v>
      </c>
      <c r="G4" s="3">
        <f>751.4+(362.2-277.3)+(-1.149642+(-0.554166--0.424269))+0-323.3--0.494649000000019</f>
        <v>512.21510999999998</v>
      </c>
      <c r="H4" s="3">
        <f>752.5+(358.2-227.6)+(-0.383775+(-0.182682--0.116076))+0-324.3--0.165392999999967</f>
        <v>558.51501200000007</v>
      </c>
      <c r="I4" s="3">
        <f>753.9+(364.9-209.5)+(0+(0-0))+0-323.8-0</f>
        <v>585.5</v>
      </c>
      <c r="J4" s="3">
        <f>723.9+(347-210.6)+(-1.107567+(-0.53091--0.322218))+0-323.6--0.495108000000019</f>
        <v>535.87884900000006</v>
      </c>
      <c r="K4" s="3">
        <f>651.6+(382.7-201.9)+(-0.332316+(-0.195177--0.102969))+0-322.2--0.164321999999967</f>
        <v>509.93979799999994</v>
      </c>
      <c r="L4" s="3">
        <f>652+(430.6-211)+(-1.33008+(-0.878424--0.43044))+0-321.6--0.656063999999986</f>
        <v>548.87800000000004</v>
      </c>
      <c r="M4" s="3">
        <f>648.6+(437-230.2)+(-1.984716+(-1.33722--0.704412))+0-321.2--0.982872000000037</f>
        <v>532.56534800000009</v>
      </c>
      <c r="N4" s="3">
        <f>644.3+(469-211)+(0.657186+(0.47838-0.21522))+0-321-0.327420000000051</f>
        <v>581.89292599999987</v>
      </c>
      <c r="O4" s="3">
        <f>647.9+(482.7-274.8)+(0.330429+(0.246177-0.140148))+0-321.4-0.163913999999967</f>
        <v>534.67254400000002</v>
      </c>
      <c r="P4" s="3">
        <f>649.1+(532.4-275.6)+(0.662082+(0.543048-0.281112))+0-322.4-0.328848000000051</f>
        <v>584.09516999999994</v>
      </c>
      <c r="Q4" s="3">
        <f>649.6+(529.9-285.3)+(0+(0-0))+0-322.1-0</f>
        <v>572.1</v>
      </c>
      <c r="R4" s="3">
        <f>649.9+(545.5-296.7)+(-1.657245+(-1.391025--0.756585))+0-321.4--0.819569999999953</f>
        <v>575.82788500000004</v>
      </c>
      <c r="S4" s="3">
        <f>679+(551.7-290.3)+(-1.38516+(-1.125468--0.592212))+0-321.4--0.655655999999986</f>
        <v>617.73724000000016</v>
      </c>
      <c r="T4" s="3">
        <f>728.5+(482.5-296.7)+(-0.74307+(-0.49215--0.302634))+0-320.3--0.326706000000051</f>
        <v>593.39411999999993</v>
      </c>
      <c r="U4" s="3">
        <f>727+(444.1-287)+(-1.11231+(-0.679473--0.43911))+0-320.6--0.490518000000019</f>
        <v>562.63784500000008</v>
      </c>
      <c r="V4" s="3">
        <f>725+(494.1-258)+(0.36975+(0.251991-0.13158))+0-322.2-0.164321999999967</f>
        <v>639.22583900000006</v>
      </c>
      <c r="W4" s="3">
        <f>725.9+(489.6-262.5)+(1.480836+(0.998784-0.5355))+0-323.3-0.659531999999986</f>
        <v>630.98458799999992</v>
      </c>
      <c r="X4" s="3">
        <f>729.7+(515.8-258.8)+(-0.372147+(-0.263058--0.131988))+0-323.6--0.165035999999967</f>
        <v>662.76181900000006</v>
      </c>
      <c r="Y4" s="3">
        <f>734+(507.1-293.6)+(0+(0-0))+0-322.8-0</f>
        <v>624.70000000000005</v>
      </c>
      <c r="Z4" s="3">
        <f>737.4+(479.8-308.4)+(-1.88037+(-1.22349--0.78642))+0-322.6--0.822629999999953</f>
        <v>584.7051899999999</v>
      </c>
      <c r="AA4" s="3">
        <f>738.6+(477.4-292.8)+(-1.506744+(-0.973896--0.597312))+0-322--0.656879999999986</f>
        <v>599.97355200000004</v>
      </c>
      <c r="AB4" s="3">
        <f>741.1+(442.5-276.8)+(0+(0-0))+0-321.6-0</f>
        <v>585.19999999999993</v>
      </c>
      <c r="AC4" s="3">
        <f>742.5+(447.6-264.1)+(0.378675+(0.228276-0.134691))+0-320.6-0.163505999999967</f>
        <v>605.708754</v>
      </c>
      <c r="AD4" s="2">
        <v>581.1</v>
      </c>
      <c r="AE4" s="3">
        <f>738+(482.8-308.3)+(0+(0-0))+0-331.4-0</f>
        <v>581.1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746.3+(404.4-244.6)+(-1.903065+(-1.03122--0.62373))+0-321.1--0.818804999999953</f>
        <v>583.50824999999986</v>
      </c>
      <c r="G5" s="3">
        <f>750.2+(381-218.7)+(-1.530408+(-0.77724--0.446148))+0-322--0.656879999999986</f>
        <v>589.29538000000002</v>
      </c>
      <c r="H5" s="3">
        <f>747.6+(315.4-228.2)+(0.381276+(0.160854-0.116382))+0-322.7-0.164576999999967</f>
        <v>512.36117100000001</v>
      </c>
      <c r="I5" s="3">
        <f>747.5+(296.6-221.2)+(-2.28735+(-0.907596--0.676872))+0-322--0.985320000000037</f>
        <v>499.36724600000019</v>
      </c>
      <c r="J5" s="3">
        <f>747.3+(318.5-205.9)+(-0.762246+(-0.32487--0.210018))+0-323.3--0.329766000000052</f>
        <v>536.05266800000004</v>
      </c>
      <c r="K5" s="3">
        <f>747.3+(308.3-210.4)+(0.762246+(0.314466-0.214608))+0-321-0.327420000000051</f>
        <v>524.7346839999999</v>
      </c>
      <c r="L5" s="3">
        <f>747.9+(407.3-231.2)+(-1.144287+(-0.623169--0.353736))+0-320.4--0.490212000000018</f>
        <v>602.67649200000005</v>
      </c>
      <c r="M5" s="3">
        <f>748.6+(393.5-254.6)+(-0.381786+(-0.200685--0.129846))+0-321.2--0.163811999999967</f>
        <v>566.01118700000006</v>
      </c>
      <c r="N5" s="3">
        <f>748.2+(459.5-272.5)+(0.381582+(0.234345-0.138975))+0-321.6-0.164015999999967</f>
        <v>613.91293600000006</v>
      </c>
      <c r="O5" s="3">
        <f>747+(477-287.9)+(0.38097+(0.24327-0.146829))+0-323.3-0.164882999999967</f>
        <v>613.11252800000011</v>
      </c>
      <c r="P5" s="3">
        <f>739.4+(511.6-286.4)+(0+(0-0))+0-324.2-0</f>
        <v>640.40000000000009</v>
      </c>
      <c r="Q5" s="3">
        <f>733.1+(565.3-277.9)+(0.373881+(0.288303-0.141729))+0-323.7-0.165086999999967</f>
        <v>697.15536800000007</v>
      </c>
      <c r="R5" s="3">
        <f>736.2+(556.3-272.8)+(-1.501848+(-1.134852--0.556512))+0-322.2--0.657287999999986</f>
        <v>696.07710000000009</v>
      </c>
      <c r="S5" s="3">
        <f>736.6+(539.3-270.8)+(-1.126998+(-0.825129--0.414324))+0-321.2--0.491436000000019</f>
        <v>682.85363299999995</v>
      </c>
      <c r="T5" s="3">
        <f>732.5+(569.5-252.7)+(-0.373575+(-0.290445--0.128877))+0-321.7--0.164066999999967</f>
        <v>727.22892399999978</v>
      </c>
      <c r="U5" s="3">
        <f>730.7+(525.4-251.4)+(-1.863285+(-1.33977--0.64107))+0-321.5--0.819824999999953</f>
        <v>681.45783999999992</v>
      </c>
      <c r="V5" s="3">
        <f>728.9+(531.7-240)+(0+(0-0))+0-321.5-0</f>
        <v>699.1</v>
      </c>
      <c r="W5" s="3">
        <f>729.4+(538.2-235.1)+(0.371994+(0.274482-0.119901))+0-323-0.164729999999967</f>
        <v>709.86184500000013</v>
      </c>
      <c r="X5" s="3">
        <f>731.2+(510.3-248)+(0+(0-0))+0-321.5-0</f>
        <v>672</v>
      </c>
      <c r="Y5" s="3">
        <f>733.2+(532.8-282.2)+(0.747864+(0.543456-0.287844))+0-323-0.329460000000051</f>
        <v>661.47401599999989</v>
      </c>
      <c r="Z5" s="3">
        <f>736.1+(521.2-283.7)+(-0.750822+(-0.531624--0.289374))+0-322.5--0.328950000000051</f>
        <v>650.43587800000023</v>
      </c>
      <c r="AA5" s="3">
        <f>739.5+(509-272.2)+(-1.131435+(-0.77877--0.416466))+0-322.6--0.493578000000019</f>
        <v>652.699839</v>
      </c>
      <c r="AB5" s="3">
        <f>741.4+(469.7-264.7)+(0.378114+(0.239547-0.134997))+0-322.2-0.164321999999967</f>
        <v>624.51834199999996</v>
      </c>
      <c r="AC5" s="3">
        <f>742.6+(457.8-245.5)+(-1.514904+(-0.933912--0.50082))+0-323.1--0.659123999999986</f>
        <v>630.5111280000001</v>
      </c>
      <c r="AD5" s="2">
        <v>667.1</v>
      </c>
      <c r="AE5" s="3">
        <f>739+(531.7-281.7)+(0+(0-0))+0-321.9-0</f>
        <v>667.1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742.9+(441.8-242.2)+(-1.136637+(-0.675954--0.370566))+0-321.8--0.492354000000019</f>
        <v>619.75032899999997</v>
      </c>
      <c r="G6" s="3">
        <f>744.5+(421.7-221)+(-1.898475+(-1.075335--0.56355))+0-322.4--0.822119999999953</f>
        <v>621.21186</v>
      </c>
      <c r="H6" s="3">
        <f>745.2+(393.1-203.1)+(-1.140156+(-0.601443--0.310743))+0-322.8--0.493884000000019</f>
        <v>611.46302800000012</v>
      </c>
      <c r="I6" s="3">
        <f>743.6+(384.9-194.3)+(0+(0-0))+0-322.8-0</f>
        <v>611.40000000000009</v>
      </c>
      <c r="J6" s="3">
        <f>745.4+(368.9-190.4)+(0+(0-0))+0-322.8-0</f>
        <v>601.09999999999991</v>
      </c>
      <c r="K6" s="3">
        <f>746.8+(378.7-197.9)+(0.380868+(0.193137-0.100929))+0-322.2-0.164321999999967</f>
        <v>605.70875399999989</v>
      </c>
      <c r="L6" s="3">
        <f>749.6+(367.4-225.8)+(-0.382296+(-0.187374--0.115158))+0-321.6--0.164015999999967</f>
        <v>569.30950399999995</v>
      </c>
      <c r="M6" s="3">
        <f>751.1+(386.9-243.2)+(0+(0-0))+0-319.9-0</f>
        <v>574.9</v>
      </c>
      <c r="N6" s="3">
        <f>746.6+(395.8-255.1)+(0+(0-0))+0-321.9-0</f>
        <v>565.40000000000009</v>
      </c>
      <c r="O6" s="3">
        <f>743.6+(426-297.7)+(1.516944+(0.86904-0.607308))+0-323.3-0.659531999999986</f>
        <v>549.71914400000003</v>
      </c>
      <c r="P6" s="3">
        <f>730.7+(573-287.7)+(0.745314+(0.58446-0.293454))+0-322.7-0.329154000000051</f>
        <v>694.0071660000001</v>
      </c>
      <c r="Q6" s="3">
        <f>708+(585.4-291.2)+(-1.44432+(-1.194216--0.594048))+0-323.2--0.659327999999986</f>
        <v>677.61483999999996</v>
      </c>
      <c r="R6" s="3">
        <f>703.7+(639.7-266.9)+(-0.717774+(-0.652494--0.272238))+0-323.2--0.329664000000052</f>
        <v>752.53163399999994</v>
      </c>
      <c r="S6" s="3">
        <f>700.4+(575.6-280.1)+(-1.428816+(-1.174224--0.571404))+0-322.6--0.658103999999986</f>
        <v>671.92646799999989</v>
      </c>
      <c r="T6" s="3">
        <f>698.6+(639.7-269.3)+(0.356286+(0.326247-0.137343))+0-323.4-0.164933999999967</f>
        <v>745.98025600000005</v>
      </c>
      <c r="U6" s="3">
        <f>700.1+(587.1-273.1)+(-1.071153+(-0.898263--0.417843))+0-324.2--0.496026000000019</f>
        <v>688.84445300000016</v>
      </c>
      <c r="V6" s="3">
        <f>702.2+(533.5-273.5)+(-0.716244+(-0.54417--0.27897))+0-323.2--0.329664000000052</f>
        <v>638.34822000000008</v>
      </c>
      <c r="W6" s="3">
        <f>705.1+(517.9-265)+(-2.517207+(-1.848903--0.94605))+0-324.9--1.159893</f>
        <v>630.839833</v>
      </c>
      <c r="X6" s="3">
        <f>708.7+(481.7-256.8)+(-0.361437+(-0.245667--0.130968))+0-323.8--0.165137999999967</f>
        <v>609.48900199999991</v>
      </c>
      <c r="Y6" s="3">
        <f>713+(558.6-294.1)+(0.72726+(0.569772-0.299982))+0-324.3-0.330786000000052</f>
        <v>653.86626399999989</v>
      </c>
      <c r="Z6" s="3">
        <f>716.8+(584.2-271.5)+(-1.096704+(-0.893826--0.415395))+0-324.9--0.497097000000019</f>
        <v>703.52196200000003</v>
      </c>
      <c r="AA6" s="3">
        <f>762.5+(516.4-265.5)+(-0.77775+(-0.526728--0.27081))+0-323.7--0.330174000000052</f>
        <v>688.99650600000007</v>
      </c>
      <c r="AB6" s="3">
        <f>807.2+(509.9-259.8)+(-0.411672+(-0.260049--0.132498))+0-322.3--0.164372999999967</f>
        <v>734.62514999999996</v>
      </c>
      <c r="AC6" s="3">
        <f>806.9+(432.1-255.6)+(0+(0-0))+0-321.9-0</f>
        <v>661.5</v>
      </c>
      <c r="AD6" s="2">
        <v>769.8</v>
      </c>
      <c r="AE6" s="3">
        <f>718+(638.2-262.7)+(0+(0-0))+0-323.7-0</f>
        <v>769.8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814.5+(454.5-259)+(-0.83079+(-0.46359--0.26418))+0-322.7--0.329154000000051</f>
        <v>686.59895400000005</v>
      </c>
      <c r="G7" s="3">
        <f>814.7+(430.5-276.3)+(-0.830994+(-0.43911--0.281826))+0-324--0.330480000000052</f>
        <v>644.24220200000013</v>
      </c>
      <c r="H7" s="3">
        <f>816.7+(420-245.3)+(-0.833034+(-0.4284--0.250206))+0-324.2--0.330684000000052</f>
        <v>666.51945600000022</v>
      </c>
      <c r="I7" s="3">
        <f>818+(415.6-230.9)+(0.41718+(0.211956-0.117759))+0-325.6-0.166055999999967</f>
        <v>677.44532100000015</v>
      </c>
      <c r="J7" s="3">
        <f>817.6+(347.6-243.5)+(-0.833952+(-0.354552--0.24837))+0-322.8--0.329256000000052</f>
        <v>598.28912200000025</v>
      </c>
      <c r="K7" s="3">
        <f>817.6+(371.5-250)+(2.08488+(0.947325-0.6375))+0-323.6-0.825179999999953</f>
        <v>617.06952500000011</v>
      </c>
      <c r="L7" s="3">
        <f>817.9+(418.8-266.3)+(0.417129+(0.213588-0.135813))+0-322.3-0.164372999999967</f>
        <v>648.43053100000009</v>
      </c>
      <c r="M7" s="3">
        <f>814.9+(420-291)+(0+(0-0))+0-321.6-0</f>
        <v>622.29999999999995</v>
      </c>
      <c r="N7" s="3">
        <f>836.4+(394.4-341.8)+(-1.279692+(-0.603432--0.522954))+0-323--0.494190000000019</f>
        <v>565.13401999999996</v>
      </c>
      <c r="O7" s="3">
        <f>880.5+(412.8-380.7)+(-0.89811+(-0.421056--0.388314))+0-324.9--0.331398000000052</f>
        <v>587.10054600000012</v>
      </c>
      <c r="P7" s="3">
        <f>885.2+(461.6-364.2)+(0.902904+(0.470832-0.371484))+0-326.3-0.332826000000052</f>
        <v>656.96942600000011</v>
      </c>
      <c r="Q7" s="3">
        <f>889.6+(428.2-383.7)+(-1.814784+(-0.873528--0.782748))+0-325.7--0.664427999999986</f>
        <v>607.15886399999988</v>
      </c>
      <c r="R7" s="3">
        <f>890.7+(397.6-370.9)+(-1.362771+(-0.608328--0.567477))+0-325.3--0.497709000000019</f>
        <v>591.19408700000008</v>
      </c>
      <c r="S7" s="3">
        <f>882.5+(346.2-349.9)+(-1.8003+(-0.706248--0.713796))+0-323.3--0.659531999999986</f>
        <v>554.36677999999995</v>
      </c>
      <c r="T7" s="3">
        <f>883.3+(339.4-309.9)+(-1.801932+(-0.692376--0.632196))+0-322.3--0.657491999999986</f>
        <v>589.29537999999991</v>
      </c>
      <c r="U7" s="3">
        <f>884.2+(276.4-318.8)+(0+(0-0))+0-323.5-0</f>
        <v>518.29999999999995</v>
      </c>
      <c r="V7" s="3">
        <f>915.2+(289-299.7)+(-1.400256+(-0.44217--0.458541))+0-325.8--0.498474000000019</f>
        <v>577.81458900000007</v>
      </c>
      <c r="W7" s="3">
        <f>967.2+(277.2-322.6)+(0.986544+(0.282744-0.329052))+0-325.6-0.332112000000052</f>
        <v>596.80812399999991</v>
      </c>
      <c r="X7" s="3">
        <f>966.4+(261-397.1)+(-2.46432+(-0.66555--1.012605))+0-327.5--0.835124999999952</f>
        <v>501.51785999999993</v>
      </c>
      <c r="Y7" s="3">
        <f>966.5+(321.4-405)+(0.492915+(0.163914-0.20655))+0-327.5-0.167024999999967</f>
        <v>555.68325400000003</v>
      </c>
      <c r="Z7" s="3">
        <f>967.2+(356.3-400.1)+(-0.986544+(-0.363426--0.408102))+0-327.6--0.334152000000052</f>
        <v>595.19228400000009</v>
      </c>
      <c r="AA7" s="3">
        <f>969.5+(341.8-406.9)+(-2.472225+(-0.87159--1.037595))+0-325.7--0.830534999999953</f>
        <v>577.22431500000005</v>
      </c>
      <c r="AB7" s="3">
        <f>975+(313.3-353.4)+(-2.48625+(-0.798915--0.90117))+0-326.9--0.833594999999952</f>
        <v>606.44960000000003</v>
      </c>
      <c r="AC7" s="3">
        <f>976+(269-388.6)+(0.99552+(0.27438-0.396372))+0-322-0.328440000000051</f>
        <v>534.94508799999994</v>
      </c>
      <c r="AD7" s="2">
        <v>607.40000000000009</v>
      </c>
      <c r="AE7" s="3">
        <f>971+(358-394.4)+(0+(0-0))+0-327.2-0</f>
        <v>607.40000000000009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975.9+(263.7-371.3)+(-1.990836+(-0.537948--0.757452))+0-325.1--0.663203999999986</f>
        <v>542.09187199999985</v>
      </c>
      <c r="G8" s="3">
        <f>977.5+(254.8-356.2)+(-1.9941+(-0.519792--0.726648))+0-329.9--0.672995999999986</f>
        <v>545.08575200000007</v>
      </c>
      <c r="H8" s="3">
        <f>979.6+(241.4-360.7)+(1.998384+(0.492456-0.735828))+0-329.5-0.672179999999986</f>
        <v>531.88283200000001</v>
      </c>
      <c r="I8" s="3">
        <f>979.1+(229.2-401.6)+(0.998682+(0.233784-0.409632))+0-327.3-0.333846000000052</f>
        <v>479.88898799999993</v>
      </c>
      <c r="J8" s="3">
        <f>977.6+(231.5-375.3)+(-2.49288+(-0.590325--0.957015))+0-326.3--0.832064999999953</f>
        <v>506.20587499999993</v>
      </c>
      <c r="K8" s="3">
        <f>978.5+(233.8-372.1)+(-0.99807+(-0.238476--0.379542))+0-326.3--0.332826000000052</f>
        <v>513.3758220000002</v>
      </c>
      <c r="L8" s="3">
        <f>978.6+(263.8-340.5)+(2.49543+(0.67269-0.868275))+0-325.2-0.829259999999953</f>
        <v>578.17058500000007</v>
      </c>
      <c r="M8" s="3">
        <f>978.8+(263.6-386.8)+(-1.497564+(-0.403308--0.591804))+0-322.6--0.493578000000019</f>
        <v>532.18450999999993</v>
      </c>
      <c r="N8" s="3">
        <f>973.2+(313.2-427.7)+(0.992664+(0.319464-0.436254))+0-326.2-0.332724000000052</f>
        <v>533.04314999999997</v>
      </c>
      <c r="O8" s="3">
        <f>965.8+(354.2-438.2)+(0.985116+(0.361284-0.446964))+0-325.8-0.332316000000052</f>
        <v>556.56711999999982</v>
      </c>
      <c r="P8" s="3">
        <f>960.5+(367.4-394.6)+(0.97971+(0.374748-0.402492))+0-326.7-0.333234000000052</f>
        <v>607.21873199999993</v>
      </c>
      <c r="Q8" s="3">
        <f>959.2+(373.8-382.1)+(0.489192+(0.190638-0.194871))+0-326.7-0.166616999999967</f>
        <v>624.51834200000019</v>
      </c>
      <c r="R8" s="3">
        <f>955.1+(335.9-383.8)+(0+(0-0))+0-324.6-0</f>
        <v>582.6</v>
      </c>
      <c r="S8" s="3">
        <f>952.4+(363.6-348.8)+(-1.942896+(-0.741744--0.711552))+0-328.7--0.670547999999986</f>
        <v>637.19745999999998</v>
      </c>
      <c r="T8" s="3">
        <f>948.4+(363.2-343.8)+(-1.451052+(-0.555696--0.526014))+0-329--0.503370000000019</f>
        <v>637.82263599999999</v>
      </c>
      <c r="U8" s="3">
        <f>946.7+(342.1-349.1)+(-0.965634+(-0.348942--0.356082))+0-325.7--0.332214000000052</f>
        <v>613.37372000000005</v>
      </c>
      <c r="V8" s="3">
        <f>947.1+(349.3-329.3)+(-1.449063+(-0.534429--0.503829))+0-323.6--0.495108000000019</f>
        <v>642.51544500000011</v>
      </c>
      <c r="W8" s="3">
        <f>946.8+(324.7-313.9)+(-0.965736+(-0.331194--0.320178))+0-325.2--0.331704000000052</f>
        <v>631.75495199999989</v>
      </c>
      <c r="X8" s="3">
        <f>944+(316.5-325.5)+(0.48144+(0.161415-0.166005))+0-323.4-0.164933999999967</f>
        <v>611.91191600000002</v>
      </c>
      <c r="Y8" s="3">
        <f>946.4+(371.8-356.6)+(0.965328+(0.379236-0.363732))+0-324.5-0.330990000000052</f>
        <v>637.74984199999983</v>
      </c>
      <c r="Z8" s="3">
        <f>948.4+(369-367.8)+(-1.451052+(-0.56457--0.562734))+0-325.5--0.498015000000019</f>
        <v>623.14512699999989</v>
      </c>
      <c r="AA8" s="3">
        <f>950.5+(381.2-339.9)+(-0.484755+(-0.194412--0.173349))+0-325.4--0.165953999999967</f>
        <v>666.06013599999994</v>
      </c>
      <c r="AB8" s="3">
        <f>950.7+(356.4-363.7)+(0+(0-0))+0-324.5-0</f>
        <v>618.90000000000009</v>
      </c>
      <c r="AC8" s="3">
        <f>951+(350.2-331.1)+(-0.48501+(-0.178602--0.168861))+0-324.6--0.165545999999967</f>
        <v>645.17079499999988</v>
      </c>
      <c r="AD8" s="2">
        <v>625.29999999999995</v>
      </c>
      <c r="AE8" s="3">
        <f>949+(372-372)+(0+(0-0))+0-323.7-0</f>
        <v>625.29999999999995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953.8+(335.5-330.2)+(-0.972876+(-0.34221--0.336804))+0-324.8--0.331296000000052</f>
        <v>633.65301399999998</v>
      </c>
      <c r="G9" s="3">
        <f>956.3+(319.6-286.8)+(-1.463139+(-0.488988--0.438804))+0-325--0.497250000000019</f>
        <v>663.0839269999999</v>
      </c>
      <c r="H9" s="3">
        <f>959.4+(287-274.2)+(-0.489294+(-0.14637--0.139842))+0-325.1--0.165800999999967</f>
        <v>646.76997900000003</v>
      </c>
      <c r="I9" s="3">
        <f>959.7+(257.9-315)+(-0.978894+(-0.263058--0.3213))+0-324.1--0.330582000000052</f>
        <v>577.90993000000003</v>
      </c>
      <c r="J9" s="3">
        <f>960.5+(256.8-314)+(-0.97971+(-0.261936--0.32028))+0-325.3--0.331806000000052</f>
        <v>577.41043999999999</v>
      </c>
      <c r="K9" s="3">
        <f>959.4+(241.1-353.7)+(0.489294+(0.122961-0.180387))+0-324-0.165239999999967</f>
        <v>523.06662800000004</v>
      </c>
      <c r="L9" s="3">
        <f>960.5+(245.6-358.9)+(0.97971+(0.250512-0.366078))+0-323.8-0.330276000000052</f>
        <v>523.93386799999996</v>
      </c>
      <c r="M9" s="3">
        <f>961.4+(245-366.1)+(-0.490314+(-0.12495--0.186711))+0-322.4--0.164423999999967</f>
        <v>517.63587099999995</v>
      </c>
      <c r="N9" s="3">
        <f>947.8+(269.5-322.6)+(-0.483378+(-0.137445--0.164526))+0-322.2--0.164321999999967</f>
        <v>572.20802500000002</v>
      </c>
      <c r="O9" s="3">
        <f>941+(292.4-317.9)+(-0.47991+(-0.149124--0.162129))+0-322.6--0.164525999999967</f>
        <v>592.597621</v>
      </c>
      <c r="P9" s="3">
        <f>940.5+(317.1-337.1)+(0+(0-0))+0-324.8-0</f>
        <v>595.70000000000005</v>
      </c>
      <c r="Q9" s="3">
        <f>930.4+(352-354)+(0.949008+(0.35904-0.36108))+0-323.8-0.330276000000052</f>
        <v>605.21669199999985</v>
      </c>
      <c r="R9" s="3">
        <f>926.7+(346.9-336.7)+(0+(0-0))+0-323.4-0</f>
        <v>613.50000000000011</v>
      </c>
      <c r="S9" s="3">
        <f>924+(358.1-328.9)+(-2.3562+(-0.913155--0.838695))+0-323.9--0.825944999999953</f>
        <v>627.69528500000001</v>
      </c>
      <c r="T9" s="3">
        <f>922.4+(367.3-326.6)+(-0.940848+(-0.374646--0.333132))+0-323.5--0.329970000000052</f>
        <v>638.94760799999995</v>
      </c>
      <c r="U9" s="3">
        <f>925.3+(368-319.1)+(-1.415709+(-0.56304--0.488223))+0-323--0.494190000000019</f>
        <v>650.20366399999989</v>
      </c>
      <c r="V9" s="3">
        <f>924.2+(388.6-308.9)+(0+(0-0))+0-322.3-0</f>
        <v>681.60000000000014</v>
      </c>
      <c r="W9" s="3">
        <f>923.5+(390.5-295.3)+(2.354925+(0.995775-0.753015))+0-322.8-0.823139999999953</f>
        <v>697.67454500000008</v>
      </c>
      <c r="X9" s="3">
        <f>929+(362.4-293)+(1.89516+(0.739296-0.59772))+0-323.2-0.659327999999986</f>
        <v>676.5774080000001</v>
      </c>
      <c r="Y9" s="3">
        <f>933.3+(428-318.7)+(0.951966+(0.43656-0.325074))+0-324-0.330480000000052</f>
        <v>719.33297199999993</v>
      </c>
      <c r="Z9" s="3">
        <f>937+(454.8-319.3)+(0.47787+(0.231948-0.162843))+0-323-0.164729999999967</f>
        <v>749.88224500000001</v>
      </c>
      <c r="AA9" s="3">
        <f>939+(455.7-319)+(0+(0-0))+0-322.4-0</f>
        <v>753.30000000000007</v>
      </c>
      <c r="AB9" s="3">
        <f>939+(422.7-326.5)+(-1.43667+(-0.646731--0.499545))+0-323.4--0.494802000000019</f>
        <v>710.71094600000015</v>
      </c>
      <c r="AC9" s="3">
        <f>925.5+(412.1-308.6)+(-0.472005+(-0.210171--0.157386))+0-322--0.164219999999967</f>
        <v>706.63943000000006</v>
      </c>
      <c r="AD9" s="2">
        <v>640.50000000000011</v>
      </c>
      <c r="AE9" s="3">
        <f>940+(336.4-314)+(0+(0-0))+0-321.9-0</f>
        <v>640.5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738.9+(530.7-246.5)+(-1.130517+(-0.811971--0.377145))+0-321.9--0.492507000000019</f>
        <v>700.12716400000011</v>
      </c>
      <c r="G10" s="3">
        <f>700.9+(471.3-246.6)+(0+(0-0))+0-323.3-0</f>
        <v>602.29999999999995</v>
      </c>
      <c r="H10" s="3">
        <f>701.3+(470.1-224.6)+(-1.072989+(-0.719253--0.343638))+0-325--0.497250000000019</f>
        <v>620.84864599999992</v>
      </c>
      <c r="I10" s="3">
        <f>686.1+(429.7-216.2)+(-1.049733+(-0.657441--0.330786))+0-324.4--0.496332000000019</f>
        <v>574.31994400000008</v>
      </c>
      <c r="J10" s="3">
        <f>681.8+(429-208.5)+(-1.043154+(-0.65637--0.319005))+0-323.7--0.495261000000019</f>
        <v>577.71474199999989</v>
      </c>
      <c r="K10" s="3">
        <f>678.3+(441.5-207)+(0+(0-0))+0-322.5-0</f>
        <v>590.29999999999995</v>
      </c>
      <c r="L10" s="3">
        <f>673.6+(430-229.2)+(0+(0-0))+0-321.9-0</f>
        <v>552.50000000000011</v>
      </c>
      <c r="M10" s="3">
        <f>678.5+(420.8-245.9)+(-0.346035+(-0.214608--0.125409))+0-320.8--0.163607999999967</f>
        <v>532.32837399999983</v>
      </c>
      <c r="N10" s="3">
        <f>675.1+(431.9-254)+(0+(0-0))+0-322-0</f>
        <v>531</v>
      </c>
      <c r="O10" s="3">
        <f>666.6+(517.5-257.2)+(-0.679932+(-0.52785--0.262344))+0-321.8--0.328236000000051</f>
        <v>604.48279800000023</v>
      </c>
      <c r="P10" s="3">
        <f>661.9+(567-267.8)+(-0.337569+(-0.28917--0.136578))+0-323.4--0.164933999999967</f>
        <v>637.374773</v>
      </c>
      <c r="Q10" s="3">
        <f>662.6+(624.6-280.1)+(-0.675852+(-0.637092--0.285702))+0-325.1--0.331602000000052</f>
        <v>681.30436000000009</v>
      </c>
      <c r="R10" s="3">
        <f>663.2+(629.8-284.8)+(-0.338232+(-0.321198--0.145248))+0-328--0.167279999999967</f>
        <v>679.85309800000005</v>
      </c>
      <c r="S10" s="3">
        <f>663+(633.9-274)+(-1.35252+(-1.293156--0.55896))+0-326.2--0.665447999999986</f>
        <v>695.27873199999999</v>
      </c>
      <c r="T10" s="3">
        <f>664.2+(687-268.7)+(0.338742+(0.35037-0.137037))+0-324.4-0.165443999999967</f>
        <v>758.4866310000001</v>
      </c>
      <c r="U10" s="3">
        <f>664+(617.2-278.8)+(-0.67728+(-0.629544--0.284376))+0-327.1--0.333642000000052</f>
        <v>674.61119400000007</v>
      </c>
      <c r="V10" s="3">
        <f>663.2+(616.6-269.6)+(-0.338232+(-0.314466--0.137496))+0-328.7--0.167636999999967</f>
        <v>681.15243499999997</v>
      </c>
      <c r="W10" s="3">
        <f>665.5+(602.3-254.8)+(-1.018215+(-0.921519--0.389844))+0-327.5--0.501075000000019</f>
        <v>684.45118500000001</v>
      </c>
      <c r="X10" s="3">
        <f>668.6+(552.1-243.8)+(-0.681972+(-0.563142--0.248676))+0-325.6--0.332112000000052</f>
        <v>650.63567400000011</v>
      </c>
      <c r="Y10" s="3">
        <f>670.5+(656.8-265.4)+(0.68391+(0.669936-0.270708))+0-325.2-0.331704000000052</f>
        <v>737.45143399999995</v>
      </c>
      <c r="Z10" s="3">
        <f>675+(651-277.9)+(-2.0655+(-1.99206--0.850374))+0-327.3--1.00153800000004</f>
        <v>718.59435199999996</v>
      </c>
      <c r="AA10" s="3">
        <f>676.4+(613.5-283.8)+(0+(0-0))+0-325.9-0</f>
        <v>680.19999999999993</v>
      </c>
      <c r="AB10" s="3">
        <f>678.1+(628.5-279.5)+(-0.345831+(-0.320535--0.142545))+0-326.9--0.166718999999967</f>
        <v>699.84289799999988</v>
      </c>
      <c r="AC10" s="3">
        <f>680.2+(597.8-277.7)+(-1.387608+(-1.219512--0.566508))+0-323--0.658919999999986</f>
        <v>675.91830799999991</v>
      </c>
      <c r="AD10" s="2">
        <v>748.10000000000014</v>
      </c>
      <c r="AE10" s="3">
        <f>677+(680.2-281.9)+(0+(0-0))+0-327.2-0</f>
        <v>748.10000000000014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680.2+(591.7-272)+(-0.693804+(-0.603534--0.27744))+0-327.3--0.333846000000052</f>
        <v>671.91394800000023</v>
      </c>
      <c r="G11" s="3">
        <f>682.7+(579.2-249.5)+(-1.044531+(-0.886176--0.381735))+0-326.8--0.500004000000019</f>
        <v>684.55103200000008</v>
      </c>
      <c r="H11" s="3">
        <f>680.7+(575.9-226.8)+(-1.041471+(-0.881127--0.347004))+0-326.4--0.499392000000019</f>
        <v>702.32379800000012</v>
      </c>
      <c r="I11" s="3">
        <f>682+(498.4-219.3)+(-0.34782+(-0.254184--0.111843))+0-323--0.164729999999967</f>
        <v>637.77456899999993</v>
      </c>
      <c r="J11" s="3">
        <f>682.4+(503.5-213.3)+(0.696048+(0.51357-0.217566))+0-325.3-0.331806000000052</f>
        <v>647.96024599999976</v>
      </c>
      <c r="K11" s="3">
        <f>682+(453.2-229)+(0+(0-0))+0-326.1-0</f>
        <v>580.1</v>
      </c>
      <c r="L11" s="3">
        <f>687.9+(486.1-233.6)+(-1.403316+(-0.991644--0.476544))+0-324.6--0.662183999999986</f>
        <v>614.543768</v>
      </c>
      <c r="M11" s="3">
        <f>688.3+(425.4-247.5)+(-0.351033+(-0.216954--0.126225))+0-321.6--0.164015999999967</f>
        <v>544.32225399999982</v>
      </c>
      <c r="N11" s="3">
        <f>682.6+(532.8-246.7)+(-0.696252+(-0.543456--0.251634))+0-322--0.328440000000051</f>
        <v>646.04036600000006</v>
      </c>
      <c r="O11" s="3">
        <f>675+(537.1-268.8)+(-0.34425+(-0.273921--0.137088))+0-322.4--0.164423999999967</f>
        <v>620.5833409999999</v>
      </c>
      <c r="P11" s="3">
        <f>669+(627.3-281.1)+(-0.68238+(-0.639846--0.286722))+0-327.1--0.333642000000052</f>
        <v>687.39813800000002</v>
      </c>
      <c r="Q11" s="3">
        <f>663.8+(599.7-299.9)+(-1.015614+(-0.917541--0.458847))+3.9-326.4--0.499392000000019</f>
        <v>640.12508400000013</v>
      </c>
      <c r="R11" s="3">
        <f>657.3+(611.6-299.3)+(-0.670446+(-0.623832--0.305286))+13-326.5--0.333030000000052</f>
        <v>655.44403799999986</v>
      </c>
      <c r="S11" s="3">
        <f>654.4+(680.1-312.1)+(-1.001232+(-1.040553--0.477513))+8.2-325.2--0.497556000000019</f>
        <v>704.33328400000005</v>
      </c>
      <c r="T11" s="3">
        <f>654.5+(625.3-284)+(-1.001385+(-0.956709--0.43452))+0-326.3--0.499239000000019</f>
        <v>668.47566499999994</v>
      </c>
      <c r="U11" s="3">
        <f>652.2+(642-263.1)+(-0.997866+(-0.98226--0.402543))+0-325.5--0.498015000000019</f>
        <v>704.52043199999991</v>
      </c>
      <c r="V11" s="3">
        <f>654.9+(643.1-243.5)+(-2.003994+(-1.967886--0.74511))+0-326.1--0.997866000000038</f>
        <v>726.17109600000003</v>
      </c>
      <c r="W11" s="3">
        <f>656.3+(546.9-233.5)+(-0.669426+(-0.557838--0.23817))+0-328.3--0.334866000000052</f>
        <v>640.74577199999987</v>
      </c>
      <c r="X11" s="3">
        <f>659.1+(576.3-230.5)+(0.336141+(0.293913-0.117555))+0-326.1-0.166310999999967</f>
        <v>679.14618800000005</v>
      </c>
      <c r="Y11" s="3">
        <f>666.9+(616.6-279.6)+(0+(0-0))+0-323.8-0</f>
        <v>680.09999999999991</v>
      </c>
      <c r="Z11" s="3">
        <f>673.8+(653.2-292)+(-1.374552+(-1.332528--0.59568))+0-325.8--0.664631999999986</f>
        <v>707.75323200000003</v>
      </c>
      <c r="AA11" s="3">
        <f>677.2+(672.1-284.8)+(-0.690744+(-0.685542--0.290496))+0-327.2--0.333744000000052</f>
        <v>736.54795399999989</v>
      </c>
      <c r="AB11" s="3">
        <f>679.2+(632.5-284.8)+(-0.346392+(-0.322575--0.145248))+0-327--0.166769999999967</f>
        <v>699.54305099999999</v>
      </c>
      <c r="AC11" s="3">
        <f>679.5+(605.3-293)+(-1.039635+(-0.926109--0.44829))+0-323.9--0.495567000000019</f>
        <v>666.87811299999998</v>
      </c>
      <c r="AD11" s="2">
        <v>660.9</v>
      </c>
      <c r="AE11" s="3">
        <f>672+(623.5-303.2)+(0+(0-0))+0-331.4-0</f>
        <v>660.9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680+(644.5-284.3)+(-1.0404+(-0.986085--0.434979))+0-326.9--0.500157000000019</f>
        <v>712.20865100000015</v>
      </c>
      <c r="G12" s="3">
        <f>680.3+(646.5-260.6)+(-0.693906+(-0.65943--0.265812))+0-326.9--0.333438000000052</f>
        <v>738.54591399999981</v>
      </c>
      <c r="H12" s="3">
        <f>678.3+(647.2-233.4)+(0.691866+(0.660144-0.238068))+0-326.7-0.333234000000052</f>
        <v>766.18070799999975</v>
      </c>
      <c r="I12" s="3">
        <f>674+(604.7-221.3)+(1.03122+(0.925191-0.338589))+0-324.6-0.496638000000019</f>
        <v>733.92118399999993</v>
      </c>
      <c r="J12" s="3">
        <f>671.6+(608.8-205.3)+(0.342516+(0.310488-0.104703))+0-327.1-0.166820999999967</f>
        <v>748.38148000000001</v>
      </c>
      <c r="K12" s="3">
        <f>673.4+(566.9-209.6)+(1.030302+(0.867357-0.320688))+0-328.3-0.502299000000019</f>
        <v>703.47467199999983</v>
      </c>
      <c r="L12" s="3">
        <f>677.7+(483.2-228.6)+(-1.036881+(-0.739296--0.349758))+0-325.9--0.498627000000019</f>
        <v>605.47220800000014</v>
      </c>
      <c r="M12" s="3">
        <f>603.6+(490.9-231.1)+(-0.615672+(-0.500718--0.235722))+0-323.9--0.330378000000052</f>
        <v>538.94970999999998</v>
      </c>
      <c r="N12" s="3">
        <f>645.3+(498.5-260.4)+(-0.329103+(-0.254235--0.132804))+0-323.5--0.164984999999967</f>
        <v>559.61445100000003</v>
      </c>
      <c r="O12" s="3">
        <f>676+(513.4-288.1)+(0.68952+(0.523668-0.293862))+0-324.5-0.330990000000052</f>
        <v>577.38833599999987</v>
      </c>
      <c r="P12" s="3">
        <f>670.8+(557.7-293)+(1.026324+(0.853281-0.44829))+0-326.3-0.499239000000019</f>
        <v>610.1320760000001</v>
      </c>
      <c r="Q12" s="3">
        <f>665.9+(636.9-297.6)+(-0.339609+(-0.324819--0.151776))+0-328.2--0.167381999999967</f>
        <v>676.65472999999986</v>
      </c>
      <c r="R12" s="3">
        <f>663.8+(652.4-305.9)+(-0.677076+(-0.665448--0.312018))+0-327--0.333540000000052</f>
        <v>682.60303400000009</v>
      </c>
      <c r="S12" s="3">
        <f>660.3+(659.6-300.2)+(0+(0-0))+0-324.4-0</f>
        <v>695.30000000000007</v>
      </c>
      <c r="T12" s="3">
        <f>657.7+(709.9-289.5)+(0.335427+(0.362049-0.147645))+0-323-0.164729999999967</f>
        <v>755.48510099999999</v>
      </c>
      <c r="U12" s="3">
        <f>660.2+(702.1-288.3)+(-0.336702+(-0.358071--0.147033))+0-322.6--0.164525999999967</f>
        <v>751.01678600000002</v>
      </c>
      <c r="V12" s="3">
        <f>662.9+(653.3-263.1)+(1.014237+(0.999549-0.402543))+0-322.3-0.493119000000019</f>
        <v>731.91812400000003</v>
      </c>
      <c r="W12" s="3">
        <f>664.9+(513.8-233.5)+(-0.678198+(-0.524076--0.23817))+0-323.6--0.330072000000052</f>
        <v>620.96596799999998</v>
      </c>
      <c r="X12" s="3">
        <f>679+(534.7-255.3)+(-0.34629+(-0.272697--0.130203))+0-323.1--0.164780999999967</f>
        <v>634.97599700000001</v>
      </c>
      <c r="Y12" s="3">
        <f>753.6+(580.7-283.1)+(0.768672+(0.592314-0.288762))+0-323.8-0.330276000000052</f>
        <v>728.14194800000007</v>
      </c>
      <c r="Z12" s="3">
        <f>761.9+(573-306.3)+(0.388569+(0.29223-0.156213))+0-322.7-0.164576999999967</f>
        <v>706.26000899999985</v>
      </c>
      <c r="AA12" s="3">
        <f>763.5+(594.5-305.1)+(0.389385+(0.303195-0.155601))+0-323.3-0.164882999999967</f>
        <v>729.97209600000019</v>
      </c>
      <c r="AB12" s="3">
        <f>768.6+(565.7-313.8)+(-0.783972+(-0.577014--0.320076))+0-323.4--0.329868000000052</f>
        <v>696.388958</v>
      </c>
      <c r="AC12" s="3">
        <f>769.4+(626-279.7)+(-0.392394+(-0.31926--0.142647))+0-322.3--0.164372999999967</f>
        <v>792.99536599999999</v>
      </c>
      <c r="AD12" s="2">
        <v>804.79999999999984</v>
      </c>
      <c r="AE12" s="3">
        <f>773+(655.6-301.9)+(0+(0-0))+0-321.9-0</f>
        <v>804.80000000000007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774.6+(520.2-267.4)+(-0.395046+(-0.265302--0.136374))+0-321.7--0.164066999999967</f>
        <v>705.34009300000002</v>
      </c>
      <c r="G13" s="3">
        <f>777.6+(546.3-241.8)+(-0.793152+(-0.557226--0.246636))+0-323.6--0.330072000000052</f>
        <v>757.72632999999996</v>
      </c>
      <c r="H13" s="3">
        <f>778.1+(515.5-222.3)+(-0.793662+(-0.52581--0.226746))+0-324.9--0.331398000000052</f>
        <v>745.63867199999993</v>
      </c>
      <c r="I13" s="3">
        <f>777.8+(432.1-223.8)+(0+(0-0))+0-324.5-0</f>
        <v>661.59999999999991</v>
      </c>
      <c r="J13" s="3">
        <f>777.3+(413.3-208.6)+(0.396423+(0.210783-0.106386))+0-323.7-0.165086999999967</f>
        <v>658.63573299999996</v>
      </c>
      <c r="K13" s="3">
        <f>777.4+(380.8-211)+(0.792948+(0.388416-0.21522))+0-322.9-0.329358000000051</f>
        <v>624.93678599999998</v>
      </c>
      <c r="L13" s="3">
        <f>779.6+(446.8-198.4)+(0+(0-0))+0-322.8-0</f>
        <v>705.2</v>
      </c>
      <c r="M13" s="3">
        <f>779.2+(333.7-226.9)+(-0.397392+(-0.170187--0.115719))+0-322--0.164219999999967</f>
        <v>563.71235999999999</v>
      </c>
      <c r="N13" s="3">
        <f>774.1+(398.9-221.6)+(0.789582+(0.406878-0.226032))+0-322.4-0.328848000000051</f>
        <v>629.64157999999986</v>
      </c>
      <c r="O13" s="3">
        <f>768.5+(402.8-241.7)+(-0.391935+(-0.205428--0.123267))+0-322.7--0.164576999999967</f>
        <v>606.59048099999995</v>
      </c>
      <c r="P13" s="3">
        <f>761.8+(436.1-267.2)+(-1.94259+(-1.112055--0.68136))+0-323.5--0.824924999999953</f>
        <v>605.65164000000004</v>
      </c>
      <c r="Q13" s="3">
        <f>754.3+(503.5-256)+(-0.384693+(-0.256785--0.13056))+0-323.7--0.165086999999967</f>
        <v>677.75416899999993</v>
      </c>
      <c r="R13" s="3">
        <f>747.8+(494-243)+(0+(0-0))+0-324.4-0</f>
        <v>674.4</v>
      </c>
      <c r="S13" s="3">
        <f>745.7+(491.5-244.7)+(0+(0-0))+0-323-0</f>
        <v>669.5</v>
      </c>
      <c r="T13" s="3">
        <f>740+(496.9-242.9)+(-0.7548+(-0.506838--0.247758))+0-323.6--0.330072000000052</f>
        <v>669.71619200000009</v>
      </c>
      <c r="U13" s="3">
        <f>735.5+(451.8-245.1)+(-0.375105+(-0.230418--0.125001))+0-323.3--0.164882999999967</f>
        <v>618.58436099999994</v>
      </c>
      <c r="V13" s="3">
        <f>736.3+(461.1-229.6)+(0.375513+(0.235161-0.117096))+0-322.8-0.164627999999967</f>
        <v>645.32894999999985</v>
      </c>
      <c r="W13" s="3">
        <f>741.6+(494.4-209.6)+(-0.378216+(-0.252144--0.106896))+0-323.2--0.164831999999967</f>
        <v>702.84136799999987</v>
      </c>
      <c r="X13" s="3">
        <f>752.5+(434.8-225.6)+(-0.76755+(-0.443496--0.230112))+0-323.1--0.329562000000052</f>
        <v>637.94862799999999</v>
      </c>
      <c r="Y13" s="3">
        <f>756.8+(535-264.1)+(0.385968+(0.27285-0.134691))+0-322.8-0.164627999999967</f>
        <v>705.25949899999978</v>
      </c>
      <c r="Z13" s="3">
        <f>756.6+(631.9-292.1)+(-0.771732+(-0.644538--0.297942))+0-322.9--0.329358000000051</f>
        <v>772.71103000000016</v>
      </c>
      <c r="AA13" s="3">
        <f>759.4+(620-300.9)+(-0.387294+(-0.3162--0.153459))+0-323--0.164729999999967</f>
        <v>755.11469499999998</v>
      </c>
      <c r="AB13" s="3">
        <f>759.6+(679.2-274.9)+(-0.774792+(-0.692784--0.280398))+0-323.7--0.330174000000052</f>
        <v>839.3429960000002</v>
      </c>
      <c r="AC13" s="3">
        <f>761.4+(631.8-259.5)+(-0.388314+(-0.322218--0.132345))+0-322.5--0.164474999999967</f>
        <v>810.78628799999967</v>
      </c>
      <c r="AD13" s="2">
        <v>796.10000000000014</v>
      </c>
      <c r="AE13" s="3">
        <f>759+(642.3-283.9)+(0+(0-0))+0-321.3-0</f>
        <v>796.10000000000014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764+(575-227.1)+(-0.77928+(-0.5865--0.231642))+0-322.1--0.328542000000051</f>
        <v>788.99440400000026</v>
      </c>
      <c r="G14" s="3">
        <f>765+(480.2-211.2)+(-0.7803+(-0.489804--0.215424))+0-323.5--0.329970000000052</f>
        <v>709.77529000000004</v>
      </c>
      <c r="H14" s="3">
        <f>762.7+(463.2-191.9)+(-0.777954+(-0.472464--0.195738))+0-322.8--0.329256000000052</f>
        <v>710.47457600000018</v>
      </c>
      <c r="I14" s="3">
        <f>766.7+(474.7-172.3)+(-0.782034+(-0.484194--0.175746))+0-322.6--0.329052000000051</f>
        <v>745.73856999999987</v>
      </c>
      <c r="J14" s="3">
        <f>767.2+(416.8-169.5)+(-0.782544+(-0.425136--0.17289))+0-322.9--0.329358000000051</f>
        <v>690.89456800000005</v>
      </c>
      <c r="K14" s="3">
        <f>768.3+(382.3-170.9)+(0.391833+(0.194973-0.087159))+0-322.5-0.164474999999967</f>
        <v>657.53517199999999</v>
      </c>
      <c r="L14" s="3">
        <f>772.1+(352.6-187.6)+(0+(0-0))+0-320.6-0</f>
        <v>616.5</v>
      </c>
      <c r="M14" s="3">
        <f>778.6+(362.6-202.2)+(0.397086+(0.184926-0.103122))+0-320.9-0.163658999999967</f>
        <v>618.41523100000006</v>
      </c>
      <c r="N14" s="3">
        <f>860.1+(352.1-267.7)+(-0.438651+(-0.179571--0.136527))+0-324--0.165239999999967</f>
        <v>620.18354499999998</v>
      </c>
      <c r="O14" s="3">
        <f>922.1+(386.8-293.3)+(0+(0-0))+0-325.6-0</f>
        <v>690</v>
      </c>
      <c r="P14" s="3">
        <f>906.4+(473.9-291.6)+(0+(0-0))+0-326-0</f>
        <v>762.69999999999982</v>
      </c>
      <c r="Q14" s="3">
        <f>900.9+(496.2-319.5)+(-0.459459+(-0.253062--0.162945))+0-326.1--0.166310999999967</f>
        <v>751.11673499999995</v>
      </c>
      <c r="R14" s="3">
        <f>896.1+(559.9-322.7)+(-0.914022+(-0.571098--0.329154))+0-324.9--0.331398000000052</f>
        <v>807.57543199999998</v>
      </c>
      <c r="S14" s="3">
        <f>892+(598.7-316.2)+(-1.81968+(-1.221348--0.645048))+0-325.6--0.664223999999986</f>
        <v>847.16824399999996</v>
      </c>
      <c r="T14" s="3">
        <f>887.4+(568.3-322.5)+(-1.357722+(-0.869499--0.493425))+0-326.7--0.499851000000019</f>
        <v>805.26605499999982</v>
      </c>
      <c r="U14" s="3">
        <f>889.5+(549-314)+(-0.90729+(-0.55998--0.32028))+0-325.6--0.332112000000052</f>
        <v>798.08512200000007</v>
      </c>
      <c r="V14" s="3">
        <f>894.1+(460-316.1)+(0+(0-0))+0-325.8-0</f>
        <v>712.2</v>
      </c>
      <c r="W14" s="3">
        <f>909.9+(410.5-298.6)+(-0.464049+(-0.209355--0.152286))+0-325.9--0.166208999999967</f>
        <v>695.54509099999996</v>
      </c>
      <c r="X14" s="3">
        <f>921.7+(418-226.9)+(-0.470067+(-0.21318--0.115719))+0-325.6--0.166055999999967</f>
        <v>786.79852799999981</v>
      </c>
      <c r="Y14" s="3">
        <f>923.4+(428.2-254)+(0.470934+(0.218382-0.12954))+0-324.9-0.165698999999967</f>
        <v>773.09407699999997</v>
      </c>
      <c r="Z14" s="3">
        <f>924.5+(454.3-281.9)+(-2.82897+(-1.390158--0.862614))+0-326.4--0.998784000000038</f>
        <v>768.14227000000005</v>
      </c>
      <c r="AA14" s="3">
        <f>924.9+(455.8-284.1)+(-1.415097+(-0.697374--0.434673))+0-326.3--0.499239000000019</f>
        <v>769.121441</v>
      </c>
      <c r="AB14" s="3">
        <f>924.4+(608.9-326.6)+(-0.471444+(-0.310539--0.166566))+0-326.2--0.166361999999967</f>
        <v>880.05094499999973</v>
      </c>
      <c r="AC14" s="3">
        <f>927.5+(571.9-310.9)+(-1.419075+(-0.875007--0.475677))+0-325.8--0.498474000000019</f>
        <v>861.38006900000005</v>
      </c>
      <c r="AD14" s="2">
        <v>839.5</v>
      </c>
      <c r="AE14" s="3">
        <f>925+(502.3-261.8)+(0+(0-0))+0-326-0</f>
        <v>839.5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928.8+(564.5-261.5)+(-1.894752+(-1.15158--0.53346))+0-327.7--0.668507999999986</f>
        <v>902.25563599999987</v>
      </c>
      <c r="G15" s="3">
        <f>933.7+(517.3-245.4)+(-2.380935+(-1.319115--0.62577))+0-327.8--0.835889999999953</f>
        <v>875.56160999999986</v>
      </c>
      <c r="H15" s="3">
        <f>936.2+(472.3-230.2)+(-2.38731+(-1.204365--0.58701))+0-325.8--0.830789999999953</f>
        <v>850.32612500000027</v>
      </c>
      <c r="I15" s="3">
        <f>936.7+(385.4-232.4)+(-0.955434+(-0.393108--0.237048))+0-327--0.333540000000052</f>
        <v>761.92204600000014</v>
      </c>
      <c r="J15" s="3">
        <f>935.2+(365.9-228.7)+(0.476952+(0.186609-0.116637))+0-326.2-0.166361999999967</f>
        <v>746.5805620000001</v>
      </c>
      <c r="K15" s="3">
        <f>936.5+(357.4-228.9)+(-0.477615+(-0.182274--0.116739))+0-324.1--0.165290999999967</f>
        <v>740.52214099999992</v>
      </c>
      <c r="L15" s="3">
        <f>936.3+(324-247.2)+(0.477513+(0.16524-0.126072))+0-322.6-0.164525999999967</f>
        <v>690.85215499999981</v>
      </c>
      <c r="M15" s="3">
        <f>942.9+(310.5-287.9)+(-0.480879+(-0.158355--0.146829))+0-319.3--0.162842999999968</f>
        <v>645.87043800000004</v>
      </c>
      <c r="N15" s="3">
        <f>934.1+(360.3-293.7)+(0+(0-0))+0-322.9-0</f>
        <v>677.80000000000007</v>
      </c>
      <c r="O15" s="3">
        <f>930.3+(391.6-335.6)+(-0.948906+(-0.399432--0.342312))+0-323.3--0.329766000000052</f>
        <v>662.32374000000004</v>
      </c>
      <c r="P15" s="3">
        <f>919.4+(393.6-338.2)+(-0.468894+(-0.200736--0.172482))+0-326.4--0.166463999999967</f>
        <v>648.06931599999996</v>
      </c>
      <c r="Q15" s="3">
        <f>914.1+(473.8-331.8)+(-2.330955+(-1.20819--0.84609))+0-325.8--0.830789999999953</f>
        <v>728.43773499999998</v>
      </c>
      <c r="R15" s="3">
        <f>900+(660.1-501)+(-0.918+(-0.673302--0.51102))+0-325--0.331500000000052</f>
        <v>733.35121800000002</v>
      </c>
      <c r="S15" s="3">
        <f>897+(740.6-496)+(-2.28735+(-1.88853--1.2648))+0-326--0.831299999999953</f>
        <v>813.52021999999977</v>
      </c>
      <c r="T15" s="3">
        <f>895+(713.5-471)+(-2.28225+(-1.819425--1.20105))+0-326--0.831299999999953</f>
        <v>809.43067499999995</v>
      </c>
      <c r="U15" s="3">
        <f>892+(756.4-446)+(-0.90984+(-0.771528--0.45492))+0-327--0.333540000000052</f>
        <v>874.50709200000028</v>
      </c>
      <c r="V15" s="3">
        <f>892+(587.7-436)+(-1.81968+(-1.198908--0.88944))+0-327--0.667079999999986</f>
        <v>715.237932</v>
      </c>
      <c r="W15" s="3">
        <f>895+(479.9-411)+(-0.45645+(-0.244749--0.20961))+0-327--0.166769999999967</f>
        <v>636.57518099999993</v>
      </c>
      <c r="X15" s="3">
        <f>900+(463.8-386)+(0+(0-0))+0-327-0</f>
        <v>650.79999999999995</v>
      </c>
      <c r="Y15" s="3">
        <f>903+(581.7-435)+(0.46053+(0.296667-0.22185))+0-327-0.166769999999967</f>
        <v>723.06857700000012</v>
      </c>
      <c r="Z15" s="3">
        <f>907+(555.3-441)+(0.92514+(0.566406-0.44982))+0-330-0.336600000000053</f>
        <v>692.0051259999999</v>
      </c>
      <c r="AA15" s="3">
        <f>918+(568.7-439)+(-1.40454+(-0.870111--0.67167))+0-329--0.503370000000019</f>
        <v>717.60038900000006</v>
      </c>
      <c r="AB15" s="3">
        <f>920+(681.2-444)+(0+(0-0))+0-326-0</f>
        <v>831.2</v>
      </c>
      <c r="AC15" s="3">
        <f>921+(737.4-412)+(-0.93942+(-0.752148--0.42024))+0-324--0.330480000000052</f>
        <v>921.45915200000013</v>
      </c>
      <c r="AD15" s="2">
        <v>721.79999999999984</v>
      </c>
      <c r="AE15" s="3">
        <f>918+(446.8-311.6)+(0+(0-0))+0-331.4-0</f>
        <v>721.80000000000007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924+(563.4-271.3)+(0+(0-0))+0-326.4-0</f>
        <v>889.69999999999993</v>
      </c>
      <c r="G16" s="3">
        <f>926+(463.1-249)+(0+(0-0))+0-327.8-0</f>
        <v>812.3</v>
      </c>
      <c r="H16" s="3">
        <f>925+(475.9-219.6)+(0+(0-0))+0-327-0</f>
        <v>854.3</v>
      </c>
      <c r="I16" s="3">
        <f>927+(411.2-211.2)+(0+(0-0))+0-325.1-0</f>
        <v>801.9</v>
      </c>
      <c r="J16" s="3">
        <f>930+(368-201.4)+(0+(0-0))+0-326-0</f>
        <v>770.59999999999991</v>
      </c>
      <c r="K16" s="3">
        <f>930+(302.6-206.2)+(0+(0-0))+0-325.7-0</f>
        <v>700.7</v>
      </c>
      <c r="L16" s="3">
        <f>926.9+(252.7-214.1)+(0.472719+(0.128877-0.109191))+0-323.6-0.165035999999967</f>
        <v>642.22736899999995</v>
      </c>
      <c r="M16" s="3">
        <f>926.7+(239.5-225.2)+(1.417851+(0.366435-0.344556))+0-323.2-0.494496000000019</f>
        <v>618.74523399999998</v>
      </c>
      <c r="N16" s="3">
        <f>921.5+(284.9-232.3)+(-0.93993+(-0.290598--0.236946))+0-326.3--0.332826000000052</f>
        <v>647.13924399999996</v>
      </c>
      <c r="O16" s="3">
        <f>914.8+(351.7-245.9)+(-0.933096+(-0.358734--0.250818))+0-327.9--0.334458000000052</f>
        <v>691.99344599999995</v>
      </c>
      <c r="P16" s="3">
        <f>908+(423.4-275.8)+(-1.38924+(-0.647802--0.421974))+0-326.6--0.499698000000019</f>
        <v>727.88462999999979</v>
      </c>
      <c r="Q16" s="3">
        <f>903+(464.3-299.7)+(0+(0-0))+0-327.7-0</f>
        <v>739.89999999999986</v>
      </c>
      <c r="R16" s="3">
        <f>897.6+(574.3-330.1)+(-2.746656+(-1.757358--1.010106))+0-327.7--1.00276200000004</f>
        <v>811.60885400000006</v>
      </c>
      <c r="S16" s="3">
        <f>891.5+(684-319.2)+(0.454665+(0.34884-0.162792))+0-327.8-0.167177999999967</f>
        <v>928.97353500000008</v>
      </c>
      <c r="T16" s="3">
        <f>889.3+(683.4-313.5)+(-0.907086+(-0.697068--0.31977))+0-327.3--0.333846000000052</f>
        <v>930.94946199999993</v>
      </c>
      <c r="U16" s="3">
        <f>889.5+(695.6-312.8)+(-0.453645+(-0.354756--0.159528))+0-326.3--0.166412999999967</f>
        <v>945.51753999999983</v>
      </c>
      <c r="V16" s="3">
        <f>890.6+(654.2-285.1)+(-0.908412+(-0.667284--0.290802))+0-327--0.333540000000052</f>
        <v>931.74864600000024</v>
      </c>
      <c r="W16" s="3">
        <f>894.4+(553.9-258.4)+(0+(0-0))+0-327.6-0</f>
        <v>862.30000000000007</v>
      </c>
      <c r="X16" s="3">
        <f>897.3+(456.4-240.8)+(-0.457623+(-0.232764--0.122808))+0-326.6--0.166565999999967</f>
        <v>785.89898699999981</v>
      </c>
      <c r="Y16" s="3">
        <f>900.7+(499.9-290.9)+(0.459357+(0.254949-0.148359))+0-327-0.166769999999967</f>
        <v>783.09917700000017</v>
      </c>
      <c r="Z16" s="3">
        <f>902.2+(573.3-319)+(-1.380366+(-0.877149--0.48807))+0-327.3--0.500769000000019</f>
        <v>827.93132400000013</v>
      </c>
      <c r="AA16" s="3">
        <f>906.6+(691.6-317)+(-2.774196+(-2.116296--0.97002))+0-326.7--0.999702000000038</f>
        <v>951.57923000000005</v>
      </c>
      <c r="AB16" s="3">
        <f>909.8+(721-314.2)+(-2.31999+(-1.83855--0.80121))+0-327.9--0.836144999999952</f>
        <v>986.17881499999987</v>
      </c>
      <c r="AC16" s="3">
        <f>904.4+(745-299.8)+(-1.844976+(-1.5198--0.611592))+0-326.4--0.665855999999986</f>
        <v>1021.112672</v>
      </c>
      <c r="AD16" s="2">
        <v>813.39999999999986</v>
      </c>
      <c r="AE16" s="3">
        <f>903+(562.3-325.2)+(0+(0-0))+0-326.7-0</f>
        <v>813.39999999999986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910.8+(688.9-273.2)+(-0.464508+(-0.351339--0.139332))+0-325.2--0.165851999999967</f>
        <v>1000.7893369999998</v>
      </c>
      <c r="G17" s="3">
        <f>920.2+(662.2-252.1)+(-1.407906+(-1.013166--0.385713))+0-327.6--0.501228000000019</f>
        <v>1001.1658690000002</v>
      </c>
      <c r="H17" s="3">
        <f>922.4+(624.6-230.9)+(0.940848+(0.637092-0.235518))+0-327.2-0.333744000000052</f>
        <v>989.90867799999978</v>
      </c>
      <c r="I17" s="3">
        <f>922.2+(568.7-233.3)+(0.940644+(0.580074-0.237966))+0-325.8-0.332316000000052</f>
        <v>932.75043600000015</v>
      </c>
      <c r="J17" s="3">
        <f>923.9+(523.9-234.8)+(-0.942378+(-0.534378--0.239496))+0-327.6--0.334152000000052</f>
        <v>884.49689199999989</v>
      </c>
      <c r="K17" s="3">
        <f>925.5+(418.4-238.2)+(0.472005+(0.213384-0.121482))+0-246.2-0.125561999999975</f>
        <v>859.93834500000003</v>
      </c>
      <c r="L17" s="3">
        <f>928.2+(402.5-224.1)+(-0.946764+(-0.41055--0.228582))+0-326.1--0.332622000000052</f>
        <v>779.70389000000023</v>
      </c>
      <c r="M17" s="3">
        <f>927.3+(349.4-246.7)+(0.945846+(0.356388-0.251634))+0-324.6-0.331092000000052</f>
        <v>706.119508</v>
      </c>
      <c r="N17" s="3">
        <f>919.4+(434.2-263.1)+(0.937788+(0.442884-0.268362))+0-325.7-0.332214000000052</f>
        <v>765.58009599999991</v>
      </c>
      <c r="O17" s="3">
        <f>910.9+(444.6-291.2)+(1.393677+(0.680238-0.445536))+0-326.6-0.499698000000019</f>
        <v>738.82868099999996</v>
      </c>
      <c r="P17" s="3">
        <f>904.1+(491.3-317.2)+(1.383273+(0.751689-0.485316))+0-324.2-0.496026000000019</f>
        <v>755.15362000000005</v>
      </c>
      <c r="Q17" s="3">
        <f>896.6+(607.9-322)+(0+(0-0))+0-323.6-0</f>
        <v>858.9</v>
      </c>
      <c r="R17" s="3">
        <f>893.7+(666.6-349.8)+(0+(0-0))+0-324-0</f>
        <v>886.5</v>
      </c>
      <c r="S17" s="3">
        <f>890+(754.2-337.9)+(-2.7234+(-2.307852--1.033974))+0-325.6--0.996336000000038</f>
        <v>977.69905800000015</v>
      </c>
      <c r="T17" s="3">
        <f>888.6+(792.5-335.2)+(0+(0-0))+0-327-0</f>
        <v>1018.9000000000001</v>
      </c>
      <c r="U17" s="3">
        <f>888.6+(801.1-299.6)+(0+(0-0))+0-325.1-0</f>
        <v>1065</v>
      </c>
      <c r="V17" s="3">
        <f>900+(685.2-264)+(-0.918+(-0.698904--0.26928))+0-326.7--0.333234000000052</f>
        <v>993.48561000000007</v>
      </c>
      <c r="W17" s="3">
        <f>901.9+(543.4-244.7)+(-1.379907+(-0.831402--0.374391))+0-328.3--0.502299000000019</f>
        <v>870.96538099999998</v>
      </c>
      <c r="X17" s="3">
        <f>905+(458.6-225.2)+(-0.46155+(-0.233886--0.114852))+0-328.5--0.167534999999967</f>
        <v>809.48695099999998</v>
      </c>
      <c r="Y17" s="3">
        <f>906.1+(553.3-274.2)+(1.386333+(0.846549-0.419526))+0-326-0.498780000000019</f>
        <v>860.51457600000015</v>
      </c>
      <c r="Z17" s="3">
        <f>911+(616.6-332.1)+(0+(0-0))+0-325.1-0</f>
        <v>870.4</v>
      </c>
      <c r="AA17" s="3">
        <f>917+(731-333.8)+(-1.40301+(-1.11843--0.510714))+0-325.5--0.498015000000019</f>
        <v>987.18728900000008</v>
      </c>
      <c r="AB17" s="3">
        <f>921+(676-337.5)+(-1.87884+(-1.37904--0.6885))+0-325.6--0.664223999999986</f>
        <v>931.99484400000006</v>
      </c>
      <c r="AC17" s="3">
        <f>927.2+(724-295.3)+(-2.36436+(-1.8462--0.753015))+0-325.7--0.830534999999953</f>
        <v>1027.5729900000001</v>
      </c>
      <c r="AD17" s="2">
        <v>828.5999999999998</v>
      </c>
      <c r="AE17" s="3">
        <f>912+(563.6-320.4)+(0+(0-0))+0-326.6-0</f>
        <v>828.6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929+(640.9-239.9)+(1.42137+(0.980577-0.367047))+0-325.9-0.498627000000019</f>
        <v>1005.6362730000001</v>
      </c>
      <c r="G18" s="3">
        <f>928.2+(633-224.6)+(-1.420146+(-0.96849--0.343638))+0-326.2--0.499086000000019</f>
        <v>1008.8540879999998</v>
      </c>
      <c r="H18" s="3">
        <f>930.1+(566.2-229.5)+(-0.474351+(-0.288762--0.117045))+0-327.1--0.166820999999967</f>
        <v>939.22075300000006</v>
      </c>
      <c r="I18" s="3">
        <f>930.4+(555.8-205.9)+(-2.37252+(-1.41729--0.525045))+0-327.3--0.834614999999953</f>
        <v>950.56985000000009</v>
      </c>
      <c r="J18" s="3">
        <f>929.8+(486.8-193)+(1.896792+(0.993072-0.39372))+0-326.2-0.665447999999986</f>
        <v>899.23069599999985</v>
      </c>
      <c r="K18" s="3">
        <f>932.4+(416.8-193.2)+(-0.475524+(-0.212568--0.098532))+0-326.1--0.166310999999967</f>
        <v>829.47675100000004</v>
      </c>
      <c r="L18" s="3">
        <f>932.3+(478.2-186.7)+(-1.901892+(-0.975528--0.380868))+0-321.9--0.656675999999986</f>
        <v>900.06012399999986</v>
      </c>
      <c r="M18" s="3">
        <f>931.7+(333.6-174.1)+(-1.425501+(-0.510408--0.266373))+0-323--0.494190000000019</f>
        <v>767.02465399999994</v>
      </c>
      <c r="N18" s="3">
        <f>924.3+(417.9-178.1)+(-0.471393+(-0.213129--0.090831))+0-324.6--0.165545999999967</f>
        <v>839.0718549999998</v>
      </c>
      <c r="O18" s="3">
        <f>918.3+(388.4-216.1)+(0+(0-0))+0-325.7-0</f>
        <v>764.89999999999986</v>
      </c>
      <c r="P18" s="3">
        <f>914.2+(462.1-226.8)+(0+(0-0))+0-326.2-0</f>
        <v>823.3</v>
      </c>
      <c r="Q18" s="3">
        <f>909.1+(482.3-258.5)+(0.463641+(0.245973-0.131835))+0-326.9-0.166718999999967</f>
        <v>806.41106000000013</v>
      </c>
      <c r="R18" s="3">
        <f>902.2+(541-279.4)+(-0.460122+(-0.27591--0.142494))+0-326.3--0.166412999999967</f>
        <v>837.07287500000007</v>
      </c>
      <c r="S18" s="3">
        <f>896.6+(659.1-269.1)+(-0.914532+(-0.672282--0.274482))+0-326.6--0.333132000000052</f>
        <v>959.02080000000001</v>
      </c>
      <c r="T18" s="3">
        <f>890.4+(701.3-230)+(-0.454104+(-0.357663--0.1173))+0-326.2--0.166361999999967</f>
        <v>1034.9718949999997</v>
      </c>
      <c r="U18" s="3">
        <f>892.5+(641.5-217.7)+(-2.275875+(-1.635825--0.555135))+0-324.7--0.827984999999953</f>
        <v>989.07141999999976</v>
      </c>
      <c r="V18" s="3">
        <f>893.4+(559.3-204.9)+(0+(0-0))+0-326.8-0</f>
        <v>921</v>
      </c>
      <c r="W18" s="3">
        <f>895.2+(460.5-178.9)+(-2.28276+(-1.174275--0.456195))+0-328.9--0.838694999999952</f>
        <v>845.7378550000002</v>
      </c>
      <c r="X18" s="3">
        <f>895.7+(439.4-159.2)+(-0.456807+(-0.224094--0.081192))+0-327.7--0.167126999999967</f>
        <v>847.76741799999991</v>
      </c>
      <c r="Y18" s="3">
        <f>903.2+(471.9-208.2)+(-0.460632+(-0.240669--0.106182))+0-326.8--0.166667999999967</f>
        <v>839.67154900000003</v>
      </c>
      <c r="Z18" s="3">
        <f>911.2+(567.2-246.8)+(-1.394136+(-0.867816--0.377604))+0-328.7--0.502911000000019</f>
        <v>901.51856300000009</v>
      </c>
      <c r="AA18" s="3">
        <f>913.8+(662.1-262.7)+(-1.864152+(-1.350684--0.535908))+0-325.8--0.664631999999986</f>
        <v>985.38570400000003</v>
      </c>
      <c r="AB18" s="3">
        <f>924.4+(718.2-252.8)+(-0.471444+(-0.366282--0.128928))+0-324.9--0.165698999999967</f>
        <v>1064.3569009999999</v>
      </c>
      <c r="AC18" s="3">
        <f>934+(762.6-218.9)+(0.47634+(0.388926-0.111639))+0-325.9-0.166208999999967</f>
        <v>1152.3874180000003</v>
      </c>
      <c r="AD18" s="2">
        <v>951.09999999999991</v>
      </c>
      <c r="AE18" s="3">
        <f>910+(610-242.9)+(0+(0-0))+0-326-0</f>
        <v>951.09999999999991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935.8+(626.7-179.3)+(-2.38629+(-1.598085--0.457215))+0-325.7--0.830534999999953</f>
        <v>1054.803375</v>
      </c>
      <c r="G19" s="3">
        <f>935.8+(546.8-180.4)+(-2.38629+(-1.39434--0.46002))+0-324--0.826199999999953</f>
        <v>975.7055899999998</v>
      </c>
      <c r="H19" s="3">
        <f>936.1+(533.8-180.5)+(1.432233+(0.816714-0.276165))+0-323.5-0.494955000000019</f>
        <v>967.37782700000014</v>
      </c>
      <c r="I19" s="3">
        <f>934.6+(499.3-167.4)+(2.38323+(1.273215-0.42687))+0-322.5-0.822374999999953</f>
        <v>946.4072000000001</v>
      </c>
      <c r="J19" s="3">
        <f>934.4+(475.3-151.2)+(-2.38272+(-1.212015--0.38556))+0-322.7--0.822884999999953</f>
        <v>933.41370999999992</v>
      </c>
      <c r="K19" s="3">
        <f>938.6+(400-160.2)+(0+(0-0))+0-321.1-0</f>
        <v>857.30000000000007</v>
      </c>
      <c r="L19" s="3">
        <f>943.9+(404.1-160.2)+(-1.925556+(-0.824364--0.326808))+0-321.5--0.655859999999986</f>
        <v>864.53274799999997</v>
      </c>
      <c r="M19" s="3">
        <f>939+(373.7-168.2)+(0.47889+(0.190587-0.085782))+0-321.1-0.163760999999967</f>
        <v>823.81993399999999</v>
      </c>
      <c r="N19" s="3">
        <f>933.1+(412.9-186.7)+(0.951762+(0.421158-0.190434))+0-325.7-0.332214000000052</f>
        <v>834.45027199999981</v>
      </c>
      <c r="O19" s="3">
        <f>924.9+(397.6-184.1)+(0+(0-0))+0-327-0</f>
        <v>811.40000000000009</v>
      </c>
      <c r="P19" s="3">
        <f>916.2+(444.1-165.2)+(-0.467262+(-0.226491--0.084252))+0-326.3--0.166412999999967</f>
        <v>868.35691200000019</v>
      </c>
      <c r="Q19" s="3">
        <f>913.8+(489.8-178.8)+(-1.864152+(-0.999192--0.364752))+0-327.6--0.668303999999986</f>
        <v>895.36971200000005</v>
      </c>
      <c r="R19" s="3">
        <f>908.5+(650.4-197.4)+(0.92667+(0.663408-0.201348))+0-329.2-0.335784000000052</f>
        <v>1033.3529459999997</v>
      </c>
      <c r="S19" s="3">
        <f>907.5+(731.4-245.7)+(-1.388475+(-1.119042--0.375921))+0-327.3--0.500769000000019</f>
        <v>1064.2691730000001</v>
      </c>
      <c r="T19" s="3">
        <f>907.5+(771.6-190.9)+(-0.462825+(-0.393516--0.097359))+0-326.2--0.166361999999967</f>
        <v>1161.4073799999999</v>
      </c>
      <c r="U19" s="3">
        <f>905.5+(709.4-176.1)+(-1.385415+(-1.085382--0.269433))+0-327.9--0.501687000000019</f>
        <v>1109.200323</v>
      </c>
      <c r="V19" s="3">
        <f>906.5+(629.7-143.3)+(0.462315+(0.321147-0.073083))+0-328.8-0.167687999999967</f>
        <v>1064.6426910000002</v>
      </c>
      <c r="W19" s="3">
        <f>908.5+(484.4-143.1)+(-0.92667+(-0.494088--0.145962))+0-329.9--0.336498000000053</f>
        <v>918.96170200000006</v>
      </c>
      <c r="X19" s="3">
        <f>913.5+(455.3-125.2)+(-1.86354+(-0.928812--0.255408))+0-327.7--0.668507999999986</f>
        <v>914.03156399999989</v>
      </c>
      <c r="Y19" s="3">
        <f>918.5+(484-156.7)+(0.468435+(0.24684-0.079917))+0-327.8-0.167177999999967</f>
        <v>918.46818000000007</v>
      </c>
      <c r="Z19" s="3">
        <f>924.5+(567.7-186.5)+(-1.414485+(-0.868581--0.285345))+0-329.5--0.504135000000019</f>
        <v>974.70641400000011</v>
      </c>
      <c r="AA19" s="3">
        <f>929.5+(617.2-196.6)+(-2.370225+(-1.57386--0.50133))+0-325.6--0.830279999999953</f>
        <v>1021.8875249999998</v>
      </c>
      <c r="AB19" s="3">
        <f>924.5+(638.7-205.6)+(-1.88598+(-1.302948--0.419424))+0-327.9--0.668915999999986</f>
        <v>1027.599412</v>
      </c>
      <c r="AC19" s="3">
        <f>919.5+(741.3-170.9)+(-1.87578+(-1.512252--0.348636))+0-328.7--0.670547999999986</f>
        <v>1158.8311520000002</v>
      </c>
      <c r="AD19" s="2">
        <v>1019.1000000000001</v>
      </c>
      <c r="AE19" s="3">
        <f>904+(632.2-188.1)+(0+(0-0))+0-329-0</f>
        <v>1019.0999999999999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913+(760.6-147.5)+(0+(0-0))+0-328.8-0</f>
        <v>1197.3</v>
      </c>
      <c r="G20" s="3">
        <f>915+(719.5-157.2)+(-1.8666+(-1.46778--0.320688))+0-331.9--0.677075999999985</f>
        <v>1143.063384</v>
      </c>
      <c r="H20" s="3">
        <f>917+(642.7-146.8)+(-1.87068+(-1.311108--0.299472))+0-331.9--0.677075999999985</f>
        <v>1078.7947600000002</v>
      </c>
      <c r="I20" s="3">
        <f>917+(589.4-136.2)+(-0.93534+(-0.601188--0.138924))+0-329.4--0.335988000000053</f>
        <v>1039.738384</v>
      </c>
      <c r="J20" s="3">
        <f>919+(549.7-139.8)+(-1.40607+(-0.841041--0.213894))+0-329--0.503370000000019</f>
        <v>998.37015300000019</v>
      </c>
      <c r="K20" s="3">
        <f>919+(520.8-168.1)+(0.46869+(0.265608-0.085731))+0-329.5-0.168044999999967</f>
        <v>942.68052199999977</v>
      </c>
      <c r="L20" s="3">
        <f>921+(386.7-189.6)+(0+(0-0))+0-328.8-0</f>
        <v>789.3</v>
      </c>
      <c r="M20" s="3">
        <f>919+(361.8-201.5)+(-0.46869+(-0.184518--0.102765))+0-326.4--0.166463999999967</f>
        <v>752.51602099999991</v>
      </c>
      <c r="N20" s="3">
        <f>914+(351-195.9)+(-1.39842+(-0.53703--0.299727))+0-329--0.503370000000019</f>
        <v>738.96764699999983</v>
      </c>
      <c r="O20" s="3">
        <f>910+(423.3-203.6)+(0.4641+(0.215883-0.103836))+0-329-0.167789999999967</f>
        <v>801.10835700000007</v>
      </c>
      <c r="P20" s="3">
        <f>906+(450.3-223.8)+(0+(0-0))+0-330-0</f>
        <v>802.5</v>
      </c>
      <c r="Q20" s="3">
        <f>902+(573.6-298.4)+(0.92004+(0.585072-0.304368))+0-329.1-0.335682000000052</f>
        <v>848.96506199999999</v>
      </c>
      <c r="R20" s="3">
        <f>895+(692.6-337.6)+(0.45645+(0.353226-0.172176))+0-329-0.167789999999967</f>
        <v>921.46971000000008</v>
      </c>
      <c r="S20" s="3">
        <f>893+(752.9-345)+(-2.73258+(-2.303874--1.0557))+2.7-329--1.00674000000004</f>
        <v>971.62598600000024</v>
      </c>
      <c r="T20" s="3">
        <f>909+(696.5-310.7)+(-0.92718+(-0.71043--0.316914))+11.7-325.2--0.331704000000052</f>
        <v>980.31100800000002</v>
      </c>
      <c r="U20" s="3">
        <f>909+(648.2-304.9)+(-1.39077+(-0.991746--0.466497))+0-324.4--0.496332000000019</f>
        <v>926.48031300000025</v>
      </c>
      <c r="V20" s="3">
        <f>909+(595.5-275.2)+(-0.46359+(-0.303705--0.140352))+0-324.3--0.165392999999967</f>
        <v>904.53845000000001</v>
      </c>
      <c r="W20" s="3">
        <f>907+(508.7-225.7)+(0.46257+(0.259437-0.115107))+0-327.4-0.166973999999967</f>
        <v>863.03992600000004</v>
      </c>
      <c r="X20" s="3">
        <f>914+(392-172.9)+(-1.39842+(-0.59976--0.264537))+0-327.6--0.501228000000019</f>
        <v>804.26758499999983</v>
      </c>
      <c r="Y20" s="3">
        <f>918+(446.5-214.1)+(-0.93636+(-0.45543--0.218382))+0-328.2--0.334764000000052</f>
        <v>821.361356</v>
      </c>
      <c r="Z20" s="3">
        <f>920+(541.3-246.5)+(-2.346+(-1.380315--0.628575))+0-329--0.838949999999952</f>
        <v>883.54120999999998</v>
      </c>
      <c r="AA20" s="3">
        <f>922+(615.7-244.1)+(-1.88088+(-1.256028--0.497964))+0-328.3--0.669731999999986</f>
        <v>963.33078799999987</v>
      </c>
      <c r="AB20" s="3">
        <f>907+(724.7-264.6)+(-0.92514+(-0.739194--0.269892))+0-329.5--0.336090000000053</f>
        <v>1036.5416479999999</v>
      </c>
      <c r="AC20" s="3">
        <f>919.1+(795.8-231)+(-1.406223+(-1.217574--0.35343))+0-330.1--0.505053000000019</f>
        <v>1152.0346860000002</v>
      </c>
      <c r="AD20" s="2">
        <v>911.10000000000014</v>
      </c>
      <c r="AE20" s="3">
        <f>905+(580.7-245.6)+(0+(0-0))+0-329-0</f>
        <v>911.09999999999991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921.6+(749.1-208.2)+(-1.410048+(-1.146123--0.318546))+0-330.6--0.505818000000019</f>
        <v>1130.168193</v>
      </c>
      <c r="G21" s="3">
        <f>921.4+(731.8-190.1)+(-1.879656+(-1.492872--0.387804))+0-335--0.683399999999985</f>
        <v>1125.7986759999999</v>
      </c>
      <c r="H21" s="3">
        <f>920.8+(691.8-174)+(-0.939216+(-0.705636--0.17748))+0-335.6--0.342312000000054</f>
        <v>1101.8749399999999</v>
      </c>
      <c r="I21" s="3">
        <f>922.6+(643.4-167.9)+(-1.411578+(-0.984402--0.256887))+0-331.7--0.507501000000019</f>
        <v>1064.7684079999999</v>
      </c>
      <c r="J21" s="3">
        <f>923.4+(605.2-162.4)+(-0.470934+(-0.308652--0.082824))+0-332.9--0.169778999999966</f>
        <v>1032.7730170000002</v>
      </c>
      <c r="K21" s="3">
        <f>923.4+(578.9-155.4)+(0.470934+(0.295239-0.079254))+0-331.4-0.169013999999966</f>
        <v>1016.0179050000002</v>
      </c>
      <c r="L21" s="3">
        <f>924.6+(453.3-156.4)+(-3.300822+(-1.618281--0.558348))+0-327.7--1.169889</f>
        <v>890.60913400000004</v>
      </c>
      <c r="M21" s="3">
        <f>924.6+(385.9-172.2)+(0+(0-0))+0-327.1-0</f>
        <v>811.19999999999993</v>
      </c>
      <c r="N21" s="3">
        <f>921.7+(405.3-182.2)+(0.470067+(0.206703-0.092922))+0-328.5-0.167534999999967</f>
        <v>816.71631300000024</v>
      </c>
      <c r="O21" s="3">
        <f>917.5+(451.6-198.9)+(-0.93585+(-0.460632--0.202878))+0-330.3--0.336906000000053</f>
        <v>839.04330200000004</v>
      </c>
      <c r="P21" s="3">
        <f>863+(557.3-200.3)+(0.44013+(0.284223-0.102153))+0-331.8-0.169217999999966</f>
        <v>888.65298200000007</v>
      </c>
      <c r="Q21" s="3">
        <f>759.1+(644.5-213.4)+(0+(0-0))+0-330.4-0</f>
        <v>859.80000000000007</v>
      </c>
      <c r="R21" s="3">
        <f>872.8+(603.5-269.7)+(0+(0-0))+0-221-0</f>
        <v>985.59999999999991</v>
      </c>
      <c r="S21" s="3">
        <f>941+(769.2-287.6)+(-2.39955+(-1.96146--0.73338))+0-334.2--0.852209999999952</f>
        <v>1085.6245799999999</v>
      </c>
      <c r="T21" s="3">
        <f>996.6+(771.6-285.5)+(0+(0-0))+0-333-0</f>
        <v>1149.7</v>
      </c>
      <c r="U21" s="3">
        <f>1037.6+(650.7-264.6)+(-1.058352+(-0.663714--0.269892))+0-332.3--0.338946000000053</f>
        <v>1090.2867719999999</v>
      </c>
      <c r="V21" s="3">
        <f>1042.3+(612.5-246.3)+(-1.594719+(-0.937125--0.376839))+0-329.5--0.504135000000019</f>
        <v>1077.3491299999998</v>
      </c>
      <c r="W21" s="3">
        <f>1045.7+(418.9-217.7)+(-0.533307+(-0.213639--0.111027))+0-331--0.168809999999966</f>
        <v>915.43289100000004</v>
      </c>
      <c r="X21" s="3">
        <f>1047.7+(284.4-210.1)+(-1.602981+(-0.435132--0.321453))+0-329.4--0.503982000000019</f>
        <v>791.38732200000004</v>
      </c>
      <c r="Y21" s="3">
        <f>1053.8+(352.6-239.4)+(-0.537438+(-0.179826--0.122094))+0-329--0.167789999999967</f>
        <v>837.57261999999992</v>
      </c>
      <c r="Z21" s="3">
        <f>1060.4+(477.3-296.1)+(-1.081608+(-0.486846--0.302022))+0-331.8--0.338436000000053</f>
        <v>908.87200400000029</v>
      </c>
      <c r="AA21" s="3">
        <f>1064+(544.7-329.3)+(-0.54264+(-0.277797--0.167943))+0-332.5--0.169574999999966</f>
        <v>946.41708100000017</v>
      </c>
      <c r="AB21" s="3">
        <f>1031.2+(645.6-326.2)+(-2.103648+(-1.317024--0.665448))+0-333.5--0.680339999999985</f>
        <v>1015.0251160000001</v>
      </c>
      <c r="AC21" s="3">
        <f>1028.8+(681.6-296.8)+(0.524688+(0.347616-0.151368))+0-334-0.170339999999966</f>
        <v>1080.150596</v>
      </c>
      <c r="AD21" s="2">
        <v>922.7</v>
      </c>
      <c r="AE21" s="3">
        <f>1063+(490-299.5)+(0+(0-0))+0-330.8-0</f>
        <v>922.7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1018.9+(680.4-287.5)+(0.519639+(0.347004-0.146625))+0-332.5-0.169574999999966</f>
        <v>1079.850443</v>
      </c>
      <c r="G22" s="3">
        <f>1019.5+(636.2-289.2)+(-0.519945+(-0.324462--0.147492))+0-336.3--0.171512999999966</f>
        <v>1029.6745980000001</v>
      </c>
      <c r="H22" s="3">
        <f>1021.1+(573.1-269.7)+(-0.520761+(-0.292281--0.137547))+0-331.4--0.169013999999966</f>
        <v>992.59351900000001</v>
      </c>
      <c r="I22" s="3">
        <f>1022.3+(517.1-255.9)+(0+(0-0))+0-329.4-0</f>
        <v>954.1</v>
      </c>
      <c r="J22" s="3">
        <f>1021.2+(464.4-246)+(0+(0-0))+0-328.1-0</f>
        <v>911.49999999999989</v>
      </c>
      <c r="K22" s="3">
        <f>1024.8+(413.6-241.2)+(-1.567944+(-0.632808--0.369036))+0-327.5--0.501075000000019</f>
        <v>868.36935900000014</v>
      </c>
      <c r="L22" s="3">
        <f>1027.5+(334.1-220.3)+(-1.04805+(-0.340782--0.224706))+0-326.4--0.332928000000052</f>
        <v>814.06880200000012</v>
      </c>
      <c r="M22" s="3">
        <f>1032.2+(338.3-226.8)+(1.052844+(0.345066-0.231336))+0-325.9-0.332418000000052</f>
        <v>818.63415600000008</v>
      </c>
      <c r="N22" s="3">
        <f>1024.1+(389.8-236.1)+(2.089164+(0.795192-0.481644))+0-327.2-0.667487999999986</f>
        <v>852.33522400000004</v>
      </c>
      <c r="O22" s="3">
        <f>1025.6+(350.4-248.9)+(-1.046112+(-0.357408--0.253878))+0-330.7--0.337314000000053</f>
        <v>795.58767199999988</v>
      </c>
      <c r="P22" s="3">
        <f>1020.5+(445.7-245.3)+(-0.520455+(-0.227307--0.125103))+0-331.5--0.169064999999966</f>
        <v>888.94640599999991</v>
      </c>
      <c r="Q22" s="3">
        <f>1014.8+(467.5-276.1)+(1.035096+(0.47685-0.281622))+0-329.9-0.336498000000053</f>
        <v>877.19382599999994</v>
      </c>
      <c r="R22" s="3">
        <f>1014.8+(557.6-315.2)+(0+(0-0))+0-330.4-0</f>
        <v>926.80000000000007</v>
      </c>
      <c r="S22" s="3">
        <f>1011.9+(652.9-337.5)+(-2.064276+(-1.331916--0.6885))+0-331.1--0.675443999999986</f>
        <v>994.16775199999995</v>
      </c>
      <c r="T22" s="3">
        <f>1008.1+(666.9-333.2)+(1.028262+(0.680238-0.339864))+0-334-0.340680000000053</f>
        <v>1008.8279559999999</v>
      </c>
      <c r="U22" s="3">
        <f>1004.5+(684.1-316)+(1.02459+(0.697782-0.32232))+0-332.1-0.338742000000053</f>
        <v>1041.5613099999998</v>
      </c>
      <c r="V22" s="3">
        <f>989+(588.8-311.5)+(-1.51317+(-0.900864--0.476595))+0-331.5--0.507195000000019</f>
        <v>933.36975599999994</v>
      </c>
      <c r="W22" s="3">
        <f>986.1+(459.8-287.2)+(-0.502911+(-0.234498--0.146472))+0-329.1--0.167840999999967</f>
        <v>829.17690400000004</v>
      </c>
      <c r="X22" s="3">
        <f>987.8+(437.5-258)+(-2.51889+(-1.115625--0.6579))+0-328.2--0.836909999999952</f>
        <v>836.96029499999986</v>
      </c>
      <c r="Y22" s="3">
        <f>993.8+(504.3-307.6)+(1.013676+(0.514386-0.313752))+0-327.6-0.334152000000052</f>
        <v>863.78015800000003</v>
      </c>
      <c r="Z22" s="3">
        <f>998.1+(608.7-340.9)+(-0.509031+(-0.310437--0.173859))+0-328.8--0.167687999999967</f>
        <v>936.62207900000021</v>
      </c>
      <c r="AA22" s="3">
        <f>1000.6+(666-358.5)+(-2.041224+(-1.35864--0.73134))+0-328.9--0.670955999999986</f>
        <v>977.20243199999993</v>
      </c>
      <c r="AB22" s="3">
        <f>1000.7+(692.9-337.3)+(-1.020714+(-0.706758--0.344046))+0-328.6--0.335172000000052</f>
        <v>1026.651746</v>
      </c>
      <c r="AC22" s="3">
        <f>1003.2+(713.4-311.6)+(-2.046528+(-1.455336--0.635664))+0-327.5--0.668099999999986</f>
        <v>1075.3019000000002</v>
      </c>
      <c r="AD22" s="2">
        <v>956</v>
      </c>
      <c r="AE22" s="3">
        <f>995+(640.4-352.2)+(0+(0-0))+0-327.2-0</f>
        <v>956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922.8+(792.8-258.5)+(-0.470628+(-0.404328--0.131835))+0-329.3--0.167942999999967</f>
        <v>1127.2248219999999</v>
      </c>
      <c r="G23" s="3">
        <f>861.2+(755-233.7)+(-1.317636+(-1.15515--0.357561))+0-330.7--0.505971000000019</f>
        <v>1050.190746</v>
      </c>
      <c r="H23" s="3">
        <f>861.3+(724.6-216.3)+(0+(0-0))+0-332.2-0</f>
        <v>1037.3999999999999</v>
      </c>
      <c r="I23" s="3">
        <f>856.8+(654.7-207.2)+(-2.18484+(-1.669485--0.52836))+0-329.7--0.840734999999952</f>
        <v>972.11476999999991</v>
      </c>
      <c r="J23" s="3">
        <f>860.7+(599.3-197.5)+(0.877914+(0.611286-0.20145))+0-330.5-0.337110000000053</f>
        <v>932.95063999999991</v>
      </c>
      <c r="K23" s="3">
        <f>861.9+(570.3-186.5)+(-0.439569+(-0.290853--0.095115))+0-329.9--0.168248999999967</f>
        <v>915.33294199999978</v>
      </c>
      <c r="L23" s="3">
        <f>866.8+(499.8-166.3)+(-2.21034+(-1.27449--0.424065))+0-328.7--0.838184999999952</f>
        <v>869.37741999999992</v>
      </c>
      <c r="M23" s="3">
        <f>873+(392-165.1)+(-0.44523+(-0.19992--0.084201))+0-329--0.167789999999967</f>
        <v>770.50684100000012</v>
      </c>
      <c r="N23" s="3">
        <f>890+(400.3-187.8)+(-0.4539+(-0.204153--0.095778))+0-329.7--0.168146999999967</f>
        <v>772.40587199999993</v>
      </c>
      <c r="O23" s="3">
        <f>873.5+(436.5-205)+(0.445485+(0.222615-0.10455))+0-330.5-0.168554999999966</f>
        <v>774.89499500000011</v>
      </c>
      <c r="P23" s="3">
        <f>880.3+(519.4-213.8)+(0.897906+(0.529788-0.218076))+0-331.4-0.338028000000053</f>
        <v>855.37158999999997</v>
      </c>
      <c r="Q23" s="3">
        <f>888+(582.5-245.8)+(0+(0-0))+0-333.4-0</f>
        <v>891.30000000000007</v>
      </c>
      <c r="R23" s="3">
        <f>865.7+(729.5-266.9)+(-0.883014+(-0.74409--0.272238))+0-330.5--0.337110000000053</f>
        <v>996.78224400000033</v>
      </c>
      <c r="S23" s="3">
        <f>864.1+(811.8-267.1)+(-0.440691+(-0.414018--0.136221))+0-328.4--0.167483999999967</f>
        <v>1079.8489960000002</v>
      </c>
      <c r="T23" s="3">
        <f>865.5+(847.2-219.3)+(-1.76562+(-1.728288--0.447372))+0-327.8--0.668711999999986</f>
        <v>1163.222176</v>
      </c>
      <c r="U23" s="3">
        <f>900.4+(779.5-214.5)+(0+(0-0))+0-330.8-0</f>
        <v>1134.6000000000001</v>
      </c>
      <c r="V23" s="3">
        <f>939.6+(638.9-189.3)+(-1.437588+(-0.977517--0.289629))+0-333.2--0.509796000000019</f>
        <v>1054.3843200000001</v>
      </c>
      <c r="W23" s="3">
        <f>940.5+(510.3-177)+(-0.479655+(-0.260253--0.09027))+0-332.9--0.169778999999966</f>
        <v>940.42014099999983</v>
      </c>
      <c r="X23" s="3">
        <f>955+(417.1-178.7)+(-1.9482+(-0.850884--0.364548))+0-329.7--0.672587999999986</f>
        <v>861.93805200000008</v>
      </c>
      <c r="Y23" s="3">
        <f>965.6+(430-226.6)+(0.492456+(0.2193-0.115566))+0-330.7-0.168656999999966</f>
        <v>838.72753299999999</v>
      </c>
      <c r="Z23" s="3">
        <f>966.1+(541.3-276.7)+(-0.492711+(-0.276063--0.141117))+0-330.7--0.168656999999966</f>
        <v>899.54099999999994</v>
      </c>
      <c r="AA23" s="3">
        <f>973.2+(608-282.7)+(-0.992664+(-0.62016--0.288354))+0-330.5--0.337110000000053</f>
        <v>967.01264000000003</v>
      </c>
      <c r="AB23" s="3">
        <f>981.8+(671.8-276.3)+(0+(0-0))+0-328.4-0</f>
        <v>1048.9000000000001</v>
      </c>
      <c r="AC23" s="3">
        <f>985+(728.5-254.5)+(-2.0094+(-1.48614--0.51918))+0-329--0.671159999999986</f>
        <v>1127.6947999999998</v>
      </c>
      <c r="AD23" s="2">
        <v>944.90000000000009</v>
      </c>
      <c r="AE23" s="3">
        <f>981+(576.4-282.3)+(0+(0-0))+0-330.2-0</f>
        <v>944.89999999999986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990.5+(772.5-251.7)+(-1.01031+(-0.78795--0.256734))+0-327.8--0.334356000000052</f>
        <v>1182.2928300000001</v>
      </c>
      <c r="G24" s="3">
        <f>992.3+(750.1-233.1)+(-1.012146+(-0.765102--0.237762))+0-330.2--0.336804000000053</f>
        <v>1177.897318</v>
      </c>
      <c r="H24" s="3">
        <f>994.5+(701.7-212.8)+(-2.535975+(-1.789335--0.54264))+0-331.3--0.844814999999952</f>
        <v>1149.162145</v>
      </c>
      <c r="I24" s="3">
        <f>997.9+(632-202.7)+(-1.017858+(-0.64464--0.206754))+0-329.4--0.335988000000053</f>
        <v>1096.6802439999999</v>
      </c>
      <c r="J24" s="3">
        <f>1000.3+(586.3-192.3)+(0.510153+(0.299013-0.098073))+0-329.2-0.167891999999967</f>
        <v>1065.6432009999999</v>
      </c>
      <c r="K24" s="3">
        <f>1003.5+(467.6-190.7)+(0.511785+(0.238476-0.097257))+0-328.4-0.167483999999967</f>
        <v>952.48552000000018</v>
      </c>
      <c r="L24" s="3">
        <f>1005.4+(324.6-163.9)+(-1.025508+(-0.331092--0.167178))+0-326.4--0.332928000000052</f>
        <v>838.84350600000005</v>
      </c>
      <c r="M24" s="3">
        <f>1002.6+(321.4-165.3)+(1.022652+(0.327828-0.168606))+0-325.8-0.332316000000052</f>
        <v>833.74955800000009</v>
      </c>
      <c r="N24" s="3">
        <f>996.3+(333.7-201.4)+(2.032452+(0.680748-0.410856))+0-329.6-0.672383999999986</f>
        <v>800.62995999999987</v>
      </c>
      <c r="O24" s="3">
        <f>992.1+(383.3-200.5)+(0.505971+(0.195483-0.102255))+0-329.3-0.167942999999967</f>
        <v>846.03125600000021</v>
      </c>
      <c r="P24" s="3">
        <f>987.8+(401.2-228.7)+(0+(0-0))+0-330.8-0</f>
        <v>829.5</v>
      </c>
      <c r="Q24" s="3">
        <f>980.5+(501.1-248.6)+(-0.500055+(-0.255561--0.126786))+0-331.3--0.168962999999966</f>
        <v>901.2401329999999</v>
      </c>
      <c r="R24" s="3">
        <f>979.7+(633.3-289.1)+(-0.999294+(-0.645966--0.294882))+0-330--0.336600000000053</f>
        <v>992.88622200000009</v>
      </c>
      <c r="S24" s="3">
        <f>990.1+(741.2-297.9)+(-1.009902+(-0.756024--0.303858))+0-328.4--0.334968000000052</f>
        <v>1103.8729000000003</v>
      </c>
      <c r="T24" s="3">
        <f>990.3+(753.7-301)+(-1.010106+(-0.768774--0.30702))+0-331.6--0.338232000000053</f>
        <v>1110.266372</v>
      </c>
      <c r="U24" s="3">
        <f>998.8+(668.8-280.7)+(-0.509388+(-0.341088--0.143157))+0-329.8--0.168197999999967</f>
        <v>1056.5608789999999</v>
      </c>
      <c r="V24" s="3">
        <f>1005.4+(585.2-244.7)+(0+(0-0))+0-329-0</f>
        <v>1016.9000000000001</v>
      </c>
      <c r="W24" s="3">
        <f>1014.4+(410.7-223.2)+(-1.034688+(-0.418914--0.227664))+0-329.7--0.336294000000053</f>
        <v>871.31035600000007</v>
      </c>
      <c r="X24" s="3">
        <f>1020.9+(363.1-197.2)+(1.041318+(0.370362-0.201144))+0-331.9-0.338538000000053</f>
        <v>855.77199799999994</v>
      </c>
      <c r="Y24" s="3">
        <f>1023.8+(411.3-235.8)+(0+(0-0))+0-329.7-0</f>
        <v>869.59999999999991</v>
      </c>
      <c r="Z24" s="3">
        <f>1026.8+(515.9-280)+(-2.094672+(-1.052436--0.5712))+0-330.7--0.674627999999986</f>
        <v>930.09871999999973</v>
      </c>
      <c r="AA24" s="3">
        <f>1028.5+(618.7-279.9)+(-1.04907+(-0.631074--0.285498))+0-328.9--0.335478000000052</f>
        <v>1037.3408320000003</v>
      </c>
      <c r="AB24" s="3">
        <f>1028.4+(656.7-290.8)+(-2.097936+(-1.339668--0.593232))+0-326.2--0.665447999999986</f>
        <v>1065.9210760000001</v>
      </c>
      <c r="AC24" s="3">
        <f>1045.6+(700.8-262.4)+(-1.599768+(-1.072224--0.401472))+0-328.5--0.502605000000019</f>
        <v>1153.7320850000001</v>
      </c>
      <c r="AD24" s="2">
        <v>932.60000000000014</v>
      </c>
      <c r="AE24" s="3">
        <f>1028+(518.5-277.1)+(0+(0-0))+0-336.8-0</f>
        <v>932.60000000000014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1053.2+(677.9-235.1)+(-1.074264+(-0.691458--0.239802))+0-328.7--0.335274000000052</f>
        <v>1166.1093539999999</v>
      </c>
      <c r="G25" s="3">
        <f>1053.8+(683.3-238.4)+(-1.612314+(-1.045449--0.364752))+0-329.9--0.504747000000019</f>
        <v>1167.0117359999999</v>
      </c>
      <c r="H25" s="3">
        <f>1054.6+(652.3-217.6)+(-1.075692+(-0.665346--0.221952))+0-330.7--0.337314000000053</f>
        <v>1157.4182279999998</v>
      </c>
      <c r="I25" s="3">
        <f>1059.7+(548.4-210.8)+(-1.080894+(-0.559368--0.215016))+0-330--0.336600000000053</f>
        <v>1066.211354</v>
      </c>
      <c r="J25" s="3">
        <f>1060.2+(535.3-199)+(1.081404+(0.546006-0.20298))+0-329.7-0.336294000000053</f>
        <v>1067.888136</v>
      </c>
      <c r="K25" s="3">
        <f>1061.8+(443.4-196.4)+(-0.541518+(-0.226134--0.100164))+0-325.2--0.165851999999967</f>
        <v>983.09836399999983</v>
      </c>
      <c r="L25" s="3">
        <f>1060.3+(377.5-183.4)+(-3.244518+(-1.15515--0.561204))+0-324.1--0.991746000000038</f>
        <v>927.45328199999994</v>
      </c>
      <c r="M25" s="3">
        <f>1059.9+(279.5-188.7)+(-0.540549+(-0.142545--0.096237))+0-323.2--0.164831999999967</f>
        <v>827.07797499999992</v>
      </c>
      <c r="N25" s="3">
        <f>1090.5+(251.2-200.5)+(0.556155+(0.128112-0.102255))+0-324.8-0.165647999999967</f>
        <v>816.81636400000025</v>
      </c>
      <c r="O25" s="3">
        <f>1096.6+(284-222.4)+(-0.559266+(-0.14484--0.113424))+0-330.5--0.168554999999966</f>
        <v>827.27787299999977</v>
      </c>
      <c r="P25" s="3">
        <f>1091.7+(286.3-243.3)+(0.556767+(0.146013-0.124083))+0-332.1-0.169370999999966</f>
        <v>803.00932599999999</v>
      </c>
      <c r="Q25" s="3">
        <f>1084.5+(349.6-275.8)+(-1.10619+(-0.356592--0.281316))+0-331--0.337620000000053</f>
        <v>826.45615399999997</v>
      </c>
      <c r="R25" s="3">
        <f>1081.4+(462.7-313.2)+(0.551514+(0.235977-0.159732))+0-331.1-0.168860999999966</f>
        <v>900.25889800000004</v>
      </c>
      <c r="S25" s="3">
        <f>1079.1+(513.9-323.1)+(0.550341+(0.262089-0.164781))+0-329.2-0.167891999999967</f>
        <v>941.17975699999988</v>
      </c>
      <c r="T25" s="3">
        <f>1081.4+(567.2-291.5)+(0.551514+(0.289272-0.148665))+0-329.7-0.168146999999967</f>
        <v>1027.9239740000003</v>
      </c>
      <c r="U25" s="3">
        <f>1082.3+(526.7-242.1)+(-1.103946+(-0.537234--0.246942))+0-325.7--0.332214000000052</f>
        <v>1040.137976</v>
      </c>
      <c r="V25" s="3">
        <f>1085.3+(459-231.8)+(1.107006+(0.46818-0.236436))+0-325.6-0.332112000000052</f>
        <v>987.90663799999982</v>
      </c>
      <c r="W25" s="3">
        <f>1122.5+(319.8-216.3)+(1.717425+(0.489294-0.330939))+0-326.5-0.499545000000019</f>
        <v>900.87623500000007</v>
      </c>
      <c r="X25" s="3">
        <f>1126.7+(174.4-229)+(-1.723851+(-0.266832--0.35037))+0-326.4--0.499392000000019</f>
        <v>744.55907900000011</v>
      </c>
      <c r="Y25" s="3">
        <f>1136.9+(279.4-265.7)+(0.579819+(0.142494-0.135507))+0-326.5-0.166514999999967</f>
        <v>824.52029100000016</v>
      </c>
      <c r="Z25" s="3">
        <f>1139.3+(396.9-311.7)+(-1.743129+(-0.607257--0.476901))+0-326.2--0.499086000000019</f>
        <v>896.92560099999992</v>
      </c>
      <c r="AA25" s="3">
        <f>1143.4+(448.6-326.9)+(-2.91567+(-1.14393--0.833595))+0-326.7--0.833084999999953</f>
        <v>936.00708000000009</v>
      </c>
      <c r="AB25" s="3">
        <f>1142.4+(567.5-312.5)+(-1.165248+(-0.57885--0.31875))+0-325.5--0.332010000000052</f>
        <v>1070.8066620000002</v>
      </c>
      <c r="AC25" s="3">
        <f>1137.5+(636.5-281.3)+(-0.580125+(-0.324615--0.143463))+0-325.8--0.166157999999967</f>
        <v>1166.304881</v>
      </c>
      <c r="AD25" s="2">
        <v>894.00000000000011</v>
      </c>
      <c r="AE25" s="3">
        <f>1148+(400.5-329.6)+(0+(0-0))+0-324.9-0</f>
        <v>894.00000000000011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1139.1+(480.2-266.7)+(-0.580941+(-0.244902--0.136017))+0-325.3--0.165902999999967</f>
        <v>1026.776077</v>
      </c>
      <c r="G26" s="3">
        <f>1138.6+(456.8-252.3)+(0.580686+(0.232968-0.128673))+0-325.5-0.166004999999967</f>
        <v>1018.1189760000001</v>
      </c>
      <c r="H26" s="3">
        <f>1139.9+(448.8-274.9)+(-0.581349+(-0.228888--0.140199))+0-325.4--0.165953999999967</f>
        <v>987.89591600000017</v>
      </c>
      <c r="I26" s="3">
        <f>1141.8+(410.5-264.7)+(-1.164636+(-0.41871--0.269994))+0-325.6--0.332112000000052</f>
        <v>961.01876000000004</v>
      </c>
      <c r="J26" s="3">
        <f>1142.8+(372.9-257.1)+(2.331312+(0.760716-0.524484))+0-329.3-0.671771999999986</f>
        <v>931.19577199999992</v>
      </c>
      <c r="K26" s="3">
        <f>1143.4+(324.3-256.7)+(-1.166268+(-0.330786--0.261834))+0-329--0.335580000000052</f>
        <v>881.10036000000002</v>
      </c>
      <c r="L26" s="3">
        <f>1142.3+(267.5-256.6)+(1.747719+(0.409275-0.392598))+0-329.7-0.504441000000019</f>
        <v>824.75995499999976</v>
      </c>
      <c r="M26" s="3">
        <f>1140.6+(179.2-244.1)+(-0.581706+(-0.091392--0.124491))+0-324.8--0.165647999999967</f>
        <v>750.51704099999984</v>
      </c>
      <c r="N26" s="3">
        <f>1137.7+(196.5-251.2)+(-0.580227+(-0.100215--0.128112))+0-327.9--0.167228999999967</f>
        <v>754.71489900000006</v>
      </c>
      <c r="O26" s="3">
        <f>1150.6+(206.8-264.1)+(-1.173612+(-0.210936--0.269382))+0-329.4--0.335988000000053</f>
        <v>763.12082199999998</v>
      </c>
      <c r="P26" s="3">
        <f>1156.6+(226.7-268.5)+(-1.769598+(-0.346851--0.410805))+0-329.5--0.504135000000019</f>
        <v>784.09849100000008</v>
      </c>
      <c r="Q26" s="3">
        <f>1153.1+(255.3-267)+(-2.352324+(-0.520812--0.54468))+0-326.8--0.666671999999986</f>
        <v>812.9382159999999</v>
      </c>
      <c r="R26" s="3">
        <f>1134.8+(329.6-289.4)+(-1.736244+(-0.504288--0.442782))+0-327.7--0.501381000000019</f>
        <v>846.00363100000004</v>
      </c>
      <c r="S26" s="3">
        <f>1137.5+(430.7-317.5)+(-2.3205+(-0.878628--0.6477))+0-327.7--0.668507999999986</f>
        <v>921.11707999999999</v>
      </c>
      <c r="T26" s="3">
        <f>1132.2+(469-312.1)+(-1.732266+(-0.71757--0.477513))+0-327.3--0.500769000000019</f>
        <v>960.32844599999999</v>
      </c>
      <c r="U26" s="3">
        <f>1124.9+(445.2-280)+(-3.442194+(-1.362312--0.8568))+0-328.8--1.00612800000004</f>
        <v>958.35842200000025</v>
      </c>
      <c r="V26" s="3">
        <f>996.1+(447.5-225.7)+(-0.508011+(-0.228225--0.115107))+0-328.1--0.167330999999967</f>
        <v>889.34620199999995</v>
      </c>
      <c r="W26" s="3">
        <f>996.3+(362.9-215.9)+(-2.540565+(-0.925395--0.550545))+0-326.7--0.833084999999953</f>
        <v>814.51766999999995</v>
      </c>
      <c r="X26" s="3">
        <f>996.9+(332.4-209.5)+(-0.508419+(-0.169524--0.106845))+0-325.7--0.166106999999967</f>
        <v>793.69500900000003</v>
      </c>
      <c r="Y26" s="3">
        <f>999.9+(428.7-239.9)+(0.509949+(0.218637-0.122349))+0-326.8-0.166667999999967</f>
        <v>862.3395690000001</v>
      </c>
      <c r="Z26" s="3">
        <f>1003.2+(550.4-280.5)+(-2.55816+(-1.40352--0.715275))+0-328--0.836399999999952</f>
        <v>942.68999499999973</v>
      </c>
      <c r="AA26" s="3">
        <f>1007.2+(618.6-287)+(-2.56836+(-1.57743--0.73185))+0-327.8--0.835889999999953</f>
        <v>1008.4219500000003</v>
      </c>
      <c r="AB26" s="3">
        <f>1007.2+(637.8-319.8)+(-0.513672+(-0.325278--0.163098))+0-327.4--0.166973999999967</f>
        <v>997.29112199999997</v>
      </c>
      <c r="AC26" s="3">
        <f>1009.7+(621-301.7)+(-2.059788+(-1.26684--0.615468))+0-327--0.667079999999986</f>
        <v>999.95591999999988</v>
      </c>
      <c r="AD26" s="2">
        <v>979.29999999999984</v>
      </c>
      <c r="AE26" s="3">
        <f>1003+(584.3-279.6)+(0+(0-0))+0-328.4-0</f>
        <v>979.29999999999984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1009.8+(628.2-247.2)+(-2.059992+(-1.281528--0.504288))+0-326.4--0.665855999999986</f>
        <v>1062.2286239999999</v>
      </c>
      <c r="G27" s="3">
        <f>1010.3+(612.3-248)+(-1.545759+(-0.936819--0.37944))+0-327.7--0.501381000000019</f>
        <v>1045.298243</v>
      </c>
      <c r="H27" s="3">
        <f>1011.3+(583.6-226.8)+(0+(0-0))+0-327.4-0</f>
        <v>1040.6999999999998</v>
      </c>
      <c r="I27" s="3">
        <f>1014.3+(544.5-211)+(-1.034586+(-0.55539--0.21522))+0-326.6--0.333132000000052</f>
        <v>1020.1583760000001</v>
      </c>
      <c r="J27" s="3">
        <f>1014.9+(457.7-213.3)+(0+(0-0))+0-327.5-0</f>
        <v>931.8</v>
      </c>
      <c r="K27" s="3">
        <f>1017+(399.7-224)+(0+(0-0))+0-327.8-0</f>
        <v>864.90000000000009</v>
      </c>
      <c r="L27" s="3">
        <f>1017.6+(314.4-220.3)+(1.556928+(0.481032-0.337059))+0-325.6-0.498168000000019</f>
        <v>787.30273299999999</v>
      </c>
      <c r="M27" s="3">
        <f>1013.7+(304.5-233.5)+(-1.033974+(-0.31059--0.23817))+0-323.3--0.329766000000052</f>
        <v>760.62337200000024</v>
      </c>
      <c r="N27" s="3">
        <f>1005.2+(381.2-247.9)+(-0.512652+(-0.194412--0.126429))+0-326--0.166259999999967</f>
        <v>812.08562499999994</v>
      </c>
      <c r="O27" s="3">
        <f>1002.1+(406-277.5)+(0+(0-0))+0-328.8-0</f>
        <v>801.8</v>
      </c>
      <c r="P27" s="3">
        <f>987.1+(501.6-288)+(-1.006842+(-0.511632--0.29376))+0-328.5--0.335070000000052</f>
        <v>871.31035600000018</v>
      </c>
      <c r="Q27" s="3">
        <f>940.8+(543.2-310.8)+(-1.439424+(-0.831096--0.475524))+0-327.6--0.501228000000019</f>
        <v>844.30623199999991</v>
      </c>
      <c r="R27" s="3">
        <f>936.4+(542.1-339)+(-0.955128+(-0.552942--0.34578))+0-229.2--0.233784000000037</f>
        <v>909.37149399999998</v>
      </c>
      <c r="S27" s="3">
        <f>934.3+(721-333.1)+(-1.905972+(-1.47084--0.679524))+0-331.4--0.676055999999985</f>
        <v>988.77876799999979</v>
      </c>
      <c r="T27" s="3">
        <f>936.8+(716.3-330.3)+(-0.477768+(-0.365313--0.168453))+0-328.7--0.167636999999967</f>
        <v>993.59300899999994</v>
      </c>
      <c r="U27" s="3">
        <f>934.8+(696.3-308.7)+(-2.38374+(-1.775565--0.787185))+0-328.3--0.837164999999952</f>
        <v>991.56504499999983</v>
      </c>
      <c r="V27" s="3">
        <f>935+(621.3-290.5)+(-2.8611+(-1.901178--0.88893))+0-329.4--1.00796400000004</f>
        <v>933.53461599999991</v>
      </c>
      <c r="W27" s="3">
        <f>935+(526.8-266.2)+(-1.43055+(-0.806004--0.407286))+0-329.6--0.504288000000019</f>
        <v>864.6750199999999</v>
      </c>
      <c r="X27" s="3">
        <f>938.5+(415.1-243.2)+(-0.95727+(-0.423402--0.248064))+0-327.8--0.334356000000052</f>
        <v>781.80174800000032</v>
      </c>
      <c r="Y27" s="3">
        <f>941.6+(517.5-280.3)+(0.480216+(0.263925-0.142953))+0-328.4-0.167483999999967</f>
        <v>850.83370400000013</v>
      </c>
      <c r="Z27" s="3">
        <f>943.4+(604.3-322.1)+(-1.443402+(-0.924579--0.492813))+0-330.5--0.505665000000019</f>
        <v>893.7304969999999</v>
      </c>
      <c r="AA27" s="3">
        <f>946+(684-321.4)+(-1.44738+(-1.04652--0.491742))+0-329.8--0.504594000000019</f>
        <v>977.30243599999994</v>
      </c>
      <c r="AB27" s="3">
        <f>950.5+(715.1-316.9)+(-0.96951+(-0.729402--0.323238))+0-328.7--0.335274000000052</f>
        <v>1018.9596000000001</v>
      </c>
      <c r="AC27" s="3">
        <f>952.3+(746.2-287.5)+(0+(0-0))+0-330.4-0</f>
        <v>1080.5999999999999</v>
      </c>
      <c r="AD27" s="2">
        <v>899.9</v>
      </c>
      <c r="AE27" s="3">
        <f>945+(615.5-329.2)+(0+(0-0))+0-331.4-0</f>
        <v>899.9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971.1+(688-269.6)+(-1.485783+(-1.05264--0.412488))+0-331.1--0.506583000000019</f>
        <v>1056.7806480000002</v>
      </c>
      <c r="G28" s="3">
        <f>1004.8+(673.8-242.2)+(-1.537344+(-1.030914--0.370566))+0-329.8--0.504594000000019</f>
        <v>1104.9069019999999</v>
      </c>
      <c r="H28" s="3">
        <f>1009.4+(620-223.4)+(-1.544382+(-0.9486--0.341802))+0-332.3--0.508419000000019</f>
        <v>1072.057239</v>
      </c>
      <c r="I28" s="3">
        <f>1012.2+(514.1-224.7)+(0+(0-0))+0-331.4-0</f>
        <v>970.20000000000016</v>
      </c>
      <c r="J28" s="3">
        <f>978+(517.4-209.8)+(0.99756+(0.527748-0.213996))+0-332-0.338640000000053</f>
        <v>954.5726719999999</v>
      </c>
      <c r="K28" s="3">
        <f>939.9+(461-208.5)+(0+(0-0))+0-330.9-0</f>
        <v>861.50000000000011</v>
      </c>
      <c r="L28" s="3">
        <f>928.6+(441.9-193.2)+(-1.420758+(-0.676107--0.295596))+0-328.1--0.501993000000019</f>
        <v>847.90072399999985</v>
      </c>
      <c r="M28" s="3">
        <f>866.4+(419.9-209.5)+(0+(0-0))+0-326.7-0</f>
        <v>750.09999999999991</v>
      </c>
      <c r="N28" s="3">
        <f>825.2+(457.5-231)+(-0.420852+(-0.233325--0.11781))+0-328.9--0.167738999999967</f>
        <v>722.43137200000012</v>
      </c>
      <c r="O28" s="3">
        <f>845.8+(506.8-244.2)+(-0.862716+(-0.516936--0.249084))+0-329.2--0.335784000000052</f>
        <v>778.40521600000011</v>
      </c>
      <c r="P28" s="3">
        <f>848.1+(507.1-263.7)+(0.432531+(0.258621-0.134487))+0-327.9-0.167228999999967</f>
        <v>763.98943600000007</v>
      </c>
      <c r="Q28" s="3">
        <f>833.5+(664.1-274.1)+(0.425085+(0.338691-0.139791))+0-327.6-0.167075999999967</f>
        <v>896.35690899999997</v>
      </c>
      <c r="R28" s="3">
        <f>836.6+(689.8-314.1)+(0.426666+(0.351798-0.160191))+0-327.5-0.167024999999967</f>
        <v>885.25124800000003</v>
      </c>
      <c r="S28" s="3">
        <f>839.5+(792.7-327)+(0.428145+(0.404277-0.16677))+0-328.6-0.167585999999967</f>
        <v>977.09806600000002</v>
      </c>
      <c r="T28" s="3">
        <f>847.4+(773-322)+(1.296522+(1.18269-0.49266))+0-327.5-0.501075000000019</f>
        <v>972.38547700000015</v>
      </c>
      <c r="U28" s="3">
        <f>870.2+(746-299.9)+(-0.887604+(-0.76092--0.305898))+0-327.2--0.333744000000052</f>
        <v>988.09111800000005</v>
      </c>
      <c r="V28" s="3">
        <f>892.5+(653.7-263.5)+(-0.455175+(-0.333387--0.134385))+0-327.5--0.167024999999967</f>
        <v>954.71284800000012</v>
      </c>
      <c r="W28" s="3">
        <f>898.4+(505.4-241.8)+(-0.458184+(-0.257754--0.123318))+0-329.2--0.167891999999967</f>
        <v>832.375272</v>
      </c>
      <c r="X28" s="3">
        <f>914.5+(367.4-239.4)+(-1.86558+(-0.749496--0.488376))+0-328--0.669119999999986</f>
        <v>713.04241999999999</v>
      </c>
      <c r="Y28" s="3">
        <f>778.3+(569.9-242.6)+(1.190799+(0.871947-0.371178))+0-329.7-0.504441000000019</f>
        <v>777.08712699999978</v>
      </c>
      <c r="Z28" s="3">
        <f>733.4+(701.7-277.6)+(-0.374034+(-0.357867--0.141576))+0-329.6--0.168095999999967</f>
        <v>827.47777100000008</v>
      </c>
      <c r="AA28" s="3">
        <f>734.1+(777-277.8)+(-1.123173+(-1.18881--0.425034))+0-329--0.503370000000019</f>
        <v>902.91642100000001</v>
      </c>
      <c r="AB28" s="3">
        <f>734.3+(869-263.3)+(-1.872465+(-2.21595--0.671415))+0-328.3--0.837164999999952</f>
        <v>1009.120165</v>
      </c>
      <c r="AC28" s="3">
        <f>736+(890-229.5)+(0.37536+(0.4539-0.117045))+0-328.4-0.167483999999967</f>
        <v>1068.6447309999999</v>
      </c>
      <c r="AD28" s="2">
        <v>837.89999999999986</v>
      </c>
      <c r="AE28" s="3">
        <f>732+(714.7-278.6)+(0+(0-0))+0-330.2-0</f>
        <v>837.89999999999986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735.2+(781.9-215.6)+(-0.749904+(-0.797538--0.219912))+0-328.4--0.334968000000052</f>
        <v>972.107438</v>
      </c>
      <c r="G29" s="3">
        <f>735.9+(800.4-194.7)+(-1.501236+(-1.632816--0.397188))+0-328--0.669119999999986</f>
        <v>1011.532256</v>
      </c>
      <c r="H29" s="3">
        <f>736.4+(746-193.2)+(-0.375564+(-0.38046--0.098532))+0-330.4--0.168503999999966</f>
        <v>958.31101199999978</v>
      </c>
      <c r="I29" s="3">
        <f>736.3+(712.7-180.6)+(0.375513+(0.363477-0.092106))+0-331.3-0.168962999999966</f>
        <v>937.57792100000017</v>
      </c>
      <c r="J29" s="3">
        <f>744.6+(594.3-189.8)+(-0.379746+(-0.303093--0.096798))+0-326.9--0.166718999999967</f>
        <v>821.78067799999985</v>
      </c>
      <c r="K29" s="3">
        <f>801.7+(557.2-214)+(0.408867+(0.284172-0.10914))+0-328.7-0.167636999999967</f>
        <v>816.61626200000001</v>
      </c>
      <c r="L29" s="3">
        <f>820.5+(424.1-194.9)+(-0.83691+(-0.432582--0.198798))+0-327.6--0.334152000000052</f>
        <v>721.36345800000004</v>
      </c>
      <c r="M29" s="3">
        <f>818.9+(383.3-200.3)+(0.835278+(0.390966-0.204306))+0-326.1-0.332622000000052</f>
        <v>676.48931599999992</v>
      </c>
      <c r="N29" s="3">
        <f>813.9+(415.3-213.9)+(0.830178+(0.423606-0.218178))+0-328.5-0.335070000000052</f>
        <v>687.5005359999999</v>
      </c>
      <c r="O29" s="3">
        <f>804.1+(464.8-231.9)+(0.820182+(0.474096-0.236538))+0-329.1-0.335682000000052</f>
        <v>708.62205799999992</v>
      </c>
      <c r="P29" s="3">
        <f>784.8+(560-250.2)+(0.800496+(0.5712-0.255204))+0-330.8-0.337416000000053</f>
        <v>764.57907599999999</v>
      </c>
      <c r="Q29" s="3">
        <f>799.7+(704.2-319)+(-2.447082+(-2.154852--0.97614))+0-331--1.01286000000004</f>
        <v>851.2870660000001</v>
      </c>
      <c r="R29" s="3">
        <f>805.7+(678-298.3)+(0.821814+(0.69156-0.304266))+0-330-0.336600000000053</f>
        <v>856.27250800000002</v>
      </c>
      <c r="S29" s="3">
        <f>803.4+(775.1-305.2)+(-0.819468+(-0.790602--0.311304))+0-328.6--0.335172000000052</f>
        <v>943.7364060000001</v>
      </c>
      <c r="T29" s="3">
        <f>799.5+(810.1-288.4)+(-2.44647+(-2.478906--0.882504))+0-330.1--1.01010600000004</f>
        <v>988.0672340000001</v>
      </c>
      <c r="U29" s="3">
        <f>798.9+(768.3-270.5)+(-1.629756+(-1.567332--0.55182))+0-329.9--0.672995999999986</f>
        <v>964.82772799999987</v>
      </c>
      <c r="V29" s="3">
        <f>801+(700.8-237.2)+(-0.40851+(-0.357408--0.120972))+0-329.8--0.168197999999967</f>
        <v>934.32325200000002</v>
      </c>
      <c r="W29" s="3">
        <f>805+(581.2-220.6)+(1.6422+(1.185648-0.450024))+0-330.6-0.674423999999986</f>
        <v>836.70339999999987</v>
      </c>
      <c r="X29" s="3">
        <f>809.1+(530.6-204.5)+(-0.825282+(-0.541212--0.20859))+0-331.8--0.338436000000053</f>
        <v>802.58053200000018</v>
      </c>
      <c r="Y29" s="3">
        <f>806.9+(576.3-241)+(-0.823038+(-0.587826--0.24582))+0-330--0.336600000000053</f>
        <v>811.37155599999983</v>
      </c>
      <c r="Z29" s="3">
        <f>809.4+(627.5-259.6)+(-1.238382+(-0.960075--0.397188))+0-330.8--0.506124000000019</f>
        <v>845.20485499999995</v>
      </c>
      <c r="AA29" s="3">
        <f>812.5+(737.4-259.3)+(-0.82875+(-0.752148--0.264486))+0-328.9--0.335478000000052</f>
        <v>960.71906600000011</v>
      </c>
      <c r="AB29" s="3">
        <f>805.6+(798.1-260.2)+(-0.821712+(-0.814062--0.265404))+0-328--0.334560000000052</f>
        <v>1014.4641899999999</v>
      </c>
      <c r="AC29" s="3">
        <f>806+(833.6-223.5)+(-0.82212+(-0.850272--0.22797))+0-328.3--0.334866000000052</f>
        <v>1086.6904440000001</v>
      </c>
      <c r="AD29" s="2">
        <v>821.1</v>
      </c>
      <c r="AE29" s="3">
        <f>810+(601.7-261)+(0+(0-0))+0-329.6-0</f>
        <v>821.1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815.2+(827.1-222.4)+(-1.247256+(-1.265463--0.340272))+0-328.6--0.502758000000019</f>
        <v>1089.6303110000003</v>
      </c>
      <c r="G30" s="3">
        <f>817+(764.5-207.4)+(-0.41667+(-0.389895--0.105774))+0-328.8--0.167687999999967</f>
        <v>1044.766897</v>
      </c>
      <c r="H30" s="3">
        <f>814.5+(746-208.1)+(1.246185+(1.14138-0.318393))+0-329.6-0.504288000000019</f>
        <v>1024.3648840000001</v>
      </c>
      <c r="I30" s="3">
        <f>813+(725.1-239.4)+(-0.82926+(-0.739602--0.244188))+0-331.3--0.337926000000053</f>
        <v>966.41325200000017</v>
      </c>
      <c r="J30" s="3">
        <f>814.3+(648.9-241.9)+(-0.830586+(-0.661878--0.246738))+0-330.9--0.337518000000053</f>
        <v>889.49179199999992</v>
      </c>
      <c r="K30" s="3">
        <f>816+(593.6-224.3)+(-1.66464+(-1.210944--0.457572))+0-328.6--0.670343999999986</f>
        <v>854.95233199999984</v>
      </c>
      <c r="L30" s="3">
        <f>817.6+(490.7-208.7)+(-1.667904+(-1.001028--0.425748))+0-329--0.671159999999986</f>
        <v>769.02797599999997</v>
      </c>
      <c r="M30" s="3">
        <f>816.9+(432.5-237.8)+(0.416619+(0.220575-0.121278))+0-327.9-0.167228999999967</f>
        <v>684.04868699999986</v>
      </c>
      <c r="N30" s="3">
        <f>811.3+(483.6-252.1)+(0.413763+(0.246636-0.128571))+0-330-0.168299999999967</f>
        <v>713.16352799999993</v>
      </c>
      <c r="O30" s="3">
        <f>808.9+(532.8-245)+(0.412539+(0.271728-0.12495))+0-330.8-0.168707999999966</f>
        <v>766.2906089999999</v>
      </c>
      <c r="P30" s="3">
        <f>806+(562.1-225)+(0.41106+(0.286671-0.11475))+0-332.8-0.169727999999966</f>
        <v>810.71325300000001</v>
      </c>
      <c r="Q30" s="3">
        <f>803.6+(620.4-240.3)+(-0.409836+(-0.316404--0.122553))+0-335.3--0.171002999999966</f>
        <v>847.96731599999998</v>
      </c>
      <c r="R30" s="3">
        <f>801.4+(733.5-257.4)+(0.408714+(0.374085-0.131274))+0-331.2-0.168911999999966</f>
        <v>946.78261299999997</v>
      </c>
      <c r="S30" s="3">
        <f>801.9+(807.5-246.3)+(-2.044845+(-2.059125--0.628065))+0-328.7--0.838184999999952</f>
        <v>1031.7622799999997</v>
      </c>
      <c r="T30" s="3">
        <f>799.6+(805.7-228.9)+(-0.407796+(-0.410907--0.116739))+0-329.2--0.167891999999967</f>
        <v>1046.6659279999999</v>
      </c>
      <c r="U30" s="3">
        <f>802+(762.4-204)+(-1.63608+(-1.555296--0.41616))+0-328.2--0.669527999999986</f>
        <v>1030.0943119999999</v>
      </c>
      <c r="V30" s="3">
        <f>805.4+(633.9-172.1)+(-0.410754+(-0.323289--0.087771))+0-328.7--0.167636999999967</f>
        <v>938.02136499999983</v>
      </c>
      <c r="W30" s="3">
        <f>808.7+(516.2-148.3)+(-1.649748+(-1.053048--0.302532))+0-329.9--0.672995999999986</f>
        <v>844.97273200000006</v>
      </c>
      <c r="X30" s="3">
        <f>808.9+(395.2-138.9)+(-1.237617+(-0.604656--0.212517))+0-332.3--0.508419000000019</f>
        <v>731.77866299999982</v>
      </c>
      <c r="Y30" s="3">
        <f>810.8+(497-144.2)+(-2.06754+(-1.26735--0.36771))+0-328.6--0.837929999999952</f>
        <v>832.8707499999997</v>
      </c>
      <c r="Z30" s="3">
        <f>810.3+(579.9-161.9)+(-1.239759+(-0.887247--0.247707))+0-329.9--0.504747000000019</f>
        <v>897.0254480000001</v>
      </c>
      <c r="AA30" s="3">
        <f>811.9+(598.6-170.1)+(-2.070345+(-1.52643--0.433755))+0-328.4--0.837419999999952</f>
        <v>909.67440000000011</v>
      </c>
      <c r="AB30" s="3">
        <f>811.7+(702.9-140.1)+(-1.241901+(-1.075437--0.214353))+0-328.4--0.502452000000019</f>
        <v>1044.4994669999999</v>
      </c>
      <c r="AC30" s="3">
        <f>813.6+(694.7-126.5)+(-1.659744+(-1.417188--0.25806))+0-329.1--0.671363999999986</f>
        <v>1050.552492</v>
      </c>
      <c r="AD30" s="2">
        <v>841.99999999999977</v>
      </c>
      <c r="AE30" s="3">
        <f>807+(548.1-173.9)+(0+(0-0))+0-339.2-0</f>
        <v>842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811.9+(668.6-106.2)+(-1.656276+(-1.363944--0.216648))+0-329.5--0.672179999999986</f>
        <v>1042.6686079999999</v>
      </c>
      <c r="G31" s="3">
        <f>889.2+(625-101)+(-1.360476+(-0.95625--0.15453))+0-328.8--0.503064000000019</f>
        <v>1082.7408680000001</v>
      </c>
      <c r="H31" s="3">
        <f>914.7+(546.6-95.9)+(-2.332485+(-1.39383--0.244545))+0-331.2--0.844559999999952</f>
        <v>1031.5627899999999</v>
      </c>
      <c r="I31" s="3">
        <f>917+(491.5-102.8)+(0+(0-0))+0-330.3-0</f>
        <v>975.40000000000009</v>
      </c>
      <c r="J31" s="3">
        <f>918.5+(417-112.9)+(-0.468435+(-0.21267--0.057579))+0-329.3--0.167942999999967</f>
        <v>892.84441699999979</v>
      </c>
      <c r="K31" s="3">
        <f>920+(366.3-120.6)+(0.4692+(0.186813-0.061506))+0-331-0.168809999999966</f>
        <v>835.12569700000006</v>
      </c>
      <c r="L31" s="3">
        <f>921.8+(338.8-128.1)+(-0.470118+(-0.172788--0.065331))+0-328.8--0.167687999999967</f>
        <v>803.29011300000002</v>
      </c>
      <c r="M31" s="3">
        <f>922.7+(290.2-149.2)+(0.470577+(0.148002-0.076092))+0-323.6-0.165035999999967</f>
        <v>740.47745099999997</v>
      </c>
      <c r="N31" s="3">
        <f>920.2+(294.8-167.4)+(-0.469302+(-0.150348--0.085374))+0-324.3--0.165392999999967</f>
        <v>722.93111700000009</v>
      </c>
      <c r="O31" s="3">
        <f>917.3+(298.8-181.6)+(-0.935646+(-0.304776--0.185232))+0-325.4--0.331908000000052</f>
        <v>708.37671799999998</v>
      </c>
      <c r="P31" s="3">
        <f>914.9+(276.7-201.2)+(0.466599+(0.141117-0.102612))+0-326.5-0.166514999999967</f>
        <v>664.23858899999993</v>
      </c>
      <c r="Q31" s="3">
        <f>914.1+(327.2-201.7)+(-2.797146+(-1.001232--0.617202))+0-326.6--0.999396000000038</f>
        <v>710.81821999999988</v>
      </c>
      <c r="R31" s="3">
        <f>923.3+(357.9-230.5)+(-1.883532+(-0.730116--0.47022))+0-325.2--0.663407999999986</f>
        <v>724.01997999999969</v>
      </c>
      <c r="S31" s="3">
        <f>925.1+(427.1-216.1)+(-2.359005+(-1.089105--0.551055))+0-324.7--0.827984999999953</f>
        <v>809.33093000000008</v>
      </c>
      <c r="T31" s="3">
        <f>920.1+(419-208.7)+(0+(0-0))+0-324.7-0</f>
        <v>805.7</v>
      </c>
      <c r="U31" s="3">
        <f>912.9+(412-188.5)+(-0.931158+(-0.42024--0.19227))+0-324.4--0.330888000000052</f>
        <v>811.17176000000018</v>
      </c>
      <c r="V31" s="3">
        <f>913.2+(350.3-196.4)+(-0.465732+(-0.178653--0.100164))+0-323.4--0.164933999999967</f>
        <v>743.32071300000007</v>
      </c>
      <c r="W31" s="3">
        <f>915.2+(366.6-188)+(-0.933504+(-0.373932--0.19176))+0-324.1--0.330582000000052</f>
        <v>768.91490600000031</v>
      </c>
      <c r="X31" s="3">
        <f>915.3+(365.8-170.1)+(0.933606+(0.373116-0.173502))+0-325-0.331500000000052</f>
        <v>786.80171999999993</v>
      </c>
      <c r="Y31" s="3">
        <f>937.2+(392.2-173.5)+(0.477972+(0.200022-0.088485))+0-325.6-0.166055999999967</f>
        <v>830.72345300000006</v>
      </c>
      <c r="Z31" s="3">
        <f>1032.4+(327.2-184.7)+(-1.579572+(-0.500616--0.282591))+0-326.2--0.499086000000019</f>
        <v>847.40148900000008</v>
      </c>
      <c r="AA31" s="3">
        <f>1057.4+(295.8-184.7)+(-1.617822+(-0.452574--0.282591))+0-326.8--0.500004000000019</f>
        <v>840.4121990000001</v>
      </c>
      <c r="AB31" s="3">
        <f>1061.6+(305.3-170.9)+(-1.624248+(-0.467109--0.261477))+0-327.3--0.500769000000019</f>
        <v>867.37088900000003</v>
      </c>
      <c r="AC31" s="3">
        <f>1061.5+(364.6-152)+(-1.08273+(-0.371892--0.15504))+0-327--0.333540000000052</f>
        <v>946.13395799999989</v>
      </c>
      <c r="AD31" s="2">
        <v>862.90000000000009</v>
      </c>
      <c r="AE31" s="3">
        <f>1056+(310.2-177.3)+(0+(0-0))+0-326-0</f>
        <v>862.90000000000009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1063.9+(267.3-145.1)+(-0.542589+(-0.136323--0.074001))+0-326.6--0.166565999999967</f>
        <v>859.0616550000002</v>
      </c>
      <c r="G32" s="3">
        <f>1062.8+(348.8-117.7)+(-1.084056+(-0.355776--0.120054))+0-328.4--0.334968000000052</f>
        <v>964.51519000000008</v>
      </c>
      <c r="H32" s="3">
        <f>1060.7+(310.3-112.1)+(-1.081914+(-0.316506--0.114342))+0-329--0.335580000000052</f>
        <v>928.95150200000023</v>
      </c>
      <c r="I32" s="3">
        <f>1060.8+(259.5-110.6)+(0+(0-0))+0-329.2-0</f>
        <v>880.5</v>
      </c>
      <c r="J32" s="3">
        <f>1062.5+(250.3-110.9)+(0+(0-0))+0-329-0</f>
        <v>872.90000000000009</v>
      </c>
      <c r="K32" s="3">
        <f>1062.6+(189.1-129.7)+(-1.083852+(-0.192882--0.132294))+0-328.3--0.334866000000052</f>
        <v>792.89042600000005</v>
      </c>
      <c r="L32" s="3">
        <f>1065.1+(162-129.2)+(0+(0-0))+0-325.5-0</f>
        <v>772.39999999999986</v>
      </c>
      <c r="M32" s="3">
        <f>1061.8+(146.3-146.5)+(0+(0-0))+0-325-0</f>
        <v>736.59999999999991</v>
      </c>
      <c r="N32" s="3">
        <f>1059.1+(160.8-150.7)+(1.080282+(0.164016-0.153714))+0-326.8-0.333336000000052</f>
        <v>743.15724799999987</v>
      </c>
      <c r="O32" s="3">
        <f>1058.4+(185.8-151.8)+(1.079568+(0.189516-0.154836))+0-327.9-0.334458000000052</f>
        <v>765.27979000000016</v>
      </c>
      <c r="P32" s="3">
        <f>1036.5+(209.5-160.8)+(0+(0-0))+0-329.6-0</f>
        <v>755.6</v>
      </c>
      <c r="Q32" s="3">
        <f>1024.8+(280.5-167.3)+(-1.567944+(-0.429165--0.255969))+0-329.3--0.503829000000019</f>
        <v>807.46268899999995</v>
      </c>
      <c r="R32" s="3">
        <f>1021.5+(326.7-178.5)+(0+(0-0))+0-327.8-0</f>
        <v>841.90000000000009</v>
      </c>
      <c r="S32" s="3">
        <f>996+(364-186.1)+(-2.03184+(-0.74256--0.379644))+0-328.5--0.670139999999986</f>
        <v>843.67538400000012</v>
      </c>
      <c r="T32" s="3">
        <f>959.5+(392.1-180.6)+(0+(0-0))+0-327.6-0</f>
        <v>843.4</v>
      </c>
      <c r="U32" s="3">
        <f>953.2+(390.9-176)+(-2.916792+(-1.196154--0.53856))+0-327.3--1.00153800000004</f>
        <v>838.22715200000005</v>
      </c>
      <c r="V32" s="3">
        <f>947+(337-166.8)+(0.48297+(0.17187-0.085068))+0-328.3-0.167432999999967</f>
        <v>789.30233900000019</v>
      </c>
      <c r="W32" s="3">
        <f>956.8+(264.7-166.3)+(-0.487968+(-0.134997--0.084813))+0-327.5--0.167024999999967</f>
        <v>727.3288729999997</v>
      </c>
      <c r="X32" s="3">
        <f>955+(207.3-165.7)+(0+(0-0))+0-326.7-0</f>
        <v>669.90000000000009</v>
      </c>
      <c r="Y32" s="3">
        <f>958.5+(275.7-204.1)+(0+(0-0))+0-327.9-0</f>
        <v>702.19999999999993</v>
      </c>
      <c r="Z32" s="3">
        <f>964.2+(360.7-215)+(-0.983484+(-0.367914--0.2193))+0-330.1--0.336702000000053</f>
        <v>779.00460400000009</v>
      </c>
      <c r="AA32" s="3">
        <f>966.9+(399.3-211.1)+(-1.479357+(-0.610929--0.322983))+0-331.2--0.506736000000019</f>
        <v>822.63943299999983</v>
      </c>
      <c r="AB32" s="3">
        <f>967.8+(526.8-184.1)+(-1.974312+(-1.074672--0.375564))+0-328.5--0.670139999999986</f>
        <v>979.99671999999987</v>
      </c>
      <c r="AC32" s="3">
        <f>965.8+(559.8-151.3)+(-0.492558+(-0.285498--0.077163))+0-326.8--0.166667999999967</f>
        <v>1046.9657750000001</v>
      </c>
      <c r="AD32" s="2">
        <v>814.2</v>
      </c>
      <c r="AE32" s="3">
        <f>965+(385.5-207.3)+(0+(0-0))+0-329-0</f>
        <v>814.2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967+(484.2-139)+(-0.98634+(-0.493884--0.14178))+0-329--0.335580000000052</f>
        <v>982.19713600000011</v>
      </c>
      <c r="G33" s="3">
        <f>969.8+(467.3-162)+(-0.989196+(-0.476646--0.16524))+0-329.5--0.336090000000053</f>
        <v>944.6354879999999</v>
      </c>
      <c r="H33" s="3">
        <f>979.7+(408.5-155.9)+(-2.498235+(-1.041675--0.397545))+0-328.5--0.837674999999952</f>
        <v>901.49531000000002</v>
      </c>
      <c r="I33" s="3">
        <f>966.7+(438.3-135)+(0.986034+(0.447066-0.1377))+0-329-0.335580000000052</f>
        <v>941.95981999999992</v>
      </c>
      <c r="J33" s="3">
        <f>967.2+(387-135.5)+(0.986544+(0.39474-0.13821))+0-328.6-0.335172000000052</f>
        <v>891.00790199999994</v>
      </c>
      <c r="K33" s="3">
        <f>967.3+(329.4-152.3)+(0.493323+(0.167994-0.077673))+0-327.1-0.166820999999967</f>
        <v>817.71682299999998</v>
      </c>
      <c r="L33" s="3">
        <f>973.2+(290.3-161.3)+(-0.496332+(-0.148053--0.082263))+0-328.2--0.167381999999967</f>
        <v>773.60525999999993</v>
      </c>
      <c r="M33" s="3">
        <f>970.3+(275.6-192.9)+(0.494853+(0.140556-0.098379))+0-327.7-0.167126999999967</f>
        <v>725.66990299999998</v>
      </c>
      <c r="N33" s="3">
        <f>967.6+(364.5-210)+(0+(0-0))+0-330.1-0</f>
        <v>791.99999999999989</v>
      </c>
      <c r="O33" s="3">
        <f>966.8+(350.3-182.5)+(0.493068+(0.178653-0.093075))+0-329.4-0.167993999999967</f>
        <v>805.61065199999985</v>
      </c>
      <c r="P33" s="3">
        <f>961.8+(367.1-195.6)+(0.981036+(0.374442-0.199512))+0-331.5-0.338130000000053</f>
        <v>802.6178359999999</v>
      </c>
      <c r="Q33" s="3">
        <f>960.7+(420.1-212)+(-0.489957+(-0.214251--0.10812))+0-330.4--0.168503999999966</f>
        <v>837.97241600000018</v>
      </c>
      <c r="R33" s="3">
        <f>958.4+(469.5-222.4)+(-1.955136+(-0.95778--0.453696))+0-330.4--0.674015999999986</f>
        <v>873.314796</v>
      </c>
      <c r="S33" s="3">
        <f>956.1+(478.7-212.9)+(-2.438055+(-1.220685--0.542895))+0-328.2--0.836909999999952</f>
        <v>891.421065</v>
      </c>
      <c r="T33" s="3">
        <f>1070.3+(424.1-179.9)+(-1.091706+(-0.432582--0.183498))+0-328.6--0.335172000000052</f>
        <v>984.89438200000006</v>
      </c>
      <c r="U33" s="3">
        <f>1129.9+(395.8-182.3)+(1.152498+(0.403716-0.185946))+0-325.9-0.332418000000052</f>
        <v>1018.5378499999999</v>
      </c>
      <c r="V33" s="3">
        <f>1097.7+(389-171.6)+(-1.679481+(-0.59517--0.262548))+0-329.1--0.503523000000019</f>
        <v>984.49142000000006</v>
      </c>
      <c r="W33" s="3">
        <f>1150.5+(170.9-206.2)+(-0.586755+(-0.087159--0.105162))+0-328.9--0.167738999999967</f>
        <v>785.89898700000015</v>
      </c>
      <c r="X33" s="3">
        <f>1192.6+(86.6-512.6)+(-3.04113+(-0.22083--1.30713))+0-79.9--0.203744999999988</f>
        <v>684.94891499999994</v>
      </c>
      <c r="Y33" s="3">
        <f>1214.3+(105.1-286.1)+(0.619293+(0.053601-0.145911))+0-328.8-0.167687999999967</f>
        <v>704.85929499999997</v>
      </c>
      <c r="Z33" s="3">
        <f>1218.4+(154.1-261.5)+(-2.485536+(-0.314364--0.53346))+0-333.1--0.679523999999985</f>
        <v>776.31308399999989</v>
      </c>
      <c r="AA33" s="3">
        <f>1216.9+(194.1-241.6)+(-3.103095+(-0.494955--0.61608))+0-333.2--0.849659999999952</f>
        <v>834.06768999999997</v>
      </c>
      <c r="AB33" s="3">
        <f>1218.9+(248.1-226.5)+(-3.108195+(-0.632655--0.577575))+0-332.8--0.848639999999952</f>
        <v>905.38536499999987</v>
      </c>
      <c r="AC33" s="3">
        <f>1221.2+(286.4-194.2)+(-1.868436+(-0.438192--0.297126))+0-331.4--0.507042000000019</f>
        <v>980.49754000000007</v>
      </c>
      <c r="AD33" s="2">
        <v>772.1</v>
      </c>
      <c r="AE33" s="3">
        <f>1205+(148.9-250.4)+(0+(0-0))+0-331.4-0</f>
        <v>772.1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1219.3+(258.6-173.7)+(-1.243686+(-0.263772--0.177174))+0-330.1--0.336702000000053</f>
        <v>973.10641800000019</v>
      </c>
      <c r="G34" s="3">
        <f>1222.9+(263.6-183.6)+(-1.247358+(-0.268872--0.187272))+0-332.1--0.338742000000053</f>
        <v>969.80978400000004</v>
      </c>
      <c r="H34" s="3">
        <f>1222+(221.2-176.3)+(-1.24644+(-0.225624--0.179826))+0-332.7--0.339354000000053</f>
        <v>933.24711600000012</v>
      </c>
      <c r="I34" s="3">
        <f>1222.5+(172.4-171)+(-0.623475+(-0.087924--0.08721))+0-331.1--0.168860999999966</f>
        <v>892.34467200000017</v>
      </c>
      <c r="J34" s="3">
        <f>1220.6+(134.5-174.3)+(-2.490024+(-0.27438--0.355572))+0-328.2--0.669527999999986</f>
        <v>850.86069599999985</v>
      </c>
      <c r="K34" s="3">
        <f>1223.4+(108.4-186.7)+(1.247868+(0.110568-0.190434))+0-330-0.336600000000053</f>
        <v>815.93140199999993</v>
      </c>
      <c r="L34" s="3">
        <f>1222.9+(76.3-239.5)+(-0.623679+(-0.038913--0.122145))+0-330--0.168299999999967</f>
        <v>729.32785299999989</v>
      </c>
      <c r="M34" s="3">
        <f>1221.8+(83.5-231.1)+(1.869354+(0.127755-0.353583))+0-329.1-0.503523000000019</f>
        <v>746.24000300000012</v>
      </c>
      <c r="N34" s="3">
        <f>1207.2+(97.8-242.5)+(1.231344+(0.099756-0.24735))+0-330.8-0.337416000000053</f>
        <v>732.44633399999998</v>
      </c>
      <c r="O34" s="3">
        <f>1205.9+(199.1-258.9)+(-0.615009+(-0.101541--0.132039))+0-331.4--0.169013999999966</f>
        <v>814.28450300000009</v>
      </c>
      <c r="P34" s="3">
        <f>1199.4+(217.8-259.8)+(-0.611694+(-0.111078--0.132498))+0-331--0.168809999999966</f>
        <v>825.97853600000019</v>
      </c>
      <c r="Q34" s="3">
        <f>1198+(225.5-255)+(-1.83294+(-0.345015--0.39015))+0-333.5--0.510255000000019</f>
        <v>833.72245000000009</v>
      </c>
      <c r="R34" s="3">
        <f>1201.5+(284.9-261.8)+(0+(0-0))+0-331.6-0</f>
        <v>892.99999999999989</v>
      </c>
      <c r="S34" s="3">
        <f>1219.3+(293.3-253.3)+(-3.109215+(-0.747915--0.645915))+0-330.2--0.842009999999952</f>
        <v>926.73079499999983</v>
      </c>
      <c r="T34" s="3">
        <f>1224.3+(364.5-224.2)+(1.248786+(0.37179-0.228684))+0-329.9-0.336498000000053</f>
        <v>1035.7553939999998</v>
      </c>
      <c r="U34" s="3">
        <f>1212+(348.2-230.4)+(-1.85436+(-0.532746--0.352512))+0-327.9--0.501687000000019</f>
        <v>1000.3670930000001</v>
      </c>
      <c r="V34" s="3">
        <f>1210.4+(273.5-223.2)+(-0.617304+(-0.139485--0.113832))+0-327.3--0.166922999999967</f>
        <v>932.92396600000006</v>
      </c>
      <c r="W34" s="3">
        <f>1200.8+(241.9-193.9)+(-1.837224+(-0.370107--0.296667))+0-327.7--0.501381000000019</f>
        <v>919.69071699999995</v>
      </c>
      <c r="X34" s="3">
        <f>1087.4+(172.5-188.2)+(-0.554574+(-0.087975--0.095982))+0-329--0.167789999999967</f>
        <v>742.32122299999992</v>
      </c>
      <c r="Y34" s="3">
        <f>1082.8+(202.7-196.8)+(0+(0-0))+0-328.3-0</f>
        <v>760.39999999999986</v>
      </c>
      <c r="Z34" s="3">
        <f>1086.8+(288.4-216.9)+(0+(0-0))+0-328.3-0</f>
        <v>830</v>
      </c>
      <c r="AA34" s="3">
        <f>1091.7+(325.6-206.7)+(-2.227068+(-0.664224--0.421668))+0-329.7--0.672587999999986</f>
        <v>879.10296400000004</v>
      </c>
      <c r="AB34" s="3">
        <f>1163.6+(336-206.3)+(-1.186872+(-0.34272--0.210426))+0-327.6--0.334152000000052</f>
        <v>964.71498599999995</v>
      </c>
      <c r="AC34" s="3">
        <f>1180.8+(366.5-186.5)+(-0.602208+(-0.186915--0.095115))+0-326.7--0.166616999999967</f>
        <v>1033.5726089999998</v>
      </c>
      <c r="AD34" s="2">
        <v>843.3</v>
      </c>
      <c r="AE34" s="3">
        <f>1086+(296.2-212.9)+(0+(0-0))+0-326-0</f>
        <v>843.3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1184+(334.9-174)+(-2.41536+(-0.683196--0.35496))+0-328.5--0.670139999999986</f>
        <v>1014.326544</v>
      </c>
      <c r="G35" s="3">
        <f>1184.3+(343.8-192.8)+(-0.603993+(-0.175338--0.098328))+0-329.8--0.168197999999967</f>
        <v>1004.987195</v>
      </c>
      <c r="H35" s="3">
        <f>1184.1+(325.7-211.3)+(-0.603891+(-0.166107--0.107763))+0-328.6--0.167585999999967</f>
        <v>969.40535099999988</v>
      </c>
      <c r="I35" s="3">
        <f>1185.4+(285.9-207.5)+(1.813662+(0.437427-0.317475))+0-327.8-0.501534000000019</f>
        <v>937.43208000000027</v>
      </c>
      <c r="J35" s="3">
        <f>1185.2+(239.8-210.1)+(-1.813356+(-0.366894--0.321453))+0-328--0.501840000000019</f>
        <v>885.54304300000001</v>
      </c>
      <c r="K35" s="3">
        <f>1185.2+(244.7-199.7)+(-0.604452+(-0.124797--0.101847))+0-327.8--0.167177999999967</f>
        <v>901.93977599999994</v>
      </c>
      <c r="L35" s="3">
        <f>1188.8+(132.9-234.3)+(-2.425152+(-0.271116--0.477972))+0-325.5--0.664019999999986</f>
        <v>760.34572399999979</v>
      </c>
      <c r="M35" s="3">
        <f>1188.5+(137.3-263.9)+(2.42454+(0.280092-0.538356))+0-326.8-0.666671999999986</f>
        <v>736.59960400000011</v>
      </c>
      <c r="N35" s="3">
        <f>1184.4+(223.5-250.9)+(0.604044+(0.113985-0.127959))+0-328.7-0.167636999999967</f>
        <v>828.72243299999991</v>
      </c>
      <c r="O35" s="3">
        <f>1275.3+(176.7-331.2)+(0.650403+(0.090117-0.168912))+0-331.4-0.169013999999966</f>
        <v>789.802594</v>
      </c>
      <c r="P35" s="3">
        <f>1320.8+(189.5-332.8)+(-0.673608+(-0.096645--0.169728))+0-327.3--0.166922999999967</f>
        <v>849.76639799999998</v>
      </c>
      <c r="Q35" s="3">
        <f>1355.6+(192-359.8)+(1.382712+(0.19584-0.366996))+0-327.4-0.333948000000052</f>
        <v>861.27760799999987</v>
      </c>
      <c r="R35" s="3">
        <f>1352.6+(203.7-355.6)+(-1.379652+(-0.207774--0.362712))+0-326.7--0.333234000000052</f>
        <v>873.10851999999988</v>
      </c>
      <c r="S35" s="3">
        <f>1346.2+(274.5-344.2)+(1.373124+(0.27999-0.351084))+0-326.6-0.333132000000052</f>
        <v>950.86889799999994</v>
      </c>
      <c r="T35" s="3">
        <f>1340.5+(295.2-342)+(1.36731+(0.301104-0.34884))+0-327-0.333540000000052</f>
        <v>967.68603400000006</v>
      </c>
      <c r="U35" s="3">
        <f>1340.6+(302.7-327)+(-0.683706+(-0.154377--0.16677))+0-330.3--0.168452999999966</f>
        <v>985.49713999999994</v>
      </c>
      <c r="V35" s="3">
        <f>1336.6+(308-299.4)+(-2.726664+(-0.62832--0.610776))+0-330.7--0.674627999999986</f>
        <v>1012.4304199999997</v>
      </c>
      <c r="W35" s="3">
        <f>1341.8+(190.3-305.4)+(-3.42159+(-0.485265--0.77877))+0-331.5--0.845324999999952</f>
        <v>892.91723999999999</v>
      </c>
      <c r="X35" s="3">
        <f>1349.7+(178.4-356.8)+(-4.818429+(-0.636888--1.273776))+0-332.2--1.185954</f>
        <v>836.10441300000002</v>
      </c>
      <c r="Y35" s="3">
        <f>1353.4+(172.4-406.4)+(0.690234+(0.087924-0.207264))+0-330.2-0.168401999999966</f>
        <v>789.60249199999998</v>
      </c>
      <c r="Z35" s="3">
        <f>1358.7+(205.8-374.3)+(-0.692937+(-0.104958--0.190893))+0-329.3--0.167942999999967</f>
        <v>860.46094100000005</v>
      </c>
      <c r="AA35" s="3">
        <f>1363.5+(261.1-360.8)+(-5.56308+(-1.065288--1.472064))+0-329.6--1.34476799999997</f>
        <v>930.38846399999977</v>
      </c>
      <c r="AB35" s="3">
        <f>1366.5+(323.9-333.8)+(-3.484575+(-0.825945--0.85119))+0-331.3--0.844814999999952</f>
        <v>1022.685485</v>
      </c>
      <c r="AC35" s="3">
        <f>1367.7+(327.9-296.1)+(-2.092581+(-0.501687--0.453033))+0-330.1--0.505053000000019</f>
        <v>1067.7638180000001</v>
      </c>
      <c r="AD35" s="2">
        <v>885.9</v>
      </c>
      <c r="AE35" s="3">
        <f>1363+(220.2-367.7)+(0+(0-0))+0-329.6-0</f>
        <v>885.9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1369.8+(330.6-266.5)+(-2.794392+(-0.674424--0.54366))+0-329.2--0.671567999999986</f>
        <v>1102.446412</v>
      </c>
      <c r="G36" s="3">
        <f>1370.9+(280-248.8)+(-2.796636+(-0.5712--0.507552))+0-331.2--0.675647999999985</f>
        <v>1068.7153639999999</v>
      </c>
      <c r="H36" s="3">
        <f>1372.1+(245.3-228)+(-3.498855+(-0.625515--0.5814))+0-333.1--0.849404999999952</f>
        <v>1053.6064349999997</v>
      </c>
      <c r="I36" s="3">
        <f>1372+(193.9-220.8)+(1.39944+(0.197778-0.225216))+0-332.1-0.338742000000053</f>
        <v>1014.0332599999999</v>
      </c>
      <c r="J36" s="3">
        <f>1372.2+(141.5-225.5)+(-0.699822+(-0.072165--0.115005))+0-333.1--0.169880999999966</f>
        <v>954.61289899999997</v>
      </c>
      <c r="K36" s="3">
        <f>1372.5+(132.7-210.3)+(0+(0-0))+0-330.6-0</f>
        <v>964.30000000000007</v>
      </c>
      <c r="L36" s="3">
        <f>1360.9+(51.1-284.3)+(-0.694059+(-0.026061--0.144993))+0-326.9--0.166718999999967</f>
        <v>800.39159199999995</v>
      </c>
      <c r="M36" s="3">
        <f>1378.4+(66.6-320.8)+(1.405968+(0.067932-0.327216))+0-324.6-0.331092000000052</f>
        <v>800.41559200000006</v>
      </c>
      <c r="N36" s="3">
        <f>1374.3+(96.2-305.1)+(0.700893+(0.049062-0.155601))+0-325.8-0.166157999999967</f>
        <v>840.02819599999998</v>
      </c>
      <c r="O36" s="3">
        <f>1119+(204.3-246.9)+(0.57069+(0.104193-0.125919))+0-329.9-0.168248999999967</f>
        <v>746.88071500000024</v>
      </c>
      <c r="P36" s="3">
        <f>1104.6+(285.4-253.3)+(-1.690038+(-0.436662--0.387549))+0-331.6--0.507348000000019</f>
        <v>803.86819699999978</v>
      </c>
      <c r="Q36" s="3">
        <f>1144.8+(354.8-282.4)+(-0.583848+(-0.180948--0.144024))+0-331.1--0.168860999999966</f>
        <v>885.64808900000003</v>
      </c>
      <c r="R36" s="3">
        <f>1227.4+(358.3-319.7)+(-2.503896+(-0.730932--0.652188))+0-329.7--0.672587999999986</f>
        <v>934.38994799999989</v>
      </c>
      <c r="S36" s="3">
        <f>1252.7+(394-327.5)+(-1.277754+(-0.40188--0.33405))+0-330.8--0.337416000000053</f>
        <v>987.39183200000025</v>
      </c>
      <c r="T36" s="3">
        <f>1254.2+(491.9-302)+(1.279284+(0.501738-0.30804))+0-329.3-0.335886000000053</f>
        <v>1115.9370959999999</v>
      </c>
      <c r="U36" s="3">
        <f>1254.4+(382.4-307.4)+(-1.919232+(-0.585072--0.470322))+0-330.2--0.505206000000019</f>
        <v>997.67122400000017</v>
      </c>
      <c r="V36" s="3">
        <f>1256.4+(314.9-288.6)+(-1.922292+(-0.481797--0.441558))+0-330.7--0.505971000000019</f>
        <v>950.54344000000015</v>
      </c>
      <c r="W36" s="3">
        <f>1380+(159.9-325.3)+(-4.2228+(-0.489294--0.995418))+0-329.7--1.00888200000004</f>
        <v>882.19220599999994</v>
      </c>
      <c r="X36" s="3">
        <f>1498+(100.4-466.6)+(-3.05592+(-0.204816--0.951864))+0-327.7--0.668507999999986</f>
        <v>802.45963599999982</v>
      </c>
      <c r="Y36" s="3">
        <f>1511.2+(108-526.4)+(0+(0-0))+0-331-0</f>
        <v>761.80000000000018</v>
      </c>
      <c r="Z36" s="3">
        <f>1488.7+(138.8-411.4)+(-2.277711+(-0.212364--0.629442))+0-331.8--0.507654000000019</f>
        <v>882.94702100000018</v>
      </c>
      <c r="AA36" s="3">
        <f>1339.4+(276.7-309.3)+(-2.732376+(-0.564468--0.630972))+0-329.4--0.671975999999986</f>
        <v>975.40610400000014</v>
      </c>
      <c r="AB36" s="3">
        <f>1457.4+(189.2-337.9)+(0+(0-0))+0-330.7-0</f>
        <v>978</v>
      </c>
      <c r="AC36" s="3">
        <f>1523.1+(174.8-335.7)+(-1.553562+(-0.178296--0.342414))+0-333.4--0.340068000000053</f>
        <v>1027.7506239999998</v>
      </c>
      <c r="AD36" s="2">
        <v>930.89999999999986</v>
      </c>
      <c r="AE36" s="3">
        <f>1512+(108.1-357.2)+(0+(0-0))+0-332-0</f>
        <v>930.90000000000009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1465.2+(234.7-304.2)+(-1.494504+(-0.239394--0.310284))+0-332.9--0.339558000000053</f>
        <v>1061.715944</v>
      </c>
      <c r="G37" s="3">
        <f>1380.7+(250.7-282)+(-1.408314+(-0.255714--0.28764))+0-334--0.340680000000053</f>
        <v>1014.3642920000002</v>
      </c>
      <c r="H37" s="3">
        <f>1391+(224-268.9)+(-1.41882+(-0.22848--0.274278))+0-333.5--0.340170000000053</f>
        <v>1011.567148</v>
      </c>
      <c r="I37" s="3">
        <f>1390.4+(153.8-267.9)+(0+(0-0))+0-328.6-0</f>
        <v>947.70000000000016</v>
      </c>
      <c r="J37" s="3">
        <f>1389.3+(125.5-258.9)+(-1.417086+(-0.12801--0.264078))+0-327.9--0.334458000000052</f>
        <v>927.05344000000025</v>
      </c>
      <c r="K37" s="3">
        <f>1388.3+(77.2-281.5)+(-2.124099+(-0.118116--0.430695))+0-329--0.503370000000019</f>
        <v>853.69185000000004</v>
      </c>
      <c r="L37" s="3">
        <f>1392+(52-341.8)+(-3.5496+(-0.1326--0.87159))+0-329.4--0.839969999999952</f>
        <v>770.82936000000007</v>
      </c>
      <c r="M37" s="3">
        <f>1388.5+(59.3-385.3)+(0+(0-0))+0-325.5-0</f>
        <v>737</v>
      </c>
      <c r="N37" s="3">
        <f>1380.2+(84.2-368.6)+(0+(0-0))+0-325-0</f>
        <v>770.8</v>
      </c>
      <c r="O37" s="3">
        <f>1376.9+(105.5-377.9)+(0+(0-0))+0-325.7-0</f>
        <v>778.8</v>
      </c>
      <c r="P37" s="3">
        <f>1362+(120.5-381.9)+(-2.77848+(-0.24582--0.779076))+0-328.5--0.670139999999986</f>
        <v>770.52491599999985</v>
      </c>
      <c r="Q37" s="3">
        <f>1298.4+(192.8-299.1)+(0.662184+(0.098328-0.152541))+0-330.9-0.168758999999966</f>
        <v>861.63921200000004</v>
      </c>
      <c r="R37" s="3">
        <f>1300.7+(281.5-323)+(-2.653428+(-0.57426--0.65892))+0-330--0.673199999999986</f>
        <v>927.30443199999991</v>
      </c>
      <c r="S37" s="3">
        <f>1301.4+(323.1-341.2)+(0+(0-0))+0-329.7-0</f>
        <v>953.60000000000014</v>
      </c>
      <c r="T37" s="3">
        <f>1296.7+(452.9-378.1)+(-0.661317+(-0.230979--0.192831))+0-329.5--0.168044999999967</f>
        <v>1041.46858</v>
      </c>
      <c r="U37" s="3">
        <f>1290.7+(389.2-382.9)+(-2.633028+(-0.793968--0.781116))+0-328.8--0.670751999999986</f>
        <v>966.224872</v>
      </c>
      <c r="V37" s="3">
        <f>1228.2+(375-272.2)+(-0.626382+(-0.19125--0.138822))+0-329.3--0.167942999999967</f>
        <v>1001.1891329999999</v>
      </c>
      <c r="W37" s="3">
        <f>1204.9+(240.6-258.4)+(-2.457996+(-0.490824--0.527136))+0-330--0.673199999999986</f>
        <v>855.35151600000017</v>
      </c>
      <c r="X37" s="3">
        <f>1085.8+(294.9-221.2)+(-2.215032+(-0.601596--0.451248))+0-327.5--0.668099999999986</f>
        <v>830.30272000000002</v>
      </c>
      <c r="Y37" s="3">
        <f>977.3+(382.1-278.1)+(-0.498423+(-0.194871--0.141831))+0-329.6--0.168095999999967</f>
        <v>751.31663299999991</v>
      </c>
      <c r="Z37" s="3">
        <f>1051.2+(490.9-272)+(-1.608336+(-0.751077--0.41616))+0-329--0.503370000000019</f>
        <v>939.66011700000001</v>
      </c>
      <c r="AA37" s="3">
        <f>1049.7+(485-300.2)+(-1.606041+(-0.74205--0.459306))+0-329.2--0.503676000000019</f>
        <v>903.9148909999999</v>
      </c>
      <c r="AB37" s="3">
        <f>1050.2+(594.7-331)+(-0.535602+(-0.303297--0.16881))+0-328.1--0.167330999999967</f>
        <v>985.2972420000001</v>
      </c>
      <c r="AC37" s="3">
        <f>1051.2+(598.3-256.5)+(-0.536112+(-0.305133--0.130815))+0-328.5--0.167534999999967</f>
        <v>1063.957105</v>
      </c>
      <c r="AD37" s="2">
        <v>922.40000000000009</v>
      </c>
      <c r="AE37" s="3">
        <f>1051+(496.4-296)+(0+(0-0))+0-329-0</f>
        <v>922.40000000000009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1054.8+(565.8-239.7)+(-0.537948+(-0.288558--0.122247))+0-329.5--0.168044999999967</f>
        <v>1050.8637859999997</v>
      </c>
      <c r="G38" s="3">
        <f>1054.7+(582.7-210.4)+(-2.151588+(-1.188708--0.429216))+0-330.9--0.675035999999986</f>
        <v>1093.8639560000001</v>
      </c>
      <c r="H38" s="3">
        <f>1055+(565.2-182.5)+(-0.53805+(-0.288252--0.093075))+0-332.6--0.169625999999966</f>
        <v>1104.5363990000001</v>
      </c>
      <c r="I38" s="3">
        <f>1053.7+(466.7-190)+(-0.537387+(-0.238017--0.0969))+0-333.1--0.169880999999966</f>
        <v>996.79137700000001</v>
      </c>
      <c r="J38" s="3">
        <f>1051.8+(382-187.5)+(-1.072836+(-0.38964--0.19125))+0-331.6--0.338232000000053</f>
        <v>913.76700599999992</v>
      </c>
      <c r="K38" s="3">
        <f>1052.2+(310-175.8)+(-1.073244+(-0.3162--0.179316))+0-327.2--0.333744000000052</f>
        <v>858.32361600000013</v>
      </c>
      <c r="L38" s="3">
        <f>1052+(248.7-172.8)+(-2.14608+(-0.507348--0.352512))+0-325.1--0.663203999999986</f>
        <v>801.1622880000001</v>
      </c>
      <c r="M38" s="3">
        <f>1051.1+(205.1-199.8)+(0.536061+(0.104601-0.101898))+0-326.4-0.166463999999967</f>
        <v>730.37229999999977</v>
      </c>
      <c r="N38" s="3">
        <f>1051.1+(238.5-235.1)+(0.536061+(0.121635-0.119901))+0-327.7-0.167126999999967</f>
        <v>727.17066799999998</v>
      </c>
      <c r="O38" s="3">
        <f>1050.9+(327.1-248)+(-0.535959+(-0.166821--0.12648))+0-330.6--0.168605999999966</f>
        <v>798.99230599999999</v>
      </c>
      <c r="P38" s="3">
        <f>1053.2+(331.5-266)+(1.074264+(0.33813-0.27132))+0-330.2-0.336804000000053</f>
        <v>789.30426999999986</v>
      </c>
      <c r="Q38" s="3">
        <f>1091.5+(400.7-276.2)+(0+(0-0))+0-330.3-0</f>
        <v>885.7</v>
      </c>
      <c r="R38" s="3">
        <f>1112.8+(435.6-314.8)+(-1.135056+(-0.444312--0.321096))+0-329.8--0.336396000000053</f>
        <v>902.87812399999996</v>
      </c>
      <c r="S38" s="3">
        <f>1107.1+(486-309.4)+(-0.564621+(-0.24786--0.157794))+0-328.4--0.167483999999967</f>
        <v>954.81279699999982</v>
      </c>
      <c r="T38" s="3">
        <f>1104.9+(528.4-279.4)+(-1.126998+(-0.538968--0.284988))+0-328.9--0.335478000000052</f>
        <v>1023.9545000000003</v>
      </c>
      <c r="U38" s="3">
        <f>1103.7+(568.7-263.7)+(-1.688661+(-0.870111--0.403461))+0-329.2--0.503676000000019</f>
        <v>1077.8483650000001</v>
      </c>
      <c r="V38" s="3">
        <f>1103.8+(494.3-259.7)+(0+(0-0))+0-329.1-0</f>
        <v>1009.3000000000001</v>
      </c>
      <c r="W38" s="3">
        <f>1107+(369.2-270.5)+(-0.56457+(-0.188292--0.137955))+0-330.1--0.168350999999967</f>
        <v>875.15344400000004</v>
      </c>
      <c r="X38" s="3">
        <f>1113.4+(287-244)+(-1.703502+(-0.43911--0.37332))+0-328.2--0.502146000000019</f>
        <v>826.93285400000013</v>
      </c>
      <c r="Y38" s="3">
        <f>1120.2+(279.5-280.8)+(-0.571302+(-0.142545--0.143208))+0-280.9--0.143258999999971</f>
        <v>837.57262000000003</v>
      </c>
      <c r="Z38" s="3">
        <f>1123.6+(399.2-320.4)+(-1.146072+(-0.407184--0.326808))+0-303.9--0.309978000000048</f>
        <v>897.58353</v>
      </c>
      <c r="AA38" s="3">
        <f>1128.4+(488.6-314.4)+(-1.726452+(-0.747558--0.481032))+0-330.5--0.505665000000019</f>
        <v>970.61268700000016</v>
      </c>
      <c r="AB38" s="3">
        <f>1132.3+(583.8-289.7)+(-1.154946+(-0.595476--0.295494))+0-328.6--0.335172000000052</f>
        <v>1096.6802439999997</v>
      </c>
      <c r="AC38" s="3">
        <f>1134+(616-246.7)+(1.73502+(0.94248-0.377451))+0-329.2-0.503676000000019</f>
        <v>1175.8963729999998</v>
      </c>
      <c r="AD38" s="2">
        <v>933.1</v>
      </c>
      <c r="AE38" s="3">
        <f>1126+(452.6-314.1)+(0+(0-0))+0-331.4-0</f>
        <v>933.1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1138+(548.5-230.6)+(0+(0-0))+0-328.2-0</f>
        <v>1127.7</v>
      </c>
      <c r="G39" s="3">
        <f>1142.9+(599.2-224.9)+(-0.582879+(-0.305592--0.114699))+0-330.8--0.168707999999966</f>
        <v>1185.7949360000002</v>
      </c>
      <c r="H39" s="3">
        <f>1142.9+(540.3-215)+(1.748637+(0.826659-0.32895))+0-332.1-0.508113000000019</f>
        <v>1137.8382329999997</v>
      </c>
      <c r="I39" s="3">
        <f>1143.7+(462.7-210.1)+(-2.333148+(-0.943908--0.428604))+0-329.3--0.671771999999986</f>
        <v>1064.82332</v>
      </c>
      <c r="J39" s="3">
        <f>1144.9+(395.9-216.4)+(-1.751697+(-0.605727--0.331092))+0-328.8--0.503064000000019</f>
        <v>994.07673200000022</v>
      </c>
      <c r="K39" s="3">
        <f>1145.8+(376.4-235.9)+(-1.168716+(-0.383928--0.240618))+0-328.5--0.335070000000052</f>
        <v>956.82304399999998</v>
      </c>
      <c r="L39" s="3">
        <f>1121.2+(282.8-236.1)+(-4.002684+(-1.009596--0.842877))+0-327.3--1.168461</f>
        <v>837.59905800000001</v>
      </c>
      <c r="M39" s="3">
        <f>976.4+(421.7-218.6)+(0.497964+(0.215067-0.111486))+0-325.1-0.165800999999967</f>
        <v>854.83574399999998</v>
      </c>
      <c r="N39" s="3">
        <f>970.7+(370.5-208.7)+(0.495057+(0.188955-0.106437))+0-327-0.166769999999967</f>
        <v>805.9108050000001</v>
      </c>
      <c r="O39" s="3">
        <f>970.4+(405.1-203.2)+(-0.989808+(-0.413202--0.207264))+0-328.5--0.335070000000052</f>
        <v>842.93932399999994</v>
      </c>
      <c r="P39" s="3">
        <f>969.3+(485.8-214.9)+(-1.483029+(-0.743274--0.328797))+0-328.3--0.502299000000019</f>
        <v>910.50479299999984</v>
      </c>
      <c r="Q39" s="3">
        <f>968.5+(509.5-256.3)+(-1.97574+(-1.03938--0.522852))+0-329.1--0.671363999999986</f>
        <v>890.7790960000001</v>
      </c>
      <c r="R39" s="3">
        <f>994+(575.9-259.1)+(0+(0-0))+0-328.7-0</f>
        <v>982.09999999999991</v>
      </c>
      <c r="S39" s="3">
        <f>1066.5+(604.8-274.1)+(-1.631745+(-0.925344--0.419373))+0-326.5--0.499545000000019</f>
        <v>1069.061829</v>
      </c>
      <c r="T39" s="3">
        <f>1090.7+(630-256.5)+(-0.556257+(-0.3213--0.130815))+0-327.6--0.167075999999967</f>
        <v>1136.020334</v>
      </c>
      <c r="U39" s="3">
        <f>1092.2+(537.3-249.2)+(-1.114044+(-0.548046--0.254184))+0-327.3--0.333846000000052</f>
        <v>1051.9259400000001</v>
      </c>
      <c r="V39" s="3">
        <f>1094.8+(512.5-247.6)+(-1.116696+(-0.52275--0.252552))+0-326.8--0.333336000000052</f>
        <v>1031.846442</v>
      </c>
      <c r="W39" s="3">
        <f>1097.8+(425.1-231.4)+(-1.679634+(-0.650403--0.354042))+0-328.9--0.503217000000019</f>
        <v>961.12722200000007</v>
      </c>
      <c r="X39" s="3">
        <f>1090.8+(277.2-227.7)+(-1.668924+(-0.424116--0.348381))+0-328.4--0.502452000000019</f>
        <v>810.65779300000008</v>
      </c>
      <c r="Y39" s="3">
        <f>1111.9+(334.3-285.3)+(-1.134138+(-0.340986--0.291006))+0-325.6--0.332112000000052</f>
        <v>834.44799400000022</v>
      </c>
      <c r="Z39" s="3">
        <f>1117.6+(478-290.2)+(-0.569976+(-0.24378--0.148002))+0-327.3--0.166922999999967</f>
        <v>977.6011689999998</v>
      </c>
      <c r="AA39" s="3">
        <f>1122.7+(570.4-298.9)+(-1.145154+(-0.581808--0.304878))+0-326.9--0.333438000000052</f>
        <v>1066.211354</v>
      </c>
      <c r="AB39" s="3">
        <f>1133.6+(614-295.7)+(0.578136+(0.31314-0.150807))+0-326.3-0.166412999999967</f>
        <v>1126.1740560000001</v>
      </c>
      <c r="AC39" s="3">
        <f>1139.1+(698.7-250.2)+(-1.742823+(-1.069011--0.382806))+0-326.9--0.500157000000019</f>
        <v>1258.7711289999997</v>
      </c>
      <c r="AD39" s="2">
        <v>1031.2000000000003</v>
      </c>
      <c r="AE39" s="3">
        <f>1120+(541.7-303.9)+(0+(0-0))+0-326.6-0</f>
        <v>1031.2000000000003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1138.9+(666.9-231)+(-0.580839+(-0.340119--0.11781))+0-327.6--0.167075999999967</f>
        <v>1246.5639280000003</v>
      </c>
      <c r="G40" s="3">
        <f>1139.2+(666-236.5)+(-1.742976+(-1.01898--0.361845))+0-327.9--0.501687000000019</f>
        <v>1238.9015760000002</v>
      </c>
      <c r="H40" s="3">
        <f>1141.3+(590.7-224.4)+(1.164126+(0.602514-0.228888))+0-328.6-0.335172000000052</f>
        <v>1180.2025799999997</v>
      </c>
      <c r="I40" s="3">
        <f>1142.6+(540-242.3)+(0.582726+(0.2754-0.123573))+0-328.2-0.167381999999967</f>
        <v>1112.6671710000001</v>
      </c>
      <c r="J40" s="3">
        <f>1144.5+(487.7-251.7)+(0+(0-0))+0-327.2-0</f>
        <v>1053.3</v>
      </c>
      <c r="K40" s="3">
        <f>1144.3+(410.8-252.8)+(-1.750779+(-0.628524--0.386784))+0-327.9--0.501687000000019</f>
        <v>972.90916800000014</v>
      </c>
      <c r="L40" s="3">
        <f>1144.3+(259.9-269.2)+(-0.583593+(-0.132549--0.137292))+0-324.5--0.165494999999967</f>
        <v>810.08664499999986</v>
      </c>
      <c r="M40" s="3">
        <f>1139.9+(262.5-281.2)+(0.581349+(0.133875-0.143412))+0-325.5-0.166004999999967</f>
        <v>796.10580700000003</v>
      </c>
      <c r="N40" s="3">
        <f>1133.7+(286.3-267)+(0.578187+(0.146013-0.13617))+0-327.8-0.167177999999967</f>
        <v>825.62085200000001</v>
      </c>
      <c r="O40" s="3">
        <f>1130.1+(338.9-286.4)+(0+(0-0))+0-331.1-0</f>
        <v>851.49999999999989</v>
      </c>
      <c r="P40" s="3">
        <f>1224.3+(288-339.4)+(0+(0-0))+0-331-0</f>
        <v>841.90000000000009</v>
      </c>
      <c r="Q40" s="3">
        <f>1300.8+(276.3-367.5)+(-1.990224+(-0.422739--0.562275))+0-326.9--0.500157000000019</f>
        <v>881.349469</v>
      </c>
      <c r="R40" s="3">
        <f>1339.7+(349.1-382.1)+(-2.732988+(-0.712164--0.779484))+0-326.2--0.665447999999986</f>
        <v>978.49977999999987</v>
      </c>
      <c r="S40" s="3">
        <f>1334.7+(479-373.9)+(-1.361394+(-0.48858--0.381378))+0-326.4--0.332928000000052</f>
        <v>1112.2643320000004</v>
      </c>
      <c r="T40" s="3">
        <f>1334.7+(523-369.8)+(0+(0-0))+0-326-0</f>
        <v>1161.9000000000001</v>
      </c>
      <c r="U40" s="3">
        <f>1334+(499.8-337.7)+(-1.36068+(-0.509796--0.344454))+0-325.5--0.332010000000052</f>
        <v>1169.405988</v>
      </c>
      <c r="V40" s="3">
        <f>1336.1+(403.9-336)+(-1.362822+(-0.411978--0.34272))+0-322.8--0.329256000000052</f>
        <v>1080.097176</v>
      </c>
      <c r="W40" s="3">
        <f>1345.5+(187.1-340.8)+(-1.37241+(-0.190842--0.347616))+0-260.7--0.265914000000042</f>
        <v>930.15027800000007</v>
      </c>
      <c r="X40" s="3">
        <f>1358+(126.2-378.5)+(-2.07774+(-0.193086--0.579105))+0-269--0.411570000000016</f>
        <v>835.41984900000011</v>
      </c>
      <c r="Y40" s="3">
        <f>1363.6+(167.8-355.4)+(-2.086308+(-0.256734--0.543762))+0-325.1--0.497403000000019</f>
        <v>849.59812299999999</v>
      </c>
      <c r="Z40" s="3">
        <f>1366.9+(313.6-395.7)+(-2.788476+(-0.639744--0.807228))+0-326.6--0.666263999999986</f>
        <v>956.24527200000023</v>
      </c>
      <c r="AA40" s="3">
        <f>1370.1+(406-400.1)+(-1.397502+(-0.41412--0.408102))+0-326--0.332520000000052</f>
        <v>1048.9290000000001</v>
      </c>
      <c r="AB40" s="3">
        <f>1375.2+(491.9-383.2)+(-2.104056+(-0.752607--0.586296))+0-329.1--0.503523000000019</f>
        <v>1153.0331560000002</v>
      </c>
      <c r="AC40" s="3">
        <f>1382.5+(535.8-343.8)+(-2.8203+(-1.093032--0.701352))+0-329.5--0.672179999999986</f>
        <v>1242.4602</v>
      </c>
      <c r="AD40" s="2">
        <v>978.39999999999986</v>
      </c>
      <c r="AE40" s="3">
        <f>1373+(338.1-398.9)+(0+(0-0))+0-333.8-0</f>
        <v>978.40000000000009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1382.6+(537.2-305)+(-2.115378+(-0.821916--0.46665))+0-330.2--0.505206000000019</f>
        <v>1282.634562</v>
      </c>
      <c r="G41" s="3">
        <f>1384.1+(499.4-280.8)+(-2.117673+(-0.764082--0.429624))+0-330.3--0.505359000000019</f>
        <v>1270.4532279999999</v>
      </c>
      <c r="H41" s="3">
        <f>1384.1+(436.6-263.6)+(0.705891+(0.222666-0.134436))+0-332.6-0.169625999999966</f>
        <v>1225.124495</v>
      </c>
      <c r="I41" s="3">
        <f>1382.5+(380.9-243.5)+(1.41015+(0.388518-0.24837))+0-331.8-0.338436000000053</f>
        <v>1189.3118620000002</v>
      </c>
      <c r="J41" s="3">
        <f>1383+(312.7-237.7)+(-0.70533+(-0.159477--0.121227))+0-331.1--0.168860999999966</f>
        <v>1126.3252809999997</v>
      </c>
      <c r="K41" s="3">
        <f>1382.4+(215.5-232.1)+(-2.820096+(-0.43962--0.473484))+0-329.2--0.671567999999986</f>
        <v>1034.4853360000002</v>
      </c>
      <c r="L41" s="3">
        <f>1386.5+(90.4-266.2)+(-2.121345+(-0.138312--0.407286))+0-328.9--0.503217000000019</f>
        <v>880.45084600000018</v>
      </c>
      <c r="M41" s="3">
        <f>1383.6+(99.3-322.3)+(0+(0-0))+0-326.4-0</f>
        <v>834.19999999999993</v>
      </c>
      <c r="N41" s="3">
        <f>1369.7+(119.4-292.7)+(0.698547+(0.060894-0.149277))+0-328-0.167279999999967</f>
        <v>868.84288400000003</v>
      </c>
      <c r="O41" s="3">
        <f>1361+(169.7-314.1)+(0.69411+(0.086547-0.160191))+0-326.2-0.166361999999967</f>
        <v>890.85410400000001</v>
      </c>
      <c r="P41" s="3">
        <f>1351.9+(207.3-335.5)+(-0.689469+(-0.105723--0.171105))+0-327.6--0.167075999999967</f>
        <v>895.64298900000006</v>
      </c>
      <c r="Q41" s="3">
        <f>1341.4+(299.1-355.5)+(-2.052342+(-0.457623--0.543915))+0-329.9--0.504747000000019</f>
        <v>953.63869700000009</v>
      </c>
      <c r="R41" s="3">
        <f>1333+(460.8-372.3)+(-1.35966+(-0.470016--0.379746))+0-330.5--0.337110000000053</f>
        <v>1089.8871800000002</v>
      </c>
      <c r="S41" s="3">
        <f>1327.7+(574.1-370.9)+(-2.708508+(-1.171164--0.756636))+0-328.7--0.670547999999986</f>
        <v>1199.7475120000001</v>
      </c>
      <c r="T41" s="3">
        <f>1322.7+(665-355.1)+(-0.674577+(-0.33915--0.181101))+0-329.1--0.167840999999967</f>
        <v>1302.8352150000001</v>
      </c>
      <c r="U41" s="3">
        <f>1322.4+(599.5-306.6)+(-2.697696+(-1.22298--0.625464))+0-328.8--0.670751999999986</f>
        <v>1283.8755400000002</v>
      </c>
      <c r="V41" s="3">
        <f>1325+(425.5-276.9)+(-1.3515+(-0.43401--0.282438))+0-328--0.334560000000052</f>
        <v>1144.4314879999999</v>
      </c>
      <c r="W41" s="3">
        <f>1327.8+(278.9-240.4)+(-3.38589+(-0.711195--0.61302))+0-329.9--0.841244999999952</f>
        <v>1033.7571799999998</v>
      </c>
      <c r="X41" s="3">
        <f>1334.9+(123.1-259.7)+(-6.127191+(-0.565029--1.192023))+0-329.5--1.51240500000006</f>
        <v>864.81220800000017</v>
      </c>
      <c r="Y41" s="3">
        <f>1348.1+(155.7-253.1)+(0+(0-0))+0-327.3-0</f>
        <v>923.39999999999986</v>
      </c>
      <c r="Z41" s="3">
        <f>1357.6+(283.9-301.9)+(-0.692376+(-0.144789--0.153969))+0-328.8--0.167687999999967</f>
        <v>1010.284492</v>
      </c>
      <c r="AA41" s="3">
        <f>1361.3+(457.6-312.8)+(-4.165578+(-1.400256--0.957168))+0-327.7--1.00276200000004</f>
        <v>1174.7940959999999</v>
      </c>
      <c r="AB41" s="3">
        <f>1365.3+(525.5-301.4)+(0+(0-0))+0-326.1-0</f>
        <v>1263.3000000000002</v>
      </c>
      <c r="AC41" s="3">
        <f>1370+(597-262.6)+(0+(0-0))+0-326.4-0</f>
        <v>1378</v>
      </c>
      <c r="AD41" s="2">
        <v>1094.4000000000001</v>
      </c>
      <c r="AE41" s="3">
        <f>1366+(371.4-314.6)+(0+(0-0))+0-328.4-0</f>
        <v>1094.4000000000001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1374.9+(584.5-251.5)+(-1.402398+(-0.59619--0.25653))+0-327.3--0.333846000000052</f>
        <v>1379.1917880000001</v>
      </c>
      <c r="G42" s="3">
        <f>1372.3+(619.7-258.2)+(-1.399746+(-0.632094--0.263364))+0-327.9--0.334458000000052</f>
        <v>1404.4659819999999</v>
      </c>
      <c r="H42" s="3">
        <f>1366+(558.9-254.7)+(0+(0-0))+0-328.4-0</f>
        <v>1341.8000000000002</v>
      </c>
      <c r="I42" s="3">
        <f>1366.1+(514.2-276.4)+(1.393422+(0.524484-0.281928))+0-329.1-0.335682000000052</f>
        <v>1276.1002959999998</v>
      </c>
      <c r="J42" s="3">
        <f>1372.1+(450.9-274)+(-1.399542+(-0.459918--0.27948))+0-328.7--0.335274000000052</f>
        <v>1219.055294</v>
      </c>
      <c r="K42" s="3">
        <f>1373.5+(350.8-269.5)+(-0.700485+(-0.178908--0.137445))+0-327.1--0.166820999999967</f>
        <v>1127.124873</v>
      </c>
      <c r="L42" s="3">
        <f>1373.3+(163.6-275.7)+(-3.501915+(-0.41718--0.703035))+0-325.9--0.831044999999953</f>
        <v>932.914985</v>
      </c>
      <c r="M42" s="3">
        <f>1370.2+(148-294.3)+(2.096406+(0.22644-0.450279))+0-326.6-0.499698000000019</f>
        <v>898.67286899999999</v>
      </c>
      <c r="N42" s="3">
        <f>1360.3+(159.1-278.4)+(0+(0-0))+0-329.3-0</f>
        <v>911.7</v>
      </c>
      <c r="O42" s="3">
        <f>1322.8+(238.9-292.5)+(0.674628+(0.121839-0.149175))+0-327.3-0.166922999999967</f>
        <v>942.3803690000002</v>
      </c>
      <c r="P42" s="3">
        <f>1302.7+(324.4-310)+(-0.664377+(-0.165444--0.1581))+0-326.7--0.166616999999967</f>
        <v>989.8948959999999</v>
      </c>
      <c r="Q42" s="3">
        <f>1298.1+(409-324.7)+(-3.310155+(-1.04295--0.827985))+0-330.5--0.842774999999952</f>
        <v>1049.2176549999997</v>
      </c>
      <c r="R42" s="3">
        <f>1294+(554.8-342.9)+(-2.63976+(-1.131792--0.699516))+0-328.9--0.670955999999986</f>
        <v>1174.5989199999999</v>
      </c>
      <c r="S42" s="3">
        <f>1290.8+(661.5-335)+(-1.974924+(-1.012095--0.51255))+0-326.1--0.498933000000019</f>
        <v>1289.2244640000001</v>
      </c>
      <c r="T42" s="3">
        <f>1304.3+(699.6-314)+(1.995579+(1.070388-0.48042))+0-324.4-0.496332000000019</f>
        <v>1367.5892150000002</v>
      </c>
      <c r="U42" s="3">
        <f>1306.8+(666.1-294.5)+(-3.33234+(-1.698555--0.750975))+0-325.1--0.829004999999953</f>
        <v>1349.8490850000003</v>
      </c>
      <c r="V42" s="3">
        <f>1307+(572.4-270.1)+(-1.33314+(-0.583848--0.275502))+0-324--0.330480000000052</f>
        <v>1283.988994</v>
      </c>
      <c r="W42" s="3">
        <f>1312.2+(345.3-262.5)+(-3.34611+(-0.880515--0.669375))+0-324.2--0.826709999999953</f>
        <v>1068.0694599999999</v>
      </c>
      <c r="X42" s="3">
        <f>1312.2+(343.3-286.1)+(-3.34611+(-0.875415--0.729555))+0-324.2--0.826709999999953</f>
        <v>1042.5347400000001</v>
      </c>
      <c r="Y42" s="3">
        <f>1313.3+(204.8-284.7)+(-3.348915+(-0.52224--0.725985))+0-325.7--0.830534999999953</f>
        <v>905.38536499999998</v>
      </c>
      <c r="Z42" s="3">
        <f>1336.1+(385.1-342.4)+(-2.044233+(-0.589203--0.523872))+0-326.5--0.499545000000019</f>
        <v>1050.689981</v>
      </c>
      <c r="AA42" s="3">
        <f>1340.8+(514.7-354.4)+(-2.051424+(-0.787491--0.542232))+0-327.3--0.500769000000019</f>
        <v>1172.0040859999999</v>
      </c>
      <c r="AB42" s="3">
        <f>1332.8+(605.4-336.8)+(2.039184+(0.926262-0.515304))+0-326.5-0.499545000000019</f>
        <v>1276.8505969999997</v>
      </c>
      <c r="AC42" s="3">
        <f>1330.4+(679.3-311.9)+(-3.39252+(-1.732215--0.795345))+0-327.1--0.834104999999953</f>
        <v>1367.2047149999999</v>
      </c>
      <c r="AD42" s="2">
        <v>1135.2</v>
      </c>
      <c r="AE42" s="3">
        <f>1339+(475.9-353.7)+(0+(0-0))+0-326-0</f>
        <v>1135.2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1332.5+(676.7-282.2)+(-2.038725+(-1.035351--0.431766))+0-326.6--0.499698000000019</f>
        <v>1398.257388</v>
      </c>
      <c r="G43" s="3">
        <f>1344.7+(648.1-284.6)+(-2.743188+(-1.322124--0.580584))+0-327.5--0.668099999999986</f>
        <v>1377.8833720000002</v>
      </c>
      <c r="H43" s="3">
        <f>1343+(591.4-272.8)+(-2.05479+(-0.904842--0.417384))+0-328.6--0.502758000000019</f>
        <v>1330.9605099999999</v>
      </c>
      <c r="I43" s="3">
        <f>1337.4+(531-257.6)+(-3.41037+(-1.35405--0.65688))+0-328--0.836399999999952</f>
        <v>1279.5288600000001</v>
      </c>
      <c r="J43" s="3">
        <f>1336.3+(500-235.7)+(0.681513+(0.255-0.120207))+0-326.5-0.166514999999967</f>
        <v>1274.749791</v>
      </c>
      <c r="K43" s="3">
        <f>1338+(367.1-232.5)+(-2.72952+(-0.748884--0.4743))+0-328.2--0.669527999999986</f>
        <v>1142.0654239999997</v>
      </c>
      <c r="L43" s="3">
        <f>1338.5+(184.9-227.2)+(1.36527+(0.188598-0.231744))+0-324.6-0.331092000000052</f>
        <v>972.59103200000004</v>
      </c>
      <c r="M43" s="3">
        <f>1329.3+(145.3-253.1)+(0+(0-0))+0-327.6-0</f>
        <v>893.9</v>
      </c>
      <c r="N43" s="3">
        <f>1335.1+(177.4-267.7)+(1.361802+(0.180948-0.273054))+0-328.4-0.334968000000052</f>
        <v>917.33472800000004</v>
      </c>
      <c r="O43" s="3">
        <f>1335.3+(239.3-331)+(0+(0-0))+0-329-0</f>
        <v>914.59999999999991</v>
      </c>
      <c r="P43" s="3">
        <f>1309.2+(322.9-312.2)+(-0.667692+(-0.164679--0.159222))+0-326.3--0.166412999999967</f>
        <v>993.09326400000009</v>
      </c>
      <c r="Q43" s="3">
        <f>1311.7+(479.2-390.4)+(0.668967+(0.244392-0.199104))+0-325.8-0.166157999999967</f>
        <v>1075.2480970000001</v>
      </c>
      <c r="R43" s="3">
        <f>1311.6+(601.1-410)+(-2.675664+(-1.226244--0.8364))+13-325.9--0.664835999999986</f>
        <v>1187.399328</v>
      </c>
      <c r="S43" s="3">
        <f>1315.7+(709.1-382.6)+(-1.342014+(-0.723282--0.390252))+130-326.4--0.332928000000052</f>
        <v>1444.4578840000001</v>
      </c>
      <c r="T43" s="3">
        <f>1367.2+(688.5-371.4)+(-1.394544+(-0.70227--0.378828))+130-316.1--0.32242200000005</f>
        <v>1496.8044360000001</v>
      </c>
      <c r="U43" s="3">
        <f>1436.6+(601.6-328.2)+(-4.395996+(-1.840896--1.004292))+65-318.1--0.973386000000037</f>
        <v>1452.6407859999999</v>
      </c>
      <c r="V43" s="3">
        <f>1441.5+(484.2-309.1)+(-2.94066+(-0.987768--0.630564))+0-325.4--0.663815999999986</f>
        <v>1288.5659520000002</v>
      </c>
      <c r="W43" s="3">
        <f>1446.3+(313.5-315.1)+(-2.212839+(-0.479655--0.482103))+0-327.1--0.500463000000019</f>
        <v>1115.8900719999999</v>
      </c>
      <c r="X43" s="3">
        <f>1441.1+(163.6-300.9)+(-2.939844+(-0.333744--0.613836))+0-327.9--0.668915999999986</f>
        <v>973.90916399999992</v>
      </c>
      <c r="Y43" s="3">
        <f>1448.9+(164.3-339.5)+(-0.738939+(-0.083793--0.173145))+0-328.1--0.167330999999967</f>
        <v>945.1177439999999</v>
      </c>
      <c r="Z43" s="3">
        <f>1469.1+(328.1-388.6)+(-1.498482+(-0.334662--0.396372))+0-328.4--0.334968000000052</f>
        <v>1079.0981959999999</v>
      </c>
      <c r="AA43" s="3">
        <f>1477.4+(437.6-398.2)+(-3.013896+(-0.892704--0.812328))+0-327--0.667079999999986</f>
        <v>1187.3728080000001</v>
      </c>
      <c r="AB43" s="3">
        <f>1478.5+(546.3-384.2)+(-2.262105+(-0.835839--0.587826))+0-327.5--0.501075000000019</f>
        <v>1311.0909570000001</v>
      </c>
      <c r="AC43" s="3">
        <f>1481.3+(598.1-356.8)+(-3.777315+(-1.525155--0.90984))+0-328.4--0.837419999999952</f>
        <v>1390.6447900000001</v>
      </c>
      <c r="AD43" s="2">
        <v>1139.7999999999997</v>
      </c>
      <c r="AE43" s="3">
        <f>1472+(397.6-401.4)+(0+(0-0))+0-328.4-0</f>
        <v>1139.8000000000002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1481.8+(563.3-338.9)+(-1.511436+(-0.574566--0.345678))+0-326.5--0.333030000000052</f>
        <v>1378.2927059999997</v>
      </c>
      <c r="G44" s="3">
        <f>1483.3+(535.5-317.8)+(0+(0-0))+0-328.3-0</f>
        <v>1372.7</v>
      </c>
      <c r="H44" s="3">
        <f>1487.4+(478.4-307.6)+(-3.79287+(-1.21992--0.78438))+0-327.1--0.834104999999953</f>
        <v>1327.7056950000001</v>
      </c>
      <c r="I44" s="3">
        <f>1488.9+(410.4-293.7)+(0+(0-0))+0-327-0</f>
        <v>1278.6000000000001</v>
      </c>
      <c r="J44" s="3">
        <f>1490.5+(348.1-280.4)+(-3.04062+(-0.710124--0.572016))+0-327.3--0.667691999999986</f>
        <v>1228.388964</v>
      </c>
      <c r="K44" s="3">
        <f>1490.5+(243.1-261.5)+(-3.800775+(-0.619905--0.666825))+0-326.1--0.831554999999953</f>
        <v>1143.0777</v>
      </c>
      <c r="L44" s="3">
        <f>1490.5+(230.1-271.5)+(-3.800775+(-0.586755--0.692325))+0-326.1--0.831554999999953</f>
        <v>1120.13635</v>
      </c>
      <c r="M44" s="3">
        <f>1481.9+(96.2-272.1)+(-5.290383+(-0.343434--0.971397))+0-325.1--1.160607</f>
        <v>977.39818699999989</v>
      </c>
      <c r="N44" s="3">
        <f>1340.2+(159.1-213.5)+(0.683502+(0.081141-0.108885))+0-325.7-0.166106999999967</f>
        <v>960.589651</v>
      </c>
      <c r="O44" s="3">
        <f>1329.9+(201.1-240.1)+(0.678249+(0.102561-0.122451))+0-327.9-0.167228999999967</f>
        <v>963.49113000000011</v>
      </c>
      <c r="P44" s="3">
        <f>1435.4+(220.1-328.8)+(0+(0-0))+0-328.5-0</f>
        <v>998.2</v>
      </c>
      <c r="Q44" s="3">
        <f>1441.6+(359.1-359.6)+(0.735216+(0.183141-0.183396))+0-330.1-0.168350999999967</f>
        <v>1111.5666100000001</v>
      </c>
      <c r="R44" s="3">
        <f>1434.8+(515.9-389.2)+(-2.195244+(-0.789327--0.595476))+0-327.9--0.501687000000019</f>
        <v>1231.7125919999999</v>
      </c>
      <c r="S44" s="3">
        <f>1439.1+(705.2-378.7)+(0+(0-0))+0-326-0</f>
        <v>1439.6</v>
      </c>
      <c r="T44" s="3">
        <f>1436.3+(730.2-355.2)+(-2.930052+(-1.489608--0.724608))+0-308--0.628319999999987</f>
        <v>1500.233268</v>
      </c>
      <c r="U44" s="3">
        <f>1427.4+(641.6-340)+(-2.911896+(-1.308864--0.6936))+0-293--0.597719999999987</f>
        <v>1433.0705599999999</v>
      </c>
      <c r="V44" s="3">
        <f>1442.8+(573.1-329.3)+(-2.943312+(-1.169124--0.671772))+0-305.1--0.622403999999987</f>
        <v>1378.6817399999998</v>
      </c>
      <c r="W44" s="3">
        <f>1443.9+(331.6-311.8)+(-5.891112+(-1.352928--1.272144))+0-330.6--1.34884799999997</f>
        <v>1128.4769519999998</v>
      </c>
      <c r="X44" s="3">
        <f>1446.4+(164.5-292.1)+(-6.638976+(-0.755055--1.340739))+0-331.2--1.52020800000006</f>
        <v>983.06691600000011</v>
      </c>
      <c r="Y44" s="3">
        <f>1447.3+(202.2-370)+(0+(0-0))+0-327.8-0</f>
        <v>951.7</v>
      </c>
      <c r="Z44" s="3">
        <f>1450.8+(412.6-377.8)+(1.479816+(0.420852-0.385356))+0-326.2-0.332724000000052</f>
        <v>1160.5825879999998</v>
      </c>
      <c r="AA44" s="3">
        <f>1462.2+(474.1-397.1)+(-5.220054+(-1.692537--1.417647))+0-320--1.1424</f>
        <v>1214.847456</v>
      </c>
      <c r="AB44" s="3">
        <f>1468.7+(557.7-389)+(-1.498074+(-0.568854--0.39678))+0-326--0.332520000000052</f>
        <v>1310.0623720000003</v>
      </c>
      <c r="AC44" s="3">
        <f>1472.2+(615.4-368)+(-3.003288+(-1.255416--0.75072))+0-325--0.662999999999986</f>
        <v>1391.7550159999998</v>
      </c>
      <c r="AD44" s="2">
        <v>1215.8000000000002</v>
      </c>
      <c r="AE44" s="3">
        <f>1457+(473.2-388.4)+(0+(0-0))+0-326-0</f>
        <v>1215.8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1473+(557.6-345.6)+(-0.75123+(-0.284376--0.176256))+0-321--0.163709999999967</f>
        <v>1363.3043600000001</v>
      </c>
      <c r="G45" s="3">
        <f>1474.7+(541.7-320)+(-1.504194+(-0.552534--0.3264))+0-322--0.328440000000051</f>
        <v>1372.998112</v>
      </c>
      <c r="H45" s="3">
        <f>1475.6+(484.5-302.3)+(-3.76278+(-1.235475--0.770865))+0-322--0.821099999999953</f>
        <v>1332.3937099999998</v>
      </c>
      <c r="I45" s="3">
        <f>1480.1+(419.4-292.5)+(-0.754851+(-0.213894--0.149175))+0-321--0.163709999999967</f>
        <v>1285.3441399999999</v>
      </c>
      <c r="J45" s="3">
        <f>1484.2+(385.4-272.2)+(-1.513884+(-0.393108--0.277644))+0-324--0.330480000000052</f>
        <v>1272.1011320000002</v>
      </c>
      <c r="K45" s="3">
        <f>1482.1+(284.7-245.1)+(-3.023484+(-0.580788--0.500004))+0-324--0.660959999999986</f>
        <v>1195.2566919999997</v>
      </c>
      <c r="L45" s="3">
        <f>1485.6+(124.4-223)+(-1.515312+(-0.126888--0.22746))+0-324--0.330480000000052</f>
        <v>1061.9157400000001</v>
      </c>
      <c r="M45" s="3">
        <f>1334.3+(184.3-238.9)+(-0.680493+(-0.093993--0.121839))+0-324--0.165239999999967</f>
        <v>955.21259300000008</v>
      </c>
      <c r="N45" s="3">
        <f>1213.3+(294.9-238.6)+(0+(0-0))+0-328-0</f>
        <v>941.59999999999991</v>
      </c>
      <c r="O45" s="3">
        <f>1204.1+(403.8-254.7)+(0.614091+(0.205938-0.129897))+0-329-0.167789999999967</f>
        <v>1024.7223419999998</v>
      </c>
      <c r="P45" s="3">
        <f>1191.3+(444.2-296.6)+(1.822689+(0.679626-0.453798))+0-329.8-0.504594000000019</f>
        <v>1010.6439229999999</v>
      </c>
      <c r="Q45" s="3">
        <f>1181.7+(570.9-330.2)+(-0.602667+(-0.291159--0.168402))+0-329--0.167789999999967</f>
        <v>1092.8423660000001</v>
      </c>
      <c r="R45" s="3">
        <f>1177+(749-371.2)+(-1.20054+(-0.76398--0.378624))+0-329.3--0.335886000000053</f>
        <v>1224.24999</v>
      </c>
      <c r="S45" s="3">
        <f>1173.3+(896.5-372.5)+(-1.795149+(-1.371645--0.569925))+0-329.8--0.504594000000019</f>
        <v>1365.407725</v>
      </c>
      <c r="T45" s="3">
        <f>1170.2+(975.2-354.6)+(-1.790406+(-1.492056--0.542538))+0-328.4--0.502452000000019</f>
        <v>1460.1625280000001</v>
      </c>
      <c r="U45" s="3">
        <f>1170.2+(985.2-340.4)+(-1.193604+(-1.004904--0.347208))+0-327.4--0.333948000000052</f>
        <v>1486.0826480000001</v>
      </c>
      <c r="V45" s="3">
        <f>1174.4+(833.1-315.7)+(-3.593664+(-2.549286--0.966042))+0-328.5--1.00521000000004</f>
        <v>1359.1283020000003</v>
      </c>
      <c r="W45" s="3">
        <f>1180.2+(558.8-287.3)+(-1.805706+(-0.854964--0.439569))+0-330.7--0.505971000000019</f>
        <v>1119.28487</v>
      </c>
      <c r="X45" s="3">
        <f>1188.9+(320.8-256.9)+(-0.606339+(-0.163608--0.131019))+0-327.9--0.167228999999967</f>
        <v>924.42830100000015</v>
      </c>
      <c r="Y45" s="3">
        <f>1198.5+(388.8-365)+(0.611235+(0.198288-0.18615))+0-327.9-0.167228999999967</f>
        <v>894.85614399999986</v>
      </c>
      <c r="Z45" s="3">
        <f>1205.3+(577.5-428)+(-1.229406+(-0.58905--0.43656))+0-327.9--0.334458000000052</f>
        <v>1025.8525619999998</v>
      </c>
      <c r="AA45" s="3">
        <f>1218.4+(728.5-373)+(-1.864152+(-1.114605--0.57069))+0-330.1--0.505053000000019</f>
        <v>1241.896986</v>
      </c>
      <c r="AB45" s="3">
        <f>1222.6+(787.2-373.4)+(-3.741156+(-2.408832--1.142604))+0-327.8--1.00306800000004</f>
        <v>1304.5956840000001</v>
      </c>
      <c r="AC45" s="3">
        <f>1223+(854.7-351.3)+(-1.24746+(-0.871794--0.358326))+0-327.6--0.334152000000052</f>
        <v>1397.3732240000002</v>
      </c>
      <c r="AD45" s="2">
        <v>1225.3</v>
      </c>
      <c r="AE45" s="3">
        <f>1221+(712.7-374.6)+(0+(0-0))+0-333.8-0</f>
        <v>1225.3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1222.8+(902.9-322.4)+(-2.494512+(-1.841916--0.657696))+0-328.2--0.669527999999986</f>
        <v>1472.0907959999997</v>
      </c>
      <c r="G46" s="3">
        <f>1222.9+(867.7-304.2)+(-1.247358+(-0.885054--0.310284))+0-327.3--0.333846000000052</f>
        <v>1457.6117180000001</v>
      </c>
      <c r="H46" s="3">
        <f>1225.4+(849.3-280.2)+(-0.624954+(-0.433143--0.142902))+0-327--0.166769999999967</f>
        <v>1466.751575</v>
      </c>
      <c r="I46" s="3">
        <f>1228+(795.9-259.2)+(2.50512+(1.623636-0.528768))+0-327.9-0.668915999999986</f>
        <v>1439.731072</v>
      </c>
      <c r="J46" s="3">
        <f>1228.4+(745.4-243.4)+(0+(0-0))+0-327.7-0</f>
        <v>1402.7</v>
      </c>
      <c r="K46" s="3">
        <f>1230+(651.8-211.2)+(-1.8819+(-0.997254--0.323136))+0-327.9--0.501687000000019</f>
        <v>1340.645669</v>
      </c>
      <c r="L46" s="3">
        <f>1232.9+(409.2-217.4)+(-1.257558+(-0.417384--0.221748))+0-324.8--0.331296000000052</f>
        <v>1098.7781020000002</v>
      </c>
      <c r="M46" s="3">
        <f>1224.1+(426.3-221.3)+(-1.248582+(-0.434826--0.225726))+0-327.1--0.333642000000052</f>
        <v>1100.8759599999998</v>
      </c>
      <c r="N46" s="3">
        <f>1213.9+(398.1-242)+(-0.619089+(-0.203031--0.12342))+0-329--0.167789999999967</f>
        <v>1040.4690900000001</v>
      </c>
      <c r="O46" s="3">
        <f>1210.9+(363.1-279.2)+(0+(0-0))+0-329.2-0</f>
        <v>965.60000000000014</v>
      </c>
      <c r="P46" s="3">
        <f>1204.6+(437.8-323.6)+(0+(0-0))+0-321-0</f>
        <v>997.8</v>
      </c>
      <c r="Q46" s="3">
        <f>1193.3+(580.4-370.3)+(-1.825749+(-0.888012--0.566559))+0-292.8--0.447984000000017</f>
        <v>1108.9007819999997</v>
      </c>
      <c r="R46" s="3">
        <f>1187.3+(764.7-383.6)+(-0.605523+(-0.389997--0.195636))+0-293--0.14942999999997</f>
        <v>1274.749546</v>
      </c>
      <c r="S46" s="3">
        <f>1182.6+(903.6-385.8)+(0+(0-0))+0-295.9-0</f>
        <v>1404.5</v>
      </c>
      <c r="T46" s="3">
        <f>1267.3+(902.6-381.7)+(-3.231615+(-2.30163--0.973335))+0-322.6--0.822629999999953</f>
        <v>1461.8627199999999</v>
      </c>
      <c r="U46" s="3">
        <f>1373.3+(784.9-361.1)+(-2.101149+(-1.200897--0.552483))+0-328.2--0.502146000000019</f>
        <v>1466.6525829999998</v>
      </c>
      <c r="V46" s="3">
        <f>1431.7+(542-336.4)+(-3.650835+(-1.3821--0.85782))+0-328.7--0.838184999999952</f>
        <v>1305.26307</v>
      </c>
      <c r="W46" s="3">
        <f>1433.1+(333.2-306.1)+(-1.461762+(-0.339864--0.312222))+0-329.3--0.335886000000053</f>
        <v>1129.746482</v>
      </c>
      <c r="X46" s="3">
        <f>1442.8+(136.5-297.5)+(-2.207484+(-0.208845--0.455175))+0-327.2--0.500616000000019</f>
        <v>953.13946199999987</v>
      </c>
      <c r="Y46" s="3">
        <f>1453.8+(175.8-335.9)+(-0.741438+(-0.089658--0.171309))+0-327--0.166769999999967</f>
        <v>966.20698299999992</v>
      </c>
      <c r="Z46" s="3">
        <f>1458.7+(443.5-387.3)+(0+(0-0))+0-328.1-0</f>
        <v>1186.8000000000002</v>
      </c>
      <c r="AA46" s="3">
        <f>1466.8+(588.6-406.4)+(-2.992272+(-1.200744--0.829056))+0-327.3--0.667691999999986</f>
        <v>1319.0037320000001</v>
      </c>
      <c r="AB46" s="3">
        <f>1474.2+(682.4-405.9)+(-3.007368+(-1.392096--0.828036))+0-327.1--0.667283999999986</f>
        <v>1420.695856</v>
      </c>
      <c r="AC46" s="3">
        <f>1472.5+(721.6-377.3)+(-2.252925+(-1.104048--0.577269))+0-324.1--0.495873000000019</f>
        <v>1490.4161689999999</v>
      </c>
      <c r="AD46" s="2">
        <v>1314.8000000000002</v>
      </c>
      <c r="AE46" s="3">
        <f>1469+(576.4-402.8)+(0+(0-0))+0-327.8-0</f>
        <v>1314.8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1470.4+(682-358.8)+(-0.749904+(-0.34782--0.182988))+0-324.9--0.165698999999967</f>
        <v>1467.950963</v>
      </c>
      <c r="G47" s="3">
        <f>1471.8+(689.7-340.5)+(-2.251854+(-1.055241--0.520965))+0-326.3--0.499239000000019</f>
        <v>1492.4131090000001</v>
      </c>
      <c r="H47" s="3">
        <f>1471.9+(640-320.1)+(-1.501338+(-0.6528--0.326502))+0-329.5--0.336090000000053</f>
        <v>1460.8084540000002</v>
      </c>
      <c r="I47" s="3">
        <f>1473.6+(526.8-309.5)+(-3.75768+(-1.34334--0.789225))+0-330--0.841499999999952</f>
        <v>1357.4297049999998</v>
      </c>
      <c r="J47" s="3">
        <f>1472.4+(531.1-289.1)+(-3.75462+(-1.354305--0.737205))+0-327--0.833849999999953</f>
        <v>1383.86213</v>
      </c>
      <c r="K47" s="3">
        <f>1473.8+(414.6-263.7)+(-2.254914+(-0.634338--0.403461))+0-328.5--0.502605000000019</f>
        <v>1294.2168140000001</v>
      </c>
      <c r="L47" s="3">
        <f>1476.1+(203.2-258.3)+(-4.516866+(-0.621792--0.790398))+0-328.3--1.00459800000004</f>
        <v>1089.3563380000001</v>
      </c>
      <c r="M47" s="3">
        <f>1475.7+(157.8-272.1)+(-0.752607+(-0.080478--0.138771))+0-325.8--0.166157999999967</f>
        <v>1035.0718440000001</v>
      </c>
      <c r="N47" s="3">
        <f>1469.5+(209.6-303.1)+(3.747225+(0.53448-0.772905))+0-328.5-0.837674999999952</f>
        <v>1050.1711250000001</v>
      </c>
      <c r="O47" s="3">
        <f>1457.6+(277.2-348.2)+(-1.486752+(-0.282744--0.355164))+0-329.8--0.336396000000053</f>
        <v>1055.722064</v>
      </c>
      <c r="P47" s="3">
        <f>1446.1+(339.1-384.3)+(-1.475022+(-0.345882--0.391986))+0-330.7--0.337314000000053</f>
        <v>1069.1083959999999</v>
      </c>
      <c r="Q47" s="3">
        <f>1439.4+(432.4-416.3)+(-2.936376+(-0.882096--0.849252))+0-331.1--0.675443999999986</f>
        <v>1122.1062240000001</v>
      </c>
      <c r="R47" s="3">
        <f>1429.3+(649.3-442)+(0.728943+(0.331143-0.22542))+0-330.1-0.168350999999967</f>
        <v>1307.1663149999997</v>
      </c>
      <c r="S47" s="3">
        <f>1420.3+(808.9-425.9)+(-2.173059+(-1.237617--0.651627))+0-329.4--0.503982000000019</f>
        <v>1471.6449329999998</v>
      </c>
      <c r="T47" s="3">
        <f>1416.1+(858.6-397)+(0.722211+(0.437886-0.20247))+0-331.3-0.168962999999966</f>
        <v>1547.1886639999998</v>
      </c>
      <c r="U47" s="3">
        <f>1414.9+(829-398.4)+(0.721599+(0.42279-0.203184))+0-330.3-0.168452999999966</f>
        <v>1515.9727520000001</v>
      </c>
      <c r="V47" s="3">
        <f>1422+(735.5-369.3)+(-2.90088+(-1.50042--0.753372))+0-330.1--0.673403999999986</f>
        <v>1455.1254759999999</v>
      </c>
      <c r="W47" s="3">
        <f>1428.4+(539.1-336.5)+(-4.370904+(-1.649646--1.02969))+0-332.8--1.01836800000004</f>
        <v>1294.2275079999999</v>
      </c>
      <c r="X47" s="3">
        <f>1446.3+(247.5-324.5)+(-5.163291+(-0.883575--1.158465))+0-332.2--1.185954</f>
        <v>1033.397553</v>
      </c>
      <c r="Y47" s="3">
        <f>1459.7+(221.3-363.4)+(-2.977788+(-0.451452--0.741336))+0-328.6--0.670343999999986</f>
        <v>986.98244000000022</v>
      </c>
      <c r="Z47" s="3">
        <f>1462.3+(440.8-415.2)+(-1.491546+(-0.449616--0.423504))+0-330--0.336600000000053</f>
        <v>1156.7189420000002</v>
      </c>
      <c r="AA47" s="3">
        <f>1465+(645.1-414.8)+(-4.4829+(-1.974006--1.269288))+0-330.8--1.01224800000004</f>
        <v>1360.3246300000001</v>
      </c>
      <c r="AB47" s="3">
        <f>1468.1+(750.2-402.8)+(-2.994924+(-1.530408--0.821712))+0-330.5--0.674219999999986</f>
        <v>1481.9705999999999</v>
      </c>
      <c r="AC47" s="3">
        <f>1469.2+(825.4-368.4)+(-1.498584+(-0.841908--0.375768))+0-327--0.333540000000052</f>
        <v>1597.5688160000002</v>
      </c>
      <c r="AD47" s="2">
        <v>1323.5</v>
      </c>
      <c r="AE47" s="3">
        <f>1463+(606.4-419.3)+(0+(0-0))+0-326.6-0</f>
        <v>1323.5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1469.9+(767.1-346.2)+(-2.248947+(-1.173663--0.529686))+0-327.9--0.501687000000019</f>
        <v>1560.5087630000003</v>
      </c>
      <c r="G48" s="3">
        <f>1470.7+(752.6-330.3)+(-2.250171+(-1.151478--0.505359))+0-329.4--0.503982000000019</f>
        <v>1561.2076920000002</v>
      </c>
      <c r="H48" s="3">
        <f>1471.5+(677.9-318.4)+(0+(0-0))+0-330.3-0</f>
        <v>1500.7</v>
      </c>
      <c r="I48" s="3">
        <f>1471.6+(647.5-286.5)+(-1.501032+(-0.66045--0.29223))+0-330--0.336600000000053</f>
        <v>1501.067348</v>
      </c>
      <c r="J48" s="3">
        <f>1469.7+(491.3-286.5)+(-2.248641+(-0.751689--0.438345))+0-329.4--0.503982000000019</f>
        <v>1343.041997</v>
      </c>
      <c r="K48" s="3">
        <f>1468+(441.9-254.7)+(-3.7434+(-1.126845--0.649485))+0-329.8--0.840989999999952</f>
        <v>1322.0202300000001</v>
      </c>
      <c r="L48" s="3">
        <f>1474.3+(259.3-271.4)+(0+(0-0))+0-327.2-0</f>
        <v>1135</v>
      </c>
      <c r="M48" s="3">
        <f>1471.4+(188.9-287.1)+(-0.750414+(-0.096339--0.146421))+0-325.2--0.165851999999967</f>
        <v>1047.46552</v>
      </c>
      <c r="N48" s="3">
        <f>1495.7+(215-333.8)+(0+(0-0))+0-329.6-0</f>
        <v>1047.3000000000002</v>
      </c>
      <c r="O48" s="3">
        <f>1489.8+(244.4-384.8)+(-0.759798+(-0.124644--0.196248))+0-330.6--0.168605999999966</f>
        <v>1018.2804119999997</v>
      </c>
      <c r="P48" s="3">
        <f>1488.3+(306.1-405.9)+(-0.759033+(-0.156111--0.207009))+0-247.9--0.126428999999975</f>
        <v>1140.0182939999997</v>
      </c>
      <c r="Q48" s="3">
        <f>1482.3+(458.3-460.9)+(-0.755973+(-0.233733--0.235059))+0-298.4--0.15218399999997</f>
        <v>1180.697537</v>
      </c>
      <c r="R48" s="3">
        <f>1473.3+(609.5-447.4)+(0+(0-0))+0-331.4-0</f>
        <v>1304</v>
      </c>
      <c r="S48" s="3">
        <f>1469.8+(755.5-418.5)+(-2.998392+(-1.54122--0.85374))+0-331.1--0.675443999999986</f>
        <v>1472.6895719999998</v>
      </c>
      <c r="T48" s="3">
        <f>1464.8+(817.9-389.4)+(-0.747048+(-0.417129--0.198594))+0-331.1--0.168860999999966</f>
        <v>1561.403278</v>
      </c>
      <c r="U48" s="3">
        <f>1464.9+(737.9-327.1)+(-1.494198+(-0.752658--0.333642))+0-331.4--0.338028000000053</f>
        <v>1542.7248140000002</v>
      </c>
      <c r="V48" s="3">
        <f>1485.4+(595.2-322.4)+(-3.78777+(-1.51776--0.82212))+0-329.9--0.841244999999952</f>
        <v>1424.6578350000002</v>
      </c>
      <c r="W48" s="3">
        <f>1574.7+(278.3-315)+(-1.606194+(-0.283866--0.3213))+0-273.7--0.279174000000044</f>
        <v>1263.0104139999999</v>
      </c>
      <c r="X48" s="3">
        <f>1620.2+(120.2-417.4)+(-4.957812+(-0.367812--1.277244))+0-269.6--0.824976000000031</f>
        <v>1050.176596</v>
      </c>
      <c r="Y48" s="3">
        <f>1611.3+(145.8-405.9)+(0+(0-0))+0-329.5-0</f>
        <v>1021.7</v>
      </c>
      <c r="Z48" s="3">
        <f>1599.8+(352.1-420.7)+(-1.631796+(-0.359142--0.429114))+0-336.4--0.343128000000054</f>
        <v>1193.5813040000003</v>
      </c>
      <c r="AA48" s="3">
        <f>1618.3+(486-425.8)+(-4.126665+(-1.2393--1.08579))+0-332.6--0.848129999999952</f>
        <v>1342.4679549999996</v>
      </c>
      <c r="AB48" s="3">
        <f>1625+(612.2-400.7)+(-2.48625+(-0.936666--0.613071))+0-331.7--0.507501000000019</f>
        <v>1502.497656</v>
      </c>
      <c r="AC48" s="3">
        <f>1659.4+(586.4-373.4)+(-3.385176+(-1.196256--0.761736))+0-334.2--0.681767999999985</f>
        <v>1535.0620719999999</v>
      </c>
      <c r="AD48" s="2">
        <v>1346.3000000000002</v>
      </c>
      <c r="AE48" s="3">
        <f>1618+(481.3-424.6)+(0+(0-0))+0-328.4-0</f>
        <v>1346.3000000000002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1663.5+(603.6-346)+(-5.938695+(-2.154852--1.23522))+0-333--1.18881</f>
        <v>1582.4304830000001</v>
      </c>
      <c r="G49" s="3">
        <f>1667.1+(553.6-328.1)+(-5.951547+(-1.976352--1.171317))+0-332.6--1.187382</f>
        <v>1554.4308000000001</v>
      </c>
      <c r="H49" s="3">
        <f>1664.8+(543.4-330.4)+(-1.698096+(-0.554268--0.337008))+0-334.4--0.341088000000053</f>
        <v>1541.8257320000002</v>
      </c>
      <c r="I49" s="3">
        <f>1665.3+(557.7-365.3)+(-0.849303+(-0.284427--0.186303))+0-334--0.170339999999966</f>
        <v>1522.9229129999999</v>
      </c>
      <c r="J49" s="3">
        <f>1667.7+(467.2-357)+(-0.850527+(-0.238272--0.18207))+0-333.6--0.170135999999966</f>
        <v>1443.5634069999999</v>
      </c>
      <c r="K49" s="3">
        <f>1670.3+(324.6-335)+(-3.407412+(-0.662184--0.6834))+0-333.4--0.680135999999985</f>
        <v>1323.79394</v>
      </c>
      <c r="L49" s="3">
        <f>1676.5+(89.1-310.2)+(-3.42006+(-0.181764--0.632808))+0-332.2--0.677687999999986</f>
        <v>1120.908672</v>
      </c>
      <c r="M49" s="3">
        <f>1666.6+(95.1-319)+(4.24983+(0.242505-0.81345))+0-328-0.836399999999952</f>
        <v>1117.5424849999999</v>
      </c>
      <c r="N49" s="3">
        <f>1712.8+(96-393.1)+(0.873528+(0.04896-0.200481))+0-354.5-0.180794999999964</f>
        <v>1061.7412119999999</v>
      </c>
      <c r="O49" s="3">
        <f>1641.8+(158-379.6)+(-0.837318+(-0.08058--0.193596))+0-330.8--0.168707999999966</f>
        <v>1088.8444059999997</v>
      </c>
      <c r="P49" s="3">
        <f>1632.4+(250-419.9)+(-0.832524+(-0.1275--0.214149))+0-332.9--0.169778999999966</f>
        <v>1129.0239039999999</v>
      </c>
      <c r="Q49" s="3">
        <f>1629.8+(338.2-399.2)+(-0.831198+(-0.172482--0.203592))+0-306.7--0.156416999999969</f>
        <v>1261.4563289999999</v>
      </c>
      <c r="R49" s="3">
        <f>1637.8+(468.1-421.8)+(-5.011668+(-1.432386--1.290708))+0-300.9--0.920754000000035</f>
        <v>1378.9674079999998</v>
      </c>
      <c r="S49" s="3">
        <f>1641.8+(627.1-410.3)+(-2.511954+(-0.959463--0.627759))+0-331.1--0.506583000000019</f>
        <v>1525.1629249999999</v>
      </c>
      <c r="T49" s="3">
        <f>1638+(629.6-376.2)+(0.83538+(0.321096-0.191862))+0-332.4-0.169523999999966</f>
        <v>1559.7950900000001</v>
      </c>
      <c r="U49" s="3">
        <f>1635.3+(590.6-335)+(-4.170015+(-1.50603--0.85425))+0-330.1--0.841754999999952</f>
        <v>1556.8199599999998</v>
      </c>
      <c r="V49" s="3">
        <f>1636.2+(450.6-338)+(-4.17231+(-1.14903--0.8619))+0-328.8--0.838439999999952</f>
        <v>1416.3790000000001</v>
      </c>
      <c r="W49" s="3">
        <f>1641.7+(213.9-319.1)+(-4.186335+(-0.545445--0.813705))+0-329.2--0.839459999999952</f>
        <v>1204.2213849999998</v>
      </c>
      <c r="X49" s="3">
        <f>1650.9+(133.8-429.4)+(-1.683918+(-0.136476--0.437988))+0-328.4--0.334968000000052</f>
        <v>1025.8525620000005</v>
      </c>
      <c r="Y49" s="3">
        <f>1655.9+(147.6-461.4)+(-0.844509+(-0.075276--0.235314))+0-329.5--0.168044999999967</f>
        <v>1012.0835740000001</v>
      </c>
      <c r="Z49" s="3">
        <f>1661.6+(307.4-410.2)+(-2.542248+(-0.470322--0.627606))+0-330.5--0.505665000000019</f>
        <v>1226.4207009999998</v>
      </c>
      <c r="AA49" s="3">
        <f>1668+(471.4-411.7)+(-4.2534+(-1.20207--1.049835))+0-329.2--0.839459999999952</f>
        <v>1394.9338249999998</v>
      </c>
      <c r="AB49" s="3">
        <f>1670.2+(538.5-398.2)+(-2.555406+(-0.823905--0.609246))+0-328.8--0.503064000000019</f>
        <v>1479.4329990000001</v>
      </c>
      <c r="AC49" s="3">
        <f>1673+(639.2-354.8)+(-2.55969+(-0.977976--0.542844))+0-329--0.503370000000019</f>
        <v>1625.9085480000001</v>
      </c>
      <c r="AD49" s="2">
        <v>1379.6</v>
      </c>
      <c r="AE49" s="3">
        <f>1665+(451.6-405.6)+(0+(0-0))+0-331.4-0</f>
        <v>1379.6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1674.8+(572.1-340.5)+(-4.27074+(-1.458855--0.868275))+0-329.7--0.840734999999952</f>
        <v>1572.6794150000001</v>
      </c>
      <c r="G50" s="3">
        <f>1674.9+(554.4-360.4)+(-2.562597+(-0.848232--0.551412))+0-332.7--0.509031000000019</f>
        <v>1533.8496140000002</v>
      </c>
      <c r="H50" s="3">
        <f>1679+(475.6-361.1)+(-4.28145+(-1.21278--0.920805))+0-331.3--0.844814999999952</f>
        <v>1458.4713899999999</v>
      </c>
      <c r="I50" s="3">
        <f>1678.8+(409.6-343.8)+(-3.424752+(-0.835584--0.701352))+0-331.1--0.675443999999986</f>
        <v>1410.6164599999997</v>
      </c>
      <c r="J50" s="3">
        <f>1676.7+(355.4-331.1)+(-2.565351+(-0.543762--0.506583))+0-330.3--0.505359000000019</f>
        <v>1368.6028290000002</v>
      </c>
      <c r="K50" s="3">
        <f>1678+(244.1-296.3)+(-1.71156+(-0.248982--0.302226))+0-331.8--0.338436000000053</f>
        <v>1292.68012</v>
      </c>
      <c r="L50" s="3">
        <f>1682.4+(50.1-303.1)+(-3.432096+(-0.102204--0.618324))+0-329--0.671159999999986</f>
        <v>1098.155184</v>
      </c>
      <c r="M50" s="3">
        <f>1677.9+(68.1-348.5)+(1.711458+(0.069462-0.35547))+0-328-0.334560000000052</f>
        <v>1070.5908899999999</v>
      </c>
      <c r="N50" s="3">
        <f>1673.5+(140.9-419.3)+(-1.70697+(-0.143718--0.427686))+0-331.5--0.338130000000053</f>
        <v>1062.515128</v>
      </c>
      <c r="O50" s="3">
        <f>1663.8+(151.3-456.4)+(0+(0-0))+0-332.1-0</f>
        <v>1026.5999999999999</v>
      </c>
      <c r="P50" s="3">
        <f>1659.7+(201.6-412.6)+(0+(0-0))+0-331.2-0</f>
        <v>1117.5</v>
      </c>
      <c r="Q50" s="3">
        <f>1651.9+(292.5-420.3)+(0+(0-0))+0-331.3-0</f>
        <v>1192.8000000000002</v>
      </c>
      <c r="R50" s="3">
        <f>1635+(599.6-550)+(0+(0-0))+0-330-0</f>
        <v>1354.6</v>
      </c>
      <c r="S50" s="3">
        <f>1637.3+(618.1-443)+(-4.175115+(-1.576155--1.12965))+0-330.4--0.842519999999952</f>
        <v>1478.2209</v>
      </c>
      <c r="T50" s="3">
        <f>1625+(777.1-498)+(-4.14375+(-1.981605--1.2699))+0-330--0.841499999999952</f>
        <v>1570.086045</v>
      </c>
      <c r="U50" s="3">
        <f>1635.3+(605.1-375)+(-2.502009+(-0.925803--0.57375))+0-330.6--0.505818000000019</f>
        <v>1532.4517559999999</v>
      </c>
      <c r="V50" s="3">
        <f>1636.1+(450.5-297)+(-3.337644+(-0.91902--0.60588))+0-329.4--0.671975999999986</f>
        <v>1457.221192</v>
      </c>
      <c r="W50" s="3">
        <f>1629.4+(227.7-279.8)+(-4.15497+(-0.580635--0.71349))+0-330.2--0.842009999999952</f>
        <v>1243.919895</v>
      </c>
      <c r="X50" s="3">
        <f>1634.4+(119.8-339.8)+(-4.16772+(-0.30549--0.86649))+0-331.9--0.846344999999952</f>
        <v>1079.7396250000002</v>
      </c>
      <c r="Y50" s="3">
        <f>1644.8+(91.4-368.2)+(-1.677696+(-0.093228--0.375564))+0-330.3--0.336906000000053</f>
        <v>1036.6415460000001</v>
      </c>
      <c r="Z50" s="3">
        <f>1659.2+(241.1-371.4)+(-2.538576+(-0.368883--0.568242))+0-330.6--0.505818000000019</f>
        <v>1196.4666010000001</v>
      </c>
      <c r="AA50" s="3">
        <f>1666.3+(381.2-378.7)+(-5.098878+(-1.166472--1.158822))+0-331.1--1.01316600000004</f>
        <v>1333.606638</v>
      </c>
      <c r="AB50" s="3">
        <f>1668.1+(471.2-370.4)+(-0.850731+(-0.240312--0.188904))+0-330.2--0.168401999999966</f>
        <v>1437.9662629999998</v>
      </c>
      <c r="AC50" s="3">
        <f>1668.7+(516.9-353.8)+(-2.553111+(-0.790857--0.541314))+0-329.3--0.503829000000019</f>
        <v>1500.2011749999999</v>
      </c>
      <c r="AD50" s="2">
        <v>1325.6000000000001</v>
      </c>
      <c r="AE50" s="3">
        <f>1663+(367.2-373.8)+(0+(0-0))+0-330.8-0</f>
        <v>1325.6000000000001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1671.8+(510.9-333.9)+(-4.26309+(-1.302795--0.851445))+0-329.6--0.840479999999952</f>
        <v>1515.3260399999999</v>
      </c>
      <c r="G51" s="3">
        <f>1673.9+(545-326.1)+(-4.268445+(-1.38975--0.831555))+0-330.8--0.843539999999952</f>
        <v>1558.0169000000001</v>
      </c>
      <c r="H51" s="3">
        <f>1676.1+(463.8-319.4)+(-3.419244+(-0.946152--0.651576))+0-330.9--0.675035999999986</f>
        <v>1486.5612160000001</v>
      </c>
      <c r="I51" s="3">
        <f>1673.5+(427.8-292)+(-0.853485+(-0.218178--0.14892))+0-330.7--0.168656999999966</f>
        <v>1477.8459139999998</v>
      </c>
      <c r="J51" s="3">
        <f>1674.6+(414.3-270.1)+(2.562138+(0.633879-0.413253))+0-331.2-0.506736000000019</f>
        <v>1489.8760279999999</v>
      </c>
      <c r="K51" s="3">
        <f>1675.4+(291.9-281.8)+(-2.563362+(-0.446607--0.431154))+0-333--0.509490000000019</f>
        <v>1350.4306749999998</v>
      </c>
      <c r="L51" s="3">
        <f>1673.4+(106.2-295.8)+(-0.853434+(-0.054162--0.150858))+0-327--0.166769999999967</f>
        <v>1156.2100320000002</v>
      </c>
      <c r="M51" s="3">
        <f>1669.8+(84.7-391.8)+(-3.406392+(-0.172788--0.799272))+0-326.8--0.666671999999986</f>
        <v>1033.7867639999999</v>
      </c>
      <c r="N51" s="3">
        <f>1658.6+(100.3-388.8)+(-2.537658+(-0.153459--0.594864))+0-331.8--0.507654000000019</f>
        <v>1036.711401</v>
      </c>
      <c r="O51" s="3">
        <f>1642.8+(113.2-350.2)+(-1.675656+(-0.115464--0.357204))+0-332.2--0.338844000000053</f>
        <v>1072.5049280000001</v>
      </c>
      <c r="P51" s="3">
        <f>1643.3+(169.5-318.3)+(-1.676166+(-0.17289--0.324666))+0-332.1--0.338742000000053</f>
        <v>1161.2143520000002</v>
      </c>
      <c r="Q51" s="3">
        <f>1636.6+(232.4-341.5)+(-1.669332+(-0.237048--0.34833))+0-333.1--0.339762000000053</f>
        <v>1193.1817120000001</v>
      </c>
      <c r="R51" s="3">
        <f>1640.6+(610.3-365)+(-0.836706+(-0.311253--0.18615))+0-331.4--0.169013999999966</f>
        <v>1553.7072050000002</v>
      </c>
      <c r="S51" s="3">
        <f>1644.1+(602-334.6)+(-3.353964+(-1.22808--0.682584))+0-332.3--0.677891999999986</f>
        <v>1575.9784319999999</v>
      </c>
      <c r="T51" s="3">
        <f>1644.1+(599-334.6)+(-3.353964+(-1.22196--0.682584))+0-332.3--0.677891999999986</f>
        <v>1572.9845519999999</v>
      </c>
      <c r="U51" s="3">
        <f>1632.6+(564.4-290.4)+(0+(0-0))+0-331-0</f>
        <v>1575.6</v>
      </c>
      <c r="V51" s="3">
        <f>1632.6+(433.5-278.7)+(-3.330504+(-0.88434--0.568548))+0-331.6--0.676463999999986</f>
        <v>1452.8301679999997</v>
      </c>
      <c r="W51" s="3">
        <f>1636.9+(208.3-267.1)+(-5.008914+(-0.637398--0.817326))+0-330.4--1.01102400000004</f>
        <v>1243.8820380000004</v>
      </c>
      <c r="X51" s="3">
        <f>1636.9+(158.5-326.1)+(-5.008914+(-0.48501--0.997866))+0-330.4--1.01102400000004</f>
        <v>1135.4149660000005</v>
      </c>
      <c r="Y51" s="3">
        <f>1654.6+(117-332.3)+(-5.906922+(-0.41769--1.186311))+0-330--1.1781</f>
        <v>1105.3397990000001</v>
      </c>
      <c r="Z51" s="3">
        <f>1675.9+(227.3-324.5)+(-0.854709+(-0.115923--0.165495))+0-332.4--0.169523999999966</f>
        <v>1245.6643869999998</v>
      </c>
      <c r="AA51" s="3">
        <f>1675.7+(314.2-316.3)+(-5.127642+(-0.961452--0.967878))+0-331.7--1.01500200000004</f>
        <v>1337.793786</v>
      </c>
      <c r="AB51" s="3">
        <f>1660.2+(371.6-286.2)+(-2.540106+(-0.568548--0.437886))+0-330.1--0.505053000000019</f>
        <v>1413.3342850000001</v>
      </c>
      <c r="AC51" s="3">
        <f>1658+(425.5-269)+(-3.38232+(-0.86802--0.54876))+0-330.1--0.673403999999986</f>
        <v>1481.3718240000001</v>
      </c>
      <c r="AD51" s="2">
        <v>1310.1999999999998</v>
      </c>
      <c r="AE51" s="3">
        <f>1672+(288.1-320.8)+(0+(0-0))+0-329.1-0</f>
        <v>1310.1999999999998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1662.9+(389-250)+(-4.240395+(-0.99195--0.6375))+0-328.8--0.838439999999952</f>
        <v>1469.3435950000001</v>
      </c>
      <c r="G52" s="3">
        <f>1667.1+(409.3-246.6)+(-3.400884+(-0.834972--0.503064))+0-330--0.673199999999986</f>
        <v>1496.7404079999999</v>
      </c>
      <c r="H52" s="3">
        <f>1674.1+(342.6-250.4)+(-2.561373+(-0.524178--0.383112))+0-332.1--0.508113000000019</f>
        <v>1432.0056740000002</v>
      </c>
      <c r="I52" s="3">
        <f>1674.3+(363.2-220.7)+(4.269465+(0.92616-0.562785))+0-330.7-0.843284999999952</f>
        <v>1489.889555</v>
      </c>
      <c r="J52" s="3">
        <f>1673.6+(287.4-221.8)+(-2.560608+(-0.439722--0.339354))+0-328--0.501840000000019</f>
        <v>1409.0408640000001</v>
      </c>
      <c r="K52" s="3">
        <f>1675.6+(176.9-217.3)+(-0.854556+(-0.090219--0.110823))+0-330.5--0.168554999999966</f>
        <v>1304.0346029999998</v>
      </c>
      <c r="L52" s="3">
        <f>1673.6+(83.7-258.2)+(-1.707072+(-0.085374--0.263364))+0-328.3--0.334866000000052</f>
        <v>1169.6057840000001</v>
      </c>
      <c r="M52" s="3">
        <f>1669+(50.4-270.6)+(0.85119+(0.025704-0.138006))+0-328.9-0.167738999999967</f>
        <v>1120.471149</v>
      </c>
      <c r="N52" s="3">
        <f>1632.1+(72.6-275.5)+(0+(0-0))+0-332.3-0</f>
        <v>1096.8999999999999</v>
      </c>
      <c r="O52" s="3">
        <f>1514.3+(207.6-259.5)+(-1.544586+(-0.211752--0.26469))+0-333.3--0.339966000000053</f>
        <v>1127.948318</v>
      </c>
      <c r="P52" s="3">
        <f>1602.2+(275-288)+(0.817122+(0.14025-0.14688))+0-334-0.170339999999966</f>
        <v>1255.8401520000002</v>
      </c>
      <c r="Q52" s="3">
        <f>1492.9+(419-306)+(-0.761379+(-0.21369--0.15606))+0-332--0.169319999999966</f>
        <v>1273.250311</v>
      </c>
      <c r="R52" s="3">
        <f>1487.4+(515-315)+(1.517148+(0.5253-0.3213))+0-335-0.341700000000053</f>
        <v>1353.7794480000002</v>
      </c>
      <c r="S52" s="3">
        <f>1487+(670.9-331)+(-3.03348+(-1.368636--0.67524))+0-328.6--0.670343999999986</f>
        <v>1495.2434679999999</v>
      </c>
      <c r="T52" s="3">
        <f>1481.4+(709.3-310.5)+(0.755514+(0.361743-0.158355))+0-327.4-0.166973999999967</f>
        <v>1553.5919280000001</v>
      </c>
      <c r="U52" s="3">
        <f>1476.6+(704.3-281.4)+(-1.506132+(-0.718386--0.287028))+0-329.7--0.336294000000053</f>
        <v>1568.1988039999999</v>
      </c>
      <c r="V52" s="3">
        <f>1471.7+(547.2-257.6)+(-3.002268+(-1.116288--0.525504))+0-331.9--0.677075999999985</f>
        <v>1426.4840240000003</v>
      </c>
      <c r="W52" s="3">
        <f>1471.8+(297.2-231.7)+(0.750618+(0.151572-0.118167))+0-332.5-0.169574999999966</f>
        <v>1205.414448</v>
      </c>
      <c r="X52" s="3">
        <f>1473.5+(139.5-253.4)+(-5.260395+(-0.498015--0.904638))+0-330.4--1.179528</f>
        <v>1025.5257559999998</v>
      </c>
      <c r="Y52" s="3">
        <f>1488.9+(139.7-256.9)+(-2.278017+(-0.213741--0.393057))+0-328.8--0.503064000000019</f>
        <v>1041.3043630000002</v>
      </c>
      <c r="Z52" s="3">
        <f>1501.3+(335.7-270.8)+(-1.531326+(-0.342414--0.276216))+0-329.5--0.336090000000053</f>
        <v>1235.4385659999998</v>
      </c>
      <c r="AA52" s="3">
        <f>1502.8+(421.8-254.6)+(-4.598568+(-1.290708--0.779076))+0-330--1.00980000000004</f>
        <v>1335.8996</v>
      </c>
      <c r="AB52" s="3">
        <f>1505.7+(482.8-246.7)+(0+(0-0))+0-328-0</f>
        <v>1413.8000000000002</v>
      </c>
      <c r="AC52" s="3">
        <f>1509.9+(553.8-223.8)+(-0.770049+(-0.282438--0.114138))+0-329--0.167789999999967</f>
        <v>1510.129441</v>
      </c>
      <c r="AD52" s="2">
        <v>1333.5</v>
      </c>
      <c r="AE52" s="3">
        <f>1502+(429.4-268.3)+(0+(0-0))+0-329.6-0</f>
        <v>1333.5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1511.3+(612.3-200.7)+(-3.853815+(-1.561365--0.511785))+0-329--0.838949999999952</f>
        <v>1589.8355549999997</v>
      </c>
      <c r="G53" s="3">
        <f>1511.4+(544.4-217.1)+(-0.770814+(-0.277644--0.110721))+0-330--0.168299999999967</f>
        <v>1507.9305630000001</v>
      </c>
      <c r="H53" s="3">
        <f>1517.8+(604.6-190.5)+(-2.322234+(-0.925038--0.291465))+0-332--0.507960000000019</f>
        <v>1597.452153</v>
      </c>
      <c r="I53" s="3">
        <f>1517.6+(492.4-195.4)+(-3.095904+(-1.004496--0.398616))+0-331--0.675239999999986</f>
        <v>1480.5734559999999</v>
      </c>
      <c r="J53" s="3">
        <f>1518.8+(499.4-178.7)+(0+(0-0))+0-326-0</f>
        <v>1513.5</v>
      </c>
      <c r="K53" s="3">
        <f>1524.2+(392.7-186.3)+(-3.109368+(-0.801108--0.380052))+0-326--0.665039999999986</f>
        <v>1401.734616</v>
      </c>
      <c r="L53" s="3">
        <f>1527.3+(146.1-197.6)+(-3.115692+(-0.298044--0.403104))+0-328--0.669119999999986</f>
        <v>1145.458488</v>
      </c>
      <c r="M53" s="3">
        <f>1527+(154.7-247.8)+(0+(0-0))+0-328-0</f>
        <v>1105.9000000000001</v>
      </c>
      <c r="N53" s="3">
        <f>1494.7+(174-272.9)+(-1.524594+(-0.17748--0.278358))+0-329--0.335580000000052</f>
        <v>1065.7118640000003</v>
      </c>
      <c r="O53" s="3">
        <f>1479.1+(237.4-287.9)+(0+(0-0))+0-330-0</f>
        <v>1098.5999999999999</v>
      </c>
      <c r="P53" s="3">
        <f>1469.7+(267.3-281.8)+(0+(0-0))+0-330-0</f>
        <v>1125.2</v>
      </c>
      <c r="Q53" s="3">
        <f>1469.9+(349.7-306.4)+(-0.749649+(-0.178347--0.156264))+0-330--0.168299999999967</f>
        <v>1182.5965680000002</v>
      </c>
      <c r="R53" s="3">
        <f>1471.7+(478-357.6)+(-0.750567+(-0.24378--0.182376))+0-328--0.167279999999967</f>
        <v>1263.4553089999997</v>
      </c>
      <c r="S53" s="3">
        <f>1465.9+(697.9-306.5)+(-1.495218+(-0.711858--0.31263))+0-327--0.333540000000052</f>
        <v>1528.7390940000003</v>
      </c>
      <c r="T53" s="3">
        <f>1462.2+(757.3-288.4)+(-2.237166+(-1.158669--0.441252))+0-327--0.500310000000019</f>
        <v>1601.6457270000001</v>
      </c>
      <c r="U53" s="3">
        <f>1463.2+(733.9-257.9)+(-1.492464+(-0.748578--0.263058))+0-330--0.336600000000053</f>
        <v>1607.558616</v>
      </c>
      <c r="V53" s="3">
        <f>1468.2+(486.2-236.4)+(0.748782+(0.247962-0.120564))+0-330-0.168299999999967</f>
        <v>1388.7078799999999</v>
      </c>
      <c r="W53" s="3">
        <f>1475.6+(302.2-209.7)+(-0.752556+(-0.154122--0.106947))+0-330--0.168299999999967</f>
        <v>1237.4685689999999</v>
      </c>
      <c r="X53" s="3">
        <f>1484.2+(67.2-235.4)+(-3.78471+(-0.17136--0.60027))+0-331--0.844049999999952</f>
        <v>982.48824999999988</v>
      </c>
      <c r="Y53" s="3">
        <f>1484+(114.4-250.2)+(-2.27052+(-0.175032--0.382806))+0-329--0.503370000000019</f>
        <v>1017.640624</v>
      </c>
      <c r="Z53" s="3">
        <f>1484.6+(303.2-346.1)+(-2.271438+(-0.463896--0.529533))+0-330--0.504900000000019</f>
        <v>1109.9990989999997</v>
      </c>
      <c r="AA53" s="3">
        <f>1494.4+(468.5-358.9)+(-2.286432+(-0.716805--0.549117))+0-330--0.504900000000019</f>
        <v>1272.0507799999998</v>
      </c>
      <c r="AB53" s="3">
        <f>1506.2+(645.1-329)+(1.536324+(0.658002-0.33558))+0-332-0.338640000000053</f>
        <v>1491.8201060000004</v>
      </c>
      <c r="AC53" s="3">
        <f>1500.7+(673.7-311.5)+(-1.530714+(-0.687174--0.31773))+0-328.6--0.335172000000052</f>
        <v>1532.7350140000003</v>
      </c>
      <c r="AD53" s="2">
        <v>1199.5</v>
      </c>
      <c r="AE53" s="3">
        <f>1489+(405.8-361.3)+(0+(0-0))+0-334-0</f>
        <v>1199.5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1497.9+(742.2-275.7)+(-0.763929+(-0.378522--0.140607))+0-329--0.167789999999967</f>
        <v>1634.5659460000002</v>
      </c>
      <c r="G54" s="3">
        <f>1499.9+(613.1-270.6)+(-3.824745+(-1.563405--0.69003))+0-331.1--0.844304999999952</f>
        <v>1507.446185</v>
      </c>
      <c r="H54" s="3">
        <f>1511.1+(575.9-244.7)+(0+(0-0))+0-330.7-0</f>
        <v>1511.6</v>
      </c>
      <c r="I54" s="3">
        <f>1503.6+(507.3-230.3)+(-2.300508+(-0.776169--0.352359))+0-328.8--0.503064000000019</f>
        <v>1449.5787459999999</v>
      </c>
      <c r="J54" s="3">
        <f>1496.4+(477-208.6)+(2.289492+(0.72981-0.319158))+0-329.7-0.504441000000019</f>
        <v>1437.295703</v>
      </c>
      <c r="K54" s="3">
        <f>1489+(331.9-198.3)+(-1.51878+(-0.338538--0.202266))+0-328.8--0.335376000000052</f>
        <v>1292.4803239999999</v>
      </c>
      <c r="L54" s="3">
        <f>1488.5+(150.8-248)+(-2.277405+(-0.230724--0.37944))+0-327.7--0.501381000000019</f>
        <v>1061.9726920000001</v>
      </c>
      <c r="M54" s="3">
        <f>1483.6+(139.1-278.2)+(0.756636+(0.070941-0.141882))+0-326.7-0.166616999999967</f>
        <v>1018.3190779999999</v>
      </c>
      <c r="N54" s="3">
        <f>1471.2+(212.2-292.9)+(3.001248+(0.432888-0.597516))+0-329.7-0.672587999999986</f>
        <v>1062.9640320000001</v>
      </c>
      <c r="O54" s="3">
        <f>1452.5+(287.1-290.9)+(-0.740775+(-0.146421--0.148359))+0-329.7--0.168146999999967</f>
        <v>1118.4293099999998</v>
      </c>
      <c r="P54" s="3">
        <f>1440.9+(279.1-276.2)+(0+(0-0))+0-331.2-0</f>
        <v>1112.6000000000001</v>
      </c>
      <c r="Q54" s="3">
        <f>1437.2+(391-317.9)+(-1.465944+(-0.39882--0.324258))+0-330.6--0.337212000000053</f>
        <v>1178.4967060000001</v>
      </c>
      <c r="R54" s="3">
        <f>1433.6+(618.2-319.3)+(-0.731136+(-0.315282--0.162843))+0-330.3--0.168452999999966</f>
        <v>1401.484878</v>
      </c>
      <c r="S54" s="3">
        <f>1428.6+(804.3-302.5)+(-1.457172+(-0.820386--0.30855))+0-329.8--0.336396000000053</f>
        <v>1598.967388</v>
      </c>
      <c r="T54" s="3">
        <f>1424.6+(813-311.7)+(-0.726546+(-0.41463--0.158967))+0-330.6--0.168605999999966</f>
        <v>1594.4863969999999</v>
      </c>
      <c r="U54" s="3">
        <f>1420.7+(839.7-287.5)+(-2.173671+(-1.284741--0.439875))+0-329--0.503370000000019</f>
        <v>1641.3848330000003</v>
      </c>
      <c r="V54" s="3">
        <f>1420.9+(701.2-255)+(0+(0-0))+0-327.5-0</f>
        <v>1539.6000000000001</v>
      </c>
      <c r="W54" s="3">
        <f>1424.4+(496.5-243.4)+(-2.179332+(-0.759645--0.372402))+0-327.5--0.501075000000019</f>
        <v>1347.9345000000001</v>
      </c>
      <c r="X54" s="3">
        <f>1434.9+(249.7-215.5)+(-3.658995+(-0.636735--0.549525))+0-326.6--0.832829999999953</f>
        <v>1139.5866250000001</v>
      </c>
      <c r="Y54" s="3">
        <f>1441.5+(199.3-243.5)+(-2.205495+(-0.304929--0.372555))+0-328.8--0.503064000000019</f>
        <v>1066.8651950000001</v>
      </c>
      <c r="Z54" s="3">
        <f>1453.8+(521.1-308.1)+(-0.741438+(-0.265761--0.157131))+0-330.4--0.168503999999966</f>
        <v>1335.7184359999999</v>
      </c>
      <c r="AA54" s="3">
        <f>1464.3+(577.6-319.8)+(-2.987172+(-1.178304--0.652392))+0-330.1--0.673403999999986</f>
        <v>1389.1603199999997</v>
      </c>
      <c r="AB54" s="3">
        <f>1464+(638.6-305.8)+(-0.74664+(-0.325686--0.155958))+0-328.9--0.167738999999967</f>
        <v>1467.1513709999999</v>
      </c>
      <c r="AC54" s="3">
        <f>1468.4+(748.5-259.2)+(0.748884+(0.381735-0.132192))+0-329.1-0.167840999999967</f>
        <v>1629.4305859999999</v>
      </c>
      <c r="AD54" s="2">
        <v>1391.9999999999998</v>
      </c>
      <c r="AE54" s="3">
        <f>1477+(567.6-322.4)+(0+(0-0))+0-330.2-0</f>
        <v>1392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1491.4+(773.9-242.1)+(-1.521228+(-0.789378--0.246942))+0-329.9--0.336498000000053</f>
        <v>1691.5728340000001</v>
      </c>
      <c r="G55" s="3">
        <f>1498.1+(750.4-223.8)+(-3.820155+(-1.91352--0.57069))+0-328.9--0.838694999999952</f>
        <v>1691.4757099999997</v>
      </c>
      <c r="H55" s="3">
        <f>1504+(643.5-213.6)+(-2.30112+(-0.984555--0.326808))+0-329.8--0.504594000000019</f>
        <v>1601.6457270000001</v>
      </c>
      <c r="I55" s="3">
        <f>1507.5+(533.2-203.7)+(-1.53765+(-0.543864--0.207774))+0-329.4--0.335988000000053</f>
        <v>1506.062248</v>
      </c>
      <c r="J55" s="3">
        <f>1513.4+(563.5-173.4)+(-1.543668+(-0.57477--0.176868))+0-327.8--0.334356000000052</f>
        <v>1574.0927860000002</v>
      </c>
      <c r="K55" s="3">
        <f>1514.6+(381.3-170.3)+(-3.86223+(-0.972315--0.434265))+0-328.7--0.838184999999952</f>
        <v>1393.3379049999996</v>
      </c>
      <c r="L55" s="3">
        <f>1510+(215-162.6)+(-3.0804+(-0.4386--0.331704))+0-329--0.671159999999986</f>
        <v>1230.8838639999999</v>
      </c>
      <c r="M55" s="3">
        <f>1504.5+(118.5-195.4)+(2.301885+(0.181305-0.298962))+0-325.5-0.498015000000019</f>
        <v>1103.7862129999999</v>
      </c>
      <c r="N55" s="3">
        <f>1469.6+(205.4-202.4)+(1.498992+(0.209508-0.206448))+0-330-0.336600000000053</f>
        <v>1143.7654519999999</v>
      </c>
      <c r="O55" s="3">
        <f>1452+(247.9-229.2)+(0+(0-0))+0-331-0</f>
        <v>1139.7</v>
      </c>
      <c r="P55" s="3">
        <f>1466.6+(351.8-254.1)+(0+(0-0))+0-329.2-0</f>
        <v>1235.0999999999999</v>
      </c>
      <c r="Q55" s="3">
        <f>1468.8+(436.9-304.6)+(0+(0-0))+0-331.8-0</f>
        <v>1269.3</v>
      </c>
      <c r="R55" s="3">
        <f>1437.3+(704-330.2)+(-0.733023+(-0.35904--0.168402))+0-330.2--0.168401999999966</f>
        <v>1480.1447409999998</v>
      </c>
      <c r="S55" s="3">
        <f>1453.8+(841.8-338.7)+(-1.482876+(-0.858636--0.345474))+0-327.3--0.333846000000052</f>
        <v>1627.9378079999999</v>
      </c>
      <c r="T55" s="3">
        <f>1503.3+(910.9-328.5)+(0+(0-0))+0-327.5-0</f>
        <v>1758.1999999999998</v>
      </c>
      <c r="U55" s="3">
        <f>1500.5+(816.2-309.6)+(-3.06102+(-1.665048--0.631584))+0-329.1--0.671363999999986</f>
        <v>1674.5768799999998</v>
      </c>
      <c r="V55" s="3">
        <f>1571.1+(586.6-270.1)+(-4.006305+(-1.49583--0.688755))+0-329.6--0.840479999999952</f>
        <v>1554.0270999999998</v>
      </c>
      <c r="W55" s="3">
        <f>1642.7+(295.2-247.5)+(-5.864439+(-1.053864--0.883575))+0-330.6--1.180242</f>
        <v>1354.945514</v>
      </c>
      <c r="X55" s="3">
        <f>1675+(104.1-317.3)+(-5.97975+(-0.371637--1.132761))+0-330.8--1.180956</f>
        <v>1126.9623299999998</v>
      </c>
      <c r="Y55" s="3">
        <f>1686.9+(67.4-382.4)+(-0.860319+(-0.034374--0.195024))+0-330.5--0.168554999999966</f>
        <v>1040.868886</v>
      </c>
      <c r="Z55" s="3">
        <f>1698.6+(254.7-356.4)+(0.866286+(0.129897-0.181764))+0-332.4-0.169523999999966</f>
        <v>1265.1448949999999</v>
      </c>
      <c r="AA55" s="3">
        <f>1702.3+(435.1-378.3)+(-5.209038+(-1.331406--1.157598))+0-331.9--1.01561400000004</f>
        <v>1422.832768</v>
      </c>
      <c r="AB55" s="3">
        <f>1704.7+(564.9-358.4)+(-4.346985+(-1.440495--0.91392))+0-330.2--0.842009999999952</f>
        <v>1576.9684499999998</v>
      </c>
      <c r="AC55" s="3">
        <f>1715+(592.1-328.9)+(-4.37325+(-1.509855--0.838695))+0-330.3--0.842264999999952</f>
        <v>1643.6978550000001</v>
      </c>
      <c r="AD55" s="2">
        <v>1338.1999999999998</v>
      </c>
      <c r="AE55" s="3">
        <f>1704+(344.7-380.3)+(0+(0-0))+0-330.2-0</f>
        <v>1338.2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1697.7+(524.8-465.8)+(-1.731654+(-0.535296--0.475116))+0-104--0.106080000000017</f>
        <v>1651.014246</v>
      </c>
      <c r="G56" s="3">
        <f>1755.5+(440.2-373.6)+(-0.895305+(-0.224502--0.190536))+0-330.8--0.168707999999966</f>
        <v>1490.5394369999999</v>
      </c>
      <c r="H56" s="3">
        <f>1766.9+(348.1-331.6)+(-3.604476+(-0.710124--0.676464))+0-331.9--0.677075999999985</f>
        <v>1448.5389399999999</v>
      </c>
      <c r="I56" s="3">
        <f>1771.2+(306.4-292.8)+(-2.709936+(-0.468792--0.447984))+0-331.2--0.506736000000019</f>
        <v>1451.375992</v>
      </c>
      <c r="J56" s="3">
        <f>1793.4+(206.3-253.7)+(0+(0-0))+0-330.5-0</f>
        <v>1415.5</v>
      </c>
      <c r="K56" s="3">
        <f>1844.8+(107.2-242.5)+(-3.763392+(-0.218688--0.4947))+0-329.8--0.672791999999986</f>
        <v>1376.8854120000001</v>
      </c>
      <c r="L56" s="3">
        <f>1876.9+(34.1-394.9)+(-0.957219+(-0.017391--0.201399))+0-327.5--0.167024999999967</f>
        <v>1187.9938140000002</v>
      </c>
      <c r="M56" s="3">
        <f>1875+(32.1-456.7)+(-0.95625+(-0.016371--0.232917))+0-325.5--0.166004999999967</f>
        <v>1124.3263010000001</v>
      </c>
      <c r="N56" s="3">
        <f>1834.3+(71.2-469)+(0.935493+(0.036312-0.23919))+0-329.9-0.168248999999967</f>
        <v>1107.1643659999997</v>
      </c>
      <c r="O56" s="3">
        <f>1818.5+(113.4-487.3)+(0.927435+(0.057834-0.248523))+0-331.5-0.169064999999966</f>
        <v>1113.6676809999999</v>
      </c>
      <c r="P56" s="3">
        <f>1825.1+(159-476.3)+(-1.861602+(-0.16218--0.485826))+0-331.9--0.338538000000053</f>
        <v>1174.7005819999999</v>
      </c>
      <c r="Q56" s="3">
        <f>1835+(202.6-444.8)+(0+(0-0))+0-331.4-0</f>
        <v>1261.4000000000001</v>
      </c>
      <c r="R56" s="3">
        <f>1825.7+(360.7-391.3)+(0+(0-0))+0-331.8-0</f>
        <v>1463.3</v>
      </c>
      <c r="S56" s="3">
        <f>1816+(542.6-398.7)+(-2.77848+(-0.830178--0.610011))+0-332.1--0.508113000000019</f>
        <v>1625.3094660000004</v>
      </c>
      <c r="T56" s="3">
        <f>1811.7+(595.6-364.4)+(-4.619835+(-1.51878--0.92922))+0-334.8--0.853739999999951</f>
        <v>1703.7443450000001</v>
      </c>
      <c r="U56" s="3">
        <f>1818.3+(490.9-334.3)+(-4.636665+(-1.251795--0.852465))+0-332.4--0.847619999999952</f>
        <v>1638.3116249999998</v>
      </c>
      <c r="V56" s="3">
        <f>1829.5+(364.1-315.8)+(-3.73218+(-0.742764--0.644232))+0-332.2--0.677687999999986</f>
        <v>1542.4469759999999</v>
      </c>
      <c r="W56" s="3">
        <f>1738+(245.9-287.4)+(-1.77276+(-0.250818--0.293148))+0-329.3--0.335886000000053</f>
        <v>1365.805456</v>
      </c>
      <c r="X56" s="3">
        <f>1636.5+(124.4-306.7)+(-4.173075+(-0.31722--0.782085))+0-328--0.836399999999952</f>
        <v>1123.3281899999999</v>
      </c>
      <c r="Y56" s="3">
        <f>1648+(97.8-292.8)+(0.84048+(0.049878-0.149328))+0-329.7-0.168146999999967</f>
        <v>1123.872883</v>
      </c>
      <c r="Z56" s="3">
        <f>1659.9+(311.3-335)+(0+(0-0))+0-330-0</f>
        <v>1306.2</v>
      </c>
      <c r="AA56" s="3">
        <f>1669.3+(445.9-347.1)+(-5.108058+(-1.364454--1.062126))+0-327.7--1.00276200000004</f>
        <v>1435.9923759999999</v>
      </c>
      <c r="AB56" s="3">
        <f>1669.8+(565.7-334.8)+(-2.554794+(-0.865521--0.512244))+0-327.9--0.501687000000019</f>
        <v>1570.3936159999998</v>
      </c>
      <c r="AC56" s="3">
        <f>1671.5+(606.6-312.4)+(-2.557395+(-0.928098--0.477972))+0-325.7--0.498321000000019</f>
        <v>1637.4908</v>
      </c>
      <c r="AD56" s="2">
        <v>1420.9</v>
      </c>
      <c r="AE56" s="3">
        <f>1662+(437.3-351.2)+(0+(0-0))+0-327.2-0</f>
        <v>1420.8999999999999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1671+(612-311.1)+(-1.70442+(-0.62424--0.317322))+0-326.9--0.333438000000052</f>
        <v>1643.3221000000003</v>
      </c>
      <c r="G57" s="3">
        <f>1674.7+(573.5-308.4)+(-2.562291+(-0.877455--0.471852))+0-327.4--0.500922000000019</f>
        <v>1609.9330280000001</v>
      </c>
      <c r="H57" s="3">
        <f>1678.6+(567.5-280.4)+(-0.856086+(-0.289425--0.143004))+0-327.3--0.166922999999967</f>
        <v>1637.5644159999999</v>
      </c>
      <c r="I57" s="3">
        <f>1679.5+(530.4-276.3)+(0.856545+(0.270504-0.140913))+0-328.7-0.167636999999967</f>
        <v>1605.7184989999998</v>
      </c>
      <c r="J57" s="3">
        <f>1595.2+(507.1-264.4)+(0+(0-0))+0-327.3-0</f>
        <v>1510.6000000000001</v>
      </c>
      <c r="K57" s="3">
        <f>1533.3+(427.5-210.1)+(-2.345949+(-0.654075--0.321453))+0-328--0.501840000000019</f>
        <v>1420.5232690000003</v>
      </c>
      <c r="L57" s="3">
        <f>1526.8+(167-202.2)+(0+(0-0))+0-325.5-0</f>
        <v>1166.0999999999999</v>
      </c>
      <c r="M57" s="3">
        <f>1537.1+(136.5-228.9)+(0+(0-0))+0-325.4-0</f>
        <v>1119.2999999999997</v>
      </c>
      <c r="N57" s="3">
        <f>1518.2+(236.7-242.9)+(-1.548564+(-0.241434--0.247758))+0-326.2--0.332724000000052</f>
        <v>1184.5904840000001</v>
      </c>
      <c r="O57" s="3">
        <f>1502.2+(291-272.1)+(-0.766122+(-0.14841--0.138771))+0-327.1--0.166820999999967</f>
        <v>1193.3910599999997</v>
      </c>
      <c r="P57" s="3">
        <f>1490+(342.7-321.8)+(3.7995+(0.873885-0.82059))+0-328.6-0.837929999999952</f>
        <v>1185.3148650000001</v>
      </c>
      <c r="Q57" s="3">
        <f>1488.6+(445.4-380)+(0.759186+(0.227154-0.1938))+0-329-0.167789999999967</f>
        <v>1225.6247499999999</v>
      </c>
      <c r="R57" s="3">
        <f>1479.7+(643.1-378.9)+(1.509294+(0.655962-0.386478))+0-326.8-0.333336000000052</f>
        <v>1418.5454420000001</v>
      </c>
      <c r="S57" s="3">
        <f>1475.5+(896-366.1)+(0+(0-0))+0-327-0</f>
        <v>1678.4</v>
      </c>
      <c r="T57" s="3">
        <f>1473.5+(922.6-332.9)+(1.50297+(0.941052-0.339558))+0-328.2-0.334764000000052</f>
        <v>1736.7696999999998</v>
      </c>
      <c r="U57" s="3">
        <f>1475.1+(862.9-310.3)+(0+(0-0))+0-328-0</f>
        <v>1699.6999999999998</v>
      </c>
      <c r="V57" s="3">
        <f>1477.7+(698.6-298.5)+(-3.768135+(-1.78143--0.761175))+0-328--0.836399999999952</f>
        <v>1545.8480100000002</v>
      </c>
      <c r="W57" s="3">
        <f>1481+(422.8-274.1)+(-2.26593+(-0.646884--0.419373))+0-329.2--0.503676000000019</f>
        <v>1298.510235</v>
      </c>
      <c r="X57" s="3">
        <f>1486.4+(236.3-286.2)+(-5.306448+(-0.843591--1.021734))+0-329.5--1.176315</f>
        <v>1103.04801</v>
      </c>
      <c r="Y57" s="3">
        <f>1501.5+(271.9-308.3)+(-0.765765+(-0.138669--0.157233))+0-329.5--0.168044999999967</f>
        <v>1135.0208439999999</v>
      </c>
      <c r="Z57" s="3">
        <f>1511.1+(540.8-359.7)+(-1.541322+(-0.551616--0.366894))+0-328.7--0.335274000000052</f>
        <v>1362.1092299999998</v>
      </c>
      <c r="AA57" s="3">
        <f>1518.5+(731.9-356.8)+(-3.09774+(-1.493076--0.727872))+0-328.4--0.669935999999986</f>
        <v>1562.0069919999999</v>
      </c>
      <c r="AB57" s="3">
        <f>1520.2+(763.4-354.4)+(-4.651812+(-2.336004--1.084464))+0-327.7--1.00276200000004</f>
        <v>1596.59941</v>
      </c>
      <c r="AC57" s="3">
        <f>1524.4+(794.6-326.2)+(-3.109776+(-1.620984--0.665448))+0-328.1--0.669323999999986</f>
        <v>1661.3040120000001</v>
      </c>
      <c r="AD57" s="2">
        <v>1559.6</v>
      </c>
      <c r="AE57" s="3">
        <f>1521+(727.9-357.9)+(0+(0-0))+0-331.4-0</f>
        <v>1559.6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1513.7+(716.3-288.2)+(-0.771987+(-0.365313--0.146982))+0-328--0.167279999999967</f>
        <v>1612.976962</v>
      </c>
      <c r="G58" s="3">
        <f>1516.2+(698.8-290.7)+(-3.86631+(-1.78194--0.741285))+0-327.3--0.834614999999953</f>
        <v>1592.9276500000001</v>
      </c>
      <c r="H58" s="3">
        <f>1521.5+(641.4-275.5)+(-3.10386+(-1.308456--0.56202))+0-329.6--0.672383999999986</f>
        <v>1554.6220880000001</v>
      </c>
      <c r="I58" s="3">
        <f>1526.7+(607.1-254)+(-2.335851+(-0.928863--0.38862))+0-329.2--0.503676000000019</f>
        <v>1548.2275820000002</v>
      </c>
      <c r="J58" s="3">
        <f>1525.4+(527.4-245.2)+(-3.88977+(-1.34487--0.62526))+0-328.6--0.837929999999952</f>
        <v>1475.22855</v>
      </c>
      <c r="K58" s="3">
        <f>1527+(405.9-216.8)+(-3.89385+(-1.035045--0.55284))+0-328.4--0.837419999999952</f>
        <v>1384.1613650000002</v>
      </c>
      <c r="L58" s="3">
        <f>1535.1+(261.6-233.4)+(0.782901+(0.133416-0.119034))+0-327.4-0.166973999999967</f>
        <v>1236.530309</v>
      </c>
      <c r="M58" s="3">
        <f>1527.4+(225.5-251.8)+(2.336922+(0.345015-0.385254))+0-328.9-0.503217000000019</f>
        <v>1173.9934660000004</v>
      </c>
      <c r="N58" s="3">
        <f>1519+(317.1-274.5)+(1.54938+(0.323442-0.27999))+0-333.6-0.340272000000053</f>
        <v>1229.2525599999997</v>
      </c>
      <c r="O58" s="3">
        <f>1512.8+(309.4-311.7)+(-2.314584+(-0.473382--0.476901))+0-333.2--0.509796000000019</f>
        <v>1175.4987309999999</v>
      </c>
      <c r="P58" s="3">
        <f>1502.4+(389.7-311.2)+(-2.298672+(-0.596241--0.476136))+0-330.7--0.505971000000019</f>
        <v>1248.287194</v>
      </c>
      <c r="Q58" s="3">
        <f>1483.4+(502.6-346.7)+(-2.269602+(-0.768978--0.530451))+0-331--0.506430000000019</f>
        <v>1306.298301</v>
      </c>
      <c r="R58" s="3">
        <f>1482.1+(705.8-374.2)+(0+(0-0))+0-332.3-0</f>
        <v>1481.3999999999999</v>
      </c>
      <c r="S58" s="3">
        <f>1477.9+(932.2-354.1)+(1.507458+(0.950844-0.361182))+0-333.3-0.339966000000053</f>
        <v>1724.4571539999999</v>
      </c>
      <c r="T58" s="3">
        <f>1478.5+(958.8-348.5)+(-2.262105+(-1.466964--0.533205))+0-330.6--0.505818000000019</f>
        <v>1755.5099540000006</v>
      </c>
      <c r="U58" s="3">
        <f>1476.8+(866.8-331)+(1.506336+(0.884136-0.33762))+0-330.6-0.337212000000053</f>
        <v>1683.7156399999997</v>
      </c>
      <c r="V58" s="3">
        <f>1477.3+(793.8-295.8)+(-0.753423+(-0.404838--0.150858))+0-330.6--0.168605999999966</f>
        <v>1643.8612029999997</v>
      </c>
      <c r="W58" s="3">
        <f>1481.6+(494-285.8)+(-3.77808+(-1.2597--0.72879))+0-329.8--0.840989999999952</f>
        <v>1356.5319999999999</v>
      </c>
      <c r="X58" s="3">
        <f>1491.4+(279.1-243.2)+(-3.80307+(-0.711705--0.62016))+0-329--0.838949999999952</f>
        <v>1195.2443350000001</v>
      </c>
      <c r="Y58" s="3">
        <f>1508.7+(216.2-276)+(-1.538874+(-0.220524--0.28152))+0-330.5--0.337110000000053</f>
        <v>1117.2592320000003</v>
      </c>
      <c r="Z58" s="3">
        <f>1521.7+(528.9-429.8)+(0+(0-0))+0-332.8-0</f>
        <v>1288</v>
      </c>
      <c r="AA58" s="3">
        <f>1524+(644-454.6)+(-3.8862+(-1.6422--1.15923))+0-331.9--0.846344999999952</f>
        <v>1377.977175</v>
      </c>
      <c r="AB58" s="3">
        <f>1526.3+(795.4-431.3)+(-3.892065+(-2.02827--1.099815))+0-331.8--0.846089999999952</f>
        <v>1554.6255699999999</v>
      </c>
      <c r="AC58" s="3">
        <f>1529.3+(834.2-403.3)+(-0.779943+(-0.425442--0.205683))+0-331.3--0.168962999999966</f>
        <v>1628.0692610000001</v>
      </c>
      <c r="AD58" s="2">
        <v>1445.1</v>
      </c>
      <c r="AE58" s="3">
        <f>1522+(623-367.3)+(0+(0-0))+0-332.6-0</f>
        <v>1445.1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1529.9+(823.9-315.5)+(-5.461743+(-2.941323--1.126335))+0-332.5--1.187025</f>
        <v>1699.7102940000002</v>
      </c>
      <c r="G59" s="3">
        <f>1528.3+(799.7-302)+(-0.779433+(-0.407847--0.15402))+0-332--0.169319999999966</f>
        <v>1693.13606</v>
      </c>
      <c r="H59" s="3">
        <f>1527.9+(760.3-295.4)+(0+(0-0))+0-334.9-0</f>
        <v>1657.9</v>
      </c>
      <c r="I59" s="3">
        <f>1530.6+(705.5-278.1)+(-2.341818+(-1.079415--0.425493))+0-337--0.515610000000019</f>
        <v>1618.5198699999999</v>
      </c>
      <c r="J59" s="3">
        <f>1530.8+(612.2-265.6)+(-3.90354+(-1.56111--0.67728))+0-332.9--0.848894999999952</f>
        <v>1540.5615249999998</v>
      </c>
      <c r="K59" s="3">
        <f>1531.7+(468.9-223.3)+(-3.124668+(-0.956556--0.455532))+0-333--0.679319999999985</f>
        <v>1441.3536279999998</v>
      </c>
      <c r="L59" s="3">
        <f>1531.6+(271.7-238)+(-2.343348+(-0.415701--0.36414))+0-330.2--0.505206000000019</f>
        <v>1233.2102969999999</v>
      </c>
      <c r="M59" s="3">
        <f>1532.2+(195.4-249.6)+(0+(0-0))+0-331.1-0</f>
        <v>1146.9000000000001</v>
      </c>
      <c r="N59" s="3">
        <f>1524.2+(260.9-280.6)+(0.777342+(0.133059-0.143106))+0-329.6-0.168095999999967</f>
        <v>1175.4991990000003</v>
      </c>
      <c r="O59" s="3">
        <f>1515.9+(289.4-319.5)+(-0.773109+(-0.147594--0.162945))+0-329.7--0.168146999999967</f>
        <v>1155.510389</v>
      </c>
      <c r="P59" s="3">
        <f>1505.3+(359.8-343.3)+(0+(0-0))+0-331.1-0</f>
        <v>1190.6999999999998</v>
      </c>
      <c r="Q59" s="3">
        <f>1494.8+(546.2-376.3)+(-0.762348+(-0.278562--0.191913))+0-331.7--0.169166999999966</f>
        <v>1332.32017</v>
      </c>
      <c r="R59" s="3">
        <f>1485.9+(699.3-415.7)+(1.515618+(0.713286-0.424014))+0-331.2-0.337824000000053</f>
        <v>1439.7670659999999</v>
      </c>
      <c r="S59" s="3">
        <f>1477.2+(870.3-403.2)+(-2.260116+(-1.331559--0.616896))+0-330.6--0.505818000000019</f>
        <v>1611.2310390000002</v>
      </c>
      <c r="T59" s="3">
        <f>1471.5+(884.6-392.3)+(0.750465+(0.451146-0.200073))+0-331.1-0.168860999999966</f>
        <v>1633.5326769999999</v>
      </c>
      <c r="U59" s="3">
        <f>1469.2+(853.8-363.7)+(-4.495752+(-2.612628--1.112922))+0-332.2--1.01653200000004</f>
        <v>1622.1210739999999</v>
      </c>
      <c r="V59" s="3">
        <f>1466.9+(721.8-341.6)+(-2.992476+(-1.472472--0.696864))+0-332.5--0.678299999999985</f>
        <v>1511.5102159999999</v>
      </c>
      <c r="W59" s="3">
        <f>1476.9+(448.7-310.9)+(-3.766095+(-1.144185--0.792795))+0-330.3--0.842264999999952</f>
        <v>1281.1247800000001</v>
      </c>
      <c r="X59" s="3">
        <f>1488.3+(234.9-256.7)+(-4.554198+(-0.718794--0.785502))+0-331.9--1.01561400000004</f>
        <v>1131.1281240000001</v>
      </c>
      <c r="Y59" s="3">
        <f>1493.8+(147.3-285.2)+(1.523676+(0.150246-0.290904))+0-331.1-0.337722000000053</f>
        <v>1025.8452960000002</v>
      </c>
      <c r="Z59" s="3">
        <f>1498.5+(471.5-355.7)+(-0.764235+(-0.240465--0.181407))+0-336.6--0.171665999999966</f>
        <v>1277.0483729999999</v>
      </c>
      <c r="AA59" s="3">
        <f>1505.7+(592.4-368.1)+(-3.839535+(-1.51062--0.938655))+0-334.4--0.852719999999951</f>
        <v>1392.0412200000001</v>
      </c>
      <c r="AB59" s="3">
        <f>1511.2+(567-291.1)+(-2.312136+(-0.86751--0.445383))+0-333.1--0.509643000000019</f>
        <v>1451.7753799999998</v>
      </c>
      <c r="AC59" s="3">
        <f>1518.7+(652.9-253.3)+(-1.549074+(-0.665958--0.258366))+0-331.2--0.337824000000053</f>
        <v>1585.4811579999998</v>
      </c>
      <c r="AD59" s="2">
        <v>1338.7</v>
      </c>
      <c r="AE59" s="3">
        <f>1507+(544.9-376.4)+(0+(0-0))+0-336.8-0</f>
        <v>1338.7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1529+(682.5-227)+(-1.55958+(-0.69615--0.23154))+0-331.6--0.338232000000053</f>
        <v>1651.2140420000001</v>
      </c>
      <c r="G60" s="3">
        <f>1531.9+(607.6-217.8)+(1.562538+(0.619752-0.222156))+0-332.3-0.338946000000053</f>
        <v>1591.0211879999999</v>
      </c>
      <c r="H60" s="3">
        <f>1535+(582.1-198.6)+(-0.78285+(-0.296871--0.101286))+0-332.7--0.169676999999966</f>
        <v>1584.9912419999998</v>
      </c>
      <c r="I60" s="3">
        <f>1535.8+(533.1-184.4)+(0+(0-0))+0-332.5-0</f>
        <v>1552</v>
      </c>
      <c r="J60" s="3">
        <f>1537.7+(528.9-167.5)+(0+(0-0))+0-331.7-0</f>
        <v>1567.3999999999999</v>
      </c>
      <c r="K60" s="3">
        <f>1542.4+(329.3-168)+(-2.359872+(-0.503829--0.25704))+0-331.2--0.506736000000019</f>
        <v>1370.400075</v>
      </c>
      <c r="L60" s="3">
        <f>1552+(204.9-173.6)+(-2.37456+(-0.313497--0.265608))+0-330.7--0.505971000000019</f>
        <v>1250.683522</v>
      </c>
      <c r="M60" s="3">
        <f>1544.7+(156.5-173.4)+(-2.363391+(-0.239445--0.265302))+0-331.4--0.507042000000019</f>
        <v>1194.5695079999998</v>
      </c>
      <c r="N60" s="3">
        <f>1535.2+(112.7-213.4)+(0+(0-0))+0-330.2-0</f>
        <v>1104.3</v>
      </c>
      <c r="O60" s="3">
        <f>1521.5+(200.5-242.4)+(-0.775965+(-0.102255--0.123624))+0-332.5--0.169574999999966</f>
        <v>1146.5149789999998</v>
      </c>
      <c r="P60" s="3">
        <f>1515.3+(250.7-256.2)+(1.545606+(0.255714-0.261324))+0-334.3-0.340986000000053</f>
        <v>1176.6990099999998</v>
      </c>
      <c r="Q60" s="3">
        <f>1503.6+(369.4-309)+(2.300508+(0.565182-0.47277))+0-335-0.512550000000019</f>
        <v>1230.8803700000001</v>
      </c>
      <c r="R60" s="3">
        <f>1502.8+(621.9-336.5)+(0+(0-0))+0-332.8-0</f>
        <v>1455.3999999999999</v>
      </c>
      <c r="S60" s="3">
        <f>1504.3+(732.1-356.4)+(-0.767193+(-0.373371--0.181764))+0-331.8--0.169217999999966</f>
        <v>1547.4104179999999</v>
      </c>
      <c r="T60" s="3">
        <f>1503.6+(806-347.3)+(-1.533672+(-0.82212--0.354246))+0-332.8--0.339456000000053</f>
        <v>1627.8379100000002</v>
      </c>
      <c r="U60" s="3">
        <f>1497.7+(747.7-338.3)+(-1.527654+(-0.762654--0.345066))+0-331--0.337620000000053</f>
        <v>1574.4923780000001</v>
      </c>
      <c r="V60" s="3">
        <f>1493.8+(607.3-309.9)+(-3.047352+(-1.238892--0.632196))+0-329.8--0.672791999999986</f>
        <v>1458.4187439999998</v>
      </c>
      <c r="W60" s="3">
        <f>1493.6+(392.7-275.6)+(-3.046944+(-0.801108--0.562224))+0-330.1--0.673403999999986</f>
        <v>1277.9875759999998</v>
      </c>
      <c r="X60" s="3">
        <f>1496.7+(199.4-241.6)+(-2.289951+(-0.305082--0.369648))+0-328.9--0.503217000000019</f>
        <v>1123.8778320000001</v>
      </c>
      <c r="Y60" s="3">
        <f>1501.6+(150.6-253.1)+(-0.765816+(-0.076806--0.129081))+0-332--0.169319999999966</f>
        <v>1066.5557789999998</v>
      </c>
      <c r="Z60" s="3">
        <f>1507.6+(446.4-322.6)+(0+(0-0))+0-330.5-0</f>
        <v>1300.8999999999999</v>
      </c>
      <c r="AA60" s="3">
        <f>1509.7+(555-321.2)+(-2.309841+(-0.84915--0.491436))+0-329.9--0.504747000000019</f>
        <v>1411.4371919999999</v>
      </c>
      <c r="AB60" s="3">
        <f>1515.9+(651.7-314.9)+(-3.092436+(-1.329468--0.642396))+0-328.4--0.669935999999986</f>
        <v>1521.1904280000001</v>
      </c>
      <c r="AC60" s="3">
        <f>1519.6+(746.2-279.7)+(-3.099984+(-1.522248--0.570588))+0-327.7--0.668507999999986</f>
        <v>1655.0168639999999</v>
      </c>
      <c r="AD60" s="2">
        <v>1334.4</v>
      </c>
      <c r="AE60" s="3">
        <f>1512+(493.3-336.5)+(0+(0-0))+0-334.4-0</f>
        <v>1334.4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1508.2+(733.6-251.7)+(-0.769182+(-0.374136--0.128367))+0-327.9--0.167228999999967</f>
        <v>1661.3522780000001</v>
      </c>
      <c r="G61" s="3">
        <f>1511.2+(695.4-226.7)+(-3.85356+(-1.77327--0.578085))+0-330.6--0.843029999999952</f>
        <v>1645.0942850000001</v>
      </c>
      <c r="H61" s="3">
        <f>1511.5+(613.4-203.1)+(-3.08346+(-1.251336--0.414324))+0-329.1--0.671363999999986</f>
        <v>1589.4508920000001</v>
      </c>
      <c r="I61" s="3">
        <f>1512.3+(586.6-183.4)+(-3.085092+(-1.196664--0.374136))+0-329.7--0.672587999999986</f>
        <v>1582.5649679999999</v>
      </c>
      <c r="J61" s="3">
        <f>1517.4+(495.2-208.7)+(0.773874+(0.252552-0.106437))+0-330.6-0.168605999999966</f>
        <v>1474.0513830000002</v>
      </c>
      <c r="K61" s="3">
        <f>1520.3+(403.1-234.1)+(-3.101412+(-0.822324--0.477564))+0-330--0.673199999999986</f>
        <v>1356.527028</v>
      </c>
      <c r="L61" s="3">
        <f>1516.1+(190-208.5)+(-0.773211+(-0.0969--0.106335))+0-327.8--0.167177999999967</f>
        <v>1169.2034019999999</v>
      </c>
      <c r="M61" s="3">
        <f>1510+(163.8-226.9)+(1.5402+(0.167076-0.231438))+0-328.2-0.334764000000052</f>
        <v>1119.8410740000002</v>
      </c>
      <c r="N61" s="3">
        <f>1496+(198.1-243)+(0+(0-0))+0-328.9-0</f>
        <v>1122.1999999999998</v>
      </c>
      <c r="O61" s="3">
        <f>1489.8+(235.9-275.1)+(1.519596+(0.240618-0.280602))+0-330.6-0.337212000000053</f>
        <v>1121.1424</v>
      </c>
      <c r="P61" s="3">
        <f>1483.2+(318-306.1)+(0+(0-0))+0-331.3-0</f>
        <v>1163.8</v>
      </c>
      <c r="Q61" s="3">
        <f>1475.9+(465.5-346.7)+(0+(0-0))+0-331-0</f>
        <v>1263.7</v>
      </c>
      <c r="R61" s="3">
        <f>1470.9+(649.3-353.5)+(-0.750159+(-0.331143--0.180285))+0-329.7--0.168146999999967</f>
        <v>1436.26713</v>
      </c>
      <c r="S61" s="3">
        <f>1470.2+(772.8-313.2)+(-2.999208+(-1.576512--0.638928))+0-327.4--0.667895999999986</f>
        <v>1599.1311040000001</v>
      </c>
      <c r="T61" s="3">
        <f>1468.1+(848.7-308.8)+(0+(0-0))+0-330.5-0</f>
        <v>1677.5</v>
      </c>
      <c r="U61" s="3">
        <f>1465.5+(829.4-287.5)+(-2.98962+(-1.691976--0.5865))+0-331.5--0.676259999999986</f>
        <v>1672.481164</v>
      </c>
      <c r="V61" s="3">
        <f>1464.4+(698.5-251.3)+(-3.73422+(-1.781175--0.640815))+0-327.2--0.834359999999952</f>
        <v>1580.3597800000002</v>
      </c>
      <c r="W61" s="3">
        <f>1465.3+(446.4-228)+(-2.241909+(-0.682992--0.34884))+0-329.8--0.504594000000019</f>
        <v>1351.8285329999999</v>
      </c>
      <c r="X61" s="3">
        <f>1469.7+(271-207.1)+(-5.246829+(-0.96747--0.739347))+0-332.7--1.187739</f>
        <v>1196.612787</v>
      </c>
      <c r="Y61" s="3">
        <f>1477.3+(273.7-288.4)+(-3.767115+(-0.697935--0.73542))+0-330.2--0.842009999999952</f>
        <v>1129.5123799999997</v>
      </c>
      <c r="Z61" s="3">
        <f>1483.8+(478.5-303)+(-0.756738+(-0.244035--0.15453))+0-330.5--0.168554999999966</f>
        <v>1328.122312</v>
      </c>
      <c r="AA61" s="3">
        <f>1495.5+(605.3-307.9)+(-3.813525+(-1.543515--0.785145))+0-332--0.846599999999952</f>
        <v>1457.1747049999999</v>
      </c>
      <c r="AB61" s="3">
        <f>1499.6+(732-291)+(-3.059184+(-1.49328--0.59364))+0-330.4--0.674015999999986</f>
        <v>1606.9151919999999</v>
      </c>
      <c r="AC61" s="3">
        <f>1500.2+(807.7-267.7)+(-3.060408+(-1.647708--0.546108))+0-330.3--0.673811999999986</f>
        <v>1706.4118040000001</v>
      </c>
      <c r="AD61" s="2">
        <v>1437.6</v>
      </c>
      <c r="AE61" s="3">
        <f>1493+(583.4-306.2)+(0+(0-0))+0-332.6-0</f>
        <v>1437.6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1498.2+(738.5-256.8)+(-3.82041+(-1.883175--0.65484))+0-333--0.849149999999952</f>
        <v>1642.700405</v>
      </c>
      <c r="G62" s="3">
        <f>1496.6+(719.8-220.5)+(-3.81633+(-1.83549--0.562275))+0-330.3--0.842264999999952</f>
        <v>1661.3527199999999</v>
      </c>
      <c r="H62" s="3">
        <f>1502.8+(602.8-219.1)+(-2.299284+(-0.922284--0.335223))+0-331.2--0.506736000000019</f>
        <v>1552.9203910000001</v>
      </c>
      <c r="I62" s="3">
        <f>1507.3+(526.3-201.9)+(-0.768723+(-0.268413--0.102969))+0-331.4--0.169013999999966</f>
        <v>1499.5348469999999</v>
      </c>
      <c r="J62" s="3">
        <f>1513+(464.2-192.8)+(-2.31489+(-0.710226--0.294984))+0-330.4--0.505512000000019</f>
        <v>1451.7753800000003</v>
      </c>
      <c r="K62" s="3">
        <f>1517.4+(343.9-179.7)+(-3.86937+(-0.876945--0.458235))+0-328.8--0.838439999999952</f>
        <v>1349.3503600000001</v>
      </c>
      <c r="L62" s="3">
        <f>1520.1+(151.2-170.8)+(-0.775251+(-0.077112--0.087108))+0-327.2--0.166871999999967</f>
        <v>1172.7016169999999</v>
      </c>
      <c r="M62" s="3">
        <f>1518.9+(117.4-186)+(-1.549278+(-0.119748--0.18972))+0-327.1--0.333642000000052</f>
        <v>1122.0543360000001</v>
      </c>
      <c r="N62" s="3">
        <f>1509.8+(182.9-217.1)+(0.769998+(0.093279-0.110721))+0-331-0.168809999999966</f>
        <v>1145.1837459999999</v>
      </c>
      <c r="O62" s="3">
        <f>1497.4+(229.6-244.8)+(-1.527348+(-0.234192--0.249696))+0-332.2--0.338844000000053</f>
        <v>1148.827</v>
      </c>
      <c r="P62" s="3">
        <f>1478.5+(323-269)+(2.262105+(0.49419-0.41157))+0-330.3-0.505359000000019</f>
        <v>1204.039366</v>
      </c>
      <c r="Q62" s="3">
        <f>1470.6+(466.3-301.8)+(2.250018+(0.713439-0.461754))+0-329.5-0.504135000000019</f>
        <v>1307.5975679999999</v>
      </c>
      <c r="R62" s="3">
        <f>1507.9+(633-341.5)+(0+(0-0))+0-327.9-0</f>
        <v>1471.5</v>
      </c>
      <c r="S62" s="3">
        <f>1659.2+(663.8-365.1)+(0+(0-0))+0-327.8-0</f>
        <v>1630.1000000000001</v>
      </c>
      <c r="T62" s="3">
        <f>1715.6+(673.6-360)+(-2.624868+(-1.030608--0.5508))+0-326.8--0.500004000000019</f>
        <v>1699.7953279999999</v>
      </c>
      <c r="U62" s="3">
        <f>1709.2+(637.2-331.8)+(-3.486768+(-1.299888--0.676872))+0-327.6--0.668303999999986</f>
        <v>1683.5585200000003</v>
      </c>
      <c r="V62" s="3">
        <f>1710.6+(470.8-284.7)+(-4.36203+(-1.20054--0.725985))+0-327.9--0.836144999999952</f>
        <v>1564.7995599999997</v>
      </c>
      <c r="W62" s="3">
        <f>1711.1+(201.3-252.2)+(-0.872661+(-0.102663--0.128622))+0-326.7--0.166616999999967</f>
        <v>1332.8199149999996</v>
      </c>
      <c r="X62" s="3">
        <f>1720.5+(77-337.4)+(-3.50982+(-0.15708--0.688296))+0-327.2--0.667487999999986</f>
        <v>1130.588884</v>
      </c>
      <c r="Y62" s="3">
        <f>1738.1+(58.6-376.1)+(-0.886431+(-0.029886--0.191811))+0-326.7--0.166616999999967</f>
        <v>1093.3421109999997</v>
      </c>
      <c r="Z62" s="3">
        <f>1752.4+(225.5-366.5)+(0.893724+(0.115005-0.186915))+0-326.9-0.166718999999967</f>
        <v>1285.1550949999998</v>
      </c>
      <c r="AA62" s="3">
        <f>1755.8+(362.6-355.7)+(-3.581832+(-0.739704--0.725628))+0-325.8--0.664631999999986</f>
        <v>1433.9687240000001</v>
      </c>
      <c r="AB62" s="3">
        <f>1761.4+(453.5-343.6)+(-2.694942+(-0.693855--0.525708))+0-325.1--0.497403000000019</f>
        <v>1543.8343140000004</v>
      </c>
      <c r="AC62" s="3">
        <f>1757.6+(507.9-323.4)+(-3.585504+(-1.036116--0.659736))+0-324.3--0.661571999999986</f>
        <v>1614.4996879999999</v>
      </c>
      <c r="AD62" s="2">
        <v>1390.4</v>
      </c>
      <c r="AE62" s="3">
        <f>1758+(347-389.7)+(0+(0-0))+0-324.9-0</f>
        <v>1390.4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1757+(503.8-301.1)+(-1.79214+(-0.513876--0.307122))+0-324.6--0.331092000000052</f>
        <v>1633.4321980000002</v>
      </c>
      <c r="G63" s="3">
        <f>1755.9+(460.8-276.3)+(-4.477545+(-1.17504--0.704565))+0-325.8--0.830789999999953</f>
        <v>1610.4827700000001</v>
      </c>
      <c r="H63" s="3">
        <f>1755.2+(416-266.7)+(-1.790304+(-0.42432--0.272034))+0-327.4--0.333948000000052</f>
        <v>1575.4913579999998</v>
      </c>
      <c r="I63" s="3">
        <f>1759.6+(384.6-283.6)+(-2.692188+(-0.588438--0.433908))+0-326.5--0.499545000000019</f>
        <v>1531.752827</v>
      </c>
      <c r="J63" s="3">
        <f>1760.1+(321.5-275.8)+(0+(0-0))+0-326.9-0</f>
        <v>1478.9</v>
      </c>
      <c r="K63" s="3">
        <f>1765+(181.4-244.8)+(-2.70045+(-0.277542--0.374544))+0-325--0.497250000000019</f>
        <v>1374.493802</v>
      </c>
      <c r="L63" s="3">
        <f>1767.3+(15.9-261)+(-1.802646+(-0.016218--0.26622))+0-324.7--0.331194000000052</f>
        <v>1196.27855</v>
      </c>
      <c r="M63" s="3">
        <f>1760.9+(23.2-309.1)+(-2.694177+(-0.035496--0.472923))+0-324.2--0.496026000000019</f>
        <v>1149.039276</v>
      </c>
      <c r="N63" s="3">
        <f>1746.2+(76.6-351.8)+(-0.890562+(-0.039066--0.179418))+0-325.7--0.166106999999967</f>
        <v>1144.715897</v>
      </c>
      <c r="O63" s="3">
        <f>1726.2+(99.1-347.7)+(0+(0-0))+0-326.2-0</f>
        <v>1151.4000000000001</v>
      </c>
      <c r="P63" s="3">
        <f>1712.5+(141.8-348.1)+(0+(0-0))+0-326.7-0</f>
        <v>1179.5</v>
      </c>
      <c r="Q63" s="3">
        <f>1709.3+(275-367.2)+(0.871743+(0.14025-0.187272))+0-326.8-0.166667999999967</f>
        <v>1290.9580529999998</v>
      </c>
      <c r="R63" s="3">
        <f>1705+(490.6-394.7)+(-0.86955+(-0.250206--0.201297))+0-327.1--0.166820999999967</f>
        <v>1473.0483620000002</v>
      </c>
      <c r="S63" s="3">
        <f>1695.1+(668-382.5)+(-1.729002+(-0.68136--0.39015))+0-328--0.334560000000052</f>
        <v>1650.914348</v>
      </c>
      <c r="T63" s="3">
        <f>1692.8+(750.2-364.9)+(-0.863328+(-0.382602--0.186099))+0-327.2--0.166871999999967</f>
        <v>1750.0070409999998</v>
      </c>
      <c r="U63" s="3">
        <f>1694.7+(664.4-327.8)+(-1.728594+(-0.677688--0.334356))+0-325.7--0.332214000000052</f>
        <v>1703.8602879999999</v>
      </c>
      <c r="V63" s="3">
        <f>1764.7+(494.6-317)+(-5.399982+(-1.513476--0.97002))+0-327.1--1.00092600000004</f>
        <v>1610.257488</v>
      </c>
      <c r="W63" s="3">
        <f>1691.2+(287.8-287.2)+(-2.587536+(-0.440334--0.439416))+0-325.1--0.497403000000019</f>
        <v>1364.6089490000002</v>
      </c>
      <c r="X63" s="3">
        <f>1699.7+(103.2-346.5)+(-6.067929+(-0.368424--1.237005))+0-325.2--1.160964</f>
        <v>1127.1616159999999</v>
      </c>
      <c r="Y63" s="3">
        <f>1717.7+(106.5-420.6)+(-4.380135+(-0.271575--1.07253))+0-324.7--0.827984999999953</f>
        <v>1076.1488049999998</v>
      </c>
      <c r="Z63" s="3">
        <f>1716.7+(291.8-391.5)+(0.875517+(0.148818-0.199665))+0-325.6-0.166055999999967</f>
        <v>1292.058614</v>
      </c>
      <c r="AA63" s="3">
        <f>1718.9+(437.1-380.5)+(-2.629917+(-0.668763--0.582165))+0-325.5--0.498015000000019</f>
        <v>1447.7815000000001</v>
      </c>
      <c r="AB63" s="3">
        <f>1720.7+(520.3-364)+(-3.510228+(-1.061412--0.74256))+0-324.6--0.662183999999986</f>
        <v>1549.2331040000001</v>
      </c>
      <c r="AC63" s="3">
        <f>1609.4+(669.9-313.3)+(-1.641588+(-0.683298--0.319566))+0-325.6--0.332112000000052</f>
        <v>1638.7267919999999</v>
      </c>
      <c r="AD63" s="2">
        <v>1476.2</v>
      </c>
      <c r="AE63" s="3">
        <f>1718+(454-371.5)+(0+(0-0))+0-324.3-0</f>
        <v>1476.2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1434.5+(793.4-264.5)+(-2.194785+(-1.213902--0.404685))+0-323.7--0.495261000000019</f>
        <v>1637.1912590000002</v>
      </c>
      <c r="G64" s="3">
        <f>1448.4+(740.9-256.7)+(-2.954736+(-1.511436--0.523668))+0-323.9--0.660755999999986</f>
        <v>1605.4182520000002</v>
      </c>
      <c r="H64" s="3">
        <f>1450.2+(679.9-238.8)+(-3.69801+(-1.733745--0.60894))+0-324--0.826199999999953</f>
        <v>1563.3033849999999</v>
      </c>
      <c r="I64" s="3">
        <f>1447.3+(635.2-220.9)+(-2.214369+(-0.971856--0.337977))+0-324.1--0.495873000000019</f>
        <v>1535.1476249999998</v>
      </c>
      <c r="J64" s="3">
        <f>1449.5+(570.2-203.3)+(-2.217735+(-0.872406--0.311049))+0-324.4--0.496332000000019</f>
        <v>1489.7172400000002</v>
      </c>
      <c r="K64" s="3">
        <f>1454.6+(450.6-190.8)+(-4.451076+(-1.378836--0.583848))+0-324.4--0.992664000000037</f>
        <v>1385.7466000000002</v>
      </c>
      <c r="L64" s="3">
        <f>1459.5+(307.9-238.2)+(0.744345+(0.157029-0.121482))+0-325.4-0.165953999999967</f>
        <v>1204.4139380000001</v>
      </c>
      <c r="M64" s="3">
        <f>1452.6+(296.6-269.4)+(-0.740826+(-0.151266--0.137394))+0-327.1--0.166820999999967</f>
        <v>1152.1121230000001</v>
      </c>
      <c r="N64" s="3">
        <f>1442.8+(349.5-305)+(0.735828+(0.178245-0.15555))+0-329.5-0.168044999999967</f>
        <v>1158.390478</v>
      </c>
      <c r="O64" s="3">
        <f>1439.8+(382.1-314.3)+(0+(0-0))+0-333.3-0</f>
        <v>1174.3</v>
      </c>
      <c r="P64" s="3">
        <f>1454+(472.8-354.2)+(0+(0-0))+0-344.8-0</f>
        <v>1227.8</v>
      </c>
      <c r="Q64" s="3">
        <f>1412.9+(685.3-380.3)+(0+(0-0))+0-332.2-0</f>
        <v>1385.7</v>
      </c>
      <c r="R64" s="3">
        <f>1402.8+(885.4-364.4)+(0+(0-0))+0-332.4-0</f>
        <v>1591.4</v>
      </c>
      <c r="S64" s="3">
        <f>1397.2+(966.4-346.5)+(-2.850288+(-1.971456--0.70686))+0-329.8--0.672791999999986</f>
        <v>1683.857908</v>
      </c>
      <c r="T64" s="3">
        <f>1394.1+(975.5-326.6)+(-0.710991+(-0.497505--0.166566))+0-330.8--0.168707999999966</f>
        <v>1711.3267779999999</v>
      </c>
      <c r="U64" s="3">
        <f>1393.4+(916.6-272.6)+(-2.842536+(-1.869864--0.556104))+0-330.8--0.674831999999986</f>
        <v>1703.1185359999999</v>
      </c>
      <c r="V64" s="3">
        <f>1392.4+(779-263.4)+(-4.970868+(-2.78103--0.940338))+0-329--1.17453</f>
        <v>1573.3629699999999</v>
      </c>
      <c r="W64" s="3">
        <f>1305+(604-233.6)+(-3.9933+(-1.84824--0.714816))+0-328.4--1.00490400000004</f>
        <v>1342.8781800000004</v>
      </c>
      <c r="X64" s="3">
        <f>1266.3+(408.3-213.5)+(-1.291626+(-0.416466--0.21777))+0-327.4--0.333948000000052</f>
        <v>1132.5436259999997</v>
      </c>
      <c r="Y64" s="3">
        <f>1327+(331.4-237.5)+(0+(0-0))+0-328.7-0</f>
        <v>1092.2</v>
      </c>
      <c r="Z64" s="3">
        <f>1459.3+(538.7-351.1)+(-1.488486+(-0.549474--0.358122))+0-328--0.334560000000052</f>
        <v>1317.5547220000001</v>
      </c>
      <c r="AA64" s="3">
        <f>1526.8+(632.6-339.5)+(-3.89334+(-1.61313--0.865725))+0-327.9--0.836144999999952</f>
        <v>1488.1954000000003</v>
      </c>
      <c r="AB64" s="3">
        <f>1542.4+(785.4-310.1)+(-3.146496+(-1.602216--0.632604))+0-328.5--0.670139999999986</f>
        <v>1685.7540320000001</v>
      </c>
      <c r="AC64" s="3">
        <f>1547.1+(760-300)+(-5.523147+(-2.7132--1.071))+0-328.3--1.172031</f>
        <v>1672.8066839999999</v>
      </c>
      <c r="AD64" s="2">
        <v>1448.1999999999998</v>
      </c>
      <c r="AE64" s="3">
        <f>1517+(606.5-346.9)+(0+(0-0))+0-328.4-0</f>
        <v>1448.1999999999998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1550.2+(746.2-270.7)+(-5.534214+(-2.663934--0.966399))+0-329.5--1.176315</f>
        <v>1690.1445659999999</v>
      </c>
      <c r="G65" s="3">
        <f>1544.6+(703-251.9)+(-4.726476+(-2.15118--0.770814))+0-329.1--1.00704600000004</f>
        <v>1661.5002039999997</v>
      </c>
      <c r="H65" s="3">
        <f>1546.4+(678.7-222.4)+(-3.154656+(-1.384548--0.453696))+0-331.3--0.675851999999986</f>
        <v>1667.9903440000005</v>
      </c>
      <c r="I65" s="3">
        <f>1545.7+(606.2-205.4)+(-3.153228+(-1.236648--0.419016))+0-331.1--0.675443999999986</f>
        <v>1612.1045840000002</v>
      </c>
      <c r="J65" s="3">
        <f>1543.2+(522.7-197.2)+(-3.148128+(-1.066308--0.402288))+0-329.1--0.671363999999986</f>
        <v>1536.459216</v>
      </c>
      <c r="K65" s="3">
        <f>1544.5+(388.8-188.9)+(-2.363085+(-0.594864--0.289017))+0-328.5--0.502605000000019</f>
        <v>1413.7336730000002</v>
      </c>
      <c r="L65" s="3">
        <f>1547.9+(246.7-250.5)+(-3.157716+(-0.503268--0.51102))+0-327.2--0.667487999999986</f>
        <v>1214.4175240000002</v>
      </c>
      <c r="M65" s="3">
        <f>1551.9+(225.2-265.7)+(0.791469+(0.114852-0.135507))+0-325.1-0.165800999999967</f>
        <v>1186.9050130000003</v>
      </c>
      <c r="N65" s="3">
        <f>1543.2+(192.9-249.7)+(-1.574064+(-0.196758--0.254694))+0-329.4--0.335988000000053</f>
        <v>1155.8198600000003</v>
      </c>
      <c r="O65" s="3">
        <f>1631.2+(186.7-284.4)+(-4.991472+(-0.571302--0.870264))+0-328--1.00368000000004</f>
        <v>1201.8111699999999</v>
      </c>
      <c r="P65" s="3">
        <f>1653.6+(246.8-353.6)+(0.843336+(0.125868-0.180336))+0-329.3-0.167942999999967</f>
        <v>1218.1209250000002</v>
      </c>
      <c r="Q65" s="3">
        <f>1668.2+(418.2-401.7)+(0+(0-0))+0-327.9-0</f>
        <v>1356.8000000000002</v>
      </c>
      <c r="R65" s="3">
        <f>1659.3+(558.2-420)+(0+(0-0))+0-328.5-0</f>
        <v>1469</v>
      </c>
      <c r="S65" s="3">
        <f>1655.5+(708.6-389.1)+(-4.221525+(-1.80693--0.992205))+0-328--0.836399999999952</f>
        <v>1642.8001499999998</v>
      </c>
      <c r="T65" s="3">
        <f>1658.6+(775.4-365)+(-0.845886+(-0.395454--0.18615))+0-328.8--0.167687999999967</f>
        <v>1739.312498</v>
      </c>
      <c r="U65" s="3">
        <f>1657.9+(742.1-334.5)+(-3.382116+(-1.513884--0.68238))+0-329.7--0.672587999999986</f>
        <v>1732.2589679999999</v>
      </c>
      <c r="V65" s="3">
        <f>1653.8+(567-303.8)+(-1.686876+(-0.57834--0.309876))+0-330.4--0.337008000000053</f>
        <v>1584.9816679999999</v>
      </c>
      <c r="W65" s="3">
        <f>1658.9+(322.3-292.1)+(-1.692078+(-0.328746--0.297942))+0-328.3--0.334866000000052</f>
        <v>1359.4119840000003</v>
      </c>
      <c r="X65" s="3">
        <f>1673.5+(160.1-294.9)+(-0.853485+(-0.081651--0.150399))+0-327--0.166769999999967</f>
        <v>1211.0820330000001</v>
      </c>
      <c r="Y65" s="3">
        <f>1676+(125.6-340.8)+(-2.56428+(-0.192168--0.521424))+0-326.6--0.499698000000019</f>
        <v>1132.4646739999998</v>
      </c>
      <c r="Z65" s="3">
        <f>1684.4+(393.7-389.9)+(-1.718088+(-0.401574--0.397698))+0-330.1--0.336702000000053</f>
        <v>1356.7147380000001</v>
      </c>
      <c r="AA65" s="3">
        <f>1689.7+(521.8-360)+(-1.723494+(-0.532236--0.3672))+0-333.5--0.340170000000053</f>
        <v>1516.45164</v>
      </c>
      <c r="AB65" s="3">
        <f>1620.2+(622.9-356.1)+(-4.13151+(-1.588395--0.908055))+0-333.8--0.851189999999952</f>
        <v>1549.2393399999999</v>
      </c>
      <c r="AC65" s="3">
        <f>1471.3+(788-308.2)+(0+(0-0))+0-328.7-0</f>
        <v>1622.3999999999999</v>
      </c>
      <c r="AD65" s="2">
        <v>1527.8000000000002</v>
      </c>
      <c r="AE65" s="3">
        <f>1689+(525.5-354.1)+(0+(0-0))+0-332.6-0</f>
        <v>1527.8000000000002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1478.9+(739.4-294)+(-1.508478+(-0.754188--0.29988))+0-329.7--0.336294000000053</f>
        <v>1592.973508</v>
      </c>
      <c r="G66" s="3">
        <f>1508.6+(696.6-264.6)+(-0.769386+(-0.355266--0.134946))+0-330.7--0.168656999999966</f>
        <v>1609.0789509999997</v>
      </c>
      <c r="H66" s="3">
        <f>1508.9+(631.4-247.2)+(2.308617+(0.966042-0.378216))+0-333-0.509490000000019</f>
        <v>1562.4869530000003</v>
      </c>
      <c r="I66" s="3">
        <f>1511.1+(615.6-227.1)+(0.770661+(0.313956-0.115821))+0-331.1-0.168860999999966</f>
        <v>1569.2999350000002</v>
      </c>
      <c r="J66" s="3">
        <f>1514+(554.8-221.6)+(-2.31642+(-0.848844--0.339048))+0-332.9--0.509337000000019</f>
        <v>1511.9831209999998</v>
      </c>
      <c r="K66" s="3">
        <f>1519.1+(403.4-212.1)+(-3.873705+(-1.02867--0.540855))+0-329.4--0.839969999999952</f>
        <v>1377.4784500000001</v>
      </c>
      <c r="L66" s="3">
        <f>1524.7+(244.7-218.8)+(-1.555194+(-0.249594--0.223176))+0-328.4--0.334968000000052</f>
        <v>1220.953356</v>
      </c>
      <c r="M66" s="3">
        <f>1523.8+(169.4-242.3)+(1.554276+(0.172788-0.247146))+0-327.9-0.334458000000052</f>
        <v>1124.14546</v>
      </c>
      <c r="N66" s="3">
        <f>1521.6+(242.6-263.7)+(-1.552032+(-0.247452--0.268974))+0-332.6--0.339252000000053</f>
        <v>1166.708742</v>
      </c>
      <c r="O66" s="3">
        <f>1516.1+(238.4-295.6)+(1.546422+(0.243168-0.301512))+0-332.7-0.339354000000053</f>
        <v>1127.3487239999999</v>
      </c>
      <c r="P66" s="3">
        <f>1509.6+(378.6-314.9)+(0+(0-0))+0-334.9-0</f>
        <v>1238.4000000000001</v>
      </c>
      <c r="Q66" s="3">
        <f>1500+(468.2-359)+(0.765+(0.238782-0.18309))+0-333.8-0.170237999999966</f>
        <v>1276.0504540000002</v>
      </c>
      <c r="R66" s="3">
        <f>1491.5+(549.2-358.8)+(-3.04266+(-1.120368--0.731952))+0-332.2--0.677687999999986</f>
        <v>1346.946612</v>
      </c>
      <c r="S66" s="3">
        <f>1488.7+(725.3-350)+(-1.518474+(-0.739806--0.357))+0-330.5--0.337110000000053</f>
        <v>1531.9358300000001</v>
      </c>
      <c r="T66" s="3">
        <f>1484.9+(837.1-339.1)+(-0.757299+(-0.426921--0.172941))+0-328.6--0.167585999999967</f>
        <v>1653.4563069999999</v>
      </c>
      <c r="U66" s="3">
        <f>1485+(761.1-333.3)+(-3.0294+(-1.552644--0.679932))+0-328.2--0.669527999999986</f>
        <v>1581.3674159999998</v>
      </c>
      <c r="V66" s="3">
        <f>1487.6+(609.8-304.2)+(-3.79338+(-1.55499--0.77571))+0-330--0.841499999999952</f>
        <v>1459.4688399999998</v>
      </c>
      <c r="W66" s="3">
        <f>1489.4+(319.9-274.4)+(-3.038376+(-0.652596--0.559776))+0-327.8--0.668711999999986</f>
        <v>1204.637516</v>
      </c>
      <c r="X66" s="3">
        <f>1498.9+(102.9-247.6)+(-3.822195+(-0.262395--0.63138))+0-327.7--0.835634999999952</f>
        <v>1023.882425</v>
      </c>
      <c r="Y66" s="3">
        <f>1515.2+(110.6-286.5)+(-0.772752+(-0.056406--0.146115))+0-330.3--0.168452999999966</f>
        <v>1008.48541</v>
      </c>
      <c r="Z66" s="3">
        <f>1516.6+(334.9-323.5)+(-0.773466+(-0.170799--0.164985))+0-332.4--0.169523999999966</f>
        <v>1194.9902440000001</v>
      </c>
      <c r="AA66" s="3">
        <f>1519.5+(472.9-336.2)+(-3.874725+(-1.205895--0.85731))+0-333.7--0.850934999999952</f>
        <v>1319.1276249999999</v>
      </c>
      <c r="AB66" s="3">
        <f>1521.9+(562.4-326.7)+(-3.880845+(-1.43412--0.833085))+0-331--0.844049999999952</f>
        <v>1422.96217</v>
      </c>
      <c r="AC66" s="3">
        <f>1523.8+(640-292.9)+(-0.777138+(-0.3264--0.149379))+0-330.7--0.168656999999966</f>
        <v>1539.4144980000001</v>
      </c>
      <c r="AD66" s="2">
        <v>1318.1</v>
      </c>
      <c r="AE66" s="3">
        <f>1519+(470.1-337.2)+(0+(0-0))+0-333.8-0</f>
        <v>1318.1000000000001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1524.8+(625.7-272.2)+(-0.777648+(-0.319107--0.138822))+0-333.1--0.169880999999966</f>
        <v>1544.4119480000002</v>
      </c>
      <c r="G67" s="3">
        <f>1525+(649.9-231.4)+(-1.5555+(-0.662898--0.236028))+0-330--0.336600000000053</f>
        <v>1611.8542300000001</v>
      </c>
      <c r="H67" s="3">
        <f>1524.4+(570.3-216.2)+(-2.332332+(-0.872559--0.330786))+0-327.2--0.500616000000019</f>
        <v>1548.9265109999999</v>
      </c>
      <c r="I67" s="3">
        <f>1523.5+(492.5-207.3)+(-1.55397+(-0.50235--0.211446))+0-326.8--0.333336000000052</f>
        <v>1480.3884620000003</v>
      </c>
      <c r="J67" s="3">
        <f>1524.2+(413.4-196.4)+(2.332026+(0.632502-0.300492))+0-327-0.500310000000019</f>
        <v>1416.3637259999998</v>
      </c>
      <c r="K67" s="3">
        <f>1524.3+(301.5-162.1)+(-0.777393+(-0.153765--0.082671))+0-333.2--0.169931999999966</f>
        <v>1329.821445</v>
      </c>
      <c r="L67" s="3">
        <f>1451.8+(258.9-127.5)+(0.740418+(0.132039-0.065025))+0-331.3-0.168962999999966</f>
        <v>1252.5384689999998</v>
      </c>
      <c r="M67" s="3">
        <f>1386.9+(243-128.8)+(-0.707319+(-0.12393--0.065688))+0-328.4--0.167483999999967</f>
        <v>1172.1019230000002</v>
      </c>
      <c r="N67" s="3">
        <f>1386.7+(199.8-196.6)+(-2.121651+(-0.305694--0.300798))+0-327.4--0.500922000000019</f>
        <v>1060.8743750000001</v>
      </c>
      <c r="O67" s="3">
        <f>1386.2+(268.8-227.6)+(-1.413924+(-0.274176--0.232152))+0-329--0.335580000000052</f>
        <v>1097.2796320000002</v>
      </c>
      <c r="P67" s="3">
        <f>1388.2+(313.8-252.5)+(-0.707982+(-0.160038--0.128775))+0-330.1--0.168350999999967</f>
        <v>1118.8291059999999</v>
      </c>
      <c r="Q67" s="3">
        <f>1387.2+(439.5-273.2)+(-1.414944+(-0.44829--0.278664))+0-330.2--0.336804000000053</f>
        <v>1222.052234</v>
      </c>
      <c r="R67" s="3">
        <f>1384.9+(553.3-306.8)+(0.706299+(0.282183-0.156468))+0-329.4-0.167993999999967</f>
        <v>1302.6640200000002</v>
      </c>
      <c r="S67" s="3">
        <f>1385.1+(775.6-298.8)+(-0.706401+(-0.395556--0.152388))+0-329.9--0.168248999999967</f>
        <v>1531.2186799999997</v>
      </c>
      <c r="T67" s="3">
        <f>1386.6+(835.1-291.4)+(-0.707166+(-0.425901--0.148614))+0-328.8--0.167687999999967</f>
        <v>1600.683235</v>
      </c>
      <c r="U67" s="3">
        <f>1386.3+(892.6-263.7)+(3.535065+(2.27613-0.672435))+0-327.9-0.836144999999952</f>
        <v>1691.602615</v>
      </c>
      <c r="V67" s="3">
        <f>1422+(680.1-264.5)+(-0.72522+(-0.346851--0.134895))+0-330.1--0.168350999999967</f>
        <v>1506.7311750000001</v>
      </c>
      <c r="W67" s="3">
        <f>1483+(392.8-255.2)+(-1.51266+(-0.400656--0.260304))+0-331.2--0.337824000000053</f>
        <v>1288.0848119999998</v>
      </c>
      <c r="X67" s="3">
        <f>1542.5+(180.7-227.8)+(-4.72005+(-0.552942--0.697068))+0-329.2--1.00735200000004</f>
        <v>1162.6314280000001</v>
      </c>
      <c r="Y67" s="3">
        <f>1705+(14.5-322.2)+(-2.60865+(-0.022185--0.492966))+0-329--0.503370000000019</f>
        <v>1066.6655010000002</v>
      </c>
      <c r="Z67" s="3">
        <f>1731.2+(199.4-365.3)+(-1.765824+(-0.203388--0.372606))+0-332--0.338640000000053</f>
        <v>1232.0420339999998</v>
      </c>
      <c r="AA67" s="3">
        <f>1741.6+(316.4-371.7)+(-2.664648+(-0.484092--0.568701))+0-331.2--0.506736000000019</f>
        <v>1353.026697</v>
      </c>
      <c r="AB67" s="3">
        <f>1744.6+(423.7-355.7)+(-2.669238+(-0.648261--0.544221))+0-329.2--0.503676000000019</f>
        <v>1481.130398</v>
      </c>
      <c r="AC67" s="3">
        <f>1747.9+(493.8-325.3)+(-0.891429+(-0.251838--0.165903))+0-330.6--0.168605999999966</f>
        <v>1584.9912419999998</v>
      </c>
      <c r="AD67" s="2">
        <v>1414.4</v>
      </c>
      <c r="AE67" s="3">
        <f>1741+(378.6-367.8)+(0+(0-0))+0-337.4-0</f>
        <v>1414.4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1755.1+(557.1-294.5)+(-3.580404+(-1.136484--0.60078))+0-330.8--0.674831999999986</f>
        <v>1683.4587239999998</v>
      </c>
      <c r="G68" s="3">
        <f>1757.1+(510.4-272.1)+(-4.480605+(-1.30152--0.693855))+0-331.1--0.844304999999952</f>
        <v>1660.0560349999998</v>
      </c>
      <c r="H68" s="3">
        <f>1756.3+(460.7-254.2)+(-3.582852+(-0.939828--0.518568))+0-331.8--0.676871999999985</f>
        <v>1627.6727599999999</v>
      </c>
      <c r="I68" s="3">
        <f>1755.9+(376-243.7)+(-1.791018+(-0.38352--0.248574))+0-332.8--0.339456000000053</f>
        <v>1553.8134920000002</v>
      </c>
      <c r="J68" s="3">
        <f>1755.1+(271-240.3)+(-1.790202+(-0.27642--0.245106))+0-331.1--0.337722000000053</f>
        <v>1453.2162059999998</v>
      </c>
      <c r="K68" s="3">
        <f>1747.4+(170.7-233.2)+(-4.45587+(-0.435285--0.59466))+0-330.8--0.843539999999952</f>
        <v>1350.6470449999999</v>
      </c>
      <c r="L68" s="3">
        <f>1748.8+(49.3-305.1)+(-0.891888+(-0.025143--0.155601))+0-330.3--0.168452999999966</f>
        <v>1162.107023</v>
      </c>
      <c r="M68" s="3">
        <f>1745.7+(19.2-318.3)+(1.780614+(0.019584-0.324666))+0-326.1-0.332622000000052</f>
        <v>1121.6429099999998</v>
      </c>
      <c r="N68" s="3">
        <f>1742.4+(39-318.8)+(0.888624+(0.01989-0.162588))+0-327.3-0.166922999999967</f>
        <v>1135.8790030000002</v>
      </c>
      <c r="O68" s="3">
        <f>1733.5+(107.1-336)+(0.884085+(0.054621-0.17136))+0-327.7-0.167126999999967</f>
        <v>1177.500219</v>
      </c>
      <c r="P68" s="3">
        <f>1725.7+(162.9-342.3)+(-2.640321+(-0.249237--0.523719))+0-329.7--0.504441000000019</f>
        <v>1214.7386019999999</v>
      </c>
      <c r="Q68" s="3">
        <f>1717.3+(280.5-357)+(-0.875823+(-0.143055--0.18207))+0-331.4--0.169013999999966</f>
        <v>1308.7322060000001</v>
      </c>
      <c r="R68" s="3">
        <f>1708.8+(423-357.8)+(1.742976+(0.43146-0.364956))+0-330.8-0.337416000000053</f>
        <v>1444.6720639999999</v>
      </c>
      <c r="S68" s="3">
        <f>1702+(619.7-345.9)+(-1.73604+(-0.632094--0.352818))+0-330.7--0.337314000000053</f>
        <v>1643.4219980000003</v>
      </c>
      <c r="T68" s="3">
        <f>1699.8+(680.1-333.5)+(-0.866898+(-0.346851--0.170085))+0-331.9--0.169268999999966</f>
        <v>1713.6256050000002</v>
      </c>
      <c r="U68" s="3">
        <f>1702.4+(644.5-317.4)+(-4.34112+(-1.643475--0.80937))+0-330.3--0.842264999999952</f>
        <v>1694.8670400000001</v>
      </c>
      <c r="V68" s="3">
        <f>1704.6+(500.7-305.5)+(-0.869346+(-0.255357--0.155805))+0-331--0.168809999999966</f>
        <v>1567.9999119999998</v>
      </c>
      <c r="W68" s="3">
        <f>1714.5+(320.5-292.3)+(-3.49758+(-0.65382--0.596292))+0-333.4--0.680135999999985</f>
        <v>1406.4250280000001</v>
      </c>
      <c r="X68" s="3">
        <f>1722.7+(119-377.6)+(-4.392885+(-0.30345--0.96288))+0-332.4--0.847619999999952</f>
        <v>1128.8141649999998</v>
      </c>
      <c r="Y68" s="3">
        <f>1737.8+(119.6-407.4)+(0.886278+(0.060996-0.207774))+0-332.1-0.169370999999966</f>
        <v>1118.4701289999998</v>
      </c>
      <c r="Z68" s="3">
        <f>1748.7+(217.5-360.3)+(-0.891837+(-0.110925--0.183753))+0-333.1--0.169880999999966</f>
        <v>1272.1508719999999</v>
      </c>
      <c r="AA68" s="3">
        <f>1757.8+(390.1-368.8)+(-2.689434+(-0.596853--0.564264))+0-333.7--0.510561000000019</f>
        <v>1443.1885379999999</v>
      </c>
      <c r="AB68" s="3">
        <f>1753.1+(482.8-356.8)+(-5.364486+(-1.477368--1.091808))+0-333.2--1.01959200000004</f>
        <v>1541.1695459999999</v>
      </c>
      <c r="AC68" s="3">
        <f>1742.5+(503.8-334.2)+(-4.443375+(-1.28469--0.85221))+0-333--0.849149999999952</f>
        <v>1575.0732949999999</v>
      </c>
      <c r="AD68" s="2">
        <v>1480.6999999999998</v>
      </c>
      <c r="AE68" s="3">
        <f>1759+(419-361.7)+(0+(0-0))+0-335.6-0</f>
        <v>1480.6999999999998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1780+(466-295.1)+(0+(0-0))+0-334-0</f>
        <v>1616.9</v>
      </c>
      <c r="G69" s="3">
        <f>1743.4+(546.9-293.6)+(-2.667402+(-0.836757--0.449208))+0-336--0.514080000000019</f>
        <v>1658.1591289999999</v>
      </c>
      <c r="H69" s="3">
        <f>1747.2+(454.1-285.8)+(-3.564288+(-0.926364--0.583032))+0-331.5--0.676259999999986</f>
        <v>1580.76864</v>
      </c>
      <c r="I69" s="3">
        <f>1746.7+(428.5-262.2)+(-3.563268+(-0.87414--0.534888))+0-330--0.673199999999986</f>
        <v>1579.7706799999999</v>
      </c>
      <c r="J69" s="3">
        <f>1750.7+(319.9-252.6)+(-0.892857+(-0.163149--0.128826))+0-330.9--0.168758999999966</f>
        <v>1486.3415790000001</v>
      </c>
      <c r="K69" s="3">
        <f>1754+(285.2-235.6)+(-3.57816+(-0.581808--0.480624))+0-331.9--0.677075999999985</f>
        <v>1468.6977320000001</v>
      </c>
      <c r="L69" s="3">
        <f>1757.5+(97.7-275.3)+(-4.481625+(-0.249135--0.702015))+0-330.2--0.842009999999952</f>
        <v>1246.5132649999998</v>
      </c>
      <c r="M69" s="3">
        <f>1752.9+(66.9-344.2)+(0.893979+(0.034119-0.175542))+0-329.2-0.167891999999967</f>
        <v>1146.9846640000001</v>
      </c>
      <c r="N69" s="3">
        <f>1742.8+(147.4-415.6)+(0+(0-0))+0-330.9-0</f>
        <v>1143.6999999999998</v>
      </c>
      <c r="O69" s="3">
        <f>1742.2+(186.3-413.4)+(-0.888522+(-0.095013--0.210834))+0-330.2--0.168401999999966</f>
        <v>1184.295701</v>
      </c>
      <c r="P69" s="3">
        <f>1730.7+(235.9-381.6)+(0.882657+(0.120309-0.194616))+0-331.5-0.169064999999966</f>
        <v>1254.139285</v>
      </c>
      <c r="Q69" s="3">
        <f>1721.3+(314.1-396.2)+(-1.755726+(-0.320382--0.404124))+0-334.5--0.341190000000053</f>
        <v>1303.3692060000001</v>
      </c>
      <c r="R69" s="3">
        <f>1713.9+(517.1-413.1)+(0.874089+(0.263721-0.210681))+0-333.1-0.169880999999966</f>
        <v>1485.5572479999998</v>
      </c>
      <c r="S69" s="3">
        <f>1708.6+(660.1-396.4)+(-0.871386+(-0.336651--0.202164))+0-331.6--0.169115999999966</f>
        <v>1639.8632429999998</v>
      </c>
      <c r="T69" s="3">
        <f>1712+(714.8-382.9)+(0+(0-0))+0-331.3-0</f>
        <v>1712.6000000000001</v>
      </c>
      <c r="U69" s="3">
        <f>1717.1+(708.1-350.8)+(-0.875721+(-0.361131--0.178908))+0-328.1--0.167330999999967</f>
        <v>1745.4093869999999</v>
      </c>
      <c r="V69" s="3">
        <f>1722.5+(504.8-293.8)+(-3.5139+(-1.029792--0.599352))+0-328.5--0.670139999999986</f>
        <v>1601.7257999999999</v>
      </c>
      <c r="W69" s="3">
        <f>1737.8+(270.9-293.6)+(-5.317668+(-0.828954--0.898416))+0-329.6--1.00857600000004</f>
        <v>1381.2603699999997</v>
      </c>
      <c r="X69" s="3">
        <f>1673.9+(79.8-408.9)+(-3.414756+(-0.162792--0.834156))+0-325--0.662999999999986</f>
        <v>1017.7196080000001</v>
      </c>
      <c r="Y69" s="3">
        <f>1651.8+(73.9-401.4)+(2.527254+(0.113067-0.614142))+0-327.3-0.500769000000019</f>
        <v>998.52540999999997</v>
      </c>
      <c r="Z69" s="3">
        <f>1655.8+(227.9-366.4)+(0+(0-0))+0-330.2-0</f>
        <v>1187.0999999999999</v>
      </c>
      <c r="AA69" s="3">
        <f>1764.7+(310-392.3)+(-3.599988+(-0.6324--0.800292))+0-329.8--0.672791999999986</f>
        <v>1349.8406960000002</v>
      </c>
      <c r="AB69" s="3">
        <f>1773.2+(395.7-371)+(-2.712996+(-0.605421--0.56763))+0-327.7--0.501381000000019</f>
        <v>1467.9505940000001</v>
      </c>
      <c r="AC69" s="3">
        <f>1771.7+(442.3-337.6)+(-0.903567+(-0.225573--0.172176))+0-328.9--0.167738999999967</f>
        <v>1546.710775</v>
      </c>
      <c r="AD69" s="2">
        <v>1403.5</v>
      </c>
      <c r="AE69" s="3">
        <f>1770+(348.1-383.8)+(0+(0-0))+0-330.8-0</f>
        <v>1403.5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1775.8+(458.4-329.3)+(-2.716974+(-0.701352--0.503829))+0-334--0.511020000000019</f>
        <v>1568.4965229999998</v>
      </c>
      <c r="G70" s="3">
        <f>1778.2+(439.1-294.4)+(0+(0-0))+0-334.5-0</f>
        <v>1588.4</v>
      </c>
      <c r="H70" s="3">
        <f>1767.6+(432.6-265.3)+(0+(0-0))+0-336.7-0</f>
        <v>1598.1999999999998</v>
      </c>
      <c r="I70" s="3">
        <f>1760.7+(367.8-293.2)+(1.795914+(0.375156-0.299064))+0-333.9-0.340578000000053</f>
        <v>1502.9314280000001</v>
      </c>
      <c r="J70" s="3">
        <f>1778.4+(297.6-301.7)+(-0.906984+(-0.151776--0.153867))+0-335--0.170849999999966</f>
        <v>1438.5659570000003</v>
      </c>
      <c r="K70" s="3">
        <f>1784.4+(187.7-266.3)+(-4.55022+(-0.478635--0.679065))+0-329.8--0.840989999999952</f>
        <v>1372.4912000000002</v>
      </c>
      <c r="L70" s="3">
        <f>1753.6+(29.7-278.5)+(-1.788672+(-0.030294--0.28407))+0-330.2--0.336804000000053</f>
        <v>1173.401908</v>
      </c>
      <c r="M70" s="3">
        <f>1727.4+(50.3-340.1)+(1.761948+(0.051306-0.346902))+0-325.9-0.332418000000052</f>
        <v>1112.8339340000002</v>
      </c>
      <c r="N70" s="3">
        <f>1767.5+(46.5-409.7)+(2.704275+(0.071145-0.626841))+0-328.6-0.502758000000019</f>
        <v>1077.3458209999999</v>
      </c>
      <c r="O70" s="3">
        <f>1770.8+(69.6-440.9)+(1.806216+(0.070992-0.449718))+0-331.2-0.337824000000053</f>
        <v>1069.389666</v>
      </c>
      <c r="P70" s="3">
        <f>1758.3+(137.4-467.4)+(2.690199+(0.210222-0.715122))+0-331.8-0.507654000000019</f>
        <v>1098.177645</v>
      </c>
      <c r="Q70" s="3">
        <f>1760.5+(211.7-437.6)+(0+(0-0))+0-330.7-0</f>
        <v>1203.8999999999999</v>
      </c>
      <c r="R70" s="3">
        <f>1734.1+(383.5-435.5)+(-0.884391+(-0.195585--0.222105))+0-327.8--0.167177999999967</f>
        <v>1353.6093069999999</v>
      </c>
      <c r="S70" s="3">
        <f>1723.4+(565.5-430.8)+(-2.636802+(-0.865215--0.659124))+0-326--0.498780000000019</f>
        <v>1529.7558870000003</v>
      </c>
      <c r="T70" s="3">
        <f>1726.9+(635.7-403.2)+(2.642157+(0.972621-0.616896))+0-325.4-0.497862000000019</f>
        <v>1636.5000200000002</v>
      </c>
      <c r="U70" s="3">
        <f>1720.1+(623.9-383.7)+(-1.754502+(-0.636378--0.391374))+0-326.5--0.333030000000052</f>
        <v>1632.1335239999999</v>
      </c>
      <c r="V70" s="3">
        <f>1720.6+(515.8-372.2)+(-4.38753+(-1.31529--0.94911))+0-328.5--0.837674999999952</f>
        <v>1531.7839649999999</v>
      </c>
      <c r="W70" s="3">
        <f>1729.2+(267-340)+(-2.645676+(-0.40851--0.5202))+0-328.1--0.501993000000019</f>
        <v>1326.0680070000001</v>
      </c>
      <c r="X70" s="3">
        <f>1733.7+(116.3-404.4)+(-4.420935+(-0.296565--1.03122))+0-327.9--0.836144999999952</f>
        <v>1114.8498650000004</v>
      </c>
      <c r="Y70" s="3">
        <f>1740.1+(97-402.8)+(-1.774902+(-0.09894--0.410856))+0-328.4--0.334968000000052</f>
        <v>1104.7719820000002</v>
      </c>
      <c r="Z70" s="3">
        <f>1748+(247.3-399.3)+(-1.78296+(-0.252246--0.407286))+0-329.7--0.336294000000053</f>
        <v>1265.008374</v>
      </c>
      <c r="AA70" s="3">
        <f>1754.9+(401.1-415)+(-2.684997+(-0.613683--0.63495))+0-328.7--0.502911000000019</f>
        <v>1410.139181</v>
      </c>
      <c r="AB70" s="3">
        <f>1751.3+(490.7-403)+(-4.465815+(-1.251285--1.02765))+0-327.8--0.835889999999953</f>
        <v>1507.34644</v>
      </c>
      <c r="AC70" s="3">
        <f>1556.2+(709.1-349.6)+(-2.380986+(-1.084923--0.534888))+0-328.8--0.503064000000019</f>
        <v>1584.472043</v>
      </c>
      <c r="AD70" s="2">
        <v>1414</v>
      </c>
      <c r="AE70" s="3">
        <f>1754+(406-417)+(0+(0-0))+0-329-0</f>
        <v>1414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1532.1+(720.1-316.8)+(-2.344113+(-1.101753--0.484704))+0-329.2--0.503676000000019</f>
        <v>1603.7425139999998</v>
      </c>
      <c r="G71" s="3">
        <f>1535.3+(671.9-295.2)+(-0.783003+(-0.342669--0.150552))+0-328.7--0.167636999999967</f>
        <v>1582.4925169999999</v>
      </c>
      <c r="H71" s="3">
        <f>1536.3+(648.6-271.8)+(-1.567026+(-0.661572--0.277236))+0-333.6--0.340272000000053</f>
        <v>1577.8889099999999</v>
      </c>
      <c r="I71" s="3">
        <f>1544.9+(576.5-257.9)+(-2.363697+(-0.882045--0.394587))+0-333.1--0.509643000000019</f>
        <v>1528.0584879999999</v>
      </c>
      <c r="J71" s="3">
        <f>1543.9+(532.9-235.7)+(-3.149556+(-1.087116--0.480828))+0-330.1--0.673403999999986</f>
        <v>1507.9175600000001</v>
      </c>
      <c r="K71" s="3">
        <f>1547+(408.6-223.6)+(-2.36691+(-0.625158--0.342108))+0-331--0.506430000000019</f>
        <v>1398.8564699999999</v>
      </c>
      <c r="L71" s="3">
        <f>1547.6+(264.2-255.6)+(-3.157104+(-0.538968--0.521424))+0-329.8--0.672791999999986</f>
        <v>1223.898144</v>
      </c>
      <c r="M71" s="3">
        <f>1543.5+(181.9-262.2)+(0+(0-0))+0-328.9-0</f>
        <v>1134.3000000000002</v>
      </c>
      <c r="N71" s="3">
        <f>1531.5+(191.6-272.5)+(1.56213+(0.195432-0.27795))+0-331.3-0.337926000000053</f>
        <v>1120.4416859999999</v>
      </c>
      <c r="O71" s="3">
        <f>1519.4+(304.5-294.9)+(3.099576+(0.62118-0.601596))+0-336.2-0.685847999999985</f>
        <v>1195.2333119999998</v>
      </c>
      <c r="P71" s="3">
        <f>1511.2+(349.3-319.3)+(-1.541424+(-0.356286--0.325686))+0-333.1--0.339762000000053</f>
        <v>1206.8677379999999</v>
      </c>
      <c r="Q71" s="3">
        <f>1500.2+(510.8-383)+(0+(0-0))+0-334.7-0</f>
        <v>1293.3</v>
      </c>
      <c r="R71" s="3">
        <f>1493.9+(707.2-411.4)+(-2.285667+(-1.082016--0.629442))+0-251.9--0.385407000000015</f>
        <v>1535.4471660000002</v>
      </c>
      <c r="S71" s="3">
        <f>1485.1+(923.2-368.7)+(1.514802+(0.941664-0.376074))+0-330.9-0.337518000000053</f>
        <v>1710.4428740000001</v>
      </c>
      <c r="T71" s="3">
        <f>1480.7+(949-321.5)+(1.510314+(0.96798-0.32793))+0-330.7-0.337314000000053</f>
        <v>1779.3130499999997</v>
      </c>
      <c r="U71" s="3">
        <f>1487.8+(915.9-303.7)+(0+(0-0))+0-330.6-0</f>
        <v>1769.4</v>
      </c>
      <c r="V71" s="3">
        <f>1487.9+(721.4-278.9)+(-1.517658+(-0.735828--0.284478))+0-329--0.335580000000052</f>
        <v>1599.7665720000002</v>
      </c>
      <c r="W71" s="3">
        <f>1490.7+(486.3-273.4)+(-3.041028+(-0.992052--0.557736))+0-328.2--0.669527999999986</f>
        <v>1372.594184</v>
      </c>
      <c r="X71" s="3">
        <f>1498.6+(242.6-258)+(-4.585716+(-0.742356--0.78948))+0-330--1.00980000000004</f>
        <v>1149.6712079999998</v>
      </c>
      <c r="Y71" s="3">
        <f>1503.7+(195.5-279.5)+(1.533774+(0.19941-0.28509))+0-330.8-0.337416000000053</f>
        <v>1090.0106780000001</v>
      </c>
      <c r="Z71" s="3">
        <f>1513.2+(462.5-356.2)+(-0.771732+(-0.235875--0.181662))+0-331.4--0.169013999999966</f>
        <v>1287.4430689999999</v>
      </c>
      <c r="AA71" s="3">
        <f>1521.4+(619.8-368.8)+(-1.551828+(-0.632196--0.376176))+0-328--0.334560000000052</f>
        <v>1442.9267120000002</v>
      </c>
      <c r="AB71" s="3">
        <f>1524.7+(784.8-358.8)+(-3.110388+(-1.600992--0.731952))+0-328.7--0.670547999999986</f>
        <v>1618.69112</v>
      </c>
      <c r="AC71" s="3">
        <f>1531.9+(802.4-341.3)+(-2.343807+(-1.227672--0.522189))+0-329.6--0.504288000000019</f>
        <v>1660.8549980000003</v>
      </c>
      <c r="AD71" s="2">
        <v>1465.6999999999998</v>
      </c>
      <c r="AE71" s="3">
        <f>1523+(640.1-369)+(0+(0-0))+0-328.4-0</f>
        <v>1465.6999999999998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1532.8+(837.6-312.5)+(-3.126912+(-1.708704--0.6375))+0-329.8--0.672791999999986</f>
        <v>1724.5746760000002</v>
      </c>
      <c r="G72" s="3">
        <f>1533.2+(788.9-294.1)+(-3.127728+(-1.609356--0.599964))+0-330.2--0.673607999999986</f>
        <v>1694.3364879999999</v>
      </c>
      <c r="H72" s="3">
        <f>1533.6+(756.5-267.4)+(-2.346408+(-1.157445--0.409122))+0-327.8--0.501534000000019</f>
        <v>1692.3068029999999</v>
      </c>
      <c r="I72" s="3">
        <f>1535.2+(677.6-253)+(-4.697712+(-2.073456--0.77418))+0-329.6--1.00857600000004</f>
        <v>1625.2115879999999</v>
      </c>
      <c r="J72" s="3">
        <f>1537.1+(626.6-231.5)+(-3.135684+(-1.278264--0.47226))+0-331.5--0.676259999999986</f>
        <v>1597.4345719999997</v>
      </c>
      <c r="K72" s="3">
        <f>1543.2+(458.4-209.3)+(-3.93516+(-1.16892--0.533715))+0-331.3--0.844814999999952</f>
        <v>1457.2744499999999</v>
      </c>
      <c r="L72" s="3">
        <f>1550.7+(289.4-215.8)+(-3.163428+(-0.590376--0.440232))+0-329.2--0.671567999999986</f>
        <v>1292.4579959999999</v>
      </c>
      <c r="M72" s="3">
        <f>1542.7+(235.3-246)+(4.720662+(0.720018-0.75276))+0-328.6-1.00551600000004</f>
        <v>1207.082404</v>
      </c>
      <c r="N72" s="3">
        <f>1531.1+(299.5-288.9)+(0+(0-0))+0-331-0</f>
        <v>1210.6999999999998</v>
      </c>
      <c r="O72" s="3">
        <f>1518.2+(346-328.5)+(1.548564+(0.35292-0.33507))+0-330.6-0.337212000000053</f>
        <v>1206.3292019999997</v>
      </c>
      <c r="P72" s="3">
        <f>1509.3+(400.5-327.8)+(-1.539486+(-0.40851--0.334356))+0-331.9--0.338538000000053</f>
        <v>1248.8248979999998</v>
      </c>
      <c r="Q72" s="3">
        <f>1502.6+(508.5-372.7)+(0+(0-0))+0-332.8-0</f>
        <v>1305.5999999999999</v>
      </c>
      <c r="R72" s="3">
        <f>1495.3+(696.4-393.7)+(-0.762603+(-0.355164--0.200787))+0-329.6--0.168095999999967</f>
        <v>1467.651116</v>
      </c>
      <c r="S72" s="3">
        <f>1484.5+(903.8-377.2)+(-1.51419+(-0.921876--0.384744))+0-329.5--0.336090000000053</f>
        <v>1679.8847679999999</v>
      </c>
      <c r="T72" s="3">
        <f>1478.6+(820.6-275.2)+(0+(0-0))+0-331.2-0</f>
        <v>1692.8</v>
      </c>
      <c r="U72" s="3">
        <f>1472.9+(868.5-280.6)+(-1.502358+(-0.88587--0.286212))+0-329.6--0.336192000000053</f>
        <v>1729.4341760000004</v>
      </c>
      <c r="V72" s="3">
        <f>1468.8+(789-272)+(-2.247264+(-1.20717--0.41616))+0-329.2--0.503676000000019</f>
        <v>1654.0654019999999</v>
      </c>
      <c r="W72" s="3">
        <f>1475.9+(520.4-269.5)+(-4.516254+(-1.592424--0.82467))+0-330.1--1.01010600000004</f>
        <v>1392.4260980000001</v>
      </c>
      <c r="X72" s="3">
        <f>1493+(241-249.7)+(-0.76143+(-0.12291--0.127347))+0-331.3--0.168962999999966</f>
        <v>1152.4119700000001</v>
      </c>
      <c r="Y72" s="3">
        <f>1506.4+(175.9-246.2)+(-1.536528+(-0.179418--0.251124))+0-329--0.335580000000052</f>
        <v>1105.9707580000004</v>
      </c>
      <c r="Z72" s="3">
        <f>1518.3+(439.9-335)+(0.774333+(0.224349-0.17085))+0-330.9-0.168758999999966</f>
        <v>1292.9590729999998</v>
      </c>
      <c r="AA72" s="3">
        <f>1515.3+(605.1-327.5)+(-1.545606+(-0.617202--0.33405))+0-330.1--0.336702000000053</f>
        <v>1461.3079440000001</v>
      </c>
      <c r="AB72" s="3">
        <f>1513.9+(708.7-286.4)+(-1.544178+(-0.722874--0.292128))+0-328.8--0.335376000000052</f>
        <v>1605.7604520000002</v>
      </c>
      <c r="AC72" s="3">
        <f>1509.1+(729.4-273.6)+(0.769641+(0.371994-0.139536))+0-330.5-0.168554999999966</f>
        <v>1635.2335439999999</v>
      </c>
      <c r="AD72" s="2">
        <v>1449.3</v>
      </c>
      <c r="AE72" s="3">
        <f>1522+(597.1-333)+(0+(0-0))+0-336.8-0</f>
        <v>1449.3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1488.7+(763.9-249)+(-3.036948+(-1.558356--0.50796))+0-329.5--0.672179999999986</f>
        <v>1670.6848359999999</v>
      </c>
      <c r="G73" s="3">
        <f>1528.1+(750.2-274.9)+(0+(0-0))+0-327.9-0</f>
        <v>1675.5</v>
      </c>
      <c r="H73" s="3">
        <f>1529.2+(665.1-275.6)+(-0.779892+(-0.339201--0.140556))+0-328.3--0.167432999999967</f>
        <v>1589.5888960000002</v>
      </c>
      <c r="I73" s="3">
        <f>1532.2+(647.1-255)+(2.344266+(0.990063-0.39015))+0-326.9-0.500157000000019</f>
        <v>1599.8440220000002</v>
      </c>
      <c r="J73" s="3">
        <f>1533.9+(608.2-234.6)+(-2.346867+(-0.930546--0.358938))+0-327.2--0.500616000000019</f>
        <v>1577.882141</v>
      </c>
      <c r="K73" s="3">
        <f>1536.9+(454.6-210.4)+(-3.919095+(-1.15923--0.53652))+0-326.7--0.833084999999953</f>
        <v>1450.69128</v>
      </c>
      <c r="L73" s="3">
        <f>1543.8+(269.4-194.3)+(-1.574676+(-0.274788--0.198186))+0-325.7--0.332214000000052</f>
        <v>1291.8809359999998</v>
      </c>
      <c r="M73" s="3">
        <f>1541.6+(274.1-209.4)+(-0.786216+(-0.139791--0.106794))+0-325.4--0.165953999999967</f>
        <v>1280.2467409999999</v>
      </c>
      <c r="N73" s="3">
        <f>1533.1+(194.2-253.9)+(3.909405+(0.49521-0.647445))+0-326.6-0.832829999999953</f>
        <v>1149.72434</v>
      </c>
      <c r="O73" s="3">
        <f>1518.5+(339.1-281.8)+(3.872175+(0.864705-0.71859))+0-328-0.836399999999952</f>
        <v>1250.98189</v>
      </c>
      <c r="P73" s="3">
        <f>1506.7+(433-318.9)+(3.073668+(0.88332-0.650556))+0-327.6-0.668303999999986</f>
        <v>1295.8381280000001</v>
      </c>
      <c r="Q73" s="3">
        <f>1494+(601.6-361.5)+(1.52388+(0.613632-0.36873))+0-327.4-0.333948000000052</f>
        <v>1408.134834</v>
      </c>
      <c r="R73" s="3">
        <f>1479.7+(824-361.5)+(0.754647+(0.42024-0.184365))+0-328.6-0.167585999999967</f>
        <v>1614.4229359999999</v>
      </c>
      <c r="S73" s="3">
        <f>1471.9+(974.8-348.1)+(-1.501338+(-0.994296--0.355062))+0-327.9--0.334458000000052</f>
        <v>1768.8938860000001</v>
      </c>
      <c r="T73" s="3">
        <f>1460.4+(1015.6-310.9)+(-0.744804+(-0.517956--0.158559))+0-328.3--0.167432999999967</f>
        <v>1835.8632320000004</v>
      </c>
      <c r="U73" s="3">
        <f>1455.6+(981.5-296.1)+(-1.484712+(-1.00113--0.302022))+0-327.9--0.334458000000052</f>
        <v>1811.2506379999998</v>
      </c>
      <c r="V73" s="3">
        <f>1456.5+(840.8-274)+(0.742815+(0.428808-0.13974))+0-327.6-0.167075999999967</f>
        <v>1696.564807</v>
      </c>
      <c r="W73" s="3">
        <f>1455.6+(627-256.6)+(-1.484712+(-0.63954--0.261732))+0-327--0.333540000000052</f>
        <v>1497.4710200000002</v>
      </c>
      <c r="X73" s="3">
        <f>1461.8+(363.7-224.3)+(-1.491036+(-0.370974--0.228786))+0-328.2--0.334764000000052</f>
        <v>1271.7015399999998</v>
      </c>
      <c r="Y73" s="3">
        <f>1473.8+(257.3-238.8)+(-1.503276+(-0.262446--0.243576))+0-331.3--0.337926000000053</f>
        <v>1159.8157800000001</v>
      </c>
      <c r="Z73" s="3">
        <f>1485.4+(554.6-299.1)+(-2.272662+(-0.848538--0.457623))+0-332.7--0.509031000000019</f>
        <v>1406.0454540000001</v>
      </c>
      <c r="AA73" s="3">
        <f>1497.4+(651.1-302.2)+(-3.054696+(-1.328244--0.616488))+0-330.5--0.674219999999986</f>
        <v>1512.707768</v>
      </c>
      <c r="AB73" s="3">
        <f>1511.7+(702-306.3)+(-2.312901+(-1.07406--0.468639))+0-326.8--0.500004000000019</f>
        <v>1578.1816820000001</v>
      </c>
      <c r="AC73" s="3">
        <f>1517.2+(760.3-301.9)+(-3.095088+(-1.551012--0.615876))+0-328.7--0.670547999999986</f>
        <v>1643.5403239999998</v>
      </c>
      <c r="AD73" s="2">
        <v>1543.2</v>
      </c>
      <c r="AE73" s="3">
        <f>1505+(656.9-295)+(0+(0-0))+0-323.7-0</f>
        <v>1543.2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1522.1+(820.7-285.7)+(-2.328813+(-1.255671--0.437121))+0-329.8--0.504594000000019</f>
        <v>1724.6572309999999</v>
      </c>
      <c r="G74" s="3">
        <f>1526.4+(803.7-317.2)+(-0.778464+(-0.409887--0.161772))+0-328.7--0.167636999999967</f>
        <v>1683.341058</v>
      </c>
      <c r="H74" s="3">
        <f>1521.9+(774.5-302.2)+(-1.552338+(-0.78999--0.308244))+0-331.2--0.337824000000053</f>
        <v>1661.3037400000001</v>
      </c>
      <c r="I74" s="3">
        <f>1521.8+(709.2-288.5)+(-0.776118+(-0.361692--0.147135))+0-329.9--0.168248999999967</f>
        <v>1611.777574</v>
      </c>
      <c r="J74" s="3">
        <f>1527.6+(649.2-276.9)+(-5.453532+(-2.317644--0.988533))+0-328.3--1.172031</f>
        <v>1565.9893880000002</v>
      </c>
      <c r="K74" s="3">
        <f>1533.5+(521.8-229.9)+(-7.82085+(-2.66118--1.17249))+0-326.8--1.66668000000002</f>
        <v>1490.9571400000002</v>
      </c>
      <c r="L74" s="3">
        <f>1534.3+(361.6-211.8)+(-1.564986+(-0.368832--0.216036))+0-329.4--0.335988000000053</f>
        <v>1353.3182060000001</v>
      </c>
      <c r="M74" s="3">
        <f>1529.4+(305.1-234.1)+(2.339982+(0.466803-0.358173))+0-326.3-0.499239000000019</f>
        <v>1276.0493730000001</v>
      </c>
      <c r="N74" s="3">
        <f>1518.3+(280.1-267.3)+(3.097332+(0.571404-0.545292))+0-329.9-0.672995999999986</f>
        <v>1203.6504480000001</v>
      </c>
      <c r="O74" s="3">
        <f>1507+(347.1-287.9)+(-0.76857+(-0.177021--0.146829))+0-331.5--0.169064999999966</f>
        <v>1234.0703030000002</v>
      </c>
      <c r="P74" s="3">
        <f>1493.9+(410.1-342.1)+(0+(0-0))+0-331-0</f>
        <v>1230.9000000000001</v>
      </c>
      <c r="Q74" s="3">
        <f>1483.3+(566.2-382.4)+(0+(0-0))+0-330.2-0</f>
        <v>1336.8999999999999</v>
      </c>
      <c r="R74" s="3">
        <f>1475.4+(750.3-386.2)+(2.257362+(1.147959-0.590886))+0-331.4-0.507042000000019</f>
        <v>1510.4073930000002</v>
      </c>
      <c r="S74" s="3">
        <f>1473.5+(879-367.7)+(-1.50297+(-0.89658--0.375054))+0-331--0.337620000000053</f>
        <v>1652.113124</v>
      </c>
      <c r="T74" s="3">
        <f>1453.8+(992.8-364.7)+(-1.482876+(-1.012656--0.371994))+0-333.2--0.339864000000053</f>
        <v>1746.9163259999998</v>
      </c>
      <c r="U74" s="3">
        <f>1452.4+(978.5-353.3)+(0+(0-0))+0-333.7-0</f>
        <v>1743.9000000000003</v>
      </c>
      <c r="V74" s="3">
        <f>1443.4+(880.2-337.5)+(-0.736134+(-0.448902--0.172125))+0-332--0.169319999999966</f>
        <v>1653.2564090000001</v>
      </c>
      <c r="W74" s="3">
        <f>1463.3+(668.6-291.4)+(-1.492566+(-0.681972--0.297228))+0-330.8--0.337416000000053</f>
        <v>1508.160106</v>
      </c>
      <c r="X74" s="3">
        <f>1483.3+(311.3-275)+(-3.782415+(-0.793815--0.70125))+0-329.8--0.840989999999952</f>
        <v>1186.7660099999998</v>
      </c>
      <c r="Y74" s="3">
        <f>1493.4+(198.1-308.3)+(-1.523268+(-0.202062--0.314466))+0-330.8--0.337416000000053</f>
        <v>1051.3265520000002</v>
      </c>
      <c r="Z74" s="3">
        <f>1500.5+(438.7-382.1)+(-0.765255+(-0.223737--0.194871))+0-333.8--0.170237999999966</f>
        <v>1222.676117</v>
      </c>
      <c r="AA74" s="3">
        <f>1508.9+(595.8-383.4)+(-3.078156+(-1.215432--0.782136))+0-333.9--0.681155999999985</f>
        <v>1384.5697040000002</v>
      </c>
      <c r="AB74" s="3">
        <f>1510.8+(661-368.8)+(-0.770508+(-0.33711--0.188088))+0-333--0.169829999999966</f>
        <v>1469.2503000000002</v>
      </c>
      <c r="AC74" s="3">
        <f>1512+(751.3-358.8)+(-3.8556+(-1.915815--0.91494))+0-332.2--0.847109999999952</f>
        <v>1568.2906349999998</v>
      </c>
      <c r="AD74" s="2">
        <v>1395.6</v>
      </c>
      <c r="AE74" s="3">
        <f>1510+(604.7-382.3)+(0+(0-0))+0-336.8-0</f>
        <v>1395.6000000000001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1514.5+(798.7-345.6)+(0.772395+(0.407337-0.176256))+0-329.4-0.167993999999967</f>
        <v>1639.0354820000002</v>
      </c>
      <c r="G75" s="3">
        <f>1518.9+(761.1-334.2)+(0+(0-0))+0-328.8-0</f>
        <v>1617.0000000000002</v>
      </c>
      <c r="H75" s="3">
        <f>1519+(702.4-313.7)+(3.09876+(1.432896-0.639948))+0-329.6-0.672383999999986</f>
        <v>1581.3193240000001</v>
      </c>
      <c r="I75" s="3">
        <f>1513+(656.9-302.1)+(-4.62978+(-2.010114--0.924426))+0-332.2--1.01653200000004</f>
        <v>1530.9010639999999</v>
      </c>
      <c r="J75" s="3">
        <f>1516.2+(590.8-284.7)+(-0.773262+(-0.301308--0.145197))+0-330.1--0.168350999999967</f>
        <v>1491.4389779999999</v>
      </c>
      <c r="K75" s="3">
        <f>1521.2+(455.6-260)+(-4.654872+(-1.394136--0.7956))+0-329.9--1.00949400000004</f>
        <v>1382.6560860000002</v>
      </c>
      <c r="L75" s="3">
        <f>1525.9+(281.2-246.6)+(-3.891045+(-0.71706--0.62883))+0-327.8--0.835889999999953</f>
        <v>1229.5566150000002</v>
      </c>
      <c r="M75" s="3">
        <f>1524+(255.6-260.5)+(0+(0-0))+0-325.9-0</f>
        <v>1193.1999999999998</v>
      </c>
      <c r="N75" s="3">
        <f>1511.8+(287.9-290.9)+(0+(0-0))+0-330.1-0</f>
        <v>1178.6999999999998</v>
      </c>
      <c r="O75" s="3">
        <f>1501.1+(370-329.3)+(0+(0-0))+0-329.5-0</f>
        <v>1212.3</v>
      </c>
      <c r="P75" s="3">
        <f>1491.2+(479.5-365)+(-0.760512+(-0.244545--0.18615))+0-331.2--0.168911999999966</f>
        <v>1273.8500049999998</v>
      </c>
      <c r="Q75" s="3">
        <f>1485.1+(606.7-397.1)+(-0.757401+(-0.309417--0.202521))+0-332.5--0.169574999999966</f>
        <v>1361.5052779999996</v>
      </c>
      <c r="R75" s="3">
        <f>1478.8+(773.7-381.2)+(-0.754188+(-0.394587--0.194412))+0-331.8--0.169217999999966</f>
        <v>1538.7148549999999</v>
      </c>
      <c r="S75" s="3">
        <f>1469.1+(930.2-356.1)+(-0.749241+(-0.474402--0.181611))+0-330.6--0.168605999999966</f>
        <v>1711.7265739999996</v>
      </c>
      <c r="T75" s="3">
        <f>1462.3+(903.4-312.1)+(-1.491546+(-0.921468--0.318342))+0-330--0.336600000000053</f>
        <v>1721.8419279999998</v>
      </c>
      <c r="U75" s="3">
        <f>1462.5+(932-317.5)+(-1.49175+(-0.95064--0.32385))+0-328.9--0.335478000000052</f>
        <v>1746.3169379999999</v>
      </c>
      <c r="V75" s="3">
        <f>1461.1+(863.9-296.4)+(-2.235483+(-1.321767--0.453492))+0-331--0.506430000000019</f>
        <v>1695.0026719999998</v>
      </c>
      <c r="W75" s="3">
        <f>1464.8+(598.4-292.5)+(-2.241144+(-0.915552--0.447525))+0-331.4--0.507042000000019</f>
        <v>1437.0978709999997</v>
      </c>
      <c r="X75" s="3">
        <f>1472.7+(316-270.4)+(-3.755385+(-0.8058--0.68952))+0-332.5--0.847874999999952</f>
        <v>1182.7762100000002</v>
      </c>
      <c r="Y75" s="3">
        <f>1482.9+(280.4-323.1)+(-3.025116+(-0.572016--0.659124))+0-332--0.677279999999986</f>
        <v>1105.9392719999998</v>
      </c>
      <c r="Z75" s="3">
        <f>1490+(543.4-346.8)+(-1.5198+(-0.554268--0.353736))+0-331.6--0.338232000000053</f>
        <v>1353.6178999999997</v>
      </c>
      <c r="AA75" s="3">
        <f>1496.4+(661.8-342.7)+(-3.81582+(-1.68759--0.873885))+0-331.7--0.845834999999952</f>
        <v>1480.0163099999997</v>
      </c>
      <c r="AB75" s="3">
        <f>1502.7+(751-318.8)+(-3.065508+(-1.53204--0.650352))+0-331.1--0.675443999999986</f>
        <v>1600.5282480000001</v>
      </c>
      <c r="AC75" s="3">
        <f>1507.6+(787.9-302.5)+(-0.768876+(-0.401829--0.154275))+0-331.1--0.168860999999966</f>
        <v>1661.0524309999998</v>
      </c>
      <c r="AD75" s="2">
        <v>1544.6</v>
      </c>
      <c r="AE75" s="3">
        <f>1498+(718.4-339.2)+(0+(0-0))+0-332.6-0</f>
        <v>1544.6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1512.3+(705.4-279.9)+(0+(0-0))+0-331.8-0</f>
        <v>1606</v>
      </c>
      <c r="G76" s="3">
        <f>1517.1+(691-290)+(-1.547442+(-0.70482--0.2958))+0-331.8--0.338436000000053</f>
        <v>1584.6819739999999</v>
      </c>
      <c r="H76" s="3">
        <f>1521.4+(700.2-262.4)+(0.775914+(0.357102-0.133824))+0-333-0.169829999999966</f>
        <v>1627.0293620000002</v>
      </c>
      <c r="I76" s="3">
        <f>1522.3+(555.4-255.2)+(1.552746+(0.566508-0.260304))+0-334-0.340680000000053</f>
        <v>1490.01827</v>
      </c>
      <c r="J76" s="3">
        <f>1522.5+(500.3-243.8)+(-1.55295+(-0.510306--0.248676))+0-332.7--0.339354000000053</f>
        <v>1444.8247739999999</v>
      </c>
      <c r="K76" s="3">
        <f>1522.4+(393.8-205.3)+(-1.552848+(-0.401676--0.209406))+0-331.2--0.337824000000053</f>
        <v>1378.292706</v>
      </c>
      <c r="L76" s="3">
        <f>1530.8+(275.8-230.4)+(-4.684248+(-0.843948--0.705024))+0-331.1--1.01316600000004</f>
        <v>1241.289994</v>
      </c>
      <c r="M76" s="3">
        <f>1527.8+(230.1-257.2)+(3.116712+(0.469404-0.524688))+0-328.7-0.670547999999986</f>
        <v>1174.3908799999999</v>
      </c>
      <c r="N76" s="3">
        <f>1520.7+(228.3-305.1)+(0+(0-0))+0-331.3-0</f>
        <v>1112.6000000000001</v>
      </c>
      <c r="O76" s="3">
        <f>1505.9+(251.6-325.1)+(-0.768009+(-0.128316--0.165801))+0-336.4--0.171563999999966</f>
        <v>1095.4410399999999</v>
      </c>
      <c r="P76" s="3">
        <f>1496.4+(341.4-351.2)+(0+(0-0))+0-335-0</f>
        <v>1151.6000000000001</v>
      </c>
      <c r="Q76" s="3">
        <f>1483.8+(450.7-398.1)+(0+(0-0))+0-331.1-0</f>
        <v>1205.2999999999997</v>
      </c>
      <c r="R76" s="3">
        <f>1475.5+(710.5-402.9)+(0+(0-0))+0-328.7-0</f>
        <v>1454.3999999999999</v>
      </c>
      <c r="S76" s="3">
        <f>1468.9+(885.3-313.2)+(-2.996556+(-1.806012--0.638928))+0-330.3--0.673811999999986</f>
        <v>1707.2101720000001</v>
      </c>
      <c r="T76" s="3">
        <f>1464.6+(981.6-343.5)+(0.746946+(0.500616-0.175185))+0-332.9-0.169778999999966</f>
        <v>1770.7025979999996</v>
      </c>
      <c r="U76" s="3">
        <f>1461+(926.9-314.5)+(-0.74511+(-0.472719--0.160395))+0-286.7--0.146216999999971</f>
        <v>1785.7887830000002</v>
      </c>
      <c r="V76" s="3">
        <f>1462+(845.1-309.8)+(1.49124+(0.862002-0.315996))+0-331.7-0.338334000000053</f>
        <v>1667.298912</v>
      </c>
      <c r="W76" s="3">
        <f>1466+(559.3-314.3)+(-2.24298+(-0.855729--0.480879))+0-332.7--0.509031000000019</f>
        <v>1376.1912010000001</v>
      </c>
      <c r="X76" s="3">
        <f>1473+(359.2-279.7)+(-1.50246+(-0.366384--0.285294))+0-332.5--0.339150000000053</f>
        <v>1218.7556</v>
      </c>
      <c r="Y76" s="3">
        <f>1478.7+(315.4-279.7)+(-1.508274+(-0.321708--0.285294))+0-330.1--0.336702000000053</f>
        <v>1183.0920140000003</v>
      </c>
      <c r="Z76" s="3">
        <f>1486.8+(548.4-360.7)+(0+(0-0))+0-334.2-0</f>
        <v>1340.3</v>
      </c>
      <c r="AA76" s="3">
        <f>1499.3+(690.7-363.1)+(-2.293929+(-1.056771--0.555543))+0-333.3--0.509949000000019</f>
        <v>1491.3147920000001</v>
      </c>
      <c r="AB76" s="3">
        <f>1503.6+(770.5-348.8)+(-1.533672+(-0.78591--0.355776))+0-331.1--0.337722000000053</f>
        <v>1592.5739160000001</v>
      </c>
      <c r="AC76" s="3">
        <f>1508.9+(755.8-341.7)+(1.539078+(0.770916-0.348534))+0-329.7-0.336294000000053</f>
        <v>1594.925166</v>
      </c>
      <c r="AD76" s="2">
        <v>1432.0999999999997</v>
      </c>
      <c r="AE76" s="3">
        <f>1503+(621.2-358.9)+(0+(0-0))+0-333.2-0</f>
        <v>1432.1000000000001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1513.1+(809.6-322.7)+(-1.543362+(-0.825792--0.329154))+0-333.5--0.340170000000053</f>
        <v>1664.80017</v>
      </c>
      <c r="G77" s="3">
        <f>1515.3+(774-318.5)+(1.545606+(0.78948-0.32487))+0-333.2-0.339864000000053</f>
        <v>1639.2703519999998</v>
      </c>
      <c r="H77" s="3">
        <f>1518.6+(741.2-303.3)+(-0.774486+(-0.378012--0.154683))+0-333.9--0.170288999999966</f>
        <v>1621.7724740000001</v>
      </c>
      <c r="I77" s="3">
        <f>1521.5+(750.2-273.8)+(0+(0-0))+0-335.1-0</f>
        <v>1662.8000000000002</v>
      </c>
      <c r="J77" s="3">
        <f>1525.2+(601.8-272.7)+(-2.333556+(-0.920754--0.417231))+0-331.9--0.507807000000019</f>
        <v>1520.0707280000001</v>
      </c>
      <c r="K77" s="3">
        <f>1528.1+(476.6-269.9)+(-1.558662+(-0.486132--0.275298))+0-331--0.337620000000053</f>
        <v>1402.3681240000001</v>
      </c>
      <c r="L77" s="3">
        <f>1535+(322.3-261)+(-3.91425+(-0.821865--0.66555))+0-328.7--0.838184999999952</f>
        <v>1264.3676199999998</v>
      </c>
      <c r="M77" s="3">
        <f>1535.5+(249.7-270.8)+(2.349315+(0.382041-0.414324))+0-328.9-0.503217000000019</f>
        <v>1187.313815</v>
      </c>
      <c r="N77" s="3">
        <f>1532.9+(295.4-281.7)+(0.781779+(0.150654-0.143667))+0-331.2-0.168911999999966</f>
        <v>1216.0198540000001</v>
      </c>
      <c r="O77" s="3">
        <f>1518.7+(342.4-316.9)+(1.549074+(0.349248-0.323238))+0-331.7-0.338334000000053</f>
        <v>1213.73675</v>
      </c>
      <c r="P77" s="3">
        <f>1504.1+(393.2-313.8)+(0+(0-0))+0-334.8-0</f>
        <v>1248.7</v>
      </c>
      <c r="Q77" s="3">
        <f>1492.2+(568.6-339.4)+(-2.283066+(-0.869958--0.519282))+0-333.7--0.510561000000019</f>
        <v>1385.5768190000001</v>
      </c>
      <c r="R77" s="3">
        <f>1478.7+(752.6-364.8)+(0.754137+(0.383826-0.186048))+0-331-0.168809999999966</f>
        <v>1536.2831050000002</v>
      </c>
      <c r="S77" s="3">
        <f>1469.3+(874.1-332.1)+(-3.746715+(-2.228955--0.846855))+0-332--0.846599999999952</f>
        <v>1675.0177849999998</v>
      </c>
      <c r="T77" s="3">
        <f>1454.8+(950.9-330.4)+(-3.70974+(-2.424795--0.84252))+0-332.7--0.848384999999952</f>
        <v>1738.1563700000002</v>
      </c>
      <c r="U77" s="3">
        <f>1453.1+(972.6-294)+(0+(0-0))+0-332.8-0</f>
        <v>1798.8999999999999</v>
      </c>
      <c r="V77" s="3">
        <f>1455.7+(883-277.9)+(-2.227221+(-1.35099--0.425187))+0-332.8--0.509184000000019</f>
        <v>1725.35616</v>
      </c>
      <c r="W77" s="3">
        <f>1460.1+(582.4-266.1)+(-3.723255+(-1.48512--0.678555))+0-333.1--0.849404999999952</f>
        <v>1439.6195849999999</v>
      </c>
      <c r="X77" s="3">
        <f>1464+(322.7-258.1)+(-3.7332+(-0.822885--0.658155))+0-332.5--0.847874999999952</f>
        <v>1193.0499449999998</v>
      </c>
      <c r="Y77" s="3">
        <f>1479.2+(287.4-289.5)+(-2.263176+(-0.439722--0.442935))+0-331.2--0.506736000000019</f>
        <v>1144.1467729999999</v>
      </c>
      <c r="Z77" s="3">
        <f>1495.8+(590.9-334.3)+(1.525716+(0.602718-0.340986))+0-333.9-0.340578000000053</f>
        <v>1419.94687</v>
      </c>
      <c r="AA77" s="3">
        <f>1510.4+(737.4-336.2)+(-0.770304+(-0.376074--0.171462))+0-331.4--0.169013999999966</f>
        <v>1579.3940980000002</v>
      </c>
      <c r="AB77" s="3">
        <f>1516.3+(811.3-325.1)+(-2.319939+(-1.241289--0.497403))+0-331.2--0.506736000000019</f>
        <v>1668.742911</v>
      </c>
      <c r="AC77" s="3">
        <f>1516.8+(843.8-304.6)+(-1.547136+(-0.860676--0.310692))+0-329.5--0.336090000000053</f>
        <v>1724.7389700000001</v>
      </c>
      <c r="AD77" s="2">
        <v>1666.8000000000002</v>
      </c>
      <c r="AE77" s="3">
        <f>1512+(822.4-330.2)+(0+(0-0))+0-337.4-0</f>
        <v>1666.8000000000002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1518.3+(842-304.7)+(0+(0-0))+0-328.4-0</f>
        <v>1727.1999999999998</v>
      </c>
      <c r="G78" s="3">
        <f>1520.2+(838.7-295.1)+(-3.101208+(-1.710948--0.602004))+0-330.9--0.675035999999986</f>
        <v>1729.3648840000001</v>
      </c>
      <c r="H78" s="3">
        <f>1522+(815.9-275.9)+(-3.8811+(-2.080545--0.703545))+0-333.3--0.849914999999952</f>
        <v>1724.291815</v>
      </c>
      <c r="I78" s="3">
        <f>1525.1+(695.1-276.2)+(-1.555602+(-0.709002--0.281724))+0-333.6--0.340272000000053</f>
        <v>1608.7573920000002</v>
      </c>
      <c r="J78" s="3">
        <f>1526.5+(671.1-262.4)+(-0.778515+(-0.342261--0.133824))+0-332.9--0.169778999999966</f>
        <v>1601.482827</v>
      </c>
      <c r="K78" s="3">
        <f>1540.9+(521.4-251.7)+(-0.785859+(-0.265914--0.128367))+0-332.3--0.169472999999966</f>
        <v>1477.546067</v>
      </c>
      <c r="L78" s="3">
        <f>1595.2+(293.1-252.6)+(0+(0-0))+0-330.6-0</f>
        <v>1305.0999999999999</v>
      </c>
      <c r="M78" s="3">
        <f>1633.3+(242.3-255.3)+(2.498949+(0.370719-0.390609))+0-329.4-0.503982000000019</f>
        <v>1292.8750769999999</v>
      </c>
      <c r="N78" s="3">
        <f>1623.2+(219-266.3)+(-2.483496+(-0.33507--0.407439))+0-331.4--0.507042000000019</f>
        <v>1242.5959150000001</v>
      </c>
      <c r="O78" s="3">
        <f>1674.2+(225.9-288.2)+(0+(0-0))+0-331.9-0</f>
        <v>1280</v>
      </c>
      <c r="P78" s="3">
        <f>1736.7+(246.5-321.4)+(0+(0-0))+0-333-0</f>
        <v>1328.8000000000002</v>
      </c>
      <c r="Q78" s="3">
        <f>1738.9+(383.1-344.9)+(0+(0-0))+0-334.1-0</f>
        <v>1443</v>
      </c>
      <c r="R78" s="3">
        <f>1733.5+(575.3-337.4)+(1.76817+(0.586806-0.344148))+0-333.3-0.339966000000053</f>
        <v>1639.7708620000001</v>
      </c>
      <c r="S78" s="3">
        <f>1728.8+(668.1-346.1)+(-0.881688+(-0.340731--0.176511))+0-332.6--0.169625999999966</f>
        <v>1717.3237180000001</v>
      </c>
      <c r="T78" s="3">
        <f>1728.3+(729.3-340.9)+(-0.881433+(-0.371943--0.173859))+0-331.4--0.169013999999966</f>
        <v>1784.3894969999997</v>
      </c>
      <c r="U78" s="3">
        <f>1729.2+(717.9-324.5)+(0+(0-0))+0-333.5-0</f>
        <v>1789.1</v>
      </c>
      <c r="V78" s="3">
        <f>1731.5+(587.1-319.3)+(-3.53226+(-1.197684--0.651372))+0-330.6--0.674423999999986</f>
        <v>1665.295852</v>
      </c>
      <c r="W78" s="3">
        <f>1702.3+(364.6-292)+(-5.209038+(-1.115676--0.89352))+0-334--1.02204000000004</f>
        <v>1436.4908460000001</v>
      </c>
      <c r="X78" s="3">
        <f>1625+(214.6-277.2)+(-7.45875+(-0.985014--1.272348))+0-333.1--1.52892900000006</f>
        <v>1223.6575130000001</v>
      </c>
      <c r="Y78" s="3">
        <f>1620.3+(162-303.6)+(-4.131765+(-0.4131--0.77418))+0-331.7--0.845834999999952</f>
        <v>1144.0751499999997</v>
      </c>
      <c r="Z78" s="3">
        <f>1752.9+(329.6-375.9)+(-2.681937+(-0.504288--0.575127))+0-333.5--0.510255000000019</f>
        <v>1370.999157</v>
      </c>
      <c r="AA78" s="3">
        <f>1629.5+(590.8-370.9)+(-0.831045+(-0.301308--0.189159))+0-332.2--0.169421999999966</f>
        <v>1516.426228</v>
      </c>
      <c r="AB78" s="3">
        <f>1583.4+(706.3-352.3)+(-4.03767+(-1.801065--0.898365))+0-331.6--0.845579999999952</f>
        <v>1601.7052099999999</v>
      </c>
      <c r="AC78" s="3">
        <f>1654+(676.6-329.6)+(-3.37416+(-1.380264--0.672384))+0-328.6--0.670343999999986</f>
        <v>1668.9883039999997</v>
      </c>
      <c r="AD78" s="2">
        <v>1500.5</v>
      </c>
      <c r="AE78" s="3">
        <f>1644+(564.7-376.8)+(0+(0-0))+0-331.4-0</f>
        <v>1500.5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1776.2+(585.8-303.6)+(-0.905862+(-0.298758--0.154836))+0-328.8--0.167687999999967</f>
        <v>1728.7179040000003</v>
      </c>
      <c r="G79" s="3">
        <f>1785.6+(541.1-277.6)+(0+(0-0))+0-329.3-0</f>
        <v>1719.8</v>
      </c>
      <c r="H79" s="3">
        <f>1783.9+(530.4-273.5)+(-0.909789+(-0.270504--0.139485))+0-329.2--0.167891999999967</f>
        <v>1710.7270840000001</v>
      </c>
      <c r="I79" s="3">
        <f>1781.3+(483.8-288.8)+(-2.725389+(-0.740214--0.441864))+0-330.8--0.506124000000019</f>
        <v>1642.982385</v>
      </c>
      <c r="J79" s="3">
        <f>1778.3+(414.8-270.9)+(-2.720799+(-0.634644--0.414477))+0-328.1--0.501993000000019</f>
        <v>1591.6610270000003</v>
      </c>
      <c r="K79" s="3">
        <f>1779.5+(324-240.5)+(-4.537725+(-0.8262--0.613275))+0-327.2--0.834359999999952</f>
        <v>1531.8837100000001</v>
      </c>
      <c r="L79" s="3">
        <f>1781.3+(170.2-248)+(-2.725389+(-0.260406--0.37944))+0-327.1--0.500463000000019</f>
        <v>1374.2941080000003</v>
      </c>
      <c r="M79" s="3">
        <f>1778+(115.6-280.3)+(2.72034+(0.176868-0.428859))+0-326.5-0.499545000000019</f>
        <v>1288.7688039999998</v>
      </c>
      <c r="N79" s="3">
        <f>1762.7+(184.7-299.8)+(4.494885+(0.470985-0.76449))+0-327.1-0.834104999999953</f>
        <v>1323.8672750000001</v>
      </c>
      <c r="O79" s="3">
        <f>1728.1+(207.6-350)+(1.762662+(0.211752-0.357))+0-327-0.333540000000052</f>
        <v>1259.9838739999998</v>
      </c>
      <c r="P79" s="3">
        <f>1685.2+(251.8-306.2)+(-2.578356+(-0.385254--0.468486))+0-329.3--0.503829000000019</f>
        <v>1299.5087050000002</v>
      </c>
      <c r="Q79" s="3">
        <f>1740.6+(303.3-336.4)+(2.663118+(0.464049-0.514692))+0-327.1-0.500463000000019</f>
        <v>1382.5120119999999</v>
      </c>
      <c r="R79" s="3">
        <f>1735.6+(507.3-353.8)+(0+(0-0))+0-327.2-0</f>
        <v>1561.8999999999999</v>
      </c>
      <c r="S79" s="3">
        <f>1731.8+(662-355.6)+(-0.883218+(-0.33762--0.181356))+0-326.8--0.166667999999967</f>
        <v>1710.527186</v>
      </c>
      <c r="T79" s="3">
        <f>1733.3+(723.7-350.4)+(-0.883983+(-0.369087--0.178704))+0-327.7--0.167126999999967</f>
        <v>1777.992761</v>
      </c>
      <c r="U79" s="3">
        <f>1711.7+(779.6-322.5)+(0.872967+(0.397596-0.164475))+0-327-0.166769999999967</f>
        <v>1842.7393180000001</v>
      </c>
      <c r="V79" s="3">
        <f>1476+(849.5-260.1)+(-1.50552+(-0.86649--0.265302))+0-327.7--0.334254000000052</f>
        <v>1735.9275460000003</v>
      </c>
      <c r="W79" s="3">
        <f>1479+(637.7-245.3)+(-3.01716+(-1.300908--0.500412))+0-327.8--0.668711999999986</f>
        <v>1540.4510560000001</v>
      </c>
      <c r="X79" s="3">
        <f>1388+(472.6-209.2)+(-1.41576+(-0.482052--0.213384))+0-327.8--0.334356000000052</f>
        <v>1322.2499280000002</v>
      </c>
      <c r="Y79" s="3">
        <f>1523.2+(188.9-254.9)+(-3.107328+(-0.385356--0.519996))+0-326.8--0.666671999999986</f>
        <v>1128.0939840000001</v>
      </c>
      <c r="Z79" s="3">
        <f>1673.6+(322-314.7)+(-0.853536+(-0.16422--0.160497))+0-327.2--0.166871999999967</f>
        <v>1353.0096129999997</v>
      </c>
      <c r="AA79" s="3">
        <f>1771+(383-341.7)+(-2.70963+(-0.58599--0.522801))+0-326.5--0.499545000000019</f>
        <v>1483.5267260000001</v>
      </c>
      <c r="AB79" s="3">
        <f>1779.9+(498.7-320.2)+(0+(0-0))+0-326.1-0</f>
        <v>1632.3000000000002</v>
      </c>
      <c r="AC79" s="3">
        <f>1787.5+(505-297.3)+(-2.734875+(-0.77265--0.454869))+0-325.6--0.498168000000019</f>
        <v>1667.0455120000001</v>
      </c>
      <c r="AD79" s="2">
        <v>1613.1000000000001</v>
      </c>
      <c r="AE79" s="3">
        <f>1782+(478.8-323.4)+(0+(0-0))+0-324.3-0</f>
        <v>1613.1000000000001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1787.9+(547.9-290.6)+(-1.823658+(-0.558858--0.296412))+0-323.3--0.329766000000052</f>
        <v>1720.1436620000002</v>
      </c>
      <c r="G80" s="3">
        <f>1788.4+(567.2-271.2)+(-1.824168+(-0.578544--0.276624))+0-327.4--0.333948000000052</f>
        <v>1755.20786</v>
      </c>
      <c r="H80" s="3">
        <f>1792.5+(507-257.2)+(0+(0-0))+0-327.6-0</f>
        <v>1714.6999999999998</v>
      </c>
      <c r="I80" s="3">
        <f>1796.8+(449.5-248.8)+(-0.916368+(-0.229245--0.126888))+0-327.5--0.167024999999967</f>
        <v>1669.1483000000001</v>
      </c>
      <c r="J80" s="3">
        <f>1798.5+(348-246)+(-2.751705+(-0.53244--0.37638))+0-327.9--0.501687000000019</f>
        <v>1570.1939219999999</v>
      </c>
      <c r="K80" s="3">
        <f>1798.6+(309.6-215.2)+(-1.834572+(-0.315792--0.219504))+0-326.9--0.333438000000052</f>
        <v>1564.5025780000001</v>
      </c>
      <c r="L80" s="3">
        <f>1769.5+(80.6-260.5)+(-3.60978+(-0.164424--0.53142))+0-327.7--0.668507999999986</f>
        <v>1259.3257239999998</v>
      </c>
      <c r="M80" s="3">
        <f>1518.5+(297.2-239.7)+(2.323305+(0.454716-0.366741))+0-335-0.512550000000019</f>
        <v>1242.8987300000001</v>
      </c>
      <c r="N80" s="3">
        <f>1506.1+(340.9-248.3)+(2.304333+(0.521577-0.379899))+0-335-0.512550000000019</f>
        <v>1265.6334609999999</v>
      </c>
      <c r="O80" s="3">
        <f>1498.8+(346.8-276)+(0+(0-0))+0-330-0</f>
        <v>1239.5999999999999</v>
      </c>
      <c r="P80" s="3">
        <f>1486.5+(420.2-297)+(0.758115+(0.214302-0.15147))+0-330-0.168299999999967</f>
        <v>1280.3526469999999</v>
      </c>
      <c r="Q80" s="3">
        <f>1477.1+(552.9-329.7)+(0+(0-0))+0-330-0</f>
        <v>1370.3</v>
      </c>
      <c r="R80" s="3">
        <f>1468.9+(766.3-345.9)+(0+(0-0))+0-330-0</f>
        <v>1559.3000000000002</v>
      </c>
      <c r="S80" s="3">
        <f>1462.5+(932.9-326.7)+(-2.237625+(-1.427337--0.499851))+0-330--0.504900000000019</f>
        <v>1736.0397889999999</v>
      </c>
      <c r="T80" s="3">
        <f>1584.2+(933.2-315.9)+(-1.615884+(-0.951864--0.322218))+0-330--0.336600000000053</f>
        <v>1869.5910699999999</v>
      </c>
      <c r="U80" s="3">
        <f>1692.1+(780.1-296.3)+(-3.451884+(-1.591404--0.604452))+0-330.8--0.674831999999986</f>
        <v>1841.3359960000003</v>
      </c>
      <c r="V80" s="3">
        <f>1684.2+(704.5-282.5)+(0.858942+(0.359295-0.144075))+0-327.3-0.166922999999967</f>
        <v>1779.8072389999998</v>
      </c>
      <c r="W80" s="3">
        <f>1680.9+(408.5-293)+(0+(0-0))+0-326.9-0</f>
        <v>1469.5</v>
      </c>
      <c r="X80" s="3">
        <f>1695.8+(236.1-265.6)+(-1.729716+(-0.240822--0.270912))+0-327.1--0.333642000000052</f>
        <v>1337.8340159999998</v>
      </c>
      <c r="Y80" s="3">
        <f>1709.6+(143.3-325.9)+(-0.871896+(-0.073083--0.166209))+0-327.1--0.166820999999967</f>
        <v>1199.2880510000002</v>
      </c>
      <c r="Z80" s="3">
        <f>1723.7+(318.5-341.6)+(1.758174+(0.32487-0.348432))+0-327-0.333540000000052</f>
        <v>1375.0010719999998</v>
      </c>
      <c r="AA80" s="3">
        <f>1745.9+(414.6-318.3)+(-2.671227+(-0.634338--0.486999))+0-328.9--0.503217000000019</f>
        <v>1510.9846510000002</v>
      </c>
      <c r="AB80" s="3">
        <f>1752.7+(523.8-309)+(-1.787754+(-0.534276--0.31518))+0-330.1--0.336702000000053</f>
        <v>1635.7298519999999</v>
      </c>
      <c r="AC80" s="3">
        <f>1713.5+(559.2-292.5)+(0.873885+(0.285192-0.149175))+0-330-0.168299999999967</f>
        <v>1651.041602</v>
      </c>
      <c r="AD80" s="2">
        <v>1630.8</v>
      </c>
      <c r="AE80" s="3">
        <f>1754+(514.6-308.8)+(0+(0-0))+0-329-0</f>
        <v>1630.8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1709.8+(562.8-270.9)+(-0.871998+(-0.287028--0.138159))+0-330.3--0.168452999999966</f>
        <v>1670.5475859999999</v>
      </c>
      <c r="G81" s="3">
        <f>1722.7+(532.8-255.2)+(-0.878577+(-0.271728--0.130152))+0-332.4--0.169523999999966</f>
        <v>1667.0493710000001</v>
      </c>
      <c r="H81" s="3">
        <f>1728+(520.2-237.7)+(0+(0-0))+0-331.9-0</f>
        <v>1678.6</v>
      </c>
      <c r="I81" s="3">
        <f>1729.8+(441.9-235.8)+(0+(0-0))+0-331.7-0</f>
        <v>1604.1999999999998</v>
      </c>
      <c r="J81" s="3">
        <f>1733.6+(387.5-244.2)+(-3.536544+(-0.7905--0.498168))+0-334.5--0.682379999999985</f>
        <v>1539.2535039999998</v>
      </c>
      <c r="K81" s="3">
        <f>1737.5+(269.9-228.3)+(-4.430625+(-0.688245--0.582165))+0-331.1--0.844304999999952</f>
        <v>1444.3075999999999</v>
      </c>
      <c r="L81" s="3">
        <f>1739.1+(116.4-205.5)+(-4.434705+(-0.29682--0.524025))+0-328--0.836399999999952</f>
        <v>1318.6288999999999</v>
      </c>
      <c r="M81" s="3">
        <f>1729.6+(102.7-229.3)+(1.764192+(0.104754-0.233886))+0-329.1-0.335682000000052</f>
        <v>1275.199378</v>
      </c>
      <c r="N81" s="3">
        <f>1724.7+(101.4-252.5)+(-0.879597+(-0.051714--0.128775))+0-330.6--0.168605999999966</f>
        <v>1242.3660700000003</v>
      </c>
      <c r="O81" s="3">
        <f>1724.7+(111.2-276.2)+(-1.759194+(-0.113424--0.281724))+0-331--0.337620000000053</f>
        <v>1227.4467260000001</v>
      </c>
      <c r="P81" s="3">
        <f>1718.6+(165.5-290.1)+(0+(0-0))+0-333.3-0</f>
        <v>1260.7</v>
      </c>
      <c r="Q81" s="3">
        <f>1711.8+(304.5-282.5)+(0.873018+(0.155295-0.144075))+0-332.7-0.169676999999966</f>
        <v>1401.8145610000001</v>
      </c>
      <c r="R81" s="3">
        <f>1708.7+(472.5-295.2)+(1.742874+(0.48195-0.301104))+0-331-0.337620000000053</f>
        <v>1556.5861</v>
      </c>
      <c r="S81" s="3">
        <f>1712.9+(646.9-310.7)+(-0.873579+(-0.329919--0.158457))+0-331.4--0.169013999999966</f>
        <v>1716.823973</v>
      </c>
      <c r="T81" s="3">
        <f>1711.6+(712.6-309.2)+(0+(0-0))+0-330.5-0</f>
        <v>1784.5</v>
      </c>
      <c r="U81" s="3">
        <f>1714.3+(717.2-305.1)+(-1.748586+(-0.731544--0.311202))+0-330.1--0.336702000000053</f>
        <v>1794.4677740000002</v>
      </c>
      <c r="V81" s="3">
        <f>1717.1+(591.4-296.9)+(0+(0-0))+0-326.6-0</f>
        <v>1685</v>
      </c>
      <c r="W81" s="3">
        <f>1720+(337.8-281.3)+(-1.7544+(-0.344556--0.286926))+0-328.8--0.335376000000052</f>
        <v>1446.223346</v>
      </c>
      <c r="X81" s="3">
        <f>1721.9+(158.2-247.5)+(-1.756338+(-0.161364--0.25245))+0-328.8--0.335376000000052</f>
        <v>1302.4701240000002</v>
      </c>
      <c r="Y81" s="3">
        <f>1731.7+(77.6-338.3)+(-1.766334+(-0.079152--0.345066))+0-326--0.332520000000052</f>
        <v>1143.8321000000001</v>
      </c>
      <c r="Z81" s="3">
        <f>1742.1+(271.4-308.3)+(1.776942+(0.276828-0.314466))+0-326-0.332520000000052</f>
        <v>1380.6067839999996</v>
      </c>
      <c r="AA81" s="3">
        <f>1741.4+(394.5-323.8)+(-0.888114+(-0.201195--0.165138))+0-326--0.166259999999967</f>
        <v>1485.3420890000002</v>
      </c>
      <c r="AB81" s="3">
        <f>1739.6+(495.8-314.6)+(1.774392+(0.505716-0.320892))+0-326-0.332520000000052</f>
        <v>1596.4266959999998</v>
      </c>
      <c r="AC81" s="3">
        <f>1739.2+(617.6-277)+(-1.773984+(-0.629952--0.28254))+0-326--0.332520000000052</f>
        <v>1752.0111240000003</v>
      </c>
      <c r="AD81" s="2">
        <v>1494.7</v>
      </c>
      <c r="AE81" s="3">
        <f>1740+(410.5-329.8)+(0+(0-0))+0-326-0</f>
        <v>1494.7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1744.2+(594.8-256.5)+(-0.889542+(-0.303348--0.130815))+0-326--0.166259999999967</f>
        <v>1755.6041850000001</v>
      </c>
      <c r="G82" s="3">
        <f>1756.4+(589.7-239.2)+(-4.47882+(-1.503735--0.60996))+0-328--0.836399999999952</f>
        <v>1774.3638050000002</v>
      </c>
      <c r="H82" s="3">
        <f>1792.4+(496.1-228.5)+(-1.828248+(-0.506022--0.23307))+0-326--0.332520000000052</f>
        <v>1732.2313200000001</v>
      </c>
      <c r="I82" s="3">
        <f>1796.1+(411-223)+(-1.832022+(-0.41922--0.22746))+0-328--0.334560000000052</f>
        <v>1654.4107779999999</v>
      </c>
      <c r="J82" s="3">
        <f>1796.8+(431.6-217.9)+(-0.916368+(-0.220116--0.111129))+0-330--0.168299999999967</f>
        <v>1679.6429450000001</v>
      </c>
      <c r="K82" s="3">
        <f>1796.9+(320-208.3)+(-4.582095+(-0.816--0.531165))+0-329--0.838949999999952</f>
        <v>1575.5720200000001</v>
      </c>
      <c r="L82" s="3">
        <f>1795.3+(154.4-240.9)+(-1.831206+(-0.157488--0.245718))+0-324--0.330480000000052</f>
        <v>1383.387504</v>
      </c>
      <c r="M82" s="3">
        <f>1795.1+(127.4-246.2)+(-4.577505+(-0.32487--0.62781))+0-334--0.851699999999952</f>
        <v>1338.877135</v>
      </c>
      <c r="N82" s="3">
        <f>1791.2+(181.8-313.8)+(-0.913512+(-0.092718--0.160038))+0-330--0.168299999999967</f>
        <v>1328.5221080000001</v>
      </c>
      <c r="O82" s="3">
        <f>1794.3+(213-386.9)+(-0.915093+(-0.10863--0.197319))+0-328--0.167279999999967</f>
        <v>1291.7408760000001</v>
      </c>
      <c r="P82" s="3">
        <f>1788.9+(240.4-359.3)+(-1.824678+(-0.245208--0.366486))+0-329--0.335580000000052</f>
        <v>1339.6321800000001</v>
      </c>
      <c r="Q82" s="3">
        <f>1784.3+(324.5-354.5)+(0+(0-0))+0-330-0</f>
        <v>1424.3</v>
      </c>
      <c r="R82" s="3">
        <f>1782.2+(575.2-365.1)+(-2.726766+(-0.880056--0.558603))+0-332--0.507960000000019</f>
        <v>1657.7597410000001</v>
      </c>
      <c r="S82" s="3">
        <f>1779.3+(632.2-368.4)+(-3.629772+(-1.289688--0.751536))+0-334--0.681359999999985</f>
        <v>1705.6134359999999</v>
      </c>
      <c r="T82" s="3">
        <f>1776.1+(704.7-342)+(1.811622+(0.718794-0.34884))+0-336-0.342720000000054</f>
        <v>1804.638856</v>
      </c>
      <c r="U82" s="3">
        <f>1774.3+(695-329.3)+(-0.904893+(-0.35445--0.167943))+0-332--0.169319999999966</f>
        <v>1807.0779200000002</v>
      </c>
      <c r="V82" s="3">
        <f>1776+(566.9-306.6)+(-2.71728+(-0.867357--0.469098))+0-331--0.506430000000019</f>
        <v>1702.690891</v>
      </c>
      <c r="W82" s="3">
        <f>1779.5+(368.7-300.9)+(0+(0-0))+0-328-0</f>
        <v>1519.3</v>
      </c>
      <c r="X82" s="3">
        <f>1780.4+(170.7-361.6)+(-1.816008+(-0.174114--0.368832))+0-333--0.339660000000053</f>
        <v>1255.21837</v>
      </c>
      <c r="Y82" s="3">
        <f>1787.2+(140.6-385.8)+(0+(0-0))+0-333-0</f>
        <v>1209</v>
      </c>
      <c r="Z82" s="3">
        <f>1790.6+(301.2-348.4)+(0.913206+(0.153612-0.177684))+0-335-0.170849999999966</f>
        <v>1409.1182839999999</v>
      </c>
      <c r="AA82" s="3">
        <f>1793.8+(490.1-343.4)+(-3.659352+(-0.999804--0.700536))+0-334--0.681359999999985</f>
        <v>1603.2227399999999</v>
      </c>
      <c r="AB82" s="3">
        <f>1796.7+(572.4-336.6)+(-4.581585+(-1.45962--0.85833))+0-332--0.846599999999952</f>
        <v>1696.1637249999999</v>
      </c>
      <c r="AC82" s="3">
        <f>1800.7+(579.6-325.5)+(-2.755071+(-0.886788--0.498015))+0-331.2--0.506736000000019</f>
        <v>1720.962892</v>
      </c>
      <c r="AD82" s="2">
        <v>1620.1000000000001</v>
      </c>
      <c r="AE82" s="3">
        <f>1793+(504.9-339.8)+(0+(0-0))+0-338-0</f>
        <v>1620.1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1804.6+(626.4-312.6)+(-4.60173+(-1.59732--0.79713))+0-330.4--0.842519999999952</f>
        <v>1783.4405999999997</v>
      </c>
      <c r="G83" s="3">
        <f>1806.4+(554-314.4)+(-1.842528+(-0.56508--0.320688))+0-328.4--0.334968000000052</f>
        <v>1715.8480480000003</v>
      </c>
      <c r="H83" s="3">
        <f>1809.4+(504-331)+(0.922794+(0.25704-0.16881))+0-331-0.168809999999966</f>
        <v>1652.2422140000001</v>
      </c>
      <c r="I83" s="3">
        <f>1812.3+(517.2-298.5)+(3.697092+(1.055088-0.60894))+0-332-0.677279999999986</f>
        <v>1702.4659600000002</v>
      </c>
      <c r="J83" s="3">
        <f>1815.7+(417.2-295.1)+(-2.778021+(-0.638316--0.451503))+0-333--0.509490000000019</f>
        <v>1602.3446559999998</v>
      </c>
      <c r="K83" s="3">
        <f>1818.1+(282.7-269.9)+(-4.636155+(-0.720885--0.688245))+0-329--0.838949999999952</f>
        <v>1498.0701549999997</v>
      </c>
      <c r="L83" s="3">
        <f>1820.3+(153.9-287.6)+(-1.856706+(-0.156978--0.293352))+0-339--0.345780000000054</f>
        <v>1346.2254479999999</v>
      </c>
      <c r="M83" s="3">
        <f>1816.5+(113.8-292.8)+(0+(0-0))+0-339-0</f>
        <v>1298.5</v>
      </c>
      <c r="N83" s="3">
        <f>1808.7+(141.7-316.7)+(2.767311+(0.216801-0.484551))+0-339-0.51867000000002</f>
        <v>1296.6808910000002</v>
      </c>
      <c r="O83" s="3">
        <f>1802.2+(122.7-312.3)+(0+(0-0))+0-338.6-0</f>
        <v>1274</v>
      </c>
      <c r="P83" s="3">
        <f>1793.9+(158.3-334.9)+(0.914889+(0.080733-0.170799))+0-340-0.173399999999965</f>
        <v>1277.9514230000002</v>
      </c>
      <c r="Q83" s="3">
        <f>1786.6+(264.7-375.8)+(-1.822332+(-0.269994--0.383316))+0-340--0.346800000000054</f>
        <v>1334.13779</v>
      </c>
      <c r="R83" s="3">
        <f>1695.6+(494.6-364)+(-0.864756+(-0.252246--0.18564))+0-334--0.170339999999966</f>
        <v>1491.4389779999997</v>
      </c>
      <c r="S83" s="3">
        <f>1646.4+(693.9-344.4)+(-2.518992+(-1.061667--0.526932))+0-332--0.507960000000019</f>
        <v>1661.354233</v>
      </c>
      <c r="T83" s="3">
        <f>1771.9+(644.6-343.7)+(-2.711007+(-0.986238--0.525861))+0-331--0.506430000000019</f>
        <v>1739.1350459999999</v>
      </c>
      <c r="U83" s="3">
        <f>1773.7+(642.7-338.8)+(-4.522935+(-1.638885--0.86394))+0-333.4--0.850169999999952</f>
        <v>1739.7522899999997</v>
      </c>
      <c r="V83" s="3">
        <f>1770.1+(541.6-323.3)+(-0.902751+(-0.276216--0.164883))+0-331.6--0.169115999999966</f>
        <v>1655.9550319999998</v>
      </c>
      <c r="W83" s="3">
        <f>1770.8+(354.1-304.9)+(-3.612432+(-0.722364--0.621996))+0-311.2--0.634847999999986</f>
        <v>1505.7220479999999</v>
      </c>
      <c r="X83" s="3">
        <f>1759.2+(210.6-323.9)+(-4.48596+(-0.53703--0.825945))+0-328.9--0.838694999999952</f>
        <v>1313.64165</v>
      </c>
      <c r="Y83" s="3">
        <f>1761.3+(149.6-395.2)+(-2.694789+(-0.228888--0.604656))+0-327.8--0.501534000000019</f>
        <v>1186.0825130000001</v>
      </c>
      <c r="Z83" s="3">
        <f>1770+(253.7-364.7)+(0+(0-0))+0-326.9-0</f>
        <v>1332.1</v>
      </c>
      <c r="AA83" s="3">
        <f>1793.2+(407.2-363)+(-2.743596+(-0.623016--0.55539))+0-329.9--0.504747000000019</f>
        <v>1505.1935250000001</v>
      </c>
      <c r="AB83" s="3">
        <f>1798.5+(453.5-354)+(-5.50341+(-1.38771--1.08324))+0-331.7--1.01500200000004</f>
        <v>1561.507122</v>
      </c>
      <c r="AC83" s="3">
        <f>1799.3+(590.8-330.6)+(0+(0-0))+0-329.8-0</f>
        <v>1729.7</v>
      </c>
      <c r="AD83" s="2">
        <v>1502.6999999999998</v>
      </c>
      <c r="AE83" s="3">
        <f>1795+(404.6-366.7)+(0+(0-0))+0-330.2-0</f>
        <v>1502.7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1800.3+(553.9-346.8)+(-1.836306+(-0.564978--0.353736))+0-330.9--0.337518000000053</f>
        <v>1674.78997</v>
      </c>
      <c r="G84" s="3">
        <f>1803.1+(545.9-320.5)+(0+(0-0))+0-329.7-0</f>
        <v>1698.8</v>
      </c>
      <c r="H84" s="3">
        <f>1805.7+(525.6-302.8)+(-0.920907+(-0.268056--0.154428))+0-330.1--0.168350999999967</f>
        <v>1697.5338159999999</v>
      </c>
      <c r="I84" s="3">
        <f>1810.2+(447.7-287.9)+(-2.769606+(-0.684981--0.440487))+0-332--0.507960000000019</f>
        <v>1635.4938599999998</v>
      </c>
      <c r="J84" s="3">
        <f>1812.1+(370.5-282.1)+(-4.620855+(-0.944775--0.719355))+0-331.1--0.844304999999952</f>
        <v>1565.3980299999996</v>
      </c>
      <c r="K84" s="3">
        <f>1812.7+(253.6-258.9)+(-4.622385+(-0.64668--0.660195))+0-329.7--0.840734999999952</f>
        <v>1473.931865</v>
      </c>
      <c r="L84" s="3">
        <f>1813.4+(151.7-297.7)+(-1.849668+(-0.154734--0.303654))+0-328.6--0.335172000000052</f>
        <v>1337.434424</v>
      </c>
      <c r="M84" s="3">
        <f>1808.5+(104.8-357.5)+(2.767005+(0.160344-0.546975))+0-327.9-0.501687000000019</f>
        <v>1229.778687</v>
      </c>
      <c r="N84" s="3">
        <f>1797.6+(119.2-404)+(-0.916776+(-0.060792--0.20604))+0-330.6--0.168605999999966</f>
        <v>1181.597078</v>
      </c>
      <c r="O84" s="3">
        <f>1797+(179.7-419.8)+(-1.83294+(-0.183294--0.428196))+0-338.3--0.345066000000054</f>
        <v>1217.3570280000001</v>
      </c>
      <c r="P84" s="3">
        <f>1772.3+(250-418.6)+(-1.807746+(-0.255--0.426972))+0-332.1--0.338742000000053</f>
        <v>1270.3029679999997</v>
      </c>
      <c r="Q84" s="3">
        <f>1758.1+(334.7-390.5)+(1.793262+(0.341394-0.39831))+0-331-0.337620000000053</f>
        <v>1372.6987259999999</v>
      </c>
      <c r="R84" s="3">
        <f>1744.3+(544.7-400.3)+(0+(0-0))+0-328-0</f>
        <v>1560.7</v>
      </c>
      <c r="S84" s="3">
        <f>1734+(676.6-384.6)+(-0.88434+(-0.345066--0.196146))+0-329--0.167789999999967</f>
        <v>1696.13453</v>
      </c>
      <c r="T84" s="3">
        <f>1735+(711.9-351.4)+(0.88485+(0.363069-0.179214))+0-331-0.168809999999966</f>
        <v>1765.3998950000002</v>
      </c>
      <c r="U84" s="3">
        <f>1725.7+(715.8-330.2)+(1.760214+(0.730116-0.336804))+0-329-0.335580000000052</f>
        <v>1784.1179460000001</v>
      </c>
      <c r="V84" s="3">
        <f>1727.2+(590.6-314.5)+(-2.642616+(-0.903618--0.481185))+0-330--0.504900000000019</f>
        <v>1670.739851</v>
      </c>
      <c r="W84" s="3">
        <f>1730.7+(349-301.4)+(-5.295942+(-1.06794--0.922284))+0-331--1.01286000000004</f>
        <v>1442.8712620000001</v>
      </c>
      <c r="X84" s="3">
        <f>1745.9+(169.6-340.7)+(-1.780818+(-0.172992--0.347514))+0-332--0.338640000000053</f>
        <v>1241.5323440000002</v>
      </c>
      <c r="Y84" s="3">
        <f>1769.1+(109.2-352.3)+(-5.413446+(-0.334152--1.078038))+0-332--1.01592000000004</f>
        <v>1190.34636</v>
      </c>
      <c r="Z84" s="3">
        <f>1775.2+(304.2-346.5)+(1.810704+(0.310284-0.35343))+0-335-0.341700000000053</f>
        <v>1399.3258580000002</v>
      </c>
      <c r="AA84" s="3">
        <f>1778.6+(452.3-354)+(-2.721258+(-0.692019--0.54162))+0-333--0.509490000000019</f>
        <v>1541.5378329999999</v>
      </c>
      <c r="AB84" s="3">
        <f>1781.3+(490.6-346.3)+(-0.908463+(-0.250206--0.176613))+0-329--0.167789999999967</f>
        <v>1595.7857339999998</v>
      </c>
      <c r="AC84" s="3">
        <f>1772.6+(545.8-326.1)+(-2.712078+(-0.835074--0.498933))+0-333--0.509490000000019</f>
        <v>1656.7612709999996</v>
      </c>
      <c r="AD84" s="2">
        <v>1645.9</v>
      </c>
      <c r="AE84" s="3">
        <f>1771+(537-337.1)+(0+(0-0))+0-325-0</f>
        <v>1645.9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1788.5+(614.3-295.5)+(-3.64854+(-1.253172--0.60282))+0-334--0.681359999999985</f>
        <v>1769.6824680000004</v>
      </c>
      <c r="G85" s="3">
        <f>1795.9+(502.3-302.1)+(-1.831818+(-0.512346--0.308142))+0-334--0.340680000000053</f>
        <v>1660.4046580000002</v>
      </c>
      <c r="H85" s="3">
        <f>1798.4+(427-290)+(-0.917184+(-0.21777--0.1479))+0-334--0.170339999999966</f>
        <v>1600.583286</v>
      </c>
      <c r="I85" s="3">
        <f>1802.7+(364.4-266)+(-2.758131+(-0.557532--0.40698))+0-333--0.509490000000019</f>
        <v>1565.7008069999997</v>
      </c>
      <c r="J85" s="3">
        <f>1807.6+(297.7-250.3)+(-2.765628+(-0.455481--0.382959))+0-331--0.506430000000019</f>
        <v>1521.6682799999999</v>
      </c>
      <c r="K85" s="3">
        <f>1817.8+(227.5-233.6)+(-3.708312+(-0.4641--0.476544))+0-330--0.673199999999986</f>
        <v>1478.677332</v>
      </c>
      <c r="L85" s="3">
        <f>1815+(37.9-255.7)+(0+(0-0))+0-327-0</f>
        <v>1270.2</v>
      </c>
      <c r="M85" s="3">
        <f>1814.9+(55.4-286.3)+(-2.776797+(-0.084762--0.438039))+0-327--0.500310000000019</f>
        <v>1255.0767900000001</v>
      </c>
      <c r="N85" s="3">
        <f>1827+(94-387.9)+(0+(0-0))+0-326-0</f>
        <v>1207.0999999999999</v>
      </c>
      <c r="O85" s="3">
        <f>1781.3+(151.7-327.9)+(1.816926+(0.154734-0.334458))+0-332.8-0.339456000000053</f>
        <v>1273.5977459999997</v>
      </c>
      <c r="P85" s="3">
        <f>1767.7+(204.4-347.9)+(2.704581+(0.312732-0.532287))+0-318.2-0.486846000000018</f>
        <v>1307.99818</v>
      </c>
      <c r="Q85" s="3">
        <f>1756.8+(302.9-352.1)+(1.791936+(0.308958-0.359142))+0-328-0.334560000000052</f>
        <v>1381.0071919999998</v>
      </c>
      <c r="R85" s="3">
        <f>1745.8+(475.5-363)+(3.561432+(0.97002-0.74052))+0-329.9-0.672995999999986</f>
        <v>1531.517936</v>
      </c>
      <c r="S85" s="3">
        <f>1736.1+(699.9-361)+(0.885411+(0.356949-0.18411))+0-331-0.168809999999966</f>
        <v>1744.8894400000001</v>
      </c>
      <c r="T85" s="3">
        <f>1732+(700.9-346.4)+(-0.88332+(-0.357459--0.176664))+0-332.9--0.169778999999966</f>
        <v>1752.7056639999998</v>
      </c>
      <c r="U85" s="3">
        <f>1733+(695.5-312.4)+(0+(0-0))+0-330.6-0</f>
        <v>1785.5</v>
      </c>
      <c r="V85" s="3">
        <f>1732.9+(560.1-290.3)+(0+(0-0))+8.1-329.6-0</f>
        <v>1681.1999999999998</v>
      </c>
      <c r="W85" s="3">
        <f>1734.8+(364.5-274.8)+(-0.884748+(-0.185895--0.140148))+4.8-333--0.169829999999966</f>
        <v>1495.5393349999999</v>
      </c>
      <c r="X85" s="3">
        <f>1742.5+(175.1-265.9)+(-0.888675+(-0.089301--0.135609))+0-332.9--0.169778999999966</f>
        <v>1318.127412</v>
      </c>
      <c r="Y85" s="3">
        <f>1740.9+(114.6-355.8)+(-4.439295+(-0.29223--0.90729))+0-330.6--0.843029999999952</f>
        <v>1166.1187949999999</v>
      </c>
      <c r="Z85" s="3">
        <f>1747.1+(287.7-364.6)+(1.782042+(0.293454-0.371892))+0-331.1-0.337722000000053</f>
        <v>1340.4658819999997</v>
      </c>
      <c r="AA85" s="3">
        <f>1744+(505.2-335)+(-3.55776+(-1.030608--0.6834))+0-330.7--0.674627999999986</f>
        <v>1580.2696599999999</v>
      </c>
      <c r="AB85" s="3">
        <f>1734.7+(536.1-329.6)+(-2.654091+(-0.820233--0.504288))+0-327.4--0.500922000000019</f>
        <v>1611.330886</v>
      </c>
      <c r="AC85" s="3">
        <f>1727.9+(616.7-304.7)+(-0.881229+(-0.314517--0.155397))+0-325.9--0.166208999999967</f>
        <v>1713.1258600000001</v>
      </c>
      <c r="AD85" s="2">
        <v>1629.7999999999997</v>
      </c>
      <c r="AE85" s="3">
        <f>1787+(517.1-333.4)+(0+(0-0))+0-340.9-0</f>
        <v>1629.8000000000002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1777+(554.2-281.7)+(0+(0-0))+0-330.1-0</f>
        <v>1719.4</v>
      </c>
      <c r="G86" s="3">
        <f>1782.3+(490.1-284.6)+(-3.635892+(-0.999804--0.580584))+0-330.6--0.674423999999986</f>
        <v>1653.8193119999999</v>
      </c>
      <c r="H86" s="3">
        <f>1782.8+(462.5-262.4)+(-1.818456+(-0.47175--0.267648))+0-329.9--0.336498000000053</f>
        <v>1651.3139400000005</v>
      </c>
      <c r="I86" s="3">
        <f>1690.8+(476.2-229.1)+(2.586924+(0.728586-0.350523))+0-330.9-0.506277000000019</f>
        <v>1609.4587099999999</v>
      </c>
      <c r="J86" s="3">
        <f>1700.7+(430.9-224.3)+(-0.867357+(-0.219759--0.114393))+0-329.4--0.167993999999967</f>
        <v>1577.0952709999997</v>
      </c>
      <c r="K86" s="3">
        <f>1700.8+(328.2-213.3)+(-4.33704+(-0.83691--0.543915))+0-327.4--0.834869999999952</f>
        <v>1484.504835</v>
      </c>
      <c r="L86" s="3">
        <f>1712.4+(167.5-219)+(-1.746648+(-0.17085--0.22338))+0-328.2--0.334764000000052</f>
        <v>1331.3406460000001</v>
      </c>
      <c r="M86" s="3">
        <f>1707+(141.2-239)+(2.61171+(0.216036-0.36567))+0-327.3-0.500769000000019</f>
        <v>1283.8613070000001</v>
      </c>
      <c r="N86" s="3">
        <f>1695+(155.8-246.9)+(-0.86445+(-0.079458--0.125919))+0-330.1--0.168350999999967</f>
        <v>1273.1503620000001</v>
      </c>
      <c r="O86" s="3">
        <f>1673.3+(217.2-272.8)+(2.560149+(0.332316-0.417384))+0-331.3-0.506889000000019</f>
        <v>1288.3681919999999</v>
      </c>
      <c r="P86" s="3">
        <f>1661.2+(285.2-321.1)+(0.847212+(0.145452-0.163761))+0-331-0.168809999999966</f>
        <v>1294.9600930000001</v>
      </c>
      <c r="Q86" s="3">
        <f>1653.8+(417.4-353.6)+(0+(0-0))+0-331.8-0</f>
        <v>1385.8</v>
      </c>
      <c r="R86" s="3">
        <f>1651.7+(610.9-355.9)+(0+(0-0))+0-332-0</f>
        <v>1574.7</v>
      </c>
      <c r="S86" s="3">
        <f>1649.5+(752.1-322.3)+(-1.68249+(-0.767142--0.328746))+0-332--0.338640000000053</f>
        <v>1745.517754</v>
      </c>
      <c r="T86" s="3">
        <f>1646.6+(799.4-309.2)+(-0.839766+(-0.407694--0.157692))+0-331.4--0.169013999999966</f>
        <v>1804.4792459999999</v>
      </c>
      <c r="U86" s="3">
        <f>1634.5+(784-287)+(-0.833595+(-0.39984--0.14637))+0-329.9--0.168248999999967</f>
        <v>1800.6811839999998</v>
      </c>
      <c r="V86" s="3">
        <f>1636.9+(681.2-264.2)+(-3.339276+(-1.389648--0.538968))+0-330.2--0.673607999999986</f>
        <v>1720.1836519999999</v>
      </c>
      <c r="W86" s="3">
        <f>1644+(427.3-249.5)+(-1.67688+(-0.435846--0.25449))+0-330.6--0.337212000000053</f>
        <v>1489.6789759999999</v>
      </c>
      <c r="X86" s="3">
        <f>1659+(196.6-240.7)+(-2.53827+(-0.300798--0.368271))+0-330.6--0.505818000000019</f>
        <v>1282.3350210000003</v>
      </c>
      <c r="Y86" s="3">
        <f>1673.3+(160.4-284.5)+(-1.706766+(-0.163608--0.29019))+0-329.6--0.336192000000053</f>
        <v>1218.356008</v>
      </c>
      <c r="Z86" s="3">
        <f>1675+(406.9-323.3)+(0.85425+(0.207519-0.164883))+0-333.2-0.169931999999966</f>
        <v>1426.1269539999998</v>
      </c>
      <c r="AA86" s="3">
        <f>1679.2+(564.7-341.2)+(-3.425568+(-1.151988--0.696048))+0-333.1--0.679523999999985</f>
        <v>1566.3980159999999</v>
      </c>
      <c r="AB86" s="3">
        <f>1683.6+(644.2-327.7)+(0+(0-0))+0-332.8-0</f>
        <v>1667.3</v>
      </c>
      <c r="AC86" s="3">
        <f>1669+(737.3-302.4)+(-0.85119+(-0.376023--0.154224))+0-331.8--0.169217999999966</f>
        <v>1771.1962290000004</v>
      </c>
      <c r="AD86" s="2">
        <v>1564.3000000000002</v>
      </c>
      <c r="AE86" s="3">
        <f>1675+(559.4-335.1)+(0+(0-0))+0-335-0</f>
        <v>1564.3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1507.6+(757.8-274.3)+(-3.075504+(-1.545912--0.559572))+0-330.4--0.674015999999986</f>
        <v>1657.3121719999999</v>
      </c>
      <c r="G87" s="3">
        <f>1511+(726.2-266.2)+(0+(0-0))+0-332.5-0</f>
        <v>1638.5</v>
      </c>
      <c r="H87" s="3">
        <f>1506.2+(726-250)+(1.536324+(0.74052-0.255))+0-333.5-0.340170000000053</f>
        <v>1650.3816740000002</v>
      </c>
      <c r="I87" s="3">
        <f>1507.7+(659.9-240.5)+(0+(0-0))+0-331.5-0</f>
        <v>1595.6</v>
      </c>
      <c r="J87" s="3">
        <f>1513+(552.3-239)+(1.54326+(0.563346-0.24378))+0-329.5-0.336090000000053</f>
        <v>1498.326736</v>
      </c>
      <c r="K87" s="3">
        <f>1513.3+(451-225.6)+(-3.858915+(-1.15005--0.57528))+0-329.6--0.840479999999952</f>
        <v>1405.5067949999998</v>
      </c>
      <c r="L87" s="3">
        <f>1522+(347.6-208)+(-2.32866+(-0.531828--0.31824))+0-329.5--0.504135000000019</f>
        <v>1330.0618869999998</v>
      </c>
      <c r="M87" s="3">
        <f>1519.9+(358.4-216.4)+(2.325447+(0.548352-0.331092))+0-327.9-0.501687000000019</f>
        <v>1336.0410200000001</v>
      </c>
      <c r="N87" s="3">
        <f>1506.4+(365.6-233.7)+(0.768264+(0.186456-0.119187))+0-330.2-0.168401999999966</f>
        <v>1308.7671310000001</v>
      </c>
      <c r="O87" s="3">
        <f>1494.8+(368-268.7)+(1.524696+(0.37536-0.274074))+0-331.2-0.337824000000053</f>
        <v>1264.1881579999999</v>
      </c>
      <c r="P87" s="3">
        <f>1483.1+(432.9-310.4)+(1.512762+(0.441558-0.316608))+0-331-0.337620000000053</f>
        <v>1275.9000919999999</v>
      </c>
      <c r="Q87" s="3">
        <f>1473.1+(579.7-346.6)+(-2.253843+(-0.886941--0.530298))+0-330.9--0.506277000000019</f>
        <v>1373.1957909999996</v>
      </c>
      <c r="R87" s="3">
        <f>1463.3+(782.9-356.3)+(0+(0-0))+0-329.7-0</f>
        <v>1560.1999999999998</v>
      </c>
      <c r="S87" s="3">
        <f>1460.3+(976.9-321.5)+(-4.468518+(-2.989314--0.98379))+0-329.7--1.00888200000004</f>
        <v>1780.53484</v>
      </c>
      <c r="T87" s="3">
        <f>1453.6+(971.7-311.5)+(-1.482672+(-0.991134--0.31773))+0-329.1--0.335682000000052</f>
        <v>1782.8796060000002</v>
      </c>
      <c r="U87" s="3">
        <f>1446.8+(996.7-268.1)+(-1.475736+(-1.016634--0.273462))+0-330--0.336600000000053</f>
        <v>1843.5176920000004</v>
      </c>
      <c r="V87" s="3">
        <f>1446.7+(866.6-250.9)+(-2.213451+(-1.325898--0.383877))+0-329.4--0.503982000000019</f>
        <v>1730.34851</v>
      </c>
      <c r="W87" s="3">
        <f>1453.2+(590.2-239.5)+(-0.741132+(-0.301002--0.122145))+0-332.2--0.169421999999966</f>
        <v>1470.949433</v>
      </c>
      <c r="X87" s="3">
        <f>1469.1+(335.4-235.1)+(-2.996964+(-0.684216--0.479604))+0-332.5--0.678299999999985</f>
        <v>1234.376724</v>
      </c>
      <c r="Y87" s="3">
        <f>1483.2+(275.7-291.1)+(0+(0-0))+0-330.6-0</f>
        <v>1137.1999999999998</v>
      </c>
      <c r="Z87" s="3">
        <f>1488.3+(497.3-304.7)+(0+(0-0))+0-333.2-0</f>
        <v>1347.7</v>
      </c>
      <c r="AA87" s="3">
        <f>1498.9+(684-299.9)+(-2.293317+(-1.04652--0.458847))+0-330.6--0.505818000000019</f>
        <v>1550.0248280000001</v>
      </c>
      <c r="AB87" s="3">
        <f>1500+(757.2-290.8)+(-3.06+(-1.544688--0.593232))+0-327.7--0.668507999999986</f>
        <v>1635.3570520000001</v>
      </c>
      <c r="AC87" s="3">
        <f>1492.2+(805.6-268.9)+(-0.761022+(-0.410856--0.137139))+0-327.8--0.167177999999967</f>
        <v>1700.2324390000001</v>
      </c>
      <c r="AD87" s="2">
        <v>1615.1999999999998</v>
      </c>
      <c r="AE87" s="3">
        <f>1497+(740.6-289.8)+(0+(0-0))+0-332.6-0</f>
        <v>1615.1999999999998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1480.4+(847.9-257.6)+(-1.510008+(-0.864858--0.262752))+0-329.8--0.336396000000053</f>
        <v>1739.124282</v>
      </c>
      <c r="G88" s="3">
        <f>1496+(822-259.2)+(-4.57776+(-2.51532--0.793152))+0-331.1--1.01316600000004</f>
        <v>1722.4132380000003</v>
      </c>
      <c r="H88" s="3">
        <f>1497+(804.8-234.2)+(-3.05388+(-1.641792--0.477768))+0-328.1--0.669323999999986</f>
        <v>1735.9514199999999</v>
      </c>
      <c r="I88" s="3">
        <f>1502.2+(669.4-225.8)+(-3.83061+(-1.70697--0.57579))+0-326.8--0.833339999999953</f>
        <v>1614.8715499999998</v>
      </c>
      <c r="J88" s="3">
        <f>1503.8+(632.1-223)+(0+(0-0))+0-327-0</f>
        <v>1585.9</v>
      </c>
      <c r="K88" s="3">
        <f>1483.6+(531.1-196.3)+(-2.269908+(-0.812583--0.300339))+0-327.2--0.500616000000019</f>
        <v>1488.9184639999999</v>
      </c>
      <c r="L88" s="3">
        <f>1487.2+(403.3-199.7)+(0.758472+(0.205683-0.101847))+0-328.4-0.167483999999967</f>
        <v>1363.0948240000002</v>
      </c>
      <c r="M88" s="3">
        <f>1481.7+(378-234.1)+(0.755667+(0.19278-0.119391))+0-326.6-0.166565999999967</f>
        <v>1299.6624900000002</v>
      </c>
      <c r="N88" s="3">
        <f>1471.5+(421.4-221.4)+(0+(0-0))+0-326.4-0</f>
        <v>1345.1</v>
      </c>
      <c r="O88" s="3">
        <f>1461.7+(415.3-239.7)+(0.745467+(0.211803-0.122247))+0-326.3-0.166412999999967</f>
        <v>1311.6686100000004</v>
      </c>
      <c r="P88" s="3">
        <f>1468.2+(430-265.4)+(0.748782+(0.2193-0.135354))+0-328.7-0.167636999999967</f>
        <v>1304.7650910000002</v>
      </c>
      <c r="Q88" s="3">
        <f>1466.1+(549.4-282)+(2.243133+(0.840582-0.43146))+0-331.3-0.506889000000019</f>
        <v>1404.345366</v>
      </c>
      <c r="R88" s="3">
        <f>1457.1+(690.2-307.5)+(4.458726+(2.112012-0.94095))+0-330.2-1.01041200000004</f>
        <v>1514.2193759999998</v>
      </c>
      <c r="S88" s="3">
        <f>1448.5+(892.4-306.4)+(1.47747+(0.910248-0.312528))+0-328.3-0.334866000000052</f>
        <v>1707.9403239999999</v>
      </c>
      <c r="T88" s="3">
        <f>1448.1+(963-302.2)+(2.215593+(1.47339-0.462366))+0-327-0.500310000000019</f>
        <v>1784.6263069999993</v>
      </c>
      <c r="U88" s="3">
        <f>1448.1+(951.3-282.5)+(0.738531+(0.485163-0.144075))+0-326.7-0.166616999999967</f>
        <v>1791.1130019999998</v>
      </c>
      <c r="V88" s="3">
        <f>1446.5+(832-249.6)+(0.737715+(0.42432-0.127296))+0-327.5-0.167024999999967</f>
        <v>1702.2677140000001</v>
      </c>
      <c r="W88" s="3">
        <f>1450+(583.3-226)+(0+(0-0))+0-329.1-0</f>
        <v>1478.1999999999998</v>
      </c>
      <c r="X88" s="3">
        <f>1461.3+(325.8-208.4)+(-1.490526+(-0.332316--0.212568))+0-328.7--0.335274000000052</f>
        <v>1248.7250000000001</v>
      </c>
      <c r="Y88" s="3">
        <f>1471.3+(219.3-250.3)+(0+(0-0))+0-329.5-0</f>
        <v>1110.8</v>
      </c>
      <c r="Z88" s="3">
        <f>1485.9+(579.5-304)+(2.273427+(0.886635-0.46512))+0-330.4-0.505512000000019</f>
        <v>1433.1894300000001</v>
      </c>
      <c r="AA88" s="3">
        <f>1486.9+(760.5-310.7)+(3.033276+(1.55142-0.633828))+0-331.4-0.676055999999985</f>
        <v>1608.5748120000001</v>
      </c>
      <c r="AB88" s="3">
        <f>1488.6+(773.4-317.5)+(-0.759186+(-0.394434--0.161925))+0-330.4--0.168503999999966</f>
        <v>1613.2768090000002</v>
      </c>
      <c r="AC88" s="3">
        <f>1488.4+(900.6-303.1)+(0.759084+(0.459306-0.154581))+0-331-0.168809999999966</f>
        <v>1755.7949990000004</v>
      </c>
      <c r="AD88" s="2">
        <v>1647.8000000000002</v>
      </c>
      <c r="AE88" s="3">
        <f>1484+(803.4-308.8)+(0+(0-0))+0-330.8-0</f>
        <v>1647.8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1489.3+(957.9-288.5)+(-1.519086+(-0.977058--0.29427))+0-331--0.337620000000053</f>
        <v>1825.835746</v>
      </c>
      <c r="G89" s="3">
        <f>1481.1+(958.9-264.7)+(-4.532166+(-2.934234--0.809982))+0-330.9--1.01255400000004</f>
        <v>1838.7561360000002</v>
      </c>
      <c r="H89" s="3">
        <f>1487.4+(872-247.7)+(-1.517148+(-0.88944--0.252654))+0-332.4--0.339048000000053</f>
        <v>1777.4851139999998</v>
      </c>
      <c r="I89" s="3">
        <f>1486.4+(828.5-229.1)+(1.516128+(0.84507-0.233682))+0-331.6-0.338232000000053</f>
        <v>1755.9892840000002</v>
      </c>
      <c r="J89" s="3">
        <f>1486.1+(800.9-241.7)+(3.031644+(1.633836-0.493068))+0-330.6-0.674423999999986</f>
        <v>1718.1979880000001</v>
      </c>
      <c r="K89" s="3">
        <f>1491.9+(672.2-233.8)+(-1.521738+(-0.685644--0.238476))+0-330.8--0.337416000000053</f>
        <v>1597.8685100000002</v>
      </c>
      <c r="L89" s="3">
        <f>1500+(571.8-243.1)+(3.825+(1.45809-0.619905))+0-327.8-0.835889999999953</f>
        <v>1504.7272949999999</v>
      </c>
      <c r="M89" s="3">
        <f>1567.6+(371.2-250.9)+(2.398428+(0.567936-0.383877))+0-325.9-0.498627000000019</f>
        <v>1364.0838599999997</v>
      </c>
      <c r="N89" s="3">
        <f>1577.3+(397.1-235.2)+(4.022115+(1.012605-0.59976))+0-329.6-0.840479999999952</f>
        <v>1413.1944800000001</v>
      </c>
      <c r="O89" s="3">
        <f>1607.4+(343.7-273.6)+(4.09887+(0.876435-0.69768))+0-332.4-0.847619999999952</f>
        <v>1348.5300050000001</v>
      </c>
      <c r="P89" s="3">
        <f>1599.7+(465.9-292.7)+(1.631694+(0.475218-0.298554))+0-330.6-0.337212000000053</f>
        <v>1443.7711459999998</v>
      </c>
      <c r="Q89" s="3">
        <f>1635.1+(519.6-327.2)+(4.169505+(1.32498-0.83436))+0-330.6-0.843029999999952</f>
        <v>1500.717095</v>
      </c>
      <c r="R89" s="3">
        <f>1727.8+(650.3-332.4)+(1.762356+(0.663306-0.339048))+0-327.9-0.334458000000052</f>
        <v>1719.552156</v>
      </c>
      <c r="S89" s="3">
        <f>1729.1+(688-307.1)+(-0.881841+(-0.35088--0.156621))+0-329.3--0.167942999999967</f>
        <v>1779.7918429999997</v>
      </c>
      <c r="T89" s="3">
        <f>1724.3+(738.9-306.6)+(0.879393+(0.376839-0.156366))+0-328.2-0.167381999999967</f>
        <v>1829.332484</v>
      </c>
      <c r="U89" s="3">
        <f>1720.7+(689.4-277.6)+(0+(0-0))+0-326.5-0</f>
        <v>1806</v>
      </c>
      <c r="V89" s="3">
        <f>1645+(673.4-238.8)+(-0.83895+(-0.343434--0.121788))+0-326.8--0.166667999999967</f>
        <v>1751.9060720000002</v>
      </c>
      <c r="W89" s="3">
        <f>1650.9+(473.1-224.4)+(-5.051754+(-1.447686--0.686664))+0-329.7--1.00888200000004</f>
        <v>1565.0961060000002</v>
      </c>
      <c r="X89" s="3">
        <f>1650.9+(238.6-226.2)+(-3.367836+(-0.486744--0.461448))+0-328--0.669119999999986</f>
        <v>1332.5759880000003</v>
      </c>
      <c r="Y89" s="3">
        <f>1594.6+(173.6-256.2)+(-4.06623+(-0.44268--0.65331))+0-328--0.836399999999952</f>
        <v>1180.9807999999998</v>
      </c>
      <c r="Z89" s="3">
        <f>1675.4+(340.5-300)+(0+(0-0))+0-330.6-0</f>
        <v>1385.3000000000002</v>
      </c>
      <c r="AA89" s="3">
        <f>1735.2+(522.4-291.3)+(-2.654856+(-0.799272--0.445689))+0-330.4--0.505512000000019</f>
        <v>1633.3970729999999</v>
      </c>
      <c r="AB89" s="3">
        <f>1748.2+(592.2-277)+(0+(0-0))+0-329-0</f>
        <v>1734.4</v>
      </c>
      <c r="AC89" s="3">
        <f>1766.6+(658.3-263.6)+(-3.603864+(-1.342932--0.537744))+0-329.8--0.672791999999986</f>
        <v>1827.7637399999999</v>
      </c>
      <c r="AD89" s="2">
        <v>1646.1</v>
      </c>
      <c r="AE89" s="3">
        <f>1731+(530.4-285.7)+(0+(0-0))+0-329.6-0</f>
        <v>1646.1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1786.7+(617-252.4)+(-3.644868+(-1.25868--0.514896))+0-329.1--0.671363999999986</f>
        <v>1818.4827120000002</v>
      </c>
      <c r="G90" s="3">
        <f>1784.5+(596.5-269.1)+(-0.910095+(-0.304215--0.137241))+0-329.3--0.167942999999967</f>
        <v>1781.6908740000001</v>
      </c>
      <c r="H90" s="3">
        <f>1784.3+(562.5-238.7)+(-2.729979+(-0.860625--0.365211))+0-330.8--0.506124000000019</f>
        <v>1774.5807309999998</v>
      </c>
      <c r="I90" s="3">
        <f>1786.8+(508.5-229)+(-4.55634+(-1.296675--0.58395))+0-329.4--0.839969999999952</f>
        <v>1732.4709050000001</v>
      </c>
      <c r="J90" s="3">
        <f>1666.8+(595.3-178.1)+(-0.850068+(-0.303603--0.090831))+0-329.1--0.167840999999967</f>
        <v>1754.005001</v>
      </c>
      <c r="K90" s="3">
        <f>1649.2+(491.2-201.9)+(-4.20546+(-1.25256--0.514845))+0-330.4--0.842519999999952</f>
        <v>1603.9993449999999</v>
      </c>
      <c r="L90" s="3">
        <f>1652.5+(332.7-205.7)+(0.842775+(0.169677-0.104907))+0-329.2-0.167891999999967</f>
        <v>1451.039653</v>
      </c>
      <c r="M90" s="3">
        <f>1647.9+(251.4-188.3)+(2.521287+(0.384642-0.288099))+0-325.6-0.498168000000019</f>
        <v>1387.5196619999997</v>
      </c>
      <c r="N90" s="3">
        <f>1659.8+(214.7-209.1)+(2.539494+(0.328491-0.319923))+0-327.3-0.500769000000019</f>
        <v>1340.147293</v>
      </c>
      <c r="O90" s="3">
        <f>1760.3+(123.1-328.1)+(-0.897753+(-0.062781--0.167331))+0-329.1--0.167840999999967</f>
        <v>1225.574638</v>
      </c>
      <c r="P90" s="3">
        <f>1870.9+(126.5-339.9)+(0+(0-0))+0-329-0</f>
        <v>1328.5</v>
      </c>
      <c r="Q90" s="3">
        <f>1867.6+(254.8-336)+(0+(0-0))+0-330.4-0</f>
        <v>1456</v>
      </c>
      <c r="R90" s="3">
        <f>1860.9+(491.3-340.9)+(1.898118+(0.501126-0.347718))+0-329.5-0.336090000000053</f>
        <v>1683.5154360000001</v>
      </c>
      <c r="S90" s="3">
        <f>1857.8+(551.2-247.4)+(-2.842434+(-0.843336--0.378522))+0-328.8--0.503064000000019</f>
        <v>1829.9958159999999</v>
      </c>
      <c r="T90" s="3">
        <f>1852.6+(591.8-283)+(-2.834478+(-0.905454--0.43299))+0-330--0.504900000000019</f>
        <v>1828.5979579999994</v>
      </c>
      <c r="U90" s="3">
        <f>1851.5+(622.5-275.2)+(-1.88853+(-0.63495--0.280704))+0-328.1--0.334662000000052</f>
        <v>1868.7918860000002</v>
      </c>
      <c r="V90" s="3">
        <f>1853.2+(333.3-295.1)+(0.945132+(0.169983-0.150501))+0-327.4-0.166973999999967</f>
        <v>1564.79764</v>
      </c>
      <c r="W90" s="3">
        <f>1853.9+(251-269.6)+(-2.836467+(-0.38403--0.412488))+0-327.8--0.501534000000019</f>
        <v>1505.1935250000001</v>
      </c>
      <c r="X90" s="3">
        <f>1867.3+(121-329.7)+(-0.952323+(-0.06171--0.168147))+0-329--0.167789999999967</f>
        <v>1328.9219039999998</v>
      </c>
      <c r="Y90" s="3">
        <f>1877.2+(54-433.7)+(-0.957372+(-0.02754--0.221187))+0-329--0.167789999999967</f>
        <v>1167.9040649999999</v>
      </c>
      <c r="Z90" s="3">
        <f>1886.3+(163.8-361.8)+(-0.962013+(-0.083538--0.184518))+0-329.4--0.167993999999967</f>
        <v>1358.2069609999999</v>
      </c>
      <c r="AA90" s="3">
        <f>1903.4+(274.2-322.6)+(-6.795138+(-0.978894--1.151682))+0-329.5--1.176315</f>
        <v>1520.0539649999998</v>
      </c>
      <c r="AB90" s="3">
        <f>1902+(337.2-314.1)+(-0.97002+(-0.171972--0.160191))+0-328.7--0.167636999999967</f>
        <v>1595.585836</v>
      </c>
      <c r="AC90" s="3">
        <f>1912.9+(381.1-296)+(-0.975579+(-0.194361--0.15096))+0-327.5--0.167024999999967</f>
        <v>1669.6480449999999</v>
      </c>
      <c r="AD90" s="2">
        <v>1578.8999999999999</v>
      </c>
      <c r="AE90" s="3">
        <f>1901+(322-313.9)+(0+(0-0))+0-330.2-0</f>
        <v>1578.8999999999999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1913.1+(402.8-285.6)+(0+(0-0))+0-329.7-0</f>
        <v>1700.6</v>
      </c>
      <c r="G91" s="3">
        <f>1919.6+(389.6-279)+(-4.89498+(-0.99348--0.71145))+0-331.1--0.844304999999952</f>
        <v>1694.7672949999994</v>
      </c>
      <c r="H91" s="3">
        <f>1923.7+(362.4-290.1)+(-0.981087+(-0.184824--0.147951))+0-330.2--0.168401999999966</f>
        <v>1664.9504420000001</v>
      </c>
      <c r="I91" s="3">
        <f>1928.1+(316.8-282.1)+(0+(0-0))+0-329.1-0</f>
        <v>1633.6999999999998</v>
      </c>
      <c r="J91" s="3">
        <f>1929.6+(266.1-273.8)+(-1.968192+(-0.271422--0.279276))+0-330--0.336600000000053</f>
        <v>1590.2762619999999</v>
      </c>
      <c r="K91" s="3">
        <f>1935+(209.5-231)+(-4.93425+(-0.534225--0.58905))+0-329.1--0.839204999999952</f>
        <v>1580.35978</v>
      </c>
      <c r="L91" s="3">
        <f>1969+(77.7-247.1)+(-2.00838+(-0.079254--0.252042))+0-330--0.336600000000053</f>
        <v>1468.1010080000001</v>
      </c>
      <c r="M91" s="3">
        <f>1951+(102-296.8)+(0+(0-0))+0-331-0</f>
        <v>1425.2</v>
      </c>
      <c r="N91" s="3">
        <f>1941+(115-325.6)+(-1.97982+(-0.1173--0.332112))+0-333--0.339660000000053</f>
        <v>1395.9746520000001</v>
      </c>
      <c r="O91" s="3">
        <f>1940+(109-329.6)+(1.9788+(0.11118-0.336192))+0-333-0.339660000000053</f>
        <v>1387.814128</v>
      </c>
      <c r="P91" s="3">
        <f>1919+(186-406.4)+(0.97869+(0.09486-0.207264))+0-330-0.168299999999967</f>
        <v>1369.2979859999998</v>
      </c>
      <c r="Q91" s="3">
        <f>1914+(259-377.5)+(1.95228+(0.26418-0.38505))+0-331-0.337620000000053</f>
        <v>1465.99379</v>
      </c>
      <c r="R91" s="3">
        <f>1849.6+(410.6-358)+(0.943296+(0.209406-0.18258))+0-328-0.167279999999967</f>
        <v>1575.0028419999999</v>
      </c>
      <c r="S91" s="3">
        <f>1843.6+(537.4-311.4)+(-1.880472+(-0.548148--0.317628))+0-332--0.338640000000053</f>
        <v>1735.827648</v>
      </c>
      <c r="T91" s="3">
        <f>1841.5+(663.5-329.7)+(-2.817495+(-1.015155--0.504441))+0-333.1--0.509643000000019</f>
        <v>1839.3814340000006</v>
      </c>
      <c r="U91" s="3">
        <f>1838.2+(641.2-325)+(-0.937482+(-0.327012--0.16575))+0-330.9--0.168758999999966</f>
        <v>1822.570015</v>
      </c>
      <c r="V91" s="3">
        <f>1840.9+(565.5-305.9)+(1.877718+(0.57681-0.312018))+0-330.9-0.337518000000053</f>
        <v>1771.404992</v>
      </c>
      <c r="W91" s="3">
        <f>1846.9+(357.9-273)+(-1.883838+(-0.365058--0.27846))+0-330.5--0.337110000000053</f>
        <v>1599.6666740000003</v>
      </c>
      <c r="X91" s="3">
        <f>1854+(102.4-319)+(-3.78216+(-0.208896--0.65076))+0-328--0.669119999999986</f>
        <v>1306.728824</v>
      </c>
      <c r="Y91" s="3">
        <f>1857.7+(47.8-405.4)+(-1.894854+(-0.048756--0.413508))+0-330--0.336600000000053</f>
        <v>1168.9064980000003</v>
      </c>
      <c r="Z91" s="3">
        <f>1864.4+(207.3-343.1)+(0+(0-0))+0-330.3-0</f>
        <v>1398.3000000000002</v>
      </c>
      <c r="AA91" s="3">
        <f>1876.6+(410.8-352.8)+(-3.828264+(-0.838032--0.719712))+0-331.2--0.675647999999985</f>
        <v>1600.1290639999997</v>
      </c>
      <c r="AB91" s="3">
        <f>1884+(478.9-354.2)+(-3.84336+(-0.976956--0.722568))+0-326.4--0.665855999999986</f>
        <v>1678.8681080000001</v>
      </c>
      <c r="AC91" s="3">
        <f>1883+(500.4-337.4)+(-0.96033+(-0.255204--0.172074))+0-326.6--0.166565999999967</f>
        <v>1718.5231059999996</v>
      </c>
      <c r="AD91" s="2">
        <v>1685.3000000000002</v>
      </c>
      <c r="AE91" s="3">
        <f>1880+(485.4-354.7)+(0+(0-0))+0-325.4-0</f>
        <v>1685.3000000000002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1885.4+(498.3-306.2)+(-1.923108+(-0.508266--0.312324))+0-327.5--0.334050000000052</f>
        <v>1748.2150000000004</v>
      </c>
      <c r="G92" s="3">
        <f>1886.5+(522-275.8)+(-3.84846+(-1.06488--0.562632))+0-330.8--0.674831999999986</f>
        <v>1798.2241239999998</v>
      </c>
      <c r="H92" s="3">
        <f>1889.3+(426.3-260.9)+(-2.890629+(-0.652239--0.399177))+0-330.2--0.505206000000019</f>
        <v>1721.8615149999996</v>
      </c>
      <c r="I92" s="3">
        <f>1891.8+(371.3-242.4)+(-3.859272+(-0.757452--0.494496))+0-329.4--0.671975999999986</f>
        <v>1687.8497480000001</v>
      </c>
      <c r="J92" s="3">
        <f>1892.8+(330.2-226.4)+(0.965328+(0.168402-0.115464))+0-328.1-0.167330999999967</f>
        <v>1669.3509350000002</v>
      </c>
      <c r="K92" s="3">
        <f>1892.8+(178.5-226.2)+(-3.861312+(-0.36414--0.461448))+0-331.3--0.675851999999986</f>
        <v>1510.7118479999999</v>
      </c>
      <c r="L92" s="3">
        <f>1892.5+(81.9-241)+(3.8607+(0.167076-0.49164))+0-329.2-0.671567999999986</f>
        <v>1407.064568</v>
      </c>
      <c r="M92" s="3">
        <f>1888.2+(68.1-306.1)+(0+(0-0))+0-328.8-0</f>
        <v>1321.4</v>
      </c>
      <c r="N92" s="3">
        <f>1880.5+(110.7-338.9)+(1.91811+(0.112914-0.345678))+0-331.1-0.337722000000053</f>
        <v>1322.547624</v>
      </c>
      <c r="O92" s="3">
        <f>1871.8+(128.2-319.6)+(0+(0-0))+0-331.5-0</f>
        <v>1348.8999999999999</v>
      </c>
      <c r="P92" s="3">
        <f>1853.3+(219-332)+(1.890366+(0.22338-0.33864))+0-330-0.336600000000053</f>
        <v>1411.7385059999999</v>
      </c>
      <c r="Q92" s="3">
        <f>1841.4+(353-331)+(0.939114+(0.18003-0.16881))+0-330-0.168299999999967</f>
        <v>1534.1820340000002</v>
      </c>
      <c r="R92" s="3">
        <f>1839.8+(489.1-371)+(0.938298+(0.249441-0.18921))+0-330.2-0.168401999999966</f>
        <v>1628.530127</v>
      </c>
      <c r="S92" s="3">
        <f>1835.1+(632.4-385)+(-4.679505+(-1.61262--0.98175))+0-330.1--0.841754999999952</f>
        <v>1747.93138</v>
      </c>
      <c r="T92" s="3">
        <f>1827.9+(676.2-368.7)+(-1.864458+(-0.689724--0.376074))+0-327.2--0.333744000000052</f>
        <v>1806.355636</v>
      </c>
      <c r="U92" s="3">
        <f>1826.1+(660.1-338.2)+(-4.656555+(-1.683255--0.86241))+0-329.7--0.840734999999952</f>
        <v>1813.6633349999997</v>
      </c>
      <c r="V92" s="3">
        <f>1826+(534.6-298.7)+(-1.86252+(-0.545292--0.304674))+0-329.1--0.335682000000052</f>
        <v>1731.0325440000004</v>
      </c>
      <c r="W92" s="3">
        <f>1830+(286.9-282.9)+(-4.6665+(-0.731595--0.721395))+0-328.4--0.837419999999952</f>
        <v>1501.76072</v>
      </c>
      <c r="X92" s="3">
        <f>1836.1+(129-335.9)+(-4.682055+(-0.32895--0.856545))+0-326.6--0.832829999999953</f>
        <v>1299.2783699999998</v>
      </c>
      <c r="Y92" s="3">
        <f>1853.5+(88.4-369.7)+(-3.78114+(-0.180336--0.754188))+0-327--0.667079999999986</f>
        <v>1242.6597919999999</v>
      </c>
      <c r="Z92" s="3">
        <f>1865.1+(269.7-356.6)+(0+(0-0))+0-326.5-0</f>
        <v>1451.6999999999998</v>
      </c>
      <c r="AA92" s="3">
        <f>1872.2+(383.4-357.6)+(-5.728932+(-1.173204--1.094256))+0-328.1--1.00398600000004</f>
        <v>1565.0961059999997</v>
      </c>
      <c r="AB92" s="3">
        <f>1873.1+(536.5-334.3)+(-3.821124+(-1.09446--0.681972))+0-329.7--0.672587999999986</f>
        <v>1742.0389759999996</v>
      </c>
      <c r="AC92" s="3">
        <f>1876.7+(592.4-313.7)+(-1.914234+(-0.604248--0.319974))+0-328.1--0.334662000000052</f>
        <v>1825.4361540000002</v>
      </c>
      <c r="AD92" s="2">
        <v>1749.9999999999998</v>
      </c>
      <c r="AE92" s="3">
        <f>1874+(534.7-327.9)+(0+(0-0))+0-330.8-0</f>
        <v>1750.0000000000002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1875.6+(583.6-282.3)+(-2.869668+(-0.892908--0.431919))+0-329.5--0.504135000000019</f>
        <v>1844.573478</v>
      </c>
      <c r="G93" s="3">
        <f>1644+(745.9-228.7)+(-3.35376+(-1.521636--0.466548))+0-332.7--0.678707999999985</f>
        <v>1824.7698599999997</v>
      </c>
      <c r="H93" s="3">
        <f>1641.7+(691.7-212)+(-2.511801+(-1.058301--0.32436))+0-333--0.509490000000019</f>
        <v>1785.6637479999999</v>
      </c>
      <c r="I93" s="3">
        <f>1648.3+(594.6-204.2)+(-0.840633+(-0.303246--0.104142))+0-334.1--0.170390999999966</f>
        <v>1703.7306539999997</v>
      </c>
      <c r="J93" s="3">
        <f>1650.3+(551.1-191.9)+(-1.683306+(-0.562122--0.195738))+0-333--0.339660000000053</f>
        <v>1674.78997</v>
      </c>
      <c r="K93" s="3">
        <f>1649.2+(426.3-181.1)+(-1.682184+(-0.434826--0.184722))+0-333.8--0.340476000000053</f>
        <v>1559.0081880000002</v>
      </c>
      <c r="L93" s="3">
        <f>1657.3+(292.6-183.3)+(0+(0-0))+0-329.4-0</f>
        <v>1437.1999999999998</v>
      </c>
      <c r="M93" s="3">
        <f>1654.6+(265.4-196.9)+(0.843846+(0.135354-0.100419))+0-329.1-0.167840999999967</f>
        <v>1394.7109399999999</v>
      </c>
      <c r="N93" s="3">
        <f>1647+(256.7-235.3)+(1.67994+(0.261834-0.240006))+0-332-0.338640000000053</f>
        <v>1337.7631280000001</v>
      </c>
      <c r="O93" s="3">
        <f>1640.4+(319.8-245.6)+(1.673208+(0.326196-0.250512))+0-331.2-0.337824000000053</f>
        <v>1384.8110680000002</v>
      </c>
      <c r="P93" s="3">
        <f>1629.7+(387.1-270.1)+(0+(0-0))+0-332.3-0</f>
        <v>1414.4</v>
      </c>
      <c r="Q93" s="3">
        <f>1620+(521.4-283.6)+(0+(0-0))+0-332.7-0</f>
        <v>1525.1</v>
      </c>
      <c r="R93" s="3">
        <f>1617.7+(702.4-306.8)+(-4.125135+(-1.79112--0.78234))+0-330.8--0.843539999999952</f>
        <v>1678.209625</v>
      </c>
      <c r="S93" s="3">
        <f>1618.6+(796.1-314.8)+(-4.12743+(-2.030055--0.80274))+0-329--0.838949999999952</f>
        <v>1766.3842049999998</v>
      </c>
      <c r="T93" s="3">
        <f>1620.7+(893.7-292)+(-0.826557+(-0.455787--0.14892))+0-328.2--0.167381999999967</f>
        <v>1893.2339579999998</v>
      </c>
      <c r="U93" s="3">
        <f>1614.4+(857.5-306.4)+(-3.293376+(-1.7493--0.625056))+0-326.7--0.666467999999986</f>
        <v>1835.0488479999997</v>
      </c>
      <c r="V93" s="3">
        <f>1610.4+(785.9-275.7)+(-3.285216+(-1.603236--0.562428))+0-326.2--0.665447999999986</f>
        <v>1790.7394239999999</v>
      </c>
      <c r="W93" s="3">
        <f>1610.9+(538.2-254.2)+(-4.107795+(-1.37241--0.64821))+0-326.4--0.832319999999953</f>
        <v>1564.500325</v>
      </c>
      <c r="X93" s="3">
        <f>1620.6+(268.2-228.7)+(-4.13253+(-0.68391--0.583185))+0-326.3--0.832064999999953</f>
        <v>1330.3988099999999</v>
      </c>
      <c r="Y93" s="3">
        <f>1626.9+(206.9-210.2)+(-0.829719+(-0.105519--0.107202))+0-326.3--0.166412999999967</f>
        <v>1296.638377</v>
      </c>
      <c r="Z93" s="3">
        <f>1639.2+(479.8-264.4)+(0+(0-0))+0-326.9-0</f>
        <v>1527.7000000000003</v>
      </c>
      <c r="AA93" s="3">
        <f>1648.7+(640.4-296.8)+(-3.363348+(-1.306416--0.605472))+0-328.7--0.670547999999986</f>
        <v>1660.2062559999999</v>
      </c>
      <c r="AB93" s="3">
        <f>1651.4+(664.3-298.5)+(-2.526642+(-1.016379--0.456705))+0-329.8--0.504594000000019</f>
        <v>1684.8182780000002</v>
      </c>
      <c r="AC93" s="3">
        <f>1655.3+(679-280.7)+(-1.688406+(-0.69258--0.286314))+0-330--0.336600000000053</f>
        <v>1721.8419279999998</v>
      </c>
      <c r="AD93" s="2">
        <v>1672.6000000000001</v>
      </c>
      <c r="AE93" s="3">
        <f>1645+(656.3-299.7)+(0+(0-0))+0-329-0</f>
        <v>1672.6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1658.2+(737.6-277.2)+(-1.691364+(-0.752352--0.282744))+0-332.7--0.339354000000053</f>
        <v>1784.0783819999997</v>
      </c>
      <c r="G94" s="3">
        <f>1658+(713.5-267.7)+(-1.69116+(-0.72777--0.273054))+0-333.1--0.339762000000053</f>
        <v>1768.8938860000003</v>
      </c>
      <c r="H94" s="3">
        <f>1655.7+(712.6-241.6)+(1.688814+(0.726852-0.246432))+0-330.7-0.337314000000053</f>
        <v>1797.8319199999996</v>
      </c>
      <c r="I94" s="3">
        <f>1655.3+(648.3-286)+(-1.688406+(-0.661266--0.29172))+0-329.6--0.336192000000053</f>
        <v>1686.2782399999999</v>
      </c>
      <c r="J94" s="3">
        <f>1658.9+(642.3-253.8)+(2.538117+(0.982719-0.388314))+0-327.3-0.500769000000019</f>
        <v>1722.731753</v>
      </c>
      <c r="K94" s="3">
        <f>1661.6+(525.4-231.4)+(-4.23708+(-1.33977--0.59007))+0-326.9--0.833594999999952</f>
        <v>1624.5468150000002</v>
      </c>
      <c r="L94" s="3">
        <f>1613.4+(369.4-255.9)+(-0.822834+(-0.188394--0.130509))+0-326.1--0.166310999999967</f>
        <v>1400.0855919999999</v>
      </c>
      <c r="M94" s="3">
        <f>1611.6+(311.1-277)+(1.643832+(0.317322-0.28254))+0-324.6-0.331092000000052</f>
        <v>1322.4475219999997</v>
      </c>
      <c r="N94" s="3">
        <f>1656.3+(237.1-277.7)+(1.689426+(0.241842-0.283254))+0-325.7-0.332214000000052</f>
        <v>1291.3158000000001</v>
      </c>
      <c r="O94" s="3">
        <f>1649.9+(249.4-264.4)+(0.841449+(0.127194-0.134844))+0-326.9-0.166718999999967</f>
        <v>1308.6670799999999</v>
      </c>
      <c r="P94" s="3">
        <f>1642.5+(346-276)+(0+(0-0))+0-330.2-0</f>
        <v>1382.3</v>
      </c>
      <c r="Q94" s="3">
        <f>1633.5+(449-308.9)+(2.499255+(0.68697-0.472617))+0-331-0.506430000000019</f>
        <v>1444.807178</v>
      </c>
      <c r="R94" s="3">
        <f>1623.8+(691.2-332)+(1.656276+(0.705024-0.33864))+0-331.1-0.337722000000053</f>
        <v>1653.5849380000002</v>
      </c>
      <c r="S94" s="3">
        <f>1616.3+(895.7-327.9)+(-3.297252+(-1.827228--0.668916))+0-329.6--0.672383999999986</f>
        <v>1850.7168200000001</v>
      </c>
      <c r="T94" s="3">
        <f>1614+(908.8-322.9)+(-3.29256+(-1.853952--0.658716))+0-329.6--0.672383999999986</f>
        <v>1866.4845880000003</v>
      </c>
      <c r="U94" s="3">
        <f>1607.9+(948.7-324.5)+(-0.820029+(-0.483837--0.165495))+0-328.4--0.167483999999967</f>
        <v>1902.7291130000003</v>
      </c>
      <c r="V94" s="3">
        <f>1610.6+(777.1-312.7)+(-2.464218+(-1.188963--0.478431))+0-329.3--0.503829000000019</f>
        <v>1743.0290789999999</v>
      </c>
      <c r="W94" s="3">
        <f>1639.3+(536.5-265.9)+(-4.180215+(-1.368075--0.678045))+0-328.5--0.837674999999952</f>
        <v>1577.36743</v>
      </c>
      <c r="X94" s="3">
        <f>1720.5+(188.1-274)+(-4.387275+(-0.479655--0.6987))+0-328.1--0.836654999999952</f>
        <v>1303.1684249999998</v>
      </c>
      <c r="Y94" s="3">
        <f>1723.9+(123-345.6)+(-0.879189+(-0.06273--0.176256))+0-330.1--0.168350999999967</f>
        <v>1170.6026880000002</v>
      </c>
      <c r="Z94" s="3">
        <f>1734.1+(359.3-374.1)+(2.653173+(0.549729-0.572373))+0-329.7-0.504441000000019</f>
        <v>1391.7260879999999</v>
      </c>
      <c r="AA94" s="3">
        <f>1746.7+(581.8-373.6)+(-2.672451+(-0.890154--0.571608))+0-325.7--0.498321000000019</f>
        <v>1626.707324</v>
      </c>
      <c r="AB94" s="3">
        <f>1751.2+(602.9-365.9)+(-4.46556+(-1.537395--0.933045))+0-325.5--0.830024999999953</f>
        <v>1658.4601150000001</v>
      </c>
      <c r="AC94" s="3">
        <f>1753.3+(698.7-343.9)+(-2.682549+(-1.069011--0.526167))+0-326.4--0.499392000000019</f>
        <v>1778.9739989999996</v>
      </c>
      <c r="AD94" s="2">
        <v>1668</v>
      </c>
      <c r="AE94" s="3">
        <f>1749+(613.6-369.2)+(0+(0-0))+0-325.4-0</f>
        <v>1668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1755.8+(694.6-314.2)+(-1.790916+(-0.708492--0.320484))+0-329.2--0.335784000000052</f>
        <v>1805.1568600000001</v>
      </c>
      <c r="G95" s="3">
        <f>1830.3+(621.8-307.4)+(-3.733812+(-1.268472--0.627096))+0-329.4--0.671975999999986</f>
        <v>1811.5967879999998</v>
      </c>
      <c r="H95" s="3">
        <f>1910.3+(490.5-329.9)+(-1.948506+(-0.50031--0.336498))+0-329.4--0.335988000000053</f>
        <v>1739.7236700000001</v>
      </c>
      <c r="I95" s="3">
        <f>1922.9+(445.5-305.9)+(0+(0-0))+0-332.3-0</f>
        <v>1730.2</v>
      </c>
      <c r="J95" s="3">
        <f>1916.7+(418.2-290)+(-3.910068+(-0.853128--0.5916))+0-331--0.675239999999986</f>
        <v>1710.4036440000002</v>
      </c>
      <c r="K95" s="3">
        <f>1912.6+(311.9-256.8)+(-4.87713+(-0.795345--0.65484))+0-329.7--0.840734999999952</f>
        <v>1633.8230999999998</v>
      </c>
      <c r="L95" s="3">
        <f>1790.7+(268.6-240.3)+(-4.566285+(-0.68493--0.612765))+0-327.7--0.835634999999952</f>
        <v>1487.4971849999999</v>
      </c>
      <c r="M95" s="3">
        <f>1777.8+(220.2-265.5)+(-2.720034+(-0.336906--0.406215))+0-328--0.501840000000019</f>
        <v>1402.3511150000002</v>
      </c>
      <c r="N95" s="3">
        <f>1779.1+(182.1-303.5)+(-0.907341+(-0.092871--0.154785))+0-329.7--0.168146999999967</f>
        <v>1327.3227199999997</v>
      </c>
      <c r="O95" s="3">
        <f>1780.7+(208.4-321.8)+(-1.816314+(-0.212568--0.328236))+0-328.6--0.335172000000052</f>
        <v>1337.3345260000001</v>
      </c>
      <c r="P95" s="3">
        <f>1860+(193.3-342.7)+(0.9486+(0.098583-0.174777))+0-329.5-0.168044999999967</f>
        <v>1381.804361</v>
      </c>
      <c r="Q95" s="3">
        <f>1869.6+(238.1-350.5)+(-0.953496+(-0.121431--0.178755))+0-330.3--0.168452999999966</f>
        <v>1426.1722809999999</v>
      </c>
      <c r="R95" s="3">
        <f>1862.7+(402.4-355.8)+(-2.849931+(-0.615672--0.544374))+0-330.4--0.505512000000019</f>
        <v>1576.484283</v>
      </c>
      <c r="S95" s="3">
        <f>1852.6+(552.4-354.1)+(-2.834478+(-0.845172--0.541773))+0-330.2--0.505206000000019</f>
        <v>1718.0673289999997</v>
      </c>
      <c r="T95" s="3">
        <f>1851.4+(651.2-352.2)+(-0.944214+(-0.332112--0.179622))+0-326.3--0.166412999999967</f>
        <v>1823.169709</v>
      </c>
      <c r="U95" s="3">
        <f>1851.3+(612.8-354.3)+(-1.888326+(-0.625056--0.361386))+0-325.5--0.332010000000052</f>
        <v>1782.4800139999998</v>
      </c>
      <c r="V95" s="3">
        <f>1779.4+(635.4-318.7)+(-2.722482+(-0.972162--0.487611))+0-326.1--0.498933000000019</f>
        <v>1767.2918999999999</v>
      </c>
      <c r="W95" s="3">
        <f>1596.5+(592.9-268.6)+(-3.25686+(-1.209516--0.547944))+0-326.8--0.666671999999986</f>
        <v>1590.7482400000001</v>
      </c>
      <c r="X95" s="3">
        <f>1599.3+(298-247.8)+(-2.446929+(-0.45594--0.379134))+0-326.7--0.499851000000019</f>
        <v>1320.776116</v>
      </c>
      <c r="Y95" s="3">
        <f>1605.8+(205.9-239.6)+(-3.275832+(-0.420036--0.488784))+0-329.7--0.672587999999986</f>
        <v>1239.8655039999999</v>
      </c>
      <c r="Z95" s="3">
        <f>1614.2+(446.9-325.1)+(0+(0-0))+0-332.2-0</f>
        <v>1403.8</v>
      </c>
      <c r="AA95" s="3">
        <f>1707.1+(507.8-365.2)+(0.870621+(0.258978-0.186252))+0-330-0.168299999999967</f>
        <v>1520.4750469999997</v>
      </c>
      <c r="AB95" s="3">
        <f>1826.7+(497-369.1)+(-3.726468+(-1.01388--0.752964))+0-329.4--0.671975999999986</f>
        <v>1621.8845919999999</v>
      </c>
      <c r="AC95" s="3">
        <f>1848.1+(549.7-345.5)+(-2.827593+(-0.841041--0.528615))+0-327.2--0.500616000000019</f>
        <v>1722.4605970000002</v>
      </c>
      <c r="AD95" s="2">
        <v>1544.2000000000003</v>
      </c>
      <c r="AE95" s="3">
        <f>1756+(493.9-371.3)+(0+(0-0))+0-334.4-0</f>
        <v>1544.1999999999998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1842.7+(494.5-303)+(-1.879554+(-0.50439--0.30906))+0-327.3--0.333846000000052</f>
        <v>1705.158962</v>
      </c>
      <c r="G96" s="3">
        <f>1845.4+(463.7-298)+(-0.941154+(-0.236487--0.15198))+0-327.8--0.167177999999967</f>
        <v>1682.4415170000002</v>
      </c>
      <c r="H96" s="3">
        <f>1850.3+(422.4-282.5)+(-1.887306+(-0.430848--0.28815))+0-331.2--0.337824000000053</f>
        <v>1657.3078199999998</v>
      </c>
      <c r="I96" s="3">
        <f>1854.7+(437.4-263.2)+(-1.891794+(-0.446148--0.268464))+0-330.3--0.336906000000053</f>
        <v>1696.8674280000002</v>
      </c>
      <c r="J96" s="3">
        <f>1863.2+(376.7-251)+(-2.850696+(-0.576351--0.38403))+0-329.6--0.504288000000019</f>
        <v>1656.7612710000003</v>
      </c>
      <c r="K96" s="3">
        <f>1861.4+(254.5-224.2)+(-4.74657+(-0.648975--0.57171))+0-328.7--0.838184999999952</f>
        <v>1559.0143499999999</v>
      </c>
      <c r="L96" s="3">
        <f>1857.3+(129.2-256.3)+(1.894446+(0.131784-0.261426))+0-327.9-0.334458000000052</f>
        <v>1403.7303459999996</v>
      </c>
      <c r="M96" s="3">
        <f>1852.3+(98.3-278.7)+(0+(0-0))+0-327.6-0</f>
        <v>1344.3000000000002</v>
      </c>
      <c r="N96" s="3">
        <f>1838.6+(116.9-294.4)+(1.875372+(0.119238-0.300288))+0-329.4-0.335988000000053</f>
        <v>1333.0583340000001</v>
      </c>
      <c r="O96" s="3">
        <f>1823.5+(141.7-309.7)+(0+(0-0))+0-329.9-0</f>
        <v>1325.6</v>
      </c>
      <c r="P96" s="3">
        <f>1808.7+(224.3-341.4)+(0.922437+(0.114393-0.174114))+0-330.9-0.168758999999966</f>
        <v>1361.3939570000005</v>
      </c>
      <c r="Q96" s="3">
        <f>1803.8+(374.7-377.3)+(1.839876+(0.382194-0.384846))+0-331-0.337620000000053</f>
        <v>1471.6996039999999</v>
      </c>
      <c r="R96" s="3">
        <f>1800.3+(553.6-380.1)+(0+(0-0))+0-331.2-0</f>
        <v>1642.6</v>
      </c>
      <c r="S96" s="3">
        <f>1795.7+(671.3-350.4)+(-0.915807+(-0.342363--0.178704))+0-327.3--0.166922999999967</f>
        <v>1788.3874569999998</v>
      </c>
      <c r="T96" s="3">
        <f>1752.9+(740.3-334.6)+(-1.787958+(-0.755106--0.341292))+0-327.8--0.334356000000052</f>
        <v>1828.9325840000001</v>
      </c>
      <c r="U96" s="3">
        <f>1534.6+(952.4-299.6)+(1.565292+(0.971448-0.305592))+0-329.2-0.335784000000052</f>
        <v>1860.0953639999993</v>
      </c>
      <c r="V96" s="3">
        <f>1530.9+(886.5-279.1)+(-2.342277+(-1.356345--0.427023))+0-329.1--0.503523000000019</f>
        <v>1806.4319240000002</v>
      </c>
      <c r="W96" s="3">
        <f>1546.8+(661-263.6)+(-3.94434+(-1.68555--0.67218))+0-328.9--0.838694999999952</f>
        <v>1611.180985</v>
      </c>
      <c r="X96" s="3">
        <f>1552.5+(346.4-246.7)+(-3.1671+(-0.706656--0.503268))+0-328.7--0.670547999999986</f>
        <v>1320.80006</v>
      </c>
      <c r="Y96" s="3">
        <f>1563.5+(224.1-254.2)+(-3.18954+(-0.457164--0.518568))+0-329.6--0.672383999999986</f>
        <v>1201.3442479999999</v>
      </c>
      <c r="Z96" s="3">
        <f>1576.9+(499.1-331.5)+(1.608438+(0.509082-0.33813))+0-330.8-0.337416000000053</f>
        <v>1415.1419739999999</v>
      </c>
      <c r="AA96" s="3">
        <f>1665.7+(594-340.8)+(-2.548521+(-0.90882--0.521424))+0-328.7--0.502911000000019</f>
        <v>1587.7669940000001</v>
      </c>
      <c r="AB96" s="3">
        <f>1689.6+(671.3-328.4)+(0.861696+(0.342363-0.167484))+0-329-0.167789999999967</f>
        <v>1704.3687850000001</v>
      </c>
      <c r="AC96" s="3">
        <f>1784.1+(634-321.3)+(0.909891+(0.32334-0.163863))+0-328.4-0.167483999999967</f>
        <v>1769.3018839999995</v>
      </c>
      <c r="AD96" s="2">
        <v>1602.1</v>
      </c>
      <c r="AE96" s="3">
        <f>1668+(603.5-344)+(0+(0-0))+0-325.4-0</f>
        <v>1602.1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1817.3+(642.7-289.6)+(-3.707292+(-1.311108--0.590784))+0-330.3--0.673811999999986</f>
        <v>1836.3461960000002</v>
      </c>
      <c r="G97" s="3">
        <f>1836.6+(604-298.6)+(-2.809998+(-0.92412--0.456858))+0-329.6--0.504288000000019</f>
        <v>1809.6270280000003</v>
      </c>
      <c r="H97" s="3">
        <f>1838.2+(510.9-281.5)+(0.937482+(0.260559-0.143565))+0-334.1-0.170390999999966</f>
        <v>1734.3840849999999</v>
      </c>
      <c r="I97" s="3">
        <f>1843.6+(457.7-267.8)+(3.760944+(0.933708-0.546312))+0-333.3-0.679931999999985</f>
        <v>1703.668408</v>
      </c>
      <c r="J97" s="3">
        <f>1845.6+(392.4-264)+(-4.70628+(-1.00062--0.6732))+0-332.1--0.846854999999952</f>
        <v>1637.7131550000001</v>
      </c>
      <c r="K97" s="3">
        <f>1843.8+(265.2-230.7)+(-4.70169+(-0.67626--0.588285))+3-331.6--0.845579999999952</f>
        <v>1545.755915</v>
      </c>
      <c r="L97" s="3">
        <f>1845.4+(137.2-239.2)+(-2.823462+(-0.209916--0.365976))+0-328.8--0.503064000000019</f>
        <v>1412.4356620000001</v>
      </c>
      <c r="M97" s="3">
        <f>1838.8+(147.3-258.6)+(2.813364+(0.225369-0.395658))+0-327-0.500310000000019</f>
        <v>1402.6427649999998</v>
      </c>
      <c r="N97" s="3">
        <f>1817.5+(150.4-302.5)+(0.926925+(0.076704-0.154275))+0-333.5-0.170084999999966</f>
        <v>1332.5792690000001</v>
      </c>
      <c r="O97" s="3">
        <f>1812.9+(204.5-340.2)+(0.924579+(0.104295-0.173502))+0-333.7-0.170186999999966</f>
        <v>1344.185185</v>
      </c>
      <c r="P97" s="3">
        <f>1804.9+(327-464)+(2.761497+(0.50031-0.70992))+0-330-0.504900000000019</f>
        <v>1339.9469870000003</v>
      </c>
      <c r="Q97" s="3">
        <f>1823.7+(442.1-411.2)+(0+(0-0))+0-326.8-0</f>
        <v>1527.8000000000002</v>
      </c>
      <c r="R97" s="3">
        <f>1818.8+(660.7-412.2)+(-3.710352+(-1.347828--0.840888))+0-328.6--0.670343999999986</f>
        <v>1735.1530520000003</v>
      </c>
      <c r="S97" s="3">
        <f>1841+(813.5-408.5)+(-3.75564+(-1.65954--0.83334))+0-342.2--0.698087999999985</f>
        <v>1899.9162480000002</v>
      </c>
      <c r="T97" s="3">
        <f>1814.1+(760.3-369.9)+(0+(0-0))+0-329.9-0</f>
        <v>1874.6</v>
      </c>
      <c r="U97" s="3">
        <f>1813.1+(764.6-335.7)+(-0.924681+(-0.389946--0.171207))+0-325.4--0.165953999999967</f>
        <v>1915.6225340000001</v>
      </c>
      <c r="V97" s="3">
        <f>1813.9+(651.1-319.7)+(-2.775267+(-0.996183--0.489141))+0-328--0.501840000000019</f>
        <v>1814.5195310000001</v>
      </c>
      <c r="W97" s="3">
        <f>1818.2+(468.9-303.6)+(-4.63641+(-1.195695--0.77418))+0-329.1--0.839204999999952</f>
        <v>1650.18128</v>
      </c>
      <c r="X97" s="3">
        <f>1822.2+(153.5-309.8)+(-3.717288+(-0.31314--0.631992))+0-328.8--0.670751999999986</f>
        <v>1334.3723160000002</v>
      </c>
      <c r="Y97" s="3">
        <f>1820.1+(95.6-370)+(-3.713004+(-0.195024--0.7548))+0-329.5--0.672179999999986</f>
        <v>1213.7189519999999</v>
      </c>
      <c r="Z97" s="3">
        <f>1824.7+(298.7-366.8)+(0.930597+(0.152337-0.187068))+0-329.7-0.168146999999967</f>
        <v>1427.6277190000001</v>
      </c>
      <c r="AA97" s="3">
        <f>1845.6+(481.1-347.7)+(-0.941256+(-0.245361--0.177327))+0-326--0.166259999999967</f>
        <v>1652.15697</v>
      </c>
      <c r="AB97" s="3">
        <f>1867.5+(540.6-347.2)+(-4.762125+(-1.37853--0.88536))+0-326.1--0.831554999999953</f>
        <v>1730.3762600000002</v>
      </c>
      <c r="AC97" s="3">
        <f>1870.2+(613.3-325)+(-1.907604+(-0.625566--0.3315))+0-328.4--0.334968000000052</f>
        <v>1828.2332980000001</v>
      </c>
      <c r="AD97" s="2">
        <v>1686.4</v>
      </c>
      <c r="AE97" s="3">
        <f>1849+(505.8-344.7)+(0+(0-0))+0-323.7-0</f>
        <v>1686.3999999999999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1866.5+(621.1-304.1)+(-3.80766+(-1.267044--0.620364))+0-329--0.671159999999986</f>
        <v>1850.7168200000001</v>
      </c>
      <c r="G98" s="3">
        <f>1862.2+(635.2-356.3)+(-2.849166+(-0.971856--0.545139))+0-329.8--0.504594000000019</f>
        <v>1808.5287110000002</v>
      </c>
      <c r="H98" s="3">
        <f>1869.4+(614.4-330.4)+(-3.813576+(-1.253376--0.674016))+0-329.5--0.672179999999986</f>
        <v>1820.1792439999999</v>
      </c>
      <c r="I98" s="3">
        <f>1882.4+(516.2-318.4)+(-0.960024+(-0.263262--0.162384))+0-331.5--0.169064999999966</f>
        <v>1747.8081630000001</v>
      </c>
      <c r="J98" s="3">
        <f>1877.8+(487.5-309.1)+(-3.830712+(-0.9945--0.630564))+0-330.2--0.673607999999986</f>
        <v>1722.4789599999997</v>
      </c>
      <c r="K98" s="3">
        <f>1877.1+(333.8-280.1)+(-4.786605+(-0.85119--0.714255))+0-327.3--0.834614999999953</f>
        <v>1599.411075</v>
      </c>
      <c r="L98" s="3">
        <f>1886.1+(170.4-293.2)+(-2.885733+(-0.260712--0.448596))+0-327.2--0.500616000000019</f>
        <v>1433.902767</v>
      </c>
      <c r="M98" s="3">
        <f>1884.2+(146.9-315.8)+(1.921884+(0.149838-0.322116))+0-326.3-0.332826000000052</f>
        <v>1390.41678</v>
      </c>
      <c r="N98" s="3">
        <f>1865.2+(178.2-346.5)+(1.902504+(0.181764-0.35343))+0-327.5-0.334050000000052</f>
        <v>1370.7967879999999</v>
      </c>
      <c r="O98" s="3">
        <f>1852.4+(255.1-369.1)+(0+(0-0))+0-328.3-0</f>
        <v>1410.1000000000001</v>
      </c>
      <c r="P98" s="3">
        <f>1842.1+(308.6-367.4)+(0+(0-0))+0-326.7-0</f>
        <v>1456.6</v>
      </c>
      <c r="Q98" s="3">
        <f>1834.7+(438.6-387.9)+(1.871394+(0.447372-0.395658))+0-326.9-0.333438000000052</f>
        <v>1560.0896699999998</v>
      </c>
      <c r="R98" s="3">
        <f>1829.5+(555.5-394.5)+(2.799135+(0.849915-0.603585))+0-327.9-0.501687000000019</f>
        <v>1665.1437780000001</v>
      </c>
      <c r="S98" s="3">
        <f>1825+(761.6-365.6)+(-3.723+(-1.553664--0.745824))+0-328.8--0.670751999999986</f>
        <v>1888.3399120000001</v>
      </c>
      <c r="T98" s="3">
        <f>1821.1+(789.1-368.8)+(0.928761+(0.402441-0.188088))+0-326.9-0.166718999999967</f>
        <v>1915.4763949999999</v>
      </c>
      <c r="U98" s="3">
        <f>1822.2+(737.8-367.8)+(-4.64661+(-1.88139--0.93789))+0-324.4--0.827219999999953</f>
        <v>1863.0371099999995</v>
      </c>
      <c r="V98" s="3">
        <f>1824.3+(649.1-345.7)+(-3.721572+(-1.324164--0.705228))+0-324--0.660959999999986</f>
        <v>1800.0204519999995</v>
      </c>
      <c r="W98" s="3">
        <f>1827.9+(456.5-321.8)+(-5.593374+(-1.39689--0.984708))+0-327.3--1.00153800000004</f>
        <v>1630.2959820000001</v>
      </c>
      <c r="X98" s="3">
        <f>1833.2+(197.2-311.5)+(-5.609592+(-0.603432--0.95319))+0-324.5--0.992970000000038</f>
        <v>1390.1331360000001</v>
      </c>
      <c r="Y98" s="3">
        <f>1859.4+(118.5-417.5)+(-4.74147+(-0.302175--1.064625))+0-326.4--0.832319999999953</f>
        <v>1230.8533000000002</v>
      </c>
      <c r="Z98" s="3">
        <f>1871+(241.3-384)+(-0.95421+(-0.123063--0.19584))+0-324.9--0.165698999999967</f>
        <v>1402.684266</v>
      </c>
      <c r="AA98" s="3">
        <f>1874.8+(450.9-400.5)+(-1.912296+(-0.459918--0.40851))+0-325.9--0.332418000000052</f>
        <v>1597.6687139999999</v>
      </c>
      <c r="AB98" s="3">
        <f>1876.5+(534.3-390.7)+(-0.957015+(-0.272493--0.199257))+0-325.3--0.165902999999967</f>
        <v>1693.9356520000001</v>
      </c>
      <c r="AC98" s="3">
        <f>1878.3+(584-371.4)+(-1.915866+(-0.59568--0.378828))+0-326.9--0.333438000000052</f>
        <v>1762.2007200000003</v>
      </c>
      <c r="AD98" s="2">
        <v>1647.1000000000001</v>
      </c>
      <c r="AE98" s="3">
        <f>1871+(502.8-399.5)+(0+(0-0))+0-327.2-0</f>
        <v>1647.1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1879.9+(528.6-348.5)+(-3.834996+(-1.078344--0.71094))+0-325.1--0.663203999999986</f>
        <v>1731.3608039999999</v>
      </c>
      <c r="G99" s="3">
        <f>1881.4+(492.2-324.4)+(-1.919028+(-0.502044--0.330888))+0-326.8--0.333336000000052</f>
        <v>1720.6431520000006</v>
      </c>
      <c r="H99" s="3">
        <f>1886.1+(459.8-324.9)+(-3.847644+(-0.937992--0.662796))+0-327.9--0.668915999999986</f>
        <v>1689.646076</v>
      </c>
      <c r="I99" s="3">
        <f>1888.2+(411.7-311.8)+(-4.81491+(-1.049835--0.79509))+0-328.6--0.837929999999952</f>
        <v>1655.2682749999997</v>
      </c>
      <c r="J99" s="3">
        <f>1888.4+(354.2-291.4)+(1.926168+(0.361284-0.297228))+0-330.8-0.337416000000053</f>
        <v>1622.0528079999999</v>
      </c>
      <c r="K99" s="3">
        <f>1890+(241.2-257.4)+(-4.8195+(-0.61506--0.65637))+0-330.5--0.842774999999952</f>
        <v>1539.3645849999998</v>
      </c>
      <c r="L99" s="3">
        <f>1887.3+(95.5-243.8)+(-4.812615+(-0.243525--0.62169))+0-329.4--0.839969999999952</f>
        <v>1406.0055200000002</v>
      </c>
      <c r="M99" s="3">
        <f>1885.4+(63.4-262)+(1.923108+(0.064668-0.26724))+0-327.6-0.334152000000052</f>
        <v>1360.586384</v>
      </c>
      <c r="N99" s="3">
        <f>1881.8+(74.2-302.1)+(0.959718+(0.037842-0.154071))+0-328.6-0.167585999999967</f>
        <v>1325.975903</v>
      </c>
      <c r="O99" s="3">
        <f>1871.1+(146.6-341.1)+(-0.954261+(-0.074766--0.173961))+0-328.6--0.167585999999967</f>
        <v>1347.3125199999999</v>
      </c>
      <c r="P99" s="3">
        <f>1856.6+(207.3-352)+(0.946866+(0.105723-0.17952))+0-331.7-0.169166999999966</f>
        <v>1380.9039019999998</v>
      </c>
      <c r="Q99" s="3">
        <f>1847.9+(340.8-412.6)+(-2.827287+(-0.521424--0.631278))+0-330.7--0.505971000000019</f>
        <v>1443.1885380000001</v>
      </c>
      <c r="R99" s="3">
        <f>1835.3+(598.4-445.3)+(-1.872006+(-0.610368--0.454206))+0-328.7--0.335274000000052</f>
        <v>1658.0071059999998</v>
      </c>
      <c r="S99" s="3">
        <f>1832.4+(698.8-390.3)+(-6.541668+(-2.494716--1.393371))+0-326.8--1.166676</f>
        <v>1807.6236630000003</v>
      </c>
      <c r="T99" s="3">
        <f>1829.9+(722.8-359.6)+(-0.933249+(-0.368628--0.183396))+0-325.4--0.165953999999967</f>
        <v>1866.7474729999999</v>
      </c>
      <c r="U99" s="3">
        <f>1830.1+(686.8-340.1)+(0+(0-0))+0-324.5-0</f>
        <v>1852.2999999999997</v>
      </c>
      <c r="V99" s="3">
        <f>1832.6+(573.5-329.7)+(-2.803878+(-0.877455--0.504441))+0-325.4--0.497862000000019</f>
        <v>1748.32097</v>
      </c>
      <c r="W99" s="3">
        <f>1840.2+(368.4-326.8)+(-3.754008+(-0.751536--0.666672))+0-327.3--0.667691999999986</f>
        <v>1551.32882</v>
      </c>
      <c r="X99" s="3">
        <f>1849.4+(139.3-348.4)+(-2.829582+(-0.213129--0.533052))+0-326.2--0.499086000000019</f>
        <v>1312.0894270000001</v>
      </c>
      <c r="Y99" s="3">
        <f>1853.1+(73.1-399.3)+(-1.890162+(-0.074562--0.407286))+0-325.2--0.331704000000052</f>
        <v>1200.4742659999997</v>
      </c>
      <c r="Z99" s="3">
        <f>1861.5+(248.9-376.2)+(-0.949365+(-0.126939--0.191862))+0-328.8--0.167687999999967</f>
        <v>1404.6832460000001</v>
      </c>
      <c r="AA99" s="3">
        <f>1864.2+(436.8-390.2)+(-2.852226+(-0.668304--0.597006))+0-328.7--0.502911000000019</f>
        <v>1579.6793870000001</v>
      </c>
      <c r="AB99" s="3">
        <f>1875.9+(497.2-378.7)+(-3.826836+(-1.014288--0.772548))+0-326--0.665039999999986</f>
        <v>1664.9964640000003</v>
      </c>
      <c r="AC99" s="3">
        <f>1880.3+(532.9-361.5)+(-1.917906+(-0.543558--0.36873))+0-322.8--0.329256000000052</f>
        <v>1727.136522</v>
      </c>
      <c r="AD99" s="2">
        <v>1582.0000000000002</v>
      </c>
      <c r="AE99" s="3">
        <f>1867+(438.3-396.1)+(0+(0-0))+0-327.2-0</f>
        <v>1582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1805.4+(611.7-330.4)+(-0.920754+(-0.311967--0.168504))+0-324.7--0.165596999999967</f>
        <v>1761.1013800000001</v>
      </c>
      <c r="G100" s="3">
        <f>1644.6+(700.4-297.5)+(-2.516238+(-1.071612--0.455175))+0-325.8--0.498474000000019</f>
        <v>1719.065799</v>
      </c>
      <c r="H100" s="3">
        <f>1645.9+(697.3-337.5)+(-2.518227+(-1.066869--0.516375))+0-327.5--0.501075000000019</f>
        <v>1675.6323540000001</v>
      </c>
      <c r="I100" s="3">
        <f>1656.5+(647.8-328.9)+(0+(0-0))+0-331.1-0</f>
        <v>1644.3000000000002</v>
      </c>
      <c r="J100" s="3">
        <f>1658.8+(587.9-316.9)+(-4.22994+(-1.499145--0.808095))+0-329.1--0.839204999999952</f>
        <v>1596.6182149999997</v>
      </c>
      <c r="K100" s="3">
        <f>1764.5+(347.9-293.3)+(-3.59958+(-0.709716--0.598332))+0-328.4--0.669935999999986</f>
        <v>1487.6589719999999</v>
      </c>
      <c r="L100" s="3">
        <f>1885.8+(81.3-300.4)+(-2.885274+(-0.124389--0.459612))+0-326.7--0.499851000000019</f>
        <v>1337.9498000000001</v>
      </c>
      <c r="M100" s="3">
        <f>1882.6+(60.5-319.5)+(1.920252+(0.06171-0.32589))+0-324.8-0.331296000000052</f>
        <v>1300.1247759999999</v>
      </c>
      <c r="N100" s="3">
        <f>1866.2+(88-345.5)+(1.903524+(0.08976-0.35241))+0-328.1-0.334662000000052</f>
        <v>1281.9062120000001</v>
      </c>
      <c r="O100" s="3">
        <f>1854.6+(166-394)+(-1.891692+(-0.16932--0.40188))+0-329.9--0.336498000000053</f>
        <v>1295.3773660000002</v>
      </c>
      <c r="P100" s="3">
        <f>1842.6+(239-543)+(0+(0-0))+0-327-0</f>
        <v>1211.5999999999999</v>
      </c>
      <c r="Q100" s="3">
        <f>1844.5+(283.1-409.9)+(2.822085+(0.433143-0.627147))+0-324-0.495720000000019</f>
        <v>1395.832361</v>
      </c>
      <c r="R100" s="3">
        <f>1841.9+(461.6-428.3)+(-0.939369+(-0.235416--0.218433))+0-323.1--0.164780999999967</f>
        <v>1551.3084290000002</v>
      </c>
      <c r="S100" s="3">
        <f>1841.1+(602.6-410.2)+(-1.877922+(-0.614652--0.418404))+0-322--0.328440000000051</f>
        <v>1709.7542699999999</v>
      </c>
      <c r="T100" s="3">
        <f>1841.8+(643.5-396.8)+(-0.939318+(-0.328185--0.202368))+0-321.9--0.164168999999967</f>
        <v>1765.699034</v>
      </c>
      <c r="U100" s="3">
        <f>1841.9+(656.4-383.6)+(2.818107+(1.004292-0.586908))+0-320.7-0.490671000000019</f>
        <v>1796.7448199999997</v>
      </c>
      <c r="V100" s="3">
        <f>1839.8+(614.7-346.7)+(-1.876596+(-0.626994--0.353634))+0-319.8--0.326196000000051</f>
        <v>1786.17624</v>
      </c>
      <c r="W100" s="3">
        <f>1871.2+(337.8-329.3)+(-2.862936+(-0.516834--0.503829))+0-321--0.491130000000019</f>
        <v>1556.3151890000001</v>
      </c>
      <c r="X100" s="3">
        <f>1873.4+(176-318.3)+(-5.732604+(-0.53856--0.973998))+0-321.9--0.985014000000037</f>
        <v>1404.8878480000001</v>
      </c>
      <c r="Y100" s="3">
        <f>1876.4+(92.9-377.6)+(-3.827856+(-0.189516--0.770304))+0-322.7--0.658307999999986</f>
        <v>1266.4112400000001</v>
      </c>
      <c r="Z100" s="3">
        <f>1873.9+(274.2-361.2)+(1.911378+(0.279684-0.368424))+0-326.2-0.332724000000052</f>
        <v>1462.189914</v>
      </c>
      <c r="AA100" s="3">
        <f>1869.3+(400.4-401.5)+(-1.906686+(-0.408408--0.40953))+0-325--0.331500000000052</f>
        <v>1541.6259359999999</v>
      </c>
      <c r="AB100" s="3">
        <f>1867.5+(512.5-377.1)+(0.952425+(0.261375-0.192321))+0-325-0.165749999999967</f>
        <v>1678.7557290000002</v>
      </c>
      <c r="AC100" s="3">
        <f>1863.7+(566.4-354.6)+(0+(0-0))+0-321.9-0</f>
        <v>1753.6</v>
      </c>
      <c r="AD100" s="2">
        <v>1686.6999999999998</v>
      </c>
      <c r="AE100" s="3">
        <f>1861+(520.1-373.7)+(0+(0-0))+0-320.7-0</f>
        <v>1686.7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1861.5+(534-333)+(0.949365+(0.27234-0.16983))+0-322.2-0.164321999999967</f>
        <v>1741.1875530000002</v>
      </c>
      <c r="G101" s="3">
        <f>1861.2+(472.8-312.8)+(1.898424+(0.482256-0.319056))+0-323.5-0.329970000000052</f>
        <v>1699.431654</v>
      </c>
      <c r="H101" s="3">
        <f>1863+(452.1-278.7)+(0+(0-0))+0-327.4-0</f>
        <v>1709</v>
      </c>
      <c r="I101" s="3">
        <f>1866.1+(461.8-278.3)+(0.951711+(0.235518-0.141933))+0-326.3-0.166412999999967</f>
        <v>1724.1788829999998</v>
      </c>
      <c r="J101" s="3">
        <f>1869.4+(415.1-279.2)+(0.953394+(0.211701-0.142392))+0-325.4-0.165953999999967</f>
        <v>1680.7567490000001</v>
      </c>
      <c r="K101" s="3">
        <f>1872.6+(304.5-245.8)+(-1.910052+(-0.31059--0.250716))+0-324.4--0.330888000000052</f>
        <v>1605.2609619999998</v>
      </c>
      <c r="L101" s="3">
        <f>1876.9+(67.4-238.4)+(-1.914438+(-0.068748--0.243168))+0-324.4--0.330888000000052</f>
        <v>1380.09087</v>
      </c>
      <c r="M101" s="3">
        <f>1868.7+(56.3-278.2)+(2.859111+(0.086139-0.425646))+0-322.3-0.493119000000019</f>
        <v>1326.5264850000003</v>
      </c>
      <c r="N101" s="3">
        <f>1860.6+(86.2-348)+(4.74453+(0.21981-0.8874))+0-323-0.823649999999953</f>
        <v>1279.0532899999998</v>
      </c>
      <c r="O101" s="3">
        <f>1853.2+(135.8-401.8)+(3.780528+(0.277032-0.819672))+0-323.4-0.659735999999986</f>
        <v>1266.3781520000002</v>
      </c>
      <c r="P101" s="3">
        <f>1846.2+(205.9-371)+(3.766248+(0.420036-0.75684))+0-323.4-0.659735999999986</f>
        <v>1360.4697080000001</v>
      </c>
      <c r="Q101" s="3">
        <f>1834.2+(281.5-356)+(2.806326+(0.430695-0.54468))+0-322.2-0.492966000000019</f>
        <v>1439.6993749999999</v>
      </c>
      <c r="R101" s="3">
        <f>1818.3+(491.2-378.4)+(3.709332+(1.002048-0.771936))+0-322.9-0.658715999999986</f>
        <v>1611.480728</v>
      </c>
      <c r="S101" s="3">
        <f>1814.9+(587.1-383.7)+(-4.627995+(-1.497105--0.978435))+0-321.2--0.819059999999953</f>
        <v>1692.7723950000002</v>
      </c>
      <c r="T101" s="3">
        <f>1767.8+(774.2-355.9)+(0+(0-0))+0-320.6-0</f>
        <v>1865.5</v>
      </c>
      <c r="U101" s="3">
        <f>1735.6+(724.9-350.3)+(0+(0-0))+0-320.8-0</f>
        <v>1789.3999999999999</v>
      </c>
      <c r="V101" s="3">
        <f>1732.7+(649.3-325.9)+(0+(0-0))+0-324.2-0</f>
        <v>1731.8999999999999</v>
      </c>
      <c r="W101" s="3">
        <f>1734+(393.6-297.4)+(-3.53736+(-0.802944--0.606696))+0-325--0.662999999999986</f>
        <v>1502.1293920000001</v>
      </c>
      <c r="X101" s="3">
        <f>1744.7+(166-301.7)+(-5.338782+(-0.50796--0.923202))+0-325.6--0.996336000000038</f>
        <v>1279.4727959999998</v>
      </c>
      <c r="Y101" s="3">
        <f>1753.6+(123.2-354.3)+(-3.577344+(-0.251328--0.722772))+0-322.7--0.658307999999986</f>
        <v>1197.352408</v>
      </c>
      <c r="Z101" s="3">
        <f>1766.1+(284.1-363.7)+(1.801422+(0.289782-0.370974))+0-323.2-0.329664000000052</f>
        <v>1364.6905659999998</v>
      </c>
      <c r="AA101" s="3">
        <f>1772.9+(455.7-364)+(-6.329253+(-1.626849--1.29948))+0-321.5--1.147755</f>
        <v>1537.5911330000001</v>
      </c>
      <c r="AB101" s="3">
        <f>1764.2+(516.9-358.6)+(-2.699226+(-0.790857--0.548658))+0-321--0.491130000000019</f>
        <v>1599.0497050000001</v>
      </c>
      <c r="AC101" s="3">
        <f>1631.5+(631.8-336.2)+(-3.32826+(-1.288872--0.685848))+0-324.5--0.661979999999986</f>
        <v>1599.330696</v>
      </c>
      <c r="AD101" s="2">
        <v>1632.3999999999996</v>
      </c>
      <c r="AE101" s="3">
        <f>1774+(533.7-355.2)+(0+(0-0))+0-320.1-0</f>
        <v>1632.4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1622+(720.5-295.1)+(1.65444+(0.73491-0.301002))+0-324.6-0.331092000000052</f>
        <v>1724.5572560000003</v>
      </c>
      <c r="G102" s="3">
        <f>1624.5+(687.3-266.2)+(-3.31398+(-1.402092--0.543048))+0-323.2--0.659327999999986</f>
        <v>1718.8863039999999</v>
      </c>
      <c r="H102" s="3">
        <f>1627.6+(631.1-237)+(-2.490228+(-0.965583--0.36261))+0-322.7--0.493731000000019</f>
        <v>1696.4005299999999</v>
      </c>
      <c r="I102" s="3">
        <f>1631.6+(589.8-215.9)+(-1.664232+(-0.601596--0.220218))+0-321.9--0.328338000000051</f>
        <v>1681.8827280000003</v>
      </c>
      <c r="J102" s="3">
        <f>1635+(501.2-198.9)+(-1.6677+(-0.511224--0.202878))+0-321.6--0.328032000000051</f>
        <v>1614.0519860000002</v>
      </c>
      <c r="K102" s="3">
        <f>1632.2+(377.7-186.4)+(-2.497266+(-0.577881--0.285192))+0-323.3--0.494649000000019</f>
        <v>1497.9046940000001</v>
      </c>
      <c r="L102" s="3">
        <f>1634.2+(284.1-214.4)+(-4.16721+(-0.724455--0.54672))+0-323.3--0.824414999999953</f>
        <v>1377.0794700000001</v>
      </c>
      <c r="M102" s="3">
        <f>1633.6+(247.4-238.4)+(-0.833136+(-0.126174--0.121584))+0-322.1--0.164270999999967</f>
        <v>1319.8265449999997</v>
      </c>
      <c r="N102" s="3">
        <f>1530.2+(342.1-228.6)+(-1.560804+(-0.348942--0.233172))+0-323.4--0.329868000000052</f>
        <v>1318.9532940000001</v>
      </c>
      <c r="O102" s="3">
        <f>1589.7+(300.8-278.5)+(-2.432241+(-0.460224--0.426105))+0-323.7--0.495261000000019</f>
        <v>1286.3289010000001</v>
      </c>
      <c r="P102" s="3">
        <f>1586.5+(338.7-330.9)+(0+(0-0))+0-322.3-0</f>
        <v>1272</v>
      </c>
      <c r="Q102" s="3">
        <f>1561.9+(521.6-365.2)+(1.593138+(0.532032-0.372504))+0-322.6-0.329052000000051</f>
        <v>1397.1236140000001</v>
      </c>
      <c r="R102" s="3">
        <f>1568.6+(571.7-353)+(0.799986+(0.291567-0.18003))+0-323.2-0.164831999999967</f>
        <v>1464.846691</v>
      </c>
      <c r="S102" s="3">
        <f>1558.9+(771-314.3)+(0.795039+(0.39321-0.160293))+0-324.8-0.165647999999967</f>
        <v>1691.6623080000002</v>
      </c>
      <c r="T102" s="3">
        <f>1549.8+(874.3-315.9)+(-0.790398+(-0.445893--0.161109))+0-323.9--0.165188999999967</f>
        <v>1783.3900069999997</v>
      </c>
      <c r="U102" s="3">
        <f>1425+(972.3-289.4)+(-0.72675+(-0.495873--0.147594))+0-322--0.164219999999967</f>
        <v>1784.9891909999999</v>
      </c>
      <c r="V102" s="3">
        <f>1432+(791.4-266.4)+(0.73032+(0.403614-0.135864))+0-320.4-0.163403999999967</f>
        <v>1637.4346660000001</v>
      </c>
      <c r="W102" s="3">
        <f>1541.2+(484-273.1)+(-3.93006+(-1.2342--0.696405))+0-321.6--0.820079999999953</f>
        <v>1426.8522249999996</v>
      </c>
      <c r="X102" s="3">
        <f>1539.1+(225.4-248.7)+(-3.924705+(-0.57477--0.634185))+0-322.8--0.823139999999953</f>
        <v>1189.95785</v>
      </c>
      <c r="Y102" s="3">
        <f>1548.1+(139.9-271)+(-0.789531+(-0.071349--0.13821))+0-322.7--0.164576999999967</f>
        <v>1093.7419069999999</v>
      </c>
      <c r="Z102" s="3">
        <f>1565.1+(491-347)+(-1.596402+(-0.50082--0.35394))+0-324.1--0.330582000000052</f>
        <v>1383.5873000000001</v>
      </c>
      <c r="AA102" s="3">
        <f>1573.8+(605.5-334.2)+(-4.01319+(-1.544025--0.85221))+0-322.8--0.823139999999953</f>
        <v>1518.4181349999999</v>
      </c>
      <c r="AB102" s="3">
        <f>1576+(758.6-318.5)+(-0.80376+(-0.386886--0.162435))+0-322.7--0.164576999999967</f>
        <v>1692.5363659999998</v>
      </c>
      <c r="AC102" s="3">
        <f>1577.8+(790.9-305.4)+(-2.414034+(-1.210077--0.467262))+0-321--0.491130000000019</f>
        <v>1739.6342810000003</v>
      </c>
      <c r="AD102" s="2">
        <v>1709.1999999999998</v>
      </c>
      <c r="AE102" s="3">
        <f>1567+(783.2-317.9)+(0+(0-0))+0-323.1-0</f>
        <v>1709.2000000000003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1580.9+(781.1-290.5)+(0+(0-0))+0-319.8-0</f>
        <v>1751.7</v>
      </c>
      <c r="G103" s="3">
        <f>1582.5+(805.5-289.6)+(-0.807075+(-0.410805--0.147696))+0-320.2--0.163301999999968</f>
        <v>1777.2931179999998</v>
      </c>
      <c r="H103" s="3">
        <f>1585.3+(761.6-294.1)+(0.808503+(0.388416-0.149991))+0-320.9-0.163658999999967</f>
        <v>1732.7832690000002</v>
      </c>
      <c r="I103" s="3">
        <f>1588.4+(703-296.3)+(0+(0-0))+0-322.9-0</f>
        <v>1672.2000000000003</v>
      </c>
      <c r="J103" s="3">
        <f>1590.5+(636.3-295.7)+(-1.62231+(-0.649026--0.301614))+0-324.8--0.331296000000052</f>
        <v>1604.661574</v>
      </c>
      <c r="K103" s="3">
        <f>1593.1+(506.3-260)+(-4.062405+(-1.291065--0.663))+0-324.8--0.828239999999953</f>
        <v>1510.73777</v>
      </c>
      <c r="L103" s="3">
        <f>1594.6+(381-228)+(0+(0-0))+0-321.6-0</f>
        <v>1426</v>
      </c>
      <c r="M103" s="3">
        <f>1592.1+(356.7-251.4)+(1.623942+(0.363834-0.256428))+0-320.9-0.327318000000051</f>
        <v>1377.9040299999997</v>
      </c>
      <c r="N103" s="3">
        <f>1577.2+(418.9-282.7)+(1.608744+(0.427278-0.288354))+0-324.7-0.331194000000052</f>
        <v>1390.1164739999999</v>
      </c>
      <c r="O103" s="3">
        <f>1564.8+(380.7-270.6)+(0+(0-0))+0-327.2-0</f>
        <v>1347.6999999999998</v>
      </c>
      <c r="P103" s="3">
        <f>1552.7+(444.3-294.2)+(2.375631+(0.679779-0.450126))+0-328.3-0.502299000000019</f>
        <v>1376.6029850000002</v>
      </c>
      <c r="Q103" s="3">
        <f>1544.3+(614.4-309.9)+(0+(0-0))+0-328.2-0</f>
        <v>1520.6</v>
      </c>
      <c r="R103" s="3">
        <f>1535.4+(723.7-340.8)+(-0.783054+(-0.369087--0.173808))+0-322.6--0.164525999999967</f>
        <v>1594.8861930000003</v>
      </c>
      <c r="S103" s="3">
        <f>1526.2+(902.7-344.2)+(0.778362+(0.460377-0.175542))+0-324.6-0.165545999999967</f>
        <v>1760.9976509999999</v>
      </c>
      <c r="T103" s="3">
        <f>1529+(1043.3-326)+(-1.55958+(-1.064166--0.33252))+0-322.9--0.329358000000051</f>
        <v>1921.4381320000002</v>
      </c>
      <c r="U103" s="3">
        <f>1597.2+(894.1-309.9)+(-1.629144+(-0.911982--0.316098))+0-322.2--0.328644000000051</f>
        <v>1857.3036160000001</v>
      </c>
      <c r="V103" s="3">
        <f>1608+(840.4-272.9)+(-0.82008+(-0.428604--0.139179))+0-324.6--0.165545999999967</f>
        <v>1849.9560410000001</v>
      </c>
      <c r="W103" s="3">
        <f>1609.8+(584.7-274.7)+(-3.283992+(-1.192788--0.560388))+0-326.8--0.666671999999986</f>
        <v>1589.75028</v>
      </c>
      <c r="X103" s="3">
        <f>1613.1+(286-246)+(-2.468043+(-0.43758--0.37638))+0-326--0.498780000000019</f>
        <v>1325.0695370000001</v>
      </c>
      <c r="Y103" s="3">
        <f>1624.2+(179.6-246.7)+(-1.656684+(-0.183192--0.251634))+0-322.7--0.329154000000051</f>
        <v>1233.1409120000001</v>
      </c>
      <c r="Z103" s="3">
        <f>1642+(515.2-305.4)+(1.67484+(0.525504-0.311508))+0-323.3-0.329766000000052</f>
        <v>1530.0590700000002</v>
      </c>
      <c r="AA103" s="3">
        <f>1649.9+(669.9-315.6)+(-3.365796+(-1.366596--0.643824))+0-322.4--0.657695999999986</f>
        <v>1678.369128</v>
      </c>
      <c r="AB103" s="3">
        <f>1656.8+(730.9-310.6)+(-4.22484+(-1.863795--0.79203))+0-324.2--0.826709999999953</f>
        <v>1748.4301049999999</v>
      </c>
      <c r="AC103" s="3">
        <f>1670.3+(766.9-293.1)+(-3.407412+(-1.564476--0.597924))+0-324.6--0.662183999999986</f>
        <v>1815.7882200000001</v>
      </c>
      <c r="AD103" s="2">
        <v>1752.1</v>
      </c>
      <c r="AE103" s="3">
        <f>1650+(727.7-303.1)+(0+(0-0))+0-322.5-0</f>
        <v>1752.1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1694.1+(729.4-264.1)+(0+(0-0))+0-324.5-0</f>
        <v>1834.8999999999996</v>
      </c>
      <c r="G104" s="3">
        <f>1719.3+(675.7-286.5)+(-5.261058+(-2.067642--0.87669))+0-324--0.991440000000037</f>
        <v>1779.03943</v>
      </c>
      <c r="H104" s="3">
        <f>1730.4+(714.6-317)+(-3.530016+(-1.457784--0.64668))+0-324.3--0.661571999999986</f>
        <v>1800.020452</v>
      </c>
      <c r="I104" s="3">
        <f>1728.6+(596.7-312.5)+(-4.40793+(-1.521585--0.796875))+0-323.7--0.825434999999953</f>
        <v>1684.7927949999998</v>
      </c>
      <c r="J104" s="3">
        <f>1745.5+(506.1-304.3)+(-5.34123+(-1.548666--0.931158))+0-323.2--0.988992000000037</f>
        <v>1619.1302539999999</v>
      </c>
      <c r="K104" s="3">
        <f>1753.7+(360.2-269)+(-3.577548+(-0.734808--0.54876))+0-324.8--0.662591999999986</f>
        <v>1516.998996</v>
      </c>
      <c r="L104" s="3">
        <f>1751.5+(193.5-256.8)+(-4.466325+(-0.493425--0.65484))+0-322.9--0.823394999999953</f>
        <v>1361.8184849999998</v>
      </c>
      <c r="M104" s="3">
        <f>1761.3+(148.8-271.4)+(2.694789+(0.227664-0.415242))+0-321.9-0.492507000000019</f>
        <v>1318.8147040000003</v>
      </c>
      <c r="N104" s="3">
        <f>1764.8+(169.9-307.1)+(2.700144+(0.259947-0.469863))+0-324.6-0.496638000000019</f>
        <v>1304.9935899999996</v>
      </c>
      <c r="O104" s="3">
        <f>1752.8+(216.4-331.3)+(1.787856+(0.220728-0.337926))+0-324.3-0.330786000000052</f>
        <v>1314.9398719999999</v>
      </c>
      <c r="P104" s="3">
        <f>1738.6+(305.1-359.1)+(0+(0-0))+0-324.8-0</f>
        <v>1359.8</v>
      </c>
      <c r="Q104" s="3">
        <f>1738.5+(422.9-381.4)+(4.433175+(1.078395-0.97257))+0-325.9-0.831044999999953</f>
        <v>1457.8079550000002</v>
      </c>
      <c r="R104" s="3">
        <f>1735.6+(605.9-402.3)+(0.885156+(0.309009-0.205173))+0-324.4-0.165443999999967</f>
        <v>1615.6235479999998</v>
      </c>
      <c r="S104" s="3">
        <f>1733.8+(754.7-395.8)+(-1.768476+(-0.769794--0.403716))+0-321.5--0.327930000000051</f>
        <v>1769.3933759999998</v>
      </c>
      <c r="T104" s="3">
        <f>1750.6+(784.6-386.4)+(-1.785612+(-0.800292--0.394128))+0-320.4--0.326808000000051</f>
        <v>1826.535032</v>
      </c>
      <c r="U104" s="3">
        <f>1746.8+(782.9-374)+(-4.45434+(-1.996395--0.9537))+0-322.6--0.822629999999953</f>
        <v>1828.4255949999999</v>
      </c>
      <c r="V104" s="3">
        <f>1744.7+(692.4-353.2)+(-0.889797+(-0.353124--0.180132))+0-324--0.165239999999967</f>
        <v>1759.0024510000001</v>
      </c>
      <c r="W104" s="3">
        <f>1750.7+(517.8-319.2)+(-3.571428+(-1.056312--0.651168))+0-324.3--0.661571999999986</f>
        <v>1621.6849999999999</v>
      </c>
      <c r="X104" s="3">
        <f>1756.3+(195.1-319.3)+(-2.687139+(-0.298503--0.488529))+0-323.1--0.494343000000019</f>
        <v>1306.9972300000002</v>
      </c>
      <c r="Y104" s="3">
        <f>1764.3+(138.5-367.2)+(-4.498965+(-0.353175--0.93636))+0-324.1--0.826454999999953</f>
        <v>1208.4106749999996</v>
      </c>
      <c r="Z104" s="3">
        <f>1779.9+(347.5-381.3)+(0+(0-0))+0-325.6-0</f>
        <v>1420.5</v>
      </c>
      <c r="AA104" s="3">
        <f>1797.6+(512.9-387.9)+(-4.58388+(-1.307895--0.989145))+0-324.1--0.826454999999953</f>
        <v>1594.4238249999999</v>
      </c>
      <c r="AB104" s="3">
        <f>1801+(580-372.7)+(-1.83702+(-0.5916--0.380154))+0-325.3--0.331806000000052</f>
        <v>1681.2833400000002</v>
      </c>
      <c r="AC104" s="3">
        <f>1724.1+(731.1-363.8)+(-1.758582+(-0.745722--0.371076))+0-324.7--0.331194000000052</f>
        <v>1764.897966</v>
      </c>
      <c r="AD104" s="2">
        <v>1579.5</v>
      </c>
      <c r="AE104" s="3">
        <f>1795+(500.3-386.2)+(0+(0-0))+0-329.6-0</f>
        <v>1579.5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1632.8+(825.2-342.9)+(-4.16364+(-2.10426--0.874395))+0-327.2--0.834359999999952</f>
        <v>1783.3408549999999</v>
      </c>
      <c r="G105" s="3">
        <f>1634.8+(757.5-319.5)+(-3.334992+(-1.5453--0.65178))+0-330.6--0.674423999999986</f>
        <v>1738.6459120000002</v>
      </c>
      <c r="H105" s="3">
        <f>1636.8+(693.4-299.9)+(-2.504304+(-1.060902--0.458847))+0-328.7--0.502911000000019</f>
        <v>1698.9965519999998</v>
      </c>
      <c r="I105" s="3">
        <f>1640.3+(646.7-284.6)+(-3.346212+(-1.319268--0.580584))+0-329.2--0.671567999999986</f>
        <v>1669.786672</v>
      </c>
      <c r="J105" s="3">
        <f>1642.3+(598.9-271.5)+(-4.187865+(-1.527195--0.692325))+0-325.5--0.830024999999953</f>
        <v>1640.0072899999998</v>
      </c>
      <c r="K105" s="3">
        <f>1639+(511.6-278.9)+(-4.17945+(-1.30458--0.711195))+0-326--0.831299999999953</f>
        <v>1541.7584650000001</v>
      </c>
      <c r="L105" s="3">
        <f>1644.7+(388.5-278.1)+(-0.838797+(-0.198135--0.141831))+0-324.2--0.165341999999967</f>
        <v>1430.1702409999998</v>
      </c>
      <c r="M105" s="3">
        <f>1642.2+(369.5-302.5)+(1.675044+(0.37689-0.30855))+0-326.6-0.333132000000052</f>
        <v>1384.0102520000003</v>
      </c>
      <c r="N105" s="3">
        <f>1632.8+(394-345.4)+(0+(0-0))+0-327.1-0</f>
        <v>1354.3000000000002</v>
      </c>
      <c r="O105" s="3">
        <f>1609.2+(514.7-387.9)+(-4.10346+(-1.312485--0.989145))+0-324--0.826199999999953</f>
        <v>1408.3994</v>
      </c>
      <c r="P105" s="3">
        <f>1601.5+(530.9-398)+(0+(0-0))+0-326-0</f>
        <v>1408.4</v>
      </c>
      <c r="Q105" s="3">
        <f>1593+(634.3-333.8)+(-1.62486+(-0.646986--0.340476))+0-327--0.333540000000052</f>
        <v>1564.9021700000001</v>
      </c>
      <c r="R105" s="3">
        <f>1576.5+(754.2-328.5)+(0+(0-0))+0-327-0</f>
        <v>1675.2</v>
      </c>
      <c r="S105" s="3">
        <f>1561.9+(920-324.2)+(-1.593138+(-0.9384--0.330684))+0-325--0.331500000000052</f>
        <v>1830.8306459999997</v>
      </c>
      <c r="T105" s="3">
        <f>1557.3+(977.2-272)+(-2.382669+(-1.495116--0.41616))+0-324--0.495720000000019</f>
        <v>1935.5340950000002</v>
      </c>
      <c r="U105" s="3">
        <f>1545.7+(985.9-270.1)+(1.576614+(1.005618-0.275502))+0-323-0.329460000000051</f>
        <v>1940.4772699999996</v>
      </c>
      <c r="V105" s="3">
        <f>1541.7+(917.9-271.9)+(-0.786267+(-0.468129--0.138669))+0-326--0.166259999999967</f>
        <v>1860.7505329999999</v>
      </c>
      <c r="W105" s="3">
        <f>1592.8+(651.2-270.9)+(-5.686296+(-2.324784--0.967113))+0-325--1.16025</f>
        <v>1642.2162829999997</v>
      </c>
      <c r="X105" s="3">
        <f>1667.5+(272.9-264.2)+(-5.952975+(-0.974253--0.943194))+0-323--1.15311</f>
        <v>1348.3690759999999</v>
      </c>
      <c r="Y105" s="3">
        <f>1687+(206-333.1)+(-1.72074+(-0.21012--0.339762))+0-325--0.331500000000052</f>
        <v>1233.640402</v>
      </c>
      <c r="Z105" s="3">
        <f>1711.7+(398-334.4)+(0+(0-0))+0-325-0</f>
        <v>1450.3000000000002</v>
      </c>
      <c r="AA105" s="3">
        <f>1802.9+(499.8-350.7)+(-1.838958+(-0.509796--0.357714))+0-324--0.330480000000052</f>
        <v>1626.33944</v>
      </c>
      <c r="AB105" s="3">
        <f>1834.9+(562.6-349.3)+(-1.871598+(-0.573852--0.356286))+0-324--0.330480000000052</f>
        <v>1722.4413160000004</v>
      </c>
      <c r="AC105" s="3">
        <f>1854.5+(584.5-337.6)+(0+(0-0))+0-322-0</f>
        <v>1779.4</v>
      </c>
      <c r="AD105" s="2">
        <v>1714</v>
      </c>
      <c r="AE105" s="3">
        <f>1835+(549-349)+(0+(0-0))+0-321-0</f>
        <v>1714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1855.5+(660.4-316.1)+(0.946305+(0.336804-0.161211))+0-322-0.164219999999967</f>
        <v>1878.7576780000002</v>
      </c>
      <c r="G106" s="3">
        <f>1858.2+(645.6-333.5)+(0+(0-0))+0-323-0</f>
        <v>1847.3000000000002</v>
      </c>
      <c r="H106" s="3">
        <f>1869.7+(537.6-321.9)+(0+(0-0))+0-323-0</f>
        <v>1762.4</v>
      </c>
      <c r="I106" s="3">
        <f>1865.7+(501.9-308.1)+(0+(0-0))+0-325-0</f>
        <v>1734.5</v>
      </c>
      <c r="J106" s="3">
        <f>1865.8+(465-299.5)+(-2.854674+(-0.71145--0.458235))+0-322--0.492660000000019</f>
        <v>1706.684771</v>
      </c>
      <c r="K106" s="3">
        <f>1874.5+(391-324)+(-1.91199+(-0.39882--0.33048))+0-326--0.332520000000052</f>
        <v>1613.8521900000001</v>
      </c>
      <c r="L106" s="3">
        <f>1875+(205.6-301.5)+(-3.825+(-0.419424--0.61506))+0-324--0.660959999999986</f>
        <v>1452.1315959999999</v>
      </c>
      <c r="M106" s="3">
        <f>1874.6+(158.6-314.1)+(0+(0-0))+0-323-0</f>
        <v>1396.1</v>
      </c>
      <c r="N106" s="3">
        <f>1863.9+(188.1-357.3)+(1.901178+(0.191862-0.364446))+0-322.5-0.328950000000051</f>
        <v>1373.5996439999999</v>
      </c>
      <c r="O106" s="3">
        <f>1853.9+(241.1-354)+(-3.781956+(-0.491844--0.72216))+0-320.8--0.654431999999986</f>
        <v>1417.3027920000002</v>
      </c>
      <c r="P106" s="3">
        <f>1835.9+(323.2-373.9)+(-0.936309+(-0.164832--0.190689))+0-321.9--0.164168999999967</f>
        <v>1462.553717</v>
      </c>
      <c r="Q106" s="3">
        <f>1822.4+(522.1-377.5)+(-0.929424+(-0.266271--0.192525))+0-321.3--0.163862999999967</f>
        <v>1644.8606930000001</v>
      </c>
      <c r="R106" s="3">
        <f>1818+(650.9-366.5)+(0+(0-0))+0-320.7-0</f>
        <v>1781.7</v>
      </c>
      <c r="S106" s="3">
        <f>1822.3+(749.8-317.6)+(-3.717492+(-1.529592--0.647904))+0-321--0.654839999999986</f>
        <v>1929.5556599999998</v>
      </c>
      <c r="T106" s="3">
        <f>1819+(731.9-295.3)+(-1.85538+(-0.746538--0.301206))+0-322.4--0.328848000000051</f>
        <v>1931.2281359999997</v>
      </c>
      <c r="U106" s="3">
        <f>1819+(771.6-303.3)+(-0.92769+(-0.393516--0.154683))+0-320.3--0.163352999999968</f>
        <v>1965.9968300000003</v>
      </c>
      <c r="V106" s="3">
        <f>1815.6+(670.1-305)+(-0.925956+(-0.341751--0.15555))+0-320.5--0.163454999999967</f>
        <v>1859.2512979999997</v>
      </c>
      <c r="W106" s="3">
        <f>1815.6+(427.3-299.4)+(2.777868+(0.653769-0.458082))+0-323.3-0.494649000000019</f>
        <v>1622.6789060000001</v>
      </c>
      <c r="X106" s="3">
        <f>1824.5+(174.4-292.3)+(-2.791485+(-0.266832--0.447219))+0-325.5--0.498015000000019</f>
        <v>1378.9869169999999</v>
      </c>
      <c r="Y106" s="3">
        <f>1826.2+(106.2-292.4)+(1.862724+(0.108324-0.298248))+0-324.4-0.330888000000052</f>
        <v>1316.9419120000002</v>
      </c>
      <c r="Z106" s="3">
        <f>1824.1+(370.1-339.6)+(-0.930291+(-0.188751--0.173196))+0-324.6--0.165545999999967</f>
        <v>1529.2196999999999</v>
      </c>
      <c r="AA106" s="3">
        <f>1860.9+(601.9-358.2)+(-3.796236+(-1.227876--0.730728))+0-324--0.660959999999986</f>
        <v>1776.9675759999998</v>
      </c>
      <c r="AB106" s="3">
        <f>1866.1+(702.8-355.7)+(-0.951711+(-0.358428--0.181407))+0-324.5--0.165494999999967</f>
        <v>1887.7367629999997</v>
      </c>
      <c r="AC106" s="3">
        <f>1870.6+(742.4-344.8)+(-1.908012+(-0.757248--0.351696))+0-324.4--0.330888000000052</f>
        <v>1941.8173239999996</v>
      </c>
      <c r="AD106" s="2">
        <v>1794.3999999999999</v>
      </c>
      <c r="AE106" s="3">
        <f>1857+(623.4-365.3)+(0+(0-0))+0-320.7-0</f>
        <v>1794.3999999999999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1872.7+(658.9-334.8)+(-4.775385+(-1.680195--0.85374))+0-324.4--0.827219999999953</f>
        <v>1867.6253800000002</v>
      </c>
      <c r="G107" s="3">
        <f>1868+(637.8-375.3)+(1.90536+(0.650556-0.382806))+0-325.6-0.332112000000052</f>
        <v>1806.7409980000002</v>
      </c>
      <c r="H107" s="3">
        <f>1865.3+(605.7-360.5)+(-1.902606+(-0.617814--0.36771))+0-326.2--0.332724000000052</f>
        <v>1782.4800140000002</v>
      </c>
      <c r="I107" s="3">
        <f>1866.2+(588.2-338.5)+(0.951762+(0.299982-0.172635))+0-322.8-0.164627999999967</f>
        <v>1794.0144809999999</v>
      </c>
      <c r="J107" s="3">
        <f>1867.3+(544.2-329.7)+(-2.856969+(-0.832626--0.504441))+0-323--0.494190000000019</f>
        <v>1756.1090360000005</v>
      </c>
      <c r="K107" s="3">
        <f>1865.2+(437.3-301.1)+(-2.853756+(-0.669069--0.460683))+0-322.4--0.493272000000019</f>
        <v>1676.4311300000002</v>
      </c>
      <c r="L107" s="3">
        <f>1864.7+(266.4-297.6)+(-2.852991+(-0.407592--0.455328))+0-325.5--0.498015000000019</f>
        <v>1505.6927600000001</v>
      </c>
      <c r="M107" s="3">
        <f>1862.5+(185.7-290.8)+(1.89975+(0.189414-0.296616))+0-323.5-0.329970000000052</f>
        <v>1435.362578</v>
      </c>
      <c r="N107" s="3">
        <f>1884+(226.9-313.6)+(0+(0-0))+0-326.3-0</f>
        <v>1471</v>
      </c>
      <c r="O107" s="3">
        <f>1883+(314.7-342.1)+(-2.88099+(-0.481491--0.523413))+0-323.3--0.494649000000019</f>
        <v>1529.9555809999999</v>
      </c>
      <c r="P107" s="3">
        <f>1872+(337-370.8)+(-2.86416+(-0.51561--0.567324))+0-324.9--0.497097000000019</f>
        <v>1510.9846510000002</v>
      </c>
      <c r="Q107" s="3">
        <f>1826.6+(522.6-385.9)+(0+(0-0))+0-323.7-0</f>
        <v>1639.6</v>
      </c>
      <c r="R107" s="3">
        <f>1814.1+(750.2-379.1)+(1.850382+(0.765204-0.386682))+0-324.1-0.330582000000052</f>
        <v>1862.9983219999999</v>
      </c>
      <c r="S107" s="3">
        <f>1805.7+(791.9-322.1)+(-5.525442+(-2.423214--0.985626))+0-322.6--0.987156000000037</f>
        <v>1946.9241260000003</v>
      </c>
      <c r="T107" s="3">
        <f>1795+(820.4-298.2)+(-0.91545+(-0.418404--0.152082))+0-323.4--0.164933999999967</f>
        <v>1992.7831619999997</v>
      </c>
      <c r="U107" s="3">
        <f>1792.3+(765-285.9)+(-1.828146+(-0.7803--0.291618))+0-321.9--0.328338000000051</f>
        <v>1947.51151</v>
      </c>
      <c r="V107" s="3">
        <f>1796.4+(705.5-286)+(-2.748492+(-1.079415--0.43758))+0-322.3--0.493119000000019</f>
        <v>1890.702792</v>
      </c>
      <c r="W107" s="3">
        <f>1802+(507-285.4)+(-3.67608+(-1.03428--0.582216))+0-321.9--0.656675999999986</f>
        <v>1698.2285320000001</v>
      </c>
      <c r="X107" s="3">
        <f>1823.9+(203.7-287)+(-7.441512+(-0.831096--1.17096))+0-251.7--1.02693599999998</f>
        <v>1482.825288</v>
      </c>
      <c r="Y107" s="3">
        <f>1839.5+(135.6-338.4)+(-2.814435+(-0.207468--0.517752))+0-321.9--0.492507000000019</f>
        <v>1312.788356</v>
      </c>
      <c r="Z107" s="3">
        <f>1847.9+(335.1-316.4)+(-0.942429+(-0.170901--0.161364))+0-323.1--0.164780999999967</f>
        <v>1542.7128149999999</v>
      </c>
      <c r="AA107" s="3">
        <f>1852.4+(578.2-320.2)+(-5.668344+(-1.769292--0.979812))+0-321.7--0.984402000000037</f>
        <v>1783.226578</v>
      </c>
      <c r="AB107" s="3">
        <f>1858.4+(541.4-334.7)+(-3.791136+(-1.104456--0.682788))+0-321.2--0.655247999999986</f>
        <v>1740.3424440000001</v>
      </c>
      <c r="AC107" s="3">
        <f>1866.7+(616.6-319.1)+(-2.856051+(-0.943398--0.488223))+0-321.3--0.491589000000019</f>
        <v>1840.080363</v>
      </c>
      <c r="AD107" s="2">
        <v>1780.9999999999998</v>
      </c>
      <c r="AE107" s="3">
        <f>1856+(564-318.3)+(0+(0-0))+0-320.7-0</f>
        <v>1780.9999999999998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1868.4+(637-360.8)+(-0.952884+(-0.32487--0.184008))+0-322.4--0.164423999999967</f>
        <v>1821.2706779999999</v>
      </c>
      <c r="G108" s="3">
        <f>1868.2+(671.7-367)+(0.952782+(0.342567-0.18717))+0-322.9-0.164678999999967</f>
        <v>1850.9434999999999</v>
      </c>
      <c r="H108" s="3">
        <f>1873+(629.3-346.8)+(-2.86569+(-0.962829--0.530604))+0-324--0.495720000000019</f>
        <v>1828.697805</v>
      </c>
      <c r="I108" s="3">
        <f>1874.9+(535.1-341.2)+(0+(0-0))+0-325.1-0</f>
        <v>1743.7000000000003</v>
      </c>
      <c r="J108" s="3">
        <f>1870.4+(488.4-324.7)+(0+(0-0))+0-323.7-0</f>
        <v>1710.4</v>
      </c>
      <c r="K108" s="3">
        <f>1870.8+(455.9-277.6)+(-4.77054+(-1.162545--0.70788))+0-323.8--0.825689999999953</f>
        <v>1720.9004849999999</v>
      </c>
      <c r="L108" s="3">
        <f>1871.2+(292.5-245.8)+(-6.680184+(-1.044225--0.877506))+0-322.9--1.152753</f>
        <v>1589.30585</v>
      </c>
      <c r="M108" s="3">
        <f>1865+(280.4-271.5)+(0+(0-0))+0-322.8-0</f>
        <v>1551.1000000000001</v>
      </c>
      <c r="N108" s="3">
        <f>1833.9+(203.1-305.7)+(0+(0-0))+0-322.9-0</f>
        <v>1408.4</v>
      </c>
      <c r="O108" s="3">
        <f>1772.7+(278.2-329.8)+(0.904077+(0.141882-0.168198))+0-322.8-0.164627999999967</f>
        <v>1399.0131329999999</v>
      </c>
      <c r="P108" s="3">
        <f>1766+(353.7-349.7)+(0+(0-0))+0-322.7-0</f>
        <v>1447.3</v>
      </c>
      <c r="Q108" s="3">
        <f>1771.4+(465.8-355)+(1.806828+(0.475116-0.3621))+0-322.8-0.329256000000052</f>
        <v>1560.9905880000001</v>
      </c>
      <c r="R108" s="3">
        <f>1770.8+(618.3-369.9)+(-0.903108+(-0.315333--0.188649))+0-322.7--0.164576999999967</f>
        <v>1695.6347849999997</v>
      </c>
      <c r="S108" s="3">
        <f>1807.8+(668.2-366.2)+(-0.921978+(-0.340782--0.186762))+0-322.3--0.164372999999967</f>
        <v>1786.5883750000005</v>
      </c>
      <c r="T108" s="3">
        <f>1834.8+(706.6-366.7)+(-1.871496+(-0.720732--0.374034))+0-322.9--0.329358000000051</f>
        <v>1849.9111639999996</v>
      </c>
      <c r="U108" s="3">
        <f>1828.9+(678.1-353.3)+(0+(0-0))+0-323.5-0</f>
        <v>1830.2000000000003</v>
      </c>
      <c r="V108" s="3">
        <f>1825.3+(586.4-331.5)+(0.930903+(0.299064-0.169065))+0-324-0.165239999999967</f>
        <v>1757.0956619999999</v>
      </c>
      <c r="W108" s="3">
        <f>1825+(389-312.3)+(-5.5845+(-1.19034--0.955638))+0-326--0.997560000000038</f>
        <v>1570.8783580000002</v>
      </c>
      <c r="X108" s="3">
        <f>1833.6+(147.7-305.5)+(-4.67568+(-0.376635--0.779025))+0-325--0.828749999999953</f>
        <v>1347.3554599999998</v>
      </c>
      <c r="Y108" s="3">
        <f>1842.3+(101.4-372.8)+(-0.939573+(-0.051714--0.190128))+0-324.1--0.165290999999967</f>
        <v>1246.1641320000001</v>
      </c>
      <c r="Z108" s="3">
        <f>1839.5+(350.8-385.7)+(0.938145+(0.178908-0.196707))+0-324.3-0.165392999999967</f>
        <v>1481.0549530000001</v>
      </c>
      <c r="AA108" s="3">
        <f>1834+(466.2-366.2)+(-2.80602+(-0.713286--0.560286))+0-324.2--0.496026000000019</f>
        <v>1607.337006</v>
      </c>
      <c r="AB108" s="3">
        <f>1800.6+(536.9-364.6)+(-0.918306+(-0.273819--0.185946))+0-323.8--0.165137999999967</f>
        <v>1648.258959</v>
      </c>
      <c r="AC108" s="3">
        <f>1636.5+(709.7-327.2)+(0.834615+(0.361947-0.166872))+0-323.6-0.165035999999967</f>
        <v>1696.2646540000001</v>
      </c>
      <c r="AD108" s="2">
        <v>1607.2000000000003</v>
      </c>
      <c r="AE108" s="3">
        <f>1832+(469.9-365.1)+(0+(0-0))+0-329.6-0</f>
        <v>1607.1999999999998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1626.6+(653.1-304.5)+(1.659132+(0.666162-0.31059))+0-325.3-0.331806000000052</f>
        <v>1651.5828979999997</v>
      </c>
      <c r="G109" s="3">
        <f>1632.7+(657.9-304.8)+(0.832677+(0.335529-0.155448))+0-325.9-0.166208999999967</f>
        <v>1660.746549</v>
      </c>
      <c r="H109" s="3">
        <f>1635.9+(627.7-283.9)+(2.502927+(0.960381-0.434367))+0-325.4-0.497862000000019</f>
        <v>1656.8310790000003</v>
      </c>
      <c r="I109" s="3">
        <f>1636.9+(627.2-307.8)+(0+(0-0))+0-326-0</f>
        <v>1630.3000000000002</v>
      </c>
      <c r="J109" s="3">
        <f>1636.7+(610.7-306.2)+(-1.669434+(-0.622914--0.312324))+0-327.4--0.333948000000052</f>
        <v>1612.1539240000002</v>
      </c>
      <c r="K109" s="3">
        <f>1638.4+(558.8-268.3)+(-5.849088+(-1.994916--0.957831))+0-325.8--1.163106</f>
        <v>1597.376933</v>
      </c>
      <c r="L109" s="3">
        <f>1640.7+(485.1-233.6)+(-2.510271+(-0.742203--0.357408))+0-322.8--0.493884000000019</f>
        <v>1566.998818</v>
      </c>
      <c r="M109" s="3">
        <f>1641.5+(459.3-275.7)+(0.837165+(0.234243-0.140607))+0-323.8-0.165137999999967</f>
        <v>1502.0656629999999</v>
      </c>
      <c r="N109" s="3">
        <f>1637.7+(416.5-300.6)+(-0.835227+(-0.212415--0.153306))+0-325.3--0.165902999999967</f>
        <v>1427.571567</v>
      </c>
      <c r="O109" s="3">
        <f>1632.7+(408.9-307.3)+(2.498031+(0.625617-0.470169))+0-325.2-0.497556000000019</f>
        <v>1411.2559229999999</v>
      </c>
      <c r="P109" s="3">
        <f>1630.2+(424.9-331.6)+(0.831402+(0.216699-0.169116))+0-328.2-0.167381999999967</f>
        <v>1396.0116030000002</v>
      </c>
      <c r="Q109" s="3">
        <f>1624.9+(516.5-324.5)+(0.828699+(0.263415-0.165495))+0-327.6-0.167075999999967</f>
        <v>1490.0595430000001</v>
      </c>
      <c r="R109" s="3">
        <f>1621.3+(644.5-340.3)+(1.653726+(0.65739-0.347106))+0-325.8-0.332316000000052</f>
        <v>1601.331694</v>
      </c>
      <c r="S109" s="3">
        <f>1618.5+(796.4-341.9)+(3.30174+(1.624656-0.697476))+0-325.5-0.664019999999986</f>
        <v>1751.0649000000001</v>
      </c>
      <c r="T109" s="3">
        <f>1616.8+(812.1-349.3)+(2.473704+(1.242513-0.534429))+0-324.2-0.496026000000019</f>
        <v>1758.0857619999997</v>
      </c>
      <c r="U109" s="3">
        <f>1613.6+(823.7-340.2)+(1.645872+(0.840174-0.347004))+0-324.9-0.331398000000052</f>
        <v>1774.0076439999996</v>
      </c>
      <c r="V109" s="3">
        <f>1609.3+(731.8-321.4)+(0.820743+(0.373218-0.163914))+0-320.8-0.163607999999967</f>
        <v>1699.7664389999998</v>
      </c>
      <c r="W109" s="3">
        <f>1613.4+(538.9-299.9)+(-0.822834+(-0.274839--0.152949))+0-322--0.164219999999967</f>
        <v>1529.619496</v>
      </c>
      <c r="X109" s="3">
        <f>1618.2+(260.9-281.3)+(-3.301128+(-0.532236--0.573852))+0-322.5--0.657899999999986</f>
        <v>1272.6983879999998</v>
      </c>
      <c r="Y109" s="3">
        <f>1625.2+(161.1-284.3)+(0.828852+(0.082161-0.144993))+0-323.5-0.164984999999967</f>
        <v>1179.1010350000001</v>
      </c>
      <c r="Z109" s="3">
        <f>1632.2+(461.9-348.8)+(-0.832422+(-0.235569--0.177888))+0-323.7--0.165086999999967</f>
        <v>1420.8749839999998</v>
      </c>
      <c r="AA109" s="3">
        <f>1633.8+(686.8-368.6)+(-1.666476+(-0.700536--0.375972))+0-323.2--0.329664000000052</f>
        <v>1627.1386239999999</v>
      </c>
      <c r="AB109" s="3">
        <f>1635.5+(742-372.5)+(-1.66821+(-0.75684--0.37995))+0-323.6--0.330072000000052</f>
        <v>1679.6849719999998</v>
      </c>
      <c r="AC109" s="3">
        <f>1639.4+(857.1-340.5)+(-0.836094+(-0.437121--0.173655))+0-322.9--0.164678999999967</f>
        <v>1832.1651189999998</v>
      </c>
      <c r="AD109" s="2">
        <v>1747.0000000000002</v>
      </c>
      <c r="AE109" s="3">
        <f>1633+(797.9-360.2)+(0+(0-0))+0-323.7-0</f>
        <v>1746.9999999999998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1643.6+(775.4-334.2)+(-0.838236+(-0.395454--0.170442))+0-324.8--0.165647999999967</f>
        <v>1759.1023999999998</v>
      </c>
      <c r="G110" s="3">
        <f>1647.7+(743.6-332)+(0+(0-0))+0-325.8-0</f>
        <v>1733.5000000000002</v>
      </c>
      <c r="H110" s="3">
        <f>1651.8+(704.7-314.7)+(-0.842418+(-0.359397--0.160497))+0-327.4--0.166973999999967</f>
        <v>1713.525656</v>
      </c>
      <c r="I110" s="3">
        <f>1652.7+(656-300.2)+(-0.842877+(-0.33456--0.153102))+0-323.2--0.164831999999967</f>
        <v>1684.4404969999998</v>
      </c>
      <c r="J110" s="3">
        <f>1651.3+(619.9-299.5)+(-1.684326+(-0.632298--0.30549))+0-322.3--0.328746000000051</f>
        <v>1647.7176119999999</v>
      </c>
      <c r="K110" s="3">
        <f>1650.1+(554.4-300)+(-4.207755+(-1.41372--0.765))+0-322.2--0.821609999999953</f>
        <v>1578.2651349999999</v>
      </c>
      <c r="L110" s="3">
        <f>1646.9+(401-274.4)+(-1.679838+(-0.40902--0.279888))+0-321.8--0.328236000000051</f>
        <v>1450.2192660000001</v>
      </c>
      <c r="M110" s="3">
        <f>1643.5+(365.2-293.5)+(2.514555+(0.558756-0.449055))+0-320.7-0.490671000000019</f>
        <v>1396.633585</v>
      </c>
      <c r="N110" s="3">
        <f>1643.6+(329.8-289.1)+(0+(0-0))+0-322.1-0</f>
        <v>1362.1999999999998</v>
      </c>
      <c r="O110" s="3">
        <f>1637.3+(365.8-317.6)+(1.670046+(0.373116-0.323952))+0-323.2-0.329664000000052</f>
        <v>1363.6895459999998</v>
      </c>
      <c r="P110" s="3">
        <f>1630.3+(437.9-340.4)+(2.494359+(0.669987-0.520812))+0-323-0.494190000000019</f>
        <v>1406.9493439999999</v>
      </c>
      <c r="Q110" s="3">
        <f>1619.3+(646-431)+(2.477529+(0.98838-0.65943))+0-323-0.494190000000019</f>
        <v>1513.6122889999999</v>
      </c>
      <c r="R110" s="3">
        <f>1633.7+(715.1-353.8)+(3.332748+(1.458804-0.721752))+0-322.4-0.657695999999986</f>
        <v>1676.0121040000001</v>
      </c>
      <c r="S110" s="3">
        <f>1628+(850.8-350.3)+(0.83028+(0.433908-0.178653))+0-321.5-0.163964999999967</f>
        <v>1807.9215700000002</v>
      </c>
      <c r="T110" s="3">
        <f>1630.9+(890.7-338)+(-0.831759+(-0.454257--0.17238))+0-322.4--0.164423999999967</f>
        <v>1860.2507880000003</v>
      </c>
      <c r="U110" s="3">
        <f>1634.8+(877.4-331.1)+(0+(0-0))+0-320.2-0</f>
        <v>1860.8999999999999</v>
      </c>
      <c r="V110" s="3">
        <f>1627.6+(780.2-305.2)+(-1.660152+(-0.795804--0.311304))+0-320.4--0.326808000000051</f>
        <v>1780.3821559999999</v>
      </c>
      <c r="W110" s="3">
        <f>1681.9+(545.6-328.6)+(-2.573307+(-0.834768--0.502758))+0-320.7--0.490671000000019</f>
        <v>1575.7853540000001</v>
      </c>
      <c r="X110" s="3">
        <f>1782.1+(254.1-317.2)+(-4.544355+(-0.647955--0.80886))+0-321.3--0.819314999999953</f>
        <v>1394.135865</v>
      </c>
      <c r="Y110" s="3">
        <f>1867.4+(154.3-406.8)+(-2.857122+(-0.236079--0.622404))+0-321.1--0.491283000000019</f>
        <v>1291.8204860000003</v>
      </c>
      <c r="Z110" s="3">
        <f>1873+(383.9-395.5)+(1.91046+(0.391578-0.40341))+0-327.7-0.334254000000052</f>
        <v>1535.2643739999999</v>
      </c>
      <c r="AA110" s="3">
        <f>1876.6+(517.9-411.8)+(-2.871198+(-0.792387--0.630054))+0-324--0.495720000000019</f>
        <v>1656.1621889999999</v>
      </c>
      <c r="AB110" s="3">
        <f>1886+(550-397.5)+(-2.88558+(-0.8415--0.608175))+0-323.3--0.494649000000019</f>
        <v>1712.575744</v>
      </c>
      <c r="AC110" s="3">
        <f>1886.8+(578.8-378.1)+(-1.924536+(-0.590376--0.385662))+0-321.4--0.327828000000051</f>
        <v>1764.2985779999999</v>
      </c>
      <c r="AD110" s="2">
        <v>1654.1000000000004</v>
      </c>
      <c r="AE110" s="3">
        <f>1883+(504.3-413.1)+(0+(0-0))+0-320.1-0</f>
        <v>1654.1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1888.6+(560.6-350.4)+(-1.926372+(-0.571812--0.357408))+0-322.5--0.328950000000051</f>
        <v>1774.4881740000001</v>
      </c>
      <c r="G111" s="3">
        <f>1894.6+(525.6-332.5)+(-1.932492+(-0.536112--0.33915))+0-325.9--0.332418000000052</f>
        <v>1760.0029639999998</v>
      </c>
      <c r="H111" s="3">
        <f>1896.1+(478.6-312)+(-2.901033+(-0.732258--0.47736))+0-324.1--0.495873000000019</f>
        <v>1735.9399420000002</v>
      </c>
      <c r="I111" s="3">
        <f>1895.6+(435.4-303.2)+(-5.800536+(-1.332324--0.927792))+0-322.8--0.987768000000037</f>
        <v>1699.7827</v>
      </c>
      <c r="J111" s="3">
        <f>1894.7+(391.9-294.5)+(-4.831485+(-0.999345--0.750975))+0-320.3--0.816764999999954</f>
        <v>1667.53691</v>
      </c>
      <c r="K111" s="3">
        <f>1891.9+(364.6-335.4)+(-8.683821+(-1.673514--1.539486))+0-320.6--1.47155400000006</f>
        <v>1593.1537049999999</v>
      </c>
      <c r="L111" s="3">
        <f>1746.9+(333-298.6)+(0+(0-0))+0-319.4-0</f>
        <v>1461.9</v>
      </c>
      <c r="M111" s="3">
        <f>1647.1+(365.7-294.9)+(0.840021+(0.186507-0.150399))+0-320.2-0.163301999999968</f>
        <v>1398.4128269999999</v>
      </c>
      <c r="N111" s="3">
        <f>1643.8+(365-302.1)+(1.676676+(0.3723-0.308142))+0-320.4-0.326808000000051</f>
        <v>1387.7140259999999</v>
      </c>
      <c r="O111" s="3">
        <f>1708.5+(301.1-316.6)+(0.871335+(0.153561-0.161466))+0-320.3-0.163352999999968</f>
        <v>1373.4000770000002</v>
      </c>
      <c r="P111" s="3">
        <f>1863.2+(252.5-376)+(0.950232+(0.128775-0.19176))+0-321.3-0.163862999999967</f>
        <v>1419.123384</v>
      </c>
      <c r="Q111" s="3">
        <f>1871.8+(353.7-384.1)+(0.954618+(0.180387-0.195891))+0-321-0.163709999999967</f>
        <v>1521.1754039999998</v>
      </c>
      <c r="R111" s="3">
        <f>1870.1+(518.1-391.7)+(0+(0-0))+0-320.2-0</f>
        <v>1676.3</v>
      </c>
      <c r="S111" s="3">
        <f>1867.3+(643.5-396.5)+(-0.952323+(-0.328185--0.202215))+0-320.2--0.163301999999968</f>
        <v>1793.185009</v>
      </c>
      <c r="T111" s="3">
        <f>1862.5+(689.3-389.5)+(1.89975+(0.703086-0.39729))+0-320.1-0.326502000000051</f>
        <v>1844.0790440000003</v>
      </c>
      <c r="U111" s="3">
        <f>1861.5+(677.6-384.8)+(0+(0-0))+0-320.6-0</f>
        <v>1833.7000000000003</v>
      </c>
      <c r="V111" s="3">
        <f>1861.7+(580.2-364.2)+(0+(0-0))+0-321.4-0</f>
        <v>1756.3000000000002</v>
      </c>
      <c r="W111" s="3">
        <f>1863+(394.6-351)+(-5.70078+(-1.207476--1.07406))+0-322.1--0.985626000000037</f>
        <v>1579.6514299999999</v>
      </c>
      <c r="X111" s="3">
        <f>1872.8+(217.2-399.8)+(-8.596152+(-0.996948--1.835082))+0-322.1--1.47843900000006</f>
        <v>1361.8204209999999</v>
      </c>
      <c r="Y111" s="3">
        <f>1879.3+(166.2-469.4)+(-1.916886+(-0.169524--0.478788))+0-321.8--0.328236000000051</f>
        <v>1253.020614</v>
      </c>
      <c r="Z111" s="3">
        <f>1886.2+(340.9-398.8)+(0+(0-0))+0-324.2-0</f>
        <v>1504.1</v>
      </c>
      <c r="AA111" s="3">
        <f>1890.3+(503.2-409.9)+(-1.928106+(-0.513264--0.418098))+0-323.3--0.329766000000052</f>
        <v>1658.6064940000001</v>
      </c>
      <c r="AB111" s="3">
        <f>1888.6+(561.5-398)+(-3.852744+(-1.14546--0.81192))+0-323.2--0.659327999999986</f>
        <v>1725.3730439999999</v>
      </c>
      <c r="AC111" s="3">
        <f>1886.9+(590.3-379)+(-1.924638+(-0.602106--0.38658))+0-323.5--0.329970000000052</f>
        <v>1772.8898059999999</v>
      </c>
      <c r="AD111" s="2">
        <v>1674.6</v>
      </c>
      <c r="AE111" s="3">
        <f>1890+(518-410.3)+(0+(0-0))+0-323.1-0</f>
        <v>1674.6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1874.8+(604.5-359.9)+(-1.912296+(-0.61659--0.367098))+0-324.2--0.330684000000052</f>
        <v>1793.3688960000002</v>
      </c>
      <c r="G112" s="3">
        <f>1876.2+(604.9-375.1)+(-2.870586+(-0.925497--0.573903))+0-324.7--0.496791000000019</f>
        <v>1778.5746109999998</v>
      </c>
      <c r="H112" s="3">
        <f>1880+(572.9-364.3)+(-4.794+(-1.460895--0.928965))+0-323.7--0.825434999999953</f>
        <v>1760.3995049999999</v>
      </c>
      <c r="I112" s="3">
        <f>1881.7+(520.5-345.5)+(0.959667+(0.265455-0.176205))+0-322.2-0.164321999999967</f>
        <v>1735.384595</v>
      </c>
      <c r="J112" s="3">
        <f>1884.1+(484-342)+(-0.960891+(-0.24684--0.17442))+0-322.1--0.164270999999967</f>
        <v>1703.1309599999997</v>
      </c>
      <c r="K112" s="3">
        <f>1884.1+(390.2-325)+(-2.882673+(-0.597006--0.49725))+0-321.1--0.491283000000019</f>
        <v>1625.7088540000002</v>
      </c>
      <c r="L112" s="3">
        <f>1880.4+(295.2-338.3)+(0+(0-0))+0-321.3-0</f>
        <v>1516.0000000000002</v>
      </c>
      <c r="M112" s="3">
        <f>1872.3+(232.8-356.8)+(-0.954873+(-0.118728--0.181968))+0-321.3--0.163862999999967</f>
        <v>1426.27223</v>
      </c>
      <c r="N112" s="3">
        <f>1867+(258.2-380.1)+(3.80868+(0.526728-0.775404))+0-320.3-0.653411999999986</f>
        <v>1427.706592</v>
      </c>
      <c r="O112" s="3">
        <f>1860.1+(307.3-395)+(-1.897302+(-0.313446--0.4029))+0-317.5--0.323850000000051</f>
        <v>1453.4160019999999</v>
      </c>
      <c r="P112" s="3">
        <f>1867.9+(355.4-434.6)+(-0.952629+(-0.181254--0.221646))+0-322.6--0.164525999999967</f>
        <v>1465.3522889999999</v>
      </c>
      <c r="Q112" s="3">
        <f>1863.3+(472.1-434.6)+(3.801132+(0.963084-0.886584))+0-322.1-0.657083999999986</f>
        <v>1581.9205480000001</v>
      </c>
      <c r="R112" s="3">
        <f>1861.6+(622.2-436.9)+(1.898832+(0.634644-0.445638))+0-321.5-0.327930000000051</f>
        <v>1727.1599079999999</v>
      </c>
      <c r="S112" s="3">
        <f>1857.4+(671.1-376)+(0.947274+(0.342261-0.19176))+0-320.5-0.163454999999967</f>
        <v>1832.9343200000003</v>
      </c>
      <c r="T112" s="3">
        <f>1853.9+(787.3-392.9)+(-0.945489+(-0.401523--0.200379))+0-320--0.163199999999968</f>
        <v>1927.3165670000003</v>
      </c>
      <c r="U112" s="3">
        <f>1854.8+(726-398.5)+(0+(0-0))+0-321-0</f>
        <v>1861.3000000000002</v>
      </c>
      <c r="V112" s="3">
        <f>1855.5+(678-366)+(0.946305+(0.34578-0.18666))+0-320.6-0.163505999999967</f>
        <v>1847.8419190000004</v>
      </c>
      <c r="W112" s="3">
        <f>1858.8+(481.8-364.4)+(0+(0-0))+0-320.9-0</f>
        <v>1655.3000000000002</v>
      </c>
      <c r="X112" s="3">
        <f>1863.9+(241.7-358.8)+(-1.901178+(-0.246534--0.365976))+0-320.5--0.326910000000051</f>
        <v>1424.8451740000003</v>
      </c>
      <c r="Y112" s="3">
        <f>1871.8+(206.9-369.1)+(3.818472+(0.422076-0.752964))+0-322-0.656879999999986</f>
        <v>1390.4307039999999</v>
      </c>
      <c r="Z112" s="3">
        <f>1876+(433.9-419.8)+(2.87028+(0.663867-0.642294))+0-322.5-0.493425000000019</f>
        <v>1569.9984279999999</v>
      </c>
      <c r="AA112" s="3">
        <f>1878.9+(622.2-434.5)+(-3.832956+(-1.269288--0.88638))+0-324.9--0.662795999999986</f>
        <v>1738.1469320000006</v>
      </c>
      <c r="AB112" s="3">
        <f>1876.6+(708.7-418)+(-2.871198+(-1.084311--0.63954))+0-324.9--0.497097000000019</f>
        <v>1839.5811279999998</v>
      </c>
      <c r="AC112" s="3">
        <f>1711.9+(801.6-400.3)+(-0.873069+(-0.408816--0.204153))+0-322.7--0.164576999999967</f>
        <v>1789.586845</v>
      </c>
      <c r="AD112" s="2">
        <v>1777.6000000000001</v>
      </c>
      <c r="AE112" s="3">
        <f>1877+(654.8-430.5)+(0+(0-0))+0-323.7-0</f>
        <v>1777.6000000000001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1636.5+(759.6-356.5)+(-2.503845+(-1.162188--0.545445))+0-323.1--0.494343000000019</f>
        <v>1713.8737549999998</v>
      </c>
      <c r="G113" s="3">
        <f>1637.6+(735.9-321.8)+(-4.17588+(-1.876545--0.82059))+0-324.3--0.826964999999953</f>
        <v>1722.9951299999998</v>
      </c>
      <c r="H113" s="3">
        <f>1639.5+(743.2-298.4)+(-3.34458+(-1.516128--0.608736))+0-325.8--0.664631999999986</f>
        <v>1754.9126600000002</v>
      </c>
      <c r="I113" s="3">
        <f>1788.7+(532.1-310)+(-4.561185+(-1.356855--0.7905))+0-325.3--0.829514999999953</f>
        <v>1681.2019750000002</v>
      </c>
      <c r="J113" s="3">
        <f>1890.2+(411.8-319.5)+(-0.964002+(-0.210018--0.162945))+0-324.4--0.165443999999967</f>
        <v>1657.254369</v>
      </c>
      <c r="K113" s="3">
        <f>1892+(376.3-283.1)+(0+(0-0))+0-323.7-0</f>
        <v>1661.5</v>
      </c>
      <c r="L113" s="3">
        <f>1893.8+(224.6-298)+(-2.897514+(-0.343638--0.45594))+0-324.1--0.495873000000019</f>
        <v>1494.010661</v>
      </c>
      <c r="M113" s="3">
        <f>1890.1+(146.2-351)+(2.891853+(0.223686-0.53703))+0-322.4-0.493272000000019</f>
        <v>1364.9852370000001</v>
      </c>
      <c r="N113" s="3">
        <f>1882.1+(158.9-340.1)+(0+(0-0))+0-324.1-0</f>
        <v>1376.7999999999997</v>
      </c>
      <c r="O113" s="3">
        <f>1873.2+(252.9-347)+(0+(0-0))+0-323.4-0</f>
        <v>1455.7000000000003</v>
      </c>
      <c r="P113" s="3">
        <f>1867+(340.6-374)+(0+(0-0))+0-324.8-0</f>
        <v>1508.8</v>
      </c>
      <c r="Q113" s="3">
        <f>1861.4+(507.1-389.2)+(1.898628+(0.517242-0.396984))+0-324.8-0.331296000000052</f>
        <v>1656.1875900000002</v>
      </c>
      <c r="R113" s="3">
        <f>1856.2+(639.1-393.6)+(1.893324+(0.651882-0.401472))+0-324.3-0.330786000000052</f>
        <v>1779.2129480000001</v>
      </c>
      <c r="S113" s="3">
        <f>1853.6+(736.6-371.8)+(-2.836008+(-1.126998--0.568854))+0-322.1--0.492813000000019</f>
        <v>1893.3986610000004</v>
      </c>
      <c r="T113" s="3">
        <f>1859+(709.6-362.1)+(-1.89618+(-0.723792--0.369342))+0-322.1--0.328542000000051</f>
        <v>1882.4779120000001</v>
      </c>
      <c r="U113" s="3">
        <f>1861.5+(680.6-351)+(-3.79746+(-1.388424--0.71604))+0-321--0.654839999999986</f>
        <v>1866.2849959999996</v>
      </c>
      <c r="V113" s="3">
        <f>1863.4+(647.3-340.2)+(-0.950334+(-0.330123--0.173502))+0-324.8--0.165647999999967</f>
        <v>1844.7586929999998</v>
      </c>
      <c r="W113" s="3">
        <f>1870.7+(459.5-324.1)+(-2.862171+(-0.703035--0.495873))+0-324.9--0.497097000000019</f>
        <v>1678.6277639999998</v>
      </c>
      <c r="X113" s="3">
        <f>1880.8+(196.8-341.5)+(-4.79604+(-0.50184--0.870825))+0-324.4--0.827219999999953</f>
        <v>1408.1001649999996</v>
      </c>
      <c r="Y113" s="3">
        <f>1882.8+(170.4-389.4)+(0+(0-0))+0-325.2-0</f>
        <v>1338.6</v>
      </c>
      <c r="Z113" s="3">
        <f>1884.6+(373.3-373.1)+(0+(0-0))+0-324.3-0</f>
        <v>1560.5</v>
      </c>
      <c r="AA113" s="3">
        <f>1881.7+(568.8-390.5)+(-2.879001+(-0.870264--0.597465))+0-326.1--0.498933000000019</f>
        <v>1731.2471330000001</v>
      </c>
      <c r="AB113" s="3">
        <f>1883.5+(591-386.3)+(-2.881755+(-0.90423--0.591039))+0-323.1--0.494343000000019</f>
        <v>1762.3993969999999</v>
      </c>
      <c r="AC113" s="3">
        <f>1875.6+(659.4-364.6)+(-1.913112+(-0.672588--0.371892))+0-323.9--0.330378000000052</f>
        <v>1844.6165699999997</v>
      </c>
      <c r="AD113" s="2">
        <v>1746.8000000000002</v>
      </c>
      <c r="AE113" s="3">
        <f>1892+(574.3-392.9)+(0+(0-0))+0-326.6-0</f>
        <v>1746.8000000000002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1876.1+(664.8-337.1)+(-0.956811+(-0.339048--0.171921))+0-323.9--0.165188999999967</f>
        <v>1878.9412509999995</v>
      </c>
      <c r="G114" s="3">
        <f>1879.4+(584-326.1)+(-3.833976+(-1.19136--0.665244))+0-321.4--0.655655999999986</f>
        <v>1812.1955640000001</v>
      </c>
      <c r="H114" s="3">
        <f>1881.4+(558.5-328.7)+(-0.959514+(-0.284835--0.167637))+0-323.8--0.165137999999967</f>
        <v>1786.4884260000003</v>
      </c>
      <c r="I114" s="3">
        <f>1881.3+(554.5-317.1)+(-2.878389+(-0.848385--0.485163))+0-323--0.494190000000019</f>
        <v>1792.952579</v>
      </c>
      <c r="J114" s="3">
        <f>1883+(483.2-310.6)+(-1.92066+(-0.492864--0.316812))+0-322.8--0.329256000000052</f>
        <v>1731.0325439999999</v>
      </c>
      <c r="K114" s="3">
        <f>1884.3+(392.4-292.2)+(-5.765958+(-1.200744--0.894132))+0-324.4--0.992664000000037</f>
        <v>1655.0200940000002</v>
      </c>
      <c r="L114" s="3">
        <f>1882.9+(263-286.4)+(0+(0-0))+0-323.8-0</f>
        <v>1535.7</v>
      </c>
      <c r="M114" s="3">
        <f>1882.6+(262.9-285.1)+(0.960126+(0.134079-0.145401))+0-320-0.163199999999968</f>
        <v>1541.185604</v>
      </c>
      <c r="N114" s="3">
        <f>1876.2+(287.2-306.8)+(1.913724+(0.292944-0.312936))+0-322.3-0.328746000000051</f>
        <v>1535.8649859999998</v>
      </c>
      <c r="O114" s="3">
        <f>1869.4+(278.3-338.6)+(0+(0-0))+0-322.4-0</f>
        <v>1486.7000000000003</v>
      </c>
      <c r="P114" s="3">
        <f>1858.7+(403.9-361.5)+(2.843811+(0.617967-0.553095))+0-324.9-0.497097000000019</f>
        <v>1578.611586</v>
      </c>
      <c r="Q114" s="3">
        <f>1864.1+(548.1-382.1)+(-1.901382+(-0.559062--0.389742))+0-327.3--0.333846000000052</f>
        <v>1701.063144</v>
      </c>
      <c r="R114" s="3">
        <f>1874.9+(683.6-346.9)+(0.956199+(0.348636-0.176919))+0-326.3-0.166412999999967</f>
        <v>1886.2615030000004</v>
      </c>
      <c r="S114" s="3">
        <f>1876.7+(733.6-293.5)+(-4.785585+(-1.87068--0.748425))+0-324--0.826199999999953</f>
        <v>1987.7183600000003</v>
      </c>
      <c r="T114" s="3">
        <f>1878.1+(750.8-307.4)+(-1.915662+(-0.765816--0.313548))+0-321.7--0.328134000000051</f>
        <v>1997.7602040000002</v>
      </c>
      <c r="U114" s="3">
        <f>1875.5+(733.4-300.2)+(-0.956505+(-0.374034--0.153102))+0-323.1--0.164780999999967</f>
        <v>1984.587344</v>
      </c>
      <c r="V114" s="3">
        <f>1870.6+(642.6-281.1)+(0.954006+(0.327726-0.143361))+0-323.6-0.165035999999967</f>
        <v>1909.4733350000001</v>
      </c>
      <c r="W114" s="3">
        <f>1860.9+(443.2-279.4)+(-0.949059+(-0.226032--0.142494))+0-322.4--0.164423999999967</f>
        <v>1701.4318270000003</v>
      </c>
      <c r="X114" s="3">
        <f>1873.3+(212.8-305.2)+(-1.910766+(-0.217056--0.311304))+0-322.8--0.329256000000052</f>
        <v>1456.612738</v>
      </c>
      <c r="Y114" s="3">
        <f>1879+(196.7-373.2)+(-3.83316+(-0.401268--0.761328))+0-323.9--0.660755999999986</f>
        <v>1375.7876560000002</v>
      </c>
      <c r="Z114" s="3">
        <f>1889.3+(375.1-320.3)+(3.854172+(0.765204-0.653412))+0-323.9-0.660755999999986</f>
        <v>1623.5052079999998</v>
      </c>
      <c r="AA114" s="3">
        <f>1892+(529-328.9)+(-1.92984+(-0.53958--0.335478))+0-323.7--0.330174000000052</f>
        <v>1766.5962319999999</v>
      </c>
      <c r="AB114" s="3">
        <f>1892.7+(597-322.2)+(-3.861108+(-1.21788--0.657288))+0-321.4--0.655655999999986</f>
        <v>1842.3339559999999</v>
      </c>
      <c r="AC114" s="3">
        <f>1890.3+(653-301.3)+(0.964053+(0.33303-0.153663))+0-320.4-0.163403999999967</f>
        <v>1922.5800159999999</v>
      </c>
      <c r="AD114" s="2">
        <v>1791.5000000000002</v>
      </c>
      <c r="AE114" s="3">
        <f>1894+(552.9-328.2)+(0+(0-0))+0-327.2-0</f>
        <v>1791.4999999999998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1885.2+(615.9-290)+(-0.961452+(-0.314109--0.1479))+0-318.4--0.162383999999968</f>
        <v>1891.7347229999998</v>
      </c>
      <c r="G115" s="3">
        <f>1887.1+(614-277.4)+(-0.962421+(-0.31314--0.141474))+0-320.6--0.163505999999967</f>
        <v>1902.1294189999999</v>
      </c>
      <c r="H115" s="3">
        <f>1888.8+(610.3-296.1)+(-1.926576+(-0.622506--0.302022))+0-324--0.330480000000052</f>
        <v>1877.0834199999999</v>
      </c>
      <c r="I115" s="3">
        <f>1891.3+(586.6-286.1)+(-2.893689+(-0.897498--0.437733))+0-323.9--0.495567000000019</f>
        <v>1865.042113</v>
      </c>
      <c r="J115" s="3">
        <f>1893.3+(536.5-275.1)+(-1.931166+(-0.54723--0.280602))+0-322.7--0.329154000000051</f>
        <v>1830.1313599999996</v>
      </c>
      <c r="K115" s="3">
        <f>1893.6+(452.8-245.7)+(-1.931472+(-0.461856--0.250614))+0-320.7--0.327114000000051</f>
        <v>1778.1843999999996</v>
      </c>
      <c r="L115" s="3">
        <f>1900.3+(257.1-232.8)+(0.969153+(0.131121-0.118728))+0-321.4-0.163913999999967</f>
        <v>1604.0176319999998</v>
      </c>
      <c r="M115" s="3">
        <f>1933.1+(205.3-256.9)+(2.957643+(0.314109-0.393057))+0-320.1-0.489753000000019</f>
        <v>1563.7889419999999</v>
      </c>
      <c r="N115" s="3">
        <f>1897.2+(217.3-258.5)+(-0.967572+(-0.110823--0.131835))+0-320.3--0.163352999999968</f>
        <v>1534.9167929999999</v>
      </c>
      <c r="O115" s="3">
        <f>1750.2+(337.4-266.8)+(3.570408+(0.688296-0.544272))+0-320.1-0.653003999999986</f>
        <v>1503.761428</v>
      </c>
      <c r="P115" s="3">
        <f>1743.4+(405.3-364.8)+(0+(0-0))+0-320.8-0</f>
        <v>1463.1000000000001</v>
      </c>
      <c r="Q115" s="3">
        <f>1734.9+(520.6-385.6)+(3.539196+(1.062024-0.786624))+0-322.8-0.658511999999986</f>
        <v>1550.2560840000001</v>
      </c>
      <c r="R115" s="3">
        <f>1763.7+(691.8-394.5)+(-0.899487+(-0.352818--0.201195))+0-323.1--0.164780999999967</f>
        <v>1737.0136710000002</v>
      </c>
      <c r="S115" s="3">
        <f>1762.2+(761.4-357.4)+(-1.797444+(-0.776628--0.364548))+0-322.8--0.329256000000052</f>
        <v>1841.519732</v>
      </c>
      <c r="T115" s="3">
        <f>1838.7+(688.4-348.2)+(1.875474+(0.702168-0.355164))+0-320.7-0.327114000000051</f>
        <v>1860.0953640000002</v>
      </c>
      <c r="U115" s="3">
        <f>1868.7+(666.9-344.4)+(-0.953037+(-0.340119--0.175644))+0-319.5--0.162944999999968</f>
        <v>1870.745433</v>
      </c>
      <c r="V115" s="3">
        <f>1869.4+(604.9-324.2)+(-1.906788+(-0.616998--0.330684))+0-323--0.329460000000051</f>
        <v>1825.2363579999999</v>
      </c>
      <c r="W115" s="3">
        <f>1873.5+(419-322.3)+(0.955485+(0.21369-0.164373))+0-323.2-0.164831999999967</f>
        <v>1647.83997</v>
      </c>
      <c r="X115" s="3">
        <f>1880.9+(209-317.6)+(-2.877777+(-0.31977--0.485928))+0-321.9--0.492507000000019</f>
        <v>1448.1808880000003</v>
      </c>
      <c r="Y115" s="3">
        <f>1890.3+(108-385.7)+(-3.856212+(-0.22032--0.786828))+0-320.4--0.653615999999986</f>
        <v>1289.5639120000001</v>
      </c>
      <c r="Z115" s="3">
        <f>1895.7+(365.1-448.2)+(0.966807+(0.186201-0.228582))+0-320.3-0.163352999999968</f>
        <v>1493.0610730000003</v>
      </c>
      <c r="AA115" s="3">
        <f>1897.7+(500.7-443.3)+(-2.903481+(-0.766071--0.678249))+0-320.4--0.490212000000018</f>
        <v>1632.198909</v>
      </c>
      <c r="AB115" s="3">
        <f>1898+(534.5-426.7)+(-1.93596+(-0.54519--0.435234))+0-318.8--0.325176000000051</f>
        <v>1685.27926</v>
      </c>
      <c r="AC115" s="3">
        <f>1900.5+(544.4-395.7)+(-2.907765+(-0.832932--0.605421))+0-319.1--0.488223000000018</f>
        <v>1727.452947</v>
      </c>
      <c r="AD115" s="2">
        <v>1642.0000000000002</v>
      </c>
      <c r="AE115" s="3">
        <f>1892+(510.9-436.6)+(0+(0-0))+0-324.3-0</f>
        <v>1642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1902.4+(514.3-352.2)+(2.910672+(0.786879-0.538866))+0-322.5-0.493425000000019</f>
        <v>1744.6652599999998</v>
      </c>
      <c r="G116" s="3">
        <f>1904.4+(490.7-341.5)+(0+(0-0))+0-321.7-0</f>
        <v>1731.8999999999999</v>
      </c>
      <c r="H116" s="3">
        <f>1908.9+(462.4-333.8)+(1.947078+(0.471648-0.340476))+0-322.6-0.329052000000051</f>
        <v>1716.6491980000001</v>
      </c>
      <c r="I116" s="3">
        <f>1914.9+(451.4-362.5)+(-1.953198+(-0.460428--0.36975))+0-319.2--0.325584000000051</f>
        <v>1682.8817080000003</v>
      </c>
      <c r="J116" s="3">
        <f>1916.1+(432.6-359.2)+(-0.977211+(-0.220626--0.183192))+0-318.4--0.162383999999968</f>
        <v>1670.2477390000001</v>
      </c>
      <c r="K116" s="3">
        <f>1918.2+(361.7-351.3)+(-4.89141+(-0.922335--0.895815))+0-317.6--0.809879999999954</f>
        <v>1606.89195</v>
      </c>
      <c r="L116" s="3">
        <f>1920.3+(221-332.6)+(-3.917412+(-0.45084--0.678504))+0-317.3--0.647291999999986</f>
        <v>1488.3575439999997</v>
      </c>
      <c r="M116" s="3">
        <f>1917.6+(157.7-338.4)+(-0.977976+(-0.080427--0.172584))+0-319.7--0.163046999999968</f>
        <v>1416.4772279999997</v>
      </c>
      <c r="N116" s="3">
        <f>1914.8+(107.7-321.1)+(-1.953096+(-0.109854--0.327522))+0-321.7--0.328134000000051</f>
        <v>1378.292706</v>
      </c>
      <c r="O116" s="3">
        <f>1856.6+(142.4-323.6)+(-1.893732+(-0.145248--0.330072))+0-322.4--0.328848000000051</f>
        <v>1351.61994</v>
      </c>
      <c r="P116" s="3">
        <f>1774.3+(269.6-349.7)+(-0.904893+(-0.137496--0.178347))+0-320.9--0.163658999999967</f>
        <v>1372.5996170000001</v>
      </c>
      <c r="Q116" s="3">
        <f>1769.5+(369.7-360)+(-0.902445+(-0.188547--0.1836))+0-319.8--0.163097999999968</f>
        <v>1458.655706</v>
      </c>
      <c r="R116" s="3">
        <f>1799.3+(486.9-387)+(0+(0-0))+0-319.1-0</f>
        <v>1580.1</v>
      </c>
      <c r="S116" s="3">
        <f>1878.9+(498.4-402.5)+(-1.916478+(-0.508368--0.41055))+0-318.5--0.324870000000051</f>
        <v>1654.6105740000003</v>
      </c>
      <c r="T116" s="3">
        <f>1879.3+(576.9-394.3)+(1.916886+(0.588438-0.402186))+0-318.8-0.325176000000051</f>
        <v>1744.877962</v>
      </c>
      <c r="U116" s="3">
        <f>1880.7+(610.8-391.3)+(-1.918314+(-0.623016--0.399126))+0-319.1--0.325482000000051</f>
        <v>1779.2832779999997</v>
      </c>
      <c r="V116" s="3">
        <f>1882.3+(540.6-377.6)+(-3.839892+(-1.102824--0.770304))+0-321.8--0.656471999999986</f>
        <v>1719.98406</v>
      </c>
      <c r="W116" s="3">
        <f>1882.3+(346.6-360.5)+(-1.919946+(-0.353532--0.36771))+0-323--0.329460000000051</f>
        <v>1543.8236920000002</v>
      </c>
      <c r="X116" s="3">
        <f>1886.9+(149.2-399)+(-2.886957+(-0.228276--0.61047))+0-322.7--0.493731000000019</f>
        <v>1312.3889680000002</v>
      </c>
      <c r="Y116" s="3">
        <f>1894.2+(146.8-503.1)+(-0.966042+(-0.074868--0.256581))+0-321.4--0.163913999999967</f>
        <v>1215.8795849999999</v>
      </c>
      <c r="Z116" s="3">
        <f>1842.5+(361.4-426.6)+(0+(0-0))+0-321.3-0</f>
        <v>1456</v>
      </c>
      <c r="AA116" s="3">
        <f>1776.6+(555.6-408.6)+(2.718198+(0.850068-0.625158))+0-320.4-0.490212000000018</f>
        <v>1605.6528959999998</v>
      </c>
      <c r="AB116" s="3">
        <f>1765.3+(647.9-409.3)+(-2.700909+(-0.991287--0.626229))+0-319.8--0.489294000000018</f>
        <v>1681.5233269999999</v>
      </c>
      <c r="AC116" s="3">
        <f>1766.5+(700.8-393.7)+(-2.702745+(-1.072224--0.602361))+0-319.8--0.489294000000018</f>
        <v>1751.1166860000001</v>
      </c>
      <c r="AD116" s="2">
        <v>1651.2</v>
      </c>
      <c r="AE116" s="3">
        <f>1766+(608.9-404.2)+(0+(0-0))+0-319.5-0</f>
        <v>1651.2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1764.5+(701.3-367.8)+(-0.899895+(-0.357663--0.187578))+0-322.9--0.164678999999967</f>
        <v>1774.1946989999997</v>
      </c>
      <c r="G117" s="3">
        <f>1766.1+(666.9-355.8)+(-2.702133+(-1.020357--0.544374))+0-323.2--0.494496000000019</f>
        <v>1751.3163799999998</v>
      </c>
      <c r="H117" s="3">
        <f>1762.1+(632.1-337.2)+(-1.797342+(-0.644742--0.343944))+0-323--0.329460000000051</f>
        <v>1732.2313200000001</v>
      </c>
      <c r="I117" s="3">
        <f>1765.7+(625.4-322.1)+(-1.801014+(-0.637908--0.328542))+0-320.5--0.326910000000051</f>
        <v>1746.7165299999999</v>
      </c>
      <c r="J117" s="3">
        <f>1773.1+(563.3-312.9)+(-1.808562+(-0.574566--0.319158))+0-320--0.326400000000051</f>
        <v>1701.7624300000002</v>
      </c>
      <c r="K117" s="3">
        <f>1891.1+(367.8-313.1)+(-3.857844+(-0.750312--0.638724))+0-318.9--0.650555999999986</f>
        <v>1623.5811239999998</v>
      </c>
      <c r="L117" s="3">
        <f>1919.6+(297.5-346.2)+(0+(0-0))+0-318.4-0</f>
        <v>1552.5</v>
      </c>
      <c r="M117" s="3">
        <f>1919.3+(231.1-344.5)+(-0.978843+(-0.117861--0.175695))+0-318.2--0.162281999999968</f>
        <v>1486.9412729999999</v>
      </c>
      <c r="N117" s="3">
        <f>1915.6+(211-358.4)+(1.953912+(0.21522-0.365568))+0-322.7-0.329154000000051</f>
        <v>1446.9744099999998</v>
      </c>
      <c r="O117" s="3">
        <f>1911.4+(290.6-369.4)+(-0.974814+(-0.148206--0.188394))+0-323.4--0.164933999999967</f>
        <v>1508.430308</v>
      </c>
      <c r="P117" s="3">
        <f>1902.2+(341.3-382.9)+(1.940244+(0.348126-0.390558))+0-322.6-0.329052000000051</f>
        <v>1539.5687600000001</v>
      </c>
      <c r="Q117" s="3">
        <f>1896.4+(408.3-414.8)+(0.967164+(0.208233-0.211548))+0-321.1-0.163760999999967</f>
        <v>1569.6000879999999</v>
      </c>
      <c r="R117" s="3">
        <f>1889.1+(554.5-410.8)+(0.963441+(0.282795-0.209508))+0-320.6-0.163505999999967</f>
        <v>1713.073222</v>
      </c>
      <c r="S117" s="3">
        <f>1883+(655.4-398.6)+(-0.96033+(-0.334254--0.203286))+0-320.1--0.163250999999968</f>
        <v>1818.7719530000004</v>
      </c>
      <c r="T117" s="3">
        <f>1878.8+(679.2-369.3)+(-2.874564+(-1.039176--0.565029))+0-321.1--0.491283000000019</f>
        <v>1864.7425719999999</v>
      </c>
      <c r="U117" s="3">
        <f>1880.2+(674.8-368.6)+(-3.835608+(-1.376592--0.751944))+0-322--0.656879999999986</f>
        <v>1860.5966240000002</v>
      </c>
      <c r="V117" s="3">
        <f>1878.2+(612.7-356.1)+(-3.831528+(-1.249908--0.726444))+0-321.1--0.655043999999986</f>
        <v>1810.0000520000003</v>
      </c>
      <c r="W117" s="3">
        <f>1874.3+(408.8-360.1)+(-2.867679+(-0.625464--0.550953))+0-321.7--0.492201000000019</f>
        <v>1598.850011</v>
      </c>
      <c r="X117" s="3">
        <f>1879.7+(243.3-427.4)+(-6.710529+(-0.868581--1.525818))+0-318.1--1.135617</f>
        <v>1372.5823249999999</v>
      </c>
      <c r="Y117" s="3">
        <f>1890+(195.5-490.6)+(-4.8195+(-0.498525--1.25103))+0-318.1--0.811154999999954</f>
        <v>1273.5441599999999</v>
      </c>
      <c r="Z117" s="3">
        <f>1899.7+(385.8-438.3)+(3.875388+(0.787032-0.894132))+0-318.1-0.648923999999986</f>
        <v>1532.219364</v>
      </c>
      <c r="AA117" s="3">
        <f>1907.7+(518.2-437.1)+(-0.972927+(-0.264282--0.222921))+0-317.5--0.161924999999968</f>
        <v>1670.447637</v>
      </c>
      <c r="AB117" s="3">
        <f>1906.9+(575-430.6)+(-5.835114+(-1.7595--1.317636))+0-318.6--0.974916000000037</f>
        <v>1727.3979380000001</v>
      </c>
      <c r="AC117" s="3">
        <f>1903.2+(616.7-408.4)+(0.970632+(0.314517-0.208284))+0-321.8-0.164117999999967</f>
        <v>1790.6127470000001</v>
      </c>
      <c r="AD117" s="2">
        <v>1700</v>
      </c>
      <c r="AE117" s="3">
        <f>1913+(540.5-437)+(0+(0-0))+0-316.5-0</f>
        <v>1700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1901.8+(583.3-380.3)+(-2.909754+(-0.892449--0.581859))+0-321.6--0.492048000000019</f>
        <v>1780.471704</v>
      </c>
      <c r="G118" s="3">
        <f>1900.7+(550.2-362.9)+(0.969357+(0.280602-0.185079))+0-318.8-0.162587999999968</f>
        <v>1770.102292</v>
      </c>
      <c r="H118" s="3">
        <f>1901.1+(509-359.4)+(-0.969561+(-0.25959--0.183294))+0-319.2--0.162791999999968</f>
        <v>1730.6169349999998</v>
      </c>
      <c r="I118" s="3">
        <f>1904.1+(468.6-341.9)+(-1.942182+(-0.477972--0.348738))+0-319.8--0.326196000000051</f>
        <v>1709.25478</v>
      </c>
      <c r="J118" s="3">
        <f>1908.7+(429.5-331)+(-3.893748+(-0.87618--0.67524))+0-322--0.656879999999986</f>
        <v>1681.7621920000001</v>
      </c>
      <c r="K118" s="3">
        <f>1909.7+(384.1-309.1)+(-2.921841+(-0.587673--0.472923))+0-321.6--0.492048000000019</f>
        <v>1660.5554569999999</v>
      </c>
      <c r="L118" s="3">
        <f>1914.9+(278.9-319.8)+(-4.882995+(-0.711195--0.81549))+0-319.1--0.813704999999954</f>
        <v>1550.9350049999998</v>
      </c>
      <c r="M118" s="3">
        <f>1916.7+(271.8-329.5)+(3.910068+(0.554472-0.67218))+0-316.5-0.645659999999986</f>
        <v>1545.6467</v>
      </c>
      <c r="N118" s="3">
        <f>1910.4+(251.7-357.6)+(0+(0-0))+0-318.1-0</f>
        <v>1486.4</v>
      </c>
      <c r="O118" s="3">
        <f>1902.1+(290.9-347)+(1.940142+(0.296718-0.35394))+0-318.1-0.324462000000051</f>
        <v>1529.4584580000001</v>
      </c>
      <c r="P118" s="3">
        <f>1894.2+(271.5-381.2)+(1.932084+(0.27693-0.388824))+0-319.5-0.325890000000051</f>
        <v>1466.4942999999998</v>
      </c>
      <c r="Q118" s="3">
        <f>1896.5+(412.5-408.4)+(0+(0-0))+0-322.8-0</f>
        <v>1577.8</v>
      </c>
      <c r="R118" s="3">
        <f>1901.5+(544.2-401.6)+(0.969765+(0.277542-0.204816))+0-323-0.164729999999967</f>
        <v>1721.9777609999999</v>
      </c>
      <c r="S118" s="3">
        <f>1896.3+(672.4-402.5)+(-1.934226+(-0.685848--0.41055))+0-322--0.328440000000051</f>
        <v>1842.3189159999999</v>
      </c>
      <c r="T118" s="3">
        <f>1896.4+(674.4-367)+(-3.868656+(-1.375776--0.74868))+0-320.3--0.653411999999986</f>
        <v>1879.6576600000003</v>
      </c>
      <c r="U118" s="3">
        <f>1895.3+(686.7-358.3)+(0.966603+(0.350217-0.182733))+0-319.4-0.162893999999968</f>
        <v>1905.2711929999996</v>
      </c>
      <c r="V118" s="3">
        <f>1892+(578-349)+(-3.85968+(-1.17912--0.71196))+0-318.9--0.650555999999986</f>
        <v>1798.4237159999998</v>
      </c>
      <c r="W118" s="3">
        <f>1889+(364-341.9)+(-1.92678+(-0.37128--0.348738))+0-320.1--0.326502000000051</f>
        <v>1589.3771800000002</v>
      </c>
      <c r="X118" s="3">
        <f>1888.3+(189.1-401.3)+(-1.926066+(-0.192882--0.409326))+0-321.5--0.327930000000051</f>
        <v>1353.218308</v>
      </c>
      <c r="Y118" s="3">
        <f>1894.5+(168-469.8)+(0+(0-0))+0-322.2-0</f>
        <v>1270.5</v>
      </c>
      <c r="Z118" s="3">
        <f>1899.5+(338.9-387.7)+(0+(0-0))+0-323.9-0</f>
        <v>1526.8000000000002</v>
      </c>
      <c r="AA118" s="3">
        <f>1905.7+(511.1-399.8)+(-3.887628+(-1.042644--0.815592))+0-323.7--0.660347999999986</f>
        <v>1689.8456679999999</v>
      </c>
      <c r="AB118" s="3">
        <f>1905.8+(620.5-390.3)+(-3.887832+(-1.26582--0.796212))+0-320.7--0.654227999999986</f>
        <v>1811.5967879999996</v>
      </c>
      <c r="AC118" s="3">
        <f>1905.8+(679.3-366.8)+(-4.85979+(-1.732215--0.93534))+0-318.6--0.812429999999954</f>
        <v>1894.8557649999998</v>
      </c>
      <c r="AD118" s="2">
        <v>1716.1</v>
      </c>
      <c r="AE118" s="3">
        <f>1923+(516.4-397.9)+(0+(0-0))+0-325.4-0</f>
        <v>1716.1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1905.6+(626.8-352)+(-4.85928+(-1.59834--0.8976))+0-320--0.815999999999954</f>
        <v>1855.6559799999998</v>
      </c>
      <c r="G119" s="3">
        <f>1904.3+(579.2-365.3)+(-2.913579+(-0.886176--0.558909))+0-324--0.495720000000019</f>
        <v>1791.4548739999998</v>
      </c>
      <c r="H119" s="3">
        <f>1902.3+(556.7-379)+(-0.970173+(-0.283917--0.19329))+0-324.4--0.165443999999967</f>
        <v>1754.7046439999997</v>
      </c>
      <c r="I119" s="3">
        <f>1902.3+(514.8-368)+(-4.850865+(-1.31274--0.9384))+0-323.9--0.825944999999953</f>
        <v>1720.8007400000001</v>
      </c>
      <c r="J119" s="3">
        <f>1902.5+(568.7-340.1)+(-3.8811+(-1.160148--0.693804))+0-321.4--0.655655999999986</f>
        <v>1806.0082119999997</v>
      </c>
      <c r="K119" s="3">
        <f>1906.5+(432.5-328.7)+(-1.94463+(-0.44115--0.335274))+0-319.3--0.325686000000051</f>
        <v>1689.2751800000001</v>
      </c>
      <c r="L119" s="3">
        <f>1911.9+(331.7-295.9)+(-4.875345+(-0.845835--0.754545))+0-319.2--0.813959999999954</f>
        <v>1624.347325</v>
      </c>
      <c r="M119" s="3">
        <f>1913.7+(217.2-344.8)+(3.903948+(0.443088-0.703392))+0-321.5-0.655859999999986</f>
        <v>1467.5877839999998</v>
      </c>
      <c r="N119" s="3">
        <f>1910.8+(238.4-354.5)+(4.87254+(0.60792-0.903975))+0-324-0.826199999999953</f>
        <v>1474.4502850000001</v>
      </c>
      <c r="O119" s="3">
        <f>1907.2+(253.5-385.6)+(1.945344+(0.25857-0.393312))+0-324.1-0.330582000000052</f>
        <v>1452.48002</v>
      </c>
      <c r="P119" s="3">
        <f>1901.5+(343.9-410.3)+(2.909295+(0.526167-0.627759))+0-321.6-0.492048000000019</f>
        <v>1515.8156549999999</v>
      </c>
      <c r="Q119" s="3">
        <f>1894.2+(411.8-419.6)+(3.864168+(0.840072-0.855984))+0-321-0.654839999999986</f>
        <v>1568.5934160000002</v>
      </c>
      <c r="R119" s="3">
        <f>1888.3+(554.5-407.2)+(2.889099+(0.848385-0.623016))+0-320.1-0.489753000000019</f>
        <v>1718.1247149999997</v>
      </c>
      <c r="S119" s="3">
        <f>1884.6+(667.8-406.2)+(-0.961146+(-0.340578--0.207162))+0-319.4--0.162893999999968</f>
        <v>1825.8683319999996</v>
      </c>
      <c r="T119" s="3">
        <f>1882.7+(720.3-407.9)+(0+(0-0))+0-320.5-0</f>
        <v>1874.6</v>
      </c>
      <c r="U119" s="3">
        <f>1881.7+(693-390.2)+(-4.798335+(-1.76715--0.99501))+0-321.7--0.820334999999953</f>
        <v>1858.0498599999999</v>
      </c>
      <c r="V119" s="3">
        <f>1874.3+(610.8-368.4)+(0.955893+(0.311508-0.187884))+0-321.7-0.164066999999967</f>
        <v>1795.91545</v>
      </c>
      <c r="W119" s="3">
        <f>1872.5+(383.9-361)+(-2.864925+(-0.587367--0.55233))+0-321.1--0.491283000000019</f>
        <v>1571.8913210000003</v>
      </c>
      <c r="X119" s="3">
        <f>1886+(183.7-393.1)+(-5.77116+(-0.562122--1.202886))+0-320.9--0.981954000000037</f>
        <v>1351.5515579999999</v>
      </c>
      <c r="Y119" s="3">
        <f>1900.5+(158.2-466.5)+(0+(0-0))+0-321.5-0</f>
        <v>1270.7</v>
      </c>
      <c r="Z119" s="3">
        <f>1907.5+(332.4-409.3)+(-2.918475+(-0.508572--0.626229))+0-323.3--0.494649000000019</f>
        <v>1504.993831</v>
      </c>
      <c r="AA119" s="3">
        <f>1912+(520-407.3)+(-2.92536+(-0.7956--0.623169))+0-322.8--0.493884000000019</f>
        <v>1699.2960930000002</v>
      </c>
      <c r="AB119" s="3">
        <f>1765.6+(769.7-373.3)+(-5.402736+(-2.355282--1.142298))+0-322.8--0.987768000000037</f>
        <v>1833.5720480000002</v>
      </c>
      <c r="AC119" s="3">
        <f>1664.9+(808.1-358.7)+(-2.547297+(-1.236393--0.548811))+0-322--0.492660000000019</f>
        <v>1789.5577810000002</v>
      </c>
      <c r="AD119" s="2">
        <v>1744.8</v>
      </c>
      <c r="AE119" s="3">
        <f>1913+(552.9-397.4)+(0+(0-0))+0-323.7-0</f>
        <v>1744.8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1665.4+(796.8-339.3)+(-5.945478+(-2.844576--1.211301))+0-324--1.15668</f>
        <v>1792.4779270000004</v>
      </c>
      <c r="G120" s="3">
        <f>1664.8+(817.5-313)+(-4.24524+(-2.084625--0.79815))+0-323.2--0.824159999999953</f>
        <v>1841.392445</v>
      </c>
      <c r="H120" s="3">
        <f>1665.5+(619.9-308.1)+(-3.39762+(-1.264596--0.628524))+0-231.4--0.47205599999999</f>
        <v>1742.338364</v>
      </c>
      <c r="I120" s="3">
        <f>1667.5+(410.2-330.1)+(-3.4017+(-0.836808--0.673404))+0-70.2--0.143207999999997</f>
        <v>1673.9781039999998</v>
      </c>
      <c r="J120" s="3">
        <f>1670.1+(512.1-304.5)+(0+(0-0))+0-233.1-0</f>
        <v>1644.6</v>
      </c>
      <c r="K120" s="3">
        <f>1670.9+(493.8-294)+(-3.408636+(-1.007352--0.59976))+0-285.1--0.581603999999988</f>
        <v>1582.3653760000002</v>
      </c>
      <c r="L120" s="3">
        <f>1671.8+(367-293)+(0+(0-0))+0-299.5-0</f>
        <v>1446.3</v>
      </c>
      <c r="M120" s="3">
        <f>1777+(218.2-302.7)+(2.71881+(0.333846-0.463131))+0-303.6-0.464508000000018</f>
        <v>1391.0250169999999</v>
      </c>
      <c r="N120" s="3">
        <f>1894.7+(123.7-338.2)+(0.966297+(0.063087-0.172482))+0-299.7-0.15284699999997</f>
        <v>1381.2040549999999</v>
      </c>
      <c r="O120" s="3">
        <f>1910.1+(159.7-378)+(0.974151+(0.081447-0.19278))+0-305.9-0.156008999999969</f>
        <v>1386.6068090000001</v>
      </c>
      <c r="P120" s="3">
        <f>1903.7+(212.2-386.1)+(3.883548+(0.432888-0.787644))+0-310.7-0.633827999999986</f>
        <v>1421.994964</v>
      </c>
      <c r="Q120" s="3">
        <f>1897.6+(348.7-390)+(2.903328+(0.533511-0.5967))+0-307.1-0.469863000000018</f>
        <v>1551.5702759999997</v>
      </c>
      <c r="R120" s="3">
        <f>1893+(457.6-379.9)+(-0.96543+(-0.233376--0.193749))+0-295.1--0.15050099999997</f>
        <v>1674.7454440000001</v>
      </c>
      <c r="S120" s="3">
        <f>1887.8+(605.4-361)+(-2.888334+(-0.926262--0.55233))+0-299.3--0.457929000000017</f>
        <v>1830.0956629999996</v>
      </c>
      <c r="T120" s="3">
        <f>1882.1+(649.3-322.3)+(-0.959871+(-0.331143--0.164373))+0-313.8--0.160037999999968</f>
        <v>1894.3333970000001</v>
      </c>
      <c r="U120" s="3">
        <f>1878.3+(607.3-316.8)+(3.831732+(1.238892-0.646272))+0-339.9-0.693395999999985</f>
        <v>1832.6309559999997</v>
      </c>
      <c r="V120" s="3">
        <f>1877.3+(582.7-324.8)+(0+(0-0))+0-330.1-0</f>
        <v>1805.1</v>
      </c>
      <c r="W120" s="3">
        <f>1880.3+(362-336.6)+(-4.794765+(-0.9231--0.85833))+0-328.7--0.838184999999952</f>
        <v>1572.9786499999996</v>
      </c>
      <c r="X120" s="3">
        <f>1894.1+(82.4-324.4)+(-2.897973+(-0.126072--0.496332))+0-329.9--0.504747000000019</f>
        <v>1320.1770339999998</v>
      </c>
      <c r="Y120" s="3">
        <f>1908.3+(36.3-365.9)+(-0.973233+(-0.018513--0.186609))+0-331.7--0.169166999999966</f>
        <v>1246.36403</v>
      </c>
      <c r="Z120" s="3">
        <f>1914.7+(334.2-390.6)+(1.952994+(0.340884-0.398412))+0-330.7-0.337314000000053</f>
        <v>1529.1581519999997</v>
      </c>
      <c r="AA120" s="3">
        <f>1918.4+(516.7-383.9)+(-1.956768+(-0.527034--0.391578))+0-330.3--0.336906000000053</f>
        <v>1719.1446820000003</v>
      </c>
      <c r="AB120" s="3">
        <f>1917.3+(508.8-387)+(-1.955646+(-0.518976--0.39474))+0-326.6--0.333132000000052</f>
        <v>1710.75325</v>
      </c>
      <c r="AC120" s="3">
        <f>1916.1+(541.6-370.2)+(-1.954422+(-0.552432--0.377604))+0-327.6--0.334152000000052</f>
        <v>1758.1049020000003</v>
      </c>
      <c r="AD120" s="2">
        <v>1709.2000000000003</v>
      </c>
      <c r="AE120" s="3">
        <f>1917+(513.4-385.6)+(0+(0-0))+0-335.6-0</f>
        <v>1709.1999999999998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1915.2+(529.2-349.9)+(-2.930256+(-0.809676--0.535347))+0-328.5--0.502605000000019</f>
        <v>1763.2980200000002</v>
      </c>
      <c r="G121" s="3">
        <f>1914.7+(512.5-347.8)+(-0.976497+(-0.261375--0.177378))+0-334.6--0.170645999999966</f>
        <v>1743.9101520000004</v>
      </c>
      <c r="H121" s="3">
        <f>1913.7+(462.8-327.5)+(-2.927961+(-0.708084--0.501075))+0-334.9--0.512397000000019</f>
        <v>1711.4774269999998</v>
      </c>
      <c r="I121" s="3">
        <f>1913+(434-313.6)+(-1.95126+(-0.44268--0.319872))+0-331.7--0.338334000000053</f>
        <v>1699.9642660000002</v>
      </c>
      <c r="J121" s="3">
        <f>1915.1+(481-294.2)+(-4.883505+(-1.22655--0.75021))+0-331.5--0.845324999999952</f>
        <v>1765.8854800000001</v>
      </c>
      <c r="K121" s="3">
        <f>1919.1+(357.7-319.5)+(-4.893705+(-0.912135--0.814725))+0-329.5--0.840224999999952</f>
        <v>1623.6491099999998</v>
      </c>
      <c r="L121" s="3">
        <f>1924.3+(257.4-333)+(1.962786+(0.262548-0.33966))+0-328.8-0.335376000000052</f>
        <v>1521.450298</v>
      </c>
      <c r="M121" s="3">
        <f>1923.5+(218-361.3)+(-0.980985+(-0.11118--0.184263))+0-329.5--0.168044999999967</f>
        <v>1449.960143</v>
      </c>
      <c r="N121" s="3">
        <f>1904+(201.4-330.2)+(2.91312+(0.308142-0.505206))+0-331.4-0.507042000000019</f>
        <v>1446.009014</v>
      </c>
      <c r="O121" s="3">
        <f>1915.5+(165.4-358.3)+(0+(0-0))+0-331.4-0</f>
        <v>1391.1999999999998</v>
      </c>
      <c r="P121" s="3">
        <f>1911.4+(252.9-360.2)+(1.949628+(0.257958-0.367404))+0-328.4-0.334968000000052</f>
        <v>1477.2052140000001</v>
      </c>
      <c r="Q121" s="3">
        <f>1902.5+(411.2-374.9)+(2.910825+(0.629136-0.573597))+0-328.6-0.502758000000019</f>
        <v>1612.6636060000001</v>
      </c>
      <c r="R121" s="3">
        <f>1894.6+(562.6-395)+(2.898738+(0.860778-0.60435))+0-327-0.500310000000019</f>
        <v>1737.8548559999997</v>
      </c>
      <c r="S121" s="3">
        <f>1886.6+(755.6-389.3)+(-3.848664+(-1.541424--0.794172))+0-321.4--0.655655999999986</f>
        <v>1927.5597399999997</v>
      </c>
      <c r="T121" s="3">
        <f>1878.6+(757.4-392)+(0+(0-0))+0-327.2-0</f>
        <v>1916.8</v>
      </c>
      <c r="U121" s="3">
        <f>1874.8+(720.3-380.5)+(-2.868444+(-1.102059--0.582165))+0-326.4--0.499392000000019</f>
        <v>1885.3110539999996</v>
      </c>
      <c r="V121" s="3">
        <f>1772+(624.8-286.1)+(0.90372+(0.318648-0.145911))+0-326-0.166259999999967</f>
        <v>1785.610197</v>
      </c>
      <c r="W121" s="3">
        <f>1746.2+(407.7-270.9)+(-2.671686+(-0.623781--0.414477))+0-328--0.501840000000019</f>
        <v>1552.62085</v>
      </c>
      <c r="X121" s="3">
        <f>1754.1+(175-277.3)+(-3.578364+(-0.357--0.565692))+0-328.1--0.669323999999986</f>
        <v>1320.999652</v>
      </c>
      <c r="Y121" s="3">
        <f>1765+(144.5-341.9)+(-0.90015+(-0.073695--0.174369))+0-326.3--0.166412999999967</f>
        <v>1240.666937</v>
      </c>
      <c r="Z121" s="3">
        <f>1769.7+(459.7-394.5)+(4.512735+(1.172235-1.005975))+0-316.6-0.807329999999954</f>
        <v>1522.1716650000001</v>
      </c>
      <c r="AA121" s="3">
        <f>1776.4+(594.3-411)+(0.905964+(0.303093-0.20961))+0-287.7-0.146726999999971</f>
        <v>1672.8527199999999</v>
      </c>
      <c r="AB121" s="3">
        <f>1762.6+(673.2-404.8)+(1.797852+(0.686664-0.412896))+0-313.1-0.31936200000005</f>
        <v>1719.6522579999998</v>
      </c>
      <c r="AC121" s="3">
        <f>1652.8+(814.2-377.3)+(0.842928+(0.415242-0.192423))+0-324.7-0.165596999999967</f>
        <v>1765.9001499999999</v>
      </c>
      <c r="AD121" s="2">
        <v>1665.8999999999999</v>
      </c>
      <c r="AE121" s="3">
        <f>1773+(594.2-414.6)+(0+(0-0))+0-286.7-0</f>
        <v>1665.8999999999999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1644.2+(849.5-345.6)+(-2.515626+(-1.299735--0.528768))+0-324.9--0.497097000000019</f>
        <v>1820.4105039999999</v>
      </c>
      <c r="G122" s="3">
        <f>1647.3+(887.8-321.2)+(-1.680246+(-0.905556--0.327624))+0-326.8--0.333336000000052</f>
        <v>1885.1751579999998</v>
      </c>
      <c r="H122" s="3">
        <f>1647.7+(785.5-331.2)+(-1.680654+(-0.80121--0.337824))+0-328--0.334560000000052</f>
        <v>1772.1905199999999</v>
      </c>
      <c r="I122" s="3">
        <f>1653.7+(790.2-304.3)+(0+(0-0))+0-330.4-0</f>
        <v>1809.1999999999998</v>
      </c>
      <c r="J122" s="3">
        <f>1654.7+(680.1-297.7)+(-0.843897+(-0.346851--0.151827))+0-329.8--0.168197999999967</f>
        <v>1706.4292770000002</v>
      </c>
      <c r="K122" s="3">
        <f>1658.3+(562.8-266.8)+(-1.691466+(-0.574056--0.272136))+0-330.4--0.337008000000053</f>
        <v>1622.243622</v>
      </c>
      <c r="L122" s="3">
        <f>1663.8+(421.7-277.3)+(0+(0-0))+0-328.5-0</f>
        <v>1479.6999999999998</v>
      </c>
      <c r="M122" s="3">
        <f>1660.6+(371.7-305.1)+(1.693812+(0.379134-0.311202))+0-326.5-0.333030000000052</f>
        <v>1402.1287139999997</v>
      </c>
      <c r="N122" s="3">
        <f>1647.7+(354-315.8)+(4.201635+(0.9027-0.80529))+0-329.9-0.841244999999952</f>
        <v>1359.4578000000004</v>
      </c>
      <c r="O122" s="3">
        <f>1634.6+(386.3-319)+(2.500938+(0.591039-0.48807))+0-330-0.504900000000019</f>
        <v>1373.9990069999999</v>
      </c>
      <c r="P122" s="3">
        <f>1621.1+(494.3-350.4)+(1.653522+(0.504186-0.357408))+0-331.7-0.338334000000053</f>
        <v>1434.761966</v>
      </c>
      <c r="Q122" s="3">
        <f>1610.8+(652.4-375.8)+(2.464524+(0.998172-0.574974))+0-335.8-0.513774000000019</f>
        <v>1553.9739479999998</v>
      </c>
      <c r="R122" s="3">
        <f>1599.9+(807.9-355.2)+(-0.815949+(-0.412029--0.181152))+0-330.7--0.168656999999966</f>
        <v>1721.021831</v>
      </c>
      <c r="S122" s="3">
        <f>1591.8+(906.4-319.7)+(-4.05909+(-2.31132--0.815235))+0-328.8--0.838439999999952</f>
        <v>1844.9832650000001</v>
      </c>
      <c r="T122" s="3">
        <f>1589.6+(936.4-314.3)+(0+(0-0))+0-327.3-0</f>
        <v>1884.3999999999999</v>
      </c>
      <c r="U122" s="3">
        <f>1583.9+(921.5-293.8)+(-2.423367+(-1.409895--0.449514))+0-329.1--0.503523000000019</f>
        <v>1879.6197750000003</v>
      </c>
      <c r="V122" s="3">
        <f>1579.2+(789-286.3)+(-2.416176+(-1.20717--0.438039))+0-331.6--0.507348000000019</f>
        <v>1747.6220410000001</v>
      </c>
      <c r="W122" s="3">
        <f>1586.3+(559.2-309.3)+(-1.618026+(-0.570384--0.315486))+0-332.6--0.339252000000053</f>
        <v>1502.0663280000001</v>
      </c>
      <c r="X122" s="3">
        <f>1584.2+(338.8-282.7)+(-1.615884+(-0.345576--0.288354))+0-331.8--0.338436000000053</f>
        <v>1307.1653300000003</v>
      </c>
      <c r="Y122" s="3">
        <f>1595+(301.3-300.8)+(2.44035+(0.460989-0.460224))+0-330-0.504900000000019</f>
        <v>1267.4362150000002</v>
      </c>
      <c r="Z122" s="3">
        <f>1615.7+(645.7-343.6)+(1.648014+(0.658614-0.350472))+0-332.1-0.338742000000053</f>
        <v>1587.3174139999999</v>
      </c>
      <c r="AA122" s="3">
        <f>1623+(769.5-348.2)+(-3.31092+(-1.56978--0.710328))+0-330.5--0.674219999999986</f>
        <v>1710.3038479999998</v>
      </c>
      <c r="AB122" s="3">
        <f>1624.9+(802.7-344.3)+(-1.657398+(-0.818754--0.351186))+0-331--0.337620000000053</f>
        <v>1750.5126540000003</v>
      </c>
      <c r="AC122" s="3">
        <f>1631.1+(842.2-341.3)+(-0.831861+(-0.429522--0.174063))+0-330.4--0.168503999999966</f>
        <v>1800.6811839999998</v>
      </c>
      <c r="AD122" s="2">
        <v>1732.9999999999998</v>
      </c>
      <c r="AE122" s="3">
        <f>1623+(786.6-345.8)+(0+(0-0))+0-330.8-0</f>
        <v>1733.0000000000002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1633+(893.5-344.3)+(0+(0-0))+0-328.8-0</f>
        <v>1853.3999999999999</v>
      </c>
      <c r="G123" s="3">
        <f>1629.9+(867.6-351.8)+(-1.662498+(-0.884952--0.358836))+0-330.7--0.337314000000053</f>
        <v>1813.1486999999997</v>
      </c>
      <c r="H123" s="3">
        <f>1627.7+(828.6-335.8)+(0+(0-0))+0-331.5-0</f>
        <v>1789</v>
      </c>
      <c r="I123" s="3">
        <f>1631.4+(770.2-330.7)+(-1.664028+(-0.785604--0.337314))+0-331.7--0.338334000000053</f>
        <v>1737.4260160000001</v>
      </c>
      <c r="J123" s="3">
        <f>1634.2+(734.8-320.9)+(-2.500326+(-1.124244--0.490977))+0-328.4--0.502452000000019</f>
        <v>1717.0688589999997</v>
      </c>
      <c r="K123" s="3">
        <f>1637.1+(634.7-293)+(-3.339684+(-1.294788--0.59772))+0-327.1--0.667283999999986</f>
        <v>1648.3305319999997</v>
      </c>
      <c r="L123" s="3">
        <f>1643.8+(474.7-260.7)+(-2.515014+(-0.726291--0.398871))+0-327.5--0.501075000000019</f>
        <v>1527.9586410000002</v>
      </c>
      <c r="M123" s="3">
        <f>1639.6+(478.5-328.3)+(2.508588+(0.732105-0.502299))+0-328-0.501840000000019</f>
        <v>1464.0365539999998</v>
      </c>
      <c r="N123" s="3">
        <f>1629+(466.5-342.6)+(1.66158+(0.47583-0.349452))+0-330.8-0.337416000000053</f>
        <v>1423.550542</v>
      </c>
      <c r="O123" s="3">
        <f>1617.5+(467.3-335.7)+(0.824925+(0.238323-0.171207))+0-330.4-0.168503999999966</f>
        <v>1419.4235369999999</v>
      </c>
      <c r="P123" s="3">
        <f>1614.9+(531.7-343.3)+(2.470797+(0.813501-0.525249))+0-330.5-0.505665000000019</f>
        <v>1475.0533840000003</v>
      </c>
      <c r="Q123" s="3">
        <f>1614.4+(691.4-352.2)+(1.646688+(0.705228-0.359244))+0-332.4-0.339048000000053</f>
        <v>1622.8536240000001</v>
      </c>
      <c r="R123" s="3">
        <f>1571.6+(875.5-346.2)+(1.603032+(0.89301-0.353124))+0-330.5-0.337110000000053</f>
        <v>1772.2058079999995</v>
      </c>
      <c r="S123" s="3">
        <f>1569.5+(917.8-332.3)+(1.60089+(0.936156-0.338946))+0-323.4-0.329868000000052</f>
        <v>1833.4682319999999</v>
      </c>
      <c r="T123" s="3">
        <f>1569+(930.5-314.5)+(0+(0-0))+0-307.2-0</f>
        <v>1877.8</v>
      </c>
      <c r="U123" s="3">
        <f>1563.7+(917.8-307.3)+(0+(0-0))+0-302.8-0</f>
        <v>1871.3999999999999</v>
      </c>
      <c r="V123" s="3">
        <f>1563.3+(855.3-290.5)+(0+(0-0))+0-321.8-0</f>
        <v>1806.3</v>
      </c>
      <c r="W123" s="3">
        <f>1568.1+(674.9-274.1)+(0+(0-0))+0-324.1-0</f>
        <v>1644.7999999999997</v>
      </c>
      <c r="X123" s="3">
        <f>1574.8+(406.2-255.8)+(-2.409444+(-0.621486--0.391374))+0-321.1--0.491283000000019</f>
        <v>1401.9517269999999</v>
      </c>
      <c r="Y123" s="3">
        <f>1581.9+(304.4-255.7)+(-3.227076+(-0.620976--0.521628))+0-328.9--0.670955999999986</f>
        <v>1299.0445319999999</v>
      </c>
      <c r="Z123" s="3">
        <f>1594.5+(637.3-331.7)+(0+(0-0))+0-331.1-0</f>
        <v>1569</v>
      </c>
      <c r="AA123" s="3">
        <f>1609.3+(797.7-362.2)+(-4.103715+(-2.034135--0.92361))+0-331.3--0.844814999999952</f>
        <v>1709.1305749999999</v>
      </c>
      <c r="AB123" s="3">
        <f>1619+(858.4-363.4)+(0.82569+(0.437784-0.185334))+0-332.6-0.169625999999966</f>
        <v>1782.3085140000003</v>
      </c>
      <c r="AC123" s="3">
        <f>1626.1+(886.9-353.2)+(-0.829311+(-0.452319--0.180132))+0-332--0.169319999999966</f>
        <v>1826.8678220000002</v>
      </c>
      <c r="AD123" s="2">
        <v>1724.1</v>
      </c>
      <c r="AE123" s="3">
        <f>1605+(803.3-349.8)+(0+(0-0))+0-334.4-0</f>
        <v>1724.1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1630+(888.8-324.6)+(-1.6626+(-0.906576--0.331092))+0-331.6--0.338232000000053</f>
        <v>1860.7001479999999</v>
      </c>
      <c r="G124" s="3">
        <f>1628+(861.2-299.9)+(-0.83028+(-0.439212--0.152949))+0-334.2--0.170441999999966</f>
        <v>1854.1538989999999</v>
      </c>
      <c r="H124" s="3">
        <f>1631.9+(803.9-285.2)+(0.832269+(0.409989-0.145452))+0-333.3-0.169982999999966</f>
        <v>1818.2268230000004</v>
      </c>
      <c r="I124" s="3">
        <f>1625.5+(802.5-286.5)+(0.829005+(0.409275-0.146115))+0-332.6-0.169625999999966</f>
        <v>1809.8225390000002</v>
      </c>
      <c r="J124" s="3">
        <f>1622.4+(757.2-277.4)+(-2.482272+(-1.158516--0.424422))+0-331.4--0.507042000000019</f>
        <v>1768.090676</v>
      </c>
      <c r="K124" s="3">
        <f>1628+(649.2-254.2)+(-1.66056+(-0.662184--0.259284))+0-331.1--0.337722000000053</f>
        <v>1690.1742619999998</v>
      </c>
      <c r="L124" s="3">
        <f>1635.9+(498.2-246.1)+(-1.668618+(-0.508164--0.251022))+0-327.5--0.334050000000052</f>
        <v>1558.9082900000001</v>
      </c>
      <c r="M124" s="3">
        <f>1636.7+(466.3-252.1)+(0.834717+(0.237813-0.128571))+0-326.9-0.166718999999967</f>
        <v>1524.7772400000001</v>
      </c>
      <c r="N124" s="3">
        <f>1642.4+(511-277.1)+(3.350496+(1.04244-0.565284))+0-330.3-0.673811999999986</f>
        <v>1549.1538400000002</v>
      </c>
      <c r="O124" s="3">
        <f>1597.5+(614.7-295.7)+(1.62945+(0.626994-0.301614))+0-329.9-0.336498000000053</f>
        <v>1588.2183319999999</v>
      </c>
      <c r="P124" s="3">
        <f>1586.2+(706.6-328.8)+(0.808962+(0.360366-0.167688))+0-330-0.168299999999967</f>
        <v>1634.8333399999999</v>
      </c>
      <c r="Q124" s="3">
        <f>1575.8+(801.5-343.7)+(0.803658+(0.408765-0.175287))+0-327.5-0.167024999999967</f>
        <v>1706.9701109999999</v>
      </c>
      <c r="R124" s="3">
        <f>1587.1+(933.6-327.8)+(1.618842+(0.952272-0.334356))+0-327.5-0.334050000000052</f>
        <v>1867.3027079999995</v>
      </c>
      <c r="S124" s="3">
        <f>1587+(982.7-314.9)+(-2.42811+(-1.503531--0.481797))+0-291.7--0.446301000000017</f>
        <v>1960.0964569999999</v>
      </c>
      <c r="T124" s="3">
        <f>1583.6+(1025.8-296.6)+(-0.807636+(-0.523158--0.151266))+0-308.5--0.157334999999969</f>
        <v>2003.2778069999995</v>
      </c>
      <c r="U124" s="3">
        <f>1580.4+(1040.6-277.7)+(0.806004+(0.530706-0.141627))+0-320.8-0.163607999999967</f>
        <v>2023.5314750000002</v>
      </c>
      <c r="V124" s="3">
        <f>1577.2+(1051.1-258.7)+(2.413116+(1.608183-0.395811))+0-322-0.492660000000019</f>
        <v>2050.7328280000002</v>
      </c>
      <c r="W124" s="3">
        <f>1576+(917.2-262.9)+(0.80376+(0.467772-0.134079))+0-325.2-0.165851999999967</f>
        <v>1906.0716010000001</v>
      </c>
      <c r="X124" s="3">
        <f>1565.1+(637.8-253.7)+(-2.394603+(-0.975834--0.388161))+0-326--0.498780000000019</f>
        <v>1620.716504</v>
      </c>
      <c r="Y124" s="3">
        <f>1563.1+(602.8-263)+(0+(0-0))+0-331-0</f>
        <v>1571.8999999999999</v>
      </c>
      <c r="Z124" s="3">
        <f>1562.9+(872.3-315.7)+(1.594158+(0.889746-0.322014))+0-330-0.336600000000053</f>
        <v>1791.3252899999998</v>
      </c>
      <c r="AA124" s="3">
        <f>1564.4+(892-325.6)+(-3.98922+(-2.2746--0.83028))+0-331--0.844049999999952</f>
        <v>1795.2105100000001</v>
      </c>
      <c r="AB124" s="3">
        <f>1563.6+(913.5-319.7)+(0.797436+(0.465885-0.163047))+0-330-0.168299999999967</f>
        <v>1828.3319739999995</v>
      </c>
      <c r="AC124" s="3">
        <f>1564.1+(960.8-307.6)+(-1.595382+(-0.980016--0.313752))+0-331--0.337620000000053</f>
        <v>1884.3759739999998</v>
      </c>
      <c r="AD124" s="2">
        <v>1822.3000000000002</v>
      </c>
      <c r="AE124" s="3">
        <f>1583+(882.4-311.1)+(0+(0-0))+0-332-0</f>
        <v>1822.3000000000002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1600.4+(975.5-289.5)+(-0.816204+(-0.497505--0.147645))+0-331--0.168809999999966</f>
        <v>1954.402746</v>
      </c>
      <c r="G125" s="3">
        <f>1597+(919.6-283.6)+(0+(0-0))+0-330-0</f>
        <v>1903</v>
      </c>
      <c r="H125" s="3">
        <f>1596.7+(833.2-271.4)+(1.628634+(0.849864-0.276828))+0-330-0.336600000000053</f>
        <v>1830.3650699999998</v>
      </c>
      <c r="I125" s="3">
        <f>1609.8+(740-277.8)+(2.462994+(1.1322-0.425034))+0-275-0.420750000000016</f>
        <v>1799.7494100000001</v>
      </c>
      <c r="J125" s="3">
        <f>1614.1+(762.9-250.3)+(-1.646382+(-0.778158--0.255306))+0-329--0.335580000000052</f>
        <v>1795.866346</v>
      </c>
      <c r="K125" s="3">
        <f>1607.4+(690.1-223.9)+(-3.279096+(-1.407804--0.456756))+0-329--0.671159999999986</f>
        <v>1741.0410160000001</v>
      </c>
      <c r="L125" s="3">
        <f>1614.8+(518.6-225)+(-4.11774+(-1.32243--0.57375))+0-327--0.833849999999953</f>
        <v>1577.36743</v>
      </c>
      <c r="M125" s="3">
        <f>1614.2+(561-229.9)+(2.469726+(0.85833-0.351747))+0-327-0.500310000000019</f>
        <v>1620.775999</v>
      </c>
      <c r="N125" s="3">
        <f>1599+(581.6-268.8)+(2.44647+(0.889848-0.411264))+0-328-0.501840000000019</f>
        <v>1586.2232139999999</v>
      </c>
      <c r="O125" s="3">
        <f>1582.5+(666.9-285.1)+(3.2283+(1.360476-0.581604))+0-329-0.671159999999986</f>
        <v>1638.6360120000002</v>
      </c>
      <c r="P125" s="3">
        <f>1574.9+(709.9-312.9)+(0.803199+(0.362049-0.159579))+0-330-0.168299999999967</f>
        <v>1642.7373689999999</v>
      </c>
      <c r="Q125" s="3">
        <f>1576.4+(794.3-333.5)+(1.607928+(0.810186-0.34017))+0-328-0.334560000000052</f>
        <v>1710.9433839999999</v>
      </c>
      <c r="R125" s="3">
        <f>1572.7+(934.4-309.1)+(2.406231+(1.429632-0.472923))+0-328-0.501840000000019</f>
        <v>1872.8610999999999</v>
      </c>
      <c r="S125" s="3">
        <f>1571.3+(1036.9-298.4)+(-0.801363+(-0.528819--0.152184))+0-328--0.167279999999967</f>
        <v>1980.789282</v>
      </c>
      <c r="T125" s="3">
        <f>1578.6+(1178.8-295.1)+(1.610172+(1.202376-0.301002))+0-324-0.330480000000052</f>
        <v>2140.4810659999998</v>
      </c>
      <c r="U125" s="3">
        <f>1586.1+(1058.5-290.1)+(-0.808911+(-0.539835--0.147951))+0-320--0.163199999999968</f>
        <v>2033.4624049999998</v>
      </c>
      <c r="V125" s="3">
        <f>1589.6+(1026-265.1)+(1.621392+(1.04652-0.270402))+0-323-0.329460000000051</f>
        <v>2029.5680499999996</v>
      </c>
      <c r="W125" s="3">
        <f>1595.4+(849.1-270.9)+(-3.254616+(-1.732164--0.552636))+0-326--0.665039999999986</f>
        <v>1843.8308960000006</v>
      </c>
      <c r="X125" s="3">
        <f>1572.9+(648-251.6)+(-2.406537+(-0.99144--0.384948))+0-330--0.504900000000019</f>
        <v>1636.7918710000001</v>
      </c>
      <c r="Y125" s="3">
        <f>1572.7+(558.8-282.3)+(1.604154+(0.569976-0.287946))+0-329-0.335580000000052</f>
        <v>1521.7506039999998</v>
      </c>
      <c r="Z125" s="3">
        <f>1572.8+(819.4-338.5)+(4.01064+(2.08947-0.863175))+0-331-0.844049999999952</f>
        <v>1727.0928849999998</v>
      </c>
      <c r="AA125" s="3">
        <f>1640.8+(931.8-340.9)+(-0.836808+(-0.475218--0.173859))+0-330--0.168299999999967</f>
        <v>1900.7301329999998</v>
      </c>
      <c r="AB125" s="3">
        <f>1651.6+(995-325.8)+(-2.526948+(-1.52235--0.498474))+0-328--0.501840000000019</f>
        <v>1989.7510160000004</v>
      </c>
      <c r="AC125" s="3">
        <f>1743.3+(926-320.3)+(-2.667249+(-1.41678--0.490059))+0-328--0.501840000000019</f>
        <v>2017.9078700000002</v>
      </c>
      <c r="AD125" s="2">
        <v>1838.1</v>
      </c>
      <c r="AE125" s="3">
        <f>1644+(870.6-344.5)+(0+(0-0))+0-332-0</f>
        <v>1838.1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1831.6+(766.2-317.9)+(1.868232+(0.781524-0.324258))+0-330-0.336600000000053</f>
        <v>1951.8888980000002</v>
      </c>
      <c r="G126" s="3">
        <f>1869.4+(731.6-316.5)+(0+(0-0))+0-334-0</f>
        <v>1950.5</v>
      </c>
      <c r="H126" s="3">
        <f>1872.2+(696.8-307)+(1.909644+(0.710736-0.31314))+0-332-0.338640000000053</f>
        <v>1931.9686000000002</v>
      </c>
      <c r="I126" s="3">
        <f>1868.9+(673.5-313)+(0.953139+(0.343485-0.15963))+0-329-0.167789999999967</f>
        <v>1901.3692040000001</v>
      </c>
      <c r="J126" s="3">
        <f>1787+(623.8-294.7)+(-0.91137+(-0.318138--0.150297))+0-332--0.169319999999966</f>
        <v>1783.1901089999997</v>
      </c>
      <c r="K126" s="3">
        <f>1724.6+(587.6-249.9)+(-3.518184+(-1.198704--0.509796))+0-332--0.677279999999986</f>
        <v>1726.770188</v>
      </c>
      <c r="L126" s="3">
        <f>1759.6+(496.9-231.7)+(0+(0-0))+0-333-0</f>
        <v>1691.8</v>
      </c>
      <c r="M126" s="3">
        <f>1755+(490.4-232.2)+(0.89505+(0.250104-0.118422))+0-328-0.167279999999967</f>
        <v>1686.0594520000002</v>
      </c>
      <c r="N126" s="3">
        <f>1697.2+(556.7-244.1)+(0.865572+(0.283917-0.124491))+0-332-0.169319999999966</f>
        <v>1678.6556780000003</v>
      </c>
      <c r="O126" s="3">
        <f>1694.3+(571.2-281.4)+(0.864093+(0.291312-0.143514))+0-333-0.169829999999966</f>
        <v>1651.942061</v>
      </c>
      <c r="P126" s="3">
        <f>1687.1+(626.9-291.5)+(-0.860421+(-0.319719--0.148665))+0-334--0.170339999999966</f>
        <v>1687.6388649999999</v>
      </c>
      <c r="Q126" s="3">
        <f>1683+(761.8-298.7)+(2.57499+(1.165554-0.457011))+0-330-0.504900000000019</f>
        <v>1818.8786329999998</v>
      </c>
      <c r="R126" s="3">
        <f>1692.9+(918.9-301.2)+(-2.590137+(-1.405917--0.460836))+0-334--0.511020000000019</f>
        <v>1973.5758020000003</v>
      </c>
      <c r="S126" s="3">
        <f>1692.9+(996.3-287.5)+(-0.863379+(-0.508113--0.146625))+0-333--0.169829999999966</f>
        <v>2067.6449629999997</v>
      </c>
      <c r="T126" s="3">
        <f>1695.2+(1031.3-275.5)+(-2.593656+(-1.577889--0.421515))+0-331--0.506430000000019</f>
        <v>2116.7563999999998</v>
      </c>
      <c r="U126" s="3">
        <f>1773.6+(951.5-327.4)+(-1.809072+(-0.97053--0.333948))+0-328--0.334560000000052</f>
        <v>2067.588906</v>
      </c>
      <c r="V126" s="3">
        <f>1825.5+(801.5-310.5)+(0.931005+(0.408765-0.158355))+0-327-0.166769999999967</f>
        <v>1990.514645</v>
      </c>
      <c r="W126" s="3">
        <f>1818.5+(637.4-299.8)+(-0.927435+(-0.325074--0.152898))+0-332--0.169319999999966</f>
        <v>1823.1697089999998</v>
      </c>
      <c r="X126" s="3">
        <f>1820.4+(420.8-285.3)+(-2.785212+(-0.643824--0.436509))+0-333--0.509490000000019</f>
        <v>1620.4169629999999</v>
      </c>
      <c r="Y126" s="3">
        <f>1829.5+(403-304.7)+(-0.933045+(-0.20553--0.155397))+0-332--0.169319999999966</f>
        <v>1594.986142</v>
      </c>
      <c r="Z126" s="3">
        <f>1839.4+(643.6-366.1)+(1.876188+(0.656472-0.373422))+0-329-0.335580000000052</f>
        <v>1789.7236580000001</v>
      </c>
      <c r="AA126" s="3">
        <f>1846.7+(701.7-379.9)+(0.941817+(0.357867-0.193749))+0-330-0.168299999999967</f>
        <v>1839.437635</v>
      </c>
      <c r="AB126" s="3">
        <f>1858+(729.2-372.9)+(-3.79032+(-1.487568--0.760716))+0-334--0.681359999999985</f>
        <v>1876.4641880000004</v>
      </c>
      <c r="AC126" s="3">
        <f>1860.9+(744.7-366.5)+(0.949059+(0.379797-0.186915))+0-333-0.169829999999966</f>
        <v>1907.0721110000002</v>
      </c>
      <c r="AD126" s="2">
        <v>1841</v>
      </c>
      <c r="AE126" s="3">
        <f>1849+(701.4-381.4)+(0+(0-0))+0-328-0</f>
        <v>1841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1861.5+(740.4-341.1)+(0.949365+(0.377604-0.173961))+0-330-0.168299999999967</f>
        <v>1931.7847080000004</v>
      </c>
      <c r="G127" s="3">
        <f>1864.4+(691.3-337.8)+(0.950844+(0.352563-0.172278))+0-328-0.167279999999967</f>
        <v>1890.8638490000001</v>
      </c>
      <c r="H127" s="3">
        <f>1865.7+(661.1-324)+(0.951507+(0.337161-0.16524))+0-329-0.167789999999967</f>
        <v>1874.7556380000001</v>
      </c>
      <c r="I127" s="3">
        <f>1865.8+(623.9-318.4)+(1.903116+(0.636378-0.324768))+0-330-0.336600000000053</f>
        <v>1843.1781260000002</v>
      </c>
      <c r="J127" s="3">
        <f>1871.8+(573-305)+(0.954618+(0.29223-0.15555))+0-328-0.167279999999967</f>
        <v>1812.7240180000001</v>
      </c>
      <c r="K127" s="3">
        <f>1868.6+(473.6-281.4)+(-3.811944+(-0.966144--0.574056))+0-330--0.673199999999986</f>
        <v>1727.269168</v>
      </c>
      <c r="L127" s="3">
        <f>1864.2+(326.2-264.4)+(-0.950742+(-0.166362--0.134844))+0-327--0.166769999999967</f>
        <v>1598.18451</v>
      </c>
      <c r="M127" s="3">
        <f>1860.3+(290.4-268.6)+(1.897506+(0.296208-0.273972))+0-327-0.333540000000052</f>
        <v>1556.6862019999999</v>
      </c>
      <c r="N127" s="3">
        <f>1848.3+(374.9-278.1)+(0.942633+(0.191199-0.141831))+0-327-0.166769999999967</f>
        <v>1618.9252309999999</v>
      </c>
      <c r="O127" s="3">
        <f>1827.5+(410.2-304.4)+(-1.86405+(-0.418404--0.310488))+0-329--0.335580000000052</f>
        <v>1602.6636140000001</v>
      </c>
      <c r="P127" s="3">
        <f>1815.9+(505.3-294.8)+(3.704436+(1.030812-0.601392))+0-332-0.677279999999986</f>
        <v>1697.8565760000001</v>
      </c>
      <c r="Q127" s="3">
        <f>1805.8+(596.6-292.9)+(0.920958+(0.304266-0.149379))+0-332-0.169319999999966</f>
        <v>1778.4065249999999</v>
      </c>
      <c r="R127" s="3">
        <f>1815.8+(699.6-289.7)+(1.852116+(0.713592-0.295494))+0-328-0.334560000000052</f>
        <v>1899.6356539999999</v>
      </c>
      <c r="S127" s="3">
        <f>1813.7+(809.9-300.4)+(-2.774961+(-1.239147--0.459612))+0-314--0.480420000000018</f>
        <v>2006.1259239999997</v>
      </c>
      <c r="T127" s="3">
        <f>1812.2+(834-286.8)+(-3.696888+(-1.70136--0.585072))+0-315--0.642599999999986</f>
        <v>2040.2294239999999</v>
      </c>
      <c r="U127" s="3">
        <f>1811.7+(839.8-294.7)+(-3.695868+(-1.713192--0.601188))+0-315--0.642599999999986</f>
        <v>2037.6347280000002</v>
      </c>
      <c r="V127" s="3">
        <f>1816.1+(751.4-301.5)+(-1.852422+(-0.766428--0.30753))+0-323--0.329460000000051</f>
        <v>1941.0181400000004</v>
      </c>
      <c r="W127" s="3">
        <f>1822.7+(566.7-290)+(-0.929577+(-0.289017--0.1479))+0-330--0.168299999999967</f>
        <v>1768.4976060000001</v>
      </c>
      <c r="X127" s="3">
        <f>1810.7+(338.4-261.4)+(-4.617285+(-0.86292--0.66657))+0-331--0.844049999999952</f>
        <v>1552.730415</v>
      </c>
      <c r="Y127" s="3">
        <f>1820.1+(337.4-257.4)+(-5.569506+(-1.032444--0.787644))+0-331--1.01286000000004</f>
        <v>1564.298554</v>
      </c>
      <c r="Z127" s="3">
        <f>1821.3+(610.5-289.1)+(1.857726+(0.62271-0.294882))+0-332-0.338640000000053</f>
        <v>1812.546914</v>
      </c>
      <c r="AA127" s="3">
        <f>1833.9+(678.3-307.7)+(-2.805867+(-1.037799--0.470781))+0-330--0.504900000000019</f>
        <v>1871.6320149999997</v>
      </c>
      <c r="AB127" s="3">
        <f>1848.9+(699.4-303.8)+(-4.714695+(-1.78347--0.77469))+0-328--0.836399999999952</f>
        <v>1911.6129250000001</v>
      </c>
      <c r="AC127" s="3">
        <f>1853.2+(677.1-293.1)+(-3.780528+(-1.381284--0.597924))+0-328--0.669119999999986</f>
        <v>1905.3052319999997</v>
      </c>
      <c r="AD127" s="2">
        <v>1933.1999999999998</v>
      </c>
      <c r="AE127" s="3">
        <f>1835+(731.6-302.4)+(0+(0-0))+0-331-0</f>
        <v>1933.1999999999998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1851.6+(725.4-269.4)+(-0.944316+(-0.369954--0.137394))+0-325--0.165749999999967</f>
        <v>1981.5888739999998</v>
      </c>
      <c r="G128" s="3">
        <f>1852.6+(699.8-262.9)+(-1.889652+(-0.713796--0.268158))+0-327--0.333540000000052</f>
        <v>1960.4982500000001</v>
      </c>
      <c r="H128" s="3">
        <f>1855.5+(659.7-263.2)+(0.946305+(0.336447-0.134232))+0-332-0.169319999999966</f>
        <v>1920.9792000000002</v>
      </c>
      <c r="I128" s="3">
        <f>1865.9+(664.1-269.5)+(0+(0-0))+0-331-0</f>
        <v>1929.5</v>
      </c>
      <c r="J128" s="3">
        <f>1874.8+(597.7-263.8)+(-3.824592+(-1.219308--0.538152))+0-333--0.679319999999985</f>
        <v>1871.8735719999997</v>
      </c>
      <c r="K128" s="3">
        <f>1875.2+(467.2-249.1)+(-4.78176+(-1.19136--0.635205))+0-330--0.841499999999952</f>
        <v>1758.8035850000001</v>
      </c>
      <c r="L128" s="3">
        <f>1868.1+(309.4-260.7)+(-4.763655+(-0.78897--0.664785))+0-327--0.833849999999953</f>
        <v>1585.7460099999998</v>
      </c>
      <c r="M128" s="3">
        <f>1863.7+(319-267.5)+(0.950487+(0.16269-0.136425))+0-327-0.166769999999967</f>
        <v>1589.009982</v>
      </c>
      <c r="N128" s="3">
        <f>1849.4+(322.5-276.5)+(1.886388+(0.32895-0.28203))+0-331-0.337620000000053</f>
        <v>1565.995688</v>
      </c>
      <c r="O128" s="3">
        <f>1830.5+(376.8-293)+(2.800665+(0.576504-0.44829))+0-331-0.506430000000019</f>
        <v>1585.7224490000001</v>
      </c>
      <c r="P128" s="3">
        <f>1815.6+(225.9-348.7)+(1.851912+(0.230418-0.355674))+245-330-0.336600000000053</f>
        <v>1609.1900559999999</v>
      </c>
      <c r="Q128" s="3">
        <f>1809.7+(222.4-397.3)+(2.768841+(0.340272-0.607869))+285.5-328-0.501840000000019</f>
        <v>1594.2994039999999</v>
      </c>
      <c r="R128" s="3">
        <f>1802.4+(552.9-378.8)+(-2.757672+(-0.845937--0.579564))+30-197--0.301410000000011</f>
        <v>1806.7773650000001</v>
      </c>
      <c r="S128" s="3">
        <f>1643.8+(523.1-288.5)+(-1.676676+(-0.533562--0.29427))+222.8-217--0.221340000000035</f>
        <v>1882.5053720000001</v>
      </c>
      <c r="T128" s="3">
        <f>1519.7+(764.3-280.3)+(-1.550094+(-0.779586--0.285906))+220-252--0.25704000000004</f>
        <v>1969.913266</v>
      </c>
      <c r="U128" s="3">
        <f>1518.8+(891.4-276.3)+(-2.323764+(-1.363842--0.422739))+18.3-259--0.396270000000015</f>
        <v>1890.3314029999999</v>
      </c>
      <c r="V128" s="3">
        <f>1517.1+(902-282.1)+(-2.321163+(-1.38006--0.431613))+0-270--0.413100000000016</f>
        <v>1864.1434900000002</v>
      </c>
      <c r="W128" s="3">
        <f>1526.4+(777.4-283.8)+(-3.89232+(-1.98237--0.72369))+0-288--0.734399999999958</f>
        <v>1727.5834</v>
      </c>
      <c r="X128" s="3">
        <f>1528.6+(412.9-310.4)+(-1.559172+(-0.421158--0.316608))+0-280--0.285600000000045</f>
        <v>1349.7218779999998</v>
      </c>
      <c r="Y128" s="3">
        <f>1532.4+(339.2-337.4)+(-0.781524+(-0.172992--0.172074))+0-223--0.113729999999977</f>
        <v>1310.5312880000001</v>
      </c>
      <c r="Z128" s="3">
        <f>1535.6+(743.7-298.9)+(1.566312+(0.758574-0.304878))+0-264-0.269280000000042</f>
        <v>1718.1507280000001</v>
      </c>
      <c r="AA128" s="3">
        <f>1544.8+(938.7-305.3)+(-3.151392+(-1.914948--0.622812))+0-327--0.667079999999986</f>
        <v>1847.423552</v>
      </c>
      <c r="AB128" s="3">
        <f>1570.2+(925.4-317.7)+(-0.800802+(-0.471954--0.162027))+0-351--0.179009999999964</f>
        <v>1825.9682810000002</v>
      </c>
      <c r="AC128" s="3">
        <f>1568.7+(934.2-311.7)+(-2.400111+(-1.429326--0.476901))+0-318--0.486540000000018</f>
        <v>1870.334004</v>
      </c>
      <c r="AD128" s="2">
        <v>1869.4</v>
      </c>
      <c r="AE128" s="3">
        <f>1548+(929.8-306.4)+(0+(0-0))+0-302-0</f>
        <v>1869.4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1563.9+(968.9-299.9)+(0+(0-0))+0-330-0</f>
        <v>1902.9</v>
      </c>
      <c r="G129" s="3">
        <f>1558.5+(921.4-267.6)+(0.794835+(0.469914-0.136476))+0-334-0.170339999999966</f>
        <v>1879.2579330000001</v>
      </c>
      <c r="H129" s="3">
        <f>1557.3+(937.6-251.7)+(-1.588446+(-0.956352--0.256734))+0-340--0.346800000000054</f>
        <v>1901.258736</v>
      </c>
      <c r="I129" s="3">
        <f>1561.7+(931.8-243.8)+(-0.796467+(-0.475218--0.124338))+0-345--0.175949999999965</f>
        <v>1903.7286029999998</v>
      </c>
      <c r="J129" s="3">
        <f>1567.6+(782.6-245.1)+(-2.398428+(-1.197378--0.375003))+0-317--0.485010000000018</f>
        <v>1785.3642069999999</v>
      </c>
      <c r="K129" s="3">
        <f>1572+(684.8-248.9)+(-2.40516+(-1.047744--0.380817))+0-304--0.465120000000018</f>
        <v>1701.2930330000002</v>
      </c>
      <c r="L129" s="3">
        <f>1556.7+(570.5-247.1)+(0+(0-0))+0-323-0</f>
        <v>1557.1</v>
      </c>
      <c r="M129" s="3">
        <f>1551.9+(517.5-236.6)+(4.748814+(1.58355-0.723996))+0-326-0.997560000000038</f>
        <v>1511.4108080000001</v>
      </c>
      <c r="N129" s="3">
        <f>1528.5+(580.9-252.9)+(3.897675+(1.481295-0.644895))+0-337-0.859349999999951</f>
        <v>1523.3747250000001</v>
      </c>
      <c r="O129" s="3">
        <f>1506.7+(635.6-265.2)+(4.610502+(1.944936-0.811512))+0-328-1.00368000000004</f>
        <v>1553.8402460000002</v>
      </c>
      <c r="P129" s="3">
        <f>1494+(776.5-279.5)+(0+(0-0))+0-337-0</f>
        <v>1654</v>
      </c>
      <c r="Q129" s="3">
        <f>1491.6+(897.9-292.3)+(2.282148+(1.373787-0.447219))+0-336-0.514080000000019</f>
        <v>1763.894636</v>
      </c>
      <c r="R129" s="3">
        <f>1505.5+(987-300.6)+(0+(0-0))+0-330-0</f>
        <v>1861.9</v>
      </c>
      <c r="S129" s="3">
        <f>1565.4+(1012.7-285.7)+(-4.790124+(-3.098862--0.874242))+0-331--1.01286000000004</f>
        <v>1955.3981160000001</v>
      </c>
      <c r="T129" s="3">
        <f>1563.5+(1067.7-273.1)+(-0.797385+(-0.544527--0.139281))+0-330--0.168299999999967</f>
        <v>2027.0656689999998</v>
      </c>
      <c r="U129" s="3">
        <f>1561.1+(1003.2-278.6)+(-0.796161+(-0.511632--0.142086))+0-331--0.168809999999966</f>
        <v>1953.7031029999996</v>
      </c>
      <c r="V129" s="3">
        <f>1559.7+(918.4-266.7)+(-0.795447+(-0.468384--0.136017))+0-331--0.168809999999966</f>
        <v>1879.440996</v>
      </c>
      <c r="W129" s="3">
        <f>1564.7+(744.4-264.6)+(1.595994+(0.759288-0.269892))+0-305-0.311100000000049</f>
        <v>1741.2742899999998</v>
      </c>
      <c r="X129" s="3">
        <f>1638.3+(408.2-244)+(0.835533+(0.208182-0.12444))+0-260-0.132599999999974</f>
        <v>1543.2866750000001</v>
      </c>
      <c r="Y129" s="3">
        <f>1730.6+(236.6-272.3)+(0+(0-0))+0-255-0</f>
        <v>1439.8999999999999</v>
      </c>
      <c r="Z129" s="3">
        <f>1739.5+(534.8-327.5)+(-2.661435+(-0.818244--0.501075))+0-297--0.454410000000017</f>
        <v>1647.2758060000001</v>
      </c>
      <c r="AA129" s="3">
        <f>1744.8+(674.1-339)+(-0.889848+(-0.343791--0.17289))+0-368--0.187679999999963</f>
        <v>1711.0269309999999</v>
      </c>
      <c r="AB129" s="3">
        <f>1757.2+(755.7-331.2)+(-1.792344+(-0.770814--0.337824))+0-331--0.337620000000053</f>
        <v>1848.8122860000001</v>
      </c>
      <c r="AC129" s="3">
        <f>1606.3+(884.9-291.6)+(-3.276852+(-1.805196--0.594864))+0-332--0.677279999999986</f>
        <v>1863.7900959999997</v>
      </c>
      <c r="AD129" s="2">
        <v>1781</v>
      </c>
      <c r="AE129" s="3">
        <f>1744+(674.6-342.6)+(0+(0-0))+0-295-0</f>
        <v>1781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1555.9+(960.4-267.6)+(-0.793509+(-0.489804--0.136476))+0-332--0.169319999999966</f>
        <v>1915.722483</v>
      </c>
      <c r="G130" s="3">
        <f>1553.3+(1016.4-267.1)+(-0.792183+(-0.518364--0.136221))+0-332--0.169319999999966</f>
        <v>1969.594994</v>
      </c>
      <c r="H130" s="3">
        <f>1553.1+(934.2-264.7)+(0+(0-0))+0-335-0</f>
        <v>1887.6</v>
      </c>
      <c r="I130" s="3">
        <f>1560+(927.5-261.4)+(-3.978+(-2.365125--0.66657))+0-333--0.849149999999952</f>
        <v>1888.2725949999999</v>
      </c>
      <c r="J130" s="3">
        <f>1560.6+(865.7-248.4)+(-1.591812+(-0.883014--0.253368))+0-330--0.336600000000053</f>
        <v>1846.0151420000002</v>
      </c>
      <c r="K130" s="3">
        <f>1573.9+(702.5-221.7)+(-5.618823+(-2.507925--0.791469))+0-329--1.17453</f>
        <v>1719.5392510000004</v>
      </c>
      <c r="L130" s="3">
        <f>1589.1+(515.3-222.2)+(-5.673087+(-1.839621--0.793254))+0-329--1.17453</f>
        <v>1547.6550759999998</v>
      </c>
      <c r="M130" s="3">
        <f>1594+(457.4-266.6)+(0.81294+(0.233274-0.135966))+0-331-0.168809999999966</f>
        <v>1454.541438</v>
      </c>
      <c r="N130" s="3">
        <f>1572.7+(521-262.4)+(-0.802077+(-0.26571--0.133824))+0-331--0.168809999999966</f>
        <v>1499.5348470000001</v>
      </c>
      <c r="O130" s="3">
        <f>1557.5+(564.6-274.7)+(2.382975+(0.863838-0.420291))+0-330-0.504900000000019</f>
        <v>1519.7216220000003</v>
      </c>
      <c r="P130" s="3">
        <f>1548.8+(626.9-271)+(0+(0-0))+0-330-0</f>
        <v>1574.6999999999998</v>
      </c>
      <c r="Q130" s="3">
        <f>1541.7+(692.5-284.7)+(2.358801+(1.059525-0.435591))+0-328-0.501840000000019</f>
        <v>1623.9808949999999</v>
      </c>
      <c r="R130" s="3">
        <f>1533.2+(851.1-295.3)+(1.563864+(0.868122-0.301206))+0-328-0.334560000000052</f>
        <v>1762.7962199999999</v>
      </c>
      <c r="S130" s="3">
        <f>1529.4+(968-311.7)+(3.119976+(1.97472-0.635868))+0-326-0.665039999999986</f>
        <v>1863.4937879999995</v>
      </c>
      <c r="T130" s="3">
        <f>1543.4+(1048.3-302.1)+(3.148536+(2.138532-0.616284))+0-326-0.665039999999986</f>
        <v>1967.6057439999997</v>
      </c>
      <c r="U130" s="3">
        <f>1557.5+(1094.4-295.7)+(1.58865+(1.116288-0.301614))+0-325-0.331500000000052</f>
        <v>2033.2718239999997</v>
      </c>
      <c r="V130" s="3">
        <f>1555.8+(1021.8-289.2)+(-0.793458+(-0.521118--0.147492))+0-327--0.166769999999967</f>
        <v>1960.3996859999995</v>
      </c>
      <c r="W130" s="3">
        <f>1563.5+(826.3-275.8)+(1.59477+(0.842826-0.281316))+0-329-0.335580000000052</f>
        <v>1786.8207</v>
      </c>
      <c r="X130" s="3">
        <f>1569.3+(564.3-252.8)+(-0.800343+(-0.287793--0.128928))+0-329--0.167789999999967</f>
        <v>1551.0085819999999</v>
      </c>
      <c r="Y130" s="3">
        <f>1575.6+(523.6-253)+(-3.214224+(-1.068144--0.51612))+0-329--0.671159999999986</f>
        <v>1514.1049119999998</v>
      </c>
      <c r="Z130" s="3">
        <f>1577.7+(756.6-314.4)+(0+(0-0))+0-329-0</f>
        <v>1690.9</v>
      </c>
      <c r="AA130" s="3">
        <f>1581.8+(775.5-342.5)+(-4.03359+(-1.977525--0.873375))+0-332--0.846599999999952</f>
        <v>1678.5088599999999</v>
      </c>
      <c r="AB130" s="3">
        <f>1600.1+(807.3-332.7)+(0+(0-0))+0-329-0</f>
        <v>1745.6999999999998</v>
      </c>
      <c r="AC130" s="3">
        <f>1610.3+(792-315.9)+(2.463759+(1.21176-0.483327))+0-329-0.503370000000019</f>
        <v>1760.0888219999999</v>
      </c>
      <c r="AD130" s="2">
        <v>1692.6</v>
      </c>
      <c r="AE130" s="3">
        <f>1577+(783.6-339)+(0+(0-0))+0-329-0</f>
        <v>1692.6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1601+(814-291.6)+(-3.26604+(-1.66056--0.594864))+0-329--0.671159999999986</f>
        <v>1790.7394239999999</v>
      </c>
      <c r="G131" s="3">
        <f>1596.4+(778.2-264.6)+(-4.07082+(-1.98441--0.67473))+0-328--0.836399999999952</f>
        <v>1777.4558999999997</v>
      </c>
      <c r="H131" s="3">
        <f>1595.5+(774.3-279.2)+(-5.695935+(-2.764251--0.996744))+0-328--1.17096</f>
        <v>1756.3075179999996</v>
      </c>
      <c r="I131" s="3">
        <f>1599.6+(762.8-281)+(0+(0-0))+0-329-0</f>
        <v>1752.3999999999996</v>
      </c>
      <c r="J131" s="3">
        <f>1604.4+(780.3-252.3)+(-4.09122+(-1.989765--0.643365))+0-327--0.833849999999953</f>
        <v>1800.7962299999999</v>
      </c>
      <c r="K131" s="3">
        <f>1609.2+(681.6-221.5)+(-4.924152+(-2.085696--0.67779))+0-326--0.997560000000038</f>
        <v>1737.9655020000002</v>
      </c>
      <c r="L131" s="3">
        <f>1619.2+(529.9-198.5)+(0+(0-0))+0-326-0</f>
        <v>1624.6</v>
      </c>
      <c r="M131" s="3">
        <f>1618.5+(480.1-212.7)+(0+(0-0))+0-326-0</f>
        <v>1559.9</v>
      </c>
      <c r="N131" s="3">
        <f>1596.8+(561.5-240.9)+(-0.814368+(-0.286365--0.122859))+0-325--0.165749999999967</f>
        <v>1591.5878760000001</v>
      </c>
      <c r="O131" s="3">
        <f>1580.7+(574.8-282.3)+(-2.418471+(-0.879444--0.431919))+0-326--0.498780000000019</f>
        <v>1544.8327840000002</v>
      </c>
      <c r="P131" s="3">
        <f>1564+(636.4-310.4)+(0+(0-0))+0-325-0</f>
        <v>1565</v>
      </c>
      <c r="Q131" s="3">
        <f>1556.3+(768-336)+(2.381139+(1.17504-0.51408))+0-326-0.498780000000019</f>
        <v>1664.8433189999998</v>
      </c>
      <c r="R131" s="3">
        <f>1535.2+(956.4-340.1)+(1.565904+(0.975528-0.346902))+0-324-0.330480000000052</f>
        <v>1829.3640500000001</v>
      </c>
      <c r="S131" s="3">
        <f>1516+(1038.9-318)+(0+(0-0))+0-326-0</f>
        <v>1910.9</v>
      </c>
      <c r="T131" s="3">
        <f>1539.3+(1052.2-305.6)+(0.785043+(0.536622-0.155856))+0-323-0.164729999999967</f>
        <v>1963.9010790000002</v>
      </c>
      <c r="U131" s="3">
        <f>1527.4+(1111.9-293)+(0+(0-0))+0-325-0</f>
        <v>2021.3000000000002</v>
      </c>
      <c r="V131" s="3">
        <f>1528+(946.6-296.3)+(0.77928+(0.482766-0.151113))+0-260-0.132599999999974</f>
        <v>1919.2783330000002</v>
      </c>
      <c r="W131" s="3">
        <f>1543.2+(768.6-287.7)+(0.787032+(0.391986-0.146727))+0-252-0.128519999999974</f>
        <v>1773.0037710000001</v>
      </c>
      <c r="X131" s="3">
        <f>1585.4+(493.9-269.1)+(0.808554+(0.251889-0.137241))+0-253-0.129029999999974</f>
        <v>1557.9941719999999</v>
      </c>
      <c r="Y131" s="3">
        <f>1766.5+(334-306.4)+(1.80183+(0.34068-0.312528))+0-287-0.292740000000046</f>
        <v>1508.6372419999998</v>
      </c>
      <c r="Z131" s="3">
        <f>1806.4+(561.5-359.7)+(0+(0-0))+0-291-0</f>
        <v>1717.2</v>
      </c>
      <c r="AA131" s="3">
        <f>1807.2+(653.5-347.8)+(-3.686688+(-1.33314--0.709512))+0-292--0.595679999999987</f>
        <v>1817.1853639999999</v>
      </c>
      <c r="AB131" s="3">
        <f>1806.9+(649.3-351.7)+(0+(0-0))+0-314-0</f>
        <v>1790.5</v>
      </c>
      <c r="AC131" s="3">
        <f>1813.5+(709.8-330)+(0.924885+(0.361998-0.1683))+0-328-0.167279999999967</f>
        <v>1866.2513030000002</v>
      </c>
      <c r="AD131" s="2">
        <v>1784</v>
      </c>
      <c r="AE131" s="3">
        <f>1809+(630.6-369.6)+(0+(0-0))+0-286-0</f>
        <v>1784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1812.2+(677-292.2)+(1.848444+(0.69054-0.298044))+0-328-0.334560000000052</f>
        <v>1870.9063800000001</v>
      </c>
      <c r="G132" s="3">
        <f>1813.6+(659.6-275.3)+(-2.774808+(-1.009188--0.421209))+0-328--0.501840000000019</f>
        <v>1867.0390530000002</v>
      </c>
      <c r="H132" s="3">
        <f>1815.7+(608.6-259.5)+(0+(0-0))+0-326-0</f>
        <v>1838.8000000000002</v>
      </c>
      <c r="I132" s="3">
        <f>1819.8+(562.9-251.9)+(-1.856196+(-0.574158--0.256938))+0-326--0.332520000000052</f>
        <v>1802.9591040000003</v>
      </c>
      <c r="J132" s="3">
        <f>1823.9+(515.5-237.2)+(-3.720756+(-1.05162--0.483888))+0-326--0.665039999999986</f>
        <v>1772.5765520000002</v>
      </c>
      <c r="K132" s="3">
        <f>1816.7+(425-224.8)+(-4.632585+(-1.08375--0.57324))+0-326--0.831299999999953</f>
        <v>1686.5882050000002</v>
      </c>
      <c r="L132" s="3">
        <f>1817.8+(448.3-207.1)+(-1.854156+(-0.457266--0.211242))+0-327--0.333540000000052</f>
        <v>1730.2333600000002</v>
      </c>
      <c r="M132" s="3">
        <f>1818.5+(369.8-256.2)+(0.927435+(0.188598-0.130662))+0-327-0.166769999999967</f>
        <v>1605.9186009999999</v>
      </c>
      <c r="N132" s="3">
        <f>1807.5+(415-299.2)+(1.84365+(0.4233-0.305184))+0-328-0.334560000000052</f>
        <v>1596.9272059999998</v>
      </c>
      <c r="O132" s="3">
        <f>1786.1+(449.5-341.8)+(2.732733+(0.687735-0.522954))+0-328-0.501840000000019</f>
        <v>1568.1956739999998</v>
      </c>
      <c r="P132" s="3">
        <f>1778.3+(489.4-341)+(1.813866+(0.499188-0.34782))+0-328-0.334560000000052</f>
        <v>1600.3306739999998</v>
      </c>
      <c r="Q132" s="3">
        <f>1782.3+(625.1-376.3)+(3.635892+(1.275204-0.767652))+0-328-0.669119999999986</f>
        <v>1706.5743239999999</v>
      </c>
      <c r="R132" s="3">
        <f>1793.7+(829-380)+(2.744361+(1.26837-0.5814))+0-328-0.501840000000019</f>
        <v>1917.6294909999995</v>
      </c>
      <c r="S132" s="3">
        <f>1785.4+(915.9-365.8)+(2.731662+(1.401327-0.559674))+0-293-0.448290000000017</f>
        <v>2045.6250250000001</v>
      </c>
      <c r="T132" s="3">
        <f>1787.7+(913.8-340.7)+(-1.823454+(-0.932076--0.347514))+0-310--0.316200000000049</f>
        <v>2048.7081840000005</v>
      </c>
      <c r="U132" s="3">
        <f>1793.9+(943.6-317.4)+(1.829778+(0.962472-0.323748))+0-321-0.327420000000051</f>
        <v>2101.2410820000005</v>
      </c>
      <c r="V132" s="3">
        <f>1744.9+(895.6-314.6)+(0+(0-0))+0-322-0</f>
        <v>2003.9</v>
      </c>
      <c r="W132" s="3">
        <f>1759.5+(746.3-309)+(0+(0-0))+0-325-0</f>
        <v>1871.8000000000002</v>
      </c>
      <c r="X132" s="3">
        <f>1781.3+(397.8-291.3)+(0.908463+(0.202878-0.148563))+0-326-0.166259999999967</f>
        <v>1562.5965180000001</v>
      </c>
      <c r="Y132" s="3">
        <f>1791.6+(320.2-294.2)+(2.741148+(0.489906-0.450126))+0-331-0.506430000000019</f>
        <v>1488.8744979999999</v>
      </c>
      <c r="Z132" s="3">
        <f>1797.7+(602.9-338.5)+(0+(0-0))+0-330-0</f>
        <v>1732.1</v>
      </c>
      <c r="AA132" s="3">
        <f>1798.3+(648.5-360.3)+(-6.419931+(-2.315145--1.286271))+0-331--1.18167</f>
        <v>1749.2328649999999</v>
      </c>
      <c r="AB132" s="3">
        <f>1806.3+(721.6-327.2)+(-2.763639+(-1.104048--0.500616))+0-330--0.504900000000019</f>
        <v>1867.8378289999996</v>
      </c>
      <c r="AC132" s="3">
        <f>1812.5+(744.3-317.2)+(0.924375+(0.379593-0.161772))+0-331-0.168809999999966</f>
        <v>1909.5733859999998</v>
      </c>
      <c r="AD132" s="2">
        <v>1932.5</v>
      </c>
      <c r="AE132" s="3">
        <f>1858+(713.9-343.4)+(0+(0-0))+0-296-0</f>
        <v>1932.5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1861.4+(688.1-294.5)+(-1.898628+(-0.701862--0.30039))+0-328--0.334560000000052</f>
        <v>1925.0344600000001</v>
      </c>
      <c r="G133" s="3">
        <f>1858.8+(630.9-283.7)+(-3.791952+(-1.287036--0.578748))+0-328--0.669119999999986</f>
        <v>1874.1688800000002</v>
      </c>
      <c r="H133" s="3">
        <f>1857.3+(579.6-262.9)+(-2.841669+(-0.886788--0.402237))+0-327--0.500310000000019</f>
        <v>1844.1740900000002</v>
      </c>
      <c r="I133" s="3">
        <f>1867.2+(513.1-260.6)+(-0.952272+(-0.261681--0.132906))+0-330--0.168299999999967</f>
        <v>1788.7872529999997</v>
      </c>
      <c r="J133" s="3">
        <f>1880.8+(473.1-253)+(-3.836832+(-0.965124--0.51612))+0-328--0.669119999999986</f>
        <v>1769.2832840000001</v>
      </c>
      <c r="K133" s="3">
        <f>1878.5+(390.8-256.5)+(-2.874105+(-0.597924--0.392445))+0-328--0.501840000000019</f>
        <v>1682.222256</v>
      </c>
      <c r="L133" s="3">
        <f>1881.9+(235.1-246.3)+(0+(0-0))+0-324-0</f>
        <v>1546.7</v>
      </c>
      <c r="M133" s="3">
        <f>1877.2+(181.3-272.8)+(2.872116+(0.277389-0.417384))+0-325-0.497250000000019</f>
        <v>1462.9348709999999</v>
      </c>
      <c r="N133" s="3">
        <f>1873.8+(210.2-289.4)+(0.955638+(0.107202-0.147594))+0-327-0.166769999999967</f>
        <v>1468.3484759999999</v>
      </c>
      <c r="O133" s="3">
        <f>1854.4+(273.7-302.4)+(0.945744+(0.139587-0.154224))+0-330-0.168299999999967</f>
        <v>1496.4628070000001</v>
      </c>
      <c r="P133" s="3">
        <f>1854+(386.4-335.2)+(3.78216+(0.788256-0.683808))+0-315-0.642599999999986</f>
        <v>1593.4440080000002</v>
      </c>
      <c r="Q133" s="3">
        <f>1845.5+(560.7-391.2)+(2.823615+(0.857871-0.598536))+0-329-0.503370000000019</f>
        <v>1688.5795799999999</v>
      </c>
      <c r="R133" s="3">
        <f>1815.2+(695.3-403.7)+(-3.703008+(-1.418412--0.823548))+0-329--0.671159999999986</f>
        <v>1774.173288</v>
      </c>
      <c r="S133" s="3">
        <f>1813.9+(738.3-354.8)+(-2.775267+(-1.129599--0.542844))+0-327--0.500310000000019</f>
        <v>1867.5382880000004</v>
      </c>
      <c r="T133" s="3">
        <f>1811.1+(744.4-319.4)+(2.770983+(1.138932-0.488682))+0-329-0.503370000000019</f>
        <v>1910.0178629999998</v>
      </c>
      <c r="U133" s="3">
        <f>1809.3+(752.1-329)+(1.845486+(0.767142-0.33558))+0-327-0.333540000000052</f>
        <v>1907.3435079999999</v>
      </c>
      <c r="V133" s="3">
        <f>1811.3+(680.5-327.3)+(0.923763+(0.347055-0.166923))+0-325-0.165749999999967</f>
        <v>1840.4381450000003</v>
      </c>
      <c r="W133" s="3">
        <f>1816.8+(516.1-322.4)+(-0.926568+(-0.263211--0.164424))+0-323--0.164729999999967</f>
        <v>1686.639375</v>
      </c>
      <c r="X133" s="3">
        <f>1821.5+(268.7-310.1)+(1.85793+(0.274074-0.316302))+0-324-0.330480000000052</f>
        <v>1457.5852219999999</v>
      </c>
      <c r="Y133" s="3">
        <f>1836.6+(266.5-326)+(3.746664+(0.54366-0.66504))+0-330-0.673199999999986</f>
        <v>1450.0520839999999</v>
      </c>
      <c r="Z133" s="3">
        <f>1845.8+(535.9-362.6)+(0.941358+(0.273309-0.184926))+0-331-0.168809999999966</f>
        <v>1688.9609310000001</v>
      </c>
      <c r="AA133" s="3">
        <f>1845.8+(577.4-375.8)+(-3.765432+(-1.177896--0.766632))+0-329--0.671159999999986</f>
        <v>1714.8944639999997</v>
      </c>
      <c r="AB133" s="3">
        <f>1843.2+(616.7-376.3)+(1.880064+(0.629034-0.383826))+0-329-0.335580000000052</f>
        <v>1756.389692</v>
      </c>
      <c r="AC133" s="3">
        <f>1857.1+(667.2-376.3)+(0+(0-0))+0-328-0</f>
        <v>1820</v>
      </c>
      <c r="AD133" s="2">
        <v>1706.9</v>
      </c>
      <c r="AE133" s="3">
        <f>1845+(581.3-389.4)+(0+(0-0))+0-330-0</f>
        <v>1706.9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1855.9+(689.5-386.8)+(-2.839527+(-1.054935--0.591804))+0-327--0.500310000000019</f>
        <v>1828.797652</v>
      </c>
      <c r="G134" s="3">
        <f>1857+(676.5-379.6)+(-1.89414+(-0.69003--0.387192))+0-325--0.331500000000052</f>
        <v>1827.0345220000002</v>
      </c>
      <c r="H134" s="3">
        <f>1853.8+(645.8-364.8)+(-0.945438+(-0.329358--0.186048))+0-328--0.167279999999967</f>
        <v>1805.8785319999995</v>
      </c>
      <c r="I134" s="3">
        <f>1850.9+(614.9-350.8)+(-1.887918+(-0.627198--0.357816))+0-328--0.334560000000052</f>
        <v>1785.1772600000002</v>
      </c>
      <c r="J134" s="3">
        <f>1854.3+(568.2-328.9)+(1.891386+(0.579564-0.335478))+0-324-0.330480000000052</f>
        <v>1771.4049919999998</v>
      </c>
      <c r="K134" s="3">
        <f>1854.8+(476.5-290.8)+(0.945948+(0.243015-0.148308))+0-324-0.165239999999967</f>
        <v>1717.375415</v>
      </c>
      <c r="L134" s="3">
        <f>1857.2+(377.2-313.6)+(-2.841516+(-0.577116--0.479808))+0-325--0.497250000000019</f>
        <v>1593.358426</v>
      </c>
      <c r="M134" s="3">
        <f>1856.8+(338.2-398.9)+(0.946968+(0.172482-0.203439))+0-326-0.166259999999967</f>
        <v>1470.849751</v>
      </c>
      <c r="N134" s="3">
        <f>1844.3+(371.4-420)+(1.881186+(0.378828-0.4284))+0-325-0.331500000000052</f>
        <v>1472.2001139999998</v>
      </c>
      <c r="O134" s="3">
        <f>1823+(401.7-355.4)+(1.85946+(0.409734-0.362508))+0-328-0.334560000000052</f>
        <v>1542.872126</v>
      </c>
      <c r="P134" s="3">
        <f>1815.6+(496-354.1)+(0.925956+(0.25296-0.180591))+0-330-0.168299999999967</f>
        <v>1628.330025</v>
      </c>
      <c r="Q134" s="3">
        <f>1832.9+(673-365.3)+(1.869558+(0.68646-0.372606))+0-332-0.338640000000053</f>
        <v>1810.4447719999998</v>
      </c>
      <c r="R134" s="3">
        <f>1805.1+(812.1-383.4)+(0.920601+(0.414171-0.195534))+0-327-0.166769999999967</f>
        <v>1907.7724680000003</v>
      </c>
      <c r="S134" s="3">
        <f>1796.7+(888-364.7)+(0.916317+(0.45288-0.185997))+0-325-0.165749999999967</f>
        <v>1996.0174500000001</v>
      </c>
      <c r="T134" s="3">
        <f>1794.6+(860.1-319.9)+(0.915246+(0.438651-0.163149))+0-325-0.165749999999967</f>
        <v>2010.8249980000003</v>
      </c>
      <c r="U134" s="3">
        <f>1798.5+(834.3-317.9)+(-2.751705+(-1.276479--0.486387))+0-326--0.498780000000019</f>
        <v>1985.8569830000004</v>
      </c>
      <c r="V134" s="3">
        <f>1804.8+(770.7-318.3)+(0.920448+(0.393057-0.162333))+0-325-0.165749999999967</f>
        <v>1933.1854219999998</v>
      </c>
      <c r="W134" s="3">
        <f>1814.9+(480.2-322.3)+(-1.851198+(-0.489804--0.328746))+0-324--0.330480000000052</f>
        <v>1647.1182240000003</v>
      </c>
      <c r="X134" s="3">
        <f>1824.1+(282.7-298.6)+(-2.790873+(-0.432531--0.456858))+0-324--0.495720000000019</f>
        <v>1481.9291739999999</v>
      </c>
      <c r="Y134" s="3">
        <f>1827+(356.7-292.9)+(1.86354+(0.363834-0.298758))+0-325-0.331500000000052</f>
        <v>1567.3971159999999</v>
      </c>
      <c r="Z134" s="3">
        <f>1830+(601.6-361.1)+(1.8666+(0.613632-0.368322))+0-326-0.332520000000052</f>
        <v>1746.2793899999999</v>
      </c>
      <c r="AA134" s="3">
        <f>1842.2+(640.1-373.9)+(-1.879044+(-0.652902--0.381378))+0-328--0.334560000000052</f>
        <v>1778.5839920000001</v>
      </c>
      <c r="AB134" s="3">
        <f>1850.1+(674.3-366)+(0.943551+(0.343893-0.18666))+0-329-0.167789999999967</f>
        <v>1830.3329939999999</v>
      </c>
      <c r="AC134" s="3">
        <f>1848.7+(682.9-369.7)+(4.714185+(1.741395-0.942735))+0-324-0.826199999999953</f>
        <v>1842.5866450000003</v>
      </c>
      <c r="AD134" s="2">
        <v>1781.4</v>
      </c>
      <c r="AE134" s="3">
        <f>1847+(649.8-387.4)+(0+(0-0))+0-328-0</f>
        <v>1781.4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1846.7+(683.5-336.7)+(2.825451+(1.045755-0.515151))+0-324-0.495720000000019</f>
        <v>1872.3603350000001</v>
      </c>
      <c r="G135" s="3">
        <f>1836.9+(692.7-348.5)+(-0.936819+(-0.353277--0.177735))+0-324--0.165239999999967</f>
        <v>1856.1528790000004</v>
      </c>
      <c r="H135" s="3">
        <f>1828.8+(661.5-337.5)+(1.865376+(0.67473-0.34425))+0-326-0.332520000000052</f>
        <v>1828.6633359999998</v>
      </c>
      <c r="I135" s="3">
        <f>1833.6+(656.3-331.1)+(1.870272+(0.669426-0.337722))+0-329-0.335580000000052</f>
        <v>1831.6663959999994</v>
      </c>
      <c r="J135" s="3">
        <f>1840.9+(644.8-302.8)+(3.755436+(1.315392-0.617712))+0-327-0.667079999999986</f>
        <v>1859.6860360000003</v>
      </c>
      <c r="K135" s="3">
        <f>1850.3+(584.6-310.8)+(-5.661918+(-1.788876--0.951048))+0-326--0.997560000000038</f>
        <v>1792.597814</v>
      </c>
      <c r="L135" s="3">
        <f>1853+(478.4-282.8)+(-4.72515+(-1.21992--0.72114))+0-327--0.833849999999953</f>
        <v>1717.2099199999998</v>
      </c>
      <c r="M135" s="3">
        <f>1852.6+(418.4-300.7)+(0+(0-0))+0-323-0</f>
        <v>1647.3</v>
      </c>
      <c r="N135" s="3">
        <f>1828.6+(441.4-315.2)+(-0.932586+(-0.225114--0.160752))+0-325--0.165749999999967</f>
        <v>1628.9688019999999</v>
      </c>
      <c r="O135" s="3">
        <f>1816.7+(507.7-324.9)+(0+(0-0))+0-325-0</f>
        <v>1674.5</v>
      </c>
      <c r="P135" s="3">
        <f>1804.2+(557.4-343.6)+(2.760426+(0.852822-0.525708))+0-327-0.500310000000019</f>
        <v>1693.5872299999999</v>
      </c>
      <c r="Q135" s="3">
        <f>1800.3+(604.6-353)+(2.754459+(0.925038-0.54009))+0-329-0.503370000000019</f>
        <v>1725.5360370000001</v>
      </c>
      <c r="R135" s="3">
        <f>1792.1+(789.6-348.6)+(-1.827942+(-0.805392--0.355572))+0-328--0.334560000000052</f>
        <v>1903.1567979999998</v>
      </c>
      <c r="S135" s="3">
        <f>1782.2+(893.8-316.1)+(-0.908922+(-0.455838--0.161211))+0-326--0.166259999999967</f>
        <v>2032.8627110000002</v>
      </c>
      <c r="T135" s="3">
        <f>1780.3+(957.7-318.4)+(-3.631812+(-1.953708--0.649536))+0-326--0.665039999999986</f>
        <v>2089.3290559999996</v>
      </c>
      <c r="U135" s="3">
        <f>1777.3+(928.3-321.4)+(-2.719269+(-1.420299--0.491742))+0-324.4--0.496332000000019</f>
        <v>2056.648506</v>
      </c>
      <c r="V135" s="3">
        <f>1762.9+(902.4-300.8)+(0+(0-0))+0-324-0</f>
        <v>2040.5</v>
      </c>
      <c r="W135" s="3">
        <f>1761.8+(714.8-290.1)+(2.695554+(1.093644-0.443853))+0-324.4-0.496332000000019</f>
        <v>1864.9490130000001</v>
      </c>
      <c r="X135" s="3">
        <f>1787.1+(497.2-270.5)+(2.734263+(0.760716-0.413865))+0-325.2-0.497556000000019</f>
        <v>1691.1835579999999</v>
      </c>
      <c r="Y135" s="3">
        <f>1795.3+(338.5-291.5)+(3.662412+(0.69054-0.59466))+0-327.5-0.668099999999986</f>
        <v>1517.8901919999998</v>
      </c>
      <c r="Z135" s="3">
        <f>1813.2+(597.1-337.2)+(1.849464+(0.609042-0.343944))+0-326.3-0.332826000000052</f>
        <v>1748.5817360000001</v>
      </c>
      <c r="AA135" s="3">
        <f>1851.9+(654.6-361.4)+(-3.777876+(-1.335384--0.737256))+0-326.3--0.665651999999986</f>
        <v>1815.0896480000001</v>
      </c>
      <c r="AB135" s="3">
        <f>1858.4+(731.2-359.1)+(-0.947784+(-0.372912--0.183141))+0-325.5--0.166004999999967</f>
        <v>1904.0284500000002</v>
      </c>
      <c r="AC135" s="3">
        <f>1820+(733.3-348.7)+(-0.9282+(-0.373983--0.177837))+0-325.6--0.166055999999967</f>
        <v>1878.04171</v>
      </c>
      <c r="AD135" s="2">
        <v>1816.8000000000004</v>
      </c>
      <c r="AE135" s="3">
        <f>1844+(651.3-354.2)+(0+(0-0))+0-324.3-0</f>
        <v>1816.8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1638.3+(853.1-317.5)+(0.835533+(0.435081-0.161925))+0-325.1-0.165800999999967</f>
        <v>1849.7428880000004</v>
      </c>
      <c r="G136" s="3">
        <f>1640.3+(869.2-304)+(2.509659+(1.329876-0.46512))+0-325.4-0.497862000000019</f>
        <v>1882.9765530000002</v>
      </c>
      <c r="H136" s="3">
        <f>1637.5+(883.8-268.3)+(0.835125+(0.450738-0.136833))+0-324.7-0.165596999999967</f>
        <v>1929.2834330000001</v>
      </c>
      <c r="I136" s="3">
        <f>1638.9+(790.3-270.2)+(1.671678+(0.806106-0.275604))+0-325.9-0.332418000000052</f>
        <v>1834.9697620000002</v>
      </c>
      <c r="J136" s="3">
        <f>1642.3+(711.6-257.1)+(-1.675146+(-0.725832--0.262242))+0-328.3--0.334866000000052</f>
        <v>1766.6961300000005</v>
      </c>
      <c r="K136" s="3">
        <f>1644.1+(613.3-241.8)+(-3.353964+(-1.251132--0.493272))+0-328.4--0.669935999999986</f>
        <v>1683.7581119999998</v>
      </c>
      <c r="L136" s="3">
        <f>1650.1+(557.7-235.6)+(-5.049306+(-1.706562--0.720936))+0-327.1--1.00092600000004</f>
        <v>1640.0659939999998</v>
      </c>
      <c r="M136" s="3">
        <f>1648.3+(528.6-269)+(3.362532+(1.078344-0.54876))+0-327-0.667079999999986</f>
        <v>1584.1250360000001</v>
      </c>
      <c r="N136" s="3">
        <f>1634.3+(560.9-300.9)+(5.000958+(1.716354-0.920754))+0-324.5-0.992970000000038</f>
        <v>1574.6035879999999</v>
      </c>
      <c r="O136" s="3">
        <f>1618+(603.8-306.6)+(2.47554+(0.923814-0.469098))+0-325.1-0.497403000000019</f>
        <v>1592.5328529999999</v>
      </c>
      <c r="P136" s="3">
        <f>1476.7+(786.9-305.9)+(1.506234+(0.802638-0.312018))+0-325.5-0.332010000000052</f>
        <v>1633.8648439999999</v>
      </c>
      <c r="Q136" s="3">
        <f>1337.9+(1032.8-295.7)+(0.682329+(0.526728-0.150807))+0-325.2-0.165851999999967</f>
        <v>1750.6923980000001</v>
      </c>
      <c r="R136" s="3">
        <f>1400.9+(1164.9-305.2)+(0.714459+(0.594099-0.155652))+0-318-0.162179999999968</f>
        <v>1943.5907260000001</v>
      </c>
      <c r="S136" s="3">
        <f>1584.6+(1031-343.9)+(-4.848876+(-3.15486--1.052334))+0-310.5--0.950130000000036</f>
        <v>1955.1987279999996</v>
      </c>
      <c r="T136" s="3">
        <f>1590.4+(1049.8-344.2)+(-4.05552+(-2.67699--0.87771))+0-310.8--0.792539999999955</f>
        <v>1980.1377399999999</v>
      </c>
      <c r="U136" s="3">
        <f>1587.5+(1064.5-318.1)+(-0.809625+(-0.542895--0.162231))+0-311.1--0.158660999999968</f>
        <v>2021.768372</v>
      </c>
      <c r="V136" s="3">
        <f>1585+(1017.3-295.7)+(-2.42505+(-1.556469--0.452421))+0-324.6--0.496638000000019</f>
        <v>1978.9675400000001</v>
      </c>
      <c r="W136" s="3">
        <f>1591.6+(858.6-272.4)+(-4.05858+(-2.18943--0.69462))+0-328.7--0.838184999999952</f>
        <v>1844.3847949999999</v>
      </c>
      <c r="X136" s="3">
        <f>1596.7+(560.4-266.3)+(-2.442951+(-0.857412--0.407439))+0-331.7--0.507501000000019</f>
        <v>1556.714577</v>
      </c>
      <c r="Y136" s="3">
        <f>1604.6+(512.1-296.1)+(0+(0-0))+0-331.6-0</f>
        <v>1489</v>
      </c>
      <c r="Z136" s="3">
        <f>1618.9+(756.4-329.1)+(1.651278+(0.771528-0.335682))+0-331.3-0.337926000000053</f>
        <v>1716.6491979999998</v>
      </c>
      <c r="AA136" s="3">
        <f>1631+(810-344.1)+(-1.66362+(-0.8262--0.350982))+0-328.4--0.334968000000052</f>
        <v>1766.6961300000003</v>
      </c>
      <c r="AB136" s="3">
        <f>1638.7+(828.6-346.3)+(-2.507211+(-1.267758--0.529839))+0-330.5--0.505665000000019</f>
        <v>1787.7605350000001</v>
      </c>
      <c r="AC136" s="3">
        <f>1630.2+(855.4-335.1)+(-2.494206+(-1.308762--0.512703))+0-327--0.500310000000019</f>
        <v>1820.710045</v>
      </c>
      <c r="AD136" s="2">
        <v>1781.8000000000002</v>
      </c>
      <c r="AE136" s="3">
        <f>1632+(819.9-340.5)+(0+(0-0))+0-329.6-0</f>
        <v>1781.8000000000002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1644+(783.6-317.2)+(-2.51532+(-1.198908--0.485316))+0-325.6--0.498168000000019</f>
        <v>1782.0692560000002</v>
      </c>
      <c r="G137" s="3">
        <f>1642.7+(821.2-316.8)+(0.837777+(0.418812-0.161568))+0-324.5-0.165494999999967</f>
        <v>1823.529526</v>
      </c>
      <c r="H137" s="3">
        <f>1643+(765.5-313.6)+(0+(0-0))+0-326.5-0</f>
        <v>1768.4</v>
      </c>
      <c r="I137" s="3">
        <f>1638.6+(806.7-290.3)+(-1.671372+(-0.822834--0.296106))+0-326.7--0.333234000000052</f>
        <v>1826.4351339999998</v>
      </c>
      <c r="J137" s="3">
        <f>1643+(761.2-272.7)+(-2.51379+(-1.164636--0.417231))+0-328.6--0.502758000000019</f>
        <v>1800.1415630000001</v>
      </c>
      <c r="K137" s="3">
        <f>1648.7+(648.8-231.3)+(-3.363348+(-1.323552--0.471852))+0-328.3--0.669731999999986</f>
        <v>1734.3546839999999</v>
      </c>
      <c r="L137" s="3">
        <f>1654.5+(613.6-217.8)+(-4.218975+(-1.56468--0.55539))+0-327.8--0.835889999999953</f>
        <v>1718.1076250000003</v>
      </c>
      <c r="M137" s="3">
        <f>1650.1+(585.8-239.9)+(-1.683102+(-0.597516--0.244698))+0-323.8--0.330276000000052</f>
        <v>1670.4943560000002</v>
      </c>
      <c r="N137" s="3">
        <f>1641.9+(602.8-250.9)+(-2.512107+(-0.922284--0.383877))+0-322.8--0.493884000000019</f>
        <v>1668.4433700000002</v>
      </c>
      <c r="O137" s="3">
        <f>1653.9+(618.5-287.9)+(0+(0-0))+0-323.7-0</f>
        <v>1660.8</v>
      </c>
      <c r="P137" s="3">
        <f>1603.5+(622.7-299.9)+(2.453355+(0.952731-0.458847))+0-324.2-0.496026000000019</f>
        <v>1604.5512130000002</v>
      </c>
      <c r="Q137" s="3">
        <f>1599.8+(700.1-317.8)+(-1.631796+(-0.714102--0.324156))+0-323.1--0.329562000000052</f>
        <v>1657.3078200000002</v>
      </c>
      <c r="R137" s="3">
        <f>1588.9+(832.2-324.1)+(0.810339+(0.424422-0.165291))+0-324.3-0.165392999999967</f>
        <v>1773.604077</v>
      </c>
      <c r="S137" s="3">
        <f>1581.3+(999.8-305)+(-0.806463+(-0.509898--0.15555))+0-323.7--0.165086999999967</f>
        <v>1951.4042759999995</v>
      </c>
      <c r="T137" s="3">
        <f>1577.6+(958.3-288.2)+(0.804576+(0.488733-0.146982))+0-323.8-0.165137999999967</f>
        <v>1924.8811889999997</v>
      </c>
      <c r="U137" s="3">
        <f>1573.3+(975.7-283.6)+(0.802383+(0.497607-0.144636))+0-325.2-0.165851999999967</f>
        <v>1941.1895020000002</v>
      </c>
      <c r="V137" s="3">
        <f>1574.7+(1003.7-277)+(0.803097+(0.511887-0.14127))+0-328.5-0.167534999999967</f>
        <v>1973.9061790000001</v>
      </c>
      <c r="W137" s="3">
        <f>1581.9+(754.9-278)+(-0.806769+(-0.384999--0.14178))+0-329.1--0.167840999999967</f>
        <v>1728.817853</v>
      </c>
      <c r="X137" s="3">
        <f>1591.4+(497.8-264.9)+(0+(0-0))+0-326.4-0</f>
        <v>1497.9</v>
      </c>
      <c r="Y137" s="3">
        <f>1602.8+(480-278)+(-0.817428+(-0.2448--0.14178))+0-326.4--0.166463999999967</f>
        <v>1477.6460159999997</v>
      </c>
      <c r="Z137" s="3">
        <f>1612.6+(742.8-331)+(0.822426+(0.378828-0.16881))+0-315.3-0.160802999999968</f>
        <v>1709.9716409999999</v>
      </c>
      <c r="AA137" s="3">
        <f>1623.8+(842.8-343.3)+(-1.656276+(-0.859656--0.350166))+0-316.6--0.322932000000051</f>
        <v>1804.8571659999998</v>
      </c>
      <c r="AB137" s="3">
        <f>1627.4+(909.7-338.7)+(0.829974+(0.463947-0.172737))+0-326.4-0.166463999999967</f>
        <v>1872.9547200000002</v>
      </c>
      <c r="AC137" s="3">
        <f>1632.5+(960.5-333.1)+(-0.832575+(-0.489855--0.169881))+0-326--0.166259999999967</f>
        <v>1932.9137110000001</v>
      </c>
      <c r="AD137" s="2">
        <v>1809.6000000000004</v>
      </c>
      <c r="AE137" s="3">
        <f>1623+(858.8-340.2)+(0+(0-0))+0-332-0</f>
        <v>1809.6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1631.6+(866.7-335.9)+(-0.832116+(-0.442017--0.171309))+0-323.3--0.164882999999967</f>
        <v>1838.162059</v>
      </c>
      <c r="G138" s="3">
        <f>1627.9+(870.9-340.8)+(-2.490687+(-1.332477--0.521424))+0-324.5--0.496485000000019</f>
        <v>1830.6947450000002</v>
      </c>
      <c r="H138" s="3">
        <f>1630.8+(818.4-331.4)+(0+(0-0))+0-325-0</f>
        <v>1792.8000000000002</v>
      </c>
      <c r="I138" s="3">
        <f>1630.2+(789.3-325.4)+(0.831402+(0.402543-0.165954))+0-323.3-0.164882999999967</f>
        <v>1771.7031079999999</v>
      </c>
      <c r="J138" s="3">
        <f>1632.5+(770.6-311)+(-3.3303+(-1.572024--0.63444))+0-323.3--0.659531999999986</f>
        <v>1765.191648</v>
      </c>
      <c r="K138" s="3">
        <f>1635.4+(726-329.8)+(-4.17027+(-1.8513--0.84099))+0-323.7--0.825434999999953</f>
        <v>1703.5448550000001</v>
      </c>
      <c r="L138" s="3">
        <f>1637.3+(598-302.3)+(-1.670046+(-0.60996--0.308346))+0-323--0.329460000000051</f>
        <v>1608.3578000000002</v>
      </c>
      <c r="M138" s="3">
        <f>1632.1+(526.2-302.4)+(0+(0-0))+0-322.2-0</f>
        <v>1533.7</v>
      </c>
      <c r="N138" s="3">
        <f>1621.3+(535.1-285.7)+(0.826863+(0.272901-0.145707))+0-322.5-0.164474999999967</f>
        <v>1548.9895819999999</v>
      </c>
      <c r="O138" s="3">
        <f>1608.2+(584-283.9)+(0+(0-0))+0-322.7-0</f>
        <v>1585.6000000000001</v>
      </c>
      <c r="P138" s="3">
        <f>1596.3+(648.1-315.7)+(2.442339+(0.991593-0.483021))+0-324.2-0.496026000000019</f>
        <v>1606.9548849999999</v>
      </c>
      <c r="Q138" s="3">
        <f>1584+(760.4-329.9)+(-0.80784+(-0.387804--0.168249))+0-324.4--0.165443999999967</f>
        <v>1689.2380489999998</v>
      </c>
      <c r="R138" s="3">
        <f>1574.8+(952.9-324.8)+(0+(0-0))+0-324.3-0</f>
        <v>1878.5999999999997</v>
      </c>
      <c r="S138" s="3">
        <f>1708.2+(924.9-312.2)+(-0.871182+(-0.471699--0.159222))+0-324.5--0.165494999999967</f>
        <v>1995.3818360000002</v>
      </c>
      <c r="T138" s="3">
        <f>1630.1+(1028.1-278.6)+(0.831351+(0.524331-0.142086))+0-322.9-0.164678999999967</f>
        <v>2057.7489169999999</v>
      </c>
      <c r="U138" s="3">
        <f>1723.3+(977.9-274.3)+(0.878883+(0.498729-0.139893))+0-323.9-0.165188999999967</f>
        <v>2104.0725299999999</v>
      </c>
      <c r="V138" s="3">
        <f>1839.1+(836.5-288.1)+(-3.751764+(-1.70646--0.587724))+0-323.1--0.659123999999986</f>
        <v>2060.1886239999999</v>
      </c>
      <c r="W138" s="3">
        <f>1827.4+(641-293.4)+(-3.727896+(-1.30764--0.598536))+0-318.5--0.649739999999986</f>
        <v>1852.7127400000002</v>
      </c>
      <c r="X138" s="3">
        <f>1833.1+(394.1-254.3)+(-4.674405+(-1.004955--0.648465))+0-316.9--0.808094999999954</f>
        <v>1651.7771999999995</v>
      </c>
      <c r="Y138" s="3">
        <f>1843.2+(255.3-260.8)+(0+(0-0))+0-316.3-0</f>
        <v>1521.4</v>
      </c>
      <c r="Z138" s="3">
        <f>1848+(527.9-328.3)+(2.82744+(0.807687-0.502299))+0-318.3-0.486999000000018</f>
        <v>1731.9458289999998</v>
      </c>
      <c r="AA138" s="3">
        <f>1863.1+(599-347.8)+(-5.701086+(-1.83294--1.064268))+0-320.7--0.981342000000037</f>
        <v>1788.1115839999995</v>
      </c>
      <c r="AB138" s="3">
        <f>1866.4+(684.8-336.2)+(-1.903728+(-0.698496--0.342924))+0-321.4--0.327828000000051</f>
        <v>1891.6685279999997</v>
      </c>
      <c r="AC138" s="3">
        <f>1835.7+(793.5-341.6)+(0.936207+(0.404685-0.174216))+0-325.5-0.166004999999967</f>
        <v>1963.1006709999997</v>
      </c>
      <c r="AD138" s="2">
        <v>1757.3999999999999</v>
      </c>
      <c r="AE138" s="3">
        <f>1849+(571.5-347.8)+(0+(0-0))+0-315.3-0</f>
        <v>1757.3999999999999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1849.5+(795.8-331.6)+(0+(0-0))+0-324.6-0</f>
        <v>1989.1</v>
      </c>
      <c r="G139" s="3">
        <f>1846.1+(823.9-326.6)+(-0.941511+(-0.420189--0.166566))+0-324.5--0.165494999999967</f>
        <v>2017.8703609999995</v>
      </c>
      <c r="H139" s="3">
        <f>1847.5+(751.9-306.9)+(-1.88445+(-0.766938--0.313038))+0-325.5--0.332010000000052</f>
        <v>1964.9936600000001</v>
      </c>
      <c r="I139" s="3">
        <f>1868.6+(631.4-273.4)+(-0.952986+(-0.322014--0.139434))+0-326.6--0.166565999999967</f>
        <v>1899.0309999999999</v>
      </c>
      <c r="J139" s="3">
        <f>1873.5+(638.4-262)+(-3.82194+(-1.302336--0.53448))+0-325.4--0.663815999999986</f>
        <v>1920.5740199999998</v>
      </c>
      <c r="K139" s="3">
        <f>1867+(587.7-242)+(-1.90434+(-0.599454--0.24684))+0-327.6--0.334152000000052</f>
        <v>1883.1771980000001</v>
      </c>
      <c r="L139" s="3">
        <f>1860.2+(366.2-248.3)+(-1.897404+(-0.373524--0.253266))+0-328.2--0.334764000000052</f>
        <v>1648.2171019999998</v>
      </c>
      <c r="M139" s="3">
        <f>1859.2+(290-243.8)+(0.948192+(0.1479-0.124338))+0-324.5-0.165494999999967</f>
        <v>1581.706259</v>
      </c>
      <c r="N139" s="3">
        <f>1844.7+(353.8-251.9)+(0.940797+(0.180438-0.128469))+0-326.3-0.166412999999967</f>
        <v>1621.1263530000003</v>
      </c>
      <c r="O139" s="3">
        <f>1835.2+(378.9-275.1)+(-0.935952+(-0.193239--0.140301))+0-326.9--0.166718999999967</f>
        <v>1611.2778289999999</v>
      </c>
      <c r="P139" s="3">
        <f>1829.6+(472.5-290)+(-1.866192+(-0.48195--0.2958))+0-326--0.332520000000052</f>
        <v>1684.3801780000001</v>
      </c>
      <c r="Q139" s="3">
        <f>1833.4+(588.3-299.2)+(2.805102+(0.900099-0.457776))+0-324.3-0.496179000000019</f>
        <v>1800.9512460000001</v>
      </c>
      <c r="R139" s="3">
        <f>1826+(754.8-291.1)+(-1.86252+(-0.769896--0.296922))+0-323.8--0.330276000000052</f>
        <v>1963.8947820000001</v>
      </c>
      <c r="S139" s="3">
        <f>1823.3+(844.1-285.2)+(-2.789649+(-1.291473--0.436356))+0-324--0.495720000000019</f>
        <v>2055.0509539999998</v>
      </c>
      <c r="T139" s="3">
        <f>1821.5+(871.5-273.3)+(-2.786895+(-1.333395--0.418149))+0-323.8--0.495414000000019</f>
        <v>2092.6932729999994</v>
      </c>
      <c r="U139" s="3">
        <f>1818+(886.1-273.4)+(-1.85436+(-0.903822--0.278868))+0-323.1--0.329562000000052</f>
        <v>2105.4502479999996</v>
      </c>
      <c r="V139" s="3">
        <f>1819.1+(787.9-272.8)+(-0.927741+(-0.401829--0.139128))+0-322--0.164219999999967</f>
        <v>2011.1737779999996</v>
      </c>
      <c r="W139" s="3">
        <f>1827.3+(525.5-277.4)+(-3.727692+(-1.07202--0.565896))+0-325.5--0.664019999999986</f>
        <v>1746.3302040000001</v>
      </c>
      <c r="X139" s="3">
        <f>1829.1+(258-256.1)+(-5.597046+(-0.78948--0.783666))+0-325.4--0.995724000000038</f>
        <v>1500.9928640000001</v>
      </c>
      <c r="Y139" s="3">
        <f>1834+(260.2-280.4)+(3.74136+(0.530808-0.572016))+0-326.7-0.666467999999986</f>
        <v>1490.1336839999999</v>
      </c>
      <c r="Z139" s="3">
        <f>1845.3+(489.6-302.1)+(3.764412+(0.998784-0.616284))+0-326.2-0.665447999999986</f>
        <v>1710.0814639999999</v>
      </c>
      <c r="AA139" s="3">
        <f>1855.3+(546.2-307.2)+(-3.784812+(-1.114248--0.626688))+0-319.2--0.651167999999986</f>
        <v>1771.4787960000003</v>
      </c>
      <c r="AB139" s="3">
        <f>1859.4+(674.9-288)+(0+(0-0))+0-323.8-0</f>
        <v>1922.5000000000002</v>
      </c>
      <c r="AC139" s="3">
        <f>1860.9+(672.4-300.6)+(-1.898118+(-0.685848--0.306612))+0-323.1--0.329562000000052</f>
        <v>1907.6522080000002</v>
      </c>
      <c r="AD139" s="2">
        <v>1762</v>
      </c>
      <c r="AE139" s="3">
        <f>1857+(544.4-308)+(0+(0-0))+0-331.4-0</f>
        <v>1762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1862.2+(681.9-275.6)+(0+(0-0))+0-323.9-0</f>
        <v>1944.6</v>
      </c>
      <c r="G140" s="3">
        <f>1869.5+(645.6-250.8)+(0+(0-0))+0-323.9-0</f>
        <v>1940.4</v>
      </c>
      <c r="H140" s="3">
        <f>1872.2+(664.6-266.3)+(1.909644+(0.677892-0.271626))+0-324.7-0.331194000000052</f>
        <v>1947.7847159999997</v>
      </c>
      <c r="I140" s="3">
        <f>1868.3+(607.9-265.9)+(-1.905666+(-0.620058--0.271218))+0-327.7--0.334254000000052</f>
        <v>1880.679748</v>
      </c>
      <c r="J140" s="3">
        <f>1876.4+(601.5-241.9)+(-4.78482+(-1.533825--0.616845))+0-328.6--0.837929999999952</f>
        <v>1902.5361300000002</v>
      </c>
      <c r="K140" s="3">
        <f>1876.8+(554.6-249.9)+(-4.78584+(-1.41423--0.637245))+0-329.8--0.840989999999952</f>
        <v>1846.978165</v>
      </c>
      <c r="L140" s="3">
        <f>1878.4+(403.4-243.2)+(-0.957984+(-0.205734--0.124032))+0-324.5--0.165494999999967</f>
        <v>1713.225809</v>
      </c>
      <c r="M140" s="3">
        <f>1878.5+(335.3-262.4)+(2.874105+(0.513009-0.401472))+0-323.7-0.495261000000019</f>
        <v>1630.1903810000001</v>
      </c>
      <c r="N140" s="3">
        <f>1866.6+(369.6-287.8)+(3.807864+(0.753984-0.587112))+0-323.3-0.659531999999986</f>
        <v>1628.4152039999999</v>
      </c>
      <c r="O140" s="3">
        <f>1853.2+(359.1-316.4)+(0+(0-0))+0-325.7-0</f>
        <v>1570.2</v>
      </c>
      <c r="P140" s="3">
        <f>1843.9+(395.1-345.4)+(2.821167+(0.604503-0.528462))+0-325.2-0.497556000000019</f>
        <v>1570.7996520000002</v>
      </c>
      <c r="Q140" s="3">
        <f>1840+(476.9-357.6)+(0+(0-0))+0-325.5-0</f>
        <v>1633.8</v>
      </c>
      <c r="R140" s="3">
        <f>1846.1+(707.3-345.6)+(-0.941511+(-0.360723--0.176256))+0-324.9--0.165698999999967</f>
        <v>1881.9397209999995</v>
      </c>
      <c r="S140" s="3">
        <f>1849.7+(746.6-353.5)+(-2.830041+(-1.142298--0.540855))+0-324.2--0.496026000000019</f>
        <v>1915.664542</v>
      </c>
      <c r="T140" s="3">
        <f>1851.1+(816.7-354)+(0+(0-0))+0-324.8-0</f>
        <v>1989.0000000000002</v>
      </c>
      <c r="U140" s="3">
        <f>1849.9+(833.4-341.1)+(-1.886898+(-0.850068--0.347922))+0-323.2--0.329664000000052</f>
        <v>2016.9406199999999</v>
      </c>
      <c r="V140" s="3">
        <f>1850.6+(722.4-322.2)+(-4.71903+(-1.84212--0.82161))+0-322.8--0.823139999999953</f>
        <v>1923.0835999999997</v>
      </c>
      <c r="W140" s="3">
        <f>1854+(492.5-312.8)+(0+(0-0))+0-322.5-0</f>
        <v>1711.2</v>
      </c>
      <c r="X140" s="3">
        <f>1863.7+(247.6-286.2)+(-3.801948+(-0.505104--0.583848))+0-323--0.658919999999986</f>
        <v>1499.0357160000003</v>
      </c>
      <c r="Y140" s="3">
        <f>1878.2+(255.6-292.3)+(0+(0-0))+0-322.8-0</f>
        <v>1518.7</v>
      </c>
      <c r="Z140" s="3">
        <f>1883.7+(507.5-325.9)+(-0.960687+(-0.258825--0.166209))+0-324.1--0.165290999999967</f>
        <v>1740.3119880000002</v>
      </c>
      <c r="AA140" s="3">
        <f>1884.8+(594.4-336.8)+(-5.767488+(-1.818864--1.030608))+0-323.3--0.989298000000037</f>
        <v>1813.5335540000003</v>
      </c>
      <c r="AB140" s="3">
        <f>1884.4+(683.7-324.1)+(1.922088+(0.697374-0.330582))+0-323-0.329460000000051</f>
        <v>1922.9594199999999</v>
      </c>
      <c r="AC140" s="3">
        <f>1886.1+(612.2-322.3)+(0+(0-0))+0-323.2-0</f>
        <v>1852.8</v>
      </c>
      <c r="AD140" s="2">
        <v>1719.5</v>
      </c>
      <c r="AE140" s="3">
        <f>1879+(525.4-360)+(0+(0-0))+0-324.9-0</f>
        <v>1719.5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1888.7+(598.9-324.8)+(2.889711+(0.916317-0.496944))+0-322.7-0.493731000000019</f>
        <v>1842.9153530000001</v>
      </c>
      <c r="G141" s="3">
        <f>1893.9+(596.8-329)+(-2.897667+(-0.913104--0.50337))+0-324.1--0.495873000000019</f>
        <v>1834.788472</v>
      </c>
      <c r="H141" s="3">
        <f>1895.2+(561.3-308.7)+(0+(0-0))+0-324.7-0</f>
        <v>1823.1000000000001</v>
      </c>
      <c r="I141" s="3">
        <f>1896.2+(536.6-296.6)+(-0.967062+(-0.273666--0.151266))+0-324.8--0.165647999999967</f>
        <v>1810.4761859999999</v>
      </c>
      <c r="J141" s="3">
        <f>1897+(493.6-279.5)+(2.90241+(0.755208-0.427635))+0-324.7-0.496791000000019</f>
        <v>1789.133192</v>
      </c>
      <c r="K141" s="3">
        <f>1896.9+(470-293.3)+(-4.837095+(-1.1985--0.747915))+0-326.2--0.831809999999953</f>
        <v>1742.9441299999999</v>
      </c>
      <c r="L141" s="3">
        <f>1893.9+(335.5-278.2)+(-4.829445+(-0.855525--0.70941))+0-324.8--0.828239999999953</f>
        <v>1622.2526800000001</v>
      </c>
      <c r="M141" s="3">
        <f>1886.4+(296-292.7)+(0+(0-0))+0-324-0</f>
        <v>1565.7</v>
      </c>
      <c r="N141" s="3">
        <f>1874.8+(315.7-293.4)+(2.868444+(0.483021-0.448902))+0-326.7-0.499851000000019</f>
        <v>1572.8027119999999</v>
      </c>
      <c r="O141" s="3">
        <f>1871.3+(338.6-299.8)+(4.771815+(0.86343-0.76449))+0-325.8-0.830789999999953</f>
        <v>1588.3399649999999</v>
      </c>
      <c r="P141" s="3">
        <f>1872.7+(445-329.5)+(2.865231+(0.68085-0.504135))+0-326.2-0.499086000000019</f>
        <v>1664.54286</v>
      </c>
      <c r="Q141" s="3">
        <f>1870.5+(544.5-348.8)+(0.953955+(0.277695-0.177888))+0-328.5-0.167534999999967</f>
        <v>1738.5862269999998</v>
      </c>
      <c r="R141" s="3">
        <f>1868.8+(622.2-363.6)+(-0.953088+(-0.317322--0.185436))+0-328.6--0.167585999999967</f>
        <v>1797.8826120000003</v>
      </c>
      <c r="S141" s="3">
        <f>1866.2+(713.7-370.1)+(0+(0-0))+0-325.9-0</f>
        <v>1883.9</v>
      </c>
      <c r="T141" s="3">
        <f>1867.3+(762.8-370.2)+(-2.856969+(-1.167084--0.566406))+0-323.9--0.495567000000019</f>
        <v>1933.0379199999998</v>
      </c>
      <c r="U141" s="3">
        <f>1865.1+(733.6-359.3)+(1.902402+(0.748272-0.366486))+0-322.7-0.329154000000051</f>
        <v>1918.6550340000001</v>
      </c>
      <c r="V141" s="3">
        <f>1864.8+(654.1-344.4)+(0.951048+(0.333591-0.175644))+0-321.5-0.163964999999967</f>
        <v>1853.9450300000001</v>
      </c>
      <c r="W141" s="3">
        <f>1867.2+(454-325.1)+(0.952272+(0.23154-0.165801))+0-323.5-0.164984999999967</f>
        <v>1673.4530259999999</v>
      </c>
      <c r="X141" s="3">
        <f>1872.7+(216.5-297.4)+(1.910154+(0.22083-0.303348))+0-324-0.330480000000052</f>
        <v>1469.2971560000001</v>
      </c>
      <c r="Y141" s="3">
        <f>1877.2+(223.1-308.8)+(2.872116+(0.341343-0.472464))+0-325.9-0.498627000000019</f>
        <v>1467.8423680000001</v>
      </c>
      <c r="Z141" s="3">
        <f>1879.9+(515-368.7)+(0+(0-0))+0-324.2-0</f>
        <v>1702</v>
      </c>
      <c r="AA141" s="3">
        <f>1883.5+(671.9-366.2)+(-1.92117+(-0.685338--0.373524))+0-326.4--0.332928000000052</f>
        <v>1860.8999439999996</v>
      </c>
      <c r="AB141" s="3">
        <f>1888+(642.4-369)+(0.96288+(0.327624-0.18819))+0-326.6-0.166565999999967</f>
        <v>1835.7357480000005</v>
      </c>
      <c r="AC141" s="3">
        <f>1891.6+(623.8-360.2)+(-0.964716+(-0.318138--0.183702))+0-327.4--0.166973999999967</f>
        <v>1826.8678219999999</v>
      </c>
      <c r="AD141" s="2">
        <v>1892.4</v>
      </c>
      <c r="AE141" s="3">
        <f>1881+(694.8-358)+(0+(0-0))+0-325.4-0</f>
        <v>1892.4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1895.5+(546-348.2)+(0+(0-0))+0-322.7-0</f>
        <v>1770.6000000000001</v>
      </c>
      <c r="G142" s="3">
        <f>1898.5+(564.4-356.6)+(-2.904705+(-0.863532--0.545598))+0-325.9--0.498627000000019</f>
        <v>1777.675988</v>
      </c>
      <c r="H142" s="3">
        <f>1902.4+(567.2-369.5)+(-1.940448+(-0.578544--0.37689))+0-322.8--0.329256000000052</f>
        <v>1775.4871540000006</v>
      </c>
      <c r="I142" s="3">
        <f>1903.6+(551.2-355.4)+(-2.912508+(-0.843336--0.543762))+0-322.8--0.493884000000019</f>
        <v>1773.8818020000001</v>
      </c>
      <c r="J142" s="3">
        <f>1902.4+(524.6-335.2)+(2.910672+(0.802638-0.512856))+0-324.5-0.496485000000019</f>
        <v>1770.0039689999999</v>
      </c>
      <c r="K142" s="3">
        <f>1903.8+(444.4-315.9)+(-1.941876+(-0.453288--0.322218))+0-327--0.333540000000052</f>
        <v>1703.560594</v>
      </c>
      <c r="L142" s="3">
        <f>1905+(334.6-277.1)+(0+(0-0))+0-327.7-0</f>
        <v>1634.8</v>
      </c>
      <c r="M142" s="3">
        <f>1901.1+(343-255.3)+(1.939122+(0.34986-0.260406))+0-324.1-0.330582000000052</f>
        <v>1666.3979939999999</v>
      </c>
      <c r="N142" s="3">
        <f>1893.4+(341.7-290.7)+(1.931268+(0.348534-0.296514))+0-322.9-0.329358000000051</f>
        <v>1623.1539299999999</v>
      </c>
      <c r="O142" s="3">
        <f>1886.3+(356.4-348.4)+(1.924026+(0.363528-0.355368))+0-323.7-0.330174000000052</f>
        <v>1572.202012</v>
      </c>
      <c r="P142" s="3">
        <f>1875.4+(421.3-372.3)+(4.78227+(1.074315-0.949365))+0-325.1-0.829004999999953</f>
        <v>1603.3782150000002</v>
      </c>
      <c r="Q142" s="3">
        <f>1873.6+(512.1-368.2)+(2.866608+(0.783513-0.563346))+0-329.7-0.504441000000019</f>
        <v>1690.3823339999999</v>
      </c>
      <c r="R142" s="3">
        <f>1871.2+(739.1-371.7)+(0+(0-0))+0-330.6-0</f>
        <v>1908</v>
      </c>
      <c r="S142" s="3">
        <f>1870.6+(787-385.6)+(0.954006+(0.40137-0.196656))+0-328.6-0.167585999999967</f>
        <v>1944.391134</v>
      </c>
      <c r="T142" s="3">
        <f>1869.1+(898-374)+(-3.812964+(-1.83192--0.76296))+0-326.4--0.665855999999986</f>
        <v>2062.4839320000001</v>
      </c>
      <c r="U142" s="3">
        <f>1866.4+(821.9-340.4)+(-2.855592+(-1.257507--0.520812))+0-323.7--0.495261000000019</f>
        <v>2021.1029740000001</v>
      </c>
      <c r="V142" s="3">
        <f>1865.2+(736.4-320.2)+(0+(0-0))+0-324.7-0</f>
        <v>1956.7</v>
      </c>
      <c r="W142" s="3">
        <f>1866.4+(533-311.6)+(0+(0-0))+0-329.7-0</f>
        <v>1758.1000000000001</v>
      </c>
      <c r="X142" s="3">
        <f>1867.9+(307.6-288.6)+(-1.905258+(-0.313752--0.294372))+0-328--0.334560000000052</f>
        <v>1557.3099220000001</v>
      </c>
      <c r="Y142" s="3">
        <f>1873.5+(266.2-302.5)+(2.866455+(0.407286-0.462825))+0-325-0.497250000000019</f>
        <v>1514.5136659999998</v>
      </c>
      <c r="Z142" s="3">
        <f>1878.2+(493.8-349.5)+(0+(0-0))+0-325.2-0</f>
        <v>1697.3</v>
      </c>
      <c r="AA142" s="3">
        <f>1880.7+(554.7-368.8)+(-2.877471+(-0.848691--0.564264))+0-323.7--0.495261000000019</f>
        <v>1740.2333630000001</v>
      </c>
      <c r="AB142" s="3">
        <f>1878.1+(560.5-370.8)+(-1.915662+(-0.57171--0.378216))+0-323.3--0.329766000000052</f>
        <v>1742.7206099999999</v>
      </c>
      <c r="AC142" s="3">
        <f>1878+(613.5-384.7)+(0.95778+(0.312885-0.196197))+0-326.8-0.166667999999967</f>
        <v>1780.9078</v>
      </c>
      <c r="AD142" s="2">
        <v>1733.1</v>
      </c>
      <c r="AE142" s="3">
        <f>1876+(557.2-371.1)+(0+(0-0))+0-329-0</f>
        <v>1733.1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1880.8+(687.8-368.3)+(0.959208+(0.350778-0.187833))+0-328.3-0.167432999999967</f>
        <v>1872.9547199999995</v>
      </c>
      <c r="G143" s="3">
        <f>1885.6+(729.3-342.8)+(-0.961656+(-0.371943--0.174828))+0-327.3--0.166922999999967</f>
        <v>1943.8081520000001</v>
      </c>
      <c r="H143" s="3">
        <f>1887.2+(677.1-326.8)+(3.849888+(1.381284-0.666672))+0-325.3-0.663611999999986</f>
        <v>1916.1008879999999</v>
      </c>
      <c r="I143" s="3">
        <f>1890.6+(615.4-327.9)+(-4.82103+(-1.56927--0.836145))+0-324.6--0.827729999999953</f>
        <v>1848.7735750000002</v>
      </c>
      <c r="J143" s="3">
        <f>1889.2+(592-307)+(-2.890476+(-0.90576--0.46971))+0-324.7--0.496791000000019</f>
        <v>1846.670265</v>
      </c>
      <c r="K143" s="3">
        <f>1894.1+(503.6-310.4)+(-2.897973+(-0.770508--0.474912))+0-326.3--0.499239000000019</f>
        <v>1758.3056700000002</v>
      </c>
      <c r="L143" s="3">
        <f>1896.4+(362.5-297)+(-3.868656+(-0.7395--0.60588))+0-328.1--0.669323999999986</f>
        <v>1630.467048</v>
      </c>
      <c r="M143" s="3">
        <f>1893.1+(339.8-307.4)+(0+(0-0))+0-327.1-0</f>
        <v>1598.4</v>
      </c>
      <c r="N143" s="3">
        <f>1886.2+(387.5-301)+(1.923924+(0.39525-0.30702))+0-323.3-0.329766000000052</f>
        <v>1651.082388</v>
      </c>
      <c r="O143" s="3">
        <f>1871.5+(373.6-341.5)+(0.954465+(0.190536-0.174165))+0-323.5-0.164984999999967</f>
        <v>1580.905851</v>
      </c>
      <c r="P143" s="3">
        <f>1862.7+(391.3-348)+(1.899954+(0.399126-0.35496))+0-324.2-0.330684000000052</f>
        <v>1583.413436</v>
      </c>
      <c r="Q143" s="3">
        <f>1857+(505.2-384.3)+(1.89414+(0.515304-0.391986))+0-325-0.331500000000052</f>
        <v>1654.5859580000001</v>
      </c>
      <c r="R143" s="3">
        <f>1855+(637.7-399.8)+(0.94605+(0.325227-0.203898))+0-326-0.166259999999967</f>
        <v>1767.8011190000002</v>
      </c>
      <c r="S143" s="3">
        <f>1855.6+(743.3-407)+(-0.946356+(-0.379083--0.20757))+0-327.8--0.167177999999967</f>
        <v>1863.1493089999994</v>
      </c>
      <c r="T143" s="3">
        <f>1855.4+(791.2-411.2)+(0.946254+(0.403512-0.209712))+0-326.3-0.166412999999967</f>
        <v>1910.0736410000002</v>
      </c>
      <c r="U143" s="3">
        <f>1852.1+(779.7-404.6)+(-0.944571+(-0.397647--0.206346))+0-325.9--0.166208999999967</f>
        <v>1900.3303369999999</v>
      </c>
      <c r="V143" s="3">
        <f>1849.9+(682.9-367.6)+(0.943449+(0.348279-0.187476))+0-327.9-0.167228999999967</f>
        <v>1838.2370229999999</v>
      </c>
      <c r="W143" s="3">
        <f>1849.2+(477.4-340.9)+(-0.943092+(-0.243474--0.173859))+0-329.8--0.168197999999967</f>
        <v>1655.0554910000001</v>
      </c>
      <c r="X143" s="3">
        <f>1855.6+(249.9-320.2)+(-2.839068+(-0.382347--0.489906))+0-329--0.503370000000019</f>
        <v>1454.0718610000001</v>
      </c>
      <c r="Y143" s="3">
        <f>1864.8+(331-378.2)+(-4.75524+(-0.84405--0.96441))+0-331.4--0.845069999999952</f>
        <v>1482.4101899999996</v>
      </c>
      <c r="Z143" s="3">
        <f>1870.7+(537-390.7)+(0+(0-0))+0-327.8-0</f>
        <v>1689.2</v>
      </c>
      <c r="AA143" s="3">
        <f>1884.3+(584.6-405.8)+(-6.726951+(-2.087022--1.448706))+0-330.3--1.179171</f>
        <v>1726.6139039999998</v>
      </c>
      <c r="AB143" s="3">
        <f>1889.6+(575.1-413)+(0+(0-0))+0-329.7-0</f>
        <v>1721.9999999999998</v>
      </c>
      <c r="AC143" s="3">
        <f>1885.3+(571.6-398.4)+(0.961503+(0.291516-0.203184))+0-323.9-0.165188999999967</f>
        <v>1735.4846459999997</v>
      </c>
      <c r="AD143" s="2">
        <v>1764.8</v>
      </c>
      <c r="AE143" s="3">
        <f>1892+(592.2-392.2)+(0+(0-0))+0-327.2-0</f>
        <v>1764.8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1874.8+(560.8-372.6)+(3.824592+(1.144032-0.760104))+0-324.6-0.662183999999986</f>
        <v>1741.9463360000002</v>
      </c>
      <c r="G144" s="3">
        <f>1864.4+(564-349.5)+(1.901688+(0.57528-0.35649))+0-330.6-0.337212000000053</f>
        <v>1750.0832659999999</v>
      </c>
      <c r="H144" s="3">
        <f>1848.6+(565.2-331.7)+(-1.885572+(-0.576504--0.338334))+0-329.3--0.335886000000053</f>
        <v>1751.0121439999998</v>
      </c>
      <c r="I144" s="3">
        <f>1855.7+(560.6-317.2)+(-0.946407+(-0.285906--0.161772))+0-331.8--0.169217999999966</f>
        <v>1766.3986769999999</v>
      </c>
      <c r="J144" s="3">
        <f>1880.5+(509.1-299.6)+(-3.83622+(-1.038564--0.611184))+0-330.5--0.674219999999986</f>
        <v>1755.9106199999997</v>
      </c>
      <c r="K144" s="3">
        <f>1881+(463.3-314.4)+(-1.91862+(-0.472566--0.320688))+0-326.1--0.332622000000052</f>
        <v>1702.0621240000003</v>
      </c>
      <c r="L144" s="3">
        <f>1868.4+(386.9-295.5)+(-1.905768+(-0.394638--0.30141))+0-329.3--0.335886000000053</f>
        <v>1628.8368900000003</v>
      </c>
      <c r="M144" s="3">
        <f>1744.3+(419.1-275.4)+(0+(0-0))+0-323.9-0</f>
        <v>1564.1</v>
      </c>
      <c r="N144" s="3">
        <f>1741.8+(409.3-288.5)+(0+(0-0))+0-322.6-0</f>
        <v>1540</v>
      </c>
      <c r="O144" s="3">
        <f>1741.1+(427.9-320.3)+(-0.887961+(-0.218229--0.163353))+0-325.2--0.165851999999967</f>
        <v>1522.7230149999996</v>
      </c>
      <c r="P144" s="3">
        <f>1792.8+(443.2-358.6)+(0.914328+(0.226032-0.182886))+0-328.7-0.167636999999967</f>
        <v>1549.4898369999999</v>
      </c>
      <c r="Q144" s="3">
        <f>1843.4+(495.5-402.6)+(1.880268+(0.50541-0.410652))+0-328.5-0.335070000000052</f>
        <v>1609.4399560000002</v>
      </c>
      <c r="R144" s="3">
        <f>1833.5+(562.3-365.3)+(0.935085+(0.286773-0.186303))+0-327.9-0.167228999999967</f>
        <v>1703.4683259999999</v>
      </c>
      <c r="S144" s="3">
        <f>1829.9+(653.2-373.8)+(2.799747+(0.999396-0.571914))+0-328-0.501840000000019</f>
        <v>1784.0253890000001</v>
      </c>
      <c r="T144" s="3">
        <f>1830.3+(732.3-369.9)+(-1.866906+(-0.746946--0.377298))+0-327.6--0.334152000000052</f>
        <v>1863.197598</v>
      </c>
      <c r="U144" s="3">
        <f>1827.5+(725.4-356.7)+(1.86405+(0.739908-0.363834))+0-330.3-0.336906000000053</f>
        <v>1867.8032179999998</v>
      </c>
      <c r="V144" s="3">
        <f>1817.4+(680.6-358.9)+(0.926874+(0.347106-0.183039))+0-329.1-0.167840999999967</f>
        <v>1810.9231000000004</v>
      </c>
      <c r="W144" s="3">
        <f>1819.5+(491.5-333.4)+(-1.85589+(-0.50133--0.340068))+0-329.6--0.336192000000053</f>
        <v>1646.3190400000001</v>
      </c>
      <c r="X144" s="3">
        <f>1826.1+(259-312.8)+(-3.725244+(-0.52836--0.638112))+0-328.8--0.670751999999986</f>
        <v>1440.5552600000001</v>
      </c>
      <c r="Y144" s="3">
        <f>1840.4+(299.9-323.6)+(-0.938604+(-0.152949--0.165036))+0-330.1--0.168350999999967</f>
        <v>1485.8418340000001</v>
      </c>
      <c r="Z144" s="3">
        <f>1849+(614.9-375.9)+(0+(0-0))+0-329.2-0</f>
        <v>1758.8</v>
      </c>
      <c r="AA144" s="3">
        <f>1847+(661.5-394.2)+(-3.76788+(-1.34946--0.804168))+0-328--0.669119999999986</f>
        <v>1782.6559480000001</v>
      </c>
      <c r="AB144" s="3">
        <f>1850.9+(746.7-383.2)+(-0.943959+(-0.380817--0.195432))+0-326.3--0.166412999999967</f>
        <v>1887.1370690000001</v>
      </c>
      <c r="AC144" s="3">
        <f>1847.3+(748.6-375.1)+(-0.942123+(-0.381786--0.191301))+0-328.9--0.167738999999967</f>
        <v>1890.9351310000002</v>
      </c>
      <c r="AD144" s="2">
        <v>1790.8</v>
      </c>
      <c r="AE144" s="3">
        <f>1855+(650.2-386.6)+(0+(0-0))+0-327.8-0</f>
        <v>1790.8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1851.4+(678.8-341.6)+(-2.832642+(-1.038564--0.522648))+0-328.2--0.502146000000019</f>
        <v>1857.5535879999998</v>
      </c>
      <c r="G145" s="3">
        <f>1845.8+(674.4-322.9)+(-3.765432+(-1.375776--0.658716))+0-326.6--0.666263999999986</f>
        <v>1866.8837720000001</v>
      </c>
      <c r="H145" s="3">
        <f>1849.8+(627.1-327.1)+(-4.71699+(-1.599105--0.834105))+0-326.2--0.831809999999953</f>
        <v>1818.9498199999998</v>
      </c>
      <c r="I145" s="3">
        <f>1854.2+(603.9-313.7)+(-2.836926+(-0.923967--0.479961))+0-323.7--0.495261000000019</f>
        <v>1817.914329</v>
      </c>
      <c r="J145" s="3">
        <f>1862.4+(510.8-301.4)+(-2.849472+(-0.781524--0.461142))+0-323.3--0.494649000000019</f>
        <v>1745.824795</v>
      </c>
      <c r="K145" s="3">
        <f>1866+(432.6-285.3)+(-4.7583+(-1.10313--0.727515))+0-323.5--0.824924999999953</f>
        <v>1685.49101</v>
      </c>
      <c r="L145" s="3">
        <f>1869.6+(449-287.4)+(-0.953496+(-0.22899--0.146574))+0-324--0.165239999999967</f>
        <v>1706.3293279999998</v>
      </c>
      <c r="M145" s="3">
        <f>1862.2+(412.7-286.3)+(0.949722+(0.210477-0.146013))+0-324.1-0.165290999999967</f>
        <v>1665.3488949999999</v>
      </c>
      <c r="N145" s="3">
        <f>1855+(452-296.5)+(1.8921+(0.46104-0.30243))+0-322.9-0.329358000000051</f>
        <v>1689.3213519999999</v>
      </c>
      <c r="O145" s="3">
        <f>1841.7+(439.1-313.1)+(1.878534+(0.447882-0.319362))+0-327.4-0.333948000000052</f>
        <v>1641.9731059999999</v>
      </c>
      <c r="P145" s="3">
        <f>1835.4+(562.7-351.1)+(0.936054+(0.286977-0.179061))+0-300.9-0.153458999999969</f>
        <v>1746.9905110000002</v>
      </c>
      <c r="Q145" s="3">
        <f>1838.9+(634.8-390.5)+(0+(0-0))+0-303.4-0</f>
        <v>1779.7999999999997</v>
      </c>
      <c r="R145" s="3">
        <f>1847+(741.4-373.8)+(0+(0-0))+0-327.8-0</f>
        <v>1886.8</v>
      </c>
      <c r="S145" s="3">
        <f>1845.5+(797.2-363.5)+(-2.823615+(-1.219716--0.556155))+0-327.9--0.501687000000019</f>
        <v>1948.3145109999996</v>
      </c>
      <c r="T145" s="3">
        <f>1842.4+(876.5-364.8)+(-3.758496+(-1.78806--0.744192))+0-327--0.667079999999986</f>
        <v>2022.9647159999997</v>
      </c>
      <c r="U145" s="3">
        <f>1842.4+(871.4-354.8)+(-0.939624+(-0.444414--0.180948))+0-328.7--0.167636999999967</f>
        <v>2029.264547</v>
      </c>
      <c r="V145" s="3">
        <f>1844+(763-364)+(-2.82132+(-1.16739--0.55692))+0-327.8--0.501534000000019</f>
        <v>1912.2697439999999</v>
      </c>
      <c r="W145" s="3">
        <f>1846.3+(608.7-354.7)+(-0.941613+(-0.310437--0.180897))+0-329.5--0.168044999999967</f>
        <v>1769.8968920000002</v>
      </c>
      <c r="X145" s="3">
        <f>1854.5+(385.7-345.2)+(-0.945795+(-0.196707--0.176052))+0-331.8--0.169217999999966</f>
        <v>1562.4027680000002</v>
      </c>
      <c r="Y145" s="3">
        <f>1869.1+(425.9-359.9)+(0.953241+(0.217209-0.183549))+0-330.7-0.168656999999966</f>
        <v>1605.2182439999999</v>
      </c>
      <c r="Z145" s="3">
        <f>1862.6+(678.6-394.4)+(-1.899852+(-0.692172--0.402288))+0-329.5--0.336090000000053</f>
        <v>1815.4463540000004</v>
      </c>
      <c r="AA145" s="3">
        <f>1862.3+(696.9-427.4)+(-2.849319+(-1.066257--0.653922))+0-330.3--0.505359000000019</f>
        <v>1798.7437050000003</v>
      </c>
      <c r="AB145" s="3">
        <f>1866.4+(717.4-425.3)+(-0.951864+(-0.365874--0.216903))+0-332.4--0.169523999999966</f>
        <v>1825.1686889999996</v>
      </c>
      <c r="AC145" s="3">
        <f>1865+(704.4-419.7)+(0+(0-0))+0-329.1-0</f>
        <v>1820.6</v>
      </c>
      <c r="AD145" s="2">
        <v>1783.1</v>
      </c>
      <c r="AE145" s="3">
        <f>1864+(675.6-430.5)+(0+(0-0))+0-326-0</f>
        <v>1783.1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1867.7+(673.8-398.4)+(-1.905054+(-0.687276--0.406368))+0-330.5--0.337110000000053</f>
        <v>1810.7511480000001</v>
      </c>
      <c r="G146" s="3">
        <f>1868.8+(703.6-373)+(-5.718528+(-2.153016--1.14138))+0-328.5--1.00521000000004</f>
        <v>1865.1750460000001</v>
      </c>
      <c r="H146" s="3">
        <f>1870.2+(645.7-386.8)+(-1.907604+(-0.658614--0.394536))+0-331.7--0.338334000000053</f>
        <v>1795.5666519999997</v>
      </c>
      <c r="I146" s="3">
        <f>1869.6+(641.6-373.3)+(1.906992+(0.654432-0.380766))+0-331.9-0.338538000000053</f>
        <v>1807.8421200000003</v>
      </c>
      <c r="J146" s="3">
        <f>1871.1+(612.4-353.9)+(-3.817044+(-1.249296--0.721956))+0-329.8--0.672791999999986</f>
        <v>1796.128408</v>
      </c>
      <c r="K146" s="3">
        <f>1875.9+(524.1-319)+(-0.956709+(-0.267291--0.16269))+0-329.6--0.168095999999967</f>
        <v>1750.5067859999999</v>
      </c>
      <c r="L146" s="3">
        <f>1876.4+(405.1-295.4)+(0+(0-0))+0-325.8-0</f>
        <v>1660.3000000000002</v>
      </c>
      <c r="M146" s="3">
        <f>1873+(353.4-303)+(1.91046+(0.360468-0.30906))+0-324.8-0.331296000000052</f>
        <v>1600.2305720000002</v>
      </c>
      <c r="N146" s="3">
        <f>1867.9+(353.6-303.1)+(3.810516+(0.721344-0.618324))+0-324.4-0.661775999999986</f>
        <v>1597.2517600000001</v>
      </c>
      <c r="O146" s="3">
        <f>1853+(414.4-346)+(2.83509+(0.634032-0.52938))+0-324.6-0.496638000000019</f>
        <v>1599.2431040000001</v>
      </c>
      <c r="P146" s="3">
        <f>1857.2+(481.2-374.5)+(1.894344+(0.490824-0.38199))+0-331.5-0.338130000000053</f>
        <v>1634.0650479999999</v>
      </c>
      <c r="Q146" s="3">
        <f>1857.8+(584.8-402)+(0.947478+(0.298248-0.20502))+0-332.8-0.169727999999966</f>
        <v>1708.6709779999999</v>
      </c>
      <c r="R146" s="3">
        <f>1851.8+(660.9-370.1)+(-0.944418+(-0.337059--0.188751))+0-330.2--0.168401999999966</f>
        <v>1811.475676</v>
      </c>
      <c r="S146" s="3">
        <f>1846+(757.7-372.5)+(0+(0-0))+0-332.6-0</f>
        <v>1898.6</v>
      </c>
      <c r="T146" s="3">
        <f>1841+(724.1-320.4)+(0+(0-0))+0-329.3-0</f>
        <v>1915.3999999999999</v>
      </c>
      <c r="U146" s="3">
        <f>1837.4+(591.1-203.2)+(-0.937074+(-0.301461--0.103632))+0-325.6--0.166055999999967</f>
        <v>1898.7311530000002</v>
      </c>
      <c r="V146" s="3">
        <f>1838.6+(497.5-199.1)+(0+(0-0))+0-325.5-0</f>
        <v>1811.5</v>
      </c>
      <c r="W146" s="3">
        <f>1844.7+(312.3-224.3)+(-1.881594+(-0.318546--0.228786))+0-324.9--0.331398000000052</f>
        <v>1606.160044</v>
      </c>
      <c r="X146" s="3">
        <f>1836+(172.3-256.1)+(-2.80908+(-0.263619--0.391833))+0-326.6--0.499698000000019</f>
        <v>1423.4188320000003</v>
      </c>
      <c r="Y146" s="3">
        <f>1839.7+(218.7-281.4)+(-0.938247+(-0.111537--0.143514))+0-330--0.168299999999967</f>
        <v>1446.2620300000001</v>
      </c>
      <c r="Z146" s="3">
        <f>1845.2+(479.4-311.8)+(-0.941052+(-0.244494--0.159018))+0-330.5--0.168554999999966</f>
        <v>1681.4420269999998</v>
      </c>
      <c r="AA146" s="3">
        <f>1852.4+(526.4-328.5)+(-3.778896+(-1.073856--0.67014))+0-328.8--0.670751999999986</f>
        <v>1717.9881400000002</v>
      </c>
      <c r="AB146" s="3">
        <f>1863.9+(607.3-317.5)+(-1.901178+(-0.619446--0.32385))+0-330.5--0.337110000000053</f>
        <v>1821.340336</v>
      </c>
      <c r="AC146" s="3">
        <f>1868+(639.3-308.2)+(1.90536+(0.652086-0.314364))+0-327.9-0.334458000000052</f>
        <v>1873.1086239999997</v>
      </c>
      <c r="AD146" s="2">
        <v>1720.8</v>
      </c>
      <c r="AE146" s="3">
        <f>1850+(528.6-330)+(0+(0-0))+0-327.8-0</f>
        <v>1720.8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1868.5+(673.2-280.1)+(1.90587+(0.686664-0.285702))+0-327.4-0.333948000000052</f>
        <v>1936.1728840000001</v>
      </c>
      <c r="G147" s="3">
        <f>1869.4+(658.7-314)+(0.953394+(0.335937-0.16014))+0-328.9-0.167738999999967</f>
        <v>1886.1614520000003</v>
      </c>
      <c r="H147" s="3">
        <f>1868.9+(694.1-297)+(0+(0-0))+0-326.8-0</f>
        <v>1939.2</v>
      </c>
      <c r="I147" s="3">
        <f>1872+(618.5-284.2)+(3.81888+(1.26174-0.579768))+0-325.9-0.664835999999986</f>
        <v>1884.2360160000003</v>
      </c>
      <c r="J147" s="3">
        <f>1873.8+(519.2-281.8)+(-0.955638+(-0.264792--0.143718))+0-325--0.165749999999967</f>
        <v>1785.2890379999997</v>
      </c>
      <c r="K147" s="3">
        <f>1876.1+(489.5-282)+(-4.784055+(-1.248225--0.7191))+0-324.8--0.828239999999953</f>
        <v>1754.3150599999999</v>
      </c>
      <c r="L147" s="3">
        <f>1878.5+(327.1-266.4)+(-4.790175+(-0.834105--0.67932))+0-326--0.831299999999953</f>
        <v>1609.0863400000001</v>
      </c>
      <c r="M147" s="3">
        <f>1878+(265.4-265.4)+(2.87334+(0.406062-0.406062))+0-322.4-0.493272000000019</f>
        <v>1557.9800680000001</v>
      </c>
      <c r="N147" s="3">
        <f>1875.3+(315.2-295.5)+(0.956403+(0.160752-0.150705))+0-326.3-0.166412999999967</f>
        <v>1569.500037</v>
      </c>
      <c r="O147" s="3">
        <f>1868.6+(384.3-312.9)+(0.952986+(0.195993-0.159579))+0-327-0.166769999999967</f>
        <v>1613.8226299999999</v>
      </c>
      <c r="P147" s="3">
        <f>1861.2+(466.1-296.6)+(2.847636+(0.713133-0.453798))+0-325.7-0.498321000000019</f>
        <v>1707.6086499999999</v>
      </c>
      <c r="Q147" s="3">
        <f>1853.1+(491.4-331.7)+(2.835243+(0.751842-0.507501))+0-327.9-0.501687000000019</f>
        <v>1687.4778970000002</v>
      </c>
      <c r="R147" s="3">
        <f>1863.1+(601.5-339)+(0+(0-0))+0-325-0</f>
        <v>1800.6</v>
      </c>
      <c r="S147" s="3">
        <f>1857.5+(659.8-314.9)+(-2.841975+(-1.009494--0.481797))+0-323.6--0.495108000000019</f>
        <v>1875.9254360000004</v>
      </c>
      <c r="T147" s="3">
        <f>1852.8+(677-320.6)+(0.944928+(0.34527-0.163506))+0-323.4-0.164933999999967</f>
        <v>1886.7617579999996</v>
      </c>
      <c r="U147" s="3">
        <f>1856+(670.8-318.6)+(-0.94656+(-0.342108--0.162486))+0-321.8--0.164117999999967</f>
        <v>1885.4379359999998</v>
      </c>
      <c r="V147" s="3">
        <f>1857.6+(606.5-307.4)+(-3.789504+(-1.23726--0.627096))+0-325.1--0.663203999999986</f>
        <v>1827.8635359999998</v>
      </c>
      <c r="W147" s="3">
        <f>1847.2+(426.3-307.2)+(-6.594504+(-1.521891--1.096704))+0-329.6--1.176672</f>
        <v>1630.8569810000004</v>
      </c>
      <c r="X147" s="3">
        <f>1853.5+(216.7-297.3)+(-1.89057+(-0.221034--0.303246))+0-326.8--0.333336000000052</f>
        <v>1444.6249780000003</v>
      </c>
      <c r="Y147" s="3">
        <f>1859+(272.1-321.4)+(0.94809+(0.138771-0.163914))+0-325.1-0.165800999999967</f>
        <v>1485.3571460000001</v>
      </c>
      <c r="Z147" s="3">
        <f>1861.5+(529.4-379.3)+(1.89873+(0.539988-0.386886))+0-325.6-0.332112000000052</f>
        <v>1687.7197200000001</v>
      </c>
      <c r="AA147" s="3">
        <f>1862.5+(596.3-389.3)+(-3.7995+(-1.216452--0.794172))+0-327.5--0.668099999999986</f>
        <v>1738.4463200000002</v>
      </c>
      <c r="AB147" s="3">
        <f>1858.8+(578.1-348.3)+(-3.791952+(-1.179324--0.710532))+0-326.2--0.665447999999986</f>
        <v>1758.8047039999997</v>
      </c>
      <c r="AC147" s="3">
        <f>1858.3+(589.7-339.3)+(0.947733+(0.300747-0.173043))+0-322.8-0.164627999999967</f>
        <v>1786.8108089999998</v>
      </c>
      <c r="AD147" s="2">
        <v>1718.2999999999997</v>
      </c>
      <c r="AE147" s="3">
        <f>1853+(577.6-390.4)+(0+(0-0))+0-321.9-0</f>
        <v>1718.3000000000002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1859.3+(637.3-355.5)+(0.948243+(0.325023-0.181305))+0-322.8-0.164627999999967</f>
        <v>1819.227333</v>
      </c>
      <c r="G148" s="3">
        <f>1858.5+(614.9-341.4)+(0+(0-0))+0-322.5-0</f>
        <v>1809.5</v>
      </c>
      <c r="H148" s="3">
        <f>1860.6+(583.8-318.9)+(-1.897812+(-0.595476--0.325278))+0-323.6--0.330072000000052</f>
        <v>1800.0620620000002</v>
      </c>
      <c r="I148" s="3">
        <f>1860.1+(550.9-300.4)+(0+(0-0))+0-323.6-0</f>
        <v>1787</v>
      </c>
      <c r="J148" s="3">
        <f>1862+(514.7-277.9)+(-2.84886+(-0.787491--0.425187))+0-324.1--0.495873000000019</f>
        <v>1771.9847090000005</v>
      </c>
      <c r="K148" s="3">
        <f>1866.1+(431.9-250.1)+(-5.710266+(-1.321614--0.765306))+0-325.3--0.995418000000038</f>
        <v>1717.3288439999999</v>
      </c>
      <c r="L148" s="3">
        <f>1869.9+(297.9-248.6)+(-1.907298+(-0.303858--0.253572))+0-322.2--0.328644000000051</f>
        <v>1595.3710599999999</v>
      </c>
      <c r="M148" s="3">
        <f>1870.9+(260.2-257.8)+(0+(0-0))+0-321.7-0</f>
        <v>1551.6000000000001</v>
      </c>
      <c r="N148" s="3">
        <f>1864+(256.8-268.9)+(0+(0-0))+0-321.7-0</f>
        <v>1530.2</v>
      </c>
      <c r="O148" s="3">
        <f>1856.2+(299-308.7)+(1.893324+(0.30498-0.314874))+0-321.9-0.328338000000051</f>
        <v>1526.1550920000002</v>
      </c>
      <c r="P148" s="3">
        <f>1843.8+(383-333.3)+(1.880676+(0.39066-0.339966))+0-323.1-0.329562000000052</f>
        <v>1572.0018079999998</v>
      </c>
      <c r="Q148" s="3">
        <f>1836.6+(494.4-327.5)+(0+(0-0))+0-323.7-0</f>
        <v>1679.8</v>
      </c>
      <c r="R148" s="3">
        <f>1837.2+(619.5-321)+(0.936972+(0.315945-0.16371))+0-328.2-0.167381999999967</f>
        <v>1808.4218249999999</v>
      </c>
      <c r="S148" s="3">
        <f>1834.5+(714.9-316.2)+(-2.806785+(-1.093797--0.483786))+0-325.1--0.497403000000019</f>
        <v>1905.180607</v>
      </c>
      <c r="T148" s="3">
        <f>1829.3+(757.1-321.7)+(-0.932943+(-0.386121--0.164067))+0-322.6--0.164525999999967</f>
        <v>1941.1095289999998</v>
      </c>
      <c r="U148" s="3">
        <f>1827.5+(736.7-305.4)+(-2.796075+(-1.127151--0.467262))+0-321.3--0.491589000000019</f>
        <v>1934.535625</v>
      </c>
      <c r="V148" s="3">
        <f>1823.2+(649.2-291)+(-2.789496+(-0.993276--0.44523))+0-322.6--0.493578000000019</f>
        <v>1855.956036</v>
      </c>
      <c r="W148" s="3">
        <f>1792.7+(500.8-308)+(-4.571385+(-1.27704--0.7854))+0-324.1--0.826454999999953</f>
        <v>1657.1634300000001</v>
      </c>
      <c r="X148" s="3">
        <f>1571.6+(484.7-265.1)+(-5.610612+(-1.730379--0.946407))+0-325.9--1.163463</f>
        <v>1460.0688790000002</v>
      </c>
      <c r="Y148" s="3">
        <f>1583.1+(508.5-282.6)+(0+(0-0))+0-325.6-0</f>
        <v>1483.4</v>
      </c>
      <c r="Z148" s="3">
        <f>1594.5+(761.4-327.4)+(0.813195+(0.388314-0.166974))+0-325.8-0.166157999999967</f>
        <v>1703.5683770000001</v>
      </c>
      <c r="AA148" s="3">
        <f>1601.8+(820.5-339)+(-4.901508+(-2.51073--1.03734))+0-325.4--0.995724000000038</f>
        <v>1752.5208260000002</v>
      </c>
      <c r="AB148" s="3">
        <f>1602.1+(838.2-339.2)+(-4.902426+(-2.564892--1.037952))+0-326.5--0.999090000000038</f>
        <v>1769.1697240000001</v>
      </c>
      <c r="AC148" s="3">
        <f>1600.6+(844.9-328)+(1.632612+(0.861798-0.33456))+0-324.9-0.331398000000052</f>
        <v>1794.4284519999999</v>
      </c>
      <c r="AD148" s="2">
        <v>1745.1999999999998</v>
      </c>
      <c r="AE148" s="3">
        <f>1600+(812.7-342.1)+(0+(0-0))+0-325.4-0</f>
        <v>1745.1999999999998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1600.3+(849.6-315)+(0+(0-0))+0-326.9-0</f>
        <v>1808</v>
      </c>
      <c r="G149" s="3">
        <f>1601.1+(828.5-308.2)+(0.816561+(0.422535-0.157182))+0-325.4-0.165953999999967</f>
        <v>1796.9159599999994</v>
      </c>
      <c r="H149" s="3">
        <f>1601.7+(798.1-287)+(0+(0-0))+0-326.8-0</f>
        <v>1786.0000000000002</v>
      </c>
      <c r="I149" s="3">
        <f>1603.4+(785.8-292.6)+(-1.635468+(-0.801516--0.298452))+0-325.6--0.332112000000052</f>
        <v>1769.1935800000001</v>
      </c>
      <c r="J149" s="3">
        <f>1603.1+(757.1-288.5)+(4.087905+(1.930605-0.735675))+0-321.5-0.819824999999953</f>
        <v>1754.6630099999998</v>
      </c>
      <c r="K149" s="3">
        <f>1606.7+(682.6-263.3)+(-4.097085+(-1.74063--0.671415))+0-320.5--0.817274999999953</f>
        <v>1701.1509749999998</v>
      </c>
      <c r="L149" s="3">
        <f>1605.2+(539.3-232.1)+(-4.911912+(-1.650258--0.710226))+0-324.2--0.992052000000037</f>
        <v>1583.3401080000001</v>
      </c>
      <c r="M149" s="3">
        <f>1604.1+(493.2-237.7)+(2.454273+(0.754596-0.363681))+0-323.8-0.495414000000019</f>
        <v>1538.149774</v>
      </c>
      <c r="N149" s="3">
        <f>1595.5+(509.6-253.8)+(0.813705+(0.259896-0.129438))+0-325.5-0.166004999999967</f>
        <v>1526.5781579999998</v>
      </c>
      <c r="O149" s="3">
        <f>1583.7+(552.6-264.5)+(0.807687+(0.281826-0.134895))+0-325.3-0.165902999999967</f>
        <v>1547.2887150000001</v>
      </c>
      <c r="P149" s="3">
        <f>1573.3+(764-331)+(2.407149+(1.16892-0.50643))+0-328-0.501840000000019</f>
        <v>1680.8677989999999</v>
      </c>
      <c r="Q149" s="3">
        <f>1584+(747.4-290.9)+(0+(0-0))+0-336.3-0</f>
        <v>1704.2</v>
      </c>
      <c r="R149" s="3">
        <f>1572.4+(863.1-279.2)+(-1.603848+(-0.880362--0.284784))+0-323.4--0.329868000000052</f>
        <v>1831.030442</v>
      </c>
      <c r="S149" s="3">
        <f>1569.3+(976.2-280.9)+(0+(0-0))+0-323.7-0</f>
        <v>1940.8999999999999</v>
      </c>
      <c r="T149" s="3">
        <f>1566.2+(1037.5-289.3)+(-0.798762+(-0.529125--0.147543))+0-322.8--0.164627999999967</f>
        <v>1990.5842840000003</v>
      </c>
      <c r="U149" s="3">
        <f>1565.7+(978.3-250.9)+(-1.597014+(-0.997866--0.255918))+0-322.2--0.328644000000051</f>
        <v>1968.889682</v>
      </c>
      <c r="V149" s="3">
        <f>1549.3+(915.6-258.4)+(-1.580286+(-0.933912--0.263568))+0-322.3--0.328746000000051</f>
        <v>1882.2781160000002</v>
      </c>
      <c r="W149" s="3">
        <f>1555.1+(646.5-258.5)+(-0.793101+(-0.329715--0.131835))+2.7-324.8--0.165647999999967</f>
        <v>1620.174667</v>
      </c>
      <c r="X149" s="3">
        <f>1564.2+(404.3-234.5)+(-3.190968+(-0.824772--0.47838))+0-326.1--0.665243999999986</f>
        <v>1405.0278839999999</v>
      </c>
      <c r="Y149" s="3">
        <f>1573.4+(473.6-268.6)+(-1.604868+(-0.483072--0.273972))+0-325.8--0.332316000000052</f>
        <v>1451.1183480000002</v>
      </c>
      <c r="Z149" s="3">
        <f>1578.6+(771-310.9)+(-0.805086+(-0.39321--0.158559))+0-327.4--0.166973999999967</f>
        <v>1710.4272369999996</v>
      </c>
      <c r="AA149" s="3">
        <f>1586.5+(845.4-334.6)+(-0.809115+(-0.431154--0.170646))+0-325.4--0.165953999999967</f>
        <v>1770.9963310000003</v>
      </c>
      <c r="AB149" s="3">
        <f>1589.5+(910.3-345)+(-4.053225+(-2.321265--0.87975))+0-326.8--0.833339999999953</f>
        <v>1823.3386</v>
      </c>
      <c r="AC149" s="3">
        <f>1587.5+(887.4-330.4)+(-0.809625+(-0.452574--0.168504))+0-326--0.166259999999967</f>
        <v>1817.5725649999999</v>
      </c>
      <c r="AD149" s="2">
        <v>1717.2000000000003</v>
      </c>
      <c r="AE149" s="3">
        <f>1584+(810.9-352.8)+(0+(0-0))+0-324.9-0</f>
        <v>1717.1999999999998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1587.1+(869.8-319.4)+(0+(0-0))+0-324.9-0</f>
        <v>1812.6</v>
      </c>
      <c r="G150" s="3">
        <f>1588.3+(862.7-305.4)+(-3.240132+(-1.759908--0.623016))+0-327.6--0.668303999999986</f>
        <v>1814.2912800000001</v>
      </c>
      <c r="H150" s="3">
        <f>1587.4+(911.9-316)+(-2.428722+(-1.395207--0.48348))+0-327.1--0.500463000000019</f>
        <v>1853.3600140000005</v>
      </c>
      <c r="I150" s="3">
        <f>1585.9+(844-320.4)+(-4.044045+(-2.1522--0.81702))+0-328.2--0.836909999999952</f>
        <v>1776.7576849999998</v>
      </c>
      <c r="J150" s="3">
        <f>1589.8+(782.9-306.4)+(1.621596+(0.798558-0.312528))+0-326.1-0.332622000000052</f>
        <v>1741.9750040000001</v>
      </c>
      <c r="K150" s="3">
        <f>1593.8+(705.4-280.2)+(-4.06419+(-1.79877--0.71451))+0-328.5--0.837674999999952</f>
        <v>1686.1892250000001</v>
      </c>
      <c r="L150" s="3">
        <f>1595.7+(581.7-254.8)+(-4.069035+(-1.483335--0.64974))+0-327.2--0.834359999999952</f>
        <v>1591.3317300000001</v>
      </c>
      <c r="M150" s="3">
        <f>1592.2+(480.6-263.2)+(0.812022+(0.245106-0.134232))+0-313.6-0.159935999999968</f>
        <v>1496.76296</v>
      </c>
      <c r="N150" s="3">
        <f>1588.7+(513.8-287.6)+(1.620474+(0.524076-0.293352))+0-303.6-0.309672000000048</f>
        <v>1512.8415259999999</v>
      </c>
      <c r="O150" s="3">
        <f>1580+(564.2-301.5)+(2.4174+(0.863226-0.461295))+0-328.8-0.503064000000019</f>
        <v>1516.216267</v>
      </c>
      <c r="P150" s="3">
        <f>1571.1+(643.6-295.8)+(-0.801261+(-0.328236--0.150858))+0-329.5--0.168044999999967</f>
        <v>1588.5894059999998</v>
      </c>
      <c r="Q150" s="3">
        <f>1567.2+(718.3-306.9)+(1.598544+(0.732666-0.313038))+0-321.8-0.328236000000051</f>
        <v>1658.4899359999999</v>
      </c>
      <c r="R150" s="3">
        <f>1593.3+(798.1-318.7)+(-1.625166+(-0.814062--0.325074))+0-327.1--0.333642000000052</f>
        <v>1743.8194880000001</v>
      </c>
      <c r="S150" s="3">
        <f>1590.3+(889.7-317)+(0.811053+(0.453747-0.16167))+0-325-0.165749999999967</f>
        <v>1838.9373800000001</v>
      </c>
      <c r="T150" s="3">
        <f>1590.6+(948.8-318.8)+(0+(0-0))+0-324.5-0</f>
        <v>1896.1</v>
      </c>
      <c r="U150" s="3">
        <f>1591.9+(991.9-306.6)+(-2.435607+(-1.517607--0.469098))+0-323.2--0.494496000000019</f>
        <v>1951.0103799999997</v>
      </c>
      <c r="V150" s="3">
        <f>1591.9+(863.4-302.5)+(-2.435607+(-1.321002--0.462825))+0-322.9--0.494037000000019</f>
        <v>1827.1002530000001</v>
      </c>
      <c r="W150" s="3">
        <f>1569.9+(655-283.4)+(-4.003245+(-1.67025--0.72267))+0-323.2--0.824159999999953</f>
        <v>1614.173335</v>
      </c>
      <c r="X150" s="3">
        <f>1576.6+(488.9-242.3)+(-2.412198+(-0.748017--0.370719))+0-325.6--0.498168000000019</f>
        <v>1495.3086719999997</v>
      </c>
      <c r="Y150" s="3">
        <f>1584.9+(503.3-252.8)+(1.616598+(0.513366-0.257856))+0-328.1-0.334662000000052</f>
        <v>1508.8374460000002</v>
      </c>
      <c r="Z150" s="3">
        <f>1586.2+(749.5-291.4)+(0+(0-0))+0-328.8-0</f>
        <v>1715.5000000000002</v>
      </c>
      <c r="AA150" s="3">
        <f>1589.6+(716.9-319.3)+(-0.810696+(-0.365619--0.162843))+0-325.9--0.166208999999967</f>
        <v>1660.4527369999996</v>
      </c>
      <c r="AB150" s="3">
        <f>1586.4+(736.4-319.5)+(-1.618128+(-0.751128--0.32589))+0-327.1--0.333642000000052</f>
        <v>1674.490276</v>
      </c>
      <c r="AC150" s="3">
        <f>1584.4+(749.7-305.8)+(-3.232176+(-1.529388--0.623832))+0-326--0.665039999999986</f>
        <v>1698.8273080000004</v>
      </c>
      <c r="AD150" s="2">
        <v>1671</v>
      </c>
      <c r="AE150" s="3">
        <f>1594+(722.9-319.3)+(0+(0-0))+0-326.6-0</f>
        <v>1671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1589.1+(787.1-302.4)+(-2.431323+(-1.204263--0.462672))+0-321.4--0.491742000000019</f>
        <v>1749.7188279999998</v>
      </c>
      <c r="G151" s="3">
        <f>1588.2+(710.2-298.8)+(0+(0-0))+0-258-0</f>
        <v>1741.6000000000001</v>
      </c>
      <c r="H151" s="3">
        <f>1588+(799.6-264.7)+(-4.0494+(-2.03898--0.674985))+0-325.5--0.830024999999953</f>
        <v>1792.81663</v>
      </c>
      <c r="I151" s="3">
        <f>1588.2+(763-256.2)+(-3.239928+(-1.55652--0.522648))+0-332.7--0.678707999999985</f>
        <v>1758.7049079999999</v>
      </c>
      <c r="J151" s="3">
        <f>1589+(749.7-230.8)+(-1.62078+(-0.764694--0.235416))+0-328.5--0.335070000000052</f>
        <v>1777.585012</v>
      </c>
      <c r="K151" s="3">
        <f>1590.7+(723-206.6)+(-4.056285+(-1.84365--0.52683))+0-330.6--0.843029999999952</f>
        <v>1771.9699249999999</v>
      </c>
      <c r="L151" s="3">
        <f>1588.5+(626-209.2)+(-2.430405+(-0.95778--0.320076))+0-331.4--0.507042000000019</f>
        <v>1671.3389329999998</v>
      </c>
      <c r="M151" s="3">
        <f>1589.4+(520.3-216.6)+(-1.621188+(-0.530706--0.220932))+0-328.7--0.335274000000052</f>
        <v>1562.804312</v>
      </c>
      <c r="N151" s="3">
        <f>1590.3+(489.6-249)+(0+(0-0))+0-324.3-0</f>
        <v>1506.6000000000001</v>
      </c>
      <c r="O151" s="3">
        <f>1689.6+(411.8-296.9)+(-1.723392+(-0.420036--0.302838))+0-328.6--0.335172000000052</f>
        <v>1474.3945819999999</v>
      </c>
      <c r="P151" s="3">
        <f>1793.7+(345.7-321.8)+(0.914787+(0.176307-0.164118))+0-328.8-0.167687999999967</f>
        <v>1489.5592879999999</v>
      </c>
      <c r="Q151" s="3">
        <f>1811.6+(434.7-325.4)+(0.923916+(0.221697-0.165954))+0-327.4-0.166973999999967</f>
        <v>1594.3126850000001</v>
      </c>
      <c r="R151" s="3">
        <f>1810+(642.4-331.2)+(-0.9231+(-0.327624--0.168912))+0-329.2--0.167891999999967</f>
        <v>1791.0860799999998</v>
      </c>
      <c r="S151" s="3">
        <f>1804.8+(724.1-351.5)+(-1.840896+(-0.738582--0.35853))+0-327.8--0.334356000000052</f>
        <v>1847.7134080000001</v>
      </c>
      <c r="T151" s="3">
        <f>1796.1+(729.2-346.9)+(-3.664044+(-1.487568--0.707676))+0-328.4--0.669935999999986</f>
        <v>1846.2259999999999</v>
      </c>
      <c r="U151" s="3">
        <f>1795+(692.4-315.2)+(-1.8309+(-0.706248--0.321504))+0-328.4--0.334968000000052</f>
        <v>1841.919324</v>
      </c>
      <c r="V151" s="3">
        <f>1787.1+(601.5-302)+(-0.911421+(-0.306765--0.15402))+0-328.3--0.167432999999967</f>
        <v>1757.4032669999999</v>
      </c>
      <c r="W151" s="3">
        <f>1788.3+(431.8-275.7)+(-3.648132+(-0.880872--0.562428))+0-328.6--0.670343999999986</f>
        <v>1612.5037679999998</v>
      </c>
      <c r="X151" s="3">
        <f>1790.6+(232.7-253.7)+(-3.652824+(-0.474708--0.517548))+0-327--0.667079999999986</f>
        <v>1439.6570959999999</v>
      </c>
      <c r="Y151" s="3">
        <f>1803.2+(309.4-297.4)+(-1.839264+(-0.315588--0.303348))+0-328.8--0.335376000000052</f>
        <v>1484.8838720000001</v>
      </c>
      <c r="Z151" s="3">
        <f>1817.1+(502.4-372.4)+(0+(0-0))+0-327.2-0</f>
        <v>1619.8999999999999</v>
      </c>
      <c r="AA151" s="3">
        <f>1823.7+(545.7-388.6)+(-2.790261+(-0.834921--0.594558))+0-325--0.497250000000019</f>
        <v>1653.2666260000003</v>
      </c>
      <c r="AB151" s="3">
        <f>1819.9+(558.3-395.5)+(0+(0-0))+0-323.7-0</f>
        <v>1659</v>
      </c>
      <c r="AC151" s="3">
        <f>1820.4+(586.1-384.7)+(0.928404+(0.298911-0.196197))+0-323.2-0.164831999999967</f>
        <v>1699.4662860000003</v>
      </c>
      <c r="AD151" s="2">
        <v>1605.8999999999999</v>
      </c>
      <c r="AE151" s="3">
        <f>1821+(498.7-384.8)+(0+(0-0))+0-329-0</f>
        <v>1605.9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1821.4+(590.2-355.6)+(-0.928914+(-0.301002--0.181356))+0-322.4--0.164423999999967</f>
        <v>1732.7158639999998</v>
      </c>
      <c r="G152" s="3">
        <f>1822.9+(550.1-327.8)+(-2.789037+(-0.841653--0.501534))+0-325.1--0.497403000000019</f>
        <v>1717.468247</v>
      </c>
      <c r="H152" s="3">
        <f>1823.3+(564-299.5)+(-0.929883+(-0.28764--0.152745))+0-324.7--0.165596999999967</f>
        <v>1762.2008190000001</v>
      </c>
      <c r="I152" s="3">
        <f>1817.6+(558.6-284.9)+(-3.707904+(-1.139544--0.581196))+0-325.6--0.664223999999986</f>
        <v>1762.0979720000003</v>
      </c>
      <c r="J152" s="3">
        <f>1816.7+(464.7-276.6)+(0.926517+(0.236997-0.141066))+0-324.5-0.165494999999967</f>
        <v>1681.1569529999999</v>
      </c>
      <c r="K152" s="3">
        <f>1816.4+(393.6-262.7)+(-0.926364+(-0.200736--0.133977))+0-324.9--0.165698999999967</f>
        <v>1621.5725760000003</v>
      </c>
      <c r="L152" s="3">
        <f>1819.3+(322.5-282.6)+(-0.927843+(-0.164475--0.144126))+0-324.9--0.165698999999967</f>
        <v>1533.5175069999998</v>
      </c>
      <c r="M152" s="3">
        <f>1822.3+(263.9-294.8)+(0+(0-0))+0-322.7-0</f>
        <v>1468.6999999999998</v>
      </c>
      <c r="N152" s="3">
        <f>1818.3+(287-317.1)+(0.927333+(0.14637-0.161721))+0-324.7-0.165596999999967</f>
        <v>1464.2463849999999</v>
      </c>
      <c r="O152" s="3">
        <f>1814.6+(310.2-346)+(0.925446+(0.158202-0.17646))+0-325.6-0.166055999999967</f>
        <v>1453.9411319999999</v>
      </c>
      <c r="P152" s="3">
        <f>1807.5+(380.7-378.9)+(0.921825+(0.194157-0.193239))+0-326.3-0.166412999999967</f>
        <v>1483.7563300000002</v>
      </c>
      <c r="Q152" s="3">
        <f>1801+(486.1-396.8)+(2.75553+(0.743733-0.607104))+0-325.7-0.498321000000019</f>
        <v>1566.9938379999999</v>
      </c>
      <c r="R152" s="3">
        <f>1795.4+(603-388.9)+(0.915654+(0.30753-0.198339))+0-326.5-0.166514999999967</f>
        <v>1683.85833</v>
      </c>
      <c r="S152" s="3">
        <f>1793.5+(715.4-394.9)+(-1.82937+(-0.729708--0.402798))+0-324.3--0.330786000000052</f>
        <v>1787.8745059999999</v>
      </c>
      <c r="T152" s="3">
        <f>1788.5+(754.9-395.8)+(-0.912135+(-0.384999--0.201858))+0-324.3--0.165392999999967</f>
        <v>1822.3701169999999</v>
      </c>
      <c r="U152" s="3">
        <f>1785+(724.8-382.1)+(0.91035+(0.369648-0.194871))+0-325.1-0.165800999999967</f>
        <v>1803.5193259999999</v>
      </c>
      <c r="V152" s="3">
        <f>1684.1+(715.2-328.8)+(-0.858891+(-0.364752--0.167688))+0-327.9--0.167228999999967</f>
        <v>1741.711274</v>
      </c>
      <c r="W152" s="3">
        <f>1640.5+(546.8-299.4)+(-0.836655+(-0.278868--0.152694))+0-327.4--0.166973999999967</f>
        <v>1559.7041449999999</v>
      </c>
      <c r="X152" s="3">
        <f>1641.1+(325.7-279.8)+(-2.510883+(-0.498321--0.428094))+0-325.7--0.498321000000019</f>
        <v>1359.2172109999999</v>
      </c>
      <c r="Y152" s="3">
        <f>1713+(338.3-318.3)+(1.74726+(0.345066-0.324666))+0-325.4-0.331908000000052</f>
        <v>1409.0357519999998</v>
      </c>
      <c r="Z152" s="3">
        <f>1794.2+(539-397.9)+(0.915042+(0.27489-0.202929))+0-325.4-0.165953999999967</f>
        <v>1610.7210490000002</v>
      </c>
      <c r="AA152" s="3">
        <f>1801.1+(592.1-414.9)+(-3.674244+(-1.207884--0.846396))+0-324.7--0.662387999999986</f>
        <v>1650.2266559999998</v>
      </c>
      <c r="AB152" s="3">
        <f>1804.2+(605.4-410.4)+(-1.840284+(-0.617508--0.418608))+0-321.1--0.327522000000051</f>
        <v>1676.3883380000002</v>
      </c>
      <c r="AC152" s="3">
        <f>1804.9+(610-398.1)+(0+(0-0))+0-320.2-0</f>
        <v>1696.6000000000001</v>
      </c>
      <c r="AD152" s="2">
        <v>1639.5</v>
      </c>
      <c r="AE152" s="3">
        <f>1793+(590.8-417.7)+(0+(0-0))+0-326.6-0</f>
        <v>1639.5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1806.7+(603.1-370)+(-1.842834+(-0.615162--0.3774))+0-320.4--0.326808000000051</f>
        <v>1717.6462120000003</v>
      </c>
      <c r="G153" s="3">
        <f>1806.2+(577.3-339.7)+(-3.684648+(-1.177692--0.692988))+0-322--0.656879999999986</f>
        <v>1718.2875280000001</v>
      </c>
      <c r="H153" s="3">
        <f>1807.1+(543.5-312.1)+(-0.921621+(-0.277185--0.159171))+0-322.6--0.164525999999967</f>
        <v>1715.024891</v>
      </c>
      <c r="I153" s="3">
        <f>1806.6+(505.6-303.2)+(0+(0-0))+0-322.7-0</f>
        <v>1686.3</v>
      </c>
      <c r="J153" s="3">
        <f>1805.7+(495.8-324.7)+(-2.762721+(-0.758574--0.496791))+0-324.3--0.496179000000019</f>
        <v>1649.9716750000002</v>
      </c>
      <c r="K153" s="3">
        <f>1805+(420.3-303.8)+(-3.6822+(-0.857412--0.619752))+0-322.7--0.658307999999986</f>
        <v>1595.538448</v>
      </c>
      <c r="L153" s="3">
        <f>1807.7+(251.8-281.3)+(-7.375416+(-1.027344--1.147704))+0-322.7--1.31661599999997</f>
        <v>1449.5615600000001</v>
      </c>
      <c r="M153" s="3">
        <f>1745.2+(159.3-258.7)+(0+(0-0))+0-322.2-0</f>
        <v>1323.6000000000001</v>
      </c>
      <c r="N153" s="3">
        <f>1709.5+(179.1-256.9)+(1.74369+(0.182682-0.262038))+0-323.2-0.329664000000052</f>
        <v>1309.83467</v>
      </c>
      <c r="O153" s="3">
        <f>1784.3+(187.9-306.7)+(-0.909993+(-0.095829--0.156417))+0-323.4--0.164933999999967</f>
        <v>1341.4155289999999</v>
      </c>
      <c r="P153" s="3">
        <f>1777.3+(283.6-345.9)+(-0.906423+(-0.144636--0.176409))+0-325.4--0.165953999999967</f>
        <v>1388.8913040000002</v>
      </c>
      <c r="Q153" s="3">
        <f>1773+(389.9-359.6)+(0+(0-0))+0-324.8-0</f>
        <v>1478.5</v>
      </c>
      <c r="R153" s="3">
        <f>1767.1+(495.2-361.4)+(-0.901221+(-0.252552--0.184314))+0-325--0.165749999999967</f>
        <v>1575.0962909999998</v>
      </c>
      <c r="S153" s="3">
        <f>1767.7+(577.8-367.6)+(-1.803054+(-0.589356--0.374952))+0-324.8--0.331296000000052</f>
        <v>1651.4138380000002</v>
      </c>
      <c r="T153" s="3">
        <f>1757+(562.1-376.5)+(-3.58428+(-1.146684--0.76806))+0-253.4--0.516935999999989</f>
        <v>1685.7540319999998</v>
      </c>
      <c r="U153" s="3">
        <f>1748.2+(610.8-364.6)+(1.783164+(0.623016-0.371892))+0-294.9-0.300798000000047</f>
        <v>1701.2334900000003</v>
      </c>
      <c r="V153" s="3">
        <f>1745.3+(599.6-371.1)+(2.670309+(0.917388-0.567783))+0-328.3-0.502299000000019</f>
        <v>1648.017615</v>
      </c>
      <c r="W153" s="3">
        <f>1740.8+(414.6-340.3)+(-1.775616+(-0.422892--0.347106))+0-330.4--0.337008000000053</f>
        <v>1483.185606</v>
      </c>
      <c r="X153" s="3">
        <f>1745.7+(195.4-320.1)+(-2.670921+(-0.298962--0.489753))+0-329.8--0.504594000000019</f>
        <v>1289.2244640000001</v>
      </c>
      <c r="Y153" s="3">
        <f>1757.3+(226.4-363.8)+(-0.896223+(-0.115464--0.185538))+0-327--0.166769999999967</f>
        <v>1292.2406209999999</v>
      </c>
      <c r="Z153" s="3">
        <f>1765+(449.3-399.8)+(-2.70045+(-0.687429--0.611694))+0-327.2--0.500616000000019</f>
        <v>1485.024431</v>
      </c>
      <c r="AA153" s="3">
        <f>1772.1+(515-394)+(-2.711313+(-0.78795--0.60282))+0-326.8--0.500004000000019</f>
        <v>1563.9035609999999</v>
      </c>
      <c r="AB153" s="3">
        <f>1781.4+(557.3-396.6)+(-0.908514+(-0.284223--0.202266))+0-326.5--0.166514999999967</f>
        <v>1614.7760439999997</v>
      </c>
      <c r="AC153" s="3">
        <f>1784+(591.7-381)+(-0.90984+(-0.301767--0.19431))+0-326.6--0.166565999999967</f>
        <v>1667.2492689999999</v>
      </c>
      <c r="AD153" s="2">
        <v>1535.1</v>
      </c>
      <c r="AE153" s="3">
        <f>1769+(489.2-397.1)+(0+(0-0))+0-326-0</f>
        <v>1535.1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1786.1+(587.2-357.2)+(0.910911+(0.299472-0.182172))+0-324.8-0.165647999999967</f>
        <v>1692.1625630000001</v>
      </c>
      <c r="G154" s="3">
        <f>1800.1+(569.7-341)+(0.918051+(0.290547-0.17391))+0-325-0.165749999999967</f>
        <v>1704.668938</v>
      </c>
      <c r="H154" s="3">
        <f>1789.7+(546.2-322.5)+(-0.912747+(-0.278562--0.164475))+0-325.9--0.166208999999967</f>
        <v>1686.6393750000002</v>
      </c>
      <c r="I154" s="3">
        <f>1664.2+(608-280.6)+(-0.848742+(-0.31008--0.143106))+0-326.5--0.166514999999967</f>
        <v>1664.2507989999997</v>
      </c>
      <c r="J154" s="3">
        <f>1660.6+(564.6-264.7)+(-2.540718+(-0.863838--0.404991))+0-325.2--0.497556000000019</f>
        <v>1632.7979909999999</v>
      </c>
      <c r="K154" s="3">
        <f>1659.7+(503.6-245.1)+(0+(0-0))+0-323.9-0</f>
        <v>1594.3000000000002</v>
      </c>
      <c r="L154" s="3">
        <f>1663.2+(374.4-219.9)+(-4.24116+(-0.95472--0.560745))+0-324.7--0.827984999999953</f>
        <v>1489.1928499999999</v>
      </c>
      <c r="M154" s="3">
        <f>1667+(305-242.6)+(-1.70034+(-0.3111--0.247452))+0-323.3--0.329766000000052</f>
        <v>1404.6657780000003</v>
      </c>
      <c r="N154" s="3">
        <f>1752.5+(231.4-260.6)+(1.78755+(0.236028-0.265812))+0-323.1-0.329562000000052</f>
        <v>1401.6282039999999</v>
      </c>
      <c r="O154" s="3">
        <f>1773.1+(219.3-294.6)+(-0.904281+(-0.111843--0.150246))+0-326.7--0.166616999999967</f>
        <v>1370.4007389999997</v>
      </c>
      <c r="P154" s="3">
        <f>1752.6+(301.4-339.4)+(1.787652+(0.307428-0.346188))+0-326.9-0.333438000000052</f>
        <v>1389.1154539999998</v>
      </c>
      <c r="Q154" s="3">
        <f>1745.1+(382.4-334.7)+(-1.780002+(-0.390048--0.341394))+0-326.2--0.332724000000052</f>
        <v>1465.1040680000001</v>
      </c>
      <c r="R154" s="3">
        <f>1740.6+(539.5-354.7)+(-0.887706+(-0.275145--0.180897))+0-325.6--0.166055999999967</f>
        <v>1598.9841019999999</v>
      </c>
      <c r="S154" s="3">
        <f>1730.6+(673.1-365.2)+(-0.882606+(-0.343281--0.186252))+0-326.7--0.166616999999967</f>
        <v>1710.9269819999997</v>
      </c>
      <c r="T154" s="3">
        <f>1716.9+(752.9-365.2)+(-3.502476+(-1.535916--0.745008))+0-324.9--0.662795999999986</f>
        <v>1776.0694119999998</v>
      </c>
      <c r="U154" s="3">
        <f>1716.9+(750.5-348.9)+(0+(0-0))+0-326.4-0</f>
        <v>1792.1</v>
      </c>
      <c r="V154" s="3">
        <f>1728.3+(681.6-330.6)+(-0.881433+(-0.347616--0.168606))+0-325.2--0.165851999999967</f>
        <v>1753.2054090000001</v>
      </c>
      <c r="W154" s="3">
        <f>1738.1+(448.3-314)+(-3.545724+(-0.914532--0.64056))+0-326.4--0.665855999999986</f>
        <v>1542.8461600000001</v>
      </c>
      <c r="X154" s="3">
        <f>1756.9+(217.3-318.7)+(-2.688057+(-0.332469--0.487611))+0-327.2--0.500616000000019</f>
        <v>1326.267701</v>
      </c>
      <c r="Y154" s="3">
        <f>1766.7+(320.8-369.5)+(-2.703051+(-0.490824--0.565335))+0-327.3--0.500769000000019</f>
        <v>1388.5722290000001</v>
      </c>
      <c r="Z154" s="3">
        <f>1766.9+(621.5-388.6)+(-3.604476+(-1.26786--0.792744))+0-326.1--0.665243999999986</f>
        <v>1670.2856520000003</v>
      </c>
      <c r="AA154" s="3">
        <f>1769.2+(674.9-378)+(-1.804584+(-0.688398--0.38556))+0-326.6--0.333132000000052</f>
        <v>1737.7257099999999</v>
      </c>
      <c r="AB154" s="3">
        <f>1776.5+(696.9-385.7)+(-3.62406+(-1.421676--0.786828))+0-326.6--0.666263999999986</f>
        <v>1757.5073560000001</v>
      </c>
      <c r="AC154" s="3">
        <f>1782+(687.7-380.6)+(0+(0-0))+0-325.4-0</f>
        <v>1763.6999999999998</v>
      </c>
      <c r="AD154" s="2">
        <v>1757.7</v>
      </c>
      <c r="AE154" s="3">
        <f>1758+(700-376.6)+(0+(0-0))+0-323.7-0</f>
        <v>1757.7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1791.5+(684.6-350.2)+(0.913665+(0.349146-0.178602))+0-323.8-0.165137999999967</f>
        <v>1803.0190710000002</v>
      </c>
      <c r="G155" s="3">
        <f>1802.7+(655.2-324.9)+(0.919377+(0.334152-0.165699))+0-325.1-0.165800999999967</f>
        <v>1808.8220290000002</v>
      </c>
      <c r="H155" s="3">
        <f>1806.8+(591.7-301.2)+(0+(0-0))+0-325.4-0</f>
        <v>1771.9</v>
      </c>
      <c r="I155" s="3">
        <f>1807.3+(593.2-268.8)+(0+(0-0))+0-325.6-0</f>
        <v>1806.1</v>
      </c>
      <c r="J155" s="3">
        <f>1809.6+(547.6-254.5)+(-3.691584+(-1.117104--0.51918))+0-326.1--0.665243999999986</f>
        <v>1772.9757360000001</v>
      </c>
      <c r="K155" s="3">
        <f>1808.9+(507.2-274.5)+(-3.690156+(-1.034688--0.55998))+0-326.2--0.665447999999986</f>
        <v>1711.900584</v>
      </c>
      <c r="L155" s="3">
        <f>1810.3+(397.7-252.1)+(-7.386024+(-1.622616--1.028568))+0-324.9--1.32559199999997</f>
        <v>1624.3455199999996</v>
      </c>
      <c r="M155" s="3">
        <f>1808.2+(309.1-280.2)+(1.844364+(0.315282-0.285804))+0-325-0.331500000000052</f>
        <v>1513.6423420000001</v>
      </c>
      <c r="N155" s="3">
        <f>1803.4+(344-290.6)+(1.839468+(0.35088-0.296412))+0-327.2-0.333744000000052</f>
        <v>1531.1601920000001</v>
      </c>
      <c r="O155" s="3">
        <f>1798.8+(382.9-326)+(0.917388+(0.195279-0.16626))+0-330.9-0.168758999999966</f>
        <v>1525.5776479999997</v>
      </c>
      <c r="P155" s="3">
        <f>1794.3+(358.7-338.6)+(0.915093+(0.182937-0.172686))+0-329.8-0.168197999999967</f>
        <v>1485.3571459999998</v>
      </c>
      <c r="Q155" s="3">
        <f>1789.7+(474.3-362.9)+(2.738241+(0.725679-0.555237))+0-328.6-0.502758000000019</f>
        <v>1574.905925</v>
      </c>
      <c r="R155" s="3">
        <f>1783+(658.9-386.1)+(-0.90933+(-0.336039--0.196911))+0-330.5--0.168554999999966</f>
        <v>1724.4200969999999</v>
      </c>
      <c r="S155" s="3">
        <f>1780.9+(816.3-397.6)+(-1.816518+(-0.832626--0.405552))+0-326.8--0.333336000000052</f>
        <v>1870.8897440000003</v>
      </c>
      <c r="T155" s="3">
        <f>1779.9+(894.9-393.6)+(-2.723247+(-1.369197--0.602208))+0-325.4--0.497862000000019</f>
        <v>1952.8076259999996</v>
      </c>
      <c r="U155" s="3">
        <f>1772+(859.9-382.4)+(0.90372+(0.438549-0.195024))+0-325.7-0.166106999999967</f>
        <v>1924.7811380000001</v>
      </c>
      <c r="V155" s="3">
        <f>1774+(766.9-342)+(-0.90474+(-0.391119--0.17442))+0-329.3--0.167942999999967</f>
        <v>1868.646504</v>
      </c>
      <c r="W155" s="3">
        <f>1780.1+(547.3-322.5)+(-0.907851+(-0.279123--0.164475))+0-328.5--0.167534999999967</f>
        <v>1675.545036</v>
      </c>
      <c r="X155" s="3">
        <f>1783.5+(241.9-324.3)+(-2.728755+(-0.370107--0.496179))+0-328.7--0.502911000000019</f>
        <v>1370.3002279999998</v>
      </c>
      <c r="Y155" s="3">
        <f>1786.5+(281.6-350)+(-1.82223+(-0.287232--0.357))+0-328.8--0.335376000000052</f>
        <v>1387.882914</v>
      </c>
      <c r="Z155" s="3">
        <f>1787.9+(601.2-390.5)+(0.911829+(0.306612-0.199155))+0-329.2-0.167891999999967</f>
        <v>1670.2513940000001</v>
      </c>
      <c r="AA155" s="3">
        <f>1795.2+(645.8-406.3)+(-3.662208+(-1.317432--0.828852))+0-329.1--0.671363999999986</f>
        <v>1702.120576</v>
      </c>
      <c r="AB155" s="3">
        <f>1798.5+(712.6-396.2)+(0.917235+(0.363426-0.202062))+0-327.8-0.167177999999967</f>
        <v>1788.0114210000002</v>
      </c>
      <c r="AC155" s="3">
        <f>1801.3+(713-384.2)+(1.837326+(0.72726-0.391884))+0-328.4-0.334968000000052</f>
        <v>1803.5377339999995</v>
      </c>
      <c r="AD155" s="2">
        <v>1698.1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1807.4+(691.1-350)+(-1.843548+(-0.704922--0.357))+0-327.9--0.334458000000052</f>
        <v>1818.7429879999997</v>
      </c>
      <c r="G156" s="3">
        <f>1809.1+(659.2-322.2)+(-0.922641+(-0.336192--0.164322))+0-331.7--0.169166999999966</f>
        <v>1813.4746560000001</v>
      </c>
      <c r="H156" s="3">
        <f>1812.2+(569-312.9)+(-3.696888+(-1.16076--0.638316))+0-329.3--0.671771999999986</f>
        <v>1735.45244</v>
      </c>
      <c r="I156" s="3">
        <f>1811.5+(523.4-295.3)+(0.923865+(0.266934-0.150603))+0-326.1-0.166310999999967</f>
        <v>1714.373885</v>
      </c>
      <c r="J156" s="3">
        <f>1805.5+(561.7-313.3)+(5.52483+(1.718802-0.958698))+0-326.8-1.00000800000004</f>
        <v>1732.384926</v>
      </c>
      <c r="K156" s="3">
        <f>1805.8+(439.9-300.6)+(0.920958+(0.224349-0.153306))+0-293.6-0.14973599999997</f>
        <v>1652.342265</v>
      </c>
      <c r="L156" s="3">
        <f>1806.9+(294.2-265.9)+(-3.686076+(-0.600168--0.542436))+0-306.1--0.624443999999987</f>
        <v>1525.9806360000002</v>
      </c>
      <c r="M156" s="3">
        <f>1803.8+(246-289.5)+(-0.919938+(-0.12546--0.147645))+0-332.4--0.169523999999966</f>
        <v>1427.1717709999998</v>
      </c>
      <c r="N156" s="3">
        <f>1798.7+(246.9-299)+(1.834674+(0.251838-0.30498))+0-332.1-0.338742000000053</f>
        <v>1415.9427899999998</v>
      </c>
      <c r="O156" s="3">
        <f>1795.5+(292.6-332.5)+(0+(0-0))+0-330.1-0</f>
        <v>1425.5</v>
      </c>
      <c r="P156" s="3">
        <f>1785.8+(360.4-343)+(0+(0-0))+0-335.2-0</f>
        <v>1467.9999999999998</v>
      </c>
      <c r="Q156" s="3">
        <f>1778.1+(468.3-358.8)+(-1.813662+(-0.477666--0.365976))+0-335--0.341700000000053</f>
        <v>1551.0163479999999</v>
      </c>
      <c r="R156" s="3">
        <f>1771.7+(627.4-371.5)+(-1.807134+(-0.639948--0.37893))+0-332.5--0.339150000000053</f>
        <v>1693.3709979999999</v>
      </c>
      <c r="S156" s="3">
        <f>1772.4+(785-380.1)+(-1.807848+(-0.8007--0.387702))+0-328.4--0.334968000000052</f>
        <v>1847.014122</v>
      </c>
      <c r="T156" s="3">
        <f>1774+(821.5-363.5)+(0+(0-0))+0-329.6-0</f>
        <v>1902.4</v>
      </c>
      <c r="U156" s="3">
        <f>1764.8+(807.7-352.6)+(0.900048+(0.411927-0.179826))+0-328.5-0.167534999999967</f>
        <v>1892.3646140000001</v>
      </c>
      <c r="V156" s="3">
        <f>1762.4+(686.8-336.6)+(-4.49412+(-1.75134--0.85833))+0-328--0.836399999999952</f>
        <v>1780.0492699999998</v>
      </c>
      <c r="W156" s="3">
        <f>1762.6+(452.8-320)+(-3.595704+(-0.923712--0.6528))+0-331.9--0.677075999999985</f>
        <v>1560.3104599999997</v>
      </c>
      <c r="X156" s="3">
        <f>1764.5+(216.7-301.2)+(-3.59958+(-0.442068--0.614448))+0-331.3--0.675851999999986</f>
        <v>1345.948652</v>
      </c>
      <c r="Y156" s="3">
        <f>1771.6+(251-334.2)+(-0.903516+(-0.12801--0.170442))+0-327.7--0.167126999999967</f>
        <v>1360.0060429999999</v>
      </c>
      <c r="Z156" s="3">
        <f>1777+(529.6-387)+(0+(0-0))+0-327.7-0</f>
        <v>1591.8999999999999</v>
      </c>
      <c r="AA156" s="3">
        <f>1784.5+(633.4-392.2)+(-4.550475+(-1.61517--1.00011))+0-326.9--0.833594999999952</f>
        <v>1694.4680600000002</v>
      </c>
      <c r="AB156" s="3">
        <f>1786.6+(686.7-388)+(-3.644664+(-1.400868--0.79152))+0-327.6--0.668303999999986</f>
        <v>1754.1142920000004</v>
      </c>
      <c r="AC156" s="3">
        <f>1713.5+(747.9-362.1)+(-1.74777+(-0.762858--0.369342))+0-326--0.332520000000052</f>
        <v>1771.4912340000003</v>
      </c>
      <c r="AD156" s="2">
        <v>1652.2000000000003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1582.2+(802.2-314.4)+(0+(0-0))+0-325.4-0</f>
        <v>1744.6</v>
      </c>
      <c r="G157" s="3">
        <f>1587.5+(781.7-289.1)+(0.809625+(0.398667-0.147441))+0-325.7-0.166106999999967</f>
        <v>1755.294744</v>
      </c>
      <c r="H157" s="3">
        <f>1587.4+(707.8-284.7)+(3.238296+(1.443912-0.580788))+0-326.3-0.665651999999986</f>
        <v>1687.6357680000001</v>
      </c>
      <c r="I157" s="3">
        <f>1587.5+(666.6-268.5)+(-0.809625+(-0.339966--0.136935))+0-326.3--0.166412999999967</f>
        <v>1658.4537569999998</v>
      </c>
      <c r="J157" s="3">
        <f>1588+(637.3-249.6)+(-1.61976+(-0.650046--0.254592))+0-326.5--0.333030000000052</f>
        <v>1647.5178159999998</v>
      </c>
      <c r="K157" s="3">
        <f>1588.6+(607.1-236.8)+(-2.430558+(-0.928863--0.362304))+0-326.1--0.498933000000019</f>
        <v>1630.3018159999999</v>
      </c>
      <c r="L157" s="3">
        <f>1588.2+(531.3-259.3)+(-5.669874+(-1.896741--0.925701))+0-326.2--1.164534</f>
        <v>1528.5236199999999</v>
      </c>
      <c r="M157" s="3">
        <f>1584.4+(462.2-262.9)+(-0.808044+(-0.235722--0.134079))+0-323.9--0.165188999999967</f>
        <v>1459.0555019999999</v>
      </c>
      <c r="N157" s="3">
        <f>1579+(482.8-284.4)+(2.41587+(0.738684-0.435132))+0-324-0.495720000000019</f>
        <v>1455.6237019999999</v>
      </c>
      <c r="O157" s="3">
        <f>1568.8+(506.1-319.2)+(-1.600176+(-0.516222--0.325584))+0-325.7--0.332214000000052</f>
        <v>1428.5414000000001</v>
      </c>
      <c r="P157" s="3">
        <f>1568.6+(546-347.8)+(-0.799986+(-0.27846--0.177378))+0-325--0.165749999999967</f>
        <v>1441.0646819999999</v>
      </c>
      <c r="Q157" s="3">
        <f>1568.7+(660.7-366.3)+(0.800037+(0.336957-0.186813))+0-326.4-0.166463999999967</f>
        <v>1537.4837170000001</v>
      </c>
      <c r="R157" s="3">
        <f>1569.1+(767.8-381.1)+(0.800241+(0.391578-0.194361))+0-326.3-0.166412999999967</f>
        <v>1630.3310449999999</v>
      </c>
      <c r="S157" s="3">
        <f>1562.6+(912.3-366.8)+(1.593852+(0.930546-0.374136))+0-326.4-0.332928000000052</f>
        <v>1783.5173339999999</v>
      </c>
      <c r="T157" s="3">
        <f>1588.4+(852.1-340.4)+(-3.240336+(-1.738284--0.694416))+0-326.5--0.666059999999986</f>
        <v>1769.9818560000003</v>
      </c>
      <c r="U157" s="3">
        <f>1598+(869.1-325.1)+(-1.62996+(-0.886482--0.331602))+0-326.2--0.332724000000052</f>
        <v>1813.9478840000002</v>
      </c>
      <c r="V157" s="3">
        <f>1598+(718.5-315.4)+(-0.81498+(-0.366435--0.160854))+0-326.3--0.166412999999967</f>
        <v>1673.9458519999998</v>
      </c>
      <c r="W157" s="3">
        <f>1601.8+(529.6-302.4)+(-2.450754+(-0.810288--0.462672))+0-329.4--0.503982000000019</f>
        <v>1497.3056119999999</v>
      </c>
      <c r="X157" s="3">
        <f>1607.9+(310.9-278)+(-4.920174+(-0.951354--0.85068))+0-327.3--1.00153800000004</f>
        <v>1309.4806900000003</v>
      </c>
      <c r="Y157" s="3">
        <f>1612.9+(339.4-303.1)+(0+(0-0))+0-327.2-0</f>
        <v>1322</v>
      </c>
      <c r="Z157" s="3">
        <f>1617+(555.4-350)+(0.82467+(0.283254-0.1785))+0-325.9-0.166208999999967</f>
        <v>1497.2632149999999</v>
      </c>
      <c r="AA157" s="3">
        <f>1622.2+(654.4-343.1)+(-2.481966+(-1.001232--0.524943))+0-326.8--0.500004000000019</f>
        <v>1604.241749</v>
      </c>
      <c r="AB157" s="3">
        <f>1631.1+(685.5-342.3)+(-1.663722+(-0.69921--0.349146))+0-328.2--0.334764000000052</f>
        <v>1644.4209779999999</v>
      </c>
      <c r="AC157" s="3">
        <f>1633.5+(722.8-322)+(-1.66617+(-0.737256--0.32844))+0-325.5--0.332010000000052</f>
        <v>1707.057024</v>
      </c>
      <c r="AD157" s="2">
        <v>1558.3999999999996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1638.1+(703-301.2)+(0+(0-0))+0-325-0</f>
        <v>1714.8999999999999</v>
      </c>
      <c r="G158" s="3">
        <f>1642.6+(691.7-273.8)+(-2.513178+(-1.058301--0.418914))+0-325.2--0.497556000000019</f>
        <v>1732.6449910000001</v>
      </c>
      <c r="H158" s="3">
        <f>1641.4+(666.9-257.7)+(-2.511342+(-1.020357--0.394281))+0-326.1--0.498933000000019</f>
        <v>1721.8615149999998</v>
      </c>
      <c r="I158" s="3">
        <f>1640.2+(637.4-262.3)+(-3.346008+(-1.300296--0.535092))+0-327.5--0.668099999999986</f>
        <v>1684.356888</v>
      </c>
      <c r="J158" s="3">
        <f>1637.4+(615-297.4)+(-4.17537+(-1.56825--0.75837))+0-326.6--0.832829999999953</f>
        <v>1624.24758</v>
      </c>
      <c r="K158" s="3">
        <f>1638.3+(597.1-270.8)+(-0.835533+(-0.304521--0.138108))+0-326.1--0.166310999999967</f>
        <v>1637.6643649999996</v>
      </c>
      <c r="L158" s="3">
        <f>1639.2+(388.7-241.8)+(0+(0-0))+0-267.4-0</f>
        <v>1518.6999999999998</v>
      </c>
      <c r="M158" s="3">
        <f>1637.9+(352.6-245.1)+(-2.505987+(-0.539478--0.375003))+0-330--0.504900000000019</f>
        <v>1413.234438</v>
      </c>
      <c r="N158" s="3">
        <f>1631.5+(318.6-269.7)+(0+(0-0))+0-330.1-0</f>
        <v>1350.3000000000002</v>
      </c>
      <c r="O158" s="3">
        <f>1624.9+(315.4-306)+(0.828699+(0.160854-0.15606))+0-333.2-0.169931999999966</f>
        <v>1301.7635610000002</v>
      </c>
      <c r="P158" s="3">
        <f>1377.7+(583.1-295)+(-1.405254+(-0.594762--0.3009))+0-333.6--0.340272000000053</f>
        <v>1330.8411560000002</v>
      </c>
      <c r="Q158" s="3">
        <f>1367.6+(616.7-315.8)+(-0.697476+(-0.314517--0.161058))+0-332.3--0.169472999999966</f>
        <v>1335.518538</v>
      </c>
      <c r="R158" s="3">
        <f>1382.9+(754.9-343.1)+(-0.705279+(-0.384999--0.174981))+0-331.9--0.169268999999966</f>
        <v>1462.0539720000002</v>
      </c>
      <c r="S158" s="3">
        <f>1558.8+(718.4-366.5)+(-1.589976+(-0.732768--0.37383))+0-328.5--0.335070000000052</f>
        <v>1580.5861559999998</v>
      </c>
      <c r="T158" s="3">
        <f>1605+(758.6-359.4)+(-1.6371+(-0.773772--0.366588))+0-326.6--0.333132000000052</f>
        <v>1675.8888479999998</v>
      </c>
      <c r="U158" s="3">
        <f>1590+(807.5-343)+(4.0545+(2.059125-0.87465))+0-328.1-0.836654999999952</f>
        <v>1730.8023200000002</v>
      </c>
      <c r="V158" s="3">
        <f>1592.8+(759.5-314)+(0.812328+(0.387345-0.16014))+0-331.6-0.169115999999966</f>
        <v>1707.5704169999999</v>
      </c>
      <c r="W158" s="3">
        <f>1610.2+(481.5-302.3)+(-1.642404+(-0.49113--0.308346))+0-331.8--0.338436000000053</f>
        <v>1456.1132480000001</v>
      </c>
      <c r="X158" s="3">
        <f>1614.6+(280.7-282.6)+(0.823446+(0.143157-0.144126))+0-332.6-0.169625999999966</f>
        <v>1280.7528509999997</v>
      </c>
      <c r="Y158" s="3">
        <f>1620.2+(337.5-338.6)+(0.826302+(0.172125-0.172686))+0-331-0.168809999999966</f>
        <v>1288.7569310000001</v>
      </c>
      <c r="Z158" s="3">
        <f>1622.9+(558.9-366.2)+(0+(0-0))+0-330.4-0</f>
        <v>1485.2000000000003</v>
      </c>
      <c r="AA158" s="3">
        <f>1628.2+(663.6-365.5)+(-4.982292+(-2.030616--1.11843))+0-332.4--1.01714400000004</f>
        <v>1589.0226660000005</v>
      </c>
      <c r="AB158" s="3">
        <f>1628.6+(644.6-369.5)+(-3.322344+(-1.314984--0.75378))+0-329.5--0.672179999999986</f>
        <v>1570.9886319999998</v>
      </c>
      <c r="AC158" s="3">
        <f>1629.7+(702.8-347.9)+(-0.831147+(-0.358428--0.177429))+0-325.7--0.166106999999967</f>
        <v>1658.0539609999998</v>
      </c>
      <c r="AD158" s="2">
        <v>1613.2000000000003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1630.4+(747.6-313.9)+(1.663008+(0.762552-0.320178))+0-327.2-0.333744000000052</f>
        <v>1738.6716380000005</v>
      </c>
      <c r="G159" s="3">
        <f>1632.6+(691.6-299.7)+(-2.497878+(-1.058148--0.458541))+0-331--0.506430000000019</f>
        <v>1690.9089449999999</v>
      </c>
      <c r="H159" s="3">
        <f>1632.3+(692.1-274.2)+(0+(0-0))+0-332.2-0</f>
        <v>1717.9999999999998</v>
      </c>
      <c r="I159" s="3">
        <f>1634.8+(656.6-267.9)+(-3.334992+(-1.339464--0.546516))+0-332.8--0.678911999999986</f>
        <v>1687.250972</v>
      </c>
      <c r="J159" s="3">
        <f>1634+(662.2-289)+(-3.33336+(-1.350888--0.58956))+0-333--0.679319999999985</f>
        <v>1670.7846320000001</v>
      </c>
      <c r="K159" s="3">
        <f>1631.9+(580.7-270.7)+(0.832269+(0.296157-0.138057))+0-331.8-0.169217999999966</f>
        <v>1610.9211510000002</v>
      </c>
      <c r="L159" s="3">
        <f>1632+(367.5-249.8)+(-1.66464+(-0.37485--0.254796))+0-328.8--0.335376000000052</f>
        <v>1419.4506820000001</v>
      </c>
      <c r="M159" s="3">
        <f>1629.8+(287.2-258)+(3.324792+(0.585888-0.52632))+0-330.4-0.674015999999986</f>
        <v>1331.310344</v>
      </c>
      <c r="N159" s="3">
        <f>1623.6+(301.7-274.6)+(0.828036+(0.153867-0.140046))+0-329.8-0.168197999999967</f>
        <v>1321.5736589999997</v>
      </c>
      <c r="O159" s="3">
        <f>1534.9+(399.3-294.4)+(1.565598+(0.407286-0.300288))+0-332.2-0.338844000000053</f>
        <v>1308.9337520000001</v>
      </c>
      <c r="P159" s="3">
        <f>1503.9+(525.8-297.8)+(0.766989+(0.268158-0.151878))+0-330.6-0.168605999999966</f>
        <v>1402.0146630000002</v>
      </c>
      <c r="Q159" s="3">
        <f>1526.7+(590.1-330.1)+(2.335851+(0.902853-0.505053))+0-328.7-0.502911000000019</f>
        <v>1460.23074</v>
      </c>
      <c r="R159" s="3">
        <f>1588.3+(742.5-358.5)+(-2.430099+(-1.136025--0.548505))+0-330--0.504900000000019</f>
        <v>1639.7872809999999</v>
      </c>
      <c r="S159" s="3">
        <f>1580.2+(926.1-359.6)+(-1.611804+(-0.944622--0.366792))+0-328.5--0.335070000000052</f>
        <v>1816.3454360000001</v>
      </c>
      <c r="T159" s="3">
        <f>1609.4+(859.2-378.9)+(0.820794+(0.438192-0.193239))+0-326.4-0.166463999999967</f>
        <v>1764.1992830000004</v>
      </c>
      <c r="U159" s="3">
        <f>1635.4+(847.4-365)+(0.834054+(0.432174-0.18615))+0-325.7-0.166106999999967</f>
        <v>1793.0139710000001</v>
      </c>
      <c r="V159" s="3">
        <f>1658.9+(701.5-348.8)+(-3.384156+(-1.43106--0.711552))+0-327.5--0.668099999999986</f>
        <v>1680.6644360000003</v>
      </c>
      <c r="W159" s="3">
        <f>1688.3+(455.2-332.2)+(-2.583099+(-0.696456--0.508266))+0-330.9--0.506277000000019</f>
        <v>1478.1349879999998</v>
      </c>
      <c r="X159" s="3">
        <f>1698.7+(228.4-324.8)+(-2.599011+(-0.349452--0.496944))+0-328.9--0.503217000000019</f>
        <v>1271.4516979999999</v>
      </c>
      <c r="Y159" s="3">
        <f>1711.9+(331.6-380.7)+(-0.873069+(-0.169116--0.194157))+0-331.6--0.169115999999966</f>
        <v>1330.521088</v>
      </c>
      <c r="Z159" s="3">
        <f>1731.8+(592.3-402.6)+(0+(0-0))+0-330.3-0</f>
        <v>1591.2</v>
      </c>
      <c r="AA159" s="3">
        <f>1858.3+(597.4-415.9)+(-4.738665+(-1.52337--1.060545))+0-330.7--0.843284999999952</f>
        <v>1704.7417949999999</v>
      </c>
      <c r="AB159" s="3">
        <f>1890.3+(617.5-402.3)+(-4.820265+(-1.574625--1.025865))+0-330--0.841499999999952</f>
        <v>1770.972475</v>
      </c>
      <c r="AC159" s="3">
        <f>1890.7+(640.4-381.5)+(-4.821285+(-1.63302--0.972825))+0-329.3--0.839714999999952</f>
        <v>1815.6582349999999</v>
      </c>
      <c r="AD159" s="2">
        <v>1600.1999999999998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1894.3+(567.7-357.3)+(-0.966093+(-0.289527--0.182223))+0-327.8--0.167177999999967</f>
        <v>1775.9937809999997</v>
      </c>
      <c r="G160" s="3">
        <f>1897.5+(553.4-326.1)+(3.8709+(1.128936-0.665244))+0-326.4-0.665855999999986</f>
        <v>1802.0687360000002</v>
      </c>
      <c r="H160" s="3">
        <f>1901.5+(458.5-312.4)+(-2.909295+(-0.701505--0.477972))+0-328.9--0.503217000000019</f>
        <v>1716.070389</v>
      </c>
      <c r="I160" s="3">
        <f>1902.6+(476.1-280.1)+(1.940652+(0.485622-0.285702))+0-326.3-0.332826000000052</f>
        <v>1774.1077459999997</v>
      </c>
      <c r="J160" s="3">
        <f>1902.9+(418.8-302.4)+(-3.881916+(-0.854352--0.616896))+0-327.3--0.667691999999986</f>
        <v>1688.5483200000001</v>
      </c>
      <c r="K160" s="3">
        <f>1900.9+(413.1-304)+(-0.969459+(-0.210681--0.15504))+0-326.6--0.166565999999967</f>
        <v>1682.5414659999997</v>
      </c>
      <c r="L160" s="3">
        <f>1911.4+(205.2-304.8)+(-4.87407+(-0.52326--0.77724))+0-327.2--0.834359999999952</f>
        <v>1480.8142700000003</v>
      </c>
      <c r="M160" s="3">
        <f>1906.6+(197.2-300)+(0+(0-0))+0-326.6-0</f>
        <v>1477.1999999999998</v>
      </c>
      <c r="N160" s="3">
        <f>1902.9+(156.7-340.7)+(0.970479+(0.079917-0.173757))+0-326.5-0.166514999999967</f>
        <v>1393.1101240000003</v>
      </c>
      <c r="O160" s="3">
        <f>1889.3+(188-454)+(0.963543+(0.09588-0.23154))+0-327-0.166769999999967</f>
        <v>1296.9611129999998</v>
      </c>
      <c r="P160" s="3">
        <f>1884.1+(251.7-363.9)+(-0.960891+(-0.128367--0.185589))+0-326.9--0.166718999999967</f>
        <v>1444.2630499999998</v>
      </c>
      <c r="Q160" s="3">
        <f>1874.5+(329.5-382.6)+(1.91199+(0.33609-0.390252))+0-326.5-0.333030000000052</f>
        <v>1496.424798</v>
      </c>
      <c r="R160" s="3">
        <f>1861+(478.9-400)+(-0.94911+(-0.244239--0.204))+0-325.1--0.165800999999967</f>
        <v>1613.9764520000001</v>
      </c>
      <c r="S160" s="3">
        <f>1854.3+(613.2-383.9)+(-1.891386+(-0.625464--0.391578))+0-328--0.334560000000052</f>
        <v>1753.8092879999997</v>
      </c>
      <c r="T160" s="3">
        <f>1867.6+(796-382.2)+(0+(0-0))+0-332.7-0</f>
        <v>1948.7</v>
      </c>
      <c r="U160" s="3">
        <f>1855+(649.8-393.2)+(0.94605+(0.331398-0.200532))+0-326.2-0.166361999999967</f>
        <v>1786.3105539999999</v>
      </c>
      <c r="V160" s="3">
        <f>1858.6+(531.7-358.4)+(-0.947886+(-0.271167--0.182784))+0-328.4--0.167483999999967</f>
        <v>1702.6312150000003</v>
      </c>
      <c r="W160" s="3">
        <f>1863.5+(287.7-328.5)+(-1.90077+(-0.293454--0.33507))+0-330.8--0.337416000000053</f>
        <v>1490.3782620000002</v>
      </c>
      <c r="X160" s="3">
        <f>1869.4+(178.3-421.8)+(1.906788+(0.181866-0.430236))+0-329.1-0.335682000000052</f>
        <v>1298.122736</v>
      </c>
      <c r="Y160" s="3">
        <f>1876.8+(246.7-436.6)+(0.957168+(0.125817-0.222666))+0-331-0.168809999999966</f>
        <v>1356.5915089999999</v>
      </c>
      <c r="Z160" s="3">
        <f>1880.9+(433.7-389.4)+(-1.918518+(-0.442374--0.397188))+0-331.1--0.337722000000053</f>
        <v>1592.4740180000001</v>
      </c>
      <c r="AA160" s="3">
        <f>1888.4+(507.3-395)+(-2.889252+(-0.776169--0.60435))+0-329.8--0.504594000000019</f>
        <v>1668.343523</v>
      </c>
      <c r="AB160" s="3">
        <f>1884.6+(542-395.4)+(-2.883438+(-0.82926--0.604962))+0-329.3--0.503829000000019</f>
        <v>1699.2960929999999</v>
      </c>
      <c r="AC160" s="3">
        <f>1883.1+(592.3-359)+(-4.801905+(-1.510365--0.91545))+0-329.3--0.839714999999952</f>
        <v>1782.5428949999996</v>
      </c>
      <c r="AD160" s="2">
        <v>1543.1000000000001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1882.2+(639.9-326.3)+(0+(0-0))+0-330.2-0</f>
        <v>1865.6000000000001</v>
      </c>
      <c r="G161" s="3">
        <f>1882.7+(590.7-308.9)+(-0.960177+(-0.301257--0.157539))+0-330.9--0.168758999999966</f>
        <v>1832.6648639999996</v>
      </c>
      <c r="H161" s="3">
        <f>1885.7+(488-311.1)+(0+(0-0))+0-332.4-0</f>
        <v>1730.1999999999998</v>
      </c>
      <c r="I161" s="3">
        <f>1889+(457.5-287.8)+(-3.85356+(-0.9333--0.587112))+0-331--0.675239999999986</f>
        <v>1724.1754919999998</v>
      </c>
      <c r="J161" s="3">
        <f>1890.6+(475.3-281.2)+(0+(0-0))+0-332.9-0</f>
        <v>1751.7999999999997</v>
      </c>
      <c r="K161" s="3">
        <f>1892.1+(387.4-281.8)+(-4.824855+(-0.98787--0.71859))+0-325.4--0.829769999999953</f>
        <v>1668.035635</v>
      </c>
      <c r="L161" s="3">
        <f>1897.1+(225-250.2)+(-4.837605+(-0.57375--0.63801))+0-279--0.71144999999996</f>
        <v>1588.8381049999998</v>
      </c>
      <c r="M161" s="3">
        <f>1892.9+(171.4-244.4)+(0.965379+(0.087414-0.124644))+0-335.7-0.171206999999966</f>
        <v>1484.9569420000003</v>
      </c>
      <c r="N161" s="3">
        <f>1884.8+(187.9-259.8)+(0+(0-0))+0-333.3-0</f>
        <v>1479.6</v>
      </c>
      <c r="O161" s="3">
        <f>1868.1+(252-373)+(1.905462+(0.25704-0.38046))+0-335-0.341700000000053</f>
        <v>1413.540342</v>
      </c>
      <c r="P161" s="3">
        <f>1858.8+(293.6-327.6)+(0+(0-0))+0-335.1-0</f>
        <v>1489.6999999999998</v>
      </c>
      <c r="Q161" s="3">
        <f>1848.6+(407.5-360.5)+(0.942786+(0.207825-0.183855))+0-334.4-0.170543999999966</f>
        <v>1561.996212</v>
      </c>
      <c r="R161" s="3">
        <f>1843.1+(545.2-352.4)+(-1.879962+(-0.556104--0.359448))+0-334--0.340680000000053</f>
        <v>1700.1640620000001</v>
      </c>
      <c r="S161" s="3">
        <f>1838.4+(633.9-365.5)+(-0.937584+(-0.323289--0.186405))+0-328.6--0.167585999999967</f>
        <v>1777.2931180000005</v>
      </c>
      <c r="T161" s="3">
        <f>1830.1+(770.5-358.5)+(-1.866702+(-0.78591--0.36567))+0-328.6--0.335172000000052</f>
        <v>1911.5482299999999</v>
      </c>
      <c r="U161" s="3">
        <f>1831.3+(726.5-364.3)+(2.801889+(1.111545-0.557379))+0-330.7-0.505971000000019</f>
        <v>1865.6500840000001</v>
      </c>
      <c r="V161" s="3">
        <f>1834.1+(565.8-352)+(0+(0-0))+0-331-0</f>
        <v>1716.8999999999999</v>
      </c>
      <c r="W161" s="3">
        <f>1843.2+(294-331.2)+(-2.820096+(-0.44982--0.506736))+0-332.1--0.508113000000019</f>
        <v>1471.6449330000003</v>
      </c>
      <c r="X161" s="3">
        <f>1849.5+(148.5-340.1)+(-6.602715+(-0.530145--1.214157))+0-331.6--1.183812</f>
        <v>1321.5651089999999</v>
      </c>
      <c r="Y161" s="3">
        <f>1860.2+(297.6-393.8)+(0+(0-0))+0-331.3-0</f>
        <v>1432.7</v>
      </c>
      <c r="Z161" s="3">
        <f>1875+(450.4-388.3)+(0.95625+(0.229704-0.198033))+0-333-0.169829999999966</f>
        <v>1604.9180909999998</v>
      </c>
      <c r="AA161" s="3">
        <f>1881.4+(546.8-384.5)+(-3.838056+(-1.115472--0.78438))+0-329.9--0.672995999999986</f>
        <v>1710.3038480000002</v>
      </c>
      <c r="AB161" s="3">
        <f>1881.1+(589.1-368.4)+(0+(0-0))+0-333.5-0</f>
        <v>1768.3000000000002</v>
      </c>
      <c r="AC161" s="3">
        <f>1882.5+(557.2-358.9)+(-0.960075+(-0.284172--0.183039))+0-330.3--0.168452999999966</f>
        <v>1749.6072450000001</v>
      </c>
      <c r="AD161" s="2">
        <v>1644.9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1888.9+(536.4-340.8)+(-1.926678+(-0.547128--0.347616))+0-331.4--0.338028000000053</f>
        <v>1751.3118380000001</v>
      </c>
      <c r="G162" s="3">
        <f>1890.7+(494.5-314)+(-0.964257+(-0.252195--0.16014))+0-331.1--0.168860999999966</f>
        <v>1739.2125489999996</v>
      </c>
      <c r="H162" s="3">
        <f>1889.3+(438.8-289)+(-2.890629+(-0.671364--0.44217))+0-335.7--0.513621000000019</f>
        <v>1700.7937979999999</v>
      </c>
      <c r="I162" s="3">
        <f>1890.4+(374.4-264.7)+(-0.964104+(-0.190944--0.134997))+0-331.5--0.169064999999966</f>
        <v>1667.7490140000002</v>
      </c>
      <c r="J162" s="3">
        <f>1892.3+(378.8-276.9)+(2.895219+(0.579564-0.423657))+0-330.4-0.505512000000019</f>
        <v>1666.3456140000001</v>
      </c>
      <c r="K162" s="3">
        <f>1894+(359.2-266.4)+(2.89782+(0.549576-0.407592))+0-332.6-0.508878000000019</f>
        <v>1656.7309259999997</v>
      </c>
      <c r="L162" s="3">
        <f>1876.8+(235.4-241.2)+(1.914336+(0.240108-0.246024))+0-330.5-0.337110000000053</f>
        <v>1542.0713099999998</v>
      </c>
      <c r="M162" s="3">
        <f>1651+(323.6-230.9)+(0+(0-0))+0-328-0</f>
        <v>1415.7</v>
      </c>
      <c r="N162" s="3">
        <f>1647.4+(359.2-253.8)+(-2.520522+(-0.549576--0.388314))+0-331.4--0.507042000000019</f>
        <v>1419.2252580000002</v>
      </c>
      <c r="O162" s="3">
        <f>1740.5+(279.2-301.9)+(0.887655+(0.142392-0.153969))+0-330.6-0.168605999999966</f>
        <v>1387.9074720000001</v>
      </c>
      <c r="P162" s="3">
        <f>1775.8+(303.8-342.2)+(4.52829+(0.77469-0.87261))+0-332.7-0.848384999999952</f>
        <v>1408.2819850000001</v>
      </c>
      <c r="Q162" s="3">
        <f>1762.7+(488.3-354.5)+(0.898977+(0.249033-0.180795))+0-332.5-0.169574999999966</f>
        <v>1564.79764</v>
      </c>
      <c r="R162" s="3">
        <f>1779.2+(654.1-346.3)+(-0.907392+(-0.333591--0.176613))+0-332.2--0.169421999999966</f>
        <v>1753.9050519999998</v>
      </c>
      <c r="S162" s="3">
        <f>1848+(704.7-375.8)+(0+(0-0))+0-333.1-0</f>
        <v>1843.8000000000002</v>
      </c>
      <c r="T162" s="3">
        <f>1847.5+(739.3-382.8)+(-0.942225+(-0.377043--0.195228))+0-331.8--0.169217999999966</f>
        <v>1871.2451779999999</v>
      </c>
      <c r="U162" s="3">
        <f>1840.4+(726.1-357.3)+(-0.938604+(-0.370311--0.182223))+0-334.5--0.170594999999966</f>
        <v>1873.7439030000005</v>
      </c>
      <c r="V162" s="3">
        <f>1838.2+(584.8-342.7)+(-1.874964+(-0.596496--0.349554))+0-330.9--0.337518000000053</f>
        <v>1747.6156120000003</v>
      </c>
      <c r="W162" s="3">
        <f>1842.4+(373.4-317.3)+(-0.939624+(-0.190434--0.161823))+0-328.1--0.167330999999967</f>
        <v>1569.5990959999997</v>
      </c>
      <c r="X162" s="3">
        <f>1852.8+(185.4-373.3)+(-2.834784+(-0.283662--0.571149))+0-328.8--0.503064000000019</f>
        <v>1334.0557669999998</v>
      </c>
      <c r="Y162" s="3">
        <f>1866.5+(219.5-380.6)+(0+(0-0))+0-333.2-0</f>
        <v>1372.2</v>
      </c>
      <c r="Z162" s="3">
        <f>1876.6+(475.3-390.5)+(-1.914132+(-0.484806--0.39831))+0-332.3--0.338946000000053</f>
        <v>1627.438318</v>
      </c>
      <c r="AA162" s="3">
        <f>1877.7+(577-389.4)+(-0.957627+(-0.29427--0.198594))+0-330.9--0.168758999999966</f>
        <v>1733.5154559999999</v>
      </c>
      <c r="AB162" s="3">
        <f>1748.8+(706.1-371.4)+(-0.891888+(-0.360111--0.189414))+0-332.4--0.169523999999966</f>
        <v>1750.2069389999997</v>
      </c>
      <c r="AC162" s="3">
        <f>1636.9+(775.4-342.9)+(-2.504457+(-1.186362--0.524637))+0-330.3--0.505359000000019</f>
        <v>1736.4391770000002</v>
      </c>
      <c r="AD162" s="2">
        <v>1752.6999999999998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1640.5+(831-302.5)+(-1.67331+(-0.84762--0.30855))+0-331.2--0.337824000000053</f>
        <v>1835.925444</v>
      </c>
      <c r="G163" s="3">
        <f>1641+(768.1-277.4)+(-3.34764+(-1.566924--0.565896))+0-331.8--0.676871999999985</f>
        <v>1796.2282039999998</v>
      </c>
      <c r="H163" s="3">
        <f>1644.7+(717-247)+(-2.516391+(-1.09701--0.37791))+0-331.9--0.507807000000019</f>
        <v>1780.0723159999998</v>
      </c>
      <c r="I163" s="3">
        <f>1648.2+(652.6-253.5)+(-4.20291+(-1.66413--0.646425))+0-331.5--0.845324999999952</f>
        <v>1711.4247100000002</v>
      </c>
      <c r="J163" s="3">
        <f>1649.2+(631.8-257.1)+(3.364368+(1.288872-0.524484))+0-330.2-0.673607999999986</f>
        <v>1697.1551480000001</v>
      </c>
      <c r="K163" s="3">
        <f>1651.6+(589.5-245)+(1.684632+(0.60129-0.2499))+0-330.8-0.337416000000053</f>
        <v>1666.9986059999999</v>
      </c>
      <c r="L163" s="3">
        <f>1655.7+(409.2-230.2)+(-2.533221+(-0.626076--0.352206))+0-328.3--0.502299000000019</f>
        <v>1504.0952080000002</v>
      </c>
      <c r="M163" s="3">
        <f>1654.4+(392.8-227.5)+(0.843744+(0.200328-0.116025))+0-327.4-0.166973999999967</f>
        <v>1493.0610730000001</v>
      </c>
      <c r="N163" s="3">
        <f>1649.5+(385.2-252.6)+(0+(0-0))+0-326.9-0</f>
        <v>1455.1999999999998</v>
      </c>
      <c r="O163" s="3">
        <f>1640.6+(427.6-303.9)+(0.836706+(0.218076-0.154989))+0-328.4-0.167483999999967</f>
        <v>1436.6323090000001</v>
      </c>
      <c r="P163" s="3">
        <f>1629.7+(484.6-328.4)+(0.831147+(0.247146-0.167484))+0-332.8-0.169727999999966</f>
        <v>1453.841081</v>
      </c>
      <c r="Q163" s="3">
        <f>1623.9+(594.5-336.1)+(2.484567+(0.909585-0.514233))+0-329.4-0.503982000000019</f>
        <v>1555.2759370000001</v>
      </c>
      <c r="R163" s="3">
        <f>1621.7+(717.3-356.8)+(1.654134+(0.731646-0.363936))+0-331.7-0.338334000000053</f>
        <v>1652.1835100000001</v>
      </c>
      <c r="S163" s="3">
        <f>1615.3+(876-364.6)+(0.823803+(0.44676-0.185946))+0-328.6-0.167585999999967</f>
        <v>1799.0170309999999</v>
      </c>
      <c r="T163" s="3">
        <f>1605.2+(958.9-361.9)+(0+(0-0))+0-329.7-0</f>
        <v>1872.4999999999998</v>
      </c>
      <c r="U163" s="3">
        <f>1598+(928.7-338.6)+(-0.81498+(-0.473637--0.172686))+0-329.9--0.168248999999967</f>
        <v>1857.2523180000001</v>
      </c>
      <c r="V163" s="3">
        <f>1597.2+(817-315)+(-4.07286+(-2.08335--0.80325))+0-328.9--0.838694999999952</f>
        <v>1765.7857349999995</v>
      </c>
      <c r="W163" s="3">
        <f>1582.2+(625.4-290.2)+(-4.841532+(-1.913724--0.888012))+0-330.9--1.01255400000004</f>
        <v>1581.6453100000001</v>
      </c>
      <c r="X163" s="3">
        <f>1608.9+(344.4-297.1)+(-2.461617+(-0.526932--0.454563))+0-334.5--0.511785000000019</f>
        <v>1319.6777990000001</v>
      </c>
      <c r="Y163" s="3">
        <f>1630.8+(424.6-358.8)+(0.831708+(0.216546-0.182988))+0-334.2-0.170441999999966</f>
        <v>1363.094824</v>
      </c>
      <c r="Z163" s="3">
        <f>1637.4+(694.6-365.6)+(-1.670148+(-0.708492--0.372912))+0-331.2--0.337824000000053</f>
        <v>1633.5320959999999</v>
      </c>
      <c r="AA163" s="3">
        <f>1643.3+(749.4-375.9)+(-3.352332+(-1.528776--0.766836))+0-330.4--0.674015999999986</f>
        <v>1682.9597439999998</v>
      </c>
      <c r="AB163" s="3">
        <f>1647.4+(809.4-363.4)+(-2.520522+(-1.238382--0.556002))+0-329.7--0.504441000000019</f>
        <v>1761.0015390000001</v>
      </c>
      <c r="AC163" s="3">
        <f>1648.3+(724.7-363.5)+(2.521899+(1.108791-0.556155))+0-327.6-0.501228000000019</f>
        <v>1684.4733069999997</v>
      </c>
      <c r="AD163" s="2">
        <v>1694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1650.7+(707.9-332.5)+(-1.683714+(-0.722058--0.33915))+0-329.7--0.336294000000053</f>
        <v>1694.6696719999998</v>
      </c>
      <c r="G164" s="3">
        <f>1650.9+(671.3-309.1)+(0.841959+(0.342363-0.157641))+0-329.6-0.168095999999967</f>
        <v>1684.3585849999999</v>
      </c>
      <c r="H164" s="3">
        <f>1652.8+(636.8-284.9)+(1.685856+(0.649536-0.290598))+0-329.4-0.335988000000053</f>
        <v>1677.0088059999996</v>
      </c>
      <c r="I164" s="3">
        <f>1656.9+(652.9-267.4)+(-1.690038+(-0.665958--0.272748))+0-328--0.334560000000052</f>
        <v>1712.6513120000002</v>
      </c>
      <c r="J164" s="3">
        <f>1660+(714.9-287.6)+(5.0796+(2.187594-0.880056))+0-329.2-1.00735200000004</f>
        <v>1763.4797860000001</v>
      </c>
      <c r="K164" s="3">
        <f>1662.3+(611.6-275.7)+(3.391092+(1.247664-0.562428))+0-330.3-0.673811999999986</f>
        <v>1671.3025160000002</v>
      </c>
      <c r="L164" s="3">
        <f>1664.4+(464.3-239.3)+(1.697688+(0.473586-0.244086))+0-328.9-0.335478000000052</f>
        <v>1562.0917100000001</v>
      </c>
      <c r="M164" s="3">
        <f>1655.1+(408.2-254.2)+(5.064606+(1.249092-0.777852))+0-327.7-1.00276200000004</f>
        <v>1485.9330839999998</v>
      </c>
      <c r="N164" s="3">
        <f>1650.1+(376.9-302.2)+(2.524653+(0.576657-0.462366))+0-329.5-0.504135000000019</f>
        <v>1397.4348090000001</v>
      </c>
      <c r="O164" s="3">
        <f>1661.8+(347.1-348.1)+(0+(0-0))+0-329.5-0</f>
        <v>1331.3</v>
      </c>
      <c r="P164" s="3">
        <f>1747.5+(353.8-335.1)+(0.891225+(0.180438-0.170901))+0-330.7-0.168656999999966</f>
        <v>1436.232105</v>
      </c>
      <c r="Q164" s="3">
        <f>1823.9+(366.3-368.1)+(0.930189+(0.186813-0.187731))+0-330.4-0.168503999999966</f>
        <v>1492.4607670000003</v>
      </c>
      <c r="R164" s="3">
        <f>1673.5+(726.1-353.5)+(-2.560455+(-1.110933--0.540855))+0-334--0.511020000000019</f>
        <v>1709.4804869999998</v>
      </c>
      <c r="S164" s="3">
        <f>1613.8+(917.7-352.6)+(-2.469114+(-1.404081--0.539478))+0-335.6--0.513468000000019</f>
        <v>1840.4797510000003</v>
      </c>
      <c r="T164" s="3">
        <f>1609.7+(935.6-354.3)+(-0.820947+(-0.477156--0.180693))+0-332.7--0.169676999999966</f>
        <v>1857.352267</v>
      </c>
      <c r="U164" s="3">
        <f>1597.4+(949.2-329.1)+(0+(0-0))+0-334-0</f>
        <v>1883.5</v>
      </c>
      <c r="V164" s="3">
        <f>1593.7+(766.3-302.3)+(-0.812787+(-0.390813--0.154173))+0-336.1--0.171410999999966</f>
        <v>1720.721984</v>
      </c>
      <c r="W164" s="3">
        <f>1591.6+(528.8-284.2)+(0+(0-0))+0-334.8-0</f>
        <v>1501.3999999999999</v>
      </c>
      <c r="X164" s="3">
        <f>1602+(330-280.4)+(-2.45106+(-0.5049--0.429012))+0-335.1--0.512703000000019</f>
        <v>1314.4857549999999</v>
      </c>
      <c r="Y164" s="3">
        <f>1621+(441.8-339.9)+(0+(0-0))+0-333.6-0</f>
        <v>1389.3000000000002</v>
      </c>
      <c r="Z164" s="3">
        <f>1633+(647.7-348.1)+(0+(0-0))+0-330.8-0</f>
        <v>1601.8</v>
      </c>
      <c r="AA164" s="3">
        <f>1639.5+(702.7-354.6)+(-2.508435+(-1.075131--0.542538))+0-329.3--0.503829000000019</f>
        <v>1655.7628009999999</v>
      </c>
      <c r="AB164" s="3">
        <f>1637.9+(760.1-355.1)+(-4.176645+(-1.938255--0.905505))+0-328.6--0.837929999999952</f>
        <v>1709.9285349999998</v>
      </c>
      <c r="AC164" s="3">
        <f>1625.6+(728-349.5)+(-1.658112+(-0.74256--0.35649))+0-330.8--0.337416000000053</f>
        <v>1671.5932339999999</v>
      </c>
      <c r="AD164" s="2">
        <v>1637.3000000000002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1631.3+(717.4-336.3)+(-2.495889+(-1.097622--0.514539))+0-331.9--0.507807000000019</f>
        <v>1677.9288349999997</v>
      </c>
      <c r="G165" s="3">
        <f>1640.9+(690.3-321.7)+(-2.510577+(-1.056159--0.492201))+0-333.1--0.509643000000019</f>
        <v>1673.835108</v>
      </c>
      <c r="H165" s="3">
        <f>1643.5+(640.6-289.8)+(-1.67637+(-0.653412--0.295596))+0-337.1--0.343842000000054</f>
        <v>1655.5096559999999</v>
      </c>
      <c r="I165" s="3">
        <f>1642.7+(616.2-263.6)+(0.837777+(0.314262-0.134436))+0-331.9-0.169268999999966</f>
        <v>1664.2483340000003</v>
      </c>
      <c r="J165" s="3">
        <f>1645+(614.6-240.8)+(-3.3558+(-1.253784--0.491232))+0-329.9--0.672995999999986</f>
        <v>1685.4546440000001</v>
      </c>
      <c r="K165" s="3">
        <f>1643.2+(608.5-257.6)+(-2.514096+(-0.931005--0.394128))+0-329.7--0.504441000000019</f>
        <v>1661.8534679999998</v>
      </c>
      <c r="L165" s="3">
        <f>1639.8+(459.5-219)+(-4.18149+(-1.171725--0.55845))+0-328.2--0.836909999999952</f>
        <v>1548.1421449999998</v>
      </c>
      <c r="M165" s="3">
        <f>1639.7+(330.1-247.5)+(0.836247+(0.168351-0.126225))+0-327.8-0.167177999999967</f>
        <v>1395.2111950000003</v>
      </c>
      <c r="N165" s="3">
        <f>1631.1+(262.1-260.7)+(0.831861+(0.133671-0.132957))+0-329.1-0.167840999999967</f>
        <v>1304.064734</v>
      </c>
      <c r="O165" s="3">
        <f>1616.7+(315.3-287.1)+(-1.649034+(-0.321606--0.292842))+0-329.8--0.336396000000053</f>
        <v>1313.7585980000003</v>
      </c>
      <c r="P165" s="3">
        <f>1612.1+(376.1-333.2)+(0+(0-0))+0-330.9-0</f>
        <v>1324.1</v>
      </c>
      <c r="Q165" s="3">
        <f>1608.5+(488.9-363.6)+(0+(0-0))+0-332.5-0</f>
        <v>1401.3</v>
      </c>
      <c r="R165" s="3">
        <f>1608.9+(616.4-352.4)+(-0.820539+(-0.314364--0.179724))+0-332.4--0.169523999999966</f>
        <v>1539.7143449999999</v>
      </c>
      <c r="S165" s="3">
        <f>1609+(813.3-363.7)+(-2.46177+(-1.244349--0.556461))+0-330.1--0.505053000000019</f>
        <v>1725.8553950000003</v>
      </c>
      <c r="T165" s="3">
        <f>1603.3+(876.1-350.8)+(-3.270732+(-1.787244--0.715632))+0-330.6--0.674423999999986</f>
        <v>1794.3320799999999</v>
      </c>
      <c r="U165" s="3">
        <f>1596.3+(898.1-325.2)+(0.814113+(0.458031-0.165852))+0-329.6-0.168095999999967</f>
        <v>1840.538196</v>
      </c>
      <c r="V165" s="3">
        <f>1593.4+(761.4-312)+(-4.06317+(-1.94157--0.7956))+0-329.1--0.839204999999952</f>
        <v>1709.3300650000003</v>
      </c>
      <c r="W165" s="3">
        <f>1595.4+(566.8-281.3)+(-4.06827+(-1.44534--0.717315))+0-330.8--0.843539999999952</f>
        <v>1546.1472449999999</v>
      </c>
      <c r="X165" s="3">
        <f>1601.8+(303.8-262.9)+(-1.633836+(-0.309876--0.268158))+0-330.9--0.337518000000053</f>
        <v>1310.4619640000003</v>
      </c>
      <c r="Y165" s="3">
        <f>1614.3+(367.7-300.7)+(0.823293+(0.187527-0.153357))+0-331.8-0.169217999999966</f>
        <v>1350.1882450000001</v>
      </c>
      <c r="Z165" s="3">
        <f>1614.3+(598.4-336)+(0+(0-0))+0-330-0</f>
        <v>1546.6999999999998</v>
      </c>
      <c r="AA165" s="3">
        <f>1631.5+(709.3-352.8)+(-3.32826+(-1.446972--0.719712))+0-330--0.673199999999986</f>
        <v>1654.6176800000001</v>
      </c>
      <c r="AB165" s="3">
        <f>1641.5+(720.3-363.3)+(0+(0-0))+0-329.8-0</f>
        <v>1668.7</v>
      </c>
      <c r="AC165" s="3">
        <f>1641.4+(818.2-330.5)+(-0.837114+(-0.417282--0.168555))+0-328.6--0.167585999999967</f>
        <v>1799.5817450000004</v>
      </c>
      <c r="AD165" s="2">
        <v>1646.8999999999999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1645.9+(801.8-311)+(-1.678818+(-0.817836--0.31722))+0-329.6--0.336192000000053</f>
        <v>1805.2567579999998</v>
      </c>
      <c r="G166" s="3">
        <f>1648.3+(724.9-288.7)+(-0.840633+(-0.369699--0.147237))+0-330.9--0.168758999999966</f>
        <v>1752.7056639999998</v>
      </c>
      <c r="H166" s="3">
        <f>1645.9+(704.4-251.8)+(-1.678818+(-0.718488--0.256836))+0-330.7--0.337314000000053</f>
        <v>1765.9968440000002</v>
      </c>
      <c r="I166" s="3">
        <f>1647.6+(697-273.4)+(2.520828+(1.06641-0.418302))+0-329.4-0.503982000000019</f>
        <v>1744.4649539999998</v>
      </c>
      <c r="J166" s="3">
        <f>1651.1+(605.3-264.6)+(-0.842061+(-0.308703--0.134946))+0-329.8--0.168197999999967</f>
        <v>1661.1523799999998</v>
      </c>
      <c r="K166" s="3">
        <f>1652.9+(513-246.9)+(-4.214895+(-1.30815--0.629595))+0-328.1--0.836654999999952</f>
        <v>1586.8432050000001</v>
      </c>
      <c r="L166" s="3">
        <f>1649.2+(361.4-218.7)+(-3.364368+(-0.737256--0.446148))+0-328.2--0.669527999999986</f>
        <v>1460.714052</v>
      </c>
      <c r="M166" s="3">
        <f>1650.5+(321.6-238.2)+(0.841755+(0.164016-0.121482))+0-331.3-0.168962999999966</f>
        <v>1403.3153260000001</v>
      </c>
      <c r="N166" s="3">
        <f>1637+(362-243.3)+(0+(0-0))+0-332.7-0</f>
        <v>1423</v>
      </c>
      <c r="O166" s="3">
        <f>1619.3+(382.6-292)+(0+(0-0))+0-333.9-0</f>
        <v>1376</v>
      </c>
      <c r="P166" s="3">
        <f>1612.6+(456.9-316.2)+(1.644852+(0.466038-0.322524))+0-336.2-0.342924000000054</f>
        <v>1418.5454419999999</v>
      </c>
      <c r="Q166" s="3">
        <f>1600+(565.1-328.7)+(0+(0-0))+0-337.4-0</f>
        <v>1499</v>
      </c>
      <c r="R166" s="3">
        <f>1585.8+(792.2-318.6)+(0+(0-0))+0-337.2-0</f>
        <v>1722.2</v>
      </c>
      <c r="S166" s="3">
        <f>1590.8+(959.3-326.9)+(-3.245232+(-1.956972--0.666876))+0-334.9--0.683195999999985</f>
        <v>1884.4478679999997</v>
      </c>
      <c r="T166" s="3">
        <f>1629.4+(941.1-344.5)+(-2.492982+(-1.439883--0.527085))+0-335--0.512550000000019</f>
        <v>1888.1067699999999</v>
      </c>
      <c r="U166" s="3">
        <f>1761.1+(792.8-340.9)+(0.898161+(0.404328-0.173859))+0-334.6-0.170645999999966</f>
        <v>1879.3579840000002</v>
      </c>
      <c r="V166" s="3">
        <f>1844.5+(627.5-327.5)+(0.940695+(0.320025-0.167025))+0-334.2-0.170441999999966</f>
        <v>1811.2232530000001</v>
      </c>
      <c r="W166" s="3">
        <f>1856.4+(371.4-325.6)+(0+(0-0))+0-335.7-0</f>
        <v>1566.5</v>
      </c>
      <c r="X166" s="3">
        <f>1863.8+(251-435.3)+(1.901076+(0.25602-0.444006))+0-336.6-0.343332000000054</f>
        <v>1344.2697579999997</v>
      </c>
      <c r="Y166" s="3">
        <f>1874.8+(253-430.7)+(0+(0-0))+0-336.1-0</f>
        <v>1361</v>
      </c>
      <c r="Z166" s="3">
        <f>1888.5+(461.3-382.2)+(-0.963135+(-0.235263--0.194922))+0-336.7--0.171716999999966</f>
        <v>1630.0682409999997</v>
      </c>
      <c r="AA166" s="3">
        <f>1899.2+(488.3-396.2)+(-0.968592+(-0.249033--0.202062))+0-334.6--0.170645999999966</f>
        <v>1655.8550830000004</v>
      </c>
      <c r="AB166" s="3">
        <f>1903.8+(570.5-377.6)+(-1.941876+(-0.58191--0.385152))+0-335.3--0.342006000000053</f>
        <v>1759.603372</v>
      </c>
      <c r="AC166" s="3">
        <f>1908.1+(528.3-369.1)+(-1.946262+(-0.538866--0.376482))+0-334--0.340680000000053</f>
        <v>1731.5320339999996</v>
      </c>
      <c r="AD166" s="2">
        <v>1659.7999999999997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1909+(554.3-323.7)+(-2.92077+(-0.848079--0.495261))+0-333.7--0.510561000000019</f>
        <v>1803.1369729999999</v>
      </c>
      <c r="G167" s="3">
        <f>1896.5+(474.8-310.5)+(-4.836075+(-1.21074--0.791775))+0-333.8--0.851189999999952</f>
        <v>1722.5961500000001</v>
      </c>
      <c r="H167" s="3">
        <f>1915.1+(395.1-315.4)+(-1.953402+(-0.403002--0.321708))+0-332.1--0.338742000000053</f>
        <v>1661.0040460000002</v>
      </c>
      <c r="I167" s="3">
        <f>1888.5+(418.2-310.9)+(-3.85254+(-0.853128--0.634236))+0-332--0.677279999999986</f>
        <v>1660.4058479999999</v>
      </c>
      <c r="J167" s="3">
        <f>1651.1+(539-265.6)+(-0.842061+(-0.27489--0.135456))+0-332.2--0.169421999999966</f>
        <v>1591.4879269999999</v>
      </c>
      <c r="K167" s="3">
        <f>1663.7+(460.8-250.4)+(-0.848487+(-0.235008--0.127704))+0-329.6--0.168095999999967</f>
        <v>1543.712305</v>
      </c>
      <c r="L167" s="3">
        <f>1676.6+(307.4-220.9)+(-5.985462+(-1.097418--0.788613))+0-329.7--1.177029</f>
        <v>1428.2827619999998</v>
      </c>
      <c r="M167" s="3">
        <f>1774.5+(139.1-254.5)+(0.904995+(0.070941-0.129795))+0-329-0.167789999999967</f>
        <v>1330.7783509999999</v>
      </c>
      <c r="N167" s="3">
        <f>1886.1+(105-338.1)+(-0.961911+(-0.05355--0.172431))+0-329.7--0.168146999999967</f>
        <v>1322.6251169999998</v>
      </c>
      <c r="O167" s="3">
        <f>1906.2+(149.8-390.7)+(0+(0-0))+0-329.9-0</f>
        <v>1335.4</v>
      </c>
      <c r="P167" s="3">
        <f>1905.2+(178.8-378.2)+(-0.971652+(-0.091188--0.192882))+0-330.6--0.168605999999966</f>
        <v>1374.498648</v>
      </c>
      <c r="Q167" s="3">
        <f>1894.2+(246.9-352.6)+(-0.966042+(-0.125919--0.179826))+0-330.8--0.168707999999966</f>
        <v>1456.9565729999999</v>
      </c>
      <c r="R167" s="3">
        <f>1883.8+(415.9-367.3)+(-1.921476+(-0.424218--0.374646))+0-330.3--0.336906000000053</f>
        <v>1600.4658579999998</v>
      </c>
      <c r="S167" s="3">
        <f>1879.2+(590.5-377.5)+(-0.958392+(-0.301155--0.192525))+0-330.3--0.168452999999966</f>
        <v>1761.0014309999997</v>
      </c>
      <c r="T167" s="3">
        <f>1873.2+(688-369)+(-4.77666+(-1.7544--0.94095))+0-329.4--0.839969999999952</f>
        <v>1858.0498599999996</v>
      </c>
      <c r="U167" s="3">
        <f>1862.7+(597.7-355.3)+(-1.899954+(-0.609654--0.362406))+0-328.7--0.335274000000052</f>
        <v>1774.5880719999998</v>
      </c>
      <c r="V167" s="3">
        <f>1859.9+(538.9-330.5)+(-0.948549+(-0.274839--0.168555))+0-330.5--0.168554999999966</f>
        <v>1736.913722</v>
      </c>
      <c r="W167" s="3">
        <f>1866.7+(284-323)+(-4.760085+(-0.7242--0.82365))+0-331.2--0.844559999999952</f>
        <v>1492.683925</v>
      </c>
      <c r="X167" s="3">
        <f>1872.7+(176.3-399.7)+(-3.820308+(-0.359652--0.815388))+0-332.2--0.677687999999986</f>
        <v>1314.4131160000002</v>
      </c>
      <c r="Y167" s="3">
        <f>1877.5+(231.9-404.8)+(0.957525+(0.118269-0.206448))+0-335-0.170849999999966</f>
        <v>1370.2984959999999</v>
      </c>
      <c r="Z167" s="3">
        <f>1881.9+(412.6-414.7)+(0+(0-0))+0-337.3-0</f>
        <v>1542.5000000000002</v>
      </c>
      <c r="AA167" s="3">
        <f>1889.6+(501.2-410.2)+(-6.745872+(-1.789284--1.464414))+0-333--1.18881</f>
        <v>1641.7180679999999</v>
      </c>
      <c r="AB167" s="3">
        <f>1884.5+(557.6-401)+(-2.883285+(-0.853128--0.61353))+0-336--0.514080000000019</f>
        <v>1702.4911969999998</v>
      </c>
      <c r="AC167" s="3">
        <f>1880.4+(568.5-366.7)+(-2.877012+(-0.869805--0.561051))+0-334.4--0.511632000000019</f>
        <v>1745.1258660000001</v>
      </c>
      <c r="AD167" s="2">
        <v>1590.1000000000004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1881.3+(531.3-348.1)+(-4.797315+(-1.354815--0.887655))+0-333.2--0.849659999999952</f>
        <v>1726.8851849999999</v>
      </c>
      <c r="G168" s="3">
        <f>1885.8+(521.7-321.1)+(-5.770548+(-1.596402--0.982566))+0-334--1.02204000000004</f>
        <v>1747.0376560000002</v>
      </c>
      <c r="H168" s="3">
        <f>1881.7+(457.8-301.8)+(-2.879001+(-0.700434--0.461754))+0-332.6--0.508878000000019</f>
        <v>1702.4911970000003</v>
      </c>
      <c r="I168" s="3">
        <f>1885.7+(398-282.6)+(-1.923414+(-0.40596--0.288252))+0-335.7--0.342414000000054</f>
        <v>1663.7012919999997</v>
      </c>
      <c r="J168" s="3">
        <f>1904.6+(339-279)+(-0.971346+(-0.17289--0.14229))+0-335.2--0.170951999999966</f>
        <v>1628.5690059999997</v>
      </c>
      <c r="K168" s="3">
        <f>1903.6+(283.7-261.9)+(-2.912508+(-0.434061--0.400707))+0-335--0.512550000000019</f>
        <v>1587.9666879999997</v>
      </c>
      <c r="L168" s="3">
        <f>1908.1+(186.1-247.7)+(-0.973131+(-0.094911--0.126327))+0-334.1--0.170390999999966</f>
        <v>1511.628676</v>
      </c>
      <c r="M168" s="3">
        <f>1914.3+(139.4-356)+(0.976293+(0.071094-0.18156))+0-332.9-0.169778999999966</f>
        <v>1365.4960480000002</v>
      </c>
      <c r="N168" s="3">
        <f>1909.5+(148.5-376.3)+(0.973845+(0.075735-0.191913))+0-334.4-0.170543999999966</f>
        <v>1347.9871229999999</v>
      </c>
      <c r="O168" s="3">
        <f>1898.7+(164.2-314.1)+(-0.968337+(-0.083742--0.160191))+0-334--0.170339999999966</f>
        <v>1414.0784519999997</v>
      </c>
      <c r="P168" s="3">
        <f>1889.5+(234.2-302.1)+(0.963645+(0.119442-0.154071))+0-334.4-0.170543999999966</f>
        <v>1487.9584719999998</v>
      </c>
      <c r="Q168" s="3">
        <f>1876.7+(284.5-328.2)+(0.957117+(0.145095-0.167382))+0-334.9-0.170798999999966</f>
        <v>1498.8640310000001</v>
      </c>
      <c r="R168" s="3">
        <f>1812.7+(462.6-328.2)+(0+(0-0))+0-334.3-0</f>
        <v>1612.8000000000002</v>
      </c>
      <c r="S168" s="3">
        <f>1861.7+(607.2-347.1)+(-0.949467+(-0.309672--0.177021))+0-333.8--0.170237999999966</f>
        <v>1787.0881200000003</v>
      </c>
      <c r="T168" s="3">
        <f>1854.9+(692.2-350.9)+(-0.945999+(-0.353022--0.178959))+0-334.5--0.170594999999966</f>
        <v>1860.7505330000004</v>
      </c>
      <c r="U168" s="3">
        <f>1863.8+(620.2-350.5)+(-4.75269+(-1.58151--0.893775))+0-329.9--0.841244999999952</f>
        <v>1799.00082</v>
      </c>
      <c r="V168" s="3">
        <f>1856.8+(534.4-311.8)+(-2.840904+(-0.817632--0.477054))+0-329.4--0.503982000000019</f>
        <v>1747.3225</v>
      </c>
      <c r="W168" s="3">
        <f>1858+(289.1-311.6)+(-5.68548+(-0.884646--0.953496))+0-330.6--1.01163600000004</f>
        <v>1500.2950060000001</v>
      </c>
      <c r="X168" s="3">
        <f>1865.1+(175.9-399)+(-6.658407+(-0.627963--1.42443))+0-333.1--1.189167</f>
        <v>1304.2272269999999</v>
      </c>
      <c r="Y168" s="3">
        <f>1865.2+(248.9-377)+(0.951252+(0.126939-0.19227))+0-337-0.171869999999966</f>
        <v>1400.8140510000003</v>
      </c>
      <c r="Z168" s="3">
        <f>1875.8+(418.3-384.9)+(-0.956658+(-0.213333--0.196299))+0-334.7--0.170696999999966</f>
        <v>1573.697005</v>
      </c>
      <c r="AA168" s="3">
        <f>1887.4+(478.7-390)+(-3.850296+(-0.976548--0.7956))+0-331.9--0.677075999999985</f>
        <v>1640.845832</v>
      </c>
      <c r="AB168" s="3">
        <f>1895.2+(486.4-387.5)+(-2.899656+(-0.744192--0.592875))+0-334.1--0.511173000000019</f>
        <v>1657.4601999999998</v>
      </c>
      <c r="AC168" s="3">
        <f>1840.4+(597.7-351.7)+(-1.877208+(-0.609654--0.358734))+0-335.3--0.342006000000053</f>
        <v>1749.3138780000004</v>
      </c>
      <c r="AD168" s="2">
        <v>1634.6999999999998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1840.8+(617.3-339)+(-2.816424+(-0.944469--0.51867))+0-333.6--0.510408000000019</f>
        <v>1782.7681849999999</v>
      </c>
      <c r="G169" s="3">
        <f>1784.1+(666.2-300.1)+(-0.909891+(-0.339762--0.153051))+0-336.9--0.171818999999966</f>
        <v>1812.3752169999996</v>
      </c>
      <c r="H169" s="3">
        <f>1830.3+(566.8-319.8)+(-1.866906+(-0.578136--0.326196))+0-335.5--0.342210000000053</f>
        <v>1740.0233639999999</v>
      </c>
      <c r="I169" s="3">
        <f>1854.1+(502.7-286.4)+(-2.836773+(-0.769131--0.438192))+0-337.2--0.515916000000019</f>
        <v>1730.5482040000002</v>
      </c>
      <c r="J169" s="3">
        <f>1846.7+(424-272.1)+(3.767268+(0.86496-0.555084))+0-336.1-0.685643999999985</f>
        <v>1665.8915</v>
      </c>
      <c r="K169" s="3">
        <f>1846.6+(351-261.4)+(-2.825298+(-0.53703--0.399942))+0-334.1--0.511173000000019</f>
        <v>1599.6487869999999</v>
      </c>
      <c r="L169" s="3">
        <f>1872.6+(221.5-239.9)+(-4.77513+(-0.564825--0.611745))+0-336.1--0.857054999999951</f>
        <v>1514.2288449999996</v>
      </c>
      <c r="M169" s="3">
        <f>1897+(145-278)+(-0.96747+(-0.07395--0.14178))+0-333.8--0.170237999999966</f>
        <v>1429.4705979999999</v>
      </c>
      <c r="N169" s="3">
        <f>1882.8+(168.9-328.2)+(-0.960228+(-0.086139--0.167382))+0-335--0.170849999999966</f>
        <v>1387.7918649999999</v>
      </c>
      <c r="O169" s="3">
        <f>1861.4+(208.7-359.6)+(0+(0-0))+0-337.9-0</f>
        <v>1372.6</v>
      </c>
      <c r="P169" s="3">
        <f>1845+(222.4-341.9)+(0+(0-0))+0-335.3-0</f>
        <v>1390.2</v>
      </c>
      <c r="Q169" s="3">
        <f>1838.8+(324.9-319.9)+(0+(0-0))+0-336-0</f>
        <v>1507.8</v>
      </c>
      <c r="R169" s="3">
        <f>1833.7+(473.1-346.3)+(-2.805561+(-0.723843--0.529839))+0-335.8--0.513774000000019</f>
        <v>1622.214209</v>
      </c>
      <c r="S169" s="3">
        <f>1830.1+(626.2-366.9)+(-1.866702+(-0.638724--0.374238))+0-334.9--0.341598000000053</f>
        <v>1752.7104100000001</v>
      </c>
      <c r="T169" s="3">
        <f>1827.9+(707.5-360.1)+(0+(0-0))+0-334.4-0</f>
        <v>1840.9</v>
      </c>
      <c r="U169" s="3">
        <f>1820.8+(651.8-344.6)+(2.785824+(0.997254-0.527238))+0-333.4-0.510102000000019</f>
        <v>1797.3457379999998</v>
      </c>
      <c r="V169" s="3">
        <f>1824.9+(563.2-314)+(-4.653495+(-1.43616--0.8007))+0-334.2--0.852209999999952</f>
        <v>1735.4632550000003</v>
      </c>
      <c r="W169" s="3">
        <f>1830+(320.9-304.5)+(-4.6665+(-0.818295--0.776475))+0-332.5--0.847874999999952</f>
        <v>1510.0395550000001</v>
      </c>
      <c r="X169" s="3">
        <f>1845.3+(172.8-332.7)+(-2.823309+(-0.264384--0.509031))+0-334.3--0.511479000000019</f>
        <v>1349.0328170000003</v>
      </c>
      <c r="Y169" s="3">
        <f>1858.5+(223-403)+(0.947835+(0.11373-0.20553))+0-335.2-0.170951999999966</f>
        <v>1343.985083</v>
      </c>
      <c r="Z169" s="3">
        <f>1870.5+(446.3-398.5)+(-2.861865+(-0.682839--0.609705))+0-334.4--0.511632000000019</f>
        <v>1581.476633</v>
      </c>
      <c r="AA169" s="3">
        <f>1879.3+(483.3-403)+(-5.750658+(-1.478898--1.23318))+0-334.2--1.02265200000004</f>
        <v>1620.4262759999999</v>
      </c>
      <c r="AB169" s="3">
        <f>1885.3+(497.2-392.2)+(-4.807515+(-1.26786--1.00011))+0-327.4--0.834869999999952</f>
        <v>1658.6596050000001</v>
      </c>
      <c r="AC169" s="3">
        <f>1888+(551.2-369.8)+(-5.77728+(-1.686672--1.131588))+0-315.1--0.964206000000037</f>
        <v>1748.9318420000004</v>
      </c>
      <c r="AD169" s="2">
        <v>1603.2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1886.6+(507.5-362.6)+(-3.848664+(-1.0353--0.739704))+0-321.7--0.656267999999986</f>
        <v>1706.3120079999999</v>
      </c>
      <c r="G170" s="3">
        <f>1876.2+(479.4-338.9)+(0.956862+(0.244494-0.172839))+0-331.1-0.168860999999966</f>
        <v>1686.4596560000002</v>
      </c>
      <c r="H170" s="3">
        <f>1863.4+(470.1-336)+(0.950334+(0.239751-0.17136))+0-334.7-0.170696999999966</f>
        <v>1663.6480279999998</v>
      </c>
      <c r="I170" s="3">
        <f>1864.6+(478.6-306.2)+(-2.852838+(-0.732258--0.468486))+0-336.2--0.514386000000019</f>
        <v>1698.197776</v>
      </c>
      <c r="J170" s="3">
        <f>1866+(403.1-297.6)+(-1.90332+(-0.411162--0.303552))+0-334.4--0.341088000000053</f>
        <v>1635.4301580000001</v>
      </c>
      <c r="K170" s="3">
        <f>1860.3+(360.6-281.9)+(-2.846259+(-0.551718--0.431307))+0-335.3--0.513009000000019</f>
        <v>1601.246339</v>
      </c>
      <c r="L170" s="3">
        <f>1878.9+(184-293.3)+(-5.749434+(-0.56304--0.897498))+0-332.2--1.01653200000004</f>
        <v>1433.0015560000002</v>
      </c>
      <c r="M170" s="3">
        <f>1880.7+(107.6-327.7)+(0.959157+(0.054876-0.167127))+0-332.8-0.169727999999966</f>
        <v>1328.4771780000001</v>
      </c>
      <c r="N170" s="3">
        <f>1874.9+(140.3-372.5)+(-0.956199+(-0.071553--0.189975))+0-332.9--0.169778999999966</f>
        <v>1309.1320020000001</v>
      </c>
      <c r="O170" s="3">
        <f>1871.7+(163.6-359.7)+(-0.954567+(-0.083436--0.183447))+0-334.3--0.170492999999966</f>
        <v>1340.6159370000003</v>
      </c>
      <c r="P170" s="3">
        <f>1869.3+(204.8-380.9)+(-2.860029+(-0.313344--0.582777))+0-335.7--0.513621000000019</f>
        <v>1355.4230250000001</v>
      </c>
      <c r="Q170" s="3">
        <f>1861.9+(269.5-400.3)+(-0.949569+(-0.137445--0.204153))+0-335.1--0.170900999999966</f>
        <v>1395.2880399999999</v>
      </c>
      <c r="R170" s="3">
        <f>1860.1+(400.4-419.7)+(-2.845953+(-0.612612--0.642141))+0-339--0.51867000000002</f>
        <v>1499.5022459999998</v>
      </c>
      <c r="S170" s="3">
        <f>1866.9+(561.5-430)+(-2.856357+(-0.859095--0.6579))+0-333.4--0.510102000000019</f>
        <v>1662.4525500000002</v>
      </c>
      <c r="T170" s="3">
        <f>1871.1+(629.3-418.5)+(-0.954261+(-0.320943--0.213435))+0-331.6--0.169115999999966</f>
        <v>1749.4073469999998</v>
      </c>
      <c r="U170" s="3">
        <f>1863.7+(628-400)+(0.950487+(0.32028-0.204))+0-332.1-0.169370999999966</f>
        <v>1760.4973959999998</v>
      </c>
      <c r="V170" s="3">
        <f>1859+(513.1-365.3)+(-1.89618+(-0.523362--0.372606))+0-330.4--0.337008000000053</f>
        <v>1674.6900719999999</v>
      </c>
      <c r="W170" s="3">
        <f>1862.4+(253.5-330.1)+(-3.799296+(-0.51714--0.673404))+0-331.2--0.675647999999985</f>
        <v>1451.6326160000001</v>
      </c>
      <c r="X170" s="3">
        <f>1871+(134.1-405.9)+(-1.90842+(-0.136782--0.414018))+0-332--0.338640000000053</f>
        <v>1265.9074559999999</v>
      </c>
      <c r="Y170" s="3">
        <f>1880.7+(233.1-433.2)+(-1.918314+(-0.237762--0.441864))+0-331.2--0.337824000000053</f>
        <v>1348.023612</v>
      </c>
      <c r="Z170" s="3">
        <f>1885.2+(391.5-384.9)+(-0.961452+(-0.199665--0.196299))+0-331.9--0.169268999999966</f>
        <v>1559.1044510000002</v>
      </c>
      <c r="AA170" s="3">
        <f>1888.3+(432-391.8)+(-6.741231+(-1.54224--1.398726))+0-331.4--1.183098</f>
        <v>1591.398353</v>
      </c>
      <c r="AB170" s="3">
        <f>1891.2+(448-384.6)+(-3.858048+(-0.91392--0.784584))+0-328.2--0.669527999999986</f>
        <v>1623.0821439999997</v>
      </c>
      <c r="AC170" s="3">
        <f>1889.6+(445.9-361.2)+(0+(0-0))+0-327.3-0</f>
        <v>1647</v>
      </c>
      <c r="AD170" s="2">
        <v>1594.3000000000002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1795.1+(547.7-340.7)+(-1.831002+(-0.558654--0.347514))+0-327.5--0.334050000000052</f>
        <v>1672.8919080000001</v>
      </c>
      <c r="G171" s="3">
        <f>1633.5+(716.9-283.4)+(-2.499255+(-1.096857--0.433602))+0-329.5--0.504135000000019</f>
        <v>1734.8416249999998</v>
      </c>
      <c r="H171" s="3">
        <f>1513.4+(797.8-239)+(-3.087336+(-1.627512--0.48756))+0-337.6--0.688703999999985</f>
        <v>1731.0614159999998</v>
      </c>
      <c r="I171" s="3">
        <f>1514.3+(761.2-249.4)+(-1.544586+(-0.776424--0.254388))+0-334.1--0.340782000000053</f>
        <v>1690.2741599999997</v>
      </c>
      <c r="J171" s="3">
        <f>1515.4+(736.6-255.2)+(2.318562+(1.126998-0.390456))+0-331.3-0.506889000000019</f>
        <v>1668.0482150000003</v>
      </c>
      <c r="K171" s="3">
        <f>1515.2+(658.2-236.5)+(3.091008+(1.342728-0.48246))+0-331.9-0.677075999999985</f>
        <v>1608.2742000000003</v>
      </c>
      <c r="L171" s="3">
        <f>1513.5+(462.5-212.1)+(-0.771885+(-0.235875--0.108171))+0-331--0.168809999999966</f>
        <v>1432.1692209999999</v>
      </c>
      <c r="M171" s="3">
        <f>1509+(379.1-219.9)+(0+(0-0))+0-326.9-0</f>
        <v>1341.3000000000002</v>
      </c>
      <c r="N171" s="3">
        <f>1509.7+(438.8-225)+(1.539894+(0.447576-0.2295))+0-329.7-0.336294000000053</f>
        <v>1395.2216759999999</v>
      </c>
      <c r="O171" s="3">
        <f>1508.8+(381.8-269)+(0.769488+(0.194718-0.13719))+0-328.8-0.167687999999967</f>
        <v>1293.4593279999999</v>
      </c>
      <c r="P171" s="3">
        <f>1507.3+(533.4-269.7)+(0.768723+(0.272034-0.137547))+0-333.3-0.169982999999966</f>
        <v>1438.433227</v>
      </c>
      <c r="Q171" s="3">
        <f>1550.6+(523.1-314.6)+(0.790806+(0.266781-0.160446))+0-334-0.170339999999966</f>
        <v>1425.8268009999999</v>
      </c>
      <c r="R171" s="3">
        <f>1622+(687.8-326.3)+(-0.82722+(-0.350778--0.166413))+0-331.5--0.169064999999966</f>
        <v>1651.1574800000001</v>
      </c>
      <c r="S171" s="3">
        <f>1619.1+(754.3-346)+(-1.651482+(-0.769386--0.35292))+0-331--0.337620000000053</f>
        <v>1694.669672</v>
      </c>
      <c r="T171" s="3">
        <f>1612.2+(841.3-340)+(-0.822222+(-0.429063--0.1734))+0-332.8--0.169727999999966</f>
        <v>1779.791843</v>
      </c>
      <c r="U171" s="3">
        <f>1609.6+(787-327.6)+(1.641792+(0.80274-0.334152))+0-331.3-0.337926000000053</f>
        <v>1739.472454</v>
      </c>
      <c r="V171" s="3">
        <f>1613.9+(687.3-297.7)+(-3.292356+(-1.402092--0.607308))+0-327--0.667079999999986</f>
        <v>1673.0799399999999</v>
      </c>
      <c r="W171" s="3">
        <f>1618.7+(421.3-278)+(-0.825537+(-0.214863--0.14178))+0-328.2--0.167381999999967</f>
        <v>1433.0687619999999</v>
      </c>
      <c r="X171" s="3">
        <f>1626.5+(218.4-290.4)+(-2.488545+(-0.334152--0.444312))+0-329.6--0.504288000000019</f>
        <v>1223.0259030000002</v>
      </c>
      <c r="Y171" s="3">
        <f>1646.1+(439.4-341.2)+(1.679022+(0.448188-0.348024))+0-329.8-0.336396000000053</f>
        <v>1415.9427899999998</v>
      </c>
      <c r="Z171" s="3">
        <f>1654.3+(628.8-365.4)+(-1.687386+(-0.641376--0.372708))+0-330--0.336600000000053</f>
        <v>1586.0805459999999</v>
      </c>
      <c r="AA171" s="3">
        <f>1656.4+(661.4-333.7)+(-0.844764+(-0.337314--0.170187))+0-330.3--0.168452999999966</f>
        <v>1652.9565620000001</v>
      </c>
      <c r="AB171" s="3">
        <f>1657.7+(653.9-335.3)+(0+(0-0))+0-328.3-0</f>
        <v>1648</v>
      </c>
      <c r="AC171" s="3">
        <f>1661.6+(654.4-312.4)+(-2.542248+(-1.001232--0.477972))+0-328.3--0.502299000000019</f>
        <v>1672.736791</v>
      </c>
      <c r="AD171" s="2">
        <v>1637.8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1672+(675.6-298.3)+(-1.70544+(-0.689112--0.304266))+0-327.3--0.333846000000052</f>
        <v>1720.2435600000001</v>
      </c>
      <c r="G172" s="3">
        <f>1679+(640.1-291.8)+(-0.85629+(-0.326451--0.148818))+0-329.9--0.168248999999967</f>
        <v>1696.5343260000002</v>
      </c>
      <c r="H172" s="3">
        <f>1682.8+(633-283.1)+(-2.574684+(-0.96849--0.433143))+0-328.4--0.502452000000019</f>
        <v>1701.692421</v>
      </c>
      <c r="I172" s="3">
        <f>1681.3+(601.7-269.3)+(-0.857463+(-0.306867--0.137343))+0-328.4--0.167483999999967</f>
        <v>1684.4404970000001</v>
      </c>
      <c r="J172" s="3">
        <f>1681.1+(547.3-254.6)+(-4.286805+(-1.395615--0.64923))+0-328.7--0.838184999999952</f>
        <v>1640.9049949999994</v>
      </c>
      <c r="K172" s="3">
        <f>1681+(472-236.5)+(2.57193+(0.72216-0.361845))+0-328.6-0.502758000000019</f>
        <v>1590.329487</v>
      </c>
      <c r="L172" s="3">
        <f>1686.7+(292.9-223.5)+(-5.161302+(-0.896274--0.68391))+0-327.6--1.00245600000004</f>
        <v>1424.12879</v>
      </c>
      <c r="M172" s="3">
        <f>1690.2+(203.9-247.2)+(-2.586006+(-0.311967--0.378216))+0-328.1--0.501993000000019</f>
        <v>1316.7822360000002</v>
      </c>
      <c r="N172" s="3">
        <f>1686+(192.2-264.5)+(-1.71972+(-0.196044--0.26979))+0-328.1--0.334662000000052</f>
        <v>1284.2886879999999</v>
      </c>
      <c r="O172" s="3">
        <f>1674.8+(269.5-284.5)+(-3.416592+(-0.54978--0.58038))+0-328.4--0.669935999999986</f>
        <v>1328.6839440000001</v>
      </c>
      <c r="P172" s="3">
        <f>1655+(353.1-308)+(-1.6881+(-0.360162--0.31416))+0-328.6--0.335172000000052</f>
        <v>1370.1010700000002</v>
      </c>
      <c r="Q172" s="3">
        <f>1640.5+(428-323)+(-0.836655+(-0.21828--0.16473))+0-331.5--0.169064999999966</f>
        <v>1413.2788600000001</v>
      </c>
      <c r="R172" s="3">
        <f>1630+(583.6-325.1)+(0.8313+(0.297636-0.165801))+0-328-0.167279999999967</f>
        <v>1561.2958550000001</v>
      </c>
      <c r="S172" s="3">
        <f>1629.1+(672.5-347.9)+(-1.661682+(-0.68595--0.354858))+0-328--0.334560000000052</f>
        <v>1624.0417859999998</v>
      </c>
      <c r="T172" s="3">
        <f>1632.6+(813.7-336.5)+(-3.330504+(-1.659948--0.68646))+0-326.7--0.666467999999986</f>
        <v>1779.4624759999999</v>
      </c>
      <c r="U172" s="3">
        <f>1624.8+(753.1-332)+(1.657296+(0.768162-0.33864))+0-326.8-0.333336000000052</f>
        <v>1720.853482</v>
      </c>
      <c r="V172" s="3">
        <f>1625.7+(680.3-298.5)+(0.829107+(0.346953-0.152235))+0-327.2-0.166871999999967</f>
        <v>1681.1569529999999</v>
      </c>
      <c r="W172" s="3">
        <f>1634.3+(389.6-264.5)+(-0.833493+(-0.198696--0.134895))+0-328.7--0.167636999999967</f>
        <v>1429.970343</v>
      </c>
      <c r="X172" s="3">
        <f>1646.5+(196.9-318)+(2.519145+(0.301257-0.48654))+0-329.3-0.503829000000019</f>
        <v>1197.9300330000001</v>
      </c>
      <c r="Y172" s="3">
        <f>1682.2+(291.1-332.2)+(1.715844+(0.296922-0.338844))+0-328.2-0.334764000000052</f>
        <v>1314.2391580000001</v>
      </c>
      <c r="Z172" s="3">
        <f>1788.8+(390.2-371.5)+(-1.824576+(-0.398004--0.37893))+0-327.4--0.333948000000052</f>
        <v>1478.5902980000001</v>
      </c>
      <c r="AA172" s="3">
        <f>1878.7+(432.2-367.3)+(-0.958137+(-0.220422--0.187323))+0-328.6--0.167585999999967</f>
        <v>1614.1763499999997</v>
      </c>
      <c r="AB172" s="3">
        <f>1896.3+(401.3-345.6)+(0.967113+(0.204663-0.176256))+0-329.5-0.168044999999967</f>
        <v>1623.327475</v>
      </c>
      <c r="AC172" s="3">
        <f>1896+(386.7-322.2)+(-2.90088+(-0.591651--0.492966))+0-329--0.503370000000019</f>
        <v>1629.0038050000001</v>
      </c>
      <c r="AD172" s="2">
        <v>1522.4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1901.7+(494.1-314.4)+(-1.939734+(-0.503982--0.320688))+0-330.4--0.337008000000053</f>
        <v>1749.21398</v>
      </c>
      <c r="G173" s="3">
        <f>1903.7+(393.5-311.8)+(-2.912661+(-0.602055--0.477054))+0-329.9--0.504747000000019</f>
        <v>1652.9670850000002</v>
      </c>
      <c r="H173" s="3">
        <f>1910.1+(441.6-297.3)+(-2.922453+(-0.675648--0.454869))+0-332.8--0.509184000000019</f>
        <v>1718.9659520000002</v>
      </c>
      <c r="I173" s="3">
        <f>1912.2+(379.2-299.3)+(-2.925666+(-0.580176--0.457929))+0-333.7--0.510561000000019</f>
        <v>1655.8626479999998</v>
      </c>
      <c r="J173" s="3">
        <f>1910.5+(388.7-308.8)+(-3.89742+(-0.792948--0.629952))+0-332.5--0.678299999999985</f>
        <v>1654.5178840000001</v>
      </c>
      <c r="K173" s="3">
        <f>1910.3+(259.6-301.4)+(0.974253+(0.132396-0.153714))+0-331.7-0.169166999999966</f>
        <v>1537.583768</v>
      </c>
      <c r="L173" s="3">
        <f>1916.7+(174.1-255.4)+(-2.932551+(-0.266373--0.390762))+0-332.9--0.509337000000019</f>
        <v>1500.2011750000001</v>
      </c>
      <c r="M173" s="3">
        <f>1913.3+(76.5-311.7)+(-0.975783+(-0.039015--0.158967))+0-329.4--0.167993999999967</f>
        <v>1348.0121629999999</v>
      </c>
      <c r="N173" s="3">
        <f>1905.6+(148.3-315.8)+(1.943712+(0.151266-0.322116))+0-331.1-0.337722000000053</f>
        <v>1408.4351399999998</v>
      </c>
      <c r="O173" s="3">
        <f>1895.4+(191.7-410.5)+(-0.966654+(-0.097767--0.209355))+0-331.9--0.169268999999966</f>
        <v>1344.0142030000002</v>
      </c>
      <c r="P173" s="3">
        <f>1888.6+(260.6-387.4)+(-0.963186+(-0.132906--0.197574))+0-333.2--0.169931999999966</f>
        <v>1427.871414</v>
      </c>
      <c r="Q173" s="3">
        <f>1879.6+(278.4-383)+(2.875788+(0.425952-0.58599))+0-334.2-0.511326000000019</f>
        <v>1443.004424</v>
      </c>
      <c r="R173" s="3">
        <f>1866+(422.5-364.5)+(2.85498+(0.646425-0.557685))+0-333.8-0.510714000000019</f>
        <v>1592.633006</v>
      </c>
      <c r="S173" s="3">
        <f>1864.5+(543.7-364.9)+(-2.852685+(-0.831861--0.558297))+0-333.3--0.509949000000019</f>
        <v>1707.3837000000003</v>
      </c>
      <c r="T173" s="3">
        <f>1859.6+(601.1-368.2)+(0+(0-0))+0-333.5-0</f>
        <v>1759</v>
      </c>
      <c r="U173" s="3">
        <f>1860+(658.2-342.4)+(-4.743+(-1.67841--0.87312))+0-331.1--0.844304999999952</f>
        <v>1839.9960149999999</v>
      </c>
      <c r="V173" s="3">
        <f>1860.2+(554.7-324.3)+(2.846106+(0.848691-0.496179))+0-331.9-0.507807000000019</f>
        <v>1761.3908109999998</v>
      </c>
      <c r="W173" s="3">
        <f>1871.6+(334-305.9)+(-3.818064+(-0.68136--0.624036))+0-333.4--0.680135999999985</f>
        <v>1563.1047479999997</v>
      </c>
      <c r="X173" s="3">
        <f>1884.9+(204.2-415.2)+(-5.767794+(-0.624852--1.270512))+0-331.6--1.01469600000004</f>
        <v>1338.192562</v>
      </c>
      <c r="Y173" s="3">
        <f>1899.8+(281.3-391.1)+(0+(0-0))+0-332.1-0</f>
        <v>1457.9</v>
      </c>
      <c r="Z173" s="3">
        <f>1904.5+(417.7-387.6)+(0.971295+(0.213027-0.197676))+0-330.3-0.168452999999966</f>
        <v>1605.118193</v>
      </c>
      <c r="AA173" s="3">
        <f>1906.3+(480.5-380.2)+(-1.944426+(-0.49011--0.387804))+0-333.6--0.340272000000053</f>
        <v>1671.2935399999999</v>
      </c>
      <c r="AB173" s="3">
        <f>1906.8+(544.7-345.4)+(0+(0-0))+0-332.6-0</f>
        <v>1773.5</v>
      </c>
      <c r="AC173" s="3">
        <f>1909.9+(494.2-346.7)+(-3.896196+(-1.008168--0.707268))+0-330.1--0.673403999999986</f>
        <v>1723.7763080000002</v>
      </c>
      <c r="AD173" s="2">
        <v>1652.6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1911.5+(529-318.8)+(1.94973+(0.53958-0.325176))+0-332.4-0.339048000000053</f>
        <v>1791.1250859999998</v>
      </c>
      <c r="G174" s="3">
        <f>1915+(442.4-298.6)+(1.9533+(0.451248-0.304572))+0-332.1-0.338742000000053</f>
        <v>1728.4612340000001</v>
      </c>
      <c r="H174" s="3">
        <f>1918.7+(376.9-294.8)+(0+(0-0))+0-329.4-0</f>
        <v>1671.4</v>
      </c>
      <c r="I174" s="3">
        <f>1920.4+(341.7-280.2)+(0.979404+(0.174267-0.142902))+0-327.4-0.166973999999967</f>
        <v>1655.343795</v>
      </c>
      <c r="J174" s="3">
        <f>1924+(271.1-284)+(-3.92496+(-0.553044--0.57936))+0-327.3--0.667691999999986</f>
        <v>1580.5690479999998</v>
      </c>
      <c r="K174" s="3">
        <f>1926.4+(268.4-269)+(-4.91232+(-0.68442--0.68595))+0-326.7--0.833084999999953</f>
        <v>1595.0222950000002</v>
      </c>
      <c r="L174" s="3">
        <f>1927+(188-315.4)+(-7.86216+(-0.76704--1.286832))+0-327.6--1.33660799999997</f>
        <v>1465.99424</v>
      </c>
      <c r="M174" s="3">
        <f>1927+(140.6-364.9)+(1.96554+(0.143412-0.372198))+0-328.4-0.334968000000052</f>
        <v>1375.7017860000001</v>
      </c>
      <c r="N174" s="3">
        <f>1917.8+(176.6-418.3)+(1.956156+(0.180132-0.426666))+0-327.4-0.333948000000052</f>
        <v>1350.0756740000002</v>
      </c>
      <c r="O174" s="3">
        <f>1904.8+(220-442.8)+(-0.971448+(-0.1122--0.225828))+0-326.7--0.166616999999967</f>
        <v>1354.6087969999999</v>
      </c>
      <c r="P174" s="3">
        <f>1893.3+(244.8-395)+(2.896749+(0.374544-0.60435))+0-328.4-0.502452000000019</f>
        <v>1416.864491</v>
      </c>
      <c r="Q174" s="3">
        <f>1881.7+(293.3-378.6)+(2.879001+(0.448749-0.579258))+0-329.5-0.504135000000019</f>
        <v>1469.1443570000001</v>
      </c>
      <c r="R174" s="3">
        <f>1868.3+(420.8-382.3)+(-0.952833+(-0.214608--0.194973))+0-332.9--0.169778999999966</f>
        <v>1573.0973110000002</v>
      </c>
      <c r="S174" s="3">
        <f>1854.4+(601.7-381.5)+(-3.782976+(-1.227468--0.77826))+0-333.2--0.679727999999985</f>
        <v>1737.8475440000004</v>
      </c>
      <c r="T174" s="3">
        <f>1842.8+(725.3-359.6)+(0.939828+(0.369903-0.183396))+0-328.6-0.167585999999967</f>
        <v>1880.858749</v>
      </c>
      <c r="U174" s="3">
        <f>1842.3+(593.8-342.4)+(-0.939573+(-0.302838--0.174624))+0-327.9--0.167228999999967</f>
        <v>1764.8994419999997</v>
      </c>
      <c r="V174" s="3">
        <f>1851.6+(511.1-331.5)+(-1.888632+(-0.521322--0.33813))+0-326.7--0.333234000000052</f>
        <v>1702.7614099999996</v>
      </c>
      <c r="W174" s="3">
        <f>1874.5+(319.7-310.2)+(0.955995+(0.163047-0.158202))+0-328.4-0.167483999999967</f>
        <v>1556.393356</v>
      </c>
      <c r="X174" s="3">
        <f>1889.8+(226.6-408.4)+(-6.746586+(-0.808962--1.457988))+0-330.1--1.178457</f>
        <v>1372.9808969999999</v>
      </c>
      <c r="Y174" s="3">
        <f>1893.4+(309.6-384.2)+(1.931268+(0.315792-0.391884))+0-331.7-0.338334000000053</f>
        <v>1488.6168420000001</v>
      </c>
      <c r="Z174" s="3">
        <f>1898.8+(436.7-371.8)+(0+(0-0))+0-333.3-0</f>
        <v>1630.3999999999999</v>
      </c>
      <c r="AA174" s="3">
        <f>1905.8+(463.2-379.6)+(-2.915874+(-0.708696--0.580788))+0-332.5--0.508725000000019</f>
        <v>1654.3649429999998</v>
      </c>
      <c r="AB174" s="3">
        <f>1883.9+(614.4-350.5)+(-0.960789+(-0.313344--0.178755))+0-332.6--0.169625999999966</f>
        <v>1814.2742480000002</v>
      </c>
      <c r="AC174" s="3">
        <f>1685.7+(697.2-321.2)+(-2.579121+(-1.066716--0.491436))+0-332.2--0.508266000000019</f>
        <v>1726.8538650000005</v>
      </c>
      <c r="AD174" s="2">
        <v>1565.5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1655+(690.4-272.4)+(-0.84405+(-0.352104--0.138924))+0-329.8--0.168197999999967</f>
        <v>1742.3109680000002</v>
      </c>
      <c r="G175" s="3">
        <f>1660.7+(688.5-233)+(-2.540871+(-1.053405--0.35649))+0-332--0.507960000000019</f>
        <v>1781.4701739999996</v>
      </c>
      <c r="H175" s="3">
        <f>1661.4+(646.1-212.3)+(-3.389256+(-1.318044--0.433092))+0-334.6--0.682583999999985</f>
        <v>1757.0083760000005</v>
      </c>
      <c r="I175" s="3">
        <f>1663.3+(590.1-214.8)+(-2.544849+(-0.902853--0.328644))+0-333.2--0.509796000000019</f>
        <v>1702.7907379999999</v>
      </c>
      <c r="J175" s="3">
        <f>1664.5+(564.3-206)+(-2.546685+(-0.863379--0.31518))+0-334.2--0.511326000000019</f>
        <v>1686.0164419999999</v>
      </c>
      <c r="K175" s="3">
        <f>1664.7+(497.3-205)+(1.697994+(0.507246-0.2091))+0-331.4-0.338028000000053</f>
        <v>1627.258112</v>
      </c>
      <c r="L175" s="3">
        <f>1590.7+(343.3-196.5)+(-4.867542+(-1.050498--0.60129))+0-329.3--1.00765800000004</f>
        <v>1403.8909080000001</v>
      </c>
      <c r="M175" s="3">
        <f>1464.5+(317.6-186.7)+(-0.746895+(-0.161976--0.095217))+0-332.8--0.169727999999966</f>
        <v>1261.9560740000002</v>
      </c>
      <c r="N175" s="3">
        <f>1507+(291-220.4)+(0+(0-0))+0-331.2-0</f>
        <v>1246.3999999999999</v>
      </c>
      <c r="O175" s="3">
        <f>1654.8+(233.7-293)+(0+(0-0))+0-332.6-0</f>
        <v>1262.9000000000001</v>
      </c>
      <c r="P175" s="3">
        <f>1644+(302.5-310)+(0+(0-0))+0-335.6-0</f>
        <v>1300.9000000000001</v>
      </c>
      <c r="Q175" s="3">
        <f>1635.5+(407.1-330.8)+(3.33642+(0.830484-0.674832))+0-334.3-0.681971999999985</f>
        <v>1380.3100999999999</v>
      </c>
      <c r="R175" s="3">
        <f>1631.2+(584.2-352.3)+(0.831912+(0.297942-0.179673))+0-334.3-0.170492999999966</f>
        <v>1529.579688</v>
      </c>
      <c r="S175" s="3">
        <f>1625.6+(744-358.1)+(-1.658112+(-0.75888--0.365262))+0-334.8--0.341496000000053</f>
        <v>1674.9897660000001</v>
      </c>
      <c r="T175" s="3">
        <f>1616.1+(791.2-322.2)+(-0.824211+(-0.403512--0.164322))+0-331.8--0.169217999999966</f>
        <v>1752.4058170000001</v>
      </c>
      <c r="U175" s="3">
        <f>1613.8+(773.6-309.1)+(-0.823038+(-0.394536--0.157641))+0-330--0.168299999999967</f>
        <v>1747.4083670000002</v>
      </c>
      <c r="V175" s="3">
        <f>1617.7+(676.3-299.4)+(-3.300108+(-1.379652--0.610776))+0-334--0.681359999999985</f>
        <v>1657.2123759999999</v>
      </c>
      <c r="W175" s="3">
        <f>1690.9+(371.3-289.1)+(0.862359+(0.189363-0.147441))+0-335.5-0.171104999999966</f>
        <v>1438.3331760000003</v>
      </c>
      <c r="X175" s="3">
        <f>1804.6+(147-340.5)+(-1.840692+(-0.14994--0.34731))+0-333.1--0.339762000000053</f>
        <v>1276.6964400000002</v>
      </c>
      <c r="Y175" s="3">
        <f>1876.2+(258.9-371)+(2.870586+(0.396117-0.56763))+0-333.7-0.510561000000019</f>
        <v>1432.5885119999998</v>
      </c>
      <c r="Z175" s="3">
        <f>1893.7+(424.8-395.5)+(-3.863148+(-0.866592--0.80682))+0-336.4--0.686255999999985</f>
        <v>1583.3633359999999</v>
      </c>
      <c r="AA175" s="3">
        <f>1901.5+(478.5-390)+(-6.788355+(-1.708245--1.3923))+0-335.5--1.197735</f>
        <v>1648.593435</v>
      </c>
      <c r="AB175" s="3">
        <f>1899+(526.4-364)+(-2.90547+(-0.805392--0.55692))+0-331.4--0.507042000000019</f>
        <v>1727.3531</v>
      </c>
      <c r="AC175" s="3">
        <f>1898.6+(572.2-333.8)+(-0.968286+(-0.291822--0.170238))+0-329.8--0.168197999999967</f>
        <v>1806.2783280000003</v>
      </c>
      <c r="AD175" s="2">
        <v>1635.8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1887.5+(494.5-326.8)+(1.92525+(0.50439-0.333336))+0-331.1-0.337722000000053</f>
        <v>1725.8585820000001</v>
      </c>
      <c r="G176" s="3">
        <f>1891.3+(461.2-315)+(1.929126+(0.470424-0.3213))+0-333.5-0.340170000000053</f>
        <v>1705.7380800000001</v>
      </c>
      <c r="H176" s="3">
        <f>1893+(466.3-294.5)+(-2.89629+(-0.713439--0.450585))+0-336.2--0.514386000000019</f>
        <v>1725.955242</v>
      </c>
      <c r="I176" s="3">
        <f>1904+(346.6-304.6)+(-2.91312+(-0.530298--0.466038))+0-334.7--0.512091000000019</f>
        <v>1608.834711</v>
      </c>
      <c r="J176" s="3">
        <f>1896.5+(295.6-295.9)+(-0.967215+(-0.150756--0.150909))+0-334.9--0.170798999999966</f>
        <v>1560.503737</v>
      </c>
      <c r="K176" s="3">
        <f>1895.4+(243.6-289.4)+(-3.866616+(-0.496944--0.590376))+0-335.7--0.684827999999985</f>
        <v>1510.8116440000001</v>
      </c>
      <c r="L176" s="3">
        <f>1904.9+(174.1-287.4)+(-0.971499+(-0.088791--0.146574))+0-334.6--0.170645999999966</f>
        <v>1456.25693</v>
      </c>
      <c r="M176" s="3">
        <f>1907.3+(81.4-320.3)+(0+(0-0))+0-334-0</f>
        <v>1334.3999999999999</v>
      </c>
      <c r="N176" s="3">
        <f>1895.3+(195.4-374.7)+(0.966603+(0.099654-0.191097))+0-333.8-0.170237999999966</f>
        <v>1382.9049220000002</v>
      </c>
      <c r="O176" s="3">
        <f>1879+(242.4-392.5)+(1.91658+(0.247248-0.40035))+0-334.4-0.341088000000053</f>
        <v>1395.9223900000002</v>
      </c>
      <c r="P176" s="3">
        <f>1861.9+(277.4-399.2)+(3.798276+(0.565896-0.814368))+0-337.3-0.688091999999985</f>
        <v>1405.6617120000001</v>
      </c>
      <c r="Q176" s="3">
        <f>1844.1+(315.4-403.6)+(-0.940491+(-0.160854--0.205836))+0-335.8--0.171257999999966</f>
        <v>1419.3757489999998</v>
      </c>
      <c r="R176" s="3">
        <f>1836+(501.2-348)+(0+(0-0))+0-336.6-0</f>
        <v>1652.6</v>
      </c>
      <c r="S176" s="3">
        <f>1832.3+(643.1-364.6)+(-1.868946+(-0.655962--0.371892))+0-335.5--0.342210000000053</f>
        <v>1773.489194</v>
      </c>
      <c r="T176" s="3">
        <f>1830.3+(660.5-360.8)+(-2.800359+(-1.010565--0.552024))+0-334.5--0.511785000000019</f>
        <v>1792.7528850000001</v>
      </c>
      <c r="U176" s="3">
        <f>1837.9+(638.4-331.3)+(-0.937329+(-0.325584--0.168963))+0-332.2--0.169421999999966</f>
        <v>1811.8754719999999</v>
      </c>
      <c r="V176" s="3">
        <f>1854.7+(538.2-322.6)+(-3.783588+(-1.097928--0.658104))+0-332.9--0.679115999999985</f>
        <v>1733.8557040000003</v>
      </c>
      <c r="W176" s="3">
        <f>1866.6+(301.3-332.9)+(-5.711796+(-0.921978--1.018674))+0-334.9--1.02479400000004</f>
        <v>1495.5096939999999</v>
      </c>
      <c r="X176" s="3">
        <f>1885.7+(249.9-441.7)+(-5.770242+(-0.764694--1.351602))+0-337.5--1.03275000000004</f>
        <v>1352.2494160000001</v>
      </c>
      <c r="Y176" s="3">
        <f>1900.2+(312.3-395.3)+(-1.938204+(-0.318546--0.403206))+0-336.6--0.343332000000054</f>
        <v>1479.089788</v>
      </c>
      <c r="Z176" s="3">
        <f>1906.5+(440.5-390.5)+(-2.916945+(-0.673965--0.597465))+0-333.5--0.510255000000019</f>
        <v>1620.5168099999999</v>
      </c>
      <c r="AA176" s="3">
        <f>1908.3+(474-388.6)+(-3.892932+(-0.96696--0.792744))+0-333.1--0.679523999999985</f>
        <v>1657.2123759999997</v>
      </c>
      <c r="AB176" s="3">
        <f>1907.8+(505-374.2)+(-3.891912+(-1.0302--0.763368))+0-331.8--0.676871999999985</f>
        <v>1703.3181279999999</v>
      </c>
      <c r="AC176" s="3">
        <f>1903.4+(497-365.7)+(3.882936+(1.01388-0.746028))+0-330.6-0.674423999999986</f>
        <v>1707.5763639999998</v>
      </c>
      <c r="AD176" s="2">
        <v>1620.6999999999998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1899.3+(577.2-361.8)+(-4.843215+(-1.47186--0.92259))+0-330--0.841499999999952</f>
        <v>1780.149015</v>
      </c>
      <c r="G177" s="3">
        <f>1893.6+(591.6-349.4)+(0.965736+(0.301716-0.178194))+0-333.6-0.170135999999966</f>
        <v>1803.1191220000003</v>
      </c>
      <c r="H177" s="3">
        <f>1896.4+(542.7-369.8)+(-4.83582+(-1.383885--0.94299))+0-335.4--0.855269999999951</f>
        <v>1729.4785550000001</v>
      </c>
      <c r="I177" s="3">
        <f>1892.5+(487-347.1)+(0+(0-0))+0-333-0</f>
        <v>1699.4</v>
      </c>
      <c r="J177" s="3">
        <f>1893.2+(446.7-325.9)+(0.965532+(0.227817-0.166209))+0-331.2-0.168911999999966</f>
        <v>1683.658228</v>
      </c>
      <c r="K177" s="3">
        <f>1893.5+(378.3-307.5)+(2.897055+(0.578799-0.470475))+0-334.4-0.511632000000019</f>
        <v>1632.3937469999998</v>
      </c>
      <c r="L177" s="3">
        <f>1903.3+(224.8-325.1)+(-1.941366+(-0.229296--0.331602))+0-330.9--0.337518000000053</f>
        <v>1470.5984580000002</v>
      </c>
      <c r="M177" s="3">
        <f>1910.4+(122.4-296.1)+(2.922912+(0.187272-0.453033))+0-329.4-0.503982000000019</f>
        <v>1409.4531690000001</v>
      </c>
      <c r="N177" s="3">
        <f>1903.1+(161-378.4)+(-0.970581+(-0.08211--0.192984))+0-329.4--0.167993999999967</f>
        <v>1355.6082869999996</v>
      </c>
      <c r="O177" s="3">
        <f>1885.4+(238-436.7)+(0.961554+(0.12138-0.222717))+0-330.1-0.168350999999967</f>
        <v>1357.2918659999998</v>
      </c>
      <c r="P177" s="3">
        <f>1866.5+(273-503)+(2.855745+(0.41769-0.76959))+0-333-0.509490000000019</f>
        <v>1305.494355</v>
      </c>
      <c r="Q177" s="3">
        <f>1865.7+(340.4-392.7)+(0+(0-0))+0-334.4-0</f>
        <v>1479</v>
      </c>
      <c r="R177" s="3">
        <f>1852.4+(448.1-399.1)+(-0.944724+(-0.228531--0.203541))+0-336.7--0.171716999999966</f>
        <v>1563.9020029999999</v>
      </c>
      <c r="S177" s="3">
        <f>1850.1+(626-409.4)+(-2.830653+(-0.95778--0.626382))+0-334.1--0.511173000000019</f>
        <v>1729.9491220000002</v>
      </c>
      <c r="T177" s="3">
        <f>1848.4+(690.9-415.6)+(0+(0-0))+0-335.1-0</f>
        <v>1788.6</v>
      </c>
      <c r="U177" s="3">
        <f>1843.9+(600.4-401.3)+(0+(0-0))+0-334.7-0</f>
        <v>1708.3</v>
      </c>
      <c r="V177" s="3">
        <f>1842+(449.3-369.7)+(-4.6971+(-1.145715--0.942735))+0-329.2--0.839459999999952</f>
        <v>1588.3393799999999</v>
      </c>
      <c r="W177" s="3">
        <f>1850.3+(276.7-421.7)+(-4.718265+(-0.705585--1.075335))+0-333.2--0.849659999999952</f>
        <v>1368.6011449999999</v>
      </c>
      <c r="X177" s="3">
        <f>1863.1+(207.3-545.3)+(-5.701086+(-0.634338--1.668618))+0-336.7--1.03030200000004</f>
        <v>1184.763496</v>
      </c>
      <c r="Y177" s="3">
        <f>1879.9+(343.6-524.4)+(2.876247+(0.525708-0.802332))+0-335.6-0.513468000000019</f>
        <v>1365.586155</v>
      </c>
      <c r="Z177" s="3">
        <f>1884+(492.2-447.8)+(-2.88252+(-0.753066--0.685134))+0-331.6--0.507348000000019</f>
        <v>1594.3568960000002</v>
      </c>
      <c r="AA177" s="3">
        <f>1896.1+(496.8-453.5)+(-2.901033+(-0.760104--0.693855))+0-331.4--0.507042000000019</f>
        <v>1605.5397599999999</v>
      </c>
      <c r="AB177" s="3">
        <f>1897.5+(598.3-437)+(-5.80635+(-1.830798--1.33722))+0-331.4--1.01408400000004</f>
        <v>1722.1141560000003</v>
      </c>
      <c r="AC177" s="3">
        <f>1898.2+(603.9-420.8)+(-3.872328+(-1.231956--0.858432))+0-328.6--0.670343999999986</f>
        <v>1749.1244920000001</v>
      </c>
      <c r="AD177" s="2">
        <v>1613.0999999999997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1888.8+(624.4-402.2)+(-1.926576+(-0.636888--0.410244))+0-330.3--0.336906000000053</f>
        <v>1778.8836859999999</v>
      </c>
      <c r="G178" s="3">
        <f>1898.4+(635.1-407.7)+(-3.872736+(-1.295604--0.831708))+0-329.7--0.672587999999986</f>
        <v>1792.435956</v>
      </c>
      <c r="H178" s="3">
        <f>1885.5+(533-399.5)+(-4.808025+(-1.35915--1.018725))+0-331.8--0.846089999999952</f>
        <v>1682.8976400000001</v>
      </c>
      <c r="I178" s="3">
        <f>1893.7+(493.5-377.5)+(-2.897361+(-0.755055--0.577575))+0-331.9--0.507807000000019</f>
        <v>1675.232966</v>
      </c>
      <c r="J178" s="3">
        <f>1892.5+(421-375.6)+(1.93035+(0.42942-0.383112))+0-330.8-0.337416000000053</f>
        <v>1608.7392420000001</v>
      </c>
      <c r="K178" s="3">
        <f>1888.2+(408.4-357.1)+(-2.888946+(-0.624852--0.546363))+0-333.1--0.509643000000019</f>
        <v>1603.9422080000002</v>
      </c>
      <c r="L178" s="3">
        <f>1899.7+(313.2-340.3)+(-1.937694+(-0.319464--0.347106))+0-331.4--0.338028000000053</f>
        <v>1539.6279760000002</v>
      </c>
      <c r="M178" s="3">
        <f>1900.5+(271.5-458.7)+(0+(0-0))+0-331.3-0</f>
        <v>1382</v>
      </c>
      <c r="N178" s="3">
        <f>1893.2+(328.1-483.6)+(-0.965532+(-0.167331--0.246636))+0-333.2--0.169931999999966</f>
        <v>1403.7837050000001</v>
      </c>
      <c r="O178" s="3">
        <f>1892+(326.8-533.6)+(0.96492+(0.166668-0.272136))+0-332.4-0.169523999999966</f>
        <v>1353.489928</v>
      </c>
      <c r="P178" s="3">
        <f>1878.9+(362.8-505.7)+(-0.958239+(-0.185028--0.257907))+0-334.1--0.170390999999966</f>
        <v>1401.1850309999998</v>
      </c>
      <c r="Q178" s="3">
        <f>1735.6+(463.3-429.5)+(-0.885156+(-0.236283--0.219045))+0-334.5--0.170594999999966</f>
        <v>1434.168201</v>
      </c>
      <c r="R178" s="3">
        <f>1717.3+(589.4-438.3)+(0.875823+(0.300594-0.223533))+0-331.6-0.169115999999966</f>
        <v>1537.583768</v>
      </c>
      <c r="S178" s="3">
        <f>1712.1+(726-434.9)+(-2.619513+(-1.11078--0.665397))+0-334.3--0.511479000000019</f>
        <v>1666.3465829999998</v>
      </c>
      <c r="T178" s="3">
        <f>1708.5+(790.8-431.5)+(-0.871335+(-0.403308--0.220065))+0-333.4--0.170033999999966</f>
        <v>1733.5154559999999</v>
      </c>
      <c r="U178" s="3">
        <f>1709.8+(797-392.2)+(-2.615994+(-1.21941--0.600066))+0-332.3--0.508419000000019</f>
        <v>1779.573081</v>
      </c>
      <c r="V178" s="3">
        <f>1711.5+(698.5-354.2)+(-1.74573+(-0.71247--0.361284))+0-332.3--0.338946000000053</f>
        <v>1721.7420300000003</v>
      </c>
      <c r="W178" s="3">
        <f>1720.5+(393.7-332.6)+(-1.75491+(-0.401574--0.339252))+0-331.9--0.338538000000053</f>
        <v>1448.2213059999999</v>
      </c>
      <c r="X178" s="3">
        <f>1731.6+(348.3-402)+(-3.532464+(-0.710532--0.82008))+0-334.3--0.681971999999985</f>
        <v>1340.859056</v>
      </c>
      <c r="Y178" s="3">
        <f>1737.4+(469.3-415.7)+(0+(0-0))+0-335.1-0</f>
        <v>1455.9</v>
      </c>
      <c r="Z178" s="3">
        <f>1745.3+(636.2-425.8)+(-2.670309+(-0.973386--0.651474))+0-335.6--0.513468000000019</f>
        <v>1617.621247</v>
      </c>
      <c r="AA178" s="3">
        <f>1749.6+(603.6-442.3)+(-3.569184+(-1.231344--0.902292))+0-335.7--0.684827999999985</f>
        <v>1571.9865919999997</v>
      </c>
      <c r="AB178" s="3">
        <f>1751.1+(685.6-423.9)+(0+(0-0))+0-334.2-0</f>
        <v>1678.6</v>
      </c>
      <c r="AC178" s="3">
        <f>1750.6+(753-392.4)+(-3.571224+(-1.53612--0.800496))+0-334.4--0.682175999999985</f>
        <v>1773.1753279999996</v>
      </c>
      <c r="AD178" s="2">
        <v>1647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1755.9+(706-372.7)+(-0.895509+(-0.36006--0.190077))+0-330.9--0.168758999999966</f>
        <v>1757.4032669999999</v>
      </c>
      <c r="G179" s="3">
        <f>1748.6+(688.1-345.7)+(1.783572+(0.701862-0.352614))+0-332.5-0.339150000000053</f>
        <v>1760.2936699999998</v>
      </c>
      <c r="H179" s="3">
        <f>1750.4+(648.3-365.6)+(-2.678112+(-0.991899--0.559368))+0-333.6--0.510408000000019</f>
        <v>1696.8997650000001</v>
      </c>
      <c r="I179" s="3">
        <f>1749.9+(575-360.4)+(-0.892449+(-0.29325--0.183804))+0-334.4--0.170543999999966</f>
        <v>1629.2686490000001</v>
      </c>
      <c r="J179" s="3">
        <f>1746.7+(529.5-346.7)+(-0.890817+(-0.270045--0.176817))+0-333.9--0.170288999999966</f>
        <v>1594.7862440000001</v>
      </c>
      <c r="K179" s="3">
        <f>1746.2+(473.2-330.3)+(1.781124+(0.482664-0.336906))+0-337-0.343740000000054</f>
        <v>1553.6831419999999</v>
      </c>
      <c r="L179" s="3">
        <f>1751+(318.8-295.9)+(1.78602+(0.325176-0.301818))+0-335.3-0.342006000000053</f>
        <v>1440.067372</v>
      </c>
      <c r="M179" s="3">
        <f>1668.4+(310.4-301)+(1.701768+(0.316608-0.30702))+0-334.1-0.340782000000053</f>
        <v>1345.0705740000001</v>
      </c>
      <c r="N179" s="3">
        <f>1637.3+(321.2-324.2)+(1.670046+(0.327624-0.330684))+0-335.7-0.342414000000054</f>
        <v>1299.9245719999999</v>
      </c>
      <c r="O179" s="3">
        <f>1637+(334-360.5)+(0.83487+(0.17034-0.183855))+0-334.3-0.170492999999966</f>
        <v>1276.850862</v>
      </c>
      <c r="P179" s="3">
        <f>1636.3+(377.2-380)+(0+(0-0))+0-335.9-0</f>
        <v>1297.5999999999999</v>
      </c>
      <c r="Q179" s="3">
        <f>1637.2+(474.3-398.7)+(0+(0-0))+0-334.9-0</f>
        <v>1377.9</v>
      </c>
      <c r="R179" s="3">
        <f>1635.9+(622.3-428.4)+(-0.834309+(-0.317373--0.218484))+0-333.7--0.170186999999966</f>
        <v>1495.3369890000001</v>
      </c>
      <c r="S179" s="3">
        <f>1712.5+(728-446.2)+(-2.620125+(-1.11384--0.682686))+0-332.6--0.508878000000019</f>
        <v>1659.1575990000001</v>
      </c>
      <c r="T179" s="3">
        <f>1696.7+(816.4-419)+(-1.730634+(-0.832728--0.42738))+0-334.7--0.341394000000053</f>
        <v>1757.6054120000001</v>
      </c>
      <c r="U179" s="3">
        <f>1694+(814.9-399.3)+(-1.72788+(-0.831198--0.407286))+0-336.7--0.343434000000054</f>
        <v>1771.0916419999999</v>
      </c>
      <c r="V179" s="3">
        <f>1701.2+(672.5-368.7)+(-1.735224+(-0.68595--0.376074))+0-334.3--0.340986000000053</f>
        <v>1668.9958860000002</v>
      </c>
      <c r="W179" s="3">
        <f>1701.7+(436.6-336.3)+(-1.735734+(-0.445332--0.343026))+0-334.1--0.340782000000053</f>
        <v>1466.402742</v>
      </c>
      <c r="X179" s="3">
        <f>1720.5+(306.7-404.7)+(-0.877455+(-0.156417--0.206397))+0-334.5--0.170594999999966</f>
        <v>1287.34312</v>
      </c>
      <c r="Y179" s="3">
        <f>1730.6+(437.5-398.5)+(-0.882606+(-0.223125--0.203235))+0-334.1--0.170390999999966</f>
        <v>1434.7678949999997</v>
      </c>
      <c r="Z179" s="3">
        <f>1731+(629.9-429.3)+(-1.76562+(-0.642498--0.437886))+0-334.5--0.341190000000053</f>
        <v>1595.4709580000001</v>
      </c>
      <c r="AA179" s="3">
        <f>1734.6+(685.1-433)+(-2.653938+(-1.048203--0.66249))+0-335--0.512550000000019</f>
        <v>1649.1728989999997</v>
      </c>
      <c r="AB179" s="3">
        <f>1744.4+(706.7-423.3)+(1.779288+(0.720834-0.431766))+0-331.2-0.337824000000053</f>
        <v>1698.3305320000002</v>
      </c>
      <c r="AC179" s="3">
        <f>1741.2+(718-404.3)+(-0.888012+(-0.36618--0.206193))+0-333.2--0.169931999999966</f>
        <v>1720.8219330000002</v>
      </c>
      <c r="AD179" s="2">
        <v>1658.4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1745.1+(681.6-366.8)+(0+(0-0))+0-334.8-0</f>
        <v>1725.1000000000001</v>
      </c>
      <c r="G180" s="3">
        <f>1748.9+(707.2-362.8)+(0+(0-0))+0-334.1-0</f>
        <v>1759.2000000000003</v>
      </c>
      <c r="H180" s="3">
        <f>1746.4+(690.3-336.2)+(0+(0-0))+0-333-0</f>
        <v>1767.5</v>
      </c>
      <c r="I180" s="3">
        <f>1740+(646.6-316.6)+(0+(0-0))+0-333.1-0</f>
        <v>1736.9</v>
      </c>
      <c r="J180" s="3">
        <f>1743.7+(543.5-313.6)+(4.446435+(1.385925-0.79968))+0-337.7-0.861134999999951</f>
        <v>1640.071545</v>
      </c>
      <c r="K180" s="3">
        <f>1744.2+(494.5-298.3)+(1.779084+(0.50439-0.304266))+0-337-0.343740000000054</f>
        <v>1605.035468</v>
      </c>
      <c r="L180" s="3">
        <f>1754.8+(350.8-337.2)+(0.894948+(0.178908-0.171972))+0-334-0.170339999999966</f>
        <v>1435.1315440000003</v>
      </c>
      <c r="M180" s="3">
        <f>1754.4+(329.1-360.2)+(-1.789488+(-0.335682--0.367404))+0-333.3--0.339966000000053</f>
        <v>1388.5822000000003</v>
      </c>
      <c r="N180" s="3">
        <f>1753+(328.3-410)+(4.47015+(0.837165-1.0455))+0-335.5-0.855524999999951</f>
        <v>1339.2062900000001</v>
      </c>
      <c r="O180" s="3">
        <f>1741.3+(344.4-422.5)+(0+(0-0))+0-334.4-0</f>
        <v>1328.7999999999997</v>
      </c>
      <c r="P180" s="3">
        <f>1734.4+(393-405.4)+(0.884544+(0.20043-0.206754))+0-338.1-0.172430999999966</f>
        <v>1384.6057890000002</v>
      </c>
      <c r="Q180" s="3">
        <f>1723+(521.3-385.6)+(0.87873+(0.265863-0.196656))+0-333.5-0.170084999999966</f>
        <v>1525.9778519999998</v>
      </c>
      <c r="R180" s="3">
        <f>1709.9+(664.7-412.6)+(-1.744098+(-0.677994--0.420852))+0-334.6--0.341292000000053</f>
        <v>1625.7400520000001</v>
      </c>
      <c r="S180" s="3">
        <f>1698.8+(835.6-408.3)+(0.866388+(0.426156-0.208233))+0-335-0.170849999999966</f>
        <v>1792.013461</v>
      </c>
      <c r="T180" s="3">
        <f>1696.2+(833.6-383.4)+(0+(0-0))+0-331.9-0</f>
        <v>1814.5</v>
      </c>
      <c r="U180" s="3">
        <f>1691.6+(768.7-354.2)+(4.31358+(1.960185-0.90321))+0-331.2-0.844559999999952</f>
        <v>1779.4259949999998</v>
      </c>
      <c r="V180" s="3">
        <f>1702.2+(619.2-312.9)+(-3.472488+(-1.263168--0.638316))+0-334.4--0.682175999999985</f>
        <v>1670.6848360000001</v>
      </c>
      <c r="W180" s="3">
        <f>1711+(373.1-299.6)+(-6.98088+(-1.522248--1.222368))+0-332.5--1.35659999999997</f>
        <v>1446.07584</v>
      </c>
      <c r="X180" s="3">
        <f>1721.1+(292.1-421.2)+(-4.388805+(-0.744855--1.07406))+0-334.4--0.852719999999951</f>
        <v>1254.3931199999997</v>
      </c>
      <c r="Y180" s="3">
        <f>1726.8+(416.1-395.7)+(1.761336+(0.424422-0.403614))+0-334.7-0.341394000000053</f>
        <v>1413.94075</v>
      </c>
      <c r="Z180" s="3">
        <f>1730.9+(583.6-405.3)+(-1.765518+(-0.595272--0.413406))+0-334.6--0.341292000000053</f>
        <v>1572.9939079999999</v>
      </c>
      <c r="AA180" s="3">
        <f>1738.2+(644.3-404.4)+(-1.772964+(-0.657186--0.412488))+0-334.8--0.341496000000053</f>
        <v>1641.623834</v>
      </c>
      <c r="AB180" s="3">
        <f>1744.8+(664.6-396.7)+(-1.779696+(-0.677892--0.404634))+0-332.9--0.339558000000053</f>
        <v>1678.0866040000001</v>
      </c>
      <c r="AC180" s="3">
        <f>1748.7+(655.8-374.8)+(0.891837+(0.334458-0.191148))+0-329.9-0.168248999999967</f>
        <v>1700.6668980000002</v>
      </c>
      <c r="AD180" s="2">
        <v>1593.5000000000002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1754.6+(719.8-380.4)+(-2.684538+(-1.101294--0.582012))+0-330.7--0.505971000000019</f>
        <v>1760.6021509999998</v>
      </c>
      <c r="G181" s="3">
        <f>1755.1+(692.8-380.5)+(-3.580404+(-1.413312--0.77622))+0-333.9--0.681155999999985</f>
        <v>1729.9636599999992</v>
      </c>
      <c r="H181" s="3">
        <f>1749.8+(652.3-356.2)+(-2.677194+(-0.998019--0.544986))+0-335.7--0.513621000000019</f>
        <v>1707.5833939999998</v>
      </c>
      <c r="I181" s="3">
        <f>1746.2+(570.1-339.5)+(-0.890562+(-0.290751--0.173145))+0-337.6--0.172175999999966</f>
        <v>1638.364008</v>
      </c>
      <c r="J181" s="3">
        <f>1749.5+(510.2-331.2)+(3.56898+(1.040808-0.675648))+0-336.4-0.686255999999985</f>
        <v>1595.3478840000002</v>
      </c>
      <c r="K181" s="3">
        <f>1751.7+(457.1-324)+(0.893367+(0.233121-0.16524))+0-338.2-0.172481999999966</f>
        <v>1547.3887660000003</v>
      </c>
      <c r="L181" s="3">
        <f>1754.1+(351.5-317)+(-3.578364+(-0.71706--0.64668))+0-335.2--0.683807999999985</f>
        <v>1450.4350639999998</v>
      </c>
      <c r="M181" s="3">
        <f>1762.6+(319.6-379.7)+(-0.898926+(-0.162996--0.193647))+0-334.9--0.170798999999966</f>
        <v>1366.9025240000001</v>
      </c>
      <c r="N181" s="3">
        <f>1757.2+(342.5-440.4)+(0+(0-0))+0-335.2-0</f>
        <v>1324.1000000000001</v>
      </c>
      <c r="O181" s="3">
        <f>1749.2+(398.2-455.8)+(-6.244644+(-1.421574--1.627206))+0-335--1.19595</f>
        <v>1351.756938</v>
      </c>
      <c r="P181" s="3">
        <f>1730.9+(431.6-489.3)+(0+(0-0))+0-337.4-0</f>
        <v>1335.8000000000002</v>
      </c>
      <c r="Q181" s="3">
        <f>1713.4+(524.9-444.9)+(1.747668+(0.535398-0.453798))+0-336.6-0.343332000000054</f>
        <v>1458.285936</v>
      </c>
      <c r="R181" s="3">
        <f>1701.8+(645.5-402.6)+(0+(0-0))+0-336.8-0</f>
        <v>1607.8999999999999</v>
      </c>
      <c r="S181" s="3">
        <f>1696.2+(796.5-386.9)+(-0.865062+(-0.406215--0.197319))+0-336.4--0.171563999999966</f>
        <v>1768.4976060000001</v>
      </c>
      <c r="T181" s="3">
        <f>1692.7+(823.3-381.2)+(-0.863277+(-0.419883--0.194412))+0-335.1--0.170900999999966</f>
        <v>1798.7821530000001</v>
      </c>
      <c r="U181" s="3">
        <f>1691.1+(790.5-337.8)+(0+(0-0))+0-335-0</f>
        <v>1808.7999999999997</v>
      </c>
      <c r="V181" s="3">
        <f>1690+(629.6-317.8)+(-2.5857+(-0.963288--0.486234))+0-333--0.509490000000019</f>
        <v>1666.2467359999998</v>
      </c>
      <c r="W181" s="3">
        <f>1686.6+(383.6-317.1)+(-0.860166+(-0.195636--0.161721))+0-335--0.170849999999966</f>
        <v>1417.376769</v>
      </c>
      <c r="X181" s="3">
        <f>1692.1+(343.4-481.7)+(0.862971+(0.175134-0.245667))+0-335-0.170849999999966</f>
        <v>1219.4215879999999</v>
      </c>
      <c r="Y181" s="3">
        <f>1693.8+(457-420.3)+(-0.863838+(-0.23307--0.214353))+0-333--0.169829999999966</f>
        <v>1396.7872750000001</v>
      </c>
      <c r="Z181" s="3">
        <f>1709.3+(602.8-403.1)+(-1.743486+(-0.614856--0.411162))+0-337--0.343740000000054</f>
        <v>1570.3965600000001</v>
      </c>
      <c r="AA181" s="3">
        <f>1724.9+(640.2-396.2)+(-1.759398+(-0.653004--0.404124))+0-336--0.342720000000054</f>
        <v>1631.2344420000002</v>
      </c>
      <c r="AB181" s="3">
        <f>1729.7+(655.5-380.7)+(0+(0-0))+0-331-0</f>
        <v>1673.5</v>
      </c>
      <c r="AC181" s="3">
        <f>1733.9+(686.4-351.5)+(-3.537156+(-1.400256--0.71706))+0-330--0.673199999999986</f>
        <v>1735.2528480000003</v>
      </c>
      <c r="AD181" s="2">
        <v>1586.6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1737.5+(668-337.6)+(-5.31675+(-2.04408--1.033056))+0-331--1.01286000000004</f>
        <v>1731.5850860000003</v>
      </c>
      <c r="G182" s="3">
        <f>1734.9+(684.9-336.4)+(-4.423995+(-1.746495--0.85782))+0-333--0.849149999999952</f>
        <v>1745.9364800000003</v>
      </c>
      <c r="H182" s="3">
        <f>1733.5+(642.2-313.1)+(-2.652255+(-0.982566--0.479043))+0-333--0.509490000000019</f>
        <v>1726.953712</v>
      </c>
      <c r="I182" s="3">
        <f>1731.5+(535-309.7)+(-6.181455+(-1.90995--1.105629))+0-334--1.19238</f>
        <v>1617.0066039999999</v>
      </c>
      <c r="J182" s="3">
        <f>1728+(569.1-273)+(1.76256+(0.580482-0.27846))+0-332-0.338640000000053</f>
        <v>1693.8259419999999</v>
      </c>
      <c r="K182" s="3">
        <f>1738.3+(448.3-276)+(-2.659599+(-0.685899--0.42228))+0-336--0.514080000000019</f>
        <v>1572.1908619999999</v>
      </c>
      <c r="L182" s="3">
        <f>1739.1+(309.1-246.2)+(-5.321646+(-0.945846--0.753372))+0-333.7--1.02112200000004</f>
        <v>1463.807002</v>
      </c>
      <c r="M182" s="3">
        <f>1739+(198.8-244.4)+(1.77378+(0.202776-0.249288))+0-329.2-0.335784000000052</f>
        <v>1365.591484</v>
      </c>
      <c r="N182" s="3">
        <f>1727.5+(268.9-272.3)+(1.76205+(0.274278-0.277746))+0-329.9-0.336498000000053</f>
        <v>1395.6220839999996</v>
      </c>
      <c r="O182" s="3">
        <f>1714.1+(334.2-341.8)+(0.874191+(0.170442-0.174318))+0-334.6-0.170645999999966</f>
        <v>1372.5996689999997</v>
      </c>
      <c r="P182" s="3">
        <f>1775.6+(380.2-401.7)+(2.716668+(0.581706-0.614601))+0-335.7-0.513621000000019</f>
        <v>1420.5701519999998</v>
      </c>
      <c r="Q182" s="3">
        <f>1836.1+(424.8-451.9)+(1.872822+(0.433296-0.460938))+0-331.2-0.337824000000053</f>
        <v>1479.307356</v>
      </c>
      <c r="R182" s="3">
        <f>1826.8+(510.2-402.4)+(-0.931668+(-0.260202--0.205224))+0-331.3--0.168962999999966</f>
        <v>1602.482317</v>
      </c>
      <c r="S182" s="3">
        <f>1823.4+(662.4-416.3)+(-2.789802+(-1.013472--0.636939))+0-334.5--0.511785000000019</f>
        <v>1732.34545</v>
      </c>
      <c r="T182" s="3">
        <f>1823+(705.3-414)+(-0.92973+(-0.359703--0.21114))+0-332.7--0.169676999999966</f>
        <v>1780.691384</v>
      </c>
      <c r="U182" s="3">
        <f>1816.3+(657.2-391.5)+(0.926313+(0.335172-0.199665))+0-332-0.169319999999966</f>
        <v>1750.8924999999999</v>
      </c>
      <c r="V182" s="3">
        <f>1822.5+(515.8-350.5)+(-0.929475+(-0.263058--0.178755))+0-329.4--0.167993999999967</f>
        <v>1657.554216</v>
      </c>
      <c r="W182" s="3">
        <f>1831.8+(292.3-347.7)+(-0.934218+(-0.149073--0.177327))+0-329.9--0.168248999999967</f>
        <v>1445.762285</v>
      </c>
      <c r="X182" s="3">
        <f>1838.4+(229.4-440.7)+(-3.750336+(-0.467976--0.899028))+0-330.7--0.674627999999986</f>
        <v>1293.7553440000002</v>
      </c>
      <c r="Y182" s="3">
        <f>1849+(364.3-436.6)+(0.94299+(0.185793-0.222666))+0-330.2-0.168401999999966</f>
        <v>1447.237715</v>
      </c>
      <c r="Z182" s="3">
        <f>1864.6+(459.5-445.2)+(-3.803784+(-0.93738--0.908208))+0-329.2--0.671567999999986</f>
        <v>1546.5386119999998</v>
      </c>
      <c r="AA182" s="3">
        <f>1873.3+(515.9-431.3)+(-5.732298+(-1.578654--1.319778))+0-329.4--1.00796400000004</f>
        <v>1623.5167899999999</v>
      </c>
      <c r="AB182" s="3">
        <f>1881.6+(547.2-416)+(-2.878848+(-0.837216--0.63648))+0-328.8--0.503064000000019</f>
        <v>1681.4234799999999</v>
      </c>
      <c r="AC182" s="3">
        <f>1887.3+(587.5-380.2)+(-0.962523+(-0.299625--0.193902))+0-326.3--0.166412999999967</f>
        <v>1767.3981670000001</v>
      </c>
      <c r="AD182" s="2">
        <v>1538.8999999999996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1889.5+(574.4-344)+(-3.85458+(-1.171776--0.70176))+0-327.4--0.667895999999986</f>
        <v>1788.8433</v>
      </c>
      <c r="G183" s="3">
        <f>1885.6+(502.9-334.8)+(-7.693248+(-2.051832--1.365984))+0-328.4--1.33987199999997</f>
        <v>1718.2607760000001</v>
      </c>
      <c r="H183" s="3">
        <f>1895.6+(458.5-311.7)+(-2.900268+(-0.701505--0.476901))+0-329--0.503370000000019</f>
        <v>1710.7784979999999</v>
      </c>
      <c r="I183" s="3">
        <f>1891.5+(419.7-285.7)+(-0.964665+(-0.214047--0.145707))+0-328.9--0.167738999999967</f>
        <v>1695.7347340000001</v>
      </c>
      <c r="J183" s="3">
        <f>1891.6+(375.2-271.2)+(-0.964716+(-0.191352--0.138312))+0-328.9--0.167738999999967</f>
        <v>1665.8499830000001</v>
      </c>
      <c r="K183" s="3">
        <f>1891.3+(290.6-262.2)+(-0.964563+(-0.148206--0.133722))+0-328.6--0.167585999999967</f>
        <v>1590.2885390000001</v>
      </c>
      <c r="L183" s="3">
        <f>1889+(162.4-267.4)+(-0.96339+(-0.082824--0.136374))+0-327.9--0.167228999999967</f>
        <v>1455.357389</v>
      </c>
      <c r="M183" s="3">
        <f>1892.6+(112.4-319.5)+(1.930452+(0.114648-0.32589))+0-328-0.334560000000052</f>
        <v>1358.88465</v>
      </c>
      <c r="N183" s="3">
        <f>1874.1+(213.1-391.4)+(2.867373+(0.326043-0.598842))+0-327.8-0.501534000000019</f>
        <v>1370.09304</v>
      </c>
      <c r="O183" s="3">
        <f>1856.3+(280.3-456.9)+(-1.893426+(-0.285906--0.466038))+0-329.7--0.336294000000053</f>
        <v>1348.623</v>
      </c>
      <c r="P183" s="3">
        <f>1843.4+(291.1-421.2)+(0+(0-0))+0-329.5-0</f>
        <v>1383.8000000000002</v>
      </c>
      <c r="Q183" s="3">
        <f>1831.2+(363.4-381.3)+(0.933912+(0.185334-0.194463))+0-331.5-0.169064999999966</f>
        <v>1482.5557179999998</v>
      </c>
      <c r="R183" s="3">
        <f>1822.3+(439.6-355.5)+(0.929373+(0.224196-0.181305))+0-323.6-0.165035999999967</f>
        <v>1583.6072280000003</v>
      </c>
      <c r="S183" s="3">
        <f>1815.6+(617.8-374)+(-0.925956+(-0.315078--0.19074))+0-321.2--0.163811999999967</f>
        <v>1737.3135179999995</v>
      </c>
      <c r="T183" s="3">
        <f>1818.7+(637.9-378.8)+(-0.927537+(-0.325329--0.193188))+0-310.8--0.158507999999968</f>
        <v>1766.0988300000001</v>
      </c>
      <c r="U183" s="3">
        <f>1826.7+(597.9-366.1)+(-0.931617+(-0.304929--0.186711))+0-306--0.156059999999969</f>
        <v>1751.6062250000002</v>
      </c>
      <c r="V183" s="3">
        <f>1820.4+(436.6-287.6)+(-4.64202+(-1.11333--0.73338))+0-319.8--0.815489999999954</f>
        <v>1645.3935200000001</v>
      </c>
      <c r="W183" s="3">
        <f>1834.2+(235.6-298.2)+(-3.741768+(-0.480624--0.608328))+0-305.2--0.622607999999987</f>
        <v>1463.4085439999999</v>
      </c>
      <c r="X183" s="3">
        <f>1840.8+(198.3-430)+(-1.877616+(-0.202266--0.4386))+0-320.9--0.327318000000051</f>
        <v>1286.8860359999999</v>
      </c>
      <c r="Y183" s="3">
        <f>1847.5+(275.8-371.5)+(0.942225+(0.140658-0.189465))+0-321.5-0.163964999999967</f>
        <v>1431.0294530000001</v>
      </c>
      <c r="Z183" s="3">
        <f>1860.4+(326-332.5)+(-1.897608+(-0.33252--0.33915))+0-319.1--0.325482000000051</f>
        <v>1533.2345040000002</v>
      </c>
      <c r="AA183" s="3">
        <f>1873.7+(421.9-312.9)+(-4.777935+(-1.075845--0.797895))+0-320.3--0.816764999999954</f>
        <v>1658.1608800000001</v>
      </c>
      <c r="AB183" s="3">
        <f>1878.3+(433-293.9)+(-3.831732+(-0.88332--0.599556))+0-321.2--0.655247999999986</f>
        <v>1692.7397520000002</v>
      </c>
      <c r="AC183" s="3">
        <f>1883.3+(437.2-270.2)+(-3.841932+(-0.891888--0.551208))+0-319.2--0.651167999999986</f>
        <v>1727.5685560000002</v>
      </c>
      <c r="AD183" s="2">
        <v>1685.3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1886.8+(450.1-251.6)+(-0.962268+(-0.229551--0.128316))+0-319.4--0.162893999999968</f>
        <v>1764.9993910000003</v>
      </c>
      <c r="G184" s="3">
        <f>1887.7+(390.7-230.1)+(-4.813635+(-0.996285--0.586755))+0-320.9--0.818294999999953</f>
        <v>1722.9951300000002</v>
      </c>
      <c r="H184" s="3">
        <f>1884.2+(366.3-231.1)+(-5.765652+(-1.120878--0.707166))+0-320.8--0.981648000000037</f>
        <v>1693.402284</v>
      </c>
      <c r="I184" s="3">
        <f>1883.5+(344.4-205.5)+(-6.724095+(-1.229508--0.733635))+0-319.7--1.141329</f>
        <v>1696.621361</v>
      </c>
      <c r="J184" s="3">
        <f>1875.1+(260.3-200.2)+(-3.825204+(-0.531012--0.408408))+0-321.1--0.655043999999986</f>
        <v>1610.8072360000001</v>
      </c>
      <c r="K184" s="3">
        <f>1891.6+(241.4-208.7)+(2.894148+(0.369342-0.319311))+0-320.5-0.490365000000019</f>
        <v>1606.2538139999999</v>
      </c>
      <c r="L184" s="3">
        <f>1902+(131.1-209.6)+(-3.88008+(-0.267444--0.427584))+0-320--0.652799999999986</f>
        <v>1500.4328600000001</v>
      </c>
      <c r="M184" s="3">
        <f>1900.3+(103.8-279.3)+(0+(0-0))+0-319.7-0</f>
        <v>1405.1</v>
      </c>
      <c r="N184" s="3">
        <f>1886.5+(181.2-380.6)+(0+(0-0))+0-320.9-0</f>
        <v>1366.1999999999998</v>
      </c>
      <c r="O184" s="3">
        <f>1872.2+(191.8-393.3)+(1.909644+(0.195636-0.401166))+0-321-0.327420000000051</f>
        <v>1351.0766939999999</v>
      </c>
      <c r="P184" s="3">
        <f>1863.9+(193-393.2)+(1.901178+(0.19686-0.401064))+0-324.2-0.330684000000052</f>
        <v>1340.8662899999999</v>
      </c>
      <c r="Q184" s="3">
        <f>1854.8+(220.5-326.6)+(2.837844+(0.337365-0.499698))+0-322.4-0.493272000000019</f>
        <v>1428.4822389999997</v>
      </c>
      <c r="R184" s="3">
        <f>1850.3+(311.6-256.6)+(2.830959+(0.476748-0.392598))+0-323.7-0.495261000000019</f>
        <v>1584.0198479999999</v>
      </c>
      <c r="S184" s="3">
        <f>1842+(437-264.9)+(-1.87884+(-0.44574--0.270198))+0-322.5--0.328950000000051</f>
        <v>1689.874568</v>
      </c>
      <c r="T184" s="3">
        <f>1839.3+(488.4-258.4)+(0+(0-0))+0-320.4-0</f>
        <v>1748.9</v>
      </c>
      <c r="U184" s="3">
        <f>1838.3+(469.2-246.6)+(-1.875066+(-0.478584--0.251532))+0-320.8--0.327216000000051</f>
        <v>1738.3250980000005</v>
      </c>
      <c r="V184" s="3">
        <f>1829.9+(313.9-244.6)+(-3.732996+(-0.640356--0.498984))+0-319.8--0.652391999999986</f>
        <v>1576.1780240000001</v>
      </c>
      <c r="W184" s="3">
        <f>1835.5+(179.8-328.9)+(-4.680525+(-0.45849--0.838695))+0-321.5--0.819824999999953</f>
        <v>1361.4195050000001</v>
      </c>
      <c r="X184" s="3">
        <f>1850.4+(154.7-414.5)+(-1.887408+(-0.157794--0.42279))+0-321.1--0.327522000000051</f>
        <v>1268.2051100000003</v>
      </c>
      <c r="Y184" s="3">
        <f>1860.1+(220.7-359.6)+(0.948651+(0.112557-0.183396))+0-322.3-0.164372999999967</f>
        <v>1399.6134389999997</v>
      </c>
      <c r="Z184" s="3">
        <f>1879.9+(319.4-277.2)+(-4.793745+(-0.81447--0.70686))+0-322.1--0.821354999999953</f>
        <v>1595.92</v>
      </c>
      <c r="AA184" s="3">
        <f>1879.2+(371.7-280)+(-1.916784+(-0.379134--0.2856))+0-320.8--0.327216000000051</f>
        <v>1648.4168980000002</v>
      </c>
      <c r="AB184" s="3">
        <f>1878.1+(447.6-284.1)+(-2.873493+(-0.684828--0.434673))+0-321.1--0.491283000000019</f>
        <v>1717.8676349999998</v>
      </c>
      <c r="AC184" s="3">
        <f>1834.1+(473.8-254.4)+(-0.935391+(-0.241638--0.129744))+0-320.6--0.163505999999967</f>
        <v>1732.0162209999999</v>
      </c>
      <c r="AD184" s="2">
        <v>1630.6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1631.2+(745.7-274)+(-0.831912+(-0.380307--0.13974))+0-320.3--0.163352999999968</f>
        <v>1781.6908740000001</v>
      </c>
      <c r="G185" s="3">
        <f>1628.8+(653.6-287.1)+(0+(0-0))+0-320.6-0</f>
        <v>1674.6999999999998</v>
      </c>
      <c r="H185" s="3">
        <f>1631.2+(668.9-262.3)+(-3.327648+(-1.364556--0.535092))+0-320.8--0.654431999999986</f>
        <v>1713.4973199999999</v>
      </c>
      <c r="I185" s="3">
        <f>1634.7+(601.3-255.2)+(-0.833697+(-0.306663--0.130152))+0-321.4--0.163913999999967</f>
        <v>1658.5537059999999</v>
      </c>
      <c r="J185" s="3">
        <f>1638.5+(579.2-235.1)+(0+(0-0))+0-320.2-0</f>
        <v>1662.3999999999999</v>
      </c>
      <c r="K185" s="3">
        <f>1642.2+(523.1-220.9)+(-3.350088+(-1.067124--0.450636))+0-322.4--0.657695999999986</f>
        <v>1618.6911200000002</v>
      </c>
      <c r="L185" s="3">
        <f>1644.8+(350.8-190.2)+(-4.19424+(-0.89454--0.48501))+0-318.8--0.812939999999954</f>
        <v>1482.8091700000002</v>
      </c>
      <c r="M185" s="3">
        <f>1645.7+(211.5-208.3)+(-0.839307+(-0.107865--0.106233))+0-317.2--0.161771999999968</f>
        <v>1331.020833</v>
      </c>
      <c r="N185" s="3">
        <f>1632.7+(214.6-226.5)+(1.665354+(0.218892-0.23103))+0-318.9-0.325278000000051</f>
        <v>1303.2279379999998</v>
      </c>
      <c r="O185" s="3">
        <f>1618.3+(237-269.8)+(0+(0-0))+0-321.4-0</f>
        <v>1264.0999999999999</v>
      </c>
      <c r="P185" s="3">
        <f>1605.1+(394.6-293)+(0+(0-0))+0-317.5-0</f>
        <v>1389.1999999999998</v>
      </c>
      <c r="Q185" s="3">
        <f>1595.7+(487.1-314.4)+(-1.627614+(-0.496842--0.320688))+0-322.4--0.328848000000051</f>
        <v>1444.5250800000003</v>
      </c>
      <c r="R185" s="3">
        <f>1595.7+(608.5-329.1)+(0+(0-0))+0-321.2-0</f>
        <v>1553.8999999999999</v>
      </c>
      <c r="S185" s="3">
        <f>1596.3+(767.8-335.6)+(0+(0-0))+0-320.9-0</f>
        <v>1707.6</v>
      </c>
      <c r="T185" s="3">
        <f>1598.9+(808.4-342.8)+(0+(0-0))+0-320.4-0</f>
        <v>1744.1</v>
      </c>
      <c r="U185" s="3">
        <f>1599.7+(739.7-338.6)+(0+(0-0))+0-309-0</f>
        <v>1691.8000000000002</v>
      </c>
      <c r="V185" s="3">
        <f>1598.5+(614-301.1)+(0+(0-0))+0-319.4-0</f>
        <v>1592</v>
      </c>
      <c r="W185" s="3">
        <f>1599.5+(426.7-275.6)+(0+(0-0))+0-322.8-0</f>
        <v>1427.8</v>
      </c>
      <c r="X185" s="3">
        <f>1606.5+(298.5-304.1)+(0+(0-0))+0-321.2-0</f>
        <v>1279.7</v>
      </c>
      <c r="Y185" s="3">
        <f>1617.6+(480.7-367.3)+(0+(0-0))+0-321.9-0</f>
        <v>1409.1</v>
      </c>
      <c r="Z185" s="3">
        <f>1627.8+(624.4-376.8)+(0+(0-0))+0-322.2-0</f>
        <v>1553.1999999999998</v>
      </c>
      <c r="AA185" s="3">
        <f>1632.2+(638.3-383.3)+(0+(0-0))+0-321.8-0</f>
        <v>1565.4</v>
      </c>
      <c r="AB185" s="3">
        <f>1635.4+(705.1-373.3)+(0+(0-0))+0-323-0</f>
        <v>1644.2</v>
      </c>
      <c r="AC185" s="3">
        <f>1637.8+(670-355)+(0+(0-0))+0-320.2-0</f>
        <v>1632.6</v>
      </c>
      <c r="AD185" s="2">
        <v>1485.8999999999996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1642.6+(659.7-326.1)+(-1.675452+(-0.672894--0.332622))+0-319.5--0.325890000000051</f>
        <v>1655.0101659999998</v>
      </c>
      <c r="G186" s="3">
        <f>1640.3+(579-374)+(-4.182765+(-1.47645--0.9537))+0-320--0.815999999999954</f>
        <v>1521.4104849999999</v>
      </c>
      <c r="H186" s="3">
        <f>1650.8+(558.5-294.8)+(-0.841908+(-0.284835--0.150348))+0-320.3--0.163352999999968</f>
        <v>1593.386958</v>
      </c>
      <c r="I186" s="3">
        <f>1645.1+(520.2-279.5)+(-1.678002+(-0.530604--0.28509))+0-320.5--0.326910000000051</f>
        <v>1563.7033939999999</v>
      </c>
      <c r="J186" s="3">
        <f>1642.8+(477.9-258.5)+(0.837828+(0.243729-0.131835))+0-319.8-0.163097999999968</f>
        <v>1543.1866239999999</v>
      </c>
      <c r="K186" s="3">
        <f>1646.1+(338.1-236.9)+(-5.037066+(-1.034586--0.724914))+0-319.9--0.978894000000037</f>
        <v>1423.032156</v>
      </c>
      <c r="L186" s="3">
        <f>1644.7+(253.6-235.4)+(-0.838797+(-0.129336--0.120054))+0-319.6--0.162995999999968</f>
        <v>1342.6149169999999</v>
      </c>
      <c r="M186" s="3">
        <f>1636.6+(226.8-267.3)+(0.834666+(0.115668-0.136323))+0-319.9-0.163148999999968</f>
        <v>1276.8508619999998</v>
      </c>
      <c r="N186" s="3">
        <f>1633.7+(260.7-315.2)+(-2.499561+(-0.398871--0.482256))+0-320.3--0.490059000000019</f>
        <v>1256.9738830000001</v>
      </c>
      <c r="O186" s="3">
        <f>1624.9+(343.6-336.1)+(-4.972194+(-1.051416--1.028466))+0-320.8--0.981648000000037</f>
        <v>1307.5865040000001</v>
      </c>
      <c r="P186" s="3">
        <f>1613.1+(380-400.2)+(-3.290724+(-0.7752--0.816408))+0-323.4--0.659735999999986</f>
        <v>1266.9102199999998</v>
      </c>
      <c r="Q186" s="3">
        <f>1604.8+(501-383.3)+(3.273792+(1.02204-0.781932))+0-323.2-0.659327999999986</f>
        <v>1402.1545719999999</v>
      </c>
      <c r="R186" s="3">
        <f>1600.4+(714-381.2)+(0.816204+(0.36414-0.194412))+0-321.7-0.164066999999967</f>
        <v>1612.3218650000001</v>
      </c>
      <c r="S186" s="3">
        <f>1597.4+(784.4-374.2)+(0.814674+(0.400044-0.190842))+0-320.6-0.163505999999967</f>
        <v>1687.8603700000003</v>
      </c>
      <c r="T186" s="3">
        <f>1596.3+(774.9-362.7)+(-3.256452+(-1.580796--0.739908))+0-320.5--0.653819999999986</f>
        <v>1684.55648</v>
      </c>
      <c r="U186" s="3">
        <f>1600+(644.9-339.9)+(-3.264+(-1.315596--0.693396))+0-320.8--0.654431999999986</f>
        <v>1580.9682320000002</v>
      </c>
      <c r="V186" s="3">
        <f>1604.4+(424.7-319.5)+(-5.727708+(-1.516179--1.140615))+0-320.2--1.143114</f>
        <v>1384.439842</v>
      </c>
      <c r="W186" s="3">
        <f>1610.4+(330.8-359.2)+(-0.821304+(-0.168708--0.183192))+0-320.8--0.163607999999967</f>
        <v>1260.5567880000001</v>
      </c>
      <c r="X186" s="3">
        <f>1617.3+(466.9-393.5)+(-1.649646+(-0.476238--0.40137))+0-321--0.327420000000051</f>
        <v>1368.3029059999999</v>
      </c>
      <c r="Y186" s="3">
        <f>1622+(659.8-415.6)+(-2.48166+(-1.009494--0.635868))+0-322.8--0.493884000000019</f>
        <v>1541.0385979999999</v>
      </c>
      <c r="Z186" s="3">
        <f>1627.2+(718.5-414.3)+(-3.319488+(-1.46574--0.845172))+0-322.7--0.658307999999986</f>
        <v>1605.4182520000002</v>
      </c>
      <c r="AA186" s="3">
        <f>1631+(755.8-398.6)+(-3.32724+(-1.541832--0.813144))+0-321.2--0.655247999999986</f>
        <v>1663.5993199999998</v>
      </c>
      <c r="AB186" s="3">
        <f>1632+(754.4-374.2)+(-1.66464+(-0.769488--0.381684))+0-320.8--0.327216000000051</f>
        <v>1689.6747720000003</v>
      </c>
      <c r="AC186" s="3">
        <f>1635.7+(764.4-330.5)+(-5.005242+(-2.339064--1.01133))+0-320.6--0.981036000000037</f>
        <v>1743.64806</v>
      </c>
      <c r="AD186" s="2">
        <v>1540.4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1638.9+(665-301.9)+(0+(0-0))+0-320-0</f>
        <v>1682</v>
      </c>
      <c r="G187" s="3">
        <f>1641.9+(638.8-268.7)+(-2.512107+(-0.977364--0.411111))+0-321--0.491130000000019</f>
        <v>1688.4127700000001</v>
      </c>
      <c r="H187" s="3">
        <f>1690.2+(553.9-259.6)+(-1.724004+(-0.564978--0.264792))+0-321.9--0.328338000000051</f>
        <v>1660.9041479999999</v>
      </c>
      <c r="I187" s="3">
        <f>1730+(442.1-251.8)+(-2.6469+(-0.676413--0.385254))+0-321.3--0.491589000000019</f>
        <v>1596.5535299999999</v>
      </c>
      <c r="J187" s="3">
        <f>1735.2+(382.8-238.7)+(0+(0-0))+0-320-0</f>
        <v>1559.3000000000002</v>
      </c>
      <c r="K187" s="3">
        <f>1740.1+(250.4-223.4)+(-1.774902+(-0.255408--0.227868))+0-320.6--0.327012000000051</f>
        <v>1445.0245699999998</v>
      </c>
      <c r="L187" s="3">
        <f>1678.3+(181.4-248.3)+(0+(0-0))+0-319.1-0</f>
        <v>1292.2999999999997</v>
      </c>
      <c r="M187" s="3">
        <f>1654.4+(259.5-317.5)+(-0.843744+(-0.132345--0.161925))+0-319.2--0.162791999999968</f>
        <v>1276.5486280000002</v>
      </c>
      <c r="N187" s="3">
        <f>1765.3+(279.6-404)+(-1.800606+(-0.285192--0.41208))+0-319.5--0.325890000000051</f>
        <v>1320.0521720000002</v>
      </c>
      <c r="O187" s="3">
        <f>1842.7+(283.7-481.7)+(1.879554+(0.289374-0.491334))+0-319.4-0.325788000000051</f>
        <v>1326.6518059999999</v>
      </c>
      <c r="P187" s="3">
        <f>1832.2+(380.8-487.5)+(-0.934422+(-0.194208--0.248625))+0-320.6--0.163505999999967</f>
        <v>1404.183501</v>
      </c>
      <c r="Q187" s="3">
        <f>1825.3+(469.5-412.8)+(-0.930903+(-0.239445--0.210528))+0-320.3--0.163352999999968</f>
        <v>1560.9035329999999</v>
      </c>
      <c r="R187" s="3">
        <f>1825.3+(645.3-417.6)+(-1.861806+(-0.658206--0.425952))+0-319.3--0.325686000000051</f>
        <v>1731.9316260000003</v>
      </c>
      <c r="S187" s="3">
        <f>1825.1+(715.9-423.6)+(-2.792403+(-1.095327--0.648108))+0-318.7--0.487611000000018</f>
        <v>1795.9479889999996</v>
      </c>
      <c r="T187" s="3">
        <f>1826.1+(708.7-392.2)+(-2.793933+(-1.084311--0.600066))+0-318--0.486540000000018</f>
        <v>1821.808362</v>
      </c>
      <c r="U187" s="3">
        <f>1830+(552.9-360.7)+(-2.7999+(-0.845937--0.551871))+0-319.2--0.488376000000018</f>
        <v>1700.3944100000001</v>
      </c>
      <c r="V187" s="3">
        <f>1837.2+(349.7-403.9)+(-4.68486+(-0.891735--1.029945))+0-319.5--0.814724999999954</f>
        <v>1459.768075</v>
      </c>
      <c r="W187" s="3">
        <f>1847.3+(283.5-535.6)+(-2.826369+(-0.433755--0.819468))+0-319.7--0.489141000000018</f>
        <v>1273.5484849999998</v>
      </c>
      <c r="X187" s="3">
        <f>1853.5+(427.9-477.8)+(0+(0-0))+0-322.5-0</f>
        <v>1481.1</v>
      </c>
      <c r="Y187" s="3">
        <f>1859.1+(499.9-449)+(-4.740705+(-1.274745--1.14495))+0-321.9--0.820844999999953</f>
        <v>1584.0503449999999</v>
      </c>
      <c r="Z187" s="3">
        <f>1861.4+(536.4-432.7)+(-3.797256+(-1.094256--0.882708))+0-322.2--0.657287999999986</f>
        <v>1639.5484839999999</v>
      </c>
      <c r="AA187" s="3">
        <f>1866+(539.2-408.7)+(-3.80664+(-1.099968--0.833748))+0-321.8--0.656471999999986</f>
        <v>1671.2836119999999</v>
      </c>
      <c r="AB187" s="3">
        <f>1867.1+(581.9-376.7)+(-3.808884+(-1.187076--0.768468))+0-321.6--0.656063999999986</f>
        <v>1747.1285719999998</v>
      </c>
      <c r="AC187" s="3">
        <f>1848.8+(561.8-336.8)+(-2.828664+(-0.859554--0.515304))+0-319.5--0.488835000000018</f>
        <v>1751.6159209999996</v>
      </c>
      <c r="AD187" s="2">
        <v>1498.4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1851.5+(559.2-299.7)+(-0.944265+(-0.285192--0.152847))+0-319.5--0.162944999999968</f>
        <v>1790.586335</v>
      </c>
      <c r="G188" s="3">
        <f>1854.9+(496.9-283.3)+(-3.783996+(-1.013676--0.577932))+0-321.4--0.655655999999986</f>
        <v>1743.5359159999998</v>
      </c>
      <c r="H188" s="3">
        <f>1857.1+(477.5-259.7)+(-2.841363+(-0.730575--0.397341))+0-321.7--0.492201000000019</f>
        <v>1750.5176039999999</v>
      </c>
      <c r="I188" s="3">
        <f>1858.6+(384.2-264.9)+(-2.843658+(-0.587826--0.405297))+0-321.5--0.491895000000019</f>
        <v>1653.865708</v>
      </c>
      <c r="J188" s="3">
        <f>1881+(305.9-266.7)+(1.91862+(0.312018-0.272034))+0-321.3-0.327726000000051</f>
        <v>1600.530878</v>
      </c>
      <c r="K188" s="3">
        <f>1878.3+(180.9-249.4)+(-2.873799+(-0.276777--0.381582))+0-320.7--0.490671000000019</f>
        <v>1486.8216769999999</v>
      </c>
      <c r="L188" s="3">
        <f>1738.7+(145.3-291)+(1.773474+(0.148206-0.29682))+0-319.9-0.326298000000051</f>
        <v>1274.3985619999999</v>
      </c>
      <c r="M188" s="3">
        <f>1738.6+(176.9-349.6)+(1.773372+(0.180438-0.356592))+0-319.8-0.326196000000051</f>
        <v>1247.371022</v>
      </c>
      <c r="N188" s="3">
        <f>1735.5+(192.6-353.8)+(0.885105+(0.098226-0.180438))+0-320.3-0.163352999999968</f>
        <v>1254.6395400000001</v>
      </c>
      <c r="O188" s="3">
        <f>1732+(211-391)+(-0.88332+(-0.10761--0.19941))+0-320--0.163199999999968</f>
        <v>1231.37168</v>
      </c>
      <c r="P188" s="3">
        <f>1759.6+(263.4-330.1)+(-2.692188+(-0.403002--0.505053))+0-320.2--0.489906000000018</f>
        <v>1370.5997689999999</v>
      </c>
      <c r="Q188" s="3">
        <f>1736.6+(417.2-360.5)+(-0.885666+(-0.212772--0.183855))+0-320.1--0.163250999999968</f>
        <v>1472.448668</v>
      </c>
      <c r="R188" s="3">
        <f>1734.6+(619.6-387.9)+(2.653938+(0.947988-0.593487))+0-318.6-0.487458000000018</f>
        <v>1650.2209809999999</v>
      </c>
      <c r="S188" s="3">
        <f>1737.5+(712-378.2)+(1.77225+(0.72624-0.385764))+0-319.6-0.325992000000051</f>
        <v>1753.4867340000001</v>
      </c>
      <c r="T188" s="3">
        <f>1856.4+(582.3-372.4)+(-1.893528+(-0.593946--0.379848))+0-318.2--0.324564000000051</f>
        <v>1746.3169380000002</v>
      </c>
      <c r="U188" s="3">
        <f>1863+(454.1-349)+(-4.75065+(-1.157955--0.88995))+0-317.8--0.810389999999954</f>
        <v>1646.0917349999997</v>
      </c>
      <c r="V188" s="3">
        <f>1864+(244.3-318.9)+(-4.7532+(-0.622965--0.813195))+0-318.1--0.811154999999954</f>
        <v>1467.5481850000001</v>
      </c>
      <c r="W188" s="3">
        <f>1870.9+(195.1-450.5)+(-1.908318+(-0.199002--0.45951))+0-321.6--0.328032000000051</f>
        <v>1292.5802220000003</v>
      </c>
      <c r="X188" s="3">
        <f>1874+(342.6-409)+(-0.95574+(-0.174726--0.20859))+0-320.8--0.163607999999967</f>
        <v>1486.0417319999999</v>
      </c>
      <c r="Y188" s="3">
        <f>1880.1+(462.4-431.2)+(-3.835404+(-0.943296--0.879648))+0-322.1--0.657083999999986</f>
        <v>1585.958032</v>
      </c>
      <c r="Z188" s="3">
        <f>1887.1+(549.5-420)+(-2.887263+(-0.840735--0.6426))+0-321.4--0.491742000000019</f>
        <v>1692.606344</v>
      </c>
      <c r="AA188" s="3">
        <f>1885.7+(577.4-406.5)+(-5.770242+(-1.766844--1.24389))+0-320.3--0.980118000000037</f>
        <v>1730.9869219999998</v>
      </c>
      <c r="AB188" s="3">
        <f>1882.4+(599.3-381.8)+(-2.880072+(-0.916929--0.584154))+0-320.5--0.490365000000019</f>
        <v>1776.6775180000004</v>
      </c>
      <c r="AC188" s="3">
        <f>1879+(606.9-357.3)+(0+(0-0))+0-321.2-0</f>
        <v>1807.3999999999999</v>
      </c>
      <c r="AD188" s="2">
        <v>1637.5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1878.7+(535.1-340.5)+(-0.958137+(-0.272901--0.173655))+0-319.9--0.163148999999968</f>
        <v>1752.5057660000002</v>
      </c>
      <c r="G189" s="3">
        <f>1882.5+(476.7-319.8)+(-3.8403+(-0.972468--0.652392))+0-319.9--0.652595999999986</f>
        <v>1715.9922200000001</v>
      </c>
      <c r="H189" s="3">
        <f>1886.2+(453-301.1)+(-0.961962+(-0.23103--0.153561))+0-321--0.163709999999967</f>
        <v>1716.224279</v>
      </c>
      <c r="I189" s="3">
        <f>1888.9+(383.3-287.9)+(-1.926678+(-0.390966--0.293658))+0-321.3--0.327726000000051</f>
        <v>1661.3037400000003</v>
      </c>
      <c r="J189" s="3">
        <f>1889.4+(328.9-276.5)+(2.890782+(0.503217-0.423045))+0-321-0.491130000000019</f>
        <v>1623.279824</v>
      </c>
      <c r="K189" s="3">
        <f>1785.7+(262.6-241.2)+(-2.732121+(-0.401778--0.369036))+0-321.3--0.491589000000019</f>
        <v>1483.5267260000001</v>
      </c>
      <c r="L189" s="3">
        <f>1750.2+(170.7-274.9)+(-0.892602+(-0.087057--0.140199))+0-320.9--0.163658999999967</f>
        <v>1324.4241990000003</v>
      </c>
      <c r="M189" s="3">
        <f>1755.4+(177.6-308.5)+(3.581016+(0.362304-0.62934))+0-320.8-0.654431999999986</f>
        <v>1306.3595479999999</v>
      </c>
      <c r="N189" s="3">
        <f>1751.7+(240.9-301.9)+(-0.893367+(-0.122859--0.153969))+0-319.9--0.163148999999968</f>
        <v>1370.1008919999999</v>
      </c>
      <c r="O189" s="3">
        <f>1827.5+(248.2-383.4)+(0.932025+(0.126582-0.195534))+0-319.9-0.163148999999968</f>
        <v>1373.0999240000001</v>
      </c>
      <c r="P189" s="3">
        <f>1872.4+(308.4-371.9)+(0+(0-0))+0-321.6-0</f>
        <v>1487.3000000000002</v>
      </c>
      <c r="Q189" s="3">
        <f>1855.9+(401.3-373.9)+(1.893018+(0.409326-0.381378))+0-322.8-0.329256000000052</f>
        <v>1562.0917100000001</v>
      </c>
      <c r="R189" s="3">
        <f>1845.5+(575.5-398.9)+(-2.823615+(-0.880515--0.610317))+0-323.3--0.494649000000019</f>
        <v>1696.200836</v>
      </c>
      <c r="S189" s="3">
        <f>1846.8+(667.1-393)+(-2.825604+(-1.020663--0.60129))+0-319.6--0.488988000000019</f>
        <v>1798.5440110000004</v>
      </c>
      <c r="T189" s="3">
        <f>1846.5+(650.5-369.3)+(-4.708575+(-1.658775--0.941715))+0-320.2--0.816509999999954</f>
        <v>1802.8908749999996</v>
      </c>
      <c r="U189" s="3">
        <f>1847.9+(464.8-344.7)+(-5.654574+(-1.422288--1.054782))+0-319.1--0.976446000000037</f>
        <v>1643.854366</v>
      </c>
      <c r="V189" s="3">
        <f>1852.1+(287.3-312.9)+(-6.611997+(-1.025661--1.117053))+0-316.9--1.131333</f>
        <v>1504.2107280000002</v>
      </c>
      <c r="W189" s="3">
        <f>1854.6+(229.9-515.8)+(-1.891692+(-0.234498--0.526116))+0-318.4--0.324768000000051</f>
        <v>1249.0246939999997</v>
      </c>
      <c r="X189" s="3">
        <f>1858.3+(360.7-472)+(-2.843199+(-0.551871--0.72216))+0-317--0.485010000000018</f>
        <v>1427.8121000000001</v>
      </c>
      <c r="Y189" s="3">
        <f>1858.4+(477.6-427)+(-3.791136+(-0.974304--0.87108))+0-320--0.652799999999986</f>
        <v>1585.7584400000001</v>
      </c>
      <c r="Z189" s="3">
        <f>1869.2+(534.2-407.5)+(-4.76646+(-1.36221--1.039125))+0-318.9--0.813194999999954</f>
        <v>1672.7236500000001</v>
      </c>
      <c r="AA189" s="3">
        <f>1875.1+(566.6-403.5)+(-5.737806+(-1.733796--1.23471))+0-319.9--0.978894000000037</f>
        <v>1713.0420019999999</v>
      </c>
      <c r="AB189" s="3">
        <f>1881.3+(578.5-384.8)+(-3.837852+(-1.18014--0.784992))+0-319.5--0.651779999999986</f>
        <v>1751.9187799999997</v>
      </c>
      <c r="AC189" s="3">
        <f>1882.8+(534.6-369.1)+(-4.80114+(-1.36323--0.941205))+0-318.5--0.812174999999954</f>
        <v>1725.3890100000001</v>
      </c>
      <c r="AD189" s="2">
        <v>1597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1884.4+(500.6-349.1)+(-0.961044+(-0.255306--0.178041))+0-319.6--0.162995999999968</f>
        <v>1715.4246870000002</v>
      </c>
      <c r="G190" s="3">
        <f>1888+(446.4-336.8)+(-1.92576+(-0.455328--0.343536))+0-320.9--0.327318000000051</f>
        <v>1674.9897660000001</v>
      </c>
      <c r="H190" s="3">
        <f>1891.6+(407.2-318.9)+(-0.964716+(-0.207672--0.162639))+0-321.3--0.163862999999967</f>
        <v>1657.7541139999998</v>
      </c>
      <c r="I190" s="3">
        <f>1895.8+(324.2-311.6)+(-4.83429+(-0.82671--0.79458))+0-321.8--0.820589999999953</f>
        <v>1582.5541699999999</v>
      </c>
      <c r="J190" s="3">
        <f>1899.1+(266-299.7)+(0.968541+(0.13566-0.152847))+0-319.6-0.162995999999968</f>
        <v>1546.588358</v>
      </c>
      <c r="K190" s="3">
        <f>1904.3+(145.9-327.8)+(-4.855965+(-0.372045--0.83589))+0-321--0.818549999999953</f>
        <v>1397.8264299999998</v>
      </c>
      <c r="L190" s="3">
        <f>1904.7+(137.4-398.1)+(-0.971397+(-0.070074--0.203031))+0-320.9--0.163658999999967</f>
        <v>1322.425219</v>
      </c>
      <c r="M190" s="3">
        <f>1897+(155.3-434.9)+(-0.96747+(-0.079203--0.221799))+0-318.9--0.162638999999968</f>
        <v>1297.837765</v>
      </c>
      <c r="N190" s="3">
        <f>1888.7+(183.3-435.8)+(0+(0-0))+0-320.1-0</f>
        <v>1316.1</v>
      </c>
      <c r="O190" s="3">
        <f>1875.9+(182.9-425)+(0+(0-0))+0-321.4-0</f>
        <v>1312.4</v>
      </c>
      <c r="P190" s="3">
        <f>1867.2+(246.6-449.3)+(-1.904544+(-0.251532--0.458286))+0-322.1--0.328542000000051</f>
        <v>1341.0307519999999</v>
      </c>
      <c r="Q190" s="3">
        <f>1856.4+(439.7-443.3)+(-0.946764+(-0.224247--0.226083))+0-320.3--0.163352999999968</f>
        <v>1531.7184250000003</v>
      </c>
      <c r="R190" s="3">
        <f>1846.8+(650.1-462.4)+(-1.883736+(-0.663102--0.471648))+0-318.3--0.324666000000051</f>
        <v>1714.449476</v>
      </c>
      <c r="S190" s="3">
        <f>1846.2+(670.2-378.4)+(-2.824686+(-1.025406--0.578952))+0-319.4--0.488682000000018</f>
        <v>1815.817542</v>
      </c>
      <c r="T190" s="3">
        <f>1847.3+(609.3-304.8)+(-0.942123+(-0.310743--0.155448))+0-319.5--0.162944999999968</f>
        <v>1831.3655269999999</v>
      </c>
      <c r="U190" s="3">
        <f>1853.5+(439.1-249)+(-4.726425+(-1.119705--0.63495))+0-317.4--0.809369999999954</f>
        <v>1721.79819</v>
      </c>
      <c r="V190" s="3">
        <f>1856.2+(267.7-299)+(-1.893324+(-0.273054--0.30498))+0-317.1--0.323442000000051</f>
        <v>1506.2620440000003</v>
      </c>
      <c r="W190" s="3">
        <f>1865.8+(236.8-428.2)+(-2.854674+(-0.362304--0.655146))+0-320.3--0.490059000000019</f>
        <v>1352.028227</v>
      </c>
      <c r="X190" s="3">
        <f>1873.5+(337.1-416.8)+(-0.955485+(-0.171921--0.212568))+0-319.7--0.163046999999968</f>
        <v>1473.348209</v>
      </c>
      <c r="Y190" s="3">
        <f>1881.7+(386.3-373.6)+(-5.758002+(-1.182078--1.143216))+0-319.8--0.978588000000037</f>
        <v>1569.7817240000002</v>
      </c>
      <c r="Z190" s="3">
        <f>1889.4+(429.2-365.4)+(-0.963594+(-0.218892--0.186354))+0-318.9--0.162638999999968</f>
        <v>1633.4665069999999</v>
      </c>
      <c r="AA190" s="3">
        <f>1889.7+(517.1-356.5)+(-0.963747+(-0.263721--0.181815))+0-319.5--0.162944999999968</f>
        <v>1729.9172920000001</v>
      </c>
      <c r="AB190" s="3">
        <f>1879.8+(546.4-339.7)+(-4.79349+(-1.39332--0.866235))+0-319.3--0.814214999999954</f>
        <v>1762.6936399999997</v>
      </c>
      <c r="AC190" s="3">
        <f>1882.9+(497.6-318.1)+(-2.880837+(-0.761328--0.486693))+0-319.9--0.489447000000018</f>
        <v>1739.833975</v>
      </c>
      <c r="AD190" s="2">
        <v>1561.6999999999998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1884.6+(395.6-319.8)+(-3.844584+(-0.807024--0.652392))+0-319--0.650759999999986</f>
        <v>1638.0515439999999</v>
      </c>
      <c r="G191" s="3">
        <f>1888.1+(435.8-376.4)+(-4.814655+(-1.11129--0.95982))+0-319.2--0.813959999999954</f>
        <v>1624.147835</v>
      </c>
      <c r="H191" s="3">
        <f>1889.7+(439.3-350.9)+(-4.818735+(-1.120215--0.894795))+0-321.1--0.818804999999953</f>
        <v>1652.7746499999998</v>
      </c>
      <c r="I191" s="3">
        <f>1887.5+(356.5-339.7)+(-0.962625+(-0.181815--0.173247))+0-321.8--0.164117999999967</f>
        <v>1581.6929249999998</v>
      </c>
      <c r="J191" s="3">
        <f>1902.4+(283.7-336.6)+(-1.940448+(-0.289374--0.343332))+0-318.6--0.324972000000051</f>
        <v>1529.3384819999999</v>
      </c>
      <c r="K191" s="3">
        <f>1901.3+(165.7-368.1)+(-4.848315+(-0.422535--0.938655))+0-318.3--0.811664999999954</f>
        <v>1377.0794699999999</v>
      </c>
      <c r="L191" s="3">
        <f>1765.6+(178.1-318.7)+(0+(0-0))+0-316.8-0</f>
        <v>1308.2</v>
      </c>
      <c r="M191" s="3">
        <f>1804.1+(194.4-431.1)+(-0.920091+(-0.099144--0.219861))+0-317.6--0.161975999999968</f>
        <v>1249.1626019999999</v>
      </c>
      <c r="N191" s="3">
        <f>1886.1+(243.3-483.3)+(-1.923822+(-0.248166--0.492966))+0-318.8--0.325176000000051</f>
        <v>1325.946154</v>
      </c>
      <c r="O191" s="3">
        <f>1877.1+(266.2-551.2)+(-0.957321+(-0.135762--0.281112))+0-319.9--0.163148999999968</f>
        <v>1271.5511779999997</v>
      </c>
      <c r="P191" s="3">
        <f>1866.6+(342.4-478.6)+(1.903932+(0.349248-0.488172))+0-319.8-0.326196000000051</f>
        <v>1412.038812</v>
      </c>
      <c r="Q191" s="3">
        <f>1856.2+(383.4-473.6)+(0+(0-0))+0-321-0</f>
        <v>1445</v>
      </c>
      <c r="R191" s="3">
        <f>1845.8+(475.4-414.6)+(0.941358+(0.242454-0.211446))+0-318.8-0.162587999999968</f>
        <v>1588.609778</v>
      </c>
      <c r="S191" s="3">
        <f>1846.6+(624.7-400.2)+(1.883532+(0.637194-0.408204))+0-319.6-0.325992000000051</f>
        <v>1753.2865299999999</v>
      </c>
      <c r="T191" s="3">
        <f>1852+(588.7-380.3)+(-1.88904+(-0.600474--0.387906))+0-320.9--0.327318000000051</f>
        <v>1737.7257100000002</v>
      </c>
      <c r="U191" s="3">
        <f>1853.7+(432-344.7)+(-6.617709+(-1.54224--1.230579))+0-320.6--1.144542</f>
        <v>1614.6151719999998</v>
      </c>
      <c r="V191" s="3">
        <f>1856.5+(290.2-398.1)+(-1.89363+(-0.296004--0.406062))+0-321.7--0.328134000000051</f>
        <v>1425.4445619999999</v>
      </c>
      <c r="W191" s="3">
        <f>1864.1+(263.9-538)+(0+(0-0))+0-321.9-0</f>
        <v>1268.0999999999999</v>
      </c>
      <c r="X191" s="3">
        <f>1873.9+(391.2-485.3)+(-0.955689+(-0.199512--0.247503))+0-319.7--0.163046999999968</f>
        <v>1459.3553490000002</v>
      </c>
      <c r="Y191" s="3">
        <f>1879.2+(433.7-446.5)+(-3.833568+(-0.884748--0.91086))+0-320.9--0.654635999999986</f>
        <v>1542.34718</v>
      </c>
      <c r="Z191" s="3">
        <f>1886+(419.6-438.7)+(-1.92372+(-0.427992--0.447474))+0-321--0.327420000000051</f>
        <v>1544.3231820000001</v>
      </c>
      <c r="AA191" s="3">
        <f>1895.7+(436-423.7)+(-0.966807+(-0.22236--0.216087))+0-319.9--0.163148999999968</f>
        <v>1587.2900690000001</v>
      </c>
      <c r="AB191" s="3">
        <f>1890.6+(468.3-396.8)+(-6.749442+(-1.671831--1.416576))+0-321.7--1.148469</f>
        <v>1634.5437719999998</v>
      </c>
      <c r="AC191" s="3">
        <f>1703.3+(626.1-344.2)+(0.868683+(0.319311-0.175542))+0-318.1-0.162230999999968</f>
        <v>1667.9502209999998</v>
      </c>
      <c r="AD191" s="2">
        <v>1550.5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1551.1+(712.3-303.2)+(-2.373183+(-1.089819--0.463896))+0-317.9--0.486387000000018</f>
        <v>1639.7872809999999</v>
      </c>
      <c r="G192" s="3">
        <f>1499.6+(737.2-276.4)+(-2.294388+(-1.127916--0.422892))+0-319.5--0.488835000000018</f>
        <v>1638.3894230000003</v>
      </c>
      <c r="H192" s="3">
        <f>1499.5+(717.8-256.8)+(-3.823725+(-1.83039--0.65484))+0-322.2--0.821609999999953</f>
        <v>1634.122335</v>
      </c>
      <c r="I192" s="3">
        <f>1503.5+(607.7-254)+(-1.53357+(-0.619854--0.25908))+0-322.7--0.329154000000051</f>
        <v>1532.93481</v>
      </c>
      <c r="J192" s="3">
        <f>1507.9+(594.1-236.5)+(0+(0-0))+0-322.8-0</f>
        <v>1542.7</v>
      </c>
      <c r="K192" s="3">
        <f>1510.5+(440.5-259.1)+(-2.311065+(-0.673965--0.396423))+0-321.8--0.492354000000019</f>
        <v>1368.0037470000002</v>
      </c>
      <c r="L192" s="3">
        <f>1512.6+(370.4-271.7)+(0.771426+(0.188904-0.138567))+0-322.9-0.164678999999967</f>
        <v>1289.057084</v>
      </c>
      <c r="M192" s="3">
        <f>1505.3+(392.1-288.1)+(-0.767703+(-0.199971--0.146931))+0-323.7--0.165086999999967</f>
        <v>1284.9443439999998</v>
      </c>
      <c r="N192" s="3">
        <f>1506+(422.9-321.5)+(-1.53612+(-0.431358--0.32793))+0-322.3--0.328746000000051</f>
        <v>1283.7891980000002</v>
      </c>
      <c r="O192" s="3">
        <f>1499.2+(426-332.3)+(-0.764592+(-0.21726--0.169473))+0-321.6--0.164015999999967</f>
        <v>1270.6516370000002</v>
      </c>
      <c r="P192" s="3">
        <f>1492.8+(468.6-343)+(1.522656+(0.477972-0.34986))+0-324.4-0.330888000000052</f>
        <v>1295.31988</v>
      </c>
      <c r="Q192" s="3">
        <f>1483.6+(626.5-379)+(2.269908+(0.958545-0.57987))+0-323.2-0.494496000000019</f>
        <v>1410.0540869999998</v>
      </c>
      <c r="R192" s="3">
        <f>1479.8+(801.7-397.4)+(-2.264094+(-1.226601--0.608022))+0-322--0.492660000000019</f>
        <v>1559.709987</v>
      </c>
      <c r="S192" s="3">
        <f>1474.3+(894.5-379.5)+(0+(0-0))+0-323.6-0</f>
        <v>1665.6999999999998</v>
      </c>
      <c r="T192" s="3">
        <f>1477+(897.8-340.9)+(-2.25981+(-1.373634--0.521577))+0-323.9--0.495567000000019</f>
        <v>1707.3836999999999</v>
      </c>
      <c r="U192" s="3">
        <f>1480.7+(775.4-286.6)+(-4.530942+(-2.372724--0.876996))+0-321.7--0.984402000000037</f>
        <v>1642.757732</v>
      </c>
      <c r="V192" s="3">
        <f>1482.4+(462.8-256.9)+(-4.536144+(-1.416168--0.786114))+0-323.8--0.990828000000037</f>
        <v>1360.3246300000003</v>
      </c>
      <c r="W192" s="3">
        <f>1488.2+(387.4-351.6)+(-3.035928+(-0.790296--0.717264))+0-324.1--0.661163999999986</f>
        <v>1197.4522040000002</v>
      </c>
      <c r="X192" s="3">
        <f>1496+(436.3-305.3)+(0+(0-0))+0-324.8-0</f>
        <v>1302.2</v>
      </c>
      <c r="Y192" s="3">
        <f>1502.5+(602.8-296.7)+(-6.896475+(-2.766852--1.361853))+0-322.9--1.48211100000006</f>
        <v>1478.880637</v>
      </c>
      <c r="Z192" s="3">
        <f>1508+(680.6-297.2)+(-3.8454+(-1.73553--0.75786))+0-322.7--0.822884999999953</f>
        <v>1564.6998150000002</v>
      </c>
      <c r="AA192" s="3">
        <f>1513.1+(672.4-286.7)+(-2.315043+(-1.028772--0.438651))+0-319.6--0.488988000000019</f>
        <v>1576.7838240000001</v>
      </c>
      <c r="AB192" s="3">
        <f>1515.1+(689.6-265.5)+(-2.318103+(-1.055088--0.406215))+0-322--0.492660000000019</f>
        <v>1614.725684</v>
      </c>
      <c r="AC192" s="3">
        <f>1514.8+(726.9-260.3)+(-2.317644+(-1.112157--0.398259))+0-321.8--0.492354000000019</f>
        <v>1657.0608119999999</v>
      </c>
      <c r="AD192" s="2">
        <v>1388.1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1514.7+(740-226.8)+(-3.089988+(-1.5096--0.462672))+0-321--0.654839999999986</f>
        <v>1703.4179240000001</v>
      </c>
      <c r="G193" s="3">
        <f>1512.5+(637.2-234.5)+(0.771375+(0.324972-0.119595))+0-322.6-0.164525999999967</f>
        <v>1593.4122259999999</v>
      </c>
      <c r="H193" s="3">
        <f>1513.5+(614.5-220.1)+(-0.771885+(-0.313395--0.112251))+0-325.2--0.165851999999967</f>
        <v>1581.8928229999999</v>
      </c>
      <c r="I193" s="3">
        <f>1516.7+(609-241.8)+(-2.320551+(-0.93177--0.369954))+0-322.2--0.492966000000019</f>
        <v>1559.3105990000001</v>
      </c>
      <c r="J193" s="3">
        <f>1518.4+(518.7-251.5)+(-0.774384+(-0.264537--0.128265))+0-319.9--0.163148999999968</f>
        <v>1464.9524930000002</v>
      </c>
      <c r="K193" s="3">
        <f>1521.3+(385.8-217.3)+(-3.879315+(-0.98379--0.554115))+0-321.3--0.819314999999953</f>
        <v>1365.010325</v>
      </c>
      <c r="L193" s="3">
        <f>1526.7+(277.4-209.1)+(0+(0-0))+0-320.8-0</f>
        <v>1274.2</v>
      </c>
      <c r="M193" s="3">
        <f>1524.3+(323.2-212.8)+(-4.664358+(-0.988992--0.651168))+0-322.7--0.987462000000037</f>
        <v>1307.9852799999999</v>
      </c>
      <c r="N193" s="3">
        <f>1521.2+(260.3-252.6)+(-0.775812+(-0.132753--0.128826))+0-324.6--0.165545999999967</f>
        <v>1203.6858070000001</v>
      </c>
      <c r="O193" s="3">
        <f>1511.2+(316.7-283.8)+(-2.312136+(-0.484551--0.434214))+0-323.2--0.494496000000019</f>
        <v>1219.032023</v>
      </c>
      <c r="P193" s="3">
        <f>1500.9+(410-320.9)+(-2.296377+(-0.6273--0.490977))+0-326.2--0.499086000000019</f>
        <v>1261.8663859999999</v>
      </c>
      <c r="Q193" s="3">
        <f>1492.4+(534.4-340.5)+(-1.522248+(-0.545088--0.34731))+0-327.5--0.334050000000052</f>
        <v>1357.4140240000004</v>
      </c>
      <c r="R193" s="3">
        <f>1486+(624.7-332.3)+(1.51572+(0.637194-0.338946))+0-323.6-0.330072000000052</f>
        <v>1456.2838960000001</v>
      </c>
      <c r="S193" s="3">
        <f>1483.7+(776.9-308.9)+(-2.270061+(-1.188657--0.472617))+0-326.6--0.499698000000019</f>
        <v>1622.613597</v>
      </c>
      <c r="T193" s="3">
        <f>1482.3+(725-249.6)+(-2.267919+(-1.10925--0.381888))+0-327.6--0.501228000000019</f>
        <v>1627.605947</v>
      </c>
      <c r="U193" s="3">
        <f>1478.7+(592.3-216.1)+(-3.770685+(-1.510365--0.551055))+0-326--0.831299999999953</f>
        <v>1525.0013050000002</v>
      </c>
      <c r="V193" s="3">
        <f>1483.1+(314.6-217.2)+(-3.781905+(-0.80223--0.55386))+0-325.6--0.830279999999953</f>
        <v>1251.7000049999999</v>
      </c>
      <c r="W193" s="3">
        <f>1483.5+(299-303)+(-1.51317+(-0.30498--0.30906))+0-325--0.331500000000052</f>
        <v>1153.32241</v>
      </c>
      <c r="X193" s="3">
        <f>1495.6+(387.1-284.2)+(-0.762756+(-0.197421--0.144942))+0-325.7--0.166106999999967</f>
        <v>1272.1508719999999</v>
      </c>
      <c r="Y193" s="3">
        <f>1499.5+(544.6-288.5)+(-1.52949+(-0.555492--0.29427))+0-326.2--0.332724000000052</f>
        <v>1427.942012</v>
      </c>
      <c r="Z193" s="3">
        <f>1509+(640.2-308.4)+(-3.84795+(-1.63251--0.78642))+0-327--0.833849999999953</f>
        <v>1509.9398100000001</v>
      </c>
      <c r="AA193" s="3">
        <f>1512.4+(702.8-296.3)+(-0.771324+(-0.358428--0.151113))+0-325.4--0.165953999999967</f>
        <v>1592.6873150000001</v>
      </c>
      <c r="AB193" s="3">
        <f>1510.2+(762.9-265.2)+(-3.85101+(-1.945395--0.67626))+0-324.8--0.828239999999953</f>
        <v>1678.8080950000001</v>
      </c>
      <c r="AC193" s="3">
        <f>1507.5+(741.8-233.5)+(-1.53765+(-0.756636--0.23817))+0-328.7--0.335274000000052</f>
        <v>1685.379158</v>
      </c>
      <c r="AD193" s="2">
        <v>1424.8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1506.7+(667.7-223.9)+(-3.842085+(-1.702635--0.570945))+0-327.4--0.834869999999952</f>
        <v>1618.9610949999999</v>
      </c>
      <c r="G194" s="3">
        <f>1503.8+(622.8-215.2)+(-2.300814+(-0.952884--0.329256))+0-325.9--0.498627000000019</f>
        <v>1583.0741849999999</v>
      </c>
      <c r="H194" s="3">
        <f>1504.6+(590.7-193.8)+(-3.83673+(-1.506285--0.49419))+0-326--0.831299999999953</f>
        <v>1571.482475</v>
      </c>
      <c r="I194" s="3">
        <f>1505+(584.1-205.3)+(-3.0702+(-1.191564--0.418812))+0-324.8--0.662591999999986</f>
        <v>1555.8196399999999</v>
      </c>
      <c r="J194" s="3">
        <f>1507+(483.5-222.2)+(-2.30571+(-0.739755--0.339966))+0-324.9--0.497097000000019</f>
        <v>1441.1915979999999</v>
      </c>
      <c r="K194" s="3">
        <f>1511.8+(355.2-199.1)+(-0.771018+(-0.181152--0.101541))+0-325.9--0.166208999999967</f>
        <v>1341.31558</v>
      </c>
      <c r="L194" s="3">
        <f>1513+(258.8-179.1)+(2.31489+(0.395964-0.274023))+0-324-0.495720000000019</f>
        <v>1270.6411109999999</v>
      </c>
      <c r="M194" s="3">
        <f>1501.9+(272-240.2)+(2.297907+(0.41616-0.367506))+0-319-0.488070000000018</f>
        <v>1216.558491</v>
      </c>
      <c r="N194" s="3">
        <f>1500.9+(307.9-234.8)+(0+(0-0))+0-319.4-0</f>
        <v>1254.5999999999999</v>
      </c>
      <c r="O194" s="3">
        <f>1493.4+(394-326.7)+(0+(0-0))+0-319-0</f>
        <v>1241.7</v>
      </c>
      <c r="P194" s="3">
        <f>1494.3+(504.2-297.2)+(0+(0-0))+0-323.6-0</f>
        <v>1377.6999999999998</v>
      </c>
      <c r="Q194" s="3">
        <f>1485.1+(607.4-316.3)+(-2.272203+(-0.929322--0.483939))+0-329.5--0.504135000000019</f>
        <v>1444.4865489999997</v>
      </c>
      <c r="R194" s="3">
        <f>1478.2+(715.9-309.7)+(-4.523292+(-2.190654--0.947682))+0-328.6--1.00551600000004</f>
        <v>1551.0392519999998</v>
      </c>
      <c r="S194" s="3">
        <f>1475.9+(853.9-303)+(-1.505418+(-0.870978--0.30906))+0-324.4--0.330888000000052</f>
        <v>1700.663552</v>
      </c>
      <c r="T194" s="3">
        <f>1472.3+(878.2-280.7)+(-0.750873+(-0.447882--0.143157))+0-327--0.166769999999967</f>
        <v>1741.9111720000003</v>
      </c>
      <c r="U194" s="3">
        <f>1504.5+(664.2-264.7)+(-1.53459+(-0.677484--0.269994))+0-326.2--0.332724000000052</f>
        <v>1576.190644</v>
      </c>
      <c r="V194" s="3">
        <f>1596.8+(326.7-269.7)+(-2.443104+(-0.499851--0.412641))+0-325.3--0.497709000000019</f>
        <v>1326.4673949999999</v>
      </c>
      <c r="W194" s="3">
        <f>1679.7+(300.4-378.9)+(3.426588+(0.612816-0.772956))+0-322.9-0.658715999999986</f>
        <v>1280.9077320000001</v>
      </c>
      <c r="X194" s="3">
        <f>1613.9+(433.8-378.2)+(1.646178+(0.442476-0.385764))+0-324.7-0.331194000000052</f>
        <v>1346.1716959999999</v>
      </c>
      <c r="Y194" s="3">
        <f>1746.2+(519.1-405.1)+(1.781124+(0.529482-0.413202))+0-326.4-0.332928000000052</f>
        <v>1535.364476</v>
      </c>
      <c r="Z194" s="3">
        <f>1766.1+(504.5-408.3)+(0+(0-0))+0-326.4-0</f>
        <v>1535.9</v>
      </c>
      <c r="AA194" s="3">
        <f>1772+(587.8-388.4)+(0.90372+(0.299778-0.198084))+0-322.5-0.164474999999967</f>
        <v>1649.740939</v>
      </c>
      <c r="AB194" s="3">
        <f>1778.2+(551.1-381.5)+(-4.53441+(-1.405305--0.972825))+0-322.4--0.822119999999953</f>
        <v>1621.2552300000004</v>
      </c>
      <c r="AC194" s="3">
        <f>1780.7+(604.9-334.1)+(-3.632628+(-1.233996--0.681564))+0-322.4--0.657695999999986</f>
        <v>1725.5726360000001</v>
      </c>
      <c r="AD194" s="2">
        <v>1535.7999999999997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1785.4+(552.4-300.4)+(-3.642216+(-1.126896--0.612816))+0-324.7--0.662387999999986</f>
        <v>1709.2060919999999</v>
      </c>
      <c r="G195" s="3">
        <f>1786.5+(500.7-289.3)+(-6.377805+(-1.787499--1.032801))+0-325.3--1.161321</f>
        <v>1666.6288180000001</v>
      </c>
      <c r="H195" s="3">
        <f>1785.7+(451.9-310.3)+(1.821414+(0.460938-0.316506))+0-323.9-0.330378000000052</f>
        <v>1605.035468</v>
      </c>
      <c r="I195" s="3">
        <f>1787.9+(407.6-296.7)+(-3.647316+(-0.831504--0.605268))+0-322.8--0.658511999999986</f>
        <v>1572.7849600000002</v>
      </c>
      <c r="J195" s="3">
        <f>1786.5+(343.5-287.4)+(1.82223+(0.35037-0.293148))+0-322.5-0.328950000000051</f>
        <v>1521.6505019999997</v>
      </c>
      <c r="K195" s="3">
        <f>1790.8+(230-265.3)+(-2.739924+(-0.3519--0.405909))+0-322.6--0.493578000000019</f>
        <v>1430.7076630000001</v>
      </c>
      <c r="L195" s="3">
        <f>1794.3+(110.8-291)+(0+(0-0))+0-318.8-0</f>
        <v>1295.3</v>
      </c>
      <c r="M195" s="3">
        <f>1786.2+(166.3-386.8)+(-2.732886+(-0.254439--0.591804))+0-317.6--0.485928000000018</f>
        <v>1246.1904070000001</v>
      </c>
      <c r="N195" s="3">
        <f>1769.2+(232.6-388.2)+(0.902292+(0.118626-0.197982))+0-318.7-0.162536999999968</f>
        <v>1295.5603990000002</v>
      </c>
      <c r="O195" s="3">
        <f>1756.2+(246.6-360.6)+(-1.791324+(-0.251532--0.367812))+0-322.5--0.328950000000051</f>
        <v>1318.3539060000001</v>
      </c>
      <c r="P195" s="3">
        <f>1744.9+(245.3-355.6)+(-0.889899+(-0.125103--0.181356))+0-322.2--0.164321999999967</f>
        <v>1311.7306759999999</v>
      </c>
      <c r="Q195" s="3">
        <f>1734.2+(307-339.6)+(2.653326+(0.46971-0.519588))+0-320.9-0.490977000000019</f>
        <v>1382.8124710000002</v>
      </c>
      <c r="R195" s="3">
        <f>1730.5+(466.6-357.5)+(-3.53022+(-0.951864--0.7293))+0-322.4--0.657695999999986</f>
        <v>1514.104912</v>
      </c>
      <c r="S195" s="3">
        <f>1723.3+(557.6-343.8)+(3.515532+(1.137504-0.701352))+0-321-0.654839999999986</f>
        <v>1619.3968440000001</v>
      </c>
      <c r="T195" s="3">
        <f>1723.4+(558.6-310.4)+(-0.878934+(-0.284886--0.158304))+0-321.6--0.164015999999967</f>
        <v>1649.1585000000002</v>
      </c>
      <c r="U195" s="3">
        <f>1723.3+(452.4-274.4)+(-4.394415+(-1.15362--0.69972))+0-323--0.823649999999953</f>
        <v>1574.275335</v>
      </c>
      <c r="V195" s="3">
        <f>1729.3+(268-287.7)+(-6.173601+(-0.95676--1.027089))+0-320--1.1424</f>
        <v>1384.6391279999998</v>
      </c>
      <c r="W195" s="3">
        <f>1741.1+(239.1-371.2)+(-2.663883+(-0.365823--0.567936))+0-319.5--0.488835000000018</f>
        <v>1287.5270650000002</v>
      </c>
      <c r="X195" s="3">
        <f>1750.5+(314.1-380.8)+(-3.57102+(-0.640764--0.776832))+0-320.1--0.653003999999986</f>
        <v>1360.9180519999998</v>
      </c>
      <c r="Y195" s="3">
        <f>1751.5+(427.4-393.8)+(-4.466325+(-1.08987--1.00419))+0-320.3--0.816764999999954</f>
        <v>1461.06476</v>
      </c>
      <c r="Z195" s="3">
        <f>1756.7+(448.5-396.9)+(-3.583668+(-0.91494--0.809676))+0-319.9--0.652595999999986</f>
        <v>1485.363664</v>
      </c>
      <c r="AA195" s="3">
        <f>1766.7+(539.9-372.7)+(-4.505085+(-1.376745--0.950385))+0-319.5--0.814724999999954</f>
        <v>1610.2832800000001</v>
      </c>
      <c r="AB195" s="3">
        <f>1771.6+(495.2-347)+(0.903516+(0.252552-0.17697))+0-319.3-0.162842999999968</f>
        <v>1601.316255</v>
      </c>
      <c r="AC195" s="3">
        <f>1691.7+(594-296.5)+(-4.313835+(-1.5147--0.756075))+0-319.7--0.815234999999954</f>
        <v>1665.2427749999999</v>
      </c>
      <c r="AD195" s="2">
        <v>1468.9999999999998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1557.1+(653-244.8)+(-0.794121+(-0.33303--0.124848))+0-321--0.163709999999967</f>
        <v>1643.461407</v>
      </c>
      <c r="G196" s="3">
        <f>1566.6+(596.3-229.1)+(-0.798966+(-0.304113--0.116841))+0-323.9--0.165188999999967</f>
        <v>1609.0789509999997</v>
      </c>
      <c r="H196" s="3">
        <f>1571.7+(489.6-218.3)+(2.404701+(0.749088-0.333999))+0-324.2-0.496026000000019</f>
        <v>1521.1237639999999</v>
      </c>
      <c r="I196" s="3">
        <f>1568.7+(521.5-230.5)+(2.400111+(0.797895-0.352665))+0-321.9-0.492507000000019</f>
        <v>1540.152834</v>
      </c>
      <c r="J196" s="3">
        <f>1565+(498.4-220.8)+(-3.1926+(-1.016736--0.450432))+0-322.3--0.657491999999986</f>
        <v>1517.198588</v>
      </c>
      <c r="K196" s="3">
        <f>1561.7+(355.4-195.6)+(-2.389401+(-0.543762--0.299268))+0-320.7--0.490671000000019</f>
        <v>1398.656776</v>
      </c>
      <c r="L196" s="3">
        <f>1562.6+(166.8-202.1)+(-2.390778+(-0.255204--0.309213))+0-318.8--0.487764000000018</f>
        <v>1206.650995</v>
      </c>
      <c r="M196" s="3">
        <f>1559.9+(140-241.2)+(3.977745+(0.357-0.61506))+0-320.5-0.817274999999953</f>
        <v>1141.1024100000002</v>
      </c>
      <c r="N196" s="3">
        <f>1547.9+(216.4-271.7)+(0+(0-0))+0-322.5-0</f>
        <v>1170.1000000000001</v>
      </c>
      <c r="O196" s="3">
        <f>1511.2+(302.9-282.1)+(2.312136+(0.463437-0.431613))+0-320.2-0.489906000000018</f>
        <v>1213.6540539999999</v>
      </c>
      <c r="P196" s="3">
        <f>1503.6+(374.3-271.1)+(0+(0-0))+0-323.4-0</f>
        <v>1283.4000000000001</v>
      </c>
      <c r="Q196" s="3">
        <f>1495.1+(467.4-276.6)+(1.525002+(0.476748-0.282132))+0-323.7-0.330174000000052</f>
        <v>1363.589444</v>
      </c>
      <c r="R196" s="3">
        <f>1491.7+(663.8-293.9)+(-0.760767+(-0.338538--0.149889))+0-323.2--0.164831999999967</f>
        <v>1537.6154159999999</v>
      </c>
      <c r="S196" s="3">
        <f>1485.4+(787.5-284.5)+(1.515108+(0.80325-0.29019))+0-319.9-0.326298000000051</f>
        <v>1670.2018700000003</v>
      </c>
      <c r="T196" s="3">
        <f>1553.2+(763.3-279.2)+(2.376396+(1.167849-0.427176))+0-322.3-0.493119000000019</f>
        <v>1717.6239499999999</v>
      </c>
      <c r="U196" s="3">
        <f>1483.3+(607.5-263.9)+(0+(0-0))+0-323.6-0</f>
        <v>1503.3000000000002</v>
      </c>
      <c r="V196" s="3">
        <f>1491+(408.7-235.8)+(-0.76041+(-0.208437--0.120258))+0-325.5--0.166004999999967</f>
        <v>1337.7174160000002</v>
      </c>
      <c r="W196" s="3">
        <f>1496+(298.9-288.3)+(2.28888+(0.457317-0.441099))+0-324.3-0.496179000000019</f>
        <v>1184.108919</v>
      </c>
      <c r="X196" s="3">
        <f>1501.8+(519.6-330.3)+(-1.531836+(-0.529992--0.336906))+0-326.7--0.333234000000052</f>
        <v>1363.0083119999997</v>
      </c>
      <c r="Y196" s="3">
        <f>1505.9+(630.1-343.9)+(-3.840045+(-1.606755--0.876945))+0-328.1--0.836654999999952</f>
        <v>1460.2668000000003</v>
      </c>
      <c r="Z196" s="3">
        <f>1514.4+(692.2-330.8)+(-3.089376+(-1.412088--0.674832))+0-326.8--0.666671999999986</f>
        <v>1545.8400400000003</v>
      </c>
      <c r="AA196" s="3">
        <f>1524.3+(658.1-327.9)+(-2.332179+(-1.006893--0.501687))+0-321.7--0.492201000000019</f>
        <v>1530.4548159999999</v>
      </c>
      <c r="AB196" s="3">
        <f>1527+(739.6-285.8)+(-3.89385+(-1.88598--0.72879))+0-320.6--0.817529999999954</f>
        <v>1655.96649</v>
      </c>
      <c r="AC196" s="3">
        <f>1532.4+(675.1-257.4)+(-3.90762+(-1.721505--0.65637))+0-319.7--0.815234999999954</f>
        <v>1626.2424800000001</v>
      </c>
      <c r="AD196" s="2">
        <v>1447.3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1531.4+(619.4-231.2)+(-0.781014+(-0.315894--0.117912))+0-319--0.162689999999968</f>
        <v>1599.783694</v>
      </c>
      <c r="G197" s="3">
        <f>1535.1+(552.6-214.7)+(0.782901+(0.281826-0.109497))+0-320.5-0.163454999999967</f>
        <v>1553.2917750000001</v>
      </c>
      <c r="H197" s="3">
        <f>1538.6+(572.4-226.8)+(1.569372+(0.583848-0.231336))+0-325.2-0.331704000000052</f>
        <v>1560.5901799999999</v>
      </c>
      <c r="I197" s="3">
        <f>1531.3+(472.7-226.8)+(-0.780963+(-0.241077--0.115668))+0-324.7--0.165596999999967</f>
        <v>1451.7592249999998</v>
      </c>
      <c r="J197" s="3">
        <f>1523.4+(419.3-206.9)+(0.776934+(0.213843-0.105519))+0-323-0.164729999999967</f>
        <v>1413.5205280000002</v>
      </c>
      <c r="K197" s="3">
        <f>1523.3+(228.2-200.3)+(-2.330649+(-0.349146--0.306459))+0-324.5--0.496485000000019</f>
        <v>1224.8231489999998</v>
      </c>
      <c r="L197" s="3">
        <f>1532+(81.9-211.3)+(1.56264+(0.083538-0.215526))+0-325.3-0.331806000000052</f>
        <v>1078.3988459999998</v>
      </c>
      <c r="M197" s="3">
        <f>1523.4+(112.2-229.6)+(1.553868+(0.114444-0.234192))+0-323.8-0.330276000000052</f>
        <v>1083.3038439999998</v>
      </c>
      <c r="N197" s="3">
        <f>1512+(197.7-231.7)+(-0.77112+(-0.100827--0.118167))+0-325.5--0.166004999999967</f>
        <v>1151.912225</v>
      </c>
      <c r="O197" s="3">
        <f>1501.6+(218.3-251.1)+(-0.765816+(-0.111333--0.128061))+0-322.5--0.164474999999967</f>
        <v>1145.715387</v>
      </c>
      <c r="P197" s="3">
        <f>1492.5+(295-276)+(0+(0-0))+0-323.5-0</f>
        <v>1188</v>
      </c>
      <c r="Q197" s="3">
        <f>1489.6+(401.6-321.7)+(-1.519392+(-0.409632--0.328134))+0-323.5--0.329970000000052</f>
        <v>1244.7290800000001</v>
      </c>
      <c r="R197" s="3">
        <f>1484.2+(594-330.5)+(0.756942+(0.30294-0.168555))+0-327.3-0.166922999999967</f>
        <v>1421.1244040000001</v>
      </c>
      <c r="S197" s="3">
        <f>1478+(628.7-286.2)+(0+(0-0))+0-323.5-0</f>
        <v>1497</v>
      </c>
      <c r="T197" s="3">
        <f>1473.6+(663.8-263.7)+(1.503072+(0.677076-0.268974))+0-322.7-0.329154000000051</f>
        <v>1552.5820199999998</v>
      </c>
      <c r="U197" s="3">
        <f>1474.2+(575.6-241.7)+(-3.75921+(-1.46778--0.616335))+0-324.3--0.826964999999953</f>
        <v>1480.0163100000002</v>
      </c>
      <c r="V197" s="3">
        <f>1479+(317-235.7)+(-2.26287+(-0.48501--0.360621))+0-324.4--0.496332000000019</f>
        <v>1234.0090729999999</v>
      </c>
      <c r="W197" s="3">
        <f>1488.8+(244.8-281.8)+(1.518576+(0.249696-0.287436))+0-327.4-0.333948000000052</f>
        <v>1125.5468879999999</v>
      </c>
      <c r="X197" s="3">
        <f>1497.1+(388.8-321.4)+(0+(0-0))+0-322.2-0</f>
        <v>1242.3</v>
      </c>
      <c r="Y197" s="3">
        <f>1505.3+(546.6-329.2)+(-3.070812+(-1.115064--0.671568))+0-320.7--0.654227999999986</f>
        <v>1399.1399199999998</v>
      </c>
      <c r="Z197" s="3">
        <f>1518.2+(575.4-326.4)+(-1.548564+(-0.586908--0.332928))+0-324.1--0.330582000000052</f>
        <v>1441.6280380000003</v>
      </c>
      <c r="AA197" s="3">
        <f>1521.6+(625.8-305.4)+(-0.776016+(-0.319158--0.155754))+0-326.3--0.166412999999967</f>
        <v>1514.926993</v>
      </c>
      <c r="AB197" s="3">
        <f>1525.9+(619.9-281.7)+(-3.891045+(-1.580745--0.718335))+0-323.7--0.825434999999953</f>
        <v>1536.47198</v>
      </c>
      <c r="AC197" s="3">
        <f>1531.1+(590-251.4)+(-3.904305+(-1.5045--0.64107))+0-321.2--0.819059999999953</f>
        <v>1544.5513249999999</v>
      </c>
      <c r="AD197" s="2">
        <v>1277.8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1527.3+(555.9-208.8)+(-2.336769+(-0.850527--0.319464))+0-322.2--0.492966000000019</f>
        <v>1549.8251339999999</v>
      </c>
      <c r="G198" s="3">
        <f>1523.2+(549.2-178.6)+(-3.88416+(-1.40046--0.45543))+0-323.3--0.824414999999953</f>
        <v>1566.4952250000003</v>
      </c>
      <c r="H198" s="3">
        <f>1525.1+(460.6-173.7)+(-2.333403+(-0.704718--0.265761))+0-323.1--0.494343000000019</f>
        <v>1486.6219830000002</v>
      </c>
      <c r="I198" s="3">
        <f>1531.1+(411.8-158.5)+(0+(0-0))+0-320.5-0</f>
        <v>1463.8999999999999</v>
      </c>
      <c r="J198" s="3">
        <f>1526.4+(333.2-178.6)+(-0.778464+(-0.169932--0.091086))+0-319.7--0.163046999999968</f>
        <v>1360.6057369999999</v>
      </c>
      <c r="K198" s="3">
        <f>1526.8+(215.4-180.6)+(-2.336004+(-0.329562--0.276318))+0-322.5--0.493425000000019</f>
        <v>1237.2041770000001</v>
      </c>
      <c r="L198" s="3">
        <f>1535.7+(93.8-254.9)+(0.783207+(0.047838-0.129999))+0-323.2-0.164831999999967</f>
        <v>1051.9362139999998</v>
      </c>
      <c r="M198" s="3">
        <f>1530+(96-266.7)+(0.7803+(0.04896-0.136017))+0-321.8-0.164117999999967</f>
        <v>1038.029125</v>
      </c>
      <c r="N198" s="3">
        <f>1516.1+(127.4-229.9)+(0.773211+(0.064974-0.117249))+0-323.7-0.165086999999967</f>
        <v>1090.4558489999999</v>
      </c>
      <c r="O198" s="3">
        <f>1503.5+(190.2-237.4)+(0.766785+(0.097002-0.121074))+0-321.9-0.164168999999967</f>
        <v>1134.9785440000003</v>
      </c>
      <c r="P198" s="3">
        <f>1493.3+(274.4-242.3)+(0+(0-0))+0-320.6-0</f>
        <v>1204.7999999999997</v>
      </c>
      <c r="Q198" s="3">
        <f>1489.3+(404-241.3)+(0+(0-0))+0-323.1-0</f>
        <v>1328.9</v>
      </c>
      <c r="R198" s="3">
        <f>1483.3+(481.4-259.5)+(0+(0-0))+0-322.6-0</f>
        <v>1382.6</v>
      </c>
      <c r="S198" s="3">
        <f>1482.4+(604.5-221.4)+(-1.512048+(-0.61659--0.225828))+0-320.2--0.326604000000051</f>
        <v>1543.723794</v>
      </c>
      <c r="T198" s="3">
        <f>1479.8+(606.5-213.8)+(-0.754698+(-0.309315--0.109038))+0-323.5--0.164984999999967</f>
        <v>1548.2100099999998</v>
      </c>
      <c r="U198" s="3">
        <f>1478.7+(483.3-205.3)+(-5.278959+(-1.725381--0.732921))+0-323.5--1.154895</f>
        <v>1428.083476</v>
      </c>
      <c r="V198" s="3">
        <f>1478.9+(305-198.1)+(0.754239+(0.15555-0.101031))+0-324.3-0.165392999999967</f>
        <v>1262.1433650000001</v>
      </c>
      <c r="W198" s="3">
        <f>1479.3+(261.4-250.6)+(-1.508886+(-0.266628--0.255612))+0-324.9--0.331398000000052</f>
        <v>1164.0114959999999</v>
      </c>
      <c r="X198" s="3">
        <f>1505.4+(332.3-259.7)+(-3.071016+(-0.677892--0.529788))+0-322.9--0.658715999999986</f>
        <v>1252.5395960000001</v>
      </c>
      <c r="Y198" s="3">
        <f>1510.7+(427.7-265.8)+(-3.081828+(-0.872508--0.542232))+0-320.3--0.653411999999986</f>
        <v>1349.5413079999998</v>
      </c>
      <c r="Z198" s="3">
        <f>1519.8+(465.1-247.9)+(-1.550196+(-0.474402--0.252858))+0-320.8--0.327216000000051</f>
        <v>1414.7554760000003</v>
      </c>
      <c r="AA198" s="3">
        <f>1525.2+(466.8-225.4)+(-3.88926+(-1.19034--0.57477))+0-321.6--0.820079999999953</f>
        <v>1441.3152500000001</v>
      </c>
      <c r="AB198" s="3">
        <f>1528.3+(483.3-202.4)+(-3.117732+(-0.985932--0.412896))+0-322.3--0.657491999999986</f>
        <v>1483.866724</v>
      </c>
      <c r="AC198" s="3">
        <f>1530.6+(479.1-166.6)+(-0.780606+(-0.244341--0.084966))+0-319.3--0.162842999999968</f>
        <v>1523.022862</v>
      </c>
      <c r="AD198" s="2">
        <v>1305.7000000000003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1533.1+(482.7-128)+(-0.781881+(-0.246177--0.06528))+0-322.5--0.164474999999967</f>
        <v>1564.5016969999999</v>
      </c>
      <c r="G199" s="3">
        <f>1535.4+(376-129.7)+(-3.91527+(-0.9588--0.330735))+0-326.2--0.831809999999953</f>
        <v>1451.7884749999998</v>
      </c>
      <c r="H199" s="3">
        <f>1542.5+(344.8-130.9)+(0+(0-0))+0-322.6-0</f>
        <v>1433.8000000000002</v>
      </c>
      <c r="I199" s="3">
        <f>1540.4+(325-131.6)+(-0.785604+(-0.16575--0.067116))+0-320.2--0.163301999999968</f>
        <v>1412.879064</v>
      </c>
      <c r="J199" s="3">
        <f>1536.5+(238.8-128)+(1.56723+(0.243576-0.13056))+0-321.9-0.328338000000051</f>
        <v>1326.751908</v>
      </c>
      <c r="K199" s="3">
        <f>1537+(130.1-135)+(-1.56774+(-0.132702--0.1377))+0-322.6--0.329052000000051</f>
        <v>1208.26631</v>
      </c>
      <c r="L199" s="3">
        <f>1542.3+(56.1-198)+(0.786573+(0.028611-0.10098))+0-322-0.164219999999967</f>
        <v>1078.9499840000001</v>
      </c>
      <c r="M199" s="3">
        <f>1533.4+(65.3-254.7)+(0+(0-0))+0-318.1-0</f>
        <v>1025.9000000000001</v>
      </c>
      <c r="N199" s="3">
        <f>1511.4+(121.8-226.1)+(0.770814+(0.062118-0.115311))+0-320-0.163199999999968</f>
        <v>1087.6544210000002</v>
      </c>
      <c r="O199" s="3">
        <f>1505+(156.2-219)+(0.76755+(0.079662-0.11169))+0-322.6-0.164525999999967</f>
        <v>1120.1709959999998</v>
      </c>
      <c r="P199" s="3">
        <f>1498.8+(215.3-233.6)+(-2.293164+(-0.329409--0.357408))+0-324--0.495720000000019</f>
        <v>1154.7305550000001</v>
      </c>
      <c r="Q199" s="3">
        <f>1494+(282-235.5)+(0+(0-0))+0-322.1-0</f>
        <v>1218.4000000000001</v>
      </c>
      <c r="R199" s="3">
        <f>1491.3+(384.4-204.8)+(-2.281689+(-0.588132--0.313344))+0-324.6--0.496638000000019</f>
        <v>1344.2401609999997</v>
      </c>
      <c r="S199" s="3">
        <f>1487.1+(433.5-203)+(-1.516842+(-0.44217--0.20706))+0-321.6--0.328032000000051</f>
        <v>1394.57608</v>
      </c>
      <c r="T199" s="3">
        <f>1489.1+(473.9-195.7)+(0+(0-0))+0-320.8-0</f>
        <v>1446.5</v>
      </c>
      <c r="U199" s="3">
        <f>1489.3+(339.1-196.3)+(-1.519086+(-0.345882--0.200226))+0-323.4--0.329868000000052</f>
        <v>1307.3651259999999</v>
      </c>
      <c r="V199" s="3">
        <f>1491.8+(243.9-200.2)+(-2.282454+(-0.373167--0.306306))+0-322--0.492660000000019</f>
        <v>1211.6433450000002</v>
      </c>
      <c r="W199" s="3">
        <f>1500.3+(224-287.9)+(1.530306+(0.22848-0.293658))+0-322-0.328440000000051</f>
        <v>1115.5366880000001</v>
      </c>
      <c r="X199" s="3">
        <f>1509.1+(246.3-262.4)+(-3.848205+(-0.628065--0.66912))+0-321.1--0.818804999999953</f>
        <v>1168.9116549999999</v>
      </c>
      <c r="Y199" s="3">
        <f>1517.4+(362.8-274.3)+(-2.321622+(-0.555084--0.419679))+0-322.1--0.492813000000019</f>
        <v>1281.8357860000003</v>
      </c>
      <c r="Z199" s="3">
        <f>1521.6+(430-298.7)+(-3.88008+(-1.0965--0.761685))+0-324.5--0.827474999999953</f>
        <v>1325.0125799999998</v>
      </c>
      <c r="AA199" s="3">
        <f>1529.5+(466.3-278.7)+(-2.340135+(-0.713439--0.426411))+0-325.2--0.497556000000019</f>
        <v>1389.7703929999998</v>
      </c>
      <c r="AB199" s="3">
        <f>1535.5+(429-260.7)+(-1.56621+(-0.43758--0.265914))+0-320.2--0.326604000000051</f>
        <v>1382.1887280000001</v>
      </c>
      <c r="AC199" s="3">
        <f>1536.1+(463.7-242.8)+(-0.783411+(-0.236487--0.123828))+0-323.8--0.165137999999967</f>
        <v>1432.4690680000001</v>
      </c>
      <c r="AD199" s="2">
        <v>1168.3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1538.3+(449.3-252.8)+(-2.353599+(-0.687429--0.386784))+0-321--0.491130000000019</f>
        <v>1411.636886</v>
      </c>
      <c r="G200" s="3">
        <f>1542.6+(444.5-266.8)+(-2.360178+(-0.680085--0.408204))+0-326.3--0.499239000000019</f>
        <v>1391.86718</v>
      </c>
      <c r="H200" s="3">
        <f>1542.9+(439.4-240.9)+(-1.573758+(-0.448188--0.245718))+0-323.5--0.329970000000052</f>
        <v>1416.4537420000001</v>
      </c>
      <c r="I200" s="3">
        <f>1543.8+(342.1-238.6)+(-2.362014+(-0.523413--0.365058))+0-323.7--0.495261000000019</f>
        <v>1321.5748919999999</v>
      </c>
      <c r="J200" s="3">
        <f>1541.6+(313.9-223)+(2.358648+(0.480267-0.34119))+0-321.5-0.491895000000019</f>
        <v>1313.0058299999998</v>
      </c>
      <c r="K200" s="3">
        <f>1545.8+(168.1-217.3)+(-3.94179+(-0.428655--0.554115))+0-321.9--0.820844999999953</f>
        <v>1171.7045149999997</v>
      </c>
      <c r="L200" s="3">
        <f>1539.3+(94.3-222.6)+(0+(0-0))+0-319.9-0</f>
        <v>1091.0999999999999</v>
      </c>
      <c r="M200" s="3">
        <f>1532.9+(92-246.7)+(0+(0-0))+0-319.9-0</f>
        <v>1058.3000000000002</v>
      </c>
      <c r="N200" s="3">
        <f>1517.3+(117.6-267.8)+(-3.095292+(-0.239904--0.546312))+0-322.6--0.658103999999986</f>
        <v>1042.36922</v>
      </c>
      <c r="O200" s="3">
        <f>1503.3+(196.9-267.1)+(-1.533366+(-0.200838--0.272442))+0-319.7--0.326094000000051</f>
        <v>1112.264332</v>
      </c>
      <c r="P200" s="3">
        <f>1497.4+(225.6-319.7)+(-2.291022+(-0.345168--0.489141))+0-319.8--0.489294000000018</f>
        <v>1081.8422450000003</v>
      </c>
      <c r="Q200" s="3">
        <f>1493.1+(316.5-323)+(-3.045924+(-0.64566--0.65892))+0-320.5--0.653819999999986</f>
        <v>1163.7211559999998</v>
      </c>
      <c r="R200" s="3">
        <f>1487.1+(383-291.1)+(0+(0-0))+0-322.6-0</f>
        <v>1256.4000000000001</v>
      </c>
      <c r="S200" s="3">
        <f>1485.2+(476.7-250.4)+(-3.78726+(-1.215585--0.63852))+0-323.2--0.824159999999953</f>
        <v>1384.7598349999998</v>
      </c>
      <c r="T200" s="3">
        <f>1488.3+(431.9-246.3)+(-2.277099+(-0.660807--0.376839))+0-324.2--0.496026000000019</f>
        <v>1347.6349589999998</v>
      </c>
      <c r="U200" s="3">
        <f>1488.1+(360.7-226.8)+(-2.276793+(-0.551871--0.347004))+0-322.7--0.493731000000019</f>
        <v>1297.3120710000001</v>
      </c>
      <c r="V200" s="3">
        <f>1490.1+(228.9-292.2)+(-1.519902+(-0.233478--0.298044))+0-324--0.330480000000052</f>
        <v>1101.675144</v>
      </c>
      <c r="W200" s="3">
        <f>1496.4+(267-345.9)+(0.763164+(0.13617-0.176409))+0-325.3-0.165902999999967</f>
        <v>1092.757022</v>
      </c>
      <c r="X200" s="3">
        <f>1505.5+(346.9-389.6)+(0+(0-0))+0-321.2-0</f>
        <v>1141.5999999999999</v>
      </c>
      <c r="Y200" s="3">
        <f>1507.7+(466.8-373.9)+(-2.306781+(-0.714204--0.572067))+0-322.7--0.493731000000019</f>
        <v>1275.9448130000001</v>
      </c>
      <c r="Z200" s="3">
        <f>1514.3+(506.7-365.3)+(-0.772293+(-0.258417--0.186303))+0-324.5--0.165494999999967</f>
        <v>1330.5210879999997</v>
      </c>
      <c r="AA200" s="3">
        <f>1530.8+(565.5-342.7)+(-2.342124+(-0.865215--0.524331))+0-325.3--0.497709000000019</f>
        <v>1426.114701</v>
      </c>
      <c r="AB200" s="3">
        <f>1528.1+(553.6-325.7)+(-5.455317+(-1.976352--1.162749))+0-321.6--1.148112</f>
        <v>1429.2791920000002</v>
      </c>
      <c r="AC200" s="3">
        <f>1524.7+(513.8-289.1)+(-0.777597+(-0.262038--0.147441))+0-319.2--0.162791999999968</f>
        <v>1429.4705980000001</v>
      </c>
      <c r="AD200" s="2">
        <v>1293.2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1529.1+(522.2-243)+(-3.119364+(-1.065288--0.49572))+0-320.9--0.654635999999986</f>
        <v>1484.3657040000001</v>
      </c>
      <c r="G201" s="3">
        <f>1539.7+(460.6-227.4)+(-0.785247+(-0.234906--0.115974))+0-323.2--0.164831999999967</f>
        <v>1448.9606529999999</v>
      </c>
      <c r="H201" s="3">
        <f>1536.7+(418.7-216.6)+(-3.918585+(-1.067685--0.55233))+0-323.6--0.825179999999953</f>
        <v>1411.59124</v>
      </c>
      <c r="I201" s="3">
        <f>1533.8+(328.2-222.3)+(-3.91119+(-0.83691--0.566865))+0-324.3--0.826964999999953</f>
        <v>1312.0457299999998</v>
      </c>
      <c r="J201" s="3">
        <f>1535.3+(302.8-217.2)+(1.566006+(0.308856-0.221544))+0-324.5-0.330990000000052</f>
        <v>1297.7223279999998</v>
      </c>
      <c r="K201" s="3">
        <f>1539.4+(135.1-248.9)+(0.785094+(0.068901-0.126939))+0-321.8-0.164117999999967</f>
        <v>1104.3629380000002</v>
      </c>
      <c r="L201" s="3">
        <f>1544.1+(118.6-280.1)+(1.574982+(0.120972-0.285702))+0-323.7-0.330174000000052</f>
        <v>1059.9800779999998</v>
      </c>
      <c r="M201" s="3">
        <f>1505.2+(163.5-321.7)+(0.767652+(0.083385-0.164067))+0-321.2-0.163811999999967</f>
        <v>1026.3231579999999</v>
      </c>
      <c r="N201" s="3">
        <f>1454.6+(216.3-297.9)+(0+(0-0))+0-320.8-0</f>
        <v>1052.2</v>
      </c>
      <c r="O201" s="3">
        <f>1256.9+(397.4-245.1)+(0+(0-0))+0-320-0</f>
        <v>1089.2</v>
      </c>
      <c r="P201" s="3">
        <f>1233.7+(353.7-196.6)+(-0.629187+(-0.180387--0.100266))+0-322.9--0.164678999999967</f>
        <v>1067.3553710000001</v>
      </c>
      <c r="Q201" s="3">
        <f>1078.6+(532.9-167.5)+(1.650258+(0.815337-0.256275))+0-327-0.500310000000019</f>
        <v>1118.7090099999998</v>
      </c>
      <c r="R201" s="3">
        <f>1105.4+(593.1-209.4)+(0+(0-0))+0-326.7-0</f>
        <v>1162.4000000000001</v>
      </c>
      <c r="S201" s="3">
        <f>1222.2+(583.1-223.4)+(0.623322+(0.297381-0.113934))+0-321.8-0.164117999999967</f>
        <v>1260.7426510000003</v>
      </c>
      <c r="T201" s="3">
        <f>1224.2+(631.2-213.3)+(0+(0-0))+0-323.7-0</f>
        <v>1318.4</v>
      </c>
      <c r="U201" s="3">
        <f>1226.4+(548-201.2)+(-4.378248+(-1.95636--0.718284))+0-319.4--1.140258</f>
        <v>1249.323934</v>
      </c>
      <c r="V201" s="3">
        <f>1225.4+(471.1-171.3)+(-2.499816+(-0.961044--0.349452))+0-320.3--0.653411999999986</f>
        <v>1202.442004</v>
      </c>
      <c r="W201" s="3">
        <f>1231+(366.1-213.5)+(0.62781+(0.186711-0.108885))+0-324.1-0.165290999999967</f>
        <v>1060.0403449999997</v>
      </c>
      <c r="X201" s="3">
        <f>1242.7+(534.2-252.6)+(0+(0-0))+0-322.9-0</f>
        <v>1201.4000000000001</v>
      </c>
      <c r="Y201" s="3">
        <f>1250.6+(517.4-270.6)+(0+(0-0))+0-321.4-0</f>
        <v>1176</v>
      </c>
      <c r="Z201" s="3">
        <f>1255.4+(615.6-242.2)+(-2.561016+(-1.255824--0.494088))+0-322.3--0.657491999999986</f>
        <v>1303.8347400000002</v>
      </c>
      <c r="AA201" s="3">
        <f>1260.4+(635.4-238.4)+(-1.285608+(-0.648108--0.243168))+0-321--0.327420000000051</f>
        <v>1335.0368720000001</v>
      </c>
      <c r="AB201" s="3">
        <f>1264.2+(611.5-204.9)+(-1.934226+(-0.935595--0.313497))+0-323.9--0.495567000000019</f>
        <v>1344.8392430000004</v>
      </c>
      <c r="AC201" s="3">
        <f>1265.1+(627.3-189.9)+(-2.580804+(-1.279692--0.387396))+0-323.7--0.660347999999986</f>
        <v>1375.9872479999999</v>
      </c>
      <c r="AD201" s="2">
        <v>1256.1999999999998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1261.6+(650.2-145.5)+(-2.573664+(-1.326408--0.29682))+0-324.1--0.661163999999986</f>
        <v>1439.257912</v>
      </c>
      <c r="G202" s="3">
        <f>1269+(586.3-137.4)+(-3.23595+(-1.495065--0.35037))+0-323--0.823649999999953</f>
        <v>1391.3430050000002</v>
      </c>
      <c r="H202" s="3">
        <f>1272.5+(523.2-195.1)+(-1.946925+(-0.800496--0.298503))+0-322.3--0.493119000000019</f>
        <v>1276.3442009999999</v>
      </c>
      <c r="I202" s="3">
        <f>1269.2+(518.6-205.5)+(-0.647292+(-0.264486--0.104805))+0-323.5--0.164984999999967</f>
        <v>1258.1580120000001</v>
      </c>
      <c r="J202" s="3">
        <f>1272.7+(426.8-183.8)+(1.947231+(0.653004-0.281214))+0-324.7-0.496791000000019</f>
        <v>1192.82223</v>
      </c>
      <c r="K202" s="3">
        <f>1274.8+(285.8-207.7)+(-1.950444+(-0.437274--0.317781))+0-322.9--0.494037000000019</f>
        <v>1028.4241000000002</v>
      </c>
      <c r="L202" s="3">
        <f>1272.3+(193.1-251.9)+(0+(0-0))+0-321.8-0</f>
        <v>891.7</v>
      </c>
      <c r="M202" s="3">
        <f>1258.9+(185.5-217.1)+(-1.284078+(-0.18921--0.221442))+0-320.7--0.327114000000051</f>
        <v>905.6752680000003</v>
      </c>
      <c r="N202" s="3">
        <f>1245.9+(256.2-197.4)+(1.906227+(0.391986-0.302022))+0-324-0.495720000000019</f>
        <v>982.20047099999999</v>
      </c>
      <c r="O202" s="3">
        <f>1235.6+(338.6-196.8)+(0.630156+(0.172686-0.100368))+0-323.4-0.164933999999967</f>
        <v>1054.5375399999998</v>
      </c>
      <c r="P202" s="3">
        <f>1229.5+(310.8-187.7)+(0+(0-0))+0-321.9-0</f>
        <v>1030.6999999999998</v>
      </c>
      <c r="Q202" s="3">
        <f>1219.9+(369.6-189)+(-1.244298+(-0.376992--0.19278))+0-321--0.327420000000051</f>
        <v>1078.3989100000001</v>
      </c>
      <c r="R202" s="3">
        <f>1220.5+(467.1-175.3)+(0+(0-0))+0-321.6-0</f>
        <v>1190.6999999999998</v>
      </c>
      <c r="S202" s="3">
        <f>1218.1+(612.7-164.1)+(0.621231+(0.312477-0.083691))+0-324.4-0.165443999999967</f>
        <v>1342.984573</v>
      </c>
      <c r="T202" s="3">
        <f>1222.1+(671.2-153.1)+(-1.246542+(-0.684624--0.156162))+0-325--0.331500000000052</f>
        <v>1413.7564959999997</v>
      </c>
      <c r="U202" s="3">
        <f>1225.2+(558-158.9)+(-3.12426+(-1.4229--0.405195))+0-321--0.818549999999953</f>
        <v>1299.9765850000001</v>
      </c>
      <c r="V202" s="3">
        <f>1230.4+(349.9-172.2)+(-1.255008+(-0.356898--0.175644))+0-319--0.325380000000051</f>
        <v>1087.9891180000002</v>
      </c>
      <c r="W202" s="3">
        <f>1236.2+(324.8-236)+(0.630462+(0.165648-0.12036))+0-324-0.165239999999967</f>
        <v>1001.5105100000002</v>
      </c>
      <c r="X202" s="3">
        <f>1243.1+(422.5-243.2)+(-1.267962+(-0.43095--0.248064))+0-322--0.328440000000051</f>
        <v>1099.2775919999999</v>
      </c>
      <c r="Y202" s="3">
        <f>1245.3+(532.8-228.4)+(0+(0-0))+0-320-0</f>
        <v>1229.6999999999998</v>
      </c>
      <c r="Z202" s="3">
        <f>1254.4+(541.8-231.2)+(-0.639744+(-0.276318--0.117912))+0-323--0.164729999999967</f>
        <v>1241.3665799999999</v>
      </c>
      <c r="AA202" s="3">
        <f>1266.9+(635.9-250.1)+(-0.646119+(-0.324309--0.127551))+0-325--0.165749999999967</f>
        <v>1327.0228729999999</v>
      </c>
      <c r="AB202" s="3">
        <f>1266.8+(638.5-231)+(-2.584272+(-1.30254--0.47124))+0-320--0.652799999999986</f>
        <v>1351.5372279999999</v>
      </c>
      <c r="AC202" s="3">
        <f>1265.7+(681.7-202.5)+(0+(0-0))+0-318-0</f>
        <v>1426.9</v>
      </c>
      <c r="AD202" s="2">
        <v>1165.3999999999999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1268.2+(646.2-200)+(0+(0-0))+0-320-0</f>
        <v>1394.4</v>
      </c>
      <c r="G203" s="3">
        <f>1276.5+(623.2-177.8)+(0.651015+(0.317832-0.090678))+0-322.5-0.164474999999967</f>
        <v>1400.1136940000001</v>
      </c>
      <c r="H203" s="3">
        <f>1275.8+(598.8-168.3)+(0.650658+(0.305388-0.085833))+0-320.6-0.163505999999967</f>
        <v>1386.4067070000001</v>
      </c>
      <c r="I203" s="3">
        <f>1279.1+(503.2-172.9)+(1.304682+(0.513264-0.176358))+0-323-0.329460000000051</f>
        <v>1287.7121279999997</v>
      </c>
      <c r="J203" s="3">
        <f>1279.6+(474.6-156.3)+(-1.305192+(-0.484092--0.159426))+0-324.6--0.331092000000052</f>
        <v>1272.0012340000001</v>
      </c>
      <c r="K203" s="3">
        <f>1285.2+(326-158.9)+(-1.310904+(-0.33252--0.162078))+0-321.6--0.328032000000051</f>
        <v>1129.5466859999999</v>
      </c>
      <c r="L203" s="3">
        <f>1279.8+(230.6-181.2)+(3.26349+(0.58803-0.46206))+0-320.2-0.816509999999954</f>
        <v>1011.5729500000001</v>
      </c>
      <c r="M203" s="3">
        <f>1268.1+(238.7-202.8)+(0.646731+(0.121737-0.103428))+0-319-0.162689999999968</f>
        <v>985.50235000000009</v>
      </c>
      <c r="N203" s="3">
        <f>1252.6+(310.1-229.7)+(1.277652+(0.316302-0.234294))+0-319.9-0.326298000000051</f>
        <v>1014.133362</v>
      </c>
      <c r="O203" s="3">
        <f>1240.7+(369.3-222)+(1.898271+(0.565029-0.33966))+0-319.4-0.488682000000018</f>
        <v>1070.2349580000002</v>
      </c>
      <c r="P203" s="3">
        <f>1240.8+(376.3-221.6)+(0.632808+(0.191913-0.113016))+0-318.1-0.162230999999968</f>
        <v>1077.9494739999998</v>
      </c>
      <c r="Q203" s="3">
        <f>1348.1+(341.1-222.9)+(0+(0-0))+0-319-0</f>
        <v>1147.3</v>
      </c>
      <c r="R203" s="3">
        <f>1414.4+(330.8-224.9)+(-0.721344+(-0.168708--0.114699))+0-318.7--0.162536999999968</f>
        <v>1200.9871840000001</v>
      </c>
      <c r="S203" s="3">
        <f>1464.3+(359.5-229.7)+(2.240379+(0.550035-0.351441))+0-319.8-0.489294000000018</f>
        <v>1276.249679</v>
      </c>
      <c r="T203" s="3">
        <f>1457.8+(386.7-219.2)+(0.743478+(0.197217-0.111792))+0-320.8-0.163607999999967</f>
        <v>1305.165295</v>
      </c>
      <c r="U203" s="3">
        <f>1464.5+(347.2-204.4)+(-4.48137+(-1.062432--0.625464))+0-321.8--0.984708000000037</f>
        <v>1281.56637</v>
      </c>
      <c r="V203" s="3">
        <f>1468.3+(337.2-260.3)+(-2.995332+(-0.687888--0.531012))+0-320.9--0.654635999999986</f>
        <v>1221.8024279999997</v>
      </c>
      <c r="W203" s="3">
        <f>1472.4+(321-307.7)+(0+(0-0))+0-322.4-0</f>
        <v>1163.3000000000002</v>
      </c>
      <c r="X203" s="3">
        <f>1478.2+(306.4-281.4)+(-0.753882+(-0.156264--0.143514))+0-324--0.165239999999967</f>
        <v>1178.598608</v>
      </c>
      <c r="Y203" s="3">
        <f>1479.3+(326.3-252.6)+(-0.754443+(-0.166413--0.128826))+0-323--0.164729999999967</f>
        <v>1229.3726999999999</v>
      </c>
      <c r="Z203" s="3">
        <f>1484.4+(322.5-260.2)+(-1.514088+(-0.32895--0.265404))+0-259--0.264180000000041</f>
        <v>1286.3865460000002</v>
      </c>
      <c r="AA203" s="3">
        <f>1500.5+(381.9-254.1)+(-3.06102+(-0.779076--0.518364))+0-325.2--0.663407999999986</f>
        <v>1300.4416759999997</v>
      </c>
      <c r="AB203" s="3">
        <f>1502.3+(410.6-218)+(1.532346+(0.418812-0.22236))+0-324-0.330480000000052</f>
        <v>1372.2983180000001</v>
      </c>
      <c r="AC203" s="3">
        <f>1507.1+(464.7-184.8)+(-0.768621+(-0.236997--0.094248))+0-323.8--0.165137999999967</f>
        <v>1462.4537680000001</v>
      </c>
      <c r="AD203" s="2">
        <v>1182.7999999999997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1525+(406.3-168.9)+(-2.33325+(-0.621639--0.258417))+0-326.3--0.499239000000019</f>
        <v>1433.902767</v>
      </c>
      <c r="G204" s="3">
        <f>1525+(453.3-142.8)+(-3.88875+(-1.155915--0.36414))+0-324--0.826199999999953</f>
        <v>1507.645675</v>
      </c>
      <c r="H204" s="3">
        <f>1503.6+(433.9-131.3)+(-3.83418+(-1.106445--0.334815))+0-326.2--0.831809999999953</f>
        <v>1476.2259999999997</v>
      </c>
      <c r="I204" s="3">
        <f>1503.7+(375.8-140.7)+(-2.300661+(-0.574974--0.215271))+0-324.1--0.495873000000019</f>
        <v>1412.535509</v>
      </c>
      <c r="J204" s="3">
        <f>1504.7+(364.9-195.7)+(-1.534794+(-0.372198--0.199614))+0-321.8--0.328236000000051</f>
        <v>1350.7208580000001</v>
      </c>
      <c r="K204" s="3">
        <f>1504.3+(293.8-200.6)+(-2.301579+(-0.449514--0.306918))+0-322.2--0.492966000000019</f>
        <v>1273.3487909999999</v>
      </c>
      <c r="L204" s="3">
        <f>1514.8+(287.7-285.9)+(-1.545096+(-0.293454--0.291618))+0-322.9--0.329358000000051</f>
        <v>1192.482426</v>
      </c>
      <c r="M204" s="3">
        <f>1501.8+(296.2-301.8)+(-0.765918+(-0.151062--0.153918))+0-320.5--0.163454999999967</f>
        <v>1175.1003929999997</v>
      </c>
      <c r="N204" s="3">
        <f>1472.1+(301.6-313.8)+(-0.750771+(-0.153816--0.160038))+0-319.1--0.162740999999968</f>
        <v>1140.2181919999996</v>
      </c>
      <c r="O204" s="3">
        <f>1463.4+(303.6-319.7)+(0+(0-0))+0-316.2-0</f>
        <v>1131.1000000000001</v>
      </c>
      <c r="P204" s="3">
        <f>1456.9+(309.9-317.9)+(1.486038+(0.316098-0.324258))+0-318.3-0.324666000000051</f>
        <v>1131.7532120000001</v>
      </c>
      <c r="Q204" s="3">
        <f>1453.7+(314.4-276.1)+(-0.741387+(-0.160344--0.140811))+0-324.5--0.165494999999967</f>
        <v>1166.904575</v>
      </c>
      <c r="R204" s="3">
        <f>1451.6+(373.5-273.1)+(0.740316+(0.190485-0.139281))+0-324.8-0.165647999999967</f>
        <v>1227.8258720000001</v>
      </c>
      <c r="S204" s="3">
        <f>1451.8+(453.8-270.1)+(-2.221254+(-0.694314--0.413253))+0-321.5--0.491895000000019</f>
        <v>1311.9895800000002</v>
      </c>
      <c r="T204" s="3">
        <f>1450.3+(449.5-258.4)+(-0.739653+(-0.229245--0.131784))+0-319.5--0.162944999999968</f>
        <v>1321.2258310000002</v>
      </c>
      <c r="U204" s="3">
        <f>1449+(376.5-239.5)+(-3.69495+(-0.960075--0.610725))+0-317.4--0.809369999999954</f>
        <v>1265.3650699999998</v>
      </c>
      <c r="V204" s="3">
        <f>1460.3+(311.6-246.1)+(-2.234259+(-0.476748--0.376533))+0-324.4--0.496332000000019</f>
        <v>1199.5618579999998</v>
      </c>
      <c r="W204" s="3">
        <f>1469.1+(317.3-297.3)+(-0.749241+(-0.161823--0.151623))+0-323.8--0.165137999999967</f>
        <v>1164.7056970000001</v>
      </c>
      <c r="X204" s="3">
        <f>1479.1+(333.1-291.9)+(-3.771705+(-0.849405--0.744345))+0-321.5--0.819824999999953</f>
        <v>1195.74306</v>
      </c>
      <c r="Y204" s="3">
        <f>1484.5+(395.3-302.9)+(-3.02838+(-0.806412--0.617916))+0-318.1--0.648923999999986</f>
        <v>1256.2320480000003</v>
      </c>
      <c r="Z204" s="3">
        <f>1487.5+(426.7-289.4)+(-1.51725+(-0.435234--0.295188))+0-319--0.325380000000051</f>
        <v>1304.4680839999999</v>
      </c>
      <c r="AA204" s="3">
        <f>1494+(490.8-307.7)+(-2.28582+(-0.750924--0.470781))+0-318.7--0.487611000000018</f>
        <v>1356.3216479999999</v>
      </c>
      <c r="AB204" s="3">
        <f>1494.6+(504.7-277.7)+(-3.048984+(-1.029588--0.566508))+0-320.6--0.654023999999986</f>
        <v>1398.1419599999999</v>
      </c>
      <c r="AC204" s="3">
        <f>1495+(504.6-245.3)+(-3.81225+(-1.28673--0.625515))+0-319.9--0.815744999999954</f>
        <v>1430.7422799999999</v>
      </c>
      <c r="AD204" s="2">
        <v>1215.3000000000002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1495.2+(480.4-250.5)+(-3.050208+(-0.980016--0.51102))+0-317.1--0.646883999999986</f>
        <v>1405.1276799999998</v>
      </c>
      <c r="G205" s="3">
        <f>1494.5+(460.5-229.4)+(-2.286585+(-0.704565--0.350982))+0-317.3--0.485469000000018</f>
        <v>1406.145301</v>
      </c>
      <c r="H205" s="3">
        <f>1497.6+(442.5-236)+(-1.527552+(-0.45135--0.24072))+0-319.1--0.325482000000051</f>
        <v>1383.5872999999999</v>
      </c>
      <c r="I205" s="3">
        <f>1498.1+(430.8-245.7)+(0.764031+(0.219708-0.125307))+0-320-0.163199999999968</f>
        <v>1363.8952319999999</v>
      </c>
      <c r="J205" s="3">
        <f>1498+(385.8-251.7)+(0+(0-0))+0-320.7-0</f>
        <v>1311.3999999999999</v>
      </c>
      <c r="K205" s="3">
        <f>1499.1+(292.9-271.1)+(-0.764541+(-0.149379--0.138261))+0-318.1--0.162230999999968</f>
        <v>1202.1865719999998</v>
      </c>
      <c r="L205" s="3">
        <f>1499+(254-273.7)+(-0.76449+(-0.12954--0.139587))+0-317.3--0.161822999999968</f>
        <v>1161.4073799999999</v>
      </c>
      <c r="M205" s="3">
        <f>1494.6+(261-305)+(0.762246+(0.13311-0.15555))+0-318.2-0.162281999999968</f>
        <v>1132.9775239999999</v>
      </c>
      <c r="N205" s="3">
        <f>1486.1+(266.3-316.5)+(-0.757911+(-0.135813--0.161415))+0-322.8--0.164627999999967</f>
        <v>1112.5323189999999</v>
      </c>
      <c r="O205" s="3">
        <f>1478.2+(271.5-307.2)+(0+(0-0))+0-325.8-0</f>
        <v>1116.7</v>
      </c>
      <c r="P205" s="3">
        <f>1470.4+(286.4-291)+(0.749904+(0.146064-0.14841))+0-322.5-0.164474999999967</f>
        <v>1143.8830830000002</v>
      </c>
      <c r="Q205" s="3">
        <f>1459.3+(357.2-293.5)+(1.488486+(0.364344-0.29937))+0-321.7-0.328134000000051</f>
        <v>1202.5253259999999</v>
      </c>
      <c r="R205" s="3">
        <f>1450.8+(510-298.6)+(-0.739908+(-0.2601--0.152286))+0-324.3--0.165392999999967</f>
        <v>1337.2176709999999</v>
      </c>
      <c r="S205" s="3">
        <f>1445.1+(659.8-276.7)+(-4.422006+(-2.018988--0.846702))+0-325.8--0.996948000000038</f>
        <v>1497.8026559999998</v>
      </c>
      <c r="T205" s="3">
        <f>1446.2+(651.2-267.8)+(-2.212686+(-0.996336--0.409734))+0-323.1--0.494343000000019</f>
        <v>1504.1950550000004</v>
      </c>
      <c r="U205" s="3">
        <f>1454.1+(563.1-240.5)+(-2.224773+(-0.861543--0.367965))+0-323--0.494190000000019</f>
        <v>1451.475839</v>
      </c>
      <c r="V205" s="3">
        <f>1465+(367.2-228.3)+(-2.24145+(-0.561816--0.349299))+0-324.4--0.496332000000019</f>
        <v>1277.542365</v>
      </c>
      <c r="W205" s="3">
        <f>1472+(358.3-296.7)+(0+(0-0))+0-320.8-0</f>
        <v>1212.8</v>
      </c>
      <c r="X205" s="3">
        <f>1477.9+(490-325)+(-3.014916+(-0.9996--0.663))+0-324--0.660959999999986</f>
        <v>1316.2094440000001</v>
      </c>
      <c r="Y205" s="3">
        <f>1481.7+(607.7-328.8)+(-3.778335+(-1.549635--0.83844))+0-322.3--0.821864999999953</f>
        <v>1434.632335</v>
      </c>
      <c r="Z205" s="3">
        <f>1482.4+(586.4-328.4)+(-3.78012+(-1.49532--0.83742))+0-320.2--0.816509999999954</f>
        <v>1416.5784899999999</v>
      </c>
      <c r="AA205" s="3">
        <f>1485.5+(667.4-313.3)+(-1.51521+(-0.680748--0.319566))+0-322.4--0.328848000000051</f>
        <v>1515.6524560000003</v>
      </c>
      <c r="AB205" s="3">
        <f>1487.8+(676.5-301.7)+(-1.517556+(-0.69003--0.307734))+0-322.1--0.328542000000051</f>
        <v>1538.92869</v>
      </c>
      <c r="AC205" s="3">
        <f>1489.1+(620.1-282.1)+(-2.278323+(-0.948753--0.431613))+0-322.2--0.492966000000019</f>
        <v>1502.597503</v>
      </c>
      <c r="AD205" s="2">
        <v>1330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1489.8+(582.2-249.3)+(0+(0-0))+0-321.3-0</f>
        <v>1501.4</v>
      </c>
      <c r="G206" s="3">
        <f>1491.3+(545-220.5)+(-2.281689+(-0.83385--0.337365))+0-321.3--0.491589000000019</f>
        <v>1492.2134149999999</v>
      </c>
      <c r="H206" s="3">
        <f>1494.9+(483.1-208.3)+(-2.287197+(-0.739143--0.318699))+0-320.7--0.490671000000019</f>
        <v>1446.7830300000001</v>
      </c>
      <c r="I206" s="3">
        <f>1495.3+(457.9-187.2)+(0+(0-0))+0-324.1-0</f>
        <v>1441.9</v>
      </c>
      <c r="J206" s="3">
        <f>1496.5+(383.2-177.1)+(1.52643+(0.390864-0.180642))+0-322.5-0.328950000000051</f>
        <v>1381.5077019999999</v>
      </c>
      <c r="K206" s="3">
        <f>1497.6+(223.1-197.1)+(1.527552+(0.227562-0.201042))+0-321.3-0.327726000000051</f>
        <v>1203.5263459999999</v>
      </c>
      <c r="L206" s="3">
        <f>1497.4+(155.2-210.3)+(1.527348+(0.158304-0.214506))+0-319-0.325380000000051</f>
        <v>1124.4457660000003</v>
      </c>
      <c r="M206" s="3">
        <f>1493.7+(205.1-241.9)+(0+(0-0))+0-319.2-0</f>
        <v>1137.7</v>
      </c>
      <c r="N206" s="3">
        <f>1487.5+(237.8-318.5)+(0+(0-0))+0-322.2-0</f>
        <v>1084.5999999999999</v>
      </c>
      <c r="O206" s="3">
        <f>1479.1+(285.6-334.1)+(0+(0-0))+0-324.9-0</f>
        <v>1105.6999999999998</v>
      </c>
      <c r="P206" s="3">
        <f>1441.6+(390-340.3)+(0+(0-0))+0-326.2-0</f>
        <v>1165.0999999999999</v>
      </c>
      <c r="Q206" s="3">
        <f>1393.4+(521.6-318.3)+(0+(0-0))+0-325.7-0</f>
        <v>1271</v>
      </c>
      <c r="R206" s="3">
        <f>1385.5+(629.6-290.9)+(0+(0-0))+0-321.4-0</f>
        <v>1402.8000000000002</v>
      </c>
      <c r="S206" s="3">
        <f>1381.1+(674.7-279.5)+(0+(0-0))+0-323.6-0</f>
        <v>1452.6999999999998</v>
      </c>
      <c r="T206" s="3">
        <f>1437.7+(629.5-264.5)+(1.466454+(0.64209-0.26979))+0-328.2-0.334764000000052</f>
        <v>1476.0039900000002</v>
      </c>
      <c r="U206" s="3">
        <f>1433.4+(550-236.3)+(-2.924136+(-1.122--0.482052))+0-326.4--0.665855999999986</f>
        <v>1417.8017720000003</v>
      </c>
      <c r="V206" s="3">
        <f>1421.6+(353-255.1)+(0+(0-0))+0-322.6-0</f>
        <v>1196.9000000000001</v>
      </c>
      <c r="W206" s="3">
        <f>1503.7+(321.3-318.7)+(0.766887+(0.163863-0.162537))+0-323.3-0.164882999999967</f>
        <v>1183.6033300000004</v>
      </c>
      <c r="X206" s="3">
        <f>1481.1+(475.3-325)+(-3.776805+(-1.212015--0.82875))+0-324.8--0.828239999999953</f>
        <v>1303.2681700000001</v>
      </c>
      <c r="Y206" s="3">
        <f>1322.4+(657.3-314.7)+(-3.37212+(-1.676115--0.802485))+0-321.8--0.820589999999953</f>
        <v>1339.77484</v>
      </c>
      <c r="Z206" s="3">
        <f>1337.6+(667.3-314.5)+(-0.682176+(-0.340323--0.160395))+0-325.7--0.166106999999967</f>
        <v>1364.0040029999998</v>
      </c>
      <c r="AA206" s="3">
        <f>1344.7+(666.6-297)+(-0.685797+(-0.339966--0.15147))+0-321.2--0.163811999999967</f>
        <v>1392.3895190000001</v>
      </c>
      <c r="AB206" s="3">
        <f>1338.4+(714.2-274.1)+(0+(0-0))+0-320.7-0</f>
        <v>1457.8</v>
      </c>
      <c r="AC206" s="3">
        <f>1342.1+(704.9-240.4)+(-2.053413+(-1.078497--0.367812))+0-319.3--0.488529000000018</f>
        <v>1485.0244309999998</v>
      </c>
      <c r="AD206" s="2">
        <v>1351.8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1268.5+(746.9-217.8)+(-2.58774+(-1.523676--0.444312))+0-321.1--0.655043999999986</f>
        <v>1473.48794</v>
      </c>
      <c r="G207" s="3">
        <f>1292.3+(685.1-207.4)+(-2.636292+(-1.397604--0.423096))+0-321.6--0.656063999999986</f>
        <v>1445.4452640000002</v>
      </c>
      <c r="H207" s="3">
        <f>1319.8+(609.9-187.6)+(-2.019294+(-0.933147--0.287028))+0-322.4--0.493272000000019</f>
        <v>1417.527859</v>
      </c>
      <c r="I207" s="3">
        <f>1321.9+(572.1-174.1)+(-0.674169+(-0.291771--0.088791))+0-324.8--0.165647999999967</f>
        <v>1394.3884990000001</v>
      </c>
      <c r="J207" s="3">
        <f>1322.7+(512.9-159.3)+(1.349154+(0.523158-0.162486))+0-322.9-0.329358000000051</f>
        <v>1354.7804679999999</v>
      </c>
      <c r="K207" s="3">
        <f>1326.4+(400.2-158.4)+(-2.705856+(-0.816408--0.323136))+0-319.8--0.652391999999986</f>
        <v>1245.8532640000001</v>
      </c>
      <c r="L207" s="3">
        <f>1327.1+(337.5-194.5)+(0.676821+(0.172125-0.099195))+0-318.2-0.162281999999968</f>
        <v>1152.4874689999999</v>
      </c>
      <c r="M207" s="3">
        <f>1326.4+(327.5-214.2)+(0+(0-0))+0-319.2-0</f>
        <v>1120.5</v>
      </c>
      <c r="N207" s="3">
        <f>1321.1+(355.5-256.7)+(-0.673761+(-0.181305--0.130917))+0-321.3--0.163862999999967</f>
        <v>1098.039714</v>
      </c>
      <c r="O207" s="3">
        <f>1314.6+(376.9-285.4)+(0.670446+(0.192219-0.145554))+0-320.5-0.163454999999967</f>
        <v>1086.153656</v>
      </c>
      <c r="P207" s="3">
        <f>1305.4+(433.8-308.8)+(0+(0-0))+0-323-0</f>
        <v>1107.4000000000001</v>
      </c>
      <c r="Q207" s="3">
        <f>1295+(628.3-309.3)+(0.66045+(0.320433-0.157743))+0-320.6-0.163505999999967</f>
        <v>1294.0596340000002</v>
      </c>
      <c r="R207" s="3">
        <f>1309.1+(709-323)+(0+(0-0))+0-320-0</f>
        <v>1375.1</v>
      </c>
      <c r="S207" s="3">
        <f>1301.5+(752.9-266.9)+(-2.65506+(-1.535916--0.544476))+0-321.7--0.656267999999986</f>
        <v>1462.8097679999998</v>
      </c>
      <c r="T207" s="3">
        <f>1303.4+(723-250.5)+(-2.658936+(-1.47492--0.51102))+0-324.1--0.661163999999986</f>
        <v>1448.8383280000003</v>
      </c>
      <c r="U207" s="3">
        <f>1292.5+(591.9-236)+(-2.6367+(-1.207476--0.48144))+0-323.2--0.659327999999986</f>
        <v>1322.496592</v>
      </c>
      <c r="V207" s="3">
        <f>1278.9+(381.8-242.8)+(-1.956717+(-0.584154--0.371484))+0-321.3--0.491589000000019</f>
        <v>1094.9222020000002</v>
      </c>
      <c r="W207" s="3">
        <f>1281.3+(428.6-286.3)+(0.653463+(0.218586-0.146013))+0-324.1-0.165290999999967</f>
        <v>1100.060745</v>
      </c>
      <c r="X207" s="3">
        <f>1282.5+(661.5-320.6)+(-1.962225+(-1.012095--0.490518))+0-326.7--0.499851000000019</f>
        <v>1294.7160490000001</v>
      </c>
      <c r="Y207" s="3">
        <f>1286.8+(712.9-344.6)+(-3.28134+(-1.817895--0.87873))+0-321--0.818549999999953</f>
        <v>1330.6980449999999</v>
      </c>
      <c r="Z207" s="3">
        <f>1284.7+(836.3-325.7)+(-1.965591+(-1.279539--0.498321))+0-322.2--0.492966000000019</f>
        <v>1470.8461569999999</v>
      </c>
      <c r="AA207" s="3">
        <f>1289.7+(804.2-327.2)+(-2.630988+(-1.640568--0.667488))+0-322.9--0.658715999999986</f>
        <v>1440.854648</v>
      </c>
      <c r="AB207" s="3">
        <f>1292+(850.8-289.6)+(-2.63568+(-1.735632--0.590784))+0-322.5--0.657899999999986</f>
        <v>1527.5773719999997</v>
      </c>
      <c r="AC207" s="3">
        <f>1293+(806.2-258.6)+(-3.29715+(-2.05581--0.65943))+0-319.3--0.814214999999954</f>
        <v>1517.4206849999998</v>
      </c>
      <c r="AD207" s="2">
        <v>1281.4000000000001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1290.4+(754-217.8)+(-1.974312+(-1.15362--0.333234))+0-322.3--0.493119000000019</f>
        <v>1501.9984210000002</v>
      </c>
      <c r="G208" s="3">
        <f>1294+(688.7-192.1)+(-1.97982+(-1.053711--0.293913))+0-322.6--0.493578000000019</f>
        <v>1465.75396</v>
      </c>
      <c r="H208" s="3">
        <f>1274.9+(650.6-169)+(-3.250995+(-1.65903--0.43095))+0-322.3--0.821864999999953</f>
        <v>1430.54279</v>
      </c>
      <c r="I208" s="3">
        <f>1292.1+(575.2-160.1)+(-0.658971+(-0.293352--0.081651))+0-321.1--0.163760999999967</f>
        <v>1385.3930889999999</v>
      </c>
      <c r="J208" s="3">
        <f>1292+(507.7-153.5)+(-0.65892+(-0.258927--0.078285))+0-321.1--0.163760999999967</f>
        <v>1324.4241990000003</v>
      </c>
      <c r="K208" s="3">
        <f>1293.7+(385.4-146.4)+(-1.319574+(-0.393108--0.149328))+0-322.9--0.329358000000051</f>
        <v>1208.5660040000002</v>
      </c>
      <c r="L208" s="3">
        <f>1294.3+(242.7-150.7)+(-0.660093+(-0.123777--0.076857))+0-321.5--0.163964999999967</f>
        <v>1064.256952</v>
      </c>
      <c r="M208" s="3">
        <f>1291.9+(246.9-176.5)+(1.317738+(0.251838-0.18003))+0-317-0.323340000000051</f>
        <v>1046.3662060000001</v>
      </c>
      <c r="N208" s="3">
        <f>1289.6+(356.5-202.9)+(-1.973088+(-0.545445--0.310437))+0-317.6--0.485928000000018</f>
        <v>1123.8778319999997</v>
      </c>
      <c r="O208" s="3">
        <f>1287.5+(374.6-242.7)+(0+(0-0))+0-322.6-0</f>
        <v>1096.8000000000002</v>
      </c>
      <c r="P208" s="3">
        <f>1239+(509.3-263.1)+(0+(0-0))+0-325.2-0</f>
        <v>1160</v>
      </c>
      <c r="Q208" s="3">
        <f>1181.7+(691.6-282.9)+(0+(0-0))+0-322.4-0</f>
        <v>1268</v>
      </c>
      <c r="R208" s="3">
        <f>1172.5+(867-288.7)+(0+(0-0))+0-319.4-0</f>
        <v>1431.4</v>
      </c>
      <c r="S208" s="3">
        <f>1164.6+(968.2-286.1)+(0+(0-0))+0-323-0</f>
        <v>1523.6999999999998</v>
      </c>
      <c r="T208" s="3">
        <f>1161.8+(991.3-266.2)+(0+(0-0))+0-322.8-0</f>
        <v>1564.1</v>
      </c>
      <c r="U208" s="3">
        <f>1163.9+(845.3-250.9)+(0+(0-0))+0-321.2-0</f>
        <v>1437.1000000000001</v>
      </c>
      <c r="V208" s="3">
        <f>1168.3+(608.4-234.5)+(0+(0-0))+0-318.1-0</f>
        <v>1224.0999999999999</v>
      </c>
      <c r="W208" s="3">
        <f>1171.1+(621.4-273.7)+(0+(0-0))+0-319.9-0</f>
        <v>1198.9000000000001</v>
      </c>
      <c r="X208" s="3">
        <f>1175.9+(796.6-334.8)+(0+(0-0))+0-321.7-0</f>
        <v>1316</v>
      </c>
      <c r="Y208" s="3">
        <f>1177.3+(962.1-334.6)+(0+(0-0))+0-323.2-0</f>
        <v>1481.6</v>
      </c>
      <c r="Z208" s="3">
        <f>1182.4+(956.9-331.7)+(0+(0-0))+0-323.5-0</f>
        <v>1484.1000000000001</v>
      </c>
      <c r="AA208" s="3">
        <f>1186.7+(988.5-317.8)+(0+(0-0))+0-320.1-0</f>
        <v>1537.3000000000002</v>
      </c>
      <c r="AB208" s="3">
        <f>1192.6+(1020.7-286.9)+(0+(0-0))+0-318.3-0</f>
        <v>1608.1000000000001</v>
      </c>
      <c r="AC208" s="3">
        <f>1194.7+(953.4-262.6)+(0+(0-0))+0-317.1-0</f>
        <v>1568.4</v>
      </c>
      <c r="AD208" s="2">
        <v>1339.1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1195.6+(905.1-230.9)+(-1.829268+(-1.384803--0.353277))+0-319.9--0.489447000000018</f>
        <v>1547.5286529999998</v>
      </c>
      <c r="G209" s="3">
        <f>1196.9+(833.7-198.1)+(0.610419+(0.425187-0.101031))+0-319.9-0.163148999999968</f>
        <v>1513.3714260000002</v>
      </c>
      <c r="H209" s="3">
        <f>1198.1+(759.1-179)+(-1.222062+(-0.774282--0.18258))+0-322.4--0.328848000000051</f>
        <v>1454.3150839999998</v>
      </c>
      <c r="I209" s="3">
        <f>1189.1+(721-162.3)+(-0.606441+(-0.36771--0.082773))+0-325.6--0.166055999999967</f>
        <v>1421.474678</v>
      </c>
      <c r="J209" s="3">
        <f>1175.3+(644.7-154.8)+(-1.798209+(-0.986391--0.236844))+0-318.7--0.487611000000018</f>
        <v>1344.4398550000001</v>
      </c>
      <c r="K209" s="3">
        <f>1118.8+(581.3-119.6)+(-0.570588+(-0.296463--0.060996))+0-322.4--0.164423999999967</f>
        <v>1257.4583689999999</v>
      </c>
      <c r="L209" s="3">
        <f>1140.8+(394.6-132.3)+(0+(0-0))+0-320.5-0</f>
        <v>1082.5999999999999</v>
      </c>
      <c r="M209" s="3">
        <f>1276.9+(311.7-186.7)+(1.302438+(0.317934-0.190434))+0-318.8-0.325176000000051</f>
        <v>1084.2047620000001</v>
      </c>
      <c r="N209" s="3">
        <f>1350.8+(301.3-245.6)+(1.377816+(0.307326-0.250512))+0-318.3-0.324666000000051</f>
        <v>1089.309964</v>
      </c>
      <c r="O209" s="3">
        <f>1362.3+(380.2-265.8)+(-0.694773+(-0.193902--0.135558))+0-323.4--0.164933999999967</f>
        <v>1152.7118169999999</v>
      </c>
      <c r="P209" s="3">
        <f>1387.9+(397-309.3)+(0+(0-0))+0-323.4-0</f>
        <v>1152.2000000000003</v>
      </c>
      <c r="Q209" s="3">
        <f>1423.9+(530.3-338.5)+(-2.178567+(-0.811359--0.517905))+0-321.7--0.492201000000019</f>
        <v>1292.02018</v>
      </c>
      <c r="R209" s="3">
        <f>1432.1+(650.3-363.9)+(0+(0-0))+0-322.8-0</f>
        <v>1395.7</v>
      </c>
      <c r="S209" s="3">
        <f>1430.5+(753.4-354.2)+(0+(0-0))+0-324-0</f>
        <v>1505.7</v>
      </c>
      <c r="T209" s="3">
        <f>1422.8+(690.5-311.1)+(0+(0-0))+0-321.8-0</f>
        <v>1480.3999999999999</v>
      </c>
      <c r="U209" s="3">
        <f>1432.7+(515.7-266.7)+(0+(0-0))+0-320.6-0</f>
        <v>1361.1</v>
      </c>
      <c r="V209" s="3">
        <f>1439.9+(317.5-248.1)+(0+(0-0))+0-321.6-0</f>
        <v>1187.7000000000003</v>
      </c>
      <c r="W209" s="3">
        <f>1447.2+(336.1-307.6)+(0+(0-0))+0-320.3-0</f>
        <v>1155.4000000000001</v>
      </c>
      <c r="X209" s="3">
        <f>1451.5+(547-359.7)+(0+(0-0))+0-320.4-0</f>
        <v>1318.4</v>
      </c>
      <c r="Y209" s="3">
        <f>1456.7+(642.3-373.1)+(0+(0-0))+0-322.2-0</f>
        <v>1403.7</v>
      </c>
      <c r="Z209" s="3">
        <f>1462.5+(686.2-355.1)+(0+(0-0))+0-326.8-0</f>
        <v>1466.8</v>
      </c>
      <c r="AA209" s="3">
        <f>1462.3+(686.3-349.8)+(0+(0-0))+0-322.4-0</f>
        <v>1476.4</v>
      </c>
      <c r="AB209" s="3">
        <f>1464.3+(688.7-319)+(0+(0-0))+0-321.8-0</f>
        <v>1512.2</v>
      </c>
      <c r="AC209" s="3">
        <f>1464.5+(679.3-272.1)+(0+(0-0))+0-321.3-0</f>
        <v>1550.3999999999999</v>
      </c>
      <c r="AD209" s="2">
        <v>1353.2000000000003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1506.5+(622.1-236)+(-3.841575+(-1.586355--0.6018))+0-322.4--0.822119999999953</f>
        <v>1566.1959899999999</v>
      </c>
      <c r="G210" s="3">
        <f>1440.4+(597.1-205)+(-3.67302+(-1.522605--0.52275))+0-323.9--0.825944999999953</f>
        <v>1504.7530700000002</v>
      </c>
      <c r="H210" s="3">
        <f>1379.4+(572.7-177.7)+(-0.703494+(-0.292077--0.090627))+0-323.8--0.165137999999967</f>
        <v>1449.8601940000003</v>
      </c>
      <c r="I210" s="3">
        <f>1378.7+(576.1-163)+(-2.109411+(-0.881433--0.24939))+0-327.5--0.501075000000019</f>
        <v>1462.0596210000003</v>
      </c>
      <c r="J210" s="3">
        <f>1379.8+(440.9-179.7)+(-2.111094+(-0.674577--0.274941))+0-327.2--0.500616000000019</f>
        <v>1311.789886</v>
      </c>
      <c r="K210" s="3">
        <f>1379.4+(332.7-170.3)+(-1.406988+(-0.339354--0.173706))+0-327.3--0.333846000000052</f>
        <v>1213.2612100000001</v>
      </c>
      <c r="L210" s="3">
        <f>1384.6+(264.2-231.6)+(0+(0-0))+0-322.1-0</f>
        <v>1095.0999999999999</v>
      </c>
      <c r="M210" s="3">
        <f>1385.2+(248.8-279.3)+(0+(0-0))+0-322.1-0</f>
        <v>1032.5999999999999</v>
      </c>
      <c r="N210" s="3">
        <f>1381.8+(287.1-282.7)+(0+(0-0))+0-319.9-0</f>
        <v>1066.3000000000002</v>
      </c>
      <c r="O210" s="3">
        <f>1373.4+(324.7-284.3)+(0+(0-0))+0-323.7-0</f>
        <v>1090.1000000000001</v>
      </c>
      <c r="P210" s="3">
        <f>1368.2+(397.1-290.9)+(0+(0-0))+0-324.5-0</f>
        <v>1149.9000000000001</v>
      </c>
      <c r="Q210" s="3">
        <f>1362.1+(512.8-272.7)+(0+(0-0))+0-324.2-0</f>
        <v>1277.9999999999998</v>
      </c>
      <c r="R210" s="3">
        <f>1356.7+(631.7-307.2)+(0+(0-0))+0-325.9-0</f>
        <v>1355.3000000000002</v>
      </c>
      <c r="S210" s="3">
        <f>1354.8+(706.9-308.4)+(-1.381896+(-0.721038--0.314568))+0-326.9--0.333438000000052</f>
        <v>1424.945072</v>
      </c>
      <c r="T210" s="3">
        <f>1353.3+(660.6-280.8)+(-0.690183+(-0.336906--0.143208))+0-325.3--0.165902999999967</f>
        <v>1407.0820220000001</v>
      </c>
      <c r="U210" s="3">
        <f>1347.3+(522.9-237.9)+(-2.748492+(-1.066716--0.485316))+0-319.5--0.651779999999986</f>
        <v>1310.1218879999999</v>
      </c>
      <c r="V210" s="3">
        <f>1051.7+(572-155.6)+(-1.072734+(-0.58344--0.158712))+0-321.5--0.327930000000051</f>
        <v>1145.430468</v>
      </c>
      <c r="W210" s="3">
        <f>932.1+(668.9-178.7)+(-0.950742+(-0.682278--0.182274))+0-323.8--0.330276000000052</f>
        <v>1097.3795300000002</v>
      </c>
      <c r="X210" s="3">
        <f>943.2+(797-165.5)+(-1.443096+(-1.21941--0.253215))+0-323.2--0.494496000000019</f>
        <v>1249.5852050000001</v>
      </c>
      <c r="Y210" s="3">
        <f>947+(832.7-164.2)+(-1.44891+(-1.274031--0.251226))+0-323.2--0.494496000000019</f>
        <v>1290.3227810000001</v>
      </c>
      <c r="Z210" s="3">
        <f>1018.9+(873.1-148.4)+(-1.558917+(-1.335843--0.227052))+0-325.1--0.497403000000019</f>
        <v>1416.3296950000001</v>
      </c>
      <c r="AA210" s="3">
        <f>1116+(833.9-141.6)+(-2.27664+(-1.701156--0.288864))+0-322--0.656879999999986</f>
        <v>1483.2679479999999</v>
      </c>
      <c r="AB210" s="3">
        <f>1153.1+(847.8-126.2)+(-0.588081+(-0.432378--0.064362))+0-323.6--0.165035999999967</f>
        <v>1550.3089389999996</v>
      </c>
      <c r="AC210" s="3">
        <f>1193.3+(802.2-135.1)+(-1.825749+(-1.227366--0.206703))+0-325.6--0.498168000000019</f>
        <v>1532.4517559999999</v>
      </c>
      <c r="AD210" s="2">
        <v>1294.0999999999999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1211.6+(768.5-149.5)+(-0.617916+(-0.391935--0.076245))+0-324.5--0.165494999999967</f>
        <v>1505.3318889999998</v>
      </c>
      <c r="G211" s="3">
        <f>1286.8+(675.9-154.4)+(0+(0-0))+0-323.5-0</f>
        <v>1484.8</v>
      </c>
      <c r="H211" s="3">
        <f>1338.3+(561.8-139.2)+(0.682533+(0.286518-0.070992))+0-326.9-0.166718999999967</f>
        <v>1434.73134</v>
      </c>
      <c r="I211" s="3">
        <f>1338.3+(557-174.7)+(1.365066+(0.56814-0.178194))+0-323.3-0.329766000000052</f>
        <v>1398.725246</v>
      </c>
      <c r="J211" s="3">
        <f>1354+(472-178.9)+(1.38108+(0.48144-0.182478))+0-324.3-0.330786000000052</f>
        <v>1324.1492559999999</v>
      </c>
      <c r="K211" s="3">
        <f>1362.8+(369.9-175.4)+(0+(0-0))+0-324-0</f>
        <v>1233.3</v>
      </c>
      <c r="L211" s="3">
        <f>1357.9+(265.6-190.1)+(2.770116+(0.541824-0.387804))+0-325.3-0.663611999999986</f>
        <v>1110.3605240000002</v>
      </c>
      <c r="M211" s="3">
        <f>1354.2+(272.5-229.2)+(-1.381284+(-0.27795--0.233784))+0-322.6--0.329052000000051</f>
        <v>1073.803602</v>
      </c>
      <c r="N211" s="3">
        <f>1345.2+(315.7-260.2)+(-2.744208+(-0.644028--0.530808))+0-322--0.656879999999986</f>
        <v>1076.499452</v>
      </c>
      <c r="O211" s="3">
        <f>1343.5+(384.8-265.4)+(-2.055555+(-0.588744--0.406062))+0-323--0.494190000000019</f>
        <v>1138.1559530000002</v>
      </c>
      <c r="P211" s="3">
        <f>1340+(457.9-279.7)+(-3.417+(-1.167645--0.713235))+0-324.6--0.827729999999953</f>
        <v>1190.5563200000001</v>
      </c>
      <c r="Q211" s="3">
        <f>1326.9+(536-270.9)+(-2.030157+(-0.82008--0.414477))+0-324.9--0.497097000000019</f>
        <v>1265.161337</v>
      </c>
      <c r="R211" s="3">
        <f>1321.2+(642-291.2)+(-2.695248+(-1.30968--0.594048))+0-324.8--0.662591999999986</f>
        <v>1344.451712</v>
      </c>
      <c r="S211" s="3">
        <f>1316.6+(673.3-250.5)+(0.671466+(0.343383-0.127755))+0-323.8-0.165137999999967</f>
        <v>1416.3219559999998</v>
      </c>
      <c r="T211" s="3">
        <f>1315.1+(719.1-235.5)+(-1.341402+(-0.733482--0.24021))+0-319.6--0.325992000000051</f>
        <v>1477.5913179999998</v>
      </c>
      <c r="U211" s="3">
        <f>1317.6+(601.7-220.6)+(-3.35988+(-1.534335--0.56253))+0-322.8--0.823139999999953</f>
        <v>1372.3914549999997</v>
      </c>
      <c r="V211" s="3">
        <f>1315.2+(426.5-250.6)+(-2.012256+(-0.652545--0.383418))+0-323--0.494190000000019</f>
        <v>1166.3128070000002</v>
      </c>
      <c r="W211" s="3">
        <f>1320.6+(456.8-306.3)+(0.673506+(0.232968-0.156213))+0-323.2-0.164831999999967</f>
        <v>1148.4854289999998</v>
      </c>
      <c r="X211" s="3">
        <f>1326.8+(554.6-310.1)+(-2.030004+(-0.848538--0.474453))+0-322.2--0.492966000000019</f>
        <v>1247.1888769999998</v>
      </c>
      <c r="Y211" s="3">
        <f>1330+(614.8-325.5)+(-2.7132+(-1.254192--0.66402))+0-319.1--0.650963999999986</f>
        <v>1297.5475919999999</v>
      </c>
      <c r="Z211" s="3">
        <f>1329.7+(740.8-291.2)+(-2.712588+(-1.511232--0.594048))+0-318.2--0.649127999999986</f>
        <v>1458.1193559999999</v>
      </c>
      <c r="AA211" s="3">
        <f>1344.2+(723.1-286.7)+(-3.42771+(-1.843905--0.731085))+0-318.4--0.811919999999954</f>
        <v>1458.4713899999999</v>
      </c>
      <c r="AB211" s="3">
        <f>1349.4+(724-259)+(-3.44097+(-1.8462--0.66045))+0-318.7--0.812684999999954</f>
        <v>1491.8859649999999</v>
      </c>
      <c r="AC211" s="3">
        <f>1349.5+(773.1-209.9)+(-2.064735+(-1.182843--0.321147))+0-316.8--0.484704000000018</f>
        <v>1593.458273</v>
      </c>
      <c r="AD211" s="2">
        <v>1257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1357.1+(659.4-203.7)+(-2.076363+(-1.008882--0.311661))+0-316.3--0.483939000000018</f>
        <v>1494.2103549999999</v>
      </c>
      <c r="G212" s="3">
        <f>1387.7+(617-165.2)+(-2.123181+(-0.94401--0.252756))+0-318--0.486540000000018</f>
        <v>1519.1721050000001</v>
      </c>
      <c r="H212" s="3">
        <f>1382.1+(579-195.3)+(-1.409742+(-0.59058--0.199206))+0-321.8--0.328236000000051</f>
        <v>1442.52712</v>
      </c>
      <c r="I212" s="3">
        <f>1376.6+(544.1-189.7)+(-0.702066+(-0.277491--0.096747))+0-323.3--0.164882999999967</f>
        <v>1406.9820729999999</v>
      </c>
      <c r="J212" s="3">
        <f>1376.9+(507.2-183.4)+(0.702219+(0.258672-0.093534))+0-325.4-0.165953999999967</f>
        <v>1376.0014030000002</v>
      </c>
      <c r="K212" s="3">
        <f>1378.4+(395.1-188.9)+(0.702984+(0.201501-0.096339))+0-323.6-0.165035999999967</f>
        <v>1261.6431100000004</v>
      </c>
      <c r="L212" s="3">
        <f>1394.9+(195.7-228)+(-0.711399+(-0.099807--0.11628))+0-321.9--0.164168999999967</f>
        <v>1040.1692430000001</v>
      </c>
      <c r="M212" s="3">
        <f>1392+(210.9-248)+(0+(0-0))+0-321-0</f>
        <v>1033.9000000000001</v>
      </c>
      <c r="N212" s="3">
        <f>1383+(321.1-321)+(-2.11599+(-0.491283--0.49113))+0-323.3--0.494649000000019</f>
        <v>1058.178506</v>
      </c>
      <c r="O212" s="3">
        <f>1419.4+(345.4-364.3)+(-0.723894+(-0.176154--0.185793))+0-322.9--0.164678999999967</f>
        <v>1077.050424</v>
      </c>
      <c r="P212" s="3">
        <f>1522.4+(366.5-394.3)+(-1.552848+(-0.37383--0.402186))+0-321.2--0.327624000000051</f>
        <v>1172.2031320000001</v>
      </c>
      <c r="Q212" s="3">
        <f>1587.5+(369.1-439.2)+(-1.61925+(-0.376482--0.447984))+0-322.5--0.328950000000051</f>
        <v>1193.6812020000002</v>
      </c>
      <c r="R212" s="3">
        <f>1570.1+(486.7-436.5)+(-0.800751+(-0.248217--0.222615))+0-322.8--0.164627999999967</f>
        <v>1296.8382750000001</v>
      </c>
      <c r="S212" s="3">
        <f>1582.1+(583.6-397.4)+(-2.420613+(-0.892908--0.608022))+0-321.9--0.492507000000019</f>
        <v>1444.1870079999999</v>
      </c>
      <c r="T212" s="3">
        <f>1567.9+(508-380)+(-2.398887+(-0.77724--0.5814))+0-323.8--0.495414000000019</f>
        <v>1370.0006870000002</v>
      </c>
      <c r="U212" s="3">
        <f>1570.3+(352.6-355.7)+(-2.402559+(-0.539478--0.544221))+0-326.3--0.499239000000019</f>
        <v>1239.0014230000002</v>
      </c>
      <c r="V212" s="3">
        <f>1582.9+(241.1-301.3)+(1.614558+(0.245922-0.307326))+0-322.3-0.328746000000051</f>
        <v>1201.6244079999999</v>
      </c>
      <c r="W212" s="3">
        <f>1578+(232.3-359.9)+(0.80478+(0.118473-0.183549))+0-321.1-0.163760999999967</f>
        <v>1129.8759430000002</v>
      </c>
      <c r="X212" s="3">
        <f>1584.3+(320.8-322.2)+(-2.423979+(-0.490824--0.492966))+0-322.6--0.493578000000019</f>
        <v>1258.3717409999999</v>
      </c>
      <c r="Y212" s="3">
        <f>1587.2+(360.1-323.4)+(-1.618944+(-0.367302--0.329868))+0-321.3--0.327726000000051</f>
        <v>1301.2713480000002</v>
      </c>
      <c r="Z212" s="3">
        <f>1591.3+(405.7-286.4)+(-1.623126+(-0.413814--0.292128))+0-323.5--0.329970000000052</f>
        <v>1385.685158</v>
      </c>
      <c r="AA212" s="3">
        <f>1592.2+(424.3-265.5)+(-1.624044+(-0.432786--0.27081))+0-325.1--0.331602000000052</f>
        <v>1424.4455820000001</v>
      </c>
      <c r="AB212" s="3">
        <f>1594+(476.6-242)+(-4.0647+(-1.21533--0.6171))+0-323.1--0.823904999999953</f>
        <v>1501.660975</v>
      </c>
      <c r="AC212" s="3">
        <f>1592.7+(449.2-227.8)+(-4.873662+(-1.374552--0.697068))+0-321.6--0.984096000000037</f>
        <v>1487.9329499999999</v>
      </c>
      <c r="AD212" s="2">
        <v>1294.3999999999999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1430.6+(612.5-188.8)+(1.459212+(0.62475-0.192576))+0-317-0.323340000000051</f>
        <v>1538.8680459999998</v>
      </c>
      <c r="G213" s="3">
        <f>1330.1+(627.8-172.1)+(0.678351+(0.320178-0.087771))+0-321.5-0.163964999999967</f>
        <v>1465.0467929999998</v>
      </c>
      <c r="H213" s="3">
        <f>1328+(615.2-193.3)+(1.35456+(0.627504-0.197166))+0-322.6-0.329052000000051</f>
        <v>1428.755846</v>
      </c>
      <c r="I213" s="3">
        <f>1348.5+(578.4-210.9)+(-0.687735+(-0.294984--0.107559))+0-323.3--0.164882999999967</f>
        <v>1391.9897229999999</v>
      </c>
      <c r="J213" s="3">
        <f>1348.5+(322.1-266.4)+(0+(0-0))+0-324.2-0</f>
        <v>1080</v>
      </c>
      <c r="K213" s="3">
        <f>1346.5+(263.9-260.9)+(-2.74686+(-0.538356--0.532236))+0-325.1--0.663203999999986</f>
        <v>1022.3102239999999</v>
      </c>
      <c r="L213" s="3">
        <f>1350.6+(171.7-263.2)+(1.377612+(0.175134-0.268464))+0-322.8-0.329256000000052</f>
        <v>937.25502599999993</v>
      </c>
      <c r="M213" s="3">
        <f>1344.1+(202.9-275.5)+(0+(0-0))+0-323.8-0</f>
        <v>947.7</v>
      </c>
      <c r="N213" s="3">
        <f>972.1+(486.7-166)+(0+(0-0))+0-322.7-0</f>
        <v>970.09999999999991</v>
      </c>
      <c r="O213" s="3">
        <f>897.4+(635.8-165.8)+(0+(0-0))+0-321.1-0</f>
        <v>1046.2999999999997</v>
      </c>
      <c r="P213" s="3">
        <f>1189.3+(459.7-258.5)+(-1.819629+(-0.703341--0.395505))+0-322--0.492660000000019</f>
        <v>1066.8651950000001</v>
      </c>
      <c r="Q213" s="3">
        <f>1321.5+(428.6-293.3)+(0+(0-0))+0-324.3-0</f>
        <v>1132.5</v>
      </c>
      <c r="R213" s="3">
        <f>1323.5+(491.2-297)+(-2.024955+(-0.751536--0.45441))+0-323--0.494190000000019</f>
        <v>1192.8721090000001</v>
      </c>
      <c r="S213" s="3">
        <f>1323.9+(469.1-289.5)+(0+(0-0))+0-319.4-0</f>
        <v>1184.0999999999999</v>
      </c>
      <c r="T213" s="3">
        <f>1324+(389-275.8)+(0+(0-0))+0-317.6-0</f>
        <v>1119.5999999999999</v>
      </c>
      <c r="U213" s="3">
        <f>1322.4+(257-229)+(-2.697696+(-0.52428--0.46716))+0-317.7--0.648107999999986</f>
        <v>1030.5932920000002</v>
      </c>
      <c r="V213" s="3">
        <f>1322.8+(166.3-232.7)+(-2.023884+(-0.254439--0.356031))+0-323.6--0.495108000000019</f>
        <v>931.37281600000017</v>
      </c>
      <c r="W213" s="3">
        <f>1322.4+(254.7-233.2)+(-0.674424+(-0.129897--0.118932))+0-324.9--0.165698999999967</f>
        <v>1018.4803100000001</v>
      </c>
      <c r="X213" s="3">
        <f>1325.5+(325.3-272.8)+(-2.028015+(-0.497709--0.417384))+0-321.1--0.491283000000019</f>
        <v>1055.2829429999999</v>
      </c>
      <c r="Y213" s="3">
        <f>1326.5+(337.7-206.3)+(-0.676515+(-0.172227--0.105213))+0-321.4--0.163913999999967</f>
        <v>1135.9203850000001</v>
      </c>
      <c r="Z213" s="3">
        <f>1329.2+(414.9-261.5)+(1.355784+(0.423198-0.26673))+0-322.2-0.328644000000051</f>
        <v>1161.5836079999999</v>
      </c>
      <c r="AA213" s="3">
        <f>1329.1+(459-275.4)+(0.677841+(0.23409-0.140454))+0-320.1-0.163250999999968</f>
        <v>1193.2082259999997</v>
      </c>
      <c r="AB213" s="3">
        <f>1329.3+(450.1-254.7)+(-1.355886+(-0.459102--0.259794))+0-317.8--0.324156000000051</f>
        <v>1205.6689620000002</v>
      </c>
      <c r="AC213" s="3">
        <f>1319.5+(449-220.6)+(-2.018835+(-0.68697--0.337518))+0-320--0.489600000000018</f>
        <v>1226.0213130000002</v>
      </c>
      <c r="AD213" s="2">
        <v>1081.5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1303.2+(480.7-186.6)+(-0.664632+(-0.245157--0.095166))+0-320.9--0.163658999999967</f>
        <v>1275.7490360000004</v>
      </c>
      <c r="G214" s="3">
        <f>1293.4+(432.3-171.2)+(-1.319268+(-0.440946--0.174624))+0-320.8--0.327216000000051</f>
        <v>1232.4416260000003</v>
      </c>
      <c r="H214" s="3">
        <f>1278.7+(421.2-153)+(-1.956411+(-0.644436--0.23409))+0-321.5--0.491895000000019</f>
        <v>1223.5251380000002</v>
      </c>
      <c r="I214" s="3">
        <f>1282.4+(339.6-158.8)+(-2.616096+(-0.692784--0.323952))+0-322.2--0.657287999999986</f>
        <v>1138.6723599999998</v>
      </c>
      <c r="J214" s="3">
        <f>1285.6+(369.1-184.4)+(0+(0-0))+0-319.5-0</f>
        <v>1150.8</v>
      </c>
      <c r="K214" s="3">
        <f>1287.4+(251.7-210.2)+(-1.969722+(-0.385101--0.321606))+0-321.2--0.491436000000019</f>
        <v>1006.1582190000001</v>
      </c>
      <c r="L214" s="3">
        <f>1287.1+(212.5-200.4)+(-1.969263+(-0.325125--0.306612))+0-322.8--0.493884000000019</f>
        <v>974.9061079999999</v>
      </c>
      <c r="M214" s="3">
        <f>1283.3+(168.7-222)+(0.654483+(0.086037-0.11322))+0-320.9-0.163658999999967</f>
        <v>909.56364100000019</v>
      </c>
      <c r="N214" s="3">
        <f>1272+(198.3-230.8)+(0.64872+(0.101133-0.117708))+0-320.6-0.163505999999967</f>
        <v>919.36863900000003</v>
      </c>
      <c r="O214" s="3">
        <f>1261.9+(274.1-229.6)+(-2.574276+(-0.559164--0.468384))+0-322.7--0.658307999999986</f>
        <v>981.69325200000003</v>
      </c>
      <c r="P214" s="3">
        <f>1253.2+(359.8-244)+(0.639132+(0.183498-0.12444))+0-318.8-0.162587999999968</f>
        <v>1050.7356020000002</v>
      </c>
      <c r="Q214" s="3">
        <f>1247.3+(408.7-276.1)+(-1.908369+(-0.625311--0.422433))+0-320.5--0.490365000000019</f>
        <v>1057.7791179999999</v>
      </c>
      <c r="R214" s="3">
        <f>1244.1+(500.5-273.3)+(0.634491+(0.255255-0.139383))+0-324.2-0.165341999999967</f>
        <v>1147.685021</v>
      </c>
      <c r="S214" s="3">
        <f>1241+(494-271.4)+(-1.26582+(-0.50388--0.276828))+0-323.7--0.330174000000052</f>
        <v>1138.7373019999998</v>
      </c>
      <c r="T214" s="3">
        <f>1240.4+(490.1-255.8)+(-2.530416+(-0.999804--0.521832))+0-319.7--0.652187999999986</f>
        <v>1152.6438000000001</v>
      </c>
      <c r="U214" s="3">
        <f>1237.7+(404.4-242.9)+(-2.524908+(-0.824976--0.495516))+0-322.3--0.657491999999986</f>
        <v>1074.7031240000001</v>
      </c>
      <c r="V214" s="3">
        <f>1239.6+(348.7-231.7)+(1.264392+(0.355674-0.236334))+0-321.6-0.328032000000051</f>
        <v>1036.0556999999997</v>
      </c>
      <c r="W214" s="3">
        <f>1243+(375.1-294.8)+(-0.63393+(-0.191301--0.150348))+0-324.6--0.165545999999967</f>
        <v>998.19066299999997</v>
      </c>
      <c r="X214" s="3">
        <f>1179.4+(532.6-271.4)+(1.202988+(0.543252-0.276828))+0-322.3-0.328746000000051</f>
        <v>1119.440666</v>
      </c>
      <c r="Y214" s="3">
        <f>1139.8+(629.2-262.2)+(-1.743894+(-0.962676--0.401166))+0-318.6--0.487458000000018</f>
        <v>1186.3820540000002</v>
      </c>
      <c r="Z214" s="3">
        <f>1140.6+(647.5-260.8)+(-2.326824+(-1.3209--0.532032))+0-318.8--0.650351999999986</f>
        <v>1206.0346599999998</v>
      </c>
      <c r="AA214" s="3">
        <f>1141.3+(720.6-230.8)+(-1.164126+(-0.735012--0.235416))+0-320.4--0.326808000000051</f>
        <v>1309.3630860000001</v>
      </c>
      <c r="AB214" s="3">
        <f>1142.2+(709.6-185.1)+(-1.165044+(-0.723792--0.188802))+0-319--0.325380000000051</f>
        <v>1346.3253460000001</v>
      </c>
      <c r="AC214" s="3">
        <f>1138.9+(664.5-153.5)+(-1.161678+(-0.67779--0.15657))+0-322.2--0.328644000000051</f>
        <v>1326.345746</v>
      </c>
      <c r="AD214" s="2">
        <v>1163.2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1139.8+(644.9-124.4)+(-2.325192+(-1.315596--0.253776))+0-320.6--0.654023999999986</f>
        <v>1336.9670120000001</v>
      </c>
      <c r="G215" s="3">
        <f>1140.7+(623.3-106.4)+(-0.581757+(-0.317883--0.054264))+0-319.1--0.162740999999968</f>
        <v>1337.8173649999997</v>
      </c>
      <c r="H215" s="3">
        <f>1140.2+(575.3-117.4)+(-1.744506+(-0.880209--0.179622))+0-319.1--0.488223000000018</f>
        <v>1277.0431299999998</v>
      </c>
      <c r="I215" s="3">
        <f>1139.5+(578.2-141.1)+(-1.743435+(-0.884646--0.215883))+0-322.4--0.493272000000019</f>
        <v>1252.2810739999998</v>
      </c>
      <c r="J215" s="3">
        <f>1139+(475.3-139.9)+(-1.16178+(-0.484806--0.142698))+0-317.5--0.323850000000051</f>
        <v>1155.7199620000001</v>
      </c>
      <c r="K215" s="3">
        <f>1138.9+(426.1-131.7)+(0+(0-0))+0-319.5-0</f>
        <v>1113.8000000000002</v>
      </c>
      <c r="L215" s="3">
        <f>1139.2+(264.5-172.3)+(-0.580992+(-0.134895--0.087873))+0-320.2--0.163301999999968</f>
        <v>910.73528800000008</v>
      </c>
      <c r="M215" s="3">
        <f>1138.5+(290.7-193.9)+(-0.580635+(-0.148257--0.098889))+0-319.9--0.163148999999968</f>
        <v>914.93314599999997</v>
      </c>
      <c r="N215" s="3">
        <f>1237.7+(327.3-222.1)+(0+(0-0))+0-321.6-0</f>
        <v>1021.3000000000001</v>
      </c>
      <c r="O215" s="3">
        <f>1231.5+(351.7-235.8)+(-2.51226+(-0.717468--0.481032))+0-321.1--0.655043999999986</f>
        <v>1024.2063479999999</v>
      </c>
      <c r="P215" s="3">
        <f>1227+(367.9-247.4)+(-0.62577+(-0.187629--0.126174))+0-325--0.165749999999967</f>
        <v>1021.9785250000001</v>
      </c>
      <c r="Q215" s="3">
        <f>1223.7+(435.7-213)+(-1.248174+(-0.444414--0.21726))+0-324.3--0.330786000000052</f>
        <v>1120.9554580000001</v>
      </c>
      <c r="R215" s="3">
        <f>1220.1+(521.9-224.9)+(-1.866753+(-0.798507--0.344097))+0-321.9--0.492507000000019</f>
        <v>1193.3713439999997</v>
      </c>
      <c r="S215" s="3">
        <f>1218+(586.4-212.3)+(-1.86354+(-0.897192--0.324819))+0-322.9--0.494037000000019</f>
        <v>1267.258124</v>
      </c>
      <c r="T215" s="3">
        <f>1218.1+(569.8-213.2)+(0.621231+(0.290598-0.108732))+0-319.2-0.162791999999968</f>
        <v>1256.1403049999997</v>
      </c>
      <c r="U215" s="3">
        <f>1224.5+(479.6-216.2)+(-3.74697+(-1.467576--0.661572))+0-319.5--0.977670000000037</f>
        <v>1164.8246960000001</v>
      </c>
      <c r="V215" s="3">
        <f>1229.3+(370.8-213.2)+(-1.253886+(-0.378216--0.217464))+0-324--0.330480000000052</f>
        <v>1061.8158420000002</v>
      </c>
      <c r="W215" s="3">
        <f>1240.8+(346.7-288.1)+(0+(0-0))+0-325.6-0</f>
        <v>973.79999999999984</v>
      </c>
      <c r="X215" s="3">
        <f>1245+(474.9-314.2)+(-2.5398+(-0.968796--0.640968))+0-321.7--0.656267999999986</f>
        <v>1081.78864</v>
      </c>
      <c r="Y215" s="3">
        <f>1244.9+(568.6-315)+(-5.079192+(-2.319888--1.2852))+0-320.4--1.30723199999997</f>
        <v>1173.2933519999999</v>
      </c>
      <c r="Z215" s="3">
        <f>1242.2+(633.2-301.6)+(-3.16761+(-1.61466--0.76908))+0-324--0.826199999999953</f>
        <v>1246.6130100000003</v>
      </c>
      <c r="AA215" s="3">
        <f>1252.2+(653.6-299.7)+(-3.19311+(-1.66668--0.764235))+0-321.5--0.819824999999953</f>
        <v>1281.3242700000001</v>
      </c>
      <c r="AB215" s="3">
        <f>1200.1+(733.6-252.9)+(-1.836153+(-1.122408--0.386937))+0-321.1--0.491283000000019</f>
        <v>1357.6196590000002</v>
      </c>
      <c r="AC215" s="3">
        <f>1084+(812.2-193.8)+(-0.55284+(-0.414222--0.098838))+0-319.4--0.162893999999968</f>
        <v>1382.2946700000002</v>
      </c>
      <c r="AD215" s="2">
        <v>1111.8999999999999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1064.1+(739.8-183.4)+(0.542691+(0.377298-0.093534))+0-318.3-0.162332999999968</f>
        <v>1302.864122</v>
      </c>
      <c r="G216" s="3">
        <f>1064.6+(700.5-159.1)+(-2.171784+(-1.42902--0.324564))+0-322.2--0.657287999999986</f>
        <v>1281.1810479999999</v>
      </c>
      <c r="H216" s="3">
        <f>1069.9+(598.2-152.2)+(-2.182596+(-1.220328--0.310488))+0-323.5--0.659939999999986</f>
        <v>1189.9675040000002</v>
      </c>
      <c r="I216" s="3">
        <f>1072.3+(587.3-126.9)+(2.187492+(1.198092-0.258876))+0-322.9-0.658715999999986</f>
        <v>1212.267992</v>
      </c>
      <c r="J216" s="3">
        <f>1074.3+(475.7-122.4)+(2.739465+(1.213035-0.31212))+0-318.9-0.813194999999954</f>
        <v>1111.5271850000001</v>
      </c>
      <c r="K216" s="3">
        <f>1070.5+(375.1-129.6)+(1.637865+(0.573903-0.198288))+0-320.9-0.490977000000019</f>
        <v>996.62250300000005</v>
      </c>
      <c r="L216" s="3">
        <f>1061.9+(321.1-126.1)+(2.166276+(0.655044-0.257244))+0-321.1-0.655043999999986</f>
        <v>937.70903200000021</v>
      </c>
      <c r="M216" s="3">
        <f>1065.6+(381.5-141)+(0+(0-0))+0-319.5-0</f>
        <v>986.59999999999991</v>
      </c>
      <c r="N216" s="3">
        <f>1056.9+(411.1-169.1)+(1.078038+(0.419322-0.172482))+0-323.8-0.330276000000052</f>
        <v>976.09460200000001</v>
      </c>
      <c r="O216" s="3">
        <f>1053.1+(482.7-175.3)+(-1.611243+(-0.738531--0.268209))+0-322.9--0.494037000000019</f>
        <v>1036.0124719999999</v>
      </c>
      <c r="P216" s="3">
        <f>1047.1+(497.5-188)+(0+(0-0))+0-321.9-0</f>
        <v>1034.6999999999998</v>
      </c>
      <c r="Q216" s="3">
        <f>1040.7+(576.3-190.9)+(-1.061514+(-0.587826--0.194718))+0-320.6--0.327012000000051</f>
        <v>1104.3723899999998</v>
      </c>
      <c r="R216" s="3">
        <f>1059.7+(636.8-204.4)+(-2.161788+(-1.299072--0.416976))+0-324--0.660959999999986</f>
        <v>1165.7170759999999</v>
      </c>
      <c r="S216" s="3">
        <f>1215.1+(537.8-216.5)+(-1.239402+(-0.548556--0.22083))+0-322.6--0.329052000000051</f>
        <v>1212.5619240000001</v>
      </c>
      <c r="T216" s="3">
        <f>1266.2+(461.3-172.6)+(-3.22881+(-1.176315--0.44013))+0-321.9--0.820844999999953</f>
        <v>1229.8558500000001</v>
      </c>
      <c r="U216" s="3">
        <f>1265.7+(448-197)+(-0.645507+(-0.22848--0.10047))+0-320--0.163199999999968</f>
        <v>1196.0896829999999</v>
      </c>
      <c r="V216" s="3">
        <f>1279.7+(288-204.4)+(0+(0-0))+0-320.6-0</f>
        <v>1042.6999999999998</v>
      </c>
      <c r="W216" s="3">
        <f>1296.3+(352.1-242)+(0+(0-0))+0-324-0</f>
        <v>1082.4000000000001</v>
      </c>
      <c r="X216" s="3">
        <f>1297.6+(429.2-243.1)+(-1.323552+(-0.437784--0.247962))+0-322.4--0.328848000000051</f>
        <v>1160.1154739999997</v>
      </c>
      <c r="Y216" s="3">
        <f>1302.9+(439.8-256.5)+(-1.328958+(-0.448596--0.26163))+0-318.8--0.325176000000051</f>
        <v>1166.2092520000001</v>
      </c>
      <c r="Z216" s="3">
        <f>1314.7+(506.2-233.9)+(1.340994+(0.516324-0.238578))+0-321.4-0.327828000000051</f>
        <v>1266.8909119999998</v>
      </c>
      <c r="AA216" s="3">
        <f>1320+(497.4-226.4)+(1.3464+(0.507348-0.230928))+0-320.8-0.327216000000051</f>
        <v>1271.495604</v>
      </c>
      <c r="AB216" s="3">
        <f>1321.1+(454.7-198.7)+(-2.021283+(-0.695691--0.304011))+0-319.4--0.488682000000018</f>
        <v>1255.775719</v>
      </c>
      <c r="AC216" s="3">
        <f>1323.2+(546.7-166.6)+(-2.699328+(-1.115268--0.339864))+0-320.8--0.654431999999986</f>
        <v>1379.6797000000004</v>
      </c>
      <c r="AD216" s="2">
        <v>1197.8999999999999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1322.7+(506.5-166.3)+(-0.674577+(-0.258315--0.084813))+0-320.5--0.163454999999967</f>
        <v>1341.7153759999999</v>
      </c>
      <c r="G217" s="3">
        <f>1322.2+(486.7-137.5)+(-2.022966+(-0.744651--0.210375))+0-318.6--0.487458000000018</f>
        <v>1350.7302159999999</v>
      </c>
      <c r="H217" s="3">
        <f>1323.5+(393.6-133)+(-2.69994+(-0.802944--0.27132))+0-321.5--0.655859999999986</f>
        <v>1260.024296</v>
      </c>
      <c r="I217" s="3">
        <f>1330.3+(386.6-113)+(-1.356906+(-0.394332--0.11526))+0-320.3--0.326706000000051</f>
        <v>1282.2907280000002</v>
      </c>
      <c r="J217" s="3">
        <f>1332.1+(312.4-118.4)+(2.038113+(0.477972-0.181152))+0-317.5-0.485775000000018</f>
        <v>1210.4491579999999</v>
      </c>
      <c r="K217" s="3">
        <f>1339.7+(208.6-127.9)+(-2.732988+(-0.425544--0.260916))+0-318--0.648719999999986</f>
        <v>1100.151104</v>
      </c>
      <c r="L217" s="3">
        <f>1338.3+(82.5-161.7)+(0+(0-0))+0-317.6-0</f>
        <v>941.49999999999989</v>
      </c>
      <c r="M217" s="3">
        <f>1333.3+(85.5-185.2)+(0+(0-0))+0-320.8-0</f>
        <v>912.8</v>
      </c>
      <c r="N217" s="3">
        <f>1324.3+(123.3-199.6)+(1.350786+(0.125766-0.203592))+0-320.3-0.326706000000051</f>
        <v>928.646254</v>
      </c>
      <c r="O217" s="3">
        <f>1318.7+(158.7-217.5)+(0.672537+(0.080937-0.110925))+0-320-0.163199999999968</f>
        <v>940.37934900000005</v>
      </c>
      <c r="P217" s="3">
        <f>1308.3+(230.5-233.6)+(-1.334466+(-0.23511--0.238272))+0-321.3--0.327726000000051</f>
        <v>982.89642200000014</v>
      </c>
      <c r="Q217" s="3">
        <f>1309.9+(239.1-259.3)+(-2.004147+(-0.365823--0.396729))+0-322--0.492660000000019</f>
        <v>966.21941900000013</v>
      </c>
      <c r="R217" s="3">
        <f>1306.3+(307.4-262.1)+(-3.997278+(-0.940644--0.802026))+0-323--0.988380000000037</f>
        <v>1025.4524839999999</v>
      </c>
      <c r="S217" s="3">
        <f>1323.6+(360.4-245.6)+(0+(0-0))+0-321-0</f>
        <v>1117.3999999999999</v>
      </c>
      <c r="T217" s="3">
        <f>1324.3+(332.3-233.4)+(-0.675393+(-0.169473--0.119034))+0-322--0.164219999999967</f>
        <v>1100.6383879999998</v>
      </c>
      <c r="U217" s="3">
        <f>1327+(300.4-211.9)+(0+(0-0))+0-320-0</f>
        <v>1095.5</v>
      </c>
      <c r="V217" s="3">
        <f>1328.7+(201.7-218.8)+(-2.710548+(-0.411468--0.446352))+0-318--0.648719999999986</f>
        <v>991.57305599999984</v>
      </c>
      <c r="W217" s="3">
        <f>1330.1+(281.4-274.5)+(-1.356702+(-0.287028--0.27999))+0-318--0.324360000000051</f>
        <v>1017.9606200000001</v>
      </c>
      <c r="X217" s="3">
        <f>1325.7+(330.4-252.7)+(-0.676107+(-0.168504--0.128877))+0-318--0.162179999999968</f>
        <v>1084.846446</v>
      </c>
      <c r="Y217" s="3">
        <f>1331.5+(376.6-246.1)+(-1.35813+(-0.384132--0.251022))+0-321--0.327420000000051</f>
        <v>1139.83618</v>
      </c>
      <c r="Z217" s="3">
        <f>1335.6+(453.7-265.2)+(-3.40578+(-1.156935--0.67626))+0-323--0.823649999999953</f>
        <v>1198.0371949999999</v>
      </c>
      <c r="AA217" s="3">
        <f>1340.9+(539-249.3)+(-2.735436+(-1.09956--0.508572))+0-323.8--0.660551999999986</f>
        <v>1304.1341280000001</v>
      </c>
      <c r="AB217" s="3">
        <f>1343.8+(521.4-222.9)+(-2.056014+(-0.797742--0.341037))+0-321.6--0.492048000000019</f>
        <v>1318.6793290000001</v>
      </c>
      <c r="AC217" s="3">
        <f>1344+(541-181.2)+(-1.37088+(-0.55182--0.184824))+0-321.4--0.327828000000051</f>
        <v>1380.9899519999999</v>
      </c>
      <c r="AD217" s="2">
        <v>1082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1350.7+(484.6-157.5)+(-0.688857+(-0.247146--0.080325))+0-320--0.163199999999968</f>
        <v>1357.1075220000002</v>
      </c>
      <c r="G218" s="3">
        <f>1349.9+(406.8-134.6)+(0.688449+(0.207468-0.068646))+0-319.5-0.162944999999968</f>
        <v>1303.2643260000002</v>
      </c>
      <c r="H218" s="3">
        <f>1352.5+(346.8-123)+(0+(0-0))+0-322.1-0</f>
        <v>1254.1999999999998</v>
      </c>
      <c r="I218" s="3">
        <f>1356.3+(288.1-121.1)+(2.766852+(0.587724-0.247044))+0-322.7-0.658307999999986</f>
        <v>1203.0492239999999</v>
      </c>
      <c r="J218" s="3">
        <f>1360.5+(242.5-119.1)+(0.693855+(0.123675-0.060741))+0-322-0.164219999999967</f>
        <v>1162.4925690000002</v>
      </c>
      <c r="K218" s="3">
        <f>1363+(165.6-129)+(1.39026+(0.168912-0.13158))+0-320.6-0.327012000000051</f>
        <v>1080.10058</v>
      </c>
      <c r="L218" s="3">
        <f>1363.6+(64.8-156)+(-1.390872+(-0.066096--0.15912))+0-319.3--0.325686000000051</f>
        <v>952.127838</v>
      </c>
      <c r="M218" s="3">
        <f>1355.3+(94.5-194)+(3.456015+(0.240975-0.4947))+0-317.4-0.809369999999954</f>
        <v>940.79291999999998</v>
      </c>
      <c r="N218" s="3">
        <f>1343.5+(162.1-204.7)+(-1.37037+(-0.165342--0.208794))+0-316.2--0.32252400000005</f>
        <v>983.69560600000011</v>
      </c>
      <c r="O218" s="3">
        <f>1329.8+(160.1-225.9)+(-0.678198+(-0.081651--0.115209))+0-320.6--0.163505999999967</f>
        <v>942.91886599999998</v>
      </c>
      <c r="P218" s="3">
        <f>1320.4+(174.8-257.2)+(0+(0-0))+0-271.7-0</f>
        <v>966.3</v>
      </c>
      <c r="Q218" s="3">
        <f>1314.7+(333.2-255.4)+(0.670497+(0.169932-0.130254))+0-316.9-0.161618999999968</f>
        <v>1076.1485560000001</v>
      </c>
      <c r="R218" s="3">
        <f>1311.6+(404.4-267.2)+(-1.337832+(-0.412488--0.272544))+0-318.8--0.325176000000051</f>
        <v>1128.8474000000001</v>
      </c>
      <c r="S218" s="3">
        <f>1308.6+(453.4-255.7)+(-1.334772+(-0.462468--0.260814))+0-318.8--0.325176000000051</f>
        <v>1186.2887500000002</v>
      </c>
      <c r="T218" s="3">
        <f>1309.1+(398.8-251)+(1.335282+(0.406776-0.25602))+0-318.9-0.325278000000051</f>
        <v>1139.16076</v>
      </c>
      <c r="U218" s="3">
        <f>1314.2+(334.4-236.5)+(-2.010726+(-0.511632--0.361845))+0-317.9--0.486387000000018</f>
        <v>1092.5258739999999</v>
      </c>
      <c r="V218" s="3">
        <f>1321+(230.3-241)+(-1.34742+(-0.234906--0.24582))+0-318.6--0.324972000000051</f>
        <v>990.68846599999983</v>
      </c>
      <c r="W218" s="3">
        <f>1327+(248.5-257.9)+(0+(0-0))+0-319.6-0</f>
        <v>997.99999999999989</v>
      </c>
      <c r="X218" s="3">
        <f>1329.3+(287-281.7)+(-2.711772+(-0.58548--0.574668))+0-320.7--0.654227999999986</f>
        <v>1011.8316439999998</v>
      </c>
      <c r="Y218" s="3">
        <f>1338.5+(343.8-253.7)+(-3.413175+(-0.87669--0.646935))+0-321.6--0.820079999999953</f>
        <v>1104.17715</v>
      </c>
      <c r="Z218" s="3">
        <f>1342.7+(339.8-231.7)+(-0.684777+(-0.173298--0.118167))+0-324.2--0.165341999999967</f>
        <v>1126.0254340000001</v>
      </c>
      <c r="AA218" s="3">
        <f>1345.9+(386.9-216.7)+(-2.745636+(-0.789276--0.442068))+0-326.2--0.665447999999986</f>
        <v>1187.472604</v>
      </c>
      <c r="AB218" s="3">
        <f>1344.3+(392.5-185.5)+(-0.685593+(-0.200175--0.094605))+0-322.8--0.164627999999967</f>
        <v>1227.8734649999999</v>
      </c>
      <c r="AC218" s="3">
        <f>1344.5+(406.5-150.6)+(-4.11417+(-1.24389--0.460836))+0-314.8--0.963288000000036</f>
        <v>1281.6660640000002</v>
      </c>
      <c r="AD218" s="2">
        <v>965.90000000000009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1346.2+(352.7-116.9)+(-1.373124+(-0.359754--0.119238))+0-294.4--0.300288000000047</f>
        <v>1286.286648</v>
      </c>
      <c r="G219" s="3">
        <f>1349.8+(313.2-94.2)+(-0.688398+(-0.159732--0.048042))+0-322.7--0.164576999999967</f>
        <v>1245.464489</v>
      </c>
      <c r="H219" s="3">
        <f>1326.5+(326.5-85.4)+(0+(0-0))+0-325.1-0</f>
        <v>1242.5</v>
      </c>
      <c r="I219" s="3">
        <f>1195.2+(391.3-98)+(1.828656+(0.598689-0.14994))+0-327.6-0.501228000000019</f>
        <v>1162.6761769999998</v>
      </c>
      <c r="J219" s="3">
        <f>1195.1+(336.5-102.7)+(-1.219002+(-0.34323--0.104754))+0-328.8--0.335376000000052</f>
        <v>1098.9778979999999</v>
      </c>
      <c r="K219" s="3">
        <f>1190.8+(283.8-108.1)+(-0.607308+(-0.144738--0.055131))+0-325.9--0.166208999999967</f>
        <v>1040.0692939999999</v>
      </c>
      <c r="L219" s="3">
        <f>1192.4+(176.1-133.6)+(-1.824372+(-0.269433--0.204408))+0-322--0.492660000000019</f>
        <v>911.50326300000017</v>
      </c>
      <c r="M219" s="3">
        <f>1193.3+(182.8-176.4)+(1.217166+(0.186456-0.179928))+0-322-0.328440000000051</f>
        <v>878.59525400000007</v>
      </c>
      <c r="N219" s="3">
        <f>1191.8+(286.5-206.4)+(0+(0-0))+0-322.3-0</f>
        <v>949.59999999999991</v>
      </c>
      <c r="O219" s="3">
        <f>1190+(316.9-224.8)+(-1.2138+(-0.323238--0.229296))+0-320.1--0.326502000000051</f>
        <v>961.01875999999993</v>
      </c>
      <c r="P219" s="3">
        <f>1189.9+(434.7-221.8)+(0+(0-0))+0-322.6-0</f>
        <v>1080.2000000000003</v>
      </c>
      <c r="Q219" s="3">
        <f>1188.5+(462.7-238.5)+(-1.818405+(-0.707931--0.364905))+0-320.1--0.489753000000019</f>
        <v>1090.928322</v>
      </c>
      <c r="R219" s="3">
        <f>1189.2+(566.8-248.5)+(-2.425968+(-1.156272--0.50694))+0-316.1--0.644843999999986</f>
        <v>1188.969544</v>
      </c>
      <c r="S219" s="3">
        <f>1190.2+(583-238.3)+(1.214004+(0.59466-0.243066))+0-313.1-0.31936200000005</f>
        <v>1223.0462359999999</v>
      </c>
      <c r="T219" s="3">
        <f>1189.4+(509.5-188.2)+(-0.606594+(-0.259845--0.095982))+0-314.1--0.160190999999968</f>
        <v>1195.9897339999998</v>
      </c>
      <c r="U219" s="3">
        <f>1188+(435.6-180.2)+(-1.21176+(-0.444312--0.183804))+0-313--0.31926000000005</f>
        <v>1129.2469920000001</v>
      </c>
      <c r="V219" s="3">
        <f>1199.8+(338-179.7)+(0+(0-0))+0-316.1-0</f>
        <v>1042</v>
      </c>
      <c r="W219" s="3">
        <f>1292+(306.6-238.2)+(-1.31784+(-0.312732--0.242964))+0-317.4--0.323748000000051</f>
        <v>1041.93614</v>
      </c>
      <c r="X219" s="3">
        <f>1331.2+(391.9-256.9)+(-2.715648+(-0.799476--0.524076))+0-320.1--0.653003999999986</f>
        <v>1143.7619560000001</v>
      </c>
      <c r="Y219" s="3">
        <f>1334.7+(390.5-266.4)+(0+(0-0))+0-320-0</f>
        <v>1138.8000000000002</v>
      </c>
      <c r="Z219" s="3">
        <f>1339.3+(375.9-227.1)+(-1.366086+(-0.383418--0.231642))+0-318.1--0.324462000000051</f>
        <v>1168.8065999999999</v>
      </c>
      <c r="AA219" s="3">
        <f>1343.4+(421.7-210.4)+(-2.055402+(-0.645201--0.321912))+0-318.3--0.486999000000018</f>
        <v>1234.5083080000002</v>
      </c>
      <c r="AB219" s="3">
        <f>1333.7+(502-176.3)+(-3.400935+(-1.2801--0.449565))+0-317.1--0.808604999999954</f>
        <v>1338.877135</v>
      </c>
      <c r="AC219" s="3">
        <f>1287.9+(498.4-136.5)+(-1.313658+(-0.508368--0.13923))+0-318.9--0.325278000000051</f>
        <v>1329.5424820000001</v>
      </c>
      <c r="AD219" s="2">
        <v>1148.6000000000001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1201.4+(572.5-91.4)+(-2.450856+(-1.1679--0.186456))+0-319.6--0.651983999999986</f>
        <v>1360.1196840000002</v>
      </c>
      <c r="G220" s="3">
        <f>1200.2+(547.3-99)+(-1.224204+(-0.558246--0.10098))+0-315.6--0.32191200000005</f>
        <v>1331.5404420000002</v>
      </c>
      <c r="H220" s="3">
        <f>1206+(489.3-85.5)+(1.23012+(0.499086-0.08721))+0-317.3-0.323646000000051</f>
        <v>1293.81835</v>
      </c>
      <c r="I220" s="3">
        <f>1208.9+(386.2-86.5)+(-3.082695+(-0.98481--0.220575))+0-317.1--0.808604999999954</f>
        <v>1188.4616750000002</v>
      </c>
      <c r="J220" s="3">
        <f>1182.6+(383.4-78.8)+(-3.01563+(-0.97767--0.20094))+0-317.4--0.809369999999954</f>
        <v>1166.8170099999998</v>
      </c>
      <c r="K220" s="3">
        <f>1120.2+(336-79)+(-1.713906+(-0.51408--0.12087))+0-316.1--0.483633000000018</f>
        <v>1059.4765170000003</v>
      </c>
      <c r="L220" s="3">
        <f>1120.7+(263.5-96)+(-1.714671+(-0.403155--0.14688))+0-315.4--0.482562000000018</f>
        <v>971.31161600000019</v>
      </c>
      <c r="M220" s="3">
        <f>1119.7+(279.2-118.4)+(1.713141+(0.427176-0.181152))+0-313.9-0.480267000000018</f>
        <v>968.07889799999998</v>
      </c>
      <c r="N220" s="3">
        <f>1118.7+(323.6-142.1)+(-0.570537+(-0.165036--0.072471))+0-315.9--0.161108999999968</f>
        <v>983.7980070000001</v>
      </c>
      <c r="O220" s="3">
        <f>1213.6+(266.9-174.7)+(-1.237872+(-0.272238--0.178194))+0-315.7--0.32201400000005</f>
        <v>989.0900979999999</v>
      </c>
      <c r="P220" s="3">
        <f>1190.6+(330.9-175.4)+(-0.607206+(-0.168759--0.089454))+0-316.9--0.161618999999968</f>
        <v>1028.6751079999999</v>
      </c>
      <c r="Q220" s="3">
        <f>1290.4+(290.9-181.1)+(-1.974312+(-0.445077--0.277083))+0-316.8--0.484704000000018</f>
        <v>1081.7423980000001</v>
      </c>
      <c r="R220" s="3">
        <f>1321.1+(369.9-187.1)+(-2.695044+(-0.754596--0.381684))+0-315.5--0.643619999999986</f>
        <v>1185.9756639999998</v>
      </c>
      <c r="S220" s="3">
        <f>1354.4+(336.2-181.4)+(-0.690744+(-0.171462--0.092514))+0-317.5--0.161924999999968</f>
        <v>1191.0922329999999</v>
      </c>
      <c r="T220" s="3">
        <f>1378.4+(290.6-173.1)+(-2.108952+(-0.444618--0.264843))+0-320.6--0.490518000000019</f>
        <v>1173.5017910000001</v>
      </c>
      <c r="U220" s="3">
        <f>1413.5+(169.4-162.4)+(-1.44177+(-0.172788--0.165648))+0-321.8--0.328236000000051</f>
        <v>1097.579326</v>
      </c>
      <c r="V220" s="3">
        <f>1331.4+(130.2-138.9)+(0+(0-0))+0-319.3-0</f>
        <v>1003.4000000000001</v>
      </c>
      <c r="W220" s="3">
        <f>1379.4+(169.1-196.5)+(-1.406988+(-0.172482--0.20043))+0-321--0.327420000000051</f>
        <v>1029.94838</v>
      </c>
      <c r="X220" s="3">
        <f>1317.3+(370.3-195.7)+(-0.671823+(-0.188853--0.099807))+0-320.7--0.163556999999967</f>
        <v>1170.6026879999999</v>
      </c>
      <c r="Y220" s="3">
        <f>1317.9+(432-201.3)+(-2.688516+(-0.88128--0.410652))+0-316.7--0.646067999999986</f>
        <v>1229.3869240000001</v>
      </c>
      <c r="Z220" s="3">
        <f>1325.1+(460.1-194.7)+(-1.351602+(-0.469302--0.198594))+0-320.5--0.326910000000051</f>
        <v>1268.7046</v>
      </c>
      <c r="AA220" s="3">
        <f>1327.4+(474-186.7)+(-2.030922+(-0.72522--0.285651))+0-319--0.488070000000018</f>
        <v>1293.7175790000001</v>
      </c>
      <c r="AB220" s="3">
        <f>1328.8+(516.8-165.3)+(-2.033064+(-0.790704--0.252909))+0-320.9--0.490977000000019</f>
        <v>1357.3201180000001</v>
      </c>
      <c r="AC220" s="3">
        <f>1300.4+(541.7-132.4)+(-2.652816+(-1.105068--0.270096))+0-318.8--0.650351999999986</f>
        <v>1388.0625640000003</v>
      </c>
      <c r="AD220" s="2">
        <v>1256.9000000000001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1282.4+(566.2-138.4)+(-1.962072+(-0.866286--0.211752))+0-319.6--0.488988000000019</f>
        <v>1388.4723820000004</v>
      </c>
      <c r="G221" s="3">
        <f>1287.9+(533.1-124.9)+(-3.284145+(-1.359405--0.318495))+0-320.9--0.818294999999953</f>
        <v>1371.6932400000001</v>
      </c>
      <c r="H221" s="3">
        <f>1287.8+(448.3-115.4)+(0+(0-0))+0-323.8-0</f>
        <v>1296.8999999999999</v>
      </c>
      <c r="I221" s="3">
        <f>1271.7+(466.2-96.1)+(-3.242835+(-1.18881--0.245055))+0-320.5--0.817274999999953</f>
        <v>1317.930685</v>
      </c>
      <c r="J221" s="3">
        <f>1173.5+(442-85.1)+(0.598485+(0.22542-0.043401))+0-321.3-0.163862999999967</f>
        <v>1209.7166410000002</v>
      </c>
      <c r="K221" s="3">
        <f>1174.2+(375.6-92.5)+(0+(0-0))+0-320.3-0</f>
        <v>1137.0000000000002</v>
      </c>
      <c r="L221" s="3">
        <f>1174.7+(254.6-135)+(-1.198194+(-0.259692--0.1377))+0-317.3--0.323646000000051</f>
        <v>976.00346000000013</v>
      </c>
      <c r="M221" s="3">
        <f>1172.6+(343.2-147.6)+(-1.196052+(-0.350064--0.150552))+0-317.6--0.323952000000051</f>
        <v>1049.5283879999999</v>
      </c>
      <c r="N221" s="3">
        <f>1171.2+(310.7-152.3)+(1.194624+(0.316914-0.155346))+0-320-0.326400000000051</f>
        <v>1010.6297919999998</v>
      </c>
      <c r="O221" s="3">
        <f>1166.6+(369.8-155)+(0.594966+(0.188598-0.07905))+0-322-0.164219999999967</f>
        <v>1059.940294</v>
      </c>
      <c r="P221" s="3">
        <f>1105+(444-157.3)+(-2.2542+(-0.90576--0.320892))+0-321.3--0.655451999999986</f>
        <v>1068.2163840000001</v>
      </c>
      <c r="Q221" s="3">
        <f>1052.6+(559.4-160.9)+(-0.536826+(-0.285294--0.082059))+0-322--0.164219999999967</f>
        <v>1128.5241589999998</v>
      </c>
      <c r="R221" s="3">
        <f>952.3+(723.8-159.4)+(-1.457019+(-1.107414--0.243882))+0-321.4--0.491742000000019</f>
        <v>1193.4711909999999</v>
      </c>
      <c r="S221" s="3">
        <f>956.2+(745.8-154.1)+(-1.950648+(-1.521432--0.314364))+0-321.8--0.656471999999986</f>
        <v>1223.5987560000001</v>
      </c>
      <c r="T221" s="3">
        <f>943.5+(725.6-155.5)+(-1.92474+(-1.480224--0.31722))+0-318.1--0.648923999999986</f>
        <v>1193.0611800000001</v>
      </c>
      <c r="U221" s="3">
        <f>923.3+(658.5-147.7)+(-0.941766+(-0.67167--0.150654))+0-315.6--0.32191200000005</f>
        <v>1117.3591300000001</v>
      </c>
      <c r="V221" s="3">
        <f>918.9+(575-147.3)+(-0.468639+(-0.29325--0.075123))+0-316.9--0.161618999999968</f>
        <v>1029.174853</v>
      </c>
      <c r="W221" s="3">
        <f>995.1+(554.1-205)+(-1.522503+(-0.847773--0.31365))+0-320.6--0.490518000000019</f>
        <v>1022.033892</v>
      </c>
      <c r="X221" s="3">
        <f>1010.5+(628.5-198.1)+(-0.515355+(-0.320535--0.101031))+0-317.7--0.162026999999968</f>
        <v>1122.6271680000002</v>
      </c>
      <c r="Y221" s="3">
        <f>1013.3+(688.4-210.8)+(-2.067132+(-1.404336--0.430032))+0-317--0.646679999999986</f>
        <v>1171.5052439999999</v>
      </c>
      <c r="Z221" s="3">
        <f>1016+(758.8-228.9)+(0+(0-0))+0-319.9-0</f>
        <v>1226</v>
      </c>
      <c r="AA221" s="3">
        <f>993.6+(829.6-176.9)+(0+(0-0))+0-320-0</f>
        <v>1326.3000000000002</v>
      </c>
      <c r="AB221" s="3">
        <f>979.4+(879-131.5)+(-0.499494+(-0.44829--0.067065))+0-320.6--0.163505999999967</f>
        <v>1405.5827869999998</v>
      </c>
      <c r="AC221" s="3">
        <f>924.7+(911.2-93)+(-1.414791+(-1.394136--0.14229))+0-319.7--0.489141000000018</f>
        <v>1421.022504</v>
      </c>
      <c r="AD221" s="2">
        <v>1070.2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958.1+(859.3-84.9)+(-0.977262+(-0.876486--0.086598))+0-319.9--0.326298000000051</f>
        <v>1411.1591480000002</v>
      </c>
      <c r="G222" s="3">
        <f>1035+(756.7-95.5)+(-1.0557+(-0.771834--0.09741))+0-317.9--0.324258000000051</f>
        <v>1376.8941340000001</v>
      </c>
      <c r="H222" s="3">
        <f>1035.6+(695.4-85.2)+(0.528156+(0.354654-0.043452))+0-321.1-0.163760999999967</f>
        <v>1325.3755969999995</v>
      </c>
      <c r="I222" s="3">
        <f>1036.9+(636.3-80)+(-1.586457+(-0.973539--0.1224))+0-320.5--0.490365000000019</f>
        <v>1270.7527690000002</v>
      </c>
      <c r="J222" s="3">
        <f>1037.5+(534.4-85.9)+(-0.529125+(-0.272544--0.043809))+0-276.6--0.141065999999972</f>
        <v>1208.7832059999998</v>
      </c>
      <c r="K222" s="3">
        <f>1038.2+(451.7-79.9)+(-2.117928+(-0.921468--0.162996))+0-319--0.650759999999986</f>
        <v>1088.7743599999999</v>
      </c>
      <c r="L222" s="3">
        <f>1038.4+(348-124.2)+(-0.529584+(-0.17748--0.063342))+0-317.2--0.161771999999968</f>
        <v>944.5180499999999</v>
      </c>
      <c r="M222" s="3">
        <f>1037.1+(399.2-135.4)+(0+(0-0))+0-316.5-0</f>
        <v>984.39999999999986</v>
      </c>
      <c r="N222" s="3">
        <f>1036.1+(443.9-174.3)+(0+(0-0))+0-319.2-0</f>
        <v>986.49999999999977</v>
      </c>
      <c r="O222" s="3">
        <f>1060.3+(478.2-204.7)+(-2.163012+(-0.975528--0.417588))+0-320.2--0.653207999999986</f>
        <v>1011.532256</v>
      </c>
      <c r="P222" s="3">
        <f>1054.1+(580.7-217.2)+(2.150364+(1.184628-0.443088))+0-320.7-0.654227999999986</f>
        <v>1099.1376760000001</v>
      </c>
      <c r="Q222" s="3">
        <f>976.3+(667.8-239.4)+(0.497913+(0.340578-0.122094))+0-322-0.164219999999967</f>
        <v>1083.2521769999998</v>
      </c>
      <c r="R222" s="3">
        <f>959.8+(775.3-240.5)+(-2.44749+(-1.977015--0.613275))+0-320.8--0.818039999999953</f>
        <v>1170.8068099999998</v>
      </c>
      <c r="S222" s="3">
        <f>954.5+(807-234.1)+(0.97359+(0.82314-0.238782))+0-318.2-0.324564000000051</f>
        <v>1210.4333839999999</v>
      </c>
      <c r="T222" s="3">
        <f>966.1+(774.4-189.4)+(0+(0-0))+0-317.3-0</f>
        <v>1233.8</v>
      </c>
      <c r="U222" s="3">
        <f>966.3+(746.2-161.4)+(-0.985626+(-0.761124--0.164628))+0-316.5--0.32283000000005</f>
        <v>1233.3407079999999</v>
      </c>
      <c r="V222" s="3">
        <f>972.5+(559-184.9)+(0.99195+(0.57018-0.188598))+0-316.4-0.32272800000005</f>
        <v>1031.2508039999998</v>
      </c>
      <c r="W222" s="3">
        <f>977+(685.7-223.4)+(-1.49481+(-1.049121--0.341802))+0-318.4--0.487152000000018</f>
        <v>1119.1850230000002</v>
      </c>
      <c r="X222" s="3">
        <f>983.8+(759.1-249.9)+(-2.50869+(-1.935705--0.637245))+0-317.7--0.810134999999954</f>
        <v>1172.3029849999998</v>
      </c>
      <c r="Y222" s="3">
        <f>988.7+(871.2-258.7)+(-2.521185+(-2.22156--0.659685))+0-319.4--0.814469999999954</f>
        <v>1278.5314100000003</v>
      </c>
      <c r="Z222" s="3">
        <f>991.7+(889.4-255.3)+(-1.517301+(-1.360782--0.390609))+0-320.4--0.490212000000018</f>
        <v>1303.402738</v>
      </c>
      <c r="AA222" s="3">
        <f>991.8+(882.5-242.1)+(-1.517454+(-1.350225--0.370413))+0-320.3--0.490059000000019</f>
        <v>1309.8927929999998</v>
      </c>
      <c r="AB222" s="3">
        <f>994.1+(913.6-212.9)+(-1.013982+(-0.931872--0.217158))+0-319.3--0.325686000000051</f>
        <v>1374.0969900000005</v>
      </c>
      <c r="AC222" s="3">
        <f>994.4+(890.3-184.9)+(-1.014288+(-0.908106--0.188598))+0-319.7--0.326094000000051</f>
        <v>1378.6922979999999</v>
      </c>
      <c r="AD222" s="2">
        <v>1205.3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1000.4+(866.8-139.2)+(0+(0-0))+0-318.6-0</f>
        <v>1409.4</v>
      </c>
      <c r="G223" s="3">
        <f>1003.4+(780.6-121.8)+(-1.535202+(-1.194318--0.186354))+0-317.4--0.485622000000018</f>
        <v>1342.7424560000002</v>
      </c>
      <c r="H223" s="3">
        <f>1005.9+(720.9-110.9)+(-2.565045+(-1.838295--0.282795))+0-318.3--0.811664999999954</f>
        <v>1294.2911200000001</v>
      </c>
      <c r="I223" s="3">
        <f>1005.7+(678-103)+(0.512907+(0.34578-0.05253))+0-317.1-0.161720999999968</f>
        <v>1264.244436</v>
      </c>
      <c r="J223" s="3">
        <f>1034.6+(611.9-141.9)+(0+(0-0))+0-315.6-0</f>
        <v>1189</v>
      </c>
      <c r="K223" s="3">
        <f>1169.6+(412.2-178)+(0+(0-0))+0-315.7-0</f>
        <v>1088.0999999999999</v>
      </c>
      <c r="L223" s="3">
        <f>1219.4+(269.9-211.6)+(0+(0-0))+0-314-0</f>
        <v>963.7</v>
      </c>
      <c r="M223" s="3">
        <f>1212.7+(318.3-208.7)+(-1.236954+(-0.324666--0.212874))+0-314.4--0.32068800000005</f>
        <v>1006.8719420000003</v>
      </c>
      <c r="N223" s="3">
        <f>1207.3+(379.2-229.3)+(0.615723+(0.193392-0.116943))+0-315.2-0.160751999999968</f>
        <v>1042.5314199999998</v>
      </c>
      <c r="O223" s="3">
        <f>1173.2+(433.4-237.5)+(-2.393328+(-0.884136--0.4845))+0-317.6--0.647903999999986</f>
        <v>1049.3549399999997</v>
      </c>
      <c r="P223" s="3">
        <f>1185+(399.5-242.1)+(0+(0-0))+0-318.2-0</f>
        <v>1024.2</v>
      </c>
      <c r="Q223" s="3">
        <f>1179+(471-252.9)+(-3.00645+(-1.20105--0.644895))+0-319.5--0.814724999999954</f>
        <v>1074.8521199999998</v>
      </c>
      <c r="R223" s="3">
        <f>1177.4+(542.7-244.9)+(-1.801422+(-0.830331--0.374697))+0-323--0.494190000000019</f>
        <v>1150.4371340000005</v>
      </c>
      <c r="S223" s="3">
        <f>1174.6+(639.3-219.1)+(0.599046+(0.326043-0.111741))+0-321.7-0.164066999999967</f>
        <v>1273.7492809999997</v>
      </c>
      <c r="T223" s="3">
        <f>1178.1+(620.3-199.1)+(-1.201662+(-0.632706--0.203082))+0-320.4--0.326808000000051</f>
        <v>1277.5955219999998</v>
      </c>
      <c r="U223" s="3">
        <f>1180+(529-183.1)+(-0.6018+(-0.26979--0.093381))+0-320.6--0.163505999999967</f>
        <v>1204.685297</v>
      </c>
      <c r="V223" s="3">
        <f>1190+(435.7-196.9)+(1.2138+(0.444414-0.200838))+0-321.9-0.328338000000051</f>
        <v>1108.0290379999999</v>
      </c>
      <c r="W223" s="3">
        <f>1196.2+(456.2-267.1)+(0+(0-0))+0-320.1-0</f>
        <v>1065.1999999999998</v>
      </c>
      <c r="X223" s="3">
        <f>1200.6+(550.1-277.9)+(-1.224612+(-0.561102--0.283458))+0-321.3--0.327726000000051</f>
        <v>1150.32547</v>
      </c>
      <c r="Y223" s="3">
        <f>1204.7+(597.4-281.2)+(-1.843191+(-0.914022--0.430236))+0-320.2--0.489906000000018</f>
        <v>1198.8629290000001</v>
      </c>
      <c r="Z223" s="3">
        <f>1207.2+(651.2-272.1)+(-1.847016+(-0.996336--0.416313))+0-318.2--0.486846000000018</f>
        <v>1266.1598070000002</v>
      </c>
      <c r="AA223" s="3">
        <f>1210.2+(705.6-249.1)+(-1.234404+(-0.719712--0.254082))+0-316.2--0.32252400000005</f>
        <v>1349.1224900000002</v>
      </c>
      <c r="AB223" s="3">
        <f>1209.5+(668.7-229.4)+(-1.850535+(-1.023111--0.350982))+0-318.8--0.487764000000018</f>
        <v>1327.9651000000001</v>
      </c>
      <c r="AC223" s="3">
        <f>1211.2+(619-200)+(-3.08856+(-1.57845--0.51))+0-319.5--0.814724999999954</f>
        <v>1307.3577150000001</v>
      </c>
      <c r="AD223" s="2">
        <v>1144.5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1213.9+(589-191.5)+(-0.619089+(-0.30039--0.097665))+0-318.7--0.162536999999968</f>
        <v>1292.0407230000001</v>
      </c>
      <c r="G224" s="3">
        <f>1212.9+(633.3-178.6)+(0+(0-0))+0-321.7-0</f>
        <v>1345.8999999999999</v>
      </c>
      <c r="H224" s="3">
        <f>1177.6+(599.7-157)+(1.801728+(0.917541-0.24021))+0-321.2-0.491436000000019</f>
        <v>1301.0876229999999</v>
      </c>
      <c r="I224" s="3">
        <f>1066.2+(621.3-133.6)+(1.087524+(0.633726-0.136272))+0-320.4-0.326808000000051</f>
        <v>1234.7581700000003</v>
      </c>
      <c r="J224" s="3">
        <f>1062.2+(572.1-136.8)+(1.083444+(0.583542-0.139536))+0-317.6-0.323952000000051</f>
        <v>1181.1034980000002</v>
      </c>
      <c r="K224" s="3">
        <f>1062.1+(519.4-132.6)+(-0.541671+(-0.264894--0.067626))+0-319--0.162689999999968</f>
        <v>1129.3237509999997</v>
      </c>
      <c r="L224" s="3">
        <f>1058+(363.7-167.3)+(-0.53958+(-0.185487--0.085323))+0-319.8--0.163097999999968</f>
        <v>934.12335400000006</v>
      </c>
      <c r="M224" s="3">
        <f>1058.2+(378.2-187.8)+(-2.158728+(-0.771528--0.383112))+0-318.2--0.649127999999986</f>
        <v>928.50198399999999</v>
      </c>
      <c r="N224" s="3">
        <f>1126+(384.7-224)+(1.72278+(0.588591-0.34272))+0-318.3-0.486999000000018</f>
        <v>969.88165200000003</v>
      </c>
      <c r="O224" s="3">
        <f>1277.4+(327-268.9)+(-2.605896+(-0.66708--0.548556))+0-322.9--0.658715999999986</f>
        <v>1010.534296</v>
      </c>
      <c r="P224" s="3">
        <f>1405.3+(270-326.9)+(0+(0-0))+0-326.7-0</f>
        <v>1021.7</v>
      </c>
      <c r="Q224" s="3">
        <f>1397.2+(353.2-327.9)+(-0.712572+(-0.180132--0.167229))+0-322--0.164219999999967</f>
        <v>1099.9387449999999</v>
      </c>
      <c r="R224" s="3">
        <f>1393.5+(379.1-329.3)+(-2.84274+(-0.773364--0.671772))+0-318.7--0.650147999999986</f>
        <v>1122.3058159999998</v>
      </c>
      <c r="S224" s="3">
        <f>1390.5+(388-307.9)+(-1.41831+(-0.39576--0.314058))+0-320.9--0.327318000000051</f>
        <v>1148.527306</v>
      </c>
      <c r="T224" s="3">
        <f>1399.1+(264.6-291.3)+(-0.713541+(-0.134946--0.148563))+0-320.9--0.163658999999967</f>
        <v>1050.963735</v>
      </c>
      <c r="U224" s="3">
        <f>1397+(149.9-302.9)+(-2.13741+(-0.229347--0.463437))+0-318.9--0.487917000000018</f>
        <v>923.68459700000017</v>
      </c>
      <c r="V224" s="3">
        <f>1402.8+(87.5-465.8)+(-5.007996+(-0.312375--1.662906))+0-315.7--1.127049</f>
        <v>706.26958400000001</v>
      </c>
      <c r="W224" s="3">
        <f>1425.8+(155.9-526.6)+(-1.454316+(-0.159018--0.537132))+0-316.4--0.32272800000005</f>
        <v>737.94652600000006</v>
      </c>
      <c r="X224" s="3">
        <f>1429.2+(198.9-557.6)+(-3.64446+(-0.507195--1.42188))+0-317--0.808349999999954</f>
        <v>751.57857499999989</v>
      </c>
      <c r="Y224" s="3">
        <f>1425.6+(218.9-534.1)+(-0.727056+(-0.111639--0.272391))+0-319.9--0.163148999999968</f>
        <v>790.09684499999992</v>
      </c>
      <c r="Z224" s="3">
        <f>1429.7+(230.3-466.8)+(-5.104029+(-0.822171--1.666476))+0-321.9--1.149183</f>
        <v>868.18945900000006</v>
      </c>
      <c r="AA224" s="3">
        <f>1433.7+(227.4-393.1)+(-2.924748+(-0.463896--0.801924))+0-320.8--0.654431999999986</f>
        <v>945.26771200000007</v>
      </c>
      <c r="AB224" s="3">
        <f>1431+(219.5-301.4)+(-3.64905+(-0.559725--0.76857))+0-320.9--0.818294999999953</f>
        <v>1025.57809</v>
      </c>
      <c r="AC224" s="3">
        <f>1379+(200.2-211)+(-3.51645+(-0.51051--0.53805))+0-320.2--0.816509999999954</f>
        <v>1045.3275999999998</v>
      </c>
      <c r="AD224" s="2">
        <v>737.60000000000014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1273+(262.6-155.7)+(-2.59692+(-0.535704--0.317628))+0-319.3--0.651371999999986</f>
        <v>1058.4363760000001</v>
      </c>
      <c r="G225" s="3">
        <f>1272+(221-145)+(-2.59488+(-0.45084--0.2958))+0-321.7--0.656267999999986</f>
        <v>1024.2063479999999</v>
      </c>
      <c r="H225" s="3">
        <f>1271.5+(188-133.5)+(-1.29693+(-0.19176--0.13617))+0-319.8--0.326196000000051</f>
        <v>1005.1736760000002</v>
      </c>
      <c r="I225" s="3">
        <f>1271.2+(177.3-165.8)+(-1.296624+(-0.180846--0.169116))+0-319.8--0.326196000000051</f>
        <v>961.91784200000018</v>
      </c>
      <c r="J225" s="3">
        <f>1271.9+(148.7-181.3)+(1.297338+(0.151674-0.184926))+0-318.7-0.325074000000051</f>
        <v>921.53901199999996</v>
      </c>
      <c r="K225" s="3">
        <f>1273.5+(102.9-248)+(1.29897+(0.104958-0.25296))+0-314.4-0.32068800000005</f>
        <v>814.83028000000002</v>
      </c>
      <c r="L225" s="3">
        <f>1208+(119.9-223.6)+(0+(0-0))+0-314.9-0</f>
        <v>789.4</v>
      </c>
      <c r="M225" s="3">
        <f>1116+(167.7-226.2)+(1.13832+(0.171054-0.230724))+0-315-0.32130000000005</f>
        <v>743.25734999999986</v>
      </c>
      <c r="N225" s="3">
        <f>1069.9+(234.5-218)+(-1.636947+(-0.358785--0.33354))+0-315.2--0.482256000000018</f>
        <v>770.02006400000005</v>
      </c>
      <c r="O225" s="3">
        <f>1069+(259.3-211.9)+(1.63557+(0.396729-0.324207))+0-316.9-0.484857000000018</f>
        <v>800.72323500000016</v>
      </c>
      <c r="P225" s="3">
        <f>1076.4+(313.6-240.3)+(-0.548964+(-0.159936--0.122553))+0-317.7--0.162026999999968</f>
        <v>831.57568000000003</v>
      </c>
      <c r="Q225" s="3">
        <f>1092.2+(351.9-244.7)+(0+(0-0))+0-317.1-0</f>
        <v>882.30000000000007</v>
      </c>
      <c r="R225" s="3">
        <f>1105.7+(446-249)+(-1.691721+(-0.68238--0.38097))+0-321.4--0.491742000000019</f>
        <v>979.79861100000016</v>
      </c>
      <c r="S225" s="3">
        <f>1104.6+(395.8-251.3)+(0+(0-0))+0-323.1-0</f>
        <v>925.99999999999989</v>
      </c>
      <c r="T225" s="3">
        <f>1101.8+(368.2-239.2)+(-1.123836+(-0.375564--0.243984))+0-323--0.329460000000051</f>
        <v>906.87404400000003</v>
      </c>
      <c r="U225" s="3">
        <f>1100.5+(315.5-243.4)+(-1.683765+(-0.482715--0.372402))+0-325.5--0.498015000000019</f>
        <v>845.80393700000002</v>
      </c>
      <c r="V225" s="3">
        <f>1100.1+(266.6-249.6)+(-1.122102+(-0.271932--0.254592))+0-322.4--0.328848000000051</f>
        <v>793.88940600000012</v>
      </c>
      <c r="W225" s="3">
        <f>1183.6+(356.6-281.7)+(1.207272+(0.363732-0.287334))+0-323.5-0.329970000000052</f>
        <v>935.95370000000003</v>
      </c>
      <c r="X225" s="3">
        <f>1242.8+(327.7-276.7)+(-1.267656+(-0.334254--0.282234))+0-324.7--0.331194000000052</f>
        <v>968.11151799999993</v>
      </c>
      <c r="Y225" s="3">
        <f>1247.7+(316.8-268)+(-3.181635+(-0.80784--0.6834))+0-322.8--0.823139999999953</f>
        <v>971.21706500000005</v>
      </c>
      <c r="Z225" s="3">
        <f>1247.8+(286.3-261.8)+(1.272756+(0.292026-0.267036))+0-324.2-0.330684000000052</f>
        <v>949.06706199999985</v>
      </c>
      <c r="AA225" s="3">
        <f>1250.8+(310.7-257.8)+(-3.18954+(-0.792285--0.65739))+0-323.4--0.824669999999953</f>
        <v>977.80023499999982</v>
      </c>
      <c r="AB225" s="3">
        <f>1252+(362.1-226.2)+(-0.63852+(-0.184671--0.115362))+0-322.8--0.164627999999967</f>
        <v>1064.5567990000002</v>
      </c>
      <c r="AC225" s="3">
        <f>1252.4+(385.3-197.2)+(-0.638724+(-0.196503--0.100572))+0-320.9--0.163658999999967</f>
        <v>1119.0290040000002</v>
      </c>
      <c r="AD225" s="2">
        <v>1022.6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1240.4+(363.6-201.2)+(-3.16302+(-0.92718--0.51306))+0-323.8--0.825689999999953</f>
        <v>1076.24855</v>
      </c>
      <c r="G226" s="3">
        <f>1153.9+(286.1-186.1)+(-0.588489+(-0.145911--0.094911))+0-323--0.164729999999967</f>
        <v>930.42524100000014</v>
      </c>
      <c r="H226" s="3">
        <f>1153.9+(289.2-162)+(-2.353956+(-0.589968--0.33048))+0-319--0.650759999999986</f>
        <v>960.13731600000006</v>
      </c>
      <c r="I226" s="3">
        <f>1152.9+(199.8-170.7)+(-1.175958+(-0.203796--0.174114))+0-318.8--0.325176000000051</f>
        <v>862.3195360000002</v>
      </c>
      <c r="J226" s="3">
        <f>1151.9+(177.8-166.8)+(2.937345+(0.45339-0.42534))+0-319.2-0.813959999999954</f>
        <v>845.85143500000004</v>
      </c>
      <c r="K226" s="3">
        <f>1151.5+(188.7-154.5)+(1.17453+(0.192474-0.15759))+0-322.3-0.328746000000051</f>
        <v>864.28066799999999</v>
      </c>
      <c r="L226" s="3">
        <f>1176.2+(142.7-163.8)+(-0.599862+(-0.072777--0.083538))+0-319.5--0.162944999999968</f>
        <v>835.1738439999998</v>
      </c>
      <c r="M226" s="3">
        <f>1259.5+(97.7-217.1)+(-1.927035+(-0.149481--0.332163))+0-321.7--0.492201000000019</f>
        <v>817.14784799999984</v>
      </c>
      <c r="N226" s="3">
        <f>1253.1+(113.5-218.5)+(-3.195405+(-0.289425--0.557175))+0-320.8--0.818039999999953</f>
        <v>825.19038499999999</v>
      </c>
      <c r="O226" s="3">
        <f>1248.6+(196.8-231.8)+(1.910358+(0.301104-0.354654))+0-319.7-0.489141000000018</f>
        <v>895.26766699999985</v>
      </c>
      <c r="P226" s="3">
        <f>1242.3+(213.8-261.1)+(1.267146+(0.218076-0.266322))+0-322.7-0.329154000000051</f>
        <v>873.18974600000001</v>
      </c>
      <c r="Q226" s="3">
        <f>1237.1+(313.6-256.8)+(0+(0-0))+0-320.6-0</f>
        <v>973.29999999999984</v>
      </c>
      <c r="R226" s="3">
        <f>1232.9+(336.1-265)+(-1.886337+(-0.514233--0.40545))+0-321.7--0.492201000000019</f>
        <v>980.79708099999993</v>
      </c>
      <c r="S226" s="3">
        <f>1230.9+(286.3-245.5)+(-2.511036+(-0.584052--0.50082))+0-321.7--0.656267999999986</f>
        <v>948.0619999999999</v>
      </c>
      <c r="T226" s="3">
        <f>1226.1+(314.9-221.8)+(-0.625311+(-0.160599--0.113118))+0-322.8--0.164627999999967</f>
        <v>995.89183599999978</v>
      </c>
      <c r="U226" s="3">
        <f>1225.4+(298.6-213.9)+(-3.12477+(-0.76143--0.545445))+0-325--0.828749999999953</f>
        <v>982.58799500000009</v>
      </c>
      <c r="V226" s="3">
        <f>1230.5+(244-212.3)+(-2.51022+(-0.49776--0.433092))+0-323.3--0.659531999999986</f>
        <v>936.984644</v>
      </c>
      <c r="W226" s="3">
        <f>1235.4+(255.3-263.8)+(-0.630054+(-0.130203--0.134538))+0-325--0.165749999999967</f>
        <v>901.4400310000002</v>
      </c>
      <c r="X226" s="3">
        <f>1239.2+(340.5-272.3)+(-1.263984+(-0.34731--0.277746))+0-324.1--0.330582000000052</f>
        <v>982.29703400000005</v>
      </c>
      <c r="Y226" s="3">
        <f>1243.8+(335.3-276.5)+(-3.806028+(-1.026018--0.84609))+0-321.1--0.982566000000037</f>
        <v>978.49660999999992</v>
      </c>
      <c r="Z226" s="3">
        <f>1247.9+(306.4-265.5)+(-3.818574+(-0.937584--0.81243))+0-321.8--0.984708000000037</f>
        <v>964.04098000000033</v>
      </c>
      <c r="AA226" s="3">
        <f>1252.5+(283.4-247)+(-0.638775+(-0.144534--0.12597))+0-323.3--0.164882999999967</f>
        <v>965.10754399999996</v>
      </c>
      <c r="AB226" s="3">
        <f>1256+(351.5-207.1)+(-2.56224+(-0.71706--0.422484))+0-322.9--0.658715999999986</f>
        <v>1075.3018999999999</v>
      </c>
      <c r="AC226" s="3">
        <f>1240.3+(333.4-179.6)+(-2.530212+(-0.680136--0.366384))+0-322--0.656879999999986</f>
        <v>1069.912916</v>
      </c>
      <c r="AD226" s="2">
        <v>1008.1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1221.3+(337.3-146.2)+(-0.622863+(-0.172023--0.074562))+0-321.1--0.163760999999967</f>
        <v>1090.7434370000003</v>
      </c>
      <c r="G227" s="3">
        <f>1223.5+(332.2-199.3)+(0+(0-0))+0-321.3-0</f>
        <v>1035.1000000000001</v>
      </c>
      <c r="H227" s="3">
        <f>1158.1+(382-178.3)+(1.181262+(0.38964-0.181866))+0-322-0.328440000000051</f>
        <v>1040.860596</v>
      </c>
      <c r="I227" s="3">
        <f>1065.7+(414.8-156)+(2.174028+(0.846192-0.31824))+0-323.2-0.659327999999986</f>
        <v>1003.342652</v>
      </c>
      <c r="J227" s="3">
        <f>1066.1+(315.5-135.8)+(0+(0-0))+0-320.5-0</f>
        <v>925.3</v>
      </c>
      <c r="K227" s="3">
        <f>1065.8+(279.9-147.9)+(1.630674+(0.428247-0.226287))+0-320.2-0.489906000000018</f>
        <v>878.94272799999999</v>
      </c>
      <c r="L227" s="3">
        <f>1065.9+(249.6-164.3)+(-2.718045+(-0.63648--0.418965))+0-320.1--0.816254999999954</f>
        <v>828.98069500000008</v>
      </c>
      <c r="M227" s="3">
        <f>1066.3+(230.1-200.6)+(1.087626+(0.234702-0.204612))+0-318.5-0.324870000000051</f>
        <v>778.09284599999989</v>
      </c>
      <c r="N227" s="3">
        <f>1130.5+(239.5-212.8)+(0+(0-0))+0-317.9-0</f>
        <v>839.30000000000007</v>
      </c>
      <c r="O227" s="3">
        <f>1198.4+(205.1-243.8)+(0+(0-0))+0-318.4-0</f>
        <v>841.30000000000007</v>
      </c>
      <c r="P227" s="3">
        <f>1203.8+(212.5-259.5)+(0.613938+(0.108375-0.132345))+0-317.5-0.161924999999968</f>
        <v>839.72804299999996</v>
      </c>
      <c r="Q227" s="3">
        <f>1286.3+(211.2-281.7)+(-1.968039+(-0.323136--0.431001))+0-320.8--0.490824000000019</f>
        <v>893.63065000000006</v>
      </c>
      <c r="R227" s="3">
        <f>1291.1+(279.5-274.4)+(-3.292305+(-0.712725--0.69972))+0-324--0.826199999999953</f>
        <v>969.72088999999983</v>
      </c>
      <c r="S227" s="3">
        <f>1288.3+(266.9-264.8)+(-1.971099+(-0.408357--0.405144))+0-323--0.494190000000019</f>
        <v>965.91987799999981</v>
      </c>
      <c r="T227" s="3">
        <f>1321.7+(228.8-264)+(2.696268+(0.466752-0.53856))+0-322.2-0.657287999999986</f>
        <v>966.26717199999996</v>
      </c>
      <c r="U227" s="3">
        <f>1351.3+(178.9-290.5)+(-2.067489+(-0.273717--0.444465))+0-317.7--0.486081000000018</f>
        <v>920.58933999999999</v>
      </c>
      <c r="V227" s="3">
        <f>1344.2+(172.3-306.2)+(2.056626+(0.263619-0.468486))+0-320.7-0.490671000000019</f>
        <v>890.96108800000002</v>
      </c>
      <c r="W227" s="3">
        <f>1328.5+(253.2-294.5)+(-0.677535+(-0.129132--0.150195))+0-323.3--0.164882999999967</f>
        <v>963.40841100000011</v>
      </c>
      <c r="X227" s="3">
        <f>1354.9+(265.7-306.3)+(-2.763996+(-0.542028--0.624852))+0-324.5--0.661979999999986</f>
        <v>987.78080800000009</v>
      </c>
      <c r="Y227" s="3">
        <f>1260.3+(299.2-286.8)+(0.642753+(0.152592-0.146268))+0-321.4-0.163913999999967</f>
        <v>951.7851629999999</v>
      </c>
      <c r="Z227" s="3">
        <f>1206.8+(313.2-275.7)+(-1.846404+(-0.479196--0.421821))+0-324.8--0.496944000000019</f>
        <v>918.093165</v>
      </c>
      <c r="AA227" s="3">
        <f>1310.7+(251.4-280.6)+(-2.673828+(-0.512856--0.572424))+0-323.3--0.659531999999986</f>
        <v>956.245272</v>
      </c>
      <c r="AB227" s="3">
        <f>1188.6+(359.9-228.5)+(-1.212372+(-0.367098--0.23307))+0-323.1--0.329562000000052</f>
        <v>995.88316200000008</v>
      </c>
      <c r="AC227" s="3">
        <f>1157.7+(382.3-192.2)+(-1.771281+(-0.584919--0.294066))+0-321.4--0.491742000000019</f>
        <v>1024.8296080000002</v>
      </c>
      <c r="AD227" s="2">
        <v>957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1126.1+(342.1-168.2)+(-2.871555+(-0.872355--0.42891))+0-318.5--0.812174999999954</f>
        <v>978.99717499999986</v>
      </c>
      <c r="G228" s="3">
        <f>1036.2+(404.6-118.3)+(0+(0-0))+0-322.1-0</f>
        <v>1000.4</v>
      </c>
      <c r="H228" s="3">
        <f>1039.4+(327.9-117.7)+(-2.65047+(-0.836145--0.300135))+0-323.1--0.823904999999953</f>
        <v>924.13742500000001</v>
      </c>
      <c r="I228" s="3">
        <f>1041.4+(274.9-113.9)+(-1.593342+(-0.420597--0.174267))+0-322.6--0.493578000000019</f>
        <v>878.45390600000007</v>
      </c>
      <c r="J228" s="3">
        <f>1041.3+(287.9-99.5)+(0+(0-0))+0-327.1-0</f>
        <v>902.5999999999998</v>
      </c>
      <c r="K228" s="3">
        <f>1039+(269.1-101.2)+(1.05978+(0.274482-0.103224))+0-324.4-0.330888000000052</f>
        <v>883.40014999999994</v>
      </c>
      <c r="L228" s="3">
        <f>1088.7+(197.3-138.8)+(-3.886659+(-0.704361--0.495516))+0-316.4--1.129548</f>
        <v>827.83404400000018</v>
      </c>
      <c r="M228" s="3">
        <f>1145.8+(196.9-172.1)+(-1.753074+(-0.301257--0.263313))+0-317.1--0.485163000000018</f>
        <v>852.19414500000005</v>
      </c>
      <c r="N228" s="3">
        <f>1147.5+(233.9-194.7)+(0+(0-0))+0-318.3-0</f>
        <v>868.40000000000009</v>
      </c>
      <c r="O228" s="3">
        <f>1137.3+(276.3-208.2)+(1.160046+(0.281826-0.212364))+0-322.5-0.328950000000051</f>
        <v>883.80055799999991</v>
      </c>
      <c r="P228" s="3">
        <f>1133.9+(307.5-226.1)+(-1.734867+(-0.470475--0.345933))+0-324.5--0.496485000000019</f>
        <v>889.43707600000027</v>
      </c>
      <c r="Q228" s="3">
        <f>1138.2+(359.1-238.6)+(0.580482+(0.183141-0.121686))+0-321.2-0.163811999999967</f>
        <v>937.97812500000009</v>
      </c>
      <c r="R228" s="3">
        <f>1140.3+(391.1-258.1)+(-1.744659+(-0.598383--0.394893))+0-320.5--0.490365000000019</f>
        <v>951.34221599999989</v>
      </c>
      <c r="S228" s="3">
        <f>1139.7+(367.9-246.8)+(-0.581247+(-0.187629--0.125868))+0-320.4--0.163403999999967</f>
        <v>939.92039599999998</v>
      </c>
      <c r="T228" s="3">
        <f>1111.3+(309-247.1)+(-2.267052+(-0.63036--0.504084))+0-319.2--0.651167999999986</f>
        <v>852.25783999999987</v>
      </c>
      <c r="U228" s="3">
        <f>1119.8+(272.6-234.1)+(-1.142196+(-0.278052--0.238782))+0-320.3--0.326706000000051</f>
        <v>837.14524000000006</v>
      </c>
      <c r="V228" s="3">
        <f>1136.5+(237.8-229.6)+(0+(0-0))+0-321.8-0</f>
        <v>822.90000000000009</v>
      </c>
      <c r="W228" s="3">
        <f>1118.3+(258.3-251.4)+(-0.570333+(-0.131733--0.128214))+0-319.6--0.162995999999968</f>
        <v>805.18914400000006</v>
      </c>
      <c r="X228" s="3">
        <f>1114.4+(353.9-221)+(-2.84172+(-0.902445--0.56355))+0-321--0.818549999999953</f>
        <v>923.93793500000015</v>
      </c>
      <c r="Y228" s="3">
        <f>1109.1+(391.9-210.2)+(-2.262564+(-0.799476--0.428808))+0-322--0.656879999999986</f>
        <v>966.82364800000005</v>
      </c>
      <c r="Z228" s="3">
        <f>1103.9+(317.3-220.1)+(-1.125978+(-0.323646--0.224502))+0-321.9--0.328338000000051</f>
        <v>878.30321600000013</v>
      </c>
      <c r="AA228" s="3">
        <f>1109.8+(323.3-190.1)+(-1.131996+(-0.329766--0.193902))+0-319.9--0.326298000000051</f>
        <v>922.15843800000016</v>
      </c>
      <c r="AB228" s="3">
        <f>1101.9+(353.9-152.7)+(-2.809845+(-0.902445--0.389385))+0-320.8--0.818039999999953</f>
        <v>979.79513500000019</v>
      </c>
      <c r="AC228" s="3">
        <f>1088.8+(354.6-117.5)+(-3.331728+(-1.085076--0.35955))+0-320.8--0.981648000000037</f>
        <v>1002.0243940000001</v>
      </c>
      <c r="AD228" s="2">
        <v>992.9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1014.3+(351-84)+(1.551879+(0.53703-0.12852))+0-319.2-0.488376000000018</f>
        <v>963.57201299999997</v>
      </c>
      <c r="G229" s="3">
        <f>947.8+(398-61.1)+(-1.933512+(-0.81192--0.124644))+0-319.6--0.651983999999986</f>
        <v>963.13119599999982</v>
      </c>
      <c r="H229" s="3">
        <f>949+(426.8-62.9)+(0.48399+(0.217668-0.032079))+0-321-0.163709999999967</f>
        <v>992.40586900000028</v>
      </c>
      <c r="I229" s="3">
        <f>949+(381.5-63.3)+(2.41995+(0.972825-0.161415))+0-321.8-0.820589999999953</f>
        <v>947.81077000000016</v>
      </c>
      <c r="J229" s="3">
        <f>949.2+(353.1-80.1)+(-0.484092+(-0.180081--0.040851))+0-321.3--0.163862999999967</f>
        <v>900.44054100000017</v>
      </c>
      <c r="K229" s="3">
        <f>948.1+(305.6-88)+(-0.483531+(-0.155856--0.04488))+0-319.1--0.162740999999968</f>
        <v>846.16823399999998</v>
      </c>
      <c r="L229" s="3">
        <f>959.2+(210.3-110.9)+(-1.956768+(-0.429012--0.226236))+0-316.2--0.645047999999986</f>
        <v>740.88550399999997</v>
      </c>
      <c r="M229" s="3">
        <f>960.2+(267.2-119.7)+(0.489702+(0.136272-0.061047))+0-314.7-0.160496999999968</f>
        <v>793.40442999999993</v>
      </c>
      <c r="N229" s="3">
        <f>958.2+(317-135.9)+(0+(0-0))+0-314.6-0</f>
        <v>824.69999999999993</v>
      </c>
      <c r="O229" s="3">
        <f>1047+(269.2-166.4)+(-0.53397+(-0.137292--0.084864))+0-317--0.161669999999968</f>
        <v>832.375272</v>
      </c>
      <c r="P229" s="3">
        <f>1070.8+(229.5-167.3)+(-2.184432+(-0.46818--0.341292))+0-315.7--0.644027999999986</f>
        <v>815.63270799999987</v>
      </c>
      <c r="Q229" s="3">
        <f>1066.3+(279.5-161.3)+(1.087626+(0.28509-0.164526))+0-315.5-0.32181000000005</f>
        <v>869.88638000000003</v>
      </c>
      <c r="R229" s="3">
        <f>1063+(353.6-173.7)+(-1.08426+(-0.360672--0.177174))+0-314.9--0.32119800000005</f>
        <v>927.05344000000025</v>
      </c>
      <c r="S229" s="3">
        <f>1060.1+(400.8-190.8)+(-1.621953+(-0.613224--0.291924))+0-314.7--0.481491000000018</f>
        <v>953.93823799999996</v>
      </c>
      <c r="T229" s="3">
        <f>1056.8+(401.6-177.9)+(0.538968+(0.204816-0.090729))+0-315.7-0.161006999999968</f>
        <v>965.29204800000002</v>
      </c>
      <c r="U229" s="3">
        <f>1059.8+(299.7-187.3)+(0.540498+(0.152847-0.095523))+0-314.8-0.160547999999968</f>
        <v>857.83727399999987</v>
      </c>
      <c r="V229" s="3">
        <f>994.5+(348.6-161.5)+(-1.01439+(-0.355572--0.16473))+0-314.9--0.32119800000005</f>
        <v>865.815966</v>
      </c>
      <c r="W229" s="3">
        <f>924.8+(437.2-193.9)+(-0.471648+(-0.222972--0.098889))+0-315.8--0.161057999999968</f>
        <v>851.86532699999998</v>
      </c>
      <c r="X229" s="3">
        <f>928.3+(506.6-202.8)+(-1.420299+(-0.775098--0.310284))+0-315.8--0.483174000000018</f>
        <v>914.89806099999987</v>
      </c>
      <c r="Y229" s="3">
        <f>927.9+(549.7-200.5)+(-0.946458+(-0.560694--0.20451))+0-316.2--0.32252400000005</f>
        <v>959.9198819999998</v>
      </c>
      <c r="Z229" s="3">
        <f>931.1+(580.4-193.3)+(-1.424583+(-0.888012--0.295749))+0-315.8--0.483174000000018</f>
        <v>1000.8663280000001</v>
      </c>
      <c r="AA229" s="3">
        <f>935.3+(594.6-174)+(-0.477003+(-0.303246--0.08874))+0-315.8--0.161057999999968</f>
        <v>1039.5695490000001</v>
      </c>
      <c r="AB229" s="3">
        <f>939+(565.4-156.2)+(-1.43667+(-0.865062--0.238986))+0-315--0.481950000000018</f>
        <v>1031.6192040000001</v>
      </c>
      <c r="AC229" s="3">
        <f>941.7+(573.6-120)+(-0.960534+(-0.585072--0.1224))+0-315--0.32130000000005</f>
        <v>1079.1980940000003</v>
      </c>
      <c r="AD229" s="2">
        <v>890.2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942.4+(540.6-83.1)+(0+(0-0))+0-316.9-0</f>
        <v>1083</v>
      </c>
      <c r="G230" s="3">
        <f>945.3+(464.8-72.5)+(-0.964206+(-0.474096--0.07395))+0-316.9--0.32323800000005</f>
        <v>1019.6588859999999</v>
      </c>
      <c r="H230" s="3">
        <f>940.4+(436.3-59.8)+(-0.959208+(-0.445026--0.060996))+0-317--0.323340000000051</f>
        <v>998.88010200000019</v>
      </c>
      <c r="I230" s="3">
        <f>846.1+(477.7-45)+(-1.294533+(-0.730881--0.06885))+0-317.1--0.485163000000018</f>
        <v>960.22859899999992</v>
      </c>
      <c r="J230" s="3">
        <f>842.2+(399.7-51.6)+(0.859044+(0.407694-0.052632))+0-316-0.32232000000005</f>
        <v>875.19178599999975</v>
      </c>
      <c r="K230" s="3">
        <f>841.6+(351.1-60.5)+(0.429216+(0.179061-0.030855))+0-315.6-0.160955999999968</f>
        <v>817.01646600000015</v>
      </c>
      <c r="L230" s="3">
        <f>841.4+(315-72.6)+(-1.287342+(-0.48195--0.111078))+0-315.7--0.483021000000018</f>
        <v>766.92480699999987</v>
      </c>
      <c r="M230" s="3">
        <f>843.6+(398.8-87.1)+(0.860472+(0.406776-0.088842))+0-316.5-0.32283000000005</f>
        <v>839.65557600000011</v>
      </c>
      <c r="N230" s="3">
        <f>923.8+(322.7-125.1)+(-0.471138+(-0.164577--0.063801))+0-317.1--0.161720999999968</f>
        <v>803.88980699999968</v>
      </c>
      <c r="O230" s="3">
        <f>920.4+(358-110.6)+(2.816424+(1.09548-0.338436))+0-319.6-0.977976000000037</f>
        <v>850.79549199999997</v>
      </c>
      <c r="P230" s="3">
        <f>925.3+(393.4-113.9)+(-0.471903+(-0.200634--0.058089))+0-322--0.164219999999967</f>
        <v>882.34977199999992</v>
      </c>
      <c r="Q230" s="3">
        <f>920.5+(429.3-120.4)+(0.93891+(0.437886-0.122808))+0-320.1-0.326502000000051</f>
        <v>910.227486</v>
      </c>
      <c r="R230" s="3">
        <f>916.7+(449.2-152.6)+(-0.935034+(-0.458184--0.155652))+0-320.9--0.327318000000051</f>
        <v>891.48975200000029</v>
      </c>
      <c r="S230" s="3">
        <f>913.5+(509.9-140.2)+(-0.93177+(-0.520098--0.143004))+0-323.8--0.330276000000052</f>
        <v>958.42141200000003</v>
      </c>
      <c r="T230" s="3">
        <f>912.4+(493-127)+(0.465324+(0.25143-0.06477))+0-321.5-0.163964999999967</f>
        <v>957.38801900000021</v>
      </c>
      <c r="U230" s="3">
        <f>995.1+(390.6-133.8)+(-2.030004+(-0.796824--0.272952))+0-314.4--0.641375999999986</f>
        <v>935.5875000000002</v>
      </c>
      <c r="V230" s="3">
        <f>1007.2+(323.2-151.8)+(0.513672+(0.164832-0.077418))+0-319.4-0.162893999999968</f>
        <v>859.63819199999989</v>
      </c>
      <c r="W230" s="3">
        <f>1011.4+(394.4-195.2)+(0+(0-0))+0-320-0</f>
        <v>890.59999999999991</v>
      </c>
      <c r="X230" s="3">
        <f>1017.5+(421.8-207.7)+(-2.594625+(-1.07559--0.529635))+0-318.4--0.811919999999954</f>
        <v>910.87133999999992</v>
      </c>
      <c r="Y230" s="3">
        <f>1022.7+(467-196.9)+(-0.521577+(-0.23817--0.100419))+0-317.8--0.162077999999968</f>
        <v>974.50275000000022</v>
      </c>
      <c r="Z230" s="3">
        <f>1024.2+(490.9-184.1)+(-2.089368+(-1.001436--0.375564))+0-319.8--0.652391999999986</f>
        <v>1009.137152</v>
      </c>
      <c r="AA230" s="3">
        <f>1026.1+(514.4-161.3)+(-3.139866+(-1.574064--0.493578))+0-318.8--0.975528000000037</f>
        <v>1057.1551759999998</v>
      </c>
      <c r="AB230" s="3">
        <f>1030.3+(497.5-134.4)+(-2.627265+(-1.268625--0.34272))+0-318.3--0.811664999999954</f>
        <v>1072.3584950000002</v>
      </c>
      <c r="AC230" s="3">
        <f>1010.8+(464.9-95.3)+(-2.062032+(-0.948396--0.194412))+0-319.5--0.651779999999986</f>
        <v>1058.7357639999998</v>
      </c>
      <c r="AD230" s="2">
        <v>913.7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1005.4+(441.3-57.1)+(0+(0-0))+0-317.7-0</f>
        <v>1071.8999999999999</v>
      </c>
      <c r="G231" s="3">
        <f>1009.3+(367.7-50.2)+(-2.058972+(-0.750108--0.102408))+0-315.7--0.644027999999986</f>
        <v>1009.0373559999998</v>
      </c>
      <c r="H231" s="3">
        <f>1010.2+(301.4-44.9)+(-0.515202+(-0.153714--0.022899))+0-316.2--0.161261999999968</f>
        <v>950.01524499999994</v>
      </c>
      <c r="I231" s="3">
        <f>1010.2+(249.3-43.6)+(0+(0-0))+0-315.7-0</f>
        <v>900.2</v>
      </c>
      <c r="J231" s="3">
        <f>1009.6+(238.8-44)+(0.514896+(0.121788-0.02244))+0-315.3-0.160802999999968</f>
        <v>889.55344100000025</v>
      </c>
      <c r="K231" s="3">
        <f>1015.2+(226.3-56.2)+(-0.517752+(-0.115413--0.028662))+0-314.6--0.160445999999968</f>
        <v>870.25594300000012</v>
      </c>
      <c r="L231" s="3">
        <f>1016.9+(159.7-90)+(-0.518619+(-0.081447--0.0459))+0-313.5--0.159884999999968</f>
        <v>772.70571899999993</v>
      </c>
      <c r="M231" s="3">
        <f>1012.3+(176.1-99.6)+(0+(0-0))+0-314.2-0</f>
        <v>774.59999999999991</v>
      </c>
      <c r="N231" s="3">
        <f>1003.2+(284.8-107.4)+(-0.511632+(-0.145248--0.054774))+0-314.1--0.160190999999968</f>
        <v>866.05808500000001</v>
      </c>
      <c r="O231" s="3">
        <f>998.3+(313.2-104.5)+(0.509133+(0.159732-0.053295))+0-315-0.160649999999968</f>
        <v>892.45492000000002</v>
      </c>
      <c r="P231" s="3">
        <f>1001.5+(356.4-120.5)+(0+(0-0))+0-314.9-0</f>
        <v>922.50000000000011</v>
      </c>
      <c r="Q231" s="3">
        <f>1023.6+(347.9-143.3)+(-0.522036+(-0.177429--0.073083))+0-316.2--0.161261999999968</f>
        <v>911.53488000000004</v>
      </c>
      <c r="R231" s="3">
        <f>1018.5+(417.8-148.3)+(-2.07774+(-0.852312--0.302532))+0-317.9--0.648515999999986</f>
        <v>968.12099599999999</v>
      </c>
      <c r="S231" s="3">
        <f>1040+(424.5-144)+(-1.5912+(-0.649485--0.22032))+0-321.9--0.492507000000019</f>
        <v>997.07214199999999</v>
      </c>
      <c r="T231" s="3">
        <f>1055.7+(426.2-126.9)+(-1.076814+(-0.434724--0.129438))+0-320.8--0.327216000000051</f>
        <v>1033.1451160000001</v>
      </c>
      <c r="U231" s="3">
        <f>1061.7+(284.2-143.1)+(-1.624401+(-0.434826--0.218943))+0-321.2--0.491436000000019</f>
        <v>880.25115199999982</v>
      </c>
      <c r="V231" s="3">
        <f>1081.9+(317.8-164.6)+(1.103538+(0.324156-0.167892))+0-324.2-0.330684000000052</f>
        <v>911.82911800000011</v>
      </c>
      <c r="W231" s="3">
        <f>1093.7+(379.3-175.5)+(-1.115574+(-0.386886--0.17901))+0-319.6--0.325992000000051</f>
        <v>976.90254199999993</v>
      </c>
      <c r="X231" s="3">
        <f>1130.2+(340.9-177)+(-2.88201+(-0.869295--0.45135))+0-318.3--0.811664999999954</f>
        <v>973.31170999999995</v>
      </c>
      <c r="Y231" s="3">
        <f>1134.5+(380-171.9)+(-1.15719+(-0.3876--0.175338))+0-320.4--0.326808000000051</f>
        <v>1021.157356</v>
      </c>
      <c r="Z231" s="3">
        <f>1134.9+(423.2-188.1)+(0.578799+(0.215832-0.095931))+0-324-0.165239999999967</f>
        <v>1046.5334599999999</v>
      </c>
      <c r="AA231" s="3">
        <f>1139.2+(402.6-187.1)+(-1.161984+(-0.410652--0.190842))+0-322.3--0.328746000000051</f>
        <v>1031.3469520000003</v>
      </c>
      <c r="AB231" s="3">
        <f>1142.3+(456.1-148.3)+(-0.582573+(-0.232611--0.075633))+0-320.1--0.163250999999968</f>
        <v>1129.4236999999998</v>
      </c>
      <c r="AC231" s="3">
        <f>1146.6+(401.8-126.3)+(-1.754298+(-0.614754--0.193239))+0-319.9--0.489447000000018</f>
        <v>1100.5136339999999</v>
      </c>
      <c r="AD231" s="2">
        <v>1013.3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1144.6+(355.2-104.9)+(-2.334984+(-0.724608--0.213996))+0-321.9--0.656675999999986</f>
        <v>1070.8110799999999</v>
      </c>
      <c r="G232" s="3">
        <f>1144.2+(320.8-88)+(-2.334168+(-0.654432--0.17952))+0-320--0.652799999999986</f>
        <v>1054.8437200000001</v>
      </c>
      <c r="H232" s="3">
        <f>1143.7+(241.6-74.8)+(0+(0-0))+0-316.9-0</f>
        <v>993.6</v>
      </c>
      <c r="I232" s="3">
        <f>1143.4+(228.4-63.3)+(-0.583134+(-0.116484--0.032283))+0-317--0.161669999999968</f>
        <v>990.99433499999986</v>
      </c>
      <c r="J232" s="3">
        <f>1143.2+(193.3-72.7)+(0+(0-0))+0-316-0</f>
        <v>947.8</v>
      </c>
      <c r="K232" s="3">
        <f>1141.3+(157.8-87.8)+(0.582063+(0.080478-0.044778))+0-315.3-0.160802999999968</f>
        <v>896.45695999999998</v>
      </c>
      <c r="L232" s="3">
        <f>1141.1+(48.5-130.2)+(-2.327844+(-0.09894--0.265608))+0-314.4--0.641375999999986</f>
        <v>743.48019999999985</v>
      </c>
      <c r="M232" s="3">
        <f>1137.4+(62.6-146.4)+(-1.740222+(-0.095778--0.223992))+0-314--0.480420000000018</f>
        <v>738.46841200000006</v>
      </c>
      <c r="N232" s="3">
        <f>1134+(124.7-195.3)+(-1.73502+(-0.190791--0.298809))+0-314.5--0.481185000000018</f>
        <v>747.75418300000013</v>
      </c>
      <c r="O232" s="3">
        <f>1141.2+(168.9-218.9)+(-0.582012+(-0.086139--0.111639))+0-316.6--0.161465999999968</f>
        <v>774.20495399999993</v>
      </c>
      <c r="P232" s="3">
        <f>1133.6+(182.8-201.2)+(0+(0-0))+0-317-0</f>
        <v>798.19999999999982</v>
      </c>
      <c r="Q232" s="3">
        <f>1129.8+(202.2-178.2)+(-1.152396+(-0.206244--0.181764))+0-317.7--0.324054000000051</f>
        <v>835.24717799999996</v>
      </c>
      <c r="R232" s="3">
        <f>1127.9+(250.6-158.5)+(-0.575229+(-0.127806--0.080835))+0-316.2--0.161261999999968</f>
        <v>903.3390619999999</v>
      </c>
      <c r="S232" s="3">
        <f>1125.6+(321.6-183.1)+(2.296224+(0.656064-0.373524))+0-316.7-0.646067999999986</f>
        <v>949.33269599999994</v>
      </c>
      <c r="T232" s="3">
        <f>1125.7+(320.9-184.6)+(1.148214+(0.327318-0.188292))+0-320.4-0.326808000000051</f>
        <v>942.56043200000011</v>
      </c>
      <c r="U232" s="3">
        <f>1129.6+(253.8-194)+(-2.88048+(-0.64719--0.4947))+0-320.1--0.816254999999954</f>
        <v>867.08328499999982</v>
      </c>
      <c r="V232" s="3">
        <f>1130.4+(209.5-201.5)+(1.729512+(0.320535-0.308295))+0-316.9-0.484857000000018</f>
        <v>822.75689499999999</v>
      </c>
      <c r="W232" s="3">
        <f>1174.6+(235.3-245.4)+(-1.198092+(-0.240006--0.250308))+0-319.2--0.325584000000051</f>
        <v>844.43779400000005</v>
      </c>
      <c r="X232" s="3">
        <f>1278.2+(192.8-255.3)+(-2.607528+(-0.393312--0.520812))+0-319.8--0.652391999999986</f>
        <v>894.07236400000011</v>
      </c>
      <c r="Y232" s="3">
        <f>1283.6+(203-252)+(-3.927816+(-0.62118--0.77112))+0-317.6--0.971856000000037</f>
        <v>914.19397999999978</v>
      </c>
      <c r="Z232" s="3">
        <f>1287.6+(238.9-243.9)+(-3.940056+(-0.731034--0.746334))+0-319.5--0.977670000000037</f>
        <v>960.15291400000001</v>
      </c>
      <c r="AA232" s="3">
        <f>1291.9+(247.3-221)+(-1.976607+(-0.378369--0.33813))+0-319.3--0.488529000000018</f>
        <v>997.37168300000008</v>
      </c>
      <c r="AB232" s="3">
        <f>1293.4+(237.1-190.3)+(0+(0-0))+0-317.4-0</f>
        <v>1022.8000000000001</v>
      </c>
      <c r="AC232" s="3">
        <f>1297.1+(259.6-175.3)+(-2.646084+(-0.529584--0.357612))+0-316.8--0.646271999999986</f>
        <v>1062.4282159999998</v>
      </c>
      <c r="AD232" s="2">
        <v>888.5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1300.3+(230.3-171.1)+(-4.642071+(-0.822171--0.610827))+0-318.8--1.138116</f>
        <v>1036.9847010000001</v>
      </c>
      <c r="G233" s="3">
        <f>1301+(184.3-153.5)+(-3.98106+(-0.563958--0.46971))+0-318.1--0.973386000000037</f>
        <v>1010.598078</v>
      </c>
      <c r="H233" s="3">
        <f>1302.2+(104.8-149.2)+(-1.328244+(-0.106896--0.152184))+0-318.7--0.325074000000051</f>
        <v>938.14211799999998</v>
      </c>
      <c r="I233" s="3">
        <f>1302.5+(84.7-140.3)+(0+(0-0))+0-320.4-0</f>
        <v>926.50000000000011</v>
      </c>
      <c r="J233" s="3">
        <f>1302.6+(118.6-130.5)+(1.328652+(0.120972-0.13311))+0-318.1-0.324462000000051</f>
        <v>973.59205199999985</v>
      </c>
      <c r="K233" s="3">
        <f>1302.8+(72.8-154.8)+(-0.664428+(-0.037128--0.078948))+0-316.2--0.161261999999968</f>
        <v>904.13865399999997</v>
      </c>
      <c r="L233" s="3">
        <f>1302+(54.5-174.4)+(-1.32804+(-0.05559--0.177888))+0-315.5--0.32181000000005</f>
        <v>865.71606799999984</v>
      </c>
      <c r="M233" s="3">
        <f>1298.1+(78.8-194)+(-1.324062+(-0.080376--0.19788))+0-314.5--0.32079000000005</f>
        <v>867.51423199999988</v>
      </c>
      <c r="N233" s="3">
        <f>1294.8+(127.7-210.8)+(-1.320696+(-0.130254--0.215016))+0-316.5--0.32283000000005</f>
        <v>894.28689600000007</v>
      </c>
      <c r="O233" s="3">
        <f>1289.8+(170.8-202.4)+(1.973394+(0.261324-0.309672))+0-315-0.481950000000018</f>
        <v>944.64309600000013</v>
      </c>
      <c r="P233" s="3">
        <f>1281.1+(193.2-179.8)+(-2.613444+(-0.394128--0.366792))+0-315.7--0.644027999999986</f>
        <v>976.80324799999994</v>
      </c>
      <c r="Q233" s="3">
        <f>1274.5+(187.4-207.4)+(-2.59998+(-0.382296--0.423096))+0-315.9--0.644435999999986</f>
        <v>936.68525600000009</v>
      </c>
      <c r="R233" s="3">
        <f>1267+(197.5-205.5)+(-1.29234+(-0.20145--0.20961))+0-316.3--0.32262600000005</f>
        <v>941.73844599999995</v>
      </c>
      <c r="S233" s="3">
        <f>1258.6+(274.1-181.1)+(-2.567544+(-0.559164--0.369444))+0-316.3--0.645251999999986</f>
        <v>1033.1879879999999</v>
      </c>
      <c r="T233" s="3">
        <f>1259.8+(233.8-175.4)+(-1.284996+(-0.238476--0.178908))+0-316.3--0.32262600000005</f>
        <v>1000.8780620000001</v>
      </c>
      <c r="U233" s="3">
        <f>1266.2+(168.3-176.2)+(-1.291524+(-0.171666--0.179724))+0-315.4--0.32170800000005</f>
        <v>941.93824200000017</v>
      </c>
      <c r="V233" s="3">
        <f>1279.4+(134.3-199.5)+(0.652494+(0.068493-0.101745))+0-316.1-0.161210999999968</f>
        <v>898.55803100000003</v>
      </c>
      <c r="W233" s="3">
        <f>1336.9+(221.7-256.2)+(1.363638+(0.226134-0.261324))+0-316.9-0.32323800000005</f>
        <v>986.50521000000003</v>
      </c>
      <c r="X233" s="3">
        <f>1368.9+(254.5-257.6)+(-2.094417+(-0.389385--0.394128))+0-316.2--0.483786000000018</f>
        <v>1047.9941120000001</v>
      </c>
      <c r="Y233" s="3">
        <f>1319.3+(281.3-244.6)+(-3.364215+(-0.717315--0.62373))+0-316.4--0.806819999999954</f>
        <v>1036.9490200000002</v>
      </c>
      <c r="Z233" s="3">
        <f>1202.4+(401.2-205.3)+(0.613224+(0.204612-0.104703))+0-316.9-0.161618999999968</f>
        <v>1081.9515140000003</v>
      </c>
      <c r="AA233" s="3">
        <f>1205.9+(379.5-191.1)+(-0.615009+(-0.193545--0.097461))+0-315.5--0.160904999999968</f>
        <v>1078.2498120000002</v>
      </c>
      <c r="AB233" s="3">
        <f>1105.5+(452.6-136.4)+(-2.25522+(-0.923304--0.278256))+0-317--0.646679999999986</f>
        <v>1102.446412</v>
      </c>
      <c r="AC233" s="3">
        <f>1087.5+(484.8-95.6)+(-1.663875+(-0.741744--0.146268))+0-315.3--0.482409000000018</f>
        <v>1159.6230580000001</v>
      </c>
      <c r="AD233" s="2">
        <v>1049.5999999999999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1086.6+(437.6-70.1)+(-0.554166+(-0.223176--0.035751))+0-314.7--0.160496999999968</f>
        <v>1138.818906</v>
      </c>
      <c r="G234" s="3">
        <f>1083.4+(419.3-50.5)+(-0.552534+(-0.213843--0.025755))+0-316.2--0.161261999999968</f>
        <v>1135.42064</v>
      </c>
      <c r="H234" s="3">
        <f>1078.4+(386.4-53.8)+(-1.099968+(-0.394128--0.054876))+0-317.3--0.323646000000051</f>
        <v>1092.5844260000001</v>
      </c>
      <c r="I234" s="3">
        <f>1078.5+(345.5-81.5)+(-0.550035+(-0.176205--0.041565))+0-315.7--0.161006999999968</f>
        <v>1026.2763319999999</v>
      </c>
      <c r="J234" s="3">
        <f>1078.5+(326.4-80.5)+(-2.750175+(-0.83232--0.205275))+0-314.7--0.802484999999954</f>
        <v>1007.1252649999999</v>
      </c>
      <c r="K234" s="3">
        <f>1081.2+(269.5-84.5)+(1.102824+(0.27489-0.08619))+0-315-0.32130000000005</f>
        <v>952.17022399999996</v>
      </c>
      <c r="L234" s="3">
        <f>1083+(142.2-131.3)+(-3.31398+(-0.435132--0.401778))+0-314.6--0.962676000000036</f>
        <v>776.91534200000001</v>
      </c>
      <c r="M234" s="3">
        <f>1081.2+(166.9-159.7)+(0+(0-0))+0-312.8-0</f>
        <v>775.60000000000014</v>
      </c>
      <c r="N234" s="3">
        <f>1135+(244.4-187.1)+(-1.1577+(-0.249288--0.190842))+0-315.1--0.32140200000005</f>
        <v>876.30525599999999</v>
      </c>
      <c r="O234" s="3">
        <f>1195.8+(178.1-178.2)+(0.609858+(0.090831-0.090882))+0-315.3-0.160802999999968</f>
        <v>880.84900400000015</v>
      </c>
      <c r="P234" s="3">
        <f>1191+(172.3-206.2)+(-1.21482+(-0.175746--0.210324))+0-316.3--0.32262600000005</f>
        <v>839.94238400000006</v>
      </c>
      <c r="Q234" s="3">
        <f>1184.4+(229.2-220.7)+(-1.208088+(-0.233784--0.225114))+0-316--0.32232000000005</f>
        <v>876.00556200000017</v>
      </c>
      <c r="R234" s="3">
        <f>1183.3+(288.5-218.1)+(-3.017415+(-0.735675--0.556155))+0-315.4--0.804269999999954</f>
        <v>935.9073350000001</v>
      </c>
      <c r="S234" s="3">
        <f>1204.8+(292-197.4)+(-1.228896+(-0.29784--0.201348))+0-314.9--0.32119800000005</f>
        <v>983.49581000000001</v>
      </c>
      <c r="T234" s="3">
        <f>1270.6+(261.6-202.8)+(0+(0-0))+0-315.1-0</f>
        <v>1014.2999999999998</v>
      </c>
      <c r="U234" s="3">
        <f>1308.4+(192.9-231.7)+(-1.334568+(-0.196758--0.236334))+0-314.9--0.32119800000005</f>
        <v>953.72620600000016</v>
      </c>
      <c r="V234" s="3">
        <f>1331.8+(146.2-248.6)+(0+(0-0))+0-314.9-0</f>
        <v>914.49999999999989</v>
      </c>
      <c r="W234" s="3">
        <f>1349.8+(214.2-267)+(0.688398+(0.109242-0.13617))+0-315.8-0.161057999999968</f>
        <v>981.70041200000014</v>
      </c>
      <c r="X234" s="3">
        <f>1363.7+(202.9-262.2)+(-4.172922+(-0.620874--0.802332))+0-316.3--0.967878000000037</f>
        <v>985.07641400000023</v>
      </c>
      <c r="Y234" s="3">
        <f>1368.3+(195.6-243.1)+(-4.186998+(-0.598536--0.743886))+0-316.3--0.967878000000037</f>
        <v>1001.4262300000001</v>
      </c>
      <c r="Z234" s="3">
        <f>1369.8+(186.7-227.1)+(-2.095794+(-0.285651--0.347463))+0-316--0.483480000000018</f>
        <v>1011.8494979999999</v>
      </c>
      <c r="AA234" s="3">
        <f>1373+(141.8-225.9)+(-2.10069+(-0.216954--0.345627))+0-315.1--0.482103000000018</f>
        <v>972.31008600000007</v>
      </c>
      <c r="AB234" s="3">
        <f>1375.1+(168.9-194.2)+(-2.805204+(-0.344556--0.396168))+0-315.7--0.644027999999986</f>
        <v>1031.9904359999998</v>
      </c>
      <c r="AC234" s="3">
        <f>1335.7+(230.2-146.3)+(-0.681207+(-0.117402--0.074613))+0-315--0.160649999999968</f>
        <v>1104.036654</v>
      </c>
      <c r="AD234" s="2">
        <v>1034.3000000000002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1246.9+(283.4-100.4)+(-3.179595+(-0.72267--0.25602))+0-314.5--0.801974999999954</f>
        <v>1112.55573</v>
      </c>
      <c r="G235" s="3">
        <f>1227+(261.3-73.6)+(-1.25154+(-0.266526--0.075072))+0-315.9--0.32221800000005</f>
        <v>1097.6792240000002</v>
      </c>
      <c r="H235" s="3">
        <f>1139.2+(305.1-86.8)+(-1.742976+(-0.466803--0.132804))+0-315.1--0.482103000000018</f>
        <v>1040.8051280000002</v>
      </c>
      <c r="I235" s="3">
        <f>1139.2+(274.5-79.1)+(-0.580992+(-0.139995--0.040341))+0-315.7--0.161006999999968</f>
        <v>1018.380361</v>
      </c>
      <c r="J235" s="3">
        <f>1139+(250.3-83.5)+(-0.58089+(-0.127653--0.042585))+0-315.4--0.160853999999968</f>
        <v>989.8948959999999</v>
      </c>
      <c r="K235" s="3">
        <f>1133.6+(189.1-98.2)+(0.578136+(0.096441-0.050082))+0-315-0.160649999999968</f>
        <v>909.96384500000011</v>
      </c>
      <c r="L235" s="3">
        <f>1133+(178-109.1)+(-1.15566+(-0.18156--0.111282))+0-313.5--0.31977000000005</f>
        <v>887.49383200000011</v>
      </c>
      <c r="M235" s="3">
        <f>1132.7+(158.4-122.6)+(0+(0-0))+0-313-0</f>
        <v>855.5</v>
      </c>
      <c r="N235" s="3">
        <f>1129.1+(150.4-149.5)+(-0.575841+(-0.076704--0.076245))+0-314.5--0.160394999999968</f>
        <v>815.08409500000005</v>
      </c>
      <c r="O235" s="3">
        <f>1127.7+(215.6-165.3)+(1.725381+(0.329868-0.252909))+0-317.8-0.486234000000018</f>
        <v>861.51610600000004</v>
      </c>
      <c r="P235" s="3">
        <f>1128.6+(205.4-196.9)+(1.726758+(0.314262-0.301257))+0-316.3-0.483939000000018</f>
        <v>822.05582400000003</v>
      </c>
      <c r="Q235" s="3">
        <f>1128.2+(234.6-193.4)+(-1.726146+(-0.358938--0.295902))+0-316.1--0.483633000000018</f>
        <v>851.99445100000014</v>
      </c>
      <c r="R235" s="3">
        <f>1126.9+(252.3-167.2)+(-2.873595+(-0.643365--0.42636))+0-316.6--0.807329999999954</f>
        <v>893.11672999999996</v>
      </c>
      <c r="S235" s="3">
        <f>1130.6+(254.1-156.6)+(-2.88303+(-0.647955--0.39933))+0-316.7--0.807584999999954</f>
        <v>909.07592999999986</v>
      </c>
      <c r="T235" s="3">
        <f>1132.1+(267.4-184)+(-2.886855+(-0.68187--0.4692))+0-317--0.808349999999954</f>
        <v>896.20882499999982</v>
      </c>
      <c r="U235" s="3">
        <f>1130.6+(249.4-178.2)+(-2.306424+(-0.508776--0.363528))+0-315.5--0.643619999999986</f>
        <v>884.49194799999998</v>
      </c>
      <c r="V235" s="3">
        <f>1130.6+(196.4-198.3)+(-1.729818+(-0.300492--0.303399))+0-316--0.483480000000018</f>
        <v>811.45656899999983</v>
      </c>
      <c r="W235" s="3">
        <f>1135+(237.7-214)+(-1.1577+(-0.242454--0.21828))+0-316.3--0.32262600000005</f>
        <v>841.540752</v>
      </c>
      <c r="X235" s="3">
        <f>1134.5+(337.1-201.1)+(-2.31438+(-0.687684--0.410244))+0-316.4--0.645455999999986</f>
        <v>952.15363599999989</v>
      </c>
      <c r="Y235" s="3">
        <f>1132.4+(336.9-198.1)+(0+(0-0))+0-316.2-0</f>
        <v>955</v>
      </c>
      <c r="Z235" s="3">
        <f>1134.9+(379.1-176.1)+(-1.157598+(-0.386682--0.179622))+0-316.7--0.323034000000051</f>
        <v>1020.1583760000001</v>
      </c>
      <c r="AA235" s="3">
        <f>1136.8+(416.1-166.2)+(-1.159536+(-0.424422--0.169524))+0-316.1--0.32242200000005</f>
        <v>1069.5079880000001</v>
      </c>
      <c r="AB235" s="3">
        <f>1132.8+(442.9-145.8)+(-2.310912+(-0.903516--0.297432))+0-315.2--0.643007999999986</f>
        <v>1112.4260119999999</v>
      </c>
      <c r="AC235" s="3">
        <f>1131.6+(430.7-124.1)+(-2.88558+(-1.098285--0.316455))+0-314--0.800699999999954</f>
        <v>1121.3332899999998</v>
      </c>
      <c r="AD235" s="2">
        <v>976.7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1131.3+(378.4-105.3)+(-1.153926+(-0.385968--0.107406))+0-315--0.32130000000005</f>
        <v>1088.288812</v>
      </c>
      <c r="G236" s="3">
        <f>1132.8+(347.8-89.2)+(-2.310912+(-0.709512--0.181968))+0-316--0.644639999999986</f>
        <v>1073.2061840000001</v>
      </c>
      <c r="H236" s="3">
        <f>1133.5+(302.5-87.1)+(-0.578085+(-0.154275--0.044421))+0-315.8--0.161057999999968</f>
        <v>1032.5731190000001</v>
      </c>
      <c r="I236" s="3">
        <f>1134.8+(249.7-98.8)+(-2.314992+(-0.509388--0.201552))+0-316.7--0.646067999999986</f>
        <v>967.02323999999976</v>
      </c>
      <c r="J236" s="3">
        <f>1134.5+(222-97.2)+(-2.892975+(-0.5661--0.24786))+0-316.1--0.806054999999954</f>
        <v>940.79483999999979</v>
      </c>
      <c r="K236" s="3">
        <f>1135.4+(178.3-119.4)+(2.316216+(0.363732-0.243576))+0-315.7-0.644027999999986</f>
        <v>880.39234400000009</v>
      </c>
      <c r="L236" s="3">
        <f>1136.6+(106.1-154.2)+(-1.738998+(-0.162333--0.235926))+0-315.6--0.482868000000018</f>
        <v>771.71746300000007</v>
      </c>
      <c r="M236" s="3">
        <f>1151.3+(134-162.5)+(-1.174326+(-0.13668--0.16575))+0-314.8--0.32109600000005</f>
        <v>807.17583999999999</v>
      </c>
      <c r="N236" s="3">
        <f>1219.2+(124.7-211.7)+(-1.865376+(-0.190791--0.323901))+0-315.1--0.482103000000018</f>
        <v>815.84983700000009</v>
      </c>
      <c r="O236" s="3">
        <f>1211.8+(157.3-179.3)+(0+(0-0))+0-315.9-0</f>
        <v>873.9</v>
      </c>
      <c r="P236" s="3">
        <f>1204.5+(175.4-193.6)+(0+(0-0))+0-318-0</f>
        <v>868.3</v>
      </c>
      <c r="Q236" s="3">
        <f>1180+(253.8-190.3)+(-2.4072+(-0.517752--0.388212))+0-319.1--0.650963999999986</f>
        <v>922.5142239999999</v>
      </c>
      <c r="R236" s="3">
        <f>1209.3+(267-196.8)+(-3.700458+(-0.81702--0.602208))+0-321.8--0.984708000000037</f>
        <v>954.76943800000015</v>
      </c>
      <c r="S236" s="3">
        <f>1208.9+(327.7-170.6)+(-2.466156+(-0.668508--0.348024))+0-321.5--0.655859999999986</f>
        <v>1042.36922</v>
      </c>
      <c r="T236" s="3">
        <f>1204.6+(313.9-168)+(-1.843038+(-0.480267--0.25704))+0-322.5--0.493425000000019</f>
        <v>1026.4271600000002</v>
      </c>
      <c r="U236" s="3">
        <f>1205.9+(281.4-165.2)+(-2.460036+(-0.574056--0.337008))+0-323.2--0.659327999999986</f>
        <v>996.86224400000015</v>
      </c>
      <c r="V236" s="3">
        <f>1217.4+(210.9-192.4)+(-1.241748+(-0.215118--0.196248))+0-324.6--0.331092000000052</f>
        <v>910.37047400000006</v>
      </c>
      <c r="W236" s="3">
        <f>1228+(278-235.8)+(-1.87884+(-0.42534--0.360774))+0-317.7--0.486081000000018</f>
        <v>951.04267499999992</v>
      </c>
      <c r="X236" s="3">
        <f>1235.9+(333.6-230.2)+(-3.151545+(-0.85068--0.58701))+0-320.4--0.817019999999953</f>
        <v>1016.3018050000002</v>
      </c>
      <c r="Y236" s="3">
        <f>1239.5+(287.2-234.2)+(-1.896435+(-0.439416--0.358326))+0-319.8--0.489294000000018</f>
        <v>971.211769</v>
      </c>
      <c r="Z236" s="3">
        <f>1237.1+(321.8-207.5)+(-1.261842+(-0.328236--0.21165))+0-318.7--0.325074000000051</f>
        <v>1031.6466459999999</v>
      </c>
      <c r="AA236" s="3">
        <f>1239.3+(324.8-185.9)+(-3.160215+(-0.82824--0.474045))+0-320.2--0.816509999999954</f>
        <v>1055.3020999999999</v>
      </c>
      <c r="AB236" s="3">
        <f>1235.1+(318.4-166.5)+(0+(0-0))+0-321.8-0</f>
        <v>1065.2</v>
      </c>
      <c r="AC236" s="3">
        <f>1238+(282.7-130.1)+(-3.1569+(-0.720885--0.331755))+0-317.1--0.808604999999954</f>
        <v>1070.762575</v>
      </c>
      <c r="AD236" s="2">
        <v>996.09999999999991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1241.4+(242.3-100.6)+(-1.899342+(-0.370719--0.153918))+0-319.1--0.488223000000018</f>
        <v>1062.3720800000003</v>
      </c>
      <c r="G237" s="3">
        <f>1158.5+(239.5-74.2)+(-1.18167+(-0.24429--0.075684))+0-320.5--0.326910000000051</f>
        <v>1002.2766340000001</v>
      </c>
      <c r="H237" s="3">
        <f>1146.6+(260-98.9)+(-0.584766+(-0.1326--0.050439))+0-318.4--0.162383999999968</f>
        <v>988.79545699999983</v>
      </c>
      <c r="I237" s="3">
        <f>1145.8+(252.1-90.5)+(0.584358+(0.128571-0.046155))+0-320-0.163199999999968</f>
        <v>987.90357399999994</v>
      </c>
      <c r="J237" s="3">
        <f>1144.3+(209.7-99.3)+(-0.583593+(-0.106947--0.050643))+0-318.8--0.162587999999968</f>
        <v>935.42269099999999</v>
      </c>
      <c r="K237" s="3">
        <f>1146.4+(181.5-117.6)+(1.753992+(0.277695-0.179928))+0-316.1-0.483633000000018</f>
        <v>895.56812600000001</v>
      </c>
      <c r="L237" s="3">
        <f>1151.7+(143-148.1)+(-2.349468+(-0.29172--0.302124))+0-314.4--0.641375999999986</f>
        <v>830.50231200000019</v>
      </c>
      <c r="M237" s="3">
        <f>1155.6+(166.1-166.1)+(0+(0-0))+0-314.1-0</f>
        <v>841.49999999999989</v>
      </c>
      <c r="N237" s="3">
        <f>1182+(209.1-203.7)+(0.60282+(0.106641-0.103887))+0-314.6-0.160445999999968</f>
        <v>873.24512800000002</v>
      </c>
      <c r="O237" s="3">
        <f>1224.8+(222.6-229.3)+(2.498592+(0.454104-0.467772))+0-316.2-0.645047999999986</f>
        <v>903.73987599999998</v>
      </c>
      <c r="P237" s="3">
        <f>1226.3+(163.7-216)+(-0.625413+(-0.083487--0.11016))+0-314.8--0.160547999999968</f>
        <v>858.76180800000009</v>
      </c>
      <c r="Q237" s="3">
        <f>1214.9+(244.6-210.9)+(-1.239198+(-0.249492--0.215118))+0-316.1--0.32242200000005</f>
        <v>931.54885000000013</v>
      </c>
      <c r="R237" s="3">
        <f>1208.5+(287.2-210)+(-0.616335+(-0.146472--0.1071))+0-316.4--0.161363999999968</f>
        <v>968.80565700000011</v>
      </c>
      <c r="S237" s="3">
        <f>1204.9+(336.8-177.3)+(-1.228998+(-0.343536--0.180846))+0-317.9--0.324258000000051</f>
        <v>1045.4325700000004</v>
      </c>
      <c r="T237" s="3">
        <f>1202.9+(327.9-173.2)+(1.226958+(0.334458-0.176664))+0-316.4-0.32272800000005</f>
        <v>1042.2620240000001</v>
      </c>
      <c r="U237" s="3">
        <f>1205.8+(277.8-174.6)+(-1.844874+(-0.425034--0.267138))+0-316.7--0.484551000000018</f>
        <v>990.78178099999991</v>
      </c>
      <c r="V237" s="3">
        <f>1209.7+(234.5-193.9)+(-0.616947+(-0.119595--0.098889))+0-316.2--0.161261999999968</f>
        <v>933.62360899999987</v>
      </c>
      <c r="W237" s="3">
        <f>1214.1+(300.1-241.1)+(-0.619191+(-0.153051--0.122961))+0-317--0.161669999999968</f>
        <v>955.61238899999989</v>
      </c>
      <c r="X237" s="3">
        <f>1219.7+(318.7-246.8)+(-1.866141+(-0.487611--0.377604))+0-317.7--0.486081000000018</f>
        <v>972.40993299999991</v>
      </c>
      <c r="Y237" s="3">
        <f>1221.6+(355.2-231.9)+(-3.11508+(-0.90576--0.591345))+0-319.5--0.814724999999954</f>
        <v>1022.7852299999997</v>
      </c>
      <c r="Z237" s="3">
        <f>1224.6+(365.4-212.1)+(-2.498184+(-0.745416--0.432684))+0-317.8--0.648311999999986</f>
        <v>1057.937396</v>
      </c>
      <c r="AA237" s="3">
        <f>1226.2+(302.6-205.4)+(-1.250724+(-0.308652--0.209508))+0-316.8--0.323136000000051</f>
        <v>1005.5732680000002</v>
      </c>
      <c r="AB237" s="3">
        <f>1226.9+(275.6-177.8)+(-3.128595+(-0.70278--0.45339))+0-317.1--0.808604999999954</f>
        <v>1005.0306199999999</v>
      </c>
      <c r="AC237" s="3">
        <f>1198.5+(275.5-140.3)+(-3.056175+(-0.702525--0.357765))+0-315.9--0.805544999999954</f>
        <v>1015.2046100000001</v>
      </c>
      <c r="AD237" s="2">
        <v>974.89999999999986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1140+(266.9-109.1)+(-2.3256+(-0.544476--0.222564))+0-315.7--0.644027999999986</f>
        <v>980.09651599999984</v>
      </c>
      <c r="G238" s="3">
        <f>1134.2+(260.9-122.5)+(-0.578442+(-0.133059--0.062475))+0-316.2--0.161261999999968</f>
        <v>955.91223599999978</v>
      </c>
      <c r="H238" s="3">
        <f>1134.9+(220.6-120.6)+(-1.157598+(-0.225012--0.123012))+0-316.1--0.32242200000005</f>
        <v>917.86282400000005</v>
      </c>
      <c r="I238" s="3">
        <f>1142.8+(183.9-122)+(-1.165656+(-0.187578--0.12444))+0-316.1--0.32242200000005</f>
        <v>887.69362799999999</v>
      </c>
      <c r="J238" s="3">
        <f>1140.5+(168.2-126.6)+(-1.744965+(-0.257346--0.193698))+0-316.2--0.483786000000018</f>
        <v>864.57517299999995</v>
      </c>
      <c r="K238" s="3">
        <f>1139.3+(126.5-148.8)+(0+(0-0))+0-315.7-0</f>
        <v>801.3</v>
      </c>
      <c r="L238" s="3">
        <f>1141.3+(101.5-167.2)+(-0.582063+(-0.051765--0.085272))+0-314.8--0.160547999999968</f>
        <v>760.41199199999994</v>
      </c>
      <c r="M238" s="3">
        <f>1139.1+(127.2-182.3)+(-0.580941+(-0.064872--0.092973))+0-314.1--0.160190999999968</f>
        <v>769.50735099999986</v>
      </c>
      <c r="N238" s="3">
        <f>1153.6+(238.9-189.5)+(-1.176672+(-0.243678--0.19329))+0-314.2--0.32048400000005</f>
        <v>887.8934240000001</v>
      </c>
      <c r="O238" s="3">
        <f>1219.9+(181.4-245.3)+(-0.622149+(-0.092514--0.125103))+0-316.5--0.161414999999968</f>
        <v>839.07185500000003</v>
      </c>
      <c r="P238" s="3">
        <f>1214.4+(224.8-257.5)+(1.238688+(0.229296-0.26265))+0-315.7-0.32201400000005</f>
        <v>866.88331999999991</v>
      </c>
      <c r="Q238" s="3">
        <f>1212+(249.1-273.3)+(-0.61812+(-0.127041--0.139383))+0-317.4--0.161873999999968</f>
        <v>869.95609599999989</v>
      </c>
      <c r="R238" s="3">
        <f>1203.9+(325.5-270.1)+(-2.455956+(-0.66402--0.551004))+0-316.4--0.645455999999986</f>
        <v>940.97648400000014</v>
      </c>
      <c r="S238" s="3">
        <f>1198.8+(400.3-232.2)+(-1.834164+(-0.612459--0.355266))+0-317.9--0.486387000000018</f>
        <v>1047.3950300000001</v>
      </c>
      <c r="T238" s="3">
        <f>1197+(398.1-209.3)+(0.61047+(0.203031-0.106743))+0-316.5-0.161414999999968</f>
        <v>1069.845343</v>
      </c>
      <c r="U238" s="3">
        <f>1191.3+(349.3-217.6)+(-0.607563+(-0.178143--0.110976))+0-316.1--0.161210999999968</f>
        <v>1006.386481</v>
      </c>
      <c r="V238" s="3">
        <f>1196.5+(271.4-232.7)+(1.830645+(0.415242-0.356031))+0-315.6-0.482868000000018</f>
        <v>921.00698799999998</v>
      </c>
      <c r="W238" s="3">
        <f>1203.9+(348.9-245.7)+(-1.227978+(-0.355878--0.250614))+0-320.2--0.326604000000051</f>
        <v>985.89336200000025</v>
      </c>
      <c r="X238" s="3">
        <f>1209.8+(290.6-266.7)+(-2.467992+(-0.592824--0.544068))+0-318.5--0.649739999999986</f>
        <v>913.33299199999999</v>
      </c>
      <c r="Y238" s="3">
        <f>1215.3+(290.8-261.9)+(-3.099015+(-0.74154--0.667845))+0-318.3--0.811664999999954</f>
        <v>923.53895499999999</v>
      </c>
      <c r="Z238" s="3">
        <f>1226.9+(332.3-232)+(-1.877157+(-0.508419--0.35496))+0-318.9--0.487917000000018</f>
        <v>1006.7573010000001</v>
      </c>
      <c r="AA238" s="3">
        <f>1232.5+(331-212.6)+(-1.885725+(-0.50643--0.325278))+0-318.4--0.487152000000018</f>
        <v>1030.9202750000002</v>
      </c>
      <c r="AB238" s="3">
        <f>1232.5+(378.6-153.2)+(-0.628575+(-0.193086--0.078132))+0-320.2--0.163301999999968</f>
        <v>1137.1197729999999</v>
      </c>
      <c r="AC238" s="3">
        <f>1233.9+(318.5-124)+(-1.887867+(-0.487305--0.18972))+0-322.3--0.493119000000019</f>
        <v>1104.4076670000002</v>
      </c>
      <c r="AD238" s="2">
        <v>1013.3000000000002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1233.7+(292.8-95.5)+(-0.629187+(-0.149328--0.048705))+0-321.5--0.163964999999967</f>
        <v>1108.9341549999999</v>
      </c>
      <c r="G239" s="3">
        <f>1230+(226.3-95.2)+(-1.2546+(-0.230826--0.097104))+0-320.1--0.326502000000051</f>
        <v>1039.9381799999999</v>
      </c>
      <c r="H239" s="3">
        <f>1181.2+(273-97.4)+(0+(0-0))+0-321.7-0</f>
        <v>1035.0999999999999</v>
      </c>
      <c r="I239" s="3">
        <f>1140.5+(257.2-104.5)+(-1.16331+(-0.262344--0.10659))+0-321.1--0.327522000000051</f>
        <v>971.10845800000004</v>
      </c>
      <c r="J239" s="3">
        <f>1142.1+(238.9-107.2)+(0+(0-0))+0-317.8-0</f>
        <v>956</v>
      </c>
      <c r="K239" s="3">
        <f>1142.9+(175-142.1)+(-1.165758+(-0.1785--0.144942))+0-315.9--0.32221800000005</f>
        <v>859.02290200000027</v>
      </c>
      <c r="L239" s="3">
        <f>1142.6+(123.9-179.1)+(-1.748178+(-0.189567--0.274023))+0-316.6--0.484398000000018</f>
        <v>769.62067599999989</v>
      </c>
      <c r="M239" s="3">
        <f>1200+(87.5-214.3)+(-1.224+(-0.08925--0.218586))+0-315.1--0.32140200000005</f>
        <v>757.32673800000009</v>
      </c>
      <c r="N239" s="3">
        <f>1224.1+(106.2-225)+(-2.497164+(-0.216648--0.459))+0-316.8--0.646271999999986</f>
        <v>786.89146000000005</v>
      </c>
      <c r="O239" s="3">
        <f>1196.7+(161-203.6)+(0+(0-0))+0-320.6-0</f>
        <v>833.50000000000011</v>
      </c>
      <c r="P239" s="3">
        <f>1218.2+(220-227)+(-1.242564+(-0.2244--0.23154))+0-322--0.328440000000051</f>
        <v>888.29301600000008</v>
      </c>
      <c r="Q239" s="3">
        <f>1208.6+(249-208.6)+(-0.616386+(-0.12699--0.106386))+0-319.1--0.162740999999968</f>
        <v>929.42575099999999</v>
      </c>
      <c r="R239" s="3">
        <f>1198.4+(281.7-220.6)+(-3.05592+(-0.718335--0.56253))+0-320.2--0.816509999999954</f>
        <v>936.90478500000006</v>
      </c>
      <c r="S239" s="3">
        <f>1200+(317.3-199.8)+(-0.612+(-0.161823--0.101898))+0-319.7--0.163046999999968</f>
        <v>997.29112199999986</v>
      </c>
      <c r="T239" s="3">
        <f>1197.5+(263.9-204.8)+(-1.22145+(-0.269178--0.208896))+0-316.1--0.32242200000005</f>
        <v>939.54069000000004</v>
      </c>
      <c r="U239" s="3">
        <f>1197.9+(247.2-198)+(-1.221858+(-0.252144--0.20196))+0-316.4--0.32272800000005</f>
        <v>929.7506860000002</v>
      </c>
      <c r="V239" s="3">
        <f>1198.6+(215.4-221.3)+(-1.833858+(-0.329562--0.338589))+0-316.4--0.484092000000018</f>
        <v>874.95926099999997</v>
      </c>
      <c r="W239" s="3">
        <f>1206.7+(308.4-250.3)+(-1.230834+(-0.314568--0.255306))+0-317.3--0.323646000000051</f>
        <v>946.5335500000001</v>
      </c>
      <c r="X239" s="3">
        <f>1212.1+(311.5-261.2)+(-2.472684+(-0.63546--0.532848))+0-316.4--0.645455999999986</f>
        <v>944.07015999999987</v>
      </c>
      <c r="Y239" s="3">
        <f>1219.6+(327-248.5)+(-2.487984+(-0.66708--0.50694))+0-315.8--0.644231999999986</f>
        <v>980.29610799999989</v>
      </c>
      <c r="Z239" s="3">
        <f>1225.1+(330.1-225.6)+(-3.124005+(-0.841755--0.57528))+0-316--0.805799999999954</f>
        <v>1011.0153199999999</v>
      </c>
      <c r="AA239" s="3">
        <f>1224.8+(307.8-206.1)+(-1.873944+(-0.470934--0.315333))+0-317--0.485010000000018</f>
        <v>1007.9554649999999</v>
      </c>
      <c r="AB239" s="3">
        <f>1226.4+(322.2-166.5)+(-3.12732+(-0.82161--0.424575))+0-317.9--0.810644999999954</f>
        <v>1061.4862900000003</v>
      </c>
      <c r="AC239" s="3">
        <f>1224.5+(339.6-123.1)+(-2.49798+(-0.692784--0.251124))+0-315.1--0.642803999999986</f>
        <v>1123.6031640000001</v>
      </c>
      <c r="AD239" s="2">
        <v>923.60000000000014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1229.9+(292.6-105.1)+(-1.881747+(-0.447678--0.160803))+0-316.3--0.483939000000018</f>
        <v>1099.4153170000002</v>
      </c>
      <c r="G240" s="3">
        <f>1228.8+(321.5-109)+(-1.880064+(-0.491895--0.16677))+0-317--0.485010000000018</f>
        <v>1122.579821</v>
      </c>
      <c r="H240" s="3">
        <f>1221.2+(272.1-126.6)+(-0.622812+(-0.138771--0.064566))+0-319.5--0.162944999999968</f>
        <v>1046.6659280000001</v>
      </c>
      <c r="I240" s="3">
        <f>1133.9+(308.2-99.2)+(-0.578289+(-0.157182--0.050592))+0-319.3--0.162842999999968</f>
        <v>1023.0779640000002</v>
      </c>
      <c r="J240" s="3">
        <f>1133.4+(286.9-108)+(-1.156068+(-0.292638--0.11016))+0-318.2--0.324564000000051</f>
        <v>993.08601800000019</v>
      </c>
      <c r="K240" s="3">
        <f>1135+(267.9-125.9)+(1.73655+(0.409887-0.192627))+0-318.8-0.487764000000018</f>
        <v>959.66604600000005</v>
      </c>
      <c r="L240" s="3">
        <f>1137.9+(172.1-143)+(-0.580329+(-0.087771--0.07293))+0-317.9--0.162128999999968</f>
        <v>848.66695899999991</v>
      </c>
      <c r="M240" s="3">
        <f>1195.9+(170.8-175.6)+(1.219818+(0.174216-0.179112))+0-316.6-0.322932000000051</f>
        <v>875.39198999999996</v>
      </c>
      <c r="N240" s="3">
        <f>1227.5+(224-213)+(1.25205+(0.22848-0.21726))+0-316.4-0.32272800000005</f>
        <v>923.04054199999985</v>
      </c>
      <c r="O240" s="3">
        <f>1223.9+(255.1-240.7)+(-1.248378+(-0.260202--0.245514))+0-317.6--0.323952000000051</f>
        <v>919.76088600000026</v>
      </c>
      <c r="P240" s="3">
        <f>1219.5+(301.4-244.9)+(-1.24389+(-0.307428--0.249798))+0-317.6--0.323952000000051</f>
        <v>957.42243200000007</v>
      </c>
      <c r="Q240" s="3">
        <f>1214.7+(309-258)+(1.238994+(0.31518-0.26316))+0-319-0.325380000000051</f>
        <v>947.66563399999995</v>
      </c>
      <c r="R240" s="3">
        <f>1213.7+(354.1-275.5)+(-2.475948+(-0.722364--0.56202))+0-317.7--0.648107999999986</f>
        <v>972.6118160000002</v>
      </c>
      <c r="S240" s="3">
        <f>1207.9+(434.3-265.6)+(0+(0-0))+0-317.6-0</f>
        <v>1059</v>
      </c>
      <c r="T240" s="3">
        <f>1205.3+(401.8-291.7)+(-0.614703+(-0.204918--0.148767))+0-318--0.162179999999968</f>
        <v>996.89132600000005</v>
      </c>
      <c r="U240" s="3">
        <f>1216.7+(319.9-298.2)+(0+(0-0))+0-317.6-0</f>
        <v>920.80000000000007</v>
      </c>
      <c r="V240" s="3">
        <f>1219.1+(301.3-298.7)+(0.621741+(0.153663-0.152337))+0-317.2-0.161771999999968</f>
        <v>904.96129499999984</v>
      </c>
      <c r="W240" s="3">
        <f>1221.4+(358.4-274.2)+(0.622914+(0.182784-0.139842))+0-317.1-0.161720999999968</f>
        <v>989.00413500000025</v>
      </c>
      <c r="X240" s="3">
        <f>1223.5+(374.7-279.4)+(-3.74391+(-1.146582--0.854964))+0-317.6--0.971856000000037</f>
        <v>998.13632799999982</v>
      </c>
      <c r="Y240" s="3">
        <f>1225.4+(407.5-266.4)+(-0.624954+(-0.207825--0.135864))+0-318.2--0.162281999999968</f>
        <v>1047.765367</v>
      </c>
      <c r="Z240" s="3">
        <f>1236.3+(413.4-242.1)+(-2.522052+(-0.843336--0.493884))+0-316.9--0.646475999999986</f>
        <v>1088.474972</v>
      </c>
      <c r="AA240" s="3">
        <f>1237.2+(408.5-220.5)+(-1.892916+(-0.625005--0.337365))+0-317.9--0.486387000000018</f>
        <v>1105.6058309999999</v>
      </c>
      <c r="AB240" s="3">
        <f>1238.1+(419.8-194.6)+(-2.525724+(-0.856392--0.396984))+0-317.3--0.647291999999986</f>
        <v>1143.6621599999999</v>
      </c>
      <c r="AC240" s="3">
        <f>1239.2+(392.6-172.6)+(-1.895976+(-0.600678--0.264078))+0-316.1--0.483633000000018</f>
        <v>1141.3510570000001</v>
      </c>
      <c r="AD240" s="2">
        <v>998.59999999999991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1240.4+(348.9-142)+(-3.16302+(-0.889695--0.3621))+0-317.5--0.809624999999954</f>
        <v>1126.9190100000001</v>
      </c>
      <c r="G241" s="3">
        <f>1240.7+(264.3-119.9)+(-3.163785+(-0.673965--0.305745))+0-317.7--0.810134999999954</f>
        <v>1064.67813</v>
      </c>
      <c r="H241" s="3">
        <f>1157.6+(270.2-121)+(-1.771128+(-0.413406--0.18513))+0-319.5--0.488835000000018</f>
        <v>985.78943100000004</v>
      </c>
      <c r="I241" s="3">
        <f>1139.7+(308.3-129.6)+(0.581247+(0.157233-0.066096))+0-321-0.163709999999967</f>
        <v>997.90867400000013</v>
      </c>
      <c r="J241" s="3">
        <f>1139.7+(271.1-130.8)+(0+(0-0))+0-319.4-0</f>
        <v>960.6</v>
      </c>
      <c r="K241" s="3">
        <f>1139.7+(275-147.3)+(0+(0-0))+0-318.3-0</f>
        <v>949.10000000000014</v>
      </c>
      <c r="L241" s="3">
        <f>1139.7+(243.3-218.8)+(-2.324988+(-0.496332--0.446352))+0-318.1--0.648923999999986</f>
        <v>844.37395599999991</v>
      </c>
      <c r="M241" s="3">
        <f>1139.7+(286.9-236.8)+(-1.162494+(-0.292638--0.241536))+0-317.5--0.323850000000051</f>
        <v>871.41025400000001</v>
      </c>
      <c r="N241" s="3">
        <f>1136.3+(246.2-180.5)+(1.159026+(0.251124-0.18411))+0-317.4-0.323748000000051</f>
        <v>885.50229200000001</v>
      </c>
      <c r="O241" s="3">
        <f>1141.3+(235.5-192.4)+(0+(0-0))+0-319.2-0</f>
        <v>865.19999999999982</v>
      </c>
      <c r="P241" s="3">
        <f>1234+(242-227.9)+(-1.88802+(-0.37026--0.348687))+0-319.2--0.488376000000018</f>
        <v>927.47878299999979</v>
      </c>
      <c r="Q241" s="3">
        <f>1237.2+(288.7-288.2)+(-2.523888+(-0.588948--0.587928))+0-318.1--0.648923999999986</f>
        <v>917.72401599999989</v>
      </c>
      <c r="R241" s="3">
        <f>1228.7+(400.1-277.2)+(-1.879911+(-0.612153--0.424116))+0-317.8--0.486234000000018</f>
        <v>1032.2182860000003</v>
      </c>
      <c r="S241" s="3">
        <f>1224.2+(310-264)+(-2.497368+(-0.6324--0.53856))+0-317.6--0.647903999999986</f>
        <v>950.65669600000001</v>
      </c>
      <c r="T241" s="3">
        <f>1223.1+(271.1-249.8)+(1.247562+(0.276522-0.254796))+0-318.4-0.324768000000051</f>
        <v>926.94451999999978</v>
      </c>
      <c r="U241" s="3">
        <f>1224.8+(194.8-238.8)+(-1.873944+(-0.298044--0.365364))+0-316.5--0.484245000000018</f>
        <v>862.97762099999989</v>
      </c>
      <c r="V241" s="3">
        <f>1226.1+(219.3-257.4)+(0+(0-0))+0-316.1-0</f>
        <v>871.9</v>
      </c>
      <c r="W241" s="3">
        <f>1228.7+(305.1-265.5)+(-1.879911+(-0.466803--0.406215))+0-317.4--0.485622000000018</f>
        <v>949.44512300000019</v>
      </c>
      <c r="X241" s="3">
        <f>1232.8+(318.5-249)+(-1.257456+(-0.32487--0.25398))+0-317.7--0.324054000000051</f>
        <v>983.59570799999995</v>
      </c>
      <c r="Y241" s="3">
        <f>1236.3+(309-245.1)+(0+(0-0))+0-317.5-0</f>
        <v>982.7</v>
      </c>
      <c r="Z241" s="3">
        <f>1240+(305.5-252.7)+(0+(0-0))+0-316.7-0</f>
        <v>976.09999999999991</v>
      </c>
      <c r="AA241" s="3">
        <f>1242.5+(314.5-229.9)+(-1.901025+(-0.481185--0.351747))+0-318.1--0.486693000000018</f>
        <v>1007.4562299999999</v>
      </c>
      <c r="AB241" s="3">
        <f>1244+(288.6-200.2)+(0+(0-0))+0-318.3-0</f>
        <v>1014.1000000000001</v>
      </c>
      <c r="AC241" s="3">
        <f>1246.4+(291.9-177.4)+(-2.542656+(-0.595476--0.361896))+0-317--0.646679999999986</f>
        <v>1041.7704440000002</v>
      </c>
      <c r="AD241" s="2">
        <v>1002.5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1247.3+(299.4-140.8)+(-0.636123+(-0.152694--0.071808))+0-318--0.162179999999968</f>
        <v>1087.3451709999999</v>
      </c>
      <c r="G242" s="3">
        <f>1249.1+(237.6-125.1)+(-1.274082+(-0.242352--0.127602))+0-317.3--0.323646000000051</f>
        <v>1043.2348139999999</v>
      </c>
      <c r="H242" s="3">
        <f>1250.1+(208.3-108.4)+(-3.187755+(-0.531165--0.27642))+0-317.9--0.810644999999954</f>
        <v>1029.4681449999998</v>
      </c>
      <c r="I242" s="3">
        <f>1249.6+(112.7-125.9)+(-1.274592+(-0.114954--0.128418))+0-318.8--0.325176000000051</f>
        <v>916.66404799999987</v>
      </c>
      <c r="J242" s="3">
        <f>1174.2+(213.3-148.9)+(0+(0-0))+0-318.6-0</f>
        <v>920.00000000000011</v>
      </c>
      <c r="K242" s="3">
        <f>1153+(200.2-160.5)+(0+(0-0))+0-317-0</f>
        <v>875.7</v>
      </c>
      <c r="L242" s="3">
        <f>1157+(167.7-170.2)+(-2.95035+(-0.427635--0.43401))+0-316.3--0.806564999999954</f>
        <v>836.06259000000011</v>
      </c>
      <c r="M242" s="3">
        <f>1218.9+(168.8-189.1)+(-1.243278+(-0.172176--0.192882))+0-316.6--0.322932000000051</f>
        <v>881.10036000000025</v>
      </c>
      <c r="N242" s="3">
        <f>1247.9+(138.9-210.1)+(1.909287+(0.212517-0.321453))+0-317-0.485010000000018</f>
        <v>861.01534100000015</v>
      </c>
      <c r="O242" s="3">
        <f>1243.1+(233.8-232.9)+(-1.267962+(-0.238476--0.237558))+0-317.8--0.324156000000051</f>
        <v>925.25527599999998</v>
      </c>
      <c r="P242" s="3">
        <f>1243.7+(288.5-259.5)+(1.268574+(0.29427-0.26469))+0-324.1-0.330582000000052</f>
        <v>949.56757200000004</v>
      </c>
      <c r="Q242" s="3">
        <f>1239.3+(351.6-297.4)+(-3.160215+(-0.89658--0.75837))+0-325.1--0.829004999999953</f>
        <v>965.93057999999996</v>
      </c>
      <c r="R242" s="3">
        <f>1232.8+(306.2-310.5)+(-4.401096+(-1.093134--1.108485))+0-321.5--1.147755</f>
        <v>903.76200999999992</v>
      </c>
      <c r="S242" s="3">
        <f>1230.7+(315.2-298.2)+(-1.882971+(-0.482256--0.456246))+0-319.2--0.488376000000018</f>
        <v>927.07939499999998</v>
      </c>
      <c r="T242" s="3">
        <f>1227.2+(354.9-284.2)+(-1.877616+(-0.542997--0.434826))+0-318.8--0.487764000000018</f>
        <v>977.60197700000003</v>
      </c>
      <c r="U242" s="3">
        <f>1227+(258.7-262.2)+(0+(0-0))+0-317.5-0</f>
        <v>906</v>
      </c>
      <c r="V242" s="3">
        <f>1229.4+(211-242.8)+(-1.253988+(-0.21522--0.247656))+0-318.6--0.324972000000051</f>
        <v>878.10342000000014</v>
      </c>
      <c r="W242" s="3">
        <f>1235.6+(273.2-244.9)+(0+(0-0))+0-318.9-0</f>
        <v>944.99999999999989</v>
      </c>
      <c r="X242" s="3">
        <f>1222.4+(306.7-234.9)+(-2.493696+(-0.625668--0.479196))+0-321.3--0.655451999999986</f>
        <v>970.91528400000016</v>
      </c>
      <c r="Y242" s="3">
        <f>1220.1+(310.5-229.6)+(0+(0-0))+0-319.9-0</f>
        <v>981.1</v>
      </c>
      <c r="Z242" s="3">
        <f>1226.9+(297.2-241.8)+(-1.877157+(-0.454716--0.369954))+0-318.5--0.487305000000018</f>
        <v>962.32538600000009</v>
      </c>
      <c r="AA242" s="3">
        <f>1231.3+(354.4-223.7)+(0+(0-0))+0-317-0</f>
        <v>1045</v>
      </c>
      <c r="AB242" s="3">
        <f>1232.4+(332.7-213.5)+(-1.885572+(-0.509031--0.326655))+0-317.2--0.485316000000018</f>
        <v>1032.8173680000002</v>
      </c>
      <c r="AC242" s="3">
        <f>1241.1+(353.7-173.1)+(-2.531844+(-0.721548--0.353124))+0-315.7--0.644027999999986</f>
        <v>1103.7437599999996</v>
      </c>
      <c r="AD242" s="2">
        <v>988.89999999999986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1239.8+(262.6-166.9)+(-0.632298+(-0.133926--0.085119))+0-315.3--0.160802999999968</f>
        <v>1019.6796980000001</v>
      </c>
      <c r="G243" s="3">
        <f>1238.4+(259.6-171.1)+(-1.263168+(-0.264792--0.174522))+0-318.2--0.324564000000051</f>
        <v>1007.671126</v>
      </c>
      <c r="H243" s="3">
        <f>1236.4+(157.9-168)+(-3.783384+(-0.483174--0.51408))+0-317.6--0.971856000000037</f>
        <v>905.91937800000005</v>
      </c>
      <c r="I243" s="3">
        <f>1237.3+(111.5-167.9)+(1.262046+(0.11373-0.171258))+0-318.1-0.324462000000051</f>
        <v>863.68005599999981</v>
      </c>
      <c r="J243" s="3">
        <f>1240.9+(133.1-159.6)+(-1.265718+(-0.135762--0.162792))+0-317.5--0.323850000000051</f>
        <v>895.98516200000029</v>
      </c>
      <c r="K243" s="3">
        <f>1239.3+(161.6-168.4)+(-1.264086+(-0.164832--0.171768))+0-317.9--0.324258000000051</f>
        <v>913.66710800000021</v>
      </c>
      <c r="L243" s="3">
        <f>1241.3+(155.3-246.8)+(-3.165315+(-0.396015--0.62934))+0-317.8--0.810389999999954</f>
        <v>829.87839999999994</v>
      </c>
      <c r="M243" s="3">
        <f>1243.6+(168.3-251.7)+(-1.268472+(-0.171666--0.256734))+0-315.8--0.32211600000005</f>
        <v>843.5387119999998</v>
      </c>
      <c r="N243" s="3">
        <f>1243+(183.4-229.7)+(-1.90179+(-0.280602--0.351441))+0-317.8--0.486234000000018</f>
        <v>877.55528300000014</v>
      </c>
      <c r="O243" s="3">
        <f>1239.9+(213.2-254.2)+(-2.529396+(-0.434928--0.518568))+0-318.8--0.650351999999986</f>
        <v>878.30459600000006</v>
      </c>
      <c r="P243" s="3">
        <f>1235+(267.8-296.8)+(-0.62985+(-0.136578--0.151368))+0-319--0.162689999999968</f>
        <v>886.54762999999991</v>
      </c>
      <c r="Q243" s="3">
        <f>1234.5+(261.7-326.3)+(-0.629595+(-0.133467--0.166413))+0-321.7--0.164066999999967</f>
        <v>847.76741799999991</v>
      </c>
      <c r="R243" s="3">
        <f>1232.4+(302.5-308.6)+(-3.14262+(-0.771375--0.78693))+0-318.2--0.811409999999954</f>
        <v>905.78434500000014</v>
      </c>
      <c r="S243" s="3">
        <f>1231.1+(308.8-278.5)+(0+(0-0))+0-320.3-0</f>
        <v>941.09999999999991</v>
      </c>
      <c r="T243" s="3">
        <f>1231.4+(301.1-280.5)+(0+(0-0))+0-317.3-0</f>
        <v>934.7</v>
      </c>
      <c r="U243" s="3">
        <f>1232.7+(280.1-296.9)+(-0.628677+(-0.142851--0.151419))+0-318.1--0.162230999999968</f>
        <v>897.34212200000013</v>
      </c>
      <c r="V243" s="3">
        <f>1231.5+(282.1-275)+(0+(0-0))+0-316.2-0</f>
        <v>922.39999999999986</v>
      </c>
      <c r="W243" s="3">
        <f>1231.3+(287.8-289.1)+(1.255926+(0.293556-0.294882))+0-316.7-0.323034000000051</f>
        <v>914.23156599999993</v>
      </c>
      <c r="X243" s="3">
        <f>1237.8+(350.6-315.4)+(-3.15639+(-0.89403--0.80427))+0-318.7--0.812684999999954</f>
        <v>951.866535</v>
      </c>
      <c r="Y243" s="3">
        <f>1252.4+(327.6-326.9)+(-1.277448+(-0.334152--0.333438))+0-317.1--0.323442000000051</f>
        <v>935.04528000000005</v>
      </c>
      <c r="Z243" s="3">
        <f>1254.4+(296.7-319.9)+(-1.919232+(-0.453951--0.489447))+0-317.5--0.485775000000018</f>
        <v>912.30203900000004</v>
      </c>
      <c r="AA243" s="3">
        <f>1261.4+(281.4-287)+(-3.21657+(-0.71757--0.73185))+0-317.4--0.809369999999954</f>
        <v>936.0070800000002</v>
      </c>
      <c r="AB243" s="3">
        <f>1264.4+(249.3-267.2)+(0.644844+(0.127143-0.136272))+0-317.1-0.161720999999968</f>
        <v>929.87399399999993</v>
      </c>
      <c r="AC243" s="3">
        <f>1266.4+(245.8-221.5)+(-3.22932+(-0.62679--0.564825))+0-316.1--0.806054999999954</f>
        <v>972.11476999999991</v>
      </c>
      <c r="AD243" s="2">
        <v>1024.8000000000002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1268.6+(187.4-203.1)+(-1.940958+(-0.286722--0.310743))+0-316.8--0.484704000000018</f>
        <v>934.66776699999991</v>
      </c>
      <c r="G244" s="3">
        <f>1192.8+(179.1-166.3)+(-3.04164+(-0.456705--0.424065))+0-318--0.810899999999954</f>
        <v>885.33661999999981</v>
      </c>
      <c r="H244" s="3">
        <f>1171.6+(167.6-154.4)+(1.195032+(0.170952-0.157488))+0-318.4-0.324768000000051</f>
        <v>867.28372799999988</v>
      </c>
      <c r="I244" s="3">
        <f>1170.2+(151.6-168.7)+(0+(0-0))+0-318.4-0</f>
        <v>834.70000000000016</v>
      </c>
      <c r="J244" s="3">
        <f>1168.5+(122.2-189.3)+(0.595935+(0.062322-0.096543))+0-315-0.160649999999968</f>
        <v>786.80106400000011</v>
      </c>
      <c r="K244" s="3">
        <f>1168.6+(149.5-177.8)+(-1.787958+(-0.228735--0.272034))+0-316--0.483480000000018</f>
        <v>823.03882099999998</v>
      </c>
      <c r="L244" s="3">
        <f>1171.7+(151.9-253.7)+(-0.597567+(-0.077469--0.129387))+0-314.3--0.160292999999968</f>
        <v>755.21464400000025</v>
      </c>
      <c r="M244" s="3">
        <f>1168.5+(215.6-270.3)+(-1.787805+(-0.329868--0.413559))+0-315.5--0.482715000000018</f>
        <v>797.07860100000005</v>
      </c>
      <c r="N244" s="3">
        <f>1166.4+(248-279.8)+(-1.189728+(-0.25296--0.285396))+0-314--0.32028000000005</f>
        <v>819.76298800000006</v>
      </c>
      <c r="O244" s="3">
        <f>1166.5+(276.9-299.7)+(-1.18983+(-0.282438--0.305694))+0-315.8--0.32211600000005</f>
        <v>827.05554200000006</v>
      </c>
      <c r="P244" s="3">
        <f>1166.1+(300.7-283.9)+(-2.973555+(-0.766785--0.723945))+0-319.7--0.815234999999954</f>
        <v>860.99883999999963</v>
      </c>
      <c r="Q244" s="3">
        <f>1165.6+(299.2-310.6)+(-2.97228+(-0.76296--0.79203))+0-321--0.818549999999953</f>
        <v>831.07533999999987</v>
      </c>
      <c r="R244" s="3">
        <f>1171.3+(278.6-326.2)+(-1.792089+(-0.426258--0.499086))+0-319.5--0.488835000000018</f>
        <v>802.96957400000008</v>
      </c>
      <c r="S244" s="3">
        <f>1204.9+(288.8-289.8)+(-1.228998+(-0.294576--0.295596))+0-317.9--0.324258000000051</f>
        <v>885.09628000000032</v>
      </c>
      <c r="T244" s="3">
        <f>1265.8+(266.9-270.8)+(0.645558+(0.136119-0.138108))+0-335.3-0.171002999999966</f>
        <v>927.07256600000005</v>
      </c>
      <c r="U244" s="3">
        <f>1240.9+(240.7-253.6)+(1.265718+(0.245514-0.258672))+0-316.6-0.322932000000051</f>
        <v>912.32962799999984</v>
      </c>
      <c r="V244" s="3">
        <f>1240.1+(249.2-326.1)+(0+(0-0))+0-316.7-0</f>
        <v>846.49999999999977</v>
      </c>
      <c r="W244" s="3">
        <f>1239.4+(291.8-378.9)+(-0.632094+(-0.148818--0.193239))+0-318--0.162179999999968</f>
        <v>833.87450700000011</v>
      </c>
      <c r="X244" s="3">
        <f>1241.5+(261.8-394.9)+(-0.633165+(-0.133518--0.201399))+0-250.1--0.127550999999975</f>
        <v>857.86226699999997</v>
      </c>
      <c r="Y244" s="3">
        <f>1247.9+(255.8-353.5)+(-0.636429+(-0.130458--0.180285))+0-256.6--0.130865999999974</f>
        <v>893.14426399999991</v>
      </c>
      <c r="Z244" s="3">
        <f>1253.1+(272.7-282.3)+(-1.278162+(-0.278154--0.287946))+0-315.7--0.32201400000005</f>
        <v>926.85364400000003</v>
      </c>
      <c r="AA244" s="3">
        <f>1257+(242.8-299)+(-0.64107+(-0.123828--0.15249))+0-322.6--0.164525999999967</f>
        <v>877.752118</v>
      </c>
      <c r="AB244" s="3">
        <f>1265.3+(233.1-256.1)+(-3.226515+(-0.594405--0.653055))+0-322.9--0.823394999999953</f>
        <v>917.05553000000009</v>
      </c>
      <c r="AC244" s="3">
        <f>1269.7+(174.8-252.1)+(-1.942641+(-0.267444--0.385713))+0-322.2--0.492966000000019</f>
        <v>868.86859400000003</v>
      </c>
      <c r="AD244" s="2">
        <v>842.29999999999984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1264.5+(112.4-182.9)+(-1.28979+(-0.114648--0.186558))+0-322.8--0.329256000000052</f>
        <v>870.31137600000022</v>
      </c>
      <c r="G245" s="3">
        <f>1222.8+(82.5-140.6)+(-3.11814+(-0.210375--0.35853))+0-326.9--0.833594999999952</f>
        <v>835.66361000000006</v>
      </c>
      <c r="H245" s="3">
        <f>1170+(81.9-124.8)+(0.5967+(0.041769-0.063648))+0-324.9-0.165698999999967</f>
        <v>802.60912199999984</v>
      </c>
      <c r="I245" s="3">
        <f>1174.8+(71.5-146.4)+(-2.99574+(-0.182325--0.37332))+0-327.7--0.835634999999952</f>
        <v>770.23088999999982</v>
      </c>
      <c r="J245" s="3">
        <f>1172.9+(64.2-207.2)+(-0.598179+(-0.032742--0.105672))+0-324--0.165239999999967</f>
        <v>705.53999099999999</v>
      </c>
      <c r="K245" s="3">
        <f>1170+(68-240)+(-0.5967+(-0.03468--0.1224))+0-321.2--0.163811999999967</f>
        <v>676.45483200000012</v>
      </c>
      <c r="L245" s="3">
        <f>1169.8+(97.2-291.8)+(1.193196+(0.099144-0.297636))+0-320.8-0.327216000000051</f>
        <v>655.0674879999998</v>
      </c>
      <c r="M245" s="3">
        <f>1169.3+(124.9-268.7)+(0.596343+(0.063699-0.137037))+0-318.8-0.162587999999968</f>
        <v>707.06041700000014</v>
      </c>
      <c r="N245" s="3">
        <f>1165.4+(124-327)+(0+(0-0))+0-226.4-0</f>
        <v>736.00000000000011</v>
      </c>
      <c r="O245" s="3">
        <f>1208.4+(158.7-331.7)+(-2.465136+(-0.323748--0.676668))+0-281.7--0.574667999999988</f>
        <v>752.16245200000003</v>
      </c>
      <c r="P245" s="3">
        <f>1240.4+(145.1-352.8)+(-2.530416+(-0.296004--0.719712))+0-273--0.556919999999988</f>
        <v>758.15021200000001</v>
      </c>
      <c r="Q245" s="3">
        <f>1239.9+(192.4-316.2)+(-0.632349+(-0.098124--0.161262))+0-312.7--0.159476999999968</f>
        <v>802.99026600000002</v>
      </c>
      <c r="R245" s="3">
        <f>1240.7+(200.5-375.6)+(-2.531028+(-0.40902--0.766224))+0-322--0.656879999999986</f>
        <v>742.08305599999994</v>
      </c>
      <c r="S245" s="3">
        <f>1241.3+(182.3-363.8)+(-0.633063+(-0.092973--0.185538))+0-326--0.166259999999967</f>
        <v>733.42576199999985</v>
      </c>
      <c r="T245" s="3">
        <f>1242.3+(171.7-292.1)+(-1.900719+(-0.262701--0.446913))+0-324--0.495720000000019</f>
        <v>796.67921299999978</v>
      </c>
      <c r="U245" s="3">
        <f>1242.4+(160.2-282.3)+(-0.633624+(-0.081702--0.143973))+0-322.5--0.164474999999967</f>
        <v>797.39312200000006</v>
      </c>
      <c r="V245" s="3">
        <f>1246.7+(174.5-355.7)+(1.907451+(0.266985-0.544221))+0-322-0.492660000000019</f>
        <v>744.63755499999991</v>
      </c>
      <c r="W245" s="3">
        <f>1251+(289.6-393.1)+(-3.19005+(-0.73848--1.002405))+0-325.3--0.829514999999953</f>
        <v>820.10338999999999</v>
      </c>
      <c r="X245" s="3">
        <f>1254.6+(279-352.3)+(-2.559384+(-0.56916--0.718692))+0-324--0.660959999999986</f>
        <v>855.55110799999989</v>
      </c>
      <c r="Y245" s="3">
        <f>1261.1+(263.7-406.8)+(-3.215805+(-0.672435--1.03734))+0-325.1--0.829004999999953</f>
        <v>790.87810500000001</v>
      </c>
      <c r="Z245" s="3">
        <f>1262.2+(286.9-370.9)+(-2.574888+(-0.585276--0.756636))+0-322.8--0.658511999999986</f>
        <v>853.65498400000001</v>
      </c>
      <c r="AA245" s="3">
        <f>1262.5+(252.5-352)+(-0.643875+(-0.128775--0.17952))+0-321.4--0.163913999999967</f>
        <v>841.17078400000003</v>
      </c>
      <c r="AB245" s="3">
        <f>1262.4+(264-313.3)+(-1.931472+(-0.40392--0.479349))+0-321.5--0.491895000000019</f>
        <v>890.23585200000014</v>
      </c>
      <c r="AC245" s="3">
        <f>1262.4+(264.1-275.3)+(-2.575296+(-0.538764--0.561612))+0-320.2--0.653207999999986</f>
        <v>929.10076000000004</v>
      </c>
      <c r="AD245" s="2">
        <v>860.50000000000011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1199.1+(222.9-228.1)+(1.223082+(0.227358-0.232662))+0-318.2-0.324564000000051</f>
        <v>876.59321399999976</v>
      </c>
      <c r="G246" s="3">
        <f>1171.6+(213-156.3)+(-1.195032+(-0.21726--0.159426))+0-319.1--0.325482000000051</f>
        <v>908.27261599999997</v>
      </c>
      <c r="H246" s="3">
        <f>1172.3+(143.7-165.8)+(-1.195746+(-0.146574--0.169116))+0-319.6--0.325992000000051</f>
        <v>829.7527879999999</v>
      </c>
      <c r="I246" s="3">
        <f>1172.7+(139.2-132.6)+(1.196154+(0.141984-0.135252))+0-318.5-0.324870000000051</f>
        <v>861.67801599999996</v>
      </c>
      <c r="J246" s="3">
        <f>1171.2+(123.7-168.7)+(-0.597312+(-0.063087--0.086037))+0-317.3--0.161822999999968</f>
        <v>808.48746099999994</v>
      </c>
      <c r="K246" s="3">
        <f>1188.2+(138.1-224.9)+(3.02991+(0.352155-0.573495))+0-316.9-0.808094999999954</f>
        <v>786.50047500000005</v>
      </c>
      <c r="L246" s="3">
        <f>1266.3+(151.3-351.6)+(0+(0-0))+0-316.3-0</f>
        <v>749.7</v>
      </c>
      <c r="M246" s="3">
        <f>1261.4+(162.1-351.4)+(1.286628+(0.165342-0.358428))+0-316.1-0.32242200000005</f>
        <v>756.77112000000011</v>
      </c>
      <c r="N246" s="3">
        <f>1252.7+(190.9-323)+(1.916631+(0.292077-0.49419))+0-315.5-0.482715000000018</f>
        <v>806.33180300000015</v>
      </c>
      <c r="O246" s="3">
        <f>1240.7+(211.7-355.3)+(-0.632757+(-0.107967--0.181203))+0-316.7--0.161516999999968</f>
        <v>780.00199599999996</v>
      </c>
      <c r="P246" s="3">
        <f>1253+(205-495.5)+(0+(0-0))+0-320-0</f>
        <v>642.5</v>
      </c>
      <c r="Q246" s="3">
        <f>1182+(149-629.5)+(-0.60282+(-0.07599--0.321045))+0-316--0.161159999999968</f>
        <v>385.30339500000002</v>
      </c>
      <c r="R246" s="3">
        <f>987.5+(178.4-461.1)+(-3.525375+(-0.636888--1.646127))+0-317.1--1.132047</f>
        <v>386.31591099999997</v>
      </c>
      <c r="S246" s="3">
        <f>1007.7+(119.3-407.1)+(0.513927+(0.060843-0.207621))+0-317.2-0.161771999999968</f>
        <v>402.90537700000016</v>
      </c>
      <c r="T246" s="3">
        <f>1146.3+(73.3-428.5)+(-1.753839+(-0.112149--0.655605))+0-316.9--0.484857000000018</f>
        <v>473.47447399999999</v>
      </c>
      <c r="U246" s="3">
        <f>1245.7+(48.8-483.9)+(0.635307+(0.024888-0.246789))+0-316.6-0.161465999999968</f>
        <v>494.25194000000016</v>
      </c>
      <c r="V246" s="3">
        <f>1251.2+(92.9-507.5)+(-1.914336+(-0.142137--0.776475))+0-317.1--0.485163000000018</f>
        <v>518.70516500000008</v>
      </c>
      <c r="W246" s="3">
        <f>1265.1+(166.1-473.7)+(-2.580804+(-0.338844--0.966348))+0-317.7--0.648107999999986</f>
        <v>638.49480799999981</v>
      </c>
      <c r="X246" s="3">
        <f>1269+(148.8-456.8)+(-2.58876+(-0.303552--0.931872))+0-320.2--0.653207999999986</f>
        <v>639.49276800000007</v>
      </c>
      <c r="Y246" s="3">
        <f>1269+(142.4-423.6)+(-3.23595+(-0.36312--1.08018))+0-319.4--0.814469999999954</f>
        <v>666.69557999999984</v>
      </c>
      <c r="Z246" s="3">
        <f>1269.4+(136.2-385.3)+(-1.942182+(-0.208386--0.589509))+0-319--0.488070000000018</f>
        <v>700.22701100000006</v>
      </c>
      <c r="AA246" s="3">
        <f>1274.4+(109.3-405.8)+(-1.299888+(-0.111486--0.413916))+0-318.8--0.325176000000051</f>
        <v>658.42771800000014</v>
      </c>
      <c r="AB246" s="3">
        <f>1275.6+(96.9-377.5)+(-1.951668+(-0.148257--0.577575))+0-317.5--0.485775000000018</f>
        <v>676.46342499999992</v>
      </c>
      <c r="AC246" s="3">
        <f>1277+(61.9-367.1)+(0+(0-0))+0-316.6-0</f>
        <v>655.19999999999993</v>
      </c>
      <c r="AD246" s="2">
        <v>643.70000000000005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1304.6+(56.9-379.1)+(-3.32673+(-0.145095--0.966705))+0-316.7--0.807584999999954</f>
        <v>664.00246499999969</v>
      </c>
      <c r="G247" s="3">
        <f>1244.2+(81-401.3)+(0.634542+(0.04131-0.204663))+0-317.2-0.161771999999968</f>
        <v>607.00941700000021</v>
      </c>
      <c r="H247" s="3">
        <f>1235.2+(76.3-387.2)+(-1.259904+(-0.077826--0.394944))+0-318.5--0.324870000000051</f>
        <v>605.18208400000015</v>
      </c>
      <c r="I247" s="3">
        <f>1235.9+(51.8-357.4)+(0.630309+(0.026418-0.182274))+0-319.2-0.162791999999968</f>
        <v>611.41166100000021</v>
      </c>
      <c r="J247" s="3">
        <f>1235.5+(42.9-322.9)+(3.150525+(0.109395-0.823395))+0-319.1-0.813704999999954</f>
        <v>638.02282000000002</v>
      </c>
      <c r="K247" s="3">
        <f>1245.3+(68.1-354.9)+(1.270206+(0.069462-0.361998))+0-317.1-0.323442000000051</f>
        <v>642.05422799999997</v>
      </c>
      <c r="L247" s="3">
        <f>1283+(85.1-461.2)+(1.96299+(0.130203-0.705636))+0-317.1-0.485163000000018</f>
        <v>590.70239399999991</v>
      </c>
      <c r="M247" s="3">
        <f>1281+(116.6-461.4)+(2.61324+(0.237864-0.941256))+0-314.6-0.641783999999986</f>
        <v>622.868064</v>
      </c>
      <c r="N247" s="3">
        <f>1276.7+(132.5-465.8)+(-0.651117+(-0.067575--0.237558))+0-314.9--0.160598999999968</f>
        <v>628.17946500000005</v>
      </c>
      <c r="O247" s="3">
        <f>1273.3+(142.4-438)+(-1.298766+(-0.145248--0.44676))+0-319.9--0.326298000000051</f>
        <v>657.12904400000002</v>
      </c>
      <c r="P247" s="3">
        <f>1274.1+(157.4-432.5)+(-1.949373+(-0.240822--0.661725))+0-317.3--0.485469000000018</f>
        <v>680.65699899999981</v>
      </c>
      <c r="Q247" s="3">
        <f>1270.2+(189.1-382)+(-3.23901+(-0.482205--0.9741))+0-318.2--0.811409999999954</f>
        <v>757.16429499999992</v>
      </c>
      <c r="R247" s="3">
        <f>1261.3+(179.2-397.1)+(-0.643263+(-0.091392--0.202521))+0-316--0.161159999999968</f>
        <v>727.02902599999982</v>
      </c>
      <c r="S247" s="3">
        <f>1260.5+(166.5-398)+(-3.214275+(-0.424575--1.0149))+0-316.1--0.806054999999954</f>
        <v>711.08210499999996</v>
      </c>
      <c r="T247" s="3">
        <f>1260.2+(171.2-373.3)+(0+(0-0))+0-316.7-0</f>
        <v>741.39999999999986</v>
      </c>
      <c r="U247" s="3">
        <f>1258.1+(198.2-400.5)+(-3.208155+(-0.50541--1.021275))+0-317.3--0.809114999999954</f>
        <v>736.61682499999995</v>
      </c>
      <c r="V247" s="3">
        <f>1260.2+(228.2-435.9)+(-0.642702+(-0.116382--0.222309))+0-316.2--0.161261999999968</f>
        <v>735.92448699999989</v>
      </c>
      <c r="W247" s="3">
        <f>1264.6+(276.7-448.5)+(0.644946+(0.141117-0.228735))+0-319.4-0.162893999999968</f>
        <v>773.79443400000014</v>
      </c>
      <c r="X247" s="3">
        <f>1265.8+(273-415.4)+(-0.645558+(-0.13923--0.211854))+0-319--0.162689999999968</f>
        <v>803.98975600000006</v>
      </c>
      <c r="Y247" s="3">
        <f>1263.2+(227.2-457.8)+(-2.576928+(-0.463488--0.933912))+0-318.2--0.649127999999986</f>
        <v>712.9426239999998</v>
      </c>
      <c r="Z247" s="3">
        <f>1263.9+(214.8-382.5)+(-1.289178+(-0.219096--0.39015))+0-318--0.324360000000051</f>
        <v>777.40623600000004</v>
      </c>
      <c r="AA247" s="3">
        <f>1263.6+(166.1-461.3)+(-1.288872+(-0.169422--0.470526))+0-318.9--0.325278000000051</f>
        <v>648.83750999999995</v>
      </c>
      <c r="AB247" s="3">
        <f>1266.3+(178.9-416.9)+(-0.645813+(-0.091239--0.212619))+0-319.8--0.163097999999968</f>
        <v>708.13866499999995</v>
      </c>
      <c r="AC247" s="3">
        <f>1269.3+(155-393.6)+(-2.589372+(-0.3162--0.802944))+0-316.8--0.646271999999986</f>
        <v>712.44364399999972</v>
      </c>
      <c r="AD247" s="2">
        <v>813.1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1270.3+(167.7-413.7)+(0+(0-0))+0-316.5-0</f>
        <v>707.8</v>
      </c>
      <c r="G248" s="3">
        <f>1270.3+(170.7-461.2)+(-1.943559+(-0.261171--0.705636))+0-319.1--0.488223000000018</f>
        <v>659.68912899999998</v>
      </c>
      <c r="H248" s="3">
        <f>1270.1+(156.7-449.5)+(0.647751+(0.079917-0.229245))+0-324.4-0.165443999999967</f>
        <v>653.232979</v>
      </c>
      <c r="I248" s="3">
        <f>1251.8+(129.7-423.5)+(-0.638418+(-0.066147--0.215985))+0-322--0.164219999999967</f>
        <v>635.67564000000004</v>
      </c>
      <c r="J248" s="3">
        <f>1167.7+(129.3-320.1)+(2.382108+(0.263772-0.653004))+0-321.5-0.655859999999986</f>
        <v>656.73701600000015</v>
      </c>
      <c r="K248" s="3">
        <f>1168.5+(146.3-368.7)+(0.595935+(0.074613-0.188037))+0-319.5-0.162944999999968</f>
        <v>626.91956600000015</v>
      </c>
      <c r="L248" s="3">
        <f>1166.1+(190.3-421.4)+(-2.973555+(-0.485265--1.07457))+0-317.7--0.810134999999954</f>
        <v>615.72588500000006</v>
      </c>
      <c r="M248" s="3">
        <f>1167.7+(192.5-432.8)+(0.595527+(0.098175-0.220728))+0-317.6-0.161975999999968</f>
        <v>610.11099800000011</v>
      </c>
      <c r="N248" s="3">
        <f>1163.8+(203.6-384.2)+(1.187076+(0.207672-0.391884))+0-317.1-0.323442000000051</f>
        <v>666.77942199999995</v>
      </c>
      <c r="O248" s="3">
        <f>1236.4+(211.4-464.7)+(-1.261128+(-0.215628--0.473994))+0-316.1--0.32242200000005</f>
        <v>666.31966000000023</v>
      </c>
      <c r="P248" s="3">
        <f>1257.9+(190.3-477.8)+(-1.283058+(-0.194106--0.487356))+0-318--0.324360000000051</f>
        <v>651.73455200000012</v>
      </c>
      <c r="Q248" s="3">
        <f>1253.5+(202.6-440.1)+(-0.639285+(-0.103326--0.224451))+0-321.2--0.163811999999967</f>
        <v>694.44565200000011</v>
      </c>
      <c r="R248" s="3">
        <f>1251.2+(199-418)+(-4.466784+(-0.71043--1.49226))+0-319.4--1.140258</f>
        <v>710.25530400000002</v>
      </c>
      <c r="S248" s="3">
        <f>1249.2+(173-401.6)+(-1.911276+(-0.26469--0.614448))+0-318.8--0.487764000000018</f>
        <v>700.72624599999995</v>
      </c>
      <c r="T248" s="3">
        <f>1250.3+(165.5-398.1)+(-2.550612+(-0.33762--0.812124))+0-319.3--0.651371999999986</f>
        <v>696.97526399999992</v>
      </c>
      <c r="U248" s="3">
        <f>1249+(199.3-436.3)+(0+(0-0))+0-317.3-0</f>
        <v>694.7</v>
      </c>
      <c r="V248" s="3">
        <f>1252.7+(201.8-468.3)+(0+(0-0))+0-318.3-0</f>
        <v>667.90000000000009</v>
      </c>
      <c r="W248" s="3">
        <f>1256+(241.8-416)+(0.64056+(0.123318-0.21216))+0-319.9-0.163148999999968</f>
        <v>762.28856899999994</v>
      </c>
      <c r="X248" s="3">
        <f>1260.1+(238.6-454.7)+(-1.927953+(-0.365058--0.695691))+0-321.3--0.491589000000019</f>
        <v>721.59426899999994</v>
      </c>
      <c r="Y248" s="3">
        <f>1263.4+(228.7-460.3)+(-3.866004+(-0.699822--1.408518))+0-320.7--0.981342000000037</f>
        <v>708.92403400000012</v>
      </c>
      <c r="Z248" s="3">
        <f>1264.9+(214.5-483)+(-1.935297+(-0.328185--0.73899))+0-320.4--0.490212000000018</f>
        <v>674.96572000000015</v>
      </c>
      <c r="AA248" s="3">
        <f>1267+(219.2-451.9)+(-1.29234+(-0.223584--0.460938))+0-323--0.329460000000051</f>
        <v>710.5744739999999</v>
      </c>
      <c r="AB248" s="3">
        <f>1268.4+(215.1-417.6)+(-0.646884+(-0.109701--0.212976))+0-319.7--0.163046999999968</f>
        <v>745.81943799999999</v>
      </c>
      <c r="AC248" s="3">
        <f>1268.7+(188.5-446.5)+(-1.941111+(-0.288405--0.683145))+0-319.9--0.489447000000018</f>
        <v>689.74307600000009</v>
      </c>
      <c r="AD248" s="2">
        <v>707.89999999999986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1268.3+(184.4-426.1)+(-3.234165+(-0.47022--1.086555))+0-319.8--0.815489999999954</f>
        <v>704.99765999999977</v>
      </c>
      <c r="G249" s="3">
        <f>1268.2+(229.7-487.5)+(-1.293564+(-0.234294--0.49725))+0-321.4--0.327828000000051</f>
        <v>688.29722000000015</v>
      </c>
      <c r="H249" s="3">
        <f>1271.1+(187.5-488.9)+(0.648261+(0.095625-0.249339))+0-321.8-0.164117999999967</f>
        <v>648.23042899999996</v>
      </c>
      <c r="I249" s="3">
        <f>1272.9+(172.7-489.6)+(-1.947537+(-0.264231--0.749088))+0-320.5--0.490365000000019</f>
        <v>634.52768500000002</v>
      </c>
      <c r="J249" s="3">
        <f>1274.7+(112.3-450.7)+(-0.650097+(-0.057273--0.229857))+0-320.6--0.163505999999967</f>
        <v>615.38599299999998</v>
      </c>
      <c r="K249" s="3">
        <f>1273.5+(85.5-388.4)+(-0.649485+(-0.043605--0.198084))+0-321.9--0.164168999999967</f>
        <v>648.36916300000007</v>
      </c>
      <c r="L249" s="3">
        <f>1276.2+(73.5-413.9)+(-2.603448+(-0.14994--0.844356))+0-319.7--0.652187999999986</f>
        <v>614.84315600000014</v>
      </c>
      <c r="M249" s="3">
        <f>1272.6+(76.1-457.1)+(-0.649026+(-0.038811--0.233121))+0-317.8--0.162077999999968</f>
        <v>573.50736199999994</v>
      </c>
      <c r="N249" s="3">
        <f>1266.8+(196-473.5)+(1.938204+(0.29988-0.724455))+0-318.2-0.486846000000018</f>
        <v>672.12678299999993</v>
      </c>
      <c r="O249" s="3">
        <f>1265.8+(266-474.4)+(-0.645558+(-0.13566--0.241944))+0-320.1--0.163250999999968</f>
        <v>736.92397700000004</v>
      </c>
      <c r="P249" s="3">
        <f>1259.7+(266.2-482.3)+(0.642447+(0.135762-0.245973))+0-319.7-0.163046999999968</f>
        <v>724.26918899999987</v>
      </c>
      <c r="Q249" s="3">
        <f>1252.3+(279.2-456.2)+(-3.832038+(-0.854352--1.395972))+0-320.7--0.981342000000037</f>
        <v>752.2909239999999</v>
      </c>
      <c r="R249" s="3">
        <f>1250.2+(266-446.3)+(-0.637602+(-0.13566--0.227613))+0-320.4--0.163403999999967</f>
        <v>749.11775500000022</v>
      </c>
      <c r="S249" s="3">
        <f>1251.2+(244.7-477.2)+(-3.19056+(-0.623985--1.21686))+0-318.1--0.811154999999954</f>
        <v>698.81347000000005</v>
      </c>
      <c r="T249" s="3">
        <f>1252+(236.4-510.3)+(0.63852+(0.120564-0.260253))+0-318.1-0.162230999999968</f>
        <v>660.33659999999998</v>
      </c>
      <c r="U249" s="3">
        <f>1251.8+(205.4-439.1)+(-1.276836+(-0.209508--0.447882))+0-317.1--0.323442000000051</f>
        <v>700.2849799999999</v>
      </c>
      <c r="V249" s="3">
        <f>1255.1+(189.9-470.4)+(0.640101+(0.096849-0.239904))+0-317.3-0.161822999999968</f>
        <v>657.635223</v>
      </c>
      <c r="W249" s="3">
        <f>1259.1+(236.9-479.6)+(-1.284282+(-0.241638--0.489192))+0-319.7--0.326094000000051</f>
        <v>695.98936599999979</v>
      </c>
      <c r="X249" s="3">
        <f>1262.9+(241-432.5)+(-1.288158+(-0.24582--0.44115))+0-319.7--0.326094000000051</f>
        <v>750.933266</v>
      </c>
      <c r="Y249" s="3">
        <f>1266.7+(228.9-466.1)+(-1.938051+(-0.350217--0.713133))+0-318.6--0.487458000000018</f>
        <v>709.81232299999999</v>
      </c>
      <c r="Z249" s="3">
        <f>1266.5+(230.2-489.9)+(-0.645915+(-0.117402--0.249849))+0-319--0.162689999999968</f>
        <v>687.44922199999996</v>
      </c>
      <c r="AA249" s="3">
        <f>1265.8+(273.1-499.8)+(0+(0-0))+0-320.4-0</f>
        <v>718.69999999999993</v>
      </c>
      <c r="AB249" s="3">
        <f>1265.7+(265.9-541.2)+(-1.291014+(-0.271218--0.552024))+0-317.8--0.324156000000051</f>
        <v>671.913948</v>
      </c>
      <c r="AC249" s="3">
        <f>1265.7+(276.8-565.7)+(-1.936521+(-0.423504--0.865521))+0-317.7--0.486081000000018</f>
        <v>658.09157699999992</v>
      </c>
      <c r="AD249" s="2">
        <v>764.50000000000011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1265.9+(272.3-576.5)+(-2.582436+(-0.555492--1.17606))+0-318.3--0.649331999999986</f>
        <v>642.08746399999995</v>
      </c>
      <c r="G250" s="3">
        <f>1265.2+(228.9-522)+(-3.871512+(-0.700434--1.59732))+0-320.2--0.979812000000037</f>
        <v>649.90518600000019</v>
      </c>
      <c r="H250" s="3">
        <f>1265.7+(213.9-515.5)+(-0.645507+(-0.109089--0.262905))+0-321.3--0.163862999999967</f>
        <v>642.472172</v>
      </c>
      <c r="I250" s="3">
        <f>1268.1+(183.8-510)+(-1.293462+(-0.187476--0.5202))+0-321.1--0.327522000000051</f>
        <v>620.16678399999989</v>
      </c>
      <c r="J250" s="3">
        <f>1207.2+(160.4-413.4)+(-1.231344+(-0.163608--0.421668))+0-319.8--0.326196000000051</f>
        <v>633.75291200000004</v>
      </c>
      <c r="K250" s="3">
        <f>1172.6+(137.1-451.3)+(0.598026+(0.069921-0.230163))+0-320-0.163199999999968</f>
        <v>538.67458399999987</v>
      </c>
      <c r="L250" s="3">
        <f>1174.4+(175.3-430.7)+(-1.796832+(-0.268209--0.658971))+0-319.8--0.489294000000018</f>
        <v>598.28322400000002</v>
      </c>
      <c r="M250" s="3">
        <f>1174+(196.5-396.7)+(-0.59874+(-0.100215--0.202317))+0-318.2--0.162281999999968</f>
        <v>655.26564400000007</v>
      </c>
      <c r="N250" s="3">
        <f>1171.8+(197.7-391.7)+(-1.195236+(-0.201654--0.399534))+0-319.9--0.326298000000051</f>
        <v>657.22894200000007</v>
      </c>
      <c r="O250" s="3">
        <f>1172+(229.3-388.7)+(-1.19544+(-0.233886--0.396474))+0-321.5--0.327930000000051</f>
        <v>690.39507800000001</v>
      </c>
      <c r="P250" s="3">
        <f>1170.5+(189.6-362)+(-1.790865+(-0.290088--0.55386))+0-319.4--0.488682000000018</f>
        <v>677.66158900000005</v>
      </c>
      <c r="Q250" s="3">
        <f>1165.9+(187.6-348.4)+(-0.594609+(-0.095676--0.177684))+0-319--0.162689999999968</f>
        <v>685.75008900000012</v>
      </c>
      <c r="R250" s="3">
        <f>1163.2+(196.2-355)+(0+(0-0))+0-318-0</f>
        <v>686.40000000000009</v>
      </c>
      <c r="S250" s="3">
        <f>1162.7+(190.4-360.4)+(0.592977+(0.097104-0.183804))+0-319-0.162689999999968</f>
        <v>674.043587</v>
      </c>
      <c r="T250" s="3">
        <f>1162.1+(210.3-376.8)+(0.592671+(0.107253-0.192168))+0-318.6-0.162485999999968</f>
        <v>677.34526999999991</v>
      </c>
      <c r="U250" s="3">
        <f>1165.1+(196-424.5)+(0.594201+(0.09996-0.216495))+0-316-0.161159999999968</f>
        <v>620.91650599999991</v>
      </c>
      <c r="V250" s="3">
        <f>1166.3+(271.9-451.8)+(0.594813+(0.138669-0.230418))+0-317.2-0.161771999999968</f>
        <v>669.54129199999988</v>
      </c>
      <c r="W250" s="3">
        <f>1233.8+(336.8-511.1)+(0+(0-0))+0-319.5-0</f>
        <v>740</v>
      </c>
      <c r="X250" s="3">
        <f>1262.2+(308-554.4)+(0+(0-0))+0-322.2-0</f>
        <v>693.60000000000014</v>
      </c>
      <c r="Y250" s="3">
        <f>1263.7+(304.2-518.5)+(-2.577948+(-0.620568--1.05774))+0-320.5--0.653819999999986</f>
        <v>727.41304400000013</v>
      </c>
      <c r="Z250" s="3">
        <f>1266.9+(255-496.8)+(-1.292238+(-0.2601--0.506736))+0-320.4--0.326808000000051</f>
        <v>703.98120600000027</v>
      </c>
      <c r="AA250" s="3">
        <f>1269.5+(183.2-448.9)+(-1.942335+(-0.280296--0.686817))+0-318--0.486540000000018</f>
        <v>684.75072599999999</v>
      </c>
      <c r="AB250" s="3">
        <f>1268.2+(180-456.7)+(0.646782+(0.0918-0.232917))+0-318.6-0.162485999999968</f>
        <v>673.24317900000005</v>
      </c>
      <c r="AC250" s="3">
        <f>1270.6+(168.1-449.1)+(0+(0-0))+0-315.5-0</f>
        <v>674.09999999999991</v>
      </c>
      <c r="AD250" s="2">
        <v>680.50000000000011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1269.4+(158-445.9)+(-4.531758+(-0.56406--1.591863))+0-317.6--1.133832</f>
        <v>661.52987700000006</v>
      </c>
      <c r="G251" s="3">
        <f>1271.2+(156.7-469.1)+(-1.296624+(-0.159834--0.478482))+0-319.1--0.325482000000051</f>
        <v>639.047506</v>
      </c>
      <c r="H251" s="3">
        <f>1227.6+(165.1-410.6)+(-1.878228+(-0.252603--0.628218))+0-321.8--0.492354000000019</f>
        <v>659.28974099999982</v>
      </c>
      <c r="I251" s="3">
        <f>1170.2+(169.5-382.6)+(1.193604+(0.17289-0.390252))+0-319.7-0.326094000000051</f>
        <v>638.05014800000004</v>
      </c>
      <c r="J251" s="3">
        <f>1173.3+(170.3-389.5)+(-0.598383+(-0.086853--0.198645))+0-320.6--0.163505999999967</f>
        <v>633.17691499999989</v>
      </c>
      <c r="K251" s="3">
        <f>1174.7+(179-385.6)+(1.198194+(0.18258-0.393312))+0-319.2-0.325584000000051</f>
        <v>649.56187800000009</v>
      </c>
      <c r="L251" s="3">
        <f>1174.3+(168.9-400.7)+(-4.192251+(-0.602973--1.430499))+0-320.3--1.143471</f>
        <v>619.97874599999989</v>
      </c>
      <c r="M251" s="3">
        <f>1174.1+(145.9-403.9)+(-0.598791+(-0.074409--0.205989))+0-318.5--0.162434999999968</f>
        <v>597.29522399999985</v>
      </c>
      <c r="N251" s="3">
        <f>1172.4+(173.9-393.6)+(2.391696+(0.354756-0.802944))+0-317.1-0.646883999999986</f>
        <v>636.89662399999997</v>
      </c>
      <c r="O251" s="3">
        <f>1172.4+(202.5-439.8)+(-1.195848+(-0.20655--0.448596))+0-319.5--0.325890000000051</f>
        <v>614.97208800000021</v>
      </c>
      <c r="P251" s="3">
        <f>1172.4+(171.6-401.2)+(-4.185468+(-0.612612--1.432284))+0-319.5--1.140615</f>
        <v>621.07481900000005</v>
      </c>
      <c r="Q251" s="3">
        <f>1169.1+(129.4-361.1)+(1.788723+(0.197982-0.552483))+0-318.1-0.486693000000018</f>
        <v>620.24752899999976</v>
      </c>
      <c r="R251" s="3">
        <f>1164.9+(82.4-284.5)+(1.782297+(0.126072-0.435285))+0-318-0.486540000000018</f>
        <v>645.78654400000005</v>
      </c>
      <c r="S251" s="3">
        <f>1215.6+(157.3-346.3)+(1.239912+(0.160446-0.353226))+0-318.7-0.325074000000051</f>
        <v>708.6220579999997</v>
      </c>
      <c r="T251" s="3">
        <f>1240.2+(214.4-474.9)+(-2.530008+(-0.437376--0.968796))+0-317--0.646679999999986</f>
        <v>661.34809199999995</v>
      </c>
      <c r="U251" s="3">
        <f>1241.2+(235-539.5)+(1.899036+(0.35955-0.825435))+0-316.4-0.484092000000018</f>
        <v>621.24905899999999</v>
      </c>
      <c r="V251" s="3">
        <f>1247.4+(308.2-586.8)+(0+(0-0))+0-317.2-0</f>
        <v>651.60000000000014</v>
      </c>
      <c r="W251" s="3">
        <f>1251.5+(420.5-638.8)+(0.638265+(0.214455-0.325788))+0-320.2-0.163301999999968</f>
        <v>713.36363000000006</v>
      </c>
      <c r="X251" s="3">
        <f>1254.6+(419.2-665.7)+(-2.559384+(-0.855168--1.358028))+0-318.6--0.649943999999986</f>
        <v>688.09341999999992</v>
      </c>
      <c r="Y251" s="3">
        <f>1257.6+(432.9-615.9)+(-2.565504+(-0.883116--1.256436))+0-318.9--0.650555999999986</f>
        <v>754.15837199999987</v>
      </c>
      <c r="Z251" s="3">
        <f>1256.9+(432.1-602.9)+(1.282038+(0.440742-0.614958))+0-319.8-0.326196000000051</f>
        <v>767.08162600000003</v>
      </c>
      <c r="AA251" s="3">
        <f>1259.9+(428.2-602.2)+(-0.642549+(-0.218382--0.307122))+0-319.3--0.162842999999968</f>
        <v>766.20903400000009</v>
      </c>
      <c r="AB251" s="3">
        <f>1261.7+(420.1-614.6)+(-3.217335+(-1.071255--1.56723))+0-317--0.808349999999954</f>
        <v>748.28698999999995</v>
      </c>
      <c r="AC251" s="3">
        <f>1261.8+(415.6-604.9)+(-2.574072+(-0.847824--1.233996))+0-316.2--0.645047999999986</f>
        <v>754.75714800000003</v>
      </c>
      <c r="AD251" s="2">
        <v>698.1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1263.2+(324.8-562)+(-1.932696+(-0.496944--0.85986))+0-317.6--0.485928000000018</f>
        <v>707.316148</v>
      </c>
      <c r="G252" s="3">
        <f>1254.7+(199-467.4)+(-0.639897+(-0.10149--0.238374))+0-320.4--0.163403999999967</f>
        <v>665.5603910000001</v>
      </c>
      <c r="H252" s="3">
        <f>1161+(222.9-374)+(-1.18422+(-0.227358--0.38148))+0-321.4--0.327828000000051</f>
        <v>687.79773000000012</v>
      </c>
      <c r="I252" s="3">
        <f>1160.3+(205.6-374.8)+(0.591753+(0.104856-0.191148))+0-318.6-0.162485999999968</f>
        <v>672.84297499999991</v>
      </c>
      <c r="J252" s="3">
        <f>1167.3+(190.5-361.2)+(0.595323+(0.097155-0.184212))+0-320.2-0.163301999999968</f>
        <v>676.74496399999998</v>
      </c>
      <c r="K252" s="3">
        <f>1168.3+(209.1-364.5)+(2.383332+(0.426564-0.74358))+0-319.5-0.651779999999986</f>
        <v>694.81453599999998</v>
      </c>
      <c r="L252" s="3">
        <f>1181.6+(247.1-453.9)+(-2.410464+(-0.504084--0.925956))+0-319.2--0.651167999999986</f>
        <v>654.26257599999997</v>
      </c>
      <c r="M252" s="3">
        <f>1268.7+(294.1-529.8)+(2.588148+(0.599964-1.080792))+0-317.7-0.648107999999986</f>
        <v>716.75921200000005</v>
      </c>
      <c r="N252" s="3">
        <f>1262.4+(296.8-528.4)+(1.931472+(0.454104-0.808452))+0-317-0.485010000000018</f>
        <v>714.89211400000011</v>
      </c>
      <c r="O252" s="3">
        <f>1260.2+(288.2-509.2)+(0.642702+(0.146982-0.259692))+0-319.3-0.162842999999968</f>
        <v>720.26714900000013</v>
      </c>
      <c r="P252" s="3">
        <f>1258.2+(303.2-430.3)+(0+(0-0))+0-318.5-0</f>
        <v>812.59999999999991</v>
      </c>
      <c r="Q252" s="3">
        <f>1252.9+(297.8-423.4)+(-0.638979+(-0.151878--0.215934))+0-321.4--0.163913999999967</f>
        <v>805.48899100000028</v>
      </c>
      <c r="R252" s="3">
        <f>1246.2+(287.9-385.2)+(-4.448934+(-1.027803--1.375164))+0-321.3--1.147041</f>
        <v>824.64546800000016</v>
      </c>
      <c r="S252" s="3">
        <f>1240.9+(278.8-466.9)+(0+(0-0))+0-318.3-0</f>
        <v>734.50000000000023</v>
      </c>
      <c r="T252" s="3">
        <f>1236.4+(270.5-474.3)+(0+(0-0))+0-317.9-0</f>
        <v>714.70000000000016</v>
      </c>
      <c r="U252" s="3">
        <f>1234.5+(262-491.1)+(1.25919+(0.26724-0.500922))+0-317.8-0.324156000000051</f>
        <v>688.30135199999984</v>
      </c>
      <c r="V252" s="3">
        <f>1237.4+(287.9-443.9)+(-1.893222+(-0.440487--0.679167))+0-318.8--0.487764000000018</f>
        <v>761.43322200000011</v>
      </c>
      <c r="W252" s="3">
        <f>1243.7+(302.6-406.4)+(-1.902861+(-0.462978--0.621792))+0-319.9--0.489447000000018</f>
        <v>818.74540000000025</v>
      </c>
      <c r="X252" s="3">
        <f>1247.1+(297.7-397.7)+(0+(0-0))+0-319.7-0</f>
        <v>827.39999999999986</v>
      </c>
      <c r="Y252" s="3">
        <f>1249.7+(278-443.6)+(2.549388+(0.56712-0.904944))+0-319.5-0.651779999999986</f>
        <v>766.15978399999983</v>
      </c>
      <c r="Z252" s="3">
        <f>1252.7+(280.9-451.6)+(1.916631+(0.429777-0.690948))+0-320.8-0.490824000000019</f>
        <v>762.36463600000002</v>
      </c>
      <c r="AA252" s="3">
        <f>1256.3+(266.4-430)+(1.922139+(0.407592-0.6579))+0-318.7-0.487611000000018</f>
        <v>775.18421999999987</v>
      </c>
      <c r="AB252" s="3">
        <f>1256.8+(273.2-448.1)+(-1.281936+(-0.278664--0.457062))+0-317.4--0.323748000000051</f>
        <v>763.72020999999984</v>
      </c>
      <c r="AC252" s="3">
        <f>1256.7+(166.8-345)+(-1.922751+(-0.255204--0.52785))+0-318.4--0.487152000000018</f>
        <v>758.93704700000012</v>
      </c>
      <c r="AD252" s="2">
        <v>811.80000000000018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1259.7+(182.3-357.5)+(-1.284894+(-0.185946--0.36465))+0-317.4--0.323748000000051</f>
        <v>766.31755800000008</v>
      </c>
      <c r="G253" s="3">
        <f>1258.5+(186.9-399.2)+(-4.492845+(-0.667233--1.425144))+0-320.7--1.144899</f>
        <v>722.90996499999994</v>
      </c>
      <c r="H253" s="3">
        <f>1258+(164-404.9)+(0.64158+(0.08364-0.206499))+0-320-0.163199999999968</f>
        <v>697.45552100000009</v>
      </c>
      <c r="I253" s="3">
        <f>1259.2+(155.4-424.5)+(1.284384+(0.158508-0.43299))+0-320.8-0.327216000000051</f>
        <v>669.98268599999994</v>
      </c>
      <c r="J253" s="3">
        <f>1258.5+(195.6-408.4)+(-0.641835+(-0.099756--0.208284))+0-322.5--0.164474999999967</f>
        <v>722.83116800000005</v>
      </c>
      <c r="K253" s="3">
        <f>1256.4+(200.7-439.4)+(0+(0-0))+0-320-0</f>
        <v>697.7</v>
      </c>
      <c r="L253" s="3">
        <f>1260.1+(195.2-456.6)+(-1.927953+(-0.298656--0.698598))+0-319.1--0.488223000000018</f>
        <v>678.56021199999986</v>
      </c>
      <c r="M253" s="3">
        <f>1266.8+(102-557.5)+(-1.292136+(-0.10404--0.56865))+0-319.3--0.325686000000051</f>
        <v>491.49815999999998</v>
      </c>
      <c r="N253" s="3">
        <f>1258.2+(134.1-556.2)+(0+(0-0))+0-317.8-0</f>
        <v>518.29999999999995</v>
      </c>
      <c r="O253" s="3">
        <f>1255.6+(157.4-513.7)+(-0.640356+(-0.080274--0.261987))+0-317.9--0.162128999999968</f>
        <v>581.10348599999975</v>
      </c>
      <c r="P253" s="3">
        <f>1250.7+(175.5-480.6)+(-1.275714+(-0.17901--0.490212))+0-319.3--0.325686000000051</f>
        <v>625.66117399999996</v>
      </c>
      <c r="Q253" s="3">
        <f>1247.1+(168.2-493)+(-1.908063+(-0.257346--0.75429))+0-319.2--0.488376000000018</f>
        <v>602.17725700000005</v>
      </c>
      <c r="R253" s="3">
        <f>1249.4+(162.6-517)+(-0.637194+(-0.082926--0.26367))+0-318.8--0.162587999999968</f>
        <v>575.90613800000006</v>
      </c>
      <c r="S253" s="3">
        <f>1247.2+(182.5-478.2)+(-1.272144+(-0.18615--0.487764))+0-318.9--0.325278000000051</f>
        <v>631.954748</v>
      </c>
      <c r="T253" s="3">
        <f>1247.4+(164.5-446.5)+(1.272348+(0.16779-0.45543))+0-319.3-0.325686000000051</f>
        <v>646.75902200000007</v>
      </c>
      <c r="U253" s="3">
        <f>1251.4+(161.2-533.3)+(-1.914642+(-0.246636--0.815949))+0-316.8--0.484704000000018</f>
        <v>561.6393750000002</v>
      </c>
      <c r="V253" s="3">
        <f>1251+(197.3-516.1)+(-1.27602+(-0.201246--0.526422))+0-317.5--0.323850000000051</f>
        <v>614.07300600000019</v>
      </c>
      <c r="W253" s="3">
        <f>1251.3+(265.4-471.1)+(-1.914489+(-0.406062--0.720783))+0-320.4--0.490212000000018</f>
        <v>724.09044399999993</v>
      </c>
      <c r="X253" s="3">
        <f>1251.7+(270.9-450.7)+(-3.191835+(-0.690795--1.149285))+0-319.1--0.813704999999954</f>
        <v>750.88035999999988</v>
      </c>
      <c r="Y253" s="3">
        <f>1252.8+(267.7-448)+(0.638928+(0.136527-0.22848))+0-318.4-0.162383999999968</f>
        <v>754.48459100000002</v>
      </c>
      <c r="Z253" s="3">
        <f>1254.9+(244.4-450.2)+(-1.919997+(-0.373932--0.688806))+0-319.1--0.488223000000018</f>
        <v>728.88310000000013</v>
      </c>
      <c r="AA253" s="3">
        <f>1257.3+(230.8-450.7)+(-3.206115+(-0.58854--1.149285))+0-316.8--0.807839999999954</f>
        <v>718.76247000000012</v>
      </c>
      <c r="AB253" s="3">
        <f>1259.3+(207.2-473.5)+(-0.642243+(-0.105672--0.241485))+0-317.4--0.161873999999968</f>
        <v>675.25544400000001</v>
      </c>
      <c r="AC253" s="3">
        <f>1261.1+(211.9-449.4)+(-1.929483+(-0.324207--0.687582))+0-316.8--0.484704000000018</f>
        <v>705.71859599999993</v>
      </c>
      <c r="AD253" s="2">
        <v>720.39999999999986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1258.1+(187.3-482.3)+(-2.566524+(-0.382092--0.983892))+0-319--0.650759999999986</f>
        <v>642.78603599999985</v>
      </c>
      <c r="G254" s="3">
        <f>1251+(185-463.9)+(0+(0-0))+0-317.5-0</f>
        <v>654.6</v>
      </c>
      <c r="H254" s="3">
        <f>1251.4+(164.8-453)+(-2.552856+(-0.336192--0.92412))+0-318.8--0.650351999999986</f>
        <v>643.08542399999999</v>
      </c>
      <c r="I254" s="3">
        <f>1251.9+(108.9-452.5)+(-0.638469+(-0.055539--0.230775))+0-319.7--0.163046999999968</f>
        <v>588.2998140000002</v>
      </c>
      <c r="J254" s="3">
        <f>1251.1+(94.9-444.9)+(1.914183+(0.145197-0.680697))+0-317.3-0.485469000000018</f>
        <v>584.6932139999999</v>
      </c>
      <c r="K254" s="3">
        <f>1252.9+(170.3-461.9)+(2.555916+(0.347412-0.942276))+0-319-0.650759999999986</f>
        <v>643.61029200000019</v>
      </c>
      <c r="L254" s="3">
        <f>1254.3+(172.9-521.7)+(0.639693+(0.088179-0.266067))+0-317.4-0.161873999999968</f>
        <v>588.39993099999992</v>
      </c>
      <c r="M254" s="3">
        <f>1251.8+(185.2-510)+(-1.276836+(-0.188904--0.5202))+0-316.2--0.32252400000005</f>
        <v>610.17698400000006</v>
      </c>
      <c r="N254" s="3">
        <f>1244.3+(196.8-537.1)+(0+(0-0))+0-317.1-0</f>
        <v>586.9</v>
      </c>
      <c r="O254" s="3">
        <f>1236.9+(209.2-501.4)+(-3.154095+(-0.53346--1.27857))+0-318.7--0.812684999999954</f>
        <v>624.40369999999996</v>
      </c>
      <c r="P254" s="3">
        <f>1231.2+(215.2-510.6)+(-3.13956+(-0.54876--1.30203))+0-321.3--0.819314999999953</f>
        <v>612.93302499999982</v>
      </c>
      <c r="Q254" s="3">
        <f>1236.7+(218.1-497.5)+(-1.892151+(-0.333693--0.761175))+0-320.1--0.489753000000019</f>
        <v>636.22508400000015</v>
      </c>
      <c r="R254" s="3">
        <f>1235.7+(211.8-487.7)+(-1.260414+(-0.216036--0.497454))+0-320.3--0.326706000000051</f>
        <v>638.84771000000001</v>
      </c>
      <c r="S254" s="3">
        <f>1222.4+(214.5-477.2)+(-0.623424+(-0.109395--0.243372))+0-321.2--0.163811999999967</f>
        <v>638.17436500000008</v>
      </c>
      <c r="T254" s="3">
        <f>1177.7+(191-511)+(-1.201254+(-0.19482--0.52122))+0-319--0.325380000000051</f>
        <v>538.15052600000001</v>
      </c>
      <c r="U254" s="3">
        <f>1164.1+(184-523)+(-1.187382+(-0.18768--0.53346))+0-318--0.324360000000051</f>
        <v>506.58275800000001</v>
      </c>
      <c r="V254" s="3">
        <f>1170.3+(217-513)+(0+(0-0))+0-319-0</f>
        <v>555.29999999999995</v>
      </c>
      <c r="W254" s="3">
        <f>1178.5+(266.7-427.7)+(1.803105+(0.408051-0.654381))+0-320.2-0.489906000000018</f>
        <v>698.36686899999995</v>
      </c>
      <c r="X254" s="3">
        <f>1187.8+(252.8-393)+(-0.605778+(-0.128928--0.20043))+0-320.7--0.163556999999967</f>
        <v>726.52928099999974</v>
      </c>
      <c r="Y254" s="3">
        <f>1185.2+(229.1-393.5)+(0+(0-0))+0-322.2-0</f>
        <v>698.60000000000014</v>
      </c>
      <c r="Z254" s="3">
        <f>1183+(215.8-391.5)+(-0.60333+(-0.110058--0.199665))+0-319.9--0.163148999999968</f>
        <v>687.04942599999993</v>
      </c>
      <c r="AA254" s="3">
        <f>1186.9+(206.6-373)+(-1.210638+(-0.210732--0.38046))+0-321.2--0.327624000000051</f>
        <v>698.58671400000003</v>
      </c>
      <c r="AB254" s="3">
        <f>1189.3+(194.8-381.9)+(-1.819629+(-0.298044--0.584307))+0-322.2--0.492966000000019</f>
        <v>678.95960000000014</v>
      </c>
      <c r="AC254" s="3">
        <f>1188.8+(159.4-383.8)+(-3.03144+(-0.40647--0.97869))+0-319.9--0.815744999999954</f>
        <v>642.85652500000003</v>
      </c>
      <c r="AD254" s="2">
        <v>730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1051.8+(230-321.1)+(-2.145672+(-0.4692--0.655044))+0-319.2--0.651167999999986</f>
        <v>640.19133999999997</v>
      </c>
      <c r="G255" s="3">
        <f>1016.9+(234.3-343.2)+(-0.518619+(-0.119493--0.175032))+0-320.9--0.163658999999967</f>
        <v>586.80057899999997</v>
      </c>
      <c r="H255" s="3">
        <f>1021.6+(242.6-327.3)+(-2.084064+(-0.494904--0.667692))+0-322.4--0.657695999999986</f>
        <v>613.24641999999994</v>
      </c>
      <c r="I255" s="3">
        <f>1023+(217.5-314.3)+(0.52173+(0.110925-0.160293))+0-323.1-0.164780999999967</f>
        <v>603.40758100000005</v>
      </c>
      <c r="J255" s="3">
        <f>1023.1+(232.9-308.9)+(-1.565343+(-0.356337--0.472617))+0-322.3--0.493119000000019</f>
        <v>623.84405599999991</v>
      </c>
      <c r="K255" s="3">
        <f>1022.5+(234.8-299.5)+(1.564425+(0.359244-0.458235))+0-321.5-0.491895000000019</f>
        <v>637.27353899999991</v>
      </c>
      <c r="L255" s="3">
        <f>1024.4+(226.5-309.2)+(-0.522444+(-0.115515--0.157692))+0-321.1--0.163760999999967</f>
        <v>620.28349400000002</v>
      </c>
      <c r="M255" s="3">
        <f>1022.5+(265.7-320)+(2.607375+(0.677535-0.816))+0-320.9-0.818294999999953</f>
        <v>648.9506150000002</v>
      </c>
      <c r="N255" s="3">
        <f>1016.1+(278.6-330.2)+(2.591055+(0.71043-0.84201))+0-320.2-0.816509999999954</f>
        <v>645.94296500000007</v>
      </c>
      <c r="O255" s="3">
        <f>1014.2+(305.1-300.7)+(0.517242+(0.155601-0.153357))+0-323-0.164729999999967</f>
        <v>695.9547560000002</v>
      </c>
      <c r="P255" s="3">
        <f>1010.8+(309.2-294.7)+(0.515508+(0.157692-0.150297))+0-323.1-0.164780999999967</f>
        <v>702.55812200000003</v>
      </c>
      <c r="Q255" s="3">
        <f>1005.8+(323.9-308.3)+(-1.025916+(-0.330378--0.314466))+0-323.2--0.329664000000052</f>
        <v>697.48783600000002</v>
      </c>
      <c r="R255" s="3">
        <f>1010.8+(335-354.5)+(-3.093048+(-1.0251--1.08477))+0-325--0.994500000000038</f>
        <v>664.261122</v>
      </c>
      <c r="S255" s="3">
        <f>1009.9+(294-357.4)+(-2.575245+(-0.7497--0.91137))+0-328--0.836399999999952</f>
        <v>616.92282499999988</v>
      </c>
      <c r="T255" s="3">
        <f>1008+(270-365.3)+(0.51408+(0.1377-0.186303))+0-326-0.166259999999967</f>
        <v>586.99921700000004</v>
      </c>
      <c r="U255" s="3">
        <f>1006.2+(282-374.9)+(0.513162+(0.14382-0.191199))+0-327-0.166769999999967</f>
        <v>586.59901300000013</v>
      </c>
      <c r="V255" s="3">
        <f>1007+(323.5-320.7)+(-1.54071+(-0.494955--0.490671))+0-324.6--0.496638000000019</f>
        <v>684.15164400000003</v>
      </c>
      <c r="W255" s="3">
        <f>1012.1+(398.7-318.3)+(0.516171+(0.203337-0.162333))+0-319.8-0.163097999999968</f>
        <v>773.09407699999997</v>
      </c>
      <c r="X255" s="3">
        <f>1015+(353.6-356.1)+(-2.58825+(-0.90168--0.908055))+0-326--0.831299999999953</f>
        <v>684.74942499999997</v>
      </c>
      <c r="Y255" s="3">
        <f>1018.2+(325.6-349.6)+(-0.519282+(-0.166056--0.178296))+0-324.5--0.165494999999967</f>
        <v>669.35845300000005</v>
      </c>
      <c r="Z255" s="3">
        <f>1019.9+(299.6-331.7)+(0+(0-0))+0-326.8-0</f>
        <v>661</v>
      </c>
      <c r="AA255" s="3">
        <f>1018.5+(287.4-343.4)+(-0.519435+(-0.146574--0.175134))+0-327--0.166769999999967</f>
        <v>635.17589499999997</v>
      </c>
      <c r="AB255" s="3">
        <f>1018.2+(259.3-346.4)+(-2.59641+(-0.661215--0.88332))+0-327.7--0.835634999999952</f>
        <v>601.86132999999995</v>
      </c>
      <c r="AC255" s="3">
        <f>1022.3+(208-343)+(-1.042746+(-0.21216--0.34986))+0-326.3--0.332826000000052</f>
        <v>560.42777999999998</v>
      </c>
      <c r="AD255" s="2">
        <v>770.69999999999993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1020.6+(223.4-337.4)+(1.561518+(0.341802-0.516222))+0-323-0.494190000000019</f>
        <v>584.49290800000006</v>
      </c>
      <c r="G256" s="3">
        <f>1021+(212.4-329.7)+(0+(0-0))+0-326.2-0</f>
        <v>577.5</v>
      </c>
      <c r="H256" s="3">
        <f>1021.2+(210.8-339.2)+(0.520812+(0.107508-0.172992))+0-328.1-0.167330999999967</f>
        <v>564.98799700000006</v>
      </c>
      <c r="I256" s="3">
        <f>1023.3+(214.3-356.4)+(-0.521883+(-0.109293--0.181764))+0-327.3--0.166922999999967</f>
        <v>553.61751099999992</v>
      </c>
      <c r="J256" s="3">
        <f>1019.1+(220.6-355.6)+(0+(0-0))+0-325-0</f>
        <v>559.1</v>
      </c>
      <c r="K256" s="3">
        <f>1023.6+(217.1-318.1)+(1.044072+(0.221442-0.324462))+0-322.5-0.328950000000051</f>
        <v>600.71210199999996</v>
      </c>
      <c r="L256" s="3">
        <f>1024.1+(179-265.6)+(-4.700619+(-0.82161--1.219104))+0-323.4--1.48440600000006</f>
        <v>611.28128099999992</v>
      </c>
      <c r="M256" s="3">
        <f>933.3+(251.8-233.7)+(0.951966+(0.256836-0.238374))+0-323.2-0.329664000000052</f>
        <v>628.84076399999981</v>
      </c>
      <c r="N256" s="3">
        <f>915.4+(208.5-229.2)+(-0.933708+(-0.21267--0.233784))+0-323--0.329460000000051</f>
        <v>571.11686600000007</v>
      </c>
      <c r="O256" s="3">
        <f>932.6+(281.9-238.3)+(0.951252+(0.287538-0.243066))+0-326.3-0.332826000000052</f>
        <v>650.5628979999999</v>
      </c>
      <c r="P256" s="3">
        <f>1012.8+(307.5-295.5)+(0.516528+(0.156825-0.150705))+0-325.9-0.166208999999967</f>
        <v>699.25643899999989</v>
      </c>
      <c r="Q256" s="3">
        <f>1012.3+(325-299)+(-1.032546+(-0.3315--0.30498))+0-328.5--0.335070000000052</f>
        <v>709.07600400000001</v>
      </c>
      <c r="R256" s="3">
        <f>1013.1+(316.2-291.8)+(-2.066724+(-0.645048--0.595272))+0-325.4--0.663815999999986</f>
        <v>710.64731599999993</v>
      </c>
      <c r="S256" s="3">
        <f>1010+(300.2-293.5)+(-1.0302+(-0.306204--0.29937))+0-323.2--0.329664000000052</f>
        <v>692.79263000000014</v>
      </c>
      <c r="T256" s="3">
        <f>1012.4+(268.6-347.7)+(-2.065296+(-0.547944--0.709308))+0-325.3--0.663611999999986</f>
        <v>606.75967999999978</v>
      </c>
      <c r="U256" s="3">
        <f>1011.8+(316.4-324.5)+(-1.032036+(-0.322728--0.33099))+0-326.1--0.332622000000052</f>
        <v>676.90884799999992</v>
      </c>
      <c r="V256" s="3">
        <f>1014.1+(321.5-374.3)+(0+(0-0))+0-326.1-0</f>
        <v>635.19999999999993</v>
      </c>
      <c r="W256" s="3">
        <f>1017.4+(368-311.3)+(0+(0-0))+0-328.9-0</f>
        <v>745.19999999999993</v>
      </c>
      <c r="X256" s="3">
        <f>1018.5+(326.6-381.6)+(-2.07774+(-0.666264--0.778464))+0-325.5--0.664019999999986</f>
        <v>636.6984799999999</v>
      </c>
      <c r="Y256" s="3">
        <f>1020.2+(334-331.4)+(1.560906+(0.51102-0.507042))+0-320.6-0.490518000000019</f>
        <v>703.27436599999999</v>
      </c>
      <c r="Z256" s="3">
        <f>1021.9+(317.4-323.4)+(-1.563507+(-0.485622--0.494802))+0-324.6--0.496638000000019</f>
        <v>690.24231100000009</v>
      </c>
      <c r="AA256" s="3">
        <f>1021.7+(314.4-300.2)+(-1.042134+(-0.320688--0.306204))+0-325.8--0.332316000000052</f>
        <v>709.37569800000017</v>
      </c>
      <c r="AB256" s="3">
        <f>1022.9+(284.2-329.6)+(-1.565037+(-0.434826--0.504288))+0-323.7--0.495261000000019</f>
        <v>652.79968600000007</v>
      </c>
      <c r="AC256" s="3">
        <f>1023.9+(264.3-335.5)+(-2.088756+(-0.539172--0.68442))+0-324.3--0.661571999999986</f>
        <v>627.118064</v>
      </c>
      <c r="AD256" s="2">
        <v>683.3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1026.8+(211.6-306.2)+(-2.61834+(-0.53958--0.78081))+0-323.7--0.825434999999953</f>
        <v>606.94832499999984</v>
      </c>
      <c r="G257" s="3">
        <f>1025.9+(192.6-350.5)+(-2.092836+(-0.392904--0.71502))+0-325.8--0.664631999999986</f>
        <v>541.09391200000005</v>
      </c>
      <c r="H257" s="3">
        <f>1027.9+(204.3-331.8)+(-1.048458+(-0.208386--0.338436))+0-327.6--0.334152000000052</f>
        <v>572.21574400000009</v>
      </c>
      <c r="I257" s="3">
        <f>1026+(184.5-326.3)+(-1.56978+(-0.282285--0.499239))+0-324.4--0.496332000000019</f>
        <v>558.94350600000007</v>
      </c>
      <c r="J257" s="3">
        <f>1026.7+(206.6-333)+(0+(0-0))+0-321.6-0</f>
        <v>578.70000000000005</v>
      </c>
      <c r="K257" s="3">
        <f>1027.5+(240.1-338.3)+(1.572075+(0.367353-0.517599))+0-322.9-0.494037000000019</f>
        <v>607.32779199999993</v>
      </c>
      <c r="L257" s="3">
        <f>1026.7+(261.2-398.3)+(-1.047234+(-0.266424--0.406266))+0-323.1--0.329562000000052</f>
        <v>565.92217000000005</v>
      </c>
      <c r="M257" s="3">
        <f>1013.7+(306.9-380)+(2.584935+(0.782595-0.969))+0-321.7-0.820334999999953</f>
        <v>620.47819500000003</v>
      </c>
      <c r="N257" s="3">
        <f>1001.9+(291-374.7)+(1.021938+(0.29682-0.382194))+0-323.9-0.330378000000052</f>
        <v>594.90618600000005</v>
      </c>
      <c r="O257" s="3">
        <f>998.5+(322.6-333.9)+(1.01847+(0.329052-0.340578))+0-327.1-0.333642000000052</f>
        <v>660.77330199999994</v>
      </c>
      <c r="P257" s="3">
        <f>994.1+(318.3-348)+(-0.506991+(-0.162333--0.17748))+0-325.5--0.166004999999967</f>
        <v>638.574161</v>
      </c>
      <c r="Q257" s="3">
        <f>990+(322.3-344.2)+(-1.0098+(-0.328746--0.351084))+0-324.4--0.330888000000052</f>
        <v>643.04342600000007</v>
      </c>
      <c r="R257" s="3">
        <f>987.8+(329.2-325.2)+(-2.51889+(-0.83946--0.82926))+0-321.1--0.818804999999953</f>
        <v>668.98971499999993</v>
      </c>
      <c r="S257" s="3">
        <f>984.7+(293-349.8)+(0.502197+(0.14943-0.178398))+0-320.1-0.163250999999968</f>
        <v>608.10997800000007</v>
      </c>
      <c r="T257" s="3">
        <f>983+(289.7-353.2)+(0+(0-0))+0-319.7-0</f>
        <v>599.79999999999995</v>
      </c>
      <c r="U257" s="3">
        <f>984.8+(324.6-315.9)+(-1.506744+(-0.496638--0.483327))+0-320.5--0.490365000000019</f>
        <v>671.97031000000004</v>
      </c>
      <c r="V257" s="3">
        <f>1002.1+(342.1-320.9)+(0.511071+(0.174471-0.163659))+0-324.7-0.165596999999967</f>
        <v>698.95628600000009</v>
      </c>
      <c r="W257" s="3">
        <f>1117.8+(376.8-402.2)+(-1.140156+(-0.384336--0.410244))+0-324.8--0.331296000000052</f>
        <v>766.81704800000011</v>
      </c>
      <c r="X257" s="3">
        <f>1188.4+(336.7-485.8)+(0.606084+(0.171717-0.247758))+0-324.5-0.165494999999967</f>
        <v>715.1645480000002</v>
      </c>
      <c r="Y257" s="3">
        <f>1224.9+(327.3-474.9)+(-1.874097+(-0.500769--0.726597))+0-325--0.497250000000019</f>
        <v>751.14898100000016</v>
      </c>
      <c r="Z257" s="3">
        <f>1232.2+(289.8-490.1)+(-3.770532+(-0.886788--1.499706))+0-327.2--1.00123200000004</f>
        <v>702.54361800000015</v>
      </c>
      <c r="AA257" s="3">
        <f>1236+(262.7-475.2)+(-4.41252+(-0.937839--1.696464))+0-323.1--1.153467</f>
        <v>697.89957199999992</v>
      </c>
      <c r="AB257" s="3">
        <f>1230.7+(235.2-491)+(-3.138285+(-0.59976--1.25205))+0-327.2--0.834359999999952</f>
        <v>646.04836499999999</v>
      </c>
      <c r="AC257" s="3">
        <f>1232.9+(189.9-452.3)+(-3.143895+(-0.484245--1.153365))+0-326.8--0.833339999999953</f>
        <v>642.05856500000004</v>
      </c>
      <c r="AD257" s="2">
        <v>815.4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1235.1+(182.7-498.3)+(-0.629901+(-0.093177--0.254133))+0-322.4--0.164423999999967</f>
        <v>596.79547899999989</v>
      </c>
      <c r="G258" s="3">
        <f>1234.1+(176.8-502.9)+(-2.517564+(-0.360672--1.025916))+0-325.8--0.664631999999986</f>
        <v>581.01231200000007</v>
      </c>
      <c r="H258" s="3">
        <f>1231.9+(169.5-479.7)+(0+(0-0))+0-328.3-0</f>
        <v>593.40000000000009</v>
      </c>
      <c r="I258" s="3">
        <f>1231.7+(129.5-479.6)+(1.884501+(0.198135-0.733788))+0-324.9-0.497097000000019</f>
        <v>557.55175099999997</v>
      </c>
      <c r="J258" s="3">
        <f>1232.6+(112.6-479.9)+(2.514504+(0.229704-0.978996))+0-323.7-0.660347999999986</f>
        <v>542.70486399999993</v>
      </c>
      <c r="K258" s="3">
        <f>1235.4+(120.6-413)+(-1.260108+(-0.123012--0.42126))+0-324--0.330480000000052</f>
        <v>618.36862000000019</v>
      </c>
      <c r="L258" s="3">
        <f>1237.6+(95.9-421.6)+(0+(0-0))+0-323.9-0</f>
        <v>587.99999999999989</v>
      </c>
      <c r="M258" s="3">
        <f>1233.3+(136.7-543.9)+(1.886949+(0.209151-0.832167))+0-323.5-0.494955000000019</f>
        <v>503.36897799999986</v>
      </c>
      <c r="N258" s="3">
        <f>1223.9+(172.6-554.3)+(0+(0-0))+0-324.5-0</f>
        <v>517.70000000000016</v>
      </c>
      <c r="O258" s="3">
        <f>1216.3+(168.9-523.2)+(0+(0-0))+0-328.6-0</f>
        <v>533.39999999999986</v>
      </c>
      <c r="P258" s="3">
        <f>1217.5+(168.8-493.2)+(0+(0-0))+0-324.1-0</f>
        <v>569</v>
      </c>
      <c r="Q258" s="3">
        <f>1215+(208.5-495.8)+(-1.85895+(-0.319005--0.758574))+0-326--0.498780000000019</f>
        <v>600.77939900000001</v>
      </c>
      <c r="R258" s="3">
        <f>1211.9+(200.4-503.5)+(-3.090345+(-0.51102--1.283925))+0-323.6--0.825179999999953</f>
        <v>583.70773999999994</v>
      </c>
      <c r="S258" s="3">
        <f>1209.4+(199.5-475.3)+(-1.233588+(-0.20349--0.484806))+0-324.4--0.330888000000052</f>
        <v>608.57861600000024</v>
      </c>
      <c r="T258" s="3">
        <f>1207.7+(231.2-457.2)+(-0.615927+(-0.117912--0.233172))+0-327.6--0.167075999999967</f>
        <v>653.76640899999995</v>
      </c>
      <c r="U258" s="3">
        <f>1204.4+(245.7-465)+(1.842732+(0.375921-0.71145))+0-324.9-0.497097000000019</f>
        <v>661.21010600000011</v>
      </c>
      <c r="V258" s="3">
        <f>1207.2+(263.9-487.3)+(0.615672+(0.134589-0.248523))+0-321.7-0.164066999999967</f>
        <v>662.43767100000014</v>
      </c>
      <c r="W258" s="3">
        <f>1215.1+(302-503.3)+(1.239402+(0.30804-0.513366))+0-323.2-0.329664000000052</f>
        <v>691.30441199999996</v>
      </c>
      <c r="X258" s="3">
        <f>1217.3+(293.7-518.1)+(0+(0-0))+0-326-0</f>
        <v>666.89999999999986</v>
      </c>
      <c r="Y258" s="3">
        <f>1218.7+(296.9-472.2)+(1.243074+(0.302838-0.481644))+0-323.9-0.330378000000052</f>
        <v>720.2338900000002</v>
      </c>
      <c r="Z258" s="3">
        <f>1220.5+(275.5-486.2)+(0+(0-0))+0-323.3-0</f>
        <v>686.5</v>
      </c>
      <c r="AA258" s="3">
        <f>1230.3+(238.4-453)+(-1.254906+(-0.243168--0.46206))+0-325.2--0.331704000000052</f>
        <v>689.79569000000004</v>
      </c>
      <c r="AB258" s="3">
        <f>1235.4+(191.8-454.1)+(-3.15027+(-0.48909--1.157955))+0-322.5--0.822374999999953</f>
        <v>648.94097000000011</v>
      </c>
      <c r="AC258" s="3">
        <f>1235.8+(150.6-450.7)+(-3.15129+(-0.38403--1.149285))+0-324.3--0.826964999999953</f>
        <v>609.84092999999984</v>
      </c>
      <c r="AD258" s="2">
        <v>711.7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1235.9+(140.9-460.5)+(-1.890927+(-0.215577--0.704565))+0-324.1--0.495873000000019</f>
        <v>591.29393400000015</v>
      </c>
      <c r="G259" s="3">
        <f>1236.6+(146.1-455)+(-1.261332+(-0.149022--0.4641))+0-322.1--0.328542000000051</f>
        <v>604.98228800000004</v>
      </c>
      <c r="H259" s="3">
        <f>1242.4+(137.9-445)+(-1.267248+(-0.140658--0.4539))+0-325.5--0.332010000000052</f>
        <v>609.1780040000001</v>
      </c>
      <c r="I259" s="3">
        <f>1246.9+(98.9-449.5)+(-1.907757+(-0.151317--0.687735))+0-325.8--0.498474000000019</f>
        <v>569.62713499999995</v>
      </c>
      <c r="J259" s="3">
        <f>1242.8+(126.1-459.7)+(0.633828+(0.064311-0.234447))+0-321.3-0.163862999999967</f>
        <v>588.19982899999991</v>
      </c>
      <c r="K259" s="3">
        <f>1257.3+(188.7-512.1)+(0+(0-0))+0-321.9-0</f>
        <v>611.99999999999989</v>
      </c>
      <c r="L259" s="3">
        <f>1263.8+(222.6-545.5)+(-3.22269+(-0.56763--1.391025))+0-320.8--0.818039999999953</f>
        <v>618.51874499999997</v>
      </c>
      <c r="M259" s="3">
        <f>1260+(246.1-579.5)+(3.213+(0.627555-1.477725))+0-319.3-0.814214999999954</f>
        <v>608.848615</v>
      </c>
      <c r="N259" s="3">
        <f>1250.1+(286.5-561.3)+(1.275102+(0.29223-0.572526))+0-325.6-0.332112000000052</f>
        <v>650.36269399999992</v>
      </c>
      <c r="O259" s="3">
        <f>1237.5+(275.2-547)+(1.893375+(0.421056-0.83691))+0-329.3-0.503829000000019</f>
        <v>637.37369200000012</v>
      </c>
      <c r="P259" s="3">
        <f>1237.2+(330.2-583)+(-3.15486+(-0.84201--1.48665))+0-324.7--0.827984999999953</f>
        <v>658.01776500000005</v>
      </c>
      <c r="Q259" s="3">
        <f>1236.1+(357.7-574.8)+(-2.521644+(-0.729708--1.172592))+0-328.6--0.670343999999986</f>
        <v>688.99158399999999</v>
      </c>
      <c r="R259" s="3">
        <f>1233.2+(335.7-573.9)+(-5.031456+(-1.369656--2.341512))+0-327.3--1.33538399999997</f>
        <v>664.97578399999998</v>
      </c>
      <c r="S259" s="3">
        <f>1232.3+(346.1-506)+(-1.885419+(-0.529533--0.77418))+0-325.5--0.498015000000019</f>
        <v>745.75724300000013</v>
      </c>
      <c r="T259" s="3">
        <f>1232+(308.8-521.6)+(-0.62832+(-0.157488--0.266016))+0-327.6--0.167075999999967</f>
        <v>691.24728399999992</v>
      </c>
      <c r="U259" s="3">
        <f>1231.1+(297.5-498.1)+(-0.627861+(-0.151725--0.254031))+0-324.1--0.165290999999967</f>
        <v>706.03973599999995</v>
      </c>
      <c r="V259" s="3">
        <f>1232.3+(308.4-503)+(0.628473+(0.157284-0.25653))+0-322.6-0.164525999999967</f>
        <v>715.46470099999976</v>
      </c>
      <c r="W259" s="3">
        <f>1236.3+(327.7-496.8)+(0+(0-0))+0-328-0</f>
        <v>739.19999999999982</v>
      </c>
      <c r="X259" s="3">
        <f>1237.9+(323.2-502.3)+(-3.156645+(-0.82416--1.280865))+0-328--0.836399999999952</f>
        <v>728.93646000000012</v>
      </c>
      <c r="Y259" s="3">
        <f>1239.8+(310.3-471.6)+(-2.529192+(-0.633012--0.962064))+0-325.6--0.664223999999986</f>
        <v>751.36408400000005</v>
      </c>
      <c r="Z259" s="3">
        <f>1243.1+(282.9-524.1)+(-1.267962+(-0.288558--0.534582))+0-325.7--0.332214000000052</f>
        <v>675.51027599999998</v>
      </c>
      <c r="AA259" s="3">
        <f>1250.4+(273-502.6)+(-3.826224+(-0.83538--1.537956))+0-325.5--0.996030000000038</f>
        <v>693.17238200000008</v>
      </c>
      <c r="AB259" s="3">
        <f>1251.1+(228.1-530.9)+(-3.190305+(-0.581655--1.353795))+0-326.1--0.831554999999953</f>
        <v>620.61338999999987</v>
      </c>
      <c r="AC259" s="3">
        <f>1251.7+(224.3-514)+(-1.915101+(-0.343179--0.78642))+0-322.4--0.493272000000019</f>
        <v>638.62141200000008</v>
      </c>
      <c r="AD259" s="2">
        <v>740.90000000000009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1252.6+(206.1-486.3)+(0+(0-0))+0-322.3-0</f>
        <v>650.09999999999991</v>
      </c>
      <c r="G260" s="3">
        <f>1253.2+(202.9-531.2)+(-1.278264+(-0.206958--0.541824))+0-323.1--0.329562000000052</f>
        <v>601.18616399999996</v>
      </c>
      <c r="H260" s="3">
        <f>1253.4+(195.1-530.3)+(0.639234+(0.099501-0.270453))+0-326.6-0.166565999999967</f>
        <v>591.90171600000019</v>
      </c>
      <c r="I260" s="3">
        <f>1253.1+(184.7-481)+(1.917243+(0.282591-0.73593))+0-328.5-0.502605000000019</f>
        <v>629.26129899999989</v>
      </c>
      <c r="J260" s="3">
        <f>1255.2+(192.1-531.2)+(0+(0-0))+0-324.5-0</f>
        <v>591.6</v>
      </c>
      <c r="K260" s="3">
        <f>1257.9+(250.8-600.4)+(1.283058+(0.255816-0.612408))+0-325.7-0.332214000000052</f>
        <v>583.19425200000023</v>
      </c>
      <c r="L260" s="3">
        <f>1252.4+(273.1-613.3)+(-1.277448+(-0.278562--0.625566))+0-328.8--0.335376000000052</f>
        <v>582.80493200000024</v>
      </c>
      <c r="M260" s="3">
        <f>1241.8+(271.6-580)+(1.266636+(0.277032-0.5916))+0-323.7-0.330174000000052</f>
        <v>610.32189400000004</v>
      </c>
      <c r="N260" s="3">
        <f>1235.5+(299.2-585.7)+(1.26021+(0.305184-0.597414))+0-323.4-0.329868000000052</f>
        <v>626.238112</v>
      </c>
      <c r="O260" s="3">
        <f>1196.4+(320-549.9)+(-3.660984+(-0.9792--1.682694))+0-320.9--0.981954000000037</f>
        <v>643.62446400000022</v>
      </c>
      <c r="P260" s="3">
        <f>1159.2+(318-536)+(0+(0-0))+0-322.8-0</f>
        <v>618.40000000000009</v>
      </c>
      <c r="Q260" s="3">
        <f>1155.6+(346.4-541.8)+(0.589356+(0.176664-0.276318))+0-323.6-0.165035999999967</f>
        <v>636.92466599999989</v>
      </c>
      <c r="R260" s="3">
        <f>1150.3+(348.2-545.3)+(-1.173306+(-0.355164--0.556206))+0-324.1--0.330582000000052</f>
        <v>628.45831800000008</v>
      </c>
      <c r="S260" s="3">
        <f>1152.6+(319-518.1)+(-1.763478+(-0.48807--0.792693))+0-323.4--0.494802000000019</f>
        <v>629.13594699999999</v>
      </c>
      <c r="T260" s="3">
        <f>1154.8+(301.5-516.1)+(1.177896+(0.30753-0.526422))+0-321.2-0.327624000000051</f>
        <v>619.63138000000004</v>
      </c>
      <c r="U260" s="3">
        <f>1154.5+(295.4-509.4)+(-1.17759+(-0.301308--0.519588))+0-324--0.330480000000052</f>
        <v>615.87117000000012</v>
      </c>
      <c r="V260" s="3">
        <f>1155.4+(323-527.8)+(-0.589254+(-0.16473--0.269178))+0-325.1--0.165800999999967</f>
        <v>625.18099500000005</v>
      </c>
      <c r="W260" s="3">
        <f>1158.4+(370.1-510)+(0.590784+(0.188751-0.2601))+0-323.8-0.165137999999967</f>
        <v>695.05429700000025</v>
      </c>
      <c r="X260" s="3">
        <f>1162.8+(371.4-466)+(-2.96514+(-0.94707--1.1883))+0-326.2--0.831809999999953</f>
        <v>740.10789999999974</v>
      </c>
      <c r="Y260" s="3">
        <f>1179.5+(345.2-516.5)+(-2.40618+(-0.704208--1.05366))+0-324--0.660959999999986</f>
        <v>682.80423199999996</v>
      </c>
      <c r="Z260" s="3">
        <f>1236.7+(308.7-546)+(-2.522868+(-0.629748--1.11384))+0-324.6--0.662183999999986</f>
        <v>673.42340800000011</v>
      </c>
      <c r="AA260" s="3">
        <f>1240.5+(301.2-529.9)+(-1.897965+(-0.460836--0.810747))+0-325--0.497250000000019</f>
        <v>685.74919599999998</v>
      </c>
      <c r="AB260" s="3">
        <f>1241.9+(273.4-542.4)+(-3.166845+(-0.69717--1.38312))+0-320.4--0.817019999999953</f>
        <v>650.83612500000004</v>
      </c>
      <c r="AC260" s="3">
        <f>1243.7+(261.9-576.9)+(-2.537148+(-0.534276--1.176876))+0-319.3--0.651371999999986</f>
        <v>608.15682400000014</v>
      </c>
      <c r="AD260" s="2">
        <v>710.80000000000018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1243.9+(256.2-578.9)+(-3.806334+(-0.783972--1.771434))+0-320.1--0.979506000000037</f>
        <v>599.26063399999998</v>
      </c>
      <c r="G261" s="3">
        <f>1239.5+(244.9-593.4)+(0.632145+(0.124899-0.302634))+0-326.5-0.166514999999967</f>
        <v>564.78789500000005</v>
      </c>
      <c r="H261" s="3">
        <f>1237.3+(219.4-558.7)+(0+(0-0))+0-329.8-0</f>
        <v>568.19999999999982</v>
      </c>
      <c r="I261" s="3">
        <f>1236.9+(176.9-511.9)+(0+(0-0))+0-329.6-0</f>
        <v>572.30000000000007</v>
      </c>
      <c r="J261" s="3">
        <f>1239.2+(158.7-482.1)+(2.527968+(0.323748-0.983484))+0-326.2-0.665447999999986</f>
        <v>590.80278399999997</v>
      </c>
      <c r="K261" s="3">
        <f>1240+(226.3-518.7)+(2.5296+(0.461652-1.058148))+0-325.7-0.664427999999986</f>
        <v>623.16867599999989</v>
      </c>
      <c r="L261" s="3">
        <f>1237.5+(300.9-564.7)+(1.26225+(0.306918-0.575994))+0-322.5-0.328950000000051</f>
        <v>651.86422399999981</v>
      </c>
      <c r="M261" s="3">
        <f>1236.8+(308.9-610.8)+(-1.261536+(-0.315078--0.623016))+0-322.6--0.329052000000051</f>
        <v>611.67545399999995</v>
      </c>
      <c r="N261" s="3">
        <f>1232.6+(318.5-617.3)+(1.885878+(0.487305-0.944469))+0-323.3-0.494649000000019</f>
        <v>611.43406499999992</v>
      </c>
      <c r="O261" s="3">
        <f>1230.9+(343.5-591.1)+(0.627759+(0.175185-0.301461))+0-322.5-0.164474999999967</f>
        <v>661.13700800000015</v>
      </c>
      <c r="P261" s="3">
        <f>1238+(364.4-537.8)+(-0.63138+(-0.185844--0.274278))+0-322.3--0.164372999999967</f>
        <v>741.92142699999988</v>
      </c>
      <c r="Q261" s="3">
        <f>1231.9+(341.3-549.6)+(-2.513076+(-0.696252--1.121184))+0-323.9--0.660755999999986</f>
        <v>698.27261200000009</v>
      </c>
      <c r="R261" s="3">
        <f>1235.1+(346.3-490.4)+(-3.149505+(-0.883065--1.25052))+0-320.7--0.817784999999953</f>
        <v>768.33573499999989</v>
      </c>
      <c r="S261" s="3">
        <f>1233.8+(304.6-483.4)+(-5.033904+(-1.242768--1.972272))+0-325.3--1.32722399999997</f>
        <v>726.72282400000006</v>
      </c>
      <c r="T261" s="3">
        <f>1230.7+(327-471.5)+(0.627657+(0.16677-0.240465))+0-324.7-0.165596999999967</f>
        <v>761.88836500000002</v>
      </c>
      <c r="U261" s="3">
        <f>1237.5+(315.4-508.1)+(-1.893375+(-0.482562--0.777393))+0-328.9--0.503217000000019</f>
        <v>714.80467300000009</v>
      </c>
      <c r="V261" s="3">
        <f>1239.4+(334-533)+(-2.528376+(-0.68136--1.08732))+0-326--0.665039999999986</f>
        <v>712.94262400000014</v>
      </c>
      <c r="W261" s="3">
        <f>1238+(398.3-526.4)+(-1.26276+(-0.406266--0.536928))+0-321.6--0.328032000000051</f>
        <v>787.49593400000003</v>
      </c>
      <c r="X261" s="3">
        <f>1240.4+(389.9-497.9)+(-3.795624+(-1.193094--1.523574))+0-324.5--0.992970000000038</f>
        <v>805.4278260000001</v>
      </c>
      <c r="Y261" s="3">
        <f>1241.8+(363-509.6)+(-2.533272+(-0.74052--1.039584))+0-326.3--0.665651999999986</f>
        <v>767.33144399999981</v>
      </c>
      <c r="Z261" s="3">
        <f>1243.5+(350.5-497.7)+(-3.170925+(-0.893775--1.269135))+0-329--0.838949999999952</f>
        <v>765.34338500000001</v>
      </c>
      <c r="AA261" s="3">
        <f>1241.7+(327.8-489.9)+(-1.899801+(-0.501534--0.749547))+0-328.6--0.502758000000019</f>
        <v>749.85097000000019</v>
      </c>
      <c r="AB261" s="3">
        <f>1245.7+(296-515.7)+(-2.541228+(-0.60384--1.052028))+0-327--0.667079999999986</f>
        <v>697.57403999999997</v>
      </c>
      <c r="AC261" s="3">
        <f>1246.7+(294.6-508.5)+(-0.635817+(-0.150246--0.259335))+0-327.3--0.166922999999967</f>
        <v>705.14019500000018</v>
      </c>
      <c r="AD261" s="2">
        <v>782.19999999999982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1249.3+(265.8-510.4)+(-2.548572+(-0.542232--1.041216))+0-325.8--0.664631999999986</f>
        <v>677.51504399999999</v>
      </c>
      <c r="G262" s="3">
        <f>1250.2+(260-545.6)+(-1.275204+(-0.2652--0.556512))+0-326.3--0.332826000000052</f>
        <v>637.64893400000005</v>
      </c>
      <c r="H262" s="3">
        <f>1252.9+(208-498.1)+(-0.638979+(-0.10608--0.254031))+0-327.2--0.166871999999967</f>
        <v>635.27584400000001</v>
      </c>
      <c r="I262" s="3">
        <f>1252.4+(177.7-480.4)+(0.638724+(0.090627-0.245004))+0-324.8-0.165647999999967</f>
        <v>625.21869900000002</v>
      </c>
      <c r="J262" s="3">
        <f>1252.4+(187.5-482.7)+(-2.554896+(-0.3825--0.984708))+0-324.4--0.661775999999986</f>
        <v>631.50908800000013</v>
      </c>
      <c r="K262" s="3">
        <f>1253.2+(230.6-512.2)+(1.278264+(0.235212-0.522444))+0-325.2-0.331704000000052</f>
        <v>647.05932799999994</v>
      </c>
      <c r="L262" s="3">
        <f>1252.5+(285.4-586.8)+(-0.638775+(-0.145554--0.299268))+0-326.7--0.166616999999967</f>
        <v>624.08155599999998</v>
      </c>
      <c r="M262" s="3">
        <f>1251.4+(319.2-613.6)+(-0.638214+(-0.162792--0.312936))+0-326--0.166259999999967</f>
        <v>630.67818999999997</v>
      </c>
      <c r="N262" s="3">
        <f>1243.6+(297.5-608.5)+(1.902708+(0.455175-0.931005))+0-324.4-0.496332000000019</f>
        <v>609.13054599999987</v>
      </c>
      <c r="O262" s="3">
        <f>1235.7+(318-561.6)+(0.630207+(0.16218-0.286416))+0-325.3-0.165902999999967</f>
        <v>667.14006800000004</v>
      </c>
      <c r="P262" s="3">
        <f>1231.8+(334-541.4)+(2.512872+(0.68136-1.104456))+0-325.2-0.663407999999986</f>
        <v>700.62636800000007</v>
      </c>
      <c r="Q262" s="3">
        <f>1228.6+(329-538.6)+(-1.879758+(-0.50337--0.824058))+0-326--0.498780000000019</f>
        <v>691.93970999999988</v>
      </c>
      <c r="R262" s="3">
        <f>1233.8+(311.3-530.1)+(-3.775428+(-0.952578--1.622106))+0-326.4--0.998784000000038</f>
        <v>686.492884</v>
      </c>
      <c r="S262" s="3">
        <f>1246.9+(299-585.1)+(-1.271838+(-0.30498--0.596802))+0-324--0.330480000000052</f>
        <v>636.15046400000017</v>
      </c>
      <c r="T262" s="3">
        <f>1248.9+(281.3-582.9)+(-0.636939+(-0.143463--0.297279))+0-326.6--0.166565999999967</f>
        <v>620.38344300000017</v>
      </c>
      <c r="U262" s="3">
        <f>1251.6+(263.9-619.6)+(1.276632+(0.269178-0.631992))+0-324.5-0.330990000000052</f>
        <v>571.98282799999981</v>
      </c>
      <c r="V262" s="3">
        <f>1255.3+(318.3-587)+(-2.560812+(-0.649332--1.19748))+0-325--0.662999999999986</f>
        <v>660.25033599999995</v>
      </c>
      <c r="W262" s="3">
        <f>1254.6+(360.1-574.7)+(0.639846+(0.183651-0.293097))+0-326.7-0.166616999999967</f>
        <v>713.66378300000008</v>
      </c>
      <c r="X262" s="3">
        <f>1255+(346.3-587)+(-3.8403+(-1.059678--1.79622))+0-326.8--1.00000800000004</f>
        <v>685.39625000000012</v>
      </c>
      <c r="Y262" s="3">
        <f>1253.7+(281.8-555.2)+(-2.557548+(-0.574872--1.132608))+0-326.7--0.666467999999986</f>
        <v>652.2666559999999</v>
      </c>
      <c r="Z262" s="3">
        <f>1253.7+(267.6-554.5)+(-2.557548+(-0.545904--1.13118))+0-326.2--0.665447999999986</f>
        <v>639.29317600000013</v>
      </c>
      <c r="AA262" s="3">
        <f>1253.4+(256.4-537.3)+(-1.278468+(-0.261528--0.548046))+0-330--0.336600000000053</f>
        <v>641.84465000000023</v>
      </c>
      <c r="AB262" s="3">
        <f>1255.3+(221.6-562.9)+(-0.640203+(-0.113016--0.287079))+0-328.2--0.167381999999967</f>
        <v>585.50124199999993</v>
      </c>
      <c r="AC262" s="3">
        <f>1253.1+(211.5-532.6)+(-3.195405+(-0.539325--1.35813))+0-323--0.823649999999953</f>
        <v>607.44704999999976</v>
      </c>
      <c r="AD262" s="2">
        <v>691.09999999999991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1252.9+(213.2-574)+(0+(0-0))+0-320.7-0</f>
        <v>571.40000000000009</v>
      </c>
      <c r="G263" s="3">
        <f>1255.2+(191.1-592.9)+(-1.920456+(-0.292383--0.907137))+0-323.3--0.494649000000019</f>
        <v>529.28894700000001</v>
      </c>
      <c r="H263" s="3">
        <f>1256.5+(203.8-581)+(0+(0-0))+0-322.6-0</f>
        <v>556.69999999999993</v>
      </c>
      <c r="I263" s="3">
        <f>1258.6+(214.7-571.6)+(1.283772+(0.218994-0.583032))+0-322.3-0.328746000000051</f>
        <v>579.99098799999967</v>
      </c>
      <c r="J263" s="3">
        <f>1261.7+(216.6-577.5)+(-1.930401+(-0.331398--0.883575))+0-323--0.494190000000019</f>
        <v>576.91596600000003</v>
      </c>
      <c r="K263" s="3">
        <f>1261+(207.9-599.6)+(1.92933+(0.318087-0.917388))+0-321.6-0.492048000000019</f>
        <v>548.53798099999983</v>
      </c>
      <c r="L263" s="3">
        <f>1262.2+(230.9-578.6)+(-1.287444+(-0.235518--0.590172))+0-321.4--0.327828000000051</f>
        <v>592.49503800000014</v>
      </c>
      <c r="M263" s="3">
        <f>1259.3+(214.6-510.3)+(-3.853458+(-0.656676--1.561518))+0-321--0.982260000000037</f>
        <v>640.63364399999989</v>
      </c>
      <c r="N263" s="3">
        <f>1251.6+(173.5-469.9)+(-1.914948+(-0.265455--0.718947))+0-321.6--0.492048000000019</f>
        <v>632.63059199999998</v>
      </c>
      <c r="O263" s="3">
        <f>1245.2+(223.1-440.8)+(0+(0-0))+0-326-0</f>
        <v>701.5</v>
      </c>
      <c r="P263" s="3">
        <f>1239.6+(261.4-453.6)+(0+(0-0))+0-327.6-0</f>
        <v>719.79999999999984</v>
      </c>
      <c r="Q263" s="3">
        <f>1233.1+(281.2-473.3)+(-1.257762+(-0.286824--0.482766))+0-326.4--0.332928000000052</f>
        <v>713.87110800000016</v>
      </c>
      <c r="R263" s="3">
        <f>1232.9+(292.9-455.8)+(-2.515116+(-0.597516--0.929832))+0-327.3--0.667691999999986</f>
        <v>741.18489199999999</v>
      </c>
      <c r="S263" s="3">
        <f>1234.8+(254.9-489.1)+(-0.629748+(-0.129999--0.249441))+0-331.2--0.168911999999966</f>
        <v>669.05860599999994</v>
      </c>
      <c r="T263" s="3">
        <f>1237+(222.8-477.9)+(-4.41609+(-0.795396--1.706103))+0-327.5--1.169175</f>
        <v>652.06379200000003</v>
      </c>
      <c r="U263" s="3">
        <f>1236.8+(184.9-460.1)+(0.630768+(0.094299-0.234651))+0-323.4-0.164933999999967</f>
        <v>638.5254819999999</v>
      </c>
      <c r="V263" s="3">
        <f>1246.1+(262.9-536.5)+(-0.635511+(-0.134079--0.273615))+0-321.1--0.163760999999967</f>
        <v>651.06778599999984</v>
      </c>
      <c r="W263" s="3">
        <f>1253.5+(338.7-485.8)+(0+(0-0))+0-321.6-0</f>
        <v>784.80000000000007</v>
      </c>
      <c r="X263" s="3">
        <f>1256.2+(322.9-486.8)+(-1.921986+(-0.494037--0.744804))+0-322.1--0.492813000000019</f>
        <v>769.02159399999994</v>
      </c>
      <c r="Y263" s="3">
        <f>1256.2+(310.7-481.6)+(-1.921986+(-0.475371--0.736848))+0-324--0.495720000000019</f>
        <v>760.13521099999991</v>
      </c>
      <c r="Z263" s="3">
        <f>1258.8+(296.2-478.9)+(-3.20994+(-0.75531--1.221195))+0-325.9--0.831044999999953</f>
        <v>748.28698999999995</v>
      </c>
      <c r="AA263" s="3">
        <f>1259+(283.4-486.4)+(0+(0-0))+0-326.7-0</f>
        <v>729.3</v>
      </c>
      <c r="AB263" s="3">
        <f>1259.8+(277.3-531.9)+(-2.569992+(-0.565692--1.085076))+0-327.1--0.667283999999986</f>
        <v>676.71667600000001</v>
      </c>
      <c r="AC263" s="3">
        <f>1249.1+(270.2-526.2)+(-4.459287+(-0.964614--1.878534))+0-324.4--1.158108</f>
        <v>666.31274099999985</v>
      </c>
      <c r="AD263" s="2">
        <v>803.39999999999986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1250.6+(196-524.7)+(3.18903+(0.4998-1.337985))+0-326-0.831299999999953</f>
        <v>597.41954499999997</v>
      </c>
      <c r="G264" s="3">
        <f>1252.1+(187.7-521.2)+(1.277142+(0.191454-0.531624))+0-328.9-0.335478000000052</f>
        <v>590.30149399999982</v>
      </c>
      <c r="H264" s="3">
        <f>1252.7+(161.6-506.1)+(-1.916631+(-0.247248--0.774333))+0-323.1--0.494343000000019</f>
        <v>584.2047970000001</v>
      </c>
      <c r="I264" s="3">
        <f>1254+(141.6-472.5)+(0+(0-0))+0-324.3-0</f>
        <v>598.79999999999995</v>
      </c>
      <c r="J264" s="3">
        <f>1257.6+(167.6-524.7)+(0.641376+(0.085476-0.267597))+0-321.8-0.164117999999967</f>
        <v>578.99513699999989</v>
      </c>
      <c r="K264" s="3">
        <f>1258.9+(255.2-545.9)+(2.568156+(0.520608-1.113636))+0-321.3-0.655451999999986</f>
        <v>648.21967600000016</v>
      </c>
      <c r="L264" s="3">
        <f>1259.2+(258.8-576.4)+(1.926576+(0.395964-0.881892))+0-321.3-0.491589000000019</f>
        <v>621.24905900000022</v>
      </c>
      <c r="M264" s="3">
        <f>1260.1+(252.6-559.5)+(-1.927953+(-0.386478--0.856035))+0-323.8--0.495414000000019</f>
        <v>628.43701799999985</v>
      </c>
      <c r="N264" s="3">
        <f>1251.6+(231.7-523.4)+(0.638316+(0.118167-0.266934))+0-324-0.165239999999967</f>
        <v>636.22430899999995</v>
      </c>
      <c r="O264" s="3">
        <f>1247.2+(258.1-520.6)+(-2.544288+(-0.526524--1.062024))+0-325.4--0.663815999999986</f>
        <v>657.95502800000008</v>
      </c>
      <c r="P264" s="3">
        <f>1243.5+(267.5-491.6)+(1.26837+(0.27285-0.501432))+0-328.6-0.335172000000052</f>
        <v>691.50461599999994</v>
      </c>
      <c r="Q264" s="3">
        <f>1240.7+(268.2-517)+(-1.265514+(-0.273564--0.52734))+0-326.1--0.332622000000052</f>
        <v>665.12088400000005</v>
      </c>
      <c r="R264" s="3">
        <f>1236.9+(277.7-498.4)+(-1.892457+(-0.424881--0.762552))+0-327.5--0.501075000000019</f>
        <v>687.64628900000002</v>
      </c>
      <c r="S264" s="3">
        <f>1234.1+(262.6-521.9)+(-0.629391+(-0.133926--0.266169))+0-326.8--0.166667999999967</f>
        <v>647.66951999999981</v>
      </c>
      <c r="T264" s="3">
        <f>1236+(269.2-492.3)+(0.63036+(0.137292-0.251073))+0-325.1-0.165800999999967</f>
        <v>688.15077799999995</v>
      </c>
      <c r="U264" s="3">
        <f>1237.6+(257.2-511.3)+(-0.631176+(-0.131172--0.260763))+0-316.9--0.161618999999968</f>
        <v>666.26003399999991</v>
      </c>
      <c r="V264" s="3">
        <f>1239.2+(271.3-531.7)+(0.631992+(0.138363-0.271167))+0-320.2-0.163301999999968</f>
        <v>658.93588599999998</v>
      </c>
      <c r="W264" s="3">
        <f>1241.9+(332.6-509.7)+(-1.266738+(-0.339252--0.519894))+0-324.4--0.330888000000052</f>
        <v>739.64479200000028</v>
      </c>
      <c r="X264" s="3">
        <f>1245.3+(318.7-533.1)+(-1.270206+(-0.325074--0.543762))+0-326.3--0.332826000000052</f>
        <v>703.88130799999999</v>
      </c>
      <c r="Y264" s="3">
        <f>1248.2+(315.5-533.2)+(-2.546328+(-0.64362--1.087728))+0-327.3--0.667691999999986</f>
        <v>701.76547200000005</v>
      </c>
      <c r="Z264" s="3">
        <f>1249.6+(319.6-461.7)+(0+(0-0))+0-325.4-0</f>
        <v>782.1</v>
      </c>
      <c r="AA264" s="3">
        <f>1251.2+(282.6-500)+(-4.466784+(-1.008882--1.785))+0-327.6--1.169532</f>
        <v>703.6788660000002</v>
      </c>
      <c r="AB264" s="3">
        <f>1252.4+(272.5-473.9)+(-1.277448+(-0.27795--0.483378))+0-327.8--0.334356000000052</f>
        <v>722.46233600000005</v>
      </c>
      <c r="AC264" s="3">
        <f>1253.7+(242.1-483.3)+(-2.557548+(-0.493884--0.985932))+0-325.8--0.664631999999986</f>
        <v>685.29913199999987</v>
      </c>
      <c r="AD264" s="2">
        <v>757.9000000000002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1255.8+(222.3-532.7)+(-2.561832+(-0.453492--1.086708))+0-325.9--0.664835999999986</f>
        <v>618.23621999999989</v>
      </c>
      <c r="G265" s="3">
        <f>1257.8+(210.1-510.3)+(0+(0-0))+0-329.9-0</f>
        <v>627.69999999999993</v>
      </c>
      <c r="H265" s="3">
        <f>1258.5+(180.6-538.7)+(-2.56734+(-0.368424--1.098948))+0-327.2--0.667487999999986</f>
        <v>572.03067199999998</v>
      </c>
      <c r="I265" s="3">
        <f>1259+(176.4-486.9)+(2.56836+(0.359856-0.993276))+0-325.9-0.664835999999986</f>
        <v>623.87010399999997</v>
      </c>
      <c r="J265" s="3">
        <f>1259.2+(218-543.6)+(0.642192+(0.11118-0.277236))+0-325.9-0.166208999999967</f>
        <v>608.00992700000006</v>
      </c>
      <c r="K265" s="3">
        <f>1258.7+(238.7-570.7)+(0+(0-0))+0-325.6-0</f>
        <v>601.1</v>
      </c>
      <c r="L265" s="3">
        <f>1259.7+(262-582)+(0+(0-0))+0-327.5-0</f>
        <v>612.20000000000005</v>
      </c>
      <c r="M265" s="3">
        <f>1257.7+(260.1-564.9)+(1.282854+(0.265302-0.576198))+0-324.7-0.331194000000052</f>
        <v>628.84076400000004</v>
      </c>
      <c r="N265" s="3">
        <f>1252.5+(222.3-521)+(-1.27755+(-0.226746--0.53142))+0-324.3--0.330786000000052</f>
        <v>628.85791000000006</v>
      </c>
      <c r="O265" s="3">
        <f>1246.3+(227-490.9)+(1.906839+(0.34731-0.751077))+0-314.9-0.481797000000018</f>
        <v>668.52127499999995</v>
      </c>
      <c r="P265" s="3">
        <f>1241.5+(223.5-489.8)+(-0.633165+(-0.113985--0.249798))+0-325.2--0.165851999999967</f>
        <v>649.66850000000011</v>
      </c>
      <c r="Q265" s="3">
        <f>1233.9+(225.4-458)+(-3.775734+(-0.689724--1.40148))+0-325--0.994500000000038</f>
        <v>674.23052200000006</v>
      </c>
      <c r="R265" s="3">
        <f>1226.8+(214.5-461.1)+(1.251336+(0.21879-0.470322))+0-324.2-0.330684000000052</f>
        <v>656.66912000000002</v>
      </c>
      <c r="S265" s="3">
        <f>1218.7+(211.5-446.7)+(0+(0-0))+0-322.8-0</f>
        <v>660.7</v>
      </c>
      <c r="T265" s="3">
        <f>1217.2+(212.3-463)+(0+(0-0))+0-326.3-0</f>
        <v>640.20000000000005</v>
      </c>
      <c r="U265" s="3">
        <f>1221.1+(216.2-472.4)+(-1.245522+(-0.220524--0.481848))+0-327.5--0.334050000000052</f>
        <v>636.74985199999992</v>
      </c>
      <c r="V265" s="3">
        <f>1225.2+(244.2-481.7)+(0+(0-0))+0-323.5-0</f>
        <v>664.2</v>
      </c>
      <c r="W265" s="3">
        <f>1225.3+(292.4-462.9)+(-0.624903+(-0.149124--0.236079))+0-324.9--0.165698999999967</f>
        <v>729.52775100000008</v>
      </c>
      <c r="X265" s="3">
        <f>1231.2+(288.3-473.7)+(-3.13956+(-0.735165--1.207935))+0-325--0.828749999999953</f>
        <v>718.96196000000009</v>
      </c>
      <c r="Y265" s="3">
        <f>1238.2+(257-492.8)+(-2.525928+(-0.52428--1.005312))+0-323.6--0.660143999999986</f>
        <v>677.41524800000002</v>
      </c>
      <c r="Z265" s="3">
        <f>1239.8+(247.2-502.5)+(-1.264596+(-0.252144--0.51255))+0-326.9--0.333438000000052</f>
        <v>656.92924800000003</v>
      </c>
      <c r="AA265" s="3">
        <f>1245.7+(245.9-525.6)+(-1.270614+(-0.250818--0.536112))+0-326.6--0.333132000000052</f>
        <v>638.74781200000007</v>
      </c>
      <c r="AB265" s="3">
        <f>1243.8+(224.9-513.7)+(-1.903014+(-0.344097--0.785961))+0-326.4--0.499392000000019</f>
        <v>627.63824199999999</v>
      </c>
      <c r="AC265" s="3">
        <f>1240.2+(202.9-520.5)+(-3.16251+(-0.517395--1.327275))+0-324.6--0.827729999999953</f>
        <v>596.4751</v>
      </c>
      <c r="AD265" s="2">
        <v>732.9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1239.8+(190.5-550.3)+(1.264596+(0.19431-0.561306))+0-326.1-0.332622000000052</f>
        <v>554.46497799999997</v>
      </c>
      <c r="G266" s="3">
        <f>1240.3+(147.8-529.2)+(-1.265106+(-0.150756--0.539784))+0-326.6--0.333132000000052</f>
        <v>531.75705399999993</v>
      </c>
      <c r="H266" s="3">
        <f>1241.2+(97.5-483.8)+(-1.266024+(-0.09945--0.493476))+0-325.2--0.331704000000052</f>
        <v>529.15970600000026</v>
      </c>
      <c r="I266" s="3">
        <f>1242+(106.3-470.7)+(1.90026+(0.162639-0.720171))+0-325-0.497250000000019</f>
        <v>553.44547799999998</v>
      </c>
      <c r="J266" s="3">
        <f>1248+(124.3-436.6)+(0.63648+(0.063393-0.222666))+0-322.9-0.164678999999967</f>
        <v>613.11252800000011</v>
      </c>
      <c r="K266" s="3">
        <f>1249.5+(233.6-540.5)+(-1.27449+(-0.238272--0.55131))+0-322.2--0.328644000000051</f>
        <v>619.76719200000014</v>
      </c>
      <c r="L266" s="3">
        <f>1251.1+(259.6-575.3)+(-0.638061+(-0.132396--0.293403))+0-322.5--0.164474999999967</f>
        <v>612.58742099999995</v>
      </c>
      <c r="M266" s="3">
        <f>1251.8+(253.6-563.4)+(-0.638418+(-0.129336--0.287334))+0-320.8--0.163607999999967</f>
        <v>620.8831879999999</v>
      </c>
      <c r="N266" s="3">
        <f>1243.1+(249.3-570)+(0.633981+(0.127143-0.2907))+0-320.9-0.163658999999967</f>
        <v>601.80676499999993</v>
      </c>
      <c r="O266" s="3">
        <f>1196+(274.3-483.1)+(2.43984+(0.559572-0.985524))+0-322.8-0.658511999999986</f>
        <v>665.75537600000007</v>
      </c>
      <c r="P266" s="3">
        <f>1119+(312.2-429.8)+(-0.57069+(-0.159222--0.219198))+0-324.5--0.165494999999967</f>
        <v>676.55478099999993</v>
      </c>
      <c r="Q266" s="3">
        <f>1117.6+(313.3-466.1)+(-1.139952+(-0.319566--0.475422))+0-322.8--0.329256000000052</f>
        <v>641.34515999999996</v>
      </c>
      <c r="R266" s="3">
        <f>1207.2+(278.1-506.7)+(-1.231344+(-0.283662--0.516834))+0-322.3--0.328746000000051</f>
        <v>655.63057400000014</v>
      </c>
      <c r="S266" s="3">
        <f>1208.4+(267.3-523.9)+(0.616284+(0.136323-0.267189))+0-322.1-0.164270999999967</f>
        <v>630.02114700000016</v>
      </c>
      <c r="T266" s="3">
        <f>1215.4+(257.7-540.8)+(1.859562+(0.394281-0.827424))+0-323.1-0.494343000000019</f>
        <v>610.1320760000001</v>
      </c>
      <c r="U266" s="3">
        <f>1212.9+(267.6-525.1)+(0.618579+(0.136476-0.267801))+0-321.3-0.163862999999967</f>
        <v>634.42339100000004</v>
      </c>
      <c r="V266" s="3">
        <f>1218+(268.1-516.1)+(-0.62118+(-0.136731--0.263211))+0-322.1--0.164270999999967</f>
        <v>647.569571</v>
      </c>
      <c r="W266" s="3">
        <f>1221.9+(329.2-524.5)+(-1.246338+(-0.335784--0.53499))+0-325.6--0.332112000000052</f>
        <v>700.28498000000025</v>
      </c>
      <c r="X266" s="3">
        <f>1230+(324.4-523.5)+(0.6273+(0.165444-0.266985))+0-324.5-0.165494999999967</f>
        <v>706.76026400000023</v>
      </c>
      <c r="Y266" s="3">
        <f>1231.2+(295.6-546.4)+(-0.627912+(-0.150756--0.278664))+0-325--0.165749999999967</f>
        <v>655.0657460000001</v>
      </c>
      <c r="Z266" s="3">
        <f>1233.2+(271.7-547.7)+(-4.402524+(-0.969969--1.955289))+0-323.5--1.154895</f>
        <v>631.43769100000009</v>
      </c>
      <c r="AA266" s="3">
        <f>1235.8+(258.4-512.8)+(-3.15129+(-0.65892--1.30764))+0-323.5--0.824924999999953</f>
        <v>656.22235499999999</v>
      </c>
      <c r="AB266" s="3">
        <f>1235.4+(236.7-509.5)+(0+(0-0))+0-321.4-0</f>
        <v>641.20000000000016</v>
      </c>
      <c r="AC266" s="3">
        <f>1236.6+(232.4-548.5)+(-1.891998+(-0.355572--0.839205))+0-320.5--0.490365000000019</f>
        <v>599.08199999999988</v>
      </c>
      <c r="AD266" s="2">
        <v>725.50000000000011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1194.5+(229.8-522.8)+(-2.43678+(-0.468792--1.066512))+0-324.9--0.662795999999986</f>
        <v>575.42373599999996</v>
      </c>
      <c r="G267" s="3">
        <f>1110.3+(200-437.5)+(-1.132506+(-0.204--0.44625))+0-325.6--0.332112000000052</f>
        <v>546.64185599999996</v>
      </c>
      <c r="H267" s="3">
        <f>1113.6+(181.3-434.8)+(-2.271744+(-0.369852--0.886992))+0-325.4--0.663815999999986</f>
        <v>533.60921199999996</v>
      </c>
      <c r="I267" s="3">
        <f>1119.4+(150.4-363.7)+(0.570894+(0.076704-0.185487))+0-324-0.165239999999967</f>
        <v>582.39687100000026</v>
      </c>
      <c r="J267" s="3">
        <f>1119.6+(155.9-372)+(0+(0-0))+0-323-0</f>
        <v>580.49999999999989</v>
      </c>
      <c r="K267" s="3">
        <f>1146.6+(188.2-389.2)+(1.754298+(0.287946-0.595476))+0-322.2-0.492966000000019</f>
        <v>624.35380199999986</v>
      </c>
      <c r="L267" s="3">
        <f>1245+(244.9-575.9)+(0+(0-0))+0-322.4-0</f>
        <v>591.6</v>
      </c>
      <c r="M267" s="3">
        <f>1251.6+(272.8-595.7)+(1.276632+(0.278256-0.607614))+0-321.4-0.327828000000051</f>
        <v>607.91944599999977</v>
      </c>
      <c r="N267" s="3">
        <f>1246.2+(260.6-569.5)+(1.271124+(0.265812-0.58089))+0-321.2-0.327624000000051</f>
        <v>616.72842200000014</v>
      </c>
      <c r="O267" s="3">
        <f>1236.6+(264.5-543.6)+(0+(0-0))+0-328.6-0</f>
        <v>628.89999999999986</v>
      </c>
      <c r="P267" s="3">
        <f>1230.1+(272.8-533.9)+(0+(0-0))+0-324-0</f>
        <v>645</v>
      </c>
      <c r="Q267" s="3">
        <f>1225.1+(275.3-517.7)+(-1.874403+(-0.421209--0.792081))+0-324.2--0.496026000000019</f>
        <v>657.49249499999996</v>
      </c>
      <c r="R267" s="3">
        <f>1222.5+(271.2-491.8)+(-0.623475+(-0.138312--0.250818))+0-322.7--0.164576999999967</f>
        <v>678.85360799999989</v>
      </c>
      <c r="S267" s="3">
        <f>1216.6+(266.7-474.3)+(-2.481864+(-0.544068--0.967572))+0-323.2--0.659327999999986</f>
        <v>684.40096799999992</v>
      </c>
      <c r="T267" s="3">
        <f>1213.9+(267.1-494.4)+(-0.619089+(-0.136221--0.252144))+0-322.2--0.164321999999967</f>
        <v>664.0611560000001</v>
      </c>
      <c r="U267" s="3">
        <f>1214.8+(285.4-505.6)+(1.239096+(0.291108-0.515712))+0-325.6-0.332112000000052</f>
        <v>669.68237999999985</v>
      </c>
      <c r="V267" s="3">
        <f>1218.7+(335.2-546.9)+(-1.243074+(-0.341904--0.557838))+0-327.5--0.334050000000052</f>
        <v>678.80691000000002</v>
      </c>
      <c r="W267" s="3">
        <f>1223.4+(367.3-541.8)+(1.871802+(0.561969-0.828954))+0-329.1-0.503523000000019</f>
        <v>720.90129400000001</v>
      </c>
      <c r="X267" s="3">
        <f>1227.3+(354.2-525.6)+(-2.503692+(-0.722568--1.072224))+0-328.9--0.670955999999986</f>
        <v>725.51691999999991</v>
      </c>
      <c r="Y267" s="3">
        <f>1228.5+(328.3-533.4)+(-1.879605+(-0.502299--0.816102))+0-329.7--0.504441000000019</f>
        <v>692.63863900000024</v>
      </c>
      <c r="Z267" s="3">
        <f>1231.2+(329.6-521)+(1.255824+(0.336192-0.53142))+0-329.2-0.335784000000052</f>
        <v>711.32481200000007</v>
      </c>
      <c r="AA267" s="3">
        <f>1232.2+(293.2-528.9)+(-3.14211+(-0.74766--1.348695))+0-327.5--0.835124999999952</f>
        <v>667.29404999999997</v>
      </c>
      <c r="AB267" s="3">
        <f>1236.1+(281.2-529.9)+(-0.630411+(-0.143412--0.270249))+0-329.3--0.167942999999967</f>
        <v>657.76436899999976</v>
      </c>
      <c r="AC267" s="3">
        <f>1236.8+(267.9-542.4)+(-3.15384+(-0.683145--1.38312))+0-326.8--0.833339999999953</f>
        <v>633.87947499999996</v>
      </c>
      <c r="AD267" s="2">
        <v>726.69999999999993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1235.8+(233.6-551.5)+(-1.890774+(-0.357408--0.843795))+0-324.5--0.496485000000019</f>
        <v>592.49209799999994</v>
      </c>
      <c r="G268" s="3">
        <f>1235.1+(197.3-499)+(-1.889703+(-0.301869--0.76347))+0-325.5--0.498015000000019</f>
        <v>606.96991299999991</v>
      </c>
      <c r="H268" s="3">
        <f>1236.6+(185.6-473.4)+(0.630666+(0.094656-0.241434))+0-325.1-0.165800999999967</f>
        <v>624.01808699999992</v>
      </c>
      <c r="I268" s="3">
        <f>1236.2+(182.1-477.4)+(-3.15231+(-0.464355--1.21737))+0-325.7--0.830534999999953</f>
        <v>613.63124000000005</v>
      </c>
      <c r="J268" s="3">
        <f>1235.5+(190.1-479.2)+(2.52042+(0.387804-0.977568))+0-328.3-0.669731999999986</f>
        <v>619.36092399999995</v>
      </c>
      <c r="K268" s="3">
        <f>1236.3+(225.3-502.3)+(1.261026+(0.229806-0.512346))+0-328.3-0.334866000000052</f>
        <v>631.64361999999994</v>
      </c>
      <c r="L268" s="3">
        <f>1237.1+(270.7-500.1)+(1.261842+(0.276114-0.510102))+0-326.1-0.332622000000052</f>
        <v>682.29523199999983</v>
      </c>
      <c r="M268" s="3">
        <f>1238.8+(259.1-510)+(1.263576+(0.264282-0.5202))+0-323-0.329460000000051</f>
        <v>665.57819799999993</v>
      </c>
      <c r="N268" s="3">
        <f>1227.1+(269.5-461.6)+(1.251642+(0.27489-0.470832))+0-325.4-0.331908000000052</f>
        <v>710.32379199999991</v>
      </c>
      <c r="O268" s="3">
        <f>1222.2+(284-464.4)+(0.623322+(0.14484-0.236844))+0-326.1-0.166310999999967</f>
        <v>716.06500700000026</v>
      </c>
      <c r="P268" s="3">
        <f>1222+(290.8-464.4)+(-3.1161+(-0.74154--1.18422))+0-326--0.831299999999953</f>
        <v>720.55787999999995</v>
      </c>
      <c r="Q268" s="3">
        <f>1217.3+(279.4-492.1)+(-1.862469+(-0.427482--0.752913))+0-327.8--0.501534000000019</f>
        <v>675.76449599999978</v>
      </c>
      <c r="R268" s="3">
        <f>1214+(307.1-440.8)+(-3.0957+(-0.783105--1.12404))+0-327.7--0.835634999999952</f>
        <v>750.68086999999991</v>
      </c>
      <c r="S268" s="3">
        <f>1208.5+(329.1-432.4)+(-1.23267+(-0.335682--0.441048))+0-327.4--0.333948000000052</f>
        <v>777.00664400000005</v>
      </c>
      <c r="T268" s="3">
        <f>1207.9+(316.8-448)+(-0.616029+(-0.161568--0.22848))+0-328.4--0.167483999999967</f>
        <v>747.91836699999999</v>
      </c>
      <c r="U268" s="3">
        <f>1208.3+(310.7-485.6)+(-1.232466+(-0.316914--0.495312))+0-326.3--0.332826000000052</f>
        <v>706.37875800000006</v>
      </c>
      <c r="V268" s="3">
        <f>1208.1+(333.3-511.8)+(-1.848393+(-0.509949--0.783054))+0-329.8--0.504594000000019</f>
        <v>698.72930599999995</v>
      </c>
      <c r="W268" s="3">
        <f>1214.8+(375.8-504.4)+(2.478192+(0.766632-1.028976))+0-330.8-0.674831999999986</f>
        <v>756.9410160000001</v>
      </c>
      <c r="X268" s="3">
        <f>1219.1+(385-477.1)+(-3.108705+(-0.98175--1.216605))+0-330.2--0.842009999999952</f>
        <v>794.76815999999997</v>
      </c>
      <c r="Y268" s="3">
        <f>1224.1+(357.5-473.2)+(-1.248582+(-0.36465--0.482664))+0-331.8--0.338436000000053</f>
        <v>775.80786799999987</v>
      </c>
      <c r="Z268" s="3">
        <f>1229.3+(333.6-471.3)+(-1.253886+(-0.340272--0.480726))+0-333.8--0.340476000000053</f>
        <v>757.02704399999993</v>
      </c>
      <c r="AA268" s="3">
        <f>1232.9+(311.7-509)+(-2.515116+(-0.635868--1.03836))+0-327.3--0.667691999999986</f>
        <v>706.85506800000007</v>
      </c>
      <c r="AB268" s="3">
        <f>1234.8+(303.5-484.5)+(-2.518992+(-0.61914--0.98838))+0-324--0.660959999999986</f>
        <v>728.31120799999985</v>
      </c>
      <c r="AC268" s="3">
        <f>1236.4+(282.5-520.4)+(-0.630564+(-0.144075--0.265404))+0-326--0.166259999999967</f>
        <v>672.15702500000009</v>
      </c>
      <c r="AD268" s="2">
        <v>834.4000000000002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1240+(261.7-511.4)+(-2.5296+(-0.533868--1.043256))+0-328.5--0.670139999999986</f>
        <v>660.44992799999989</v>
      </c>
      <c r="G269" s="3">
        <f>1235.8+(253.7-514.1)+(-1.260516+(-0.258774--0.524382))+0-329.9--0.336498000000053</f>
        <v>644.84158999999988</v>
      </c>
      <c r="H269" s="3">
        <f>1234.3+(236.1-559.9)+(-1.258986+(-0.240822--0.571098))+0-331.5--0.338130000000053</f>
        <v>578.40942000000007</v>
      </c>
      <c r="I269" s="3">
        <f>1234.6+(245.3-514.1)+(-1.888938+(-0.375309--0.786573))+0-329.8--0.504594000000019</f>
        <v>635.02692000000002</v>
      </c>
      <c r="J269" s="3">
        <f>1232.6+(200-513.3)+(-0.628626+(-0.102--0.261783))+0-327.8--0.167177999999967</f>
        <v>591.19833499999982</v>
      </c>
      <c r="K269" s="3">
        <f>1233.7+(247-501.2)+(3.145935+(0.62985-1.27806))+0-327.9-0.836144999999952</f>
        <v>653.26157999999998</v>
      </c>
      <c r="L269" s="3">
        <f>1235.7+(289.9-535.2)+(-5.041656+(-1.182792--2.183616))+0-323.8--1.32110399999997</f>
        <v>663.88027199999999</v>
      </c>
      <c r="M269" s="3">
        <f>1241+(297.5-541.7)+(0.63291+(0.151725-0.276267))+0-324.8-0.165647999999967</f>
        <v>672.3427200000001</v>
      </c>
      <c r="N269" s="3">
        <f>1237.7+(319.9-506.2)+(1.893681+(0.489447-0.774486))+0-325-0.497250000000019</f>
        <v>727.511392</v>
      </c>
      <c r="O269" s="3">
        <f>1232.1+(301.1-510.4)+(1.885113+(0.460683-0.780912))+0-323.4-0.494802000000019</f>
        <v>700.47008199999982</v>
      </c>
      <c r="P269" s="3">
        <f>1229.5+(325.9-486.1)+(0+(0-0))+0-326.1-0</f>
        <v>743.19999999999993</v>
      </c>
      <c r="Q269" s="3">
        <f>1226.4+(318.7-503)+(0.625464+(0.162537-0.25653))+0-325.1-0.165800999999967</f>
        <v>717.36567000000014</v>
      </c>
      <c r="R269" s="3">
        <f>1223.1+(325.7-496.2)+(-2.495124+(-0.664428--1.012248))+0-323.9--0.660755999999986</f>
        <v>727.21345199999985</v>
      </c>
      <c r="S269" s="3">
        <f>1220.5+(305.9-480.3)+(0+(0-0))+0-321-0</f>
        <v>725.09999999999991</v>
      </c>
      <c r="T269" s="3">
        <f>1217.9+(304.3-445.1)+(1.863387+(0.465579-0.681003))+0-321-0.491130000000019</f>
        <v>757.25683300000003</v>
      </c>
      <c r="U269" s="3">
        <f>1220.7+(284.1-468.3)+(0.622557+(0.144891-0.238833))+0-320.7-0.163556999999967</f>
        <v>716.16505799999993</v>
      </c>
      <c r="V269" s="3">
        <f>1220.6+(320.5-491.1)+(-0.622506+(-0.163455--0.250461))+0-321.7--0.164066999999967</f>
        <v>727.92856699999993</v>
      </c>
      <c r="W269" s="3">
        <f>1219.7+(393.4-487.4)+(0.622047+(0.200634-0.248574))+0-322.5-0.164474999999967</f>
        <v>803.60963200000003</v>
      </c>
      <c r="X269" s="3">
        <f>1224.6+(380-510.6)+(-1.249092+(-0.3876--0.520812))+0-321.9--0.328338000000051</f>
        <v>771.31245799999999</v>
      </c>
      <c r="Y269" s="3">
        <f>1229+(360.7-495.7)+(-3.13395+(-0.919785--1.264035))+0-322.9--0.823394999999953</f>
        <v>769.13369499999999</v>
      </c>
      <c r="Z269" s="3">
        <f>1233.7+(326.4-505)+(-0.629187+(-0.166464--0.25755))+0-322.8--0.164627999999967</f>
        <v>731.92652699999985</v>
      </c>
      <c r="AA269" s="3">
        <f>1235.4+(323.7-532.6)+(-1.890162+(-0.495261--0.814878))+0-323.4--0.494802000000019</f>
        <v>702.02425700000003</v>
      </c>
      <c r="AB269" s="3">
        <f>1237.5+(290.1-522.9)+(-1.26225+(-0.295902--0.533358))+0-322.5--0.328950000000051</f>
        <v>681.50415600000008</v>
      </c>
      <c r="AC269" s="3">
        <f>1241.4+(247.2-542)+(-1.899342+(-0.378216--0.82926))+0-322.7--0.493731000000019</f>
        <v>622.94543300000009</v>
      </c>
      <c r="AD269" s="2">
        <v>783.60000000000014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1247.5+(244.2-519.8)+(-3.181125+(-0.62271--1.32549))+0-320.4--0.817019999999953</f>
        <v>649.83867500000008</v>
      </c>
      <c r="G270" s="3">
        <f>1244.1+(165.8-506.4)+(-1.903473+(-0.253674--0.774792))+0-322.8--0.493884000000019</f>
        <v>579.81152900000006</v>
      </c>
      <c r="H270" s="3">
        <f>1246.1+(173.3-468)+(-3.177555+(-0.441915--1.1934))+0-323.4--0.824669999999953</f>
        <v>626.39859999999987</v>
      </c>
      <c r="I270" s="3">
        <f>1248.6+(122-494.6)+(-1.273572+(-0.12444--0.504492))+0-323.7--0.330174000000052</f>
        <v>551.73665399999993</v>
      </c>
      <c r="J270" s="3">
        <f>1248.8+(134.6-447)+(0+(0-0))+0-323.4-0</f>
        <v>613</v>
      </c>
      <c r="K270" s="3">
        <f>1250+(174.6-489.7)+(-2.55+(-0.356184--0.998988))+0-322.6--0.658103999999986</f>
        <v>611.05090799999994</v>
      </c>
      <c r="L270" s="3">
        <f>1250.7+(179.3-513.1)+(-3.189285+(-0.457215--1.308405))+0-324.4--0.827219999999953</f>
        <v>590.98912500000006</v>
      </c>
      <c r="M270" s="3">
        <f>1253.9+(174.6-530.4)+(-1.278978+(-0.178092--0.541008))+0-321.1--0.327522000000051</f>
        <v>576.41146000000015</v>
      </c>
      <c r="N270" s="3">
        <f>1250.6+(217.4-490)+(1.913418+(0.332622-0.7497))+0-322.5-0.493425000000019</f>
        <v>656.50291499999992</v>
      </c>
      <c r="O270" s="3">
        <f>1245.1+(254.7-536.4)+(-1.270002+(-0.259794--0.547128))+0-322.1--0.328542000000051</f>
        <v>640.64587399999994</v>
      </c>
      <c r="P270" s="3">
        <f>1242.7+(307.7-515.8)+(-1.901331+(-0.470781--0.789174))+0-323.5--0.494955000000019</f>
        <v>710.01201700000013</v>
      </c>
      <c r="Q270" s="3">
        <f>1239.2+(324.3-530.3)+(-1.263984+(-0.330786--0.540906))+0-321.3--0.327726000000051</f>
        <v>711.17386200000021</v>
      </c>
      <c r="R270" s="3">
        <f>1234.1+(314.9-530.4)+(-1.888173+(-0.481797--0.811512))+0-321.9--0.492507000000019</f>
        <v>695.634049</v>
      </c>
      <c r="S270" s="3">
        <f>1228.3+(305.9-492.5)+(-3.132165+(-0.780045--1.255875))+0-322.3--0.821864999999953</f>
        <v>717.56552999999997</v>
      </c>
      <c r="T270" s="3">
        <f>1225.7+(285.1-527.4)+(0.625107+(0.145401-0.268974))+0-320.9-0.163658999999967</f>
        <v>662.83787500000017</v>
      </c>
      <c r="U270" s="3">
        <f>1225.7+(239.2-437.6)+(0+(0-0))+0-321.6-0</f>
        <v>705.69999999999993</v>
      </c>
      <c r="V270" s="3">
        <f>1227.5+(228.1-386.7)+(-0.626025+(-0.116331--0.197217))+0-320.1--0.163250999999968</f>
        <v>748.41811199999995</v>
      </c>
      <c r="W270" s="3">
        <f>1231.4+(292.6-439)+(-0.628014+(-0.149226--0.22389))+0-322.1--0.164270999999967</f>
        <v>762.51092100000005</v>
      </c>
      <c r="X270" s="3">
        <f>1235+(296-442.4)+(-1.88955+(-0.45288--0.676872))+0-323.5--0.494955000000019</f>
        <v>763.92939699999999</v>
      </c>
      <c r="Y270" s="3">
        <f>1239.2+(280.8-448.2)+(-2.527968+(-0.572832--0.914328))+0-323.1--0.659123999999986</f>
        <v>747.17265200000008</v>
      </c>
      <c r="Z270" s="3">
        <f>1241.5+(282.9-483.1)+(-0.633165+(-0.144279--0.246381))+0-323.4--0.164933999999967</f>
        <v>717.53387100000009</v>
      </c>
      <c r="AA270" s="3">
        <f>1244.6+(282.7-527.3)+(-1.904238+(-0.432531--0.806769))+0-322.6--0.493578000000019</f>
        <v>676.36357800000008</v>
      </c>
      <c r="AB270" s="3">
        <f>1246.8+(272.6-537.7)+(-3.17934+(-0.69513--1.371135))+0-321.2--0.819059999999953</f>
        <v>658.81572499999982</v>
      </c>
      <c r="AC270" s="3">
        <f>1247.3+(271.2-550.9)+(-2.544492+(-0.553248--1.123836))+0-320.9--0.654635999999986</f>
        <v>645.38073199999997</v>
      </c>
      <c r="AD270" s="2">
        <v>709.50000000000011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1249.5+(252.8-583.1)+(-1.911735+(-0.386784--0.892143))+0-319.8--0.489294000000018</f>
        <v>598.48291799999993</v>
      </c>
      <c r="G271" s="3">
        <f>1250.1+(235.3-640.9)+(-1.275102+(-0.240006--0.653718))+0-324.8--0.331296000000052</f>
        <v>519.16990600000008</v>
      </c>
      <c r="H271" s="3">
        <f>1248.3+(247.8-659.8)+(0+(0-0))+0-324.7-0</f>
        <v>511.59999999999997</v>
      </c>
      <c r="I271" s="3">
        <f>1249.4+(253.3-628.9)+(-0.637194+(-0.129183--0.320739))+0-323.8--0.165137999999967</f>
        <v>549.71950000000004</v>
      </c>
      <c r="J271" s="3">
        <f>1249.7+(229.5-555.3)+(0.637347+(0.117045-0.283203))+0-322.9-0.164678999999967</f>
        <v>601.30651000000012</v>
      </c>
      <c r="K271" s="3">
        <f>1251.2+(255-608.2)+(0+(0-0))+0-321.5-0</f>
        <v>576.5</v>
      </c>
      <c r="L271" s="3">
        <f>1253.3+(305.3-596.6)+(0.639183+(0.155703-0.304266))+0-322.2-0.164321999999967</f>
        <v>640.12629800000002</v>
      </c>
      <c r="M271" s="3">
        <f>1254+(311.6-604.5)+(0.63954+(0.158916-0.308295))+0-321.9-0.164168999999967</f>
        <v>639.52599199999997</v>
      </c>
      <c r="N271" s="3">
        <f>1251.1+(289.3-602.1)+(1.914183+(0.442629-0.921213))+0-321.1-0.491283000000019</f>
        <v>618.14431599999989</v>
      </c>
      <c r="O271" s="3">
        <f>1245.3+(307.6-584.3)+(0.635103+(0.156876-0.297993))+0-322-0.164219999999967</f>
        <v>646.92976599999997</v>
      </c>
      <c r="P271" s="3">
        <f>1241.7+(309.4-584.5)+(2.533068+(0.631176-1.19238))+0-322.3-0.657491999999986</f>
        <v>645.61437200000012</v>
      </c>
      <c r="Q271" s="3">
        <f>1240+(314.7-566.2)+(-1.8972+(-0.481491--0.866286))+0-323--0.494190000000019</f>
        <v>664.48178500000006</v>
      </c>
      <c r="R271" s="3">
        <f>1236.6+(281.5-548.7)+(-2.522664+(-0.57426--1.119348))+0-322.1--0.657083999999986</f>
        <v>645.97950799999978</v>
      </c>
      <c r="S271" s="3">
        <f>1233.3+(259.9-525.1)+(0+(0-0))+0-321.8-0</f>
        <v>646.29999999999995</v>
      </c>
      <c r="T271" s="3">
        <f>1231.1+(273-523.1)+(0+(0-0))+0-321.4-0</f>
        <v>659.59999999999991</v>
      </c>
      <c r="U271" s="3">
        <f>1228.9+(293.1-547)+(-0.626739+(-0.149481--0.27897))+0-321.5--0.163964999999967</f>
        <v>653.16671500000007</v>
      </c>
      <c r="V271" s="3">
        <f>1228.2+(310-574.1)+(-1.879146+(-0.4743--0.878373))+0-320--0.489600000000018</f>
        <v>643.11452700000007</v>
      </c>
      <c r="W271" s="3">
        <f>1229.8+(387.5-574.1)+(-1.254396+(-0.39525--0.585582))+0-321.1--0.327522000000051</f>
        <v>721.36345799999992</v>
      </c>
      <c r="X271" s="3">
        <f>1203.7+(371.9-539.1)+(-2.455548+(-0.758676--1.099764))+0-322.9--0.658715999999986</f>
        <v>712.14425600000004</v>
      </c>
      <c r="Y271" s="3">
        <f>1232.6+(355.5-534.6)+(-2.514504+(-0.72522--1.090584))+0-321.8--0.656471999999986</f>
        <v>730.20733200000006</v>
      </c>
      <c r="Z271" s="3">
        <f>1234.5+(323.6-474.8)+(0+(0-0))+0-321.5-0</f>
        <v>761.8</v>
      </c>
      <c r="AA271" s="3">
        <f>1238.1+(301.4-473.2)+(-1.262862+(-0.307428--0.482664))+0-320.9--0.327318000000051</f>
        <v>744.63969200000008</v>
      </c>
      <c r="AB271" s="3">
        <f>1239.9+(278.2-476.8)+(-0.632349+(-0.141882--0.243168))+0-321.1--0.163760999999967</f>
        <v>719.83269800000028</v>
      </c>
      <c r="AC271" s="3">
        <f>1242.2+(222.9-444.7)+(-1.900566+(-0.341037--0.680391))+0-321.4--0.491742000000019</f>
        <v>697.9305300000002</v>
      </c>
      <c r="AD271" s="2">
        <v>739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1245.9+(146.3-491.7)+(-1.270818+(-0.149226--0.501534))+0-320.1--0.326502000000051</f>
        <v>579.80799200000013</v>
      </c>
      <c r="G272" s="3">
        <f>1245.7+(116.6-482.2)+(-3.176535+(-0.29733--1.22961))+0-321.8--0.820589999999953</f>
        <v>556.87633500000004</v>
      </c>
      <c r="H272" s="3">
        <f>1245.2+(67.9-470.4)+(1.270104+(0.069258-0.479808))+0-325.6-0.332112000000052</f>
        <v>517.62744199999997</v>
      </c>
      <c r="I272" s="3">
        <f>1246.6+(64.9-457.5)+(0+(0-0))+0-323.9-0</f>
        <v>530.09999999999991</v>
      </c>
      <c r="J272" s="3">
        <f>1246.2+(73.8-442.3)+(1.271124+(0.075276-0.451146))+0-324.1-0.330582000000052</f>
        <v>554.164672</v>
      </c>
      <c r="K272" s="3">
        <f>1245.6+(86.9-458.7)+(-2.541024+(-0.177276--0.935748))+0-322.2--0.657287999999986</f>
        <v>550.47473600000001</v>
      </c>
      <c r="L272" s="3">
        <f>1246.8+(129.8-434)+(0+(0-0))+0-322.1-0</f>
        <v>620.49999999999989</v>
      </c>
      <c r="M272" s="3">
        <f>1246.9+(145.9-456.9)+(-1.271838+(-0.148818--0.466038))+0-320.8--0.327216000000051</f>
        <v>614.47259800000018</v>
      </c>
      <c r="N272" s="3">
        <f>1241.1+(193.7-518.3)+(1.265922+(0.197574-0.528666))+0-321.6-0.328032000000051</f>
        <v>595.506798</v>
      </c>
      <c r="O272" s="3">
        <f>1239.1+(215.7-504.9)+(0.631941+(0.110007-0.257499))+0-322.7-0.164576999999967</f>
        <v>627.51987199999985</v>
      </c>
      <c r="P272" s="3">
        <f>1148.5+(243.6-402.6)+(0+(0-0))+0-324.1-0</f>
        <v>665.4</v>
      </c>
      <c r="Q272" s="3">
        <f>1149.6+(244.4-419.3)+(-1.758888+(-0.373932--0.641529))+0-326--0.498780000000019</f>
        <v>647.7074889999999</v>
      </c>
      <c r="R272" s="3">
        <f>1128.1+(254-391.1)+(-3.451986+(-0.77724--1.196766))+0-327.8--1.00306800000004</f>
        <v>661.1706079999999</v>
      </c>
      <c r="S272" s="3">
        <f>1127.9+(240.8-360.3)+(-1.725687+(-0.368424--0.551259))+0-328.2--0.502146000000019</f>
        <v>679.15929400000005</v>
      </c>
      <c r="T272" s="3">
        <f>1116.6+(227.3-357)+(2.277864+(0.463692-0.72828))+0-325.5-0.664019999999986</f>
        <v>662.74925599999995</v>
      </c>
      <c r="U272" s="3">
        <f>1160.5+(220.9-365.4)+(-1.775565+(-0.337977--0.559062))+0-326.6--0.499698000000019</f>
        <v>688.34521799999993</v>
      </c>
      <c r="V272" s="3">
        <f>1191.5+(251-351.1)+(0.607665+(0.12801-0.179061))+0-327.4-0.166973999999967</f>
        <v>764.38964000000021</v>
      </c>
      <c r="W272" s="3">
        <f>1193.4+(298.6-380)+(-2.434536+(-0.609144--0.7752))+0-328.7--0.670547999999986</f>
        <v>781.70206799999994</v>
      </c>
      <c r="X272" s="3">
        <f>1194.5+(253.7-324.8)+(-1.21839+(-0.258774--0.331296))+0-324.7--0.331194000000052</f>
        <v>797.88532600000008</v>
      </c>
      <c r="Y272" s="3">
        <f>1200.3+(213.6-363.7)+(-2.448612+(-0.435744--0.741948))+0-327.3--0.667691999999986</f>
        <v>721.42528400000015</v>
      </c>
      <c r="Z272" s="3">
        <f>1208.8+(185.2-367.7)+(0.616488+(0.094452-0.187527))+0-328.4-0.167483999999967</f>
        <v>698.25592899999992</v>
      </c>
      <c r="AA272" s="3">
        <f>1186.9+(158.9-362.1)+(-2.421276+(-0.324156--0.738684))+0-327.1--0.667283999999986</f>
        <v>655.260536</v>
      </c>
      <c r="AB272" s="3">
        <f>1068.4+(149.4-261.5)+(-1.634652+(-0.228582--0.400095))+0-327.6--0.501228000000019</f>
        <v>627.73808900000006</v>
      </c>
      <c r="AC272" s="3">
        <f>1069.5+(116.7-298.1)+(0.545445+(0.059517-0.152031))+0-330.7-0.168656999999966</f>
        <v>557.68427399999996</v>
      </c>
      <c r="AD272" s="2">
        <v>801.09999999999991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1069.5+(107-299.3)+(-2.727225+(-0.27285--0.763215))+0-328.4--0.837419999999952</f>
        <v>547.40056000000004</v>
      </c>
      <c r="G273" s="3">
        <f>1133+(99.4-352.7)+(0+(0-0))+0-330.8-0</f>
        <v>548.90000000000009</v>
      </c>
      <c r="H273" s="3">
        <f>1220.7+(39.3-430.4)+(-0.622557+(-0.020043--0.219504))+0-328.9--0.167738999999967</f>
        <v>500.44464300000016</v>
      </c>
      <c r="I273" s="3">
        <f>1220.8+(30.5-393)+(1.245216+(0.03111-0.40086))+0-326.5-0.333030000000052</f>
        <v>532.34243599999991</v>
      </c>
      <c r="J273" s="3">
        <f>1219.2+(21.8-404.7)+(0.621792+(0.011118-0.206397))+0-325-0.165749999999967</f>
        <v>511.56076300000012</v>
      </c>
      <c r="K273" s="3">
        <f>1218.4+(23.3-382.4)+(2.485536+(0.047532-0.780096))+0-324.1-0.661163999999986</f>
        <v>536.29180800000017</v>
      </c>
      <c r="L273" s="3">
        <f>1219.4+(57.7-346.9)+(-1.865682+(-0.088281--0.530757))+0-324.5--0.496485000000019</f>
        <v>604.773279</v>
      </c>
      <c r="M273" s="3">
        <f>1219.5+(54.5-393.6)+(0+(0-0))+0-323.3-0</f>
        <v>557.09999999999991</v>
      </c>
      <c r="N273" s="3">
        <f>1215+(69.9-418.1)+(1.85895+(0.106947-0.639693))+0-323.8-0.495414000000019</f>
        <v>543.83078999999998</v>
      </c>
      <c r="O273" s="3">
        <f>1197.1+(84.8-392.5)+(1.831563+(0.129744-0.600525))+0-323.9-0.495567000000019</f>
        <v>566.36521499999981</v>
      </c>
      <c r="P273" s="3">
        <f>1188.9+(55.3-290.7)+(0+(0-0))+0-323.8-0</f>
        <v>629.70000000000005</v>
      </c>
      <c r="Q273" s="3">
        <f>1184.1+(60.1-286.1)+(0.603891+(0.030651-0.145911))+0-325.9-0.166208999999967</f>
        <v>632.52242200000001</v>
      </c>
      <c r="R273" s="3">
        <f>1180.2+(90.2-289.9)+(-3.00951+(-0.23001--0.739245))+0-324.4--0.827219999999953</f>
        <v>654.42694499999993</v>
      </c>
      <c r="S273" s="3">
        <f>1179.5+(72.9-330)+(-1.20309+(-0.074358--0.3366))+0-323.4--0.329868000000052</f>
        <v>598.38902000000007</v>
      </c>
      <c r="T273" s="3">
        <f>1178.6+(67.5-318.2)+(0+(0-0))+0-323.9-0</f>
        <v>603.99999999999989</v>
      </c>
      <c r="U273" s="3">
        <f>1177.9+(57.3-307.6)+(-2.402916+(-0.116892--0.627504))+0-323.6--0.660143999999986</f>
        <v>602.76784000000009</v>
      </c>
      <c r="V273" s="3">
        <f>1179.2+(144.2-364.1)+(1.202784+(0.147084-0.371382))+0-322.9-0.329358000000051</f>
        <v>637.04912799999988</v>
      </c>
      <c r="W273" s="3">
        <f>1182+(265.1-386.4)+(0+(0-0))+0-322.8-0</f>
        <v>737.90000000000009</v>
      </c>
      <c r="X273" s="3">
        <f>1187.6+(240.9-389.6)+(-3.634056+(-0.737154--1.192176))+0-323--0.988380000000037</f>
        <v>713.70934599999987</v>
      </c>
      <c r="Y273" s="3">
        <f>1190.1+(197.1-367.3)+(-1.820853+(-0.301563--0.561969))+0-323.2--0.494496000000019</f>
        <v>695.634049</v>
      </c>
      <c r="Z273" s="3">
        <f>1190.8+(170.9-350.7)+(-1.214616+(-0.174318--0.357714))+0-323.3--0.329766000000052</f>
        <v>686.99854600000003</v>
      </c>
      <c r="AA273" s="3">
        <f>1190.8+(157.1-366.6)+(-1.214616+(-0.160242--0.373932))+0-323.1--0.329562000000052</f>
        <v>657.52863599999989</v>
      </c>
      <c r="AB273" s="3">
        <f>1195.2+(122.8-333.6)+(-2.438208+(-0.250512--0.680544))+0-322.7--0.658307999999986</f>
        <v>660.35013200000003</v>
      </c>
      <c r="AC273" s="3">
        <f>1154.2+(136.1-351.8)+(-1.177284+(-0.138822--0.358836))+0-321.2--0.327624000000051</f>
        <v>616.67035400000009</v>
      </c>
      <c r="AD273" s="2">
        <v>758.20000000000016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1120.2+(113.6-368.1)+(-1.713906+(-0.173808--0.563193))+0-321.6--0.492048000000019</f>
        <v>543.26752700000009</v>
      </c>
      <c r="G274" s="3">
        <f>1123.6+(59.8-307.2)+(-3.438216+(-0.182988--0.940032))+0-322.6--0.987156000000037</f>
        <v>551.90598399999999</v>
      </c>
      <c r="H274" s="3">
        <f>1124.5+(107.9-327.2)+(-2.29398+(-0.220116--0.667488))+0-324.9--0.662795999999986</f>
        <v>579.11618800000008</v>
      </c>
      <c r="I274" s="3">
        <f>1124.7+(105.3-362.7)+(0+(0-0))+0-323.9-0</f>
        <v>543.40000000000009</v>
      </c>
      <c r="J274" s="3">
        <f>1127.4+(113.6-314.3)+(1.149948+(0.115872-0.320586))+0-322.2-0.328644000000051</f>
        <v>605.11658999999997</v>
      </c>
      <c r="K274" s="3">
        <f>1139+(131.8-385.2)+(0+(0-0))+0-322.8-0</f>
        <v>562.79999999999995</v>
      </c>
      <c r="L274" s="3">
        <f>1148.3+(208.9-410.4)+(-1.171266+(-0.213078--0.418608))+0-322.4--0.328848000000051</f>
        <v>623.76311200000009</v>
      </c>
      <c r="M274" s="3">
        <f>1170.7+(214.1-436.8)+(1.194114+(0.218382-0.445536))+0-321.4-0.327828000000051</f>
        <v>627.23913199999993</v>
      </c>
      <c r="N274" s="3">
        <f>1211.8+(192.6-420.4)+(1.236036+(0.196452-0.428808))+0-321.8-0.328236000000051</f>
        <v>662.87544400000002</v>
      </c>
      <c r="O274" s="3">
        <f>1200.5+(96-330.3)+(1.836765+(0.14688-0.505359))+0-324-0.495720000000019</f>
        <v>643.18256600000007</v>
      </c>
      <c r="P274" s="3">
        <f>1196.5+(115-329.8)+(0+(0-0))+0-324.1-0</f>
        <v>657.6</v>
      </c>
      <c r="Q274" s="3">
        <f>1191.8+(118-326.1)+(0.607818+(0.06018-0.166311))+0-322.4-0.164423999999967</f>
        <v>661.63726299999996</v>
      </c>
      <c r="R274" s="3">
        <f>1191.8+(113-342.7)+(-3.646908+(-0.34578--1.048662))+0-323.2--0.988992000000037</f>
        <v>636.94496600000002</v>
      </c>
      <c r="S274" s="3">
        <f>1187.6+(116.1-366)+(0+(0-0))+0-322.8-0</f>
        <v>614.89999999999986</v>
      </c>
      <c r="T274" s="3">
        <f>1149.2+(175-407.7)+(0+(0-0))+0-322.5-0</f>
        <v>594</v>
      </c>
      <c r="U274" s="3">
        <f>1147.3+(169.2-398)+(0+(0-0))+0-321.8-0</f>
        <v>596.70000000000005</v>
      </c>
      <c r="V274" s="3">
        <f>1155+(237.2-403.7)+(0+(0-0))+0-322.2-0</f>
        <v>666.3</v>
      </c>
      <c r="W274" s="3">
        <f>1150+(344.5-450.8)+(-0.5865+(-0.175695--0.229908))+0-323.9--0.165188999999967</f>
        <v>719.43290200000001</v>
      </c>
      <c r="X274" s="3">
        <f>1155.3+(335.9-438.4)+(-1.178406+(-0.342618--0.447168))+0-323.7--0.330174000000052</f>
        <v>728.35631799999999</v>
      </c>
      <c r="Y274" s="3">
        <f>1156.6+(306-439.3)+(0+(0-0))+0-322.3-0</f>
        <v>701</v>
      </c>
      <c r="Z274" s="3">
        <f>1156.7+(272-434.3)+(-0.589917+(-0.13872--0.221493))+0-322.7--0.164576999999967</f>
        <v>671.35743300000013</v>
      </c>
      <c r="AA274" s="3">
        <f>1162.3+(189.1-379.8)+(-1.185546+(-0.192882--0.387396))+0-321.8--0.328236000000051</f>
        <v>649.13720399999988</v>
      </c>
      <c r="AB274" s="3">
        <f>1102.6+(150.3-325.4)+(0.562326+(0.076653-0.165954))+0-322-0.164219999999967</f>
        <v>605.80880500000001</v>
      </c>
      <c r="AC274" s="3">
        <f>1092.4+(140.2-282.3)+(-3.899868+(-0.500514--1.007811))+0-321.8--1.148826</f>
        <v>626.25625500000012</v>
      </c>
      <c r="AD274" s="2">
        <v>677.4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1092.6+(90.6-257.8)+(-2.78613+(-0.23103--0.65739))+0-320.1--0.816254999999954</f>
        <v>603.75648499999977</v>
      </c>
      <c r="G275" s="3">
        <f>1134.4+(99-306.7)+(-2.89272+(-0.25245--0.782085))+0-320.6--0.817529999999954</f>
        <v>604.55444499999999</v>
      </c>
      <c r="H275" s="3">
        <f>1005.1+(145.7-227.3)+(0.512601+(0.074307-0.115923))+0-323.1-0.164780999999967</f>
        <v>600.70620400000007</v>
      </c>
      <c r="I275" s="3">
        <f>1004.3+(160.7-269.4)+(1.536579+(0.245871-0.412182))+0-323-0.494190000000019</f>
        <v>573.47607799999992</v>
      </c>
      <c r="J275" s="3">
        <f>1001.5+(187.1-284.5)+(0+(0-0))+0-321.9-0</f>
        <v>582.20000000000005</v>
      </c>
      <c r="K275" s="3">
        <f>1002.2+(206.6-275.4)+(2.55561+(0.52683-0.70227))+0-321.6-0.820079999999953</f>
        <v>613.36009000000013</v>
      </c>
      <c r="L275" s="3">
        <f>1000.6+(233.6-275.6)+(1.020612+(0.238272-0.281112))+0-321.2-0.327624000000051</f>
        <v>638.05014800000004</v>
      </c>
      <c r="M275" s="3">
        <f>1001.5+(266.8-290)+(0+(0-0))+0-320.7-0</f>
        <v>657.59999999999991</v>
      </c>
      <c r="N275" s="3">
        <f>998.2+(292.3-354.3)+(1.018164+(0.298146-0.361386))+0-320.4-0.326808000000051</f>
        <v>616.42811600000005</v>
      </c>
      <c r="O275" s="3">
        <f>983.7+(317.9-286.3)+(1.003374+(0.324258-0.292026))+0-324.1-0.330582000000052</f>
        <v>691.90502399999991</v>
      </c>
      <c r="P275" s="3">
        <f>979.6+(357.9-305)+(-2.49798+(-0.912645--0.77775))+0-325.8--0.830789999999953</f>
        <v>704.89791500000001</v>
      </c>
      <c r="Q275" s="3">
        <f>975.8+(353-342.7)+(-0.497658+(-0.18003--0.174777))+0-324.1--0.165290999999967</f>
        <v>661.66237999999976</v>
      </c>
      <c r="R275" s="3">
        <f>973.5+(343.9-324.1)+(-2.482425+(-0.876945--0.826455))+0-322.1--0.821354999999953</f>
        <v>669.48843999999985</v>
      </c>
      <c r="S275" s="3">
        <f>1005.6+(297.1-306.3)+(-1.025712+(-0.303042--0.312426))+0-321.9--0.328338000000051</f>
        <v>673.8120100000001</v>
      </c>
      <c r="T275" s="3">
        <f>1051.5+(300.7-326.2)+(-2.14506+(-0.613428--0.665448))+0-320.9--0.654635999999986</f>
        <v>703.66159600000003</v>
      </c>
      <c r="U275" s="3">
        <f>1048.1+(275.9-317.3)+(1.603593+(0.422127-0.485469))+0-322.1-0.492813000000019</f>
        <v>685.64743799999974</v>
      </c>
      <c r="V275" s="3">
        <f>1121.3+(303.1-394.7)+(0+(0-0))+0-321.8-0</f>
        <v>707.90000000000009</v>
      </c>
      <c r="W275" s="3">
        <f>1170.7+(405.8-502)+(-0.597057+(-0.206958--0.25602))+0-322.7--0.164576999999967</f>
        <v>751.41658200000006</v>
      </c>
      <c r="X275" s="3">
        <f>1193.9+(395.8-484.3)+(-0.608889+(-0.201858--0.246993))+0-323.5--0.164984999999967</f>
        <v>781.50123100000008</v>
      </c>
      <c r="Y275" s="3">
        <f>1194.4+(360.6-460.2)+(-3.654864+(-1.103436--1.408212))+0-325.1--0.994806000000038</f>
        <v>767.34471800000028</v>
      </c>
      <c r="Z275" s="3">
        <f>1195.4+(216.1-370.7)+(-1.219308+(-0.220422--0.378114))+0-328.7--0.335274000000052</f>
        <v>711.3736580000002</v>
      </c>
      <c r="AA275" s="3">
        <f>1194.1+(181.7-344)+(-3.044955+(-0.463335--0.8772))+0-327.1--0.834104999999953</f>
        <v>702.90301499999975</v>
      </c>
      <c r="AB275" s="3">
        <f>1128+(167.9-293)+(0+(0-0))+0-328.1-0</f>
        <v>674.8</v>
      </c>
      <c r="AC275" s="3">
        <f>1111.9+(153.1-280.9)+(-1.701207+(-0.234243--0.429777))+0-329.2--0.503676000000019</f>
        <v>653.89800300000024</v>
      </c>
      <c r="AD275" s="2">
        <v>802.80000000000007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1093.3+(118.5-275.6)+(-1.672749+(-0.181305--0.421668))+0-327--0.500310000000019</f>
        <v>608.26792399999999</v>
      </c>
      <c r="G276" s="3">
        <f>1086.5+(120.2-258.8)+(0+(0-0))+0-328.1-0</f>
        <v>619.79999999999995</v>
      </c>
      <c r="H276" s="3">
        <f>1092+(104-309.4)+(-0.55692+(-0.05304--0.157794))+0-323.8--0.165137999999967</f>
        <v>562.51297199999988</v>
      </c>
      <c r="I276" s="3">
        <f>1092.3+(95.2-290.8)+(0.557073+(0.048552-0.148308))+0-323.5-0.164984999999967</f>
        <v>573.49233199999992</v>
      </c>
      <c r="J276" s="3">
        <f>1093.1+(139.6-322.8)+(0.557481+(0.071196-0.164628))+0-323.8-0.165137999999967</f>
        <v>586.39891099999988</v>
      </c>
      <c r="K276" s="3">
        <f>1092.9+(157.7-333.9)+(0.557379+(0.080427-0.170289))+0-323.1-0.164780999999967</f>
        <v>593.90273600000012</v>
      </c>
      <c r="L276" s="3">
        <f>1094.4+(193.8-323.8)+(-2.232576+(-0.395352--0.660552))+0-322.4--0.657695999999986</f>
        <v>640.69032000000016</v>
      </c>
      <c r="M276" s="3">
        <f>1093.3+(227.1-327.4)+(1.672749+(0.347463-0.500922))+0-322-0.492660000000019</f>
        <v>672.02662999999995</v>
      </c>
      <c r="N276" s="3">
        <f>1089.8+(240.3-400.6)+(1.667394+(0.367659-0.612918))+0-321.9-0.492507000000019</f>
        <v>608.529628</v>
      </c>
      <c r="O276" s="3">
        <f>1096.4+(242.2-331.5)+(1.118328+(0.247044-0.33813))+0-322-0.328440000000051</f>
        <v>685.79880200000014</v>
      </c>
      <c r="P276" s="3">
        <f>1188.5+(185.8-361.3)+(0.606135+(0.094758-0.184263))+0-321.1-0.163760999999967</f>
        <v>692.25286899999992</v>
      </c>
      <c r="Q276" s="3">
        <f>1151.1+(165.2-456.2)+(0.587061+(0.084252-0.232662))+0-312.9-0.159578999999968</f>
        <v>547.47907199999997</v>
      </c>
      <c r="R276" s="3">
        <f>925.7+(297.9-265.1)+(-0.944214+(-0.303858--0.270402))+0-322.8--0.329256000000052</f>
        <v>635.05158600000016</v>
      </c>
      <c r="S276" s="3">
        <f>931.8+(256.2-255.9)+(-2.37609+(-0.65331--0.652545))+0-323--0.823649999999953</f>
        <v>607.54679499999986</v>
      </c>
      <c r="T276" s="3">
        <f>864.1+(313.5-224.3)+(2.203455+(0.799425-0.571965))+0-323.8-0.825689999999953</f>
        <v>631.1052249999999</v>
      </c>
      <c r="U276" s="3">
        <f>889+(324.3-224.2)+(0+(0-0))+0-326.9-0</f>
        <v>662.2</v>
      </c>
      <c r="V276" s="3">
        <f>953.9+(322.7-266)+(0.486489+(0.164577-0.13566))+0-329.1-0.167840999999967</f>
        <v>681.84756499999992</v>
      </c>
      <c r="W276" s="3">
        <f>956.8+(407.5-316.2)+(-0.487968+(-0.207825--0.161262))+0-326.9--0.166718999999967</f>
        <v>720.83218799999986</v>
      </c>
      <c r="X276" s="3">
        <f>959.1+(409.6-304.1)+(-1.467423+(-0.626688--0.465273))+0-327.5--0.501075000000019</f>
        <v>735.97223699999984</v>
      </c>
      <c r="Y276" s="3">
        <f>960.4+(363.9-287.7)+(-2.938824+(-1.113534--0.880362))+0-325.3--0.995418000000038</f>
        <v>709.12342200000001</v>
      </c>
      <c r="Z276" s="3">
        <f>964.3+(323.2-267.4)+(-1.967172+(-0.659328--0.545496))+0-324.9--0.662795999999986</f>
        <v>693.78179199999988</v>
      </c>
      <c r="AA276" s="3">
        <f>963.9+(285.1-247.6)+(1.474767+(0.436203-0.378828))+0-322.7-0.493731000000019</f>
        <v>679.73841100000004</v>
      </c>
      <c r="AB276" s="3">
        <f>966.1+(214.2-241)+(-0.985422+(-0.218484--0.24582))+0-323.6--0.330072000000052</f>
        <v>615.07198600000004</v>
      </c>
      <c r="AC276" s="3">
        <f>937.3+(216.7-210.2)+(-1.434069+(-0.331551--0.321606))+0-322.8--0.493884000000019</f>
        <v>620.04986999999983</v>
      </c>
      <c r="AD276" s="2">
        <v>787.80000000000007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873.3+(204.1-204.8)+(-1.781532+(-0.416364--0.417792))+0-322.8--0.658511999999986</f>
        <v>548.67840799999976</v>
      </c>
      <c r="G277" s="3">
        <f>864.5+(234.9-202.5)+(0.88179+(0.239598-0.20655))+0-322.5-0.328950000000051</f>
        <v>574.98588799999993</v>
      </c>
      <c r="H277" s="3">
        <f>865.4+(205.3-213)+(-1.324062+(-0.314109--0.32589))+0-323.5--0.494955000000019</f>
        <v>533.38267400000007</v>
      </c>
      <c r="I277" s="3">
        <f>865.2+(241.8-210)+(-0.882504+(-0.246636--0.2142))+0-324.3--0.330786000000052</f>
        <v>572.11584600000003</v>
      </c>
      <c r="J277" s="3">
        <f>867.2+(240.5-225.6)+(-0.442272+(-0.122655--0.115056))+0-323.1--0.164780999999967</f>
        <v>558.71490999999992</v>
      </c>
      <c r="K277" s="3">
        <f>867.7+(281.3-272.2)+(-2.212635+(-0.717315--0.69411))+0-321.9--0.820844999999953</f>
        <v>553.485005</v>
      </c>
      <c r="L277" s="3">
        <f>867.5+(304-300.5)+(-1.7697+(-0.62016--0.61302))+0-323.4--0.659735999999986</f>
        <v>546.48289599999998</v>
      </c>
      <c r="M277" s="3">
        <f>865.9+(299.2-297.5)+(-0.883218+(-0.305184--0.30345))+0-320.8--0.327216000000051</f>
        <v>546.24226399999986</v>
      </c>
      <c r="N277" s="3">
        <f>866.1+(314.6-315.1)+(-0.441711+(-0.160446--0.160701))+0-321.8--0.164117999999967</f>
        <v>543.52266199999985</v>
      </c>
      <c r="O277" s="3">
        <f>862.3+(325.9-286.1)+(0.879546+(0.332418-0.291822))+0-321.9-0.328338000000051</f>
        <v>580.79180399999996</v>
      </c>
      <c r="P277" s="3">
        <f>952.7+(288.1-298.4)+(-0.485877+(-0.146931--0.152184))+0-325.6--0.166055999999967</f>
        <v>616.48543199999995</v>
      </c>
      <c r="Q277" s="3">
        <f>957.7+(310-310.1)+(-1.465281+(-0.4743--0.474453))+0-326.7--0.499851000000019</f>
        <v>629.93472300000008</v>
      </c>
      <c r="R277" s="3">
        <f>918.3+(320.2-305.3)+(-1.404999+(-0.489906--0.467109))+0-326.8--0.500004000000019</f>
        <v>605.47220799999991</v>
      </c>
      <c r="S277" s="3">
        <f>806.7+(352.4-274.5)+(-1.645668+(-0.718896--0.55998))+0-325.1--0.663203999999986</f>
        <v>558.35861999999997</v>
      </c>
      <c r="T277" s="3">
        <f>814.5+(358.4-250.3)+(-0.83079+(-0.365568--0.255306))+0-324.8--0.331296000000052</f>
        <v>597.19024399999989</v>
      </c>
      <c r="U277" s="3">
        <f>807.3+(405.2-275.1)+(-0.411723+(-0.206652--0.140301))+0-326.1--0.166310999999967</f>
        <v>610.9882369999998</v>
      </c>
      <c r="V277" s="3">
        <f>811.5+(410.8-324)+(-0.82773+(-0.419016--0.33048))+0-324.5--0.330990000000052</f>
        <v>573.21472400000005</v>
      </c>
      <c r="W277" s="3">
        <f>818.6+(454.7-330.2)+(0.834972+(0.463794-0.336804))+0-324.8-0.331296000000052</f>
        <v>618.93066599999997</v>
      </c>
      <c r="X277" s="3">
        <f>820.6+(459.8-302.4)+(0+(0-0))+0-323.8-0</f>
        <v>654.20000000000005</v>
      </c>
      <c r="Y277" s="3">
        <f>826.2+(441.8-287.2)+(-1.685448+(-0.901272--0.585888))+0-324--0.660959999999986</f>
        <v>655.46012800000005</v>
      </c>
      <c r="Z277" s="3">
        <f>797+(396.5-268.9)+(-0.81294+(-0.40443--0.274278))+0-325.6--0.332112000000052</f>
        <v>598.38902000000007</v>
      </c>
      <c r="AA277" s="3">
        <f>754.6+(385.6-242.7)+(0+(0-0))+0-325.5-0</f>
        <v>572</v>
      </c>
      <c r="AB277" s="3">
        <f>740+(349.4-217.8)+(-1.5096+(-0.712776--0.444312))+0-323.1--0.659123999999986</f>
        <v>547.38105999999993</v>
      </c>
      <c r="AC277" s="3">
        <f>786.5+(294.8-230)+(-2.005575+(-0.75174--0.5865))+0-323.4--0.824669999999953</f>
        <v>526.553855</v>
      </c>
      <c r="AD277" s="2">
        <v>589.20000000000005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883.2+(222-283.1)+(0.900864+(0.22644-0.288762))+0-322-0.328440000000051</f>
        <v>500.61010199999993</v>
      </c>
      <c r="G278" s="3">
        <f>888.1+(212.7-251)+(-2.264655+(-0.542385--0.64005))+0-323.5--0.824924999999953</f>
        <v>524.95793499999991</v>
      </c>
      <c r="H278" s="3">
        <f>888.9+(209-245.4)+(0.453339+(0.10659-0.125154))+0-325.8-0.166157999999967</f>
        <v>526.96861699999999</v>
      </c>
      <c r="I278" s="3">
        <f>889.3+(201.2-258.2)+(-0.453543+(-0.102612--0.131682))+0-323.4--0.164933999999967</f>
        <v>508.6404609999999</v>
      </c>
      <c r="J278" s="3">
        <f>890.5+(210.6-262.7)+(-0.454155+(-0.107406--0.133977))+0-323.8--0.165137999999967</f>
        <v>514.33755399999984</v>
      </c>
      <c r="K278" s="3">
        <f>891.1+(244.8-273.7)+(1.817844+(0.499392-0.558348))+0-323.2-0.659327999999986</f>
        <v>540.09956000000011</v>
      </c>
      <c r="L278" s="3">
        <f>893.1+(333.2-304.4)+(-0.910962+(-0.339864--0.310488))+0-321.3--0.327726000000051</f>
        <v>599.98738800000012</v>
      </c>
      <c r="M278" s="3">
        <f>891.8+(301-289.4)+(0.454818+(0.15351-0.147594))+0-321.6-0.164015999999967</f>
        <v>582.09671800000001</v>
      </c>
      <c r="N278" s="3">
        <f>880.5+(328.6-275.2)+(0+(0-0))+0-321.2-0</f>
        <v>612.70000000000005</v>
      </c>
      <c r="O278" s="3">
        <f>880.5+(332.1-275.7)+(0+(0-0))+0-321.6-0</f>
        <v>615.30000000000007</v>
      </c>
      <c r="P278" s="3">
        <f>904.1+(330.8-275.6)+(-1.844364+(-0.674832--0.562224))+0-321.8--0.656471999999986</f>
        <v>636.19950000000006</v>
      </c>
      <c r="Q278" s="3">
        <f>966.3+(313-303.5)+(-1.971252+(-0.63852--0.61914))+0-321.3--0.655451999999986</f>
        <v>653.16481999999996</v>
      </c>
      <c r="R278" s="3">
        <f>962.7+(307.3-253.8)+(-1.472931+(-0.470169--0.388314))+0-322.2--0.492966000000019</f>
        <v>692.9381800000001</v>
      </c>
      <c r="S278" s="3">
        <f>962.7+(265-259.9)+(-0.981954+(-0.2703--0.265098))+0-320--0.326400000000051</f>
        <v>647.13924400000008</v>
      </c>
      <c r="T278" s="3">
        <f>953.9+(259.1-255.1)+(-0.972978+(-0.264282--0.260202))+0-322.2--0.328644000000051</f>
        <v>635.05158599999993</v>
      </c>
      <c r="U278" s="3">
        <f>920.6+(235.3-220.5)+(0+(0-0))+0-320.4-0</f>
        <v>615.00000000000011</v>
      </c>
      <c r="V278" s="3">
        <f>920.8+(287.8-243.1)+(-1.878432+(-0.587112--0.495924))+0-320.4--0.653615999999986</f>
        <v>643.783996</v>
      </c>
      <c r="W278" s="3">
        <f>954+(373-299.6)+(0.97308+(0.38046-0.305592))+0-320.2-0.326604000000051</f>
        <v>707.92134399999986</v>
      </c>
      <c r="X278" s="3">
        <f>979+(356.6-294.8)+(-2.99574+(-1.091196--0.902088))+0-322.2--0.985932000000037</f>
        <v>716.40108399999986</v>
      </c>
      <c r="Y278" s="3">
        <f>956.5+(341-332)+(0.487815+(0.17391-0.16932))+0-321.9-0.164168999999967</f>
        <v>643.92823599999997</v>
      </c>
      <c r="Z278" s="3">
        <f>699.3+(500.4-211.3)+(-1.426572+(-1.020816--0.431052))+0-321.9--0.656675999999986</f>
        <v>665.14033999999981</v>
      </c>
      <c r="AA278" s="3">
        <f>701.3+(450.8-185.9)+(-1.072989+(-0.689724--0.284427))+0-323--0.494190000000019</f>
        <v>642.21590399999991</v>
      </c>
      <c r="AB278" s="3">
        <f>703.3+(399.2-164.9)+(-0.358683+(-0.203592--0.084099))+0-322.4--0.164423999999967</f>
        <v>614.88624799999991</v>
      </c>
      <c r="AC278" s="3">
        <f>659.4+(425.1-152.3)+(-2.017764+(-1.300806--0.466038))+0-321.5--0.983790000000037</f>
        <v>608.83125800000005</v>
      </c>
      <c r="AD278" s="2">
        <v>754.79999999999984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605+(425.5-172.3)+(-0.6171+(-0.43401--0.175746))+0-322.3--0.328746000000051</f>
        <v>535.35338200000012</v>
      </c>
      <c r="G279" s="3">
        <f>694.8+(351.8-181.2)+(0.354348+(0.179418-0.092412))+0-324.1-0.165290999999967</f>
        <v>541.57606300000009</v>
      </c>
      <c r="H279" s="3">
        <f>826+(270.2-201)+(-0.42126+(-0.137802--0.10251))+0-324.1--0.165290999999967</f>
        <v>570.80873899999995</v>
      </c>
      <c r="I279" s="3">
        <f>855.4+(256.3-216.4)+(0.436254+(0.130713-0.110364))+0-324.5-0.165494999999967</f>
        <v>571.09110799999996</v>
      </c>
      <c r="J279" s="3">
        <f>856.6+(257.9-226.2)+(-0.436866+(-0.131529--0.115362))+0-325.5--0.166004999999967</f>
        <v>562.51297199999988</v>
      </c>
      <c r="K279" s="3">
        <f>856.2+(309.9-234)+(0+(0-0))+0-323.2-0</f>
        <v>608.90000000000009</v>
      </c>
      <c r="L279" s="3">
        <f>856.1+(350.6-279)+(-1.746444+(-0.715224--0.56916))+0-322.8--0.658511999999986</f>
        <v>603.66600399999993</v>
      </c>
      <c r="M279" s="3">
        <f>854.3+(396.3-277.9)+(-1.742772+(-0.808452--0.566916))+0-322.7--0.658307999999986</f>
        <v>648.67399999999998</v>
      </c>
      <c r="N279" s="3">
        <f>829.5+(371-236)+(1.269135+(0.56763-0.36108))+0-322.4-0.493272000000019</f>
        <v>643.08241299999997</v>
      </c>
      <c r="O279" s="3">
        <f>804.3+(382-203.9)+(-1.230579+(-0.58446--0.311967))+0-325.5--0.498015000000019</f>
        <v>655.89494300000001</v>
      </c>
      <c r="P279" s="3">
        <f>801.6+(385.4-192.4)+(0+(0-0))+0-323.1-0</f>
        <v>671.5</v>
      </c>
      <c r="Q279" s="3">
        <f>798.2+(368.9-175.5)+(-2.03541+(-0.940695--0.447525))+0-322.9--0.823394999999953</f>
        <v>666.99481500000002</v>
      </c>
      <c r="R279" s="3">
        <f>794.7+(399.4-172.3)+(-2.026485+(-1.01847--0.439365))+0-324.8--0.828239999999953</f>
        <v>695.22264999999982</v>
      </c>
      <c r="S279" s="3">
        <f>792.3+(398.9-170.9)+(-1.212219+(-0.610317--0.261477))+0-323.6--0.495108000000019</f>
        <v>695.634049</v>
      </c>
      <c r="T279" s="3">
        <f>790.6+(418.1-160.4)+(-0.403206+(-0.213231--0.081804))+0-321.7--0.164066999999967</f>
        <v>726.22943400000008</v>
      </c>
      <c r="U279" s="3">
        <f>793.3+(372-171)+(-0.404583+(-0.18972--0.08721))+0-321.9--0.164168999999967</f>
        <v>672.05707599999994</v>
      </c>
      <c r="V279" s="3">
        <f>795.7+(417-194.6)+(-0.405807+(-0.21267--0.099246))+0-324.6--0.165545999999967</f>
        <v>693.14631499999996</v>
      </c>
      <c r="W279" s="3">
        <f>798.8+(549.6-254.9)+(-0.814776+(-0.560592--0.259998))+0-326.4--0.332928000000052</f>
        <v>766.31755800000008</v>
      </c>
      <c r="X279" s="3">
        <f>801.5+(548-257.3)+(-1.63506+(-1.11792--0.524892))+0-324.4--0.661775999999986</f>
        <v>766.23368800000003</v>
      </c>
      <c r="Y279" s="3">
        <f>804.3+(489.4-240.1)+(-1.230579+(-0.748782--0.367353))+0-325.3--0.497709000000019</f>
        <v>727.18570099999988</v>
      </c>
      <c r="Z279" s="3">
        <f>807.5+(440.4-215.7)+(-1.235475+(-0.673812--0.330021))+0-326.1--0.498933000000019</f>
        <v>705.01966700000003</v>
      </c>
      <c r="AA279" s="3">
        <f>810.8+(352-205.1)+(-0.827016+(-0.35904--0.209202))+0-325.8--0.332316000000052</f>
        <v>631.25546199999997</v>
      </c>
      <c r="AB279" s="3">
        <f>812.6+(289.7-190.3)+(-2.07213+(-0.738735--0.485265))+0-324.6--0.827729999999953</f>
        <v>585.90212999999994</v>
      </c>
      <c r="AC279" s="3">
        <f>788+(296.5-156.3)+(-2.41128+(-0.90729--0.478278))+0-325.2--0.995112000000038</f>
        <v>601.1548200000002</v>
      </c>
      <c r="AD279" s="2">
        <v>780.4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767.1+(288.7-147.7)+(-1.564884+(-0.588948--0.301308))+0-325.5--0.664019999999986</f>
        <v>581.41149599999994</v>
      </c>
      <c r="G280" s="3">
        <f>762.6+(268-133.9)+(-0.388926+(-0.13668--0.068289))+0-322.4--0.164423999999967</f>
        <v>574.00710700000002</v>
      </c>
      <c r="H280" s="3">
        <f>903.1+(140.7-164.1)+(-2.302905+(-0.358785--0.418455))+0-324--0.826199999999953</f>
        <v>554.28296499999999</v>
      </c>
      <c r="I280" s="3">
        <f>957.9+(103.4-187.4)+(0.488529+(0.052734-0.095574))+0-325-0.165749999999967</f>
        <v>549.17993899999999</v>
      </c>
      <c r="J280" s="3">
        <f>957.6+(148.9-183.3)+(-0.488376+(-0.075939--0.093483))+0-324.4--0.165443999999967</f>
        <v>598.49461200000007</v>
      </c>
      <c r="K280" s="3">
        <f>958.9+(197.8-216.2)+(0.489039+(0.100878-0.110262))+0-322.9-0.164678999999967</f>
        <v>617.91497600000002</v>
      </c>
      <c r="L280" s="3">
        <f>959.5+(249-272)+(-0.97869+(-0.25398--0.27744))+0-323.1--0.329562000000052</f>
        <v>612.77433199999996</v>
      </c>
      <c r="M280" s="3">
        <f>974.4+(292.4-269.3)+(0.993888+(0.298248-0.274686))+0-322.8-0.329256000000052</f>
        <v>675.388194</v>
      </c>
      <c r="N280" s="3">
        <f>1002.6+(240-253.1)+(-2.045304+(-0.4896--0.516324))+0-322.2--0.657287999999986</f>
        <v>665.93870800000002</v>
      </c>
      <c r="O280" s="3">
        <f>991.8+(280.1-240.7)+(0.505818+(0.142851-0.122757))+0-323-0.164729999999967</f>
        <v>708.56118200000014</v>
      </c>
      <c r="P280" s="3">
        <f>989.1+(279.7-242)+(-2.017764+(-0.570588--0.49368))+0-322.9--0.658715999999986</f>
        <v>702.46404400000006</v>
      </c>
      <c r="Q280" s="3">
        <f>982.9+(276-244.6)+(-2.005116+(-0.56304--0.498984))+0-324.9--0.662795999999986</f>
        <v>687.99362399999995</v>
      </c>
      <c r="R280" s="3">
        <f>981.2+(301.6-238.6)+(-1.501236+(-0.461448--0.365058))+0-325.7--0.498321000000019</f>
        <v>717.40069500000004</v>
      </c>
      <c r="S280" s="3">
        <f>901.8+(360.3-212.2)+(0.459918+(0.183753-0.108222))+0-325.6-0.166055999999967</f>
        <v>724.66939300000013</v>
      </c>
      <c r="T280" s="3">
        <f>939.4+(320.7-225.3)+(-0.479094+(-0.163557--0.114903))+0-325.8--0.166157999999967</f>
        <v>708.63841000000002</v>
      </c>
      <c r="U280" s="3">
        <f>1047.2+(275.5-293.7)+(-0.534072+(-0.140505--0.149787))+0-324.6--0.165545999999967</f>
        <v>704.04075599999999</v>
      </c>
      <c r="V280" s="3">
        <f>1047.8+(298.5-297.2)+(-1.603134+(-0.456705--0.454716))+0-324--0.495720000000019</f>
        <v>723.99059699999987</v>
      </c>
      <c r="W280" s="3">
        <f>1077.2+(337.1-351.2)+(-1.098744+(-0.343842--0.358224))+0-325.3--0.331806000000052</f>
        <v>737.04744400000016</v>
      </c>
      <c r="X280" s="3">
        <f>1083.3+(339.8-327.8)+(-2.209932+(-0.693192--0.668712))+0-322.3--0.657491999999986</f>
        <v>771.42307999999991</v>
      </c>
      <c r="Y280" s="3">
        <f>1085.6+(314.5-318.9)+(0+(0-0))+0-324.2-0</f>
        <v>756.99999999999977</v>
      </c>
      <c r="Z280" s="3">
        <f>1086.9+(293.5-322)+(1.108638+(0.29937-0.32844))+0-327.7-0.334254000000052</f>
        <v>731.44531400000005</v>
      </c>
      <c r="AA280" s="3">
        <f>1090.1+(275.8-307.3)+(-1.667853+(-0.421974--0.470169))+0-326.5--0.499545000000019</f>
        <v>730.97988699999985</v>
      </c>
      <c r="AB280" s="3">
        <f>1092.5+(243-304.5)+(-0.557175+(-0.12393--0.155295))+0-325.6--0.166055999999967</f>
        <v>705.0402459999998</v>
      </c>
      <c r="AC280" s="3">
        <f>1094+(224.2-310.5)+(-2.7897+(-0.57171--0.791775))+0-321.7--0.820334999999953</f>
        <v>684.25070000000017</v>
      </c>
      <c r="AD280" s="2">
        <v>819.60000000000014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1089.4+(214.8-353.3)+(-2.222376+(-0.438192--0.720732))+0-324.4--0.661775999999986</f>
        <v>625.22194000000013</v>
      </c>
      <c r="G281" s="3">
        <f>1074+(179.4-298.3)+(-1.64322+(-0.274482--0.456399))+0-323.5--0.494955000000019</f>
        <v>630.63365199999998</v>
      </c>
      <c r="H281" s="3">
        <f>1076+(117.1-314.6)+(-1.09752+(-0.119442--0.320892))+0-324.9--0.331398000000052</f>
        <v>553.03532800000005</v>
      </c>
      <c r="I281" s="3">
        <f>1078.5+(101.7-248.1)+(0+(0-0))+0-324.6-0</f>
        <v>607.5</v>
      </c>
      <c r="J281" s="3">
        <f>1079.8+(104.8-262.9)+(0+(0-0))+0-325.1-0</f>
        <v>596.6</v>
      </c>
      <c r="K281" s="3">
        <f>1079.7+(181-328.3)+(0+(0-0))+0-323.6-0</f>
        <v>608.80000000000007</v>
      </c>
      <c r="L281" s="3">
        <f>1079.9+(182.1-354.3)+(-1.101498+(-0.185742--0.361386))+0-322.9--0.329358000000051</f>
        <v>584.20350400000018</v>
      </c>
      <c r="M281" s="3">
        <f>1080.3+(193.2-334.5)+(-0.550953+(-0.098532--0.170595))+0-323.2--0.164831999999967</f>
        <v>615.48594200000002</v>
      </c>
      <c r="N281" s="3">
        <f>1076+(228.2-373.3)+(1.09752+(0.232764-0.380766))+0-322.5-0.328950000000051</f>
        <v>609.02056799999991</v>
      </c>
      <c r="O281" s="3">
        <f>1072.7+(271.5-377.3)+(1.094154+(0.27693-0.384846))+0-322.4-0.328848000000051</f>
        <v>645.15738999999996</v>
      </c>
      <c r="P281" s="3">
        <f>1069.9+(298.1-364.4)+(1.636947+(0.456093-0.557532))+0-323.5-0.494955000000019</f>
        <v>681.14055300000018</v>
      </c>
      <c r="Q281" s="3">
        <f>1027.8+(308-367)+(0.524178+(0.15708-0.18717))+0-324-0.165239999999967</f>
        <v>645.12884800000006</v>
      </c>
      <c r="R281" s="3">
        <f>941.7+(304.4-244.2)+(-1.440801+(-0.465732--0.373626))+0-325.7--0.498321000000019</f>
        <v>675.16541400000006</v>
      </c>
      <c r="S281" s="3">
        <f>934.2+(305.5-228.8)+(-0.952884+(-0.31161--0.233376))+0-325.6--0.332112000000052</f>
        <v>684.60099400000013</v>
      </c>
      <c r="T281" s="3">
        <f>934.7+(273.8-229.9)+(-2.383485+(-0.69819--0.586245))+0-326.6--0.832829999999953</f>
        <v>650.33739999999989</v>
      </c>
      <c r="U281" s="3">
        <f>936.4+(276.1-234.7)+(0.477564+(0.140811-0.119697))+0-326-0.166259999999967</f>
        <v>652.13241800000003</v>
      </c>
      <c r="V281" s="3">
        <f>940+(311.1-249.4)+(-1.4382+(-0.475983--0.381582))+0-326.5--0.499545000000019</f>
        <v>674.16694400000006</v>
      </c>
      <c r="W281" s="3">
        <f>952.8+(378.2-301.2)+(-0.485928+(-0.192882--0.153612))+0-327.5--0.167024999999967</f>
        <v>701.94182699999988</v>
      </c>
      <c r="X281" s="3">
        <f>1020.8+(333.5-306.5)+(-2.082432+(-0.68034--0.62526))+0-323.6--0.660143999999986</f>
        <v>722.72263199999986</v>
      </c>
      <c r="Y281" s="3">
        <f>1101+(303.6-337.5)+(-1.12302+(-0.309672--0.34425))+0-326.1--0.332622000000052</f>
        <v>740.24417999999991</v>
      </c>
      <c r="Z281" s="3">
        <f>1107.9+(300.9-375.5)+(0+(0-0))+0-326-0</f>
        <v>707.30000000000018</v>
      </c>
      <c r="AA281" s="3">
        <f>1111.3+(269.8-376.6)+(-1.700289+(-0.412794--0.576198))+0-325.6--0.498168000000019</f>
        <v>677.86128299999996</v>
      </c>
      <c r="AB281" s="3">
        <f>1112.7+(214.1-346.8)+(-2.269908+(-0.436764--0.707472))+0-325.7--0.664427999999986</f>
        <v>652.96522799999991</v>
      </c>
      <c r="AC281" s="3">
        <f>1113.1+(202.1-333.5)+(-2.838405+(-0.515355--0.850425))+0-326.1--0.831554999999953</f>
        <v>653.9282199999999</v>
      </c>
      <c r="AD281" s="2">
        <v>726.20000000000016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1101.2+(141.2-298.2)+(-1.684836+(-0.216036--0.456246))+0-323--0.494190000000019</f>
        <v>620.24956400000008</v>
      </c>
      <c r="G282" s="3">
        <f>1069.2+(139-253.6)+(-1.635876+(-0.21267--0.388008))+0-325.4--0.497862000000019</f>
        <v>628.23732400000006</v>
      </c>
      <c r="H282" s="3">
        <f>1070.2+(132.3-266.6)+(-2.183208+(-0.269892--0.543864))+0-325.6--0.664223999999986</f>
        <v>609.05498800000009</v>
      </c>
      <c r="I282" s="3">
        <f>1071.5+(138.8-251.2)+(0+(0-0))+0-326.3-0</f>
        <v>632.79999999999995</v>
      </c>
      <c r="J282" s="3">
        <f>1071.8+(143.5-254.4)+(1.093236+(0.14637-0.259488))+0-322.3-0.328746000000051</f>
        <v>639.25137199999983</v>
      </c>
      <c r="K282" s="3">
        <f>1073.2+(163.8-287.9)+(0+(0-0))+0-322.1-0</f>
        <v>627.00000000000011</v>
      </c>
      <c r="L282" s="3">
        <f>1055.5+(222-368.8)+(0+(0-0))+0-321.6-0</f>
        <v>587.1</v>
      </c>
      <c r="M282" s="3">
        <f>1051.2+(253.5-378.5)+(0+(0-0))+0-320.6-0</f>
        <v>605.6</v>
      </c>
      <c r="N282" s="3">
        <f>1048.8+(304-358)+(-0.534888+(-0.15504--0.18258))+0-320.7--0.163556999999967</f>
        <v>673.75620900000001</v>
      </c>
      <c r="O282" s="3">
        <f>1047.5+(307.8-366.5)+(1.06845+(0.313956-0.37383))+0-321-0.327420000000051</f>
        <v>668.48115599999983</v>
      </c>
      <c r="P282" s="3">
        <f>1053.1+(328.1-370.7)+(0.537081+(0.167331-0.189057))+0-322.3-0.164372999999967</f>
        <v>688.55098200000009</v>
      </c>
      <c r="Q282" s="3">
        <f>1054.3+(335.8-388.5)+(-2.150772+(-0.685032--0.79254))+0-324.9--0.662795999999986</f>
        <v>675.31953199999987</v>
      </c>
      <c r="R282" s="3">
        <f>1054.4+(304.1-372.9)+(0.537744+(0.155091-0.190179))+0-323.6-0.165035999999967</f>
        <v>662.33762000000013</v>
      </c>
      <c r="S282" s="3">
        <f>1052.7+(309.4-320)+(0.536877+(0.157794-0.1632))+0-325.1-0.165800999999967</f>
        <v>717.36566999999991</v>
      </c>
      <c r="T282" s="3">
        <f>1052+(284.6-334.1)+(0.53652+(0.145146-0.170391))+0-323.6-0.165035999999967</f>
        <v>679.24623899999995</v>
      </c>
      <c r="U282" s="3">
        <f>1053+(285.7-337.1)+(-2.14812+(-0.582828--0.687684))+0-325.1--0.663203999999986</f>
        <v>675.11993999999981</v>
      </c>
      <c r="V282" s="3">
        <f>1052+(307.2-344.5)+(-2.14608+(-0.626688--0.70278))+0-324.6--0.662183999999986</f>
        <v>688.69219600000008</v>
      </c>
      <c r="W282" s="3">
        <f>1062.7+(335.9-323.9)+(-1.625931+(-0.513927--0.495567))+0-326.1--0.498933000000019</f>
        <v>747.45464199999992</v>
      </c>
      <c r="X282" s="3">
        <f>1086.2+(301.8-337.1)+(0+(0-0))+0-324.5-0</f>
        <v>726.40000000000009</v>
      </c>
      <c r="Y282" s="3">
        <f>1093.4+(290.8-296.6)+(-0.557634+(-0.148308--0.151266))+0-325.9--0.166208999999967</f>
        <v>761.31153300000017</v>
      </c>
      <c r="Z282" s="3">
        <f>1096.8+(272.3-316.6)+(-1.678104+(-0.416619--0.484398))+0-325.2--0.497556000000019</f>
        <v>726.18723099999988</v>
      </c>
      <c r="AA282" s="3">
        <f>1100.2+(249.7-323.1)+(-3.366612+(-0.764082--0.988686))+0-325.4--0.995724000000038</f>
        <v>699.25371599999994</v>
      </c>
      <c r="AB282" s="3">
        <f>1100.5+(245.2-343.8)+(-0.561255+(-0.125052--0.175338))+0-326.1--0.166310999999967</f>
        <v>675.45534199999986</v>
      </c>
      <c r="AC282" s="3">
        <f>1097.3+(212.8-362.2)+(-2.238492+(-0.434112--0.738888))+0-323.8--0.660551999999986</f>
        <v>622.82683599999984</v>
      </c>
      <c r="AD282" s="2">
        <v>711.19999999999982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1096.3+(194.7-365.1)+(-1.677339+(-0.297891--0.558603))+0-324.2--0.496026000000019</f>
        <v>600.77939900000001</v>
      </c>
      <c r="G283" s="3">
        <f>1094.4+(146-317.2)+(-1.674432+(-0.22338--0.485316))+0-325.5--0.498015000000019</f>
        <v>596.78551900000002</v>
      </c>
      <c r="H283" s="3">
        <f>1094.8+(142.8-320)+(-2.233392+(-0.291312--0.6528))+0-325.5--0.664019999999986</f>
        <v>590.89211599999987</v>
      </c>
      <c r="I283" s="3">
        <f>1096.1+(150.8-328.4)+(-0.559011+(-0.076908--0.167484))+0-324.4--0.165443999999967</f>
        <v>593.797009</v>
      </c>
      <c r="J283" s="3">
        <f>1096.7+(143.1-350.3)+(-1.118634+(-0.145962--0.357306))+0-322.8--0.329256000000052</f>
        <v>566.12196600000004</v>
      </c>
      <c r="K283" s="3">
        <f>1088.4+(144.6-346.2)+(1.110168+(0.147492-0.353124))+0-324.5-0.330990000000052</f>
        <v>562.87354600000003</v>
      </c>
      <c r="L283" s="3">
        <f>1000.8+(193-280.6)+(-1.531224+(-0.29529--0.429318))+0-324.3--0.496179000000019</f>
        <v>587.99898299999995</v>
      </c>
      <c r="M283" s="3">
        <f>942.3+(274.2-305.3)+(0+(0-0))+0-322.7-0</f>
        <v>588.5</v>
      </c>
      <c r="N283" s="3">
        <f>940.9+(298-283.6)+(0.959718+(0.30396-0.289272))+0-324.6-0.331092000000052</f>
        <v>631.34331399999996</v>
      </c>
      <c r="O283" s="3">
        <f>916+(346.9-328.8)+(-1.40148+(-0.530757--0.503064))+0-325.2--0.497556000000019</f>
        <v>607.9683829999999</v>
      </c>
      <c r="P283" s="3">
        <f>925.4+(378.3-327.2)+(-0.943908+(-0.385866--0.333744))+0-325.3--0.331806000000052</f>
        <v>650.53577600000006</v>
      </c>
      <c r="Q283" s="3">
        <f>1000.9+(368.3-402)+(1.020918+(0.375666-0.41004))+0-323.3-0.329766000000052</f>
        <v>644.55677799999989</v>
      </c>
      <c r="R283" s="3">
        <f>1060+(294.7-423)+(-3.7842+(-1.052079--1.51011))+0-322.2--1.150254</f>
        <v>607.32408500000008</v>
      </c>
      <c r="S283" s="3">
        <f>1087+(233.2-401.9)+(0+(0-0))+0-323.5-0</f>
        <v>594.79999999999995</v>
      </c>
      <c r="T283" s="3">
        <f>1098.2+(234.3-349)+(-1.680246+(-0.358479--0.53397))+0-325.9--0.498627000000019</f>
        <v>656.59387200000003</v>
      </c>
      <c r="U283" s="3">
        <f>1101+(230.2-346.7)+(-1.12302+(-0.234804--0.353634))+0-325.2--0.331704000000052</f>
        <v>658.62751400000013</v>
      </c>
      <c r="V283" s="3">
        <f>1106.4+(277.9-379.4)+(-0.564264+(-0.141729--0.193494))+0-325--0.165749999999967</f>
        <v>679.55325100000005</v>
      </c>
      <c r="W283" s="3">
        <f>1111.2+(330.2-369.5)+(1.700136+(0.505206-0.565335))+0-326.9-0.500157000000019</f>
        <v>746.13985000000002</v>
      </c>
      <c r="X283" s="3">
        <f>1116.6+(316.5-361.6)+(-1.708398+(-0.484245--0.553248))+0-326.9--0.500157000000019</f>
        <v>743.46076200000016</v>
      </c>
      <c r="Y283" s="3">
        <f>1097.6+(302.8-343.1)+(0+(0-0))+0-326.6-0</f>
        <v>730.69999999999993</v>
      </c>
      <c r="Z283" s="3">
        <f>988+(299-314.8)+(-2.01552+(-0.60996--0.642192))+0-325.3--0.663611999999986</f>
        <v>645.58032399999991</v>
      </c>
      <c r="AA283" s="3">
        <f>966.3+(289.8-303.1)+(-0.985626+(-0.295596--0.309162))+0-322.9--0.329358000000051</f>
        <v>629.45729800000004</v>
      </c>
      <c r="AB283" s="3">
        <f>968.4+(292.9-268.1)+(-1.481652+(-0.448137--0.410193))+0-323.8--0.495414000000019</f>
        <v>668.37581799999998</v>
      </c>
      <c r="AC283" s="3">
        <f>972+(259-315.1)+(0.49572+(0.13209-0.160701))+0-324.3-0.165392999999967</f>
        <v>591.90171600000008</v>
      </c>
      <c r="AD283" s="2">
        <v>749.59999999999991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973.9+(256.6-276.6)+(-1.490067+(-0.392598--0.423198))+0-325.6--0.498168000000019</f>
        <v>627.3387009999999</v>
      </c>
      <c r="G284" s="3">
        <f>976.7+(244.9-309.6)+(-0.996234+(-0.249798--0.315792))+0-326.4--0.332928000000052</f>
        <v>585.00268800000003</v>
      </c>
      <c r="H284" s="3">
        <f>976.3+(183.4-321.6)+(-0.497913+(-0.093534--0.164016))+0-323.9--0.165188999999967</f>
        <v>513.93775799999992</v>
      </c>
      <c r="I284" s="3">
        <f>963.9+(171.9-247.4)+(-3.441123+(-0.613683--0.883218))+0-324.1--1.157037</f>
        <v>562.28544899999986</v>
      </c>
      <c r="J284" s="3">
        <f>916.9+(178.5-221.3)+(0.467619+(0.091035-0.112863))+0-322.1-0.164270999999967</f>
        <v>552.28151999999989</v>
      </c>
      <c r="K284" s="3">
        <f>917.1+(198.4-250.8)+(-1.403163+(-0.303552--0.383724))+0-322.8--0.493884000000019</f>
        <v>541.07089300000007</v>
      </c>
      <c r="L284" s="3">
        <f>923.7+(277.3-252)+(-2.355435+(-0.707115--0.6426))+0-322.3--0.821864999999953</f>
        <v>625.10191500000008</v>
      </c>
      <c r="M284" s="3">
        <f>1012.8+(214.9-304.4)+(0+(0-0))+0-320.7-0</f>
        <v>602.59999999999991</v>
      </c>
      <c r="N284" s="3">
        <f>993.3+(326.6-332.8)+(0.506583+(0.166566-0.169728))+0-320.3-0.163352999999968</f>
        <v>667.14006799999993</v>
      </c>
      <c r="O284" s="3">
        <f>946.6+(328.9-324.8)+(0.482766+(0.167739-0.165648))+0-322.6-0.164525999999967</f>
        <v>628.42033100000003</v>
      </c>
      <c r="P284" s="3">
        <f>946.8+(355.9-330.1)+(-0.965736+(-0.363018--0.336702))+0-321.6--0.328032000000051</f>
        <v>650.33597999999995</v>
      </c>
      <c r="Q284" s="3">
        <f>942.6+(411.1-309.8)+(0+(0-0))+0-322.3-0</f>
        <v>721.60000000000014</v>
      </c>
      <c r="R284" s="3">
        <f>939.8+(348.4-330.4)+(-1.917192+(-0.710736--0.674016))+0-322--0.656879999999986</f>
        <v>634.50296800000001</v>
      </c>
      <c r="S284" s="3">
        <f>971+(305.6-317)+(-0.99042+(-0.311712--0.32334))+0-321.7--0.328134000000051</f>
        <v>637.24934200000007</v>
      </c>
      <c r="T284" s="3">
        <f>989.5+(346.1-296.8)+(-2.01858+(-0.706044--0.605472))+0-322.2--0.657287999999986</f>
        <v>715.13813599999992</v>
      </c>
      <c r="U284" s="3">
        <f>990.2+(303.6-307.6)+(0.505002+(0.154836-0.156876))+0-320.7-0.163556999999967</f>
        <v>665.83940500000006</v>
      </c>
      <c r="V284" s="3">
        <f>1053.1+(287-356.8)+(-1.611243+(-0.43911--0.545904))+0-320.4--0.490212000000018</f>
        <v>661.885763</v>
      </c>
      <c r="W284" s="3">
        <f>1118.6+(334.5-402.4)+(1.140972+(0.34119-0.410448))+0-322.5-0.328950000000051</f>
        <v>728.94276399999967</v>
      </c>
      <c r="X284" s="3">
        <f>1124+(350.8-398.8)+(-1.14648+(-0.357816--0.406776))+0-322.2--0.328644000000051</f>
        <v>753.03112399999998</v>
      </c>
      <c r="Y284" s="3">
        <f>1125.1+(339.3-379)+(1.721403+(0.519129-0.57987))+0-322.6-0.493578000000019</f>
        <v>763.96708399999977</v>
      </c>
      <c r="Z284" s="3">
        <f>1128.4+(319.4-359.9)+(1.726452+(0.488682-0.550647))+0-322.4-0.493272000000019</f>
        <v>766.67121500000007</v>
      </c>
      <c r="AA284" s="3">
        <f>1129.4+(284.7-364.1)+(1.151988+(0.290394-0.371382))+0-322.4-0.328848000000051</f>
        <v>728.34215199999983</v>
      </c>
      <c r="AB284" s="3">
        <f>1131.6+(234-422.8)+(-2.308464+(-0.47736--0.862512))+0-325.8--0.664631999999986</f>
        <v>615.74131999999986</v>
      </c>
      <c r="AC284" s="3">
        <f>1133.9+(206.4-434.8)+(-3.469734+(-0.631584--1.330488))+0-326--0.997560000000038</f>
        <v>577.72673000000009</v>
      </c>
      <c r="AD284" s="2">
        <v>781.20000000000016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1135+(187.1-459)+(0+(0-0))+0-326.4-0</f>
        <v>536.70000000000005</v>
      </c>
      <c r="G285" s="3">
        <f>1136.2+(151.9-413.8)+(0+(0-0))+0-326.5-0</f>
        <v>547.80000000000007</v>
      </c>
      <c r="H285" s="3">
        <f>1138.3+(146.6-422)+(-0.580533+(-0.074766--0.21522))+0-325.2--0.165851999999967</f>
        <v>537.42577300000005</v>
      </c>
      <c r="I285" s="3">
        <f>1137.6+(135.8-447.5)+(1.740528+(0.207774-0.684675))+0-323.3-0.494649000000019</f>
        <v>503.36897799999986</v>
      </c>
      <c r="J285" s="3">
        <f>1137.6+(147.8-451.6)+(2.320704+(0.301512-0.921264))+0-321.5-0.655859999999986</f>
        <v>513.34509200000002</v>
      </c>
      <c r="K285" s="3">
        <f>1136.3+(202.2-475.4)+(2.897565+(0.51561-1.21227))+0-320.9-0.818294999999953</f>
        <v>543.58261000000005</v>
      </c>
      <c r="L285" s="3">
        <f>1139+(233-440.6)+(-0.58089+(-0.11883--0.224706))+0-320.7--0.163556999999967</f>
        <v>610.38854299999991</v>
      </c>
      <c r="M285" s="3">
        <f>1137.5+(232.1-438.9)+(1.16025+(0.236742-0.447678))+0-319.5-0.325890000000051</f>
        <v>611.82342399999993</v>
      </c>
      <c r="N285" s="3">
        <f>1135.9+(237.6-436.2)+(2.317236+(0.484704-0.889848))+0-319.7-0.652187999999986</f>
        <v>618.85990400000014</v>
      </c>
      <c r="O285" s="3">
        <f>1130.3+(263.8-442.9)+(0.576453+(0.134538-0.225879))+0-320.9-0.163658999999967</f>
        <v>630.62145300000009</v>
      </c>
      <c r="P285" s="3">
        <f>1009.7+(317-300.7)+(1.029894+(0.32334-0.306714))+0-322-0.328440000000051</f>
        <v>704.7180800000001</v>
      </c>
      <c r="Q285" s="3">
        <f>1060.9+(301.4-399.4)+(-2.164236+(-0.614856--0.814776))+0-322.3--0.657491999999986</f>
        <v>639.29317600000002</v>
      </c>
      <c r="R285" s="3">
        <f>1044.9+(293.8-378)+(-1.598697+(-0.449514--0.57834))+0-323--0.494190000000019</f>
        <v>636.72431900000004</v>
      </c>
      <c r="S285" s="3">
        <f>1033.2+(279.1-334.1)+(1.053864+(0.284682-0.340782))+0-321.3-0.327726000000051</f>
        <v>657.57003799999995</v>
      </c>
      <c r="T285" s="3">
        <f>1032.8+(271.1-347.4)+(0+(0-0))+0-322.8-0</f>
        <v>633.70000000000005</v>
      </c>
      <c r="U285" s="3">
        <f>1032.3+(291.1-357)+(0+(0-0))+0-322.4-0</f>
        <v>644</v>
      </c>
      <c r="V285" s="3">
        <f>1032.9+(345.6-325.3)+(0.526779+(0.176256-0.165903))+0-324.4-0.165443999999967</f>
        <v>729.17168800000002</v>
      </c>
      <c r="W285" s="3">
        <f>1033.4+(459.8-365.8)+(1.054068+(0.468996-0.373116))+0-325.5-0.332010000000052</f>
        <v>802.717938</v>
      </c>
      <c r="X285" s="3">
        <f>1034.7+(487.6-361.9)+(-0.527697+(-0.248676--0.184569))+0-325.2--0.165851999999967</f>
        <v>834.77404800000011</v>
      </c>
      <c r="Y285" s="3">
        <f>1039.4+(422.5-344)+(-3.180564+(-1.29285--1.05264))+0-325.8--0.996948000000038</f>
        <v>789.67617400000029</v>
      </c>
      <c r="Z285" s="3">
        <f>1043.3+(377.7-296.1)+(-1.064166+(-0.385254--0.302022))+0-327--0.333540000000052</f>
        <v>797.08614199999988</v>
      </c>
      <c r="AA285" s="3">
        <f>1046.3+(317.2-267.3)+(-1.067226+(-0.323544--0.272646))+0-327.2--0.333744000000052</f>
        <v>768.21561999999972</v>
      </c>
      <c r="AB285" s="3">
        <f>1046.8+(281.1-265.9)+(-1.067736+(-0.286722--0.271218))+0-326.8--0.333336000000052</f>
        <v>734.45009600000014</v>
      </c>
      <c r="AC285" s="3">
        <f>1049.2+(261.3-281.1)+(-3.210552+(-0.799578--0.860166))+0-328.9--1.00643400000004</f>
        <v>698.35647000000017</v>
      </c>
      <c r="AD285" s="2">
        <v>836.8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995.1+(289-281.2)+(1.522503+(0.44217-0.430236))+0-327.5-0.501075000000019</f>
        <v>676.4333620000001</v>
      </c>
      <c r="G286" s="3">
        <f>966.3+(255.4-241.4)+(2.464065+(0.65127-0.61557))+0-327.5-0.835124999999952</f>
        <v>654.46464000000003</v>
      </c>
      <c r="H286" s="3">
        <f>977.1+(211.7-276.9)+(1.993284+(0.431868-0.564876))+0-325.6-0.664223999999986</f>
        <v>587.49605200000008</v>
      </c>
      <c r="I286" s="3">
        <f>976.5+(220-278)+(2.490075+(0.561-0.7089))+0-326.2-0.831809999999953</f>
        <v>593.81036500000005</v>
      </c>
      <c r="J286" s="3">
        <f>975.7+(238.2-296.8)+(0+(0-0))+0-324.6-0</f>
        <v>592.5</v>
      </c>
      <c r="K286" s="3">
        <f>975.5+(261.2-336.2)+(0.99501+(0.266424-0.342924))+0-322-0.328440000000051</f>
        <v>579.09006999999997</v>
      </c>
      <c r="L286" s="3">
        <f>987+(306-320.9)+(-0.50337+(-0.15606--0.163659))+0-321.4--0.163913999999967</f>
        <v>650.36814300000003</v>
      </c>
      <c r="M286" s="3">
        <f>1029.8+(345.5-323.9)+(0.525198+(0.176205-0.165189))+0-320.4-0.163403999999967</f>
        <v>731.37281000000007</v>
      </c>
      <c r="N286" s="3">
        <f>1023.1+(339.5-297.3)+(-1.565343+(-0.519435--0.454869))+0-321.6--0.492048000000019</f>
        <v>742.562139</v>
      </c>
      <c r="O286" s="3">
        <f>1020.2+(326.4-303.6)+(-2.60151+(-0.83232--0.77418))+0-322--0.821099999999953</f>
        <v>719.16144999999995</v>
      </c>
      <c r="P286" s="3">
        <f>1015.5+(341-293.7)+(-2.07162+(-0.69564--0.599148))+0-322--0.656879999999986</f>
        <v>739.28876799999989</v>
      </c>
      <c r="Q286" s="3">
        <f>1010.6+(319.4-294.4)+(-2.57703+(-0.81447--0.75072))+0-323.5--0.824924999999953</f>
        <v>710.28414499999997</v>
      </c>
      <c r="R286" s="3">
        <f>1007.3+(323.3-280.4)+(-1.541169+(-0.494649--0.429012))+0-323.7--0.495261000000019</f>
        <v>725.38845500000002</v>
      </c>
      <c r="S286" s="3">
        <f>1004.4+(226-285.1)+(0+(0-0))+0-322.9-0</f>
        <v>622.4</v>
      </c>
      <c r="T286" s="3">
        <f>1003+(257.7-288.4)+(0.51153+(0.131427-0.147084))+0-322.4-0.164423999999967</f>
        <v>650.231449</v>
      </c>
      <c r="U286" s="3">
        <f>1009.5+(268-307.6)+(1.02969+(0.27336-0.313752))+0-323.5-0.329970000000052</f>
        <v>647.05932799999994</v>
      </c>
      <c r="V286" s="3">
        <f>1012.5+(276-347.9)+(1.03275+(0.28152-0.354858))+0-321.9-0.328338000000051</f>
        <v>619.33107400000006</v>
      </c>
      <c r="W286" s="3">
        <f>1016.3+(397.2-354.3)+(1.036626+(0.405144-0.361386))+0-323-0.329460000000051</f>
        <v>736.95092399999987</v>
      </c>
      <c r="X286" s="3">
        <f>1021.2+(429.4-323.9)+(-1.562436+(-0.656982--0.495567))+0-323.9--0.495567000000019</f>
        <v>801.57171600000015</v>
      </c>
      <c r="Y286" s="3">
        <f>1022.2+(419.2-301.3)+(-0.521322+(-0.213792--0.153663))+0-324.4--0.165443999999967</f>
        <v>815.2839929999999</v>
      </c>
      <c r="Z286" s="3">
        <f>1024.3+(341.4-282.5)+(-1.044786+(-0.348228--0.28815))+0-324.3--0.330786000000052</f>
        <v>758.12592200000006</v>
      </c>
      <c r="AA286" s="3">
        <f>1025.5+(306.2-252.2)+(-0.523005+(-0.156162--0.128622))+0-323.8--0.165137999999967</f>
        <v>755.31459299999995</v>
      </c>
      <c r="AB286" s="3">
        <f>981+(316.3-210.8)+(-0.50031+(-0.161313--0.107508))+0-324.3--0.165392999999967</f>
        <v>761.81127800000013</v>
      </c>
      <c r="AC286" s="3">
        <f>805.3+(353.1-199.3)+(-0.821406+(-0.360162--0.203286))+0-322.3--0.328746000000051</f>
        <v>636.15046399999994</v>
      </c>
      <c r="AD286" s="2">
        <v>841.3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743.5+(418.7-180.4)+(0+(0-0))+0-322.5-0</f>
        <v>659.3</v>
      </c>
      <c r="G287" s="3">
        <f>743.6+(374.8-167.1)+(1.137708+(0.573444-0.255663))+0-322.9-0.494037000000019</f>
        <v>629.3614520000001</v>
      </c>
      <c r="H287" s="3">
        <f>744+(391.7-205.8)+(1.51776+(0.799068-0.419832))+0-324.5-0.661979999999986</f>
        <v>606.63501599999995</v>
      </c>
      <c r="I287" s="3">
        <f>744+(392.7-209.1)+(0+(0-0))+0-324.7-0</f>
        <v>602.90000000000009</v>
      </c>
      <c r="J287" s="3">
        <f>744.6+(396.9-220.6)+(-0.759492+(-0.404838--0.225012))+0-324.5--0.330990000000052</f>
        <v>595.79167200000006</v>
      </c>
      <c r="K287" s="3">
        <f>745.6+(470.7-245.7)+(0.760512+(0.480114-0.250614))+0-324.4-0.330888000000052</f>
        <v>646.85912399999995</v>
      </c>
      <c r="L287" s="3">
        <f>746.3+(568.5-235.9)+(-1.903065+(-1.449675--0.601545))+0-323.4--0.824669999999953</f>
        <v>753.57347500000003</v>
      </c>
      <c r="M287" s="3">
        <f>747.2+(547.5-268.9)+(-0.762144+(-0.55845--0.274278))+0-322.5--0.328950000000051</f>
        <v>702.58263400000033</v>
      </c>
      <c r="N287" s="3">
        <f>746.2+(521-263.9)+(-0.761124+(-0.53142--0.269178))+0-322.6--0.329052000000051</f>
        <v>680.00568600000008</v>
      </c>
      <c r="O287" s="3">
        <f>744.4+(542.4-258.6)+(1.518576+(1.106496-0.527544))+0-322.5-0.657899999999986</f>
        <v>707.13962799999979</v>
      </c>
      <c r="P287" s="3">
        <f>743.7+(546.4-255.7)+(0.379287+(0.278664-0.130407))+0-323.7-0.165086999999967</f>
        <v>711.06245700000011</v>
      </c>
      <c r="Q287" s="3">
        <f>743.7+(552.4-265.2)+(-1.896435+(-1.40862--0.67626))+0-322.9--0.823394999999953</f>
        <v>706.19460000000004</v>
      </c>
      <c r="R287" s="3">
        <f>742.2+(526.3-271.5)+(-1.514088+(-1.073652--0.55386))+0-321.4--0.655655999999986</f>
        <v>674.22177600000009</v>
      </c>
      <c r="S287" s="3">
        <f>741.5+(508-228.4)+(0.378165+(0.25908-0.116484))+0-321.8-0.164117999999967</f>
        <v>699.65664300000003</v>
      </c>
      <c r="T287" s="3">
        <f>741.7+(460.9-227.5)+(0+(0-0))+0-322.6-0</f>
        <v>652.5</v>
      </c>
      <c r="U287" s="3">
        <f>743.3+(487.6-225.8)+(-1.516332+(-0.994704--0.460632))+0-323.6--0.660143999999986</f>
        <v>680.10973999999987</v>
      </c>
      <c r="V287" s="3">
        <f>744.3+(553.9-252.3)+(0.759186+(0.564978-0.257346))+0-325.5-0.332010000000052</f>
        <v>721.13480799999979</v>
      </c>
      <c r="W287" s="3">
        <f>776.3+(651.6-288.6)+(1.187739+(0.996948-0.441558))+0-326.3-0.499239000000019</f>
        <v>814.24388999999996</v>
      </c>
      <c r="X287" s="3">
        <f>794+(638.1-280.1)+(-1.61976+(-1.301724--0.571404))+0-326.4--0.665855999999986</f>
        <v>823.91577600000005</v>
      </c>
      <c r="Y287" s="3">
        <f>792.7+(591.3-263.3)+(0.808554+(0.603126-0.268566))+0-326.9-0.333438000000052</f>
        <v>794.60967600000004</v>
      </c>
      <c r="Z287" s="3">
        <f>795.1+(550.7-261.5)+(0+(0-0))+0-328.5-0</f>
        <v>755.80000000000018</v>
      </c>
      <c r="AA287" s="3">
        <f>797.4+(455-253.9)+(-0.813348+(-0.4641--0.258978))+0-326.4--0.332928000000052</f>
        <v>671.41445800000008</v>
      </c>
      <c r="AB287" s="3">
        <f>799.9+(427-221.7)+(-0.815898+(-0.43554--0.226134))+0-328--0.334560000000052</f>
        <v>676.50925600000005</v>
      </c>
      <c r="AC287" s="3">
        <f>801.9+(355-214.6)+(-1.226907+(-0.54315--0.328338))+0-325.9--0.498627000000019</f>
        <v>615.456908</v>
      </c>
      <c r="AD287" s="2">
        <v>805.70000000000016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755.8+(317.7-196.4)+(-0.385458+(-0.162027--0.100164))+0-326.3--0.166412999999967</f>
        <v>550.51909199999977</v>
      </c>
      <c r="G288" s="3">
        <f>756.1+(317-212)+(-1.542444+(-0.64668--0.43248))+0-329.1--0.671363999999986</f>
        <v>530.91471999999999</v>
      </c>
      <c r="H288" s="3">
        <f>758.7+(291.3-209.4)+(0+(0-0))+0-328.7-0</f>
        <v>511.90000000000003</v>
      </c>
      <c r="I288" s="3">
        <f>760.9+(297.4-208.1)+(-0.388059+(-0.151674--0.106131))+0-329.3--0.167942999999967</f>
        <v>520.63434099999995</v>
      </c>
      <c r="J288" s="3">
        <f>760.9+(324.5-213.5)+(-0.388059+(-0.165495--0.108885))+0-329--0.167789999999967</f>
        <v>542.62312099999997</v>
      </c>
      <c r="K288" s="3">
        <f>761.1+(369.9-256.1)+(-1.164483+(-0.565947--0.391833))+0-327.6--0.501228000000019</f>
        <v>546.46263099999987</v>
      </c>
      <c r="L288" s="3">
        <f>761.1+(371.9-248.1)+(-1.164483+(-0.569007--0.379593))+0-327.6--0.501228000000019</f>
        <v>556.44733099999996</v>
      </c>
      <c r="M288" s="3">
        <f>760.7+(451.5-288.2)+(-0.387957+(-0.230265--0.146982))+0-327.2--0.166871999999967</f>
        <v>596.49563200000011</v>
      </c>
      <c r="N288" s="3">
        <f>761+(470.6-302.4)+(0+(0-0))+0-325-0</f>
        <v>604.20000000000005</v>
      </c>
      <c r="O288" s="3">
        <f>760+(456.2-284.2)+(-0.7752+(-0.465324--0.289884))+0-326.7--0.333234000000052</f>
        <v>604.68259399999999</v>
      </c>
      <c r="P288" s="3">
        <f>758.7+(480.4-283.4)+(-0.773874+(-0.490008--0.289068))+0-328--0.334560000000052</f>
        <v>627.05974600000002</v>
      </c>
      <c r="Q288" s="3">
        <f>758.1+(480.3-290.8)+(1.933155+(1.224765-0.74154))+0-326.8-0.833339999999953</f>
        <v>622.38304000000016</v>
      </c>
      <c r="R288" s="3">
        <f>758.1+(487.5-300.3)+(-2.706417+(-1.740375--1.072071))+0-325--1.16025</f>
        <v>618.08552899999995</v>
      </c>
      <c r="S288" s="3">
        <f>758.5+(469.4-288.1)+(-1.54734+(-0.957576--0.587724))+0-325.4--0.663815999999986</f>
        <v>613.14662399999997</v>
      </c>
      <c r="T288" s="3">
        <f>759.4+(448.2-280.3)+(0.387294+(0.228582-0.142953))+0-329.5-0.168044999999967</f>
        <v>598.10487799999999</v>
      </c>
      <c r="U288" s="3">
        <f>759.5+(455.3-293.3)+(-0.387345+(-0.232203--0.149583))+0-326.5--0.166514999999967</f>
        <v>594.69655</v>
      </c>
      <c r="V288" s="3">
        <f>758.1+(476.1-313.5)+(0+(0-0))+0-319.1-0</f>
        <v>601.6</v>
      </c>
      <c r="W288" s="3">
        <f>767.3+(557.1-365.4)+(1.173969+(0.852363-0.559062))+0-265.5-0.406215000000015</f>
        <v>694.56105500000001</v>
      </c>
      <c r="X288" s="3">
        <f>796.3+(595.5-355.9)+(-1.624452+(-1.21482--0.726036))+0-325.6--0.664223999999986</f>
        <v>708.85098800000014</v>
      </c>
      <c r="Y288" s="3">
        <f>796.7+(560.4-336.9)+(-0.812634+(-0.571608--0.343638))+0-325.6--0.332112000000052</f>
        <v>693.89150800000004</v>
      </c>
      <c r="Z288" s="3">
        <f>797.4+(525.1-311.9)+(-0.813348+(-0.535602--0.318138))+0-328.7--0.335274000000052</f>
        <v>681.20446200000015</v>
      </c>
      <c r="AA288" s="3">
        <f>799.7+(479.1-284.3)+(0+(0-0))+0-328-0</f>
        <v>666.5</v>
      </c>
      <c r="AB288" s="3">
        <f>801.8+(422.5-267.7)+(-1.226754+(-0.646425--0.409581))+0-326.1--0.498933000000019</f>
        <v>629.5353349999998</v>
      </c>
      <c r="AC288" s="3">
        <f>804.3+(369.7-246.4)+(-0.410193+(-0.188547--0.125664))+0-326.9--0.166718999999967</f>
        <v>600.39364299999988</v>
      </c>
      <c r="AD288" s="2">
        <v>715.19999999999993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806.1+(319.5-237.7)+(-1.233333+(-0.488835--0.363681))+0-326.2--0.499086000000019</f>
        <v>560.84059900000011</v>
      </c>
      <c r="G289" s="3">
        <f>808.7+(278.4-226.6)+(0+(0-0))+0-328.2-0</f>
        <v>532.29999999999995</v>
      </c>
      <c r="H289" s="3">
        <f>812+(299.7-263.9)+(0.41412+(0.152847-0.134589))+0-329-0.167789999999967</f>
        <v>519.06458799999996</v>
      </c>
      <c r="I289" s="3">
        <f>813.4+(349.7-253.9)+(0.829668+(0.356694-0.258978))+0-326.6-0.333132000000052</f>
        <v>583.19425199999978</v>
      </c>
      <c r="J289" s="3">
        <f>815.9+(361.5-260)+(1.664436+(0.73746-0.5304))+0-325-0.662999999999986</f>
        <v>593.60849599999995</v>
      </c>
      <c r="K289" s="3">
        <f>813.6+(416.4-275.9)+(0.829872+(0.424728-0.281418))+0-324.3-0.330786000000052</f>
        <v>630.4423959999998</v>
      </c>
      <c r="L289" s="3">
        <f>814.9+(495.6-264.8)+(0+(0-0))+0-325.7-0</f>
        <v>720</v>
      </c>
      <c r="M289" s="3">
        <f>815.5+(500.1-286)+(-0.83181+(-0.510102--0.29172))+0-324.6--0.331092000000052</f>
        <v>704.28089999999997</v>
      </c>
      <c r="N289" s="3">
        <f>808.7+(483.4-282.9)+(0.824874+(0.493068-0.288558))+0-325.4-0.331908000000052</f>
        <v>684.49747600000012</v>
      </c>
      <c r="O289" s="3">
        <f>804.2+(482.9-288.7)+(-0.410142+(-0.246279--0.147237))+0-324.4--0.165443999999967</f>
        <v>673.65626000000009</v>
      </c>
      <c r="P289" s="3">
        <f>800.6+(511.1-272.2)+(-0.816612+(-0.521322--0.277644))+0-326.6--0.333132000000052</f>
        <v>712.17284200000017</v>
      </c>
      <c r="Q289" s="3">
        <f>796.1+(494.6-288)+(-0.406011+(-0.252246--0.14688))+0-328.9--0.167738999999967</f>
        <v>673.45636200000001</v>
      </c>
      <c r="R289" s="3">
        <f>792.6+(516-276.2)+(0+(0-0))+0-326.9-0</f>
        <v>705.50000000000011</v>
      </c>
      <c r="S289" s="3">
        <f>792.3+(498.5-270.6)+(-0.808146+(-0.50847--0.276012))+0-327.3--0.333846000000052</f>
        <v>692.19324199999994</v>
      </c>
      <c r="T289" s="3">
        <f>793.1+(487-276.6)+(-0.404481+(-0.24837--0.141066))+0-325.5--0.166004999999967</f>
        <v>677.6542199999999</v>
      </c>
      <c r="U289" s="3">
        <f>795+(432.3-294.2)+(0.40545+(0.220473-0.150042))+0-325.3-0.165902999999967</f>
        <v>608.10997800000007</v>
      </c>
      <c r="V289" s="3">
        <f>796.5+(473.4-326.9)+(-2.43729+(-1.448604--1.000314))+0-325.5--0.996030000000038</f>
        <v>615.61045000000001</v>
      </c>
      <c r="W289" s="3">
        <f>799.9+(554-349.8)+(0.815898+(0.56508-0.356796))+0-327-0.333540000000052</f>
        <v>677.79064199999982</v>
      </c>
      <c r="X289" s="3">
        <f>803+(569.2-332.1)+(-1.22859+(-0.870876--0.508113))+0-325.1--0.497403000000019</f>
        <v>713.90604999999982</v>
      </c>
      <c r="Y289" s="3">
        <f>803.7+(561.2-307.3)+(-1.639548+(-1.144848--0.626892))+0-323.6--0.660143999999986</f>
        <v>732.50264000000004</v>
      </c>
      <c r="Z289" s="3">
        <f>803+(537-287.4)+(-1.22859+(-0.82161--0.439722))+0-324.5--0.496485000000019</f>
        <v>726.98600699999986</v>
      </c>
      <c r="AA289" s="3">
        <f>804.6+(502.6-266.8)+(-1.231038+(-0.768978--0.408204))+0-324.9--0.497097000000019</f>
        <v>714.40528500000028</v>
      </c>
      <c r="AB289" s="3">
        <f>805.4+(506.3-248.3)+(0+(0-0))+0-323.8-0</f>
        <v>739.60000000000014</v>
      </c>
      <c r="AC289" s="3">
        <f>797+(433.2-222.8)+(-1.62588+(-0.883728--0.454512))+0-324.5--0.661979999999986</f>
        <v>681.5068839999999</v>
      </c>
      <c r="AD289" s="2">
        <v>693.69999999999993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664.2+(494.6-174.1)+(0+(0-0))+0-324.4-0</f>
        <v>660.30000000000007</v>
      </c>
      <c r="G290" s="3">
        <f>659+(452.2-175.9)+(1.00827+(0.691866-0.269127))+0-326.4-0.499392000000019</f>
        <v>609.83161699999994</v>
      </c>
      <c r="H290" s="3">
        <f>641.7+(496.2-205.7)+(0.327267+(0.253062-0.104907))+0-325.6-0.166055999999967</f>
        <v>606.90936600000009</v>
      </c>
      <c r="I290" s="3">
        <f>641.7+(446.3-214.9)+(0.981801+(0.682839-0.328797))+0-328.7-0.502911000000019</f>
        <v>545.23293199999989</v>
      </c>
      <c r="J290" s="3">
        <f>641.3+(424.7-231.6)+(0.654126+(0.433194-0.236232))+0-326.9-0.333438000000052</f>
        <v>508.01764999999995</v>
      </c>
      <c r="K290" s="3">
        <f>639.9+(500.3-272.2)+(0.652698+(0.510306-0.277644))+0-326.1-0.332622000000052</f>
        <v>542.45273799999995</v>
      </c>
      <c r="L290" s="3">
        <f>639.2+(564.5-315.7)+(-2.607936+(-2.30316--1.288056))+0-326--1.33007999999997</f>
        <v>559.70704000000001</v>
      </c>
      <c r="M290" s="3">
        <f>697.9+(523.7-316.5)+(2.135574+(1.602522-0.96849))+0-323.4-0.989604000000037</f>
        <v>583.48000200000001</v>
      </c>
      <c r="N290" s="3">
        <f>755+(532.1-272.6)+(1.5402+(1.085484-0.556104))+0-322.4-0.657695999999986</f>
        <v>693.51188400000001</v>
      </c>
      <c r="O290" s="3">
        <f>765.9+(537-276.1)+(1.171827+(0.82161-0.422433))+0-324.8-0.496944000000019</f>
        <v>703.07405999999992</v>
      </c>
      <c r="P290" s="3">
        <f>775.2+(528.6-278.9)+(-1.581408+(-1.078344--0.568956))+0-325.3--0.663611999999986</f>
        <v>698.17281600000013</v>
      </c>
      <c r="Q290" s="3">
        <f>876.2+(453.5-295.6)+(-1.340586+(-0.693855--0.452268))+0-324.9--0.497097000000019</f>
        <v>708.11492399999997</v>
      </c>
      <c r="R290" s="3">
        <f>895.8+(450.7-291.5)+(-0.913716+(-0.459714--0.29733))+0-324--0.330480000000052</f>
        <v>730.25438000000008</v>
      </c>
      <c r="S290" s="3">
        <f>896.8+(330.6-281.7)+(-0.457368+(-0.168606--0.143667))+0-325.3--0.165902999999967</f>
        <v>620.08359600000006</v>
      </c>
      <c r="T290" s="3">
        <f>898.8+(349.9-254)+(-0.458388+(-0.178449--0.12954))+0-324.8--0.165647999999967</f>
        <v>669.5583509999999</v>
      </c>
      <c r="U290" s="3">
        <f>904.7+(326.4-257)+(-1.845588+(-0.665856--0.52428))+0-323.2--0.659327999999986</f>
        <v>649.57216399999993</v>
      </c>
      <c r="V290" s="3">
        <f>905.4+(374.4-273.4)+(0.461754+(0.190944-0.139434))+0-322.5-0.164474999999967</f>
        <v>684.2487890000001</v>
      </c>
      <c r="W290" s="3">
        <f>906.2+(502.3-317.5)+(-0.462162+(-0.256173--0.161925))+0-323.9--0.165188999999967</f>
        <v>766.70877900000005</v>
      </c>
      <c r="X290" s="3">
        <f>909.3+(428-320.8)+(-0.463743+(-0.21828--0.163608))+0-324.9--0.165698999999967</f>
        <v>691.24728400000004</v>
      </c>
      <c r="Y290" s="3">
        <f>919+(370.9-306.3)+(-0.46869+(-0.189159--0.156213))+0-323.9--0.165188999999967</f>
        <v>659.36355299999991</v>
      </c>
      <c r="Z290" s="3">
        <f>919.6+(350.2-283.7)+(-0.468996+(-0.178602--0.144687))+0-324.8--0.165647999999967</f>
        <v>660.96273699999983</v>
      </c>
      <c r="AA290" s="3">
        <f>920.9+(389.3-249)+(1.408977+(0.595629-0.38097))+0-324.4-0.496332000000019</f>
        <v>737.92730400000005</v>
      </c>
      <c r="AB290" s="3">
        <f>922+(271.6-255.4)+(0+(0-0))+0-324.1-0</f>
        <v>614.1</v>
      </c>
      <c r="AC290" s="3">
        <f>924.1+(256.9-236.2)+(-0.942582+(-0.262038--0.240924))+0-323.8--0.330276000000052</f>
        <v>620.36658</v>
      </c>
      <c r="AD290" s="2">
        <v>702.19999999999993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924.6+(253.4-213.7)+(-1.414638+(-0.387702--0.326961))+0-325.1--0.497403000000019</f>
        <v>638.22202400000003</v>
      </c>
      <c r="G291" s="3">
        <f>925.5+(265.7-205.9)+(0+(0-0))+0-327.8-0</f>
        <v>657.5</v>
      </c>
      <c r="H291" s="3">
        <f>926.4+(220.2-219.2)+(0.472464+(0.112302-0.111792))+0-323.5-0.164984999999967</f>
        <v>604.207989</v>
      </c>
      <c r="I291" s="3">
        <f>928.5+(248.6-221.9)+(0.473535+(0.126786-0.113169))+0-325.1-0.165800999999967</f>
        <v>630.42135100000007</v>
      </c>
      <c r="J291" s="3">
        <f>928.7+(223-243.3)+(-0.473637+(-0.11373--0.124083))+0-323.8--0.165137999999967</f>
        <v>584.30185399999993</v>
      </c>
      <c r="K291" s="3">
        <f>928.6+(282.5-266.4)+(1.420758+(0.432225-0.407592))+0-322.8-0.493884000000019</f>
        <v>622.85150700000008</v>
      </c>
      <c r="L291" s="3">
        <f>928+(323.1-301.5)+(1.41984+(0.494343-0.461295))+0-321.8-0.492354000000019</f>
        <v>628.76053400000001</v>
      </c>
      <c r="M291" s="3">
        <f>927.9+(335.4-328.8)+(-0.473229+(-0.171054--0.167688))+0-321.2--0.163811999999967</f>
        <v>612.9872170000001</v>
      </c>
      <c r="N291" s="3">
        <f>926.4+(321.4-318)+(0.472464+(0.163914-0.16218))+0-320.8-0.163607999999967</f>
        <v>609.31058999999993</v>
      </c>
      <c r="O291" s="3">
        <f>920.8+(377.4-298.7)+(0.469608+(0.192474-0.152337))+0-322-0.164219999999967</f>
        <v>677.84552499999995</v>
      </c>
      <c r="P291" s="3">
        <f>911.2+(444.1-281.9)+(-0.464712+(-0.226491--0.143769))+0-322.3--0.164372999999967</f>
        <v>750.71693900000002</v>
      </c>
      <c r="Q291" s="3">
        <f>909.4+(457.7-284.7)+(-1.391382+(-0.700281--0.435591))+0-322.2--0.492966000000019</f>
        <v>759.03689400000007</v>
      </c>
      <c r="R291" s="3">
        <f>910+(465.1-279.6)+(-0.9282+(-0.474402--0.285192))+0-320.4--0.326808000000051</f>
        <v>774.30939799999999</v>
      </c>
      <c r="S291" s="3">
        <f>911.1+(385.3-289.2)+(-0.929322+(-0.393006--0.294984))+0-320.2--0.326604000000051</f>
        <v>686.29926000000023</v>
      </c>
      <c r="T291" s="3">
        <f>912.5+(392.1-268.4)+(-1.8615+(-0.799884--0.547536))+0-320.1--0.653003999999986</f>
        <v>714.63915600000007</v>
      </c>
      <c r="U291" s="3">
        <f>915.3+(386.6-247.8)+(2.334015+(0.98583-0.63189))+0-319.7-0.815234999999954</f>
        <v>736.27272000000005</v>
      </c>
      <c r="V291" s="3">
        <f>918+(336.5-298)+(0+(0-0))+0-319.8-0</f>
        <v>636.70000000000005</v>
      </c>
      <c r="W291" s="3">
        <f>919.1+(527.2-328)+(0.937482+(0.537744-0.33456))+0-320.7-0.327114000000051</f>
        <v>798.4135520000001</v>
      </c>
      <c r="X291" s="3">
        <f>918.9+(527.7-330.3)+(-1.405917+(-0.807381--0.505359))+0-321.2--0.491436000000019</f>
        <v>793.88349700000003</v>
      </c>
      <c r="Y291" s="3">
        <f>918.9+(488.6-316.8)+(0.468639+(0.249186-0.161568))+0-320.5-0.163454999999967</f>
        <v>770.59280200000001</v>
      </c>
      <c r="Z291" s="3">
        <f>921.2+(462.7-298.3)+(0.469812+(0.235977-0.152133))+0-320.7-0.163556999999967</f>
        <v>765.29009899999994</v>
      </c>
      <c r="AA291" s="3">
        <f>922.3+(394.1-284.8)+(0.940746+(0.401982-0.290496))+0-319.9-0.326298000000051</f>
        <v>712.42593399999987</v>
      </c>
      <c r="AB291" s="3">
        <f>924.5+(295.8-242.9)+(-0.94299+(-0.301716--0.247758))+0-319.9--0.326298000000051</f>
        <v>656.82935000000009</v>
      </c>
      <c r="AC291" s="3">
        <f>924.4+(249.2-213.4)+(-2.35722+(-0.63546--0.54417))+0-319.1--0.813704999999954</f>
        <v>639.46519499999977</v>
      </c>
      <c r="AD291" s="2">
        <v>816.80000000000007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925+(245.9-216.4)+(-1.41525+(-0.376227--0.331092))+0-320.2--0.489906000000018</f>
        <v>633.32952100000011</v>
      </c>
      <c r="G292" s="3">
        <f>926+(194.5-214.3)+(0+(0-0))+0-321.2-0</f>
        <v>585</v>
      </c>
      <c r="H292" s="3">
        <f>926.7+(167.9-260.6)+(0.472617+(0.085629-0.132906))+0-321.7-0.164066999999967</f>
        <v>512.56127300000003</v>
      </c>
      <c r="I292" s="3">
        <f>930.5+(193.6-294.6)+(1.423665+(0.296208-0.450738))+0-322.9-0.494037000000019</f>
        <v>507.37509800000004</v>
      </c>
      <c r="J292" s="3">
        <f>931.8+(234.6-254.3)+(2.37609+(0.59823-0.648465))+0-321.1-0.818804999999953</f>
        <v>592.50704999999994</v>
      </c>
      <c r="K292" s="3">
        <f>932.3+(277.8-283.3)+(0.950946+(0.283356-0.288966))+0-319.6-0.325992000000051</f>
        <v>607.81934399999989</v>
      </c>
      <c r="L292" s="3">
        <f>931.9+(398.3-302.7)+(-2.851614+(-1.218798--0.926262))+0-320.1--0.979506000000037</f>
        <v>705.23535599999991</v>
      </c>
      <c r="M292" s="3">
        <f>929.4+(384.5-326.7)+(1.421982+(0.588285-0.499851))+0-319.3-0.488529000000018</f>
        <v>668.92188699999997</v>
      </c>
      <c r="N292" s="3">
        <f>830.2+(465.4-285.5)+(0+(0-0))+0-319.9-0</f>
        <v>690.2</v>
      </c>
      <c r="O292" s="3">
        <f>801.6+(459-281.3)+(-1.635264+(-0.93636--0.573852))+0-320.6--0.654023999999986</f>
        <v>657.35625199999981</v>
      </c>
      <c r="P292" s="3">
        <f>800.9+(423-283.1)+(0.816918+(0.43146-0.288762))+0-321.8-0.328236000000051</f>
        <v>619.63137999999981</v>
      </c>
      <c r="Q292" s="3">
        <f>797.7+(474.5-280.9)+(0+(0-0))+0-324.5-0</f>
        <v>666.80000000000007</v>
      </c>
      <c r="R292" s="3">
        <f>791.5+(503.7-275.2)+(-1.210995+(-0.770661--0.421056))+0-323.8--0.495414000000019</f>
        <v>695.13481400000001</v>
      </c>
      <c r="S292" s="3">
        <f>792.6+(521-263.6)+(-0.808452+(-0.53142--0.268872))+0-324.7--0.331194000000052</f>
        <v>724.56019400000014</v>
      </c>
      <c r="T292" s="3">
        <f>794.6+(481.6-255.9)+(0.405246+(0.245616-0.130509))+0-324-0.165239999999967</f>
        <v>696.65511300000014</v>
      </c>
      <c r="U292" s="3">
        <f>795.4+(477.8-255.2)+(1.216962+(0.731034-0.390456))+0-323.8-0.495414000000019</f>
        <v>695.26212600000008</v>
      </c>
      <c r="V292" s="3">
        <f>796.7+(495.3-277.5)+(0.406317+(0.252603-0.141525))+0-323.7-0.165086999999967</f>
        <v>691.15230800000006</v>
      </c>
      <c r="W292" s="3">
        <f>797+(661.8-330.5)+(0+(0-0))+0-325.5-0</f>
        <v>802.8</v>
      </c>
      <c r="X292" s="3">
        <f>792.8+(639.3-323.7)+(-0.404328+(-0.326043--0.165087))+0-325.2--0.165851999999967</f>
        <v>782.80056799999977</v>
      </c>
      <c r="Y292" s="3">
        <f>790.4+(604.8-299.8)+(-1.612416+(-1.233792--0.611592))+0-324.2--0.661367999999986</f>
        <v>769.6267519999999</v>
      </c>
      <c r="Z292" s="3">
        <f>799+(579.5-272.5)+(-0.40749+(-0.295545--0.138975))+0-323--0.164729999999967</f>
        <v>782.60067000000004</v>
      </c>
      <c r="AA292" s="3">
        <f>893.5+(404.4-280.8)+(0+(0-0))+0-324.6-0</f>
        <v>692.49999999999989</v>
      </c>
      <c r="AB292" s="3">
        <f>913.8+(352.5-274.3)+(-1.398114+(-0.539325--0.419679))+0-322.5--0.493425000000019</f>
        <v>668.47566500000005</v>
      </c>
      <c r="AC292" s="3">
        <f>915.4+(310.9-248.2)+(-0.466854+(-0.158559--0.126582))+0-322.2--0.164321999999967</f>
        <v>655.56549099999995</v>
      </c>
      <c r="AD292" s="2">
        <v>776.8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910.2+(284.3-282)+(-0.928404+(-0.289986--0.28764))+0-321.1--0.327522000000051</f>
        <v>590.79677200000003</v>
      </c>
      <c r="G293" s="3">
        <f>901.6+(262.5-282.1)+(0.459816+(0.133875-0.143871))+0-322.4-0.164423999999967</f>
        <v>559.88539600000013</v>
      </c>
      <c r="H293" s="3">
        <f>901.4+(265.6-262.8)+(-0.919428+(-0.270912--0.268056))+0-325.8--0.332316000000052</f>
        <v>577.81003200000021</v>
      </c>
      <c r="I293" s="3">
        <f>901.8+(271.8-292.4)+(0.459918+(0.138618-0.149124))+0-325.3-0.165902999999967</f>
        <v>556.18350900000007</v>
      </c>
      <c r="J293" s="3">
        <f>902.4+(280.1-310)+(1.840896+(0.571404-0.6324))+0-323.6-0.660143999999986</f>
        <v>550.01975600000003</v>
      </c>
      <c r="K293" s="3">
        <f>902.2+(337.6-289.1)+(0.920244+(0.344352-0.294882))+0-325.3-0.331806000000052</f>
        <v>626.0379079999999</v>
      </c>
      <c r="L293" s="3">
        <f>901.4+(403.8-304.8)+(0.919428+(0.411876-0.310896))+0-322.8-0.329256000000052</f>
        <v>678.2911519999999</v>
      </c>
      <c r="M293" s="3">
        <f>900.9+(408-329.9)+(-0.918918+(-0.41616--0.336498))+0-322.1--0.328542000000051</f>
        <v>656.22996200000011</v>
      </c>
      <c r="N293" s="3">
        <f>897.3+(407.2-316.1)+(0.915246+(0.415344-0.322422))+0-321.9-0.328338000000051</f>
        <v>667.17982999999981</v>
      </c>
      <c r="O293" s="3">
        <f>893.6+(384.5-304.9)+(0.911472+(0.39219-0.310998))+0-324-0.330480000000052</f>
        <v>649.86218399999996</v>
      </c>
      <c r="P293" s="3">
        <f>891.7+(445.3-288.5)+(0.454767+(0.227103-0.147135))+0-326-0.166259999999967</f>
        <v>722.86847499999999</v>
      </c>
      <c r="Q293" s="3">
        <f>891.7+(469.7-346.7)+(-0.454767+(-0.239547--0.176817))+0-328.1--0.167330999999967</f>
        <v>686.24983399999996</v>
      </c>
      <c r="R293" s="3">
        <f>889.7+(427.9-372.5)+(-1.814988+(-0.872916--0.7599))+0-192.3--0.392291999999992</f>
        <v>751.26428800000008</v>
      </c>
      <c r="S293" s="3">
        <f>890.4+(422.8-327.5)+(-1.362312+(-0.646884--0.501075))+0-269.8--0.412794000000016</f>
        <v>714.80467299999998</v>
      </c>
      <c r="T293" s="3">
        <f>891.8+(304.2-435.8)+(-2.728908+(-0.930852--1.333548))+0-66.8--0.204408000000008</f>
        <v>691.27819599999998</v>
      </c>
      <c r="U293" s="3">
        <f>891.8+(369-289.2)+(1.364454+(0.56457-0.442476))+0-250.7-0.383571000000014</f>
        <v>722.00297699999999</v>
      </c>
      <c r="V293" s="3">
        <f>892.3+(413.5-293.4)+(0+(0-0))+0-345.2-0</f>
        <v>667.2</v>
      </c>
      <c r="W293" s="3">
        <f>889.1+(551-344)+(0.453441+(0.28101-0.17544))+0-341.8-0.174317999999965</f>
        <v>754.68469300000004</v>
      </c>
      <c r="X293" s="3">
        <f>894.6+(558.4-349.1)+(-2.28123+(-1.42392--0.890205))+0-340.3--0.867764999999951</f>
        <v>761.65282000000002</v>
      </c>
      <c r="Y293" s="3">
        <f>899.1+(523-329.5)+(-0.917082+(-0.53346--0.33609))+0-336.9--0.343638000000054</f>
        <v>754.92918599999996</v>
      </c>
      <c r="Z293" s="3">
        <f>900.8+(507.9-301.2)+(-0.459408+(-0.259029--0.153612))+0-338.3--0.172532999999966</f>
        <v>768.80770800000005</v>
      </c>
      <c r="AA293" s="3">
        <f>900.9+(453.2-279)+(-1.837836+(-0.924528--0.56916))+0-335.5--0.684419999999985</f>
        <v>738.09121599999992</v>
      </c>
      <c r="AB293" s="3">
        <f>900.1+(399.4-263.8)+(-0.459051+(-0.203694--0.134538))+0-334.6--0.170645999999966</f>
        <v>700.74243899999988</v>
      </c>
      <c r="AC293" s="3">
        <f>898.9+(388.4-255.4)+(-2.292195+(-0.99042--0.65127))+0-334.5--0.852974999999951</f>
        <v>695.62162999999975</v>
      </c>
      <c r="AD293" s="2">
        <v>765.4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899.4+(330.9-243.4)+(-2.29347+(-0.843795--0.62067))+0-333.7--0.850934999999952</f>
        <v>651.53433999999993</v>
      </c>
      <c r="G294" s="3">
        <f>896.3+(308.9-263.2)+(-2.285565+(-0.787695--0.67116))+0-333--0.849149999999952</f>
        <v>607.44704999999999</v>
      </c>
      <c r="H294" s="3">
        <f>886.2+(295.4-282.3)+(0.903924+(0.301308-0.287946))+0-331.2-0.337824000000053</f>
        <v>568.67946199999994</v>
      </c>
      <c r="I294" s="3">
        <f>887+(277.3-313)+(0.45237+(0.141423-0.15963))+0-331-0.168809999999966</f>
        <v>520.56535299999996</v>
      </c>
      <c r="J294" s="3">
        <f>887.8+(312.9-273)+(-0.905556+(-0.319158--0.27846))+0-329--0.335580000000052</f>
        <v>598.08932600000003</v>
      </c>
      <c r="K294" s="3">
        <f>890.2+(341-284.2)+(0.908004+(0.34782-0.289884))+0-329.6-0.336192000000053</f>
        <v>618.02974799999993</v>
      </c>
      <c r="L294" s="3">
        <f>888.6+(437.6-316.1)+(1.812744+(0.892704-0.644844))+0-328.8-0.670751999999986</f>
        <v>682.68985199999997</v>
      </c>
      <c r="M294" s="3">
        <f>887.6+(397.2-332.4)+(-0.905352+(-0.405144--0.339048))+0-326.9--0.333438000000052</f>
        <v>624.86199000000011</v>
      </c>
      <c r="N294" s="3">
        <f>889.7+(413.8-322.1)+(-0.453747+(-0.211038--0.164271))+0-327.5--0.167024999999967</f>
        <v>653.56651100000011</v>
      </c>
      <c r="O294" s="3">
        <f>900.1+(446.7-313)+(-0.918102+(-0.455634--0.31926))+0-326.4--0.332928000000052</f>
        <v>706.67845199999999</v>
      </c>
      <c r="P294" s="3">
        <f>897.5+(479.5-310.6)+(-0.91545+(-0.48909--0.316812))+0-326.6--0.333132000000052</f>
        <v>739.04540400000019</v>
      </c>
      <c r="Q294" s="3">
        <f>891.4+(459.5-314.7)+(-0.909228+(-0.46869--0.320994))+0-326.9--0.333438000000052</f>
        <v>708.57651400000009</v>
      </c>
      <c r="R294" s="3">
        <f>887+(479.5-315.9)+(-1.80948+(-0.97818--0.644436))+0-326.4--0.665855999999986</f>
        <v>722.72263199999998</v>
      </c>
      <c r="S294" s="3">
        <f>887.2+(459.2-299.2)+(0.452472+(0.234192-0.152592))+0-326.2-0.166361999999967</f>
        <v>721.36770999999999</v>
      </c>
      <c r="T294" s="3">
        <f>888.3+(375-295.1)+(-0.453033+(-0.19125--0.150501))+0-326.4--0.166463999999967</f>
        <v>641.47268199999996</v>
      </c>
      <c r="U294" s="3">
        <f>888.6+(350.3-301.3)+(-0.906372+(-0.357306--0.307326))+0-324.3--0.330786000000052</f>
        <v>612.67443400000013</v>
      </c>
      <c r="V294" s="3">
        <f>890+(413-329.1)+(-0.9078+(-0.42126--0.335682))+0-323.8--0.330276000000052</f>
        <v>649.43689800000004</v>
      </c>
      <c r="W294" s="3">
        <f>890.9+(546.5-367.9)+(0.454359+(0.278715-0.187629))+0-325.4-0.165953999999967</f>
        <v>744.47949100000005</v>
      </c>
      <c r="X294" s="3">
        <f>893+(498.2-365.8)+(-1.36629+(-0.762246--0.559674))+0-324.2--0.496026000000019</f>
        <v>700.12716400000022</v>
      </c>
      <c r="Y294" s="3">
        <f>895.6+(497.5-329.8)+(0.456756+(0.253725-0.168198))+0-325-0.165749999999967</f>
        <v>738.67653299999995</v>
      </c>
      <c r="Z294" s="3">
        <f>896.5+(419.1-332.5)+(-0.457215+(-0.213741--0.169575))+0-324.8--0.165647999999967</f>
        <v>657.96426699999984</v>
      </c>
      <c r="AA294" s="3">
        <f>896.3+(381.5-292.7)+(-0.914226+(-0.38913--0.298554))+0-324.5--0.330990000000052</f>
        <v>659.92618799999991</v>
      </c>
      <c r="AB294" s="3">
        <f>896.9+(383.4-247.1)+(-1.829676+(-0.782136--0.504084))+0-322.5--0.657899999999986</f>
        <v>709.25017200000013</v>
      </c>
      <c r="AC294" s="3">
        <f>897.1+(312.6-223)+(-2.287605+(-0.79713--0.56865))+0-323.8--0.825689999999953</f>
        <v>661.20960500000012</v>
      </c>
      <c r="AD294" s="2">
        <v>758.7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895.6+(270.5-215.4)+(-0.456756+(-0.137955--0.109854))+0-321.6--0.164015999999967</f>
        <v>628.77915899999994</v>
      </c>
      <c r="G295" s="3">
        <f>897+(272.2-237.6)+(-1.82988+(-0.555288--0.484704))+0-326.3--0.665651999999986</f>
        <v>604.06518799999992</v>
      </c>
      <c r="H295" s="3">
        <f>897.7+(279.9-248.1)+(0.457827+(0.142749-0.126531))+0-326.2-0.166361999999967</f>
        <v>603.60768300000018</v>
      </c>
      <c r="I295" s="3">
        <f>894.5+(273.2-249.3)+(-1.368585+(-0.417996--0.381429))+0-326.6--0.499698000000019</f>
        <v>590.89454599999988</v>
      </c>
      <c r="J295" s="3">
        <f>882.1+(271-253.5)+(0.449871+(0.13821-0.129285))+0-324.6-0.165545999999967</f>
        <v>575.29325000000006</v>
      </c>
      <c r="K295" s="3">
        <f>881.7+(310.8-259.6)+(0.449667+(0.158508-0.132396))+0-323.7-0.165086999999967</f>
        <v>609.51069200000018</v>
      </c>
      <c r="L295" s="3">
        <f>880.6+(348.4-323.5)+(-2.24553+(-0.88842--0.824925))+0-324.9--0.828494999999953</f>
        <v>579.11946999999998</v>
      </c>
      <c r="M295" s="3">
        <f>887.1+(347.5-326)+(-1.357263+(-0.531675--0.49878))+0-321.7--0.492201000000019</f>
        <v>586.00204299999996</v>
      </c>
      <c r="N295" s="3">
        <f>896.8+(365.8-296.1)+(0.914736+(0.373116-0.302022))+0-323.3-0.329766000000052</f>
        <v>643.85606399999983</v>
      </c>
      <c r="O295" s="3">
        <f>896.3+(370.4-295.3)+(-0.457113+(-0.188904--0.150603))+0-324.1--0.165290999999967</f>
        <v>646.96987699999977</v>
      </c>
      <c r="P295" s="3">
        <f>890.5+(386.3-295.6)+(1.362465+(0.591039-0.452268))+0-323.3-0.494649000000019</f>
        <v>658.90658699999994</v>
      </c>
      <c r="Q295" s="3">
        <f>884+(390-291.7)+(0+(0-0))+0-327.2-0</f>
        <v>655.09999999999991</v>
      </c>
      <c r="R295" s="3">
        <f>825.6+(406.4-257.1)+(-0.421056+(-0.207264--0.131121))+0-326.7--0.166616999999967</f>
        <v>647.86941799999988</v>
      </c>
      <c r="S295" s="3">
        <f>842.6+(344.3-259.1)+(-0.429726+(-0.175593--0.132141))+0-281.9--0.143768999999971</f>
        <v>645.57059100000004</v>
      </c>
      <c r="T295" s="3">
        <f>862.7+(324.5-266.6)+(-0.439977+(-0.165495--0.135966))+0-309.1--0.157640999999969</f>
        <v>611.18813499999999</v>
      </c>
      <c r="U295" s="3">
        <f>859.3+(338.8-269.7)+(0+(0-0))+0-323.6-0</f>
        <v>604.79999999999995</v>
      </c>
      <c r="V295" s="3">
        <f>859.4+(419.3-264.7)+(-0.438294+(-0.213843--0.134997))+0-322.9--0.164678999999967</f>
        <v>690.74753899999996</v>
      </c>
      <c r="W295" s="3">
        <f>859.9+(490.1-325.5)+(0.438549+(0.249951-0.166005))+0-322.8-0.164627999999967</f>
        <v>702.05786699999999</v>
      </c>
      <c r="X295" s="3">
        <f>863.2+(469.3-332)+(-1.760928+(-0.957372--0.67728))+0-323.5--0.659939999999986</f>
        <v>675.61892</v>
      </c>
      <c r="Y295" s="3">
        <f>866.6+(503.9-290.7)+(-0.441966+(-0.256989--0.148257))+0-324.1--0.165290999999967</f>
        <v>755.31459299999983</v>
      </c>
      <c r="Z295" s="3">
        <f>868.1+(467.3-271.7)+(-0.885462+(-0.476646--0.277134))+0-325.3--0.331806000000052</f>
        <v>737.64683200000002</v>
      </c>
      <c r="AA295" s="3">
        <f>868.6+(435-253.2)+(0+(0-0))+0-325.8-0</f>
        <v>724.60000000000014</v>
      </c>
      <c r="AB295" s="3">
        <f>867.6+(384.6-234.7)+(-1.327428+(-0.588438--0.359091))+0-325--0.497250000000019</f>
        <v>691.44047499999999</v>
      </c>
      <c r="AC295" s="3">
        <f>866.6+(319.2-213.3)+(-0.883932+(-0.325584--0.217566))+0-323.5--0.329970000000052</f>
        <v>648.33802000000003</v>
      </c>
      <c r="AD295" s="2">
        <v>736.8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835.2+(292-196.7)+(-2.12976+(-0.7446--0.501585))+0-324.3--0.826964999999953</f>
        <v>604.65418999999997</v>
      </c>
      <c r="G296" s="3">
        <f>778.2+(330.9-238.1)+(0+(0-0))+0-324.7-0</f>
        <v>546.29999999999995</v>
      </c>
      <c r="H296" s="3">
        <f>772.5+(368.8-220.9)+(-0.78795+(-0.376176--0.225318))+0-323.6--0.330072000000052</f>
        <v>596.19126400000005</v>
      </c>
      <c r="I296" s="3">
        <f>765.6+(324.3-239.5)+(-0.780912+(-0.330786--0.24429))+0-321.5--0.327930000000051</f>
        <v>528.36052200000017</v>
      </c>
      <c r="J296" s="3">
        <f>773+(319.3-269.2)+(0+(0-0))+0-322-0</f>
        <v>501.1</v>
      </c>
      <c r="K296" s="3">
        <f>772.9+(332.4-295)+(-0.394179+(-0.169524--0.15045))+0-321--0.163709999999967</f>
        <v>489.05045699999988</v>
      </c>
      <c r="L296" s="3">
        <f>768.7+(410.7-339.2)+(0+(0-0))+0-320.6-0</f>
        <v>519.6</v>
      </c>
      <c r="M296" s="3">
        <f>765.4+(441.3-384.5)+(0.780708+(0.450126-0.39219))+0-320.2-0.326604000000051</f>
        <v>502.51204000000007</v>
      </c>
      <c r="N296" s="3">
        <f>763.7+(441.7-376.6)+(0.778974+(0.450534-0.384132))+0-320.5-0.326910000000051</f>
        <v>508.81846599999989</v>
      </c>
      <c r="O296" s="3">
        <f>761.3+(461.1-380.3)+(0+(0-0))+0-322.1-0</f>
        <v>519.99999999999989</v>
      </c>
      <c r="P296" s="3">
        <f>758.6+(464.6-367.1)+(1.160658+(0.710838-0.561663))+0-322.5-0.493425000000019</f>
        <v>534.41640800000005</v>
      </c>
      <c r="Q296" s="3">
        <f>756+(474.5-362.9)+(-0.77112+(-0.48399--0.370158))+0-323.2--0.329664000000052</f>
        <v>543.84471200000007</v>
      </c>
      <c r="R296" s="3">
        <f>754.4+(452.7-339.6)+(-1.92372+(-1.154385--0.86598))+0-321.3--0.819314999999953</f>
        <v>544.80718999999999</v>
      </c>
      <c r="S296" s="3">
        <f>754.6+(431.5-328.5)+(-0.384846+(-0.220065--0.167535))+0-321.7--0.164066999999967</f>
        <v>535.62669099999994</v>
      </c>
      <c r="T296" s="3">
        <f>755.5+(421.4-329)+(-0.385305+(-0.214914--0.16779))+0-320.8--0.163607999999967</f>
        <v>526.83117899999991</v>
      </c>
      <c r="U296" s="3">
        <f>755.2+(438-344.2)+(0.385152+(0.22338-0.175542))+0-320.7-0.163556999999967</f>
        <v>528.569433</v>
      </c>
      <c r="V296" s="3">
        <f>824.6+(441.2-417.4)+(0+(0-0))+0-320.7-0</f>
        <v>527.70000000000005</v>
      </c>
      <c r="W296" s="3">
        <f>894.6+(491.7-460.8)+(0.456246+(0.250767-0.235008))+0-322-0.164219999999967</f>
        <v>603.80778499999997</v>
      </c>
      <c r="X296" s="3">
        <f>897.9+(493.6-454.6)+(-2.289645+(-1.25868--1.15923))+0-322.4--0.822119999999953</f>
        <v>612.93302499999993</v>
      </c>
      <c r="Y296" s="3">
        <f>900.8+(474.6-451.1)+(-1.837632+(-0.968184--0.920244))+0-322.2--0.657287999999986</f>
        <v>600.87171599999999</v>
      </c>
      <c r="Z296" s="3">
        <f>901.1+(455.8-444.9)+(-2.297805+(-1.16229--1.134495))+0-326--0.831299999999953</f>
        <v>584.50569999999993</v>
      </c>
      <c r="AA296" s="3">
        <f>901+(433.3-438.6)+(-0.91902+(-0.441966--0.447372))+0-325--0.331500000000052</f>
        <v>570.117886</v>
      </c>
      <c r="AB296" s="3">
        <f>891+(417.3-428.6)+(-1.36323+(-0.638469--0.655758))+0-324.4--0.496332000000019</f>
        <v>554.45039100000008</v>
      </c>
      <c r="AC296" s="3">
        <f>888.1+(393-426)+(-0.905862+(-0.40086--0.43452))+0-322.5--0.328950000000051</f>
        <v>532.05674800000008</v>
      </c>
      <c r="AD296" s="2">
        <v>627.09999999999991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887.8+(343.6-414)+(-0.452778+(-0.175236--0.21114))+0-320.1--0.163250999999968</f>
        <v>497.04637699999989</v>
      </c>
      <c r="G297" s="3">
        <f>887+(337.4-421.1)+(1.35711+(0.516222-0.644283))+0-320.7-0.490671000000019</f>
        <v>483.33837799999998</v>
      </c>
      <c r="H297" s="3">
        <f>886.7+(324.4-422.3)+(-0.452217+(-0.165444--0.215373))+0-320.4--0.163403999999967</f>
        <v>468.16111599999994</v>
      </c>
      <c r="I297" s="3">
        <f>887.2+(292.3-397.2)+(1.357416+(0.447219-0.607716))+0-321.3-0.491589000000019</f>
        <v>461.70533</v>
      </c>
      <c r="J297" s="3">
        <f>887+(299.2-345.6)+(0+(0-0))+0-321.8-0</f>
        <v>518.79999999999995</v>
      </c>
      <c r="K297" s="3">
        <f>887.6+(328.7-371.2)+(1.810704+(0.670548-0.757248))+0-321-0.654839999999986</f>
        <v>525.16916400000002</v>
      </c>
      <c r="L297" s="3">
        <f>887.8+(354.2-382.5)+(-1.811112+(-0.722568--0.7803))+0-320.6--0.654023999999986</f>
        <v>537.80064399999992</v>
      </c>
      <c r="M297" s="3">
        <f>890.1+(365.4-397.9)+(-0.453951+(-0.186354--0.202929))+0-319.2--0.162791999999968</f>
        <v>538.12541599999997</v>
      </c>
      <c r="N297" s="3">
        <f>902+(370-394.8)+(-0.46002+(-0.1887--0.201348))+0-319.4--0.162893999999968</f>
        <v>557.51552200000003</v>
      </c>
      <c r="O297" s="3">
        <f>901.9+(394.6-398)+(0.919938+(0.402492-0.40596))+0-319.8-0.326196000000051</f>
        <v>579.29027399999984</v>
      </c>
      <c r="P297" s="3">
        <f>903.9+(416.5-398.7)+(-0.460989+(-0.212415--0.203337))+0-321.1--0.163760999999967</f>
        <v>600.29369400000007</v>
      </c>
      <c r="Q297" s="3">
        <f>903.6+(424.5-392)+(0+(0-0))+0-319.8-0</f>
        <v>616.29999999999995</v>
      </c>
      <c r="R297" s="3">
        <f>898+(414.1-331.1)+(-1.37394+(-0.633573--0.506583))+0-320.6--0.490518000000019</f>
        <v>659.389588</v>
      </c>
      <c r="S297" s="3">
        <f>895.6+(388.4-347.1)+(0+(0-0))+0-318.9-0</f>
        <v>618</v>
      </c>
      <c r="T297" s="3">
        <f>896.3+(432.2-385.6)+(-2.285565+(-1.10211--0.98328))+0-319.6--0.814979999999954</f>
        <v>621.71058499999981</v>
      </c>
      <c r="U297" s="3">
        <f>894.7+(372.9-327.7)+(-1.368891+(-0.570537--0.501381))+0-320.1--0.489753000000019</f>
        <v>618.85170600000015</v>
      </c>
      <c r="V297" s="3">
        <f>895.1+(346.7-318.5)+(-1.369503+(-0.530451--0.487305))+0-319.9--0.489447000000018</f>
        <v>602.47679800000003</v>
      </c>
      <c r="W297" s="3">
        <f>896.7+(454.3-314.2)+(0.457317+(0.231693-0.160242))+0-320.6-0.163505999999967</f>
        <v>716.56526200000008</v>
      </c>
      <c r="X297" s="3">
        <f>901.3+(466.3-327.2)+(-0.919326+(-0.475626--0.333744))+0-323.1--0.329562000000052</f>
        <v>716.568354</v>
      </c>
      <c r="Y297" s="3">
        <f>904.1+(438.1-326.6)+(-0.922182+(-0.446862--0.333132))+0-321.6--0.328032000000051</f>
        <v>693.29211999999995</v>
      </c>
      <c r="Z297" s="3">
        <f>906.1+(423.6-327.9)+(-2.310555+(-1.08018--0.836145))+0-324--0.826199999999953</f>
        <v>676.07161000000008</v>
      </c>
      <c r="AA297" s="3">
        <f>907.1+(425.9-344.3)+(0+(0-0))+0-325.6-0</f>
        <v>663.1</v>
      </c>
      <c r="AB297" s="3">
        <f>906.7+(424.5-352.3)+(-2.312085+(-1.082475--0.898365))+0-323.9--0.825944999999953</f>
        <v>653.3297500000001</v>
      </c>
      <c r="AC297" s="3">
        <f>798.7+(443.1-274.3)+(-0.814674+(-0.451962--0.279786))+0-322.8--0.329256000000052</f>
        <v>644.04240600000014</v>
      </c>
      <c r="AD297" s="2">
        <v>768.7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671.1+(450.7-204.6)+(-0.684522+(-0.459714--0.208692))+0-325.1--0.331602000000052</f>
        <v>591.49605800000006</v>
      </c>
      <c r="G298" s="3">
        <f>670.7+(448.5-225.5)+(0+(0-0))+0-326.6-0</f>
        <v>567.1</v>
      </c>
      <c r="H298" s="3">
        <f>669.9+(418.1-179.8)+(-0.341649+(-0.213231--0.091698))+0-325.5--0.166004999999967</f>
        <v>582.40282300000001</v>
      </c>
      <c r="I298" s="3">
        <f>668.9+(394.9-175)+(1.023417+(0.604197-0.26775))+0-323.9-0.495567000000019</f>
        <v>565.76429699999994</v>
      </c>
      <c r="J298" s="3">
        <f>668.5+(414.9-175.1)+(-1.704675+(-1.057995--0.446505))+0-323.2--0.824159999999953</f>
        <v>583.60799499999996</v>
      </c>
      <c r="K298" s="3">
        <f>669+(427.5-182.7)+(0.34119+(0.218025-0.093177))+0-322.5-0.164474999999967</f>
        <v>591.60156300000006</v>
      </c>
      <c r="L298" s="3">
        <f>670.9+(446.4-210.9)+(-1.710795+(-1.13832--0.537795))+0-321.1--0.818804999999953</f>
        <v>583.80748499999993</v>
      </c>
      <c r="M298" s="3">
        <f>671.6+(476.5-220.4)+(-2.740128+(-1.94412--0.899232))+0-320.7--1.30845599999997</f>
        <v>604.52343999999994</v>
      </c>
      <c r="N298" s="3">
        <f>670.8+(438.3-195.2)+(-0.342108+(-0.223533--0.099552))+0-320.5--0.163454999999967</f>
        <v>593.09736599999997</v>
      </c>
      <c r="O298" s="3">
        <f>670.2+(506.9-194.4)+(-0.683604+(-0.517038--0.198288))+0-320.9--0.327318000000051</f>
        <v>661.1249640000002</v>
      </c>
      <c r="P298" s="3">
        <f>669+(499.2-206.8)+(1.02357+(0.763776-0.316404))+0-321.8-0.492354000000019</f>
        <v>640.57858800000008</v>
      </c>
      <c r="Q298" s="3">
        <f>668+(525.9-208.9)+(-1.7034+(-1.341045--0.532695))+0-321.9--0.820844999999953</f>
        <v>661.40909499999998</v>
      </c>
      <c r="R298" s="3">
        <f>666.8+(507.2-201.4)+(-1.70034+(-1.29336--0.51357))+0-321.4--0.819569999999953</f>
        <v>649.5394399999999</v>
      </c>
      <c r="S298" s="3">
        <f>666.1+(433.9-182.7)+(0+(0-0))+0-320.5-0</f>
        <v>596.79999999999995</v>
      </c>
      <c r="T298" s="3">
        <f>665.4+(433.4-180.7)+(-0.678708+(-0.442068--0.184314))+0-320.2--0.326604000000051</f>
        <v>597.29014200000006</v>
      </c>
      <c r="U298" s="3">
        <f>663.2+(478.6-205)+(0+(0-0))+0-320.2-0</f>
        <v>616.60000000000014</v>
      </c>
      <c r="V298" s="3">
        <f>665.4+(507.3-228.5)+(0.339354+(0.258723-0.116535))+0-319.8-0.163097999999968</f>
        <v>624.71844400000009</v>
      </c>
      <c r="W298" s="3">
        <f>667.5+(580.1-261.2)+(-0.340425+(-0.295851--0.133212))+0-321.1--0.163760999999967</f>
        <v>664.9606970000001</v>
      </c>
      <c r="X298" s="3">
        <f>671.4+(585.2-232)+(-0.342414+(-0.298452--0.11832))+0-321.9--0.164168999999967</f>
        <v>702.34162300000003</v>
      </c>
      <c r="Y298" s="3">
        <f>674.1+(580.2-214)+(0+(0-0))+0-321.7-0</f>
        <v>718.60000000000014</v>
      </c>
      <c r="Z298" s="3">
        <f>678.3+(512.7-245.9)+(0.345933+(0.261477-0.125409))+0-322.7-0.164576999999967</f>
        <v>622.71742399999994</v>
      </c>
      <c r="AA298" s="3">
        <f>679.9+(493.6-242.8)+(1.386996+(1.006944-0.495312))+0-321.3-0.655451999999986</f>
        <v>610.64317600000004</v>
      </c>
      <c r="AB298" s="3">
        <f>681+(467.8-228.8)+(0+(0-0))+0-320.3-0</f>
        <v>599.70000000000005</v>
      </c>
      <c r="AC298" s="3">
        <f>681.2+(457.1-184.6)+(-2.431884+(-1.631847--0.659022))+0-320.9--1.145613</f>
        <v>630.54090400000007</v>
      </c>
      <c r="AD298" s="2">
        <v>743.6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681.5+(415.5-187.4)+(-1.39026+(-0.84762--0.382296))+0-320.4--0.653615999999986</f>
        <v>587.99803199999997</v>
      </c>
      <c r="G299" s="3">
        <f>683.1+(386-198.3)+(-1.393524+(-0.78744--0.404532))+0-323--0.658919999999986</f>
        <v>546.68248799999992</v>
      </c>
      <c r="H299" s="3">
        <f>681.8+(406.1-167)+(-1.043154+(-0.621333--0.25551))+0-322.8--0.493884000000019</f>
        <v>597.18490699999984</v>
      </c>
      <c r="I299" s="3">
        <f>683.3+(343-160.9)+(-1.045449+(-0.52479--0.246177))+0-322.3--0.493119000000019</f>
        <v>542.26905699999998</v>
      </c>
      <c r="J299" s="3">
        <f>684.5+(345.4-145.4)+(0.69819+(0.352308-0.148308))+0-323.2-0.329664000000052</f>
        <v>561.87252599999988</v>
      </c>
      <c r="K299" s="3">
        <f>684.9+(383.1-177.2)+(1.397196+(0.781524-0.361488))+0-322.9-0.658715999999986</f>
        <v>569.05851599999994</v>
      </c>
      <c r="L299" s="3">
        <f>686.7+(457.4-209.3)+(-1.400868+(-0.933096--0.426972))+0-321.9--0.656675999999986</f>
        <v>611.64968399999998</v>
      </c>
      <c r="M299" s="3">
        <f>686.7+(465.7-236.6)+(0.350217+(0.237507-0.120666))+0-321-0.163709999999967</f>
        <v>595.1033480000001</v>
      </c>
      <c r="N299" s="3">
        <f>684.8+(515.3-252.2)+(-1.047744+(-0.788409--0.385866))+0-321.7--0.492201000000019</f>
        <v>625.24191399999995</v>
      </c>
      <c r="O299" s="3">
        <f>684.1+(553.6-265.1)+(-0.348891+(-0.282336--0.135201))+0-323.2--0.164831999999967</f>
        <v>649.068806</v>
      </c>
      <c r="P299" s="3">
        <f>684+(520-281.4)+(-1.39536+(-1.0608--0.574056))+0-322.1--0.657083999999986</f>
        <v>599.27497999999991</v>
      </c>
      <c r="Q299" s="3">
        <f>684.6+(570.8-275)+(-0.349146+(-0.291108--0.14025))+0-323.3--0.164882999999967</f>
        <v>656.76487899999984</v>
      </c>
      <c r="R299" s="3">
        <f>682.8+(570.3-278.6)+(-2.437596+(-2.035971--0.994602))+0-321.1--1.146327</f>
        <v>651.06736199999989</v>
      </c>
      <c r="S299" s="3">
        <f>681.2+(556.7-260.6)+(0+(0-0))+0-321-0</f>
        <v>656.30000000000007</v>
      </c>
      <c r="T299" s="3">
        <f>682.3+(519.3-256.7)+(-0.695946+(-0.529686--0.261834))+0-320.1--0.326502000000051</f>
        <v>624.16270399999985</v>
      </c>
      <c r="U299" s="3">
        <f>681.6+(583.9-257.6)+(0+(0-0))+0-319.3-0</f>
        <v>688.59999999999991</v>
      </c>
      <c r="V299" s="3">
        <f>680.6+(596.7-289.9)+(-0.347106+(-0.304317--0.147849))+0-319.4--0.162893999999968</f>
        <v>667.65932000000009</v>
      </c>
      <c r="W299" s="3">
        <f>679.4+(704.1-309.4)+(0.346494+(0.359091-0.157794))+0-320.9-0.163658999999967</f>
        <v>753.58413199999995</v>
      </c>
      <c r="X299" s="3">
        <f>676.4+(708.7-275.7)+(-1.034892+(-1.084311--0.421821))+0-321.3--0.491589000000019</f>
        <v>786.89420700000005</v>
      </c>
      <c r="Y299" s="3">
        <f>657.3+(670.4-248.7)+(-1.005669+(-1.025712--0.380511))+0-323.1--0.494343000000019</f>
        <v>754.74347300000011</v>
      </c>
      <c r="Z299" s="3">
        <f>656.3+(625.5-232.2)+(-0.334713+(-0.319005--0.118422))+0-323.7--0.165086999999967</f>
        <v>725.52979099999982</v>
      </c>
      <c r="AA299" s="3">
        <f>656.8+(587.7-203.7)+(-0.334968+(-0.299727--0.103887))+0-327.6--0.167075999999967</f>
        <v>712.8362679999999</v>
      </c>
      <c r="AB299" s="3">
        <f>660.7+(564.7-173.8)+(-1.347828+(-1.151988--0.354552))+0-326.9--0.666875999999986</f>
        <v>723.22161200000016</v>
      </c>
      <c r="AC299" s="3">
        <f>658.4+(485.3-172.8)+(-1.007352+(-0.742509--0.264384))+0-324.6--0.496638000000019</f>
        <v>645.31116100000008</v>
      </c>
      <c r="AD299" s="2">
        <v>809.59999999999991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696+(476.1-203.8)+(0.35496+(0.242811-0.103938))+0-324.6-0.165545999999967</f>
        <v>644.02828699999998</v>
      </c>
      <c r="G300" s="3">
        <f>738.3+(384.6-198.7)+(0.753066+(0.392292-0.202674))+0-326.1-0.332622000000052</f>
        <v>598.71006199999999</v>
      </c>
      <c r="H300" s="3">
        <f>641.9+(452.3-171.6)+(0.327369+(0.230673-0.087516))+0-325-0.165749999999967</f>
        <v>597.90477599999997</v>
      </c>
      <c r="I300" s="3">
        <f>640.3+(451.4-201.6)+(0.979659+(0.690642-0.308448))+0-321.8-0.492354000000019</f>
        <v>569.16949899999986</v>
      </c>
      <c r="J300" s="3">
        <f>637.9+(436.5-218.3)+(1.301316+(0.89046-0.445332))+0-321.6-0.656063999999986</f>
        <v>535.59037999999987</v>
      </c>
      <c r="K300" s="3">
        <f>637+(512.3-239)+(0+(0-0))+0-323.6-0</f>
        <v>586.69999999999993</v>
      </c>
      <c r="L300" s="3">
        <f>657.8+(582.8-271.5)+(0.670956+(0.594456-0.27693))+0-324-0.330480000000052</f>
        <v>645.75800199999981</v>
      </c>
      <c r="M300" s="3">
        <f>700.3+(523.5-281.2)+(1.071459+(0.800955-0.430236))+0-321.8-0.492354000000019</f>
        <v>621.74982399999999</v>
      </c>
      <c r="N300" s="3">
        <f>782.1+(513.1-305.3)+(1.196613+(0.785043-0.467109))+0-323.3-0.494649000000019</f>
        <v>667.61989800000015</v>
      </c>
      <c r="O300" s="3">
        <f>778.4+(514.2-328.4)+(1.98492+(1.31121-0.83742))+0-325-0.828749999999953</f>
        <v>640.82996000000014</v>
      </c>
      <c r="P300" s="3">
        <f>775.8+(514.2-326.3)+(0.791316+(0.524484-0.332826))+0-322.7-0.329154000000051</f>
        <v>641.65382</v>
      </c>
      <c r="Q300" s="3">
        <f>773.4+(532.7-309.2)+(1.577736+(1.086708-0.630768))+0-322.1-0.657083999999986</f>
        <v>676.17659200000014</v>
      </c>
      <c r="R300" s="3">
        <f>771.8+(515.5-311.2)+(-0.787236+(-0.52581--0.317424))+0-320.7--0.327114000000051</f>
        <v>654.731492</v>
      </c>
      <c r="S300" s="3">
        <f>772+(507.7-280.6)+(0.39372+(0.258927-0.143106))+0-319.8-0.163097999999968</f>
        <v>679.64644299999986</v>
      </c>
      <c r="T300" s="3">
        <f>773.5+(492.9-286.1)+(0+(0-0))+0-319.6-0</f>
        <v>660.69999999999993</v>
      </c>
      <c r="U300" s="3">
        <f>787.8+(489.1-302.3)+(-0.803556+(-0.498882--0.308346))+0-320.5--0.326910000000051</f>
        <v>653.43281799999988</v>
      </c>
      <c r="V300" s="3">
        <f>862.8+(475.9-382.9)+(0+(0-0))+0-319.5-0</f>
        <v>636.29999999999995</v>
      </c>
      <c r="W300" s="3">
        <f>920.9+(491.3-366.4)+(0+(0-0))+0-321.6-0</f>
        <v>724.19999999999993</v>
      </c>
      <c r="X300" s="3">
        <f>959.3+(494-360.7)+(-1.467729+(-0.75582--0.551871))+0-322.2--0.492966000000019</f>
        <v>769.22128799999996</v>
      </c>
      <c r="Y300" s="3">
        <f>962.4+(465.5-349.2)+(-0.981648+(-0.47481--0.356184))+0-321.9--0.328338000000051</f>
        <v>756.0280640000002</v>
      </c>
      <c r="Z300" s="3">
        <f>963+(467.4-332.6)+(-0.98226+(-0.476748--0.339252))+0-325.5--0.332010000000052</f>
        <v>771.51225399999998</v>
      </c>
      <c r="AA300" s="3">
        <f>963.5+(427.4-330.2)+(-0.491385+(-0.217974--0.168402))+0-325.2--0.165851999999967</f>
        <v>735.12489500000004</v>
      </c>
      <c r="AB300" s="3">
        <f>964+(377-277.7)+(-1.47492+(-0.57681--0.424881))+0-324.3--0.496179000000019</f>
        <v>737.86932999999999</v>
      </c>
      <c r="AC300" s="3">
        <f>965.5+(340.5-263.3)+(-1.96962+(-0.69462--0.537132))+0-324.4--0.661775999999986</f>
        <v>716.83466800000019</v>
      </c>
      <c r="AD300" s="2">
        <v>783.19999999999993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931.1+(299.6-258.1)+(-2.374305+(-0.76398--0.658155))+0-324.2--0.826709999999953</f>
        <v>646.74657999999988</v>
      </c>
      <c r="G301" s="3">
        <f>956.1+(233.7-213.8)+(-2.438055+(-0.595935--0.54519))+0-325.6--0.830279999999953</f>
        <v>648.74147999999991</v>
      </c>
      <c r="H301" s="3">
        <f>984.4+(189.2-225.2)+(-2.008176+(-0.385968--0.459408))+0-326.9--0.666875999999986</f>
        <v>620.23213999999996</v>
      </c>
      <c r="I301" s="3">
        <f>991.1+(165.1-224.1)+(-0.505461+(-0.084201--0.114291))+0-325.6--0.166055999999967</f>
        <v>606.19068499999992</v>
      </c>
      <c r="J301" s="3">
        <f>991.6+(169.6-221.4)+(-2.022864+(-0.345984--0.451656))+0-325.2--0.663407999999986</f>
        <v>613.34621600000003</v>
      </c>
      <c r="K301" s="3">
        <f>991.4+(217.5-242.3)+(2.52807+(0.554625-0.617865))+0-324.8-0.828239999999953</f>
        <v>643.43658999999991</v>
      </c>
      <c r="L301" s="3">
        <f>991.3+(262.6-305.4)+(0+(0-0))+0-322.1-0</f>
        <v>626.4</v>
      </c>
      <c r="M301" s="3">
        <f>991.2+(307.8-316.7)+(-0.505512+(-0.156978--0.161517))+0-321.9--0.164168999999967</f>
        <v>660.06319600000006</v>
      </c>
      <c r="N301" s="3">
        <f>998.8+(366.4-407)+(-1.018776+(-0.373728--0.41514))+0-322.7--0.329154000000051</f>
        <v>634.85178999999994</v>
      </c>
      <c r="O301" s="3">
        <f>992.4+(405-415.9)+(0.506124+(0.20655-0.212109))+0-322.2-0.164321999999967</f>
        <v>659.63624300000004</v>
      </c>
      <c r="P301" s="3">
        <f>991.4+(420.6-433.1)+(-0.505614+(-0.214506--0.220881))+0-321.3--0.163862999999967</f>
        <v>657.26462399999991</v>
      </c>
      <c r="Q301" s="3">
        <f>992.9+(403.1-461.4)+(-1.519137+(-0.616743--0.705942))+0-321.9--0.492507000000019</f>
        <v>611.7625690000001</v>
      </c>
      <c r="R301" s="3">
        <f>1014+(380.2-459.6)+(-2.5857+(-0.96951--1.17198))+0-324.1--0.826454999999953</f>
        <v>608.94322499999976</v>
      </c>
      <c r="S301" s="3">
        <f>1017.2+(377.4-426.9)+(-0.518772+(-0.192474--0.217719))+0-325.9--0.166208999999967</f>
        <v>641.47268200000008</v>
      </c>
      <c r="T301" s="3">
        <f>1017.7+(386.7-423.8)+(0.519027+(0.197217-0.216138))+0-325-0.165749999999967</f>
        <v>655.93435599999998</v>
      </c>
      <c r="U301" s="3">
        <f>1016.9+(375.1-448.4)+(0.518619+(0.191301-0.228684))+0-322.9-0.164678999999967</f>
        <v>621.01655700000003</v>
      </c>
      <c r="V301" s="3">
        <f>1036.4+(367.7-443.6)+(0.528564+(0.187527-0.226236))+0-321.9-0.164168999999967</f>
        <v>638.92568600000004</v>
      </c>
      <c r="W301" s="3">
        <f>1052.4+(458-438.6)+(0.536724+(0.23358-0.223686))+0-322.9-0.164678999999967</f>
        <v>749.28193900000031</v>
      </c>
      <c r="X301" s="3">
        <f>1051.6+(479.3-419.7)+(-1.072632+(-0.488886--0.428094))+0-323.9--0.330378000000052</f>
        <v>786.49695399999973</v>
      </c>
      <c r="Y301" s="3">
        <f>1083.7+(456.7-459.4)+(-1.105374+(-0.465834--0.468588))+0-323.1--0.329562000000052</f>
        <v>757.1269420000001</v>
      </c>
      <c r="Z301" s="3">
        <f>1090.7+(402.1-474.1)+(0.556257+(0.205071-0.241791))+0-326.6-0.166565999999967</f>
        <v>692.45297100000005</v>
      </c>
      <c r="AA301" s="3">
        <f>1096.1+(363.1-389)+(0.559011+(0.185181-0.19839))+0-325.2-0.165851999999967</f>
        <v>745.37994999999989</v>
      </c>
      <c r="AB301" s="3">
        <f>1095.3+(332.3-379)+(-0.558603+(-0.169473--0.19329))+0-323.4--0.164933999999967</f>
        <v>724.83014800000001</v>
      </c>
      <c r="AC301" s="3">
        <f>1096.3+(262.4-341)+(-0.559113+(-0.133824--0.17391))+0-321.9--0.164168999999967</f>
        <v>695.44514199999992</v>
      </c>
      <c r="AD301" s="2">
        <v>812.5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1097.5+(241.9-287.2)+(-1.11945+(-0.246738--0.292944))+0-322.7--0.329154000000051</f>
        <v>728.75591000000009</v>
      </c>
      <c r="G302" s="3">
        <f>1099.8+(232.9-313.2)+(-0.560898+(-0.118779--0.159732))+0-325.4--0.165953999999967</f>
        <v>693.74600899999996</v>
      </c>
      <c r="H302" s="3">
        <f>1102.8+(239.1-360.8)+(1.124856+(0.243882-0.368016))+0-326.2-0.332724000000052</f>
        <v>655.56799799999976</v>
      </c>
      <c r="I302" s="3">
        <f>1101+(251.4-378.9)+(-1.68453+(-0.384642--0.579717))+0-325.1--0.497403000000019</f>
        <v>647.40794799999992</v>
      </c>
      <c r="J302" s="3">
        <f>1101.9+(259.9-374.7)+(0+(0-0))+0-321.9-0</f>
        <v>665.20000000000016</v>
      </c>
      <c r="K302" s="3">
        <f>1103.2+(304.6-355.6)+(0.562632+(0.155346-0.181356))+0-321.5-0.163964999999967</f>
        <v>731.07265700000016</v>
      </c>
      <c r="L302" s="3">
        <f>1104.4+(337.6-428.8)+(-0.563244+(-0.172176--0.218688))+0-320.2--0.163301999999968</f>
        <v>692.64656999999988</v>
      </c>
      <c r="M302" s="3">
        <f>1094.8+(300.9-426.1)+(0.558348+(0.153459-0.217311))+0-318.6-0.162485999999968</f>
        <v>651.33200999999997</v>
      </c>
      <c r="N302" s="3">
        <f>1078.8+(381.7-488)+(0+(0-0))+0-320.6-0</f>
        <v>651.9</v>
      </c>
      <c r="O302" s="3">
        <f>1070.3+(390.8-530.4)+(0.545853+(0.199308-0.270504))+0-321.1-0.163760999999967</f>
        <v>609.91089599999998</v>
      </c>
      <c r="P302" s="3">
        <f>1065.7+(427.2-548.3)+(0+(0-0))+0-321.1-0</f>
        <v>623.50000000000011</v>
      </c>
      <c r="Q302" s="3">
        <f>1064.9+(441.3-514.5)+(-1.629297+(-0.675189--0.787185))+0-320.9--0.490977000000019</f>
        <v>669.77367600000014</v>
      </c>
      <c r="R302" s="3">
        <f>1066.4+(391.1-461.8)+(0.543864+(0.199461-0.235518))+0-320.8-0.163607999999967</f>
        <v>675.24419900000009</v>
      </c>
      <c r="S302" s="3">
        <f>1069.1+(352.8-454.1)+(1.090482+(0.359856-0.463182))+0-319.5-0.325890000000051</f>
        <v>648.96126599999991</v>
      </c>
      <c r="T302" s="3">
        <f>1066.9+(351.5-442.6)+(0+(0-0))+0-319.9-0</f>
        <v>655.90000000000009</v>
      </c>
      <c r="U302" s="3">
        <f>1069.2+(351.5-424.2)+(-2.181168+(-0.71706--0.865368))+0-318.3--0.649331999999986</f>
        <v>676.81647199999998</v>
      </c>
      <c r="V302" s="3">
        <f>1072.9+(323.7-416.5)+(-1.641537+(-0.495261--0.637245))+0-318.7--0.487611000000018</f>
        <v>660.38805800000023</v>
      </c>
      <c r="W302" s="3">
        <f>1075.3+(385.2-384.7)+(2.742015+(0.98226-0.980985))+0-320.2-0.816509999999954</f>
        <v>757.5267799999998</v>
      </c>
      <c r="X302" s="3">
        <f>1075.5+(368.8-359.6)+(-1.645515+(-0.564264--0.550188))+0-321.1--0.491283000000019</f>
        <v>762.431692</v>
      </c>
      <c r="Y302" s="3">
        <f>1074.4+(363.9-343.4)+(-1.643832+(-0.556767--0.525402))+0-322.6--0.493578000000019</f>
        <v>771.11838100000011</v>
      </c>
      <c r="Z302" s="3">
        <f>1077.1+(369.8-390.3)+(-1.098642+(-0.377196--0.398106))+0-325.9--0.332418000000052</f>
        <v>729.95468600000004</v>
      </c>
      <c r="AA302" s="3">
        <f>1079.5+(358.2-375.4)+(0.550545+(0.182682-0.191454))+0-323.9-0.165188999999967</f>
        <v>738.77658399999996</v>
      </c>
      <c r="AB302" s="3">
        <f>1079.6+(302.2-342.2)+(0+(0-0))+0-322.4-0</f>
        <v>717.19999999999993</v>
      </c>
      <c r="AC302" s="3">
        <f>1081.7+(251.3-390.3)+(0.551667+(0.128163-0.199053))+0-323-0.164729999999967</f>
        <v>620.01604700000007</v>
      </c>
      <c r="AD302" s="2">
        <v>807.1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1084.9+(223.5-420.3)+(-0.553299+(-0.113985--0.214353))+0-324.7--0.165596999999967</f>
        <v>563.11266599999999</v>
      </c>
      <c r="G303" s="3">
        <f>1088.4+(231.4-373.6)+(-1.665252+(-0.354042--0.571608))+0-325.3--0.497709000000019</f>
        <v>619.9500230000001</v>
      </c>
      <c r="H303" s="3">
        <f>1087.7+(191.7-332.3)+(-1.664181+(-0.293301--0.508419))+0-326--0.498780000000019</f>
        <v>620.14971700000001</v>
      </c>
      <c r="I303" s="3">
        <f>1088.8+(157.8-321.6)+(0.555288+(0.080478-0.164016))+0-327.6-0.167075999999967</f>
        <v>597.70467400000007</v>
      </c>
      <c r="J303" s="3">
        <f>1089.5+(190.2-295.9)+(0+(0-0))+0-327.1-0</f>
        <v>656.69999999999993</v>
      </c>
      <c r="K303" s="3">
        <f>1089.7+(209.6-312.2)+(0+(0-0))+0-326.6-0</f>
        <v>660.5</v>
      </c>
      <c r="L303" s="3">
        <f>1088.7+(248-290.7)+(-1.110474+(-0.25296--0.296514))+0-326.1--0.332622000000052</f>
        <v>719.16570200000001</v>
      </c>
      <c r="M303" s="3">
        <f>1082.9+(286.4-286)+(0.552279+(0.146064-0.14586))+0-323.7-0.165086999999967</f>
        <v>759.9873960000001</v>
      </c>
      <c r="N303" s="3">
        <f>1077.3+(306.3-372.1)+(1.098846+(0.312426-0.379542))+0-322-0.328440000000051</f>
        <v>690.20329000000004</v>
      </c>
      <c r="O303" s="3">
        <f>1070.6+(347.1-343.8)+(1.638018+(0.531063-0.526014))+0-323.1-0.494343000000019</f>
        <v>751.94872399999974</v>
      </c>
      <c r="P303" s="3">
        <f>1068.7+(373.3-381.6)+(-1.090074+(-0.380766--0.389232))+0-326.3--0.332826000000052</f>
        <v>733.35121800000024</v>
      </c>
      <c r="Q303" s="3">
        <f>1066.8+(369.5-376.9)+(1.088136+(0.37689-0.384438))+0-327.2-0.333744000000052</f>
        <v>732.94684400000006</v>
      </c>
      <c r="R303" s="3">
        <f>1064+(374.2-350.6)+(-1.62792+(-0.572526--0.536418))+0-326.6--0.499698000000019</f>
        <v>759.83566999999994</v>
      </c>
      <c r="S303" s="3">
        <f>1064.9+(338.6-383.2)+(0.543099+(0.172686-0.195432))+0-323.3-0.164882999999967</f>
        <v>697.3554700000002</v>
      </c>
      <c r="T303" s="3">
        <f>1067.6+(327.2-389.8)+(-1.633428+(-0.500616--0.596394))+0-264.7--0.404991000000015</f>
        <v>739.16734099999996</v>
      </c>
      <c r="U303" s="3">
        <f>1069.6+(259.2-434.3)+(-1.090992+(-0.264384--0.442986))+0-211.4--0.215628000000034</f>
        <v>682.40323799999999</v>
      </c>
      <c r="V303" s="3">
        <f>1071.3+(328.8-306.2)+(-0.546363+(-0.167688--0.156162))+0-321.8--0.164117999999967</f>
        <v>771.70622900000012</v>
      </c>
      <c r="W303" s="3">
        <f>1070.6+(409.4-338.8)+(0+(0-0))+0-333.9-0</f>
        <v>807.29999999999984</v>
      </c>
      <c r="X303" s="3">
        <f>1070.7+(414.6-309.3)+(-1.638171+(-0.634338--0.473229))+0-333.2--0.509796000000019</f>
        <v>841.51051600000005</v>
      </c>
      <c r="Y303" s="3">
        <f>1072.7+(385.9-314.4)+(-1.641231+(-0.590427--0.481032))+0-330.3--0.505359000000019</f>
        <v>812.65473300000008</v>
      </c>
      <c r="Z303" s="3">
        <f>1077.2+(359.6-338.1)+(-1.098744+(-0.366792--0.344862))+0-332.8--0.339456000000053</f>
        <v>765.11878200000012</v>
      </c>
      <c r="AA303" s="3">
        <f>1081.5+(340.2-337.5)+(-1.10313+(-0.347004--0.34425))+0-330.7--0.337314000000053</f>
        <v>752.73143000000005</v>
      </c>
      <c r="AB303" s="3">
        <f>1082.9+(276.9-335.2)+(-1.656837+(-0.423657--0.512856))+0-329.1--0.503523000000019</f>
        <v>694.4358850000001</v>
      </c>
      <c r="AC303" s="3">
        <f>1037.4+(256.2-295.8)+(-1.587222+(-0.391986--0.452574))+0-329--0.503370000000019</f>
        <v>667.77673600000014</v>
      </c>
      <c r="AD303" s="2">
        <v>875.59999999999991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801.3+(315-177.1)+(-1.634652+(-0.6426--0.361284))+0-328--0.669119999999986</f>
        <v>609.95315199999993</v>
      </c>
      <c r="G304" s="3">
        <f>685.6+(393-133.8)+(0+(0-0))+0-327.8-0</f>
        <v>617</v>
      </c>
      <c r="H304" s="3">
        <f>706.4+(350.4-130.7)+(-1.80132+(-0.89352--0.333285))+0-330.9--0.843794999999952</f>
        <v>593.68223999999998</v>
      </c>
      <c r="I304" s="3">
        <f>708.1+(366.6-136.9)+(-1.083393+(-0.560898--0.209457))+0-327.3--0.500769000000019</f>
        <v>609.56593500000008</v>
      </c>
      <c r="J304" s="3">
        <f>705.9+(386.7-158.6)+(0.360009+(0.197217-0.080886))+0-327.8-0.167177999999967</f>
        <v>606.50916200000006</v>
      </c>
      <c r="K304" s="3">
        <f>699.9+(445.5-219.5)+(1.427796+(0.90882-0.44778))+0-325.3-0.663611999999986</f>
        <v>601.82522400000005</v>
      </c>
      <c r="L304" s="3">
        <f>703.3+(507.9-191.5)+(-0.717366+(-0.518058--0.19533))+0-323.1--0.329562000000052</f>
        <v>695.88946799999997</v>
      </c>
      <c r="M304" s="3">
        <f>696.8+(514.3-209.4)+(-0.355368+(-0.262293--0.106794))+0-323.2--0.164831999999967</f>
        <v>678.15396499999997</v>
      </c>
      <c r="N304" s="3">
        <f>693.7+(534.6-223.4)+(0+(0-0))+0-323.7-0</f>
        <v>681.2</v>
      </c>
      <c r="O304" s="3">
        <f>691.7+(590.8-214.9)+(0.352767+(0.301308-0.109599))+0-322.1-0.164270999999967</f>
        <v>745.88020499999993</v>
      </c>
      <c r="P304" s="3">
        <f>690.7+(581.6-218.5)+(1.056771+(0.889848-0.334305))+0-323.2-0.494496000000019</f>
        <v>731.71781800000008</v>
      </c>
      <c r="Q304" s="3">
        <f>690.8+(592.2-215.3)+(-0.704616+(-0.604044--0.219606))+0-324.9--0.331398000000052</f>
        <v>742.04234400000007</v>
      </c>
      <c r="R304" s="3">
        <f>689.1+(573.2-211.8)+(-0.702882+(-0.584664--0.216036))+0-325.6--0.332112000000052</f>
        <v>724.16060200000004</v>
      </c>
      <c r="S304" s="3">
        <f>735.4+(487-210)+(-0.375054+(-0.24837--0.1071))+0-325.9--0.166208999999967</f>
        <v>686.14988499999993</v>
      </c>
      <c r="T304" s="3">
        <f>686+(486.6-195.9)+(0+(0-0))+0-324.4-0</f>
        <v>652.30000000000007</v>
      </c>
      <c r="U304" s="3">
        <f>687.7+(520.1-183.6)+(-0.701454+(-0.530502--0.187272))+0-324.8--0.331296000000052</f>
        <v>698.6866120000002</v>
      </c>
      <c r="V304" s="3">
        <f>689.9+(492.1-198.6)+(0+(0-0))+0-327.4-0</f>
        <v>656</v>
      </c>
      <c r="W304" s="3">
        <f>691.4+(564.4-213.6)+(-0.352614+(-0.287844--0.108936))+0-324.3--0.165392999999967</f>
        <v>717.53387099999986</v>
      </c>
      <c r="X304" s="3">
        <f>692.6+(584.4-236.4)+(-1.059678+(-0.894132--0.361692))+0-325.9--0.498627000000019</f>
        <v>713.60650899999996</v>
      </c>
      <c r="Y304" s="3">
        <f>693.4+(607.8-206.6)+(-0.707268+(-0.619956--0.210732))+0-326.5--0.333030000000052</f>
        <v>767.31653799999981</v>
      </c>
      <c r="Z304" s="3">
        <f>693.6+(542.1-196)+(0.353736+(0.276471-0.09996))+0-329-0.167789999999967</f>
        <v>711.06245699999999</v>
      </c>
      <c r="AA304" s="3">
        <f>694.2+(530.8-169.9)+(-0.354042+(-0.270708--0.086649))+0-326--0.166259999999967</f>
        <v>728.72815899999978</v>
      </c>
      <c r="AB304" s="3">
        <f>694.6+(466-156.6)+(-1.77123+(-1.1883--0.39933))+0-322.9--0.823394999999953</f>
        <v>679.36319500000002</v>
      </c>
      <c r="AC304" s="3">
        <f>696.4+(460.6-134.2)+(-1.77582+(-1.17453--0.34221))+0-325.7--0.830534999999953</f>
        <v>695.3223949999998</v>
      </c>
      <c r="AD304" s="2">
        <v>719.59999999999991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697.9+(368.5-155)+(-1.423716+(-0.75174--0.3162))+0-324.4--0.661775999999986</f>
        <v>585.80252000000007</v>
      </c>
      <c r="G305" s="3">
        <f>698.2+(332.3-169.3)+(-1.78041+(-0.847365--0.431715))+0-323.8--0.825689999999953</f>
        <v>536.02963000000011</v>
      </c>
      <c r="H305" s="3">
        <f>667+(372.1-147.5)+(-1.36068+(-0.759084--0.3009))+0-325.1--0.663203999999986</f>
        <v>565.34433999999999</v>
      </c>
      <c r="I305" s="3">
        <f>666.3+(402.4-177.7)+(0.339813+(0.205224-0.090627))+0-322.9-0.164678999999967</f>
        <v>568.3897310000001</v>
      </c>
      <c r="J305" s="3">
        <f>666.2+(434.1-174)+(-0.339762+(-0.221391--0.08874))+0-321.1--0.163760999999967</f>
        <v>604.89134800000011</v>
      </c>
      <c r="K305" s="3">
        <f>666.1+(514.3-191.9)+(0.679422+(0.524586-0.195738))+0-319.7-0.326094000000051</f>
        <v>669.48217599999998</v>
      </c>
      <c r="L305" s="3">
        <f>667+(566.5-229.7)+(-0.68034+(-0.57783--0.234294))+0-318.6--0.324972000000051</f>
        <v>684.50109599999996</v>
      </c>
      <c r="M305" s="3">
        <f>672.7+(540.6-258.5)+(-1.029231+(-0.827118--0.395505))+0-318--0.486540000000018</f>
        <v>635.82569600000011</v>
      </c>
      <c r="N305" s="3">
        <f>700+(556.9-273.4)+(-0.357+(-0.284019--0.139434))+0-317.7--0.162026999999968</f>
        <v>665.46044199999994</v>
      </c>
      <c r="O305" s="3">
        <f>701+(607.7-274.7)+(0.71502+(0.619854-0.280194))+0-318.6-0.324972000000051</f>
        <v>716.12970799999994</v>
      </c>
      <c r="P305" s="3">
        <f>698.1+(664.1-264.2)+(0+(0-0))+0-321.1-0</f>
        <v>776.9</v>
      </c>
      <c r="Q305" s="3">
        <f>696.1+(670.1-268.9)+(-1.065033+(-1.025253--0.411417))+0-320.8--0.490824000000019</f>
        <v>775.31195500000013</v>
      </c>
      <c r="R305" s="3">
        <f>693.7+(680.5-262.6)+(0+(0-0))+0-320.1-0</f>
        <v>791.49999999999989</v>
      </c>
      <c r="S305" s="3">
        <f>692.4+(635.6-248.6)+(-0.353124+(-0.324156--0.126786))+0-319.1--0.162740999999968</f>
        <v>759.91224699999998</v>
      </c>
      <c r="T305" s="3">
        <f>692.1+(563.9-240.1)+(0.705942+(0.575178-0.244902))+0-319.3-0.325686000000051</f>
        <v>697.31053199999985</v>
      </c>
      <c r="U305" s="3">
        <f>697.3+(544.1-249.8)+(-0.711246+(-0.554982--0.254796))+0-319.3--0.325686000000051</f>
        <v>671.61425399999996</v>
      </c>
      <c r="V305" s="3">
        <f>698.8+(570.1-276.3)+(-0.356388+(-0.290751--0.140913))+0-319.7--0.163046999999968</f>
        <v>672.5568209999999</v>
      </c>
      <c r="W305" s="3">
        <f>696+(721.6-295.3)+(0.35496+(0.368016-0.150603))+0-321.9-0.164168999999967</f>
        <v>800.80820399999993</v>
      </c>
      <c r="X305" s="3">
        <f>743.4+(726.8-288.8)+(-0.758268+(-0.741336--0.294576))+0-323.1--0.329562000000052</f>
        <v>857.42453399999977</v>
      </c>
      <c r="Y305" s="3">
        <f>884.2+(560.5-283.1)+(0+(0-0))+0-323.2-0</f>
        <v>838.39999999999986</v>
      </c>
      <c r="Z305" s="3">
        <f>950.8+(469.3-269.1)+(-0.969816+(-0.478686--0.274482))+0-322.3--0.328746000000051</f>
        <v>827.85472600000014</v>
      </c>
      <c r="AA305" s="3">
        <f>952.2+(420.7-249.7)+(0.485622+(0.214557-0.127347))+0-320.7-0.163556999999967</f>
        <v>802.90927500000009</v>
      </c>
      <c r="AB305" s="3">
        <f>943.3+(364.9-229.8)+(0.962166+(0.372198-0.234396))+0-320.2-0.326604000000051</f>
        <v>758.97336399999972</v>
      </c>
      <c r="AC305" s="3">
        <f>837.9+(392.3-188.9)+(-0.854658+(-0.400146--0.192678))+0-320--0.326400000000051</f>
        <v>720.56427399999995</v>
      </c>
      <c r="AD305" s="2">
        <v>840.50000000000011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837.8+(268.2-192.3)+(0+(0-0))+0-319.9-0</f>
        <v>593.79999999999995</v>
      </c>
      <c r="G306" s="3">
        <f>841.7+(261-173.3)+(0.429267+(0.13311-0.088383))+0-320.6-0.163505999999967</f>
        <v>609.11048800000003</v>
      </c>
      <c r="H306" s="3">
        <f>838.4+(217.7-185.3)+(-1.282752+(-0.333081--0.283509))+0-321.7--0.492201000000019</f>
        <v>548.25987699999996</v>
      </c>
      <c r="I306" s="3">
        <f>832.7+(212.7-195.9)+(0.849354+(0.216954-0.199818))+0-321.6-0.328032000000051</f>
        <v>528.43845799999997</v>
      </c>
      <c r="J306" s="3">
        <f>831.7+(225.3-205.8)+(0.848334+(0.229806-0.209916))+0-320.4-0.326808000000051</f>
        <v>531.34141600000009</v>
      </c>
      <c r="K306" s="3">
        <f>832.4+(198-238.7)+(0.849048+(0.20196-0.243474))+0-205.7-0.209814000000033</f>
        <v>586.59771999999998</v>
      </c>
      <c r="L306" s="3">
        <f>838+(368-244.5)+(0+(0-0))+0-320.5-0</f>
        <v>641</v>
      </c>
      <c r="M306" s="3">
        <f>921.7+(331.8-266.7)+(-0.470067+(-0.169218--0.136017))+0-321.6--0.164015999999967</f>
        <v>664.86074799999994</v>
      </c>
      <c r="N306" s="3">
        <f>921+(298.2-259.4)+(0.46971+(0.152082-0.132294))+0-321.1-0.163760999999967</f>
        <v>639.02573699999994</v>
      </c>
      <c r="O306" s="3">
        <f>919.6+(287.9-244.3)+(0+(0-0))+0-323.3-0</f>
        <v>639.90000000000009</v>
      </c>
      <c r="P306" s="3">
        <f>921.1+(300.6-246.2)+(0+(0-0))+0-325.9-0</f>
        <v>649.6</v>
      </c>
      <c r="Q306" s="3">
        <f>915.1+(302.6-235.7)+(-0.466701+(-0.154326--0.120207))+0-322.6--0.164525999999967</f>
        <v>659.06370600000002</v>
      </c>
      <c r="R306" s="3">
        <f>915.3+(324.1-202)+(-1.400409+(-0.495873--0.30906))+0-323.1--0.494343000000019</f>
        <v>713.20712100000003</v>
      </c>
      <c r="S306" s="3">
        <f>914.9+(309.3-182.8)+(-0.466599+(-0.157743--0.093228))+0-322.4--0.164423999999967</f>
        <v>718.63331000000017</v>
      </c>
      <c r="T306" s="3">
        <f>925+(298.9-198.1)+(-0.9435+(-0.304878--0.202062))+0-321.1--0.327522000000051</f>
        <v>703.98120600000004</v>
      </c>
      <c r="U306" s="3">
        <f>918.9+(322.3-189.8)+(0.937278+(0.328746-0.193596))+0-320-0.326400000000051</f>
        <v>732.146028</v>
      </c>
      <c r="V306" s="3">
        <f>919.6+(349.7-204.4)+(-0.468996+(-0.178347--0.104244))+0-320.4--0.163403999999967</f>
        <v>744.12030500000014</v>
      </c>
      <c r="W306" s="3">
        <f>918.6+(397.9-257.1)+(0+(0-0))+0-322.2-0</f>
        <v>737.2</v>
      </c>
      <c r="X306" s="3">
        <f>918.5+(436.7-260.5)+(-0.468435+(-0.222717--0.132855))+0-323.6--0.165035999999967</f>
        <v>770.70673899999997</v>
      </c>
      <c r="Y306" s="3">
        <f>918.4+(468.3-234.4)+(-1.405152+(-0.716499--0.358632))+0-322.7--0.493731000000019</f>
        <v>828.33071199999995</v>
      </c>
      <c r="Z306" s="3">
        <f>915.9+(443.5-213.2)+(0+(0-0))+0-325.4-0</f>
        <v>820.80000000000007</v>
      </c>
      <c r="AA306" s="3">
        <f>926.4+(394.8-194.5)+(0+(0-0))+0-324.9-0</f>
        <v>801.80000000000007</v>
      </c>
      <c r="AB306" s="3">
        <f>924.9+(333.6-177.9)+(-1.886796+(-0.680544--0.362916))+0-324.3--0.661571999999986</f>
        <v>754.75714799999992</v>
      </c>
      <c r="AC306" s="3">
        <f>803.7+(384.4-140.6)+(-2.049435+(-0.98022--0.35853))+0-323.9--0.825944999999953</f>
        <v>721.75481999999988</v>
      </c>
      <c r="AD306" s="2">
        <v>856.80000000000018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795+(364.4-141.6)+(0+(0-0))+0-324.1-0</f>
        <v>693.69999999999993</v>
      </c>
      <c r="G307" s="3">
        <f>793.6+(288.6-163.4)+(0.404736+(0.147186-0.083334))+0-324.3-0.165392999999967</f>
        <v>594.80319499999996</v>
      </c>
      <c r="H307" s="3">
        <f>798.9+(266-162.8)+(0+(0-0))+0-324.8-0</f>
        <v>577.29999999999995</v>
      </c>
      <c r="I307" s="3">
        <f>798.2+(265.2-159.9)+(-1.221246+(-0.405756--0.244647))+0-324.7--0.496791000000019</f>
        <v>577.91443600000002</v>
      </c>
      <c r="J307" s="3">
        <f>823+(267.8-163.6)+(-1.67892+(-0.546312--0.333744))+0-324.3--0.661571999999986</f>
        <v>601.67008400000009</v>
      </c>
      <c r="K307" s="3">
        <f>919.4+(253.2-195)+(1.875576+(0.516528-0.3978))+0-323.6-0.660143999999986</f>
        <v>655.33416</v>
      </c>
      <c r="L307" s="3">
        <f>939.3+(340.1-214.2)+(-0.479043+(-0.173451--0.109242))+0-323.3--0.164882999999967</f>
        <v>741.52163100000007</v>
      </c>
      <c r="M307" s="3">
        <f>941+(374.3-227.7)+(-0.95982+(-0.381786--0.232254))+0-321.6--0.328032000000051</f>
        <v>765.21867999999995</v>
      </c>
      <c r="N307" s="3">
        <f>938.2+(348.4-239)+(-0.478482+(-0.177684--0.12189))+0-319.6--0.162995999999968</f>
        <v>727.62871999999982</v>
      </c>
      <c r="O307" s="3">
        <f>935.7+(315.8-244)+(1.431621+(0.483174-0.37332))+0-324.2-0.496026000000019</f>
        <v>684.34544899999992</v>
      </c>
      <c r="P307" s="3">
        <f>930.6+(379.7-230.6)+(0.949212+(0.387294-0.235212))+0-322.9-0.329358000000051</f>
        <v>757.57193600000005</v>
      </c>
      <c r="Q307" s="3">
        <f>936.5+(365.3-241.9)+(-0.95523+(-0.372606--0.246738))+0-321.8--0.328236000000051</f>
        <v>737.34713800000009</v>
      </c>
      <c r="R307" s="3">
        <f>937.8+(358.6-239.8)+(-1.913112+(-0.731544--0.489192))+0-324.1--0.661163999999986</f>
        <v>731.00569999999993</v>
      </c>
      <c r="S307" s="3">
        <f>931.1+(399.7-259.4)+(0.949722+(0.407694-0.264588))+0-323.1-0.329562000000052</f>
        <v>749.06326600000011</v>
      </c>
      <c r="T307" s="3">
        <f>928.6+(388.3-300.5)+(0.473586+(0.198033-0.153255))+0-323-0.164729999999967</f>
        <v>693.75363400000015</v>
      </c>
      <c r="U307" s="3">
        <f>928.6+(379.4-262.1)+(-2.36793+(-0.96747--0.668355))+0-322.3--0.821864999999953</f>
        <v>721.75482000000022</v>
      </c>
      <c r="V307" s="3">
        <f>933.3+(381.2-267.9)+(0.475983+(0.194412-0.136629))+0-319.8-0.163097999999968</f>
        <v>727.17066799999998</v>
      </c>
      <c r="W307" s="3">
        <f>934.8+(469.2-274.5)+(1.430244+(0.717876-0.419985))+0-323-0.494190000000019</f>
        <v>807.73394500000006</v>
      </c>
      <c r="X307" s="3">
        <f>941.3+(455.2-277.9)+(-0.480063+(-0.232152--0.141729))+0-322.8--0.164627999999967</f>
        <v>795.39414199999987</v>
      </c>
      <c r="Y307" s="3">
        <f>943.2+(463.9-250.9)+(-1.443096+(-0.709767--0.383877))+0-323.4--0.494802000000019</f>
        <v>831.52581600000008</v>
      </c>
      <c r="Z307" s="3">
        <f>944.9+(411.5-235.5)+(-1.445697+(-0.629595--0.360315))+0-323.3--0.494649000000019</f>
        <v>796.37967200000003</v>
      </c>
      <c r="AA307" s="3">
        <f>945.3+(373.4-213.7)+(-1.928412+(-0.761736--0.435948))+0-324.9--0.662795999999986</f>
        <v>778.5085959999999</v>
      </c>
      <c r="AB307" s="3">
        <f>945.6+(342.1-198)+(-1.446768+(-0.523413--0.30294))+0-323.2--0.494496000000019</f>
        <v>765.32725499999992</v>
      </c>
      <c r="AC307" s="3">
        <f>946.1+(278.4-182)+(-0.482511+(-0.141984--0.09282))+0-323.2--0.164831999999967</f>
        <v>718.93315699999994</v>
      </c>
      <c r="AD307" s="2">
        <v>761.50000000000011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946.1+(250.8-214.9)+(0+(0-0))+0-323.5-0</f>
        <v>658.5</v>
      </c>
      <c r="G308" s="3">
        <f>946.7+(285.2-236.8)+(-1.931268+(-0.581808--0.483072))+0-322.7--0.658307999999986</f>
        <v>671.02830400000016</v>
      </c>
      <c r="H308" s="3">
        <f>947.1+(222.6-200.2)+(0.966042+(0.227052-0.204204))+0-325.8-0.332316000000052</f>
        <v>644.3565739999998</v>
      </c>
      <c r="I308" s="3">
        <f>946.7+(209.6-216.6)+(0.482817+(0.106896-0.110466))+0-325.2-0.165851999999967</f>
        <v>614.81339500000001</v>
      </c>
      <c r="J308" s="3">
        <f>948.5+(216.7-216.7)+(-0.483735+(-0.110517--0.110517))+0-324.3--0.165392999999967</f>
        <v>623.88165800000002</v>
      </c>
      <c r="K308" s="3">
        <f>950.7+(219.8-283.7)+(0.484857+(0.112098-0.144687))+0-323.2-0.164831999999967</f>
        <v>563.88743600000021</v>
      </c>
      <c r="L308" s="3">
        <f>952.3+(307.8-258.1)+(0+(0-0))+0-322.5-0</f>
        <v>679.5</v>
      </c>
      <c r="M308" s="3">
        <f>949+(345.4-243.6)+(1.93596+(0.704616-0.496944))+0-319.6-0.651983999999986</f>
        <v>732.69164799999999</v>
      </c>
      <c r="N308" s="3">
        <f>942.8+(381.9-273.2)+(0.961656+(0.389538-0.278664))+0-317.5-0.323850000000051</f>
        <v>734.74867999999981</v>
      </c>
      <c r="O308" s="3">
        <f>939.8+(355.2-268)+(-0.958596+(-0.362304--0.27336))+0-319.7--0.326094000000051</f>
        <v>706.57855399999994</v>
      </c>
      <c r="P308" s="3">
        <f>938.9+(411.6-258.7)+(0.478839+(0.209916-0.131937))+0-322.6-0.164525999999967</f>
        <v>769.59229199999993</v>
      </c>
      <c r="Q308" s="3">
        <f>937.3+(417.1-258.9)+(-0.478023+(-0.212721--0.132039))+0-326.2--0.166361999999967</f>
        <v>768.90765699999997</v>
      </c>
      <c r="R308" s="3">
        <f>937.6+(380.5-280.6)+(-1.912704+(-0.77622--0.572424))+0-327.6--0.668303999999986</f>
        <v>708.45180399999992</v>
      </c>
      <c r="S308" s="3">
        <f>938.6+(351.8-315.7)+(-1.914744+(-0.717672--0.644028))+0-323.2--0.659327999999986</f>
        <v>650.17093999999997</v>
      </c>
      <c r="T308" s="3">
        <f>937.7+(331.9-317.6)+(-0.956454+(-0.338538--0.323952))+0-322.5--0.328950000000051</f>
        <v>628.85791000000006</v>
      </c>
      <c r="U308" s="3">
        <f>938.7+(324.6-318.2)+(-0.957474+(-0.331092--0.324564))+0-320.3--0.326706000000051</f>
        <v>624.16270400000008</v>
      </c>
      <c r="V308" s="3">
        <f>937.1+(331-328.9)+(0+(0-0))+0-323.1-0</f>
        <v>616.1</v>
      </c>
      <c r="W308" s="3">
        <f>938.9+(375.6-297.8)+(0.957678+(0.383112-0.303756))+0-323.9-0.330378000000052</f>
        <v>693.50665600000002</v>
      </c>
      <c r="X308" s="3">
        <f>940.2+(391.1-286.3)+(0+(0-0))+0-324.4-0</f>
        <v>720.6</v>
      </c>
      <c r="Y308" s="3">
        <f>947.3+(366.7-280)+(-0.966246+(-0.374034--0.2856))+0-323.7--0.330174000000052</f>
        <v>709.57549400000005</v>
      </c>
      <c r="Z308" s="3">
        <f>950.7+(341.2-273.1)+(-2.424285+(-0.87006--0.696405))+0-323.4--0.824669999999953</f>
        <v>693.62672999999995</v>
      </c>
      <c r="AA308" s="3">
        <f>947.5+(336.1-254.2)+(-0.483225+(-0.171411--0.129642))+0-324.9--0.165698999999967</f>
        <v>704.14070500000003</v>
      </c>
      <c r="AB308" s="3">
        <f>939.2+(318.9-238.7)+(-1.436976+(-0.487917--0.365211))+0-323.6--0.495108000000019</f>
        <v>694.73542600000019</v>
      </c>
      <c r="AC308" s="3">
        <f>939.5+(262.6-230.9)+(-0.95829+(-0.267852--0.235518))+0-323.2--0.329664000000052</f>
        <v>647.33904000000007</v>
      </c>
      <c r="AD308" s="2">
        <v>627.90000000000009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944.2+(279.9-235)+(-1.926168+(-0.570996--0.4794))+0-323.4--0.659735999999986</f>
        <v>664.34197199999994</v>
      </c>
      <c r="G309" s="3">
        <f>929.8+(261.4-280.4)+(-1.422594+(-0.399942--0.429012))+0-322.8--0.493884000000019</f>
        <v>587.10035999999991</v>
      </c>
      <c r="H309" s="3">
        <f>917.9+(266-211.9)+(-0.468129+(-0.13566--0.108069))+0-324.5--0.165494999999967</f>
        <v>647.16977499999996</v>
      </c>
      <c r="I309" s="3">
        <f>916.1+(233.1-218.1)+(-0.467211+(-0.118881--0.111231))+0-324.8--0.165647999999967</f>
        <v>605.99078699999995</v>
      </c>
      <c r="J309" s="3">
        <f>918.1+(234.1-225.8)+(-0.936462+(-0.238782--0.230316))+0-324.7--0.331194000000052</f>
        <v>601.08626600000002</v>
      </c>
      <c r="K309" s="3">
        <f>919.7+(279.5-242.6)+(0.938094+(0.28509-0.247452))+0-322.2-0.328644000000051</f>
        <v>635.04708799999992</v>
      </c>
      <c r="L309" s="3">
        <f>932.5+(349.3-279.2)+(-0.95115+(-0.356286--0.284784))+0-322--0.328440000000051</f>
        <v>679.90578800000003</v>
      </c>
      <c r="M309" s="3">
        <f>946.7+(395.6-284.6)+(1.448451+(0.605268-0.435438))+0-321.6-0.492048000000019</f>
        <v>737.22623299999998</v>
      </c>
      <c r="N309" s="3">
        <f>942.6+(357.3-267.4)+(1.442178+(0.546669-0.409122))+0-322-0.492660000000019</f>
        <v>711.58706500000005</v>
      </c>
      <c r="O309" s="3">
        <f>939.2+(363.2-248.7)+(0.478992+(0.185232-0.126837))+0-324.5-0.165494999999967</f>
        <v>729.57189200000016</v>
      </c>
      <c r="P309" s="3">
        <f>938.8+(376.1-244.3)+(0.478788+(0.191811-0.124593))+0-323.3-0.164882999999967</f>
        <v>747.68112300000007</v>
      </c>
      <c r="Q309" s="3">
        <f>934.4+(375.6-220.1)+(-3.335808+(-1.340892--0.785757))+0-320.9--1.145613</f>
        <v>766.25467000000003</v>
      </c>
      <c r="R309" s="3">
        <f>927.2+(355.9-227)+(-1.418616+(-0.544527--0.34731))+0-320.2--0.489906000000018</f>
        <v>734.77407299999982</v>
      </c>
      <c r="S309" s="3">
        <f>929.9+(335.7-224.8)+(-2.845494+(-1.027242--0.687888))+0-319.8--0.978588000000037</f>
        <v>718.79373999999996</v>
      </c>
      <c r="T309" s="3">
        <f>928.5+(303.4-253.3)+(0+(0-0))+0-321.5-0</f>
        <v>657.09999999999991</v>
      </c>
      <c r="U309" s="3">
        <f>930.9+(313.8-245.6)+(-0.949518+(-0.320076--0.250512))+0-323.4--0.329868000000052</f>
        <v>675.01078600000005</v>
      </c>
      <c r="V309" s="3">
        <f>931.4+(325.7-257.6)+(0+(0-0))+0-323.8-0</f>
        <v>675.7</v>
      </c>
      <c r="W309" s="3">
        <f>933.9+(379-301.6)+(0.476289+(0.19329-0.153816))+0-323.9-0.165188999999967</f>
        <v>687.75057400000003</v>
      </c>
      <c r="X309" s="3">
        <f>937.6+(428.6-267.8)+(0+(0-0))+0-324.5-0</f>
        <v>773.90000000000009</v>
      </c>
      <c r="Y309" s="3">
        <f>938+(449.2-259.8)+(-1.91352+(-0.916368--0.529992))+0-321.6--0.656063999999986</f>
        <v>804.15616800000009</v>
      </c>
      <c r="Z309" s="3">
        <f>937.6+(398.2-262.4)+(-0.956352+(-0.406164--0.267648))+0-321.3--0.327726000000051</f>
        <v>751.33285800000033</v>
      </c>
      <c r="AA309" s="3">
        <f>937.3+(358.6-262.2)+(-2.868138+(-1.097316--0.802332))+0-320.7--0.981342000000037</f>
        <v>710.81822000000011</v>
      </c>
      <c r="AB309" s="3">
        <f>938.9+(327.9-267.8)+(-1.915356+(-0.668916--0.546312))+0-321.1--0.655043999999986</f>
        <v>676.51708399999995</v>
      </c>
      <c r="AC309" s="3">
        <f>942.9+(290.5-227.3)+(-2.404395+(-0.740775--0.579615))+0-322.9--0.823394999999953</f>
        <v>681.45783999999992</v>
      </c>
      <c r="AD309" s="2">
        <v>763.39999999999986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949.1+(228.9-200.5)+(-2.420205+(-0.583695--0.511275))+0-323.1--0.823904999999953</f>
        <v>652.73127999999997</v>
      </c>
      <c r="G310" s="3">
        <f>951.6+(210.7-213)+(-0.970632+(-0.214914--0.21726))+0-324.1--0.330582000000052</f>
        <v>624.56229599999995</v>
      </c>
      <c r="H310" s="3">
        <f>946.1+(204.1-209.1)+(-2.412555+(-0.520455--0.533205))+0-326.8--0.833339999999953</f>
        <v>612.73353499999985</v>
      </c>
      <c r="I310" s="3">
        <f>946.6+(195.5-186.7)+(1.448298+(0.299115-0.285651))+0-326.7-0.499851000000019</f>
        <v>629.66191100000015</v>
      </c>
      <c r="J310" s="3">
        <f>945.1+(180.4-213.5)+(1.446003+(0.276012-0.326655))+0-325.6-0.498168000000019</f>
        <v>587.297192</v>
      </c>
      <c r="K310" s="3">
        <f>945.3+(226.1-253.3)+(0+(0-0))+0-325.7-0</f>
        <v>592.39999999999986</v>
      </c>
      <c r="L310" s="3">
        <f>945.9+(306.8-289.5)+(0+(0-0))+0-325.6-0</f>
        <v>637.6</v>
      </c>
      <c r="M310" s="3">
        <f>945.3+(297.7-294.7)+(-0.482103+(-0.151827--0.150297))+0-322--0.164219999999967</f>
        <v>625.9805869999999</v>
      </c>
      <c r="N310" s="3">
        <f>946.4+(343.9-293.3)+(-0.482664+(-0.175389--0.149583))+0-328.8--0.167687999999967</f>
        <v>667.85921800000006</v>
      </c>
      <c r="O310" s="3">
        <f>942.6+(358.2-284.4)+(-0.480726+(-0.182682--0.145044))+0-328.2--0.167381999999967</f>
        <v>687.849018</v>
      </c>
      <c r="P310" s="3">
        <f>938.5+(380.7-263.8)+(0.95727+(0.388314-0.269076))+0-322.3-0.328746000000051</f>
        <v>733.84776200000022</v>
      </c>
      <c r="Q310" s="3">
        <f>933.8+(403.5-268.7)+(-0.476238+(-0.205785--0.137037))+0-325--0.165749999999967</f>
        <v>743.2207639999998</v>
      </c>
      <c r="R310" s="3">
        <f>921.3+(407.9-255.7)+(-1.879452+(-0.832116--0.521628))+0-323.9--0.660755999999986</f>
        <v>748.07081600000004</v>
      </c>
      <c r="S310" s="3">
        <f>947.7+(384.8-260)+(0+(0-0))+0-323.4-0</f>
        <v>749.1</v>
      </c>
      <c r="T310" s="3">
        <f>947.3+(374.7-245)+(0.483123+(0.191097-0.12495))+0-323.6-0.165035999999967</f>
        <v>753.78423399999997</v>
      </c>
      <c r="U310" s="3">
        <f>950.7+(364.3-267.9)+(-2.424285+(-0.928965--0.683145))+0-323--0.823649999999953</f>
        <v>722.25354500000014</v>
      </c>
      <c r="V310" s="3">
        <f>951.8+(356.9-308.4)+(-0.970836+(-0.364038--0.314568))+0-321.3--0.327726000000051</f>
        <v>678.30741999999998</v>
      </c>
      <c r="W310" s="3">
        <f>952.4+(449.6-306.7)+(1.457172+(0.687888-0.469251))+0-323.2-0.494496000000019</f>
        <v>773.28131299999995</v>
      </c>
      <c r="X310" s="3">
        <f>956.6+(466.3-280.7)+(-0.487866+(-0.237813--0.143157))+0-323.7--0.165086999999967</f>
        <v>818.08256500000005</v>
      </c>
      <c r="Y310" s="3">
        <f>957.9+(440.4-284.4)+(-0.488529+(-0.224604--0.145044))+0-322.6--0.164525999999967</f>
        <v>790.89643699999999</v>
      </c>
      <c r="Z310" s="3">
        <f>958.5+(430.5-273.3)+(-0.488835+(-0.219555--0.139383))+0-321.9--0.164168999999967</f>
        <v>793.39516200000003</v>
      </c>
      <c r="AA310" s="3">
        <f>961+(392.3-308.6)+(-1.47033+(-0.600219--0.472158))+0-322.4--0.493272000000019</f>
        <v>721.19488100000012</v>
      </c>
      <c r="AB310" s="3">
        <f>960.9+(369.5-253.3)+(-2.450295+(-0.942225--0.645915))+0-322.9--0.823394999999953</f>
        <v>752.27678999999989</v>
      </c>
      <c r="AC310" s="3">
        <f>820.5+(404.3-171.8)+(-2.092275+(-1.030965--0.43809))+0-323.6--0.825179999999953</f>
        <v>727.54002999999989</v>
      </c>
      <c r="AD310" s="2">
        <v>854.69999999999993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696.8+(444-157.2)+(-0.355368+(-0.22644--0.080172))+0-323--0.164729999999967</f>
        <v>660.26309399999991</v>
      </c>
      <c r="G311" s="3">
        <f>691.5+(433.3-151.8)+(-1.41066+(-0.883932--0.309672))+0-326.5--0.666059999999986</f>
        <v>645.18114000000003</v>
      </c>
      <c r="H311" s="3">
        <f>691.5+(371.3-134.1)+(0+(0-0))+0-326.2-0</f>
        <v>602.5</v>
      </c>
      <c r="I311" s="3">
        <f>691.8+(405.1-135.2)+(-1.058454+(-0.619803--0.206856))+0-326.1--0.498933000000019</f>
        <v>634.62753199999997</v>
      </c>
      <c r="J311" s="3">
        <f>693+(430.2-172.2)+(0.35343+(0.219402-0.087822))+0-321.7-0.164066999999967</f>
        <v>629.62094300000012</v>
      </c>
      <c r="K311" s="3">
        <f>693.1+(469.8-213.5)+(0.706962+(0.479196-0.21777))+0-321.7-0.328134000000051</f>
        <v>628.34025399999996</v>
      </c>
      <c r="L311" s="3">
        <f>693.4+(553.4-232)+(0+(0-0))+0-320.7-0</f>
        <v>694.09999999999991</v>
      </c>
      <c r="M311" s="3">
        <f>693+(515.6-226)+(0.70686+(0.525912-0.23052))+0-319.7-0.326094000000051</f>
        <v>663.57615800000008</v>
      </c>
      <c r="N311" s="3">
        <f>700.6+(546.6-228.6)+(0.357306+(0.278766-0.116586))+0-320.2-0.163301999999968</f>
        <v>698.75618400000008</v>
      </c>
      <c r="O311" s="3">
        <f>823.4+(426.5-245.2)+(0+(0-0))+0-320.9-0</f>
        <v>683.80000000000007</v>
      </c>
      <c r="P311" s="3">
        <f>839.6+(424.3-254.1)+(0.428196+(0.216393-0.129591))+0-322-0.164219999999967</f>
        <v>688.15077800000006</v>
      </c>
      <c r="Q311" s="3">
        <f>838.8+(424.1-251.2)+(-1.283364+(-0.648873--0.384336))+0-324.1--0.495873000000019</f>
        <v>686.54797200000007</v>
      </c>
      <c r="R311" s="3">
        <f>835.4+(407.1-240.2)+(-1.704216+(-0.830484--0.490008))+0-324.3--0.661571999999986</f>
        <v>676.61687999999981</v>
      </c>
      <c r="S311" s="3">
        <f>830.6+(398.4-249.6)+(-0.423606+(-0.203184--0.127296))+0-323.1--0.164780999999967</f>
        <v>655.96528699999988</v>
      </c>
      <c r="T311" s="3">
        <f>828.1+(408-243.6)+(-1.689324+(-0.83232--0.496944))+0-322.4--0.657695999999986</f>
        <v>668.73299599999996</v>
      </c>
      <c r="U311" s="3">
        <f>832.1+(358.2-237.3)+(-2.546226+(-1.096092--0.726138))+0-318.7--0.975222000000037</f>
        <v>632.35904200000004</v>
      </c>
      <c r="V311" s="3">
        <f>836.7+(377.7-232.8)+(0.426717+(0.192627-0.118728))+0-318.9-0.162638999999968</f>
        <v>663.03797700000007</v>
      </c>
      <c r="W311" s="3">
        <f>839.7+(471.4-271)+(0.856494+(0.480828-0.27642))+0-320.3-0.326706000000051</f>
        <v>720.53419599999984</v>
      </c>
      <c r="X311" s="3">
        <f>841.7+(486.9-266.8)+(0.429267+(0.248319-0.136068))+0-321.8-0.164117999999967</f>
        <v>740.37740000000008</v>
      </c>
      <c r="Y311" s="3">
        <f>850.3+(455.4-268.5)+(-2.168265+(-1.16127--0.684675))+0-321--0.818549999999953</f>
        <v>714.37368999999967</v>
      </c>
      <c r="Z311" s="3">
        <f>855.8+(437.5-259.1)+(-1.745832+(-0.8925--0.528564))+0-320.3--0.653411999999986</f>
        <v>712.44364399999984</v>
      </c>
      <c r="AA311" s="3">
        <f>857.3+(449.8-246)+(0.874446+(0.458796-0.25092))+0-321.3-0.327726000000051</f>
        <v>740.55459599999983</v>
      </c>
      <c r="AB311" s="3">
        <f>858.4+(421.7-230)+(-1.313352+(-0.645201--0.3519))+0-320.1--0.489753000000019</f>
        <v>728.8830999999999</v>
      </c>
      <c r="AC311" s="3">
        <f>859.3+(408.3-237.5)+(0+(0-0))+0-318.8-0</f>
        <v>711.3</v>
      </c>
      <c r="AD311" s="2">
        <v>703.39999999999986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798.6+(409.2-250.1)+(-0.814572+(-0.417384--0.255102))+0-319.9--0.326298000000051</f>
        <v>637.14944400000013</v>
      </c>
      <c r="G312" s="3">
        <f>794.6+(387.3-276.4)+(-1.620984+(-0.790092--0.563856))+0-320.4--0.653615999999986</f>
        <v>583.90639599999997</v>
      </c>
      <c r="H312" s="3">
        <f>799.7+(359.4-256.8)+(-1.631388+(-0.733176--0.523872))+0-322.8--0.658511999999986</f>
        <v>578.31781999999998</v>
      </c>
      <c r="I312" s="3">
        <f>799.7+(348.7-298.7)+(-0.407847+(-0.177837--0.152337))+0-322.4--0.164423999999967</f>
        <v>527.03107699999998</v>
      </c>
      <c r="J312" s="3">
        <f>793.4+(325.1-291.7)+(0+(0-0))+0-320.4-0</f>
        <v>506.4</v>
      </c>
      <c r="K312" s="3">
        <f>793.9+(355.4-319.1)+(1.214667+(0.543762-0.488223))+0-319.9-0.489447000000018</f>
        <v>511.08075899999994</v>
      </c>
      <c r="L312" s="3">
        <f>794.1+(430.3-364.7)+(-2.024955+(-1.097265--0.929985))+0-319.9--0.815744999999954</f>
        <v>538.42351000000008</v>
      </c>
      <c r="M312" s="3">
        <f>794.5+(440-369)+(-2.025975+(-1.122--0.94095))+0-319.1--0.813704999999954</f>
        <v>545.00667999999985</v>
      </c>
      <c r="N312" s="3">
        <f>767.2+(436.9-331.8)+(0.391272+(0.222819-0.169218))+0-318.8-0.162587999999968</f>
        <v>553.782285</v>
      </c>
      <c r="O312" s="3">
        <f>842.4+(442.1-353.3)+(-1.288872+(-0.676413--0.540549))+0-320.3--0.490059000000019</f>
        <v>609.9653229999999</v>
      </c>
      <c r="P312" s="3">
        <f>841.9+(492.4-307.3)+(0+(0-0))+0-322-0</f>
        <v>705</v>
      </c>
      <c r="Q312" s="3">
        <f>840.4+(493-310.4)+(-0.428604+(-0.25143--0.158304))+0-322--0.164219999999967</f>
        <v>700.64248999999995</v>
      </c>
      <c r="R312" s="3">
        <f>837.7+(470.2-306.4)+(-0.854454+(-0.479604--0.312528))+0-321.8--0.328236000000051</f>
        <v>679.00670600000012</v>
      </c>
      <c r="S312" s="3">
        <f>835+(470.5-278.2)+(-0.8517+(-0.47991--0.283764))+0-321--0.327420000000051</f>
        <v>705.57957400000009</v>
      </c>
      <c r="T312" s="3">
        <f>832.5+(456.1-287)+(-0.424575+(-0.232611--0.14637))+0-321.1--0.163760999999967</f>
        <v>680.15294500000005</v>
      </c>
      <c r="U312" s="3">
        <f>832.2+(436.1-324)+(-1.273266+(-0.667233--0.49572))+0-320.7--0.490671000000019</f>
        <v>622.645892</v>
      </c>
      <c r="V312" s="3">
        <f>833.4+(413.5-313.8)+(-0.425034+(-0.210885--0.160038))+0-320.6--0.163505999999967</f>
        <v>612.18762499999991</v>
      </c>
      <c r="W312" s="3">
        <f>834.7+(447.1-357.4)+(0+(0-0))+0-321.1-0</f>
        <v>603.30000000000007</v>
      </c>
      <c r="X312" s="3">
        <f>836.4+(490.7-334.7)+(-0.853128+(-0.500514--0.341394))+0-321.9--0.328338000000051</f>
        <v>669.81609000000003</v>
      </c>
      <c r="Y312" s="3">
        <f>840.6+(507.1-314.6)+(-2.572236+(-1.551726--0.962676))+0-321--0.982260000000037</f>
        <v>709.92097399999989</v>
      </c>
      <c r="Z312" s="3">
        <f>842+(470.4-320.6)+(-2.1471+(-1.19952--0.81753))+0-321.1--0.818804999999953</f>
        <v>668.98971499999993</v>
      </c>
      <c r="AA312" s="3">
        <f>843.7+(464.2-302.2)+(-1.721148+(-0.946968--0.616488))+0-319.9--0.652595999999986</f>
        <v>684.40096800000003</v>
      </c>
      <c r="AB312" s="3">
        <f>845.7+(439.7-278.3)+(-0.862614+(-0.448494--0.283866))+0-320.1--0.326502000000051</f>
        <v>686.29926</v>
      </c>
      <c r="AC312" s="3">
        <f>847+(389.1-323.3)+(-1.72788+(-0.793764--0.659532))+0-319.1--0.650963999999986</f>
        <v>592.48885199999984</v>
      </c>
      <c r="AD312" s="2">
        <v>753.7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848.5+(364.2-297.9)+(-0.432735+(-0.185742--0.151929))+0-319.6--0.162995999999968</f>
        <v>594.89644799999996</v>
      </c>
      <c r="G313" s="3">
        <f>847.8+(327.4-298.5)+(-1.297134+(-0.500922--0.456705))+0-320.7--0.490671000000019</f>
        <v>555.14931999999999</v>
      </c>
      <c r="H313" s="3">
        <f>847.9+(290-268)+(-0.864858+(-0.2958--0.27336))+0-321.4--0.327828000000051</f>
        <v>547.94053000000008</v>
      </c>
      <c r="I313" s="3">
        <f>846.5+(266.2-246.4)+(-1.72686+(-0.543048--0.502656))+0-321.9--0.656675999999986</f>
        <v>543.28942399999994</v>
      </c>
      <c r="J313" s="3">
        <f>850.5+(263.8-232.1)+(-0.433755+(-0.134538--0.118371))+0-320.4--0.163403999999967</f>
        <v>561.51348200000007</v>
      </c>
      <c r="K313" s="3">
        <f>851.6+(294-301.5)+(1.737264+(0.59976-0.61506))+0-320.3-0.653411999999986</f>
        <v>524.86855200000002</v>
      </c>
      <c r="L313" s="3">
        <f>850.7+(431.8-325)+(0+(0-0))+0-319.7-0</f>
        <v>637.79999999999995</v>
      </c>
      <c r="M313" s="3">
        <f>849.8+(415.8-306.6)+(-0.433398+(-0.212058--0.156366))+0-319.3--0.162842999999968</f>
        <v>639.37375299999997</v>
      </c>
      <c r="N313" s="3">
        <f>845.1+(424-326.7)+(-0.431001+(-0.21624--0.166617))+0-322--0.164219999999967</f>
        <v>620.08359600000006</v>
      </c>
      <c r="O313" s="3">
        <f>841.9+(443.1-325.6)+(0+(0-0))+0-324.7-0</f>
        <v>634.70000000000005</v>
      </c>
      <c r="P313" s="3">
        <f>840.2+(467.1-311.3)+(0.428502+(0.238221-0.158763))+0-325.2-0.165851999999967</f>
        <v>671.14210800000012</v>
      </c>
      <c r="Q313" s="3">
        <f>840.6+(445-315.8)+(-0.857412+(-0.4539--0.322116))+0-323--0.329460000000051</f>
        <v>646.140264</v>
      </c>
      <c r="R313" s="3">
        <f>837.1+(427.2-314)+(-2.561526+(-1.307232--0.96084))+0-322.5--0.986850000000037</f>
        <v>625.87893199999996</v>
      </c>
      <c r="S313" s="3">
        <f>834.8+(409.1-313.6)+(-2.12874+(-1.043205--0.79968))+0-322--0.821099999999953</f>
        <v>606.74883499999999</v>
      </c>
      <c r="T313" s="3">
        <f>832.9+(405.8-311)+(0+(0-0))+0-321.2-0</f>
        <v>606.5</v>
      </c>
      <c r="U313" s="3">
        <f>832.7+(410.2-291.7)+(-1.274031+(-0.627606--0.446301))+0-320.7--0.490671000000019</f>
        <v>629.53533500000003</v>
      </c>
      <c r="V313" s="3">
        <f>832.7+(410.1-319.8)+(1.274031+(0.627453-0.489294))+0-320.7-0.490671000000019</f>
        <v>603.22151899999994</v>
      </c>
      <c r="W313" s="3">
        <f>834.2+(455.6-375.8)+(1.701768+(0.929424-0.766632))+0-324.9-0.662795999999986</f>
        <v>590.30176400000005</v>
      </c>
      <c r="X313" s="3">
        <f>837.3+(472.7-357.9)+(-1.281069+(-0.723231--0.547587))+0-325.5--0.498015000000019</f>
        <v>625.64130199999988</v>
      </c>
      <c r="Y313" s="3">
        <f>839.5+(504-319)+(0+(0-0))+0-325-0</f>
        <v>699.5</v>
      </c>
      <c r="Z313" s="3">
        <f>842.3+(466.9-297.4)+(-0.859146+(-0.476238--0.303348))+0-325.2--0.331704000000052</f>
        <v>685.89966800000013</v>
      </c>
      <c r="AA313" s="3">
        <f>844.3+(403.3-278.1)+(-1.291779+(-0.617049--0.425493))+0-324.5--0.496485000000019</f>
        <v>644.01315</v>
      </c>
      <c r="AB313" s="3">
        <f>838.1+(356.2-285.5)+(-0.854862+(-0.363324--0.29121))+0-324.8--0.331296000000052</f>
        <v>583.4043200000001</v>
      </c>
      <c r="AC313" s="3">
        <f>841.7+(335.9-256)+(-1.717068+(-0.685236--0.52224))+0-324.6--0.662183999999986</f>
        <v>595.78212000000008</v>
      </c>
      <c r="AD313" s="2">
        <v>639.60000000000014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840.9+(322.2-242.8)+(-1.715436+(-0.657288--0.495312))+0-322.8--0.658511999999986</f>
        <v>596.28109999999992</v>
      </c>
      <c r="G314" s="3">
        <f>839.1+(291.9-234.4)+(-0.855882+(-0.297738--0.239088))+0-326--0.332520000000052</f>
        <v>570.01798800000006</v>
      </c>
      <c r="H314" s="3">
        <f>838.3+(288.2-227.3)+(-0.427533+(-0.146982--0.115923))+0-326.2--0.166361999999967</f>
        <v>572.70776999999998</v>
      </c>
      <c r="I314" s="3">
        <f>837.1+(245.2-225.9)+(0.853842+(0.250104-0.230418))+0-328.4-0.334968000000052</f>
        <v>528.53855999999996</v>
      </c>
      <c r="J314" s="3">
        <f>837+(259.5-237)+(-2.13435+(-0.661725--0.60435))+0-325.4--0.829769999999953</f>
        <v>532.73804499999994</v>
      </c>
      <c r="K314" s="3">
        <f>836.8+(335.9-268.9)+(2.13384+(0.856545-0.685695))+0-324.9-0.828494999999953</f>
        <v>580.37619500000005</v>
      </c>
      <c r="L314" s="3">
        <f>837.5+(372.1-288.8)+(0+(0-0))+0-323.8-0</f>
        <v>597</v>
      </c>
      <c r="M314" s="3">
        <f>838.3+(431.8-302.6)+(-1.282599+(-0.660654--0.462978))+0-321.3--0.491589000000019</f>
        <v>645.2113139999999</v>
      </c>
      <c r="N314" s="3">
        <f>834.8+(414.7-305.1)+(-0.851496+(-0.422994--0.311202))+0-321.9--0.328338000000051</f>
        <v>621.86504999999988</v>
      </c>
      <c r="O314" s="3">
        <f>831.6+(397-319.1)+(-1.272348+(-0.60741--0.488223))+0-321--0.491130000000019</f>
        <v>587.59959500000002</v>
      </c>
      <c r="P314" s="3">
        <f>831.5+(411.7-315.5)+(-0.84813+(-0.419934--0.32181))+0-322.2--0.328644000000051</f>
        <v>604.8823900000001</v>
      </c>
      <c r="Q314" s="3">
        <f>840.6+(412.6-256.4)+(-2.14353+(-1.05213--0.65382))+0-322.4--0.822119999999953</f>
        <v>672.68028000000004</v>
      </c>
      <c r="R314" s="3">
        <f>965.1+(387.1-369.7)+(-1.968804+(-0.789684--0.754188))+0-322.9--0.658715999999986</f>
        <v>658.25441600000011</v>
      </c>
      <c r="S314" s="3">
        <f>1076.1+(320.1-395.3)+(-2.195244+(-0.653004--0.806412))+0-321.3--0.655451999999986</f>
        <v>678.21361599999977</v>
      </c>
      <c r="T314" s="3">
        <f>1094.7+(254.6-389)+(-1.116594+(-0.259692--0.39678))+0-321--0.327420000000051</f>
        <v>638.64791400000013</v>
      </c>
      <c r="U314" s="3">
        <f>1097.8+(253.3-361.6)+(1.119756+(0.258366-0.368832))+0-319.5-0.325890000000051</f>
        <v>670.68339999999989</v>
      </c>
      <c r="V314" s="3">
        <f>1099.6+(303.7-426.7)+(0.560796+(0.154887-0.217617))+0-319.8-0.163097999999968</f>
        <v>657.13496799999984</v>
      </c>
      <c r="W314" s="3">
        <f>1099+(367.8-397.6)+(1.12098+(0.375156-0.405552))+0-321.4-0.327828000000051</f>
        <v>748.56275600000004</v>
      </c>
      <c r="X314" s="3">
        <f>1096.2+(370.7-358.4)+(-3.354372+(-1.134342--1.096704))+0-321.4--0.983484000000037</f>
        <v>784.69147400000008</v>
      </c>
      <c r="Y314" s="3">
        <f>1100+(363.9-322.4)+(-2.805+(-0.927945--0.82212))+0-321.1--0.818804999999953</f>
        <v>818.30798000000004</v>
      </c>
      <c r="Z314" s="3">
        <f>1104+(312-399.8)+(-1.68912+(-0.47736--0.611694))+0-321.7--0.492201000000019</f>
        <v>693.4374150000001</v>
      </c>
      <c r="AA314" s="3">
        <f>1087.5+(305.8-369.3)+(-0.554625+(-0.155958--0.188343))+0-321.7--0.164066999999967</f>
        <v>701.94182699999988</v>
      </c>
      <c r="AB314" s="3">
        <f>1083.8+(284.6-401.3)+(-1.105476+(-0.290292--0.409326))+0-321.1--0.327522000000051</f>
        <v>645.34107999999992</v>
      </c>
      <c r="AC314" s="3">
        <f>1120.5+(270.7-427.9)+(-2.857275+(-0.690285--1.091145))+0-321.7--0.820334999999953</f>
        <v>639.96392000000003</v>
      </c>
      <c r="AD314" s="2">
        <v>769.4000000000002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1120.1+(232.4-437.4)+(-1.142502+(-0.237048--0.446148))+0-323.2--0.329664000000052</f>
        <v>591.29626200000007</v>
      </c>
      <c r="G315" s="3">
        <f>1120.7+(225.8-443.5)+(-1.714671+(-0.345474--0.678555))+0-323.7--0.495261000000019</f>
        <v>578.41367100000002</v>
      </c>
      <c r="H315" s="3">
        <f>1122.4+(209.5-367.4)+(0+(0-0))+0-323.1-0</f>
        <v>641.40000000000009</v>
      </c>
      <c r="I315" s="3">
        <f>1122.2+(193.9-399.6)+(-1.144644+(-0.197778--0.407592))+0-323.4--0.329868000000052</f>
        <v>592.49503800000002</v>
      </c>
      <c r="J315" s="3">
        <f>1121.9+(178.3-347.3)+(0.572169+(0.090933-0.177123))+0-323.6-0.165035999999967</f>
        <v>629.62094300000012</v>
      </c>
      <c r="K315" s="3">
        <f>1123.1+(179.9-385.1)+(-0.572781+(-0.091749--0.196401))+0-324.1--0.165290999999967</f>
        <v>593.49716199999978</v>
      </c>
      <c r="L315" s="3">
        <f>1124.9+(203.6-366.8)+(-0.573699+(-0.103836--0.187068))+0-324--0.165239999999967</f>
        <v>637.374773</v>
      </c>
      <c r="M315" s="3">
        <f>1125.2+(195.8-369.9)+(0+(0-0))+0-321.7-0</f>
        <v>629.40000000000009</v>
      </c>
      <c r="N315" s="3">
        <f>1120.7+(245.6-421.8)+(0+(0-0))+0-323.4-0</f>
        <v>621.1</v>
      </c>
      <c r="O315" s="3">
        <f>1114.8+(277.7-467.2)+(-1.137096+(-0.283254--0.476544))+0-322.8--0.329256000000052</f>
        <v>601.88545000000011</v>
      </c>
      <c r="P315" s="3">
        <f>1110.7+(290.7-408.3)+(0+(0-0))+0-325.3-0</f>
        <v>667.8</v>
      </c>
      <c r="Q315" s="3">
        <f>1102.9+(312.3-423.9)+(-0.562479+(-0.159273--0.216189))+0-325.3--0.165902999999967</f>
        <v>665.66034000000002</v>
      </c>
      <c r="R315" s="3">
        <f>1104.1+(306.9-396.2)+(-2.815455+(-0.782595--1.01031))+0-324.9--0.828494999999953</f>
        <v>688.1407549999999</v>
      </c>
      <c r="S315" s="3">
        <f>1100.8+(265-371)+(0+(0-0))+0-325-0</f>
        <v>669.8</v>
      </c>
      <c r="T315" s="3">
        <f>1096.5+(263.5-378.8)+(-0.559215+(-0.134385--0.193188))+0-324.4--0.165443999999967</f>
        <v>656.46503200000006</v>
      </c>
      <c r="U315" s="3">
        <f>1100.4+(241.2-370.8)+(-1.122408+(-0.246024--0.378216))+0-323.6--0.330072000000052</f>
        <v>646.5398560000001</v>
      </c>
      <c r="V315" s="3">
        <f>1102.3+(258.1-353.8)+(0.562173+(0.131631-0.180438))+0-324.1-0.165290999999967</f>
        <v>682.84807499999999</v>
      </c>
      <c r="W315" s="3">
        <f>1106.2+(323.7-369)+(0.564162+(0.165087-0.18819))+0-324.7-0.165596999999967</f>
        <v>736.57546200000002</v>
      </c>
      <c r="X315" s="3">
        <f>1109.8+(337.9-370.5)+(-2.263992+(-0.689316--0.75582))+0-324.3--0.661571999999986</f>
        <v>751.36408399999982</v>
      </c>
      <c r="Y315" s="3">
        <f>1111.6+(327.8-331.8)+(-2.267664+(-0.668712--0.676872))+0-324.7--0.662387999999986</f>
        <v>781.30288399999972</v>
      </c>
      <c r="Z315" s="3">
        <f>1113.7+(315.1-371.5)+(-1.135974+(-0.321402--0.37893))+0-325.6--0.332112000000052</f>
        <v>730.95366600000023</v>
      </c>
      <c r="AA315" s="3">
        <f>1114.8+(308.2-390.7)+(-1.137096+(-0.314364--0.398514))+0-321.6--0.328032000000051</f>
        <v>709.97508599999992</v>
      </c>
      <c r="AB315" s="3">
        <f>1116.1+(285.8-334.9)+(-1.707633+(-0.437274--0.512397))+0-325.4--0.497862000000019</f>
        <v>740.46535200000017</v>
      </c>
      <c r="AC315" s="3">
        <f>1114.8+(279.2-382.8)+(-1.137096+(-0.284784--0.390456))+0-324.6--0.331092000000052</f>
        <v>685.89966799999991</v>
      </c>
      <c r="AD315" s="2">
        <v>766.00000000000011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1115.3+(256.2-404.2)+(-2.844015+(-0.65331--1.03071))+0-321.6--0.820079999999953</f>
        <v>644.05346499999985</v>
      </c>
      <c r="G316" s="3">
        <f>1116+(224.7-371.5)+(0+(0-0))+0-322.9-0</f>
        <v>646.30000000000007</v>
      </c>
      <c r="H316" s="3">
        <f>1114.5+(183.6-385.9)+(-2.841975+(-0.46818--0.984045))+0-326.3--0.832064999999953</f>
        <v>584.40595500000006</v>
      </c>
      <c r="I316" s="3">
        <f>1113.2+(148.2-316.6)+(-0.567732+(-0.075582--0.161466))+0-324.7--0.165596999999967</f>
        <v>619.78374899999994</v>
      </c>
      <c r="J316" s="3">
        <f>1115.1+(142.8-334.1)+(1.137402+(0.145656-0.340782))+0-324.6-0.331092000000052</f>
        <v>599.81118399999991</v>
      </c>
      <c r="K316" s="3">
        <f>1117.5+(160.8-368.3)+(1.13985+(0.164016-0.375666))+0-325.7-0.332214000000052</f>
        <v>584.89598599999999</v>
      </c>
      <c r="L316" s="3">
        <f>1118.7+(263.4-389.1)+(-1.711611+(-0.403002--0.595323))+0-323.4--0.494802000000019</f>
        <v>668.57551200000012</v>
      </c>
      <c r="M316" s="3">
        <f>1118.8+(237.8-418.1)+(-1.141176+(-0.242556--0.426462))+0-322.8--0.329256000000052</f>
        <v>615.07198600000004</v>
      </c>
      <c r="N316" s="3">
        <f>1115.6+(249.2-342.9)+(-0.568956+(-0.127092--0.174879))+0-324.1--0.165290999999967</f>
        <v>697.44412199999977</v>
      </c>
      <c r="O316" s="3">
        <f>1111.2+(297.6-329.5)+(1.700136+(0.455328-0.504135))+0-325.9-0.498627000000019</f>
        <v>754.55270200000018</v>
      </c>
      <c r="P316" s="3">
        <f>1110.9+(286.8-388.4)+(2.266236+(0.585072-0.792336))+0-326.6-0.666263999999986</f>
        <v>684.09270800000024</v>
      </c>
      <c r="Q316" s="3">
        <f>1110.6+(329-351.5)+(-0.566406+(-0.16779--0.179265))+0-326--0.166259999999967</f>
        <v>761.71132899999998</v>
      </c>
      <c r="R316" s="3">
        <f>1110.9+(322.9-346.5)+(-2.266236+(-0.658716--0.70686))+0-326.2--0.665447999999986</f>
        <v>759.54735600000004</v>
      </c>
      <c r="S316" s="3">
        <f>1110.4+(276.9-389.4)+(-2.265216+(-0.564876--0.794376))+0-324.5--0.661979999999986</f>
        <v>672.02626400000008</v>
      </c>
      <c r="T316" s="3">
        <f>1132.1+(273.1-349.9)+(0+(0-0))+0-324.7-0</f>
        <v>730.59999999999991</v>
      </c>
      <c r="U316" s="3">
        <f>1258+(230.4-483.3)+(-3.84948+(-0.705024--1.478898))+0-326.2--0.998172000000038</f>
        <v>676.82256600000005</v>
      </c>
      <c r="V316" s="3">
        <f>1259+(226-538)+(0+(0-0))+0-322.3-0</f>
        <v>624.70000000000005</v>
      </c>
      <c r="W316" s="3">
        <f>1261.8+(283.7-492.1)+(0+(0-0))+0-322.5-0</f>
        <v>730.89999999999986</v>
      </c>
      <c r="X316" s="3">
        <f>1265+(302.1-461.8)+(-3.22575+(-0.770355--1.17759))+0-322.6--0.822629999999953</f>
        <v>780.704115</v>
      </c>
      <c r="Y316" s="3">
        <f>1268+(297.1-437.2)+(-3.2334+(-0.757605--1.11486))+0-323.7--0.825434999999953</f>
        <v>802.14929000000006</v>
      </c>
      <c r="Z316" s="3">
        <f>1269.6+(287.3-445.7)+(-1.294992+(-0.293046--0.454614))+0-327.2--0.333744000000052</f>
        <v>783.20031999999969</v>
      </c>
      <c r="AA316" s="3">
        <f>1272+(262.9-467.8)+(-2.59488+(-0.536316--0.954312))+0-325.7--0.664427999999986</f>
        <v>739.88754399999982</v>
      </c>
      <c r="AB316" s="3">
        <f>1272.7+(241-467.6)+(-0.649077+(-0.12291--0.238476))+0-324.9--0.165698999999967</f>
        <v>720.83218799999986</v>
      </c>
      <c r="AC316" s="3">
        <f>1273.9+(219-498.8)+(-2.598756+(-0.44676--1.017552))+0-321.1--0.655043999999986</f>
        <v>671.62708000000009</v>
      </c>
      <c r="AD316" s="2">
        <v>844.4000000000002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1275.5+(169.1-464.5)+(-0.650505+(-0.086241--0.236895))+0-320.7--0.163556999999967</f>
        <v>659.06370600000002</v>
      </c>
      <c r="G317" s="3">
        <f>1275.8+(122.4-458.3)+(-0.650658+(-0.062424--0.233733))+0-321.5--0.163964999999967</f>
        <v>618.08461599999998</v>
      </c>
      <c r="H317" s="3">
        <f>1246.7+(106.5-420.8)+(0+(0-0))+0-322.2-0</f>
        <v>610.20000000000005</v>
      </c>
      <c r="I317" s="3">
        <f>1166+(119.1-352.1)+(-0.59466+(-0.060741--0.179571))+0-322--0.164219999999967</f>
        <v>610.68839000000003</v>
      </c>
      <c r="J317" s="3">
        <f>1165.7+(115.7-389.2)+(-1.783521+(-0.177021--0.595476))+0-321.6--0.492048000000019</f>
        <v>569.72698200000013</v>
      </c>
      <c r="K317" s="3">
        <f>1166.5+(156.5-357.5)+(0.594915+(0.079815-0.182325))+0-322.1-0.164270999999967</f>
        <v>643.72813399999995</v>
      </c>
      <c r="L317" s="3">
        <f>1166.7+(208.8-395.5)+(-1.190034+(-0.212976--0.40341))+0-322.7--0.329154000000051</f>
        <v>656.6295540000001</v>
      </c>
      <c r="M317" s="3">
        <f>1167.1+(230.1-396.6)+(-1.785663+(-0.352053--0.606798))+0-322.3--0.493119000000019</f>
        <v>677.26220099999978</v>
      </c>
      <c r="N317" s="3">
        <f>1227.1+(232.6-442)+(-1.251642+(-0.237252--0.45084))+0-323.8--0.330276000000052</f>
        <v>693.19222200000002</v>
      </c>
      <c r="O317" s="3">
        <f>1269.8+(246.7-543.1)+(-0.647598+(-0.125817--0.276981))+0-324.1--0.165290999999967</f>
        <v>648.96885699999973</v>
      </c>
      <c r="P317" s="3">
        <f>1265.3+(272.6-526.4)+(-1.935909+(-0.417078--0.805392))+0-320.9--0.490977000000019</f>
        <v>689.54338200000007</v>
      </c>
      <c r="Q317" s="3">
        <f>1264+(272.6-518)+(0+(0-0))+0-320.6-0</f>
        <v>698</v>
      </c>
      <c r="R317" s="3">
        <f>1259.1+(249-523)+(-2.568564+(-0.50796--1.06692))+0-320.8--0.654431999999986</f>
        <v>662.94482799999992</v>
      </c>
      <c r="S317" s="3">
        <f>1258.8+(220.1-538.2)+(-2.567952+(-0.449004--1.097928))+0-320.1--0.653003999999986</f>
        <v>619.33397599999989</v>
      </c>
      <c r="T317" s="3">
        <f>1260.3+(219.1-481)+(0.642753+(0.111741-0.24531))+0-320.6-0.163505999999967</f>
        <v>678.14567799999998</v>
      </c>
      <c r="U317" s="3">
        <f>1260.1+(214.3-443.7)+(-2.570604+(-0.437172--0.905148))+0-320.4--0.653615999999986</f>
        <v>708.85098799999969</v>
      </c>
      <c r="V317" s="3">
        <f>1261.3+(212.1-446.5)+(-0.643263+(-0.108171--0.227715))+0-320.3--0.163352999999968</f>
        <v>706.2396339999998</v>
      </c>
      <c r="W317" s="3">
        <f>1261.7+(280.6-468.9)+(1.286934+(0.286212-0.478278))+0-322.1-0.328542000000051</f>
        <v>752.06632599999989</v>
      </c>
      <c r="X317" s="3">
        <f>1266+(286.3-474.9)+(-0.64566+(-0.146013--0.242199))+0-323--0.164729999999967</f>
        <v>754.01525600000014</v>
      </c>
      <c r="Y317" s="3">
        <f>1270.6+(256-520.7)+(-1.944018+(-0.39168--0.796671))+0-322.6--0.493578000000019</f>
        <v>682.25455099999988</v>
      </c>
      <c r="Z317" s="3">
        <f>1271.9+(249-492.8)+(0.648669+(0.12699-0.251328))+0-324-0.165239999999967</f>
        <v>704.45909100000029</v>
      </c>
      <c r="AA317" s="3">
        <f>1271.6+(234-486.3)+(-1.945548+(-0.35802--0.744039))+0-323--0.494190000000019</f>
        <v>695.23466099999996</v>
      </c>
      <c r="AB317" s="3">
        <f>1272.6+(212.5-502.7)+(-3.24513+(-0.541875--1.281885))+0-322.2--0.821609999999953</f>
        <v>658.51648999999975</v>
      </c>
      <c r="AC317" s="3">
        <f>1271.8+(183.5-487.3)+(-1.297236+(-0.18717--0.497046))+0-321.2--0.327624000000051</f>
        <v>646.14026400000012</v>
      </c>
      <c r="AD317" s="2">
        <v>709.0999999999998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1262.8+(148.4-488.8)+(-2.576112+(-0.302736--0.997152))+0-322--0.656879999999986</f>
        <v>599.17518399999994</v>
      </c>
      <c r="G318" s="3">
        <f>1262+(107.1-508.4)+(-1.28724+(-0.109242--0.518568))+0-323.3--0.329766000000052</f>
        <v>536.85185200000001</v>
      </c>
      <c r="H318" s="3">
        <f>1267.6+(98.9-465.3)+(0+(0-0))+0-323.7-0</f>
        <v>577.5</v>
      </c>
      <c r="I318" s="3">
        <f>1228.3+(106.5-466.7)+(-0.626433+(-0.054315--0.238017))+0-323.6--0.165035999999967</f>
        <v>544.22230499999989</v>
      </c>
      <c r="J318" s="3">
        <f>1161.7+(143.6-437.2)+(0+(0-0))+0-322.5-0</f>
        <v>545.6</v>
      </c>
      <c r="K318" s="3">
        <f>1165+(220.6-444.7)+(0.59415+(0.112506-0.226797))+0-323.2-0.164831999999967</f>
        <v>618.01502700000015</v>
      </c>
      <c r="L318" s="3">
        <f>1164.5+(251.7-438.8)+(-1.18779+(-0.256734--0.447576))+0-321.5--0.327930000000051</f>
        <v>655.23098200000004</v>
      </c>
      <c r="M318" s="3">
        <f>1163.8+(247.8-486.9)+(1.780614+(0.379134-0.744957))+0-320.6-0.490518000000019</f>
        <v>605.02427299999999</v>
      </c>
      <c r="N318" s="3">
        <f>1193+(243.6-525.2)+(0+(0-0))+0-320.8-0</f>
        <v>590.59999999999991</v>
      </c>
      <c r="O318" s="3">
        <f>1266+(249.8-579.3)+(0.64566+(0.127398-0.295443))+0-323.4-0.164933999999967</f>
        <v>613.41268100000002</v>
      </c>
      <c r="P318" s="3">
        <f>1264.6+(257.2-558.3)+(0+(0-0))+0-326.8-0</f>
        <v>636.70000000000005</v>
      </c>
      <c r="Q318" s="3">
        <f>1263.9+(273.4-642.9)+(-1.289178+(-0.278868--0.655758))+0-324.8--0.331296000000052</f>
        <v>569.01900800000021</v>
      </c>
      <c r="R318" s="3">
        <f>1261.6+(261.5-624.4)+(-2.573664+(-0.53346--1.273776))+0-321.7--0.656267999999986</f>
        <v>575.82291999999984</v>
      </c>
      <c r="S318" s="3">
        <f>1258+(219.8-601.6)+(1.28316+(0.224196-0.613632))+0-322.8-0.329256000000052</f>
        <v>553.96446800000001</v>
      </c>
      <c r="T318" s="3">
        <f>1259.3+(182.1-564.4)+(-1.284486+(-0.185742--0.575688))+0-324.7--0.331194000000052</f>
        <v>551.73665400000004</v>
      </c>
      <c r="U318" s="3">
        <f>1263.3+(161.7-559.5)+(2.577132+(0.329868-1.14138))+0-324.3-0.661571999999986</f>
        <v>542.30404799999997</v>
      </c>
      <c r="V318" s="3">
        <f>1263.2+(182.6-577.2)+(0+(0-0))+0-322.1-0</f>
        <v>546.5</v>
      </c>
      <c r="W318" s="3">
        <f>1261.1+(272.9-618.5)+(-0.643161+(-0.139179--0.315435))+0-324.5--0.165494999999967</f>
        <v>590.69858999999985</v>
      </c>
      <c r="X318" s="3">
        <f>1261.7+(287.4-594.5)+(-1.286934+(-0.293148--0.60639))+0-328.2--0.334764000000052</f>
        <v>625.76107200000013</v>
      </c>
      <c r="Y318" s="3">
        <f>1263.6+(271.1-598.4)+(-3.866616+(-0.829566--1.831104))+0-325.2--0.995112000000038</f>
        <v>609.23003399999993</v>
      </c>
      <c r="Z318" s="3">
        <f>1266.5+(265.8-546.3)+(1.29183+(0.271116-0.557226))+0-322.8-0.329256000000052</f>
        <v>663.87646399999983</v>
      </c>
      <c r="AA318" s="3">
        <f>1270.5+(239.6-549.5)+(-3.239775+(-0.61098--1.401225))+0-323.4--0.824669999999953</f>
        <v>635.57514000000003</v>
      </c>
      <c r="AB318" s="3">
        <f>1270.1+(212.3-483.8)+(-2.591004+(-0.433092--0.986952))+0-325.4--0.663815999999986</f>
        <v>671.82667199999992</v>
      </c>
      <c r="AC318" s="3">
        <f>1269.9+(189.8-517.6)+(-2.590596+(-0.387192--1.055904))+0-326.2--0.665447999999986</f>
        <v>614.6435640000002</v>
      </c>
      <c r="AD318" s="2">
        <v>680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1269.1+(153.4-500.7)+(-1.941723+(-0.234702--0.766071))+0-324.9--0.497097000000019</f>
        <v>595.98674300000005</v>
      </c>
      <c r="G319" s="3">
        <f>1266.4+(118.8-467.5)+(-3.22932+(-0.30294--1.192125))+0-326.5--0.832574999999953</f>
        <v>589.69243999999992</v>
      </c>
      <c r="H319" s="3">
        <f>1165.3+(195.6-453.1)+(1.188606+(0.199512-0.462162))+0-328-0.334560000000052</f>
        <v>580.39139599999999</v>
      </c>
      <c r="I319" s="3">
        <f>1133.8+(211.9-505)+(-0.578238+(-0.108069--0.25755))+0-325.7--0.166106999999967</f>
        <v>514.73734999999988</v>
      </c>
      <c r="J319" s="3">
        <f>1141.1+(212.8-487.7)+(-0.581961+(-0.108528--0.248727))+0-324.3--0.165392999999967</f>
        <v>541.62363099999993</v>
      </c>
      <c r="K319" s="3">
        <f>1151.3+(203.7-473.4)+(1.174326+(0.207774-0.482868))+0-322.5-0.328950000000051</f>
        <v>559.67028199999982</v>
      </c>
      <c r="L319" s="3">
        <f>1151.3+(204.1-477.8)+(-1.174326+(-0.208182--0.487356))+0-321.1--0.327522000000051</f>
        <v>555.93236999999988</v>
      </c>
      <c r="M319" s="3">
        <f>1150.6+(226.4-497.7)+(0+(0-0))+0-319.8-0</f>
        <v>559.5</v>
      </c>
      <c r="N319" s="3">
        <f>1149.4+(262.7-480.5)+(0.586194+(0.133977-0.245055))+0-320.2-0.163301999999968</f>
        <v>611.71181400000023</v>
      </c>
      <c r="O319" s="3">
        <f>1148.9+(276.9-438)+(0.585939+(0.141219-0.22338))+0-321.8-0.164117999999967</f>
        <v>666.33966000000009</v>
      </c>
      <c r="P319" s="3">
        <f>1148.8+(282.5-442.2)+(-1.757664+(-0.432225--0.676566))+0-322.7--0.493731000000019</f>
        <v>665.38040799999999</v>
      </c>
      <c r="Q319" s="3">
        <f>1147.9+(279.3-432.5)+(-2.341716+(-0.569772--0.8823))+0-321.8--0.656471999999986</f>
        <v>671.52728400000012</v>
      </c>
      <c r="R319" s="3">
        <f>1147.8+(220.3-360)+(-0.585378+(-0.112353--0.1836))+0-320.2--0.163301999999968</f>
        <v>687.54917099999989</v>
      </c>
      <c r="S319" s="3">
        <f>1148.8+(203.8-369.4)+(-2.343552+(-0.415752--0.753576))+0-320--0.652799999999986</f>
        <v>661.84707200000003</v>
      </c>
      <c r="T319" s="3">
        <f>1147.9+(166.6-433.1)+(-1.756287+(-0.254898--0.662643))+0-320.3--0.490059000000019</f>
        <v>560.24151700000016</v>
      </c>
      <c r="U319" s="3">
        <f>1147.3+(176.7-361.8)+(1.755369+(0.270351-0.553554))+0-319.4-0.488682000000018</f>
        <v>643.78348399999993</v>
      </c>
      <c r="V319" s="3">
        <f>1147.3+(197.3-439.5)+(-1.170246+(-0.201246--0.44829))+0-320.1--0.326502000000051</f>
        <v>584.40329999999994</v>
      </c>
      <c r="W319" s="3">
        <f>1147.8+(229.9-439.5)+(-2.92689+(-0.586245--1.120725))+0-321.1--0.818804999999953</f>
        <v>615.52639499999987</v>
      </c>
      <c r="X319" s="3">
        <f>1257.3+(242.7-500)+(-1.923669+(-0.371331--0.765))+0-321.7--0.492201000000019</f>
        <v>677.262201</v>
      </c>
      <c r="Y319" s="3">
        <f>1272.1+(236.1-510.2)+(-0.648771+(-0.120411--0.260202))+0-321.6--0.164015999999967</f>
        <v>676.05503599999986</v>
      </c>
      <c r="Z319" s="3">
        <f>1272.9+(236.9-489)+(-0.649179+(-0.120819--0.24939))+0-322.5--0.164474999999967</f>
        <v>697.94386699999995</v>
      </c>
      <c r="AA319" s="3">
        <f>1273.9+(221.1-513.5)+(0.649689+(0.112761-0.261885))+0-321.4-0.163913999999967</f>
        <v>660.43665100000021</v>
      </c>
      <c r="AB319" s="3">
        <f>1276.8+(212-497.2)+(-1.953504+(-0.32436--0.760716))+0-320.2--0.489906000000018</f>
        <v>670.37275799999998</v>
      </c>
      <c r="AC319" s="3">
        <f>1278+(200.2-507.1)+(-2.60712+(-0.408408--1.034484))+0-320--0.652799999999986</f>
        <v>649.77175599999987</v>
      </c>
      <c r="AD319" s="2">
        <v>690.10000000000014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1192.9+(171.6-491.4)+(-2.433516+(-0.350064--1.002456))+0-320.3--0.653411999999986</f>
        <v>551.67228800000009</v>
      </c>
      <c r="G320" s="3">
        <f>1169.1+(129.5-384.3)+(-0.596241+(-0.066045--0.195993))+0-322--0.164219999999967</f>
        <v>591.997927</v>
      </c>
      <c r="H320" s="3">
        <f>1162+(106.9-368)+(-2.37048+(-0.218076--0.75072))+0-322.5--0.657899999999986</f>
        <v>577.22006399999998</v>
      </c>
      <c r="I320" s="3">
        <f>1158.3+(119.6-369.8)+(-0.590733+(-0.060996--0.188598))+0-322.8--0.164627999999967</f>
        <v>585.00149699999997</v>
      </c>
      <c r="J320" s="3">
        <f>1158.2+(106-418.6)+(2.95341+(0.2703-1.06743))+0-323.1-0.823904999999953</f>
        <v>523.83237500000007</v>
      </c>
      <c r="K320" s="3">
        <f>1156.7+(143.9-405.2)+(1.769751+(0.220167-0.619956))+0-322.3-0.493119000000019</f>
        <v>573.97684300000014</v>
      </c>
      <c r="L320" s="3">
        <f>1153.9+(228.4-453.9)+(1.765467+(0.349452-0.694467))+0-321.9-0.492507000000019</f>
        <v>607.42794500000002</v>
      </c>
      <c r="M320" s="3">
        <f>1154.4+(266.4-450.8)+(-1.766232+(-0.407592--0.689724))+0-321.5--0.491895000000019</f>
        <v>647.50779499999999</v>
      </c>
      <c r="N320" s="3">
        <f>1225.6+(227.7-525.9)+(1.250112+(0.232254-0.536418))+0-323.8-0.330276000000052</f>
        <v>604.21567199999993</v>
      </c>
      <c r="O320" s="3">
        <f>1265+(240.3-559.2)+(0+(0-0))+0-325.8-0</f>
        <v>620.29999999999995</v>
      </c>
      <c r="P320" s="3">
        <f>1261.3+(252.2-545.6)+(1.286526+(0.257244-0.556512))+0-324.9-0.331398000000052</f>
        <v>643.65585999999985</v>
      </c>
      <c r="Q320" s="3">
        <f>1261.3+(275.4-533.8)+(-1.286526+(-0.280908--0.544476))+0-323.9--0.330378000000052</f>
        <v>678.30741999999998</v>
      </c>
      <c r="R320" s="3">
        <f>1264.5+(253.8-546.1)+(-3.224475+(-0.64719--1.392555))+0-323.8--0.825689999999953</f>
        <v>646.74658000000011</v>
      </c>
      <c r="S320" s="3">
        <f>1263.2+(252.2-515.8)+(-0.644232+(-0.128622--0.263058))+0-323.9--0.165188999999967</f>
        <v>675.35539300000005</v>
      </c>
      <c r="T320" s="3">
        <f>1263.9+(235.6-536.7)+(-3.222945+(-0.60078--1.368585))+0-321.8--0.820589999999953</f>
        <v>639.3654499999999</v>
      </c>
      <c r="U320" s="3">
        <f>1267.7+(208-571.2)+(-1.293054+(-0.21216--0.582624))+0-320.1--0.326502000000051</f>
        <v>583.80391199999997</v>
      </c>
      <c r="V320" s="3">
        <f>1268+(232.6-588.6)+(0.64668+(0.118626-0.300186))+0-319.3-0.162842999999968</f>
        <v>593.00227699999994</v>
      </c>
      <c r="W320" s="3">
        <f>1269.8+(296.1-564.8)+(0+(0-0))+0-319.5-0</f>
        <v>681.6</v>
      </c>
      <c r="X320" s="3">
        <f>1272.1+(327.8-546.8)+(-0.648771+(-0.167178--0.278868))+0-322.9--0.164678999999967</f>
        <v>729.82759799999997</v>
      </c>
      <c r="Y320" s="3">
        <f>1274.5+(297.5-588.5)+(-3.89997+(-0.91035--1.80081))+0-322.7--0.987462000000037</f>
        <v>658.77795200000014</v>
      </c>
      <c r="Z320" s="3">
        <f>1274.8+(277.7-587.5)+(-2.600592+(-0.566508--1.1985))+0-323.8--0.660551999999986</f>
        <v>639.89195199999983</v>
      </c>
      <c r="AA320" s="3">
        <f>1275.7+(278.8-548.6)+(-0.650607+(-0.142188--0.279786))+0-323.1--0.164780999999967</f>
        <v>682.45177200000001</v>
      </c>
      <c r="AB320" s="3">
        <f>1278.1+(228.3-564.3)+(-2.607324+(-0.465732--1.151172))+0-320.5--0.653819999999986</f>
        <v>620.33193599999993</v>
      </c>
      <c r="AC320" s="3">
        <f>1280.3+(187.7-589.3)+(-1.958859+(-0.287181--0.901629))+0-320.1--0.489753000000019</f>
        <v>557.74534200000005</v>
      </c>
      <c r="AD320" s="2">
        <v>675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1283.8+(179.7-536.7)+(-2.618952+(-0.366588--1.094868))+0-322.8--0.658511999999986</f>
        <v>602.76783999999998</v>
      </c>
      <c r="G321" s="3">
        <f>1285.3+(130.6-486.7)+(-1.966509+(-0.199818--0.744651))+0-322.5--0.493425000000019</f>
        <v>605.77174899999989</v>
      </c>
      <c r="H321" s="3">
        <f>1281.6+(61.6-465.1)+(0+(0-0))+0-322.2-0</f>
        <v>555.89999999999986</v>
      </c>
      <c r="I321" s="3">
        <f>1283.6+(53.7-491.1)+(-0.654636+(-0.027387--0.250461))+0-323.9--0.165188999999967</f>
        <v>522.0336269999998</v>
      </c>
      <c r="J321" s="3">
        <f>1283.5+(71.2-462.6)+(0.654585+(0.036312-0.235926))+0-324.8-0.165647999999967</f>
        <v>567.58932299999992</v>
      </c>
      <c r="K321" s="3">
        <f>1286.6+(76.1-478.5)+(1.312332+(0.077622-0.48807))+0-324.1-0.330582000000052</f>
        <v>560.67130199999986</v>
      </c>
      <c r="L321" s="3">
        <f>1289.2+(113.5-432.4)+(1.314984+(0.11577-0.441048))+0-323.2-0.329664000000052</f>
        <v>647.76004199999988</v>
      </c>
      <c r="M321" s="3">
        <f>1285.4+(149.3-466.8)+(0.655554+(0.076143-0.238068))+0-321.5-0.163964999999967</f>
        <v>646.72966400000018</v>
      </c>
      <c r="N321" s="3">
        <f>1280.8+(197-537.4)+(-2.612832+(-0.40188--1.096296))+0-320--0.652799999999986</f>
        <v>619.13438399999995</v>
      </c>
      <c r="O321" s="3">
        <f>1278.8+(213.4-570.1)+(1.956564+(0.326502-0.872253))+0-320.3-0.490059000000019</f>
        <v>602.72075399999994</v>
      </c>
      <c r="P321" s="3">
        <f>1276.5+(231.4-592.6)+(-1.30203+(-0.236028--0.604452))+0-323.6--0.330072000000052</f>
        <v>591.09646599999996</v>
      </c>
      <c r="Q321" s="3">
        <f>1273.3+(230.1-548.6)+(-2.597532+(-0.469404--1.119144))+0-324.2--0.661367999999986</f>
        <v>629.31357600000001</v>
      </c>
      <c r="R321" s="3">
        <f>1265.9+(214.7-520.5)+(-3.228045+(-0.547485--1.327275))+0-323.2--0.824159999999953</f>
        <v>635.27590500000008</v>
      </c>
      <c r="S321" s="3">
        <f>1266.7+(197.3-576.4)+(0.646017+(0.100623-0.293964))+0-320.3-0.163352999999968</f>
        <v>567.58932300000015</v>
      </c>
      <c r="T321" s="3">
        <f>1265+(195.8-589.4)+(-1.2903+(-0.199716--0.601188))+0-319.7--0.326094000000051</f>
        <v>551.13726600000018</v>
      </c>
      <c r="U321" s="3">
        <f>1263.9+(204.1-598.8)+(-0.644589+(-0.104091--0.305388))+0-322.1--0.164270999999967</f>
        <v>546.82097900000008</v>
      </c>
      <c r="V321" s="3">
        <f>1270+(223.3-560.1)+(0+(0-0))+0-322.6-0</f>
        <v>610.6</v>
      </c>
      <c r="W321" s="3">
        <f>1274.8+(291.9-527.1)+(0+(0-0))+0-322.4-0</f>
        <v>717.19999999999993</v>
      </c>
      <c r="X321" s="3">
        <f>1278.4+(332.3-526.3)+(0.651984+(0.169473-0.268413))+0-319.3-0.162842999999968</f>
        <v>765.49020100000018</v>
      </c>
      <c r="Y321" s="3">
        <f>1281.5+(324.8-555.5)+(-1.960695+(-0.496944--0.849915))+0-319.6--0.488988000000019</f>
        <v>730.08126400000003</v>
      </c>
      <c r="Z321" s="3">
        <f>1280.1+(308.8-510.7)+(-1.305702+(-0.314976--0.520914))+0-318.9--0.325278000000051</f>
        <v>758.52551399999982</v>
      </c>
      <c r="AA321" s="3">
        <f>1283.5+(246.7-567.8)+(-1.963755+(-0.377451--0.868734))+0-320.4--0.490212000000018</f>
        <v>641.01774000000012</v>
      </c>
      <c r="AB321" s="3">
        <f>1282.2+(232-524.5)+(-1.307844+(-0.23664--0.53499))+0-322.6--0.329052000000051</f>
        <v>666.41955800000005</v>
      </c>
      <c r="AC321" s="3">
        <f>1278.5+(207.2-516.6)+(-3.260175+(-0.52836--1.31733))+0-321.8--0.820589999999953</f>
        <v>645.64938499999982</v>
      </c>
      <c r="AD321" s="2">
        <v>794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1280+(150.9-540.7)+(-0.6528+(-0.076959--0.275757))+0-320.3--0.163352999999968</f>
        <v>569.60935099999983</v>
      </c>
      <c r="G322" s="3">
        <f>1283.9+(112.8-498.5)+(0+(0-0))+0-321.7-0</f>
        <v>576.5</v>
      </c>
      <c r="H322" s="3">
        <f>1288.1+(121.4-544.7)+(0+(0-0))+0-324.2-0</f>
        <v>540.59999999999991</v>
      </c>
      <c r="I322" s="3">
        <f>1290.7+(115.4-579.9)+(0+(0-0))+0-323.5-0</f>
        <v>502.70000000000005</v>
      </c>
      <c r="J322" s="3">
        <f>1290.4+(136.3-515.4)+(2.632416+(0.278052-1.051416))+0-322.6-0.658103999999986</f>
        <v>589.9009480000002</v>
      </c>
      <c r="K322" s="3">
        <f>1291.8+(139.2-554)+(1.976454+(0.212976-0.84762))+0-320.5-0.490365000000019</f>
        <v>557.35144500000001</v>
      </c>
      <c r="L322" s="3">
        <f>1295.8+(175.5-534.5)+(1.321716+(0.17901-0.54519))+0-319.4-0.325788000000051</f>
        <v>618.02974799999993</v>
      </c>
      <c r="M322" s="3">
        <f>1293.7+(170.7-552.9)+(-1.319574+(-0.174114--0.563958))+0-320--0.326400000000051</f>
        <v>590.89667000000009</v>
      </c>
      <c r="N322" s="3">
        <f>1285.9+(153.3-530.5)+(-1.967427+(-0.234549--0.811665))+0-303.8--0.464814000000018</f>
        <v>603.97450300000003</v>
      </c>
      <c r="O322" s="3">
        <f>1283.4+(163.9-562.2)+(0.654534+(0.083589-0.286722))+0-319.7-0.163046999999968</f>
        <v>565.68835400000012</v>
      </c>
      <c r="P322" s="3">
        <f>1279.8+(220.2-521.9)+(0+(0-0))+0-323.9-0</f>
        <v>654.19999999999993</v>
      </c>
      <c r="Q322" s="3">
        <f>1276.3+(234.6-574.5)+(0.650913+(0.119646-0.292995))+0-320.8-0.163607999999967</f>
        <v>615.91395599999998</v>
      </c>
      <c r="R322" s="3">
        <f>1267.9+(237.4-505.9)+(-3.233145+(-0.60537--1.290045))+0-321.9--0.820844999999953</f>
        <v>675.77237500000012</v>
      </c>
      <c r="S322" s="3">
        <f>1176.5+(246.3-483.7)+(0+(0-0))+0-320-0</f>
        <v>619.1</v>
      </c>
      <c r="T322" s="3">
        <f>1248.2+(249-481)+(-0.636582+(-0.12699--0.24531))+0-320--0.163199999999968</f>
        <v>695.84493799999996</v>
      </c>
      <c r="U322" s="3">
        <f>1189.6+(236.3-476.5)+(-3.03348+(-0.602565--1.215075))+0-293--0.747149999999957</f>
        <v>654.72617999999977</v>
      </c>
      <c r="V322" s="3">
        <f>1217.3+(239.6-511.9)+(-1.862469+(-0.366588--0.783207))+0-287--0.439110000000017</f>
        <v>656.99326000000008</v>
      </c>
      <c r="W322" s="3">
        <f>1234.4+(300-492.6)+(-0.629544+(-0.153--0.251226))+0-299--0.15248999999997</f>
        <v>742.42117200000007</v>
      </c>
      <c r="X322" s="3">
        <f>1248.7+(324.2-481.4)+(-1.910511+(-0.496026--0.736542))+0-324--0.495720000000019</f>
        <v>766.32572500000003</v>
      </c>
      <c r="Y322" s="3">
        <f>1250.3+(314.9-463.2)+(-3.825918+(-0.963594--1.417392))+0-322.4--0.986544000000037</f>
        <v>777.21442400000001</v>
      </c>
      <c r="Z322" s="3">
        <f>1246.5+(302.7-442.2)+(-1.907145+(-0.463131--0.676566))+0-322.2--0.492966000000019</f>
        <v>783.59925599999997</v>
      </c>
      <c r="AA322" s="3">
        <f>1245.3+(283.2-458.4)+(-2.540412+(-0.577728--0.935136))+0-320.7--0.654227999999986</f>
        <v>747.87122399999987</v>
      </c>
      <c r="AB322" s="3">
        <f>1233.1+(244-476.6)+(-3.144405+(-0.6222--1.21533))+0-321.7--0.820334999999953</f>
        <v>677.06905999999992</v>
      </c>
      <c r="AC322" s="3">
        <f>1101.9+(248-303.2)+(-1.123938+(-0.25296--0.309264))+0-322.3--0.328746000000051</f>
        <v>723.66111200000012</v>
      </c>
      <c r="AD322" s="2">
        <v>698.50000000000011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1104.3+(186.3-402.1)+(-2.252772+(-0.380052--0.820284))+0-322.9--0.658715999999986</f>
        <v>564.44617600000004</v>
      </c>
      <c r="G323" s="3">
        <f>1104.7+(182-344.3)+(-0.563397+(-0.09282--0.175593))+0-322.3--0.164372999999967</f>
        <v>619.78374900000006</v>
      </c>
      <c r="H323" s="3">
        <f>1046.4+(158-306.8)+(0+(0-0))+0-323.3-0</f>
        <v>574.30000000000018</v>
      </c>
      <c r="I323" s="3">
        <f>1027.6+(145.8-367.7)+(0+(0-0))+0-323.4-0</f>
        <v>482.29999999999995</v>
      </c>
      <c r="J323" s="3">
        <f>1029+(149.8-374.9)+(1.57437+(0.229194-0.573597))+0-322.1-0.492813000000019</f>
        <v>482.53715400000004</v>
      </c>
      <c r="K323" s="3">
        <f>1030.8+(163.9-360.3)+(-1.577124+(-0.250767--0.551259))+0-322.5--0.493425000000019</f>
        <v>511.11679300000003</v>
      </c>
      <c r="L323" s="3">
        <f>1035.8+(194.8-332.1)+(0+(0-0))+0-321.5-0</f>
        <v>577</v>
      </c>
      <c r="M323" s="3">
        <f>1036.3+(241.4-381)+(0+(0-0))+0-319.9-0</f>
        <v>576.79999999999995</v>
      </c>
      <c r="N323" s="3">
        <f>1041.5+(270-401.6)+(0+(0-0))+0-320.3-0</f>
        <v>589.59999999999991</v>
      </c>
      <c r="O323" s="3">
        <f>1099.7+(279.7-449.2)+(0+(0-0))+0-321.4-0</f>
        <v>608.80000000000007</v>
      </c>
      <c r="P323" s="3">
        <f>1095.3+(292.8-445)+(-1.675809+(-0.447984--0.68085))+0-321.8--0.492354000000019</f>
        <v>620.34941099999992</v>
      </c>
      <c r="Q323" s="3">
        <f>1093.1+(299.4-442.1)+(-1.114962+(-0.305388--0.450942))+0-322.2--0.328644000000051</f>
        <v>627.55923599999994</v>
      </c>
      <c r="R323" s="3">
        <f>1091.4+(293.8-438.7)+(-1.669842+(-0.449514--0.671211))+0-321.2--0.491436000000019</f>
        <v>624.34329100000014</v>
      </c>
      <c r="S323" s="3">
        <f>1090+(270.9-456)+(-1.6677+(-0.414477--0.69768))+0-321--0.491130000000019</f>
        <v>583.00663299999997</v>
      </c>
      <c r="T323" s="3">
        <f>1089.9+(266-454.5)+(-0.555849+(-0.13566--0.231795))+0-320.7--0.163556999999967</f>
        <v>580.40384300000017</v>
      </c>
      <c r="U323" s="3">
        <f>1090.1+(266.7-400.6)+(-1.111902+(-0.272034--0.408612))+0-320.1--0.326502000000051</f>
        <v>635.4511779999998</v>
      </c>
      <c r="V323" s="3">
        <f>1092.8+(269-394.7)+(-1.671984+(-0.41157--0.603891))+0-319.7--0.489141000000018</f>
        <v>646.40947800000004</v>
      </c>
      <c r="W323" s="3">
        <f>1098.6+(344-437.4)+(0+(0-0))+0-320.5-0</f>
        <v>684.69999999999993</v>
      </c>
      <c r="X323" s="3">
        <f>1101+(374.2-448.6)+(0+(0-0))+0-320.4-0</f>
        <v>706.19999999999993</v>
      </c>
      <c r="Y323" s="3">
        <f>1105.7+(354.9-451.4)+(-3.383442+(-1.085994--1.381284))+0-320.5--0.980730000000037</f>
        <v>686.592578</v>
      </c>
      <c r="Z323" s="3">
        <f>1108.7+(339.3-450.7)+(0+(0-0))+0-320.9-0</f>
        <v>676.40000000000009</v>
      </c>
      <c r="AA323" s="3">
        <f>1111.4+(313.6-458.9)+(-0.566814+(-0.159936--0.234039))+0-319.9--0.163148999999968</f>
        <v>645.87043800000015</v>
      </c>
      <c r="AB323" s="3">
        <f>1108.3+(273.3-428.9)+(-1.130466+(-0.278766--0.437478))+0-319.9--0.326298000000051</f>
        <v>632.1545440000001</v>
      </c>
      <c r="AC323" s="3">
        <f>1112.9+(230.4-378.3)+(-1.702737+(-0.352512--0.578799))+0-319.8--0.489294000000018</f>
        <v>644.21284400000013</v>
      </c>
      <c r="AD323" s="2">
        <v>718.69999999999982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1115.8+(204.2-385.6)+(-2.84529+(-0.52071--0.98328))+0-319.4--0.814469999999954</f>
        <v>613.43174999999985</v>
      </c>
      <c r="G324" s="3">
        <f>1115.1+(160.7-389.7)+(-2.274804+(-0.327828--0.794988))+0-319.7--0.652187999999986</f>
        <v>565.24454399999991</v>
      </c>
      <c r="H324" s="3">
        <f>1116.1+(134.4-339.9)+(-0.569211+(-0.068544--0.173349))+0-320.2--0.163301999999968</f>
        <v>590.09889599999974</v>
      </c>
      <c r="I324" s="3">
        <f>1116.5+(132.4-329.7)+(0+(0-0))+0-320.5-0</f>
        <v>598.70000000000005</v>
      </c>
      <c r="J324" s="3">
        <f>1121+(111.2-357.8)+(0+(0-0))+0-320-0</f>
        <v>554.4</v>
      </c>
      <c r="K324" s="3">
        <f>1122.9+(146.6-341.8)+(1.718037+(0.224298-0.522954))+0-320.6-0.490518000000019</f>
        <v>608.028863</v>
      </c>
      <c r="L324" s="3">
        <f>1126.3+(177.7-337.2)+(0+(0-0))+0-319.7-0</f>
        <v>647.09999999999991</v>
      </c>
      <c r="M324" s="3">
        <f>1120.4+(199.4-336.8)+(2.285616+(0.406776-0.687072))+0-319.2-0.651167999999986</f>
        <v>665.15415200000018</v>
      </c>
      <c r="N324" s="3">
        <f>1114.2+(261.4-418.1)+(0+(0-0))+0-320.4-0</f>
        <v>637.1</v>
      </c>
      <c r="O324" s="3">
        <f>1110.9+(278.5-415.2)+(0+(0-0))+0-319.7-0</f>
        <v>654.5</v>
      </c>
      <c r="P324" s="3">
        <f>1106.3+(309.7-401.9)+(-1.128426+(-0.315894--0.409938))+0-320--0.326400000000051</f>
        <v>693.39201799999989</v>
      </c>
      <c r="Q324" s="3">
        <f>1100.7+(316.3-410.6)+(-1.122714+(-0.322626--0.418812))+0-321--0.327420000000051</f>
        <v>684.70089200000018</v>
      </c>
      <c r="R324" s="3">
        <f>1096.5+(304.6-405.4)+(-3.35529+(-0.932076--1.240524))+0-321.2--0.982872000000037</f>
        <v>672.43603000000007</v>
      </c>
      <c r="S324" s="3">
        <f>1093.3+(296.9-414.1)+(-1.672749+(-0.454257--0.633573))+0-320.7--0.490671000000019</f>
        <v>654.39723800000002</v>
      </c>
      <c r="T324" s="3">
        <f>1094+(302.7-413)+(-2.7897+(-0.771885--1.05315))+0-320--0.815999999999954</f>
        <v>662.007565</v>
      </c>
      <c r="U324" s="3">
        <f>1094.3+(303.3-424.7)+(-0.558093+(-0.154683--0.216597))+0-319.7--0.163046999999968</f>
        <v>652.86686800000007</v>
      </c>
      <c r="V324" s="3">
        <f>1093+(318.4-436.2)+(-0.55743+(-0.162384--0.222462))+0-318.2--0.162281999999968</f>
        <v>656.66493000000014</v>
      </c>
      <c r="W324" s="3">
        <f>1095.9+(395.7-488.6)+(-1.676727+(-0.605421--0.747558))+0-320--0.489600000000018</f>
        <v>681.95501000000002</v>
      </c>
      <c r="X324" s="3">
        <f>1101.1+(419.4-418.6)+(-2.246244+(-0.855576--0.853944))+0-321.9--0.656675999999986</f>
        <v>778.40879999999993</v>
      </c>
      <c r="Y324" s="3">
        <f>1100.9+(387.2-451.3)+(-1.684377+(-0.592416--0.690489))+0-321.6--0.492048000000019</f>
        <v>714.1057440000003</v>
      </c>
      <c r="Z324" s="3">
        <f>1100.1+(387.9-420.7)+(-1.122102+(-0.395658--0.429114))+0-321.2--0.327624000000051</f>
        <v>745.338978</v>
      </c>
      <c r="AA324" s="3">
        <f>1107.1+(358.9-445.3)+(-1.129242+(-0.366078--0.454206))+0-320.5--0.326910000000051</f>
        <v>699.48579599999982</v>
      </c>
      <c r="AB324" s="3">
        <f>1110.4+(340.8-404.9)+(-1.698912+(-0.521424--0.619497))+0-320.6--0.490518000000019</f>
        <v>724.58967900000027</v>
      </c>
      <c r="AC324" s="3">
        <f>1111.9+(327.9-429.6)+(-2.268276+(-0.668916--0.876384))+0-319.7--0.652187999999986</f>
        <v>689.09138000000007</v>
      </c>
      <c r="AD324" s="2">
        <v>834.40000000000009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1115.8+(301.8-456.9)+(-1.707174+(-0.461754--0.699057))+0-319.6--0.488988000000019</f>
        <v>640.11911700000007</v>
      </c>
      <c r="G325" s="3">
        <f>1116.1+(229.4-378.9)+(-2.846055+(-0.58497--0.966195))+0-319.7--0.815234999999954</f>
        <v>645.25040499999989</v>
      </c>
      <c r="H325" s="3">
        <f>1117.8+(213.3-390.2)+(-1.710234+(-0.326349--0.597006))+0-319.5--0.488835000000018</f>
        <v>620.44925799999999</v>
      </c>
      <c r="I325" s="3">
        <f>1117.9+(172-395.9)+(-1.710387+(-0.26316--0.605727))+0-320--0.489600000000018</f>
        <v>573.12178000000006</v>
      </c>
      <c r="J325" s="3">
        <f>1120.5+(177.2-377.8)+(-0.571455+(-0.090372--0.192678))+0-319.8--0.163097999999968</f>
        <v>599.79394899999988</v>
      </c>
      <c r="K325" s="3">
        <f>1121.2+(227.8-389)+(1.143624+(0.232356-0.39678))+0-320.3-0.326706000000051</f>
        <v>640.35249399999998</v>
      </c>
      <c r="L325" s="3">
        <f>1123.6+(303.9-471.9)+(-1.719108+(-0.464967--0.722007))+0-319.5--0.488835000000018</f>
        <v>635.12676699999986</v>
      </c>
      <c r="M325" s="3">
        <f>1121.4+(293.5-422.9)+(-0.571914+(-0.149685--0.215679))+0-317.4--0.161873999999968</f>
        <v>674.2559540000002</v>
      </c>
      <c r="N325" s="3">
        <f>1114.7+(350.4-504.7)+(0+(0-0))+0-318.5-0</f>
        <v>641.90000000000009</v>
      </c>
      <c r="O325" s="3">
        <f>1108.7+(375.3-471)+(1.130874+(0.382806-0.48042))+0-320.9-0.327318000000051</f>
        <v>692.80594199999996</v>
      </c>
      <c r="P325" s="3">
        <f>1105.1+(394.2-439.3)+(0.563601+(0.201042-0.224043))+0-323.1-0.164780999999967</f>
        <v>737.27581900000007</v>
      </c>
      <c r="Q325" s="3">
        <f>1097.7+(393.3-431.2)+(-1.119654+(-0.401166--0.439824))+0-323.2--0.329664000000052</f>
        <v>735.84866800000032</v>
      </c>
      <c r="R325" s="3">
        <f>1095.4+(359.6-400.1)+(-3.351924+(-1.100376--1.224306))+0-323.1--0.988686000000037</f>
        <v>729.56069200000002</v>
      </c>
      <c r="S325" s="3">
        <f>1094.5+(332.7-440.6)+(-2.23278+(-0.678708--0.898824))+0-321.4--0.655655999999986</f>
        <v>663.84299199999998</v>
      </c>
      <c r="T325" s="3">
        <f>1092.7+(326.6-445.7)+(0+(0-0))+0-323.1-0</f>
        <v>650.50000000000011</v>
      </c>
      <c r="U325" s="3">
        <f>1094.5+(332.7-428.5)+(-1.674585+(-0.509031--0.655605))+0-320.5--0.490365000000019</f>
        <v>677.16235400000005</v>
      </c>
      <c r="V325" s="3">
        <f>1092.5+(354.9-443.6)+(-1.11435+(-0.361998--0.452472))+0-322--0.328440000000051</f>
        <v>681.10456399999998</v>
      </c>
      <c r="W325" s="3">
        <f>1094.4+(398.9-433)+(1.674432+(0.610317-0.66249))+0-327.1-0.500463000000019</f>
        <v>734.32179600000018</v>
      </c>
      <c r="X325" s="3">
        <f>1102.1+(417-397.3)+(-1.124142+(-0.42534--0.405246))+0-327.1--0.333642000000052</f>
        <v>793.88940599999989</v>
      </c>
      <c r="Y325" s="3">
        <f>1109.1+(380.5-441.4)+(-1.131282+(-0.38811--0.450228))+0-325.9--0.332418000000052</f>
        <v>721.56325399999992</v>
      </c>
      <c r="Z325" s="3">
        <f>1106.8+(367.1-431.9)+(-1.693404+(-0.561663--0.660807))+0-326.7--0.499851000000019</f>
        <v>714.20559099999991</v>
      </c>
      <c r="AA325" s="3">
        <f>1110+(359.5-402.7)+(-1.6983+(-0.550035--0.616131))+0-326.7--0.499851000000019</f>
        <v>738.96764699999994</v>
      </c>
      <c r="AB325" s="3">
        <f>1110.9+(317.8-418.2)+(0.566559+(0.162078-0.213282))+0-326.7-0.166616999999967</f>
        <v>684.14873800000021</v>
      </c>
      <c r="AC325" s="3">
        <f>1112.6+(283.9-452.9)+(-1.134852+(-0.289578--0.461958))+0-324.3--0.330786000000052</f>
        <v>618.6683139999999</v>
      </c>
      <c r="AD325" s="2">
        <v>831.7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1113.3+(254-499.3)+(-0.567783+(-0.12954--0.254643))+0-322.7--0.164576999999967</f>
        <v>545.02189700000008</v>
      </c>
      <c r="G326" s="3">
        <f>1115+(252.3-496.6)+(-0.56865+(-0.128673--0.253266))+0-325--0.165749999999967</f>
        <v>545.421693</v>
      </c>
      <c r="H326" s="3">
        <f>1116.9+(260.5-445.4)+(-0.569619+(-0.132855--0.227154))+0-327.8--0.167177999999967</f>
        <v>603.89185799999996</v>
      </c>
      <c r="I326" s="3">
        <f>1116.7+(266.7-464.6)+(0.569517+(0.136017-0.236946))+0-327.8-0.167177999999967</f>
        <v>591.30141000000003</v>
      </c>
      <c r="J326" s="3">
        <f>1118.3+(278.5-458.3)+(-1.710999+(-0.426105--0.701199))+0-324.7--0.496791000000019</f>
        <v>612.86088599999994</v>
      </c>
      <c r="K326" s="3">
        <f>1115.5+(287.5-461.3)+(0+(0-0))+0-320.3-0</f>
        <v>621.40000000000009</v>
      </c>
      <c r="L326" s="3">
        <f>1117.5+(244.7-426.6)+(-3.41955+(-0.748782--1.305396))+0-319.7--0.978282000000037</f>
        <v>614.01534599999991</v>
      </c>
      <c r="M326" s="3">
        <f>1115.5+(208.1-398.2)+(-1.13781+(-0.212262--0.406164))+0-318.7--0.325074000000051</f>
        <v>606.08116600000017</v>
      </c>
      <c r="N326" s="3">
        <f>1112.2+(250.6-454.1)+(1.134444+(0.255612-0.463182))+0-319.4-0.325788000000051</f>
        <v>589.90108599999996</v>
      </c>
      <c r="O326" s="3">
        <f>1106.6+(296.6-481.7)+(2.82183+(0.75633-1.228335))+0-320.2-0.816509999999954</f>
        <v>602.83331499999997</v>
      </c>
      <c r="P326" s="3">
        <f>1101.3+(314.7-465.6)+(1.123326+(0.320994-0.474912))+0-322.1-0.328542000000051</f>
        <v>628.9408659999998</v>
      </c>
      <c r="Q326" s="3">
        <f>1098.9+(328.4-460.9)+(-2.241756+(-0.669936--0.940236))+0-322.5--0.657899999999986</f>
        <v>642.58644400000014</v>
      </c>
      <c r="R326" s="3">
        <f>1096.1+(330.7-374.3)+(0+(0-0))+0-320.5-0</f>
        <v>732</v>
      </c>
      <c r="S326" s="3">
        <f>1095.2+(311.5-405.2)+(-1.117104+(-0.31773--0.413304))+0-320.4--0.326808000000051</f>
        <v>680.40527800000007</v>
      </c>
      <c r="T326" s="3">
        <f>1093.4+(278.5-435.1)+(1.672902+(0.426105-0.665703))+0-320.6-0.490518000000019</f>
        <v>617.142786</v>
      </c>
      <c r="U326" s="3">
        <f>1095.6+(259.9-451.2)+(-1.117512+(-0.265098--0.460224))+0-320.2--0.326604000000051</f>
        <v>583.50421800000004</v>
      </c>
      <c r="V326" s="3">
        <f>1096.2+(301.8-444.6)+(0.559062+(0.153918-0.226746))+0-319.9-0.163148999999968</f>
        <v>633.82308500000011</v>
      </c>
      <c r="W326" s="3">
        <f>1097+(368.7-412.9)+(-1.11894+(-0.376074--0.421158))+0-321.7--0.328134000000051</f>
        <v>730.35427800000002</v>
      </c>
      <c r="X326" s="3">
        <f>1097.8+(401.3-399.9)+(1.119756+(0.409326-0.407898))+0-321.7-0.328134000000051</f>
        <v>778.29304999999999</v>
      </c>
      <c r="Y326" s="3">
        <f>1102+(383.8-412)+(-1.68606+(-0.587214--0.63036))+0-321.1--0.491283000000019</f>
        <v>751.54836899999998</v>
      </c>
      <c r="Z326" s="3">
        <f>1105.2+(360.9-413.3)+(-1.690956+(-0.552177--0.632349))+0-320.3--0.490059000000019</f>
        <v>731.37927500000001</v>
      </c>
      <c r="AA326" s="3">
        <f>1104.9+(333.4-437.3)+(-2.817495+(-0.85017--1.115115))+0-320.5--0.817274999999953</f>
        <v>678.764725</v>
      </c>
      <c r="AB326" s="3">
        <f>1105.5+(328.1-401.8)+(-0.563805+(-0.167331--0.204918))+0-320.4--0.163403999999967</f>
        <v>711.03718600000002</v>
      </c>
      <c r="AC326" s="3">
        <f>1107.8+(296.1-427.9)+(-2.82489+(-0.755055--1.091145))+0-320.1--0.816254999999954</f>
        <v>654.22745499999996</v>
      </c>
      <c r="AD326" s="2">
        <v>804.5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1108.3+(263.3-404.1)+(-1.695699+(-0.402849--0.618273))+0-319.7--0.489141000000018</f>
        <v>646.80886600000008</v>
      </c>
      <c r="G327" s="3">
        <f>1110.6+(193.6-472.3)+(-2.83203+(-0.49368--1.204365))+0-319.9--0.815744999999954</f>
        <v>510.6943999999998</v>
      </c>
      <c r="H327" s="3">
        <f>1111.5+(157.6-457.8)+(-0.566865+(-0.080376--0.233478))+0-321.3--0.163862999999967</f>
        <v>489.75009999999992</v>
      </c>
      <c r="I327" s="3">
        <f>1111+(180.7-396.5)+(-0.56661+(-0.092157--0.202215))+0-321.3--0.163862999999967</f>
        <v>573.60731099999998</v>
      </c>
      <c r="J327" s="3">
        <f>1111.2+(163.9-345.5)+(-1.133424+(-0.167178--0.35241))+0-321.4--0.327828000000051</f>
        <v>607.57963600000016</v>
      </c>
      <c r="K327" s="3">
        <f>1112.1+(191.5-364.7)+(2.268684+(0.39066-0.743988))+0-320.8-0.654431999999986</f>
        <v>619.36092399999984</v>
      </c>
      <c r="L327" s="3">
        <f>1112.6+(227-372.1)+(-0.567426+(-0.11577--0.189771))+0-320.7--0.163556999999967</f>
        <v>646.47013199999981</v>
      </c>
      <c r="M327" s="3">
        <f>1107.7+(257.7-372.2)+(0.564927+(0.131427-0.189822))+0-319.8-0.163097999999968</f>
        <v>673.74343399999998</v>
      </c>
      <c r="N327" s="3">
        <f>1073.6+(319.3-389.3)+(-1.095072+(-0.325686--0.397086))+0-319.4--0.325788000000051</f>
        <v>683.502116</v>
      </c>
      <c r="O327" s="3">
        <f>1044.5+(317.1-445.6)+(1.06539+(0.323442-0.454512))+0-320.9-0.327318000000051</f>
        <v>595.70700199999987</v>
      </c>
      <c r="P327" s="3">
        <f>1234.8+(291.9-590.5)+(-3.14874+(-0.744345--1.505775))+0-320.9--0.818294999999953</f>
        <v>613.73098499999992</v>
      </c>
      <c r="Q327" s="3">
        <f>1265.1+(282.5-597.5)+(0.645201+(0.144075-0.304725))+0-321.6-0.164015999999967</f>
        <v>628.82053499999995</v>
      </c>
      <c r="R327" s="3">
        <f>1262.3+(289.4-540.9)+(-0.643773+(-0.147594--0.275859))+0-321.9--0.164168999999967</f>
        <v>688.54866100000004</v>
      </c>
      <c r="S327" s="3">
        <f>1260.7+(235.3-532.3)+(0.642957+(0.120003-0.271473))+0-322.5-0.164474999999967</f>
        <v>641.52701200000013</v>
      </c>
      <c r="T327" s="3">
        <f>1258.7+(244.1-484.6)+(0+(0-0))+0-322-0</f>
        <v>696.2</v>
      </c>
      <c r="U327" s="3">
        <f>1181.2+(271-451.3)+(0+(0-0))+0-322.4-0</f>
        <v>678.50000000000011</v>
      </c>
      <c r="V327" s="3">
        <f>1254.5+(253.4-442)+(-0.639795+(-0.129234--0.22542))+0-322.6--0.164525999999967</f>
        <v>742.92091700000003</v>
      </c>
      <c r="W327" s="3">
        <f>1260.3+(294.5-525.2)+(1.928259+(0.450585-0.803556))+0-322.8-0.493884000000019</f>
        <v>707.88140399999997</v>
      </c>
      <c r="X327" s="3">
        <f>1261.3+(329-571.9)+(-1.929789+(-0.50337--0.875007))+0-323.6--0.495108000000019</f>
        <v>693.73695600000008</v>
      </c>
      <c r="Y327" s="3">
        <f>1269.6+(271.9-543.6)+(-2.589984+(-0.554676--1.108944))+0-322.6--0.658103999999986</f>
        <v>673.92238799999984</v>
      </c>
      <c r="Z327" s="3">
        <f>1275.5+(236.7-535.6)+(-1.30101+(-0.241434--0.546312))+0-322.7--0.329154000000051</f>
        <v>653.23302199999989</v>
      </c>
      <c r="AA327" s="3">
        <f>1276.4+(216.4-541)+(-1.301928+(-0.220728--0.55182))+0-322.3--0.328746000000051</f>
        <v>628.85791000000006</v>
      </c>
      <c r="AB327" s="3">
        <f>1278.7+(198.1-548.4)+(-0.652137+(-0.101031--0.279684))+0-321.9--0.164168999999967</f>
        <v>606.19068500000014</v>
      </c>
      <c r="AC327" s="3">
        <f>1283.6+(202.3-581.5)+(-3.27318+(-0.515865--1.482825))+0-322.3--0.821864999999953</f>
        <v>580.61564499999974</v>
      </c>
      <c r="AD327" s="2">
        <v>689.8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1284.7+(198.9-637.1)+(-2.620788+(-0.405756--1.299684))+0-321.9--0.656675999999986</f>
        <v>523.52981599999998</v>
      </c>
      <c r="G328" s="3">
        <f>1287.6+(215.7-627.7)+(1.313352+(0.220014-0.640254))+0-322.9-0.329358000000051</f>
        <v>553.26375399999984</v>
      </c>
      <c r="H328" s="3">
        <f>1287+(180.3-651)+(-0.65637+(-0.091953--0.33201))+0-323.3--0.164882999999967</f>
        <v>492.74856999999997</v>
      </c>
      <c r="I328" s="3">
        <f>1285.1+(150.7-544.8)+(0.655401+(0.076857-0.277848))+0-323.4-0.164933999999967</f>
        <v>567.88947600000006</v>
      </c>
      <c r="J328" s="3">
        <f>1285.5+(150.5-569.9)+(-0.655605+(-0.076755--0.290649))+0-322.3--0.164372999999967</f>
        <v>543.52266199999997</v>
      </c>
      <c r="K328" s="3">
        <f>1286.7+(162-576.4)+(1.968651+(0.24786-0.881892))+0-321.9-0.492507000000019</f>
        <v>551.24211200000002</v>
      </c>
      <c r="L328" s="3">
        <f>1290.8+(173.1-573)+(0+(0-0))+0-321.2-0</f>
        <v>569.70000000000005</v>
      </c>
      <c r="M328" s="3">
        <f>1291+(198.8-509.6)+(0.65841+(0.101388-0.259896))+0-319.9-0.163148999999968</f>
        <v>660.63675300000011</v>
      </c>
      <c r="N328" s="3">
        <f>1284.4+(228.4-570.6)+(0.655044+(0.116484-0.291006))+0-320.4-0.163403999999967</f>
        <v>622.117118</v>
      </c>
      <c r="O328" s="3">
        <f>1280.6+(270.7-537.3)+(0+(0-0))+0-322.2-0</f>
        <v>691.8</v>
      </c>
      <c r="P328" s="3">
        <f>1276.5+(276.7-571.9)+(-0.651015+(-0.141117--0.291669))+0-322.6--0.164525999999967</f>
        <v>658.36406299999999</v>
      </c>
      <c r="Q328" s="3">
        <f>1270.1+(251-566.4)+(-0.647751+(-0.12801--0.288864))+0-324.4--0.165443999999967</f>
        <v>629.97854699999993</v>
      </c>
      <c r="R328" s="3">
        <f>1265.6+(258.9-529.7)+(-0.645456+(-0.132039--0.270147))+0-324.6--0.165545999999967</f>
        <v>669.85819799999979</v>
      </c>
      <c r="S328" s="3">
        <f>1263+(229.6-554.5)+(0.64413+(0.117096-0.282795))+0-322.2-0.164321999999967</f>
        <v>616.21410900000012</v>
      </c>
      <c r="T328" s="3">
        <f>1261.9+(229.1-499.9)+(0.643569+(0.116841-0.254949))+0-323.1-0.164780999999967</f>
        <v>668.34068000000013</v>
      </c>
      <c r="U328" s="3">
        <f>1255.7+(217.8-560.2)+(-2.561628+(-0.444312--1.142808))+0-320.7--0.654227999999986</f>
        <v>591.39109599999995</v>
      </c>
      <c r="V328" s="3">
        <f>1254.2+(233.7-478.9)+(1.918926+(0.357561-0.732717))+0-321.3-0.491589000000019</f>
        <v>688.75218100000006</v>
      </c>
      <c r="W328" s="3">
        <f>1256.9+(292.9-515.4)+(0.641019+(0.149379-0.262854))+0-322.4-0.164423999999967</f>
        <v>712.36312000000021</v>
      </c>
      <c r="X328" s="3">
        <f>1262.6+(342.5-530)+(0+(0-0))+0-322.4-0</f>
        <v>752.69999999999993</v>
      </c>
      <c r="Y328" s="3">
        <f>1268.2+(336.7-551.2)+(-1.940346+(-0.515151--0.843336))+0-322.4--0.493272000000019</f>
        <v>730.1811110000001</v>
      </c>
      <c r="Z328" s="3">
        <f>1272+(329.3-533.6)+(-2.59488+(-0.671772--1.088544))+0-325.2--0.663407999999986</f>
        <v>740.98529999999994</v>
      </c>
      <c r="AA328" s="3">
        <f>1274.6+(304.3-553.8)+(-3.25023+(-0.775965--1.41219))+0-327.2--0.834359999999952</f>
        <v>696.1203549999999</v>
      </c>
      <c r="AB328" s="3">
        <f>1282.1+(263-526.2)+(-0.653871+(-0.13413--0.268362))+0-326.3--0.166412999999967</f>
        <v>692.24677399999973</v>
      </c>
      <c r="AC328" s="3">
        <f>1285+(220.3-517.3)+(-1.96605+(-0.337059--0.791469))+0-322.8--0.493884000000019</f>
        <v>664.18224399999986</v>
      </c>
      <c r="AD328" s="2">
        <v>734.6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1287.7+(189.6-531.2)+(0+(0-0))+0-324.8-0</f>
        <v>621.29999999999995</v>
      </c>
      <c r="G329" s="3">
        <f>1287+(158.7-527.3)+(-0.65637+(-0.080937--0.268923))+0-327.2--0.166871999999967</f>
        <v>590.89848800000004</v>
      </c>
      <c r="H329" s="3">
        <f>1286.6+(104.8-547)+(0+(0-0))+0-326-0</f>
        <v>518.39999999999986</v>
      </c>
      <c r="I329" s="3">
        <f>1288+(119.3-489.2)+(-0.65688+(-0.060843--0.249492))+0-328.4--0.167483999999967</f>
        <v>589.39925300000004</v>
      </c>
      <c r="J329" s="3">
        <f>1289+(119-481.8)+(0+(0-0))+0-327.2-0</f>
        <v>599</v>
      </c>
      <c r="K329" s="3">
        <f>1292.2+(142.2-451.6)+(1.318044+(0.145044-0.460632))+0-326-0.332520000000052</f>
        <v>657.46993599999996</v>
      </c>
      <c r="L329" s="3">
        <f>1293.8+(187.5-498.5)+(-1.319676+(-0.19125--0.50847))+0-325.1--0.331602000000052</f>
        <v>657.02914599999997</v>
      </c>
      <c r="M329" s="3">
        <f>1291.2+(207.1-494.2)+(-0.658512+(-0.105621--0.252042))+0-323--0.164729999999967</f>
        <v>680.75263899999993</v>
      </c>
      <c r="N329" s="3">
        <f>1279.9+(226.2-505.5)+(-1.305498+(-0.230724--0.51561))+0-322.4--0.328848000000051</f>
        <v>677.50823600000024</v>
      </c>
      <c r="O329" s="3">
        <f>1275.6+(270.4-517.1)+(-3.25278+(-0.68952--1.318605))+0-323.3--0.824414999999953</f>
        <v>703.80071999999984</v>
      </c>
      <c r="P329" s="3">
        <f>1268.6+(271.5-558.2)+(-1.940958+(-0.415395--0.854046))+0-326.3--0.499239000000019</f>
        <v>654.59693199999992</v>
      </c>
      <c r="Q329" s="3">
        <f>1267.2+(281.2-535.6)+(-3.23136+(-0.71706--1.36578))+0-327--0.833849999999953</f>
        <v>684.05120999999997</v>
      </c>
      <c r="R329" s="3">
        <f>1264.3+(235.9-500.2)+(-1.289586+(-0.240618--0.510204))+0-323.2--0.329664000000052</f>
        <v>676.10966400000007</v>
      </c>
      <c r="S329" s="3">
        <f>1260.8+(220.3-484)+(-3.21504+(-0.561765--1.2342))+0-322.1--0.821354999999953</f>
        <v>673.27874999999983</v>
      </c>
      <c r="T329" s="3">
        <f>1256.1+(217.6-504.8)+(-0.640611+(-0.110976--0.257448))+0-322--0.164219999999967</f>
        <v>646.57008099999985</v>
      </c>
      <c r="U329" s="3">
        <f>1253.8+(223.5-510.9)+(0.639438+(0.113985-0.260559))+0-322.4-0.164423999999967</f>
        <v>644.32844000000011</v>
      </c>
      <c r="V329" s="3">
        <f>1256.4+(244-485.7)+(-1.281528+(-0.24888--0.495414))+0-323.9--0.330378000000052</f>
        <v>690.09538400000008</v>
      </c>
      <c r="W329" s="3">
        <f>1259.3+(322.8-573.8)+(-0.642243+(-0.164628--0.292638))+0-327.1--0.166820999999967</f>
        <v>680.85258799999986</v>
      </c>
      <c r="X329" s="3">
        <f>1261.5+(351.9-546.1)+(0+(0-0))+0-326.7-0</f>
        <v>740.59999999999991</v>
      </c>
      <c r="Y329" s="3">
        <f>1266.5+(356.4-534.6)+(-0.645915+(-0.181764--0.272646))+0-325.5--0.166004999999967</f>
        <v>762.41097199999979</v>
      </c>
      <c r="Z329" s="3">
        <f>1267.4+(344.5-512.5)+(0+(0-0))+0-323.6-0</f>
        <v>775.80000000000007</v>
      </c>
      <c r="AA329" s="3">
        <f>1271.6+(302.8-516)+(-1.945548+(-0.463284--0.78948))+0-323.6--0.495108000000019</f>
        <v>733.67575599999998</v>
      </c>
      <c r="AB329" s="3">
        <f>1274.7+(248.6-487.9)+(-2.600388+(-0.507144--0.995316))+0-324--0.660959999999986</f>
        <v>709.94874400000003</v>
      </c>
      <c r="AC329" s="3">
        <f>1276.1+(208.8-514.7)+(-3.254055+(-0.53244--1.312485))+0-323.4--0.824669999999953</f>
        <v>645.15065999999979</v>
      </c>
      <c r="AD329" s="2">
        <v>740.2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1276.9+(159-494.2)+(-0.651219+(-0.08109--0.252042))+0-322.4--0.164423999999967</f>
        <v>618.98415699999998</v>
      </c>
      <c r="G330" s="3">
        <f>1279+(151.1-484.8)+(-1.30458+(-0.154122--0.494496))+0-323.5--0.329970000000052</f>
        <v>621.16576399999997</v>
      </c>
      <c r="H330" s="3">
        <f>1278.9+(133.5-520.6)+(0.652239+(0.068085-0.265506))+0-324.3-0.165392999999967</f>
        <v>567.78942500000016</v>
      </c>
      <c r="I330" s="3">
        <f>1276.6+(125.2-531.2)+(-1.302132+(-0.127704--0.541824))+0-324.3--0.330786000000052</f>
        <v>545.74277399999994</v>
      </c>
      <c r="J330" s="3">
        <f>1277.9+(104.3-511.5)+(-1.303458+(-0.106386--0.52173))+0-323.4--0.329868000000052</f>
        <v>546.74175400000013</v>
      </c>
      <c r="K330" s="3">
        <f>1279.4+(117.6-476.3)+(-1.957482+(-0.179928--0.728739))+0-323.1--0.494343000000019</f>
        <v>596.68567200000007</v>
      </c>
      <c r="L330" s="3">
        <f>1279.8+(168-550.8)+(-1.958094+(-0.25704--0.842724))+0-322.7--0.493731000000019</f>
        <v>573.42132100000003</v>
      </c>
      <c r="M330" s="3">
        <f>1278.8+(177-568.9)+(-1.956564+(-0.27081--0.870417))+0-320.9--0.490977000000019</f>
        <v>565.13402000000008</v>
      </c>
      <c r="N330" s="3">
        <f>1277.6+(213.1-603.1)+(0+(0-0))+0-322-0</f>
        <v>565.59999999999991</v>
      </c>
      <c r="O330" s="3">
        <f>1274+(235.8-633.8)+(-1.29948+(-0.240516--0.646476))+0-321.8--0.328236000000051</f>
        <v>553.63471600000003</v>
      </c>
      <c r="P330" s="3">
        <f>1272.7+(260-635.1)+(-0.649077+(-0.1326--0.323901))+0-322.4--0.164423999999967</f>
        <v>574.90664800000002</v>
      </c>
      <c r="Q330" s="3">
        <f>1270.9+(267.2-630.1)+(-1.296318+(-0.272544--0.642702))+0-322.6--0.329052000000051</f>
        <v>584.80289200000004</v>
      </c>
      <c r="R330" s="3">
        <f>1268.1+(265-616.4)+(-2.586924+(-0.5406--1.257456))+0-322--0.656879999999986</f>
        <v>593.48681199999999</v>
      </c>
      <c r="S330" s="3">
        <f>1266+(258.6-619.8)+(0+(0-0))+0-322.1-0</f>
        <v>582.70000000000005</v>
      </c>
      <c r="T330" s="3">
        <f>1263.6+(258.6-632.1)+(1.288872+(0.263772-0.644742))+0-321.6-0.328032000000051</f>
        <v>569.07986999999991</v>
      </c>
      <c r="U330" s="3">
        <f>1261.6+(249.2-620.7)+(-0.643416+(-0.127092--0.316557))+0-321--0.163709999999967</f>
        <v>568.80975899999987</v>
      </c>
      <c r="V330" s="3">
        <f>1261.8+(257.6-618.9)+(-1.287036+(-0.262752--0.631278))+0-321.7--0.328134000000051</f>
        <v>578.20962400000008</v>
      </c>
      <c r="W330" s="3">
        <f>1265.3+(318.3-621.6)+(1.935909+(0.486999-0.951048))+0-323.5-0.494955000000019</f>
        <v>639.47690499999999</v>
      </c>
      <c r="X330" s="3">
        <f>1267.7+(374.9-537.4)+(-1.293054+(-0.382398--0.548148))+0-323.1--0.329562000000052</f>
        <v>781.30225799999994</v>
      </c>
      <c r="Y330" s="3">
        <f>1271+(350.7-538)+(-0.64821+(-0.178857--0.27438))+0-324.8--0.165647999999967</f>
        <v>758.5129609999999</v>
      </c>
      <c r="Z330" s="3">
        <f>1274.5+(330.2-596.1)+(0+(0-0))+0-323.5-0</f>
        <v>685.09999999999991</v>
      </c>
      <c r="AA330" s="3">
        <f>1277.1+(320.2-586)+(0+(0-0))+0-322.4-0</f>
        <v>688.9</v>
      </c>
      <c r="AB330" s="3">
        <f>1277.3+(278.2-597.9)+(-4.559961+(-0.993174--2.134503))+0-321.9--1.149183</f>
        <v>633.43055099999992</v>
      </c>
      <c r="AC330" s="3">
        <f>1277.1+(248.8-539.4)+(-4.559247+(-0.888216--1.925658))+0-322--1.14954</f>
        <v>662.12773500000003</v>
      </c>
      <c r="AD330" s="2">
        <v>798.29999999999984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1278.4+(200.3-514.2)+(0+(0-0))+0-322-0</f>
        <v>642.5</v>
      </c>
      <c r="G331" s="3">
        <f>1279.4+(166.1-495.1)+(0+(0-0))+0-323.8-0</f>
        <v>626.60000000000014</v>
      </c>
      <c r="H331" s="3">
        <f>1279.1+(103.5-568.3)+(0.652341+(0.052785-0.289833))+0-323.2-0.164831999999967</f>
        <v>491.350461</v>
      </c>
      <c r="I331" s="3">
        <f>1279.1+(98.4-542.1)+(0+(0-0))+0-323.9-0</f>
        <v>511.49999999999989</v>
      </c>
      <c r="J331" s="3">
        <f>1278+(111.5-558.7)+(0+(0-0))+0-323.2-0</f>
        <v>507.59999999999997</v>
      </c>
      <c r="K331" s="3">
        <f>1278.1+(162.9-495)+(1.303662+(0.166158-0.5049))+0-324-0.330480000000052</f>
        <v>622.63443999999981</v>
      </c>
      <c r="L331" s="3">
        <f>1281.2+(180.6-463.8)+(0+(0-0))+0-322.9-0</f>
        <v>675.1</v>
      </c>
      <c r="M331" s="3">
        <f>1282.1+(206.8-488.2)+(-1.307742+(-0.210936--0.497964))+0-322.5--0.328950000000051</f>
        <v>677.50823600000001</v>
      </c>
      <c r="N331" s="3">
        <f>1276.8+(248.1-519.1)+(1.302336+(0.253062-0.529482))+0-323-0.329460000000051</f>
        <v>683.49645599999997</v>
      </c>
      <c r="O331" s="3">
        <f>1273.6+(277.7-542)+(-3.24768+(-0.708135--1.3821))+0-323--0.823649999999953</f>
        <v>684.54993499999989</v>
      </c>
      <c r="P331" s="3">
        <f>1268.4+(295.6-474.8)+(-0.646884+(-0.150756--0.242148))+0-323.9--0.165188999999967</f>
        <v>764.90969700000005</v>
      </c>
      <c r="Q331" s="3">
        <f>1267.6+(288.2-502.1)+(-1.939428+(-0.440946--0.768213))+0-324.1--0.495873000000019</f>
        <v>728.48371199999985</v>
      </c>
      <c r="R331" s="3">
        <f>1264.7+(284.9-482.8)+(-0.644997+(-0.145299--0.246228))+0-322.9--0.164678999999967</f>
        <v>743.52061100000003</v>
      </c>
      <c r="S331" s="3">
        <f>1263.2+(251.7-492.9)+(-1.288464+(-0.256734--0.502758))+0-322.8--0.329256000000052</f>
        <v>698.48681599999998</v>
      </c>
      <c r="T331" s="3">
        <f>1261.2+(200.3-523.6)+(1.286424+(0.204306-0.534072))+0-277-0.282540000000044</f>
        <v>661.574118</v>
      </c>
      <c r="U331" s="3">
        <f>1260+(223.2-525.9)+(-0.6426+(-0.113832--0.268209))+0-308.7--0.157436999999969</f>
        <v>648.26921400000003</v>
      </c>
      <c r="V331" s="3">
        <f>1260.6+(275.9-472.2)+(-3.21453+(-0.703545--1.20411))+0-324.9--0.828494999999953</f>
        <v>737.51453000000004</v>
      </c>
      <c r="W331" s="3">
        <f>1265+(315.6-505.5)+(1.93545+(0.482868-0.773415))+0-325.3-0.497709000000019</f>
        <v>750.94719400000008</v>
      </c>
      <c r="X331" s="3">
        <f>1268.4+(325.9-454.5)+(0+(0-0))+0-326.6-0</f>
        <v>813.20000000000016</v>
      </c>
      <c r="Y331" s="3">
        <f>1271.8+(316.2-445.9)+(-2.594472+(-0.645048--0.909636))+0-326.3--0.665651999999986</f>
        <v>814.13576799999998</v>
      </c>
      <c r="Z331" s="3">
        <f>1271.5+(295.3-488.5)+(-2.59386+(-0.602412--0.99654))+0-325.1--0.663203999999986</f>
        <v>751.66347199999984</v>
      </c>
      <c r="AA331" s="3">
        <f>1274.4+(251-449)+(-0.649944+(-0.12801--0.22899))+0-324.7--0.165596999999967</f>
        <v>751.31663299999991</v>
      </c>
      <c r="AB331" s="3">
        <f>1276.1+(208.1-492.3)+(-2.603244+(-0.424524--1.004292))+0-323.6--0.660143999999986</f>
        <v>666.93666799999983</v>
      </c>
      <c r="AC331" s="3">
        <f>1276.7+(194.8-501.9)+(-2.604468+(-0.397392--1.023876))+0-323.2--0.659327999999986</f>
        <v>645.08134400000017</v>
      </c>
      <c r="AD331" s="2">
        <v>864.8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1277.4+(162-455.6)+(-2.605896+(-0.33048--0.929424))+0-324.4--0.661775999999986</f>
        <v>658.05482400000017</v>
      </c>
      <c r="G332" s="3">
        <f>1277.5+(142.1-442.8)+(-0.651525+(-0.072471--0.225828))+0-324.7--0.165596999999967</f>
        <v>651.76742899999999</v>
      </c>
      <c r="H332" s="3">
        <f>1279.2+(129.2-490.3)+(-1.304784+(-0.131784--0.500106))+0-325--0.331500000000052</f>
        <v>592.49503800000002</v>
      </c>
      <c r="I332" s="3">
        <f>1277.9+(95.3-532)+(-1.303458+(-0.097206--0.54264))+0-324.2--0.330684000000052</f>
        <v>516.47266000000013</v>
      </c>
      <c r="J332" s="3">
        <f>1280.7+(124.4-566.5)+(0.653157+(0.063444-0.288915))+0-324.3-0.165392999999967</f>
        <v>514.56229299999995</v>
      </c>
      <c r="K332" s="3">
        <f>1280.4+(171.8-559.8)+(-0.653004+(-0.087618--0.285498))+0-323.9--0.165188999999967</f>
        <v>568.2100650000001</v>
      </c>
      <c r="L332" s="3">
        <f>1283+(183.7-520.3)+(-2.61732+(-0.374748--1.061412))+0-323.3--0.659531999999986</f>
        <v>621.82887600000015</v>
      </c>
      <c r="M332" s="3">
        <f>1283.4+(149.7-501.1)+(1.309068+(0.152694-0.511122))+0-322.3-0.328746000000051</f>
        <v>610.32189400000004</v>
      </c>
      <c r="N332" s="3">
        <f>1279.4+(206.4-509.4)+(-1.304988+(-0.210528--0.519588))+0-323.4--0.329868000000052</f>
        <v>652.3339400000001</v>
      </c>
      <c r="O332" s="3">
        <f>1275.9+(226.5-503.5)+(3.253545+(0.577575-1.283925))+0-323.5-0.824924999999953</f>
        <v>677.12227000000007</v>
      </c>
      <c r="P332" s="3">
        <f>1273+(237.2-468.6)+(-1.94769+(-0.362916--0.716958))+0-324.2--0.496026000000019</f>
        <v>716.30237799999986</v>
      </c>
      <c r="Q332" s="3">
        <f>1267.7+(224.6-500.3)+(-1.293054+(-0.229092--0.510306))+0-324.8--0.331296000000052</f>
        <v>666.51945599999999</v>
      </c>
      <c r="R332" s="3">
        <f>1264.8+(200.9-505)+(-4.515336+(-0.717213--1.80285))+0-324.4--1.158108</f>
        <v>634.0284089999999</v>
      </c>
      <c r="S332" s="3">
        <f>1262.1+(154.5-474.6)+(-0.643671+(-0.078795--0.242046))+0-324.9--0.165698999999967</f>
        <v>616.78527899999995</v>
      </c>
      <c r="T332" s="3">
        <f>1261.4+(161.6-482.2)+(-0.643314+(-0.082416--0.245922))+0-324.1--0.165290999999967</f>
        <v>616.38548299999991</v>
      </c>
      <c r="U332" s="3">
        <f>1260.8+(150.1-496.1)+(-1.286016+(-0.153102--0.506022))+0-323.2--0.329664000000052</f>
        <v>590.99656800000002</v>
      </c>
      <c r="V332" s="3">
        <f>1259.1+(151.8-498.4)+(1.284282+(0.154836-0.508368))+0-323.6-0.330072000000052</f>
        <v>589.50067799999988</v>
      </c>
      <c r="W332" s="3">
        <f>1260.2+(253.4-483.7)+(1.285404+(0.258468-0.493374))+0-324.2-0.330684000000052</f>
        <v>706.41981400000009</v>
      </c>
      <c r="X332" s="3">
        <f>1265+(273.2-466.6)+(-1.93545+(-0.417996--0.713898))+0-324.2--0.496026000000019</f>
        <v>746.25647799999979</v>
      </c>
      <c r="Y332" s="3">
        <f>1268.4+(296.3-481.2)+(0.646884+(0.151113-0.245412))+0-324.2-0.165341999999967</f>
        <v>759.68724299999985</v>
      </c>
      <c r="Z332" s="3">
        <f>1269.3+(276.6-494.7)+(-1.294686+(-0.282132--0.504594))+0-323.8--0.330276000000052</f>
        <v>726.65805200000011</v>
      </c>
      <c r="AA332" s="3">
        <f>1277.4+(221.1-519.1)+(0+(0-0))+0-323.6-0</f>
        <v>655.80000000000007</v>
      </c>
      <c r="AB332" s="3">
        <f>1284.2+(195.5-504.6)+(-1.309884+(-0.19941--0.514692))+0-323.1--0.329562000000052</f>
        <v>651.33496000000002</v>
      </c>
      <c r="AC332" s="3">
        <f>1286.5+(181.8-515.2)+(0.656115+(0.092718-0.262752))+0-322.4-0.164423999999967</f>
        <v>631.021657</v>
      </c>
      <c r="AD332" s="2">
        <v>767.09999999999991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1289.1+(156.4-517.2)+(0.657441+(0.079764-0.263772))+0-322.8-0.164627999999967</f>
        <v>605.80880499999989</v>
      </c>
      <c r="G333" s="3">
        <f>1289.3+(128.7-499.2)+(0.657543+(0.065637-0.254592))+0-324.3-0.165392999999967</f>
        <v>594.80319499999996</v>
      </c>
      <c r="H333" s="3">
        <f>1291.6+(80.7-522.2)+(0+(0-0))+0-325.2-0</f>
        <v>524.89999999999986</v>
      </c>
      <c r="I333" s="3">
        <f>1292.4+(89.7-486.7)+(-0.659124+(-0.045747--0.248217))+0-325.3--0.165902999999967</f>
        <v>569.80924900000002</v>
      </c>
      <c r="J333" s="3">
        <f>1294.4+(79.8-470)+(-1.320288+(-0.081396--0.4794))+0-325.6--0.332112000000052</f>
        <v>578.00982800000008</v>
      </c>
      <c r="K333" s="3">
        <f>1296.4+(76.2-520.5)+(1.983492+(0.116586-0.796365))+0-327.3-0.500769000000019</f>
        <v>525.60294400000021</v>
      </c>
      <c r="L333" s="3">
        <f>1297.5+(118.1-502)+(-0.661725+(-0.060231--0.25602))+0-323.2--0.164831999999967</f>
        <v>590.09889599999997</v>
      </c>
      <c r="M333" s="3">
        <f>1293.9+(130.1-497)+(1.319778+(0.132702-0.50694))+0-323.7-0.330174000000052</f>
        <v>603.91536600000006</v>
      </c>
      <c r="N333" s="3">
        <f>1283.2+(175.2-446.8)+(-0.654432+(-0.089352--0.227868))+0-324.5--0.165494999999967</f>
        <v>686.74957900000004</v>
      </c>
      <c r="O333" s="3">
        <f>1276.3+(209.7-465.5)+(-0.650913+(-0.106947--0.237405))+0-325.7--0.166106999999967</f>
        <v>694.44565200000011</v>
      </c>
      <c r="P333" s="3">
        <f>1271.2+(268.2-448.5)+(-2.593248+(-0.547128--0.91494))+0-327.4--0.667895999999986</f>
        <v>761.94246000000021</v>
      </c>
      <c r="Q333" s="3">
        <f>1268.2+(283.2-454.4)+(-1.940346+(-0.433296--0.695232))+0-327--0.500310000000019</f>
        <v>768.82190000000003</v>
      </c>
      <c r="R333" s="3">
        <f>1265.4+(272.3-487.2)+(-4.517478+(-0.972111--1.739304))+0-325.5--1.162035</f>
        <v>722.41174999999987</v>
      </c>
      <c r="S333" s="3">
        <f>1263.8+(240.6-540.5)+(-1.289076+(-0.245412--0.55131))+0-325.1--0.331602000000052</f>
        <v>638.14842400000009</v>
      </c>
      <c r="T333" s="3">
        <f>1264.5+(227.2-544.8)+(-0.644895+(-0.115872--0.277848))+0-325.3--0.165902999999967</f>
        <v>621.28298400000006</v>
      </c>
      <c r="U333" s="3">
        <f>1266.3+(251.4-503)+(0.645813+(0.128214-0.25653))+0-325.2-0.165851999999967</f>
        <v>689.85164500000008</v>
      </c>
      <c r="V333" s="3">
        <f>1268.8+(248.5-511.9)+(0+(0-0))+0-324.4-0</f>
        <v>681</v>
      </c>
      <c r="W333" s="3">
        <f>1268.9+(289-503.1)+(0+(0-0))+0-325.4-0</f>
        <v>729.4000000000002</v>
      </c>
      <c r="X333" s="3">
        <f>1272.7+(352-502.1)+(-0.649077+(-0.17952--0.256071))+0-326.5--0.166514999999967</f>
        <v>795.69398899999999</v>
      </c>
      <c r="Y333" s="3">
        <f>1277.5+(324-494.5)+(-2.6061+(-0.66096--1.00878))+0-326.6--0.666263999999986</f>
        <v>778.80798399999992</v>
      </c>
      <c r="Z333" s="3">
        <f>1279.2+(289.2-514.7)+(-0.652392+(-0.147492--0.262497))+0-325.9--0.166208999999967</f>
        <v>727.42882199999997</v>
      </c>
      <c r="AA333" s="3">
        <f>1281.3+(256-529.5)+(-2.613852+(-0.52224--1.08018))+0-325.3--0.663611999999986</f>
        <v>681.10769999999991</v>
      </c>
      <c r="AB333" s="3">
        <f>1281.6+(225.1-479.1)+(-3.26808+(-0.574005--1.221705))+0-325.8--0.830789999999953</f>
        <v>700.01040999999987</v>
      </c>
      <c r="AC333" s="3">
        <f>1286.1+(151.4-465.3)+(-4.591377+(-0.540498--1.661121))+0-324.5--1.158465</f>
        <v>645.38771099999985</v>
      </c>
      <c r="AD333" s="2">
        <v>735.30000000000018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1287.6+(117.6-471.9)+(-3.28338+(-0.29988--1.203345))+0-324.9--0.828494999999953</f>
        <v>606.84857999999997</v>
      </c>
      <c r="G334" s="3">
        <f>1290.5+(126.1-466.9)+(-3.290775+(-0.321555--1.190595))+0-325.2--0.829259999999953</f>
        <v>622.90752500000008</v>
      </c>
      <c r="H334" s="3">
        <f>1293.1+(116.7-487.2)+(-2.637924+(-0.238068--0.993888))+0-326--0.665039999999986</f>
        <v>595.38293599999986</v>
      </c>
      <c r="I334" s="3">
        <f>1187.5+(149.9-376.9)+(0.605625+(0.076449-0.192219))+0-325.3-0.165902999999967</f>
        <v>635.52395200000012</v>
      </c>
      <c r="J334" s="3">
        <f>1180.1+(149-390.7)+(-0.601851+(-0.07599--0.199257))+0-324.6--0.165545999999967</f>
        <v>613.48696199999983</v>
      </c>
      <c r="K334" s="3">
        <f>1295.4+(178-509.8)+(-1.321308+(-0.18156--0.519996))+0-324.1--0.330582000000052</f>
        <v>638.84771000000012</v>
      </c>
      <c r="L334" s="3">
        <f>1301.6+(187.3-550.8)+(-2.655264+(-0.382092--1.123632))+0-325.4--0.663815999999986</f>
        <v>611.45009199999993</v>
      </c>
      <c r="M334" s="3">
        <f>1299.8+(203.5-511.4)+(-0.662898+(-0.103785--0.260814))+0-328.1--0.167330999999967</f>
        <v>663.46146199999998</v>
      </c>
      <c r="N334" s="3">
        <f>1290.6+(233.2-503.7)+(0.658206+(0.118932-0.256887))+0-328.9-0.167738999999967</f>
        <v>691.55251199999998</v>
      </c>
      <c r="O334" s="3">
        <f>1283.4+(252.8-499.9)+(2.618136+(0.515712-1.019796))+0-326.9-0.666875999999986</f>
        <v>710.8471760000001</v>
      </c>
      <c r="P334" s="3">
        <f>1278.3+(271.4-520.5)+(-1.303866+(-0.276828--0.53091))+0-324.3--0.330786000000052</f>
        <v>704.18100199999992</v>
      </c>
      <c r="Q334" s="3">
        <f>1273.7+(282.2-511.5)+(0+(0-0))+0-325.3-0</f>
        <v>719.10000000000014</v>
      </c>
      <c r="R334" s="3">
        <f>1271+(251.9-552.4)+(-3.24105+(-0.642345--1.40862))+0-324.7--0.827984999999953</f>
        <v>644.15320999999994</v>
      </c>
      <c r="S334" s="3">
        <f>1268+(265.3-502.9)+(0.64668+(0.135303-0.256479))+0-324.5-0.165494999999967</f>
        <v>706.26000900000008</v>
      </c>
      <c r="T334" s="3">
        <f>1267.8+(265.9-481.2)+(0+(0-0))+0-323.8-0</f>
        <v>728.7</v>
      </c>
      <c r="U334" s="3">
        <f>1268+(260.6-478.7)+(0+(0-0))+0-324.3-0</f>
        <v>725.60000000000014</v>
      </c>
      <c r="V334" s="3">
        <f>1266.6+(280.5-510.6)+(1.937898+(0.429165-0.781218))+0-323.7-0.495261000000019</f>
        <v>713.89058399999999</v>
      </c>
      <c r="W334" s="3">
        <f>1269.7+(353.7-596.3)+(1.942641+(0.541161-0.912339))+0-325.2-0.497556000000019</f>
        <v>702.97390700000005</v>
      </c>
      <c r="X334" s="3">
        <f>1274.1+(437.6-601.7)+(1.949373+(0.669528-0.920601))+0-325.4-0.497862000000019</f>
        <v>785.80043799999999</v>
      </c>
      <c r="Y334" s="3">
        <f>1277.8+(412.4-629.1)+(-1.955034+(-0.630972--0.962523))+0-325.8--0.498474000000019</f>
        <v>734.17499099999986</v>
      </c>
      <c r="Z334" s="3">
        <f>1278.9+(381.2-627.2)+(-1.304478+(-0.388824--0.639744))+0-326.4--0.332928000000052</f>
        <v>705.77937000000009</v>
      </c>
      <c r="AA334" s="3">
        <f>1280.1+(369.4-647)+(-1.305702+(-0.376788--0.65994))+0-325.8--0.332316000000052</f>
        <v>676.00976600000001</v>
      </c>
      <c r="AB334" s="3">
        <f>1285.6+(341.2-633.8)+(-4.589592+(-1.218084--2.262666))+0-325.5--1.162035</f>
        <v>665.1170249999999</v>
      </c>
      <c r="AC334" s="3">
        <f>1288.7+(321.4-624.9)+(-2.628948+(-0.655656--1.274796))+0-324.9--0.662795999999986</f>
        <v>658.952988</v>
      </c>
      <c r="AD334" s="2">
        <v>826.1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1291.4+(255.4-616.9)+(-1.317228+(-0.260508--0.629238))+0-324.2--0.330684000000052</f>
        <v>605.08218600000009</v>
      </c>
      <c r="G335" s="3">
        <f>1291.6+(175.1-564.8)+(-2.634864+(-0.357204--1.152192))+0-324.8--0.662591999999986</f>
        <v>575.92271599999992</v>
      </c>
      <c r="H335" s="3">
        <f>1290.5+(187.1-596)+(0+(0-0))+0-324.8-0</f>
        <v>556.79999999999995</v>
      </c>
      <c r="I335" s="3">
        <f>1290.3+(188.4-613)+(-1.974159+(-0.288252--0.93789))+0-325.8--0.498474000000019</f>
        <v>539.07395299999985</v>
      </c>
      <c r="J335" s="3">
        <f>1289.6+(180.2-559.2)+(0.657696+(0.091902-0.285192))+0-325-0.165749999999967</f>
        <v>585.89865599999996</v>
      </c>
      <c r="K335" s="3">
        <f>1290.1+(191.6-585.6)+(0+(0-0))+0-325.5-0</f>
        <v>570.59999999999991</v>
      </c>
      <c r="L335" s="3">
        <f>1290.8+(239-570.1)+(-1.316616+(-0.24378--0.581502))+0-325.6--0.332112000000052</f>
        <v>633.45321799999999</v>
      </c>
      <c r="M335" s="3">
        <f>1289.3+(259.9-605.5)+(0+(0-0))+0-324.8-0</f>
        <v>618.89999999999986</v>
      </c>
      <c r="N335" s="3">
        <f>1281.6+(327.5-651.1)+(-0.653616+(-0.167025--0.332061))+0-323.8--0.165137999999967</f>
        <v>633.87655799999982</v>
      </c>
      <c r="O335" s="3">
        <f>1275.5+(356.1-630.3)+(1.951515+(0.544833-0.964359))+0-324.3-0.496179000000019</f>
        <v>678.03581000000008</v>
      </c>
      <c r="P335" s="3">
        <f>1271.4+(387.6-585.9)+(1.296828+(0.395352-0.597618))+0-324-0.330480000000052</f>
        <v>749.86408200000005</v>
      </c>
      <c r="Q335" s="3">
        <f>1268.3+(383-593.5)+(-0.646833+(-0.19533--0.302685))+0-326--0.166259999999967</f>
        <v>731.426782</v>
      </c>
      <c r="R335" s="3">
        <f>1265+(374.8-518)+(0+(0-0))+0-328.8-0</f>
        <v>793</v>
      </c>
      <c r="S335" s="3">
        <f>1264.5+(343.3-523)+(-2.57958+(-0.700332--1.06692))+0-330.5--0.674219999999986</f>
        <v>752.76122799999996</v>
      </c>
      <c r="T335" s="3">
        <f>1264.8+(330.7-533.3)+(-0.645048+(-0.168657--0.271983))+0-330.6--0.168605999999966</f>
        <v>731.22688400000004</v>
      </c>
      <c r="U335" s="3">
        <f>1264.6+(326.2-605.5)+(-1.289892+(-0.332724--0.61761))+0-331.2--0.337824000000053</f>
        <v>653.43281800000011</v>
      </c>
      <c r="V335" s="3">
        <f>1265.1+(357.9-587.1)+(-0.645201+(-0.182529--0.299421))+0-330.4--0.168503999999966</f>
        <v>705.14019499999984</v>
      </c>
      <c r="W335" s="3">
        <f>1268.6+(434.4-568.5)+(0.646986+(0.221544-0.289935))+0-331.1-0.168860999999966</f>
        <v>803.80973399999993</v>
      </c>
      <c r="X335" s="3">
        <f>1272.1+(463.9-553.9)+(0.648771+(0.236589-0.282489))+0-329-0.167789999999967</f>
        <v>853.53508099999999</v>
      </c>
      <c r="Y335" s="3">
        <f>1275+(419.3-560.5)+(-2.601+(-0.855372--1.14342))+0-331.5--0.676259999999986</f>
        <v>800.66330799999992</v>
      </c>
      <c r="Z335" s="3">
        <f>1277.1+(374.4-549.4)+(-1.302642+(-0.381888--0.560388))+0-331.6--0.338232000000053</f>
        <v>769.71409000000006</v>
      </c>
      <c r="AA335" s="3">
        <f>1278+(350.1-521.1)+(0+(0-0))+0-332.1-0</f>
        <v>774.9</v>
      </c>
      <c r="AB335" s="3">
        <f>1276.8+(294.7-541.2)+(0+(0-0))+0-330.1-0</f>
        <v>700.19999999999993</v>
      </c>
      <c r="AC335" s="3">
        <f>1279.2+(279.1-557.1)+(-3.26196+(-0.711705--1.420605))+0-329.5--0.840224999999952</f>
        <v>669.987165</v>
      </c>
      <c r="AD335" s="2">
        <v>848.69999999999982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1279.9+(290.3-565.8)+(-1.305498+(-0.296106--0.577116))+0-330.4--0.337008000000053</f>
        <v>673.31252000000018</v>
      </c>
      <c r="G336" s="3">
        <f>1279.5+(283.3-605.7)+(1.957635+(0.433449-0.926721))+0-329.8-0.504594000000019</f>
        <v>628.25976900000001</v>
      </c>
      <c r="H336" s="3">
        <f>1279.8+(286.6-596.3)+(0+(0-0))+0-327.3-0</f>
        <v>642.79999999999995</v>
      </c>
      <c r="I336" s="3">
        <f>1282.5+(277.6-618.8)+(0+(0-0))+0-326.8-0</f>
        <v>614.5</v>
      </c>
      <c r="J336" s="3">
        <f>1280.5+(285.2-602.1)+(0+(0-0))+0-326.7-0</f>
        <v>636.89999999999986</v>
      </c>
      <c r="K336" s="3">
        <f>1280.2+(292.4-619.5)+(2.611608+(0.596496-1.26378))+0-327.1-0.667283999999986</f>
        <v>627.27704000000006</v>
      </c>
      <c r="L336" s="3">
        <f>1281.9+(304.7-546.7)+(-3.268845+(-0.776985--1.394085))+0-326.1--0.831554999999953</f>
        <v>711.97981000000016</v>
      </c>
      <c r="M336" s="3">
        <f>1282.2+(301.1-562.3)+(0.653922+(0.153561-0.286773))+0-326.3-0.166412999999967</f>
        <v>695.05429700000013</v>
      </c>
      <c r="N336" s="3">
        <f>1277.4+(332-558.5)+(-0.651474+(-0.16932--0.284835))+0-325.2--0.165851999999967</f>
        <v>725.32989299999997</v>
      </c>
      <c r="O336" s="3">
        <f>1272.5+(325.4-622.3)+(1.946925+(0.497862-0.952119))+0-237.7-0.363681000000014</f>
        <v>739.02898699999992</v>
      </c>
      <c r="P336" s="3">
        <f>1271.6+(357.8-623.9)+(-0.648516+(-0.182478--0.318189))+0-329.9--0.168248999999967</f>
        <v>675.25544400000001</v>
      </c>
      <c r="Q336" s="3">
        <f>1269+(391-553.6)+(1.94157+(0.59823-0.847008))+0-330.7-0.505971000000019</f>
        <v>776.88682100000005</v>
      </c>
      <c r="R336" s="3">
        <f>1268.2+(354.5-580.5)+(-3.880692+(-1.08477--1.77633))+0-328.5--1.00521000000004</f>
        <v>711.51607800000011</v>
      </c>
      <c r="S336" s="3">
        <f>1267.2+(341.5-554.7)+(-1.938816+(-0.522495--0.848691))+0-328.6--0.502758000000019</f>
        <v>724.29013799999984</v>
      </c>
      <c r="T336" s="3">
        <f>1265.1+(318.5-606.1)+(0.645201+(0.162435-0.309111))+0-328.9-0.167738999999967</f>
        <v>648.9307859999999</v>
      </c>
      <c r="U336" s="3">
        <f>1267.6+(342-553.4)+(0+(0-0))+0-331.6-0</f>
        <v>724.5999999999998</v>
      </c>
      <c r="V336" s="3">
        <f>1269.9+(335.6-527.1)+(-1.295298+(-0.342312--0.537642))+0-334--0.340680000000053</f>
        <v>743.64071200000012</v>
      </c>
      <c r="W336" s="3">
        <f>1271.4+(385.3-551.1)+(-2.593656+(-0.786012--1.124244))+0-337.1--0.687683999999985</f>
        <v>766.93226000000016</v>
      </c>
      <c r="X336" s="3">
        <f>1273+(405.6-624.7)+(-0.64923+(-0.206856--0.318597))+0-334.7--0.170696999999966</f>
        <v>718.83320800000001</v>
      </c>
      <c r="Y336" s="3">
        <f>1276.7+(391-635.2)+(-1.953351+(-0.59823--0.971856))+0-331.6--0.507348000000019</f>
        <v>699.8276229999999</v>
      </c>
      <c r="Z336" s="3">
        <f>1276.8+(366.5-627.4)+(-1.953504+(-0.560745--0.959922))+0-333.7--0.510561000000019</f>
        <v>681.15623400000004</v>
      </c>
      <c r="AA336" s="3">
        <f>1279.4+(341.2-607.9)+(-3.26247+(-0.87006--1.550145))+0-334.3--0.852464999999952</f>
        <v>676.67007999999987</v>
      </c>
      <c r="AB336" s="3">
        <f>1279.5+(334.1-543.3)+(-1.957635+(-0.511173--0.831249))+0-331.9--0.507807000000019</f>
        <v>737.27024800000027</v>
      </c>
      <c r="AC336" s="3">
        <f>1281.9+(323.2-545.3)+(-3.268845+(-0.82416--1.390515))+0-327.7--0.835634999999952</f>
        <v>730.23314500000015</v>
      </c>
      <c r="AD336" s="2">
        <v>723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1283.7+(278.1-571.7)+(-1.309374+(-0.283662--0.583134))+0-327.9--0.334458000000052</f>
        <v>661.52455600000008</v>
      </c>
      <c r="G337" s="3">
        <f>1285.8+(226.9-597.7)+(0.655758+(0.115719-0.304827))+0-329.2-0.167891999999967</f>
        <v>586.09875799999986</v>
      </c>
      <c r="H337" s="3">
        <f>1286.8+(228.9-558)+(2.625072+(0.466956-1.13832))+0-329-0.671159999999986</f>
        <v>629.98254799999995</v>
      </c>
      <c r="I337" s="3">
        <f>1286.6+(223.3-561.2)+(0+(0-0))+0-327.8-0</f>
        <v>620.89999999999986</v>
      </c>
      <c r="J337" s="3">
        <f>1286.3+(216.1-569.6)+(-0.656013+(-0.110211--0.290496))+0-328.4--0.167483999999967</f>
        <v>604.09175599999992</v>
      </c>
      <c r="K337" s="3">
        <f>1288.9+(250.8-592.2)+(-3.286695+(-0.63954--1.51011))+0-328.5--0.837674999999952</f>
        <v>617.42155000000002</v>
      </c>
      <c r="L337" s="3">
        <f>1288+(278.8-594.2)+(-1.31376+(-0.284376--0.606084))+0-327.2--0.333744000000052</f>
        <v>644.74169200000006</v>
      </c>
      <c r="M337" s="3">
        <f>1285.7+(270.9-651.2)+(-0.655707+(-0.138159--0.332112))+0-326.4--0.166463999999967</f>
        <v>578.70470999999998</v>
      </c>
      <c r="N337" s="3">
        <f>1280.2+(325-663.9)+(0+(0-0))+0-326.4-0</f>
        <v>614.90000000000009</v>
      </c>
      <c r="O337" s="3">
        <f>1275.1+(333.4-666)+(0+(0-0))+0-331.3-0</f>
        <v>611.19999999999982</v>
      </c>
      <c r="P337" s="3">
        <f>1270.9+(351.6-632.5)+(0+(0-0))+0-332.3-0</f>
        <v>657.7</v>
      </c>
      <c r="Q337" s="3">
        <f>1266.4+(369.2-590.2)+(-1.937592+(-0.564876--0.903006))+0-328.3--0.502299000000019</f>
        <v>716.00283700000023</v>
      </c>
      <c r="R337" s="3">
        <f>1263.5+(358.2-602.6)+(-1.28877+(-0.365364--0.614652))+0-331--0.337620000000053</f>
        <v>687.3981379999999</v>
      </c>
      <c r="S337" s="3">
        <f>1261.6+(327.9-537.8)+(1.286832+(0.334458-0.548556))+0-331.3-0.337926000000053</f>
        <v>721.13480799999991</v>
      </c>
      <c r="T337" s="3">
        <f>1258.8+(310.5-580.5)+(0.641988+(0.158355-0.296055))+0-326.8-0.166667999999967</f>
        <v>662.3376199999999</v>
      </c>
      <c r="U337" s="3">
        <f>1256.8+(339.5-574.8)+(-0.640968+(-0.173145--0.293148))+0-327.1--0.166820999999967</f>
        <v>694.04585599999984</v>
      </c>
      <c r="V337" s="3">
        <f>1254.8+(353.5-585.7)+(0+(0-0))+0-326.4-0</f>
        <v>696.19999999999993</v>
      </c>
      <c r="W337" s="3">
        <f>1260.1+(407.4-601.5)+(1.927953+(0.623322-0.920295))+0-326.4-0.499392000000019</f>
        <v>740.73158799999987</v>
      </c>
      <c r="X337" s="3">
        <f>1262.4+(462.4-612.2)+(-1.287648+(-0.471648--0.624444))+0-328--0.334560000000052</f>
        <v>783.79970800000001</v>
      </c>
      <c r="Y337" s="3">
        <f>1264.4+(449.3-624.2)+(1.289688+(0.458286-0.636684))+0-327.4-0.333948000000052</f>
        <v>762.877342</v>
      </c>
      <c r="Z337" s="3">
        <f>1266.7+(450.7-602.3)+(0+(0-0))+0-328.4-0</f>
        <v>786.70000000000016</v>
      </c>
      <c r="AA337" s="3">
        <f>1268.7+(402.2-594.5)+(-0.647037+(-0.205122--0.303195))+0-327.8--0.167177999999967</f>
        <v>748.21821399999999</v>
      </c>
      <c r="AB337" s="3">
        <f>1269.8+(348.6-595)+(-3.23799+(-0.88893--1.51725))+0-327.4--0.834869999999952</f>
        <v>694.22519999999986</v>
      </c>
      <c r="AC337" s="3">
        <f>1271.6+(308.2-567.7)+(-1.945548+(-0.471546--0.868581))+0-326.6--0.499698000000019</f>
        <v>684.4511849999999</v>
      </c>
      <c r="AD337" s="2">
        <v>791.60000000000014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1276.3+(213.8-612.8)+(-1.301826+(-0.218076--0.625056))+0-326.7--0.333234000000052</f>
        <v>550.03838800000005</v>
      </c>
      <c r="G338" s="3">
        <f>1275.9+(192.9-606.8)+(-2.602836+(-0.393516--1.237872))+0-327--0.667079999999986</f>
        <v>533.90860000000009</v>
      </c>
      <c r="H338" s="3">
        <f>1275.4+(144.6-523.7)+(0+(0-0))+0-328.6-0</f>
        <v>567.70000000000005</v>
      </c>
      <c r="I338" s="3">
        <f>1276.6+(150.8-487)+(0+(0-0))+0-329.2-0</f>
        <v>611.19999999999982</v>
      </c>
      <c r="J338" s="3">
        <f>1277.3+(132.5-567.9)+(0.651423+(0.067575-0.289629))+0-311.4-0.158813999999968</f>
        <v>530.77055499999994</v>
      </c>
      <c r="K338" s="3">
        <f>1278.2+(158.2-633.4)+(1.303764+(0.161364-0.646068))+0-212.6-0.216852000000034</f>
        <v>591.002208</v>
      </c>
      <c r="L338" s="3">
        <f>1277.9+(268.2-549.7)+(0.651729+(0.136782-0.280347))+0-330.3-0.168452999999966</f>
        <v>666.43971099999999</v>
      </c>
      <c r="M338" s="3">
        <f>1277.8+(287.5-578.8)+(0+(0-0))+0-331.1-0</f>
        <v>655.4</v>
      </c>
      <c r="N338" s="3">
        <f>1276.8+(311-610)+(-0.651168+(-0.15861--0.3111))+0-331.3--0.168962999999966</f>
        <v>646.17028499999981</v>
      </c>
      <c r="O338" s="3">
        <f>1276.4+(320.6-665.1)+(1.301928+(0.327012-0.678402))+0-329.4-0.335988000000053</f>
        <v>603.11455000000012</v>
      </c>
      <c r="P338" s="3">
        <f>1275.9+(343-643.3)+(0+(0-0))+0-329.8-0</f>
        <v>645.80000000000018</v>
      </c>
      <c r="Q338" s="3">
        <f>1277.3+(367-630.1)+(-1.954269+(-0.56151--0.964053))+0-330.1--0.505053000000019</f>
        <v>683.05332699999985</v>
      </c>
      <c r="R338" s="3">
        <f>1276+(354.3-647.2)+(-2.60304+(-0.722772--1.320288))+0-330.1--0.673403999999986</f>
        <v>651.66787999999985</v>
      </c>
      <c r="S338" s="3">
        <f>1275.9+(349.6-599.9)+(1.301418+(0.356592-0.611898))+0-330-0.336600000000053</f>
        <v>696.30951200000004</v>
      </c>
      <c r="T338" s="3">
        <f>1271.3+(336.7-590.7)+(-0.648363+(-0.171717--0.301257))+0-330.2--0.168401999999966</f>
        <v>686.74957900000004</v>
      </c>
      <c r="U338" s="3">
        <f>1269.9+(353.7-592.2)+(1.295298+(0.360774-0.604044))+0-329.5-0.336090000000053</f>
        <v>702.61593800000014</v>
      </c>
      <c r="V338" s="3">
        <f>1272.4+(364.7-602.5)+(-0.648924+(-0.185997--0.307275))+0-329.1--0.167840999999967</f>
        <v>705.14019500000006</v>
      </c>
      <c r="W338" s="3">
        <f>1277.9+(416.5-613.7)+(-1.955187+(-0.637245--0.938961))+0-328.7--0.502911000000019</f>
        <v>750.84943999999996</v>
      </c>
      <c r="X338" s="3">
        <f>1281.9+(464.8-612.5)+(0.653769+(0.237048-0.312375))+0-329.3-0.167942999999967</f>
        <v>805.31049900000016</v>
      </c>
      <c r="Y338" s="3">
        <f>1284.9+(447.3-614.4)+(-3.276495+(-1.140615--1.56672))+0-330.1--0.841754999999952</f>
        <v>785.69136500000002</v>
      </c>
      <c r="Z338" s="3">
        <f>1282.8+(427-595.7)+(-0.654228+(-0.21777--0.303807))+0-329.2--0.167891999999967</f>
        <v>784.49970099999973</v>
      </c>
      <c r="AA338" s="3">
        <f>1284.6+(396.7-612.9)+(-1.965438+(-0.606951--0.937737))+0-329.3--0.503829000000019</f>
        <v>737.96917699999995</v>
      </c>
      <c r="AB338" s="3">
        <f>1286.5+(358.4-615.2)+(-1.968345+(-0.548352--0.941256))+0-330--0.504900000000019</f>
        <v>698.62945899999988</v>
      </c>
      <c r="AC338" s="3">
        <f>1285.6+(308.4-603.8)+(-3.27828+(-0.78642--1.53969))+0-328.1--0.836654999999952</f>
        <v>660.41164499999991</v>
      </c>
      <c r="AD338" s="2">
        <v>841.19999999999993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1284.2+(233.6-608.1)+(-1.964826+(-0.357408--0.930393))+0-328.1--0.501993000000019</f>
        <v>580.71015199999999</v>
      </c>
      <c r="G339" s="3">
        <f>1282.7+(190.8-531.4)+(0+(0-0))+0-329.7-0</f>
        <v>612.40000000000009</v>
      </c>
      <c r="H339" s="3">
        <f>1286.1+(168.4-552.5)+(1.967733+(0.257652-0.845325))+0-330.7-0.505971000000019</f>
        <v>572.17408899999987</v>
      </c>
      <c r="I339" s="3">
        <f>1289.3+(174.8-579.2)+(-1.315086+(-0.178296--0.590784))+0-330.3--0.336906000000053</f>
        <v>554.03430799999978</v>
      </c>
      <c r="J339" s="3">
        <f>1290.2+(175.5-530.2)+(1.974006+(0.268515-0.811206))+0-329.7-0.504441000000019</f>
        <v>606.72687399999995</v>
      </c>
      <c r="K339" s="3">
        <f>1292.5+(192.8-567.7)+(0+(0-0))+0-329.7-0</f>
        <v>587.89999999999986</v>
      </c>
      <c r="L339" s="3">
        <f>1295.2+(182.4-596.3)+(-2.642208+(-0.372096--1.216452))+0-328.9--0.670955999999986</f>
        <v>551.27310399999999</v>
      </c>
      <c r="M339" s="3">
        <f>1293.5+(224.1-613.3)+(0.659685+(0.114291-0.312783))+0-328.3-0.167432999999967</f>
        <v>576.29376000000013</v>
      </c>
      <c r="N339" s="3">
        <f>1282.7+(300-654.1)+(1.308354+(0.306-0.667182))+0-327.6-0.334152000000052</f>
        <v>601.61302000000001</v>
      </c>
      <c r="O339" s="3">
        <f>1277.1+(337.2-658.7)+(1.953963+(0.515916-1.007811))+0-328.1-0.501993000000019</f>
        <v>628.46007499999996</v>
      </c>
      <c r="P339" s="3">
        <f>1272.8+(348.6-647.2)+(0+(0-0))+0-327.7-0</f>
        <v>646.5</v>
      </c>
      <c r="Q339" s="3">
        <f>1268.3+(364.6-648.8)+(0+(0-0))+0-328.9-0</f>
        <v>655.20000000000005</v>
      </c>
      <c r="R339" s="3">
        <f>1263.3+(331.4-616.1)+(-1.288566+(-0.338028--0.628422))+0-328--0.334560000000052</f>
        <v>649.93638799999997</v>
      </c>
      <c r="S339" s="3">
        <f>1258.1+(321.1-559.4)+(0.641631+(0.163761-0.285294))+0-328.9-0.167738999999967</f>
        <v>691.25235899999996</v>
      </c>
      <c r="T339" s="3">
        <f>1256.3+(196.8-773.6)+(-1.281426+(-0.200736--0.789072))+0-93.4--0.0952680000000149</f>
        <v>585.50217800000007</v>
      </c>
      <c r="U339" s="3">
        <f>1255.1+(186.3-770.5)+(-1.280202+(-0.190026--0.78591))+0-36.2--0.0369240000000058</f>
        <v>634.05260599999986</v>
      </c>
      <c r="V339" s="3">
        <f>1251.1+(274.6-577)+(1.914183+(0.420138-0.88281))+0-322.4-0.493272000000019</f>
        <v>627.25823899999989</v>
      </c>
      <c r="W339" s="3">
        <f>1259.4+(344.5-587.7)+(-1.926882+(-0.527085--0.899181))+0-343.9--0.52616700000002</f>
        <v>671.27138100000002</v>
      </c>
      <c r="X339" s="3">
        <f>1266+(385-579.1)+(0+(0-0))+0-344.9-0</f>
        <v>727.00000000000011</v>
      </c>
      <c r="Y339" s="3">
        <f>1271.3+(380-564)+(-3.890178+(-1.1628--1.72584))+0-342.7--1.04866200000004</f>
        <v>742.32152399999984</v>
      </c>
      <c r="Z339" s="3">
        <f>1275.4+(364.1-568.8)+(1.300908+(0.371382-0.580176))+0-341.9-0.348738000000055</f>
        <v>729.54337600000031</v>
      </c>
      <c r="AA339" s="3">
        <f>1277.8+(334.4-592.4)+(-0.651678+(-0.170544--0.302124))+0-344.6--0.175745999999965</f>
        <v>674.85564799999997</v>
      </c>
      <c r="AB339" s="3">
        <f>1283.3+(310.7-545.9)+(0+(0-0))+0-343.5-0</f>
        <v>704.59999999999991</v>
      </c>
      <c r="AC339" s="3">
        <f>1285.9+(249.6-541.8)+(-1.967427+(-0.381888--0.828954))+0-339.1--0.51882300000002</f>
        <v>653.59846200000015</v>
      </c>
      <c r="AD339" s="2">
        <v>842.30000000000007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1287.9+(239-521.1)+(-1.970487+(-0.36567--0.797283))+0-340.9--0.52157700000002</f>
        <v>663.88270300000011</v>
      </c>
      <c r="G340" s="3">
        <f>1288.3+(201.2-480.7)+(-3.285165+(-0.51306--1.225785))+0-341.6--0.87107999999995</f>
        <v>665.49863999999991</v>
      </c>
      <c r="H340" s="3">
        <f>1288+(189.3-507.6)+(-0.65688+(-0.096543--0.258876))+0-337.1--0.171920999999966</f>
        <v>632.27737400000001</v>
      </c>
      <c r="I340" s="3">
        <f>1286.9+(156.6-560.4)+(0.656319+(0.079866-0.285804))+0-337.2-0.171971999999966</f>
        <v>546.17840900000022</v>
      </c>
      <c r="J340" s="3">
        <f>1288.3+(135.2-574.9)+(0.657033+(0.068952-0.293199))+0-335.8-0.171257999999966</f>
        <v>513.06152799999984</v>
      </c>
      <c r="K340" s="3">
        <f>1288.8+(187-538)+(2.629152+(0.38148-1.09752))+0-333.7-0.680747999999985</f>
        <v>605.33236399999987</v>
      </c>
      <c r="L340" s="3">
        <f>1289.2+(163.3-563.8)+(-1.314984+(-0.166566--0.575076))+0-332.8--0.339456000000053</f>
        <v>555.33298200000002</v>
      </c>
      <c r="M340" s="3">
        <f>1285.3+(200.9-460.2)+(-0.655503+(-0.102459--0.234702))+0-332.4--0.169523999999966</f>
        <v>693.246264</v>
      </c>
      <c r="N340" s="3">
        <f>1278.3+(231.4-507.8)+(-1.303866+(-0.236028--0.517956))+0-331.7--0.338334000000053</f>
        <v>669.51639599999999</v>
      </c>
      <c r="O340" s="3">
        <f>1273.8+(283.3-480.5)+(1.299276+(0.288966-0.49011))+0-331.1-0.337722000000053</f>
        <v>746.26040999999987</v>
      </c>
      <c r="P340" s="3">
        <f>1268.2+(300.1-464.1)+(0+(0-0))+0-330.4-0</f>
        <v>773.80000000000007</v>
      </c>
      <c r="Q340" s="3">
        <f>1264.5+(312.8-469.7)+(0+(0-0))+0-329.5-0</f>
        <v>778.09999999999991</v>
      </c>
      <c r="R340" s="3">
        <f>1259.4+(312.9-444.7)+(-1.926882+(-0.478737--0.680391))+0-330.6--0.505818000000019</f>
        <v>795.78059000000007</v>
      </c>
      <c r="S340" s="3">
        <f>1256.5+(264.7-480.5)+(-0.640815+(-0.134997--0.245055))+0-329.9--0.168248999999967</f>
        <v>710.43749200000002</v>
      </c>
      <c r="T340" s="3">
        <f>1254.9+(273.8-452.9)+(-1.279998+(-0.279276--0.461958))+0-329.2--0.335784000000052</f>
        <v>745.83846800000015</v>
      </c>
      <c r="U340" s="3">
        <f>1251.3+(275.3-478.7)+(-1.276326+(-0.280806--0.488274))+0-329.4--0.335988000000053</f>
        <v>717.76713000000007</v>
      </c>
      <c r="V340" s="3">
        <f>1248.1+(299.4-482.6)+(0+(0-0))+0-328.6-0</f>
        <v>736.29999999999984</v>
      </c>
      <c r="W340" s="3">
        <f>1254.9+(335.4-506.7)+(-0.639999+(-0.171054--0.258417))+0-329.5--0.168044999999967</f>
        <v>753.71540900000025</v>
      </c>
      <c r="X340" s="3">
        <f>1262.1+(383.5-501.6)+(-0.643671+(-0.195585--0.255816))+0-329.7--0.168146999999967</f>
        <v>813.88470699999982</v>
      </c>
      <c r="Y340" s="3">
        <f>1266.9+(377.8-513.3)+(0+(0-0))+0-331.3-0</f>
        <v>800.10000000000014</v>
      </c>
      <c r="Z340" s="3">
        <f>1268.9+(355.5-512.1)+(-1.294278+(-0.36261--0.522342))+0-333.9--0.340578000000053</f>
        <v>777.60603200000025</v>
      </c>
      <c r="AA340" s="3">
        <f>1273.3+(326.8-532.2)+(-0.649383+(-0.166668--0.271422))+0-306.7--0.156416999999969</f>
        <v>760.81178799999975</v>
      </c>
      <c r="AB340" s="3">
        <f>1272+(295.7-544.2)+(-3.2436+(-0.754035--1.38771))+0-332.8--0.848639999999952</f>
        <v>688.938715</v>
      </c>
      <c r="AC340" s="3">
        <f>1276+(271.4-502.9)+(-3.2538+(-0.69207--1.282395))+0-331.7--0.845834999999952</f>
        <v>710.98235999999986</v>
      </c>
      <c r="AD340" s="2">
        <v>843.30000000000018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1281+(203.7-481.8)+(-1.30662+(-0.207774--0.491436))+0-330.1--0.336702000000053</f>
        <v>672.113744</v>
      </c>
      <c r="G341" s="3">
        <f>1280+(223.3-476.3)+(1.3056+(0.227766-0.485826))+0-333.4-0.340068000000053</f>
        <v>694.30747199999996</v>
      </c>
      <c r="H341" s="3">
        <f>1281.4+(179.8-539.3)+(1.307028+(0.183396-0.550086))+0-333.7-0.340374000000053</f>
        <v>588.79996400000016</v>
      </c>
      <c r="I341" s="3">
        <f>1283.2+(195.4-545.2)+(0.654432+(0.099654-0.278052))+0-333.9-0.170288999999966</f>
        <v>599.80574500000012</v>
      </c>
      <c r="J341" s="3">
        <f>1284.9+(186.5-553.5)+(-0.655299+(-0.095115--0.282285))+0-333.1--0.169880999999966</f>
        <v>584.50175200000001</v>
      </c>
      <c r="K341" s="3">
        <f>1286.9+(220.9-528.2)+(1.312638+(0.225318-0.538764))+0-331.2-0.337824000000053</f>
        <v>649.06136800000002</v>
      </c>
      <c r="L341" s="3">
        <f>1290.8+(232.6-571)+(0.658308+(0.118626-0.29121))+0-330.8-0.168707999999966</f>
        <v>621.9170160000001</v>
      </c>
      <c r="M341" s="3">
        <f>1286.8+(304.4-588.5)+(0.656268+(0.155244-0.300135))+0-332.1-0.169370999999966</f>
        <v>670.94200599999999</v>
      </c>
      <c r="N341" s="3">
        <f>1270.9+(331.3-590.5)+(1.296318+(0.337926-0.60231))+0-330.2-0.336804000000053</f>
        <v>682.19513000000006</v>
      </c>
      <c r="O341" s="3">
        <f>1260.4+(330.9-595)+(2.571216+(0.675036-1.2138))+0-334.4-0.682175999999985</f>
        <v>663.2502760000001</v>
      </c>
      <c r="P341" s="3">
        <f>1255.6+(347.4-585.2)+(0+(0-0))+0-333.3-0</f>
        <v>684.49999999999977</v>
      </c>
      <c r="Q341" s="3">
        <f>1251.7+(348.8-622.4)+(0+(0-0))+0-332.1-0</f>
        <v>646.00000000000011</v>
      </c>
      <c r="R341" s="3">
        <f>1248.1+(348.2-576.2)+(-1.273062+(-0.355164--0.587724))+0-333.8--0.340476000000053</f>
        <v>685.59997399999997</v>
      </c>
      <c r="S341" s="3">
        <f>1243.7+(348.3-524.3)+(-2.537148+(-0.710532--1.069572))+0-333.3--0.679931999999985</f>
        <v>732.90182400000003</v>
      </c>
      <c r="T341" s="3">
        <f>1240.2+(333.9-512.6)+(0+(0-0))+0-329.7-0</f>
        <v>731.8</v>
      </c>
      <c r="U341" s="3">
        <f>1235.9+(344.5-518.8)+(0.630309+(0.175695-0.264588))+0-328.7-0.167636999999967</f>
        <v>733.2737790000001</v>
      </c>
      <c r="V341" s="3">
        <f>1237.1+(323.3-581.4)+(0+(0-0))+0-296.1-0</f>
        <v>682.9</v>
      </c>
      <c r="W341" s="3">
        <f>1239.8+(365.5-609.3)+(-1.264596+(-0.37281--0.621486))+0-301.8--0.307836000000048</f>
        <v>693.49191600000006</v>
      </c>
      <c r="X341" s="3">
        <f>1247.3+(427.3-602.2)+(-1.908369+(-0.653769--0.921366))+0-330.4--0.505512000000019</f>
        <v>740.86473999999998</v>
      </c>
      <c r="Y341" s="3">
        <f>1253.9+(409.7-604.3)+(-1.278978+(-0.417894--0.616386))+0-329.4--0.335988000000053</f>
        <v>729.15550200000018</v>
      </c>
      <c r="Z341" s="3">
        <f>1254.9+(413.6-562.8)+(0.639999+(0.210936-0.287028))+0-329.6-0.168095999999967</f>
        <v>776.49581100000023</v>
      </c>
      <c r="AA341" s="3">
        <f>1257+(386.3-555.6)+(-1.28214+(-0.394026--0.566712))+0-330.8--0.337416000000053</f>
        <v>756.12796200000025</v>
      </c>
      <c r="AB341" s="3">
        <f>1265.4+(350.8-558.4)+(-1.290708+(-0.357816--0.569568))+0-330.2--0.336804000000053</f>
        <v>726.8578480000001</v>
      </c>
      <c r="AC341" s="3">
        <f>1268.2+(325.9-531.8)+(-0.646782+(-0.166209--0.271218))+0-330.2--0.168401999999966</f>
        <v>731.72662900000023</v>
      </c>
      <c r="AD341" s="2">
        <v>764.5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1269.7+(225.6-500.8)+(-3.237735+(-0.57528--1.27704))+0-329.3--0.839714999999952</f>
        <v>663.50373999999999</v>
      </c>
      <c r="G342" s="3">
        <f>1274+(149.8-444.5)+(-0.64974+(-0.076398--0.226695))+0-331--0.168809999999966</f>
        <v>647.96936699999992</v>
      </c>
      <c r="H342" s="3">
        <f>1278.9+(154.5-469)+(-1.304478+(-0.15759--0.47838))+0-330.3--0.336906000000053</f>
        <v>633.45321800000011</v>
      </c>
      <c r="I342" s="3">
        <f>1276.2+(170.6-478.5)+(-1.952586+(-0.261018--0.732105))+0-331--0.506430000000019</f>
        <v>636.32493100000011</v>
      </c>
      <c r="J342" s="3">
        <f>1277.7+(179.3-509.3)+(0.651627+(0.091443-0.259743))+0-330.3-0.168452999999966</f>
        <v>617.71487400000001</v>
      </c>
      <c r="K342" s="3">
        <f>1277.1+(199.3-571.1)+(-0.651321+(-0.101643--0.291261))+0-329.9--0.168248999999967</f>
        <v>575.10654599999987</v>
      </c>
      <c r="L342" s="3">
        <f>1278.9+(284.8-552.4)+(-0.652239+(-0.145248--0.281724))+0-328.9--0.167738999999967</f>
        <v>682.0519760000002</v>
      </c>
      <c r="M342" s="3">
        <f>1275.6+(279.6-629)+(0.650556+(0.142596-0.32079))+0-329.3-0.167942999999967</f>
        <v>597.20441899999992</v>
      </c>
      <c r="N342" s="3">
        <f>1270.4+(342.2-605.9)+(0.647904+(0.174522-0.309009))+0-328.7-0.167636999999967</f>
        <v>678.3457800000001</v>
      </c>
      <c r="O342" s="3">
        <f>1264.7+(369.9-604.2)+(0+(0-0))+0-326.9-0</f>
        <v>703.50000000000011</v>
      </c>
      <c r="P342" s="3">
        <f>1256.4+(386.8-588.3)+(0+(0-0))+0-325.7-0</f>
        <v>729.2</v>
      </c>
      <c r="Q342" s="3">
        <f>1239.1+(397.9-576.4)+(-0.631941+(-0.202929--0.293964))+0-326.9--0.166718999999967</f>
        <v>733.32581299999993</v>
      </c>
      <c r="R342" s="3">
        <f>1254.9+(367.7-509.1)+(-2.559996+(-0.750108--1.038564))+0-329.4--0.671975999999986</f>
        <v>782.50043600000004</v>
      </c>
      <c r="S342" s="3">
        <f>1251.2+(340.2-495.3)+(1.276224+(0.347004-0.505206))+0-329.1-0.335682000000052</f>
        <v>767.78233999999998</v>
      </c>
      <c r="T342" s="3">
        <f>1251.4+(303.1-545.5)+(0.638214+(0.154581-0.278205))+0-328.5-0.167534999999967</f>
        <v>680.84705500000018</v>
      </c>
      <c r="U342" s="3">
        <f>1254.5+(290.4-569.4)+(1.27959+(0.296208-0.580788))+0-328.7-0.335274000000052</f>
        <v>647.45973600000002</v>
      </c>
      <c r="V342" s="3">
        <f>1252.2+(337.1-580.5)+(1.277244+(0.343842-0.59211))+0-327.6-0.334152000000052</f>
        <v>681.89482399999997</v>
      </c>
      <c r="W342" s="3">
        <f>1249.3+(378.1-614.7)+(-2.548572+(-0.771324--1.253988))+0-327.6--0.668303999999986</f>
        <v>683.70239599999991</v>
      </c>
      <c r="X342" s="3">
        <f>1256.6+(446.4-558.7)+(-0.640866+(-0.227664--0.284937))+0-329.4--0.167993999999967</f>
        <v>814.48440099999971</v>
      </c>
      <c r="Y342" s="3">
        <f>1264+(399.9-531.1)+(-2.57856+(-0.815796--1.083444))+0-329.2--0.671567999999986</f>
        <v>801.96065599999997</v>
      </c>
      <c r="Z342" s="3">
        <f>1267.6+(359.4-511)+(-3.23238+(-0.91647--1.30305))+0-328.6--0.837929999999952</f>
        <v>785.39212999999984</v>
      </c>
      <c r="AA342" s="3">
        <f>1270.3+(301.6-489.4)+(0+(0-0))+0-329-0</f>
        <v>753.5</v>
      </c>
      <c r="AB342" s="3">
        <f>1273+(262.5-449.9)+(-0.64923+(-0.133875--0.229449))+0-330.4--0.168503999999966</f>
        <v>754.81484799999987</v>
      </c>
      <c r="AC342" s="3">
        <f>1271.5+(233.9-461.6)+(-1.945395+(-0.357867--0.706248))+0-328.3--0.502299000000019</f>
        <v>714.40528500000005</v>
      </c>
      <c r="AD342" s="2">
        <v>776.3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1274.2+(201-473.1)+(-1.299684+(-0.20502--0.482562))+0-328.6--0.335172000000052</f>
        <v>672.81303000000003</v>
      </c>
      <c r="G343" s="3">
        <f>1272+(181-474.1)+(0.64872+(0.09231-0.241791))+0-329.1-0.167840999999967</f>
        <v>650.13139799999999</v>
      </c>
      <c r="H343" s="3">
        <f>1270.1+(174.4-490.9)+(-1.295502+(-0.177888--0.500718))+0-329.9--0.336498000000053</f>
        <v>623.06382599999995</v>
      </c>
      <c r="I343" s="3">
        <f>1272+(168.3-514.3)+(0.64872+(0.085833-0.262293))+0-329.4-0.167993999999967</f>
        <v>596.90426600000001</v>
      </c>
      <c r="J343" s="3">
        <f>1274.7+(194.7-529.8)+(0+(0-0))+0-330.1-0</f>
        <v>609.50000000000011</v>
      </c>
      <c r="K343" s="3">
        <f>1277.1+(162.6-561.5)+(-1.953963+(-0.248778--0.859095))+0-329.6--0.504288000000019</f>
        <v>547.76064199999985</v>
      </c>
      <c r="L343" s="3">
        <f>1282.1+(226.8-584.7)+(0+(0-0))+0-329-0</f>
        <v>595.19999999999982</v>
      </c>
      <c r="M343" s="3">
        <f>1284.8+(265.4-572.4)+(0.655248+(0.135354-0.291924))+0-327.6-0.167075999999967</f>
        <v>650.53160200000002</v>
      </c>
      <c r="N343" s="3">
        <f>1276.6+(305.7-571.7)+(-0.651066+(-0.155907--0.291567))+0-329.5--0.168044999999967</f>
        <v>680.75263899999993</v>
      </c>
      <c r="O343" s="3">
        <f>1269.9+(309.2-626.1)+(-1.942947+(-0.473076--0.957933))+0-264.4--0.404532000000015</f>
        <v>687.54644200000007</v>
      </c>
      <c r="P343" s="3">
        <f>1265.5+(269-791.5)+(-1.936215+(-0.41157--1.210995))+0-57.3--0.0876690000000033</f>
        <v>684.65087900000003</v>
      </c>
      <c r="Q343" s="3">
        <f>1260.2+(410.2-590.5)+(-2.570808+(-0.836808--1.20462))+0-325.7--0.664427999999986</f>
        <v>752.66143199999999</v>
      </c>
      <c r="R343" s="3">
        <f>1262.2+(360.4-594.8)+(0+(0-0))+0-336.1-0</f>
        <v>691.70000000000016</v>
      </c>
      <c r="S343" s="3">
        <f>1262.7+(280.3-510.5)+(-1.931931+(-0.428859--0.781065))+0-333.2--0.509796000000019</f>
        <v>698.23007099999995</v>
      </c>
      <c r="T343" s="3">
        <f>1261.2+(250.5-548.4)+(1.286424+(0.25551-0.559368))+0-328.7-0.335274000000052</f>
        <v>635.24729200000002</v>
      </c>
      <c r="U343" s="3">
        <f>1261.6+(236.2-584.9)+(-0.643416+(-0.120462--0.298299))+0-335.8--0.171257999999966</f>
        <v>576.80567899999971</v>
      </c>
      <c r="V343" s="3">
        <f>1263.7+(252.4-564.5)+(0+(0-0))+0-333.6-0</f>
        <v>618</v>
      </c>
      <c r="W343" s="3">
        <f>1266.4+(340.2-554.4)+(-1.291728+(-0.347004--0.565488))+0-334.5--0.341190000000053</f>
        <v>716.96794600000021</v>
      </c>
      <c r="X343" s="3">
        <f>1270.1+(424.7-580.4)+(-0.647751+(-0.216597--0.296004))+0-334.5--0.170594999999966</f>
        <v>779.50225099999977</v>
      </c>
      <c r="Y343" s="3">
        <f>1275.2+(406.9-568.6)+(-3.25176+(-1.037595--1.44993))+0-333.8--0.851189999999952</f>
        <v>777.71176500000013</v>
      </c>
      <c r="Z343" s="3">
        <f>1275.1+(369.7-544.5)+(0+(0-0))+0-333.8-0</f>
        <v>766.5</v>
      </c>
      <c r="AA343" s="3">
        <f>1279.2+(341-549.3)+(-1.304784+(-0.34782--0.560286))+0-333.3--0.339966000000053</f>
        <v>736.84764800000016</v>
      </c>
      <c r="AB343" s="3">
        <f>1282+(302.7-500.2)+(-1.30764+(-0.308754--0.510204))+0-334.2--0.340884000000053</f>
        <v>749.53469400000006</v>
      </c>
      <c r="AC343" s="3">
        <f>1283+(269.5-507.5)+(-3.27165+(-0.687225--1.294125))+0-333.4--0.850169999999952</f>
        <v>709.78542000000004</v>
      </c>
      <c r="AD343" s="2">
        <v>812.40000000000009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1283.8+(253.6-548.4)+(-1.964214+(-0.388008--0.839052))+0-332.1--0.508113000000019</f>
        <v>655.89494300000001</v>
      </c>
      <c r="G344" s="3">
        <f>1282.2+(251-559.6)+(-1.961766+(-0.38403--0.856188))+0-332.3--0.508419000000019</f>
        <v>640.3188110000001</v>
      </c>
      <c r="H344" s="3">
        <f>1282.6+(210.5-517.6)+(-0.654126+(-0.107355--0.263976))+0-331.6--0.169115999999966</f>
        <v>643.57161099999973</v>
      </c>
      <c r="I344" s="3">
        <f>1281.4+(167.8-544.8)+(-1.307028+(-0.171156--0.555696))+0-331.6--0.338232000000053</f>
        <v>572.21574400000009</v>
      </c>
      <c r="J344" s="3">
        <f>1282.2+(196.4-509.3)+(0.653922+(0.100164-0.259743))+0-331.6-0.169115999999966</f>
        <v>638.02522700000009</v>
      </c>
      <c r="K344" s="3">
        <f>1284.7+(192.3-598.8)+(2.620788+(0.392292-1.221552))+0-331.7-0.676667999999986</f>
        <v>547.61486000000002</v>
      </c>
      <c r="L344" s="3">
        <f>1287.2+(250.6-639.5)+(-0.656472+(-0.127806--0.326145))+0-332--0.169319999999966</f>
        <v>566.01118700000006</v>
      </c>
      <c r="M344" s="3">
        <f>1284.1+(273.8-657.7)+(-0.654891+(-0.139638--0.335427))+0-331.4--0.169013999999966</f>
        <v>568.50991199999976</v>
      </c>
      <c r="N344" s="3">
        <f>1280.6+(297-662.7)+(-0.653106+(-0.15147--0.337977))+0-331.3--0.168962999999966</f>
        <v>583.30236399999978</v>
      </c>
      <c r="O344" s="3">
        <f>1292.9+(327.4-666.7)+(-2.637516+(-0.667896--1.360068))+0-331.9--0.677075999999985</f>
        <v>620.43173200000001</v>
      </c>
      <c r="P344" s="3">
        <f>1266.3+(397.4-671.7)+(-0.645813+(-0.202674--0.342567))+0-331.6--0.169115999999966</f>
        <v>660.06319599999983</v>
      </c>
      <c r="Q344" s="3">
        <f>1263.6+(415.2-664.3)+(-1.288872+(-0.423504--0.677586))+0-333.4--0.340068000000053</f>
        <v>680.40527800000007</v>
      </c>
      <c r="R344" s="3">
        <f>1260.9+(394.5-671.7)+(-2.572236+(-0.80478--1.370268))+0-332.8--0.678911999999986</f>
        <v>649.57216400000004</v>
      </c>
      <c r="S344" s="3">
        <f>1257.7+(382.8-670.7)+(-1.924281+(-0.585684--1.026171))+0-332.3--0.508419000000019</f>
        <v>636.52462500000001</v>
      </c>
      <c r="T344" s="3">
        <f>1256+(387.5-680.3)+(0.64056+(0.197625-0.346953))+0-332.3-0.169472999999966</f>
        <v>631.22175900000002</v>
      </c>
      <c r="U344" s="3">
        <f>1255.6+(373.4-676.4)+(1.280712+(0.380868-0.689928))+0-332-0.338640000000053</f>
        <v>621.2330119999998</v>
      </c>
      <c r="V344" s="3">
        <f>1256.3+(360.9-659.8)+(0.640713+(0.184059-0.336498))+0-331.3-0.168962999999966</f>
        <v>626.41931099999999</v>
      </c>
      <c r="W344" s="3">
        <f>1259.8+(422.9-680.8)+(0.642498+(0.215679-0.347208))+0-331.8-0.169217999999966</f>
        <v>670.44175100000007</v>
      </c>
      <c r="X344" s="3">
        <f>1263.8+(457.9-656.6)+(0+(0-0))+0-332.2-0</f>
        <v>732.89999999999986</v>
      </c>
      <c r="Y344" s="3">
        <f>1269.6+(431.6-673.1)+(0+(0-0))+0-332.1-0</f>
        <v>695.99999999999989</v>
      </c>
      <c r="Z344" s="3">
        <f>1272.3+(431.2-654.6)+(-0.648873+(-0.219912--0.333846))+0-332.4--0.169523999999966</f>
        <v>716.1345849999999</v>
      </c>
      <c r="AA344" s="3">
        <f>1275.1+(393.3-670)+(0+(0-0))+0-332-0</f>
        <v>666.39999999999986</v>
      </c>
      <c r="AB344" s="3">
        <f>1275.6+(364.1-685.4)+(-2.602224+(-0.742764--1.398216))+0-332--0.677279999999986</f>
        <v>621.03050799999994</v>
      </c>
      <c r="AC344" s="3">
        <f>1280.5+(336.4-700.1)+(-0.653055+(-0.171564--0.357051))+0-331.3--0.168962999999966</f>
        <v>585.20139499999993</v>
      </c>
      <c r="AD344" s="2">
        <v>707.9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1284.2+(296.8-691.1)+(-3.27471+(-0.75684--1.762305))+0-330.9--0.843794999999952</f>
        <v>557.57455000000016</v>
      </c>
      <c r="G345" s="3">
        <f>1293+(216.6-629.6)+(-1.97829+(-0.331398--0.963288))+0-330.2--0.505206000000019</f>
        <v>548.9588060000001</v>
      </c>
      <c r="H345" s="3">
        <f>1295.3+(181.8-607.5)+(0+(0-0))+0-331.4-0</f>
        <v>538.19999999999993</v>
      </c>
      <c r="I345" s="3">
        <f>1252.4+(200.6-578.9)+(0.638724+(0.102306-0.295239))+0-331.8-0.169217999999966</f>
        <v>542.57657300000005</v>
      </c>
      <c r="J345" s="3">
        <f>1244.5+(202.3-623.7)+(-2.53878+(-0.412692--1.272348))+0-269--0.548759999999988</f>
        <v>552.96963599999992</v>
      </c>
      <c r="K345" s="3">
        <f>1248.5+(291.8-599.1)+(0.636735+(0.148818-0.305541))+0-296.8-0.15136799999997</f>
        <v>644.72864400000014</v>
      </c>
      <c r="L345" s="3">
        <f>1239.4+(355.4-648.7)+(0.632094+(0.181254-0.330837))+0-328.5-0.167534999999967</f>
        <v>617.91497600000014</v>
      </c>
      <c r="M345" s="3">
        <f>1240+(409.9-658)+(-0.6324+(-0.209049--0.33558))+0-327.8--0.167177999999967</f>
        <v>663.76130899999998</v>
      </c>
      <c r="N345" s="3">
        <f>1240.7+(421.8-658.6)+(0+(0-0))+0-328.5-0</f>
        <v>675.40000000000009</v>
      </c>
      <c r="O345" s="3">
        <f>1234.4+(415.8-629.9)+(-0.629544+(-0.212058--0.321249))+0-330.7--0.168656999999966</f>
        <v>689.24830400000019</v>
      </c>
      <c r="P345" s="3">
        <f>1231+(430.1-629.5)+(-1.88343+(-0.658053--0.963135))+0-331.8--0.507654000000019</f>
        <v>698.72930599999995</v>
      </c>
      <c r="Q345" s="3">
        <f>1228.8+(428.2-612.3)+(-0.626688+(-0.218382--0.312273))+0-332.3--0.169472999999966</f>
        <v>712.03667599999994</v>
      </c>
      <c r="R345" s="3">
        <f>1237.4+(376-636.5)+(-0.631074+(-0.19176--0.324615))+0-332.4--0.169523999999966</f>
        <v>644.17130500000007</v>
      </c>
      <c r="S345" s="3">
        <f>1237.8+(308-583.7)+(1.893834+(0.47124-0.893061))+0-331.7-0.507501000000019</f>
        <v>631.36451199999988</v>
      </c>
      <c r="T345" s="3">
        <f>1237.4+(306.5-593.1)+(1.262148+(0.31263-0.604962))+0-331.8-0.338436000000053</f>
        <v>619.63138000000004</v>
      </c>
      <c r="U345" s="3">
        <f>1223.8+(312.6-592.5)+(-1.248276+(-0.318852--0.60435))+0-332.4--0.339048000000053</f>
        <v>610.87627000000009</v>
      </c>
      <c r="V345" s="3">
        <f>1218.7+(327.4-602.6)+(0.621537+(0.166974-0.307326))+0-332.2-0.169421999999966</f>
        <v>611.61176300000011</v>
      </c>
      <c r="W345" s="3">
        <f>1233.9+(427.8-638.5)+(0.629289+(0.218178-0.325635))+0-332.9-0.169778999999966</f>
        <v>690.65205300000014</v>
      </c>
      <c r="X345" s="3">
        <f>1240.5+(516.1-652)+(-0.632655+(-0.263211--0.33252))+0-333.4--0.170033999999966</f>
        <v>770.80668800000001</v>
      </c>
      <c r="Y345" s="3">
        <f>1237.6+(497.5-667.3)+(-3.15588+(-1.268625--1.701615))+0-332.4--0.847619999999952</f>
        <v>733.52472999999998</v>
      </c>
      <c r="Z345" s="3">
        <f>1233.6+(484.1-673.3)+(-2.516544+(-0.987564--1.373532))+0-332.4--0.678095999999985</f>
        <v>710.54752000000008</v>
      </c>
      <c r="AA345" s="3">
        <f>1235.3+(494.7-622.7)+(-3.150015+(-1.261485--1.587885))+0-331.5--0.845324999999952</f>
        <v>773.82170999999994</v>
      </c>
      <c r="AB345" s="3">
        <f>1222.7+(428.7-592.2)+(-0.623577+(-0.218637--0.302022))+0-330.4--0.168503999999966</f>
        <v>728.42831200000012</v>
      </c>
      <c r="AC345" s="3">
        <f>1144.2+(422.1-552.4)+(-1.750626+(-0.645813--0.845172))+0-330.2--0.505206000000019</f>
        <v>682.65393900000004</v>
      </c>
      <c r="AD345" s="2">
        <v>756.69999999999993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994.9+(462.8-471)+(-0.507399+(-0.236028--0.24021))+0-330.3--0.168452999999966</f>
        <v>656.06523600000014</v>
      </c>
      <c r="G346" s="3">
        <f>981.1+(416.4-461.1)+(-0.500361+(-0.212364--0.235161))+0-331.4--0.169013999999966</f>
        <v>604.69144999999992</v>
      </c>
      <c r="H346" s="3">
        <f>1016.4+(331.7-386.5)+(0.518364+(0.169167-0.197115))+0-332-0.169319999999966</f>
        <v>629.92109599999992</v>
      </c>
      <c r="I346" s="3">
        <f>1018.4+(308.8-398.6)+(-1.038768+(-0.314976--0.406572))+0-331.9--0.338538000000053</f>
        <v>596.09136599999999</v>
      </c>
      <c r="J346" s="3">
        <f>1017.4+(317.5-398)+(1.037748+(0.32385-0.40596))+0-331.8-0.338436000000053</f>
        <v>605.71720200000004</v>
      </c>
      <c r="K346" s="3">
        <f>1016.2+(379.2-443)+(0.518262+(0.193392-0.22593))+0-330.8-0.168707999999966</f>
        <v>621.9170160000001</v>
      </c>
      <c r="L346" s="3">
        <f>1019.2+(440.4-473.8)+(-3.118752+(-1.347624--1.449828))+0-329.9--1.00949400000004</f>
        <v>653.89294599999994</v>
      </c>
      <c r="M346" s="3">
        <f>1016.1+(439.5-488)+(0.518211+(0.224145-0.24888))+0-328.9-0.167738999999967</f>
        <v>639.02573700000005</v>
      </c>
      <c r="N346" s="3">
        <f>1012.1+(439.5-490)+(0+(0-0))+12.8-329.7-0</f>
        <v>644.70000000000005</v>
      </c>
      <c r="O346" s="3">
        <f>1012.6+(446.9-499)+(-1.032852+(-0.455838--0.50898))+22-331.8--0.338436000000053</f>
        <v>650.05872599999998</v>
      </c>
      <c r="P346" s="3">
        <f>1009.5+(450.8-444.4)+(0.514845+(0.229908-0.226644))+22-332.2-0.169421999999966</f>
        <v>706.0486870000002</v>
      </c>
      <c r="Q346" s="3">
        <f>1006.8+(482.5-385.2)+(-2.053872+(-0.9843--0.785808))+1.1-332.6--0.678503999999986</f>
        <v>771.02613999999983</v>
      </c>
      <c r="R346" s="3">
        <f>840.6+(529.1-347.5)+(-0.857412+(-0.539682--0.35445))+0-331.3--0.337926000000053</f>
        <v>690.19528200000002</v>
      </c>
      <c r="S346" s="3">
        <f>821.7+(588.8-333.9)+(-2.095335+(-1.50144--0.851445))+0-332--0.846599999999952</f>
        <v>742.70126999999991</v>
      </c>
      <c r="T346" s="3">
        <f>841.5+(520.1-363.5)+(-0.85833+(-0.530502--0.37077))+0-332.3--0.338946000000053</f>
        <v>665.12088400000016</v>
      </c>
      <c r="U346" s="3">
        <f>845+(510.2-345.6)+(-2.5857+(-1.561212--1.057536))+0-331.4--1.01408400000004</f>
        <v>676.12470799999994</v>
      </c>
      <c r="V346" s="3">
        <f>840.8+(505.8-334.7)+(0+(0-0))+0-331.3-0</f>
        <v>680.59999999999991</v>
      </c>
      <c r="W346" s="3">
        <f>847.1+(575.9-371.1)+(-0.864042+(-0.587418--0.378522))+0-331.8--0.338436000000053</f>
        <v>719.36549800000012</v>
      </c>
      <c r="X346" s="3">
        <f>852.7+(602.1-327.6)+(0.869754+(0.614142-0.334152))+0-331.9-0.338538000000053</f>
        <v>796.11120600000004</v>
      </c>
      <c r="Y346" s="3">
        <f>892.3+(564.5-319)+(-1.365219+(-0.863685--0.48807))+0-332.4--0.508572000000019</f>
        <v>804.1677380000001</v>
      </c>
      <c r="Z346" s="3">
        <f>1004.7+(493.6-403.6)+(-2.049588+(-1.006944--0.823344))+0-332--0.677279999999986</f>
        <v>761.14409200000011</v>
      </c>
      <c r="AA346" s="3">
        <f>1018.5+(410.2-450.7)+(-0.519435+(-0.209202--0.229857))+0-331--0.168809999999966</f>
        <v>646.67003</v>
      </c>
      <c r="AB346" s="3">
        <f>1018.5+(408.8-428.8)+(-1.03887+(-0.416976--0.437376))+0-330.6--0.337212000000053</f>
        <v>667.21874200000002</v>
      </c>
      <c r="AC346" s="3">
        <f>1011.3+(451.6-400.7)+(-0.515763+(-0.230316--0.204357))+0-330.1--0.168350999999967</f>
        <v>731.726629</v>
      </c>
      <c r="AD346" s="2">
        <v>766.6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1008.8+(452.9-465.7)+(-1.028976+(-0.461958--0.475014))+0-330.1--0.336702000000053</f>
        <v>665.22078199999999</v>
      </c>
      <c r="G347" s="3">
        <f>1005.7+(426.2-470.5)+(-0.512907+(-0.217362--0.239955))+0-330.1--0.168350999999967</f>
        <v>630.97803699999997</v>
      </c>
      <c r="H347" s="3">
        <f>1006.4+(396.8-422)+(-1.026528+(-0.404736--0.43044))+0-331.3--0.337926000000053</f>
        <v>649.23710200000016</v>
      </c>
      <c r="I347" s="3">
        <f>1003.9+(381.5-447.3)+(0.511989+(0.194565-0.228123))+0-332-0.169319999999966</f>
        <v>606.40911099999994</v>
      </c>
      <c r="J347" s="3">
        <f>1001.1+(368.6-437.2)+(-2.042244+(-0.751944--0.891888))+0-332--0.677279999999986</f>
        <v>599.27498000000003</v>
      </c>
      <c r="K347" s="3">
        <f>1000.7+(374.1-409.3)+(0.510357+(0.190791-0.208743))+0-331.9-0.169268999999966</f>
        <v>633.923136</v>
      </c>
      <c r="L347" s="3">
        <f>1002.9+(387.4-410.6)+(-3.068874+(-1.185444--1.256436))+0-331.4--1.01408400000004</f>
        <v>646.31620199999998</v>
      </c>
      <c r="M347" s="3">
        <f>1003.4+(405.2-418.6)+(-1.535202+(-0.619956--0.640458))+0-330.5--0.505665000000019</f>
        <v>658.49096500000007</v>
      </c>
      <c r="N347" s="3">
        <f>1000+(452.7-403.4)+(-0.51+(-0.230877--0.205734))+0-330.1--0.168350999999967</f>
        <v>718.83320799999979</v>
      </c>
      <c r="O347" s="3">
        <f>996.1+(469-391.5)+(-0.508011+(-0.23919--0.199665))+0-330.3--0.168452999999966</f>
        <v>742.92091699999992</v>
      </c>
      <c r="P347" s="3">
        <f>991.9+(456.1-428.4)+(-0.505869+(-0.232611--0.218484))+0-331.5--0.169064999999966</f>
        <v>687.74906899999996</v>
      </c>
      <c r="Q347" s="3">
        <f>986.7+(480.5-376.8)+(0+(0-0))+0-331.8-0</f>
        <v>758.60000000000014</v>
      </c>
      <c r="R347" s="3">
        <f>986.3+(474.3-356.2)+(-1.509039+(-0.725679--0.544986))+0-331.6--0.507348000000019</f>
        <v>771.617616</v>
      </c>
      <c r="S347" s="3">
        <f>985.5+(467.6-367)+(1.00521+(0.476952-0.37434))+0-332-0.338640000000053</f>
        <v>754.8691819999998</v>
      </c>
      <c r="T347" s="3">
        <f>989.2+(450.2-381.7)+(0+(0-0))+0-331.8-0</f>
        <v>725.90000000000009</v>
      </c>
      <c r="U347" s="3">
        <f>989+(442.3-379.2)+(-1.51317+(-0.676719--0.580176))+0-332.5--0.508725000000019</f>
        <v>718.49901199999988</v>
      </c>
      <c r="V347" s="3">
        <f>988.7+(453.7-386.1)+(1.008474+(0.462774-0.393822))+0-331-0.337620000000053</f>
        <v>726.039806</v>
      </c>
      <c r="W347" s="3">
        <f>991.7+(455-446.7)+(0.505767+(0.23205-0.227817))+0-332.4-0.169523999999966</f>
        <v>667.9404760000001</v>
      </c>
      <c r="X347" s="3">
        <f>996.5+(508.4-476.1)+(0+(0-0))+0-333.5-0</f>
        <v>695.3</v>
      </c>
      <c r="Y347" s="3">
        <f>1000.2+(529.9-397.1)+(-0.510102+(-0.270249--0.202521))+0-334.3--0.170492999999966</f>
        <v>798.29266300000006</v>
      </c>
      <c r="Z347" s="3">
        <f>1003.5+(501.4-434.7)+(-0.511785+(-0.255714--0.221697))+0-333--0.169829999999966</f>
        <v>736.82402799999988</v>
      </c>
      <c r="AA347" s="3">
        <f>1005.3+(490.2-406.7)+(-0.512703+(-0.250002--0.207417))+0-333.9--0.170288999999966</f>
        <v>754.51500099999987</v>
      </c>
      <c r="AB347" s="3">
        <f>1007.2+(468.4-401.1)+(-1.027344+(-0.477768--0.409122))+0-332.8--0.339456000000053</f>
        <v>740.94346600000006</v>
      </c>
      <c r="AC347" s="3">
        <f>1007.3+(438.1-409.4)+(0.513723+(0.223431-0.208794))+0-332.9-0.169778999999966</f>
        <v>703.45858100000009</v>
      </c>
      <c r="AD347" s="2">
        <v>816.20000000000016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1008.3+(408.4-411.3)+(-2.571165+(-1.04142--1.048815))+0-332.7--0.848384999999952</f>
        <v>670.98461499999985</v>
      </c>
      <c r="G348" s="3">
        <f>1012.4+(346-396.9)+(1.032648+(0.35292-0.404838))+0-333.3-0.339966000000053</f>
        <v>628.84076400000004</v>
      </c>
      <c r="H348" s="3">
        <f>1013.4+(314.6-387.1)+(-2.067336+(-0.641784--0.789684))+0-334.4--0.682175999999985</f>
        <v>605.26274000000001</v>
      </c>
      <c r="I348" s="3">
        <f>1014.1+(327.6-391.4)+(-1.034382+(-0.334152--0.399228))+0-334.2--0.340884000000053</f>
        <v>615.47157800000025</v>
      </c>
      <c r="J348" s="3">
        <f>1015.1+(318.9-429.6)+(0.517701+(0.162639-0.219096))+0-333.9-0.170288999999966</f>
        <v>570.79095500000005</v>
      </c>
      <c r="K348" s="3">
        <f>1015.8+(348.6-450.4)+(0+(0-0))+0-334-0</f>
        <v>580</v>
      </c>
      <c r="L348" s="3">
        <f>1018.5+(360.7-396.4)+(-0.519435+(-0.183957--0.202164))+0-332.4--0.169523999999966</f>
        <v>650.06829599999992</v>
      </c>
      <c r="M348" s="3">
        <f>1015.3+(410.9-462)+(1.035606+(0.419118-0.47124))+0-333.3-0.339966000000053</f>
        <v>631.54351799999995</v>
      </c>
      <c r="N348" s="3">
        <f>1049.9+(462.3-540)+(0+(0-0))+0-334.3-0</f>
        <v>637.90000000000009</v>
      </c>
      <c r="O348" s="3">
        <f>1148.2+(442.5-597.1)+(1.756746+(0.677025-0.913563))+0-335.5-0.513315000000019</f>
        <v>659.10689300000001</v>
      </c>
      <c r="P348" s="3">
        <f>1251.2+(411.7-624.2)+(0.638112+(0.209967-0.318342))+0-335.9-0.171308999999966</f>
        <v>703.15842800000019</v>
      </c>
      <c r="Q348" s="3">
        <f>1250.7+(403.4-609.7)+(0+(0-0))+0-337-0</f>
        <v>707.40000000000009</v>
      </c>
      <c r="R348" s="3">
        <f>1243.2+(399.5-575.6)+(-0.634032+(-0.203745--0.293556))+0-337.8--0.172277999999966</f>
        <v>728.92805699999985</v>
      </c>
      <c r="S348" s="3">
        <f>1244.4+(376.8-546)+(-1.269288+(-0.384336--0.55692))+0-333.3--0.339966000000053</f>
        <v>741.14326200000005</v>
      </c>
      <c r="T348" s="3">
        <f>1244.3+(359.7-534.3)+(-1.269186+(-0.366894--0.544986))+0-333.8--0.340476000000053</f>
        <v>735.14938200000006</v>
      </c>
      <c r="U348" s="3">
        <f>1245.8+(372.5-565.3)+(-0.635358+(-0.189975--0.288303))+0-333.9--0.170288999999966</f>
        <v>718.73325899999998</v>
      </c>
      <c r="V348" s="3">
        <f>1245.7+(415.7-551.8)+(-0.635307+(-0.212007--0.281418))+0-333.7--0.170186999999966</f>
        <v>775.50429099999997</v>
      </c>
      <c r="W348" s="3">
        <f>1245.7+(426.8-579.7)+(-0.635307+(-0.217668--0.295647))+0-334.4--0.170543999999966</f>
        <v>758.01321599999983</v>
      </c>
      <c r="X348" s="3">
        <f>1250.5+(479.7-528)+(1.27551+(0.489294-0.53856))+0-335.1-0.341802000000053</f>
        <v>867.98444199999994</v>
      </c>
      <c r="Y348" s="3">
        <f>1253.9+(471.7-540)+(-3.197445+(-1.202835--1.377))+0-337.2--0.859859999999951</f>
        <v>846.23657999999989</v>
      </c>
      <c r="Z348" s="3">
        <f>1255.5+(451.5-545.2)+(-1.28061+(-0.46053--0.556104))+0-337.7--0.344454000000054</f>
        <v>823.25941799999987</v>
      </c>
      <c r="AA348" s="3">
        <f>1258.8+(410.2-538.4)+(-3.20994+(-1.04601--1.37292))+0-337.8--0.861389999999951</f>
        <v>790.77835999999991</v>
      </c>
      <c r="AB348" s="3">
        <f>1263.1+(297-536.5)+(-3.220905+(-0.75735--1.368075))+0-335.9--0.856544999999951</f>
        <v>685.9463649999999</v>
      </c>
      <c r="AC348" s="3">
        <f>1266.1+(296-549.9)+(-0.645711+(-0.15096--0.280449))+0-335.1--0.170900999999966</f>
        <v>676.7546789999999</v>
      </c>
      <c r="AD348" s="2">
        <v>875.10000000000014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1274+(340.9-555.4)+(-2.59896+(-0.695436--1.133016))+0-334.2--0.681767999999985</f>
        <v>723.82038799999998</v>
      </c>
      <c r="G349" s="3">
        <f>1258.8+(261-541.6)+(-1.283976+(-0.26622--0.552432))+0-334.3--0.340986000000053</f>
        <v>643.24322199999995</v>
      </c>
      <c r="H349" s="3">
        <f>1247.5+(253.1-486.2)+(-1.908675+(-0.387243--0.743886))+0-334.1--0.511173000000019</f>
        <v>679.25914099999989</v>
      </c>
      <c r="I349" s="3">
        <f>1253.2+(239.5-499.5)+(-2.556528+(-0.48858--1.01898))+0-334.1--0.681563999999986</f>
        <v>657.75543600000003</v>
      </c>
      <c r="J349" s="3">
        <f>1254+(243.7-500.1)+(0.63954+(0.124287-0.255051))+0-333.4-0.170033999999966</f>
        <v>664.53874199999996</v>
      </c>
      <c r="K349" s="3">
        <f>1253.1+(264.2-508.9)+(1.917243+(0.404226-0.778617))+0-334-0.511020000000019</f>
        <v>675.43183199999987</v>
      </c>
      <c r="L349" s="3">
        <f>1242+(265.8-554.4)+(1.90026+(0.406674-0.848232))+0-332.5-0.508725000000019</f>
        <v>621.84997700000008</v>
      </c>
      <c r="M349" s="3">
        <f>1236.2+(356.1-573.4)+(1.260924+(0.363222-0.584868))+0-331.6-0.338232000000053</f>
        <v>688.00104599999997</v>
      </c>
      <c r="N349" s="3">
        <f>1262+(274-570)+(0+(0-0))+0-332-0</f>
        <v>634</v>
      </c>
      <c r="O349" s="3">
        <f>1240.9+(380-552.8)+(-1.898577+(-0.5814--0.845784))+0-332.8--0.509184000000019</f>
        <v>734.17499100000009</v>
      </c>
      <c r="P349" s="3">
        <f>1212.7+(408-536)+(0+(0-0))+0-333-0</f>
        <v>751.7</v>
      </c>
      <c r="Q349" s="3">
        <f>1210.5+(454.5-516.2)+(-3.086775+(-1.158975--1.31631))+0-333.9--0.851444999999951</f>
        <v>812.82200499999976</v>
      </c>
      <c r="R349" s="3">
        <f>1217.8+(427.9-508)+(-1.242156+(-0.436458--0.51816))+0-333.6--0.340272000000053</f>
        <v>803.27981799999975</v>
      </c>
      <c r="S349" s="3">
        <f>1216.8+(405.4-493.9)+(1.241136+(0.413508-0.503778))+0-333.4-0.340068000000053</f>
        <v>795.71079799999984</v>
      </c>
      <c r="T349" s="3">
        <f>1216.6+(396-518.7)+(-2.481864+(-0.80784--1.058148))+0-334.8--0.682991999999985</f>
        <v>757.55143599999997</v>
      </c>
      <c r="U349" s="3">
        <f>1213.2+(387.9-523.3)+(0+(0-0))+0-337.2-0</f>
        <v>740.60000000000014</v>
      </c>
      <c r="V349" s="3">
        <f>1136.8+(438.4-460.1)+(-0.579768+(-0.223584--0.234651))+0-338.7--0.172736999999966</f>
        <v>776.00403599999993</v>
      </c>
      <c r="W349" s="3">
        <f>1114.8+(456.8-454.6)+(0+(0-0))+0-338.1-0</f>
        <v>778.9</v>
      </c>
      <c r="X349" s="3">
        <f>1219.8+(482.2-526)+(0+(0-0))+0-336.4-0</f>
        <v>839.6</v>
      </c>
      <c r="Y349" s="3">
        <f>1222.6+(479.8-530)+(-0.623526+(-0.244698--0.2703))+0-337.8--0.172277999999966</f>
        <v>834.17435399999999</v>
      </c>
      <c r="Z349" s="3">
        <f>1225.2+(458.6-526.1)+(-3.12426+(-1.16943--1.341555))+0-336.2--0.857309999999951</f>
        <v>819.40517499999999</v>
      </c>
      <c r="AA349" s="3">
        <f>1227.2+(454.4-536.8)+(0+(0-0))+0-334.7-0</f>
        <v>810.10000000000014</v>
      </c>
      <c r="AB349" s="3">
        <f>1234.5+(406.4-549.6)+(-3.147975+(-1.03632--1.40148))+0-333.6--0.850679999999952</f>
        <v>755.7678649999998</v>
      </c>
      <c r="AC349" s="3">
        <f>1236.1+(381.9-532.7)+(-3.152055+(-0.973845--1.358385))+0-333.9--0.851444999999951</f>
        <v>749.48392999999965</v>
      </c>
      <c r="AD349" s="2">
        <v>751.10000000000014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1233.4+(310.3-477.8)+(-1.258068+(-0.316506--0.487356))+0-333.4--0.340068000000053</f>
        <v>731.75285000000031</v>
      </c>
      <c r="G350" s="3">
        <f>1234.2+(233.8-452.5)+(0.629442+(0.119238-0.230775))+0-334.5-0.170594999999966</f>
        <v>681.34731000000011</v>
      </c>
      <c r="H350" s="3">
        <f>1236.2+(228.7-454.1)+(0+(0-0))+0-334.8-0</f>
        <v>676</v>
      </c>
      <c r="I350" s="3">
        <f>1238.1+(209.7-446.3)+(-1.894293+(-0.320841--0.682839))+0-333.8--0.510714000000019</f>
        <v>666.67841899999985</v>
      </c>
      <c r="J350" s="3">
        <f>1238.1+(235.7-478.2)+(1.262862+(0.240414-0.487764))+0-334.6-0.341292000000053</f>
        <v>661.67421999999976</v>
      </c>
      <c r="K350" s="3">
        <f>1241.7+(258.9-550.4)+(-1.266534+(-0.264078--0.561408))+0-334.2--0.340884000000053</f>
        <v>615.37168000000008</v>
      </c>
      <c r="L350" s="3">
        <f>1274.1+(260.2-579.4)+(-1.299582+(-0.265404--0.590988))+0-333.8--0.340476000000053</f>
        <v>620.46647799999982</v>
      </c>
      <c r="M350" s="3">
        <f>1272+(290.8-547.7)+(1.29744+(0.296616-0.558654))+0-332.3-0.338946000000053</f>
        <v>683.49645599999985</v>
      </c>
      <c r="N350" s="3">
        <f>1260.5+(332.3-541.4)+(0+(0-0))+0-333.1-0</f>
        <v>718.30000000000007</v>
      </c>
      <c r="O350" s="3">
        <f>1253.2+(370.7-529)+(0+(0-0))+0-332.7-0</f>
        <v>762.2</v>
      </c>
      <c r="P350" s="3">
        <f>1250+(363.8-528.2)+(0.6375+(0.185538-0.269382))+0-334.4-0.170543999999966</f>
        <v>751.58311200000003</v>
      </c>
      <c r="Q350" s="3">
        <f>1244+(372.5-504.2)+(1.90332+(0.569925-0.771426))+0-333.9-0.510867000000019</f>
        <v>779.59095199999979</v>
      </c>
      <c r="R350" s="3">
        <f>1239.7+(366.8-453.4)+(-2.528988+(-0.748272--0.924936))+0-334.1--0.681563999999986</f>
        <v>817.32924000000014</v>
      </c>
      <c r="S350" s="3">
        <f>1236.1+(356.2-427.7)+(-1.260822+(-0.363324--0.436254))+0-334.6--0.341292000000053</f>
        <v>829.15340000000003</v>
      </c>
      <c r="T350" s="3">
        <f>1233+(367-445.3)+(0+(0-0))+0-335.1-0</f>
        <v>819.6</v>
      </c>
      <c r="U350" s="3">
        <f>1233.1+(359.1-489.7)+(0.628881+(0.183141-0.249747))+0-334.6-0.170645999999966</f>
        <v>768.29162900000006</v>
      </c>
      <c r="V350" s="3">
        <f>1233.4+(358.9-498.6)+(-0.629034+(-0.183039--0.254286))+0-333.9--0.170288999999966</f>
        <v>759.41250200000002</v>
      </c>
      <c r="W350" s="3">
        <f>1240.4+(407.1-493.2)+(-0.632604+(-0.207621--0.251532))+0-335--0.170849999999966</f>
        <v>818.88215700000023</v>
      </c>
      <c r="X350" s="3">
        <f>1246.9+(469.6-529.5)+(-1.271838+(-0.478992--0.54009))+0-334.2--0.340884000000053</f>
        <v>851.93014400000004</v>
      </c>
      <c r="Y350" s="3">
        <f>1252+(453.8-500.6)+(-1.91556+(-0.694314--0.765918))+0-335.5--0.513315000000019</f>
        <v>868.36935900000014</v>
      </c>
      <c r="Z350" s="3">
        <f>1254.9+(421.2-483.6)+(0+(0-0))+0-334.9-0</f>
        <v>857.6</v>
      </c>
      <c r="AA350" s="3">
        <f>1258.1+(386.9-471.5)+(0+(0-0))+0-335.4-0</f>
        <v>838.1</v>
      </c>
      <c r="AB350" s="3">
        <f>1259.7+(350.3-468.8)+(-3.212235+(-0.893265--1.19544))+0-335.1--0.854504999999951</f>
        <v>804.044445</v>
      </c>
      <c r="AC350" s="3">
        <f>1258.8+(334-462.1)+(-5.135904+(-1.36272--1.885368))+0-335.7--1.36965599999997</f>
        <v>791.75639999999964</v>
      </c>
      <c r="AD350" s="2">
        <v>886.9000000000002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1264.1+(275.3-432.1)+(-2.578764+(-0.561612--0.881484))+0-334.1--0.681563999999986</f>
        <v>771.62267199999985</v>
      </c>
      <c r="G351" s="3">
        <f>1266.9+(235.2-456.8)+(-1.938357+(-0.359856--0.698904))+0-334.3--0.511479000000019</f>
        <v>709.91217000000029</v>
      </c>
      <c r="H351" s="3">
        <f>1267.4+(240.6-454.5)+(-2.585496+(-0.490824--0.92718))+0-335.5--0.684419999999985</f>
        <v>716.53527999999994</v>
      </c>
      <c r="I351" s="3">
        <f>1266.8+(223.9-433.1)+(-1.292136+(-0.228378--0.441762))+0-334.4--0.341088000000053</f>
        <v>722.46233600000005</v>
      </c>
      <c r="J351" s="3">
        <f>1268.6+(210.6-452.4)+(2.587944+(0.429624-0.922896))+0-335.4-0.684215999999985</f>
        <v>692.81045599999993</v>
      </c>
      <c r="K351" s="3">
        <f>1267.3+(284-512)+(0+(0-0))+0-335.4-0</f>
        <v>703.9</v>
      </c>
      <c r="L351" s="3">
        <f>1268+(283.4-556.9)+(1.94004+(0.433602-0.852057))+0-335.1-0.512703000000019</f>
        <v>660.40888199999995</v>
      </c>
      <c r="M351" s="3">
        <f>1271.2+(287.2-596.5)+(0.648312+(0.146472-0.304215))+0-334-0.170339999999966</f>
        <v>628.22022900000013</v>
      </c>
      <c r="N351" s="3">
        <f>1266.1+(333.8-599.9)+(0.645711+(0.170238-0.305949))+0-334.9-0.170798999999966</f>
        <v>665.43920100000003</v>
      </c>
      <c r="O351" s="3">
        <f>1261.7+(367.4-621.6)+(1.286934+(0.374748-0.634032))+0-335.2-0.341904000000053</f>
        <v>672.98574599999995</v>
      </c>
      <c r="P351" s="3">
        <f>1253.7+(398.1-630.6)+(0+(0-0))+0-329-0</f>
        <v>692.2</v>
      </c>
      <c r="Q351" s="3">
        <f>1247.6+(393.5-610.5)+(-1.908828+(-0.602055--0.934065))+0-335.7--0.513621000000019</f>
        <v>693.83680299999992</v>
      </c>
      <c r="R351" s="3">
        <f>1245.2+(449.3-547.4)+(-3.810312+(-1.374858--1.675044))+0-336.3--1.02907800000004</f>
        <v>808.31895200000031</v>
      </c>
      <c r="S351" s="3">
        <f>1240.1+(436.9-509)+(1.264902+(0.445638-0.51918))+0-336.1-0.342822000000054</f>
        <v>832.74853799999994</v>
      </c>
      <c r="T351" s="3">
        <f>1234+(432.2-509.5)+(0+(0-0))+0-336.2-0</f>
        <v>820.5</v>
      </c>
      <c r="U351" s="3">
        <f>1237+(421-533.6)+(-0.63087+(-0.21471--0.272136))+0-336.8--0.171767999999966</f>
        <v>787.19832399999996</v>
      </c>
      <c r="V351" s="3">
        <f>1239+(409.7-572.4)+(-0.63189+(-0.208947--0.291924))+0-336--0.171359999999966</f>
        <v>739.92244699999981</v>
      </c>
      <c r="W351" s="3">
        <f>1242.6+(457-597.9)+(-0.633726+(-0.23307--0.304929))+0-335.1--0.170900999999966</f>
        <v>766.20903399999986</v>
      </c>
      <c r="X351" s="3">
        <f>1249.1+(503.8-600.7)+(-0.637041+(-0.256938--0.306357))+0-335.9--0.171308999999966</f>
        <v>815.88368699999978</v>
      </c>
      <c r="Y351" s="3">
        <f>1257.6+(511.2-551.9)+(-0.641376+(-0.260712--0.281469))+0-336.2--0.171461999999966</f>
        <v>880.2508429999998</v>
      </c>
      <c r="Z351" s="3">
        <f>1257.5+(490.5-540.2)+(-1.923975+(-0.750465--0.826506))+0-336.9--0.515457000000019</f>
        <v>869.56752300000005</v>
      </c>
      <c r="AA351" s="3">
        <f>1259.7+(428.9-592.9)+(-2.569788+(-0.874956--1.209516))+0-336.3--0.686051999999985</f>
        <v>757.8508240000001</v>
      </c>
      <c r="AB351" s="3">
        <f>1254.2+(396.3-542.4)+(-3.19821+(-1.010565--1.38312))+0-336.1--0.857054999999951</f>
        <v>770.03139999999996</v>
      </c>
      <c r="AC351" s="3">
        <f>1256.4+(358-499.9)+(-1.922292+(-0.54774--0.764847))+0-335.3--0.513009000000019</f>
        <v>778.00782400000003</v>
      </c>
      <c r="AD351" s="2">
        <v>842.60000000000014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1259.5+(303-474.6)+(-1.28469+(-0.30906--0.484092))+0-335.3--0.342006000000053</f>
        <v>751.83234800000014</v>
      </c>
      <c r="G352" s="3">
        <f>1261.4+(294-466.1)+(-2.573256+(-0.59976--0.950844))+0-335.7--0.684827999999985</f>
        <v>752.06265600000017</v>
      </c>
      <c r="H352" s="3">
        <f>1259.9+(299.4-471)+(1.927647+(0.458082-0.72063))+0-336.5-0.514845000000019</f>
        <v>752.9502540000002</v>
      </c>
      <c r="I352" s="3">
        <f>1259.7+(297.1-480.5)+(0.642447+(0.151521-0.245055))+0-336.9-0.171818999999966</f>
        <v>739.77709400000037</v>
      </c>
      <c r="J352" s="3">
        <f>1258+(289.4-504.7)+(2.56632+(0.590376-1.029588))+0-337.2-0.687887999999985</f>
        <v>706.93921999999998</v>
      </c>
      <c r="K352" s="3">
        <f>1259.4+(315.1-502.5)+(-3.21147+(-0.803505--1.281375))+0-337.7--0.861134999999951</f>
        <v>732.42753499999992</v>
      </c>
      <c r="L352" s="3">
        <f>1261.6+(315.7-528.9)+(0+(0-0))+0-336.4-0</f>
        <v>711.99999999999989</v>
      </c>
      <c r="M352" s="3">
        <f>1255.2+(375.2-541.3)+(0+(0-0))+0-336.4-0</f>
        <v>752.70000000000016</v>
      </c>
      <c r="N352" s="3">
        <f>1242.9+(401.8-538.1)+(1.901637+(0.614754-0.823293))+0-336.8-0.51530400000002</f>
        <v>770.97779400000013</v>
      </c>
      <c r="O352" s="3">
        <f>1237.2+(431.9-566.6)+(1.892916+(0.660807-0.866898))+0-337.1-0.51576300000002</f>
        <v>766.57106199999998</v>
      </c>
      <c r="P352" s="3">
        <f>1232.6+(465.4-530.5)+(0.628626+(0.237354-0.270555))+0-339-0.172889999999966</f>
        <v>828.92253500000004</v>
      </c>
      <c r="Q352" s="3">
        <f>1224.2+(481.4-534.6)+(-1.873026+(-0.736542--0.817938))+0-339--0.51867000000002</f>
        <v>830.7270400000001</v>
      </c>
      <c r="R352" s="3">
        <f>1223.2+(468.7-546.2)+(-1.871496+(-0.717111--0.835686))+0-338.1--0.51729300000002</f>
        <v>806.364372</v>
      </c>
      <c r="S352" s="3">
        <f>1221.9+(467.7-502.7)+(-1.869507+(-0.715581--0.769131))+0-337.8--0.51683400000002</f>
        <v>847.80087700000013</v>
      </c>
      <c r="T352" s="3">
        <f>1214+(470.1-490.8)+(-0.61914+(-0.239751--0.250308))+0-338.8--0.172787999999966</f>
        <v>854.06420500000002</v>
      </c>
      <c r="U352" s="3">
        <f>1207.3+(477.1-471.8)+(-1.231446+(-0.486642--0.481236))+0-337.6--0.344352000000054</f>
        <v>874.10749999999996</v>
      </c>
      <c r="V352" s="3">
        <f>1208.3+(452.8-491.4)+(0+(0-0))+0-337.5-0</f>
        <v>832.2</v>
      </c>
      <c r="W352" s="3">
        <f>1211.1+(469.1-518)+(0+(0-0))+0-337.5-0</f>
        <v>824.69999999999982</v>
      </c>
      <c r="X352" s="3">
        <f>1220.2+(510.9-500.5)+(-1.244604+(-0.521118--0.51051))+0-337.9--0.344658000000054</f>
        <v>891.789446</v>
      </c>
      <c r="Y352" s="3">
        <f>1212.8+(500.5-526.1)+(-4.329696+(-1.786785--1.878177))+0-337.7--1.205589</f>
        <v>846.46728499999983</v>
      </c>
      <c r="Z352" s="3">
        <f>1213.7+(436.6-465.4)+(0+(0-0))+0-338.1-0</f>
        <v>846.80000000000007</v>
      </c>
      <c r="AA352" s="3">
        <f>1219.6+(396.4-418.8)+(-3.731976+(-1.212984--1.281528))+0-339.6--1.03917600000004</f>
        <v>854.97574399999974</v>
      </c>
      <c r="AB352" s="3">
        <f>1211.2+(358.8-425.3)+(-4.941696+(-1.463904--1.735224))+0-339.2--1.38393599999997</f>
        <v>802.21355999999992</v>
      </c>
      <c r="AC352" s="3">
        <f>1220.6+(330.8-383.6)+(-2.490024+(-0.674832--0.782544))+0-338.3--0.690131999999985</f>
        <v>827.80781999999999</v>
      </c>
      <c r="AD352" s="2">
        <v>911.19999999999993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1222+(323.8-386.4)+(-0.62322+(-0.165138--0.197064))+0-337.6--0.172175999999966</f>
        <v>821.38088199999993</v>
      </c>
      <c r="G353" s="3">
        <f>1223+(321.4-438.2)+(-1.24746+(-0.327828--0.446964))+0-338.9--0.345678000000054</f>
        <v>766.51735400000007</v>
      </c>
      <c r="H353" s="3">
        <f>1225.5+(321.4-485.8)+(0.625005+(0.163914-0.247758))+0-338.3-0.172532999999966</f>
        <v>723.16862800000013</v>
      </c>
      <c r="I353" s="3">
        <f>1232.4+(317-471.5)+(0.628524+(0.16167-0.240465))+0-338.6-0.172685999999966</f>
        <v>739.67704300000014</v>
      </c>
      <c r="J353" s="3">
        <f>1234.3+(311-479.8)+(1.888479+(0.47583-0.734094))+0-337.9-0.51698700000002</f>
        <v>728.71322799999996</v>
      </c>
      <c r="K353" s="3">
        <f>1232.4+(313.4-488.6)+(-1.885572+(-0.479502--0.747558))+0-338.1--0.51729300000002</f>
        <v>717.99977699999999</v>
      </c>
      <c r="L353" s="3">
        <f>1231.1+(345.4-508.8)+(-0.627861+(-0.176154--0.259488))+0-337.4--0.172073999999966</f>
        <v>729.92754699999978</v>
      </c>
      <c r="M353" s="3">
        <f>1232+(388.1-533.1)+(1.25664+(0.395862-0.543762))+0-336.5-0.343230000000054</f>
        <v>751.26550999999984</v>
      </c>
      <c r="N353" s="3">
        <f>1226+(396.1-504.5)+(0.62526+(0.202011-0.257295))+0-337.9-0.172328999999966</f>
        <v>780.09764699999994</v>
      </c>
      <c r="O353" s="3">
        <f>1223+(443.6-529.6)+(0+(0-0))+0-338.6-0</f>
        <v>798.4</v>
      </c>
      <c r="P353" s="3">
        <f>1218.1+(458-580.3)+(0+(0-0))+0-338.9-0</f>
        <v>756.9</v>
      </c>
      <c r="Q353" s="3">
        <f>1211.1+(456.8-583.8)+(-0.617661+(-0.232968--0.297738))+2-339.9--0.173348999999966</f>
        <v>745.8204579999998</v>
      </c>
      <c r="R353" s="3">
        <f>1208.2+(500.3-546.5)+(-2.464728+(-1.020612--1.11486))+0-341.4--0.696455999999985</f>
        <v>818.92597599999999</v>
      </c>
      <c r="S353" s="3">
        <f>1204.3+(436-490.9)+(-0.614193+(-0.22236--0.250359))+0-340.8--0.173807999999965</f>
        <v>808.18761400000017</v>
      </c>
      <c r="T353" s="3">
        <f>1201.6+(442.5-428.5)+(0.612816+(0.225675-0.218535))+0-339.7-0.173246999999966</f>
        <v>876.34670899999992</v>
      </c>
      <c r="U353" s="3">
        <f>1201.6+(421.5-445.3)+(1.225632+(0.42993-0.454206))+0-341.5-0.348330000000054</f>
        <v>837.15302599999995</v>
      </c>
      <c r="V353" s="3">
        <f>1203.5+(407.4-445.8)+(-1.841355+(-0.623322--0.682074))+0-340--0.52020000000002</f>
        <v>823.83759699999985</v>
      </c>
      <c r="W353" s="3">
        <f>1210.1+(415.1-462.3)+(2.468604+(0.846804-0.943092))+0-339.7-0.692987999999985</f>
        <v>824.87932799999976</v>
      </c>
      <c r="X353" s="3">
        <f>1229.9+(475.3-472.7)+(-1.254498+(-0.484806--0.482154))+0-340--0.346800000000054</f>
        <v>891.58965000000012</v>
      </c>
      <c r="Y353" s="3">
        <f>1242.4+(441.7-492.7)+(-2.534496+(-0.901068--1.005108))+0-312.7--0.637907999999986</f>
        <v>876.90745200000003</v>
      </c>
      <c r="Z353" s="3">
        <f>1249.8+(429.9-494.9)+(-2.549592+(-0.876996--1.009596))+0-337.4--0.688295999999985</f>
        <v>845.67130400000008</v>
      </c>
      <c r="AA353" s="3">
        <f>1242.5+(421.5-485.1)+(1.901025+(0.644895-0.742203))+0-340-0.52020000000002</f>
        <v>840.18351700000005</v>
      </c>
      <c r="AB353" s="3">
        <f>1243.8+(360.4-522.2)+(-3.17169+(-0.91902--1.33161))+0-339.6--0.865979999999951</f>
        <v>740.50687999999991</v>
      </c>
      <c r="AC353" s="3">
        <f>1229.6+(316.5-474.5)+(0+(0-0))+0-338.9-0</f>
        <v>732.69999999999993</v>
      </c>
      <c r="AD353" s="2">
        <v>928.89999999999986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1250+(282.6-430.8)+(-1.275+(-0.288252--0.439416))+0-338.2--0.344964000000054</f>
        <v>762.82112799999993</v>
      </c>
      <c r="G354" s="3">
        <f>1262+(278.2-467.4)+(0+(0-0))+0-339.2-0</f>
        <v>733.59999999999991</v>
      </c>
      <c r="H354" s="3">
        <f>1260.5+(238.5-449.5)+(0+(0-0))+0-338.9-0</f>
        <v>710.6</v>
      </c>
      <c r="I354" s="3">
        <f>1255.3+(240.1-394.8)+(-3.201015+(-0.612255--1.00674))+0-339--0.864449999999951</f>
        <v>759.65791999999976</v>
      </c>
      <c r="J354" s="3">
        <f>1249.9+(229.9-395.9)+(-0.637449+(-0.117249--0.201909))+0-338.2--0.172481999999966</f>
        <v>745.31969299999992</v>
      </c>
      <c r="K354" s="3">
        <f>1249.1+(224.8-410)+(0+(0-0))+0-337.7-0</f>
        <v>726.19999999999982</v>
      </c>
      <c r="L354" s="3">
        <f>1247.8+(198.6-391.1)+(-1.272756+(-0.202572--0.398922))+0-337.1--0.343842000000054</f>
        <v>717.46743600000013</v>
      </c>
      <c r="M354" s="3">
        <f>1248.1+(206.1-423.9)+(0.636531+(0.105111-0.216189))+0-337-0.171869999999966</f>
        <v>693.65358299999991</v>
      </c>
      <c r="N354" s="3">
        <f>1238.5+(262.9-414)+(-1.894905+(-0.402237--0.63342))+0-337.9--0.51698700000002</f>
        <v>748.35326500000008</v>
      </c>
      <c r="O354" s="3">
        <f>1231.7+(358.5-449.9)+(1.884501+(0.548505-0.688347))+0-338.6-0.51805800000002</f>
        <v>802.92660100000012</v>
      </c>
      <c r="P354" s="3">
        <f>1225.5+(462.2-542.2)+(0+(0-0))+0-339.7-0</f>
        <v>805.8</v>
      </c>
      <c r="Q354" s="3">
        <f>1221.6+(367.6-468)+(1.246032+(0.374952-0.47736))+0-340-0.346800000000054</f>
        <v>781.99682399999983</v>
      </c>
      <c r="R354" s="3">
        <f>1218.4+(347.9-434.8)+(-0.621384+(-0.177429--0.221748))+0-339.7--0.173246999999966</f>
        <v>791.39618199999995</v>
      </c>
      <c r="S354" s="3">
        <f>1215+(368.4-478.3)+(-2.4786+(-0.751536--0.975732))+0-339.5--0.692579999999985</f>
        <v>764.03817599999991</v>
      </c>
      <c r="T354" s="3">
        <f>1214+(385.2-502.2)+(-1.23828+(-0.392904--0.512244))+0-340.2--0.347004000000054</f>
        <v>756.02806399999997</v>
      </c>
      <c r="U354" s="3">
        <f>1219.2+(408.3-496.5)+(-0.621792+(-0.208233--0.253215))+0-339.6--0.173195999999966</f>
        <v>790.99638599999992</v>
      </c>
      <c r="V354" s="3">
        <f>1222.5+(382.1-552.5)+(-1.24695+(-0.389742--0.56355))+0-339.6--0.346392000000054</f>
        <v>711.77324999999996</v>
      </c>
      <c r="W354" s="3">
        <f>1225.4+(440.9-579.7)+(-1.874862+(-0.674577--0.886941))+0-339.8--0.51989400000002</f>
        <v>745.65739600000006</v>
      </c>
      <c r="X354" s="3">
        <f>1228+(499.7-550.2)+(1.87884+(0.764541-0.841806))+0-340.6-0.52111800000002</f>
        <v>838.18045699999993</v>
      </c>
      <c r="Y354" s="3">
        <f>1229.8+(484.1-570.4)+(-1.254396+(-0.493782--0.581808))+0-340--0.346800000000054</f>
        <v>802.68043000000011</v>
      </c>
      <c r="Z354" s="3">
        <f>1235.1+(474.6-573.2)+(-2.519604+(-0.968184--1.169328))+0-341.2--0.696047999999985</f>
        <v>793.67758800000001</v>
      </c>
      <c r="AA354" s="3">
        <f>1238.2+(479.9-565.4)+(-2.525928+(-0.978996--1.153416))+0-340.2--0.694007999999985</f>
        <v>810.84249999999997</v>
      </c>
      <c r="AB354" s="3">
        <f>1237+(451.4-582)+(-3.78522+(-1.381284--1.78092))+0-340--1.04040000000004</f>
        <v>764.05481600000007</v>
      </c>
      <c r="AC354" s="3">
        <f>1238.6+(382-536.2)+(-2.526744+(-0.77928--1.093848))+0-339.5--0.692579999999985</f>
        <v>743.38040399999988</v>
      </c>
      <c r="AD354" s="2">
        <v>835.6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1240.4+(262.6-486.3)+(-1.897812+(-0.401778--0.744039))+0-339.7--0.51974100000002</f>
        <v>675.96419000000014</v>
      </c>
      <c r="G355" s="3">
        <f>1243.4+(199.7-453.8)+(0+(0-0))+0-339.8-0</f>
        <v>649.5</v>
      </c>
      <c r="H355" s="3">
        <f>1243.1+(198.9-464.6)+(-1.901943+(-0.304317--0.710838))+0-340.4--0.52081200000002</f>
        <v>636.0253899999999</v>
      </c>
      <c r="I355" s="3">
        <f>1241.9+(189.3-475.9)+(0.633369+(0.096543-0.242709))+0-339.8-0.173297999999966</f>
        <v>615.8139050000002</v>
      </c>
      <c r="J355" s="3">
        <f>1239.8+(171.8-498.4)+(3.16149+(0.43809-1.27092))+0-339.5-0.865724999999951</f>
        <v>575.16293500000006</v>
      </c>
      <c r="K355" s="3">
        <f>1240.4+(195-515.3)+(1.897812+(0.29835-0.788409))+0-340.2-0.52050600000002</f>
        <v>580.78724699999998</v>
      </c>
      <c r="L355" s="3">
        <f>1240.1+(244.8-571.2)+(-0.632451+(-0.124848--0.291312))+0-338.4--0.172583999999966</f>
        <v>575.00659699999972</v>
      </c>
      <c r="M355" s="3">
        <f>1236.4+(297.6-579.9)+(1.261128+(0.303552-0.591498))+0-338.1-0.344862000000054</f>
        <v>616.62832000000003</v>
      </c>
      <c r="N355" s="3">
        <f>1229.6+(326.6-595)+(0.627096+(0.166566-0.30345))+0-337.8-0.172277999999966</f>
        <v>623.71793400000001</v>
      </c>
      <c r="O355" s="3">
        <f>1229.1+(334.4-603.7)+(1.880523+(0.511632-0.923661))+0-339.6-0.51958800000002</f>
        <v>621.14890599999978</v>
      </c>
      <c r="P355" s="3">
        <f>1221+(359.2-601.2)+(1.86813+(0.549576-0.919836))+0-340.2-0.52050600000002</f>
        <v>639.77736400000003</v>
      </c>
      <c r="Q355" s="3">
        <f>1217.1+(370-594.2)+(-3.103605+(-0.9435--1.51521))+0-339.4--0.865469999999951</f>
        <v>651.83357499999988</v>
      </c>
      <c r="R355" s="3">
        <f>1210.6+(348.7-548.3)+(0+(0-0))+0-340.1-0</f>
        <v>670.9</v>
      </c>
      <c r="S355" s="3">
        <f>1205+(349.5-525.4)+(0+(0-0))+0-339.2-0</f>
        <v>689.89999999999986</v>
      </c>
      <c r="T355" s="3">
        <f>1202.1+(322.3-516.6)+(0+(0-0))+0-339.6-0</f>
        <v>668.19999999999993</v>
      </c>
      <c r="U355" s="3">
        <f>1196+(334.3-529.2)+(1.21992+(0.340986-0.539784))+0-340-0.346800000000054</f>
        <v>661.77432199999987</v>
      </c>
      <c r="V355" s="3">
        <f>1170.8+(341.6-522)+(1.791324+(0.522648-0.79866))+0-341.3-0.52218900000002</f>
        <v>650.09312299999988</v>
      </c>
      <c r="W355" s="3">
        <f>1174.3+(410.5-481.8)+(1.197786+(0.41871-0.491436))+0-341.5-0.348330000000054</f>
        <v>762.27673000000004</v>
      </c>
      <c r="X355" s="3">
        <f>1179.3+(454.4-554)+(1.202886+(0.463488-0.56508))+0-340.9-0.347718000000054</f>
        <v>739.55357599999979</v>
      </c>
      <c r="Y355" s="3">
        <f>1183.2+(469.6-514.4)+(0+(0-0))+0-341.2-0</f>
        <v>797.2</v>
      </c>
      <c r="Z355" s="3">
        <f>1183.9+(461.5-503.4)+(0+(0-0))+0-341.1-0</f>
        <v>800.9</v>
      </c>
      <c r="AA355" s="3">
        <f>1188.4+(466.1-512.9)+(0.606084+(0.237711-0.261579))+0-341.1-0.173960999999965</f>
        <v>800.90825500000017</v>
      </c>
      <c r="AB355" s="3">
        <f>1162.3+(430.7-452.9)+(-1.778319+(-0.658971--0.692937))+0-340.3--0.52065900000002</f>
        <v>798.57630599999993</v>
      </c>
      <c r="AC355" s="3">
        <f>983.8+(424.2-318.3)+(1.505214+(0.649026-0.486999))+0-340.1-0.52035300000002</f>
        <v>750.7468879999999</v>
      </c>
      <c r="AD355" s="2">
        <v>828.5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943.8+(367.3-267.1)+(-1.925352+(-0.749292--0.544884))+0-340.7--0.695027999999985</f>
        <v>701.8652679999999</v>
      </c>
      <c r="G356" s="3">
        <f>945+(337.1-265.1)+(-1.9278+(-0.687684--0.540804))+0-341.4--0.696455999999985</f>
        <v>674.22177600000009</v>
      </c>
      <c r="H356" s="3">
        <f>945.1+(323.8-255.5)+(-1.446003+(-0.495414--0.390915))+0-341.8--0.52295400000002</f>
        <v>670.57245200000011</v>
      </c>
      <c r="I356" s="3">
        <f>946.6+(307.1-268.6)+(-0.965532+(-0.313242--0.273972))+0-342.1--0.348942000000055</f>
        <v>642.34414000000004</v>
      </c>
      <c r="J356" s="3">
        <f>952.8+(304.1-273.4)+(-0.485928+(-0.155091--0.139434))+0-342.7--0.174776999999965</f>
        <v>640.47319199999993</v>
      </c>
      <c r="K356" s="3">
        <f>954.3+(344.9-279.6)+(-0.973386+(-0.351798--0.285192))+0-341.3--0.348126000000054</f>
        <v>677.60813400000006</v>
      </c>
      <c r="L356" s="3">
        <f>952.6+(344.9-334.7)+(-0.971652+(-0.351798--0.341394))+0-340.5--0.347310000000054</f>
        <v>621.665254</v>
      </c>
      <c r="M356" s="3">
        <f>946.9+(391.3-328.5)+(0+(0-0))+0-339.3-0</f>
        <v>670.40000000000009</v>
      </c>
      <c r="N356" s="3">
        <f>939.6+(404-323.3)+(2.39598+(1.0302-0.824415))+0-339.9-0.866744999999951</f>
        <v>682.13502000000005</v>
      </c>
      <c r="O356" s="3">
        <f>934.5+(444-287.5)+(0+(0-0))+0-341.6-0</f>
        <v>749.4</v>
      </c>
      <c r="P356" s="3">
        <f>926.2+(416.4-284.2)+(0+(0-0))+0-341.6-0</f>
        <v>716.80000000000007</v>
      </c>
      <c r="Q356" s="3">
        <f>921.8+(435.9-268.7)+(-0.470118+(-0.222309--0.137037))+0-342.2--0.174521999999965</f>
        <v>746.41913199999988</v>
      </c>
      <c r="R356" s="3">
        <f>921+(432.7-268.3)+(-2.81826+(-1.324062--0.820998))+0-341.9--1.04621400000004</f>
        <v>741.22489000000019</v>
      </c>
      <c r="S356" s="3">
        <f>917.4+(431.4-259)+(-0.467874+(-0.220014--0.13209))+0-341.5--0.174164999999965</f>
        <v>747.91836699999988</v>
      </c>
      <c r="T356" s="3">
        <f>920.4+(423.4-286.3)+(-2.816424+(-1.295604--0.876078))+0-341.1--1.04376600000004</f>
        <v>714.20781599999998</v>
      </c>
      <c r="U356" s="3">
        <f>919.1+(437.4-277.3)+(0.468741+(0.223074-0.141423))+0-341.6-0.174215999999965</f>
        <v>737.97617600000012</v>
      </c>
      <c r="V356" s="3">
        <f>923.4+(440.6-291.4)+(0.941868+(0.449412-0.297228))+0-341.3-0.348126000000054</f>
        <v>732.04592599999978</v>
      </c>
      <c r="W356" s="3">
        <f>925.5+(478.3-307.6)+(0.94401+(0.487866-0.313752))+0-341.4-0.348228000000054</f>
        <v>755.56989600000009</v>
      </c>
      <c r="X356" s="3">
        <f>928.6+(537-329.2)+(0+(0-0))+0-340.9-0</f>
        <v>795.50000000000011</v>
      </c>
      <c r="Y356" s="3">
        <f>930.5+(535.7-317.7)+(0+(0-0))+0-341.1-0</f>
        <v>807.4</v>
      </c>
      <c r="Z356" s="3">
        <f>933.8+(517.8-310.2)+(-1.904952+(-1.056312--0.632808))+0-340.5--0.694619999999985</f>
        <v>799.26616399999989</v>
      </c>
      <c r="AA356" s="3">
        <f>934.4+(486.2-299.3)+(-1.429632+(-0.743886--0.457929))+0-340--0.52020000000002</f>
        <v>780.10461100000009</v>
      </c>
      <c r="AB356" s="3">
        <f>936.3+(463.1-292.8)+(-0.955026+(-0.472362--0.298656))+0-340.5--0.347310000000054</f>
        <v>765.31857800000012</v>
      </c>
      <c r="AC356" s="3">
        <f>899.7+(454-260.6)+(-2.294235+(-1.1577--0.66453))+0-339.9--0.866744999999951</f>
        <v>751.27933999999982</v>
      </c>
      <c r="AD356" s="2">
        <v>769.00000000000011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878.4+(431-268.1)+(-0.895968+(-0.43962--0.273462))+0-340.7--0.347514000000054</f>
        <v>699.88538799999992</v>
      </c>
      <c r="G357" s="3">
        <f>827+(435.7-224.2)+(-0.84354+(-0.444414--0.228684))+0-341--0.347820000000054</f>
        <v>696.7885500000001</v>
      </c>
      <c r="H357" s="3">
        <f>779.7+(460.8-204.5)+(0+(0-0))+0-341.2-0</f>
        <v>694.8</v>
      </c>
      <c r="I357" s="3">
        <f>780+(440.7-222.6)+(1.1934+(0.674271-0.340578))+0-341.6-0.52264800000002</f>
        <v>657.50444500000003</v>
      </c>
      <c r="J357" s="3">
        <f>779.6+(432.8-232.2)+(-0.397596+(-0.220728--0.118422))+0-341.3--0.174062999999965</f>
        <v>638.574161</v>
      </c>
      <c r="K357" s="3">
        <f>780.2+(467.2-256.4)+(0.397902+(0.238272-0.130764))+0-340.7-0.173756999999965</f>
        <v>650.63165300000003</v>
      </c>
      <c r="L357" s="3">
        <f>888.2+(430.1-313.7)+(0+(0-0))+0-339.6-0</f>
        <v>665.00000000000011</v>
      </c>
      <c r="M357" s="3">
        <f>943.5+(416.7-367.2)+(0.96237+(0.425034-0.374544))+0-339.6-0.346392000000054</f>
        <v>654.06646799999999</v>
      </c>
      <c r="N357" s="3">
        <f>930.7+(462.8-397.9)+(0.474657+(0.236028-0.202929))+0-339.8-0.173297999999966</f>
        <v>656.13445800000022</v>
      </c>
      <c r="O357" s="3">
        <f>932.8+(508.4-417.1)+(0.951456+(0.518568-0.425442))+0-340.3-0.347106000000054</f>
        <v>684.49747599999989</v>
      </c>
      <c r="P357" s="3">
        <f>926.6+(529.6-413.7)+(-0.472566+(-0.270096--0.210987))+0-340.7--0.173756999999965</f>
        <v>701.44208199999991</v>
      </c>
      <c r="Q357" s="3">
        <f>921.1+(494.1-363.8)+(-2.348805+(-1.259955--0.92769))+0-341.1--0.869804999999951</f>
        <v>708.48873499999991</v>
      </c>
      <c r="R357" s="3">
        <f>918.1+(493.5-268.8)+(-1.872924+(-1.00674--0.548352))+0-340.4--0.694415999999985</f>
        <v>800.76310399999988</v>
      </c>
      <c r="S357" s="3">
        <f>913.8+(459.9-250.7)+(0+(0-0))+0-339.9-0</f>
        <v>783.1</v>
      </c>
      <c r="T357" s="3">
        <f>883.7+(449.2-257.3)+(-0.450687+(-0.229092--0.131223))+0-340.6--0.173705999999965</f>
        <v>734.62514999999985</v>
      </c>
      <c r="U357" s="3">
        <f>867.8+(427.4-252.8)+(0+(0-0))+0-339.5-0</f>
        <v>702.89999999999986</v>
      </c>
      <c r="V357" s="3">
        <f>903.6+(431.2-266.1)+(-1.843344+(-0.879648--0.542844))+0-339.9--0.693395999999985</f>
        <v>727.31324800000016</v>
      </c>
      <c r="W357" s="3">
        <f>950.5+(442.4-310.8)+(0+(0-0))+0-340.8-0</f>
        <v>741.3</v>
      </c>
      <c r="X357" s="3">
        <f>1099.1+(476.8-395.4)+(-0.560541+(-0.243168--0.201654))+0-342--0.174419999999965</f>
        <v>838.07236499999988</v>
      </c>
      <c r="Y357" s="3">
        <f>1147.4+(479.2-452.3)+(-1.170348+(-0.488784--0.461346))+0-341.7--0.348534000000054</f>
        <v>831.75074800000027</v>
      </c>
      <c r="Z357" s="3">
        <f>1149.7+(467.1-440.8)+(-1.172694+(-0.476442--0.449616))+0-341.4--0.348228000000054</f>
        <v>833.74870800000019</v>
      </c>
      <c r="AA357" s="3">
        <f>1147.8+(437.8-408.3)+(-2.92689+(-1.11639--1.041165))+0-341.4--0.87056999999995</f>
        <v>833.7684549999999</v>
      </c>
      <c r="AB357" s="3">
        <f>1146.9+(398.1-382)+(-1.754757+(-0.609093--0.58446))+0-343--0.52479000000002</f>
        <v>818.74540000000013</v>
      </c>
      <c r="AC357" s="3">
        <f>1153.3+(374-378.4)+(-1.764549+(-0.57222--0.578952))+0-341.2--0.52203600000002</f>
        <v>806.46421900000018</v>
      </c>
      <c r="AD357" s="2">
        <v>889.40000000000009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984.3+(456.2-327.3)+(0.501993+(0.232662-0.166923))+0-340.7-0.173756999999965</f>
        <v>772.89397499999984</v>
      </c>
      <c r="G358" s="3">
        <f>896.5+(479.5-310.9)+(-1.371645+(-0.733635--0.475677))+0-341.2--0.52203600000002</f>
        <v>722.79243299999985</v>
      </c>
      <c r="H358" s="3">
        <f>991.5+(418.2-338.9)+(0+(0-0))+0-341-0</f>
        <v>729.8</v>
      </c>
      <c r="I358" s="3">
        <f>944.7+(417.3-324.3)+(-2.408985+(-1.064115--0.826965))+0-340.9--0.869294999999951</f>
        <v>695.02316000000008</v>
      </c>
      <c r="J358" s="3">
        <f>925.3+(398.5-372.7)+(0+(0-0))+0-340.1-0</f>
        <v>610.99999999999989</v>
      </c>
      <c r="K358" s="3">
        <f>948.2+(429.3-386.7)+(0.967164+(0.437886-0.394434))+0-339.7-0.346494000000054</f>
        <v>651.76412200000016</v>
      </c>
      <c r="L358" s="3">
        <f>996.9+(438.8-431.6)+(-1.016838+(-0.447576--0.440232))+0-339.4--0.346188000000054</f>
        <v>664.02200600000003</v>
      </c>
      <c r="M358" s="3">
        <f>992.9+(480.6-411.2)+(1.012758+(0.490212-0.419424))+0-338.3-0.345066000000054</f>
        <v>724.73847999999998</v>
      </c>
      <c r="N358" s="3">
        <f>990.4+(459.5-364.2)+(-0.505104+(-0.234345--0.185742))+0-338.8--0.172787999999966</f>
        <v>746.51908100000003</v>
      </c>
      <c r="O358" s="3">
        <f>986.6+(463.3-385.6)+(0.503166+(0.236283-0.196656))+0-339.7-0.173246999999966</f>
        <v>724.96954600000004</v>
      </c>
      <c r="P358" s="3">
        <f>983.7+(486.3-308.6)+(-1.505061+(-0.744039--0.472158))+0-340.6--0.52111800000002</f>
        <v>819.54417600000011</v>
      </c>
      <c r="Q358" s="3">
        <f>979.9+(486.4-314.3)+(0+(0-0))+0-340.5-0</f>
        <v>811.5</v>
      </c>
      <c r="R358" s="3">
        <f>977.5+(480.3-298.7)+(-0.99705+(-0.489906--0.304674))+0-339.3--0.346086000000054</f>
        <v>818.96380399999998</v>
      </c>
      <c r="S358" s="3">
        <f>974.5+(454.2-290.4)+(-0.99399+(-0.463284--0.296208))+0-339.7--0.346494000000054</f>
        <v>797.78542800000002</v>
      </c>
      <c r="T358" s="3">
        <f>973.6+(462.1-270.2)+(0.993072+(0.471342-0.275604))+0-340.6-0.347412000000054</f>
        <v>825.741398</v>
      </c>
      <c r="U358" s="3">
        <f>973.7+(470.9-299.8)+(0.496587+(0.240159-0.152898))+0-339.7-0.173246999999966</f>
        <v>805.51060099999995</v>
      </c>
      <c r="V358" s="3">
        <f>976.3+(476.8-373.4)+(0+(0-0))+0-339.6-0</f>
        <v>740.1</v>
      </c>
      <c r="W358" s="3">
        <f>977.9+(495.5-383.2)+(0.498729+(0.252705-0.195432))+0-339.9-0.173348999999966</f>
        <v>750.68265300000019</v>
      </c>
      <c r="X358" s="3">
        <f>986.4+(532.3-382.5)+(0+(0-0))+0-341.1-0</f>
        <v>795.0999999999998</v>
      </c>
      <c r="Y358" s="3">
        <f>995.2+(523.1-355.2)+(-3.045312+(-1.600686--1.086912))+0-343--1.04958000000004</f>
        <v>817.59049400000015</v>
      </c>
      <c r="Z358" s="3">
        <f>998.3+(505.1-341)+(-1.018266+(-0.515202--0.34782))+0-342--0.348840000000055</f>
        <v>819.5631920000003</v>
      </c>
      <c r="AA358" s="3">
        <f>1002.7+(477.5-342.2)+(-2.045508+(-0.9741--0.698088))+0-342.2--0.698087999999985</f>
        <v>794.17656799999997</v>
      </c>
      <c r="AB358" s="3">
        <f>1007.6+(467.3-330.4)+(-2.055504+(-0.953292--0.674016))+0-340.7--0.695027999999985</f>
        <v>802.16024800000002</v>
      </c>
      <c r="AC358" s="3">
        <f>1011.3+(432.9-324.6)+(-2.578815+(-1.103895--0.82773))+0-341.2--0.87005999999995</f>
        <v>776.41507999999976</v>
      </c>
      <c r="AD358" s="2">
        <v>820.4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1014.5+(391-294.5)+(-2.586975+(-0.99705--0.750975))+0-341.1--0.869804999999951</f>
        <v>767.93675499999995</v>
      </c>
      <c r="G359" s="3">
        <f>1015.7+(340.8-274.4)+(-2.590035+(-0.86904--0.69972))+0-340.9--0.869294999999951</f>
        <v>739.30994000000021</v>
      </c>
      <c r="H359" s="3">
        <f>1012+(336.7-284.3)+(-0.51612+(-0.171717--0.144993))+0-343.6--0.175235999999965</f>
        <v>720.43239199999994</v>
      </c>
      <c r="I359" s="3">
        <f>1010.7+(329.3-307)+(-0.515457+(-0.167943--0.15657))+0-341.7--0.174266999999965</f>
        <v>690.94743699999992</v>
      </c>
      <c r="J359" s="3">
        <f>1010.1+(328.2-327.7)+(-2.575755+(-0.83691--0.835635))+0-341--0.869549999999951</f>
        <v>667.89251999999999</v>
      </c>
      <c r="K359" s="3">
        <f>1012.3+(324.3-342.1)+(-0.516273+(-0.165393--0.174471))+0-340.2--0.173501999999965</f>
        <v>653.96630700000003</v>
      </c>
      <c r="L359" s="3">
        <f>1015.8+(311.9-392.1)+(-1.554174+(-0.477207--0.599913))+0-339--0.51867000000002</f>
        <v>595.68720199999996</v>
      </c>
      <c r="M359" s="3">
        <f>1011.5+(353-423.6)+(0+(0-0))+0-339.3-0</f>
        <v>601.59999999999991</v>
      </c>
      <c r="N359" s="3">
        <f>1007.2+(360.5-406.6)+(0.513672+(0.183855-0.207366))+0-339.2-0.172991999999966</f>
        <v>622.21716900000001</v>
      </c>
      <c r="O359" s="3">
        <f>1006.4+(370.7-411)+(-2.053056+(-0.756228--0.83844))+0-340.5--0.694619999999985</f>
        <v>624.32377599999984</v>
      </c>
      <c r="P359" s="3">
        <f>999.3+(467.2-448.2)+(-1.019286+(-0.476544--0.457164))+0-339.8--0.346596000000054</f>
        <v>677.80792999999994</v>
      </c>
      <c r="Q359" s="3">
        <f>994+(464.2-421.2)+(0+(0-0))+0-340.3-0</f>
        <v>696.7</v>
      </c>
      <c r="R359" s="3">
        <f>987.9+(431.4-390.4)+(-2.015316+(-0.880056--0.796416))+0-340.4--0.694415999999985</f>
        <v>687.09546</v>
      </c>
      <c r="S359" s="3">
        <f>983.9+(412.4-360.9)+(-0.501789+(-0.210324--0.184059))+0-340.7--0.173756999999965</f>
        <v>694.34570299999984</v>
      </c>
      <c r="T359" s="3">
        <f>981.7+(417.6-366.7)+(0+(0-0))+0-341-0</f>
        <v>691.60000000000014</v>
      </c>
      <c r="U359" s="3">
        <f>980.2+(383.7-345.2)+(0.999804+(0.391374-0.352104))+0-340.6-0.347412000000054</f>
        <v>678.79166199999997</v>
      </c>
      <c r="V359" s="3">
        <f>981.2+(359.1-334.4)+(-2.50206+(-0.915705--0.85272))+3-340.4--0.868019999999951</f>
        <v>666.80297500000006</v>
      </c>
      <c r="W359" s="3">
        <f>984+(392.3-374.5)+(0+(0-0))+3.7-341-0</f>
        <v>664.5</v>
      </c>
      <c r="X359" s="3">
        <f>987.8+(419.2-361.3)+(-1.007556+(-0.427584--0.368526))+0-340.8--0.347616000000054</f>
        <v>704.18100199999981</v>
      </c>
      <c r="Y359" s="3">
        <f>1065.9+(402.2-400.9)+(-2.718045+(-1.02561--1.022295))+0-341.8--0.87158999999995</f>
        <v>723.55023000000006</v>
      </c>
      <c r="Z359" s="3">
        <f>1112.1+(373.6-433.7)+(-2.268684+(-0.762144--0.884748))+0-341.7--0.697067999999985</f>
        <v>708.85098799999992</v>
      </c>
      <c r="AA359" s="3">
        <f>1122.4+(361.5-404.4)+(-4.006968+(-1.290555--1.443708))+0-341.6--1.219512</f>
        <v>735.26569700000005</v>
      </c>
      <c r="AB359" s="3">
        <f>1126.3+(359.4-345.9)+(-2.297652+(-0.733176--0.705636))+0-340.5--0.694619999999985</f>
        <v>797.66942799999993</v>
      </c>
      <c r="AC359" s="3">
        <f>1129+(331.3-344.5)+(-1.15158+(-0.337926--0.35139))+0-339.7--0.346494000000054</f>
        <v>775.30837799999983</v>
      </c>
      <c r="AD359" s="2">
        <v>751.6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1128.2+(353.4-339.1)+(-3.452292+(-1.081404--1.037646))+0-340.2--1.04101200000004</f>
        <v>799.84496200000001</v>
      </c>
      <c r="G360" s="3">
        <f>1136.5+(313-352.1)+(-1.738845+(-0.47889--0.538713))+0-341.3--0.52218900000002</f>
        <v>754.94316700000013</v>
      </c>
      <c r="H360" s="3">
        <f>1136.3+(289-363.9)+(-1.738539+(-0.44217--0.556767))+0-341.4--0.52234200000002</f>
        <v>718.89840000000015</v>
      </c>
      <c r="I360" s="3">
        <f>1133.9+(288.8-356.9)+(-0.578289+(-0.147288--0.182019))+0-340.8--0.173807999999965</f>
        <v>724.63025000000016</v>
      </c>
      <c r="J360" s="3">
        <f>1163.3+(279-374.1)+(-1.186566+(-0.28458--0.381582))+0-341--0.347820000000054</f>
        <v>726.45825599999978</v>
      </c>
      <c r="K360" s="3">
        <f>1263.7+(247.5-445.9)+(1.288974+(0.25245-0.454818))+0-340.5-0.347310000000054</f>
        <v>725.53929600000015</v>
      </c>
      <c r="L360" s="3">
        <f>1296.6+(231-479.5)+(-2.645064+(-0.47124--0.97818))+0-339.5--0.692579999999985</f>
        <v>707.15445599999987</v>
      </c>
      <c r="M360" s="3">
        <f>1290.3+(264.4-472.5)+(0.658053+(0.134844-0.240975))+0-340.2-0.173501999999965</f>
        <v>742.37841999999989</v>
      </c>
      <c r="N360" s="3">
        <f>1285.9+(314.1-527.4)+(0.655809+(0.160191-0.268974))+0-339.8-0.173297999999966</f>
        <v>733.17372800000021</v>
      </c>
      <c r="O360" s="3">
        <f>1282.3+(358.3-549.2)+(2.615892+(0.730932-1.120368))+0-340.6-0.694823999999985</f>
        <v>752.3316319999999</v>
      </c>
      <c r="P360" s="3">
        <f>1271.2+(364.3-521.1)+(-1.296624+(-0.371586--0.531522))+0-341.2--0.348024000000054</f>
        <v>772.41133600000001</v>
      </c>
      <c r="Q360" s="3">
        <f>1256.2+(379.3-500)+(-3.20331+(-0.967215--1.275))+0-340.9--0.869294999999951</f>
        <v>792.57377000000008</v>
      </c>
      <c r="R360" s="3">
        <f>1251.2+(398.5-474.1)+(-3.19056+(-1.016175--1.208955))+0-340.5--0.868274999999951</f>
        <v>832.97049499999991</v>
      </c>
      <c r="S360" s="3">
        <f>1245.7+(381.2-443.1)+(-2.541228+(-0.777648--0.903924))+0-340.9--0.695435999999985</f>
        <v>841.18048399999986</v>
      </c>
      <c r="T360" s="3">
        <f>1246+(389.1-422.9)+(1.27092+(0.396882-0.431358))+0-341.2-0.348024000000054</f>
        <v>871.88841999999988</v>
      </c>
      <c r="U360" s="3">
        <f>1246+(372-425)+(0+(0-0))+0-340-0</f>
        <v>853</v>
      </c>
      <c r="V360" s="3">
        <f>1242.5+(353.6-436.8)+(-1.901025+(-0.541008--0.668304))+0-340.6--0.52111800000002</f>
        <v>817.44738899999993</v>
      </c>
      <c r="W360" s="3">
        <f>1244.6+(361.4-435.3)+(1.269492+(0.368628-0.444006))+0-341.2-0.348024000000054</f>
        <v>830.34608999999966</v>
      </c>
      <c r="X360" s="3">
        <f>1250.8+(366.3-448)+(1.275816+(0.373626-0.45696))+0-340.7-0.347514000000054</f>
        <v>829.24496799999974</v>
      </c>
      <c r="Y360" s="3">
        <f>1262.6+(326.9-413.7)+(-1.931778+(-0.500157--0.632961))+0-341.4--0.52234200000002</f>
        <v>833.12336799999991</v>
      </c>
      <c r="Z360" s="3">
        <f>1258.1+(312.3-396.4)+(-1.924893+(-0.477819--0.606492))+0-341.2--0.52203600000002</f>
        <v>831.52581600000008</v>
      </c>
      <c r="AA360" s="3">
        <f>1261.7+(279.9-416.9)+(-0.643467+(-0.142749--0.212619))+0-341.3--0.174062999999965</f>
        <v>783.00046599999996</v>
      </c>
      <c r="AB360" s="3">
        <f>1262.9+(300.1-392.4)+(-3.220395+(-0.765255--1.00062))+0-340.1--0.867254999999951</f>
        <v>828.38222500000006</v>
      </c>
      <c r="AC360" s="3">
        <f>1262.3+(266-368.6)+(-1.931319+(-0.40698--0.563958))+0-339.8--0.51989400000002</f>
        <v>818.64555299999984</v>
      </c>
      <c r="AD360" s="2">
        <v>850.6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1266.2+(272.2-354)+(-2.583048+(-0.555288--0.72216))+0-341.5--0.696659999999985</f>
        <v>841.18048400000009</v>
      </c>
      <c r="G361" s="3">
        <f>1268.1+(236.8-370.8)+(-2.586924+(-0.483072--0.756432))+0-341.3--0.696251999999985</f>
        <v>791.18268799999987</v>
      </c>
      <c r="H361" s="3">
        <f>1268.6+(217.1-368.9)+(-1.293972+(-0.221442--0.376278))+0-343--0.349860000000055</f>
        <v>773.01072399999998</v>
      </c>
      <c r="I361" s="3">
        <f>1267.1+(206.4-366)+(1.938663+(0.315792-0.55998))+0-342-0.52326000000002</f>
        <v>766.67121499999996</v>
      </c>
      <c r="J361" s="3">
        <f>1267.8+(194.1-370.5)+(-2.586312+(-0.395964--0.75582))+0-341.5--0.696659999999985</f>
        <v>748.37020399999972</v>
      </c>
      <c r="K361" s="3">
        <f>1268.6+(163.4-386.4)+(-1.293972+(-0.166668--0.394128))+0-340.8--0.347616000000054</f>
        <v>704.08110399999987</v>
      </c>
      <c r="L361" s="3">
        <f>1275.5+(162.9-383.1)+(-0.650505+(-0.083079--0.195381))+0-339.2--0.172991999999966</f>
        <v>715.73478899999986</v>
      </c>
      <c r="M361" s="3">
        <f>1224.3+(184.2-357.8)+(0.624393+(0.093942-0.182478))+0-339.8-0.173297999999966</f>
        <v>711.26255900000001</v>
      </c>
      <c r="N361" s="3">
        <f>1227.1+(224.4-357.3)+(-0.625821+(-0.114444--0.182223))+0-340.3--0.173552999999965</f>
        <v>753.51551099999995</v>
      </c>
      <c r="O361" s="3">
        <f>1222.2+(253.6-373.7)+(-0.623322+(-0.129336--0.190587))+0-341.3--0.174062999999965</f>
        <v>760.41199200000005</v>
      </c>
      <c r="P361" s="3">
        <f>1220.7+(276.4-354.9)+(1.867671+(0.422892-0.542997))+0-341.7-0.52280100000002</f>
        <v>801.72476499999993</v>
      </c>
      <c r="Q361" s="3">
        <f>1215.5+(331.3-338.5)+(-2.47962+(-0.675852--0.69054))+0-341.1--0.695843999999985</f>
        <v>865.43091199999981</v>
      </c>
      <c r="R361" s="3">
        <f>1211.1+(327.9-340)+(-1.235322+(-0.334458--0.3468))+0-341.3--0.348126000000054</f>
        <v>856.82514600000013</v>
      </c>
      <c r="S361" s="3">
        <f>1181.5+(310.5-290)+(-2.41026+(-0.63342--0.5916))+0-340.6--0.694823999999985</f>
        <v>859.64274399999999</v>
      </c>
      <c r="T361" s="3">
        <f>1173.5+(305.4-276.9)+(1.19697+(0.311508-0.282438))+0-341.6-0.348432000000054</f>
        <v>861.27760799999999</v>
      </c>
      <c r="U361" s="3">
        <f>1247.1+(241.7-292.8)+(0.636021+(0.123267-0.149328))+0-339.2-0.172991999999966</f>
        <v>857.23696799999993</v>
      </c>
      <c r="V361" s="3">
        <f>1250.5+(235-326.5)+(1.27551+(0.2397-0.33303))+0-339.4-0.346188000000054</f>
        <v>820.43599199999994</v>
      </c>
      <c r="W361" s="3">
        <f>1255.3+(247.9-338.1)+(0+(0-0))+0-339.3-0</f>
        <v>825.8</v>
      </c>
      <c r="X361" s="3">
        <f>1261.6+(293.1-371)+(1.286832+(0.298962-0.37842))+0-340.3-0.347106000000054</f>
        <v>844.26026799999988</v>
      </c>
      <c r="Y361" s="3">
        <f>1266.9+(297.3-417.3)+(-0.646119+(-0.151623--0.212823))+0-339.4--0.173093999999966</f>
        <v>807.08817500000021</v>
      </c>
      <c r="Z361" s="3">
        <f>1269.1+(296.5-406.2)+(-1.294482+(-0.30243--0.414324))+0-340--0.346800000000054</f>
        <v>818.564212</v>
      </c>
      <c r="AA361" s="3">
        <f>1275.4+(322.5-369.1)+(-1.300908+(-0.32895--0.376482))+0-339.4--0.346188000000054</f>
        <v>888.49281200000041</v>
      </c>
      <c r="AB361" s="3">
        <f>1272.5+(304-358.4)+(-3.244875+(-0.7752--0.91392))+0-339.4--0.865469999999951</f>
        <v>876.45931499999995</v>
      </c>
      <c r="AC361" s="3">
        <f>1273.4+(268.1-380.6)+(-1.948302+(-0.410193--0.582318))+0-338.7--0.51821100000002</f>
        <v>820.94203400000015</v>
      </c>
      <c r="AD361" s="2">
        <v>831.40000000000009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1279.2+(215-326.8)+(-3.914352+(-0.6579--1.000008))+0-339.1--1.03764600000004</f>
        <v>825.76540200000011</v>
      </c>
      <c r="G362" s="3">
        <f>1278+(195.5-302.4)+(-3.2589+(-0.498525--0.77112))+0-340.3--0.867764999999951</f>
        <v>828.68146000000002</v>
      </c>
      <c r="H362" s="3">
        <f>1278.4+(195.4-323.4)+(-2.607936+(-0.398616--0.659736))+0-341.7--0.697067999999985</f>
        <v>807.050252</v>
      </c>
      <c r="I362" s="3">
        <f>1281.3+(173.2-380.4)+(0+(0-0))+0-342.7-0</f>
        <v>731.39999999999986</v>
      </c>
      <c r="J362" s="3">
        <f>1278.8+(181.7-347.4)+(1.956564+(0.278001-0.531522))+0-341.4-0.52234200000002</f>
        <v>772.88070099999993</v>
      </c>
      <c r="K362" s="3">
        <f>1277.1+(179.5-376)+(0+(0-0))+0-341.5-0</f>
        <v>739.09999999999991</v>
      </c>
      <c r="L362" s="3">
        <f>1279.6+(180.7-385.2)+(-0.652596+(-0.092157--0.196452))+0-339.4--0.173093999999966</f>
        <v>735.32479299999989</v>
      </c>
      <c r="M362" s="3">
        <f>1277.2+(209.7-407.1)+(0+(0-0))+0-339.8-0</f>
        <v>740</v>
      </c>
      <c r="N362" s="3">
        <f>1267.1+(221.8-466.1)+(-0.646221+(-0.113118--0.237711))+0-340.6--0.173705999999965</f>
        <v>681.85207799999989</v>
      </c>
      <c r="O362" s="3">
        <f>1254.8+(252.6-418.1)+(-0.639948+(-0.128826--0.213231))+0-341.2--0.174011999999965</f>
        <v>747.71846899999991</v>
      </c>
      <c r="P362" s="3">
        <f>1249.6+(271-388.9)+(0.637296+(0.13821-0.198339))+0-341.6-0.174215999999965</f>
        <v>790.50295099999971</v>
      </c>
      <c r="Q362" s="3">
        <f>1245.4+(294.2-338.5)+(0+(0-0))+0-341.3-0</f>
        <v>859.80000000000018</v>
      </c>
      <c r="R362" s="3">
        <f>1242.9+(294.9-339.3)+(-1.901637+(-0.451197--0.519129))+0-340.9--0.52157700000002</f>
        <v>856.28787199999999</v>
      </c>
      <c r="S362" s="3">
        <f>1237.4+(313.6-309.1)+(0.631074+(0.159936-0.157641))+0-340.8-0.173807999999965</f>
        <v>901.55956100000003</v>
      </c>
      <c r="T362" s="3">
        <f>1245.9+(284-314.4)+(-1.270818+(-0.28968--0.320688))+0-338.4--0.345168000000054</f>
        <v>876.20535800000005</v>
      </c>
      <c r="U362" s="3">
        <f>1253.2+(258-324.1)+(-2.556528+(-0.52632--0.661164))+0-341.2--0.696047999999985</f>
        <v>844.17436399999997</v>
      </c>
      <c r="V362" s="3">
        <f>1254+(239.7-339.2)+(-3.83724+(-0.733482--1.037952))+0-340.3--1.04131800000004</f>
        <v>811.70854800000006</v>
      </c>
      <c r="W362" s="3">
        <f>1256.9+(234.9-390.4)+(-5.128152+(-0.958392--1.592832))+0-340--1.38719999999997</f>
        <v>758.29348800000014</v>
      </c>
      <c r="X362" s="3">
        <f>1262.4+(294.7-410.5)+(0+(0-0))+0-339.8-0</f>
        <v>806.80000000000018</v>
      </c>
      <c r="Y362" s="3">
        <f>1267.3+(316.5-414.9)+(-3.231615+(-0.807075--1.057995))+0-339.9--0.866744999999951</f>
        <v>826.88605000000007</v>
      </c>
      <c r="Z362" s="3">
        <f>1265.7+(300.9-412)+(-3.227535+(-0.767295--1.0506))+0-340.5--0.868274999999951</f>
        <v>812.02404499999977</v>
      </c>
      <c r="AA362" s="3">
        <f>1270.8+(280.4-374.4)+(-2.592432+(-0.572016--0.763776))+0-341--0.695639999999985</f>
        <v>834.09496799999999</v>
      </c>
      <c r="AB362" s="3">
        <f>1271+(259-367.2)+(-0.64821+(-0.13209--0.187272))+0-339.5--0.173144999999966</f>
        <v>822.88011699999993</v>
      </c>
      <c r="AC362" s="3">
        <f>1249.4+(268-354.3)+(-3.18597+(-0.6834--0.903465))+0-338.9--0.864194999999951</f>
        <v>822.09829000000013</v>
      </c>
      <c r="AD362" s="2">
        <v>835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1144.1+(305-267.3)+(-3.500946+(-0.9333--0.817938))+0-339--1.03734000000004</f>
        <v>840.22103200000015</v>
      </c>
      <c r="G363" s="3">
        <f>1144.7+(262.1-267.2)+(-2.918985+(-0.668355--0.68136))+0-339.7--0.866234999999951</f>
        <v>797.86025500000005</v>
      </c>
      <c r="H363" s="3">
        <f>1120.8+(271.2-257.7)+(-2.286432+(-0.553248--0.525708))+0-339.5--0.692579999999985</f>
        <v>793.17860800000005</v>
      </c>
      <c r="I363" s="3">
        <f>1119.2+(242.2-281.5)+(-3.424752+(-0.741132--0.86139))+0-340.4--1.04162400000004</f>
        <v>737.23713000000021</v>
      </c>
      <c r="J363" s="3">
        <f>1121.9+(227.8-285.4)+(-1.716507+(-0.348534--0.436662))+0-339.8--0.51989400000002</f>
        <v>723.39151500000025</v>
      </c>
      <c r="K363" s="3">
        <f>1119.9+(233-323.5)+(-0.571149+(-0.11883--0.164985))+0-339.8--0.173297999999966</f>
        <v>689.24830399999996</v>
      </c>
      <c r="L363" s="3">
        <f>1119.7+(230.9-340.9)+(0+(0-0))+0-339.2-0</f>
        <v>670.5</v>
      </c>
      <c r="M363" s="3">
        <f>1114.7+(263.2-346.4)+(1.136994+(0.268464-0.353328))+0-339.6-0.346392000000054</f>
        <v>692.60573799999997</v>
      </c>
      <c r="N363" s="3">
        <f>1105.5+(288.1-335.6)+(-0.563805+(-0.146931--0.171156))+0-340.6--0.173705999999965</f>
        <v>717.03412600000001</v>
      </c>
      <c r="O363" s="3">
        <f>1098.9+(283-325.1)+(0+(0-0))+0-341.1-0</f>
        <v>715.70000000000016</v>
      </c>
      <c r="P363" s="3">
        <f>1095.4+(341.1-313)+(-2.79327+(-0.869805--0.79815))+0-341.6--0.87107999999995</f>
        <v>779.9061549999999</v>
      </c>
      <c r="Q363" s="3">
        <f>1095+(327-323.7)+(-0.55845+(-0.16677--0.165087))+0-341--0.173909999999965</f>
        <v>756.91377699999998</v>
      </c>
      <c r="R363" s="3">
        <f>1093+(386-343.8)+(-3.34458+(-1.18116--1.052028))+0-341--1.04346000000004</f>
        <v>791.76974800000016</v>
      </c>
      <c r="S363" s="3">
        <f>1090.6+(381.7-332.6)+(0.556206+(0.194667-0.169626))+0-340.2-0.173501999999965</f>
        <v>799.90774499999986</v>
      </c>
      <c r="T363" s="3">
        <f>1088.9+(382.4-326.9)+(-2.221356+(-0.780096--0.666876))+0-339.9--0.693395999999985</f>
        <v>802.85882000000015</v>
      </c>
      <c r="U363" s="3">
        <f>1092.5+(323.9-320.7)+(-1.671525+(-0.495567--0.490671))+0-310.4--0.474912000000018</f>
        <v>784.09849100000019</v>
      </c>
      <c r="V363" s="3">
        <f>1095.4+(307.5-310)+(0+(0-0))+0-341-0</f>
        <v>751.90000000000009</v>
      </c>
      <c r="W363" s="3">
        <f>1125+(375.1-387)+(0+(0-0))+0-341-0</f>
        <v>772.09999999999991</v>
      </c>
      <c r="X363" s="3">
        <f>1100.4+(448.1-423)+(0.561204+(0.228531-0.21573))+0-342-0.174419999999965</f>
        <v>783.899585</v>
      </c>
      <c r="Y363" s="3">
        <f>1103.5+(453.4-423)+(-0.562785+(-0.231234--0.21573))+0-343--0.174929999999965</f>
        <v>790.49664100000007</v>
      </c>
      <c r="Z363" s="3">
        <f>1110.1+(412.4-322.9)+(-0.566151+(-0.210324--0.164679))+0-342.9--0.174878999999965</f>
        <v>856.26308299999994</v>
      </c>
      <c r="AA363" s="3">
        <f>1113+(403.6-318.9)+(-0.56763+(-0.205836--0.162639))+0-344.1--0.175490999999965</f>
        <v>853.16466400000002</v>
      </c>
      <c r="AB363" s="3">
        <f>1115.2+(411.3-304.4)+(-2.84376+(-1.048815--0.77622))+0-344.6--0.87872999999995</f>
        <v>875.26237499999991</v>
      </c>
      <c r="AC363" s="3">
        <f>1113.8+(389.1-272)+(-2.272152+(-0.793764--0.55488))+0-342.6--0.698903999999985</f>
        <v>886.48786799999993</v>
      </c>
      <c r="AD363" s="2">
        <v>881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1114.7+(334.1-241.9)+(-2.273988+(-0.681564--0.493476))+0-341.9--0.697475999999985</f>
        <v>863.23540000000003</v>
      </c>
      <c r="G364" s="3">
        <f>1115.4+(297.4-240.8)+(-1.706562+(-0.455022--0.368424))+0-342.2--0.52356600000002</f>
        <v>828.53040600000008</v>
      </c>
      <c r="H364" s="3">
        <f>1118+(294.7-241.7)+(-2.8509+(-0.751485--0.616335))+0-342.7--0.87388499999995</f>
        <v>826.18783499999995</v>
      </c>
      <c r="I364" s="3">
        <f>1119.2+(234.4-237.3)+(0.570792+(0.119544-0.121023))+0-342.8-0.174827999999965</f>
        <v>773.89448500000003</v>
      </c>
      <c r="J364" s="3">
        <f>1118.3+(202.4-263.8)+(-2.281332+(-0.412896--0.538152))+0-340.8--0.695231999999985</f>
        <v>714.63915599999996</v>
      </c>
      <c r="K364" s="3">
        <f>1117.1+(194.9-280.9)+(-1.139442+(-0.198798--0.286518))+0-337.4--0.344148000000054</f>
        <v>692.99242600000002</v>
      </c>
      <c r="L364" s="3">
        <f>1115.6+(194.2-292.3)+(0+(0-0))+0-339.9-0</f>
        <v>677.59999999999991</v>
      </c>
      <c r="M364" s="3">
        <f>1109.4+(203.4-282)+(-1.697382+(-0.311202--0.43146))+0-338.7--0.51821100000002</f>
        <v>691.04108700000029</v>
      </c>
      <c r="N364" s="3">
        <f>1103.5+(221.9-265.5)+(-0.562785+(-0.113169--0.135405))+0-339.2--0.172991999999966</f>
        <v>720.33244300000001</v>
      </c>
      <c r="O364" s="3">
        <f>1102.3+(224.4-265.3)+(-2.810865+(-0.57222--0.676515))+0-339.4--0.865469999999951</f>
        <v>720.15889999999979</v>
      </c>
      <c r="P364" s="3">
        <f>1099.6+(246-268)+(0.560796+(0.12546-0.13668))+0-340.4-0.173603999999965</f>
        <v>737.57597199999987</v>
      </c>
      <c r="Q364" s="3">
        <f>1093+(329.7-261.9)+(0.55743+(0.168147-0.133569))+0-340.5-0.173654999999965</f>
        <v>820.71835300000009</v>
      </c>
      <c r="R364" s="3">
        <f>1091+(355-261.3)+(-3.33846+(-1.0863--0.799578))+0-340.2--1.04101200000004</f>
        <v>841.91583000000003</v>
      </c>
      <c r="S364" s="3">
        <f>1092+(357.2-253.3)+(-2.22768+(-0.728688--0.516732))+0-340--0.693599999999985</f>
        <v>854.15396399999997</v>
      </c>
      <c r="T364" s="3">
        <f>1096.6+(356.3-250.4)+(-1.118532+(-0.363426--0.255408))+0-341.3--0.348126000000054</f>
        <v>860.32157600000005</v>
      </c>
      <c r="U364" s="3">
        <f>1097+(306.3-243.7)+(-0.55947+(-0.156213--0.124287))+0-341.1--0.173960999999965</f>
        <v>818.08256499999982</v>
      </c>
      <c r="V364" s="3">
        <f>1097+(189.7-257.7)+(-1.67841+(-0.290241--0.394281))+0-339.9--0.52004700000002</f>
        <v>688.04567699999996</v>
      </c>
      <c r="W364" s="3">
        <f>1098.5+(215.3-267.2)+(1.12047+(0.219606-0.272544))+0-341.4-0.348228000000054</f>
        <v>705.9193039999999</v>
      </c>
      <c r="X364" s="3">
        <f>1100.6+(387.7-308.8)+(1.122612+(0.395454-0.314976))+0-341.1-0.347922000000054</f>
        <v>839.25516799999991</v>
      </c>
      <c r="Y364" s="3">
        <f>1105.7+(408.7-308)+(-0.563907+(-0.208437--0.15708))+0-341.4--0.174113999999965</f>
        <v>864.55885000000001</v>
      </c>
      <c r="Z364" s="3">
        <f>1113.9+(377.8-313.3)+(-2.840445+(-0.96339--0.798915))+0-341.8--0.87158999999995</f>
        <v>834.46667000000002</v>
      </c>
      <c r="AA364" s="3">
        <f>1115.3+(425.3-324.7)+(0+(0-0))+0-341.6-0</f>
        <v>874.30000000000007</v>
      </c>
      <c r="AB364" s="3">
        <f>1119.1+(410.9-307.2)+(-2.282964+(-0.838236--0.626688))+0-341.7--0.697067999999985</f>
        <v>879.30255599999987</v>
      </c>
      <c r="AC364" s="3">
        <f>1119.9+(371.5-285.6)+(-2.855745+(-0.947325--0.72828))+0-340.8--0.869039999999951</f>
        <v>862.79425000000026</v>
      </c>
      <c r="AD364" s="2">
        <v>893.6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1120.3+(350.7-243.4)+(0+(0-0))+0-339.8-0</f>
        <v>887.8</v>
      </c>
      <c r="G365" s="3">
        <f>1121.9+(285-239.2)+(-2.288676+(-0.5814--0.487968))+0-340.9--0.695435999999985</f>
        <v>825.11332800000002</v>
      </c>
      <c r="H365" s="3">
        <f>1121.6+(304.3-249.6)+(-3.432096+(-0.931158--0.763776))+0-340.7--1.04254200000004</f>
        <v>833.04306399999984</v>
      </c>
      <c r="I365" s="3">
        <f>1123.4+(309.1-276.5)+(-1.145868+(-0.315282--0.28203))+0-341.1--0.347922000000054</f>
        <v>814.06880200000001</v>
      </c>
      <c r="J365" s="3">
        <f>1123.8+(256.6-287.5)+(-1.146276+(-0.261732--0.29325))+0-340.9--0.347718000000054</f>
        <v>751.23296000000028</v>
      </c>
      <c r="K365" s="3">
        <f>1124.6+(283.7-295.5)+(1.147092+(0.289374-0.30141))+0-340.1-0.346902000000054</f>
        <v>773.48815400000001</v>
      </c>
      <c r="L365" s="3">
        <f>1165.4+(253.8-312.8)+(-1.188708+(-0.258876--0.319056))+0-339.4--0.346188000000054</f>
        <v>766.21766000000025</v>
      </c>
      <c r="M365" s="3">
        <f>1161.6+(294.3-323.3)+(1.184832+(0.300186-0.329766))+0-339.1-0.345882000000054</f>
        <v>794.30936999999983</v>
      </c>
      <c r="N365" s="3">
        <f>1158.6+(303.3-296.9)+(-0.590886+(-0.154683--0.151419))+0-339.9--0.173348999999966</f>
        <v>824.67919900000004</v>
      </c>
      <c r="O365" s="3">
        <f>1155.2+(298.5-314)+(0+(0-0))+0-340.5-0</f>
        <v>799.2</v>
      </c>
      <c r="P365" s="3">
        <f>1142.6+(355.3-319.2)+(-0.582726+(-0.181203--0.162792))+0-339.5--0.173144999999966</f>
        <v>838.77200799999969</v>
      </c>
      <c r="Q365" s="3">
        <f>1138.5+(434.6-325.2)+(2.32254+(0.886584-0.663408))+0-341.1-0.695843999999985</f>
        <v>908.64987200000019</v>
      </c>
      <c r="R365" s="3">
        <f>1136.7+(473.5-332.1)+(-2.318868+(-0.96594--0.677484))+0-341.3--0.696251999999985</f>
        <v>934.88892799999985</v>
      </c>
      <c r="S365" s="3">
        <f>1136.2+(465.4-319.4)+(-1.158924+(-0.474708--0.325788))+0-341--0.347820000000054</f>
        <v>940.23997600000018</v>
      </c>
      <c r="T365" s="3">
        <f>1138.8+(440.8-316.9)+(-2.323152+(-0.899232--0.646476))+0-341.7--0.697067999999985</f>
        <v>919.12115999999992</v>
      </c>
      <c r="U365" s="3">
        <f>1138.7+(388.9-309.5)+(-1.742211+(-0.595017--0.473535))+0-340.8--0.52142400000002</f>
        <v>875.95773099999997</v>
      </c>
      <c r="V365" s="3">
        <f>1137.2+(349.2-303.1)+(2.319888+(0.712368-0.618324))+0-340.1-0.693803999999985</f>
        <v>844.92012799999986</v>
      </c>
      <c r="W365" s="3">
        <f>1138.8+(336.2-305.4)+(-2.323152+(-0.685848--0.623016))+0-340.3--0.694211999999985</f>
        <v>827.60822799999994</v>
      </c>
      <c r="X365" s="3">
        <f>1141.4+(412.7-305.7)+(1.164228+(0.420954-0.311814))+0-340-0.346800000000054</f>
        <v>909.32656799999995</v>
      </c>
      <c r="Y365" s="3">
        <f>1145+(362.4-290.6)+(-1.75185+(-0.554472--0.444618))+0-340.4--0.52081200000002</f>
        <v>875.05910800000004</v>
      </c>
      <c r="Z365" s="3">
        <f>1147.2+(380.5-274.7)+(1.170144+(0.38811-0.280194))+0-340.6-0.347412000000054</f>
        <v>913.330648</v>
      </c>
      <c r="AA365" s="3">
        <f>1149+(341.7-275)+(1.17198+(0.348534-0.2805))+0-340.6-0.347412000000054</f>
        <v>875.99260199999992</v>
      </c>
      <c r="AB365" s="3">
        <f>1150.1+(380-262.5)+(-1.759653+(-0.5814--0.401625))+0-340.8--0.52142400000002</f>
        <v>925.38199600000007</v>
      </c>
      <c r="AC365" s="3">
        <f>1151.2+(359.1-239.4)+(-1.174224+(-0.366282--0.244188))+0-340--0.346800000000054</f>
        <v>929.95048200000019</v>
      </c>
      <c r="AD365" s="2">
        <v>808.89999999999986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877.15764000000001</v>
      </c>
      <c r="G366" s="1">
        <v>856.85261200000002</v>
      </c>
      <c r="H366" s="1">
        <v>851.59121300000027</v>
      </c>
      <c r="I366" s="1">
        <v>816.53421200000014</v>
      </c>
      <c r="J366" s="1">
        <v>810.18670399999996</v>
      </c>
      <c r="K366" s="1">
        <v>754.94104000000004</v>
      </c>
      <c r="L366" s="1">
        <v>733.10452000000009</v>
      </c>
      <c r="M366" s="1">
        <v>761.2</v>
      </c>
      <c r="N366" s="1">
        <v>781.19999999999993</v>
      </c>
      <c r="O366" s="1">
        <v>841.89999999999986</v>
      </c>
      <c r="P366" s="1">
        <v>861.5</v>
      </c>
      <c r="Q366" s="1">
        <v>902.13362399999994</v>
      </c>
      <c r="R366" s="1">
        <v>946.52752399999974</v>
      </c>
      <c r="S366" s="1">
        <v>953.85269199999982</v>
      </c>
      <c r="T366" s="1">
        <v>970.14623999999981</v>
      </c>
      <c r="U366" s="1">
        <v>892.54743499999995</v>
      </c>
      <c r="V366" s="1">
        <v>829.20760499999994</v>
      </c>
      <c r="W366" s="1">
        <v>818.12489400000004</v>
      </c>
      <c r="X366" s="1">
        <v>824.90488100000016</v>
      </c>
      <c r="Y366" s="1">
        <v>835.29978100000005</v>
      </c>
      <c r="Z366" s="1">
        <v>876.39103999999975</v>
      </c>
      <c r="AA366" s="1">
        <v>878.38619499999993</v>
      </c>
      <c r="AB366" s="1">
        <v>871.60404500000016</v>
      </c>
      <c r="AC366" s="1">
        <v>902.69713899999999</v>
      </c>
      <c r="AD366" s="1">
        <v>858.00000000000011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6"/>
  <sheetViews>
    <sheetView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1957.6+(143.7-274.5)+(-1.996752+(-0.146574--0.27999))+0-90.7--0.0925140000000145</f>
        <v>1734.329178</v>
      </c>
      <c r="G1" s="3">
        <f>1821.5+(144.7-315)+(-3.71586+(-0.295188--0.6426))+0-23.1--0.047123999999999</f>
        <v>1624.7786760000001</v>
      </c>
      <c r="H1" s="3">
        <f>1637.9+(144.7-186.8)+(-4.176645+(-0.368985--0.47634))+0-56.7--0.144584999999992</f>
        <v>1535.1752950000002</v>
      </c>
      <c r="I1" s="3">
        <f>1599.9+(144.8-164.4)+(-2.447847+(-0.221544--0.251532))+0-81.3--0.124389000000005</f>
        <v>1496.7065300000004</v>
      </c>
      <c r="J1" s="3">
        <f>1560+(144.6-140.9)+(-0.7956+(-0.073746--0.071859))+0-77.5--0.0395249999999921</f>
        <v>1485.4420379999999</v>
      </c>
      <c r="K1" s="3">
        <f>1519.3+(144.4-127)+(0+(0-0))+0-90.3-0</f>
        <v>1446.4</v>
      </c>
      <c r="L1" s="3">
        <f>1516.7+(144.1-134.2)+(-0.773517+(-0.073491--0.068442))+0-79.6--0.0405959999999919</f>
        <v>1446.2620300000003</v>
      </c>
      <c r="M1" s="3">
        <f>1602.4+(143.9-147.1)+(0+(0-0))+0-71.1-0</f>
        <v>1528.1000000000001</v>
      </c>
      <c r="N1" s="3">
        <f>1652+(142.4-138.7)+(-1.68504+(-0.145248--0.141474))+0-76.9--0.0784380000000123</f>
        <v>1577.1896239999999</v>
      </c>
      <c r="O1" s="3">
        <f>1670+(142-191.8)+(-2.5551+(-0.21726--0.293454))+0-78.5--0.120105000000005</f>
        <v>1539.341199</v>
      </c>
      <c r="P1" s="3">
        <f>1602.6+(142.1-218.6)+(-2.451978+(-0.217413--0.334458))+0-24.1--0.0368730000000014</f>
        <v>1499.7019399999999</v>
      </c>
      <c r="Q1" s="3">
        <f>1604.9+(142-185.9)+(-0.818499+(-0.07242--0.094809))+0-72.9--0.0371789999999926</f>
        <v>1487.3410689999998</v>
      </c>
      <c r="R1" s="3">
        <f>1606.8+(141.9-181.1)+(0+(0-0))+0-83.5-0</f>
        <v>1484.1</v>
      </c>
      <c r="S1" s="3">
        <f>1606.2+(142.3-192.6)+(0.819162+(0.072573-0.098226))+0-78-0.0397799999999921</f>
        <v>1478.6537290000001</v>
      </c>
      <c r="T1" s="3">
        <f>1695.8+(142.3-279.5)+(-4.32429+(-0.362865--0.712725))+0-85.8--0.218789999999988</f>
        <v>1469.0443599999999</v>
      </c>
      <c r="U1" s="3">
        <f>1721.6+(142.4-315.9)+(-2.634048+(-0.217872--0.483327))+0-72.6--0.111078000000004</f>
        <v>1473.242485</v>
      </c>
      <c r="V1" s="3">
        <f>1574.3+(144.2-158.4)+(-2.408679+(-0.220626--0.242352))+0-71.6--0.109548000000004</f>
        <v>1486.222595</v>
      </c>
      <c r="W1" s="3">
        <f>1539.7+(191.7-89.7)+(-1.570494+(-0.195534--0.091494))+0-89.8--0.0915960000000143</f>
        <v>1550.3170620000001</v>
      </c>
      <c r="X1" s="3">
        <f>1786.7+(164.8-98.3)+(-1.822434+(-0.168096--0.100266))+0-85.9--0.0876180000000137</f>
        <v>1765.4973540000001</v>
      </c>
      <c r="Y1" s="3">
        <f>1833.1+(154.4-95.4)+(-1.869762+(-0.157488--0.097308))+0-85--0.0867000000000136</f>
        <v>1805.256758</v>
      </c>
      <c r="Z1" s="3">
        <f>1802.8+(154-97.1)+(-2.758284+(-0.23562--0.148563))+0-72.5--0.110925000000004</f>
        <v>1784.465584</v>
      </c>
      <c r="AA1" s="3">
        <f>1797.1+(136.8-88.5)+(-2.749563+(-0.209304--0.135405))+0-87--0.133110000000005</f>
        <v>1755.7096479999998</v>
      </c>
      <c r="AB1" s="3">
        <f>1747.9+(145.5-85.5)+(-2.674287+(-0.222615--0.130815))+0-75.9--0.116127000000004</f>
        <v>1729.35004</v>
      </c>
      <c r="AC1" s="3">
        <f>1649.9+(154-79.6)+(-5.890143+(-0.54978--0.284172))+0-69.8--0.249186000000001</f>
        <v>1648.5934350000002</v>
      </c>
      <c r="AD1" s="2">
        <v>1803.3</v>
      </c>
      <c r="AE1" s="3">
        <f>1833+(174.1-100.5)+(0+(0-0))+0-103.3-0</f>
        <v>1803.3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1633.0467175000001</v>
      </c>
      <c r="G2" s="3">
        <f>1676+(146-124.5)+(0+(0-0))+0-80-0</f>
        <v>1617.5</v>
      </c>
      <c r="H2" s="3">
        <f>1563.4+(144-99.3)+(-2.392002+(-0.22032--0.151929))+0-81--0.123930000000005</f>
        <v>1524.763537</v>
      </c>
      <c r="I2" s="3">
        <f>1484.3+(144.3-77.1)+(-2.270979+(-0.220779--0.117963))+0-95.5--0.146115000000006</f>
        <v>1453.77232</v>
      </c>
      <c r="J2" s="3">
        <f>1484.9+(144.2-102.1)+(-2.271897+(-0.220626--0.156213))+0-82.5--0.126225000000005</f>
        <v>1442.2899150000001</v>
      </c>
      <c r="K2" s="3">
        <f>1507.2+(140.3-119.7)+(2.306016+(0.214659-0.183141))+0-88.6-0.135558000000005</f>
        <v>1441.4019760000001</v>
      </c>
      <c r="L2" s="3">
        <f>1485.4+(124.3-168.6)+(-2.272662+(-0.190179--0.257958))+0-45.7--0.0699210000000026</f>
        <v>1393.265038</v>
      </c>
      <c r="M2" s="3">
        <f>1496+(124.5-159.3)+(0.76296+(0.063495-0.081243))+0-89.2-0.0454919999999909</f>
        <v>1372.6997200000001</v>
      </c>
      <c r="N2" s="3">
        <f>1520.6+(140-177.7)+(0.775506+(0.0714-0.090627))+0-59.8-0.0304979999999939</f>
        <v>1423.8257809999998</v>
      </c>
      <c r="O2" s="3">
        <f>1584.3+(142.5-199.3)+(0.807993+(0.072675-0.101643))+0-24.2-0.0123419999999975</f>
        <v>1504.066683</v>
      </c>
      <c r="P2" s="3">
        <f>1711.2+(142.3-229.9)+(0+(0-0))+0-69.1-0</f>
        <v>1554.5000000000002</v>
      </c>
      <c r="Q2" s="3">
        <f>1724.6+(142.8-224.8)+(-1.759092+(-0.145656--0.229296))+0-83.2--0.0848640000000133</f>
        <v>1557.8094119999998</v>
      </c>
      <c r="R2" s="3">
        <f>1626.5+(142.3-174.8)+(0+(0-0))+0-31-0</f>
        <v>1563</v>
      </c>
      <c r="S2" s="3">
        <f>1554.9+(141.8-114.8)+(0+(0-0))+0-24.7-0</f>
        <v>1557.2</v>
      </c>
      <c r="T2" s="3">
        <f>1548.9+(157-79.9)+(-1.579878+(-0.16014--0.081498))+0-77.7--0.0792540000000124</f>
        <v>1546.720734</v>
      </c>
      <c r="U2" s="3">
        <f>1537.9+(158-79.5)+(-3.137316+(-0.32232--0.16218))+0-85.6--0.174623999999996</f>
        <v>1527.6771680000002</v>
      </c>
      <c r="V2" s="3">
        <f>1607.5+(143.2-131.7)+(1.63965+(0.146064-0.134334))+0-86.9-0.0886380000000139</f>
        <v>1533.662742</v>
      </c>
      <c r="W2" s="3">
        <f>1799.4+(141.6-280)+(-1.835388+(-0.144432--0.2856))+0-82.7--0.0843540000000132</f>
        <v>1576.6901339999999</v>
      </c>
      <c r="X2" s="3">
        <f>1836.3+(104.4-211.7)+(-1.873026+(-0.106488--0.215934))+0-74.2--0.0756840000000118</f>
        <v>1653.1121039999998</v>
      </c>
      <c r="Y2" s="3">
        <f>1979.4+(60.5-93)+(0+(0-0))+0-85.1-0</f>
        <v>1861.8000000000002</v>
      </c>
      <c r="Z2" s="3">
        <f>1985.1+(69.8-95.4)+(-3.037203+(-0.106794--0.145962))+0-88.3--0.135099000000005</f>
        <v>1868.3370640000001</v>
      </c>
      <c r="AA2" s="3">
        <f>1960.2+(78.3-93.1)+(-1.999404+(-0.079866--0.094962))+0-89.4--0.0911880000000143</f>
        <v>1854.10688</v>
      </c>
      <c r="AB2" s="3">
        <f>1732.6+(234.5-85.9)+(1.767252+(0.23919-0.087618))+0-80.1-0.0817020000000128</f>
        <v>1802.937122</v>
      </c>
      <c r="AC2" s="3">
        <f>1704.9+(233.5-80.1)+(-0.869499+(-0.119085--0.040851))+0-94.5--0.0481949999999904</f>
        <v>1762.9004620000003</v>
      </c>
      <c r="AD2" s="2">
        <v>1894.3</v>
      </c>
      <c r="AE2" s="3">
        <f>2019+(71.6-99.1)+(0+(0-0))+0-97.2-0</f>
        <v>1894.3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1683.7+(151.8-69.3)+(-2.576061+(-0.232254--0.106029))+0-86.3--0.132039000000005</f>
        <v>1677.3297530000002</v>
      </c>
      <c r="G3" s="3">
        <f>1654.9+(144.3-131.9)+(-0.843999+(-0.073593--0.067269))+0-84--0.0428399999999915</f>
        <v>1582.4925170000004</v>
      </c>
      <c r="H3" s="3">
        <f>1606.1+(144.1-156.1)+(-0.819111+(-0.073491--0.079611))+0-70.3--0.0358529999999929</f>
        <v>1523.022862</v>
      </c>
      <c r="I3" s="3">
        <f>1636.9+(144.7-202.7)+(3.339276+(0.295188-0.413508))+0-81.3-0.165851999999996</f>
        <v>1500.6551039999999</v>
      </c>
      <c r="J3" s="3">
        <f>1605+(144.5-184.7)+(0+(0-0))+0-76.5-0</f>
        <v>1488.3</v>
      </c>
      <c r="K3" s="3">
        <f>1596.6+(144.8-164.6)+(0.814266+(0.073848-0.083946))+0-86.9-0.0443189999999912</f>
        <v>1490.6598489999997</v>
      </c>
      <c r="L3" s="3">
        <f>1592.8+(144.9-211.5)+(0.812328+(0.073899-0.107865))+0-81.8-0.0417179999999917</f>
        <v>1445.1366440000002</v>
      </c>
      <c r="M3" s="3">
        <f>1565.1+(144.2-192.9)+(-3.192804+(-0.294168--0.393516))+0-92.3--0.188291999999996</f>
        <v>1421.1948359999999</v>
      </c>
      <c r="N3" s="3">
        <f>1581.1+(143-166.9)+(-0.806361+(-0.07293--0.085119))+0-77.4--0.0394739999999922</f>
        <v>1479.0453019999998</v>
      </c>
      <c r="O3" s="3">
        <f>1709.1+(143.7-216.8)+(0.871641+(0.073287-0.110568))+0-83.3-0.0424829999999915</f>
        <v>1553.4918770000002</v>
      </c>
      <c r="P3" s="3">
        <f>1779.2+(143.3-228.7)+(-0.907392+(-0.073083--0.116637))+0-82.1--0.0418709999999917</f>
        <v>1610.8780330000002</v>
      </c>
      <c r="Q3" s="3">
        <f>1788.3+(143.3-212)+(0+(0-0))+0-89.2-0</f>
        <v>1630.3999999999999</v>
      </c>
      <c r="R3" s="3">
        <f>1753.4+(143.5-181.9)+(-4.47117+(-0.365925--0.463845))+0-99.4--0.253469999999986</f>
        <v>1611.4802199999997</v>
      </c>
      <c r="S3" s="3">
        <f>1550.4+(214.2-86.5)+(1.581408+(0.218484-0.08823))+0-79-0.0805800000000126</f>
        <v>1600.731082</v>
      </c>
      <c r="T3" s="3">
        <f>1436.5+(308.3-83.2)+(-1.46523+(-0.314466--0.084864))+0-77.8--0.0793560000000124</f>
        <v>1582.184524</v>
      </c>
      <c r="U3" s="3">
        <f>1437.1+(306.1-82.3)+(-2.931684+(-0.624444--0.167892))+0-89.2--0.181967999999996</f>
        <v>1568.4937319999999</v>
      </c>
      <c r="V3" s="3">
        <f>1469.8+(252.5-84)+(0+(0-0))+0-76.4-0</f>
        <v>1561.8999999999999</v>
      </c>
      <c r="W3" s="3">
        <f>1528.8+(209.5-87.4)+(0.779688+(0.106845-0.044574))+0-68.1-0.0347309999999931</f>
        <v>1583.6072280000001</v>
      </c>
      <c r="X3" s="3">
        <f>1705.3+(159.7-92)+(-2.609109+(-0.244341--0.14076))+0-93.2--0.142596000000005</f>
        <v>1677.2299059999998</v>
      </c>
      <c r="Y3" s="3">
        <f>1872.9+(198.5-98.7)+(0+(0-0))+0-79.7-0</f>
        <v>1893</v>
      </c>
      <c r="Z3" s="3">
        <f>1905.5+(181.2-99.1)+(-5.83083+(-0.554472--0.303246))+0-79.3--0.242658000000009</f>
        <v>1902.4606020000001</v>
      </c>
      <c r="AA3" s="3">
        <f>1868+(188.3-91.4)+(-0.95268+(-0.096033--0.046614))+0-82.4--0.0420239999999916</f>
        <v>1881.539925</v>
      </c>
      <c r="AB3" s="3">
        <f>1865.9+(147.6-85.2)+(-1.903218+(-0.150552--0.086904))+0-84.7--0.0863940000000135</f>
        <v>1841.7195280000001</v>
      </c>
      <c r="AC3" s="3">
        <f>1886.9+(144.5-175.8)+(-2.886957+(-0.221085--0.268974))+0-50.3--0.0769590000000029</f>
        <v>1802.5378910000002</v>
      </c>
      <c r="AD3" s="2">
        <v>1921.8999999999999</v>
      </c>
      <c r="AE3" s="3">
        <f>1939+(174.1-99.8)+(0+(0-0))+0-91.4-0</f>
        <v>1921.8999999999999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1751.6+(143.9-160.4)+(-1.786632+(-0.146778--0.163608))+0-27.7--0.0282540000000044</f>
        <v>1705.6584519999999</v>
      </c>
      <c r="G4" s="3">
        <f>1596.7+(163-58)+(-2.442951+(-0.24939--0.08874))+0-97.5--0.149175000000006</f>
        <v>1601.745574</v>
      </c>
      <c r="H4" s="3">
        <f>1508.7+(173.8-55.1)+(-0.769437+(-0.088638--0.028101))+0-89.6--0.0456959999999909</f>
        <v>1537.0157220000001</v>
      </c>
      <c r="I4" s="3">
        <f>1508.9+(144.1-57)+(0+(0-0))+0-87.9-0</f>
        <v>1508.1</v>
      </c>
      <c r="J4" s="3">
        <f>1475.1+(163.3-56)+(-2.256903+(-0.249849--0.08568))+0-80.8--0.123624000000005</f>
        <v>1499.3025519999999</v>
      </c>
      <c r="K4" s="3">
        <f>1487.6+(170.7-78.2)+(-0.758676+(-0.087057--0.039882))+0-81.6--0.0416159999999917</f>
        <v>1497.7357649999999</v>
      </c>
      <c r="L4" s="3">
        <f>1576+(114.1-168.5)+(-3.21504+(-0.232764--0.34374))+0-69.3--0.141371999999997</f>
        <v>1449.3373079999999</v>
      </c>
      <c r="M4" s="3">
        <f>1507+(144.7-132.8)+(-4.61142+(-0.442782--0.406368))+0-81.9--0.25061400000001</f>
        <v>1432.6027799999999</v>
      </c>
      <c r="N4" s="3">
        <f>1482.8+(177.6-88.5)+(1.512456+(0.181152-0.09027))+0-86.5-0.0882300000000138</f>
        <v>1486.9151079999997</v>
      </c>
      <c r="O4" s="3">
        <f>1476.8+(195-91.2)+(0.753168+(0.09945-0.046512))+0-32.5-0.0165749999999967</f>
        <v>1548.8895309999998</v>
      </c>
      <c r="P4" s="3">
        <f>1580.5+(151.4-91.8)+(1.61211+(0.154428-0.093636))+0-41.2-0.0420240000000066</f>
        <v>1600.5308779999998</v>
      </c>
      <c r="Q4" s="3">
        <f>1719.5+(142.7-143.6)+(0+(0-0))+0-88-0</f>
        <v>1630.6</v>
      </c>
      <c r="R4" s="3">
        <f>1766.1+(142.7-186.6)+(-4.503555+(-0.363885--0.47583))+0-86.7--0.221084999999987</f>
        <v>1631.3294749999998</v>
      </c>
      <c r="S4" s="3">
        <f>1772.9+(142.9-202.9)+(-3.616716+(-0.291516--0.413916))+0-86.1--0.175643999999996</f>
        <v>1623.4813280000001</v>
      </c>
      <c r="T4" s="3">
        <f>1788.2+(144.4-238.3)+(-1.823964+(-0.147288--0.243066))+0-64.1--0.0653820000000102</f>
        <v>1628.537196</v>
      </c>
      <c r="U4" s="3">
        <f>1784.7+(144.3-219)+(-2.730591+(-0.220779--0.33507))+0-83.5--0.127755000000005</f>
        <v>1624.0114550000001</v>
      </c>
      <c r="V4" s="3">
        <f>1796.7+(145.1-254.1)+(0.916317+(0.074001-0.129591))+0-53.7-0.0273869999999946</f>
        <v>1634.8333399999999</v>
      </c>
      <c r="W4" s="3">
        <f>1753.9+(146.1-219.4)+(3.577956+(0.298044-0.447576))+0-22.7-0.046307999999999</f>
        <v>1661.2821160000001</v>
      </c>
      <c r="X4" s="3">
        <f>1794.3+(127.3-158.4)+(-0.915093+(-0.064923--0.080784))+0-22.2--0.0113219999999977</f>
        <v>1740.1120900000001</v>
      </c>
      <c r="Y4" s="3">
        <f>1943.7+(129-97.4)+(0+(0-0))+0-64.9-0</f>
        <v>1910.3999999999999</v>
      </c>
      <c r="Z4" s="3">
        <f>2017.7+(94.4-108.9)+(-5.145135+(-0.24072--0.277695))+0-66.3--0.16906499999999</f>
        <v>1931.9609050000001</v>
      </c>
      <c r="AA4" s="3">
        <f>1929.7+(163.1-90.9)+(-3.936588+(-0.332724--0.185436))+0-75.2--0.153407999999997</f>
        <v>1922.769532</v>
      </c>
      <c r="AB4" s="3">
        <f>1952.8+(142.7-124.7)+(0+(0-0))+0-78-0</f>
        <v>1892.8</v>
      </c>
      <c r="AC4" s="3">
        <f>1956.5+(142.7-176.5)+(0.997815+(0.072777-0.090015))+0-82.2-0.0419219999999917</f>
        <v>1841.4386550000002</v>
      </c>
      <c r="AD4" s="2">
        <v>1947.6</v>
      </c>
      <c r="AE4" s="3">
        <f>2044+(113.7-100.7)+(0+(0-0))+0-109.4-0</f>
        <v>1947.6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1818.7+(143.2-126.4)+(-4.637685+(-0.36516--0.32232))+0-90.1--0.229754999999987</f>
        <v>1740.9492300000002</v>
      </c>
      <c r="G5" s="3">
        <f>1658.4+(144.6-75.3)+(-3.383136+(-0.294984--0.153612))+0-89.5--0.182579999999996</f>
        <v>1634.858072</v>
      </c>
      <c r="H5" s="3">
        <f>1688+(144.7-168.9)+(0.86088+(0.073797-0.086139))+0-84.6-0.0431459999999914</f>
        <v>1580.005392</v>
      </c>
      <c r="I5" s="3">
        <f>1675.5+(144.9-182.6)+(-5.12703+(-0.443394--0.558756))+0-82.9--0.25367400000001</f>
        <v>1550.1420059999998</v>
      </c>
      <c r="J5" s="3">
        <f>1585.9+(145.1-116.6)+(-1.617618+(-0.148002--0.118932))+0-72.9--0.0743580000000116</f>
        <v>1539.92767</v>
      </c>
      <c r="K5" s="3">
        <f>1595.3+(145.5-110.1)+(1.627206+(0.14841-0.112302))+0-81.5-0.083130000000013</f>
        <v>1550.780184</v>
      </c>
      <c r="L5" s="3">
        <f>1720.4+(145.2-261)+(-2.632212+(-0.222156--0.39933))+0-72.9--0.111537000000004</f>
        <v>1529.356499</v>
      </c>
      <c r="M5" s="3">
        <f>1780.7+(145.2-275.9)+(-0.908157+(-0.074052--0.140709))+0-99--0.05048999999999</f>
        <v>1550.2089900000001</v>
      </c>
      <c r="N5" s="3">
        <f>1838.8+(144.8-277.5)+(0.937788+(0.073848-0.141525))+0-59.4-0.030293999999994</f>
        <v>1647.5398169999999</v>
      </c>
      <c r="O5" s="3">
        <f>1986.5+(144.3-298.8)+(1.013115+(0.073593-0.152388))+0-83.3-0.0424829999999915</f>
        <v>1749.5918370000002</v>
      </c>
      <c r="P5" s="3">
        <f>2015.9+(144.9-244.3)+(0+(0-0))+0-84.9-0</f>
        <v>1831.6</v>
      </c>
      <c r="Q5" s="3">
        <f>2054.4+(143-263.2)+(1.047744+(0.07293-0.134232))+0-85-0.0433499999999914</f>
        <v>1850.143092</v>
      </c>
      <c r="R5" s="3">
        <f>2046+(144.8-270.4)+(-4.17384+(-0.295392--0.551616))+0-63.8--0.130151999999997</f>
        <v>1852.8125360000001</v>
      </c>
      <c r="S5" s="3">
        <f>2021.9+(144.7-255.9)+(-3.093507+(-0.221391--0.391527))+0-81.4--0.124542000000005</f>
        <v>1826.5011709999999</v>
      </c>
      <c r="T5" s="3">
        <f>1958.7+(144.1-243.6)+(-0.998937+(-0.073491--0.124236))+0-69.9--0.0356489999999929</f>
        <v>1788.3874569999998</v>
      </c>
      <c r="U5" s="3">
        <f>1873.9+(144.6-180)+(-4.778445+(-0.36873--0.459))+0-73.8--0.188189999999989</f>
        <v>1760.2000150000001</v>
      </c>
      <c r="V5" s="3">
        <f>1775.3+(159.6-86.9)+(0+(0-0))+0-95.5-0</f>
        <v>1752.5</v>
      </c>
      <c r="W5" s="3">
        <f>1769.9+(167-91.3)+(0.902649+(0.08517-0.046563))+0-85.4-0.0435539999999913</f>
        <v>1761.097702</v>
      </c>
      <c r="X5" s="3">
        <f>1816.1+(155.7-94.9)+(0+(0-0))+0-46.8-0</f>
        <v>1830.1</v>
      </c>
      <c r="Y5" s="3">
        <f>2091.5+(144.2-122.1)+(2.13333+(0.147084-0.124542))+0-83.9-0.0855780000000134</f>
        <v>2031.7702939999997</v>
      </c>
      <c r="Z5" s="3">
        <f>2101.8+(144.4-123.7)+(-2.143836+(-0.147288--0.126174))+0-77--0.0785400000000123</f>
        <v>2043.4135900000001</v>
      </c>
      <c r="AA5" s="3">
        <f>2102.2+(144-153.6)+(-3.216366+(-0.22032--0.235008))+0-76.1--0.116433000000004</f>
        <v>2013.414755</v>
      </c>
      <c r="AB5" s="3">
        <f>1987.3+(156.3-86.8)+(1.013523+(0.079713-0.044268))+0-93-0.0474299999999906</f>
        <v>1964.8015380000002</v>
      </c>
      <c r="AC5" s="3">
        <f>1896.2+(182.5-67.5)+(-3.868248+(-0.3723--0.1377))+0-87--0.177479999999996</f>
        <v>1920.2746320000001</v>
      </c>
      <c r="AD5" s="2">
        <v>2056.2000000000003</v>
      </c>
      <c r="AE5" s="3">
        <f>2120+(144.5-111.1)+(0+(0-0))+0-97.2-0</f>
        <v>2056.2000000000003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1908.1+(144.7-142.9)+(-2.919393+(-0.221391--0.218637))+0-79.3--0.121329000000005</f>
        <v>1827.799182</v>
      </c>
      <c r="G6" s="3">
        <f>1812.3+(144.7-160.5)+(-4.621365+(-0.368985--0.409275))+0-68.5--0.17467499999999</f>
        <v>1723.5935999999999</v>
      </c>
      <c r="H6" s="3">
        <f>1718.3+(144.7-113)+(-2.628999+(-0.221391--0.17289))+0-86.1--0.131733000000005</f>
        <v>1661.354233</v>
      </c>
      <c r="I6" s="3">
        <f>1725+(144.9-144.4)+(0+(0-0))+0-91.6-0</f>
        <v>1633.9</v>
      </c>
      <c r="J6" s="3">
        <f>1724+(144.8-168.1)+(0+(0-0))+0-85.1-0</f>
        <v>1615.6000000000001</v>
      </c>
      <c r="K6" s="3">
        <f>1730.7+(144.9-175.9)+(0.882657+(0.073899-0.089709))+0-82.9-0.0422789999999916</f>
        <v>1617.624568</v>
      </c>
      <c r="L6" s="3">
        <f>1783.9+(144.7-254.8)+(-0.909789+(-0.073797--0.129948))+0-81.9--0.0417689999999917</f>
        <v>1591.088131</v>
      </c>
      <c r="M6" s="3">
        <f>1906.4+(144.3-341.8)+(0+(0-0))+0-85.5-0</f>
        <v>1623.4</v>
      </c>
      <c r="N6" s="3">
        <f>1968.1+(143.7-317.7)+(0+(0-0))+0-87.6-0</f>
        <v>1706.5</v>
      </c>
      <c r="O6" s="3">
        <f>2010.4+(143.4-297.2)+(4.101216+(0.292536-0.606288))+0-78.2-0.159527999999997</f>
        <v>1782.0279360000002</v>
      </c>
      <c r="P6" s="3">
        <f>2051.1+(143.1-287.1)+(2.092122+(0.145962-0.292842))+0-66.3-0.0676260000000106</f>
        <v>1842.6776159999999</v>
      </c>
      <c r="Q6" s="3">
        <f>2019.3+(142.5-220.6)+(-4.119372+(-0.2907--0.450024))+0-83.1--0.169523999999996</f>
        <v>1854.3094760000001</v>
      </c>
      <c r="R6" s="3">
        <f>2031+(141.9-244)+(-2.07162+(-0.144738--0.24888))+0-76.4--0.0779280000000122</f>
        <v>1850.6104499999999</v>
      </c>
      <c r="S6" s="3">
        <f>2008.3+(143.8-237.2)+(-4.096932+(-0.293352--0.483888))+0-78.5--0.160139999999997</f>
        <v>1832.653744</v>
      </c>
      <c r="T6" s="3">
        <f>1970.3+(144.7-231)+(1.004853+(0.073797-0.11781))+0-79.1-0.040340999999992</f>
        <v>1805.8204990000002</v>
      </c>
      <c r="U6" s="3">
        <f>1929.3+(144.4-262.3)+(-2.951829+(-0.220932--0.401319))+0-19.4--0.0296820000000011</f>
        <v>1789.2582399999999</v>
      </c>
      <c r="V6" s="3">
        <f>1923.5+(144.4-263.2)+(-1.96197+(-0.147288--0.268464))+0-20.4--0.0208080000000033</f>
        <v>1782.480014</v>
      </c>
      <c r="W6" s="3">
        <f>1894.4+(144-226.4)+(-6.763008+(-0.51408--0.808248))+0-22.1--0.0788970000000003</f>
        <v>1783.5100570000002</v>
      </c>
      <c r="X6" s="3">
        <f>1935.8+(144.7-191)+(-0.987258+(-0.073797--0.09741))+0-22--0.0112199999999978</f>
        <v>1866.5475750000001</v>
      </c>
      <c r="Y6" s="3">
        <f>2297.7+(144.6-308.6)+(2.343654+(0.147492-0.314772))+0-63.5-0.0647700000000101</f>
        <v>2072.311604</v>
      </c>
      <c r="Z6" s="3">
        <f>2316.1+(145.2-280.5)+(-3.543633+(-0.222156--0.429165))+0-92.5--0.141525000000005</f>
        <v>2085.1049009999997</v>
      </c>
      <c r="AA6" s="3">
        <f>2262.2+(144.9-284.1)+(-2.307444+(-0.147798--0.289782))+0-81.8--0.083436000000013</f>
        <v>2039.117976</v>
      </c>
      <c r="AB6" s="3">
        <f>2200.2+(144.9-267.2)+(-1.122102+(-0.073899--0.136272))+0-83.3--0.0424829999999915</f>
        <v>1993.5827539999996</v>
      </c>
      <c r="AC6" s="3">
        <f>2182.7+(144.2-279.2)+(0+(0-0))+0-99.6-0</f>
        <v>1948.1</v>
      </c>
      <c r="AD6" s="2">
        <v>2089.7000000000003</v>
      </c>
      <c r="AE6" s="3">
        <f>2315+(144.8-274.4)+(0+(0-0))+0-95.7-0</f>
        <v>2089.7000000000003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1865.9+(143.9-83.2)+(-1.903218+(-0.146778--0.084864))+0-90.9--0.0927180000000145</f>
        <v>1833.8275860000001</v>
      </c>
      <c r="G7" s="3">
        <f>1603.3+(251.8-52.5)+(-1.635366+(-0.256836--0.05355))+0-87.5--0.089250000000014</f>
        <v>1713.350598</v>
      </c>
      <c r="H7" s="3">
        <f>1612.6+(169.9-48.9)+(-1.644852+(-0.173298--0.049878))+0-72.9--0.0743580000000116</f>
        <v>1659.0060859999999</v>
      </c>
      <c r="I7" s="3">
        <f>1625.1+(144.5-57.3)+(0.828801+(0.073695-0.029223))+0-85.1-0.0434009999999914</f>
        <v>1628.0298720000001</v>
      </c>
      <c r="J7" s="3">
        <f>1605.9+(144.5-65.2)+(-1.638018+(-0.14739--0.066504))+0-60.5--0.0617100000000096</f>
        <v>1623.0428059999999</v>
      </c>
      <c r="K7" s="3">
        <f>1638.6+(166.1-77.7)+(4.17843+(0.423555-0.198135))+0-90.2-0.230009999999987</f>
        <v>1640.9738399999999</v>
      </c>
      <c r="L7" s="3">
        <f>1650.3+(144.1-120.2)+(0.841653+(0.073491-0.061302))+0-87.6-0.0446759999999911</f>
        <v>1587.4091660000001</v>
      </c>
      <c r="M7" s="3">
        <f>1753.1+(142.8-185.1)+(0+(0-0))+0-79.4-0</f>
        <v>1631.3999999999999</v>
      </c>
      <c r="N7" s="3">
        <f>1904.6+(142.6-240.6)+(-2.914038+(-0.218178--0.368118))+0-71.3--0.109089000000004</f>
        <v>1732.6449909999999</v>
      </c>
      <c r="O7" s="3">
        <f>1926.5+(143.5-163.8)+(-1.96503+(-0.14637--0.167076))+0-86.9--0.0886380000000139</f>
        <v>1817.4443139999998</v>
      </c>
      <c r="P7" s="3">
        <f>1939.1+(142.8-106.6)+(1.977882+(0.145656-0.108732))+0-94-0.095880000000015</f>
        <v>1883.2189259999998</v>
      </c>
      <c r="Q7" s="3">
        <f>1912.4+(172.8-87.7)+(-3.901296+(-0.352512--0.178908))+0-87.6--0.178703999999996</f>
        <v>1906.0038039999999</v>
      </c>
      <c r="R7" s="3">
        <f>1917.9+(143-66.2)+(-2.934387+(-0.21879--0.101286))+0-86.2--0.131886000000005</f>
        <v>1905.5799949999998</v>
      </c>
      <c r="S7" s="3">
        <f>1844.2+(175.6-86.7)+(-3.762168+(-0.358224--0.176868))+0-68.3--0.139331999999997</f>
        <v>1860.9958080000001</v>
      </c>
      <c r="T7" s="3">
        <f>1709.3+(273.4-85)+(-3.486972+(-0.557736--0.1734))+0-73.6--0.150143999999997</f>
        <v>1820.3788359999999</v>
      </c>
      <c r="U7" s="3">
        <f>1724+(230-83.7)+(0+(0-0))+0-67.9-0</f>
        <v>1802.3999999999999</v>
      </c>
      <c r="V7" s="3">
        <f>1714.7+(246.8-82)+(-2.623491+(-0.377604--0.12546))+0-81.4--0.124542000000005</f>
        <v>1795.3489069999998</v>
      </c>
      <c r="W7" s="3">
        <f>1756.5+(219.2-88.5)+(1.79163+(0.223584-0.09027))+0-77.3-0.0788460000000123</f>
        <v>1811.7460980000001</v>
      </c>
      <c r="X7" s="3">
        <f>1937.3+(147.5-90.8)+(-4.940115+(-0.376125--0.23154))+0-93--0.237149999999987</f>
        <v>1896.1524499999998</v>
      </c>
      <c r="Y7" s="3">
        <f>2135.7+(97.6-99.8)+(1.089207+(0.049776-0.050898))+0-84.8-0.0432479999999914</f>
        <v>2049.7448369999997</v>
      </c>
      <c r="Z7" s="3">
        <f>2135.9+(118.5-92)+(-2.178618+(-0.12087--0.09384))+0-81.7--0.083334000000013</f>
        <v>2078.5776860000001</v>
      </c>
      <c r="AA7" s="3">
        <f>2114.9+(100.2-88.5)+(-5.392995+(-0.25551--0.225675))+0-89--0.226949999999987</f>
        <v>2032.4041199999999</v>
      </c>
      <c r="AB7" s="3">
        <f>1980.9+(160.6-75.3)+(-5.051295+(-0.40953--0.192015))+0-68.3--0.17416499999999</f>
        <v>1992.8053550000002</v>
      </c>
      <c r="AC7" s="3">
        <f>1928.2+(161-60.5)+(1.966764+(0.16422-0.06171))+0-84.1-0.0857820000000134</f>
        <v>1946.583492</v>
      </c>
      <c r="AD7" s="2">
        <v>2095.9</v>
      </c>
      <c r="AE7" s="3">
        <f>2161+(134.4-94.8)+(0+(0-0))+0-104.7-0</f>
        <v>2095.9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1911.6+(143.7-108.3)+(-3.899664+(-0.293148--0.220932))+0-86.7--0.176867999999996</f>
        <v>1856.5049879999999</v>
      </c>
      <c r="G8" s="3">
        <f>1853.8+(143.5-158.1)+(-3.781752+(-0.29274--0.322524))+0-68.8--0.140351999999997</f>
        <v>1766.788384</v>
      </c>
      <c r="H8" s="3">
        <f>1871.9+(143.5-229.4)+(3.818676+(0.29274-0.467976))+0-82.5-0.168299999999996</f>
        <v>1706.97514</v>
      </c>
      <c r="I8" s="3">
        <f>1875.4+(143.5-247)+(1.912908+(0.14637-0.25194))+0-92.6-0.0944520000000148</f>
        <v>1681.0128860000002</v>
      </c>
      <c r="J8" s="3">
        <f>1762.7+(143.3-162.6)+(-4.494885+(-0.365415--0.41463))+0-82.5--0.210374999999988</f>
        <v>1656.6647049999999</v>
      </c>
      <c r="K8" s="3">
        <f>1776.8+(143.1-166.9)+(-1.812336+(-0.145962--0.170238))+0-81.2--0.082824000000013</f>
        <v>1670.0947639999999</v>
      </c>
      <c r="L8" s="3">
        <f>1771+(144.3-253)+(4.51605+(0.367965-0.64515))+0-31.5-0.0803249999999954</f>
        <v>1634.9585400000001</v>
      </c>
      <c r="M8" s="3">
        <f>1806+(144.5-257.7)+(-2.76318+(-0.221085--0.394281))+0-23.6--0.0361080000000014</f>
        <v>1666.6461240000001</v>
      </c>
      <c r="N8" s="3">
        <f>2039.8+(142.7-399.8)+(2.080596+(0.145554-0.407796))+0-20.8-0.0212160000000033</f>
        <v>1763.6971379999998</v>
      </c>
      <c r="O8" s="3">
        <f>2167.7+(142.1-437.2)+(2.211054+(0.144942-0.445944))+0-18.5-0.018870000000003</f>
        <v>1855.9911819999998</v>
      </c>
      <c r="P8" s="3">
        <f>2215.4+(142.2-418.7)+(2.259708+(0.145044-0.427074))+0-20.2-0.0206040000000032</f>
        <v>1920.657074</v>
      </c>
      <c r="Q8" s="3">
        <f>2228.9+(141.6-408)+(1.136739+(0.072216-0.20808))+0-20.1-0.010250999999998</f>
        <v>1943.3906240000001</v>
      </c>
      <c r="R8" s="3">
        <f>2223.5+(142.1-404.3)+(0+(0-0))+0-20.3-0</f>
        <v>1941</v>
      </c>
      <c r="S8" s="3">
        <f>2225.8+(141.2-451.5)+(-4.540632+(-0.288048--0.92106))+0-20.8--0.0424319999999991</f>
        <v>1890.8348120000003</v>
      </c>
      <c r="T8" s="3">
        <f>2250.6+(141.9-514.1)+(-3.443418+(-0.217107--0.786573))+0-20.1--0.0307530000000012</f>
        <v>1855.456801</v>
      </c>
      <c r="U8" s="3">
        <f>2245.2+(141.5-515.2)+(-2.290104+(-0.14433--0.525504))+0-27.7--0.0282540000000044</f>
        <v>1841.9193239999997</v>
      </c>
      <c r="V8" s="3">
        <f>2235.7+(142.8-508.3)+(-3.420621+(-0.218484--0.777699))+0-31.9--0.0488070000000018</f>
        <v>1835.4874009999996</v>
      </c>
      <c r="W8" s="3">
        <f>2247.8+(139.3-452)+(-2.292756+(-0.142086--0.46104))+0-83.1--0.0847620000000132</f>
        <v>1850.1109600000002</v>
      </c>
      <c r="X8" s="3">
        <f>2273.4+(118.5-393.2)+(1.159434+(0.060435-0.200532))+0-78.5-0.040034999999992</f>
        <v>1921.179302</v>
      </c>
      <c r="Y8" s="3">
        <f>2325.1+(38.1-223.6)+(2.371602+(0.038862-0.228072))+0-53.6-0.0546720000000085</f>
        <v>2088.12772</v>
      </c>
      <c r="Z8" s="3">
        <f>2389.9+(25.6-218.6)+(-3.656547+(-0.039168--0.334458))+0-89.9--0.137547000000005</f>
        <v>2103.7762899999998</v>
      </c>
      <c r="AA8" s="3">
        <f>2349.3+(68.8-311.9)+(-1.198143+(-0.035088--0.159069))+0-31.6--0.0161159999999968</f>
        <v>2073.5419540000003</v>
      </c>
      <c r="AB8" s="3">
        <f>2319.5+(130.2-358.9)+(0+(0-0))+0-67.3-0</f>
        <v>2023.5000000000002</v>
      </c>
      <c r="AC8" s="3">
        <f>2285+(144.5-346.5)+(-1.16535+(-0.073695--0.176715))+0-97.2--0.0495719999999901</f>
        <v>1984.7872419999997</v>
      </c>
      <c r="AD8" s="2">
        <v>2121.9999999999995</v>
      </c>
      <c r="AE8" s="3">
        <f>2392+(32.2-205.4)+(0+(0-0))+0-96.8-0</f>
        <v>2122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2195.3+(142.5-409.5)+(-2.239206+(-0.14535--0.41769))+0-42.2--0.0430440000000067</f>
        <v>1884.1761780000002</v>
      </c>
      <c r="G9" s="3">
        <f>2087.6+(142.3-356.8)+(-3.194028+(-0.217719--0.545904))+0-87.5--0.133875000000005</f>
        <v>1782.8680319999999</v>
      </c>
      <c r="H9" s="3">
        <f>1971+(143-301)+(-1.00521+(-0.07293--0.15351))+0-92.9--0.0473789999999906</f>
        <v>1719.222749</v>
      </c>
      <c r="I9" s="3">
        <f>1911.3+(143.3-283.8)+(-1.949526+(-0.146166--0.289476))+0-75.1--0.076602000000012</f>
        <v>1693.9703860000002</v>
      </c>
      <c r="J9" s="3">
        <f>1860.7+(143.1-238.3)+(-1.897914+(-0.145962--0.243066))+0-79.8--0.0813960000000127</f>
        <v>1683.9805860000001</v>
      </c>
      <c r="K9" s="3">
        <f>1834+(142.5-224.9)+(0.93534+(0.072675-0.114699))+0-70.8-0.0361079999999928</f>
        <v>1681.6572079999999</v>
      </c>
      <c r="L9" s="3">
        <f>1831.6+(130.5-242.9)+(1.868232+(0.13311-0.247758))+0-76.3-0.0778260000000122</f>
        <v>1644.575758</v>
      </c>
      <c r="M9" s="3">
        <f>1904.2+(144-273.3)+(-0.971142+(-0.07344--0.139383))+0-97--0.0494699999999902</f>
        <v>1677.044271</v>
      </c>
      <c r="N9" s="3">
        <f>2146.7+(143.3-472.3)+(-1.094817+(-0.073083--0.240873))+0-44.2--0.0225419999999955</f>
        <v>1772.5955149999998</v>
      </c>
      <c r="O9" s="3">
        <f>2160.5+(142.4-353.1)+(-1.101855+(-0.072624--0.180081))+0-84.9--0.0432989999999914</f>
        <v>1863.9489009999998</v>
      </c>
      <c r="P9" s="3">
        <f>2196.2+(144.1-322.2)+(0+(0-0))+0-81.7-0</f>
        <v>1936.3999999999999</v>
      </c>
      <c r="Q9" s="3">
        <f>2254.3+(142.9-336.6)+(2.299386+(0.145758-0.343332))+0-88.4-0.0901680000000141</f>
        <v>1974.2116440000002</v>
      </c>
      <c r="R9" s="3">
        <f>2247.4+(145-342.2)+(0+(0-0))+0-84.5-0</f>
        <v>1965.7000000000003</v>
      </c>
      <c r="S9" s="3">
        <f>2173+(144.5-311.6)+(-5.54115+(-0.368475--0.79458))+0-77.5--0.197624999999989</f>
        <v>1923.4825800000001</v>
      </c>
      <c r="T9" s="3">
        <f>2167.2+(142.1-344.7)+(-2.210544+(-0.144942--0.351594))+0-75.6--0.077112000000012</f>
        <v>1887.07322</v>
      </c>
      <c r="U9" s="3">
        <f>2084.8+(141.9-278.4)+(-3.189744+(-0.217107--0.425952))+0-79.3--0.121329000000005</f>
        <v>1866.1404300000004</v>
      </c>
      <c r="V9" s="3">
        <f>2075.8+(142.4-270.2)+(0+(0-0))+0-85.1-0</f>
        <v>1862.9000000000003</v>
      </c>
      <c r="W9" s="3">
        <f>2106.4+(142-267.1)+(5.37132+(0.3621-0.681105))+0-93.5-0.238424999999986</f>
        <v>1892.6138900000001</v>
      </c>
      <c r="X9" s="3">
        <f>2152.8+(112-233)+(4.391712+(0.22848-0.47532))+0-64.7-0.131987999999997</f>
        <v>1971.1128840000001</v>
      </c>
      <c r="Y9" s="3">
        <f>2315.9+(35.3-200.8)+(2.362218+(0.036006-0.204816))+0-50.8-0.0518160000000081</f>
        <v>2101.7415919999999</v>
      </c>
      <c r="Z9" s="3">
        <f>2316.3+(34.1-229.6)+(1.181313+(0.017391-0.117096))+0-33.8-0.0172379999999966</f>
        <v>2088.0643700000001</v>
      </c>
      <c r="AA9" s="3">
        <f>2318.8+(92.9-273.2)+(0+(0-0))+0-80.5-0</f>
        <v>2058</v>
      </c>
      <c r="AB9" s="3">
        <f>2305.9+(140.5-354.9)+(-3.528027+(-0.214965--0.542997))+0-81.1--0.124083000000005</f>
        <v>2007.3240880000001</v>
      </c>
      <c r="AC9" s="3">
        <f>2317.3+(145.2-391.2)+(-1.181823+(-0.074052--0.199512))+0-97.2--0.0495719999999901</f>
        <v>1973.0932089999999</v>
      </c>
      <c r="AD9" s="2">
        <v>2074.8000000000002</v>
      </c>
      <c r="AE9" s="3">
        <f>2321+(22.3-244.4)+(0+(0-0))+0-24.1-0</f>
        <v>2074.8000000000002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2306+(145.2-487.5)+(-3.52818+(-0.222156--0.745875))+0-67--0.102510000000004</f>
        <v>1893.798049</v>
      </c>
      <c r="G10" s="3">
        <f>1964.6+(145.2-232.2)+(0+(0-0))+0-91.6-0</f>
        <v>1786</v>
      </c>
      <c r="H10" s="3">
        <f>1832.8+(143.4-189.1)+(-2.804184+(-0.219402--0.289323))+0-76.5--0.117045000000004</f>
        <v>1707.9827819999998</v>
      </c>
      <c r="I10" s="3">
        <f>1846+(143.5-215.8)+(-2.82438+(-0.219555--0.330174))+0-90.6--0.138618000000005</f>
        <v>1680.5248570000001</v>
      </c>
      <c r="J10" s="3">
        <f>1793+(143.7-173)+(-2.74329+(-0.219861--0.26469))+0-86.5--0.132345000000005</f>
        <v>1674.6338840000001</v>
      </c>
      <c r="K10" s="3">
        <f>1703.8+(143.9-88.4)+(0+(0-0))+0-89.7-0</f>
        <v>1669.6</v>
      </c>
      <c r="L10" s="3">
        <f>1736.9+(143.3-154.2)+(0+(0-0))+0-85.9-0</f>
        <v>1640.1</v>
      </c>
      <c r="M10" s="3">
        <f>1766.5+(143.5-157.9)+(-0.900915+(-0.073185--0.080529))+0-73.1--0.0372809999999926</f>
        <v>1678.1437099999998</v>
      </c>
      <c r="N10" s="3">
        <f>2187.2+(142.6-493)+(0+(0-0))+0-48.3-0</f>
        <v>1788.4999999999998</v>
      </c>
      <c r="O10" s="3">
        <f>2228.3+(142.3-421.8)+(-2.272866+(-0.145146--0.430236))+0-72.4--0.0738480000000115</f>
        <v>1874.4860720000001</v>
      </c>
      <c r="P10" s="3">
        <f>2228.2+(142.1-336)+(-1.136382+(-0.072471--0.17136))+0-88.1--0.0449309999999911</f>
        <v>1945.2074379999997</v>
      </c>
      <c r="Q10" s="3">
        <f>2228.2+(143-306.5)+(-2.272764+(-0.14586--0.31263))+0-88.9--0.0906780000000142</f>
        <v>1973.7846839999997</v>
      </c>
      <c r="R10" s="3">
        <f>2233.8+(142.9-317.9)+(-1.139238+(-0.072879--0.162129))+0-87.8--0.0447779999999911</f>
        <v>1969.99479</v>
      </c>
      <c r="S10" s="3">
        <f>2197.4+(142.2-320.7)+(-4.482696+(-0.290088--0.654228))+0-81.8--0.166871999999996</f>
        <v>1933.1483160000002</v>
      </c>
      <c r="T10" s="3">
        <f>2175.2+(142.2-331.3)+(1.109352+(0.072522-0.168963))+0-83.6-0.0426359999999915</f>
        <v>1903.4702750000001</v>
      </c>
      <c r="U10" s="3">
        <f>2154.4+(142.7-339.7)+(-2.197488+(-0.145554--0.346494))+0-96.5--0.0984300000000154</f>
        <v>1859.001882</v>
      </c>
      <c r="V10" s="3">
        <f>2222.4+(143-435.1)+(-1.133424+(-0.07293--0.221901))+0-73.8--0.0376379999999925</f>
        <v>1855.5531850000002</v>
      </c>
      <c r="W10" s="3">
        <f>2215.3+(131.5-377.8)+(-3.389409+(-0.201195--0.578034))+0-79.7--0.121941000000005</f>
        <v>1886.4093710000002</v>
      </c>
      <c r="X10" s="3">
        <f>2217.2+(101.5-315)+(-2.261544+(-0.10353--0.3213))+0-89.8--0.0915960000000143</f>
        <v>1911.9478219999999</v>
      </c>
      <c r="Y10" s="3">
        <f>2305.8+(15.7-177.6)+(2.351916+(0.016014-0.181152))+0-82-0.0836400000000131</f>
        <v>2064.003138</v>
      </c>
      <c r="Z10" s="3">
        <f>2353.8+(14.7-206.1)+(-7.202628+(-0.044982--0.630666))+0-81.1--0.248166000000009</f>
        <v>2074.9312220000002</v>
      </c>
      <c r="AA10" s="3">
        <f>2305.4+(65-255.6)+(0+(0-0))+0-74.7-0</f>
        <v>2040.1000000000001</v>
      </c>
      <c r="AB10" s="3">
        <f>2303.9+(132.8-363.1)+(-1.174989+(-0.067728--0.185181))+0-83--0.0423299999999916</f>
        <v>1989.5847940000001</v>
      </c>
      <c r="AC10" s="3">
        <f>2290.8+(143.9-395.6)+(-4.673232+(-0.293556--0.807024))+0-88.3--0.180131999999996</f>
        <v>1946.8203680000001</v>
      </c>
      <c r="AD10" s="2">
        <v>2103.7999999999997</v>
      </c>
      <c r="AE10" s="3">
        <f>2385+(5.9-194.3)+(0+(0-0))+0-92.8-0</f>
        <v>2103.7999999999997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2192.4+(144.2-388.6)+(-2.236248+(-0.147084--0.396372))+0-93.5--0.0953700000000149</f>
        <v>1852.60841</v>
      </c>
      <c r="G11" s="3">
        <f>2170.6+(142.4-465.1)+(-3.321018+(-0.217872--0.711603))+0-87.8--0.134334000000005</f>
        <v>1757.4070469999999</v>
      </c>
      <c r="H11" s="3">
        <f>1947.2+(143.1-322.5)+(-2.979216+(-0.218943--0.493425))+0-89--0.136170000000005</f>
        <v>1676.231436</v>
      </c>
      <c r="I11" s="3">
        <f>1898.7+(144.5-314.7)+(-0.968337+(-0.073695--0.160497))+0-86.1--0.0439109999999913</f>
        <v>1641.5623760000001</v>
      </c>
      <c r="J11" s="3">
        <f>1903.2+(143.3-327.5)+(1.941264+(0.146166-0.33405))+0-89.5-0.0912900000000143</f>
        <v>1631.16209</v>
      </c>
      <c r="K11" s="3">
        <f>1901.5+(142.5-332.2)+(0+(0-0))+0-82.9-0</f>
        <v>1628.8999999999999</v>
      </c>
      <c r="L11" s="3">
        <f>1891.2+(143-402.5)+(-3.858048+(-0.29172--0.8211))+0-61.3--0.125051999999997</f>
        <v>1567.1963840000001</v>
      </c>
      <c r="M11" s="3">
        <f>1926+(143.8-413.6)+(-0.98226+(-0.073338--0.210936))+0-88.2--0.0449819999999911</f>
        <v>1567.2003199999999</v>
      </c>
      <c r="N11" s="3">
        <f>2006.7+(143-457.8)+(-2.046834+(-0.14586--0.466956))+0-62.8--0.06405600000001</f>
        <v>1627.438318</v>
      </c>
      <c r="O11" s="3">
        <f>2180.7+(142.9-533.1)+(-1.112157+(-0.072879--0.271881))+0-83.3--0.0424829999999915</f>
        <v>1706.3293279999998</v>
      </c>
      <c r="P11" s="3">
        <f>2234.8+(142.3-529.8)+(-2.279496+(-0.145146--0.540396))+0-78.5--0.0800700000000125</f>
        <v>1766.9958240000001</v>
      </c>
      <c r="Q11" s="3">
        <f>2249.9+(142.6-503.3)+(-3.442347+(-0.218178--0.770049))+0-92.2--0.141066000000005</f>
        <v>1794.2505899999999</v>
      </c>
      <c r="R11" s="3">
        <f>2192.6+(142.8-451.6)+(-2.236452+(-0.145656--0.460632))+0-88.8--0.0905760000000142</f>
        <v>1793.1691000000001</v>
      </c>
      <c r="S11" s="3">
        <f>2044+(143-328.9)+(-3.12732+(-0.21879--0.503217))+0-88.3--0.135099000000005</f>
        <v>1767.092206</v>
      </c>
      <c r="T11" s="3">
        <f>1918.1+(143.2-228.3)+(-2.934693+(-0.219096--0.349299))+0-89--0.136170000000005</f>
        <v>1741.33168</v>
      </c>
      <c r="U11" s="3">
        <f>2102.1+(143.7-423.2)+(-3.216213+(-0.219861--0.647496))+0-83.9--0.128367000000005</f>
        <v>1736.0397889999999</v>
      </c>
      <c r="V11" s="3">
        <f>2169.2+(144.3-501.2)+(-6.637752+(-0.441558--1.533672))+0-67.1--0.205326000000008</f>
        <v>1739.8596879999998</v>
      </c>
      <c r="W11" s="3">
        <f>2177+(144-524)+(-2.22054+(-0.14688--0.53448))+0-25.7--0.0262140000000041</f>
        <v>1769.4932739999999</v>
      </c>
      <c r="X11" s="3">
        <f>2224+(119.9-401.3)+(1.13424+(0.061149-0.204663))+0-91.6-0.0467159999999907</f>
        <v>1851.9440099999999</v>
      </c>
      <c r="Y11" s="3">
        <f>2257.2+(25.7-184)+(0+(0-0))+0-96.1-0</f>
        <v>2002.7999999999997</v>
      </c>
      <c r="Z11" s="3">
        <f>2240.9+(32.6-171.6)+(-4.571436+(-0.066504--0.350064))+0-86.9--0.177275999999996</f>
        <v>2010.8894</v>
      </c>
      <c r="AA11" s="3">
        <f>2251.3+(84.2-250.4)+(-2.296326+(-0.085884--0.255408))+0-86--0.0877200000000137</f>
        <v>1997.0609180000001</v>
      </c>
      <c r="AB11" s="3">
        <f>2251.7+(139.1-330.7)+(-1.148367+(-0.070941--0.168657))+0-85.9--0.0438089999999913</f>
        <v>1973.1931579999998</v>
      </c>
      <c r="AC11" s="3">
        <f>2248.3+(142.4-411.5)+(-3.439899+(-0.217872--0.629595))+0-76.9--0.117657000000004</f>
        <v>1899.3894810000002</v>
      </c>
      <c r="AD11" s="2">
        <v>2010.8000000000002</v>
      </c>
      <c r="AE11" s="3">
        <f>2257+(31-178.2)+(0+(0-0))+0-99-0</f>
        <v>2010.8000000000002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2083+(142.1-384.6)+(-3.18699+(-0.217413--0.588438))+0-52.5--0.080325000000003</f>
        <v>1785.2643599999999</v>
      </c>
      <c r="G12" s="3">
        <f>2039.6+(141.7-457.6)+(-2.080392+(-0.144534--0.466752))+0-24.8--0.025296000000004</f>
        <v>1697.1671219999998</v>
      </c>
      <c r="H12" s="3">
        <f>2039+(141.7-511)+(2.07978+(0.144534-0.52122))+0-28.3-0.0288660000000045</f>
        <v>1643.0742279999999</v>
      </c>
      <c r="I12" s="3">
        <f>1914.2+(142.3-424.7)+(2.928726+(0.217719-0.649791))+0-23.9-0.0365670000000014</f>
        <v>1610.360087</v>
      </c>
      <c r="J12" s="3">
        <f>1871.2+(142.1-349.8)+(0.954312+(0.072471-0.178398))+0-76.2-0.0388619999999923</f>
        <v>1588.1095230000001</v>
      </c>
      <c r="K12" s="3">
        <f>1878.9+(142-334.9)+(2.874717+(0.21726-0.512397))+0-87.7-0.134181000000005</f>
        <v>1600.7453990000001</v>
      </c>
      <c r="L12" s="3">
        <f>1837.5+(144.5-356)+(-2.811375+(-0.221085--0.54468))+0-86.7--0.132651000000005</f>
        <v>1536.9448709999999</v>
      </c>
      <c r="M12" s="3">
        <f>1620.8+(143.7-194.5)+(-1.653216+(-0.146574--0.19839))+0-51.5--0.0525300000000082</f>
        <v>1516.9511299999999</v>
      </c>
      <c r="N12" s="3">
        <f>1890.5+(142.9-380.8)+(-0.964155+(-0.072879--0.194208))+0-80.2--0.0409019999999919</f>
        <v>1571.5980759999998</v>
      </c>
      <c r="O12" s="3">
        <f>2021.3+(144.5-439.8)+(2.061726+(0.14739-0.448596))+0-70.2-0.0716040000000112</f>
        <v>1657.488916</v>
      </c>
      <c r="P12" s="3">
        <f>2009.7+(143-356.3)+(3.074841+(0.21879-0.545139))+0-88.8-0.135864000000005</f>
        <v>1710.212628</v>
      </c>
      <c r="Q12" s="3">
        <f>1960.1+(142.5-283.4)+(-0.999651+(-0.072675--0.144534))+0-72.7--0.0370769999999926</f>
        <v>1745.6092849999998</v>
      </c>
      <c r="R12" s="3">
        <f>1963.7+(142.9-294)+(-2.002974+(-0.145758--0.29988))+0-68.9--0.070278000000011</f>
        <v>1741.9214259999999</v>
      </c>
      <c r="S12" s="3">
        <f>1901.8+(143.5-254.9)+(0+(0-0))+0-87.2-0</f>
        <v>1703.1999999999998</v>
      </c>
      <c r="T12" s="3">
        <f>1869.8+(144-254.3)+(0.953598+(0.07344-0.129693))+0-82.9-0.0422789999999916</f>
        <v>1677.455066</v>
      </c>
      <c r="U12" s="3">
        <f>1869.3+(144-291.9)+(-0.953343+(-0.07344--0.148869))+0-68.3--0.0348329999999931</f>
        <v>1652.2569190000002</v>
      </c>
      <c r="V12" s="3">
        <f>1894.9+(144-312.9)+(2.899197+(0.22032-0.478737))+0-82.5-0.126225000000005</f>
        <v>1646.014555</v>
      </c>
      <c r="W12" s="3">
        <f>1873.7+(143.2-276.8)+(-1.911174+(-0.146064--0.282336))+0-90.2--0.0920040000000144</f>
        <v>1648.2171019999998</v>
      </c>
      <c r="X12" s="3">
        <f>1959.2+(139.3-297.3)+(-0.999192+(-0.071043--0.151623))+0-91.7--0.0467669999999907</f>
        <v>1708.6281550000001</v>
      </c>
      <c r="Y12" s="3">
        <f>2251.4+(105.8-323.4)+(2.296428+(0.107916-0.329868))+0-90.2-0.0920040000000144</f>
        <v>1945.5824720000001</v>
      </c>
      <c r="Z12" s="3">
        <f>2300.4+(87.7-313.8)+(1.173204+(0.044727-0.160038))+0-91.9-0.0468689999999907</f>
        <v>1983.4110240000002</v>
      </c>
      <c r="AA12" s="3">
        <f>2302.9+(123.3-379.9)+(1.174479+(0.062883-0.193749))+0-92.8-0.0473279999999906</f>
        <v>1954.4962850000004</v>
      </c>
      <c r="AB12" s="3">
        <f>2292.8+(142.8-430.2)+(-2.338656+(-0.145656--0.438804))+0-89.3--0.0910860000000142</f>
        <v>1914.1455780000001</v>
      </c>
      <c r="AC12" s="3">
        <f>2253.5+(142.6-472.2)+(-1.149285+(-0.072726--0.240822))+0-66.2--0.0337619999999933</f>
        <v>1856.752573</v>
      </c>
      <c r="AD12" s="2">
        <v>1971.7999999999997</v>
      </c>
      <c r="AE12" s="3">
        <f>2302+(84.7-314.5)+(0+(0-0))+0-100.4-0</f>
        <v>1971.7999999999997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2071+(142.7-371.8)+(-1.05621+(-0.072777--0.189618))+0-79.5--0.0405449999999919</f>
        <v>1761.5011760000002</v>
      </c>
      <c r="G13" s="3">
        <f>1797.4+(142.8-208.8)+(-1.833348+(-0.145656--0.212976))+0-85.3--0.0870060000000136</f>
        <v>1644.4209780000001</v>
      </c>
      <c r="H13" s="3">
        <f>1722.3+(143.2-190.2)+(-1.756746+(-0.146064--0.194004))+0-90.9--0.0927180000000145</f>
        <v>1582.7839119999999</v>
      </c>
      <c r="I13" s="3">
        <f>1709.3+(143.1-220.9)+(0+(0-0))+0-73.2-0</f>
        <v>1558.3</v>
      </c>
      <c r="J13" s="3">
        <f>1718.3+(143.2-218.9)+(0.876333+(0.073032-0.111639))+0-92.4-0.0471239999999906</f>
        <v>1550.9906019999999</v>
      </c>
      <c r="K13" s="3">
        <f>1706.9+(143.1-223)+(1.741038+(0.145962-0.22746))+0-84.5-0.0861900000000135</f>
        <v>1544.0733500000001</v>
      </c>
      <c r="L13" s="3">
        <f>1635.8+(142.9-217.4)+(0+(0-0))+0-79.8-0</f>
        <v>1481.5</v>
      </c>
      <c r="M13" s="3">
        <f>1626.9+(142-201.5)+(-0.829719+(-0.07242--0.102765))+0-94.3--0.0480929999999904</f>
        <v>1472.3487190000001</v>
      </c>
      <c r="N13" s="3">
        <f>1654.7+(142.5-202.3)+(1.687794+(0.14535-0.206346))+0-98.5-0.100470000000016</f>
        <v>1497.926328</v>
      </c>
      <c r="O13" s="3">
        <f>1702.8+(143.1-260.6)+(-0.868428+(-0.072981--0.132906))+0-88--0.0448799999999911</f>
        <v>1496.5363769999999</v>
      </c>
      <c r="P13" s="3">
        <f>1663.2+(142.6-249.4)+(-4.24116+(-0.36363--0.63597))+0-74.6--0.190229999999989</f>
        <v>1478.0214100000001</v>
      </c>
      <c r="Q13" s="3">
        <f>1666.3+(143.8-300.8)+(-0.849813+(-0.073338--0.153408))+0-39.8--0.020297999999996</f>
        <v>1468.7505549999998</v>
      </c>
      <c r="R13" s="3">
        <f>1616.1+(144-235.7)+(0+(0-0))+0-66.8-0</f>
        <v>1457.6</v>
      </c>
      <c r="S13" s="3">
        <f>1538.5+(144.2-152.8)+(0+(0-0))+0-89.2-0</f>
        <v>1440.7</v>
      </c>
      <c r="T13" s="3">
        <f>1526.5+(144.9-156.8)+(-1.55703+(-0.147798--0.159936))+0-82.1--0.0837420000000131</f>
        <v>1431.0388500000001</v>
      </c>
      <c r="U13" s="3">
        <f>1532.7+(143.9-148.1)+(-0.781677+(-0.073389--0.075531))+0-85.6--0.0436559999999913</f>
        <v>1442.1641210000003</v>
      </c>
      <c r="V13" s="3">
        <f>1616.9+(143.3-220.5)+(0.824619+(0.073083-0.112455))+0-73.9-0.0376889999999925</f>
        <v>1466.547558</v>
      </c>
      <c r="W13" s="3">
        <f>1655.2+(144-208.8)+(-0.844152+(-0.07344--0.106488))+0-96--0.0489599999999903</f>
        <v>1493.6378560000003</v>
      </c>
      <c r="X13" s="3">
        <f>1657.1+(142.1-141.4)+(-1.690242+(-0.144942--0.144228))+0-86.8--0.0885360000000138</f>
        <v>1569.3975800000001</v>
      </c>
      <c r="Y13" s="3">
        <f>1822.8+(154.6-90.3)+(0.929628+(0.078846-0.046053))+0-74.1-0.0377909999999925</f>
        <v>1813.92463</v>
      </c>
      <c r="Z13" s="3">
        <f>1946.3+(135.6-86.4)+(-1.985226+(-0.138312--0.088128))+0-88--0.089760000000014</f>
        <v>1905.5543500000001</v>
      </c>
      <c r="AA13" s="3">
        <f>1976.6+(122.2-113.2)+(-1.008066+(-0.062322--0.057732))+0-79--0.040289999999992</f>
        <v>1905.6276339999997</v>
      </c>
      <c r="AB13" s="3">
        <f>1980.1+(143.6-175.8)+(-2.019702+(-0.146472--0.179316))+0-90.4--0.0922080000000144</f>
        <v>1855.6053499999998</v>
      </c>
      <c r="AC13" s="3">
        <f>1986.7+(143.8-260.1)+(-1.013217+(-0.073338--0.132651))+0-77.6--0.0395759999999921</f>
        <v>1791.8856720000001</v>
      </c>
      <c r="AD13" s="2">
        <v>1905.7999999999997</v>
      </c>
      <c r="AE13" s="3">
        <f>1914+(176.2-88)+(0+(0-0))+0-96.4-0</f>
        <v>1905.8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1969.2+(143.9-354.2)+(-2.008584+(-0.146778--0.361284))+0-69--0.070380000000011</f>
        <v>1688.1763020000003</v>
      </c>
      <c r="G14" s="3">
        <f>1873.5+(143.1-339.2)+(-1.91097+(-0.145962--0.345984))+0-70--0.0714000000000112</f>
        <v>1605.7604520000002</v>
      </c>
      <c r="H14" s="3">
        <f>1732.2+(143.7-213.2)+(-1.766844+(-0.146574--0.217464))+0-98.4--0.100368000000016</f>
        <v>1562.704414</v>
      </c>
      <c r="I14" s="3">
        <f>1711.7+(144.2-221.7)+(-1.745934+(-0.147084--0.226134))+0-87.4--0.0891480000000139</f>
        <v>1545.222264</v>
      </c>
      <c r="J14" s="3">
        <f>1656.1+(144.1-167)+(-1.689222+(-0.146982--0.17034))+0-87.6--0.089352000000014</f>
        <v>1544.0234879999998</v>
      </c>
      <c r="K14" s="3">
        <f>1648.4+(143.7-148.4)+(0.840684+(0.073287-0.075684))+0-89.2-0.0454919999999909</f>
        <v>1555.2927950000001</v>
      </c>
      <c r="L14" s="3">
        <f>1632.1+(142.9-151.6)+(0+(0-0))+0-85.8-0</f>
        <v>1537.6</v>
      </c>
      <c r="M14" s="3">
        <f>1662.4+(142.8-118.2)+(0.847824+(0.072828-0.060282))+0-74.3-0.0378929999999925</f>
        <v>1613.5224770000002</v>
      </c>
      <c r="N14" s="3">
        <f>1897.4+(141.6-194.4)+(-0.967674+(-0.072216--0.099144))+0-87.8--0.0447779999999911</f>
        <v>1755.9040320000001</v>
      </c>
      <c r="O14" s="3">
        <f>1912.1+(140.5-113.6)+(0+(0-0))+0-83-0</f>
        <v>1856</v>
      </c>
      <c r="P14" s="3">
        <f>1981.4+(139.6-103.9)+(0+(0-0))+0-78.4-0</f>
        <v>1938.7</v>
      </c>
      <c r="Q14" s="3">
        <f>2056.4+(139-152)+(-1.048764+(-0.07089--0.07752))+0-57--0.0290699999999942</f>
        <v>1985.3869360000001</v>
      </c>
      <c r="R14" s="3">
        <f>2047.1+(140.3-126.3)+(-2.088042+(-0.143106--0.128826))+0-75.1--0.076602000000012</f>
        <v>1983.9742799999999</v>
      </c>
      <c r="S14" s="3">
        <f>2043.4+(139.8-172.7)+(-4.168536+(-0.285192--0.352308))+0-75.2--0.153407999999997</f>
        <v>1931.3519879999999</v>
      </c>
      <c r="T14" s="3">
        <f>2055.9+(139.7-233.3)+(-3.145527+(-0.213741--0.356949))+0-77.7--0.118881000000004</f>
        <v>1881.7165620000003</v>
      </c>
      <c r="U14" s="3">
        <f>2029.4+(140.6-203.3)+(-2.069988+(-0.143412--0.207366))+0-91.2--0.0930240000000145</f>
        <v>1873.58699</v>
      </c>
      <c r="V14" s="3">
        <f>2034.8+(141.6-227.1)+(0+(0-0))+0-81-0</f>
        <v>1868.3</v>
      </c>
      <c r="W14" s="3">
        <f>1970.9+(142.9-165.2)+(-1.005159+(-0.072879--0.084252))+0-70.3--0.0358529999999929</f>
        <v>1877.3420670000003</v>
      </c>
      <c r="X14" s="3">
        <f>2012+(131.9-153.5)+(-1.02612+(-0.067269--0.078285))+0-90.7--0.0462569999999908</f>
        <v>1898.7311529999999</v>
      </c>
      <c r="Y14" s="3">
        <f>2170.3+(108.4-95.8)+(1.106853+(0.055284-0.048858))+0-82.3-0.0419729999999916</f>
        <v>2101.6713060000002</v>
      </c>
      <c r="Z14" s="3">
        <f>2393.2+(0-135.3)+(-7.323192+(0--0.414018))+0-91.9--0.281214000000011</f>
        <v>2159.3720399999997</v>
      </c>
      <c r="AA14" s="3">
        <f>2356.5+(51.6-199.2)+(-3.605445+(-0.078948--0.304776))+0-81.8--0.125154000000005</f>
        <v>2123.8455369999997</v>
      </c>
      <c r="AB14" s="3">
        <f>2162.4+(130.6-157.1)+(-1.102824+(-0.066606--0.080121))+0-87.3--0.0445229999999911</f>
        <v>2047.5552140000002</v>
      </c>
      <c r="AC14" s="3">
        <f>1990.8+(144.2-105)+(-3.045924+(-0.220626--0.16065))+0-84.5--0.129285000000005</f>
        <v>1942.523385</v>
      </c>
      <c r="AD14" s="2">
        <v>2173</v>
      </c>
      <c r="AE14" s="3">
        <f>2420+(0-136.5)+(0+(0-0))+0-110.5-0</f>
        <v>2173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1870.7+(144.6-110.6)+(-3.816228+(-0.294984--0.225624))+0-81.1--0.165443999999996</f>
        <v>1819.879856</v>
      </c>
      <c r="G15" s="3">
        <f>1769.5+(144.4-100.3)+(-4.512225+(-0.36822--0.255765))+0-76.9--0.196094999999989</f>
        <v>1732.2714149999999</v>
      </c>
      <c r="H15" s="3">
        <f>1695.2+(143.7-67.2)+(-4.32276+(-0.366435--0.17136))+0-84.9--0.216494999999988</f>
        <v>1682.4986599999997</v>
      </c>
      <c r="I15" s="3">
        <f>1708.7+(142.7-98.3)+(-1.742874+(-0.145554--0.100266))+0-87.2--0.0889440000000139</f>
        <v>1664.2007820000001</v>
      </c>
      <c r="J15" s="3">
        <f>1741.9+(142.3-146.3)+(0.888369+(0.072573-0.074613))+0-79.3-0.040442999999992</f>
        <v>1659.445886</v>
      </c>
      <c r="K15" s="3">
        <f>1749.9+(142.8-144.9)+(-0.892449+(-0.072828--0.073899))+0-76.7--0.0391169999999922</f>
        <v>1670.2477390000001</v>
      </c>
      <c r="L15" s="3">
        <f>1781.2+(142.8-189.7)+(0.908412+(0.072828-0.096747))+0-69.7-0.0355469999999929</f>
        <v>1665.4489460000002</v>
      </c>
      <c r="M15" s="3">
        <f>1832.6+(142.2-220.6)+(-0.934626+(-0.072522--0.112506))+0-18.6--0.00948599999999811</f>
        <v>1734.7148439999999</v>
      </c>
      <c r="N15" s="3">
        <f>2086.5+(137.3-329.4)+(0+(0-0))+0-12.3-0</f>
        <v>1882.1000000000001</v>
      </c>
      <c r="O15" s="3">
        <f>2172.1+(131.4-339.7)+(-2.215542+(-0.134028--0.346494))+0-10.9--0.0111180000000017</f>
        <v>1950.9080419999998</v>
      </c>
      <c r="P15" s="3">
        <f>2159+(119.8-250.3)+(-1.10109+(-0.061098--0.127653))+0-9.2--0.00469199999999907</f>
        <v>2018.2701569999999</v>
      </c>
      <c r="Q15" s="3">
        <f>2142.7+(130.3-234.7)+(-5.463885+(-0.332265--0.598485))+0-9.1--0.0232049999999987</f>
        <v>2024.0255399999999</v>
      </c>
      <c r="R15" s="3">
        <f>2127+(15-165.5)+(-2.16954+(-0.0153--0.16881))+0-15--0.0153000000000024</f>
        <v>1959.49927</v>
      </c>
      <c r="S15" s="3">
        <f>2109+(110-232.6)+(-5.37795+(-0.2805--0.59313))+0-15--0.0382499999999978</f>
        <v>1966.3729300000002</v>
      </c>
      <c r="T15" s="3">
        <f>2059+(96-200)+(-5.25045+(-0.2448--0.51))+0-38--0.0968999999999945</f>
        <v>1912.1116500000001</v>
      </c>
      <c r="U15" s="3">
        <f>2032+(127-140)+(-2.07264+(-0.12954--0.1428))+0-76--0.0775200000000121</f>
        <v>1941.0181400000001</v>
      </c>
      <c r="V15" s="3">
        <f>2032+(130-169)+(-4.14528+(-0.2652--0.34476))+0-70--0.142799999999997</f>
        <v>1919.07708</v>
      </c>
      <c r="W15" s="3">
        <f>2047+(113-172)+(-1.04397+(-0.05763--0.08772))+0-69--0.035189999999993</f>
        <v>1918.0213100000001</v>
      </c>
      <c r="X15" s="3">
        <f>2144+(108-203.5)+(0+(0-0))+0-82-0</f>
        <v>1966.5</v>
      </c>
      <c r="Y15" s="3">
        <f>2372+(31-105.2)+(1.20972+(0.01581-0.053652))+0-96-0.0489599999999903</f>
        <v>2202.9229180000002</v>
      </c>
      <c r="Z15" s="3">
        <f>2387+(22-108.3)+(2.43474+(0.02244-0.110466))+0-94-0.095880000000015</f>
        <v>2208.9508339999998</v>
      </c>
      <c r="AA15" s="3">
        <f>2364+(39-164)+(-3.61692+(-0.05967--0.25092))+0-86--0.131580000000005</f>
        <v>2149.7059100000001</v>
      </c>
      <c r="AB15" s="3">
        <f>2383+(109-341.5)+(0+(0-0))+0-83-0</f>
        <v>2067.5</v>
      </c>
      <c r="AC15" s="3">
        <f>2352+(100-384.3)+(-2.39904+(-0.102--0.391986))+0-71--0.0724200000000113</f>
        <v>1994.6633659999998</v>
      </c>
      <c r="AD15" s="2">
        <v>2182.9</v>
      </c>
      <c r="AE15" s="3">
        <f>2378+(19-116.6)+(0+(0-0))+0-97.5-0</f>
        <v>2182.9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2205+(123.1-365.8)+(0+(0-0))+0-83.1-0</f>
        <v>1879.2</v>
      </c>
      <c r="G16" s="3">
        <f>2193+(127.4-457.9)+(0+(0-0))+0-72.3-0</f>
        <v>1790.2</v>
      </c>
      <c r="H16" s="3">
        <f>2118+(137.4-436.5)+(0+(0-0))+0-72.3-0</f>
        <v>1746.6000000000001</v>
      </c>
      <c r="I16" s="3">
        <f>2082+(132.8-399.2)+(0+(0-0))+0-75-0</f>
        <v>1740.6</v>
      </c>
      <c r="J16" s="3">
        <f>2023+(125.6-307.6)+(0+(0-0))+0-94.3-0</f>
        <v>1746.7</v>
      </c>
      <c r="K16" s="3">
        <f>1960+(113.7-263.8)+(0+(0-0))+0-89.3-0</f>
        <v>1720.6000000000001</v>
      </c>
      <c r="L16" s="3">
        <f>2105.7+(77.5-405)+(1.073907+(0.039525-0.20655))+0-86.5-0.0441149999999912</f>
        <v>1692.5627669999999</v>
      </c>
      <c r="M16" s="3">
        <f>2194.4+(17.4-343.9)+(3.357432+(0.026622-0.526167))+0-86.2-0.131886000000005</f>
        <v>1784.426001</v>
      </c>
      <c r="N16" s="3">
        <f>2283.5+(48.6-379.7)+(-2.32917+(-0.049572--0.387294))+0-57.7--0.0588540000000092</f>
        <v>1892.7674060000002</v>
      </c>
      <c r="O16" s="3">
        <f>2351.4+(79.2-383)+(-2.398428+(-0.080784--0.39066))+0-83.9--0.0855780000000134</f>
        <v>1961.6970260000001</v>
      </c>
      <c r="P16" s="3">
        <f>2331.7+(121.9-322.5)+(-3.567501+(-0.186507--0.493425))+0-87--0.133110000000005</f>
        <v>2040.9725269999997</v>
      </c>
      <c r="Q16" s="3">
        <f>2338.4+(138.5-326.3)+(0+(0-0))+0-84.9-0</f>
        <v>2065.6999999999998</v>
      </c>
      <c r="R16" s="3">
        <f>2325.3+(137.8-318.4)+(-7.115418+(-0.421668--0.974304))+0-69.8--0.213588000000008</f>
        <v>2068.5508060000002</v>
      </c>
      <c r="S16" s="3">
        <f>2237.2+(137.6-267.3)+(1.140972+(0.070176-0.136323))+0-70.3-0.0358529999999929</f>
        <v>2038.2389720000001</v>
      </c>
      <c r="T16" s="3">
        <f>2235.5+(139.5-291.9)+(-2.28021+(-0.14229--0.297738))+0-82.9--0.0845580000000132</f>
        <v>1998.1597959999999</v>
      </c>
      <c r="U16" s="3">
        <f>2171.5+(139.7-264.5)+(-1.107465+(-0.071247--0.134895))+0-85.1--0.0434009999999914</f>
        <v>1960.599584</v>
      </c>
      <c r="V16" s="3">
        <f>2170.4+(140.3-275.7)+(-2.213808+(-0.143106--0.281214))+0-82.9--0.0845580000000132</f>
        <v>1950.1088579999998</v>
      </c>
      <c r="W16" s="3">
        <f>2220.2+(140.6-314.7)+(0+(0-0))+0-87.1-0</f>
        <v>1959</v>
      </c>
      <c r="X16" s="3">
        <f>2273+(130-310.3)+(-1.15923+(-0.0663--0.158253))+0-71.6--0.0365159999999927</f>
        <v>2020.0692389999997</v>
      </c>
      <c r="Y16" s="3">
        <f>2364.4+(75-177.7)+(1.205844+(0.03825-0.090627))+0-82.9-0.0422789999999916</f>
        <v>2179.9111880000005</v>
      </c>
      <c r="Z16" s="3">
        <f>2562.4+(66.2-319.1)+(-3.920472+(-0.101286--0.488223))+0-84.8--0.129744000000005</f>
        <v>2221.2962089999996</v>
      </c>
      <c r="AA16" s="3">
        <f>2559.7+(108-395.6)+(-7.832682+(-0.33048--1.210536))+0-83.6--0.25581600000001</f>
        <v>2181.8031900000001</v>
      </c>
      <c r="AB16" s="3">
        <f>2482.2+(140.5-445.1)+(-6.32961+(-0.358275--1.135005))+0-76.7--0.195584999999989</f>
        <v>2095.5427049999998</v>
      </c>
      <c r="AC16" s="3">
        <f>2283.4+(140.1-334.8)+(-4.658136+(-0.285804--0.682992))+0-79.3--0.161771999999997</f>
        <v>2005.3008240000001</v>
      </c>
      <c r="AD16" s="2">
        <v>2218</v>
      </c>
      <c r="AE16" s="3">
        <f>2565+(56.5-306.7)+(0+(0-0))+0-96.8-0</f>
        <v>2218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2190.5+(139.1-361.1)+(-1.117155+(-0.070941--0.184161))+0-84.6--0.0431459999999914</f>
        <v>1882.9392110000001</v>
      </c>
      <c r="G17" s="3">
        <f>2037.2+(139.2-289.3)+(-3.116916+(-0.212976--0.442629))+0-85.9--0.131427000000005</f>
        <v>1798.4441639999998</v>
      </c>
      <c r="H17" s="3">
        <f>2034.7+(139.2-345)+(2.075394+(0.141984-0.3519))+0-69.1-0.070482000000011</f>
        <v>1761.594996</v>
      </c>
      <c r="I17" s="3">
        <f>2036.3+(139.9-348.8)+(2.077026+(0.142698-0.355776))+0-84.6-0.0862920000000135</f>
        <v>1744.5776559999999</v>
      </c>
      <c r="J17" s="3">
        <f>2011.2+(140-325)+(-2.051424+(-0.1428--0.3315))+0-88.4--0.0901680000000141</f>
        <v>1736.0274439999998</v>
      </c>
      <c r="K17" s="3">
        <f>2016.2+(140.8-330.9)+(1.028262+(0.071808-0.168759))+0-81.5-0.0415649999999917</f>
        <v>1745.4897460000002</v>
      </c>
      <c r="L17" s="3">
        <f>2024.3+(141.2-374)+(-2.064786+(-0.144024--0.38148))+0-77.7--0.0792540000000124</f>
        <v>1712.0519239999999</v>
      </c>
      <c r="M17" s="3">
        <f>2142.5+(141.5-434.9)+(2.18535+(0.14433-0.443598))+0-44.7-0.0455940000000071</f>
        <v>1806.2404879999999</v>
      </c>
      <c r="N17" s="3">
        <f>2096.2+(140.9-225.2)+(2.138124+(0.143718-0.229704))+0-91.9-0.0937380000000147</f>
        <v>1921.9583999999998</v>
      </c>
      <c r="O17" s="3">
        <f>2148.8+(139.8-206.3)+(3.287664+(0.213894-0.315639))+0-85.3-0.130509000000005</f>
        <v>2000.0554100000002</v>
      </c>
      <c r="P17" s="3">
        <f>2280.5+(138.8-287.1)+(3.489165+(0.212364-0.439263))+0-74.1-0.113373000000004</f>
        <v>2061.248893</v>
      </c>
      <c r="Q17" s="3">
        <f>2290+(139.1-278.1)+(0+(0-0))+0-78.5-0</f>
        <v>2072.5</v>
      </c>
      <c r="R17" s="3">
        <f>2283.6+(138.7-266.5)+(0+(0-0))+0-71.3-0</f>
        <v>2084.4999999999995</v>
      </c>
      <c r="S17" s="3">
        <f>2210.3+(139.9-242.9)+(-6.763518+(-0.428094--0.743274))+0-83.2--0.25459200000001</f>
        <v>2017.906254</v>
      </c>
      <c r="T17" s="3">
        <f>2222.4+(139.5-291.9)+(0+(0-0))+0-86.8-0</f>
        <v>1983.2</v>
      </c>
      <c r="U17" s="3">
        <f>2207.2+(138.3-324.4)+(0+(0-0))+0-68.4-0</f>
        <v>1952.6999999999998</v>
      </c>
      <c r="V17" s="3">
        <f>2194.1+(138.7-314.6)+(-2.237982+(-0.141474--0.320892))+0-75.2--0.076704000000012</f>
        <v>1941.0181399999999</v>
      </c>
      <c r="W17" s="3">
        <f>2198.4+(129.8-282.1)+(-3.363552+(-0.198594--0.431613))+0-90.5--0.138465000000005</f>
        <v>1952.6079320000001</v>
      </c>
      <c r="X17" s="3">
        <f>2205+(118.3-255.2)+(-1.12455+(-0.060333--0.130152))+0-77.9--0.0397289999999921</f>
        <v>1989.1849979999997</v>
      </c>
      <c r="Y17" s="3">
        <f>2314.9+(49.4-125.9)+(3.541797+(0.075582-0.192627))+0-77.4-0.118422000000004</f>
        <v>2164.3063299999999</v>
      </c>
      <c r="Z17" s="3">
        <f>2383+(31.1-123.6)+(0+(0-0))+0-81.8-0</f>
        <v>2208.6999999999998</v>
      </c>
      <c r="AA17" s="3">
        <f>2369.9+(85.9-203.8)+(-3.625947+(-0.131427--0.311814))+0-88.7--0.135711000000005</f>
        <v>2159.990151</v>
      </c>
      <c r="AB17" s="3">
        <f>2359.5+(134.2-332.9)+(-4.81338+(-0.273768--0.679116))+0-68.2--0.139127999999997</f>
        <v>2088.3310960000003</v>
      </c>
      <c r="AC17" s="3">
        <f>2330.4+(135.6-331.1)+(-5.94252+(-0.34578--0.844305))+0-98--0.249899999999986</f>
        <v>2031.705905</v>
      </c>
      <c r="AD17" s="2">
        <v>2196.1</v>
      </c>
      <c r="AE17" s="3">
        <f>2393+(25-190.9)+(0+(0-0))+0-31-0</f>
        <v>2196.1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2059.3+(143.9-219.4)+(3.150729+(0.220167-0.335682))+0-84.2-0.128826000000005</f>
        <v>1902.506388</v>
      </c>
      <c r="G18" s="3">
        <f>1985.5+(144.4-227.8)+(-3.037815+(-0.220932--0.348534))+0-88.9--0.136017000000005</f>
        <v>1810.4258039999997</v>
      </c>
      <c r="H18" s="3">
        <f>1940.2+(144.4-229.9)+(-0.989502+(-0.073644--0.117249))+0-90.5--0.0461549999999908</f>
        <v>1763.300258</v>
      </c>
      <c r="I18" s="3">
        <f>1861.3+(144.2-211.3)+(-4.746315+(-0.36771--0.538815))+0-48.6--0.123929999999993</f>
        <v>1741.1487199999999</v>
      </c>
      <c r="J18" s="3">
        <f>1828.9+(144.2-223.2)+(3.730956+(0.294168-0.455328))+0-23.7-0.048347999999999</f>
        <v>1729.721448</v>
      </c>
      <c r="K18" s="3">
        <f>1971.3+(137-303.3)+(-1.005363+(-0.06987--0.154683))+0-75.7--0.0386069999999923</f>
        <v>1728.4180569999999</v>
      </c>
      <c r="L18" s="3">
        <f>1933.9+(112.7-294.8)+(-3.945156+(-0.229908--0.601392))+0-84.2--0.171767999999996</f>
        <v>1664.1980960000001</v>
      </c>
      <c r="M18" s="3">
        <f>1773.6+(129.1-141.7)+(-2.713608+(-0.197523--0.216801))+0-78.3--0.119799000000005</f>
        <v>1680.1254690000001</v>
      </c>
      <c r="N18" s="3">
        <f>1892+(140.4-207.3)+(-0.96492+(-0.071604--0.105723))+0-74.7--0.0380969999999924</f>
        <v>1749.5072959999998</v>
      </c>
      <c r="O18" s="3">
        <f>1939.7+(141.6-187.8)+(0+(0-0))+0-85.6-0</f>
        <v>1807.9</v>
      </c>
      <c r="P18" s="3">
        <f>1939.3+(141.9-134.1)+(0+(0-0))+0-86.3-0</f>
        <v>1860.8</v>
      </c>
      <c r="Q18" s="3">
        <f>1938.7+(141.5-125.2)+(0.988737+(0.072165-0.063852))+0-71.8-0.0366179999999927</f>
        <v>1884.1604319999999</v>
      </c>
      <c r="R18" s="3">
        <f>1931.6+(141-127.4)+(-0.985116+(-0.07191--0.064974))+0-94.4--0.0481439999999904</f>
        <v>1849.8560919999998</v>
      </c>
      <c r="S18" s="3">
        <f>1929.6+(140.6-144.6)+(-1.968192+(-0.143412--0.147492))+0-90.6--0.0924120000000144</f>
        <v>1833.1283000000001</v>
      </c>
      <c r="T18" s="3">
        <f>1931.2+(140.5-171.6)+(-0.984912+(-0.071655--0.087516))+0-90--0.0458999999999909</f>
        <v>1809.1768490000002</v>
      </c>
      <c r="U18" s="3">
        <f>1904.1+(141.9-160.2)+(-4.855455+(-0.361845--0.40851))+0-92.5--0.235874999999987</f>
        <v>1788.727085</v>
      </c>
      <c r="V18" s="3">
        <f>1926.9+(143-198.2)+(0+(0-0))+0-80.2-0</f>
        <v>1791.5</v>
      </c>
      <c r="W18" s="3">
        <f>1877.1+(143.6-128.8)+(-4.786605+(-0.36618--0.32844))+0-73.4--0.187169999999989</f>
        <v>1813.8628249999997</v>
      </c>
      <c r="X18" s="3">
        <f>1850+(170.7-85.9)+(-0.9435+(-0.087057--0.043809))+0-82.6--0.0421259999999916</f>
        <v>1851.2553780000001</v>
      </c>
      <c r="Y18" s="3">
        <f>2082.3+(168.5-93.1)+(-1.061973+(-0.085935--0.047481))+0-85.9--0.0438089999999913</f>
        <v>2070.7433820000001</v>
      </c>
      <c r="Z18" s="3">
        <f>2112.6+(180.3-90.1)+(-3.232278+(-0.275859--0.137853))+0-88.2--0.134946000000005</f>
        <v>2111.364662</v>
      </c>
      <c r="AA18" s="3">
        <f>2121.1+(129.5-78.5)+(-4.327044+(-0.26418--0.16014))+0-75.4--0.153815999999997</f>
        <v>2092.422732</v>
      </c>
      <c r="AB18" s="3">
        <f>2055.9+(144.9-87)+(-1.048509+(-0.073899--0.04437))+0-84.1--0.0428909999999915</f>
        <v>2028.6648530000002</v>
      </c>
      <c r="AC18" s="3">
        <f>1892+(155.3-70.3)+(0.96492+(0.079203-0.035853))+0-50.2-0.0256019999999949</f>
        <v>1927.7826680000001</v>
      </c>
      <c r="AD18" s="2">
        <v>2134.7000000000003</v>
      </c>
      <c r="AE18" s="3">
        <f>2145+(170.3-88.5)+(0+(0-0))+0-92.1-0</f>
        <v>2134.7000000000003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1864.5+(124.4-96.3)+(-4.754475+(-0.31722--0.245565))+0-90.5--0.230774999999987</f>
        <v>1797.504645</v>
      </c>
      <c r="G19" s="3">
        <f>1860.6+(138-199.7)+(-4.74453+(-0.3519--0.509235))+0-71.9--0.18334499999999</f>
        <v>1722.5961499999996</v>
      </c>
      <c r="H19" s="3">
        <f>1856+(142.3-239.5)+(2.83968+(0.217719-0.366435))+0-63.7-0.0974610000000037</f>
        <v>1697.6935029999997</v>
      </c>
      <c r="I19" s="3">
        <f>1860.3+(142.2-226.9)+(4.743765+(0.36261-0.578595))+0-92.7-0.236384999999987</f>
        <v>1687.1913949999998</v>
      </c>
      <c r="J19" s="3">
        <f>1846.2+(142.6-216.3)+(-4.70781+(-0.36363--0.551565))+0-82.8--0.211139999999988</f>
        <v>1685.391265</v>
      </c>
      <c r="K19" s="3">
        <f>1841+(142.1-206.1)+(0+(0-0))+0-79.9-0</f>
        <v>1697.1</v>
      </c>
      <c r="L19" s="3">
        <f>1827.6+(141.6-174.7)+(-3.728304+(-0.288864--0.356388))+0-91.8--0.187271999999996</f>
        <v>1699.226492</v>
      </c>
      <c r="M19" s="3">
        <f>1900.6+(141.5-179)+(0.969306+(0.072165-0.09129))+0-86.7-0.0442169999999912</f>
        <v>1777.3059639999999</v>
      </c>
      <c r="N19" s="3">
        <f>1914+(141.7-155.2)+(1.95228+(0.144534-0.158304))+0-70.6-0.0720120000000112</f>
        <v>1831.766498</v>
      </c>
      <c r="O19" s="3">
        <f>2118.9+(141.8-163.4)+(0+(0-0))+0-81-0</f>
        <v>2016.3000000000002</v>
      </c>
      <c r="P19" s="3">
        <f>2276.5+(142-261.3)+(-1.161015+(-0.07242--0.133263))+0-72.9--0.0371789999999926</f>
        <v>2083.2370069999997</v>
      </c>
      <c r="Q19" s="3">
        <f>2364.4+(141.8-305.9)+(-4.823376+(-0.289272--0.624036))+0-91.4--0.186455999999996</f>
        <v>2104.5978439999999</v>
      </c>
      <c r="R19" s="3">
        <f>2383.1+(141.6-324.2)+(2.430762+(0.144432-0.330684))+0-91.4-0.0932280000000146</f>
        <v>2111.2512819999997</v>
      </c>
      <c r="S19" s="3">
        <f>2303.6+(141-300.4)+(-3.524508+(-0.21573--0.459612))+0-85.4--0.130662000000005</f>
        <v>2055.6500359999995</v>
      </c>
      <c r="T19" s="3">
        <f>2178.6+(141.5-224.2)+(-1.111086+(-0.072165--0.114342))+0-80.8--0.0412079999999918</f>
        <v>2014.0722990000002</v>
      </c>
      <c r="U19" s="3">
        <f>2108.1+(141.6-206)+(-3.225393+(-0.216648--0.31518))+0-54.8--0.0838440000000032</f>
        <v>1985.8569829999999</v>
      </c>
      <c r="V19" s="3">
        <f>2243.2+(142.2-332)+(1.144032+(0.072522-0.16932))+0-73-0.0372299999999926</f>
        <v>1981.4100039999998</v>
      </c>
      <c r="W19" s="3">
        <f>2356.8+(142.7-377.7)+(-2.403936+(-0.145554--0.385254))+0-89.5--0.0912900000000143</f>
        <v>2030.2270540000002</v>
      </c>
      <c r="X19" s="3">
        <f>2397.6+(138.6-381.4)+(-4.891104+(-0.282744--0.778056))+0-68.8--0.140351999999997</f>
        <v>2081.7445599999996</v>
      </c>
      <c r="Y19" s="3">
        <f>2517.3+(73.5-292.1)+(1.283823+(0.037485-0.148971))+0-75.8-0.0386579999999923</f>
        <v>2224.0336790000001</v>
      </c>
      <c r="Z19" s="3">
        <f>2584.3+(57.7-309.7)+(-3.953979+(-0.088281--0.473841))+0-77--0.117810000000004</f>
        <v>2251.8493910000002</v>
      </c>
      <c r="AA19" s="3">
        <f>2406.6+(100.4-221.5)+(-6.13683+(-0.25602--0.564825))+0-85.5--0.218024999999988</f>
        <v>2194.3900000000003</v>
      </c>
      <c r="AB19" s="3">
        <f>2250.9+(140.6-210.2)+(-4.591836+(-0.286824--0.428808))+0-86.3--0.176051999999996</f>
        <v>2090.7261999999996</v>
      </c>
      <c r="AC19" s="3">
        <f>2148.1+(140.7-183.7)+(-4.382124+(-0.287028--0.374748))+0-84.4--0.172175999999996</f>
        <v>2016.5777719999996</v>
      </c>
      <c r="AD19" s="2">
        <v>2242.3000000000002</v>
      </c>
      <c r="AE19" s="3">
        <f>2625+(65.8-375.8)+(0+(0-0))+0-72.7-0</f>
        <v>2242.3000000000002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2197.4+(102.3-334)+(0+(0-0))+0-58.8-0</f>
        <v>1906.9</v>
      </c>
      <c r="G20" s="3">
        <f>2190.5+(91.4-375.5)+(-4.46862+(-0.186456--0.76602))+0-81.1--0.165443999999996</f>
        <v>1821.5763880000002</v>
      </c>
      <c r="H20" s="3">
        <f>2053.6+(90.7-274.1)+(-4.189344+(-0.185028--0.559164))+0-88.1--0.179723999999996</f>
        <v>1778.464516</v>
      </c>
      <c r="I20" s="3">
        <f>2051.2+(90.9-322.9)+(-2.092224+(-0.092718--0.329358))+0-60.6--0.0618120000000097</f>
        <v>1756.8062279999999</v>
      </c>
      <c r="J20" s="3">
        <f>1937.8+(93.3-213.1)+(-2.964834+(-0.142749--0.326043))+0-63.7--0.0974610000000037</f>
        <v>1751.6159210000001</v>
      </c>
      <c r="K20" s="3">
        <f>1873.8+(99.2-140.7)+(0.955638+(0.050592-0.071757))+0-86.7-0.0442169999999912</f>
        <v>1746.490256</v>
      </c>
      <c r="L20" s="3">
        <f>1867.3+(129.4-171.3)+(0+(0-0))+0-79.4-0</f>
        <v>1745.9999999999998</v>
      </c>
      <c r="M20" s="3">
        <f>2083.4+(126.3-254.5)+(-1.062534+(-0.064413--0.129795))+0-94--0.0479399999999905</f>
        <v>1860.2507880000001</v>
      </c>
      <c r="N20" s="3">
        <f>2174.2+(126.3-308.7)+(-3.326526+(-0.193239--0.472311))+0-26.8--0.0410040000000016</f>
        <v>1961.9935499999997</v>
      </c>
      <c r="O20" s="3">
        <f>2341.9+(126.7-346.2)+(1.194369+(0.064617-0.176562))+0-76.4-0.0389639999999923</f>
        <v>2047.0434600000001</v>
      </c>
      <c r="P20" s="3">
        <f>2448.7+(125.9-370.8)+(0+(0-0))+0-89-0</f>
        <v>2114.7999999999997</v>
      </c>
      <c r="Q20" s="3">
        <f>2452.2+(143-388.8)+(2.501244+(0.14586-0.396576))+0-79.3-0.0808860000000126</f>
        <v>2129.2696419999993</v>
      </c>
      <c r="R20" s="3">
        <f>2449.3+(143.9-397.9)+(1.249143+(0.073389-0.202929))+0-77.7-0.0396269999999921</f>
        <v>2118.6799760000004</v>
      </c>
      <c r="S20" s="3">
        <f>2398.5+(142.8-364.8)+(-7.33941+(-0.436968--1.116288))+0-77--0.235620000000009</f>
        <v>2093.0755300000001</v>
      </c>
      <c r="T20" s="3">
        <f>2429.3+(142.3-406.6)+(-2.477886+(-0.145146--0.414732))+0-84.8--0.0864960000000135</f>
        <v>2078.0781959999999</v>
      </c>
      <c r="U20" s="3">
        <f>2426.7+(142.2-422.3)+(-3.712851+(-0.217566--0.646119))+0-91.8--0.140454000000005</f>
        <v>2051.6561559999996</v>
      </c>
      <c r="V20" s="3">
        <f>2297.7+(141.8-336.5)+(-1.171827+(-0.072318--0.171615))+0-71.4--0.0364139999999928</f>
        <v>2030.5638839999999</v>
      </c>
      <c r="W20" s="3">
        <f>2208.5+(141.6-227.6)+(1.126335+(0.072216-0.116076))+0-71.6-0.0365159999999927</f>
        <v>2051.9459590000001</v>
      </c>
      <c r="X20" s="3">
        <f>2180.5+(136.8-175.1)+(-3.336165+(-0.209304--0.267903))+0-89.5--0.136935000000005</f>
        <v>2049.5593689999996</v>
      </c>
      <c r="Y20" s="3">
        <f>2352.8+(124-190.9)+(-2.399856+(-0.12648--0.194718))+0-85--0.0867000000000136</f>
        <v>2198.6550819999998</v>
      </c>
      <c r="Z20" s="3">
        <f>2447.5+(89-188.4)+(-6.241125+(-0.22695--0.48042))+0-86.5--0.220574999999987</f>
        <v>2255.8329199999998</v>
      </c>
      <c r="AA20" s="3">
        <f>2431.8+(90.6-218.8)+(-4.960872+(-0.184824--0.446352))+0-89.4--0.182375999999996</f>
        <v>2209.6830320000004</v>
      </c>
      <c r="AB20" s="3">
        <f>2277.3+(141-199.2)+(-2.322846+(-0.14382--0.203184))+0-82.5--0.0841500000000132</f>
        <v>2134.4206680000007</v>
      </c>
      <c r="AC20" s="3">
        <f>2269.1+(143.3-333.6)+(-3.471723+(-0.219249--0.510408))+0-28.7--0.0439110000000017</f>
        <v>2046.9633469999999</v>
      </c>
      <c r="AD20" s="2">
        <v>2261.3000000000002</v>
      </c>
      <c r="AE20" s="3">
        <f>2445+(109.9-186.7)+(0+(0-0))+0-106.9-0</f>
        <v>2261.2999999999997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2201+(142.8-369.1)+(-3.36753+(-0.218484--0.564723))+0-48.5--0.0742050000000028</f>
        <v>1923.2529139999999</v>
      </c>
      <c r="G21" s="3">
        <f>2185.8+(145-407.7)+(-4.459032+(-0.2958--0.831708))+0-55--0.112199999999998</f>
        <v>1864.2890760000003</v>
      </c>
      <c r="H21" s="3">
        <f>2035.3+(150-321.8)+(-2.076006+(-0.153--0.328236))+0-75--0.076500000000012</f>
        <v>1786.6757300000002</v>
      </c>
      <c r="I21" s="3">
        <f>1983.8+(142-268.4)+(-3.035214+(-0.21726--0.410652))+0-96--0.146880000000006</f>
        <v>1758.705058</v>
      </c>
      <c r="J21" s="3">
        <f>1970.8+(155-264.4)+(-1.005108+(-0.07905--0.134844))+0-90--0.0458999999999909</f>
        <v>1770.4965860000002</v>
      </c>
      <c r="K21" s="3">
        <f>2013.3+(143-231.8)+(1.026783+(0.07293-0.118218))+0-80-0.0407999999999919</f>
        <v>1845.440695</v>
      </c>
      <c r="L21" s="3">
        <f>1980.9+(140-185.9)+(-7.071813+(-0.4998--0.663663))+0-77--0.274890000000001</f>
        <v>1851.3669399999999</v>
      </c>
      <c r="M21" s="3">
        <f>1976.7+(142-172.9)+(0+(0-0))+0-73-0</f>
        <v>1872.8</v>
      </c>
      <c r="N21" s="3">
        <f>2079.3+(144.6-182.3)+(1.060443+(0.073746-0.092973))+0-70.1-0.0357509999999929</f>
        <v>1972.5054650000004</v>
      </c>
      <c r="O21" s="3">
        <f>2258.8+(144.8-266.6)+(-2.303976+(-0.147696--0.271932))+0-82.6--0.0842520000000132</f>
        <v>2052.3045120000002</v>
      </c>
      <c r="P21" s="3">
        <f>2351.3+(144.4-318.5)+(1.199163+(0.073644-0.162435))+0-90.9-0.0463589999999908</f>
        <v>2087.3640130000003</v>
      </c>
      <c r="Q21" s="3">
        <f>2334.7+(143.7-284)+(0+(0-0))+0-87.2-0</f>
        <v>2107.1999999999998</v>
      </c>
      <c r="R21" s="3">
        <f>2306.6+(143.3-264.7)+(0+(0-0))+0-88.7-0</f>
        <v>2096.5</v>
      </c>
      <c r="S21" s="3">
        <f>2293.7+(142.8-292.7)+(-5.848935+(-0.36414--0.746385))+0-83.4--0.212669999999988</f>
        <v>2055.1459799999993</v>
      </c>
      <c r="T21" s="3">
        <f>2330+(142.8-354.2)+(0+(0-0))+0-82.6-0</f>
        <v>2036</v>
      </c>
      <c r="U21" s="3">
        <f>2309.1+(142.9-348.2)+(-2.355282+(-0.145758--0.355164))+0-85.6--0.0873120000000136</f>
        <v>2016.1414359999999</v>
      </c>
      <c r="V21" s="3">
        <f>2302.7+(142.6-371.7)+(-3.523131+(-0.218178--0.568701))+0-73.5--0.112455000000004</f>
        <v>1997.039847</v>
      </c>
      <c r="W21" s="3">
        <f>2315+(142.8-348.6)+(-1.18065+(-0.072828--0.177786))+0-85.9--0.0438089999999913</f>
        <v>2022.2681169999998</v>
      </c>
      <c r="X21" s="3">
        <f>2361.5+(123.3-352.6)+(-3.613095+(-0.188649--0.539478))+0-88.8--0.135864000000005</f>
        <v>2040.2735979999998</v>
      </c>
      <c r="Y21" s="3">
        <f>2543.4+(49.1-290.6)+(-1.297134+(-0.025041--0.148206))+0-87.7--0.0447269999999911</f>
        <v>2213.0707580000003</v>
      </c>
      <c r="Z21" s="3">
        <f>2608.5+(29.8-259.8)+(-2.66067+(-0.030396--0.264996))+0-85.1--0.0868020000000136</f>
        <v>2291.0607319999999</v>
      </c>
      <c r="AA21" s="3">
        <f>2625.8+(76.3-360.5)+(-1.339158+(-0.038913--0.183855))+0-95.4--0.0486539999999903</f>
        <v>2245.0544380000006</v>
      </c>
      <c r="AB21" s="3">
        <f>2606.9+(137.6-490.1)+(-5.318076+(-0.280704--0.999804))+0-89.4--0.182375999999996</f>
        <v>2160.5834</v>
      </c>
      <c r="AC21" s="3">
        <f>2560.8+(144-541.9)+(1.306008+(0.07344-0.276369))+0-90.8-0.0463079999999908</f>
        <v>2073.1567709999999</v>
      </c>
      <c r="AD21" s="2">
        <v>2291.8000000000002</v>
      </c>
      <c r="AE21" s="3">
        <f>2634+(25.1-269.1)+(0+(0-0))+0-98.2-0</f>
        <v>2291.8000000000002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2431.2+(143-564)+(1.239912+(0.07293-0.28764))+0-51.5-0.0262649999999948</f>
        <v>1959.6989369999999</v>
      </c>
      <c r="G22" s="3">
        <f>2320.3+(143.3-509.3)+(-1.183353+(-0.073083--0.259743))+0-85.3--0.0435029999999913</f>
        <v>1868.0468100000003</v>
      </c>
      <c r="H22" s="3">
        <f>2234+(143.1-469)+(-1.13934+(-0.072981--0.23919))+0-91.5--0.0466649999999907</f>
        <v>1815.673534</v>
      </c>
      <c r="I22" s="3">
        <f>2213.6+(142.9-478.6)+(0+(0-0))+0-77.1-0</f>
        <v>1800.8</v>
      </c>
      <c r="J22" s="3">
        <f>2177.6+(143-438.2)+(0+(0-0))+0-84.3-0</f>
        <v>1798.1</v>
      </c>
      <c r="K22" s="3">
        <f>2124.6+(141.8-381)+(-3.250638+(-0.216954--0.58293))+0-90.2--0.138006000000005</f>
        <v>1792.4533439999998</v>
      </c>
      <c r="L22" s="3">
        <f>2017+(141.7-342.4)+(-2.05734+(-0.144534--0.349248))+0-48--0.0489600000000077</f>
        <v>1766.4963339999999</v>
      </c>
      <c r="M22" s="3">
        <f>2101.9+(142.4-352.8)+(2.143938+(0.145248-0.359856))+0-21-0.0214200000000034</f>
        <v>1872.4079099999999</v>
      </c>
      <c r="N22" s="3">
        <f>2301.4+(143.2-423.8)+(4.694856+(0.292128-0.864552))+0-17.7-0.0361079999999992</f>
        <v>2007.186324</v>
      </c>
      <c r="O22" s="3">
        <f>2389.8+(149-424.6)+(-2.437596+(-0.15198--0.433092))+0-42--0.0428400000000067</f>
        <v>2070.0863560000003</v>
      </c>
      <c r="P22" s="3">
        <f>2555.5+(143.7-501.4)+(-1.303305+(-0.073287--0.255714))+0-58.7--0.029936999999994</f>
        <v>2138.009059</v>
      </c>
      <c r="Q22" s="3">
        <f>2559.2+(142.6-508.3)+(2.610384+(0.145452-0.518466))+0-21.6-0.0220320000000034</f>
        <v>2174.1153380000001</v>
      </c>
      <c r="R22" s="3">
        <f>2504.7+(142.7-393.4)+(0+(0-0))+0-86.4-0</f>
        <v>2167.6</v>
      </c>
      <c r="S22" s="3">
        <f>2394.7+(142.4-367.3)+(-4.885188+(-0.290496--0.749292))+0-62--0.126479999999997</f>
        <v>2103.5000879999998</v>
      </c>
      <c r="T22" s="3">
        <f>2391.6+(141.9-388.9)+(2.439432+(0.144738-0.396678))+0-63.5-0.0647700000000101</f>
        <v>2083.222722</v>
      </c>
      <c r="U22" s="3">
        <f>2368.7+(142.3-376.1)+(2.416074+(0.145146-0.383622))+0-81-0.0826200000000129</f>
        <v>2055.9949779999997</v>
      </c>
      <c r="V22" s="3">
        <f>2344.4+(143.3-348.4)+(-3.586932+(-0.219249--0.533052))+0-88.2--0.134946000000005</f>
        <v>2047.9618169999999</v>
      </c>
      <c r="W22" s="3">
        <f>2357.6+(137.5-345.5)+(-1.202376+(-0.070125--0.176205))+0-91.8--0.0468179999999907</f>
        <v>2056.7505219999994</v>
      </c>
      <c r="X22" s="3">
        <f>2312.6+(116.6-296.1)+(-5.89713+(-0.29733--0.755055))+0-68.3--0.17416499999999</f>
        <v>2059.5347599999996</v>
      </c>
      <c r="Y22" s="3">
        <f>2498.6+(25.2-226.8)+(2.548572+(0.025704-0.231336))+0-71.2-0.0726240000000114</f>
        <v>2228.0703160000003</v>
      </c>
      <c r="Z22" s="3">
        <f>2653.9+(4.8-270.3)+(-1.353489+(-0.002448--0.137853))+0-88.2--0.0449819999999911</f>
        <v>2299.0268980000001</v>
      </c>
      <c r="AA22" s="3">
        <f>2626.7+(41.9-336.3)+(-5.358468+(-0.085476--0.686052))+0-70.1--0.143003999999997</f>
        <v>2257.5851119999998</v>
      </c>
      <c r="AB22" s="3">
        <f>2555.6+(135.4-429.8)+(-2.606712+(-0.138108--0.438396))+0-83.7--0.0853740000000134</f>
        <v>2175.2789500000003</v>
      </c>
      <c r="AC22" s="3">
        <f>2230.1+(142.6-218.9)+(-4.549404+(-0.290904--0.446556))+0-95--0.193799999999996</f>
        <v>2054.6000479999998</v>
      </c>
      <c r="AD22" s="2">
        <v>2310</v>
      </c>
      <c r="AE22" s="3">
        <f>2662+(2-263.3)+(0+(0-0))+0-90.7-0</f>
        <v>2310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2239.3+(142.5-382.2)+(-1.142043+(-0.072675--0.194922))+0-54.2--0.0276419999999945</f>
        <v>1944.4078460000001</v>
      </c>
      <c r="G23" s="3">
        <f>2223.4+(141.4-429.5)+(-3.401802+(-0.216342--0.657135))+0-69.1--0.105723000000004</f>
        <v>1863.3447140000001</v>
      </c>
      <c r="H23" s="3">
        <f>2250.6+(141.6-479.1)+(0+(0-0))+0-83.9-0</f>
        <v>1829.1999999999998</v>
      </c>
      <c r="I23" s="3">
        <f>2212.1+(142.3-471.5)+(-5.640855+(-0.362865--1.202325))+0-75--0.191249999999989</f>
        <v>1803.289855</v>
      </c>
      <c r="J23" s="3">
        <f>2209.7+(141.3-476.8)+(2.253894+(0.144126-0.486336))+0-70.3-0.0717060000000112</f>
        <v>1805.7399779999998</v>
      </c>
      <c r="K23" s="3">
        <f>2160.7+(141.3-417.7)+(-1.101957+(-0.072063--0.213027))+0-83.3--0.0424829999999915</f>
        <v>1800.0814899999998</v>
      </c>
      <c r="L23" s="3">
        <f>2134.3+(140.5-398.5)+(-5.442465+(-0.358275--1.016175))+0-84.8--0.216239999999988</f>
        <v>1786.9316750000003</v>
      </c>
      <c r="M23" s="3">
        <f>2109.9+(140.7-274.5)+(-1.076049+(-0.071757--0.139995))+0-83.6--0.0426359999999915</f>
        <v>1891.5348250000002</v>
      </c>
      <c r="N23" s="3">
        <f>2292.9+(140.6-388)+(-1.169379+(-0.071706--0.19788))+0-22.3--0.0113729999999977</f>
        <v>2022.1681680000002</v>
      </c>
      <c r="O23" s="3">
        <f>2298+(140.5-317.5)+(1.17198+(0.071655-0.161925))+0-17.9-0.00912899999999818</f>
        <v>2104.1725809999998</v>
      </c>
      <c r="P23" s="3">
        <f>2344.2+(140.6-320)+(2.391084+(0.143412-0.3264))+0-14.8-0.0150960000000024</f>
        <v>2152.1929999999993</v>
      </c>
      <c r="Q23" s="3">
        <f>2492.2+(141.5-434.2)+(0+(0-0))+0-15.5-0</f>
        <v>2184</v>
      </c>
      <c r="R23" s="3">
        <f>2535+(140.7-461.9)+(-2.5857+(-0.143514--0.471138))+0-16.2--0.0165240000000026</f>
        <v>2195.3584480000004</v>
      </c>
      <c r="S23" s="3">
        <f>2439.4+(141.3-366.7)+(-1.244094+(-0.072063--0.187017))+0-58.2--0.0296819999999941</f>
        <v>2154.700542</v>
      </c>
      <c r="T23" s="3">
        <f>2394.5+(140.9-328.6)+(-4.88478+(-0.287436--0.670344))+0-75.2--0.153407999999997</f>
        <v>2127.2515360000007</v>
      </c>
      <c r="U23" s="3">
        <f>2527.7+(141.8-485.5)+(0+(0-0))+0-65.5-0</f>
        <v>2118.5</v>
      </c>
      <c r="V23" s="3">
        <f>2580.2+(142.1-527.6)+(-3.947706+(-0.217413--0.807228))+0-80.3--0.122859000000005</f>
        <v>2111.1649679999996</v>
      </c>
      <c r="W23" s="3">
        <f>2591.8+(141.6-536)+(-1.321818+(-0.072216--0.27336))+0-85--0.0433499999999914</f>
        <v>2111.3226760000002</v>
      </c>
      <c r="X23" s="3">
        <f>2593.5+(126.9-543.8)+(-5.29074+(-0.258876--1.109352))+0-79.7--0.162587999999997</f>
        <v>2092.6223240000004</v>
      </c>
      <c r="Y23" s="3">
        <f>2628.3+(53.8-349.2)+(1.340433+(0.027438-0.178092))+0-83.4-0.0425339999999915</f>
        <v>2250.6472449999997</v>
      </c>
      <c r="Z23" s="3">
        <f>2625.5+(27.2-250.9)+(-1.339005+(-0.013872--0.127959))+0-85.9--0.0438089999999913</f>
        <v>2314.718891</v>
      </c>
      <c r="AA23" s="3">
        <f>2622.9+(66.1-331.1)+(-2.675358+(-0.067422--0.337722))+0-82.1--0.0837420000000131</f>
        <v>2273.4786840000002</v>
      </c>
      <c r="AB23" s="3">
        <f>2644.9+(133.5-513.8)+(0+(0-0))+0-77.9-0</f>
        <v>2186.7000000000003</v>
      </c>
      <c r="AC23" s="3">
        <f>2566.8+(142.8-572.3)+(-5.236272+(-0.291312--1.167492))+0-32.7--0.0667079999999986</f>
        <v>2100.3066160000003</v>
      </c>
      <c r="AD23" s="2">
        <v>2325.8000000000002</v>
      </c>
      <c r="AE23" s="3">
        <f>2647+(31-259.7)+(0+(0-0))+0-92.5-0</f>
        <v>2325.8000000000002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2416.8+(142.5-539.9)+(-2.465136+(-0.14535--0.550698))+0-40.1--0.0409020000000064</f>
        <v>1977.2811140000001</v>
      </c>
      <c r="G24" s="3">
        <f>2367.4+(142.1-518.5)+(-2.414748+(-0.144942--0.52887))+0-82.9--0.0845580000000132</f>
        <v>1906.153738</v>
      </c>
      <c r="H24" s="3">
        <f>2208.6+(142.7-405.8)+(-5.63193+(-0.363885--1.03479))+0-82.9--0.211394999999988</f>
        <v>1857.8503699999999</v>
      </c>
      <c r="I24" s="3">
        <f>2208.7+(142.8-445.1)+(-2.252874+(-0.145656--0.454002))+0-87.4--0.0891480000000139</f>
        <v>1817.1446199999998</v>
      </c>
      <c r="J24" s="3">
        <f>2233.6+(143-462.1)+(1.139136+(0.07293-0.235671))+0-92.4-0.0471239999999906</f>
        <v>1823.0292709999999</v>
      </c>
      <c r="K24" s="3">
        <f>2219+(141.8-520.1)+(1.13169+(0.072318-0.265251))+0-24.3-0.0123929999999975</f>
        <v>1817.326364</v>
      </c>
      <c r="L24" s="3">
        <f>2210.7+(143-536.4)+(-2.254914+(-0.14586--0.547128))+0-23.6--0.0240720000000038</f>
        <v>1791.8704259999997</v>
      </c>
      <c r="M24" s="3">
        <f>2255.6+(142-415.3)+(2.300712+(0.14484-0.423606))+0-91.1-0.0929220000000145</f>
        <v>1893.1290240000001</v>
      </c>
      <c r="N24" s="3">
        <f>2353.2+(142.4-415)+(4.800528+(0.290496-0.8466))+0-62.4-0.127295999999997</f>
        <v>2022.3171279999999</v>
      </c>
      <c r="O24" s="3">
        <f>2510.3+(141.9-449.7)+(1.280253+(0.072369-0.229347))+0-87.3-0.0445229999999911</f>
        <v>2116.2787519999997</v>
      </c>
      <c r="P24" s="3">
        <f>2561.4+(140-490.4)+(0+(0-0))+0-90-0</f>
        <v>2121</v>
      </c>
      <c r="Q24" s="3">
        <f>2619+(139.4-400.1)+(-1.33569+(-0.071094--0.204051))+0-91.4--0.0466139999999907</f>
        <v>2265.7438809999999</v>
      </c>
      <c r="R24" s="3">
        <f>2640.1+(139-446.4)+(-2.692902+(-0.14178--0.455328))+0-86.4--0.0881280000000138</f>
        <v>2244.0087739999994</v>
      </c>
      <c r="S24" s="3">
        <f>2636.8+(140.2-528.7)+(-2.689536+(-0.143004--0.539274))+0-57.3--0.0584460000000091</f>
        <v>2188.7651799999999</v>
      </c>
      <c r="T24" s="3">
        <f>2498.6+(141.8-436.2)+(-2.548572+(-0.144636--0.444924))+0-81.7--0.083334000000013</f>
        <v>2120.3350500000001</v>
      </c>
      <c r="U24" s="3">
        <f>2462.2+(142.6-433.2)+(-1.255722+(-0.072726--0.220932))+0-85--0.0433499999999914</f>
        <v>2085.5358339999998</v>
      </c>
      <c r="V24" s="3">
        <f>2463.9+(143.8-458.8)+(0+(0-0))+0-80.2-0</f>
        <v>2068.7000000000003</v>
      </c>
      <c r="W24" s="3">
        <f>2459.9+(144.3-444.8)+(-2.509098+(-0.147186--0.453696))+0-82.6--0.0842520000000132</f>
        <v>2074.6816640000002</v>
      </c>
      <c r="X24" s="3">
        <f>2466.5+(136.1-470.6)+(2.51583+(0.138822-0.480012))+0-66.8-0.0681360000000106</f>
        <v>2067.3065040000001</v>
      </c>
      <c r="Y24" s="3">
        <f>2555.9+(55.4-330.5)+(0+(0-0))+0-89.1-0</f>
        <v>2191.7000000000003</v>
      </c>
      <c r="Z24" s="3">
        <f>2645.9+(30.6-305.5)+(-5.397636+(-0.062424--0.62322))+0-83.3--0.169931999999996</f>
        <v>2283.0330919999997</v>
      </c>
      <c r="AA24" s="3">
        <f>2613.8+(79-373.5)+(-2.666076+(-0.08058--0.38097))+0-88.1--0.089862000000014</f>
        <v>2228.924176</v>
      </c>
      <c r="AB24" s="3">
        <f>2563.1+(133.2-445.5)+(-5.228724+(-0.271728--0.90882))+0-89.9--0.183395999999996</f>
        <v>2156.4917639999994</v>
      </c>
      <c r="AC24" s="3">
        <f>2496.4+(142.2-456.5)+(-3.819492+(-0.217566--0.698445))+0-85.4--0.130662000000005</f>
        <v>2093.492049</v>
      </c>
      <c r="AD24" s="2">
        <v>2294.1999999999998</v>
      </c>
      <c r="AE24" s="3">
        <f>2658+(25.7-298.3)+(0+(0-0))+0-91.2-0</f>
        <v>2294.2000000000003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2303.5+(142-371.9)+(-2.34957+(-0.14484--0.379338))+0-86.6--0.0883320000000138</f>
        <v>1984.97326</v>
      </c>
      <c r="G25" s="3">
        <f>2172.6+(142.1-335.2)+(-3.324078+(-0.217413--0.512856))+0-85.1--0.130203000000005</f>
        <v>1891.5015680000001</v>
      </c>
      <c r="H25" s="3">
        <f>2129.3+(142.4-374.7)+(-2.171886+(-0.145248--0.382194))+0-61.3--0.0625260000000098</f>
        <v>1833.8275860000001</v>
      </c>
      <c r="I25" s="3">
        <f>2134.2+(142.4-384.1)+(-2.176884+(-0.145248--0.391782))+0-92.9--0.0947580000000148</f>
        <v>1797.7644079999995</v>
      </c>
      <c r="J25" s="3">
        <f>2146.1+(143-432.6)+(2.189022+(0.14586-0.441252))+0-69.1-0.070482000000011</f>
        <v>1789.223148</v>
      </c>
      <c r="K25" s="3">
        <f>2138.7+(143.4-415)+(-1.090737+(-0.073134--0.21165))+0-86.2--0.0439619999999913</f>
        <v>1779.9917409999998</v>
      </c>
      <c r="L25" s="3">
        <f>2113.1+(143-439.4)+(-6.466086+(-0.43758--1.344564))+0-83.3--0.25489800000001</f>
        <v>1728.0957959999998</v>
      </c>
      <c r="M25" s="3">
        <f>2033.4+(141.6-389.8)+(-1.037034+(-0.072216--0.198798))+0-46.7--0.0238169999999953</f>
        <v>1737.6133649999999</v>
      </c>
      <c r="N25" s="3">
        <f>2039.5+(140.1-310.3)+(1.040145+(0.071451-0.158253))+0-87.9-0.0448289999999911</f>
        <v>1782.3085139999998</v>
      </c>
      <c r="O25" s="3">
        <f>2149.5+(141.3-341)+(-1.096245+(-0.072063--0.17391))+0-79.9--0.0407489999999919</f>
        <v>1868.9463509999998</v>
      </c>
      <c r="P25" s="3">
        <f>2146.5+(140.4-312.3)+(1.094715+(0.071604-0.159273))+0-56.6-0.0288659999999943</f>
        <v>1918.9781799999998</v>
      </c>
      <c r="Q25" s="3">
        <f>2131.4+(139.1-221.3)+(-2.174028+(-0.141882--0.225726))+0-82.7--0.0843540000000132</f>
        <v>1964.4941700000004</v>
      </c>
      <c r="R25" s="3">
        <f>2130.8+(139.5-255.7)+(1.086708+(0.071145-0.130407))+0-83.5-0.0425849999999915</f>
        <v>1932.0848610000003</v>
      </c>
      <c r="S25" s="3">
        <f>2122.3+(138.6-233.8)+(1.082373+(0.070686-0.119238))+0-89.9-0.0458489999999909</f>
        <v>1938.1879719999999</v>
      </c>
      <c r="T25" s="3">
        <f>2117.3+(137.7-248.5)+(1.079823+(0.070227-0.126735))+0-88.6-0.045185999999991</f>
        <v>1918.8781290000002</v>
      </c>
      <c r="U25" s="3">
        <f>2107+(140-251.3)+(-2.14914+(-0.1428--0.256326))+0-76.3--0.0778260000000122</f>
        <v>1917.4422120000002</v>
      </c>
      <c r="V25" s="3">
        <f>2109.9+(143.6-205.7)+(2.152098+(0.146472-0.209814))+0-88.2-0.0899640000000141</f>
        <v>1961.5987920000002</v>
      </c>
      <c r="W25" s="3">
        <f>2113+(69.2-166.7)+(3.23289+(0.105876-0.255051))+0-66-0.100980000000004</f>
        <v>1952.482735</v>
      </c>
      <c r="X25" s="3">
        <f>2213.4+(102.8-230.5)+(-3.386502+(-0.157284--0.352665))+0-88.5--0.135405000000005</f>
        <v>1994.1442840000004</v>
      </c>
      <c r="Y25" s="3">
        <f>2402.4+(45.6-319)+(1.225224+(0.023256-0.16269))+0-85.1-0.0434009999999914</f>
        <v>2044.9423890000003</v>
      </c>
      <c r="Z25" s="3">
        <f>2457.2+(25.3-290.2)+(-3.759516+(-0.038709--0.444006))+0-58.3--0.0891990000000034</f>
        <v>2130.7349799999997</v>
      </c>
      <c r="AA25" s="3">
        <f>2434.9+(77-294.6)+(-6.208995+(-0.19635--0.75123))+0-88.8--0.226439999999987</f>
        <v>2123.0723250000001</v>
      </c>
      <c r="AB25" s="3">
        <f>2393.9+(137.6-343.2)+(-2.441778+(-0.140352--0.350064))+0-83--0.0846600000000132</f>
        <v>2103.1525940000001</v>
      </c>
      <c r="AC25" s="3">
        <f>2292.8+(143.2-272.3)+(-1.169328+(-0.073032--0.138873))+0-82.9--0.0422789999999916</f>
        <v>2079.7387920000001</v>
      </c>
      <c r="AD25" s="2">
        <v>2201.4</v>
      </c>
      <c r="AE25" s="3">
        <f>2540+(49.8-290.9)+(0+(0-0))+0-97.5-0</f>
        <v>2201.4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2111.3+(143.3-300.9)+(-1.076763+(-0.073083--0.153459))+0-36.5--0.0186149999999963</f>
        <v>1916.2222280000003</v>
      </c>
      <c r="G26" s="3">
        <f>2115.7+(143.4-341.6)+(1.079007+(0.073134-0.174216))+0-84.3-0.0429929999999914</f>
        <v>1834.1349319999997</v>
      </c>
      <c r="H26" s="3">
        <f>2067.7+(143-330.1)+(-1.054527+(-0.07293--0.168351))+0-87.7--0.0447269999999911</f>
        <v>1791.9856209999998</v>
      </c>
      <c r="I26" s="3">
        <f>2051.3+(143.3-312.8)+(-2.092326+(-0.146166--0.319056))+0-89.2--0.0909840000000142</f>
        <v>1790.7715480000002</v>
      </c>
      <c r="J26" s="3">
        <f>2073.5+(143.3-352.6)+(4.22994+(0.292332-0.719304))+0-96.7-0.197267999999996</f>
        <v>1771.1057000000001</v>
      </c>
      <c r="K26" s="3">
        <f>2041.2+(142.1-318.6)+(-2.082024+(-0.144942--0.324972))+0-82.8--0.0844560000000132</f>
        <v>1780.0824620000001</v>
      </c>
      <c r="L26" s="3">
        <f>2016.1+(141.7-330.9)+(3.084633+(0.216801-0.506277))+0-80.1-0.122553000000005</f>
        <v>1749.472604</v>
      </c>
      <c r="M26" s="3">
        <f>2170.5+(143-364.5)+(-1.106955+(-0.07293--0.185895))+0-66.1--0.0337109999999933</f>
        <v>1881.9397210000002</v>
      </c>
      <c r="N26" s="3">
        <f>2331.5+(142.9-363.6)+(-1.189065+(-0.072879--0.185436))+0-74.4--0.0379439999999925</f>
        <v>2035.3614359999999</v>
      </c>
      <c r="O26" s="3">
        <f>2572+(142.2-513.9)+(-2.62344+(-0.145044--0.524178))+0-76.2--0.0777240000000122</f>
        <v>2121.9334180000005</v>
      </c>
      <c r="P26" s="3">
        <f>2696.5+(141.3-554.2)+(-4.125645+(-0.216189--0.847926))+0-88.1--0.134793000000005</f>
        <v>2192.1408850000003</v>
      </c>
      <c r="Q26" s="3">
        <f>2690.6+(140.3-502)+(-5.488824+(-0.286212--1.02408))+0-84.8--0.172991999999996</f>
        <v>2239.5220359999998</v>
      </c>
      <c r="R26" s="3">
        <f>2674.1+(141.2-527.7)+(-4.091373+(-0.216036--0.807381))+0-68.6--0.104958000000004</f>
        <v>2215.60493</v>
      </c>
      <c r="S26" s="3">
        <f>2654.2+(141-510.2)+(-5.414568+(-0.28764--1.040808))+0-89.7--0.182987999999996</f>
        <v>2190.8215880000002</v>
      </c>
      <c r="T26" s="3">
        <f>2646.9+(142.2-532.9)+(-4.049757+(-0.217566--0.815337))+0-97.4--0.149022000000006</f>
        <v>2155.4970360000002</v>
      </c>
      <c r="U26" s="3">
        <f>2344+(141.8-283.5)+(-7.17264+(-0.433908--0.86751))+0-89.8--0.27478800000001</f>
        <v>2106.03575</v>
      </c>
      <c r="V26" s="3">
        <f>2118.6+(204.8-160.6)+(-1.080486+(-0.104448--0.081906))+0-75.8--0.0386579999999923</f>
        <v>2085.9356299999995</v>
      </c>
      <c r="W26" s="3">
        <f>2089.6+(248.2-171.6)+(-5.32848+(-0.63291--0.43758))+0-74.1--0.188954999999989</f>
        <v>2086.7651449999998</v>
      </c>
      <c r="X26" s="3">
        <f>2110.2+(212.5-167.6)+(-1.076202+(-0.108375--0.085476))+0-81.5--0.0415649999999917</f>
        <v>2072.5424640000001</v>
      </c>
      <c r="Y26" s="3">
        <f>2274.1+(220.3-190)+(1.159791+(0.112353-0.0969))+0-89.3-0.0455429999999909</f>
        <v>2216.2297009999997</v>
      </c>
      <c r="Z26" s="3">
        <f>2383.9+(210.5-194.2)+(-6.078945+(-0.536775--0.49521))+0-84.3--0.214964999999988</f>
        <v>2309.994455</v>
      </c>
      <c r="AA26" s="3">
        <f>2314+(222.5-183.3)+(-5.9007+(-0.567375--0.467415))+0-87.1--0.222104999999987</f>
        <v>2260.3214449999996</v>
      </c>
      <c r="AB26" s="3">
        <f>2199.4+(178.3-162.3)+(-1.121694+(-0.090933--0.082773))+0-87.2--0.0444719999999912</f>
        <v>2127.1146180000005</v>
      </c>
      <c r="AC26" s="3">
        <f>2191.9+(141.5-196.5)+(-4.471476+(-0.28866--0.40086))+0-70.4--0.143615999999997</f>
        <v>2062.2843399999997</v>
      </c>
      <c r="AD26" s="2">
        <v>2300.2000000000003</v>
      </c>
      <c r="AE26" s="3">
        <f>2398+(196-196.1)+(0+(0-0))+0-97.7-0</f>
        <v>2300.2000000000003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2115.9+(141.2-210.8)+(-4.316436+(-0.288048--0.430032))+0-84.6--0.172583999999996</f>
        <v>1957.6981320000002</v>
      </c>
      <c r="G27" s="3">
        <f>1931.5+(142.8-139.7)+(-2.955195+(-0.218484--0.213741))+0-68.2--0.104346000000004</f>
        <v>1863.544408</v>
      </c>
      <c r="H27" s="3">
        <f>1871.6+(227.1-113.2)+(0+(0-0))+0-93.8-0</f>
        <v>1891.7</v>
      </c>
      <c r="I27" s="3">
        <f>1878.8+(161.6-118.6)+(-1.916376+(-0.164832--0.120972))+0-51.1--0.0521220000000081</f>
        <v>1868.7918860000002</v>
      </c>
      <c r="J27" s="3">
        <f>1871+(185.8-114.7)+(0+(0-0))+0-75.9-0</f>
        <v>1866.1999999999998</v>
      </c>
      <c r="K27" s="3">
        <f>1884.9+(200.3-144.6)+(0+(0-0))+0-84.2-0</f>
        <v>1856.4</v>
      </c>
      <c r="L27" s="3">
        <f>1959.4+(150.4-165.6)+(2.997882+(0.230112-0.253368))+0-87.4-0.133722000000005</f>
        <v>1859.6409039999999</v>
      </c>
      <c r="M27" s="3">
        <f>2033.8+(181.9-154.7)+(-2.074476+(-0.185538--0.157794))+0-76.4--0.0779280000000122</f>
        <v>1982.5757079999996</v>
      </c>
      <c r="N27" s="3">
        <f>2187.5+(170-159.7)+(-1.115625+(-0.0867--0.081447))+0-78.1--0.0398309999999921</f>
        <v>2118.6189530000001</v>
      </c>
      <c r="O27" s="3">
        <f>2229.1+(223.2-161.4)+(0+(0-0))+0-83-0</f>
        <v>2207.9</v>
      </c>
      <c r="P27" s="3">
        <f>2235.8+(288.1-164.2)+(-2.280516+(-0.293862--0.167484))+0-97.7--0.0996540000000156</f>
        <v>2259.6927600000004</v>
      </c>
      <c r="Q27" s="3">
        <f>2262.4+(261.6-166.7)+(-3.461472+(-0.400248--0.255051))+0-91.1--0.139383000000005</f>
        <v>2262.7327140000007</v>
      </c>
      <c r="R27" s="3">
        <f>2153.6+(368.6-164.8)+(-2.196672+(-0.375972--0.168096))+0-88.7--0.0904740000000141</f>
        <v>2266.3859260000004</v>
      </c>
      <c r="S27" s="3">
        <f>2138.2+(341.7-167.5)+(-4.361928+(-0.697068--0.3417))+0-83.6--0.170543999999996</f>
        <v>2224.253248</v>
      </c>
      <c r="T27" s="3">
        <f>2233.1+(207.9-165.8)+(-1.138881+(-0.106029--0.084558))+0-85.4--0.0435539999999913</f>
        <v>2188.6832019999997</v>
      </c>
      <c r="U27" s="3">
        <f>2234.6+(167.7-168.4)+(-5.69823+(-0.427635--0.42942))+0-63--0.160649999999991</f>
        <v>2165.3642049999999</v>
      </c>
      <c r="V27" s="3">
        <f>2171.6+(196-166.6)+(-6.645096+(-0.59976--0.509796))+0-48.6--0.148716000000006</f>
        <v>2145.8136560000003</v>
      </c>
      <c r="W27" s="3">
        <f>2180.2+(262.8-169.8)+(-3.335706+(-0.402084--0.259794))+0-86.1--0.131733000000005</f>
        <v>2183.753737</v>
      </c>
      <c r="X27" s="3">
        <f>2149.6+(281.3-163.9)+(-2.192592+(-0.286926--0.167178))+0-84.6--0.0862920000000135</f>
        <v>2180.1739520000001</v>
      </c>
      <c r="Y27" s="3">
        <f>2256.4+(268.6-184)+(1.150764+(0.136986-0.09384))+0-86.1-0.0439109999999913</f>
        <v>2256.0499989999998</v>
      </c>
      <c r="Z27" s="3">
        <f>2320.3+(246.6-185.2)+(-3.550059+(-0.377298--0.283356))+0-73.6--0.112608000000004</f>
        <v>2304.5686070000002</v>
      </c>
      <c r="AA27" s="3">
        <f>2333.8+(191.3-177.6)+(-3.570714+(-0.292689--0.271728))+0-79.7--0.121941000000005</f>
        <v>2264.3302659999999</v>
      </c>
      <c r="AB27" s="3">
        <f>2346+(99.5-214.5)+(-2.39292+(-0.10149--0.21879))+0-75.3--0.076806000000012</f>
        <v>2153.501186</v>
      </c>
      <c r="AC27" s="3">
        <f>2267.4+(94.3-225.7)+(0+(0-0))+0-85.7-0</f>
        <v>2050.3000000000002</v>
      </c>
      <c r="AD27" s="2">
        <v>2287.1</v>
      </c>
      <c r="AE27" s="3">
        <f>2340+(229.2-185.5)+(0+(0-0))+0-96.6-0</f>
        <v>2287.1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2196.1+(133.6-274.3)+(-3.360033+(-0.204408--0.419679))+0-84.2--0.128826000000005</f>
        <v>1968.1840640000003</v>
      </c>
      <c r="G28" s="3">
        <f>2080.2+(138.8-242.8)+(-3.182706+(-0.212364--0.371484))+0-86.6--0.132498000000005</f>
        <v>1886.7089119999998</v>
      </c>
      <c r="H28" s="3">
        <f>2086.3+(139.1-311)+(-3.192039+(-0.212823--0.47583))+0-69.3--0.106029000000004</f>
        <v>1842.2769970000002</v>
      </c>
      <c r="I28" s="3">
        <f>2094+(136.1-335)+(0+(0-0))+0-79.2-0</f>
        <v>1815.8999999999999</v>
      </c>
      <c r="J28" s="3">
        <f>2089.4+(130.6-336.7)+(2.131188+(0.133212-0.343434))+0-76.3-0.0778260000000122</f>
        <v>1808.8431400000002</v>
      </c>
      <c r="K28" s="3">
        <f>1992.7+(125.3-216.4)+(0+(0-0))+0-93.7-0</f>
        <v>1807.9</v>
      </c>
      <c r="L28" s="3">
        <f>2111.7+(125.6-326.6)+(-3.230901+(-0.192168--0.499698))+0-85.5--0.130815000000005</f>
        <v>1822.4074439999997</v>
      </c>
      <c r="M28" s="3">
        <f>2236.1+(125.1-404.4)+(0+(0-0))+0-26.9-0</f>
        <v>1929.8999999999999</v>
      </c>
      <c r="N28" s="3">
        <f>2356.4+(123.9-412.1)+(-1.201764+(-0.063189--0.210171))+0-23.8--0.0121379999999976</f>
        <v>2043.3573559999998</v>
      </c>
      <c r="O28" s="3">
        <f>2348.3+(124.1-335.6)+(-2.395266+(-0.126582--0.342312))+0-21.3--0.0217260000000034</f>
        <v>2113.3421899999998</v>
      </c>
      <c r="P28" s="3">
        <f>2352.4+(123.7-297.5)+(1.199724+(0.063087-0.151725))+0-19.2-0.00979199999999805</f>
        <v>2160.5012940000001</v>
      </c>
      <c r="Q28" s="3">
        <f>2342.9+(126.8-281.2)+(1.194879+(0.064668-0.143412))+0-16-0.00815999999999838</f>
        <v>2173.6079750000004</v>
      </c>
      <c r="R28" s="3">
        <f>2311+(143.3-267.8)+(1.17861+(0.073083-0.136578))+0-17.4-0.00887399999999823</f>
        <v>2170.2062409999999</v>
      </c>
      <c r="S28" s="3">
        <f>2261.9+(142.5-248.6)+(1.153569+(0.072675-0.126786))+0-27.2-0.0138719999999972</f>
        <v>2129.6855860000005</v>
      </c>
      <c r="T28" s="3">
        <f>2232.2+(143.1-235.5)+(3.415266+(0.218943-0.360315))+0-55.1-0.0843030000000032</f>
        <v>2087.8895909999997</v>
      </c>
      <c r="U28" s="3">
        <f>2214.2+(143.7-197.6)+(-2.258484+(-0.146574--0.201552))+0-65.7--0.0670140000000105</f>
        <v>2092.4635080000003</v>
      </c>
      <c r="V28" s="3">
        <f>2156.5+(173.3-157.5)+(-1.099815+(-0.088383--0.080325))+0-94.1--0.0479909999999905</f>
        <v>2077.1401180000003</v>
      </c>
      <c r="W28" s="3">
        <f>2196+(161.7-158.6)+(-1.11996+(-0.082467--0.080886))+0-90.4--0.0461039999999908</f>
        <v>2107.6245629999999</v>
      </c>
      <c r="X28" s="3">
        <f>2257.5+(150.6-174.8)+(-4.6053+(-0.307224--0.356592))+0-90.5--0.184619999999996</f>
        <v>2138.428688</v>
      </c>
      <c r="Y28" s="3">
        <f>2365.4+(122-184.8)+(3.619062+(0.18666-0.282744))+0-73.8-0.112914000000004</f>
        <v>2232.2100639999999</v>
      </c>
      <c r="Z28" s="3">
        <f>2417.7+(169-186.3)+(-1.233027+(-0.08619--0.095013))+0-90.4--0.0461039999999908</f>
        <v>2308.8218999999995</v>
      </c>
      <c r="AA28" s="3">
        <f>2409.9+(125.6-189.6)+(-3.687147+(-0.192168--0.290088))+0-89.3--0.136629000000005</f>
        <v>2253.1474020000001</v>
      </c>
      <c r="AB28" s="3">
        <f>2379.2+(142.5-313.7)+(-6.06696+(-0.363375--0.799935))+0-25--0.0637499999999964</f>
        <v>2177.4333499999998</v>
      </c>
      <c r="AC28" s="3">
        <f>2213.2+(142.4-281.2)+(1.128732+(0.072624-0.143412))+0-22.8-0.0116279999999977</f>
        <v>2052.6463159999994</v>
      </c>
      <c r="AD28" s="2">
        <v>2287.4</v>
      </c>
      <c r="AE28" s="3">
        <f>2414+(164-195.1)+(0+(0-0))+0-95.5-0</f>
        <v>2287.4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2190.6+(141.5-372)+(-2.234412+(-0.14433--0.37944))+0-23.4--0.0238680000000037</f>
        <v>1934.7245659999999</v>
      </c>
      <c r="G29" s="3">
        <f>2181.8+(142-430.5)+(-4.450872+(-0.28968--0.87822))+0-21.9--0.044675999999999</f>
        <v>1867.5823440000001</v>
      </c>
      <c r="H29" s="3">
        <f>2063.3+(142.3-362.3)+(-1.052283+(-0.072573--0.184773))+0-20.8--0.0106079999999979</f>
        <v>1821.5705250000003</v>
      </c>
      <c r="I29" s="3">
        <f>2010.1+(142.5-318.6)+(1.025151+(0.072675-0.162486))+0-47.6-0.0242759999999952</f>
        <v>1787.311064</v>
      </c>
      <c r="J29" s="3">
        <f>1993.1+(141.8-275.4)+(-1.016481+(-0.072318--0.140454))+0-63.8--0.0325379999999935</f>
        <v>1794.784193</v>
      </c>
      <c r="K29" s="3">
        <f>1993.4+(142-290.1)+(1.016634+(0.07242-0.147951))+0-66.1-0.0337109999999933</f>
        <v>1780.1073920000003</v>
      </c>
      <c r="L29" s="3">
        <f>1988.4+(141.5-257.1)+(-2.028168+(-0.14433--0.262242))+0-79.3--0.0808860000000126</f>
        <v>1791.6706300000003</v>
      </c>
      <c r="M29" s="3">
        <f>2205.6+(139.3-363.9)+(2.249712+(0.142086-0.371178))+0-88-0.089760000000014</f>
        <v>1894.9308599999999</v>
      </c>
      <c r="N29" s="3">
        <f>2396.8+(139.2-423.2)+(2.444736+(0.141984-0.431664))+0-90.2-0.0920040000000144</f>
        <v>2024.6630520000001</v>
      </c>
      <c r="O29" s="3">
        <f>2398+(138.9-380.8)+(2.44596+(0.141678-0.388416))+0-70.9-0.0723180000000113</f>
        <v>2087.326904</v>
      </c>
      <c r="P29" s="3">
        <f>2397.1+(139.5-319.5)+(2.445042+(0.14229-0.32589))+0-88-0.089760000000014</f>
        <v>2131.2716820000001</v>
      </c>
      <c r="Q29" s="3">
        <f>2363.7+(139.2-241.5)+(-7.232922+(-0.425952--0.73899))+0-86.1--0.26346600000001</f>
        <v>2168.6435819999997</v>
      </c>
      <c r="R29" s="3">
        <f>2388.7+(139.6-300.1)+(2.436474+(0.142392-0.306102))+0-85.5-0.0872100000000136</f>
        <v>2144.8855539999995</v>
      </c>
      <c r="S29" s="3">
        <f>2403.7+(140.7-326)+(-2.451774+(-0.143514--0.33252))+0-85.6--0.0873120000000136</f>
        <v>2130.6245439999998</v>
      </c>
      <c r="T29" s="3">
        <f>2376.9+(140.6-327.1)+(-7.273314+(-0.430236--1.000926))+0-42.6--0.130356000000005</f>
        <v>2141.2277320000003</v>
      </c>
      <c r="U29" s="3">
        <f>2273.7+(141.4-229.3)+(-4.638348+(-0.288456--0.467772))+0-89.3--0.182171999999996</f>
        <v>2092.2231399999991</v>
      </c>
      <c r="V29" s="3">
        <f>2174.4+(141.3-185.7)+(-1.108944+(-0.072063--0.094707))+0-61--0.0311099999999938</f>
        <v>2067.94481</v>
      </c>
      <c r="W29" s="3">
        <f>2184+(155.9-147.1)+(4.45536+(0.318036-0.300084))+0-86.1-0.175643999999996</f>
        <v>2110.9976680000004</v>
      </c>
      <c r="X29" s="3">
        <f>2231.9+(177.9-164.4)+(-2.276538+(-0.181458--0.167688))+0-85.8--0.0875160000000137</f>
        <v>2157.3972079999999</v>
      </c>
      <c r="Y29" s="3">
        <f>2524.2+(62.7-238.2)+(-2.574684+(-0.063954--0.242964))+0-84.4--0.0860880000000135</f>
        <v>2261.9904139999999</v>
      </c>
      <c r="Z29" s="3">
        <f>2509.4+(62.8-175.9)+(-3.839382+(-0.096084--0.269127))+0-77.4--0.118422000000004</f>
        <v>2315.3520830000002</v>
      </c>
      <c r="AA29" s="3">
        <f>2457.6+(94.6-184)+(-2.506752+(-0.096492--0.18768))+0-93.2--0.0950640000000149</f>
        <v>2272.6795000000002</v>
      </c>
      <c r="AB29" s="3">
        <f>2449.3+(130.9-315.8)+(-2.498286+(-0.133518--0.322116))+0-85.4--0.0871080000000136</f>
        <v>2176.7774200000003</v>
      </c>
      <c r="AC29" s="3">
        <f>2370.9+(141.7-324.8)+(-2.418318+(-0.144534--0.331296))+0-86.6--0.0883320000000138</f>
        <v>2099.0567759999999</v>
      </c>
      <c r="AD29" s="2">
        <v>2300.4</v>
      </c>
      <c r="AE29" s="3">
        <f>2546+(43.3-190.6)+(0+(0-0))+0-98.3-0</f>
        <v>2300.3999999999996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2351.1+(141.6-414.8)+(-3.597183+(-0.216648--0.634644))+0-77.3--0.118269000000004</f>
        <v>1997.5390819999996</v>
      </c>
      <c r="G30" s="3">
        <f>2216.6+(142.1-375.6)+(-1.130466+(-0.072471--0.191556))+0-82.1--0.0418709999999917</f>
        <v>1900.0304899999999</v>
      </c>
      <c r="H30" s="3">
        <f>2058.2+(140.9-303)+(3.149046+(0.215577-0.46359))+0-78.2-0.119646000000005</f>
        <v>1820.6813869999999</v>
      </c>
      <c r="I30" s="3">
        <f>2043.3+(140.8-271.5)+(-2.084166+(-0.143616--0.27693))+0-88.7--0.0904740000000141</f>
        <v>1822.039622</v>
      </c>
      <c r="J30" s="3">
        <f>2029+(140.4-271.6)+(-2.06958+(-0.143208--0.277032))+0-85.9--0.0876180000000137</f>
        <v>1810.0518619999998</v>
      </c>
      <c r="K30" s="3">
        <f>2018.4+(140.3-272.7)+(-4.117536+(-0.286212--0.556308))+0-79.2--0.161567999999997</f>
        <v>1803.1141279999999</v>
      </c>
      <c r="L30" s="3">
        <f>2009.6+(140.8-247.8)+(-4.099584+(-0.287232--0.505512))+0-82.7--0.168707999999996</f>
        <v>1816.1874039999998</v>
      </c>
      <c r="M30" s="3">
        <f>2077.3+(140.7-237.6)+(1.059423+(0.071757-0.121176))+0-80.8-0.0412079999999918</f>
        <v>1900.568796</v>
      </c>
      <c r="N30" s="3">
        <f>2292.4+(139.7-302.3)+(1.169124+(0.071247-0.154173))+0-84-0.0428399999999915</f>
        <v>2046.8433580000001</v>
      </c>
      <c r="O30" s="3">
        <f>2443.6+(138.8-413.2)+(1.246236+(0.070788-0.210732))+0-62.7-0.0319769999999936</f>
        <v>2107.5743149999998</v>
      </c>
      <c r="P30" s="3">
        <f>2445.2+(139.7-321.1)+(1.247052+(0.071247-0.163761))+0-89.1-0.045440999999991</f>
        <v>2175.8090969999994</v>
      </c>
      <c r="Q30" s="3">
        <f>2429.2+(140-267.7)+(-1.238892+(-0.0714--0.136527))+0-93.8--0.0478379999999905</f>
        <v>2206.5740729999998</v>
      </c>
      <c r="R30" s="3">
        <f>2428.5+(139.4-305.1)+(1.238535+(0.071094-0.155601))+0-90.1-0.0459509999999909</f>
        <v>2173.8080770000001</v>
      </c>
      <c r="S30" s="3">
        <f>2346.1+(140.2-254.3)+(-5.982555+(-0.35751--0.648465))+0-86.7--0.221084999999987</f>
        <v>2139.8294850000002</v>
      </c>
      <c r="T30" s="3">
        <f>2361.6+(141.4-328.8)+(-1.204416+(-0.072114--0.167688))+0-72.4--0.0369239999999927</f>
        <v>2100.7280819999996</v>
      </c>
      <c r="U30" s="3">
        <f>2347.9+(142.3-293.2)+(-4.789716+(-0.290292--0.598128))+0-86.3--0.176051999999996</f>
        <v>2106.3941719999998</v>
      </c>
      <c r="V30" s="3">
        <f>2358.3+(142.9-352.6)+(-1.202733+(-0.072879--0.179826))+0-63.3--0.0322829999999936</f>
        <v>2084.2364970000003</v>
      </c>
      <c r="W30" s="3">
        <f>2350.1+(140.2-346.6)+(-4.794204+(-0.286008--0.707064))+0-23.4--0.047735999999999</f>
        <v>2115.9745879999996</v>
      </c>
      <c r="X30" s="3">
        <f>2356+(137-333.1)+(-3.60468+(-0.20961--0.509643))+0-26.6--0.0406980000000015</f>
        <v>2130.036051</v>
      </c>
      <c r="Y30" s="3">
        <f>2431.7+(95.4-262)+(-6.200835+(-0.24327--0.6681))+0-24.2--0.0617099999999965</f>
        <v>2235.1857049999999</v>
      </c>
      <c r="Z30" s="3">
        <f>2554.6+(82.8-304)+(-3.908538+(-0.126684--0.46512))+0-29.4--0.0449820000000017</f>
        <v>2300.4748799999998</v>
      </c>
      <c r="AA30" s="3">
        <f>2425.8+(117.6-250.2)+(-6.18579+(-0.29988--0.63801))+0-23--0.0586499999999967</f>
        <v>2264.4109900000003</v>
      </c>
      <c r="AB30" s="3">
        <f>2344.3+(139.9-291)+(-3.586779+(-0.214047--0.44523))+0-26.3--0.0402390000000015</f>
        <v>2163.5846430000001</v>
      </c>
      <c r="AC30" s="3">
        <f>2159.6+(139.4-212.1)+(-4.405584+(-0.284376--0.432684))+0-24.5--0.0499799999999989</f>
        <v>2058.192704</v>
      </c>
      <c r="AD30" s="2">
        <v>2271.6999999999998</v>
      </c>
      <c r="AE30" s="3">
        <f>2569+(86.1-358.8)+(0+(0-0))+0-24.6-0</f>
        <v>2271.7000000000003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2067.5+(139.1-219.2)+(-4.2177+(-0.283764--0.447168))+0-25.5--0.0520199999999989</f>
        <v>1957.8977240000002</v>
      </c>
      <c r="G31" s="3">
        <f>2067.4+(139-307)+(-3.163122+(-0.21267--0.46971))+0-23.1--0.0353430000000013</f>
        <v>1873.4292610000002</v>
      </c>
      <c r="H31" s="3">
        <f>2049.3+(139.4-318.3)+(-5.225715+(-0.35547--0.811665))+0-29.2--0.0744599999999958</f>
        <v>1836.50494</v>
      </c>
      <c r="I31" s="3">
        <f>2001.5+(139.9-322.8)+(0+(0-0))+0-23.2-0</f>
        <v>1795.3999999999999</v>
      </c>
      <c r="J31" s="3">
        <f>2007.1+(139.6-320.2)+(-1.023621+(-0.071196--0.163302))+0-24--0.0122399999999976</f>
        <v>1801.580725</v>
      </c>
      <c r="K31" s="3">
        <f>2010.6+(139.4-339.6)+(1.025406+(0.071094-0.173196))+0-24.3-0.0123929999999975</f>
        <v>1787.0109109999999</v>
      </c>
      <c r="L31" s="3">
        <f>2011.2+(140-339)+(-1.025712+(-0.0714--0.17289))+0-22.1--0.0112709999999978</f>
        <v>1789.1870490000001</v>
      </c>
      <c r="M31" s="3">
        <f>2076.7+(139.9-298.9)+(1.059117+(0.071349-0.152439))+0-25-0.0127499999999975</f>
        <v>1893.6652769999998</v>
      </c>
      <c r="N31" s="3">
        <f>2295.2+(139.5-385.4)+(-1.170552+(-0.071145--0.196554))+0-29.2--0.014891999999997</f>
        <v>2019.0697489999998</v>
      </c>
      <c r="O31" s="3">
        <f>2387.7+(142.8-388.5)+(-2.435454+(-0.145656--0.39627))+0-20.3--0.0207060000000032</f>
        <v>2119.5358659999997</v>
      </c>
      <c r="P31" s="3">
        <f>2433.2+(142.8-374.9)+(1.240932+(0.072828-0.191199))+0-23-0.0117299999999977</f>
        <v>2179.2108309999999</v>
      </c>
      <c r="Q31" s="3">
        <f>2407.7+(142.6-313)+(-7.367562+(-0.436356--0.95778))+0-23.9--0.0731340000000028</f>
        <v>2206.626996</v>
      </c>
      <c r="R31" s="3">
        <f>2422.7+(140.7-336.5)+(-4.942308+(-0.287028--0.68646))+0-23.4--0.047735999999999</f>
        <v>2199.0048599999996</v>
      </c>
      <c r="S31" s="3">
        <f>2199.3+(148.6-183.2)+(-5.608215+(-0.37893--0.46716))+0-28.9--0.0736949999999958</f>
        <v>2130.3537100000003</v>
      </c>
      <c r="T31" s="3">
        <f>2086.6+(163.9-173.8)+(0+(0-0))+0-22.9-0</f>
        <v>2053.7999999999997</v>
      </c>
      <c r="U31" s="3">
        <f>2027.6+(189-137.4)+(-2.068152+(-0.19278--0.140148))+0-24.4--0.0248880000000039</f>
        <v>2052.7041039999995</v>
      </c>
      <c r="V31" s="3">
        <f>1941.2+(252.4-122.6)+(-0.990012+(-0.128724--0.062526))+0-27.4--0.0139739999999972</f>
        <v>2042.5577639999997</v>
      </c>
      <c r="W31" s="3">
        <f>1938.5+(276.4-126.1)+(-1.97727+(-0.281928--0.128622))+0-42.4--0.0432480000000068</f>
        <v>2044.312672</v>
      </c>
      <c r="X31" s="3">
        <f>2072.7+(167.2-163.8)+(2.114154+(0.170544-0.167076))+0-25.3-0.025806000000004</f>
        <v>2052.8918159999998</v>
      </c>
      <c r="Y31" s="3">
        <f>2397.3+(99.4-279.1)+(1.222623+(0.050694-0.142341))+0-60.4-0.0308039999999939</f>
        <v>2158.3001720000002</v>
      </c>
      <c r="Z31" s="3">
        <f>2475.2+(82.1-207.3)+(-3.787056+(-0.125613--0.317169))+0-87.8--0.134334000000005</f>
        <v>2258.7388339999998</v>
      </c>
      <c r="AA31" s="3">
        <f>2453.6+(114.9-252.2)+(-3.754008+(-0.175797--0.385866))+0-88.4--0.135252000000005</f>
        <v>2224.4913129999995</v>
      </c>
      <c r="AB31" s="3">
        <f>2428.8+(140.7-345.4)+(-3.716064+(-0.215271--0.528462))+0-88.7--0.135711000000005</f>
        <v>2132.1328380000004</v>
      </c>
      <c r="AC31" s="3">
        <f>2434.4+(140-391.4)+(-2.483088+(-0.1428--0.399228))+0-86.1--0.0878220000000137</f>
        <v>2094.7611620000002</v>
      </c>
      <c r="AD31" s="2">
        <v>2259.7999999999997</v>
      </c>
      <c r="AE31" s="3">
        <f>2488+(91-211.4)+(0+(0-0))+0-107.8-0</f>
        <v>2259.7999999999997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2378+(139.8-440.5)+(-1.21278+(-0.071298--0.224655))+0-91.7--0.0467669999999907</f>
        <v>1984.587344</v>
      </c>
      <c r="G32" s="3">
        <f>2209.1+(140.1-386.7)+(-2.253282+(-0.142902--0.394434))+0-77.4--0.0789480000000123</f>
        <v>1883.1771980000001</v>
      </c>
      <c r="H32" s="3">
        <f>2122.7+(140.3-357.5)+(-2.165154+(-0.143106--0.36465))+0-83.9--0.0855780000000134</f>
        <v>1819.7419679999996</v>
      </c>
      <c r="I32" s="3">
        <f>2064.7+(140.2-389)+(0+(0-0))+0-38.3-0</f>
        <v>1777.6</v>
      </c>
      <c r="J32" s="3">
        <f>2068.7+(140.2-352.3)+(0+(0-0))+0-74.8-0</f>
        <v>1781.8</v>
      </c>
      <c r="K32" s="3">
        <f>2056.6+(136-343.5)+(-2.097732+(-0.13872--0.35037))+0-83.6--0.0852720000000133</f>
        <v>1763.69919</v>
      </c>
      <c r="L32" s="3">
        <f>2042.4+(112.8-391.7)+(0+(0-0))+0-79.4-0</f>
        <v>1684.1</v>
      </c>
      <c r="M32" s="3">
        <f>2017.1+(120.4-336.5)+(0+(0-0))+0-93.5-0</f>
        <v>1707.5</v>
      </c>
      <c r="N32" s="3">
        <f>2132.1+(117.9-405.2)+(2.174742+(0.120258-0.413304))+0-83.4-0.0850680000000133</f>
        <v>1763.1966279999997</v>
      </c>
      <c r="O32" s="3">
        <f>2148.5+(121.9-371)+(2.19147+(0.124338-0.37842))+0-75.4-0.076908000000012</f>
        <v>1825.8604800000001</v>
      </c>
      <c r="P32" s="3">
        <f>2158.3+(124.9-344.8)+(0+(0-0))+0-49.4-0</f>
        <v>1889</v>
      </c>
      <c r="Q32" s="3">
        <f>2140.8+(75.3-278.8)+(-3.275424+(-0.115209--0.426564))+0-31.7--0.0485010000000018</f>
        <v>1902.684432</v>
      </c>
      <c r="R32" s="3">
        <f>2103.8+(129.2-236.8)+(0+(0-0))+0-97.2-0</f>
        <v>1899.0000000000002</v>
      </c>
      <c r="S32" s="3">
        <f>2080.5+(113.5-205.2)+(-4.24422+(-0.23154--0.418608))+0-87.4--0.178295999999996</f>
        <v>1897.5211439999998</v>
      </c>
      <c r="T32" s="3">
        <f>2091.4+(113.5-262.4)+(0+(0-0))+0-84-0</f>
        <v>1858.5</v>
      </c>
      <c r="U32" s="3">
        <f>2067+(137.3-160.7)+(-6.32502+(-0.420138--0.491742))+0-80.1--0.245106000000009</f>
        <v>1957.4916900000001</v>
      </c>
      <c r="V32" s="3">
        <f>2033.3+(156.7-144.5)+(1.036983+(0.079917-0.073695))+0-76.9-0.0392189999999922</f>
        <v>1969.6039859999998</v>
      </c>
      <c r="W32" s="3">
        <f>2039.8+(174.4-131.4)+(-1.040298+(-0.088944--0.067014))+0-82.1--0.0418709999999917</f>
        <v>1999.6796430000004</v>
      </c>
      <c r="X32" s="3">
        <f>2020.2+(234.5-132.5)+(0+(0-0))+0-87.4-0</f>
        <v>2034.7999999999997</v>
      </c>
      <c r="Y32" s="3">
        <f>2173.1+(232.2-164.1)+(0+(0-0))+0-79.5-0</f>
        <v>2161.6999999999998</v>
      </c>
      <c r="Z32" s="3">
        <f>2304.3+(110.6-176.7)+(-2.350386+(-0.112812--0.180234))+0-92.6--0.0944520000000148</f>
        <v>2143.4114880000002</v>
      </c>
      <c r="AA32" s="3">
        <f>2294.3+(124.2-179.2)+(-3.510279+(-0.190026--0.274176))+0-78.2--0.119646000000005</f>
        <v>2157.7935170000005</v>
      </c>
      <c r="AB32" s="3">
        <f>2199.5+(140.2-185.2)+(-4.48698+(-0.286008--0.377808))+0-85.2--0.173807999999996</f>
        <v>2065.0786280000002</v>
      </c>
      <c r="AC32" s="3">
        <f>2142.5+(139.4-234.6)+(-1.092675+(-0.071094--0.119646))+0-67.2--0.0342719999999932</f>
        <v>1979.0901490000001</v>
      </c>
      <c r="AD32" s="2">
        <v>2120.6</v>
      </c>
      <c r="AE32" s="3">
        <f>2312+(114.4-208.5)+(0+(0-0))+0-97.3-0</f>
        <v>2120.6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2022.9+(140.3-187)+(-2.063358+(-0.143106--0.19074))+0-85--0.0867000000000136</f>
        <v>1889.270976</v>
      </c>
      <c r="G33" s="3">
        <f>1975.5+(140.8-219.1)+(-2.01501+(-0.143616--0.223482))+0-87.2--0.0889440000000139</f>
        <v>1808.1538</v>
      </c>
      <c r="H33" s="3">
        <f>1965.1+(140.4-236.5)+(-5.011005+(-0.35802--0.603075))+0-87.3--0.222614999999987</f>
        <v>1777.156665</v>
      </c>
      <c r="I33" s="3">
        <f>1983.9+(139.5-266.9)+(2.023578+(0.14229-0.272238))+0-97.2-0.0991440000000155</f>
        <v>1761.094486</v>
      </c>
      <c r="J33" s="3">
        <f>1986.7+(139.6-297.6)+(2.026434+(0.142392-0.303552))+0-86.8-0.0885360000000138</f>
        <v>1743.6767380000001</v>
      </c>
      <c r="K33" s="3">
        <f>1995.2+(140.4-354.8)+(1.017552+(0.071604-0.180948))+0-62.8-0.0320279999999936</f>
        <v>1718.87618</v>
      </c>
      <c r="L33" s="3">
        <f>2151.1+(140.3-436.9)+(-1.097061+(-0.071553--0.222819))+0-73.5--0.0374849999999925</f>
        <v>1780.09169</v>
      </c>
      <c r="M33" s="3">
        <f>2321.3+(140.9-486)+(1.183863+(0.071859-0.24786))+0-85.8-0.0437579999999913</f>
        <v>1891.3641040000002</v>
      </c>
      <c r="N33" s="3">
        <f>2376.2+(140.5-484.8)+(0+(0-0))+0-23.3-0</f>
        <v>2008.6</v>
      </c>
      <c r="O33" s="3">
        <f>2462.8+(139.9-437)+(1.256028+(0.071349-0.22287))+0-76.1-0.0388109999999923</f>
        <v>2090.6656960000005</v>
      </c>
      <c r="P33" s="3">
        <f>2511.9+(138.9-442)+(2.562138+(0.141678-0.45084))+0-70.4-0.0718080000000112</f>
        <v>2140.5811680000002</v>
      </c>
      <c r="Q33" s="3">
        <f>2505.3+(139.7-390.5)+(-1.277703+(-0.071247--0.199155))+0-85.4--0.0435539999999913</f>
        <v>2167.993759</v>
      </c>
      <c r="R33" s="3">
        <f>2492.6+(139-383.1)+(-5.084904+(-0.28356--0.781524))+0-78.4--0.159935999999997</f>
        <v>2165.6729959999998</v>
      </c>
      <c r="S33" s="3">
        <f>2470.6+(138-390)+(-6.30003+(-0.3519--0.9945))+0-91.9--0.234344999999987</f>
        <v>2121.2769149999995</v>
      </c>
      <c r="T33" s="3">
        <f>2457.5+(138.3-417.8)+(-2.50665+(-0.141066--0.426156))+0-78.1--0.0796620000000124</f>
        <v>2097.7581020000002</v>
      </c>
      <c r="U33" s="3">
        <f>2473.5+(137.9-456.6)+(2.52297+(0.140658-0.465732))+0-87.8-0.089556000000014</f>
        <v>2069.1083400000002</v>
      </c>
      <c r="V33" s="3">
        <f>2453.7+(138.2-490.6)+(-3.754161+(-0.211446--0.750618))+0-27.4--0.0419220000000016</f>
        <v>2070.7269329999995</v>
      </c>
      <c r="W33" s="3">
        <f>2354.6+(141.1-318.4)+(-1.200846+(-0.071961--0.162384))+0-92--0.0469199999999907</f>
        <v>2084.2364969999994</v>
      </c>
      <c r="X33" s="3">
        <f>2290.7+(139.3-215.6)+(-5.841285+(-0.355215--0.54978))+0-83.2--0.212159999999988</f>
        <v>2125.7654399999997</v>
      </c>
      <c r="Y33" s="3">
        <f>2407.8+(113.8-252.2)+(1.227978+(0.058038-0.128622))+0-81.6-0.0416159999999917</f>
        <v>2188.915778</v>
      </c>
      <c r="Z33" s="3">
        <f>2571+(105.4-293.3)+(-5.24484+(-0.215016--0.598332))+0-86--0.175439999999996</f>
        <v>2292.413916</v>
      </c>
      <c r="AA33" s="3">
        <f>2493.3+(127.7-306.3)+(-6.357915+(-0.325635--0.781065))+0-80.1--0.204254999999988</f>
        <v>2228.9017700000004</v>
      </c>
      <c r="AB33" s="3">
        <f>2490.5+(141.4-431.7)+(-6.350775+(-0.36057--1.100835))+0-57.3--0.146114999999992</f>
        <v>2137.4356049999997</v>
      </c>
      <c r="AC33" s="3">
        <f>2188.5+(141.3-229.2)+(-3.348405+(-0.216189--0.350676))+0-87.4--0.133722000000005</f>
        <v>2010.1198039999999</v>
      </c>
      <c r="AD33" s="2">
        <v>2288.2999999999997</v>
      </c>
      <c r="AE33" s="3">
        <f>2501+(104.2-226.4)+(0+(0-0))+0-90.5-0</f>
        <v>2288.3000000000002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2130.4+(139.2-251.1)+(-2.173008+(-0.141984--0.256122))+0-86--0.0877200000000137</f>
        <v>1930.5288499999999</v>
      </c>
      <c r="G34" s="3">
        <f>2073.6+(138.2-290.5)+(-2.115072+(-0.140964--0.29631))+0-92.6--0.0944520000000148</f>
        <v>1826.834726</v>
      </c>
      <c r="H34" s="3">
        <f>2076+(133.3-379.7)+(-2.11752+(-0.135966--0.387294))+0-46.3--0.0472260000000074</f>
        <v>1781.4810339999999</v>
      </c>
      <c r="I34" s="3">
        <f>2043.2+(130.6-314.3)+(-1.042032+(-0.066606--0.160293))+0-91.4--0.0466139999999907</f>
        <v>1767.198269</v>
      </c>
      <c r="J34" s="3">
        <f>1991.8+(132.6-265.9)+(-4.063272+(-0.270504--0.542436))+0-86.1--0.175643999999996</f>
        <v>1768.784304</v>
      </c>
      <c r="K34" s="3">
        <f>1917.8+(132.3-212.6)+(1.956156+(0.134946-0.216852))+0-89.1-0.0908820000000142</f>
        <v>1750.1833680000002</v>
      </c>
      <c r="L34" s="3">
        <f>1908.8+(134.8-202.1)+(-0.973488+(-0.068748--0.103071))+0-87.5--0.0446249999999911</f>
        <v>1753.10546</v>
      </c>
      <c r="M34" s="3">
        <f>2109.7+(135.3-295.7)+(3.227841+(0.207009-0.452421))+0-93.7-0.143361000000005</f>
        <v>1858.4390679999997</v>
      </c>
      <c r="N34" s="3">
        <f>2407.7+(134.5-445.6)+(2.455854+(0.13719-0.454512))+0-87.4-0.0891480000000139</f>
        <v>2011.2493839999997</v>
      </c>
      <c r="O34" s="3">
        <f>2496.6+(135-451.7)+(-1.273266+(-0.06885--0.230367))+0-76.8--0.0391679999999922</f>
        <v>2102.0274189999996</v>
      </c>
      <c r="P34" s="3">
        <f>2510+(135.2-428.7)+(-1.2801+(-0.068952--0.218637))+0-74.2--0.0378419999999925</f>
        <v>2141.2074270000003</v>
      </c>
      <c r="Q34" s="3">
        <f>2398.7+(135.2-309)+(-3.670011+(-0.206856--0.47277))+0-88.7--0.135711000000005</f>
        <v>2132.9316139999996</v>
      </c>
      <c r="R34" s="3">
        <f>2389.3+(134.1-296.5)+(0+(0-0))+0-92.2-0</f>
        <v>2134.7000000000003</v>
      </c>
      <c r="S34" s="3">
        <f>2426.7+(134.4-317.2)+(-6.188085+(-0.34272--0.80886))+0-93.5--0.238424999999986</f>
        <v>2144.9164799999999</v>
      </c>
      <c r="T34" s="3">
        <f>2443.1+(135.5-347.2)+(2.491962+(0.13821-0.354144))+0-70.9-0.0723180000000113</f>
        <v>2162.7037100000002</v>
      </c>
      <c r="U34" s="3">
        <f>2435.1+(133.8-342.3)+(-3.725703+(-0.204714--0.523719))+0-90.3--0.138159000000005</f>
        <v>2133.031461</v>
      </c>
      <c r="V34" s="3">
        <f>2416.2+(131.9-348.9)+(-1.232262+(-0.067269--0.177939))+0-72.1--0.0367709999999927</f>
        <v>2126.015179</v>
      </c>
      <c r="W34" s="3">
        <f>2417.9+(131.5-354.6)+(-3.699387+(-0.201195--0.542538))+0-87.1--0.133263000000005</f>
        <v>2104.4752190000004</v>
      </c>
      <c r="X34" s="3">
        <f>2177.5+(133.2-190.3)+(-1.110525+(-0.067932--0.097053))+0-94.8--0.0483479999999904</f>
        <v>2024.5669440000001</v>
      </c>
      <c r="Y34" s="3">
        <f>2286.8+(118.3-170.3)+(0+(0-0))+0-78.1-0</f>
        <v>2156.7000000000003</v>
      </c>
      <c r="Z34" s="3">
        <f>2493.2+(97.2-280.7)+(0+(0-0))+0-75.8-0</f>
        <v>2233.8999999999996</v>
      </c>
      <c r="AA34" s="3">
        <f>2429.6+(128.8-285.7)+(-4.956384+(-0.262752--0.582828))+0-82.4--0.168095999999996</f>
        <v>2185.8317879999995</v>
      </c>
      <c r="AB34" s="3">
        <f>2172.9+(144.5-153.4)+(-2.216358+(-0.14739--0.156468))+0-83.8--0.0854760000000134</f>
        <v>2078.0781959999999</v>
      </c>
      <c r="AC34" s="3">
        <f>1969.5+(198.4-119.2)+(-1.004445+(-0.101184--0.060792))+0-84.5--0.0430949999999914</f>
        <v>1963.1982579999999</v>
      </c>
      <c r="AD34" s="2">
        <v>2240.5</v>
      </c>
      <c r="AE34" s="3">
        <f>2509+(109.8-284)+(0+(0-0))+0-94.3-0</f>
        <v>2240.5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1878.4+(164.9-108.6)+(-3.831936+(-0.336396--0.221544))+0-78.8--0.160751999999997</f>
        <v>1852.1139640000001</v>
      </c>
      <c r="G35" s="3">
        <f>1844.3+(146.6-123.7)+(-0.940593+(-0.074766--0.063087))+0-82.5--0.0420749999999916</f>
        <v>1783.7898030000001</v>
      </c>
      <c r="H35" s="3">
        <f>1837.6+(134.2-143.9)+(-0.937176+(-0.068442--0.073389))+0-80.1--0.0408509999999919</f>
        <v>1746.9086219999999</v>
      </c>
      <c r="I35" s="3">
        <f>1863.9+(133.5-170.6)+(2.851767+(0.204255-0.261018))+0-92.3-0.141219000000005</f>
        <v>1737.1537850000002</v>
      </c>
      <c r="J35" s="3">
        <f>1823.5+(134.2-146.8)+(-2.789955+(-0.205326--0.224604))+0-80.4--0.123012000000005</f>
        <v>1727.852335</v>
      </c>
      <c r="K35" s="3">
        <f>1836.4+(131.2-180.5)+(-0.936564+(-0.066912--0.092055))+0-72--0.0367199999999927</f>
        <v>1714.2252990000002</v>
      </c>
      <c r="L35" s="3">
        <f>1814.1+(129.7-152.7)+(-3.700764+(-0.264588--0.311508))+0-82.9--0.169115999999996</f>
        <v>1704.7152719999999</v>
      </c>
      <c r="M35" s="3">
        <f>1960+(122.6-175.5)+(3.9984+(0.250104-0.35802))+0-82.2-0.167687999999996</f>
        <v>1828.6227959999999</v>
      </c>
      <c r="N35" s="3">
        <f>2141+(121.5-217.2)+(1.09191+(0.061965-0.110772))+0-76.5-0.0390149999999922</f>
        <v>1969.8040879999999</v>
      </c>
      <c r="O35" s="3">
        <f>2147.9+(139.7-164.6)+(1.095429+(0.071247-0.083946))+0-74.7-0.0380969999999924</f>
        <v>2049.3446330000002</v>
      </c>
      <c r="P35" s="3">
        <f>2173.6+(172-153)+(-1.108536+(-0.08772--0.07803))+0-99.6--0.0507959999999899</f>
        <v>2091.9325699999999</v>
      </c>
      <c r="Q35" s="3">
        <f>2176.7+(155.1-147.8)+(2.220234+(0.158202-0.150756))+0-87.9-0.089658000000014</f>
        <v>2098.238022</v>
      </c>
      <c r="R35" s="3">
        <f>2154.1+(160.1-150)+(-2.197182+(-0.163302--0.153))+0-92--0.0938400000000147</f>
        <v>2070.0863559999998</v>
      </c>
      <c r="S35" s="3">
        <f>2185.6+(122.2-175.9)+(2.229312+(0.124644-0.179418))+0-88.2-0.0899640000000141</f>
        <v>2045.7845740000002</v>
      </c>
      <c r="T35" s="3">
        <f>2186.3+(121.6-189.7)+(2.230026+(0.124032-0.193494))+0-87.5-0.089250000000014</f>
        <v>2032.7713140000001</v>
      </c>
      <c r="U35" s="3">
        <f>2171.8+(122.7-205.4)+(-1.107618+(-0.062577--0.104754))+0-64.2--0.0327419999999935</f>
        <v>2023.8673010000002</v>
      </c>
      <c r="V35" s="3">
        <f>2233.1+(122.7-242.7)+(-4.555524+(-0.250308--0.495108))+0-91.7--0.187067999999996</f>
        <v>2017.2763439999999</v>
      </c>
      <c r="W35" s="3">
        <f>2273.2+(123-275)+(-5.79666+(-0.31365--0.70125))+0-92.3--0.235364999999987</f>
        <v>2023.7263049999999</v>
      </c>
      <c r="X35" s="3">
        <f>2100.7+(159.4-157.9)+(-7.499499+(-0.569058--0.563703))+0-84.5--0.301665000000001</f>
        <v>2010.496811</v>
      </c>
      <c r="Y35" s="3">
        <f>2173+(204.3-183.2)+(1.10823+(0.104193-0.093432))+0-85.4-0.0435539999999913</f>
        <v>2109.7754369999998</v>
      </c>
      <c r="Z35" s="3">
        <f>2418.9+(77.8-176)+(-1.233639+(-0.039678--0.08976))+0-86.8--0.0442679999999912</f>
        <v>2232.7607110000004</v>
      </c>
      <c r="AA35" s="3">
        <f>2398.4+(99.2-228.3)+(-9.785472+(-0.404736--0.931464))+0-74--0.301919999999994</f>
        <v>2186.3431759999999</v>
      </c>
      <c r="AB35" s="3">
        <f>2400.1+(122.1-351.9)+(-6.120255+(-0.311355--0.897345))+0-73.3--0.186914999999989</f>
        <v>2091.6526499999995</v>
      </c>
      <c r="AC35" s="3">
        <f>2270.9+(121-334.5)+(-3.474477+(-0.18513--0.511785))+0-70--0.107100000000004</f>
        <v>1984.3592780000001</v>
      </c>
      <c r="AD35" s="2">
        <v>2236.7000000000003</v>
      </c>
      <c r="AE35" s="3">
        <f>2451+(69.9-188)+(0+(0-0))+0-96.2-0</f>
        <v>2236.7000000000003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2239.9+(121.6-394.4)+(-4.569396+(-0.248064--0.804576))+0-78.3--0.159731999999997</f>
        <v>1884.9468480000003</v>
      </c>
      <c r="G36" s="3">
        <f>2114.9+(121.7-355.8)+(-4.314396+(-0.248268--0.725832))+0-80--0.163199999999997</f>
        <v>1797.1263680000002</v>
      </c>
      <c r="H36" s="3">
        <f>2049.4+(122.4-335.1)+(-5.22597+(-0.31212--0.854505))+0-86--0.219299999999988</f>
        <v>1746.235715</v>
      </c>
      <c r="I36" s="3">
        <f>2024.5+(122.4-318.3)+(2.06499+(0.124848-0.324666))+0-94-0.095880000000015</f>
        <v>1736.3692919999999</v>
      </c>
      <c r="J36" s="3">
        <f>2008.9+(122.6-303.8)+(-1.024539+(-0.062526--0.154938))+0-89.3--0.0455429999999909</f>
        <v>1737.513416</v>
      </c>
      <c r="K36" s="3">
        <f>2053.1+(121.8-393.1)+(0+(0-0))+0-73.1-0</f>
        <v>1708.7</v>
      </c>
      <c r="L36" s="3">
        <f>2051.1+(122.3-432.8)+(-1.046061+(-0.062373--0.220728))+0-31--0.0158099999999969</f>
        <v>1708.728104</v>
      </c>
      <c r="M36" s="3">
        <f>2146.7+(122.6-409.6)+(2.189634+(0.125052-0.417792))+0-17.6-0.0179520000000028</f>
        <v>1843.978942</v>
      </c>
      <c r="N36" s="3">
        <f>2339.6+(122.2-478.4)+(1.193196+(0.062322-0.243984))+0-13.4-0.00683399999999864</f>
        <v>1971.0046999999997</v>
      </c>
      <c r="O36" s="3">
        <f>2354.7+(121.6-429.6)+(1.200897+(0.062016-0.219096))+0-5.1-0.00260099999999948</f>
        <v>2042.641216</v>
      </c>
      <c r="P36" s="3">
        <f>2366+(121.2-397.2)+(-3.61998+(-0.185436--0.607716))+0-3.9--0.00596700000000023</f>
        <v>2082.9082669999998</v>
      </c>
      <c r="Q36" s="3">
        <f>2368.5+(121.5-373.7)+(-1.207935+(-0.061965--0.190587))+0-4.8--0.00244799999999951</f>
        <v>2110.423135</v>
      </c>
      <c r="R36" s="3">
        <f>2351.4+(121-352.6)+(-4.796856+(-0.24684--0.719304))+0-9.9--0.0201959999999996</f>
        <v>2105.595804</v>
      </c>
      <c r="S36" s="3">
        <f>2333.5+(121.2-371.8)+(-2.38017+(-0.123624--0.379236))+0-10.7--0.0109140000000017</f>
        <v>2070.0863560000003</v>
      </c>
      <c r="T36" s="3">
        <f>2336+(121.1-355)+(2.38272+(0.123522-0.3621))+0-35.1-0.0358020000000056</f>
        <v>2069.1083400000002</v>
      </c>
      <c r="U36" s="3">
        <f>2278.1+(120.3-275.2)+(-3.485493+(-0.184059--0.421056))+0-82.4--0.126072000000005</f>
        <v>2037.6775759999996</v>
      </c>
      <c r="V36" s="3">
        <f>2224.1+(120.1-259.5)+(-3.402873+(-0.183753--0.397035))+0-71.7--0.109701000000004</f>
        <v>2009.92011</v>
      </c>
      <c r="W36" s="3">
        <f>2155.6+(121-238.3)+(-6.596136+(-0.37026--0.729198))+0-28.5--0.0872100000000033</f>
        <v>2003.6500119999998</v>
      </c>
      <c r="X36" s="3">
        <f>2138.6+(122-212.4)+(-4.362744+(-0.24888--0.433296))+0-31.3--0.0638519999999986</f>
        <v>2012.7855239999999</v>
      </c>
      <c r="Y36" s="3">
        <f>2202.8+(174.8-176.7)+(0+(0-0))+0-83-0</f>
        <v>2117.9</v>
      </c>
      <c r="Z36" s="3">
        <f>2365.9+(95.7-179.3)+(-3.619827+(-0.146421--0.274329))+0-83.3--0.127449000000005</f>
        <v>2195.63553</v>
      </c>
      <c r="AA36" s="3">
        <f>2374.9+(99.2-241.3)+(-4.844796+(-0.202368--0.492252))+0-79.2--0.161567999999997</f>
        <v>2149.2066560000003</v>
      </c>
      <c r="AB36" s="3">
        <f>2338.8+(135.8-327.7)+(0+(0-0))+0-71.9-0</f>
        <v>2075</v>
      </c>
      <c r="AC36" s="3">
        <f>2246.1+(137.3-304)+(-2.291022+(-0.140046--0.31008))+0-62.2--0.0634440000000099</f>
        <v>2015.142456</v>
      </c>
      <c r="AD36" s="2">
        <v>2211.3999999999996</v>
      </c>
      <c r="AE36" s="3">
        <f>2434+(71.6-202.4)+(0+(0-0))+0-91.8-0</f>
        <v>2211.3999999999996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2211.3+(138.7-353.2)+(-2.255526+(-0.141474--0.360264))+0-70.2--0.0716040000000112</f>
        <v>1924.6348680000001</v>
      </c>
      <c r="G37" s="3">
        <f>2094.5+(137.3-336.9)+(-2.13639+(-0.140046--0.343638))+0-60.8--0.0620160000000097</f>
        <v>1832.2292180000002</v>
      </c>
      <c r="H37" s="3">
        <f>2018.7+(135.9-298.7)+(-2.059074+(-0.138618--0.304674))+0-82.2--0.0838440000000131</f>
        <v>1771.8908260000001</v>
      </c>
      <c r="I37" s="3">
        <f>1973+(134.8-265.8)+(0+(0-0))+0-84-0</f>
        <v>1758</v>
      </c>
      <c r="J37" s="3">
        <f>1855.1+(134.6-168.1)+(-1.892202+(-0.137292--0.171462))+0-72.7--0.0741540000000116</f>
        <v>1747.1161219999997</v>
      </c>
      <c r="K37" s="3">
        <f>1781.8+(139.9-132.4)+(-2.726154+(-0.214047--0.202572))+0-89.4--0.136782000000005</f>
        <v>1697.2991529999999</v>
      </c>
      <c r="L37" s="3">
        <f>1730.1+(135.1-151.4)+(-4.411755+(-0.344505--0.38607))+0-74.7--0.190484999999989</f>
        <v>1634.9202949999999</v>
      </c>
      <c r="M37" s="3">
        <f>1750.8+(141.9-156)+(0+(0-0))+0-62.8-0</f>
        <v>1673.9</v>
      </c>
      <c r="N37" s="3">
        <f>1879.2+(139.8-172.6)+(0+(0-0))+0-88-0</f>
        <v>1758.4</v>
      </c>
      <c r="O37" s="3">
        <f>2004.9+(133.3-193.3)+(0+(0-0))+0-94.9-0</f>
        <v>1850</v>
      </c>
      <c r="P37" s="3">
        <f>1993.4+(149.2-166.6)+(-4.066536+(-0.304368--0.339864))+0-79.7--0.162587999999997</f>
        <v>1892.4315479999998</v>
      </c>
      <c r="Q37" s="3">
        <f>1995.3+(164.8-154)+(1.017603+(0.084048-0.07854))+0-89.5-0.0456449999999909</f>
        <v>1917.577466</v>
      </c>
      <c r="R37" s="3">
        <f>1907.1+(209.5-147.2)+(-3.890484+(-0.42738--0.300288))+0-79.8--0.162791999999997</f>
        <v>1885.745216</v>
      </c>
      <c r="S37" s="3">
        <f>1875+(225-150.2)+(0+(0-0))+0-75-0</f>
        <v>1874.8</v>
      </c>
      <c r="T37" s="3">
        <f>1864.9+(215.5-152.9)+(-0.951099+(-0.109905--0.077979))+0-83.7--0.0426869999999915</f>
        <v>1842.8596619999998</v>
      </c>
      <c r="U37" s="3">
        <f>1873.3+(191.5-150.6)+(-3.821532+(-0.39066--0.307224))+0-60.3--0.123011999999997</f>
        <v>1850.1180440000001</v>
      </c>
      <c r="V37" s="3">
        <f>1922.8+(168.2-151.5)+(-0.980628+(-0.085782--0.077265))+0-100.9--0.0514589999999898</f>
        <v>1837.6623139999999</v>
      </c>
      <c r="W37" s="3">
        <f>1834+(247-153.6)+(-3.74136+(-0.50388--0.313344))+0-89.3--0.182171999999996</f>
        <v>1834.3502760000001</v>
      </c>
      <c r="X37" s="3">
        <f>1789.6+(305.3-155.1)+(-3.650784+(-0.622812--0.316404))+0-89--0.181559999999996</f>
        <v>1847.0243679999999</v>
      </c>
      <c r="Y37" s="3">
        <f>1932.4+(301-178.6)+(-0.985524+(-0.15351--0.091086))+0-81.4--0.0415139999999917</f>
        <v>1972.3935660000002</v>
      </c>
      <c r="Z37" s="3">
        <f>2174.7+(126.9-173.1)+(-3.327291+(-0.194157--0.264843))+0-49.6--0.0758880000000029</f>
        <v>2075.7192829999999</v>
      </c>
      <c r="AA37" s="3">
        <f>2035.6+(242.5-161.9)+(-3.114468+(-0.371025--0.247707))+0-69--0.105570000000004</f>
        <v>2044.0677839999996</v>
      </c>
      <c r="AB37" s="3">
        <f>1995.6+(212.7-140.6)+(-1.017756+(-0.108477--0.071706))+0-88.4--0.045083999999991</f>
        <v>1978.290557</v>
      </c>
      <c r="AC37" s="3">
        <f>2038.2+(135-177.3)+(-1.039482+(-0.06885--0.090423))+0-63.3--0.0322829999999936</f>
        <v>1931.6143740000002</v>
      </c>
      <c r="AD37" s="2">
        <v>2069.6999999999998</v>
      </c>
      <c r="AE37" s="3">
        <f>2194+(100.5-199.8)+(0+(0-0))+0-25-0</f>
        <v>2069.6999999999998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1977.1+(133.5-181.2)+(-1.008321+(-0.068085--0.092412))+0-93.6--0.0477359999999905</f>
        <v>1834.863742</v>
      </c>
      <c r="G38" s="3">
        <f>1964.6+(133.7-226.2)+(-4.007784+(-0.272748--0.461448))+0-96.5--0.196859999999996</f>
        <v>1771.9777759999999</v>
      </c>
      <c r="H38" s="3">
        <f>1883.6+(134.1-222.5)+(-0.960636+(-0.068391--0.113475))+0-85.1--0.0434009999999914</f>
        <v>1709.2278489999999</v>
      </c>
      <c r="I38" s="3">
        <f>1845.9+(134.6-239.2)+(-0.941409+(-0.068646--0.121992))+0-50--0.0254999999999949</f>
        <v>1690.437437</v>
      </c>
      <c r="J38" s="3">
        <f>1813.4+(134.4-159.8)+(-1.849668+(-0.137088--0.162996))+0-94--0.095880000000015</f>
        <v>1692.2721200000001</v>
      </c>
      <c r="K38" s="3">
        <f>1839.6+(134.2-216.1)+(-1.876392+(-0.136884--0.220422))+0-76.6--0.0781320000000122</f>
        <v>1679.385278</v>
      </c>
      <c r="L38" s="3">
        <f>1837.4+(120.7-226.1)+(-3.748296+(-0.246228--0.461244))+0-78.1--0.159323999999997</f>
        <v>1650.526044</v>
      </c>
      <c r="M38" s="3">
        <f>1910.4+(124-225.6)+(0.974304+(0.06324-0.115056))+0-63.8-0.0325379999999935</f>
        <v>1745.8899500000002</v>
      </c>
      <c r="N38" s="3">
        <f>2207.9+(132.5-353.9)+(1.126029+(0.067575-0.180489))+0-86.2-0.0439619999999913</f>
        <v>1901.269153</v>
      </c>
      <c r="O38" s="3">
        <f>2299.4+(116.1-331.2)+(-1.172694+(-0.059211--0.168912))+0-97.1--0.0495209999999901</f>
        <v>1986.1865280000002</v>
      </c>
      <c r="P38" s="3">
        <f>2321.4+(120.7-310)+(2.367828+(0.123114-0.3162))+0-83.9-0.0855780000000134</f>
        <v>2050.2891639999998</v>
      </c>
      <c r="Q38" s="3">
        <f>2329.1+(121.4-357.6)+(0+(0-0))+0-23.2-0</f>
        <v>2069.7000000000003</v>
      </c>
      <c r="R38" s="3">
        <f>2368.3+(128.8-420.1)+(-2.415666+(-0.131376--0.428502))+0-21.8--0.0222360000000035</f>
        <v>2053.1036959999997</v>
      </c>
      <c r="S38" s="3">
        <f>2383.4+(114.7-449.7)+(-1.215534+(-0.058497--0.229347))+0-56.5--0.0288149999999943</f>
        <v>1990.884131</v>
      </c>
      <c r="T38" s="3">
        <f>2281.3+(117.9-372.1)+(-2.326926+(-0.120258--0.379542))+0-69.5--0.0708900000000111</f>
        <v>1955.6032480000001</v>
      </c>
      <c r="U38" s="3">
        <f>2261.5+(123.6-404.4)+(-3.460095+(-0.189108--0.618732))+0-35.8--0.0547740000000021</f>
        <v>1941.924303</v>
      </c>
      <c r="V38" s="3">
        <f>2290.9+(125.7-421.8)+(0+(0-0))+0-67.4-0</f>
        <v>1927.4</v>
      </c>
      <c r="W38" s="3">
        <f>2270.2+(135-415.6)+(-1.157802+(-0.06885--0.211956))+0-68.3--0.0348329999999931</f>
        <v>1920.3201369999999</v>
      </c>
      <c r="X38" s="3">
        <f>2239.8+(134.5-410.8)+(-3.426894+(-0.205785--0.628524))+0-45.1--0.0690030000000026</f>
        <v>1915.4648480000003</v>
      </c>
      <c r="Y38" s="3">
        <f>2316.8+(124.1-319.6)+(-1.181568+(-0.063291--0.162996))+0-89.2--0.0454919999999909</f>
        <v>2031.0636290000002</v>
      </c>
      <c r="Z38" s="3">
        <f>2440.5+(103.8-335.6)+(-2.48931+(-0.105876--0.342312))+0-88.1--0.089862000000014</f>
        <v>2118.4369879999999</v>
      </c>
      <c r="AA38" s="3">
        <f>2371.7+(132.8-336.8)+(-3.628701+(-0.203184--0.515304))+0-74.5--0.113985000000004</f>
        <v>2089.9974039999997</v>
      </c>
      <c r="AB38" s="3">
        <f>2238.8+(136-294.5)+(-2.283576+(-0.13872--0.30039))+0-85.4--0.0871080000000136</f>
        <v>1992.8652020000002</v>
      </c>
      <c r="AC38" s="3">
        <f>2258.2+(135.9-345.4)+(3.455046+(0.207927-0.528462))+0-96.7-0.147951000000006</f>
        <v>1954.9865600000001</v>
      </c>
      <c r="AD38" s="2">
        <v>2095.6000000000004</v>
      </c>
      <c r="AE38" s="3">
        <f>2465+(97.3-369)+(0+(0-0))+0-97.7-0</f>
        <v>2095.6000000000004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1995.4+(136.2-223.9)+(0+(0-0))+0-71.5-0</f>
        <v>1836.2</v>
      </c>
      <c r="G39" s="3">
        <f>1836.3+(135.2-137.4)+(-0.936513+(-0.068952--0.070074))+0-90.5--0.0461549999999908</f>
        <v>1742.7107639999999</v>
      </c>
      <c r="H39" s="3">
        <f>1778.5+(135.4-136.4)+(2.721105+(0.207162-0.208692))+0-89.5-0.136935000000005</f>
        <v>1690.5826400000001</v>
      </c>
      <c r="I39" s="3">
        <f>1751.1+(135.6-140.5)+(-3.572244+(-0.276624--0.28662))+0-74.9--0.152795999999997</f>
        <v>1667.8905479999999</v>
      </c>
      <c r="J39" s="3">
        <f>1741.7+(135.5-125.4)+(-2.664801+(-0.207315--0.191862))+0-89.2--0.136476000000005</f>
        <v>1660.0562219999997</v>
      </c>
      <c r="K39" s="3">
        <f>1656.5+(186.2-130.8)+(-1.68963+(-0.189924--0.133416))+0-94.5--0.0963900000000151</f>
        <v>1615.750252</v>
      </c>
      <c r="L39" s="3">
        <f>1636.2+(156.9-142.4)+(-5.841234+(-0.560133--0.508368))+0-89--0.317730000000001</f>
        <v>1556.1247310000001</v>
      </c>
      <c r="M39" s="3">
        <f>1630+(183.6-137.7)+(0.8313+(0.093636-0.070227))+0-86.6-0.0441659999999912</f>
        <v>1590.1105430000002</v>
      </c>
      <c r="N39" s="3">
        <f>1710.4+(158.2-142.5)+(0.872304+(0.080682-0.072675))+0-81-0.0413099999999918</f>
        <v>1645.939001</v>
      </c>
      <c r="O39" s="3">
        <f>1749.3+(151.1-145.9)+(-1.784286+(-0.154122--0.148818))+0-60.5--0.0617100000000096</f>
        <v>1692.2721199999999</v>
      </c>
      <c r="P39" s="3">
        <f>1860.4+(136.7-158.4)+(-2.846412+(-0.209151--0.242352))+0-88.2--0.134946000000005</f>
        <v>1747.821735</v>
      </c>
      <c r="Q39" s="3">
        <f>1876.6+(144.1-153.1)+(-3.828264+(-0.293964--0.312324))+0-91.1--0.185843999999996</f>
        <v>1772.8759400000001</v>
      </c>
      <c r="R39" s="3">
        <f>1903.6+(136.2-197)+(0+(0-0))+0-67.2-0</f>
        <v>1775.6</v>
      </c>
      <c r="S39" s="3">
        <f>1896.4+(137.7-242.1)+(-2.901492+(-0.210681--0.370413))+0-27.4--0.0419220000000016</f>
        <v>1761.9001619999999</v>
      </c>
      <c r="T39" s="3">
        <f>1941.9+(139.3-304.3)+(-0.990369+(-0.071043--0.155193))+0-26.7--0.0136169999999973</f>
        <v>1749.3073980000001</v>
      </c>
      <c r="U39" s="3">
        <f>1948.1+(138.6-256.1)+(-1.987062+(-0.141372--0.261222))+0-96.1--0.0980220000000153</f>
        <v>1732.73081</v>
      </c>
      <c r="V39" s="3">
        <f>1974.9+(138.9-319.6)+(-2.014398+(-0.141678--0.325992))+0-65.3--0.0666060000000104</f>
        <v>1727.1365220000002</v>
      </c>
      <c r="W39" s="3">
        <f>1915.8+(138.8-216.6)+(-2.931174+(-0.212364--0.331398))+0-79.3--0.121329000000005</f>
        <v>1756.0091890000001</v>
      </c>
      <c r="X39" s="3">
        <f>1892.2+(138.9-152.3)+(-2.895066+(-0.212517--0.233019))+0-82.1--0.125613000000005</f>
        <v>1793.951049</v>
      </c>
      <c r="Y39" s="3">
        <f>2018.9+(188-173.1)+(-2.059278+(-0.19176--0.176562))+0-90.7--0.0925140000000145</f>
        <v>1941.1180380000001</v>
      </c>
      <c r="Z39" s="3">
        <f>2190.6+(151.5-170.1)+(-1.117206+(-0.077265--0.086751))+0-89.6--0.0456959999999909</f>
        <v>2081.3379760000003</v>
      </c>
      <c r="AA39" s="3">
        <f>2188.3+(136.8-168.1)+(-2.232066+(-0.139536--0.171462))+0-90--0.0918000000000144</f>
        <v>2064.8916600000002</v>
      </c>
      <c r="AB39" s="3">
        <f>2198+(140.2-278)+(1.12098+(0.071502-0.14178))+0-77.9-0.0397289999999921</f>
        <v>1983.3109729999996</v>
      </c>
      <c r="AC39" s="3">
        <f>2184.9+(139.7-408.3)+(-3.342897+(-0.213741--0.624699))+0-24.5--0.0374850000000014</f>
        <v>1888.9055460000002</v>
      </c>
      <c r="AD39" s="2">
        <v>2082.6</v>
      </c>
      <c r="AE39" s="3">
        <f>2216+(133.2-169.4)+(0+(0-0))+0-97.2-0</f>
        <v>2082.6000000000004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2189.8+(138.6-491.4)+(-1.116798+(-0.070686--0.250614))+0-63.5--0.0323849999999936</f>
        <v>1772.5955150000002</v>
      </c>
      <c r="G40" s="3">
        <f>2059.3+(138.8-403.4)+(-3.150729+(-0.212364--0.617202))+0-84.3--0.128979000000005</f>
        <v>1707.7830880000004</v>
      </c>
      <c r="H40" s="3">
        <f>1943.7+(138.9-326.4)+(1.982574+(0.141678-0.332928))+0-86.1-0.0878220000000137</f>
        <v>1671.8035020000002</v>
      </c>
      <c r="I40" s="3">
        <f>1890.6+(139.1-303.7)+(0.964206+(0.070941-0.154887))+0-90.2-0.0460019999999908</f>
        <v>1636.6342579999998</v>
      </c>
      <c r="J40" s="3">
        <f>1888+(138.6-285.3)+(0+(0-0))+0-90.7-0</f>
        <v>1650.6</v>
      </c>
      <c r="K40" s="3">
        <f>1763.2+(138.7-229)+(-2.697696+(-0.212211--0.35037))+0-61--0.0933300000000035</f>
        <v>1609.4337929999999</v>
      </c>
      <c r="L40" s="3">
        <f>1761.7+(139-206.8)+(-0.898467+(-0.07089--0.105468))+0-90.3--0.0460529999999908</f>
        <v>1602.7821640000002</v>
      </c>
      <c r="M40" s="3">
        <f>1927+(140.6-256)+(0.98277+(0.071706-0.13056))+0-67.9-0.0346289999999931</f>
        <v>1744.5892869999998</v>
      </c>
      <c r="N40" s="3">
        <f>2098.3+(140.2-270.8)+(1.070133+(0.071502-0.138108))+0-75.1-0.0383009999999924</f>
        <v>1893.5652260000004</v>
      </c>
      <c r="O40" s="3">
        <f>2143.8+(139.5-225)+(0+(0-0))+0-78.5-0</f>
        <v>1979.8000000000002</v>
      </c>
      <c r="P40" s="3">
        <f>2158.3+(138.1-194.2)+(0+(0-0))+0-63.4-0</f>
        <v>2038.8000000000002</v>
      </c>
      <c r="Q40" s="3">
        <f>2155.7+(144-159.5)+(-3.298221+(-0.22032--0.244035))+0-81.5--0.124695000000005</f>
        <v>2055.5501889999996</v>
      </c>
      <c r="R40" s="3">
        <f>2138.1+(149.9-152.1)+(-4.361724+(-0.305796--0.310284))+0-70.7--0.144227999999997</f>
        <v>2060.9869920000006</v>
      </c>
      <c r="S40" s="3">
        <f>2148.3+(138.1-204)+(-2.191266+(-0.140862--0.20808))+0-68.2--0.0695640000000109</f>
        <v>2012.1455159999998</v>
      </c>
      <c r="T40" s="3">
        <f>2110+(138-204.3)+(0+(0-0))+0-62-0</f>
        <v>1981.7</v>
      </c>
      <c r="U40" s="3">
        <f>2115.2+(138.4-200.6)+(-2.157504+(-0.141168--0.204612))+0-61.5--0.0627300000000098</f>
        <v>1989.4686700000002</v>
      </c>
      <c r="V40" s="3">
        <f>2157.6+(138.3-227.1)+(-2.200752+(-0.141066--0.231642))+0-78.2--0.0797640000000125</f>
        <v>1988.5695879999996</v>
      </c>
      <c r="W40" s="3">
        <f>2213.4+(139.4-252.2)+(-2.257668+(-0.142188--0.257244))+0-86.8--0.0885360000000138</f>
        <v>2011.7459239999998</v>
      </c>
      <c r="X40" s="3">
        <f>2127.2+(139.8-178.2)+(-3.254616+(-0.213894--0.272646))+0-89.8--0.137394000000005</f>
        <v>1995.9415300000001</v>
      </c>
      <c r="Y40" s="3">
        <f>2169.7+(188.4-172.3)+(-3.319641+(-0.288252--0.263619))+0-79--0.120870000000005</f>
        <v>2103.5765959999999</v>
      </c>
      <c r="Z40" s="3">
        <f>2315.3+(181.8-179.7)+(-4.723212+(-0.370872--0.366588))+0-88.3--0.180131999999996</f>
        <v>2224.5526359999999</v>
      </c>
      <c r="AA40" s="3">
        <f>2378.5+(141-238)+(-2.42607+(-0.14382--0.24276))+0-85--0.0867000000000136</f>
        <v>2194.2595699999997</v>
      </c>
      <c r="AB40" s="3">
        <f>2372.2+(140.1-325)+(-3.629466+(-0.214353--0.49725))+0-90.4--0.138312000000005</f>
        <v>2093.6917429999999</v>
      </c>
      <c r="AC40" s="3">
        <f>2365.3+(139.8-416.9)+(-4.825212+(-0.285192--0.850476))+0-88.6--0.180743999999996</f>
        <v>1995.5208160000004</v>
      </c>
      <c r="AD40" s="2">
        <v>2229</v>
      </c>
      <c r="AE40" s="3">
        <f>2354+(160.6-181.1)+(0+(0-0))+0-104.5-0</f>
        <v>2229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2192.7+(138.9-396.6)+(-3.354831+(-0.212517--0.606798))+0-43.2--0.0660960000000025</f>
        <v>1888.9055459999997</v>
      </c>
      <c r="G41" s="3">
        <f>2032.1+(138.5-284)+(-3.109113+(-0.211905--0.43452))+0-88.9--0.136017000000005</f>
        <v>1794.9495189999998</v>
      </c>
      <c r="H41" s="3">
        <f>1927.7+(138.4-224.1)+(0.983127+(0.070584-0.114291))+0-95.1-0.0485009999999904</f>
        <v>1747.790919</v>
      </c>
      <c r="I41" s="3">
        <f>1919.1+(137.9-255.2)+(1.957482+(0.140658-0.260304))+0-67.8-0.0691560000000108</f>
        <v>1735.7686799999999</v>
      </c>
      <c r="J41" s="3">
        <f>1899.5+(138.4-214.6)+(-0.968745+(-0.070584--0.109446))+0-84.7--0.0431969999999914</f>
        <v>1737.7133139999999</v>
      </c>
      <c r="K41" s="3">
        <f>1884.5+(139.8-239.4)+(-3.84438+(-0.285192--0.488376))+0-80.1--0.163403999999996</f>
        <v>1701.322208</v>
      </c>
      <c r="L41" s="3">
        <f>1927.6+(139.5-260.4)+(-2.949228+(-0.213435--0.398412))+0-83.9--0.128367000000005</f>
        <v>1720.1641159999997</v>
      </c>
      <c r="M41" s="3">
        <f>2170.5+(137.5-354.3)+(0+(0-0))+0-75.2-0</f>
        <v>1878.5</v>
      </c>
      <c r="N41" s="3">
        <f>2235.3+(136.7-314.4)+(1.140003+(0.069717-0.160344))+0-66.4-0.0338639999999933</f>
        <v>1992.2155120000002</v>
      </c>
      <c r="O41" s="3">
        <f>2431.4+(135.6-411.8)+(1.240014+(0.069156-0.210018))+0-79.6-0.0405959999999919</f>
        <v>2076.6585559999999</v>
      </c>
      <c r="P41" s="3">
        <f>2579.1+(135.3-522.4)+(-1.315341+(-0.069003--0.266424))+0-63.1--0.0321809999999936</f>
        <v>2127.814261</v>
      </c>
      <c r="Q41" s="3">
        <f>2698.5+(130.8-607.9)+(-4.128705+(-0.200124--0.930087))+0-77.4--0.118422000000004</f>
        <v>2140.7196800000002</v>
      </c>
      <c r="R41" s="3">
        <f>2699.6+(125.6-585.1)+(-2.753592+(-0.128112--0.596802))+0-90.8--0.0926160000000145</f>
        <v>2147.1077139999998</v>
      </c>
      <c r="S41" s="3">
        <f>2695.1+(127.7-611.1)+(-5.498004+(-0.260508--1.246644))+0-81.5--0.166259999999996</f>
        <v>2125.8543919999997</v>
      </c>
      <c r="T41" s="3">
        <f>2635.2+(129.6-584.9)+(-1.343952+(-0.066096--0.298299))+0-83.6--0.0426359999999915</f>
        <v>2095.2308869999997</v>
      </c>
      <c r="U41" s="3">
        <f>2608+(130.5-585.9)+(-5.32032+(-0.26622--1.195236))+0-83.8--0.170951999999996</f>
        <v>2064.5796479999995</v>
      </c>
      <c r="V41" s="3">
        <f>2607.9+(130.7-582.8)+(-2.660058+(-0.133314--0.594456))+0-78.3--0.0798660000000125</f>
        <v>2075.3809500000002</v>
      </c>
      <c r="W41" s="3">
        <f>2554+(130.7-515.3)+(-6.5127+(-0.333285--1.314015))+0-65.3--0.166514999999991</f>
        <v>2098.7345449999998</v>
      </c>
      <c r="X41" s="3">
        <f>2397.6+(133-368.9)+(-11.004984+(-0.61047--1.693251))+0-90.6--0.415854000000016</f>
        <v>2061.5936509999997</v>
      </c>
      <c r="Y41" s="3">
        <f>2451.8+(127.5-346.1)+(0+(0-0))+0-90-0</f>
        <v>2143.2000000000003</v>
      </c>
      <c r="Z41" s="3">
        <f>2770.2+(114.2-524.3)+(-1.412802+(-0.058242--0.267393))+0-66.8--0.0340679999999932</f>
        <v>2292.1304169999999</v>
      </c>
      <c r="AA41" s="3">
        <f>2766.2+(124.6-552.3)+(-8.464572+(-0.381276--1.690038))+0-86.8--0.26560800000001</f>
        <v>2244.8097979999998</v>
      </c>
      <c r="AB41" s="3">
        <f>2636.6+(135.5-564.7)+(0+(0-0))+0-59.7-0</f>
        <v>2147.6999999999998</v>
      </c>
      <c r="AC41" s="3">
        <f>2524.2+(135.4-527.3)+(0+(0-0))+0-75-0</f>
        <v>2057.2999999999997</v>
      </c>
      <c r="AD41" s="2">
        <v>2268</v>
      </c>
      <c r="AE41" s="3">
        <f>2784+(91.1-506.7)+(0+(0-0))+0-100.4-0</f>
        <v>2268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2310.7+(134.7-416.6)+(-2.356914+(-0.137394--0.424932))+0-93.1--0.0949620000000148</f>
        <v>1933.725586</v>
      </c>
      <c r="G42" s="3">
        <f>2237.8+(134.4-420.8)+(-2.282556+(-0.137088--0.429216))+0-89.1--0.0908820000000142</f>
        <v>1860.4004540000001</v>
      </c>
      <c r="H42" s="3">
        <f>2194.5+(135.4-449.7)+(0+(0-0))+0-58.9-0</f>
        <v>1821.3</v>
      </c>
      <c r="I42" s="3">
        <f>2166.9+(135.1-421.3)+(2.210238+(0.137802-0.429726))+0-88.6-0.0903720000000141</f>
        <v>1793.927942</v>
      </c>
      <c r="J42" s="3">
        <f>2093.2+(134.7-350.7)+(-2.135064+(-0.137394--0.357714))+0-74.1--0.0755820000000118</f>
        <v>1801.2608379999999</v>
      </c>
      <c r="K42" s="3">
        <f>2038.9+(134.9-341.2)+(-1.039839+(-0.068799--0.174012))+0-77.1--0.0393209999999922</f>
        <v>1754.6046950000002</v>
      </c>
      <c r="L42" s="3">
        <f>2012.9+(134.4-365.8)+(-5.132895+(-0.34272--0.93279))+0-25.7--0.0655349999999963</f>
        <v>1751.3227099999999</v>
      </c>
      <c r="M42" s="3">
        <f>2064.4+(134.3-301.4)+(3.158532+(0.205479-0.461142))+0-22.8-0.0348840000000013</f>
        <v>1877.3679850000003</v>
      </c>
      <c r="N42" s="3">
        <f>2229.9+(132.9-335.7)+(0+(0-0))+0-18.8-0</f>
        <v>2008.3000000000002</v>
      </c>
      <c r="O42" s="3">
        <f>2351.1+(131.4-370.5)+(1.199061+(0.067014-0.188955))+0-16.4-0.00836399999999834</f>
        <v>2096.668756</v>
      </c>
      <c r="P42" s="3">
        <f>2511.5+(133.5-500.5)+(-1.280865+(-0.068085--0.255255))+0-16.8--0.0085679999999983</f>
        <v>2126.614873</v>
      </c>
      <c r="Q42" s="3">
        <f>2567.2+(134-527.4)+(-6.54636+(-0.3417--1.34487))+0-17.7--0.0451349999999974</f>
        <v>2150.6019449999999</v>
      </c>
      <c r="R42" s="3">
        <f>2643+(121.7-596.8)+(-5.39172+(-0.248268--1.217472))+0-19.8--0.0403919999999991</f>
        <v>2143.7178759999997</v>
      </c>
      <c r="S42" s="3">
        <f>2530.7+(131.6-543.1)+(-3.871971+(-0.201348--0.830943))+0-16.7--0.025551000000001</f>
        <v>2099.283175</v>
      </c>
      <c r="T42" s="3">
        <f>2570.4+(132.6-600.3)+(3.932712+(0.202878-0.918459))+0-18-0.027540000000001</f>
        <v>2087.8895910000001</v>
      </c>
      <c r="U42" s="3">
        <f>2503.5+(131.5-504.8)+(-6.383925+(-0.335325--1.28724))+0-68.4--0.17441999999999</f>
        <v>2056.5424099999996</v>
      </c>
      <c r="V42" s="3">
        <f>2518.8+(131.9-528.4)+(-2.569176+(-0.134538--0.538968))+0-78.8--0.0803760000000126</f>
        <v>2041.4156300000004</v>
      </c>
      <c r="W42" s="3">
        <f>2470.7+(133.3-473)+(-6.300285+(-0.339915--1.20615))+0-82.3--0.209864999999988</f>
        <v>2043.4758150000002</v>
      </c>
      <c r="X42" s="3">
        <f>2356.7+(133.3-478)+(-6.009585+(-0.339915--1.2189))+0-82.3--0.209864999999988</f>
        <v>1924.7792649999999</v>
      </c>
      <c r="Y42" s="3">
        <f>2310.1+(133.1-279.1)+(-5.890755+(-0.339405--0.711705))+0-74.9--0.190994999999989</f>
        <v>2083.8725399999998</v>
      </c>
      <c r="Z42" s="3">
        <f>2709.7+(122.1-472.3)+(-4.145841+(-0.186813--0.722619))+0-72.1--0.110313000000004</f>
        <v>2283.9002780000001</v>
      </c>
      <c r="AA42" s="3">
        <f>2657.1+(133.4-441.5)+(-4.065363+(-0.204102--0.675495))+0-85.6--0.130968000000005</f>
        <v>2259.9369980000001</v>
      </c>
      <c r="AB42" s="3">
        <f>2453.6+(133.7-359.3)+(3.754008+(0.204561-0.549729))+0-79.7-0.121941000000005</f>
        <v>2151.5868990000004</v>
      </c>
      <c r="AC42" s="3">
        <f>2345.8+(130.3-359.9)+(-5.98179+(-0.332265--0.917745))+0-72.7--0.185384999999989</f>
        <v>2038.2890750000001</v>
      </c>
      <c r="AD42" s="2">
        <v>2276.6999999999998</v>
      </c>
      <c r="AE42" s="3">
        <f>2760+(130.2-514.2)+(0+(0-0))+0-99.3-0</f>
        <v>2276.6999999999998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2171+(126.7-298.8)+(-3.32163+(-0.193851--0.457164))+0-85.7--0.131121000000005</f>
        <v>1910.272804</v>
      </c>
      <c r="G43" s="3">
        <f>2123.9+(126.7-329.5)+(-4.332756+(-0.258468--0.67218))+0-86.8--0.177071999999996</f>
        <v>1830.5580280000001</v>
      </c>
      <c r="H43" s="3">
        <f>2137+(126.4-376.6)+(-3.26961+(-0.193392--0.576198))+0-87.5--0.133875000000005</f>
        <v>1796.547071</v>
      </c>
      <c r="I43" s="3">
        <f>2059.6+(125.4-343.7)+(-5.25198+(-0.31977--0.876435))+0-63.9--0.162944999999991</f>
        <v>1772.86763</v>
      </c>
      <c r="J43" s="3">
        <f>2125.7+(125.2-377.1)+(1.084107+(0.063852-0.192321))+0-90.1-0.0459509999999909</f>
        <v>1784.6096869999997</v>
      </c>
      <c r="K43" s="3">
        <f>2084+(126.7-371.9)+(-4.25136+(-0.258468--0.758676))+0-83.4--0.170135999999996</f>
        <v>1751.8189839999998</v>
      </c>
      <c r="L43" s="3">
        <f>2080.8+(126.3-334.2)+(2.122416+(0.128826-0.340884))+0-88-0.089760000000014</f>
        <v>1786.7205980000001</v>
      </c>
      <c r="M43" s="3">
        <f>2110.3+(125.3-232.1)+(0+(0-0))+0-95.3-0</f>
        <v>1908.2000000000003</v>
      </c>
      <c r="N43" s="3">
        <f>2255+(124.5-230.5)+(2.3001+(0.12699-0.23511))+0-68.1-0.0694620000000108</f>
        <v>2083.0225180000002</v>
      </c>
      <c r="O43" s="3">
        <f>2370.4+(123-250.5)+(0+(0-0))+0-88.6-0</f>
        <v>2154.3000000000002</v>
      </c>
      <c r="P43" s="3">
        <f>2636.2+(123.8-517.6)+(-1.344462+(-0.063138--0.263976))+0-73.3--0.0373829999999926</f>
        <v>2167.9937589999995</v>
      </c>
      <c r="Q43" s="3">
        <f>2680.7+(125.4-559.4)+(1.367157+(0.063954-0.285294))+0-87.2-0.0444719999999912</f>
        <v>2160.601345</v>
      </c>
      <c r="R43" s="3">
        <f>2751.2+(126.1-629.9)+(-5.612448+(-0.257244--1.284996))+0-91.2--0.186047999999996</f>
        <v>2151.801352</v>
      </c>
      <c r="S43" s="3">
        <f>2651.5+(127-531.4)+(-2.70453+(-0.12954--0.542028))+0-91.3--0.0931260000000146</f>
        <v>2153.6010839999999</v>
      </c>
      <c r="T43" s="3">
        <f>2534+(127.9-463.5)+(-2.58468+(-0.130458--0.47277))+0-90.9--0.0927180000000145</f>
        <v>2105.3503499999997</v>
      </c>
      <c r="U43" s="3">
        <f>2496.4+(127.7-475)+(-7.638984+(-0.390762--1.4535))+0-52.6--0.160956000000006</f>
        <v>2090.0847100000001</v>
      </c>
      <c r="V43" s="3">
        <f>2485.6+(128.3-439.5)+(-5.070624+(-0.261732--0.89658))+0-88.2--0.179927999999996</f>
        <v>2081.9441520000005</v>
      </c>
      <c r="W43" s="3">
        <f>2487+(129.7-390)+(-3.80511+(-0.198441--0.5967))+0-84.5--0.129285000000005</f>
        <v>2138.9224339999996</v>
      </c>
      <c r="X43" s="3">
        <f>2574.9+(131.8-440.5)+(-5.252796+(-0.268872--0.89862))+0-87.2--0.177887999999996</f>
        <v>2174.5548400000007</v>
      </c>
      <c r="Y43" s="3">
        <f>2569.8+(125.4-364.1)+(-1.310598+(-0.063954--0.185691))+0-89.3--0.0455429999999909</f>
        <v>2240.6566820000003</v>
      </c>
      <c r="Z43" s="3">
        <f>2821.6+(104.7-513.8)+(-2.878032+(-0.106794--0.524076))+0-79.1--0.0806820000000126</f>
        <v>2331.0199319999997</v>
      </c>
      <c r="AA43" s="3">
        <f>2810.7+(78.8-542.1)+(-5.733828+(-0.160752--1.105884))+0-73--0.148919999999997</f>
        <v>2269.7602239999997</v>
      </c>
      <c r="AB43" s="3">
        <f>2634.4+(126.4-522)+(-4.030632+(-0.193392--0.79866))+0-75.4--0.115362000000004</f>
        <v>2160.0899979999999</v>
      </c>
      <c r="AC43" s="3">
        <f>2408.6+(125.8-431.5)+(-6.14193+(-0.32079--1.100325))+0-66.3--0.16906499999999</f>
        <v>2031.4066700000001</v>
      </c>
      <c r="AD43" s="2">
        <v>2239.2000000000003</v>
      </c>
      <c r="AE43" s="3">
        <f>2806+(82-549.1)+(0+(0-0))+0-99.7-0</f>
        <v>2239.2000000000003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2220.5+(125.7-336.2)+(-2.26491+(-0.128214--0.342924))+0-87.5--0.089250000000014</f>
        <v>1920.5390500000001</v>
      </c>
      <c r="G44" s="3">
        <f>2200.5+(128.5-384.3)+(0+(0-0))+0-93.5-0</f>
        <v>1851.2</v>
      </c>
      <c r="H44" s="3">
        <f>2112.9+(128.9-356.7)+(-5.387895+(-0.328695--0.909585))+0-71.4--0.18206999999999</f>
        <v>1809.0750650000002</v>
      </c>
      <c r="I44" s="3">
        <f>2127.1+(129.5-401.2)+(0+(0-0))+0-79.9-0</f>
        <v>1775.4999999999998</v>
      </c>
      <c r="J44" s="3">
        <f>2093.3+(129.7-339.4)+(-4.270332+(-0.264588--0.692376))+0-89.2--0.181967999999996</f>
        <v>1790.7394240000001</v>
      </c>
      <c r="K44" s="3">
        <f>2097.8+(128.9-388.8)+(-5.34939+(-0.328695--0.99144))+0-71.6--0.18257999999999</f>
        <v>1761.7959350000001</v>
      </c>
      <c r="L44" s="3">
        <f>2098.8+(128.9-387.8)+(-5.35194+(-0.328695--0.98889))+0-71.6--0.18257999999999</f>
        <v>1763.790835</v>
      </c>
      <c r="M44" s="3">
        <f>2078.8+(128.8-327.5)+(-7.421316+(-0.459816--1.169175))+0-94.8--0.338436000000001</f>
        <v>1778.9264790000002</v>
      </c>
      <c r="N44" s="3">
        <f>2343.1+(127.6-471.5)+(1.194981+(0.065076-0.240465))+0-90.4-0.0461039999999908</f>
        <v>1909.7734879999998</v>
      </c>
      <c r="O44" s="3">
        <f>2341.2+(127.4-403.2)+(1.194012+(0.064974-0.205632))+0-27.4-0.0139739999999972</f>
        <v>2039.0393799999997</v>
      </c>
      <c r="P44" s="3">
        <f>2363.6+(126.6-270.4)+(0+(0-0))+0-83.6-0</f>
        <v>2136.1999999999998</v>
      </c>
      <c r="Q44" s="3">
        <f>2518.6+(125.1-367)+(1.284486+(0.063801-0.18717))+0-89.7-0.0457469999999909</f>
        <v>2188.11537</v>
      </c>
      <c r="R44" s="3">
        <f>2513.9+(124.4-381.6)+(-3.846267+(-0.190332--0.583848))+0-79.7--0.121941000000005</f>
        <v>2173.6691900000001</v>
      </c>
      <c r="S44" s="3">
        <f>2486.5+(124.4-405.2)+(0+(0-0))+0-74.3-0</f>
        <v>2131.3999999999996</v>
      </c>
      <c r="T44" s="3">
        <f>2433.8+(125.1-393.9)+(-4.964952+(-0.255204--0.803556))+0-62.3--0.127091999999997</f>
        <v>2098.410492</v>
      </c>
      <c r="U44" s="3">
        <f>2420.2+(125-440.9)+(-4.937208+(-0.255--0.899436))+0-22.6--0.046103999999999</f>
        <v>2077.453332</v>
      </c>
      <c r="V44" s="3">
        <f>2289.5+(124.4-258.3)+(-4.67058+(-0.253776--0.526932))+0-78.9--0.160955999999997</f>
        <v>2072.4635320000002</v>
      </c>
      <c r="W44" s="3">
        <f>2258.6+(122.7-228.8)+(-9.215088+(-0.500616--0.933504))+0-79.8--0.325583999999993</f>
        <v>2064.2433839999999</v>
      </c>
      <c r="X44" s="3">
        <f>2251.6+(126.1-241.4)+(-10.334844+(-0.578799--1.108026))+0-86.9--0.398871000000015</f>
        <v>2039.9932539999998</v>
      </c>
      <c r="Y44" s="3">
        <f>2396.6+(108.2-265.9)+(0+(0-0))+0-89-0</f>
        <v>2149.9</v>
      </c>
      <c r="Z44" s="3">
        <f>2608.5+(85.7-297.3)+(2.66067+(0.087414-0.303246))+0-87.7-0.089454000000014</f>
        <v>2311.5553840000002</v>
      </c>
      <c r="AA44" s="3">
        <f>2537.5+(117.5-309.4)+(-9.058875+(-0.419475--1.104558))+0-85.1--0.303807000000001</f>
        <v>2252.4300149999999</v>
      </c>
      <c r="AB44" s="3">
        <f>2403.4+(126.5-270.6)+(-2.451468+(-0.12903--0.276012))+0-93.9--0.095778000000015</f>
        <v>2163.191292</v>
      </c>
      <c r="AC44" s="3">
        <f>2316.4+(124.4-347.7)+(-4.725456+(-0.253776--0.709308))+0-33.2--0.0677279999999986</f>
        <v>2055.6978039999999</v>
      </c>
      <c r="AD44" s="2">
        <v>2309.4</v>
      </c>
      <c r="AE44" s="3">
        <f>2589+(98.8-274.4)+(0+(0-0))+0-104-0</f>
        <v>2309.4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2287.1+(127.5-369.3)+(-1.166421+(-0.065025--0.188343))+0-91.2--0.0465119999999907</f>
        <v>1953.1034089999998</v>
      </c>
      <c r="G45" s="3">
        <f>2154.6+(127.3-355.2)+(-2.197692+(-0.129846--0.362304))+0-52--0.0530400000000083</f>
        <v>1872.7878059999998</v>
      </c>
      <c r="H45" s="3">
        <f>2087+(126.7-295.8)+(-5.32185+(-0.323085--0.75429))+0-86--0.219299999999988</f>
        <v>1827.2286550000001</v>
      </c>
      <c r="I45" s="3">
        <f>2122.4+(126.1-351.2)+(-1.082424+(-0.064311--0.179112))+0-82.7--0.0421769999999916</f>
        <v>1813.6745540000002</v>
      </c>
      <c r="J45" s="3">
        <f>2110.8+(126.3-338.3)+(-2.153016+(-0.128826--0.345066))+0-87.1--0.0888420000000139</f>
        <v>1809.8520660000004</v>
      </c>
      <c r="K45" s="3">
        <f>2091.3+(126.5-361.8)+(-4.266252+(-0.25806--0.738072))+0-87.5--0.178499999999996</f>
        <v>1764.8922600000003</v>
      </c>
      <c r="L45" s="3">
        <f>1947.1+(125.8-231.1)+(-1.986042+(-0.128316--0.235722))+0-86.3--0.0880260000000138</f>
        <v>1753.7093900000002</v>
      </c>
      <c r="M45" s="3">
        <f>2074.1+(125.2-216.2)+(-1.057791+(-0.063852--0.110262))+0-85.1--0.0434009999999914</f>
        <v>1897.0320199999999</v>
      </c>
      <c r="N45" s="3">
        <f>2343.4+(125.7-358.3)+(0+(0-0))+0-83.6-0</f>
        <v>2027.2000000000003</v>
      </c>
      <c r="O45" s="3">
        <f>2434.3+(125.9-339)+(1.241493+(0.064209-0.17289))+0-90.2-0.0460019999999908</f>
        <v>2132.0868100000002</v>
      </c>
      <c r="P45" s="3">
        <f>2533.4+(126.7-362.1)+(3.876102+(0.193851-0.554013))+0-86.9-0.132957000000005</f>
        <v>2214.4829829999999</v>
      </c>
      <c r="Q45" s="3">
        <f>2495.6+(125.3-325.7)+(-1.272756+(-0.063903--0.166107))+0-81.1--0.0413609999999918</f>
        <v>2212.9708089999999</v>
      </c>
      <c r="R45" s="3">
        <f>2554.8+(126.8-407.7)+(-2.605896+(-0.129336--0.415854))+0-85.3--0.0870060000000136</f>
        <v>2186.367628</v>
      </c>
      <c r="S45" s="3">
        <f>2597.1+(126.3-515.8)+(-3.973563+(-0.193239--0.789174))+0-72.3--0.110619000000004</f>
        <v>2132.0329909999996</v>
      </c>
      <c r="T45" s="3">
        <f>2588.2+(125.9-519.3)+(-3.959946+(-0.192627--0.794529))+0-87--0.133110000000005</f>
        <v>2104.5750659999999</v>
      </c>
      <c r="U45" s="3">
        <f>2587.9+(126.7-570.7)+(-2.639658+(-0.129234--0.582114))+0-60.2--0.0614040000000096</f>
        <v>2081.5746260000005</v>
      </c>
      <c r="V45" s="3">
        <f>2541.2+(126.2-513.1)+(-7.776072+(-0.386172--1.570086))+0-63.5--0.194310000000007</f>
        <v>2084.4021519999997</v>
      </c>
      <c r="W45" s="3">
        <f>2440.8+(125.8-412.3)+(-3.734424+(-0.192474--0.630819))+0-96.9--0.148257000000006</f>
        <v>2054.2521779999997</v>
      </c>
      <c r="X45" s="3">
        <f>2399.2+(127.5-403.5)+(-1.223592+(-0.065025--0.205785))+0-84--0.0428399999999915</f>
        <v>2038.1600079999998</v>
      </c>
      <c r="Y45" s="3">
        <f>2435.7+(111.2-318.7)+(1.242207+(0.056712-0.162537))+0-87.5-0.0446249999999911</f>
        <v>2141.791757</v>
      </c>
      <c r="Z45" s="3">
        <f>2613.4+(74.4-334.3)+(-2.665668+(-0.075888--0.340986))+0-86.2--0.0879240000000137</f>
        <v>2264.9873540000003</v>
      </c>
      <c r="AA45" s="3">
        <f>2618+(106.8-399.7)+(-4.00554+(-0.163404--0.611541))+0-92.6--0.141678000000005</f>
        <v>2229.0842750000002</v>
      </c>
      <c r="AB45" s="3">
        <f>2533.7+(109.1-454)+(-7.753122+(-0.333846--1.38924))+0-33.9--0.103734000000004</f>
        <v>2148.3060059999993</v>
      </c>
      <c r="AC45" s="3">
        <f>2509.2+(126.7-531.2)+(-2.559384+(-0.129234--0.541824))+0-26.8--0.0273360000000043</f>
        <v>2075.7805419999995</v>
      </c>
      <c r="AD45" s="2">
        <v>2203.1999999999998</v>
      </c>
      <c r="AE45" s="3">
        <f>2637+(96.7-439.1)+(0+(0-0))+0-91.4-0</f>
        <v>2203.1999999999998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2436.6+(121.8-472)+(-4.970664+(-0.248472--0.96288))+0-94.3--0.192371999999996</f>
        <v>1988.036116</v>
      </c>
      <c r="G46" s="3">
        <f>2141.2+(121.2-289.8)+(-2.184024+(-0.123624--0.295596))+0-88.1--0.089862000000014</f>
        <v>1882.57781</v>
      </c>
      <c r="H46" s="3">
        <f>2064.2+(119.4-280.7)+(-1.052742+(-0.060894--0.143157))+0-77.4--0.0394739999999922</f>
        <v>1824.5689949999996</v>
      </c>
      <c r="I46" s="3">
        <f>2000.9+(120.4-240.7)+(4.081836+(0.245616-0.491028))+0-83.6-0.170543999999996</f>
        <v>1800.6658800000002</v>
      </c>
      <c r="J46" s="3">
        <f>1975.8+(118.1-219.9)+(0+(0-0))+0-86.4-0</f>
        <v>1787.6</v>
      </c>
      <c r="K46" s="3">
        <f>1957.6+(113.1-253.8)+(-2.995128+(-0.173043--0.388314))+0-84.7--0.129591000000005</f>
        <v>1729.5497339999999</v>
      </c>
      <c r="L46" s="3">
        <f>1970.5+(104.9-298.2)+(-2.00991+(-0.106998--0.304164))+0-83.2--0.0848640000000133</f>
        <v>1692.2721199999999</v>
      </c>
      <c r="M46" s="3">
        <f>2065.2+(106.9-336.5)+(-2.106504+(-0.109038--0.34323))+0-85.5--0.0872100000000136</f>
        <v>1748.3148979999999</v>
      </c>
      <c r="N46" s="3">
        <f>2274.2+(105.8-416.6)+(-1.159842+(-0.053958--0.212466))+0-91.6--0.0467159999999907</f>
        <v>1870.845382</v>
      </c>
      <c r="O46" s="3">
        <f>2272.7+(104.9-397)+(0+(0-0))+0-88.1-0</f>
        <v>1892.5</v>
      </c>
      <c r="P46" s="3">
        <f>2306.5+(102.1-408.1)+(0+(0-0))+0-83-0</f>
        <v>1917.5</v>
      </c>
      <c r="Q46" s="3">
        <f>2329.8+(111.9-437.1)+(-3.564594+(-0.171207--0.668763))+0-78.7--0.120411000000005</f>
        <v>1922.9533730000003</v>
      </c>
      <c r="R46" s="3">
        <f>2331.5+(125.5-421.6)+(-1.189065+(-0.064005--0.215016))+0-86.9--0.0443189999999912</f>
        <v>1947.506265</v>
      </c>
      <c r="S46" s="3">
        <f>2335+(123.9-447.4)+(0+(0-0))+0-86.4-0</f>
        <v>1925.1</v>
      </c>
      <c r="T46" s="3">
        <f>2258.8+(124.7-384.7)+(-5.75994+(-0.317985--0.980985))+0-80.7--0.205784999999988</f>
        <v>1913.2088450000001</v>
      </c>
      <c r="U46" s="3">
        <f>2174.2+(125.7-340.1)+(-3.326526+(-0.192321--0.520353))+0-64.1--0.0980730000000037</f>
        <v>1892.799579</v>
      </c>
      <c r="V46" s="3">
        <f>2157.8+(126.3-320.9)+(-5.50239+(-0.322065--0.818295))+0-85.7--0.218534999999988</f>
        <v>1872.7123750000003</v>
      </c>
      <c r="W46" s="3">
        <f>2098.4+(127.7-251.4)+(-2.140368+(-0.130254--0.256428))+0-89.3--0.0910860000000142</f>
        <v>1883.4768919999999</v>
      </c>
      <c r="X46" s="3">
        <f>2108.1+(132.5-255.4)+(-3.225393+(-0.202725--0.390762))+0-73.9--0.113067000000004</f>
        <v>1908.3757109999997</v>
      </c>
      <c r="Y46" s="3">
        <f>2164+(144.3-203.4)+(-1.10364+(-0.073593--0.103734))+0-81.2--0.0414119999999918</f>
        <v>2022.667913</v>
      </c>
      <c r="Z46" s="3">
        <f>2504.9+(134.4-340.2)+(0+(0-0))+0-87.4-0</f>
        <v>2211.6999999999998</v>
      </c>
      <c r="AA46" s="3">
        <f>2508.5+(133.7-350)+(-5.11734+(-0.272748--0.714))+0-90.9--0.185435999999996</f>
        <v>2196.8093479999998</v>
      </c>
      <c r="AB46" s="3">
        <f>2513.5+(134.4-446.6)+(-5.12754+(-0.274176--0.911064))+0-84.3--0.171971999999996</f>
        <v>2112.6813200000001</v>
      </c>
      <c r="AC46" s="3">
        <f>2339.4+(135-367.6)+(-3.579282+(-0.20655--0.562428))+0-87.1--0.133263000000005</f>
        <v>2016.6098590000004</v>
      </c>
      <c r="AD46" s="2">
        <v>2204.7000000000003</v>
      </c>
      <c r="AE46" s="3">
        <f>2506+(133.8-337.4)+(0+(0-0))+0-97.7-0</f>
        <v>2204.7000000000003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2272+(135.2-413.7)+(-1.15872+(-0.068952--0.210987))+0-85.2--0.0434519999999914</f>
        <v>1907.3267669999998</v>
      </c>
      <c r="G47" s="3">
        <f>2135.4+(135.5-350)+(-3.267162+(-0.207315--0.5355))+0-89.9--0.137547000000005</f>
        <v>1828.19857</v>
      </c>
      <c r="H47" s="3">
        <f>2013.1+(135.2-293.6)+(-2.053362+(-0.137904--0.299472))+0-83.3--0.0849660000000133</f>
        <v>1769.5931720000001</v>
      </c>
      <c r="I47" s="3">
        <f>1977.7+(134.4-291.3)+(-5.043135+(-0.34272--0.742815))+0-90.8--0.231539999999987</f>
        <v>1725.5885000000001</v>
      </c>
      <c r="J47" s="3">
        <f>1973.6+(134.2-297.6)+(-5.03268+(-0.34221--0.75888))+0-90.2--0.230009999999987</f>
        <v>1715.6139999999998</v>
      </c>
      <c r="K47" s="3">
        <f>1982.5+(135.8-348)+(-3.033225+(-0.207774--0.53244))+0-79.6--0.121788000000005</f>
        <v>1688.113229</v>
      </c>
      <c r="L47" s="3">
        <f>1959+(133.8-291.6)+(-5.99454+(-0.409428--0.892296))+0-80.9--0.247554000000009</f>
        <v>1715.0358819999999</v>
      </c>
      <c r="M47" s="3">
        <f>2116.4+(132.6-295.7)+(-1.079364+(-0.067626--0.150807))+0-90.9--0.0463589999999908</f>
        <v>1861.4501760000001</v>
      </c>
      <c r="N47" s="3">
        <f>2366.7+(132.4-391.8)+(6.035085+(0.33762-0.99909))+0-81.8-0.208589999999988</f>
        <v>2030.6650249999998</v>
      </c>
      <c r="O47" s="3">
        <f>2369.7+(140.7-316.1)+(-2.417094+(-0.143514--0.322422))+0-89.2--0.0909840000000142</f>
        <v>2102.9527979999998</v>
      </c>
      <c r="P47" s="3">
        <f>2425.7+(143.8-305.6)+(-2.474214+(-0.146676--0.311712))+0-85.6--0.0873120000000136</f>
        <v>2176.0781339999999</v>
      </c>
      <c r="Q47" s="3">
        <f>2416.3+(143.1-307.3)+(-4.929252+(-0.291924--0.626892))+0-62.4--0.127295999999997</f>
        <v>2185.2330120000006</v>
      </c>
      <c r="R47" s="3">
        <f>2455.7+(142.4-308.9)+(1.252407+(0.072624-0.157539))+0-82.8-0.0422279999999916</f>
        <v>2207.5252639999999</v>
      </c>
      <c r="S47" s="3">
        <f>2429.6+(141.9-314.7)+(-3.717288+(-0.217107--0.481491))+0-85.9--0.131427000000005</f>
        <v>2167.5785229999992</v>
      </c>
      <c r="T47" s="3">
        <f>2448+(143.5-354.7)+(1.24848+(0.073185-0.180897))+0-83.5-0.0425849999999915</f>
        <v>2154.3981830000002</v>
      </c>
      <c r="U47" s="3">
        <f>2445.7+(143.6-360.4)+(1.247307+(0.073236-0.183804))+0-89.3-0.0455429999999909</f>
        <v>2140.6911959999993</v>
      </c>
      <c r="V47" s="3">
        <f>2411.4+(143.3-326.8)+(-4.919256+(-0.292332--0.666672))+0-75.5--0.154019999999997</f>
        <v>2148.0091040000002</v>
      </c>
      <c r="W47" s="3">
        <f>2398.6+(143.1-304)+(-7.339716+(-0.437886--0.93024))+0-88.5--0.27081000000001</f>
        <v>2142.6234479999998</v>
      </c>
      <c r="X47" s="3">
        <f>2160.7+(193.4-175)+(-7.713699+(-0.690438--0.62475))+0-81.9--0.292383000000001</f>
        <v>2089.7129959999997</v>
      </c>
      <c r="Y47" s="3">
        <f>2291.5+(184.1-204.5)+(-4.67466+(-0.375564--0.41718))+0-76.3--0.155651999999997</f>
        <v>2190.3226079999995</v>
      </c>
      <c r="Z47" s="3">
        <f>2540+(145.7-257.5)+(-2.5908+(-0.148614--0.26265))+0-79.8--0.0813960000000127</f>
        <v>2346.0046319999997</v>
      </c>
      <c r="AA47" s="3">
        <f>2542.6+(143.2-281.9)+(-7.780356+(-0.438192--0.862614))+0-85.7--0.26224200000001</f>
        <v>2311.1063079999999</v>
      </c>
      <c r="AB47" s="3">
        <f>2508.4+(143.5-356)+(-5.117136+(-0.29274--0.72624))+0-80.5--0.164219999999996</f>
        <v>2210.880584</v>
      </c>
      <c r="AC47" s="3">
        <f>2375.4+(142-321.9)+(-2.422908+(-0.14484--0.328338))+0-89.5--0.0912900000000143</f>
        <v>2103.8518799999997</v>
      </c>
      <c r="AD47" s="2">
        <v>2346.1999999999998</v>
      </c>
      <c r="AE47" s="3">
        <f>2556+(144.2-260)+(0+(0-0))+0-94-0</f>
        <v>2346.1999999999998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2263.7+(142-340.5)+(-3.463461+(-0.21726--0.520965))+0-91.1--0.139383000000005</f>
        <v>1971.0796269999998</v>
      </c>
      <c r="G48" s="3">
        <f>2257.2+(142-444.5)+(-3.453516+(-0.21726--0.680085))+0-52.2--0.079866000000003</f>
        <v>1899.5891749999998</v>
      </c>
      <c r="H48" s="3">
        <f>2063.1+(141.8-329.5)+(0+(0-0))+0-24.8-0</f>
        <v>1850.6</v>
      </c>
      <c r="I48" s="3">
        <f>2025.4+(142.1-270.8)+(-2.065908+(-0.144942--0.276216))+0-58.2--0.0593640000000093</f>
        <v>1836.62473</v>
      </c>
      <c r="J48" s="3">
        <f>2003.4+(142.4-233)+(-3.065202+(-0.217872--0.35649))+0-82.3--0.125919000000005</f>
        <v>1827.6993350000002</v>
      </c>
      <c r="K48" s="3">
        <f>2000.9+(141-269.9)+(-5.102295+(-0.35955--0.688245))+0-88.1--0.224654999999987</f>
        <v>1779.3510550000001</v>
      </c>
      <c r="L48" s="3">
        <f>1992.6+(143.8-237.5)+(0+(0-0))+0-93-0</f>
        <v>1805.8999999999999</v>
      </c>
      <c r="M48" s="3">
        <f>2116+(158.6-176.1)+(-1.07916+(-0.080886--0.089811))+0-97.1--0.0495209999999901</f>
        <v>2000.3792859999999</v>
      </c>
      <c r="N48" s="3">
        <f>2360.9+(157.7-179)+(0+(0-0))+0-83.4-0</f>
        <v>2256.1999999999998</v>
      </c>
      <c r="O48" s="3">
        <f>2501.6+(141.9-237.5)+(-1.275816+(-0.072369--0.121125))+0-68.8--0.035087999999993</f>
        <v>2336.0080279999997</v>
      </c>
      <c r="P48" s="3">
        <f>2504.6+(140.9-241.8)+(-1.277346+(-0.071859--0.123318))+0-50.2--0.0256019999999949</f>
        <v>2352.2997150000001</v>
      </c>
      <c r="Q48" s="3">
        <f>2561.5+(140.8-233.7)+(-1.306365+(-0.071808--0.119187))+0-90.2--0.0460019999999908</f>
        <v>2377.1870160000003</v>
      </c>
      <c r="R48" s="3">
        <f>2712.2+(142.5-317.3)+(0+(0-0))+0-88.1-0</f>
        <v>2449.2999999999997</v>
      </c>
      <c r="S48" s="3">
        <f>2714.2+(144.1-306.7)+(-5.536968+(-0.293964--0.625668))+0-70.8--0.144431999999997</f>
        <v>2475.7391679999996</v>
      </c>
      <c r="T48" s="3">
        <f>2733.3+(143.8-318.3)+(-1.393983+(-0.073338--0.162333))+0-86.2--0.0439619999999913</f>
        <v>2471.3389740000007</v>
      </c>
      <c r="U48" s="3">
        <f>2724.3+(144.8-360.1)+(-2.778786+(-0.147696--0.367302))+0-86.6--0.0883320000000138</f>
        <v>2419.9291519999997</v>
      </c>
      <c r="V48" s="3">
        <f>2698.5+(144.7-361.3)+(-6.881175+(-0.368985--0.921315))+0-76--0.193799999999989</f>
        <v>2399.7649550000001</v>
      </c>
      <c r="W48" s="3">
        <f>2666.9+(139.4-359)+(-2.720238+(-0.142188--0.36618))+0-88.3--0.0900660000000141</f>
        <v>2356.5938200000001</v>
      </c>
      <c r="X48" s="3">
        <f>2515.4+(140.9-327)+(-7.697124+(-0.431154--1.00062))+0-82--0.250920000000009</f>
        <v>2240.4232620000002</v>
      </c>
      <c r="Y48" s="3">
        <f>2529.8+(143.7-298.2)+(0+(0-0))+0-84.8-0</f>
        <v>2290.5</v>
      </c>
      <c r="Z48" s="3">
        <f>2784.5+(144.4-367.8)+(-2.84019+(-0.147288--0.375156))+0-84.1--0.0857820000000134</f>
        <v>2474.4734600000002</v>
      </c>
      <c r="AA48" s="3">
        <f>2679.9+(143.9-337.6)+(-6.833745+(-0.366945--0.86088))+0-78.9--0.201194999999989</f>
        <v>2401.1613850000003</v>
      </c>
      <c r="AB48" s="3">
        <f>2637.7+(143.9-354)+(-4.035681+(-0.220167--0.54162))+0-72.3--0.110619000000004</f>
        <v>2351.6963909999999</v>
      </c>
      <c r="AC48" s="3">
        <f>2383.6+(144-226.6)+(-4.862544+(-0.29376--0.462264))+0-73.8--0.150551999999997</f>
        <v>2222.656512</v>
      </c>
      <c r="AD48" s="2">
        <v>2343.5</v>
      </c>
      <c r="AE48" s="3">
        <f>2778+(144.7-356.5)+(0+(0-0))+0-102.7-0</f>
        <v>2463.5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2273.6+(152.2-163.6)+(-8.116752+(-0.543354--0.584052))+0-89.4--0.319158000000001</f>
        <v>2165.0431039999994</v>
      </c>
      <c r="G49" s="3">
        <f>2283.1+(142.6-205.3)+(-8.150667+(-0.509082--0.732921))+0-85.9--0.306663000000001</f>
        <v>2126.8798349999997</v>
      </c>
      <c r="H49" s="3">
        <f>2242.3+(143.1-218.1)+(-2.287146+(-0.145962--0.222462))+0-95.6--0.0975120000000152</f>
        <v>2069.5868660000001</v>
      </c>
      <c r="I49" s="3">
        <f>2109.5+(143.4-216.6)+(-1.075845+(-0.073134--0.110466))+0-26--0.0132599999999974</f>
        <v>2009.2747469999999</v>
      </c>
      <c r="J49" s="3">
        <f>2041.1+(143.6-177.4)+(-1.040961+(-0.073236--0.090474))+0-54.1--0.0275909999999945</f>
        <v>1952.2038680000001</v>
      </c>
      <c r="K49" s="3">
        <f>1953.3+(144.6-185.5)+(-3.984732+(-0.294984--0.37842))+0-55--0.112199999999998</f>
        <v>1853.6109039999999</v>
      </c>
      <c r="L49" s="3">
        <f>2044.2+(143.1-300.2)+(-4.170168+(-0.291924--0.612408))+0-26.2--0.0534479999999989</f>
        <v>1857.103764</v>
      </c>
      <c r="M49" s="3">
        <f>2117+(144.2-284.5)+(5.39835+(0.36771-0.725475))+0-23.4-0.0596699999999966</f>
        <v>1958.2809149999998</v>
      </c>
      <c r="N49" s="3">
        <f>2331.1+(142.4-255.9)+(1.188861+(0.072624-0.130509))+0-69.4-0.035393999999993</f>
        <v>2149.2955819999997</v>
      </c>
      <c r="O49" s="3">
        <f>2493.2+(143.7-283.8)+(-1.271532+(-0.073287--0.144738))+0-76.4--0.0389639999999923</f>
        <v>2275.5388829999997</v>
      </c>
      <c r="P49" s="3">
        <f>2552.8+(142.7-312.8)+(-1.301928+(-0.072777--0.159528))+0-73.9--0.0376889999999925</f>
        <v>2307.6225119999999</v>
      </c>
      <c r="Q49" s="3">
        <f>2593.7+(143-279.6)+(-1.322787+(-0.07293--0.142596))+0-81.1--0.0413609999999918</f>
        <v>2374.7882399999999</v>
      </c>
      <c r="R49" s="3">
        <f>2555.6+(140.8-261.4)+(-7.820136+(-0.430848--0.799884))+0-81.8--0.250308000000009</f>
        <v>2345.9992079999997</v>
      </c>
      <c r="S49" s="3">
        <f>2515.9+(148.5-222.9)+(-3.849327+(-0.227205--0.341037))+0-87.2--0.133416000000005</f>
        <v>2350.6979210000004</v>
      </c>
      <c r="T49" s="3">
        <f>2536.8+(141.1-249.1)+(1.293768+(0.071961-0.127041))+0-86.2-0.0439619999999913</f>
        <v>2343.7947260000001</v>
      </c>
      <c r="U49" s="3">
        <f>2514.3+(140.8-249.6)+(-6.411465+(-0.35904--0.63648))+0-79.8--0.203489999999988</f>
        <v>2319.7694649999999</v>
      </c>
      <c r="V49" s="3">
        <f>2490.6+(142-268.1)+(-6.35103+(-0.3621--0.683655))+0-85.1--0.217004999999988</f>
        <v>2273.5875300000002</v>
      </c>
      <c r="W49" s="3">
        <f>2523.6+(141.9-310.5)+(-6.43518+(-0.361845--0.791775))+0-84.3--0.214964999999988</f>
        <v>2264.9097149999998</v>
      </c>
      <c r="X49" s="3">
        <f>2328.7+(139.3-248.7)+(-2.375274+(-0.142086--0.253674))+0-87.7--0.089454000000014</f>
        <v>2129.4257680000001</v>
      </c>
      <c r="Y49" s="3">
        <f>2251.5+(171.7-203.3)+(-1.148265+(-0.087567--0.103683))+0-78.3--0.0399329999999921</f>
        <v>2140.5077839999999</v>
      </c>
      <c r="Z49" s="3">
        <f>2594.3+(69.4-201)+(-3.969279+(-0.106182--0.30753))+0-87.2--0.133416000000005</f>
        <v>2371.8654850000007</v>
      </c>
      <c r="AA49" s="3">
        <f>2706.9+(61.6-233.4)+(-6.902595+(-0.15708--0.59517))+0-79.2--0.201959999999989</f>
        <v>2449.637455</v>
      </c>
      <c r="AB49" s="3">
        <f>2666.1+(134.1-307.3)+(-4.079133+(-0.205173--0.470169))+0-88.5--0.135405000000005</f>
        <v>2400.7212680000002</v>
      </c>
      <c r="AC49" s="3">
        <f>2589+(145.1-282.2)+(-3.96117+(-0.222003--0.431766))+0-85.4--0.130662000000005</f>
        <v>2362.8792549999998</v>
      </c>
      <c r="AD49" s="2">
        <v>2297.9</v>
      </c>
      <c r="AE49" s="3">
        <f>2682+(40-225.6)+(0+(0-0))+0-99.5-0</f>
        <v>2396.9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2380.1+(142.8-206.4)+(-6.069255+(-0.36414--0.52632))+0-83.1--0.211904999999988</f>
        <v>2227.7048300000001</v>
      </c>
      <c r="G50" s="3">
        <f>2319.2+(142.5-229.3)+(-3.548376+(-0.218025--0.350829))+0-84.9--0.129897000000005</f>
        <v>2144.2143249999995</v>
      </c>
      <c r="H50" s="3">
        <f>2148.5+(142.3-175.2)+(-5.478675+(-0.362865--0.44676))+0-84.9--0.216494999999988</f>
        <v>2025.5217149999996</v>
      </c>
      <c r="I50" s="3">
        <f>2130.8+(142.7-174.6)+(-4.346832+(-0.291108--0.356184))+0-81.8--0.166871999999996</f>
        <v>2012.9851160000003</v>
      </c>
      <c r="J50" s="3">
        <f>2134.9+(142.4-186.4)+(-3.266397+(-0.217872--0.285192))+0-78.8--0.120564000000005</f>
        <v>2009.021487</v>
      </c>
      <c r="K50" s="3">
        <f>2144.7+(142.5-239.8)+(-2.187594+(-0.14535--0.244596))+0-82.6--0.0842520000000132</f>
        <v>1962.7959040000001</v>
      </c>
      <c r="L50" s="3">
        <f>2009.6+(144.4-223.8)+(-4.099584+(-0.294576--0.456552))+0-25.3--0.0516119999999989</f>
        <v>1901.0140039999999</v>
      </c>
      <c r="M50" s="3">
        <f>2189.3+(142.5-275)+(2.233086+(0.14535-0.2805))+0-24.9-0.025398000000004</f>
        <v>2033.9725380000002</v>
      </c>
      <c r="N50" s="3">
        <f>2226.2+(142.7-218.9)+(-2.270724+(-0.145554--0.223278))+0-19--0.019380000000003</f>
        <v>2128.82638</v>
      </c>
      <c r="O50" s="3">
        <f>2240+(143.6-233.8)+(0+(0-0))+0-20.1-0</f>
        <v>2129.7000000000003</v>
      </c>
      <c r="P50" s="3">
        <f>2397.6+(143.1-268.6)+(0+(0-0))+0-19.5-0</f>
        <v>2252.6</v>
      </c>
      <c r="Q50" s="3">
        <f>2651.6+(141.9-357.7)+(0+(0-0))+0-20.9-0</f>
        <v>2414.8999999999996</v>
      </c>
      <c r="R50" s="3">
        <f>2513+(140-262)+(0+(0-0))+0-0-0</f>
        <v>2391</v>
      </c>
      <c r="S50" s="3">
        <f>2543.5+(140.4-257.4)+(-6.485925+(-0.35802--0.65637))+0-21.1--0.0538049999999969</f>
        <v>2399.2662300000002</v>
      </c>
      <c r="T50" s="3">
        <f>2628+(140-244)+(-6.7014+(-0.357--0.6222))+0-0-0</f>
        <v>2517.5637999999999</v>
      </c>
      <c r="U50" s="3">
        <f>2637.4+(142.6-282)+(-4.035222+(-0.218178--0.43146))+0-60--0.0918000000000035</f>
        <v>2434.2698600000003</v>
      </c>
      <c r="V50" s="3">
        <f>2624.7+(139.4-320.9)+(-5.354388+(-0.284376--0.654636))+0-81.5--0.166259999999996</f>
        <v>2356.8821319999997</v>
      </c>
      <c r="W50" s="3">
        <f>2538.8+(141.5-321.1)+(-6.47394+(-0.360825--0.818805))+0-81.7--0.208334999999988</f>
        <v>2271.6923750000001</v>
      </c>
      <c r="X50" s="3">
        <f>2410.9+(142.1-269.5)+(-6.147795+(-0.362355--0.687225))+0-82.3--0.209864999999988</f>
        <v>2195.5869399999997</v>
      </c>
      <c r="Y50" s="3">
        <f>2469.5+(109-246.2)+(-2.51889+(-0.11118--0.251124))+0-79.1--0.0806820000000126</f>
        <v>2250.9017360000003</v>
      </c>
      <c r="Z50" s="3">
        <f>2698.9+(76.5-306.8)+(-4.129317+(-0.117045--0.469404))+0-75.8--0.115974000000004</f>
        <v>2389.1390159999996</v>
      </c>
      <c r="AA50" s="3">
        <f>2626.1+(115.8-286)+(-8.035866+(-0.354348--0.87516))+0-82.6--0.25275600000001</f>
        <v>2366.0377020000001</v>
      </c>
      <c r="AB50" s="3">
        <f>2453.9+(143.9-215.3)+(-1.251489+(-0.073389--0.109803))+0-84.8--0.0432479999999914</f>
        <v>2296.5281729999997</v>
      </c>
      <c r="AC50" s="3">
        <f>2420.5+(142.6-249.9)+(-3.703365+(-0.218178--0.382347))+0-84.2--0.128826000000005</f>
        <v>2225.5896299999999</v>
      </c>
      <c r="AD50" s="2">
        <v>2284.7999999999997</v>
      </c>
      <c r="AE50" s="3">
        <f>2706+(102.6-301.3)+(0+(0-0))+0-92.5-0</f>
        <v>2414.8000000000002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2344.1+(141.8-231.6)+(-5.977455+(-0.36159--0.59058))+0-67.9--0.17314499999999</f>
        <v>2180.8246799999997</v>
      </c>
      <c r="G51" s="3">
        <f>2079.1+(204.9-147.1)+(-5.301705+(-0.522495--0.375105))+0-89--0.226949999999987</f>
        <v>2042.6778550000001</v>
      </c>
      <c r="H51" s="3">
        <f>2087.6+(172.8-141.6)+(-4.258704+(-0.352512--0.288864))+0-78.3--0.159731999999997</f>
        <v>2036.3373799999997</v>
      </c>
      <c r="I51" s="3">
        <f>2018.6+(196.3-138.6)+(-1.029486+(-0.100113--0.070686))+0-94.1--0.0479909999999905</f>
        <v>1981.1890779999999</v>
      </c>
      <c r="J51" s="3">
        <f>2029.3+(154.6-146.7)+(3.104829+(0.236538-0.224451))+0-89.9-0.137547000000005</f>
        <v>1950.2793689999999</v>
      </c>
      <c r="K51" s="3">
        <f>1994+(145.1-185.4)+(-3.05082+(-0.222003--0.283662))+0-80.5--0.123165000000005</f>
        <v>1870.334004</v>
      </c>
      <c r="L51" s="3">
        <f>1940.2+(154.9-189)+(-0.989502+(-0.078999--0.09639))+0-83.2--0.0424319999999916</f>
        <v>1821.970321</v>
      </c>
      <c r="M51" s="3">
        <f>2191.7+(142.1-294.3)+(-4.471068+(-0.289884--0.600372))+0-96.3--0.196451999999996</f>
        <v>1939.2358719999997</v>
      </c>
      <c r="N51" s="3">
        <f>2415.1+(141.2-365.9)+(-3.695103+(-0.216036--0.559827))+0-71.9--0.110007000000004</f>
        <v>2115.2586950000004</v>
      </c>
      <c r="O51" s="3">
        <f>2424.1+(140-327.7)+(-2.472582+(-0.1428--0.334254))+0-44.2--0.045084000000007</f>
        <v>2189.9639560000001</v>
      </c>
      <c r="P51" s="3">
        <f>2526.1+(142.4-318.5)+(-2.576622+(-0.145248--0.32487))+0-86--0.0877200000000137</f>
        <v>2261.6907200000001</v>
      </c>
      <c r="Q51" s="3">
        <f>2577.1+(142.5-323.4)+(-2.628642+(-0.14535--0.329868))+0-85.6--0.0873120000000136</f>
        <v>2308.2431879999999</v>
      </c>
      <c r="R51" s="3">
        <f>2649.6+(142.6-353.2)+(-1.351296+(-0.072726--0.180132))+0-84.6--0.0431459999999914</f>
        <v>2353.1992559999999</v>
      </c>
      <c r="S51" s="3">
        <f>2705.4+(142.4-411.1)+(-5.519016+(-0.290496--0.838644))+0-78.2--0.159527999999997</f>
        <v>2353.6886600000003</v>
      </c>
      <c r="T51" s="3">
        <f>2705.4+(142.4-411.1)+(-5.519016+(-0.290496--0.838644))+0-78.2--0.159527999999997</f>
        <v>2353.6886600000003</v>
      </c>
      <c r="U51" s="3">
        <f>2716+(143.5-442.5)+(0+(0-0))+0-62.2-0</f>
        <v>2354.8000000000002</v>
      </c>
      <c r="V51" s="3">
        <f>2701.8+(141.4-436.1)+(-5.511672+(-0.288456--0.889644))+0-66.8--0.136271999999997</f>
        <v>2335.5257880000004</v>
      </c>
      <c r="W51" s="3">
        <f>2645.6+(142.4-413.3)+(-8.095536+(-0.435744--1.264698))+0-92.6--0.283356000000011</f>
        <v>2275.1167739999996</v>
      </c>
      <c r="X51" s="3">
        <f>2552.2+(142.4-408.3)+(-7.809732+(-0.435744--1.249398))+0-92.6--0.283356000000011</f>
        <v>2186.9872779999996</v>
      </c>
      <c r="Y51" s="3">
        <f>2473.1+(132-329.3)+(-8.828967+(-0.47124--1.175601))+0-88.3--0.315231000000001</f>
        <v>2179.6906249999997</v>
      </c>
      <c r="Z51" s="3">
        <f>2703.2+(74-331.6)+(-1.378632+(-0.03774--0.169116))+0-54.2--0.0276419999999945</f>
        <v>2390.180386</v>
      </c>
      <c r="AA51" s="3">
        <f>2784.4+(103-395.6)+(-8.520264+(-0.31518--1.210536))+0-88.5--0.27081000000001</f>
        <v>2395.9459020000004</v>
      </c>
      <c r="AB51" s="3">
        <f>2557.9+(140-316.6)+(-3.913587+(-0.2142--0.484398))+0-81--0.123930000000005</f>
        <v>2296.7805410000005</v>
      </c>
      <c r="AC51" s="3">
        <f>2505.4+(140-313.2)+(-5.111016+(-0.2856--0.638928))+0-88.5--0.180539999999996</f>
        <v>2239.122852</v>
      </c>
      <c r="AD51" s="2">
        <v>2324.6999999999998</v>
      </c>
      <c r="AE51" s="3">
        <f>2829+(83-373.2)+(0+(0-0))+0-97.3-0</f>
        <v>2441.5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2378.9+(144-302)+(-6.066195+(-0.3672--0.7701))+0-80.9--0.206294999999988</f>
        <v>2134.5430000000001</v>
      </c>
      <c r="G52" s="3">
        <f>2372.6+(143-347.1)+(-4.840104+(-0.29172--0.708084))+0-82.8--0.168911999999996</f>
        <v>2081.4451719999997</v>
      </c>
      <c r="H52" s="3">
        <f>2109.3+(142-202.8)+(-3.227229+(-0.21726--0.310284))+0-92.3--0.141219000000005</f>
        <v>1953.2070140000001</v>
      </c>
      <c r="I52" s="3">
        <f>2143.1+(142-251.9)+(5.464905+(0.3621-0.642345))+0-73.2-0.186659999999989</f>
        <v>1964.9979999999996</v>
      </c>
      <c r="J52" s="3">
        <f>2103.3+(143-237.4)+(-3.218049+(-0.21879--0.363222))+0-83.2--0.127296000000005</f>
        <v>1922.7536790000001</v>
      </c>
      <c r="K52" s="3">
        <f>2028.8+(143-257.6)+(-1.034688+(-0.07293--0.131376))+0-88.7--0.045236999999991</f>
        <v>1824.5689949999999</v>
      </c>
      <c r="L52" s="3">
        <f>1951.5+(0-198.1)+(-1.99053+(0--0.202062))+0-81.5--0.083130000000013</f>
        <v>1670.1946620000001</v>
      </c>
      <c r="M52" s="3">
        <f>2115.7+(0-254.5)+(1.079007+(0-0.129795))+0-76.6-0.0390659999999922</f>
        <v>1785.5101459999998</v>
      </c>
      <c r="N52" s="3">
        <f>2383.9+(0-301.6)+(0+(0-0))+0-93.6-0</f>
        <v>1988.7000000000003</v>
      </c>
      <c r="O52" s="3">
        <f>2442.3+(140-255)+(-2.491146+(-0.1428--0.2601))+0-87.2--0.0889440000000139</f>
        <v>2237.8150980000005</v>
      </c>
      <c r="P52" s="3">
        <f>2514.1+(142.1-278.9)+(1.282191+(0.072471-0.142239))+0-77.7-0.0396269999999921</f>
        <v>2300.7727959999997</v>
      </c>
      <c r="Q52" s="3">
        <f>2594.5+(142.8-320.7)+(-1.323195+(-0.072828--0.163557))+0-79.9--0.0407489999999919</f>
        <v>2335.5082829999997</v>
      </c>
      <c r="R52" s="3">
        <f>2603.8+(140.8-311.3)+(2.655876+(0.143616-0.317526))+0-87.7-0.089454000000014</f>
        <v>2347.9925120000003</v>
      </c>
      <c r="S52" s="3">
        <f>2576.9+(141.6-285.6)+(-5.256876+(-0.288864--0.582624))+0-82.8--0.168911999999996</f>
        <v>2345.3057960000001</v>
      </c>
      <c r="T52" s="3">
        <f>2607.7+(142.5-316.1)+(1.329927+(0.072675-0.161211))+0-83-0.0423299999999916</f>
        <v>2352.2990610000002</v>
      </c>
      <c r="U52" s="3">
        <f>2579.2+(142.7-312.9)+(-2.630784+(-0.145554--0.319158))+0-95.7--0.0976140000000153</f>
        <v>2310.9404340000001</v>
      </c>
      <c r="V52" s="3">
        <f>2535.8+(144.5-319.7)+(-5.173032+(-0.29478--0.652188))+0-73.2--0.149327999999997</f>
        <v>2282.7337040000007</v>
      </c>
      <c r="W52" s="3">
        <f>2555.7+(142.5-372.8)+(1.303407+(0.072675-0.190128))+0-43-0.0219299999999956</f>
        <v>2283.5640239999998</v>
      </c>
      <c r="X52" s="3">
        <f>2472.9+(135.9-428.3)+(-8.828253+(-0.485163--1.529031))+0-23.7--0.0846090000000003</f>
        <v>2149.1002240000003</v>
      </c>
      <c r="Y52" s="3">
        <f>2469+(101.2-324.2)+(-3.77757+(-0.154836--0.496026))+0-79.5--0.121635000000005</f>
        <v>2163.1852549999999</v>
      </c>
      <c r="Z52" s="3">
        <f>2685.6+(44.6-278.7)+(-2.739312+(-0.045492--0.284274))+0-96.6--0.0985320000000154</f>
        <v>2352.4980020000003</v>
      </c>
      <c r="AA52" s="3">
        <f>2692.1+(114.4-340.2)+(-8.237826+(-0.350064--1.041012))+0-88.3--0.27019800000001</f>
        <v>2370.7233199999996</v>
      </c>
      <c r="AB52" s="3">
        <f>2648.9+(141.1-311)+(0+(0-0))+0-87.1-0</f>
        <v>2391.9</v>
      </c>
      <c r="AC52" s="3">
        <f>2640.8+(141.8-288.4)+(-1.346808+(-0.072318--0.147084))+0-75.8--0.0386579999999923</f>
        <v>2417.166616</v>
      </c>
      <c r="AD52" s="2">
        <v>2209.2999999999997</v>
      </c>
      <c r="AE52" s="3">
        <f>2695+(46.9-283.8)+(0+(0-0))+0-98.8-0</f>
        <v>2359.2999999999997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2363.1+(176-160)+(-6.025905+(-0.4488--0.408))+0-96.7--0.246584999999986</f>
        <v>2276.5798799999998</v>
      </c>
      <c r="G53" s="3">
        <f>2015+(272.4-141.6)+(-1.02765+(-0.138924--0.072216))+0-83.9--0.0427889999999915</f>
        <v>2060.8484310000003</v>
      </c>
      <c r="H53" s="3">
        <f>1979.9+(231.2-136.7)+(-3.029247+(-0.353736--0.209151))+0-84.8--0.129744000000005</f>
        <v>1986.5559120000003</v>
      </c>
      <c r="I53" s="3">
        <f>1943.4+(203.4-132.5)+(-3.964536+(-0.414936--0.2703))+0-83.6--0.170543999999996</f>
        <v>1926.7613720000004</v>
      </c>
      <c r="J53" s="3">
        <f>1976+(164-140.2)+(0+(0-0))+0-73.5-0</f>
        <v>1926.3</v>
      </c>
      <c r="K53" s="3">
        <f>1974.8+(152.2-178.9)+(-4.028592+(-0.310488--0.364956))+0-90.6--0.184823999999996</f>
        <v>1853.7106999999999</v>
      </c>
      <c r="L53" s="3">
        <f>1877.3+(151.4-177.9)+(-3.829692+(-0.308856--0.362916))+0-76.2--0.155447999999997</f>
        <v>1770.9798159999998</v>
      </c>
      <c r="M53" s="3">
        <f>1856+(149.4-178.8)+(0+(0-0))+0-52.3-0</f>
        <v>1774.3</v>
      </c>
      <c r="N53" s="3">
        <f>1965.7+(143.3-181.2)+(-2.005014+(-0.146166--0.184824))+0-84.6--0.0862920000000135</f>
        <v>1841.3199360000003</v>
      </c>
      <c r="O53" s="3">
        <f>2074.2+(141.9-232.3)+(0+(0-0))+0-89.7-0</f>
        <v>1894.0999999999997</v>
      </c>
      <c r="P53" s="3">
        <f>2177.8+(140.9-262.5)+(0+(0-0))+0-92.7-0</f>
        <v>1963.5000000000002</v>
      </c>
      <c r="Q53" s="3">
        <f>2254+(139.9-270.8)+(-1.14954+(-0.071349--0.138108))+0-82.6--0.0421259999999916</f>
        <v>2039.459345</v>
      </c>
      <c r="R53" s="3">
        <f>2280.6+(143.7-251.5)+(-1.163106+(-0.073287--0.128265))+0-85.9--0.0438089999999913</f>
        <v>2085.8356809999996</v>
      </c>
      <c r="S53" s="3">
        <f>2321.1+(144.1-242.2)+(-2.367522+(-0.146982--0.247044))+0-83.6--0.0852720000000133</f>
        <v>2137.2178119999999</v>
      </c>
      <c r="T53" s="3">
        <f>2388.1+(143.3-246.1)+(-3.653793+(-0.219249--0.376533))+0-84.4--0.129132000000005</f>
        <v>2197.5326229999996</v>
      </c>
      <c r="U53" s="3">
        <f>2379.3+(142.2-267)+(-2.426886+(-0.145044--0.27234))+0-73.4--0.0748680000000117</f>
        <v>2178.875278</v>
      </c>
      <c r="V53" s="3">
        <f>2402.4+(141.3-326.4)+(1.225224+(0.072063-0.166464))+0-89.4-0.0455939999999909</f>
        <v>2128.9852289999999</v>
      </c>
      <c r="W53" s="3">
        <f>2431.8+(141.2-409.3)+(-1.240218+(-0.072012--0.208743))+0-84.5--0.0430949999999914</f>
        <v>2078.1396080000004</v>
      </c>
      <c r="X53" s="3">
        <f>2412.2+(141.4-421.5)+(-6.15111+(-0.36057--1.074825))+0-92.9--0.236894999999987</f>
        <v>2034.0000399999999</v>
      </c>
      <c r="Y53" s="3">
        <f>2343.1+(123.8-304.2)+(-3.584943+(-0.189414--0.465426))+0-72.1--0.110313000000004</f>
        <v>2087.401382</v>
      </c>
      <c r="Z53" s="3">
        <f>2780.7+(112-422.7)+(-4.254471+(-0.17136--0.646731))+0-74.1--0.113373000000004</f>
        <v>2392.234273</v>
      </c>
      <c r="AA53" s="3">
        <f>2863.1+(132.4-454.7)+(-4.380543+(-0.202572--0.695691))+0-95.3--0.145809000000005</f>
        <v>2441.7583850000001</v>
      </c>
      <c r="AB53" s="3">
        <f>2841.1+(142.3-457.4)+(2.897922+(0.145146-0.466548))+0-83.1-0.0847620000000132</f>
        <v>2445.3917580000002</v>
      </c>
      <c r="AC53" s="3">
        <f>2669.1+(141.9-401.8)+(-2.722482+(-0.144738--0.409836))+0-57.7--0.0588540000000092</f>
        <v>2349.1014700000001</v>
      </c>
      <c r="AD53" s="2">
        <v>2213</v>
      </c>
      <c r="AE53" s="3">
        <f>2883+(111-464.4)+(0+(0-0))+0-91.6-0</f>
        <v>2438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2530.2+(143.2-347)+(-1.290402+(-0.073032--0.17697))+0-76.3--0.0389129999999923</f>
        <v>2248.9524489999994</v>
      </c>
      <c r="G54" s="3">
        <f>2413+(142.1-342.3)+(-6.15315+(-0.362355--0.872865))+0-93.1--0.237404999999986</f>
        <v>2114.2947650000001</v>
      </c>
      <c r="H54" s="3">
        <f>2232.4+(141.8-305.9)+(0+(0-0))+0-69.6-0</f>
        <v>1998.7000000000003</v>
      </c>
      <c r="I54" s="3">
        <f>2195.9+(141.1-294.3)+(-3.359727+(-0.215883--0.450279))+0-85.3--0.130509000000005</f>
        <v>1954.4051780000002</v>
      </c>
      <c r="J54" s="3">
        <f>2259.9+(142-330.7)+(3.457647+(0.21726-0.505971))+0-83.3-0.127449000000005</f>
        <v>1990.9414870000003</v>
      </c>
      <c r="K54" s="3">
        <f>2225.5+(141.6-368.8)+(-2.27001+(-0.144432--0.376176))+0-84.8--0.0864960000000135</f>
        <v>1911.5482300000001</v>
      </c>
      <c r="L54" s="3">
        <f>2147.8+(141.3-318.2)+(-3.286134+(-0.216189--0.486846))+0-94.9--0.145197000000005</f>
        <v>1873.1297200000001</v>
      </c>
      <c r="M54" s="3">
        <f>2269.2+(140.3-344.8)+(1.157292+(0.071553-0.175848))+0-34.7-0.0176969999999965</f>
        <v>2031.0352999999996</v>
      </c>
      <c r="N54" s="3">
        <f>2432.2+(141.8-327.3)+(4.961688+(0.289272-0.667692))+0-44.9-0.091595999999998</f>
        <v>2206.2916719999994</v>
      </c>
      <c r="O54" s="3">
        <f>2617+(141.4-384.3)+(-1.33467+(-0.072114--0.195993))+0-88.6--0.045185999999991</f>
        <v>2284.3343949999999</v>
      </c>
      <c r="P54" s="3">
        <f>2661.1+(142.4-392.2)+(0+(0-0))+0-90.1-0</f>
        <v>2321.1999999999998</v>
      </c>
      <c r="Q54" s="3">
        <f>2720.7+(142.4-436.9)+(-2.775114+(-0.145248--0.445638))+0-79.4--0.0809880000000127</f>
        <v>2344.4062639999997</v>
      </c>
      <c r="R54" s="3">
        <f>2778.4+(142.3-424.3)+(-1.416984+(-0.072573--0.216393))+0-88.8--0.045287999999991</f>
        <v>2406.3721239999995</v>
      </c>
      <c r="S54" s="3">
        <f>2765.9+(142.3-385.5)+(-2.821218+(-0.145146--0.39321))+0-93.3--0.0951660000000149</f>
        <v>2426.922012</v>
      </c>
      <c r="T54" s="3">
        <f>2764.9+(141.9-394.2)+(-1.410099+(-0.072369--0.201042))+0-86.8--0.0442679999999912</f>
        <v>2424.5628419999998</v>
      </c>
      <c r="U54" s="3">
        <f>2739.8+(142.3-385.1)+(-4.191894+(-0.217719--0.589203))+0-85--0.130050000000005</f>
        <v>2408.3096400000004</v>
      </c>
      <c r="V54" s="3">
        <f>2764.9+(140.3-433.4)+(0+(0-0))+0-71.3-0</f>
        <v>2400.5</v>
      </c>
      <c r="W54" s="3">
        <f>2739.7+(141.5-433.1)+(-4.191741+(-0.216495--0.662643))+0-82.8--0.126684000000005</f>
        <v>2361.6810909999995</v>
      </c>
      <c r="X54" s="3">
        <f>2657.1+(141.3-423.8)+(-6.775605+(-0.360315--1.08069))+0-87.1--0.222104999999987</f>
        <v>2281.6668749999999</v>
      </c>
      <c r="Y54" s="3">
        <f>2556.4+(125.1-323.7)+(-3.911292+(-0.191403--0.495261))+0-85.1--0.130203000000005</f>
        <v>2269.2227690000004</v>
      </c>
      <c r="Z54" s="3">
        <f>2806.7+(97.5-383.1)+(-1.431417+(-0.049725--0.195381))+0-87--0.0443699999999912</f>
        <v>2432.8586089999999</v>
      </c>
      <c r="AA54" s="3">
        <f>2804.9+(120.5-404.1)+(-5.721996+(-0.24582--0.824364))+0-95.1--0.194003999999996</f>
        <v>2421.2505520000004</v>
      </c>
      <c r="AB54" s="3">
        <f>2833.8+(129.9-428.2)+(-1.445238+(-0.066249--0.218382))+0-76.6--0.0390659999999922</f>
        <v>2457.6459609999997</v>
      </c>
      <c r="AC54" s="3">
        <f>2836.1+(130.6-422.8)+(1.446411+(0.066606-0.215628))+0-76-0.0387599999999923</f>
        <v>2469.1586289999996</v>
      </c>
      <c r="AD54" s="2">
        <v>2321.1</v>
      </c>
      <c r="AE54" s="3">
        <f>2838+(111.4-403.5)+(0+(0-0))+0-106.3-0</f>
        <v>2439.6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2609.7+(131.7-342)+(-2.661894+(-0.134334--0.34884))+0-71.3--0.0727260000000114</f>
        <v>2325.7253379999993</v>
      </c>
      <c r="G55" s="3">
        <f>2339.8+(128.9-243.2)+(-5.96649+(-0.328695--0.62016))+0-83.9--0.213944999999988</f>
        <v>2136.1389199999999</v>
      </c>
      <c r="H55" s="3">
        <f>2229.4+(129.5-253.3)+(-3.410982+(-0.198135--0.387549))+0-96.6--0.147798000000006</f>
        <v>2005.92623</v>
      </c>
      <c r="I55" s="3">
        <f>2189+(128.7-258.7)+(-2.23278+(-0.131274--0.263874))+0-87--0.0887400000000139</f>
        <v>1969.98856</v>
      </c>
      <c r="J55" s="3">
        <f>2192.3+(129.5-267.6)+(-2.236146+(-0.13209--0.272952))+0-70.4--0.0718080000000112</f>
        <v>1981.7765240000001</v>
      </c>
      <c r="K55" s="3">
        <f>2132.3+(129.3-291.4)+(-5.437365+(-0.329715--0.74307))+0-80.5--0.205274999999988</f>
        <v>1884.8812650000002</v>
      </c>
      <c r="L55" s="3">
        <f>2070.1+(129.1-261.5)+(-4.223004+(-0.263364--0.53346))+0-89.1--0.181763999999996</f>
        <v>1844.8288559999999</v>
      </c>
      <c r="M55" s="3">
        <f>2365.9+(128-413.7)+(3.619827+(0.19584-0.632961))+0-57.2-0.0875160000000033</f>
        <v>2026.0951900000002</v>
      </c>
      <c r="N55" s="3">
        <f>2597.3+(129.9-436)+(2.649246+(0.132498-0.44472))+0-64.3-0.0655860000000102</f>
        <v>2229.1714379999999</v>
      </c>
      <c r="O55" s="3">
        <f>2694.6+(131.3-416.7)+(0+(0-0))+0-85.5-0</f>
        <v>2323.6999999999998</v>
      </c>
      <c r="P55" s="3">
        <f>2736.3+(129.9-411)+(0+(0-0))+0-89.2-0</f>
        <v>2366.0000000000005</v>
      </c>
      <c r="Q55" s="3">
        <f>2736.6+(129-432.1)+(0+(0-0))+0-91-0</f>
        <v>2342.5</v>
      </c>
      <c r="R55" s="3">
        <f>2694.9+(129.3-381.9)+(-1.374399+(-0.065943--0.194769))+0-89.4--0.0455939999999909</f>
        <v>2351.7000210000001</v>
      </c>
      <c r="S55" s="3">
        <f>2815.2+(128.4-424.6)+(-2.871504+(-0.130968--0.433092))+0-95.4--0.0973080000000152</f>
        <v>2421.1279279999999</v>
      </c>
      <c r="T55" s="3">
        <f>2881.5+(127.7-475.6)+(0+(0-0))+0-87-0</f>
        <v>2446.6</v>
      </c>
      <c r="U55" s="3">
        <f>2866.4+(128-502.6)+(-5.847456+(-0.26112--1.025304))+0-81.1--0.165443999999996</f>
        <v>2405.7821720000006</v>
      </c>
      <c r="V55" s="3">
        <f>2868.8+(129.1-529.2)+(-7.31544+(-0.329205--1.34946))+0-45.3--0.115514999999993</f>
        <v>2417.2203300000001</v>
      </c>
      <c r="W55" s="3">
        <f>2852.4+(129.3-528.1)+(-10.183068+(-0.461601--1.885317))+0-73.5--0.262395000000001</f>
        <v>2371.6030430000001</v>
      </c>
      <c r="X55" s="3">
        <f>2542.1+(131.6-414.9)+(-9.075297+(-0.469812--1.481193))+0-51.3--0.183141000000001</f>
        <v>2199.6192249999999</v>
      </c>
      <c r="Y55" s="3">
        <f>2563.5+(109.8-319.3)+(-1.307385+(-0.055998--0.162843))+0-89.7--0.0457469999999909</f>
        <v>2263.1452070000005</v>
      </c>
      <c r="Z55" s="3">
        <f>2804.5+(45.6-343.9)+(1.430295+(0.023256-0.175389))+0-63.2-0.0322319999999936</f>
        <v>2444.24593</v>
      </c>
      <c r="AA55" s="3">
        <f>2752.5+(67.6-385.4)+(-8.42265+(-0.206856--1.179324))+0-24--0.0734400000000028</f>
        <v>2403.3232579999999</v>
      </c>
      <c r="AB55" s="3">
        <f>2705.4+(129.6-415)+(-6.89877+(-0.33048--1.05825))+0-23.9--0.0609449999999965</f>
        <v>2389.9899450000003</v>
      </c>
      <c r="AC55" s="3">
        <f>2617.5+(133.4-384.6)+(-6.674625+(-0.34017--0.98073))+0-25.8--0.0657899999999963</f>
        <v>2334.5317250000003</v>
      </c>
      <c r="AD55" s="2">
        <v>2356.1999999999998</v>
      </c>
      <c r="AE55" s="3">
        <f>2835+(32.3-402.1)+(0+(0-0))+0-25.3-0</f>
        <v>2439.8999999999996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2457.2+(133.9-335.8)+(-2.506344+(-0.136578--0.342516))+0-81.7--0.083334000000013</f>
        <v>2171.382928</v>
      </c>
      <c r="G56" s="3">
        <f>2390.4+(132.8-329.2)+(-1.219104+(-0.067728--0.167892))+0-96--0.0489599999999903</f>
        <v>2096.9300200000002</v>
      </c>
      <c r="H56" s="3">
        <f>2276.6+(132.3-289.7)+(-4.644264+(-0.269892--0.590988))+0-85.6--0.174623999999996</f>
        <v>2029.451456</v>
      </c>
      <c r="I56" s="3">
        <f>2270.6+(132-313.3)+(-3.474018+(-0.20196--0.479349))+0-89--0.136170000000005</f>
        <v>1997.2395409999997</v>
      </c>
      <c r="J56" s="3">
        <f>2232.5+(131.7-314.1)+(0+(0-0))+0-30.7-0</f>
        <v>2019.3999999999999</v>
      </c>
      <c r="K56" s="3">
        <f>2189.5+(131.5-314.6)+(-4.46658+(-0.26826--0.641784))+0-60.3--0.123011999999997</f>
        <v>1942.1299560000002</v>
      </c>
      <c r="L56" s="3">
        <f>2168.5+(131.7-309.3)+(-1.105935+(-0.067167--0.157743))+0-84.9--0.0432989999999914</f>
        <v>1905.0279399999999</v>
      </c>
      <c r="M56" s="3">
        <f>2333.7+(131.8-334.1)+(-1.190187+(-0.067218--0.170391))+0-47.4--0.0241739999999952</f>
        <v>2082.9371599999995</v>
      </c>
      <c r="N56" s="3">
        <f>2441.9+(130.8-422.6)+(1.245369+(0.066708-0.215526))+0-27.2-0.0138719999999972</f>
        <v>2123.9826790000002</v>
      </c>
      <c r="O56" s="3">
        <f>2727.3+(129-535.5)+(1.390923+(0.06579-0.273105))+0-58.8-0.029987999999994</f>
        <v>2263.15362</v>
      </c>
      <c r="P56" s="3">
        <f>2864.4+(128.1-535.8)+(-2.921688+(-0.130662--0.546516))+0-62.7--0.06395400000001</f>
        <v>2391.5581200000006</v>
      </c>
      <c r="Q56" s="3">
        <f>2887.6+(128.2-525.2)+(0+(0-0))+0-75.3-0</f>
        <v>2415.2999999999997</v>
      </c>
      <c r="R56" s="3">
        <f>2958.6+(127.9-511.5)+(0+(0-0))+0-75.8-0</f>
        <v>2499.1999999999998</v>
      </c>
      <c r="S56" s="3">
        <f>2928.3+(128.5-493.5)+(-4.480299+(-0.196605--0.755055))+0-86.3--0.132039000000005</f>
        <v>2473.2101900000002</v>
      </c>
      <c r="T56" s="3">
        <f>2940.8+(128.1-493)+(-7.49904+(-0.326655--1.25715))+0-82.7--0.210884999999988</f>
        <v>2486.8423400000001</v>
      </c>
      <c r="U56" s="3">
        <f>2912.8+(127.5-496.4)+(-7.42764+(-0.325125--1.26582))+0-88.4--0.225419999999987</f>
        <v>2449.2384750000001</v>
      </c>
      <c r="V56" s="3">
        <f>2842.4+(126.9-452.2)+(-5.798496+(-0.258876--0.922488))+0-89.4--0.182375999999996</f>
        <v>2422.7474920000004</v>
      </c>
      <c r="W56" s="3">
        <f>2737.3+(128.8-377.8)+(-2.792046+(-0.131376--0.385356))+0-88--0.089760000000014</f>
        <v>2397.851694</v>
      </c>
      <c r="X56" s="3">
        <f>2717.8+(130.1-422.8)+(-6.93039+(-0.331755--1.07814))+0-90.7--0.231284999999987</f>
        <v>2328.4472800000003</v>
      </c>
      <c r="Y56" s="3">
        <f>2809+(112.5-477.4)+(1.43259+(0.057375-0.243474))+0-76.4-0.0389639999999923</f>
        <v>2368.9075269999998</v>
      </c>
      <c r="Z56" s="3">
        <f>3154.4+(82.8-587.8)+(0+(0-0))+0-86-0</f>
        <v>2563.4</v>
      </c>
      <c r="AA56" s="3">
        <f>3134.6+(113.1-598.3)+(-9.591876+(-0.346086--1.830798))+0-75.5--0.231030000000009</f>
        <v>2566.023866</v>
      </c>
      <c r="AB56" s="3">
        <f>3063.6+(143-564.9)+(-4.687308+(-0.21879--0.864297))+0-85.3--0.130509000000005</f>
        <v>2552.4887079999999</v>
      </c>
      <c r="AC56" s="3">
        <f>2848.7+(142.8-474.3)+(-4.358511+(-0.218484--0.725679))+0-97.9--0.149787000000006</f>
        <v>2415.5984709999993</v>
      </c>
      <c r="AD56" s="2">
        <v>2379.8999999999996</v>
      </c>
      <c r="AE56" s="3">
        <f>3134+(110.6-575.4)+(0+(0-0))+0-99.3-0</f>
        <v>2569.8999999999996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2735.4+(142.6-482)+(-2.790108+(-0.145452--0.49164))+0-65.6--0.0669120000000104</f>
        <v>2328.0229920000002</v>
      </c>
      <c r="G57" s="3">
        <f>2432+(142.2-341.9)+(-3.72096+(-0.217566--0.523107))+0-81.1--0.124083000000005</f>
        <v>2147.9086640000005</v>
      </c>
      <c r="H57" s="3">
        <f>2332.5+(142.1-321.6)+(-1.189575+(-0.072471--0.164016))+0-90--0.0458999999999909</f>
        <v>2061.94787</v>
      </c>
      <c r="I57" s="3">
        <f>2347.1+(143.1-324.3)+(1.197021+(0.072981-0.165393))+0-90.3-0.0460529999999908</f>
        <v>2076.6585559999999</v>
      </c>
      <c r="J57" s="3">
        <f>2308.8+(142.9-341.2)+(0+(0-0))+0-62.1-0</f>
        <v>2048.4</v>
      </c>
      <c r="K57" s="3">
        <f>2271.3+(143-394.5)+(-3.475089+(-0.21879--0.603585))+0-23.3--0.0356490000000013</f>
        <v>1993.4453550000001</v>
      </c>
      <c r="L57" s="3">
        <f>2257.4+(144.2-423.4)+(0+(0-0))+0-27.5-0</f>
        <v>1950.7</v>
      </c>
      <c r="M57" s="3">
        <f>2395.5+(142.5-475.1)+(0+(0-0))+0-21.8-0</f>
        <v>2041.1000000000001</v>
      </c>
      <c r="N57" s="3">
        <f>2609.4+(141.8-520.1)+(-2.661588+(-0.144636--0.530502))+0-21.1--0.0215220000000034</f>
        <v>2207.7458000000001</v>
      </c>
      <c r="O57" s="3">
        <f>2791.1+(140.8-502.5)+(-1.423461+(-0.071808--0.256275))+0-17.5--0.00892499999999822</f>
        <v>2410.6699310000004</v>
      </c>
      <c r="P57" s="3">
        <f>2823.6+(142.8-468.9)+(7.20018+(0.36414-1.195695))+0-16.1-0.0410549999999977</f>
        <v>2487.72757</v>
      </c>
      <c r="Q57" s="3">
        <f>2812.9+(141.2-456.9)+(1.434579+(0.072012-0.233019))+0-16.6-0.00846599999999832</f>
        <v>2481.8651060000007</v>
      </c>
      <c r="R57" s="3">
        <f>2823.5+(141-418.3)+(2.87997+(0.14382-0.426666))+0-21-0.0214200000000034</f>
        <v>2527.7757039999997</v>
      </c>
      <c r="S57" s="3">
        <f>2815.1+(141.6-392.8)+(0+(0-0))+0-21.9-0</f>
        <v>2542</v>
      </c>
      <c r="T57" s="3">
        <f>2842.2+(141.5-440.6)+(2.899044+(0.14433-0.449412))+0-20.9-0.0213180000000033</f>
        <v>2524.7726439999997</v>
      </c>
      <c r="U57" s="3">
        <f>2830.7+(143.5-459.3)+(0+(0-0))+0-21.4-0</f>
        <v>2493.4999999999995</v>
      </c>
      <c r="V57" s="3">
        <f>2718.3+(143.9-404)+(-6.931665+(-0.366945--1.0302))+0-53.9--0.137444999999992</f>
        <v>2398.1690349999999</v>
      </c>
      <c r="W57" s="3">
        <f>2678.2+(143.8-400.5)+(-4.097646+(-0.220014--0.612765))+0-83.9--0.128367000000005</f>
        <v>2334.0234719999999</v>
      </c>
      <c r="X57" s="3">
        <f>2515+(143.3-370.5)+(-8.97855+(-0.511581--1.322685))+0-84.8--0.302736000000001</f>
        <v>2195.1352900000002</v>
      </c>
      <c r="Y57" s="3">
        <f>2526.6+(110.6-303.9)+(-1.288566+(-0.056406--0.154989))+0-73.8--0.0376379999999925</f>
        <v>2258.3476549999991</v>
      </c>
      <c r="Z57" s="3">
        <f>2851.8+(49.7-378.4)+(-2.908836+(-0.050694--0.385968))+0-26.1--0.0266220000000042</f>
        <v>2494.4530600000003</v>
      </c>
      <c r="AA57" s="3">
        <f>2796.9+(83.2-325.6)+(-5.705676+(-0.169728--0.664224))+0-97.9--0.199715999999996</f>
        <v>2451.5885360000002</v>
      </c>
      <c r="AB57" s="3">
        <f>2716+(138.9-332)+(-8.31096+(-0.425034--1.01592))+0-72.6--0.222156000000008</f>
        <v>2442.8020820000002</v>
      </c>
      <c r="AC57" s="3">
        <f>2710.5+(144.5-363.2)+(-5.52942+(-0.29478--0.740928))+0-85.4--0.174215999999996</f>
        <v>2401.4909440000001</v>
      </c>
      <c r="AD57" s="2">
        <v>2347.4</v>
      </c>
      <c r="AE57" s="3">
        <f>2854+(72.8-361.6)+(0+(0-0))+0-104.8-0</f>
        <v>2460.3999999999996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2608.5+(143.6-421.8)+(-1.330335+(-0.073236--0.215118))+0-75.9--0.0387089999999923</f>
        <v>2253.2502559999998</v>
      </c>
      <c r="G58" s="3">
        <f>2355.8+(143.6-330.2)+(-6.00729+(-0.36618--0.84201))+0-72.5--0.184874999999989</f>
        <v>2091.353415</v>
      </c>
      <c r="H58" s="3">
        <f>2361.8+(144.4-346.6)+(-4.818072+(-0.294576--0.707064))+0-92.1--0.187883999999996</f>
        <v>2063.2823000000003</v>
      </c>
      <c r="I58" s="3">
        <f>2320.2+(144.8-338.3)+(-3.549906+(-0.221544--0.517599))+0-75.4--0.115362000000004</f>
        <v>2048.1615109999998</v>
      </c>
      <c r="J58" s="3">
        <f>2304.7+(144.3-361)+(-5.876985+(-0.367965--0.92055))+0-54.6--0.139229999999992</f>
        <v>2028.2148300000001</v>
      </c>
      <c r="K58" s="3">
        <f>2253.4+(144.3-367.1)+(-5.74617+(-0.367965--0.936105))+0-86.9--0.221594999999987</f>
        <v>1938.743565</v>
      </c>
      <c r="L58" s="3">
        <f>2188.7+(143.8-337)+(1.116237+(0.073338-0.17187))+0-83.1-0.0423809999999916</f>
        <v>1913.3753239999999</v>
      </c>
      <c r="M58" s="3">
        <f>2387.6+(142.6-405.9)+(3.653028+(0.218178-0.621027))+0-97.8-0.149634000000006</f>
        <v>2029.6005450000002</v>
      </c>
      <c r="N58" s="3">
        <f>2632.6+(141.5-433.6)+(2.685252+(0.14433-0.442272))+0-82.6-0.0842520000000132</f>
        <v>2260.2030580000001</v>
      </c>
      <c r="O58" s="3">
        <f>2785.5+(141.7-469.7)+(-4.261815+(-0.216801--0.718641))+0-77.4--0.118422000000004</f>
        <v>2376.458447</v>
      </c>
      <c r="P58" s="3">
        <f>2740.7+(139.5-401.8)+(-4.193271+(-0.213435--0.614754))+0-79.1--0.121023000000005</f>
        <v>2395.6290709999998</v>
      </c>
      <c r="Q58" s="3">
        <f>2751.6+(139.7-390.9)+(-4.209948+(-0.213741--0.598077))+0-73.2--0.111996000000004</f>
        <v>2423.4863840000003</v>
      </c>
      <c r="R58" s="3">
        <f>2764.3+(138.9-362.3)+(0+(0-0))+0-83.5-0</f>
        <v>2457.4</v>
      </c>
      <c r="S58" s="3">
        <f>2771.9+(140.3-374.9)+(2.827338+(0.143106-0.382398))+0-88.3-0.0900660000000141</f>
        <v>2451.4979799999996</v>
      </c>
      <c r="T58" s="3">
        <f>2726.3+(140.1-373.8)+(-4.171239+(-0.214353--0.571914))+0-83.7--0.128061000000005</f>
        <v>2405.2143830000005</v>
      </c>
      <c r="U58" s="3">
        <f>2692.6+(142.4-363.6)+(2.746452+(0.145248-0.370872))+0-96.5-0.0984300000000154</f>
        <v>2377.3223980000002</v>
      </c>
      <c r="V58" s="3">
        <f>2696.3+(143.6-371)+(-1.375113+(-0.073236--0.18921))+0-62.5--0.0318749999999937</f>
        <v>2405.1727360000004</v>
      </c>
      <c r="W58" s="3">
        <f>2566.3+(149.3-305.7)+(-6.544065+(-0.380715--0.779535))+0-68.5--0.17467499999999</f>
        <v>2335.4294300000001</v>
      </c>
      <c r="X58" s="3">
        <f>2477.2+(143.8-278)+(-6.31686+(-0.36669--0.7089))+0-82.2--0.209609999999988</f>
        <v>2255.03496</v>
      </c>
      <c r="Y58" s="3">
        <f>2449.8+(128.2-231.1)+(-2.498796+(-0.130764--0.235722))+0-84.5--0.0861900000000135</f>
        <v>2260.0923520000001</v>
      </c>
      <c r="Z58" s="3">
        <f>2791.3+(121-353.2)+(0+(0-0))+0-90.6-0</f>
        <v>2468.5000000000005</v>
      </c>
      <c r="AA58" s="3">
        <f>2856.4+(132.5-422.9)+(-7.28382+(-0.337875--1.078395))+0-84--0.214199999999988</f>
        <v>2475.6709000000001</v>
      </c>
      <c r="AB58" s="3">
        <f>2705.4+(143.8-386.9)+(-6.89877+(-0.36669--0.986595))+0-89.1--0.227204999999987</f>
        <v>2367.1483400000002</v>
      </c>
      <c r="AC58" s="3">
        <f>2561.9+(144-350.5)+(-1.306569+(-0.07344--0.178755))+0-76.5--0.0390149999999922</f>
        <v>2277.7377609999999</v>
      </c>
      <c r="AD58" s="2">
        <v>2344.3999999999996</v>
      </c>
      <c r="AE58" s="3">
        <f>2944+(121.6-416.4)+(0+(0-0))+0-104.8-0</f>
        <v>2544.3999999999996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2387.4+(144.5-253.3)+(-8.523018+(-0.515865--0.904281))+0-85.5--0.305235000000001</f>
        <v>2185.2706329999996</v>
      </c>
      <c r="G59" s="3">
        <f>2163.4+(142.7-217.4)+(-1.103334+(-0.072777--0.110874))+0-81.3--0.0414629999999918</f>
        <v>2006.3762260000005</v>
      </c>
      <c r="H59" s="3">
        <f>2040+(143.5-187)+(0+(0-0))+0-80.4-0</f>
        <v>1916.1</v>
      </c>
      <c r="I59" s="3">
        <f>2025.2+(142.3-196)+(-3.098556+(-0.217719--0.29988))+0-73.6--0.112608000000004</f>
        <v>1894.9962129999999</v>
      </c>
      <c r="J59" s="3">
        <f>2020+(140.8-211.6)+(-5.151+(-0.35904--0.53958))+0-63.1--0.160904999999991</f>
        <v>1881.2904450000001</v>
      </c>
      <c r="K59" s="3">
        <f>2026.3+(141.9-261.5)+(-4.133652+(-0.289476--0.53346))+0-68.1--0.138923999999997</f>
        <v>1834.8492560000002</v>
      </c>
      <c r="L59" s="3">
        <f>1989.4+(141.9-227.8)+(-3.043782+(-0.217107--0.348534))+0-66.6--0.101898000000004</f>
        <v>1834.089543</v>
      </c>
      <c r="M59" s="3">
        <f>2307+(143-372.5)+(0+(0-0))+0-90.3-0</f>
        <v>1987.2</v>
      </c>
      <c r="N59" s="3">
        <f>2459.5+(143.5-345.5)+(1.254345+(0.073185-0.176205))+0-89.8-0.0457979999999909</f>
        <v>2168.8055269999995</v>
      </c>
      <c r="O59" s="3">
        <f>2508.4+(142.8-340.2)+(-1.279284+(-0.072828--0.173502))+0-84.6--0.0431459999999914</f>
        <v>2225.2645360000001</v>
      </c>
      <c r="P59" s="3">
        <f>2683.4+(143.4-399.2)+(0+(0-0))+0-69.5-0</f>
        <v>2358.1</v>
      </c>
      <c r="Q59" s="3">
        <f>2669.1+(142.4-332.5)+(-1.361241+(-0.072624--0.169575))+0-80.5--0.0410549999999918</f>
        <v>2397.2767650000001</v>
      </c>
      <c r="R59" s="3">
        <f>2687.9+(143.1-310.8)+(2.741658+(0.145962-0.317016))+0-90.1-0.0919020000000144</f>
        <v>2432.5787020000002</v>
      </c>
      <c r="S59" s="3">
        <f>2660.1+(148.6-302.4)+(-4.069953+(-0.227358--0.462672))+0-72.7--0.111231000000004</f>
        <v>2429.8765919999996</v>
      </c>
      <c r="T59" s="3">
        <f>2680.6+(141.4-319)+(1.367106+(0.072114-0.16269))+0-82.4-0.0420239999999916</f>
        <v>2421.8345060000001</v>
      </c>
      <c r="U59" s="3">
        <f>2653.8+(141.7-341.5)+(-8.120628+(-0.433602--1.04499))+0-87--0.26622000000001</f>
        <v>2359.7569800000001</v>
      </c>
      <c r="V59" s="3">
        <f>2665.8+(142.4-388)+(-5.438232+(-0.290496--0.79152))+0-57.9--0.118115999999997</f>
        <v>2357.4809080000005</v>
      </c>
      <c r="W59" s="3">
        <f>2608.6+(143.1-343.3)+(-6.65193+(-0.364905--0.875415))+0-96.5--0.246074999999986</f>
        <v>2306.0046550000002</v>
      </c>
      <c r="X59" s="3">
        <f>2326.3+(172.1-282.2)+(-7.118478+(-0.526626--0.863532))+0-74.8--0.228888000000009</f>
        <v>2134.8473160000003</v>
      </c>
      <c r="Y59" s="3">
        <f>2425+(145.7-284.5)+(2.4735+(0.148614-0.29019))+0-88-0.089760000000014</f>
        <v>2200.442164</v>
      </c>
      <c r="Z59" s="3">
        <f>2743.4+(127.2-372.7)+(-1.399134+(-0.064872--0.190077))+0-83.7--0.0426869999999915</f>
        <v>2412.9687580000004</v>
      </c>
      <c r="AA59" s="3">
        <f>2780.2+(138.4-427.4)+(-7.08951+(-0.35292--1.08987))+0-81.3--0.207314999999988</f>
        <v>2403.7547549999999</v>
      </c>
      <c r="AB59" s="3">
        <f>2549.8+(142.7-327.1)+(-3.901194+(-0.218331--0.500463))+0-80.4--0.123012000000005</f>
        <v>2281.5039499999998</v>
      </c>
      <c r="AC59" s="3">
        <f>2421.8+(142.8-273)+(-2.470236+(-0.145656--0.27846))+0-90.7--0.0925140000000145</f>
        <v>2198.6550820000007</v>
      </c>
      <c r="AD59" s="2">
        <v>2265.2000000000003</v>
      </c>
      <c r="AE59" s="3">
        <f>2795+(132.8-421.5)+(0+(0-0))+0-101.1-0</f>
        <v>2405.2000000000003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2207+(146.6-180.6)+(-2.25114+(-0.149532--0.184212))+0-81--0.0826200000000129</f>
        <v>2089.86616</v>
      </c>
      <c r="G60" s="3">
        <f>2161.7+(142.2-242.4)+(2.204934+(0.145044-0.247248))+0-86.1-0.0878220000000137</f>
        <v>1977.4149080000002</v>
      </c>
      <c r="H60" s="3">
        <f>2142.9+(140.8-247.6)+(-1.092879+(-0.071808--0.126276))+0-85.7--0.0437069999999913</f>
        <v>1949.4052960000001</v>
      </c>
      <c r="I60" s="3">
        <f>2152.5+(141.1-254.6)+(0+(0-0))+0-75-0</f>
        <v>1964</v>
      </c>
      <c r="J60" s="3">
        <f>2158+(143.5-258.3)+(0+(0-0))+0-82-0</f>
        <v>1961.2</v>
      </c>
      <c r="K60" s="3">
        <f>2095.8+(143.6-317.2)+(-3.206574+(-0.219708--0.485316))+0-75.9--0.116127000000004</f>
        <v>1843.4751610000003</v>
      </c>
      <c r="L60" s="3">
        <f>2009.2+(143.3-292)+(-3.074076+(-0.219249--0.44676))+0-72.9--0.111537000000004</f>
        <v>1784.8649719999999</v>
      </c>
      <c r="M60" s="3">
        <f>1969.9+(142.1-233.8)+(-3.013947+(-0.217413--0.357714))+0-92.1--0.140913000000005</f>
        <v>1783.3672670000001</v>
      </c>
      <c r="N60" s="3">
        <f>2050.2+(140.7-227.7)+(0+(0-0))+0-82.2-0</f>
        <v>1880.9999999999998</v>
      </c>
      <c r="O60" s="3">
        <f>2242+(143.2-294.2)+(-1.14342+(-0.073032--0.150042))+0-84.6--0.0431459999999914</f>
        <v>2005.3767360000002</v>
      </c>
      <c r="P60" s="3">
        <f>2380.2+(140.6-352)+(2.427804+(0.143412-0.35904))+0-76.9-0.0784380000000123</f>
        <v>2094.0337379999996</v>
      </c>
      <c r="Q60" s="3">
        <f>2371.1+(166.9-310.8)+(3.627783+(0.255357-0.475524))+0-88.5-0.135405000000005</f>
        <v>2141.9722109999998</v>
      </c>
      <c r="R60" s="3">
        <f>2377.2+(186.7-292.3)+(0+(0-0))+0-80-0</f>
        <v>2191.6</v>
      </c>
      <c r="S60" s="3">
        <f>2453.8+(173.2-306.5)+(-1.251438+(-0.088332--0.156315))+0-83.6--0.0426359999999915</f>
        <v>2235.7591810000004</v>
      </c>
      <c r="T60" s="3">
        <f>2439.1+(176.1-305.8)+(-2.487882+(-0.179622--0.311916))+0-88.7--0.0904740000000141</f>
        <v>2218.4348860000005</v>
      </c>
      <c r="U60" s="3">
        <f>2437.1+(161.7-315)+(-2.485842+(-0.164934--0.3213))+0-88.2--0.0899640000000141</f>
        <v>2193.3604880000003</v>
      </c>
      <c r="V60" s="3">
        <f>2430.8+(148.3-326)+(-4.958832+(-0.302532--0.66504))+0-86.6--0.176663999999996</f>
        <v>2162.0803400000004</v>
      </c>
      <c r="W60" s="3">
        <f>2348.7+(153-315.8)+(-4.791348+(-0.31212--0.644232))+0-96.2--0.196247999999996</f>
        <v>2085.4370119999999</v>
      </c>
      <c r="X60" s="3">
        <f>2250.3+(163.7-291.2)+(-3.442959+(-0.250461--0.445536))+0-91.7--0.140301000000005</f>
        <v>2027.9924170000002</v>
      </c>
      <c r="Y60" s="3">
        <f>2231+(183.3-280.4)+(-1.13781+(-0.093483--0.143004))+0-76.9--0.0392189999999922</f>
        <v>2055.95093</v>
      </c>
      <c r="Z60" s="3">
        <f>2467.4+(174-296.2)+(0+(0-0))+0-71.5-0</f>
        <v>2273.7000000000003</v>
      </c>
      <c r="AA60" s="3">
        <f>2445.8+(139.3-254.8)+(-3.742074+(-0.213129--0.389844))+0-73.5--0.112455000000004</f>
        <v>2253.347096</v>
      </c>
      <c r="AB60" s="3">
        <f>2449.9+(140.7-260.8)+(-4.997796+(-0.287028--0.532032))+0-86.8--0.177071999999996</f>
        <v>2238.4242799999997</v>
      </c>
      <c r="AC60" s="3">
        <f>2327.5+(158.2-188.7)+(-4.7481+(-0.322728--0.384948))+0-90.4--0.184415999999996</f>
        <v>2202.098536</v>
      </c>
      <c r="AD60" s="2">
        <v>2186.1</v>
      </c>
      <c r="AE60" s="3">
        <f>2440+(144.2-241.9)+(0+(0-0))+0-96.2-0</f>
        <v>2246.1000000000004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2343.4+(140.3-230.9)+(-1.195134+(-0.071553--0.117759))+0-89.5--0.0456449999999909</f>
        <v>2162.1967170000003</v>
      </c>
      <c r="G61" s="3">
        <f>2130.2+(156.6-157.2)+(-5.43201+(-0.39933--0.40086))+0-87.7--0.223634999999987</f>
        <v>2036.6931549999999</v>
      </c>
      <c r="H61" s="3">
        <f>2048.1+(153-150.5)+(-4.178124+(-0.31212--0.30702))+0-84.6--0.172583999999996</f>
        <v>1961.9893599999998</v>
      </c>
      <c r="I61" s="3">
        <f>2049.9+(148.5-151.4)+(-4.181796+(-0.30294--0.308856))+0-74.5--0.151979999999997</f>
        <v>1968.4761000000001</v>
      </c>
      <c r="J61" s="3">
        <f>1953.3+(159.8-140)+(0.996183+(0.081498-0.0714))+0-80.9-0.0412589999999918</f>
        <v>1893.1650219999997</v>
      </c>
      <c r="K61" s="3">
        <f>1953.3+(143-186.9)+(-3.984732+(-0.29172--0.381276))+0-85.7--0.174827999999996</f>
        <v>1819.9796519999998</v>
      </c>
      <c r="L61" s="3">
        <f>2032.4+(142.1-227.3)+(-1.036524+(-0.072471--0.115923))+0-88.4--0.045083999999991</f>
        <v>1857.8520120000001</v>
      </c>
      <c r="M61" s="3">
        <f>2178.3+(141.4-267.5)+(2.221866+(0.144228-0.27285))+0-64.5-0.0657900000000103</f>
        <v>1989.7274540000003</v>
      </c>
      <c r="N61" s="3">
        <f>2433.4+(140.6-279.8)+(0+(0-0))+0-86.5-0</f>
        <v>2207.7000000000003</v>
      </c>
      <c r="O61" s="3">
        <f>2664.4+(143-359.4)+(2.717688+(0.14586-0.366588))+0-78.1-0.0796620000000124</f>
        <v>2372.3172979999999</v>
      </c>
      <c r="P61" s="3">
        <f>2780.1+(142.3-414.2)+(0+(0-0))+0-86.8-0</f>
        <v>2421.3999999999996</v>
      </c>
      <c r="Q61" s="3">
        <f>2779.2+(141.9-391.6)+(0+(0-0))+0-75.6-0</f>
        <v>2453.9</v>
      </c>
      <c r="R61" s="3">
        <f>2873.9+(142.6-445.2)+(-1.465689+(-0.072726--0.227052))+0-83.4--0.0425339999999915</f>
        <v>2486.6311710000004</v>
      </c>
      <c r="S61" s="3">
        <f>2875.8+(142.7-416.2)+(-5.866632+(-0.291108--0.849048))+0-83--0.169319999999996</f>
        <v>2514.1606280000001</v>
      </c>
      <c r="T61" s="3">
        <f>2894.2+(141.1-418.1)+(0+(0-0))+0-88.3-0</f>
        <v>2528.8999999999996</v>
      </c>
      <c r="U61" s="3">
        <f>2902.6+(142-440.1)+(-5.921304+(-0.28968--0.897804))+0-83.4--0.170135999999996</f>
        <v>2515.956956</v>
      </c>
      <c r="V61" s="3">
        <f>2896.1+(141.7-460)+(-7.385055+(-0.361335--1.173))+0-84.8--0.216239999999988</f>
        <v>2486.6428499999997</v>
      </c>
      <c r="W61" s="3">
        <f>2898.2+(141.5-460.8)+(-4.434246+(-0.216495--0.705024))+0-93.2--0.142596000000005</f>
        <v>2481.8968789999999</v>
      </c>
      <c r="X61" s="3">
        <f>2700.4+(141.3-419.6)+(-9.640428+(-0.504441--1.497972))+0-55.6--0.198492000000001</f>
        <v>2358.0515949999999</v>
      </c>
      <c r="Y61" s="3">
        <f>2684.7+(118.6-425.8)+(-6.845985+(-0.30243--1.08579))+0-48.7--0.124184999999993</f>
        <v>2322.8615600000003</v>
      </c>
      <c r="Z61" s="3">
        <f>2996.2+(74.7-421.7)+(-1.528062+(-0.038097--0.215067))+0-80.1--0.0408509999999919</f>
        <v>2567.7897590000002</v>
      </c>
      <c r="AA61" s="3">
        <f>3033.6+(93.9-453.9)+(-7.73568+(-0.239445--1.157445))+0-95.5--0.243524999999986</f>
        <v>2571.5258449999997</v>
      </c>
      <c r="AB61" s="3">
        <f>2996.2+(140.5-497.1)+(-6.112248+(-0.28662--1.014084))+0-96.6--0.197063999999996</f>
        <v>2537.8122800000001</v>
      </c>
      <c r="AC61" s="3">
        <f>2899.3+(140.6-490.4)+(-5.914572+(-0.286824--1.000416))+0-89.4--0.182375999999996</f>
        <v>2455.081396</v>
      </c>
      <c r="AD61" s="2">
        <v>2352.8000000000002</v>
      </c>
      <c r="AE61" s="3">
        <f>3027+(83.4-445.9)+(0+(0-0))+0-103.7-0</f>
        <v>2560.8000000000002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2711.4+(141.9-419.3)+(-6.91407+(-0.361845--1.069215))+0-81.4--0.207569999999988</f>
        <v>2346.6008699999998</v>
      </c>
      <c r="G62" s="3">
        <f>2368.3+(142.7-222.1)+(-6.039165+(-0.363885--0.566355))+0-89.1--0.227204999999987</f>
        <v>2194.1905100000004</v>
      </c>
      <c r="H62" s="3">
        <f>2283.7+(141.9-198.3)+(-3.494061+(-0.217107--0.303399))+0-82--0.125460000000005</f>
        <v>2142.017691</v>
      </c>
      <c r="I62" s="3">
        <f>2211.9+(142.2-186.2)+(-1.128069+(-0.072522--0.094962))+0-92.9--0.0473789999999906</f>
        <v>2073.94175</v>
      </c>
      <c r="J62" s="3">
        <f>2207.5+(141.9-212.5)+(-3.377475+(-0.217107--0.325125))+0-69.8--0.106794000000004</f>
        <v>2063.9373369999998</v>
      </c>
      <c r="K62" s="3">
        <f>2206.1+(141.9-322.2)+(-5.625555+(-0.361845--0.82161))+0-25.4--0.0647699999999963</f>
        <v>1995.2989799999998</v>
      </c>
      <c r="L62" s="3">
        <f>2253.3+(141.1-355.3)+(-1.149183+(-0.071961--0.181203))+0-74.3--0.0378929999999925</f>
        <v>1963.7979520000001</v>
      </c>
      <c r="M62" s="3">
        <f>2547.9+(141.1-455)+(-2.598858+(-0.143922--0.4641))+0-80.1--0.0817020000000128</f>
        <v>2151.7030220000001</v>
      </c>
      <c r="N62" s="3">
        <f>2701.5+(92.5-409.4)+(1.377765+(0.047175-0.208794))+0-94.8-0.0483479999999904</f>
        <v>2290.9677980000001</v>
      </c>
      <c r="O62" s="3">
        <f>2890.1+(38.6-426.5)+(-2.947902+(-0.039372--0.43503))+0-83.6--0.0852720000000133</f>
        <v>2416.1330279999997</v>
      </c>
      <c r="P62" s="3">
        <f>3028.8+(38.7-474.1)+(4.634064+(0.059211-0.725373))+0-76.5-0.117045000000004</f>
        <v>2520.750857</v>
      </c>
      <c r="Q62" s="3">
        <f>3014.9+(0-442.7)+(4.612797+(0-0.677331))+0-26.3-0.0402390000000015</f>
        <v>2549.7952270000001</v>
      </c>
      <c r="R62" s="3">
        <f>3093.4+(0-467.9)+(0+(0-0))+0-23.3-0</f>
        <v>2602.1999999999998</v>
      </c>
      <c r="S62" s="3">
        <f>3057.8+(0-409.6)+(0+(0-0))+0-80.5-0</f>
        <v>2567.7000000000003</v>
      </c>
      <c r="T62" s="3">
        <f>3049.1+(0-418.3)+(-4.665123+(0--0.639999))+0-90.5--0.138465000000005</f>
        <v>2536.4133409999999</v>
      </c>
      <c r="U62" s="3">
        <f>3090+(0-471.9)+(-6.3036+(0--0.962676))+0-88.4--0.180335999999996</f>
        <v>2524.5394119999996</v>
      </c>
      <c r="V62" s="3">
        <f>3081.9+(0-477)+(-7.858845+(0--1.21635))+0-87.8--0.223889999999987</f>
        <v>2510.6813950000001</v>
      </c>
      <c r="W62" s="3">
        <f>3093.3+(0-523.1)+(-1.577583+(0--0.266781))+0-60.3--0.0307529999999939</f>
        <v>2508.6199510000001</v>
      </c>
      <c r="X62" s="3">
        <f>2841.6+(0-446)+(-5.796864+(0--0.90984))+0-71--0.144839999999997</f>
        <v>2319.8578159999997</v>
      </c>
      <c r="Y62" s="3">
        <f>2689+(0-346.5)+(-1.37139+(0--0.176715))+0-79.9--0.0407489999999919</f>
        <v>2261.4460739999995</v>
      </c>
      <c r="Z62" s="3">
        <f>3148.9+(0-514.9)+(1.605939+(0-0.262599))+0-81.8-0.0417179999999917</f>
        <v>2553.5016219999998</v>
      </c>
      <c r="AA62" s="3">
        <f>3173.3+(0-528.3)+(-6.473532+(0--1.077732))+0-80.8--0.164831999999996</f>
        <v>2558.969032</v>
      </c>
      <c r="AB62" s="3">
        <f>3179.3+(0-546.4)+(-4.864329+(0--0.835992))+0-83.7--0.128061000000005</f>
        <v>2545.299724</v>
      </c>
      <c r="AC62" s="3">
        <f>2971+(0-487.9)+(-6.06084+(0--0.995316))+0-75.3--0.153611999999997</f>
        <v>2402.8880879999997</v>
      </c>
      <c r="AD62" s="2">
        <v>2204.4</v>
      </c>
      <c r="AE62" s="3">
        <f>3083+(0-533.5)+(0+(0-0))+0-100.1-0</f>
        <v>2449.4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2795.1+(0-437.1)+(-2.851002+(0--0.445842))+0-95.1--0.0970020000000152</f>
        <v>2260.5918420000003</v>
      </c>
      <c r="G63" s="3">
        <f>2531.6+(0-309)+(-6.45558+(0--0.78795))+0-84.8--0.216239999999988</f>
        <v>2132.34861</v>
      </c>
      <c r="H63" s="3">
        <f>2465.3+(0-285.4)+(-2.514606+(0--0.291108))+0-84.4--0.0860880000000135</f>
        <v>2093.3625900000002</v>
      </c>
      <c r="I63" s="3">
        <f>2295.7+(0-210.2)+(-3.512421+(0--0.321606))+0-80.7--0.123471000000005</f>
        <v>2001.7326560000001</v>
      </c>
      <c r="J63" s="3">
        <f>2184.9+(0-180)+(0+(0-0))+0-75.9-0</f>
        <v>1929</v>
      </c>
      <c r="K63" s="3">
        <f>2117+(0-198.5)+(-3.23901+(0--0.303705))+0-86.9--0.132957000000005</f>
        <v>1828.797652</v>
      </c>
      <c r="L63" s="3">
        <f>2059+(0-190.6)+(-2.10018+(0--0.194412))+0-77.3--0.0788460000000123</f>
        <v>1789.2730780000002</v>
      </c>
      <c r="M63" s="3">
        <f>2427.3+(0-380.1)+(-3.713769+(0--0.581553))+0-82.2--0.125766000000005</f>
        <v>1961.9935500000004</v>
      </c>
      <c r="N63" s="3">
        <f>2876+(0-571.5)+(-1.46676+(0--0.291465))+0-84--0.0428399999999915</f>
        <v>2219.3675450000001</v>
      </c>
      <c r="O63" s="3">
        <f>2977.2+(0-506.5)+(0+(0-0))+0-75.1-0</f>
        <v>2395.6</v>
      </c>
      <c r="P63" s="3">
        <f>2960.4+(0-444.2)+(0+(0-0))+0-50.3-0</f>
        <v>2465.9</v>
      </c>
      <c r="Q63" s="3">
        <f>2954.5+(0-403.8)+(1.506795+(0-0.205938))+0-67.8-0.0345779999999931</f>
        <v>2484.166279</v>
      </c>
      <c r="R63" s="3">
        <f>2944.1+(0-362.7)+(-1.501491+(0--0.184977))+0-83.3--0.0424829999999915</f>
        <v>2496.825969</v>
      </c>
      <c r="S63" s="3">
        <f>2847.4+(0-328.4)+(-2.904348+(0--0.334968))+0-86.6--0.0883320000000138</f>
        <v>2429.918952</v>
      </c>
      <c r="T63" s="3">
        <f>2785+(0-319.9)+(-1.42035+(0--0.163149))+0-78.3--0.0399329999999921</f>
        <v>2385.5827319999999</v>
      </c>
      <c r="U63" s="3">
        <f>2763.8+(0-290.9)+(-2.819076+(0--0.296718))+0-91.8--0.0936360000000146</f>
        <v>2378.6712779999998</v>
      </c>
      <c r="V63" s="3">
        <f>2784+(87.2-386.9)+(-8.51904+(-0.266832--1.183914))+0-79.1--0.242046000000009</f>
        <v>2397.8400879999999</v>
      </c>
      <c r="W63" s="3">
        <f>2844.4+(123.3-427.5)+(-4.351932+(-0.188649--0.654075))+0-70.4--0.107712000000004</f>
        <v>2466.0212060000003</v>
      </c>
      <c r="X63" s="3">
        <f>2677.9+(118.1-392.4)+(-9.560103+(-0.421617--1.400868))+0-85.2--0.304164000000001</f>
        <v>2310.1233120000006</v>
      </c>
      <c r="Y63" s="3">
        <f>2727.1+(104.4-427.7)+(-6.954105+(-0.26622--1.090635))+0-46.6--0.118829999999993</f>
        <v>2351.18914</v>
      </c>
      <c r="Z63" s="3">
        <f>3135+(55.4-461.9)+(1.59885+(0.028254-0.235569))+0-79.7-0.0406469999999919</f>
        <v>2650.1508880000006</v>
      </c>
      <c r="AA63" s="3">
        <f>3164+(90.1-482.4)+(-4.84092+(-0.137853--0.738072))+0-83.1--0.127143000000005</f>
        <v>2684.4864419999999</v>
      </c>
      <c r="AB63" s="3">
        <f>3003.5+(141.1-508.4)+(-6.12714+(-0.287844--1.037136))+0-50.6--0.103223999999998</f>
        <v>2580.3253759999998</v>
      </c>
      <c r="AC63" s="3">
        <f>3001.2+(143.8-538)+(-3.061224+(-0.146676--0.54876))+0-90.1--0.0919020000000144</f>
        <v>2514.332762</v>
      </c>
      <c r="AD63" s="2">
        <v>2519</v>
      </c>
      <c r="AE63" s="3">
        <f>3176+(112.6-464.6)+(0+(0-0))+0-97.7-0</f>
        <v>2726.3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2760.9+(141.2-471.2)+(-4.224177+(-0.216036--0.720936))+0-63.9--0.0977670000000037</f>
        <v>2363.3784900000001</v>
      </c>
      <c r="G64" s="3">
        <f>2601.2+(141.2-465.9)+(-5.306448+(-0.288048--0.950436))+0-48.3--0.0985319999999979</f>
        <v>2223.6544719999997</v>
      </c>
      <c r="H64" s="3">
        <f>2596.3+(141.3-492.2)+(-6.620565+(-0.360315--1.25511))+0-32.6--0.0831299999999953</f>
        <v>2207.1573600000002</v>
      </c>
      <c r="I64" s="3">
        <f>2597.9+(140.4-472.2)+(-3.974787+(-0.214812--0.722466))+0-82.6--0.126378000000005</f>
        <v>2180.1592450000003</v>
      </c>
      <c r="J64" s="3">
        <f>2586.6+(140.9-462.6)+(-3.957498+(-0.215577--0.707778))+0-73--0.111690000000004</f>
        <v>2188.5463929999996</v>
      </c>
      <c r="K64" s="3">
        <f>2438.9+(143.1-422)+(-7.463034+(-0.437886--1.29132))+0-70.6--0.216036000000008</f>
        <v>2083.0064360000001</v>
      </c>
      <c r="L64" s="3">
        <f>2285.2+(142.4-376.7)+(1.165452+(0.072624-0.192117))+0-38.6-0.0196859999999961</f>
        <v>2013.3262729999997</v>
      </c>
      <c r="M64" s="3">
        <f>2508.2+(142.1-442.2)+(-1.279182+(-0.072471--0.225522))+0-20--0.010199999999998</f>
        <v>2186.9840690000001</v>
      </c>
      <c r="N64" s="3">
        <f>2687.9+(142.3-451.2)+(1.370829+(0.072573-0.230112))+0-19.4-0.00989399999999803</f>
        <v>2360.8033960000002</v>
      </c>
      <c r="O64" s="3">
        <f>2762.7+(143.4-466.3)+(0+(0-0))+0-16-0</f>
        <v>2423.7999999999997</v>
      </c>
      <c r="P64" s="3">
        <f>2949.1+(142.3-510.6)+(0+(0-0))+0-17.5-0</f>
        <v>2563.2999999999997</v>
      </c>
      <c r="Q64" s="3">
        <f>3059.5+(141.4-562.5)+(0+(0-0))+0-16.1-0</f>
        <v>2622.3</v>
      </c>
      <c r="R64" s="3">
        <f>3065.3+(141.7-553)+(0+(0-0))+0-17-0</f>
        <v>2637</v>
      </c>
      <c r="S64" s="3">
        <f>3032+(141.6-535)+(-6.18528+(-0.288864--1.0914))+0-18.5--0.0377399999999992</f>
        <v>2614.7549960000001</v>
      </c>
      <c r="T64" s="3">
        <f>3036.9+(142.3-520.9)+(-1.548819+(-0.072573--0.265659))+0-52--0.0265199999999947</f>
        <v>2604.9707870000002</v>
      </c>
      <c r="U64" s="3">
        <f>2993.5+(141.8-503.4)+(-6.10674+(-0.289272--1.026936))+0-70.5--0.143819999999997</f>
        <v>2556.1747439999999</v>
      </c>
      <c r="V64" s="3">
        <f>2863.4+(143.8-426.2)+(-10.222338+(-0.513366--1.521534))+0-90.9--0.324513000000001</f>
        <v>2481.2103429999997</v>
      </c>
      <c r="W64" s="3">
        <f>2747.5+(143.6-398.3)+(-8.40735+(-0.439416--1.218798))+0-93.4--0.285804000000011</f>
        <v>2392.0578360000004</v>
      </c>
      <c r="X64" s="3">
        <f>2718.6+(143.5-435.1)+(-2.772972+(-0.14637--0.443802))+0-83.1--0.0847620000000132</f>
        <v>2341.5092220000001</v>
      </c>
      <c r="Y64" s="3">
        <f>2701.9+(112.8-367.1)+(0+(0-0))+0-78.8-0</f>
        <v>2368.7999999999997</v>
      </c>
      <c r="Z64" s="3">
        <f>3101.5+(29.7-445.4)+(-3.16353+(-0.030294--0.454308))+0-77.7--0.0792540000000124</f>
        <v>2605.4397380000005</v>
      </c>
      <c r="AA64" s="3">
        <f>3163.9+(47.4-456.5)+(-8.067945+(-0.12087--1.164075))+0-77.6--0.197879999999989</f>
        <v>2670.3731400000006</v>
      </c>
      <c r="AB64" s="3">
        <f>2850.8+(135.8-344.6)+(-5.815632+(-0.277032--0.702984))+0-89.2--0.181967999999996</f>
        <v>2547.5922879999998</v>
      </c>
      <c r="AC64" s="3">
        <f>2623.8+(142.5-262.3)+(-9.366966+(-0.508725--0.936411))+0-92.8--0.331296000000001</f>
        <v>2402.5920159999996</v>
      </c>
      <c r="AD64" s="2">
        <v>2444.5999999999995</v>
      </c>
      <c r="AE64" s="3">
        <f>3183+(19.1-425.7)+(0+(0-0))+0-87.8-0</f>
        <v>2688.6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2501.5+(142-334.3)+(-8.930355+(-0.50694--1.193451))+0-30.8--0.109956</f>
        <v>2270.2661119999993</v>
      </c>
      <c r="G65" s="3">
        <f>2258.5+(141.1-228.7)+(-6.91101+(-0.431766--0.699822))+0-48.5--0.148410000000006</f>
        <v>2115.905456</v>
      </c>
      <c r="H65" s="3">
        <f>2187.7+(141.7-180.8)+(-4.462908+(-0.289068--0.368832))+0-70.5--0.143819999999997</f>
        <v>2073.8606759999998</v>
      </c>
      <c r="I65" s="3">
        <f>2214.3+(142.8-173.5)+(-4.517172+(-0.291312--0.35394))+0-85--0.173399999999996</f>
        <v>2094.3188560000003</v>
      </c>
      <c r="J65" s="3">
        <f>2229.1+(143.2-225.8)+(-4.547364+(-0.292128--0.460632))+0-82.6--0.168503999999996</f>
        <v>2059.6896440000005</v>
      </c>
      <c r="K65" s="3">
        <f>2201.1+(142.3-269.3)+(-3.367683+(-0.217719--0.412029))+0-86.6--0.132498000000005</f>
        <v>1984.4591249999999</v>
      </c>
      <c r="L65" s="3">
        <f>2110.7+(142.6-225.5)+(-4.305828+(-0.290904--0.46002))+0-64.5--0.131579999999997</f>
        <v>1959.2948679999997</v>
      </c>
      <c r="M65" s="3">
        <f>2129.3+(152.5-170.5)+(1.085943+(0.077775-0.086955))+0-76.3-0.0389129999999923</f>
        <v>2036.0378500000002</v>
      </c>
      <c r="N65" s="3">
        <f>2602.5+(142.9-366.9)+(-2.65455+(-0.145758--0.374238))+0-45.5--0.0464100000000073</f>
        <v>2330.6203399999999</v>
      </c>
      <c r="O65" s="3">
        <f>2580.1+(140.4-295.5)+(-7.895106+(-0.429624--0.90423))+0-60.4--0.184824000000007</f>
        <v>2357.3643239999997</v>
      </c>
      <c r="P65" s="3">
        <f>2594.1+(142.2-251.3)+(1.322991+(0.072522-0.128163))+0-79.6-0.0405959999999919</f>
        <v>2406.6267540000003</v>
      </c>
      <c r="Q65" s="3">
        <f>2684.2+(144.1-290.1)+(0+(0-0))+0-80.1-0</f>
        <v>2458.1</v>
      </c>
      <c r="R65" s="3">
        <f>2875.9+(143.6-397.1)+(0+(0-0))+0-73.8-0</f>
        <v>2548.6</v>
      </c>
      <c r="S65" s="3">
        <f>2823.2+(143-360.4)+(-7.19916+(-0.36465--0.91902))+0-61.6--0.157079999999991</f>
        <v>2537.7122899999999</v>
      </c>
      <c r="T65" s="3">
        <f>2795.2+(142-333.9)+(-1.425552+(-0.07242--0.170289))+0-80.9--0.0412589999999918</f>
        <v>2521.1135759999997</v>
      </c>
      <c r="U65" s="3">
        <f>2739.7+(144.2-305.9)+(-5.588988+(-0.294168--0.624036))+0-87.9--0.179315999999996</f>
        <v>2485.0201959999999</v>
      </c>
      <c r="V65" s="3">
        <f>2558.2+(144-249.1)+(-2.609364+(-0.14688--0.254082))+0-83.4--0.0850680000000133</f>
        <v>2367.2829059999995</v>
      </c>
      <c r="W65" s="3">
        <f>2324.4+(194.8-185.2)+(-2.370888+(-0.198696--0.188904))+0-85.6--0.0873120000000136</f>
        <v>2246.106632</v>
      </c>
      <c r="X65" s="3">
        <f>2167.8+(216.2-135.6)+(-1.105578+(-0.110262--0.069156))+0-71.1--0.0362609999999928</f>
        <v>2176.1895770000006</v>
      </c>
      <c r="Y65" s="3">
        <f>2144.9+(288.2-187.9)+(-3.281697+(-0.440946--0.287487))+0-74--0.113220000000004</f>
        <v>2167.8780640000004</v>
      </c>
      <c r="Z65" s="3">
        <f>2556.9+(115.1-190.1)+(-2.608038+(-0.117402--0.193902))+0-77--0.0785400000000123</f>
        <v>2402.4470019999999</v>
      </c>
      <c r="AA65" s="3">
        <f>2646.7+(89.8-230.4)+(-2.699634+(-0.091596--0.235008))+0-85.3--0.0870060000000136</f>
        <v>2418.3307839999998</v>
      </c>
      <c r="AB65" s="3">
        <f>2513.6+(144.4-224)+(-6.40968+(-0.36822--0.5712))+0-78.2--0.199409999999989</f>
        <v>2349.7927100000002</v>
      </c>
      <c r="AC65" s="3">
        <f>2506+(143.6-219.7)+(0+(0-0))+0-83.9-0</f>
        <v>2346</v>
      </c>
      <c r="AD65" s="2">
        <v>2386.6999999999998</v>
      </c>
      <c r="AE65" s="3">
        <f>2654+(80.1-226.6)+(0+(0-0))+0-87.8-0</f>
        <v>2419.6999999999998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2419.3+(143-215.8)+(-2.467686+(-0.14586--0.220116))+0-82.4--0.0840480000000131</f>
        <v>2261.790618</v>
      </c>
      <c r="G66" s="3">
        <f>2339.6+(141-190.7)+(-1.193196+(-0.07191--0.097257))+0-90.4--0.0461039999999908</f>
        <v>2198.3782550000001</v>
      </c>
      <c r="H66" s="3">
        <f>2242.6+(141.7-182.9)+(3.431178+(0.216801-0.279837))+0-84.7-0.129591000000005</f>
        <v>2119.9385510000002</v>
      </c>
      <c r="I66" s="3">
        <f>2246.7+(142.3-213.5)+(1.145817+(0.072573-0.108885))+0-84.4-0.0430439999999914</f>
        <v>2092.1664609999998</v>
      </c>
      <c r="J66" s="3">
        <f>2234.3+(143-258.9)+(-3.418479+(-0.21879--0.396117))+0-59.8--0.0914940000000034</f>
        <v>2055.4503419999996</v>
      </c>
      <c r="K66" s="3">
        <f>2203.7+(143-289.6)+(-5.619435+(-0.36465--0.73848))+0-72.4--0.18461999999999</f>
        <v>1979.6390149999997</v>
      </c>
      <c r="L66" s="3">
        <f>2087.5+(143.9-259.4)+(-2.12925+(-0.146778--0.264588))+0-81--0.0826200000000129</f>
        <v>1889.0711799999999</v>
      </c>
      <c r="M66" s="3">
        <f>2148.1+(143.7-235.1)+(2.191062+(0.146574-0.239802))+0-92.1-0.0939420000000147</f>
        <v>1966.6038920000001</v>
      </c>
      <c r="N66" s="3">
        <f>2491.4+(144.6-350.4)+(-2.541228+(-0.147492--0.357408))+0-80.8--0.0824160000000129</f>
        <v>2202.5511040000001</v>
      </c>
      <c r="O66" s="3">
        <f>2553.7+(143.4-344.9)+(2.604774+(0.146268-0.351798))+0-87.4-0.0891480000000139</f>
        <v>2267.1100959999999</v>
      </c>
      <c r="P66" s="3">
        <f>2539.3+(142.9-291.9)+(0+(0-0))+0-89-0</f>
        <v>2301.3000000000002</v>
      </c>
      <c r="Q66" s="3">
        <f>2518.4+(141.7-230.2)+(1.284384+(0.072267-0.117402))+0-81.8-0.0417179999999917</f>
        <v>2349.2975310000002</v>
      </c>
      <c r="R66" s="3">
        <f>2498.1+(144.9-214.6)+(-5.096124+(-0.295596--0.437784))+0-79.1--0.161363999999997</f>
        <v>2344.5074280000003</v>
      </c>
      <c r="S66" s="3">
        <f>2487.4+(143.2-204.1)+(-2.537148+(-0.146064--0.208182))+0-79.2--0.0807840000000126</f>
        <v>2344.9057540000003</v>
      </c>
      <c r="T66" s="3">
        <f>2485.6+(126.5-216)+(-1.267656+(-0.064515--0.11016))+0-82.6--0.0421259999999916</f>
        <v>2312.320115</v>
      </c>
      <c r="U66" s="3">
        <f>2470.5+(37.2-192.5)+(-5.03982+(-0.075888--0.3927))+0-63.4--0.129335999999997</f>
        <v>2247.2063279999998</v>
      </c>
      <c r="V66" s="3">
        <f>2399.9+(126.5-202.5)+(-6.119745+(-0.322575--0.516375))+0-78.3--0.199664999999989</f>
        <v>2239.87372</v>
      </c>
      <c r="W66" s="3">
        <f>2347.6+(139.7-206.9)+(-4.789104+(-0.284988--0.422076))+0-76.7--0.156467999999997</f>
        <v>2199.2044520000004</v>
      </c>
      <c r="X66" s="3">
        <f>2182.1+(158.8-181.9)+(-5.564355+(-0.40494--0.463845))+0-82.7--0.210884999999988</f>
        <v>2071.005435</v>
      </c>
      <c r="Y66" s="3">
        <f>2159.9+(176.7-192)+(-1.101549+(-0.090117--0.09792))+0-84.3--0.0429929999999914</f>
        <v>2059.2492469999997</v>
      </c>
      <c r="Z66" s="3">
        <f>2466.7+(85.4-205.3)+(-1.258017+(-0.043554--0.104703))+0-83.8--0.0427379999999915</f>
        <v>2261.8458699999996</v>
      </c>
      <c r="AA66" s="3">
        <f>2518.9+(82.1-243.5)+(-6.423195+(-0.209355--0.620925))+0-82.5--0.210374999999988</f>
        <v>2269.19875</v>
      </c>
      <c r="AB66" s="3">
        <f>2461.2+(136.4-251.4)+(-6.27606+(-0.34782--0.64107))+0-82--0.209099999999988</f>
        <v>2258.4262899999999</v>
      </c>
      <c r="AC66" s="3">
        <f>2375.5+(138.4-237.3)+(-1.211505+(-0.070584--0.121023))+0-79.1--0.040340999999992</f>
        <v>2196.3792749999998</v>
      </c>
      <c r="AD66" s="2">
        <v>2246.7000000000003</v>
      </c>
      <c r="AE66" s="3">
        <f>2512+(60.5-272.9)+(0+(0-0))+0-18.7-0</f>
        <v>2280.9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2375.9+(138.8-282.5)+(-1.211709+(-0.070788--0.144075))+0-89.2--0.0454919999999909</f>
        <v>2141.9070700000007</v>
      </c>
      <c r="G67" s="3">
        <f>2237.7+(139.5-207.2)+(-2.282454+(-0.14229--0.211344))+0-91.6--0.0934320000000146</f>
        <v>2076.2800320000001</v>
      </c>
      <c r="H67" s="3">
        <f>2143.2+(140.5-194.3)+(-3.279096+(-0.214965--0.297279))+0-76.2--0.116586000000004</f>
        <v>2010.1198039999997</v>
      </c>
      <c r="I67" s="3">
        <f>2044.5+(144.1-174.2)+(-2.08539+(-0.146982--0.177684))+0-68.3--0.0696660000000109</f>
        <v>1944.1149780000003</v>
      </c>
      <c r="J67" s="3">
        <f>1990.3+(139.3-181.3)+(3.045159+(0.213129-0.277389))+0-68.9-0.105417000000004</f>
        <v>1882.2754819999998</v>
      </c>
      <c r="K67" s="3">
        <f>1967.7+(139.3-215.1)+(-1.003527+(-0.071043--0.109701))+0-89--0.045389999999991</f>
        <v>1801.9805210000002</v>
      </c>
      <c r="L67" s="3">
        <f>1976.9+(139.5-233.5)+(1.008219+(0.071145-0.119085))+0-82.6-0.0421259999999916</f>
        <v>1801.218153</v>
      </c>
      <c r="M67" s="3">
        <f>2060+(139.2-252.5)+(-1.0506+(-0.070992--0.128775))+0-81.8--0.0417179999999917</f>
        <v>1863.948901</v>
      </c>
      <c r="N67" s="3">
        <f>2116+(136.9-261.3)+(-3.23748+(-0.209457--0.399789))+0-69.3--0.106029000000004</f>
        <v>1919.3588809999999</v>
      </c>
      <c r="O67" s="3">
        <f>2113.4+(145.7-204.2)+(-2.155668+(-0.148614--0.208284))+0-83.5--0.0851700000000133</f>
        <v>1969.3891720000004</v>
      </c>
      <c r="P67" s="3">
        <f>2133.2+(153.1-198.4)+(-1.087932+(-0.078081--0.101184))+0-86.1--0.0439109999999913</f>
        <v>2000.7790819999998</v>
      </c>
      <c r="Q67" s="3">
        <f>2223.3+(149.1-215)+(-2.267766+(-0.152082--0.2193))+0-85.8--0.0875160000000137</f>
        <v>2069.4869680000002</v>
      </c>
      <c r="R67" s="3">
        <f>2229.6+(163.6-193.4)+(1.137096+(0.083436-0.098634))+0-88.3-0.045032999999991</f>
        <v>2112.5768649999995</v>
      </c>
      <c r="S67" s="3">
        <f>2219.7+(166.9-195.6)+(-1.132047+(-0.085119--0.099756))+0-81.2--0.0414119999999918</f>
        <v>2108.7240020000004</v>
      </c>
      <c r="T67" s="3">
        <f>2222.8+(167-195.2)+(-1.133628+(-0.08517--0.099552))+0-79--0.040289999999992</f>
        <v>2114.5210440000001</v>
      </c>
      <c r="U67" s="3">
        <f>2242.1+(168.8-191.4)+(5.717355+(0.43044-0.48807))+0-94.4-0.240719999999986</f>
        <v>2130.5190050000001</v>
      </c>
      <c r="V67" s="3">
        <f>2255.7+(141.1-215.6)+(-1.150407+(-0.071961--0.109956))+0-49.2--0.025091999999995</f>
        <v>2130.9126799999999</v>
      </c>
      <c r="W67" s="3">
        <f>2373+(140.2-334.2)+(-2.42046+(-0.143004--0.340884))+0-72.1--0.0735420000000115</f>
        <v>2104.7509620000001</v>
      </c>
      <c r="X67" s="3">
        <f>2347.5+(141-313.4)+(-7.18335+(-0.43146--0.959004))+0-89.3--0.27325800000001</f>
        <v>2079.4174519999997</v>
      </c>
      <c r="Y67" s="3">
        <f>2215+(119-222.5)+(-3.38895+(-0.18207--0.340425))+0-91.3--0.139689000000005</f>
        <v>2017.1090940000001</v>
      </c>
      <c r="Z67" s="3">
        <f>2469.7+(102.4-217.5)+(-2.519094+(-0.104448--0.22185))+0-95.8--0.0977160000000153</f>
        <v>2256.496024</v>
      </c>
      <c r="AA67" s="3">
        <f>2488.1+(107.9-229.4)+(-3.806793+(-0.165087--0.350982))+0-83.7--0.128061000000005</f>
        <v>2279.4071629999999</v>
      </c>
      <c r="AB67" s="3">
        <f>2567.9+(139.6-293.4)+(-3.928887+(-0.213588--0.448902))+0-87.6--0.134028000000005</f>
        <v>2322.9404549999999</v>
      </c>
      <c r="AC67" s="3">
        <f>2392.1+(146.4-178.3)+(-1.219971+(-0.074664--0.090933))+0-87.2--0.0444719999999912</f>
        <v>2271.8407700000002</v>
      </c>
      <c r="AD67" s="2">
        <v>2206.8000000000002</v>
      </c>
      <c r="AE67" s="3">
        <f>2506+(131.4-223.5)+(0+(0-0))+0-110.1-0</f>
        <v>2303.8000000000002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2207.2+(153.1-173.1)+(-4.502688+(-0.312324--0.353124))+0-37.9--0.0773159999999983</f>
        <v>2144.9154279999998</v>
      </c>
      <c r="G68" s="3">
        <f>2029.9+(144.1-159)+(-5.176245+(-0.367455--0.40545))+0-34.8--0.0887399999999949</f>
        <v>1975.15049</v>
      </c>
      <c r="H68" s="3">
        <f>1945.2+(174.9-141)+(-3.968208+(-0.356796--0.28764))+0-93.2--0.190127999999996</f>
        <v>1882.052764</v>
      </c>
      <c r="I68" s="3">
        <f>1962.7+(152.1-147.6)+(-2.001954+(-0.155142--0.150552))+0-89.9--0.0916980000000143</f>
        <v>1875.3851539999998</v>
      </c>
      <c r="J68" s="3">
        <f>1958.4+(141.6-166.2)+(-1.997568+(-0.144432--0.169524))+0-78--0.0795600000000124</f>
        <v>1853.9070840000002</v>
      </c>
      <c r="K68" s="3">
        <f>1944.6+(141.5-204.4)+(-4.95873+(-0.360825--0.52122))+0-88--0.224399999999987</f>
        <v>1789.1260649999999</v>
      </c>
      <c r="L68" s="3">
        <f>1945.4+(140.8-213.5)+(-0.992154+(-0.071808--0.108885))+0-75.6--0.0385559999999923</f>
        <v>1796.183479</v>
      </c>
      <c r="M68" s="3">
        <f>2151.2+(140.4-216.8)+(2.194224+(0.143208-0.221136))+0-80.3-0.0819060000000128</f>
        <v>1996.5343899999998</v>
      </c>
      <c r="N68" s="3">
        <f>2431.8+(89.1-370.9)+(1.240218+(0.045441-0.189159))+0-18.7-0.0095369999999981</f>
        <v>2132.3869630000004</v>
      </c>
      <c r="O68" s="3">
        <f>2502.3+(82.9-337.8)+(1.276173+(0.042279-0.172278))+0-55.7-0.0284069999999944</f>
        <v>2192.8177670000005</v>
      </c>
      <c r="P68" s="3">
        <f>2722.4+(103.1-468.9)+(-4.165272+(-0.157743--0.717417))+0-74.8--0.114444000000004</f>
        <v>2278.3088459999999</v>
      </c>
      <c r="Q68" s="3">
        <f>2781.3+(110.9-447.2)+(-1.418463+(-0.056559--0.228072))+0-76.3--0.0389129999999923</f>
        <v>2367.4919629999995</v>
      </c>
      <c r="R68" s="3">
        <f>2762.7+(121.4-424)+(2.817954+(0.123828-0.43248))+0-92-0.0938400000000147</f>
        <v>2370.5154619999998</v>
      </c>
      <c r="S68" s="3">
        <f>2789.7+(117.1-447.3)+(-2.845494+(-0.119442--0.456246))+0-89--0.0907800000000142</f>
        <v>2368.0820899999999</v>
      </c>
      <c r="T68" s="3">
        <f>2795.4+(129.5-461.1)+(-1.425654+(-0.066045--0.235161))+0-65.4--0.0333539999999934</f>
        <v>2397.1768160000001</v>
      </c>
      <c r="U68" s="3">
        <f>2778.8+(142.4-473.1)+(-7.08594+(-0.36312--1.206405))+0-67.8--0.17288999999999</f>
        <v>2374.230235</v>
      </c>
      <c r="V68" s="3">
        <f>2794.7+(140.7-486.2)+(-1.425297+(-0.071757--0.247962))+0-87.1--0.0444209999999912</f>
        <v>2360.8953289999999</v>
      </c>
      <c r="W68" s="3">
        <f>2782.9+(140.7-491.4)+(-5.677116+(-0.287028--1.002456))+0-86.3--0.176051999999996</f>
        <v>2341.114364</v>
      </c>
      <c r="X68" s="3">
        <f>2690+(144.2-480.7)+(-6.8595+(-0.36771--1.225785))+0-85.8--0.218789999999988</f>
        <v>2261.9173649999998</v>
      </c>
      <c r="Y68" s="3">
        <f>2364.7+(119.9-239.2)+(1.205997+(0.061149-0.121992))+0-94.7-0.0482969999999904</f>
        <v>2151.7968569999998</v>
      </c>
      <c r="Z68" s="3">
        <f>2972+(45-422)+(-1.51572+(-0.02295--0.21522))+0-90.2--0.0460019999999908</f>
        <v>2503.5225520000004</v>
      </c>
      <c r="AA68" s="3">
        <f>3129.1+(54.4-503.7)+(-4.787523+(-0.083232--0.770661))+0-73.3--0.112149000000004</f>
        <v>2602.5120549999997</v>
      </c>
      <c r="AB68" s="3">
        <f>3045.4+(123.7-506.4)+(-9.318924+(-0.378522--1.549584))+0-86.8--0.26560800000001</f>
        <v>2568.0177460000004</v>
      </c>
      <c r="AC68" s="3">
        <f>2795.1+(142.1-383.9)+(-7.127505+(-0.362355--0.978945))+0-85.4--0.217769999999988</f>
        <v>2461.606855</v>
      </c>
      <c r="AD68" s="2">
        <v>2429.1999999999998</v>
      </c>
      <c r="AE68" s="3">
        <f>3133+(51.7-527.4)+(0+(0-0))+0-26.1-0</f>
        <v>2631.2000000000003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2592+(141.6-346)+(0+(0-0))+0-91.5-0</f>
        <v>2296.1</v>
      </c>
      <c r="G69" s="3">
        <f>2314.4+(143.3-256)+(-3.541032+(-0.219249--0.39168))+0-93.2--0.142596000000005</f>
        <v>2105.2739950000005</v>
      </c>
      <c r="H69" s="3">
        <f>2200.8+(142.6-214.8)+(-4.489632+(-0.290904--0.438192))+0-93.9--0.191555999999996</f>
        <v>2030.5492120000001</v>
      </c>
      <c r="I69" s="3">
        <f>2127.4+(142.4-201.3)+(-4.339896+(-0.290496--0.410652))+0-65.8--0.134231999999997</f>
        <v>1998.6144919999999</v>
      </c>
      <c r="J69" s="3">
        <f>2074.3+(143.4-193.4)+(-1.057893+(-0.073134--0.098634))+0-77.3--0.0394229999999922</f>
        <v>1946.0070300000002</v>
      </c>
      <c r="K69" s="3">
        <f>2061.8+(143-232.8)+(-4.206072+(-0.29172--0.474912))+0-86.9--0.177275999999996</f>
        <v>1881.254396</v>
      </c>
      <c r="L69" s="3">
        <f>2057.5+(141.7-239.4)+(-5.246625+(-0.361335--0.61047))+0-75.7--0.193034999999989</f>
        <v>1879.2955449999999</v>
      </c>
      <c r="M69" s="3">
        <f>2241.3+(141-318.7)+(1.143063+(0.07191-0.162537))+0-98.4-0.05018399999999</f>
        <v>1966.2022520000003</v>
      </c>
      <c r="N69" s="3">
        <f>2285.9+(142.6-235.7)+(0+(0-0))+0-86.5-0</f>
        <v>2106.3000000000002</v>
      </c>
      <c r="O69" s="3">
        <f>2436.8+(142.7-301)+(-1.242768+(-0.072777--0.15351))+0-70.1--0.0357509999999929</f>
        <v>2207.2737160000001</v>
      </c>
      <c r="P69" s="3">
        <f>2651.7+(141.6-423.4)+(1.352367+(0.072216-0.215934))+0-58-0.0295799999999941</f>
        <v>2313.0790689999999</v>
      </c>
      <c r="Q69" s="3">
        <f>2696.3+(121.9-392.5)+(-2.750226+(-0.124338--0.40035))+0-58.1--0.0592620000000093</f>
        <v>2365.1850480000007</v>
      </c>
      <c r="R69" s="3">
        <f>2684.6+(130.5-364.1)+(1.369146+(0.066555-0.185691))+0-90.9-0.0463589999999908</f>
        <v>2361.3036510000002</v>
      </c>
      <c r="S69" s="3">
        <f>2674.3+(137.7-437.8)+(-1.363893+(-0.070227--0.223278))+0-79.1--0.040340999999992</f>
        <v>2293.9294990000003</v>
      </c>
      <c r="T69" s="3">
        <f>2674.5+(138.5-477.1)+(0+(0-0))+0-76.5-0</f>
        <v>2259.4</v>
      </c>
      <c r="U69" s="3">
        <f>2689.5+(138.8-506.7)+(-1.371645+(-0.070788--0.258417))+0-95.3--0.0486029999999903</f>
        <v>2225.1645869999998</v>
      </c>
      <c r="V69" s="3">
        <f>2610.3+(138.9-501)+(-5.325012+(-0.283356--1.02204))+0-45.7--0.093227999999998</f>
        <v>2198.0069000000008</v>
      </c>
      <c r="W69" s="3">
        <f>2471.5+(139.4-309.7)+(-7.56279+(-0.426564--0.947682))+0-87.1--0.26652600000001</f>
        <v>2207.324854</v>
      </c>
      <c r="X69" s="3">
        <f>2364+(141.1-237.6)+(-4.82256+(-0.287844--0.484704))+0-84--0.171359999999996</f>
        <v>2179.0456599999998</v>
      </c>
      <c r="Y69" s="3">
        <f>2539.7+(125.6-321.7)+(3.885741+(0.192168-0.492201))+0-93.5-0.143055000000005</f>
        <v>2253.542653</v>
      </c>
      <c r="Z69" s="3">
        <f>2792.5+(122.2-347.3)+(0+(0-0))+0-91.5-0</f>
        <v>2475.9</v>
      </c>
      <c r="AA69" s="3">
        <f>2752.6+(144.2-360.6)+(-5.615304+(-0.294168--0.735624))+0-66--0.134639999999997</f>
        <v>2465.1607920000001</v>
      </c>
      <c r="AB69" s="3">
        <f>2745.8+(143.3-366.6)+(-4.201074+(-0.219249--0.560898))+0-81.5--0.124695000000005</f>
        <v>2437.2652699999999</v>
      </c>
      <c r="AC69" s="3">
        <f>2623.2+(142.5-345.9)+(-1.337832+(-0.072675--0.176409))+0-68.4--0.0348839999999931</f>
        <v>2350.2007859999999</v>
      </c>
      <c r="AD69" s="2">
        <v>2336.6999999999998</v>
      </c>
      <c r="AE69" s="3">
        <f>2766+(143.8-378.6)+(0+(0-0))+0-97.3-0</f>
        <v>2433.8999999999996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2474.9+(141.4-323.9)+(-3.786597+(-0.216342--0.495567))+0-86.4--0.132192000000005</f>
        <v>2202.62482</v>
      </c>
      <c r="G70" s="3">
        <f>2429.3+(141.5-333.8)+(0+(0-0))+0-93.1-0</f>
        <v>2143.9</v>
      </c>
      <c r="H70" s="3">
        <f>2427.3+(141.3-357.8)+(0+(0-0))+0-72.5-0</f>
        <v>2138.3000000000002</v>
      </c>
      <c r="I70" s="3">
        <f>2400.9+(141.6-338.9)+(2.448918+(0.144432-0.345678))+0-86.7-0.0884340000000138</f>
        <v>2119.0592379999998</v>
      </c>
      <c r="J70" s="3">
        <f>2358.9+(141.3-330.5)+(-1.203039+(-0.072063--0.168555))+0-87.3--0.0445229999999911</f>
        <v>2081.3379760000003</v>
      </c>
      <c r="K70" s="3">
        <f>2245.6+(141.4-328.8)+(-5.72628+(-0.36057--0.83844))+0-85.9--0.219044999999988</f>
        <v>1967.2706349999996</v>
      </c>
      <c r="L70" s="3">
        <f>2117.3+(144.5-279)+(-2.159646+(-0.14739--0.28458))+0-83.4--0.0850680000000133</f>
        <v>1897.4626120000003</v>
      </c>
      <c r="M70" s="3">
        <f>2281.4+(144.7-332.5)+(2.327028+(0.147594-0.33915))+0-75.8-0.0773160000000121</f>
        <v>2019.8581559999998</v>
      </c>
      <c r="N70" s="3">
        <f>2391.5+(144.9-321.3)+(3.658995+(0.221697-0.491589))+0-85.6-0.130968000000005</f>
        <v>2132.758135</v>
      </c>
      <c r="O70" s="3">
        <f>2502.4+(143.8-301.1)+(2.552448+(0.146676-0.307122))+0-80.2-0.0818040000000128</f>
        <v>2267.2101980000002</v>
      </c>
      <c r="P70" s="3">
        <f>2695.7+(144.2-402.6)+(4.124421+(0.220626-0.615978))+0-82.4-0.126072000000005</f>
        <v>2358.5029969999996</v>
      </c>
      <c r="Q70" s="3">
        <f>2753.3+(146-393.2)+(0+(0-0))+0-78-0</f>
        <v>2428.1000000000004</v>
      </c>
      <c r="R70" s="3">
        <f>2745.7+(146.5-316)+(-1.400307+(-0.074715--0.16116))+0-78.3--0.0399329999999921</f>
        <v>2496.6260709999997</v>
      </c>
      <c r="S70" s="3">
        <f>2718.8+(146.1-315.1)+(-4.159764+(-0.223533--0.482103))+0-70.3--0.107559000000004</f>
        <v>2475.706365</v>
      </c>
      <c r="T70" s="3">
        <f>2747.7+(146.4-319.4)+(4.203981+(0.223992-0.488682))+0-86-0.131580000000005</f>
        <v>2492.5077109999997</v>
      </c>
      <c r="U70" s="3">
        <f>2726+(146-330.4)+(-2.78052+(-0.14892--0.337008))+0-87.9--0.089658000000014</f>
        <v>2451.1972259999998</v>
      </c>
      <c r="V70" s="3">
        <f>2608.4+(145.9-327.7)+(-6.65142+(-0.372045--0.835635))+0-52--0.132599999999992</f>
        <v>2368.54477</v>
      </c>
      <c r="W70" s="3">
        <f>2465.3+(147.2-273.9)+(-3.771909+(-0.225216--0.419067))+0-93.3--0.142749000000005</f>
        <v>2241.8646910000002</v>
      </c>
      <c r="X70" s="3">
        <f>2423+(148.7-302.2)+(-6.17865+(-0.379185--0.77061))+0-91.9--0.234344999999987</f>
        <v>2172.0471199999997</v>
      </c>
      <c r="Y70" s="3">
        <f>2451.7+(129.7-259.9)+(-2.500734+(-0.132294--0.265098))+0-87.8--0.089556000000014</f>
        <v>2231.4216259999998</v>
      </c>
      <c r="Z70" s="3">
        <f>2712+(99.6-250.9)+(-2.76624+(-0.101592--0.255918))+0-82.3--0.0839460000000131</f>
        <v>2475.8720319999998</v>
      </c>
      <c r="AA70" s="3">
        <f>2768.6+(122.7-296)+(-4.235958+(-0.187731--0.45288))+0-85--0.130050000000005</f>
        <v>2506.459241</v>
      </c>
      <c r="AB70" s="3">
        <f>2709.2+(147.2-306.9)+(-6.90846+(-0.37536--0.782595))+0-85--0.216749999999988</f>
        <v>2458.2155250000001</v>
      </c>
      <c r="AC70" s="3">
        <f>2466.9+(147.8-197.3)+(-3.774357+(-0.226134--0.301869))+0-56.3--0.0861390000000033</f>
        <v>2357.487517</v>
      </c>
      <c r="AD70" s="2">
        <v>2418.1</v>
      </c>
      <c r="AE70" s="3">
        <f>2794+(127.6-306.5)+(0+(0-0))+0-98-0</f>
        <v>2517.1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2392.5+(153.2-181)+(-3.660525+(-0.234396--0.27693))+0-86.4--0.132192000000005</f>
        <v>2274.8142009999997</v>
      </c>
      <c r="G71" s="3">
        <f>2262.6+(150.3-173.4)+(-1.153926+(-0.076653--0.088434))+0-93.4--0.0476339999999905</f>
        <v>2145.0054890000001</v>
      </c>
      <c r="H71" s="3">
        <f>2124.6+(164.2-155.1)+(-2.167092+(-0.167484--0.158202))+0-93--0.0948600000000148</f>
        <v>2038.6184859999996</v>
      </c>
      <c r="I71" s="3">
        <f>2045.2+(173.2-151.2)+(-3.129156+(-0.264996--0.231336))+0-84--0.128520000000005</f>
        <v>1980.1657039999998</v>
      </c>
      <c r="J71" s="3">
        <f>2031.3+(165.6-160.3)+(-4.143852+(-0.337824--0.327012))+0-73.1--0.149123999999997</f>
        <v>1959.4944600000001</v>
      </c>
      <c r="K71" s="3">
        <f>2020.9+(153.8-198.3)+(-3.091977+(-0.235314--0.303399))+0-86.2--0.131886000000005</f>
        <v>1887.307994</v>
      </c>
      <c r="L71" s="3">
        <f>2008.7+(152.1-198.5)+(-4.097748+(-0.310284--0.40494))+0-54--0.110159999999998</f>
        <v>1904.407068</v>
      </c>
      <c r="M71" s="3">
        <f>2196.6+(147.1-274)+(0+(0-0))+0-22.9-0</f>
        <v>2046.7999999999997</v>
      </c>
      <c r="N71" s="3">
        <f>2469.2+(146.2-340.3)+(2.518584+(0.149124-0.347106))+0-19.5-0.0198900000000031</f>
        <v>2257.9007119999997</v>
      </c>
      <c r="O71" s="3">
        <f>2608.3+(145.7-376.6)+(5.320932+(0.297228-0.768264))+0-19.8-0.0403919999999991</f>
        <v>2362.4095040000002</v>
      </c>
      <c r="P71" s="3">
        <f>2608.4+(145.8-292.2)+(-2.660568+(-0.148716--0.298044))+0-19.1--0.019482000000003</f>
        <v>2440.4082420000004</v>
      </c>
      <c r="Q71" s="3">
        <f>2601.4+(133.1-309.6)+(0+(0-0))+0-18.3-0</f>
        <v>2406.6</v>
      </c>
      <c r="R71" s="3">
        <f>2567.5+(137.1-233.2)+(-3.928275+(-0.209763--0.356796))+0-21.4--0.0327420000000012</f>
        <v>2446.2514999999999</v>
      </c>
      <c r="S71" s="3">
        <f>2581.9+(125.2-230.4)+(2.633538+(0.127704-0.235008))+0-24-0.0244800000000038</f>
        <v>2455.2017540000002</v>
      </c>
      <c r="T71" s="3">
        <f>2591.4+(137.1-209.5)+(2.643228+(0.139842-0.21369))+0-87.8-0.089556000000014</f>
        <v>2433.6798239999998</v>
      </c>
      <c r="U71" s="3">
        <f>2561.3+(123.4-204.4)+(0+(0-0))+0-80.1-0</f>
        <v>2400.2000000000003</v>
      </c>
      <c r="V71" s="3">
        <f>2548+(100.7-220.2)+(-2.59896+(-0.102714--0.224604))+0-57.2--0.0583440000000091</f>
        <v>2368.8812740000003</v>
      </c>
      <c r="W71" s="3">
        <f>2547.6+(100.8-216.6)+(-5.197104+(-0.205632--0.441864))+0-65.2--0.133007999999997</f>
        <v>2361.7721359999996</v>
      </c>
      <c r="X71" s="3">
        <f>2531.5+(86.3-239.8)+(-7.74639+(-0.264078--0.733788))+0-86.7--0.26530200000001</f>
        <v>2284.288622</v>
      </c>
      <c r="Y71" s="3">
        <f>2525.4+(43.1-243.3)+(2.575908+(0.043962-0.248166))+0-64-0.0652800000000102</f>
        <v>2263.5064240000006</v>
      </c>
      <c r="Z71" s="3">
        <f>2641.2+(134.6-236.5)+(-1.347012+(-0.068646--0.120615))+0-88.8--0.045287999999991</f>
        <v>2449.2502449999993</v>
      </c>
      <c r="AA71" s="3">
        <f>2652.7+(99.4-212.2)+(-2.705754+(-0.101388--0.216444))+0-86.7--0.0884340000000138</f>
        <v>2450.6977360000001</v>
      </c>
      <c r="AB71" s="3">
        <f>2647.8+(103.5-200.6)+(-5.401512+(-0.21114--0.409224))+0-84--0.171359999999996</f>
        <v>2461.6679320000003</v>
      </c>
      <c r="AC71" s="3">
        <f>2654.4+(143.8-283.2)+(-4.061232+(-0.220014--0.433296))+0-92.1--0.140913000000005</f>
        <v>2419.1929630000004</v>
      </c>
      <c r="AD71" s="2">
        <v>2367.6999999999998</v>
      </c>
      <c r="AE71" s="3">
        <f>2679+(105.5-223)+(0+(0-0))+0-107.8-0</f>
        <v>2453.6999999999998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2430.7+(145.2-274.7)+(-4.958628+(-0.296208--0.560388))+0-56.2--0.114647999999998</f>
        <v>2240.4202</v>
      </c>
      <c r="G72" s="3">
        <f>2348.8+(61-238.8)+(-4.791552+(-0.12444--0.487152))+0-81.7--0.166667999999996</f>
        <v>2085.037828</v>
      </c>
      <c r="H72" s="3">
        <f>2362.6+(113.3-319.2)+(-3.614778+(-0.173349--0.488376))+0-85--0.130050000000005</f>
        <v>2068.530299</v>
      </c>
      <c r="I72" s="3">
        <f>2270+(89-260.2)+(-6.9462+(-0.27234--0.796212))+0-82.5--0.25245000000001</f>
        <v>2010.130122</v>
      </c>
      <c r="J72" s="3">
        <f>2207.4+(109.6-234.2)+(-4.503096+(-0.223584--0.477768))+0-93.5--0.190739999999996</f>
        <v>1985.2418280000002</v>
      </c>
      <c r="K72" s="3">
        <f>2145.3+(123.5-282.3)+(-5.470515+(-0.314925--0.719865))+0-76.4--0.194819999999989</f>
        <v>1905.229245</v>
      </c>
      <c r="L72" s="3">
        <f>2116.4+(109.7-257.2)+(-4.317456+(-0.223788--0.524688))+0-85.3--0.174011999999996</f>
        <v>1879.757456</v>
      </c>
      <c r="M72" s="3">
        <f>2320.5+(105.8-276.9)+(7.10073+(0.323748-0.847314))+0-86.6-0.26499600000001</f>
        <v>2069.1121680000001</v>
      </c>
      <c r="N72" s="3">
        <f>2500.9+(107-279.2)+(0+(0-0))+0-38.7-0</f>
        <v>2290.0000000000005</v>
      </c>
      <c r="O72" s="3">
        <f>2576.4+(99.8-238.5)+(2.627928+(0.101796-0.24327))+0-80.1-0.0817020000000128</f>
        <v>2360.0047520000003</v>
      </c>
      <c r="P72" s="3">
        <f>2616.5+(96-212.7)+(-2.66883+(-0.09792--0.216954))+0-69--0.070380000000011</f>
        <v>2428.3205840000005</v>
      </c>
      <c r="Q72" s="3">
        <f>2626.7+(102.2-219.8)+(0+(0-0))+0-75.7-0</f>
        <v>2433.4</v>
      </c>
      <c r="R72" s="3">
        <f>2599.1+(107.5-200)+(-1.325541+(-0.054825--0.102))+0-83.8--0.0427379999999915</f>
        <v>2421.5643719999998</v>
      </c>
      <c r="S72" s="3">
        <f>2588+(117.4-190.5)+(-2.63976+(-0.119748--0.19431))+0-88.8--0.0905760000000142</f>
        <v>2423.6253780000002</v>
      </c>
      <c r="T72" s="3">
        <f>2596.9+(117.2-220.6)+(0+(0-0))+0-75.3-0</f>
        <v>2418.1999999999998</v>
      </c>
      <c r="U72" s="3">
        <f>2596.4+(114.1-222)+(-2.648328+(-0.116382--0.22644))+0-74.2--0.0756840000000118</f>
        <v>2411.8374140000001</v>
      </c>
      <c r="V72" s="3">
        <f>2585.8+(96.2-231.7)+(-3.956274+(-0.147186--0.354501))+0-63.8--0.0976140000000037</f>
        <v>2382.8486549999998</v>
      </c>
      <c r="W72" s="3">
        <f>2548.5+(99.6-203.4)+(-7.79841+(-0.304776--0.622404))+0-80.5--0.246330000000009</f>
        <v>2356.9655479999997</v>
      </c>
      <c r="X72" s="3">
        <f>2578.5+(98.4-248.6)+(-1.315035+(-0.050184--0.126786))+0-53.7--0.0273869999999946</f>
        <v>2373.3889540000005</v>
      </c>
      <c r="Y72" s="3">
        <f>2484.3+(95.2-212.7)+(-2.533986+(-0.097104--0.216954))+0-71.1--0.0725220000000113</f>
        <v>2293.3583860000003</v>
      </c>
      <c r="Z72" s="3">
        <f>2612.2+(131.3-211.3)+(1.332222+(0.066963-0.107763))+0-86.3-0.0440129999999912</f>
        <v>2447.1474089999992</v>
      </c>
      <c r="AA72" s="3">
        <f>2639+(120.9-204.9)+(-2.69178+(-0.123318--0.208998))+0-86.8--0.0885360000000138</f>
        <v>2465.6824360000001</v>
      </c>
      <c r="AB72" s="3">
        <f>2655.4+(154.8-192)+(-2.708508+(-0.157896--0.19584))+0-82.8--0.0844560000000132</f>
        <v>2532.8138920000001</v>
      </c>
      <c r="AC72" s="3">
        <f>2673.8+(204.8-217.6)+(1.363638+(0.104448-0.110976))+0-75.5-0.0385049999999923</f>
        <v>2586.8186049999999</v>
      </c>
      <c r="AD72" s="2">
        <v>2437.8999999999996</v>
      </c>
      <c r="AE72" s="3">
        <f>2659+(111.1-212.3)+(0+(0-0))+0-97.9-0</f>
        <v>2459.9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2643+(206.5-239.2)+(-5.39172+(-0.42126--0.487968))+0-79.2--0.161567999999997</f>
        <v>2525.9365560000006</v>
      </c>
      <c r="G73" s="3">
        <f>2518.3+(205-250.1)+(0+(0-0))+0-84.7-0</f>
        <v>2388.5000000000005</v>
      </c>
      <c r="H73" s="3">
        <f>2369.8+(204-229.8)+(-1.208598+(-0.10404--0.117198))+0-73.7--0.0375869999999925</f>
        <v>2269.142147</v>
      </c>
      <c r="I73" s="3">
        <f>2325.3+(205-238.4)+(3.557709+(0.31365-0.364752))+0-80.7-0.123471000000005</f>
        <v>2214.5831360000002</v>
      </c>
      <c r="J73" s="3">
        <f>2290.6+(205.4-247.7)+(-3.504618+(-0.314262--0.378981))+0-74.5--0.113985000000004</f>
        <v>2170.4740859999997</v>
      </c>
      <c r="K73" s="3">
        <f>2159.1+(206.4-150.9)+(-5.505705+(-0.52632--0.384795))+0-92.4--0.235619999999987</f>
        <v>2116.7883899999997</v>
      </c>
      <c r="L73" s="3">
        <f>2133+(205.5-212.5)+(-2.17566+(-0.20961--0.21675))+0-87.7--0.089454000000014</f>
        <v>2036.2209339999997</v>
      </c>
      <c r="M73" s="3">
        <f>2311.5+(204.6-223)+(-1.178865+(-0.104346--0.11373))+0-80.8--0.0412079999999918</f>
        <v>2211.1717269999999</v>
      </c>
      <c r="N73" s="3">
        <f>2553.4+(205-270.3)+(6.51117+(0.52275-0.689265))+0-94.6-0.241229999999986</f>
        <v>2399.6034249999998</v>
      </c>
      <c r="O73" s="3">
        <f>2657.4+(194.2-284.3)+(6.77637+(0.49521-0.724965))+0-84.2-0.214709999999988</f>
        <v>2489.4319050000004</v>
      </c>
      <c r="P73" s="3">
        <f>2638.5+(116.8-274.9)+(5.38254+(0.238272-0.560796))+0-82.4-0.168095999999996</f>
        <v>2402.89192</v>
      </c>
      <c r="Q73" s="3">
        <f>2613.7+(75.1-241.7)+(2.665974+(0.076602-0.246534))+0-70.7-0.0721140000000113</f>
        <v>2378.8239280000003</v>
      </c>
      <c r="R73" s="3">
        <f>2726.2+(61.2-267.6)+(1.390362+(0.031212-0.136476))+0-56.3-0.0287129999999943</f>
        <v>2464.7563849999992</v>
      </c>
      <c r="S73" s="3">
        <f>2739.1+(41.8-226.9)+(-2.793882+(-0.042636--0.231438))+0-80.5--0.0821100000000128</f>
        <v>2470.97703</v>
      </c>
      <c r="T73" s="3">
        <f>2729.7+(54.9-237.7)+(-1.392147+(-0.027999--0.121227))+0-80.7--0.0411569999999918</f>
        <v>2464.9422380000001</v>
      </c>
      <c r="U73" s="3">
        <f>2714.1+(51.7-245.5)+(-2.768382+(-0.052734--0.25041))+0-88.4--0.0901680000000141</f>
        <v>2429.4194619999998</v>
      </c>
      <c r="V73" s="3">
        <f>2729.6+(53.3-265.4)+(1.392096+(0.027183-0.135354))+0-89-0.045389999999991</f>
        <v>2429.7385350000004</v>
      </c>
      <c r="W73" s="3">
        <f>2701.7+(65.7-282.8)+(-2.755734+(-0.067014--0.288456))+0-84.7--0.0863940000000135</f>
        <v>2397.4521020000002</v>
      </c>
      <c r="X73" s="3">
        <f>2666.6+(97.8-313)+(-2.719932+(-0.099756--0.31926))+0-72.6--0.0740520000000116</f>
        <v>2376.3736240000003</v>
      </c>
      <c r="Y73" s="3">
        <f>2623.6+(66-280.9)+(-2.676072+(-0.06732--0.286518))+0-85.3--0.0870060000000136</f>
        <v>2321.0301319999999</v>
      </c>
      <c r="Z73" s="3">
        <f>2813.6+(41.4-218)+(-4.304808+(-0.063342--0.33354))+0-87.5--0.133875000000005</f>
        <v>2545.5992649999998</v>
      </c>
      <c r="AA73" s="3">
        <f>2895.1+(0-249.2)+(-5.906004+(0--0.508368))+0-89--0.181559999999996</f>
        <v>2551.6839239999999</v>
      </c>
      <c r="AB73" s="3">
        <f>2919.9+(59.9-312)+(-4.467447+(-0.091647--0.47736))+0-89.1--0.136323000000005</f>
        <v>2574.7545890000006</v>
      </c>
      <c r="AC73" s="3">
        <f>2824.8+(142.6-354)+(-5.762592+(-0.290904--0.72216))+0-42.9--0.0875159999999981</f>
        <v>2565.2561799999999</v>
      </c>
      <c r="AD73" s="2">
        <v>2335.1999999999998</v>
      </c>
      <c r="AE73" s="3">
        <f>2918+(0-291.3)+(0+(0-0))+0-96.5-0</f>
        <v>2530.1999999999998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2578.3+(141.3-268.1)+(-3.944799+(-0.216189--0.410193))+0-77.9--0.119187000000005</f>
        <v>2369.9683919999998</v>
      </c>
      <c r="G74" s="3">
        <f>2239.4+(192.2-188.1)+(-1.142094+(-0.098022--0.095931))+0-89.5--0.0456449999999909</f>
        <v>2152.90146</v>
      </c>
      <c r="H74" s="3">
        <f>2228.9+(160.2-156.3)+(-2.273478+(-0.163404--0.159426))+0-67.2--0.0685440000000107</f>
        <v>2163.3910880000008</v>
      </c>
      <c r="I74" s="3">
        <f>2188.1+(145-177.5)+(-1.115931+(-0.07395--0.090525))+0-85.1--0.0434009999999914</f>
        <v>2069.4440449999997</v>
      </c>
      <c r="J74" s="3">
        <f>2127.8+(145.1-171.9)+(-7.596246+(-0.518007--0.613683))+0-95.8--0.342006000000001</f>
        <v>1998.041436</v>
      </c>
      <c r="K74" s="3">
        <f>2097+(145.1-241.9)+(-10.6947+(-0.74001--1.23369))+0-88--0.448800000000006</f>
        <v>1902.4477800000002</v>
      </c>
      <c r="L74" s="3">
        <f>1975.9+(169.3-176.3)+(-2.015418+(-0.172686--0.179826))+0-87--0.0887400000000139</f>
        <v>1879.980462</v>
      </c>
      <c r="M74" s="3">
        <f>1914.5+(212.8-171.6)+(2.929185+(0.325584-0.262548))+0-52.1-0.079713000000003</f>
        <v>1906.512508</v>
      </c>
      <c r="N74" s="3">
        <f>1922+(261.6-175.6)+(3.92088+(0.533664-0.358224))+0-81.3-0.165851999999996</f>
        <v>1930.6304680000001</v>
      </c>
      <c r="O74" s="3">
        <f>2260.1+(97.4-191.3)+(-1.152651+(-0.049674--0.097563))+0-41--0.0209099999999958</f>
        <v>2124.1161480000001</v>
      </c>
      <c r="P74" s="3">
        <f>2350.1+(94.6-181.7)+(0+(0-0))+0-87.5-0</f>
        <v>2175.5</v>
      </c>
      <c r="Q74" s="3">
        <f>2510.3+(46.5-202.6)+(0+(0-0))+0-90.2-0</f>
        <v>2264.0000000000005</v>
      </c>
      <c r="R74" s="3">
        <f>2665+(56.9-254.2)+(4.07745+(0.087057-0.388926))+0-99.5-0.152235000000006</f>
        <v>2371.8233459999997</v>
      </c>
      <c r="S74" s="3">
        <f>2673.9+(12.6-229.3)+(-2.727378+(-0.012852--0.233886))+0-88.4--0.0901680000000141</f>
        <v>2366.3838240000005</v>
      </c>
      <c r="T74" s="3">
        <f>2666.2+(31-242.2)+(-2.719524+(-0.03162--0.247044))+0-76.3--0.0778260000000122</f>
        <v>2376.2737259999999</v>
      </c>
      <c r="U74" s="3">
        <f>2674.2+(42.6-276.6)+(0+(0-0))+0-63.2-0</f>
        <v>2377</v>
      </c>
      <c r="V74" s="3">
        <f>2669.9+(47.1-287.1)+(-1.361649+(-0.024021--0.146421))+0-81.5--0.0415649999999917</f>
        <v>2347.2023159999999</v>
      </c>
      <c r="W74" s="3">
        <f>2670.4+(62.1-342.9)+(-2.723808+(-0.063342--0.349758))+0-91.1--0.0929220000000145</f>
        <v>2296.1555300000005</v>
      </c>
      <c r="X74" s="3">
        <f>2598.4+(76.8-260.6)+(-6.62592+(-0.19584--0.66453))+0-92.8--0.236639999999987</f>
        <v>2315.87941</v>
      </c>
      <c r="Y74" s="3">
        <f>2363.5+(138.1-187.5)+(-2.41077+(-0.140862--0.19125))+0-80.8--0.0824160000000129</f>
        <v>2231.0220340000001</v>
      </c>
      <c r="Z74" s="3">
        <f>2630+(22.3-197.2)+(-1.3413+(-0.011373--0.100572))+0-89--0.045389999999991</f>
        <v>2364.8932889999996</v>
      </c>
      <c r="AA74" s="3">
        <f>2792.2+(0-249.4)+(-5.696088+(0--0.508776))+0-85.7--0.174827999999996</f>
        <v>2452.0875160000001</v>
      </c>
      <c r="AB74" s="3">
        <f>2810+(63.1-341.9)+(-1.4331+(-0.032181--0.174369))+0-82.7--0.0421769999999916</f>
        <v>2447.2512649999999</v>
      </c>
      <c r="AC74" s="3">
        <f>2792.4+(130.4-391.5)+(-7.12062+(-0.33252--0.998325))+0-91.2--0.232559999999987</f>
        <v>2433.8777450000002</v>
      </c>
      <c r="AD74" s="2">
        <v>2308.5</v>
      </c>
      <c r="AE74" s="3">
        <f>2768+(0-255)+(0+(0-0))+0-95.5-0</f>
        <v>2417.5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2683.2+(145.3-391.6)+(1.368432+(0.074103-0.199716))+0-72.7-0.0370769999999926</f>
        <v>2365.4057419999999</v>
      </c>
      <c r="G75" s="3">
        <f>2613.8+(145.9-382.8)+(0+(0-0))+0-86.7-0</f>
        <v>2290.2000000000003</v>
      </c>
      <c r="H75" s="3">
        <f>2593.2+(145.6-420.9)+(5.290128+(0.297024-0.858636))+0-89.5-0.182579999999996</f>
        <v>2232.9459359999996</v>
      </c>
      <c r="I75" s="3">
        <f>2349.6+(145.3-282.4)+(-7.189776+(-0.444618--0.864144))+0-86.9--0.26591400000001</f>
        <v>2119.0956639999999</v>
      </c>
      <c r="J75" s="3">
        <f>2200.3+(146.7-279.8)+(-1.122153+(-0.074817--0.142698))+0-73.9--0.0376889999999925</f>
        <v>1992.2834170000003</v>
      </c>
      <c r="K75" s="3">
        <f>2126.5+(145.8-285.5)+(-6.50709+(-0.446148--0.87363))+0-93.3--0.285498000000011</f>
        <v>1887.70589</v>
      </c>
      <c r="L75" s="3">
        <f>2122.3+(145-262.2)+(-5.411865+(-0.36975--0.66861))+0-80.5--0.205274999999988</f>
        <v>1919.6922700000002</v>
      </c>
      <c r="M75" s="3">
        <f>2360.5+(144.7-322.8)+(0+(0-0))+0-89.3-0</f>
        <v>2093.1</v>
      </c>
      <c r="N75" s="3">
        <f>2643.3+(145.9-396)+(0+(0-0))+0-80.7-0</f>
        <v>2312.5000000000005</v>
      </c>
      <c r="O75" s="3">
        <f>2708.4+(115.5-361.1)+(0+(0-0))+0-81.4-0</f>
        <v>2381.4</v>
      </c>
      <c r="P75" s="3">
        <f>2826.2+(79.3-307.7)+(-1.441362+(-0.040443--0.156927))+0-72.8--0.0371279999999926</f>
        <v>2523.7122499999996</v>
      </c>
      <c r="Q75" s="3">
        <f>2888+(83.3-341.9)+(-1.47288+(-0.042483--0.174369))+0-76.7--0.0391169999999922</f>
        <v>2551.3981229999999</v>
      </c>
      <c r="R75" s="3">
        <f>3018.5+(76.3-405.6)+(-1.539435+(-0.038913--0.206856))+0-85.8--0.0437579999999913</f>
        <v>2602.0722659999992</v>
      </c>
      <c r="S75" s="3">
        <f>3036.1+(73.6-409.9)+(-1.548411+(-0.037536--0.209049))+0-79.8--0.0406979999999919</f>
        <v>2618.6637999999998</v>
      </c>
      <c r="T75" s="3">
        <f>3022.5+(70.4-409.3)+(-3.08295+(-0.071808--0.417486))+0-85.8--0.0875160000000137</f>
        <v>2595.1502439999999</v>
      </c>
      <c r="U75" s="3">
        <f>3014+(64.4-415.6)+(-3.07428+(-0.065688--0.423912))+0-67.8--0.0691560000000108</f>
        <v>2592.3530999999998</v>
      </c>
      <c r="V75" s="3">
        <f>3007.2+(55.3-372.6)+(-4.601016+(-0.084609--0.570078))+0-87.5--0.133875000000005</f>
        <v>2598.4183279999997</v>
      </c>
      <c r="W75" s="3">
        <f>3006.5+(55.3-386.3)+(-4.599945+(-0.084609--0.591039))+0-82.9--0.126837000000005</f>
        <v>2588.6333219999997</v>
      </c>
      <c r="X75" s="3">
        <f>2977.2+(59.4-432.2)+(-7.59186+(-0.15147--1.10211))+0-83.2--0.212159999999988</f>
        <v>2514.7709399999999</v>
      </c>
      <c r="Y75" s="3">
        <f>2602.2+(71.4-191.7)+(-5.308488+(-0.145656--0.391068))+0-82.3--0.167891999999996</f>
        <v>2394.7048159999995</v>
      </c>
      <c r="Z75" s="3">
        <f>2960.9+(2.1-220.3)+(-3.020118+(-0.002142--0.224706))+0-87.4--0.0891480000000139</f>
        <v>2652.591594</v>
      </c>
      <c r="AA75" s="3">
        <f>3216.2+(2.3-385.1)+(-8.20131+(-0.005865--0.982005))+0-81.9--0.208844999999988</f>
        <v>2744.4836749999995</v>
      </c>
      <c r="AB75" s="3">
        <f>3179.9+(48.2-446)+(-6.486996+(-0.098328--0.90984))+0-63.3--0.129131999999997</f>
        <v>2713.2536479999999</v>
      </c>
      <c r="AC75" s="3">
        <f>2985.2+(139.4-401.4)+(-1.522452+(-0.071094--0.204714))+0-92.9--0.0473789999999906</f>
        <v>2628.9585469999997</v>
      </c>
      <c r="AD75" s="2">
        <v>2493.5</v>
      </c>
      <c r="AE75" s="3">
        <f>3216+(0-409.2)+(0+(0-0))+0-24.3-0</f>
        <v>2782.5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2805.9+(144.2-389.6)+(0+(0-0))+0-75.6-0</f>
        <v>2484.9</v>
      </c>
      <c r="G76" s="3">
        <f>2749+(144.5-408.1)+(-2.80398+(-0.14739--0.416262))+0-88.5--0.0902700000000141</f>
        <v>2394.4551620000002</v>
      </c>
      <c r="H76" s="3">
        <f>2709.8+(145.4-404.9)+(1.381998+(0.074154-0.206499))+0-88-0.0448799999999911</f>
        <v>2363.5047730000001</v>
      </c>
      <c r="I76" s="3">
        <f>2633.5+(146.7-403.7)+(2.68617+(0.149634-0.411774))+0-84.7-0.0863940000000135</f>
        <v>2294.1376360000004</v>
      </c>
      <c r="J76" s="3">
        <f>2567.4+(147.2-401.5)+(-2.618748+(-0.150144--0.40953))+0-64.5--0.0657900000000103</f>
        <v>2246.3064279999999</v>
      </c>
      <c r="K76" s="3">
        <f>2394.1+(145.8-375.2)+(-2.441982+(-0.148716--0.382704))+0-81.8--0.083436000000013</f>
        <v>2080.7754419999997</v>
      </c>
      <c r="L76" s="3">
        <f>2198.4+(144-228.1)+(-6.727104+(-0.44064--0.697986))+0-78.9--0.241434000000009</f>
        <v>2029.1716759999999</v>
      </c>
      <c r="M76" s="3">
        <f>2265+(144.4-267.7)+(4.6206+(0.294576-0.546108))+0-46.6-0.095063999999998</f>
        <v>2099.3740039999998</v>
      </c>
      <c r="N76" s="3">
        <f>2503.7+(146-373.4)+(0+(0-0))+0-72.8-0</f>
        <v>2203.4999999999995</v>
      </c>
      <c r="O76" s="3">
        <f>2492.3+(145.2-295.8)+(-1.271073+(-0.074052--0.150858))+0-83.5--0.0425849999999915</f>
        <v>2257.0483180000006</v>
      </c>
      <c r="P76" s="3">
        <f>2501.3+(137-245.5)+(0+(0-0))+0-61.3-0</f>
        <v>2331.5</v>
      </c>
      <c r="Q76" s="3">
        <f>2684.5+(138.2-311.5)+(0+(0-0))+0-92.6-0</f>
        <v>2418.6</v>
      </c>
      <c r="R76" s="3">
        <f>2778.1+(104.3-273.1)+(0+(0-0))+0-87.4-0</f>
        <v>2521.8999999999996</v>
      </c>
      <c r="S76" s="3">
        <f>2787.6+(99.9-292.1)+(-5.686704+(-0.203796--0.595884))+0-93.7--0.191147999999996</f>
        <v>2496.596532</v>
      </c>
      <c r="T76" s="3">
        <f>2801.4+(108.6-310.7)+(1.428714+(0.055386-0.158457))+0-58.8-0.029987999999994</f>
        <v>2541.7956550000004</v>
      </c>
      <c r="U76" s="3">
        <f>2743.5+(120.5-293.9)+(-1.399185+(-0.061455--0.149889))+0-48.7--0.0248369999999951</f>
        <v>2520.114086</v>
      </c>
      <c r="V76" s="3">
        <f>2714.7+(123.3-304.9)+(2.768994+(0.125766-0.310998))+0-23.1-0.0235620000000037</f>
        <v>2512.5602000000003</v>
      </c>
      <c r="W76" s="3">
        <f>2666.2+(128.2-313.3)+(-4.079286+(-0.196146--0.479349))+0-66.8--0.102204000000004</f>
        <v>2410.6061209999993</v>
      </c>
      <c r="X76" s="3">
        <f>2599.3+(133.1-292.6)+(-2.651286+(-0.135762--0.298452))+0-91.5--0.0933300000000146</f>
        <v>2345.9047340000002</v>
      </c>
      <c r="Y76" s="3">
        <f>2462.3+(141.3-203.9)+(-2.511546+(-0.144126--0.207978))+0-88.8--0.0905760000000142</f>
        <v>2308.5428820000002</v>
      </c>
      <c r="Z76" s="3">
        <f>2906.7+(64.6-296.6)+(0+(0-0))+0-81.7-0</f>
        <v>2593</v>
      </c>
      <c r="AA76" s="3">
        <f>3030.6+(38.3-368.1)+(-4.636818+(-0.058599--0.563193))+0-88.4--0.135252000000005</f>
        <v>2608.4030279999997</v>
      </c>
      <c r="AB76" s="3">
        <f>3026.8+(122.1-438.9)+(-3.087336+(-0.124542--0.447678))+0-87.3--0.0890460000000139</f>
        <v>2620.0248459999998</v>
      </c>
      <c r="AC76" s="3">
        <f>2990.4+(145.2-528.7)+(3.050208+(0.148104-0.539274))+0-72.9-0.0743580000000116</f>
        <v>2536.5846799999999</v>
      </c>
      <c r="AD76" s="2">
        <v>2414.6</v>
      </c>
      <c r="AE76" s="3">
        <f>3039.5+(23.4-375.7)+(0+(0-0))+0-24.3-0</f>
        <v>2662.8999999999996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2821+(145.7-459.2)+(-2.87742+(-0.148614--0.468384))+0-80--0.0816000000000128</f>
        <v>2425.0239499999998</v>
      </c>
      <c r="G77" s="3">
        <f>2593.4+(144.9-354.6)+(2.645268+(0.147798-0.361692))+0-73.7-0.0751740000000118</f>
        <v>2312.3562000000002</v>
      </c>
      <c r="H77" s="3">
        <f>2532.5+(145-358.1)+(-1.291575+(-0.07395--0.182631))+0-82.4--0.0420239999999916</f>
        <v>2235.8591299999998</v>
      </c>
      <c r="I77" s="3">
        <f>2547.5+(145.4-388.1)+(0+(0-0))+0-99-0</f>
        <v>2205.8000000000002</v>
      </c>
      <c r="J77" s="3">
        <f>2452.2+(145.9-368.3)+(-3.751866+(-0.223227--0.563499))+0-85.1--0.130203000000005</f>
        <v>2141.4186089999998</v>
      </c>
      <c r="K77" s="3">
        <f>2292.8+(145.8-353.6)+(-2.338656+(-0.148716--0.360672))+0-69.6--0.0709920000000111</f>
        <v>2013.3442920000002</v>
      </c>
      <c r="L77" s="3">
        <f>2151.5+(144.7-264.5)+(-5.486325+(-0.368985--0.674475))+0-67.2--0.17135999999999</f>
        <v>1959.4905250000002</v>
      </c>
      <c r="M77" s="3">
        <f>2224.4+(143.9-251.5)+(3.403332+(0.220167-0.384795))+0-97.4-0.149022000000006</f>
        <v>2022.4896819999999</v>
      </c>
      <c r="N77" s="3">
        <f>2397.1+(144.2-348.3)+(1.222521+(0.073542-0.177633))+0-61.6-0.0314159999999938</f>
        <v>2132.4870140000003</v>
      </c>
      <c r="O77" s="3">
        <f>2656.5+(143.8-390.3)+(2.70963+(0.146676-0.398106))+0-89.7-0.0914940000000143</f>
        <v>2322.666706</v>
      </c>
      <c r="P77" s="3">
        <f>2634.8+(142.7-306.4)+(0+(0-0))+0-73.1-0</f>
        <v>2398.0000000000005</v>
      </c>
      <c r="Q77" s="3">
        <f>2689.1+(143.2-297.5)+(-4.114323+(-0.219096--0.455175))+0-89.9--0.137547000000005</f>
        <v>2441.1593029999995</v>
      </c>
      <c r="R77" s="3">
        <f>2719.2+(143.5-303.3)+(1.386792+(0.073185-0.154683))+0-83.3-0.0424829999999915</f>
        <v>2477.3628109999991</v>
      </c>
      <c r="S77" s="3">
        <f>2677.3+(144.1-259.2)+(-6.827115+(-0.367455--0.66096))+0-86--0.219299999999988</f>
        <v>2469.8856900000005</v>
      </c>
      <c r="T77" s="3">
        <f>2669+(144.6-282)+(-6.80595+(-0.36873--0.7191))+0-76.6--0.195329999999989</f>
        <v>2448.7397500000002</v>
      </c>
      <c r="U77" s="3">
        <f>2695+(145-278.7)+(0+(0-0))+0-81.4-0</f>
        <v>2479.9</v>
      </c>
      <c r="V77" s="3">
        <f>2571+(145.2-224.5)+(-3.93363+(-0.222156--0.343485))+0-84.6--0.129438000000005</f>
        <v>2403.4171369999999</v>
      </c>
      <c r="W77" s="3">
        <f>2387.1+(155.6-191.9)+(-6.087105+(-0.39678--0.489345))+0-72.3--0.18436499999999</f>
        <v>2272.6898249999995</v>
      </c>
      <c r="X77" s="3">
        <f>2379.5+(145.5-284.1)+(-6.067725+(-0.371025--0.724455))+0-93.1--0.237404999999986</f>
        <v>2142.3231099999998</v>
      </c>
      <c r="Y77" s="3">
        <f>2437.2+(141.1-296.6)+(-3.728916+(-0.215883--0.453798))+0-91.1--0.139383000000005</f>
        <v>2187.2483820000002</v>
      </c>
      <c r="Z77" s="3">
        <f>2951.7+(89.9-420.6)+(3.010734+(0.091698-0.429012))+0-91.5-0.0933300000000146</f>
        <v>2532.0800899999999</v>
      </c>
      <c r="AA77" s="3">
        <f>3031.2+(80.3-460.4)+(-1.545912+(-0.040953--0.234804))+0-84.1--0.0428909999999915</f>
        <v>2565.69083</v>
      </c>
      <c r="AB77" s="3">
        <f>3018.4+(127.8-485.9)+(-4.618152+(-0.195534--0.743427))+0-82.1--0.125613000000005</f>
        <v>2574.2553540000004</v>
      </c>
      <c r="AC77" s="3">
        <f>2935.8+(144.3-499.5)+(-2.994516+(-0.147186--0.50949))+0-44.4--0.0452880000000071</f>
        <v>2533.6130760000001</v>
      </c>
      <c r="AD77" s="2">
        <v>2390.7999999999997</v>
      </c>
      <c r="AE77" s="3">
        <f>3065.5+(106.6-457.5)+(0+(0-0))+0-98.8-0</f>
        <v>2615.7999999999997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2838.1+(144.5-464.1)+(0+(0-0))+0-95.4-0</f>
        <v>2423.1</v>
      </c>
      <c r="G78" s="3">
        <f>2661.1+(145.5-428.5)+(-5.428644+(-0.29682--0.87414))+0-92.1--0.187883999999996</f>
        <v>2281.3365599999997</v>
      </c>
      <c r="H78" s="3">
        <f>2599.7+(145.6-448.6)+(-6.629235+(-0.37128--1.14393))+0-86.9--0.221594999999987</f>
        <v>2204.1650099999997</v>
      </c>
      <c r="I78" s="3">
        <f>2421.7+(144.8-378.6)+(-2.470134+(-0.147696--0.386172))+0-83.4--0.0850680000000133</f>
        <v>2102.3534099999993</v>
      </c>
      <c r="J78" s="3">
        <f>2428.8+(143-382.2)+(-1.238688+(-0.07293--0.194922))+0-90.1--0.0459509999999909</f>
        <v>2098.4292550000005</v>
      </c>
      <c r="K78" s="3">
        <f>2394.2+(145-446)+(-1.221042+(-0.07395--0.22746))+0-81.6--0.0416159999999917</f>
        <v>2010.5740839999999</v>
      </c>
      <c r="L78" s="3">
        <f>2334.7+(145.9-394.7)+(0+(0-0))+0-89.5-0</f>
        <v>1996.3999999999996</v>
      </c>
      <c r="M78" s="3">
        <f>2688.1+(143.9-527.1)+(4.112793+(0.220167-0.806463))+0-84.7-0.129591000000005</f>
        <v>2223.5969059999998</v>
      </c>
      <c r="N78" s="3">
        <f>2799.1+(143.6-493.6)+(-4.282623+(-0.219708--0.755208))+0-86.8--0.132804000000005</f>
        <v>2358.6856809999995</v>
      </c>
      <c r="O78" s="3">
        <f>2961.8+(143.8-544.3)+(0+(0-0))+0-77.6-0</f>
        <v>2483.7000000000003</v>
      </c>
      <c r="P78" s="3">
        <f>3006.1+(145.3-548.4)+(0+(0-0))+0-61.2-0</f>
        <v>2541.8000000000002</v>
      </c>
      <c r="Q78" s="3">
        <f>3004.1+(146-467.5)+(0+(0-0))+0-91.2-0</f>
        <v>2591.4</v>
      </c>
      <c r="R78" s="3">
        <f>3006.1+(144.3-450.3)+(3.066222+(0.147186-0.459306))+0-80.5-0.0821100000000128</f>
        <v>2622.271992</v>
      </c>
      <c r="S78" s="3">
        <f>2952.1+(144.1-431.3)+(-1.505571+(-0.073491--0.219963))+0-79.5--0.0405449999999919</f>
        <v>2584.0814459999997</v>
      </c>
      <c r="T78" s="3">
        <f>2971.8+(144.1-456.1)+(-1.515618+(-0.073491--0.232611))+0-76.9--0.0392189999999922</f>
        <v>2581.5827209999998</v>
      </c>
      <c r="U78" s="3">
        <f>2968.7+(145-463.2)+(0+(0-0))+0-67.7-0</f>
        <v>2582.8000000000002</v>
      </c>
      <c r="V78" s="3">
        <f>2946.8+(145-448.8)+(-6.011472+(-0.2958--0.915552))+0-86.2--0.175847999999996</f>
        <v>2551.584128</v>
      </c>
      <c r="W78" s="3">
        <f>2933.7+(144.2-446.4)+(-8.977122+(-0.441252--1.365984))+0-88.8--0.27172800000001</f>
        <v>2534.9193380000002</v>
      </c>
      <c r="X78" s="3">
        <f>2915.1+(145.2-480.2)+(-13.380309+(-0.666468--2.204118))+0-73.6--0.337824000000013</f>
        <v>2494.9951650000003</v>
      </c>
      <c r="Y78" s="3">
        <f>2568.5+(132.7-288.9)+(-6.549675+(-0.338385--0.736695))+0-89.3--0.227714999999987</f>
        <v>2317.0763499999998</v>
      </c>
      <c r="Z78" s="3">
        <f>2892+(65.9-301)+(-4.42476+(-0.100827--0.46053))+0-84.7--0.129591000000005</f>
        <v>2568.2645340000004</v>
      </c>
      <c r="AA78" s="3">
        <f>3000.6+(70.3-339)+(-1.530306+(-0.035853--0.17289))+0-89.1--0.045440999999991</f>
        <v>2641.4521720000002</v>
      </c>
      <c r="AB78" s="3">
        <f>2973.9+(138.6-406.3)+(-7.583445+(-0.35343--1.036065))+0-92.2--0.235109999999987</f>
        <v>2607.3343</v>
      </c>
      <c r="AC78" s="3">
        <f>2876.7+(146.1-395)+(-5.868468+(-0.298044--0.8058))+0-88.4--0.180335999999996</f>
        <v>2534.2196239999994</v>
      </c>
      <c r="AD78" s="2">
        <v>2475.8000000000002</v>
      </c>
      <c r="AE78" s="3">
        <f>3019.5+(61.9-340.5)+(0+(0-0))+0-94.1-0</f>
        <v>2646.8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2667.5+(145.7-427)+(-1.360425+(-0.074307--0.21777))+0-77.3--0.0394229999999922</f>
        <v>2307.7224609999998</v>
      </c>
      <c r="G79" s="3">
        <f>2579.7+(145.7-371.5)+(0+(0-0))+0-83.8-0</f>
        <v>2270.0999999999995</v>
      </c>
      <c r="H79" s="3">
        <f>2518+(146-376.3)+(-1.28418+(-0.07446--0.191913))+0-59.2--0.030191999999994</f>
        <v>2227.3634650000004</v>
      </c>
      <c r="I79" s="3">
        <f>2495.7+(145.7-366.1)+(-3.818421+(-0.222921--0.560133))+0-91.8--0.140454000000005</f>
        <v>2180.1592449999994</v>
      </c>
      <c r="J79" s="3">
        <f>2387.4+(144.6-312.8)+(-3.652722+(-0.221238--0.478584))+0-92.4--0.141372000000005</f>
        <v>2123.5459960000003</v>
      </c>
      <c r="K79" s="3">
        <f>2341.1+(143.3-360.3)+(-5.969805+(-0.365415--0.918765))+0-92.9--0.236894999999987</f>
        <v>2026.0204399999998</v>
      </c>
      <c r="L79" s="3">
        <f>2248.2+(144.8-304.8)+(-3.439746+(-0.221544--0.466344))+0-79.5--0.121635000000005</f>
        <v>2005.6266889999997</v>
      </c>
      <c r="M79" s="3">
        <f>2417.3+(145.1-387)+(3.698469+(0.222003-0.59211))+0-24.3-0.0371790000000014</f>
        <v>2154.3911830000002</v>
      </c>
      <c r="N79" s="3">
        <f>2705.1+(144.7-428.1)+(6.898005+(0.368985-1.091655))+0-24.1-0.0614549999999965</f>
        <v>2403.7138799999998</v>
      </c>
      <c r="O79" s="3">
        <f>2997.4+(144-582)+(3.057348+(0.14688-0.59364))+0-21-0.0214200000000034</f>
        <v>2540.9891680000001</v>
      </c>
      <c r="P79" s="3">
        <f>2993.7+(143.2-503.9)+(-4.580361+(-0.219096--0.770967))+0-26.4--0.0403920000000015</f>
        <v>2602.6119019999996</v>
      </c>
      <c r="Q79" s="3">
        <f>2999.3+(141.6-481)+(4.588929+(0.216648-0.73593))+0-21.2-0.0324360000000012</f>
        <v>2642.7372110000001</v>
      </c>
      <c r="R79" s="3">
        <f>2976.5+(142.6-446)+(0+(0-0))+0-19.7-0</f>
        <v>2653.4</v>
      </c>
      <c r="S79" s="3">
        <f>2965.6+(143.5-472.1)+(-1.512456+(-0.073185--0.240771))+0-21.1--0.0107609999999979</f>
        <v>2614.5658910000002</v>
      </c>
      <c r="T79" s="3">
        <f>2945.5+(143.6-455.6)+(-1.502205+(-0.073236--0.232356))+0-26.4--0.0134639999999973</f>
        <v>2605.770379</v>
      </c>
      <c r="U79" s="3">
        <f>2942.9+(143.7-397.4)+(1.500879+(0.073287-0.202674))+0-96.1-0.0490109999999903</f>
        <v>2594.4224810000005</v>
      </c>
      <c r="V79" s="3">
        <f>2928.3+(144-425)+(-2.986866+(-0.14688--0.4335))+0-59--0.0601800000000094</f>
        <v>2585.6599340000002</v>
      </c>
      <c r="W79" s="3">
        <f>2926+(144.3-410.8)+(-5.96904+(-0.294372--0.838032))+0-89.5--0.182579999999996</f>
        <v>2564.7572</v>
      </c>
      <c r="X79" s="3">
        <f>2938+(136.8-447.4)+(-2.99676+(-0.139536--0.456348))+0-82.3--0.0839460000000131</f>
        <v>2542.5039980000001</v>
      </c>
      <c r="Y79" s="3">
        <f>2846.9+(116.7-394.4)+(-5.807676+(-0.238068--0.804576))+0-87.2--0.177887999999996</f>
        <v>2476.9367200000006</v>
      </c>
      <c r="Z79" s="3">
        <f>2938.9+(54.7-257.9)+(-1.498839+(-0.027897--0.131529))+0-82.7--0.0421769999999916</f>
        <v>2651.6469700000002</v>
      </c>
      <c r="AA79" s="3">
        <f>2963.3+(60.3-280.1)+(-4.533849+(-0.092259--0.428553))+0-92.2--0.141066000000005</f>
        <v>2647.2435110000001</v>
      </c>
      <c r="AB79" s="3">
        <f>2986.7+(135.3-367.7)+(0+(0-0))+0-85-0</f>
        <v>2669.2999999999997</v>
      </c>
      <c r="AC79" s="3">
        <f>2975.9+(144.3-397.6)+(-4.553127+(-0.220779--0.608328))+0-84.2--0.128826000000005</f>
        <v>2634.3632480000001</v>
      </c>
      <c r="AD79" s="2">
        <v>2625.1000000000004</v>
      </c>
      <c r="AE79" s="3">
        <f>2966+(153.4-282.7)+(0+(0-0))+0-107.6-0</f>
        <v>2729.1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2734.7+(143.8-338.4)+(-2.789394+(-0.146676--0.345168))+0-69--0.070380000000011</f>
        <v>2468.5794780000001</v>
      </c>
      <c r="G80" s="3">
        <f>2595.5+(145.7-355.4)+(-2.64741+(-0.148614--0.362508))+0-88.7--0.0904740000000141</f>
        <v>2294.7569580000004</v>
      </c>
      <c r="H80" s="3">
        <f>2620.8+(146-443.2)+(0+(0-0))+0-84.1-0</f>
        <v>2239.5000000000005</v>
      </c>
      <c r="I80" s="3">
        <f>2533+(145.4-431.5)+(-1.29183+(-0.074154--0.220065))+0-81.3--0.0414629999999918</f>
        <v>2164.4955439999999</v>
      </c>
      <c r="J80" s="3">
        <f>2467.3+(146.6-453.9)+(-3.774969+(-0.224298--0.694467))+0-72.8--0.111384000000004</f>
        <v>2084.0065839999997</v>
      </c>
      <c r="K80" s="3">
        <f>2389.3+(146.3-431)+(-2.437086+(-0.149226--0.43962))+0-83.8--0.0854760000000134</f>
        <v>2018.7387840000006</v>
      </c>
      <c r="L80" s="3">
        <f>2263.1+(144.7-342.3)+(-4.616724+(-0.295188--0.698292))+0-78.4--0.159935999999997</f>
        <v>1983.0463159999999</v>
      </c>
      <c r="M80" s="3">
        <f>2486.9+(143.3-356.2)+(3.804957+(0.219249-0.544986))+0-96.9-0.148257000000006</f>
        <v>2180.4309630000002</v>
      </c>
      <c r="N80" s="3">
        <f>2668+(142.6-386.5)+(4.08204+(0.218178-0.591345))+0-77.7-0.118881000000004</f>
        <v>2349.9899920000003</v>
      </c>
      <c r="O80" s="3">
        <f>2764.5+(142.2-399.9)+(0+(0-0))+0-71-0</f>
        <v>2435.8000000000002</v>
      </c>
      <c r="P80" s="3">
        <f>2856.5+(142.3-394.6)+(1.456815+(0.072573-0.201246))+0-70.1-0.0357509999999929</f>
        <v>2535.3923909999999</v>
      </c>
      <c r="Q80" s="3">
        <f>2891.1+(143.4-389.9)+(0+(0-0))+0-80.2-0</f>
        <v>2564.4</v>
      </c>
      <c r="R80" s="3">
        <f>2876+(143.5-344)+(0+(0-0))+0-93.7-0</f>
        <v>2581.8000000000002</v>
      </c>
      <c r="S80" s="3">
        <f>2850.8+(143.2-348.8)+(-4.361724+(-0.219096--0.533664))+0-68.9--0.105417000000004</f>
        <v>2572.3582610000003</v>
      </c>
      <c r="T80" s="3">
        <f>2869.2+(141.5-391.4)+(-2.926584+(-0.14433--0.399228))+0-58.6--0.0597720000000093</f>
        <v>2558.0880859999997</v>
      </c>
      <c r="U80" s="3">
        <f>2855.6+(142.9-388.6)+(-5.825424+(-0.291516--0.792744))+0-85.8--0.175031999999996</f>
        <v>2518.950836</v>
      </c>
      <c r="V80" s="3">
        <f>2876.5+(144-401.1)+(1.467015+(0.07344-0.204561))+0-90.5-0.0461549999999908</f>
        <v>2530.1897389999999</v>
      </c>
      <c r="W80" s="3">
        <f>2886.8+(139-419.6)+(0+(0-0))+0-88.2-0</f>
        <v>2518.0000000000005</v>
      </c>
      <c r="X80" s="3">
        <f>2879.8+(139.7-442.2)+(-2.937396+(-0.142494--0.451044))+0-79.1--0.0806820000000126</f>
        <v>2495.651836</v>
      </c>
      <c r="Y80" s="3">
        <f>2566.4+(123-295.6)+(-1.308864+(-0.06273--0.150756))+0-90.4--0.0461039999999908</f>
        <v>2302.2252659999999</v>
      </c>
      <c r="Z80" s="3">
        <f>2855.6+(79.3-273)+(2.912712+(0.080886-0.27846))+0-79.5-0.0810900000000127</f>
        <v>2585.034048</v>
      </c>
      <c r="AA80" s="3">
        <f>2985.7+(74.2-335.9)+(-4.568121+(-0.113526--0.513927))+0-47.4--0.0725220000000027</f>
        <v>2672.5048019999999</v>
      </c>
      <c r="AB80" s="3">
        <f>2986+(134.5-360.7)+(-3.04572+(-0.13719--0.367914))+0-80.7--0.0823140000000129</f>
        <v>2676.3673180000005</v>
      </c>
      <c r="AC80" s="3">
        <f>2963.7+(144.6-407.9)+(1.511487+(0.073746-0.208029))+0-71.3-0.0363629999999928</f>
        <v>2630.4408409999992</v>
      </c>
      <c r="AD80" s="2">
        <v>2621.8</v>
      </c>
      <c r="AE80" s="3">
        <f>2992+(186.6-284.7)+(0+(0-0))+0-85.1-0</f>
        <v>2808.8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2866.6+(143.5-434.5)+(-1.461966+(-0.073185--0.221595))+0-69.1--0.035240999999993</f>
        <v>2505.221685</v>
      </c>
      <c r="G81" s="3">
        <f>2764.5+(144-459.1)+(-1.409895+(-0.07344--0.234141))+0-85--0.0433499999999914</f>
        <v>2363.194156</v>
      </c>
      <c r="H81" s="3">
        <f>2679.3+(145.7-532.2)+(0+(0-0))+0-31.5-0</f>
        <v>2261.3000000000002</v>
      </c>
      <c r="I81" s="3">
        <f>2639.4+(146.3-553.1)+(0+(0-0))+0-54.6-0</f>
        <v>2178</v>
      </c>
      <c r="J81" s="3">
        <f>2449.7+(146.5-434.4)+(-4.997388+(-0.29886--0.886176))+0-87.3--0.178091999999996</f>
        <v>2070.2680199999995</v>
      </c>
      <c r="K81" s="3">
        <f>2311.7+(147.4-418.5)+(-5.894835+(-0.37587--1.067175))+0-82.2--0.209609999999988</f>
        <v>1953.4060799999997</v>
      </c>
      <c r="L81" s="3">
        <f>2198.9+(146.4-358.5)+(-5.607195+(-0.37332--0.914175))+0-82.7--0.210884999999988</f>
        <v>1899.244545</v>
      </c>
      <c r="M81" s="3">
        <f>2190.2+(145.8-334.3)+(2.234004+(0.148716-0.340986))+0-67.7-0.0690540000000108</f>
        <v>1935.9726799999996</v>
      </c>
      <c r="N81" s="3">
        <f>2277.9+(136-391.3)+(-1.161729+(-0.06936--0.199563))+0-21.9--0.0111689999999978</f>
        <v>1999.6796430000002</v>
      </c>
      <c r="O81" s="3">
        <f>2612.2+(79.4-436.4)+(-2.664444+(-0.080988--0.445128))+0-77.7--0.0792540000000124</f>
        <v>2175.2789500000003</v>
      </c>
      <c r="P81" s="3">
        <f>2766.5+(52.8-442)+(0+(0-0))+0-82.2-0</f>
        <v>2295.1000000000004</v>
      </c>
      <c r="Q81" s="3">
        <f>2848.7+(42.5-430.7)+(1.452837+(0.021675-0.219657))+0-75.8-0.0386579999999923</f>
        <v>2385.916197</v>
      </c>
      <c r="R81" s="3">
        <f>2829.7+(28-410.1)+(2.886294+(0.02856-0.418302))+0-73.6-0.0750720000000117</f>
        <v>2376.42148</v>
      </c>
      <c r="S81" s="3">
        <f>2809.4+(62.5-421.8)+(-1.432794+(-0.031875--0.215118))+0-81.3--0.0414629999999918</f>
        <v>2367.5919119999999</v>
      </c>
      <c r="T81" s="3">
        <f>2790.9+(76.8-426.6)+(0+(0-0))+0-78.2-0</f>
        <v>2362.9</v>
      </c>
      <c r="U81" s="3">
        <f>2781.8+(113.7-466.5)+(-2.837436+(-0.115974--0.47583))+0-52.6--0.0536520000000084</f>
        <v>2373.9760719999999</v>
      </c>
      <c r="V81" s="3">
        <f>2783.1+(111.4-439.2)+(0+(0-0))+0-82.7-0</f>
        <v>2372.6000000000004</v>
      </c>
      <c r="W81" s="3">
        <f>2787.1+(109.4-477.7)+(-2.842842+(-0.111588--0.487254))+0-84.8--0.0864960000000135</f>
        <v>2331.6193199999998</v>
      </c>
      <c r="X81" s="3">
        <f>2748.2+(124.5-511.7)+(-2.803164+(-0.12699--0.521934))+0-80.1--0.0817020000000128</f>
        <v>2278.5734820000002</v>
      </c>
      <c r="Y81" s="3">
        <f>2625.6+(119-463.2)+(-2.678112+(-0.12138--0.472464))+0-88.1--0.089862000000014</f>
        <v>2191.0628339999998</v>
      </c>
      <c r="Z81" s="3">
        <f>2744.4+(35.7-297.1)+(2.799288+(0.036414-0.303042))+0-78.9-0.0804780000000126</f>
        <v>2406.5521819999999</v>
      </c>
      <c r="AA81" s="3">
        <f>2841.3+(30.8-351.1)+(-1.449063+(-0.015708--0.179061))+0-82.3--0.0419729999999916</f>
        <v>2437.4562629999996</v>
      </c>
      <c r="AB81" s="3">
        <f>2886.1+(115.6-450.1)+(2.943822+(0.117912-0.459102))+0-75.6-0.077112000000012</f>
        <v>2478.5255200000001</v>
      </c>
      <c r="AC81" s="3">
        <f>2890.5+(144.8-463.8)+(-2.94831+(-0.147696--0.473076))+0-82.8--0.0844560000000132</f>
        <v>2486.1615259999999</v>
      </c>
      <c r="AD81" s="2">
        <v>2396.6999999999998</v>
      </c>
      <c r="AE81" s="3">
        <f>2855+(47.4-375.4)+(0+(0-0))+0-90.3-0</f>
        <v>2436.6999999999998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2913.1+(144.4-553.5)+(-1.485681+(-0.073644--0.282285))+0-61.4--0.0313139999999938</f>
        <v>2441.3542739999998</v>
      </c>
      <c r="G82" s="3">
        <f>2660.7+(144.4-406.4)+(-6.784785+(-0.36822--1.03632))+0-85.8--0.218789999999988</f>
        <v>2307.0021049999996</v>
      </c>
      <c r="H82" s="3">
        <f>2574.1+(143.8-399.7)+(-2.625582+(-0.146676--0.407694))+0-87.7--0.089454000000014</f>
        <v>2228.22489</v>
      </c>
      <c r="I82" s="3">
        <f>2502.7+(142-367.4)+(-2.552754+(-0.14484--0.374748))+0-92.3--0.0941460000000147</f>
        <v>2182.7712999999994</v>
      </c>
      <c r="J82" s="3">
        <f>2346.4+(141-319.4)+(-1.196664+(-0.07191--0.162894))+0-63.5--0.0323849999999936</f>
        <v>2103.4267049999999</v>
      </c>
      <c r="K82" s="3">
        <f>2273.3+(138.4-366.3)+(-5.796915+(-0.35292--0.934065))+0-24--0.0611999999999965</f>
        <v>2016.2454300000002</v>
      </c>
      <c r="L82" s="3">
        <f>2212.4+(125.3-303.8)+(-2.256648+(-0.127806--0.309876))+0-22.9--0.0233580000000037</f>
        <v>2008.9487799999999</v>
      </c>
      <c r="M82" s="3">
        <f>2299.2+(124.1-304.5)+(-5.86296+(-0.316455--0.776475))+0-20.6--0.052529999999997</f>
        <v>2092.8495899999998</v>
      </c>
      <c r="N82" s="3">
        <f>2497.1+(123.4-329.5)+(-1.273521+(-0.062934--0.168045))+0-18.6--0.00948599999999811</f>
        <v>2271.2410759999998</v>
      </c>
      <c r="O82" s="3">
        <f>2768.3+(122-419.9)+(-1.411833+(-0.06222--0.214149))+0-14.5--0.00739499999999853</f>
        <v>2454.6474910000002</v>
      </c>
      <c r="P82" s="3">
        <f>2902.9+(119.2-373.2)+(-2.960958+(-0.121584--0.380664))+0-13.8--0.0140760000000022</f>
        <v>2632.412198</v>
      </c>
      <c r="Q82" s="3">
        <f>2965+(126.6-353)+(0+(0-0))+0-16.4-0</f>
        <v>2722.2</v>
      </c>
      <c r="R82" s="3">
        <f>2962.3+(120.5-308.1)+(-4.532319+(-0.184365--0.471393))+0-16.8--0.025704000000001</f>
        <v>2753.680413</v>
      </c>
      <c r="S82" s="3">
        <f>3092.3+(122.1-416.1)+(-6.308292+(-0.249084--0.848844))+0-17.2--0.0350879999999992</f>
        <v>2775.4265560000003</v>
      </c>
      <c r="T82" s="3">
        <f>3144.3+(127.6-414.1)+(3.207186+(0.130152-0.422382))+0-80.7-0.0823140000000129</f>
        <v>2779.9326420000002</v>
      </c>
      <c r="U82" s="3">
        <f>3128.3+(124.1-434.2)+(-1.595433+(-0.063291--0.221442))+0-35.1--0.0179009999999964</f>
        <v>2781.6806190000007</v>
      </c>
      <c r="V82" s="3">
        <f>3109.4+(120-406.3)+(-4.757382+(-0.1836--0.621639))+0-79--0.120870000000005</f>
        <v>2739.901527</v>
      </c>
      <c r="W82" s="3">
        <f>3104.2+(124.4-459.9)+(0+(0-0))+0-80.4-0</f>
        <v>2688.2999999999997</v>
      </c>
      <c r="X82" s="3">
        <f>3022.3+(131.6-504.3)+(-3.082746+(-0.134232--0.514386))+0-74.1--0.0755820000000118</f>
        <v>2572.8729900000003</v>
      </c>
      <c r="Y82" s="3">
        <f>2983.3+(124.4-473.3)+(0+(0-0))+0-89.3-0</f>
        <v>2545.1</v>
      </c>
      <c r="Z82" s="3">
        <f>3183+(37-418.3)+(1.62333+(0.01887-0.213333))+0-83-0.0423299999999916</f>
        <v>2720.0865370000001</v>
      </c>
      <c r="AA82" s="3">
        <f>3197.1+(25.7-449.7)+(-6.522084+(-0.052428--0.917388))+0-49.5--0.100979999999998</f>
        <v>2718.0438560000002</v>
      </c>
      <c r="AB82" s="3">
        <f>3075.8+(106-429.4)+(-7.84329+(-0.2703--1.09497))+0-77.6--0.197879999999989</f>
        <v>2667.9792600000005</v>
      </c>
      <c r="AC82" s="3">
        <f>2958.3+(144.1-396.5)+(-4.526199+(-0.220473--0.606645))+0-90.5--0.138465000000005</f>
        <v>2611.3984380000002</v>
      </c>
      <c r="AD82" s="2">
        <v>2600</v>
      </c>
      <c r="AE82" s="3">
        <f>3223+(9.8-489.1)+(0+(0-0))+0-23.5-0</f>
        <v>2720.2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2678.3+(142.8-332.1)+(-6.829665+(-0.36414--0.846855))+0-45.7--0.116534999999993</f>
        <v>2437.0695850000002</v>
      </c>
      <c r="G83" s="3">
        <f>2621.9+(141.7-351.2)+(-2.674338+(-0.144534--0.358224))+0-86--0.0877200000000137</f>
        <v>2324.0270719999999</v>
      </c>
      <c r="H83" s="3">
        <f>2585.6+(141.8-398.6)+(1.318656+(0.072318-0.203286))+0-75.8-0.0386579999999923</f>
        <v>2254.1490299999996</v>
      </c>
      <c r="I83" s="3">
        <f>2493.7+(142.9-331.9)+(5.087148+(0.291516-0.677076))+0-80.6-0.164423999999996</f>
        <v>2228.6371639999998</v>
      </c>
      <c r="J83" s="3">
        <f>2372.1+(142.9-330.9)+(-3.629313+(-0.218637--0.506277))+0-38.2--0.0584460000000022</f>
        <v>2142.6167730000002</v>
      </c>
      <c r="K83" s="3">
        <f>2287.4+(141.9-322.2)+(-5.83287+(-0.361845--0.82161))+0-71.8--0.18308999999999</f>
        <v>2030.1099849999998</v>
      </c>
      <c r="L83" s="3">
        <f>2225.7+(141.3-288.8)+(-2.270214+(-0.144126--0.294576))+0-26--0.0265200000000041</f>
        <v>2050.1067559999997</v>
      </c>
      <c r="M83" s="3">
        <f>2464.4+(140.5-341.7)+(0+(0-0))+0-22.6-0</f>
        <v>2240.6000000000004</v>
      </c>
      <c r="N83" s="3">
        <f>2634.6+(139.8-300.1)+(4.030938+(0.213894-0.459153))+0-22-0.0336600000000013</f>
        <v>2456.0520189999997</v>
      </c>
      <c r="O83" s="3">
        <f>2691.7+(124.4-225.7)+(0+(0-0))+0-22.1-0</f>
        <v>2568.2999999999997</v>
      </c>
      <c r="P83" s="3">
        <f>2880.6+(109.4-301.1)+(1.469106+(0.055794-0.153561))+0-21.9-0.0111689999999978</f>
        <v>2668.3601699999999</v>
      </c>
      <c r="Q83" s="3">
        <f>3010.9+(105.3-341)+(-3.071118+(-0.107406--0.34782))+0-21.1--0.0215220000000034</f>
        <v>2751.2908180000004</v>
      </c>
      <c r="R83" s="3">
        <f>3029.7+(118.4-289.7)+(-1.545147+(-0.060384--0.147747))+0-48.2--0.0245819999999951</f>
        <v>2808.7667979999997</v>
      </c>
      <c r="S83" s="3">
        <f>3000.3+(115.7-264.9)+(-4.590459+(-0.177021--0.405297))+0-89.2--0.136476000000005</f>
        <v>2757.6742930000005</v>
      </c>
      <c r="T83" s="3">
        <f>3012.8+(118-287.6)+(-4.609584+(-0.18054--0.440028))+0-86.8--0.132804000000005</f>
        <v>2752.1827079999998</v>
      </c>
      <c r="U83" s="3">
        <f>2997.9+(113-289)+(-7.644645+(-0.28815--0.73695))+0-92.9--0.236894999999987</f>
        <v>2722.0410499999998</v>
      </c>
      <c r="V83" s="3">
        <f>2834+(115.3-280.5)+(-1.44534+(-0.058803--0.143055))+0-52.8--0.0269279999999946</f>
        <v>2614.6658399999997</v>
      </c>
      <c r="W83" s="3">
        <f>2745.3+(120.6-259.2)+(-5.600412+(-0.246024--0.528768))+0-89.6--0.182783999999996</f>
        <v>2511.9651160000003</v>
      </c>
      <c r="X83" s="3">
        <f>2631.6+(124.2-261.6)+(-6.71058+(-0.31671--0.66708))+0-88.4--0.225419999999987</f>
        <v>2399.6652100000001</v>
      </c>
      <c r="Y83" s="3">
        <f>2661.2+(110.3-304.6)+(-4.071636+(-0.168759--0.466038))+0-86.4--0.132192000000005</f>
        <v>2376.8578349999998</v>
      </c>
      <c r="Z83" s="3">
        <f>2826.3+(86.2-250.5)+(0+(0-0))+0-78.4-0</f>
        <v>2583.6</v>
      </c>
      <c r="AA83" s="3">
        <f>2820.1+(100-203.6)+(-4.314753+(-0.153--0.311508))+0-80.7--0.123471000000005</f>
        <v>2631.7672259999999</v>
      </c>
      <c r="AB83" s="3">
        <f>2802.5+(136-260.6)+(-8.57565+(-0.41616--0.797436))+0-82.6--0.25275600000001</f>
        <v>2587.3583819999999</v>
      </c>
      <c r="AC83" s="3">
        <f>2837.7+(141.2-357.4)+(0+(0-0))+0-72-0</f>
        <v>2549.5</v>
      </c>
      <c r="AD83" s="2">
        <v>2549.7000000000003</v>
      </c>
      <c r="AE83" s="3">
        <f>2817+(121.8-208.3)+(0+(0-0))+0-105.5-0</f>
        <v>2625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2453.3+(141.9-185.8)+(-2.502366+(-0.144738--0.189516))+0-78.1--0.0796620000000124</f>
        <v>2328.9220740000001</v>
      </c>
      <c r="G84" s="3">
        <f>2275.8+(211.6-162.7)+(0+(0-0))+0-84.6-0</f>
        <v>2240.1000000000004</v>
      </c>
      <c r="H84" s="3">
        <f>2255+(178.4-156.9)+(-1.15005+(-0.090984--0.080019))+0-80.8--0.0412079999999918</f>
        <v>2194.5801929999998</v>
      </c>
      <c r="I84" s="3">
        <f>2232.9+(150-155.9)+(-3.416337+(-0.2295--0.238527))+0-88.9--0.136017000000005</f>
        <v>2134.8287069999997</v>
      </c>
      <c r="J84" s="3">
        <f>2224.4+(142.5-186.3)+(-5.67222+(-0.363375--0.475065))+0-72.8--0.185639999999989</f>
        <v>2102.4251099999997</v>
      </c>
      <c r="K84" s="3">
        <f>2229.9+(142.6-245.3)+(-5.686245+(-0.36363--0.625515))+0-82.1--0.209354999999988</f>
        <v>2039.8849950000003</v>
      </c>
      <c r="L84" s="3">
        <f>2259+(142.1-248)+(-2.30418+(-0.144942--0.25296))+0-72.6--0.0740520000000116</f>
        <v>2078.3778899999998</v>
      </c>
      <c r="M84" s="3">
        <f>2317.7+(141.6-205.4)+(3.546081+(0.216648-0.314262))+0-96.2-0.147186000000006</f>
        <v>2161.0012809999998</v>
      </c>
      <c r="N84" s="3">
        <f>2481.4+(139.9-213.9)+(-1.265514+(-0.071349--0.109089))+0-75--0.0382499999999924</f>
        <v>2331.2104760000002</v>
      </c>
      <c r="O84" s="3">
        <f>2675+(142.3-253.6)+(-2.7285+(-0.145146--0.258672))+0-89.1--0.0908820000000142</f>
        <v>2472.0759079999998</v>
      </c>
      <c r="P84" s="3">
        <f>2760.5+(141.5-225.7)+(-2.81571+(-0.14433--0.230214))+0-92.1--0.0939420000000147</f>
        <v>2581.5641160000005</v>
      </c>
      <c r="Q84" s="3">
        <f>2826.7+(141.5-263.7)+(2.883234+(0.14433-0.268974))+0-67.5-0.0688500000000108</f>
        <v>2639.6897399999998</v>
      </c>
      <c r="R84" s="3">
        <f>2809+(141.7-231.4)+(0+(0-0))+0-78.4-0</f>
        <v>2640.9</v>
      </c>
      <c r="S84" s="3">
        <f>2798.5+(124-251.4)+(-1.427235+(-0.06324--0.128214))+0-77.9--0.0397289999999921</f>
        <v>2591.8774679999997</v>
      </c>
      <c r="T84" s="3">
        <f>2778.6+(119.3-282.9)+(1.417086+(0.060843-0.144279))+0-61.4-0.0313139999999938</f>
        <v>2554.9023360000001</v>
      </c>
      <c r="U84" s="3">
        <f>2776.1+(115.3-321.4)+(2.831622+(0.117606-0.327828))+0-23.7-0.0241740000000038</f>
        <v>2548.897226</v>
      </c>
      <c r="V84" s="3">
        <f>2783+(122.2-347.7)+(-4.25799+(-0.186966--0.531981))+0-25.4--0.0388620000000015</f>
        <v>2528.2258869999996</v>
      </c>
      <c r="W84" s="3">
        <f>2813.2+(115.1-362.6)+(-8.608392+(-0.352206--1.109556))+0-54.1--0.165546000000006</f>
        <v>2503.9145040000003</v>
      </c>
      <c r="X84" s="3">
        <f>2731.2+(113.5-325.9)+(-2.785824+(-0.11577--0.332418))+0-85--0.0867000000000136</f>
        <v>2431.3175239999996</v>
      </c>
      <c r="Y84" s="3">
        <f>2611.6+(108.5-233.6)+(-7.991496+(-0.33201--0.714816))+0-96.2--0.294372000000011</f>
        <v>2382.985682</v>
      </c>
      <c r="Z84" s="3">
        <f>2824.6+(74.4-244.6)+(2.881092+(0.075888-0.249492))+0-31.4-0.032028000000005</f>
        <v>2625.6754599999999</v>
      </c>
      <c r="AA84" s="3">
        <f>2979.9+(92.3-324.8)+(-4.559247+(-0.141219--0.496944))+0-57.8--0.0884340000000033</f>
        <v>2685.4849119999999</v>
      </c>
      <c r="AB84" s="3">
        <f>2912.6+(141-356.2)+(-1.485426+(-0.07191--0.181662))+0-58--0.0295799999999941</f>
        <v>2638.0539060000001</v>
      </c>
      <c r="AC84" s="3">
        <f>2745.1+(142.1-319.5)+(-4.200003+(-0.217413--0.488835))+0-25.3--0.0387090000000015</f>
        <v>2538.5101279999994</v>
      </c>
      <c r="AD84" s="2">
        <v>2558.5999999999995</v>
      </c>
      <c r="AE84" s="3">
        <f>3001+(78.7-340.6)+(0+(0-0))+0-19.8-0</f>
        <v>2719.2999999999997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2437.1+(140.8-227)+(-4.971684+(-0.287232--0.46308))+0-25--0.0509999999999989</f>
        <v>2321.1551640000002</v>
      </c>
      <c r="G85" s="3">
        <f>2396.5+(141-250.7)+(-2.44443+(-0.14382--0.255714))+0-74.9--0.0763980000000119</f>
        <v>2209.6438620000004</v>
      </c>
      <c r="H85" s="3">
        <f>2289.2+(141.5-245)+(-1.167492+(-0.072165--0.12495))+0-73.3--0.0373829999999926</f>
        <v>2111.3226759999993</v>
      </c>
      <c r="I85" s="3">
        <f>2272.6+(141.9-231.8)+(-3.477078+(-0.217107--0.354654))+0-83.4--0.127602000000005</f>
        <v>2096.0880709999997</v>
      </c>
      <c r="J85" s="3">
        <f>2279+(142.1-244.7)+(-3.48687+(-0.217413--0.374391))+0-82.9--0.126837000000005</f>
        <v>2090.2969449999996</v>
      </c>
      <c r="K85" s="3">
        <f>2232.6+(141.5-280.7)+(-4.554504+(-0.28866--0.572628))+0-85.5--0.174419999999996</f>
        <v>2003.8038840000002</v>
      </c>
      <c r="L85" s="3">
        <f>2097.5+(110.4-205.9)+(0+(0-0))+0-84.2-0</f>
        <v>1917.8</v>
      </c>
      <c r="M85" s="3">
        <f>2301.1+(92.7-249.5)+(-3.520683+(-0.141831--0.381735))+0-58.4--0.0893520000000034</f>
        <v>2082.7085729999994</v>
      </c>
      <c r="N85" s="3">
        <f>2513+(95-247.3)+(0+(0-0))+0-73-0</f>
        <v>2287.6999999999998</v>
      </c>
      <c r="O85" s="3">
        <f>2819.4+(67.4-383.4)+(2.875788+(0.068748-0.391068))+0-19-0.019380000000003</f>
        <v>2486.934088</v>
      </c>
      <c r="P85" s="3">
        <f>2843.2+(43.1-353.5)+(4.350096+(0.065943-0.540855))+0-20.1-0.0307530000000012</f>
        <v>2516.5444309999998</v>
      </c>
      <c r="Q85" s="3">
        <f>2815.9+(50.9-333.9)+(2.872218+(0.051918-0.340578))+0-19.8-0.0201960000000032</f>
        <v>2515.6633619999998</v>
      </c>
      <c r="R85" s="3">
        <f>2823.4+(94.6-318)+(5.759736+(0.192984-0.64872))+0-40.8-0.0832319999999982</f>
        <v>2564.420768</v>
      </c>
      <c r="S85" s="3">
        <f>2795.1+(72.2-264.4)+(1.425501+(0.036822-0.134844))+0-77.3-0.0394229999999922</f>
        <v>2526.8880559999998</v>
      </c>
      <c r="T85" s="3">
        <f>2874.4+(82.7-336.9)+(-1.465944+(-0.042177--0.171819))+0-79.5--0.0405449999999919</f>
        <v>2539.404243</v>
      </c>
      <c r="U85" s="3">
        <f>3018.1+(70.9-401.8)+(0+(0-0))+0-78.6-0</f>
        <v>2608.6</v>
      </c>
      <c r="V85" s="3">
        <f>3012.9+(58.8-408.2)+(0+(0-0))+0-85.9-0</f>
        <v>2577.6</v>
      </c>
      <c r="W85" s="3">
        <f>3004.5+(90.5-431.1)+(-1.532295+(-0.046155--0.219861))+0-78--0.0397799999999921</f>
        <v>2584.5811910000002</v>
      </c>
      <c r="X85" s="3">
        <f>2938.9+(106.6-439.1)+(-1.498839+(-0.054366--0.223941))+0-86.2--0.0439619999999913</f>
        <v>2518.9146980000005</v>
      </c>
      <c r="Y85" s="3">
        <f>2515.3+(99.5-216.7)+(-6.414015+(-0.253725--0.552585))+0-88.6--0.225929999999987</f>
        <v>2303.6107750000006</v>
      </c>
      <c r="Z85" s="3">
        <f>3040+(39.5-263.3)+(3.1008+(0.04029-0.268566))+0-88.2-0.0899640000000141</f>
        <v>2730.7825599999996</v>
      </c>
      <c r="AA85" s="3">
        <f>3253.3+(34.8-328.8)+(-6.636732+(-0.070992--0.670752))+0-87.4--0.178295999999996</f>
        <v>2866.0413240000003</v>
      </c>
      <c r="AB85" s="3">
        <f>3243+(114.8-363.3)+(-4.96179+(-0.175644--0.555849))+0-83.8--0.128214000000005</f>
        <v>2906.2466289999998</v>
      </c>
      <c r="AC85" s="3">
        <f>3097.1+(151.8-349.2)+(-1.579521+(-0.077418--0.178092))+0-41.5--0.0211649999999958</f>
        <v>2856.7423180000001</v>
      </c>
      <c r="AD85" s="2">
        <v>2720.6</v>
      </c>
      <c r="AE85" s="3">
        <f>3287+(20.9-317.7)+(0+(0-0))+0-94.3-0</f>
        <v>2895.8999999999996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2712.4+(152.1-256.8)+(0+(0-0))+0-33.7-0</f>
        <v>2574.0000000000005</v>
      </c>
      <c r="G86" s="3">
        <f>2581.4+(151.2-259)+(-5.266056+(-0.308448--0.52836))+0-83--0.169319999999996</f>
        <v>2385.723176</v>
      </c>
      <c r="H86" s="3">
        <f>2419.1+(143.8-243.9)+(-2.467482+(-0.146676--0.248778))+0-96.4--0.0983280000000154</f>
        <v>2220.3329479999998</v>
      </c>
      <c r="I86" s="3">
        <f>2382.1+(143.5-319)+(3.644613+(0.219555-0.48807))+0-81.2-0.124236000000005</f>
        <v>2128.6518620000002</v>
      </c>
      <c r="J86" s="3">
        <f>2347.6+(142.2-314.3)+(-1.197276+(-0.072522--0.160293))+0-84.9--0.0432989999999914</f>
        <v>2089.5337939999999</v>
      </c>
      <c r="K86" s="3">
        <f>2192.5+(142.5-275.5)+(-5.590875+(-0.363375--0.702525))+0-89.4--0.227969999999987</f>
        <v>1965.0762449999997</v>
      </c>
      <c r="L86" s="3">
        <f>2111.1+(140.1-208.9)+(-2.153322+(-0.142902--0.213078))+0-90--0.0918000000000144</f>
        <v>1950.3086539999999</v>
      </c>
      <c r="M86" s="3">
        <f>2346.9+(140.1-263.4)+(3.590757+(0.214353-0.403002))+0-77.8-0.119034000000004</f>
        <v>2149.0830740000001</v>
      </c>
      <c r="N86" s="3">
        <f>2630.7+(138.5-326.2)+(-1.341657+(-0.070635--0.166362))+0-65.3--0.0333029999999934</f>
        <v>2376.4873729999999</v>
      </c>
      <c r="O86" s="3">
        <f>2985.6+(127.8-466.1)+(4.567968+(0.195534-0.713133))+0-77.9-0.119187000000005</f>
        <v>2573.3311819999999</v>
      </c>
      <c r="P86" s="3">
        <f>3128+(95.6-528)+(1.59528+(0.048756-0.26928))+0-85.2-0.0434519999999914</f>
        <v>2611.7313040000004</v>
      </c>
      <c r="Q86" s="3">
        <f>3214.7+(66.2-522.5)+(0+(0-0))+0-75.8-0</f>
        <v>2682.5999999999995</v>
      </c>
      <c r="R86" s="3">
        <f>3225.6+(56.2-519.7)+(0+(0-0))+0-70.5-0</f>
        <v>2691.6</v>
      </c>
      <c r="S86" s="3">
        <f>3202.6+(48.2-519.6)+(-3.266652+(-0.049164--0.529992))+0-82.8--0.0844560000000132</f>
        <v>2645.6986319999996</v>
      </c>
      <c r="T86" s="3">
        <f>3204.1+(43.5-562.8)+(-1.634091+(-0.022185--0.287028))+0-77.4--0.0394739999999922</f>
        <v>2606.0702260000003</v>
      </c>
      <c r="U86" s="3">
        <f>3209.3+(33.9-548.2)+(-1.636743+(-0.017289--0.279582))+0-83.4--0.0425339999999915</f>
        <v>2610.2680840000003</v>
      </c>
      <c r="V86" s="3">
        <f>3190.4+(26.6-562.4)+(-6.508416+(-0.054264--1.147296))+0-41.8--0.0852719999999982</f>
        <v>2607.4698880000001</v>
      </c>
      <c r="W86" s="3">
        <f>3193.8+(38.7-571.6)+(-3.257676+(-0.039474--0.583032))+0-46.7--0.0476340000000074</f>
        <v>2611.5335160000004</v>
      </c>
      <c r="X86" s="3">
        <f>3063+(66.1-527.1)+(-4.68639+(-0.101133--0.806463))+0-47.1--0.0720630000000027</f>
        <v>2550.9910030000001</v>
      </c>
      <c r="Y86" s="3">
        <f>2841.3+(58.2-334.5)+(-2.898126+(-0.059364--0.34119))+0-82.8--0.0844560000000132</f>
        <v>2479.6681559999997</v>
      </c>
      <c r="Z86" s="3">
        <f>3250.5+(7.9-442.5)+(1.657755+(0.004029-0.225675))+0-50.6-0.0258059999999949</f>
        <v>2766.7103030000003</v>
      </c>
      <c r="AA86" s="3">
        <f>3270.8+(2.1-465.2)+(-6.672432+(-0.004284--0.949008))+0-80.9--0.165035999999996</f>
        <v>2721.2373280000002</v>
      </c>
      <c r="AB86" s="3">
        <f>3164.8+(78.5-454.6)+(0+(0-0))+0-84-0</f>
        <v>2704.7000000000003</v>
      </c>
      <c r="AC86" s="3">
        <f>2809.6+(138.9-277.4)+(-1.432896+(-0.070839--0.141474))+0-80.1--0.0408509999999919</f>
        <v>2589.67859</v>
      </c>
      <c r="AD86" s="2">
        <v>2725.8999999999996</v>
      </c>
      <c r="AE86" s="3">
        <f>3289+(2.7-458.2)+(0+(0-0))+0-85.3-0</f>
        <v>2748.2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2709.2+(137.7-310.7)+(-5.526768+(-0.280908--0.633828))+0-48.1--0.0981239999999979</f>
        <v>2483.0242760000001</v>
      </c>
      <c r="G87" s="3">
        <f>2556+(138.1-303.1)+(0+(0-0))+0-68.6-0</f>
        <v>2322.4</v>
      </c>
      <c r="H87" s="3">
        <f>2424.8+(138-279.4)+(2.473296+(0.14076-0.284988))+0-81.3-0.082926000000013</f>
        <v>2204.3461419999999</v>
      </c>
      <c r="I87" s="3">
        <f>2365.6+(139.6-268.9)+(0+(0-0))+0-80.7-0</f>
        <v>2155.6</v>
      </c>
      <c r="J87" s="3">
        <f>2287.4+(139.5-268.3)+(2.333148+(0.14229-0.273666))+0-75.1-0.076602000000012</f>
        <v>2085.6251699999998</v>
      </c>
      <c r="K87" s="3">
        <f>2162.6+(137.8-263.4)+(-5.51463+(-0.35139--0.67167))+0-58.8--0.149939999999991</f>
        <v>1973.1555900000001</v>
      </c>
      <c r="L87" s="3">
        <f>2032.3+(172.9-175.3)+(-3.109419+(-0.264537--0.268209))+0-79.2--0.121176000000005</f>
        <v>1947.7154289999999</v>
      </c>
      <c r="M87" s="3">
        <f>2169.5+(154.2-183.6)+(3.319335+(0.235926-0.280908))+0-78.7-0.120411000000005</f>
        <v>2064.553942</v>
      </c>
      <c r="N87" s="3">
        <f>2401.5+(146-187.6)+(1.224765+(0.07446-0.095676))+0-89.1-0.045440999999991</f>
        <v>2271.9581079999998</v>
      </c>
      <c r="O87" s="3">
        <f>2552+(135.3-195.5)+(2.60304+(0.138006-0.19941))+0-79.4-0.0809880000000127</f>
        <v>2414.8606479999999</v>
      </c>
      <c r="P87" s="3">
        <f>2542.4+(204.7-189.3)+(2.593248+(0.208794-0.193086))+0-90.6-0.0924120000000144</f>
        <v>2469.7165440000003</v>
      </c>
      <c r="Q87" s="3">
        <f>2526.8+(228-191.8)+(-3.866004+(-0.34884--0.293454))+0-78--0.119340000000005</f>
        <v>2481.1979500000002</v>
      </c>
      <c r="R87" s="3">
        <f>2532.6+(256.5-199.7)+(0+(0-0))+0-84-0</f>
        <v>2505.4</v>
      </c>
      <c r="S87" s="3">
        <f>2516.2+(249-198.1)+(-7.699572+(-0.76194--0.606186))+0-86.9--0.26591400000001</f>
        <v>2472.610588</v>
      </c>
      <c r="T87" s="3">
        <f>2536.1+(214.2-202.1)+(-2.586822+(-0.218484--0.206142))+0-85.2--0.0869040000000136</f>
        <v>2460.48774</v>
      </c>
      <c r="U87" s="3">
        <f>2575.3+(173.4-198.8)+(-2.626806+(-0.176868--0.202776))+0-55.5--0.0566100000000088</f>
        <v>2491.855712</v>
      </c>
      <c r="V87" s="3">
        <f>2625.4+(145.8-198.5)+(-4.016862+(-0.223074--0.303705))+0-85--0.130050000000005</f>
        <v>2483.8938190000003</v>
      </c>
      <c r="W87" s="3">
        <f>2634.5+(132.9-197)+(-1.343595+(-0.067779--0.10047))+0-93.6--0.0477359999999905</f>
        <v>2475.5368320000002</v>
      </c>
      <c r="X87" s="3">
        <f>2562.3+(110.1-227.6)+(-5.227092+(-0.224604--0.464304))+0-79.5--0.162179999999997</f>
        <v>2360.474788</v>
      </c>
      <c r="Y87" s="3">
        <f>2434.2+(156.2-189.7)+(0+(0-0))+0-82-0</f>
        <v>2318.6999999999998</v>
      </c>
      <c r="Z87" s="3">
        <f>2688.6+(144-210.4)+(0+(0-0))+0-87-0</f>
        <v>2535.1999999999998</v>
      </c>
      <c r="AA87" s="3">
        <f>2730.3+(108.5-213.3)+(-4.177359+(-0.166005--0.326349))+0-81.3--0.124389000000005</f>
        <v>2540.307374</v>
      </c>
      <c r="AB87" s="3">
        <f>2731.5+(132.7-267.5)+(-5.57226+(-0.270708--0.5457))+0-83.3--0.169931999999996</f>
        <v>2508.2726639999996</v>
      </c>
      <c r="AC87" s="3">
        <f>2777.1+(140.5-342.3)+(-1.416321+(-0.071655--0.174573))+0-89.1--0.045440999999991</f>
        <v>2484.9320379999999</v>
      </c>
      <c r="AD87" s="2">
        <v>2469.7000000000003</v>
      </c>
      <c r="AE87" s="3">
        <f>2739+(111.8-229.1)+(0+(0-0))+0-93-0</f>
        <v>2528.6999999999998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2778.8+(140.1-408.2)+(-2.834376+(-0.142902--0.416364))+0-72--0.0734400000000115</f>
        <v>2436.2125260000003</v>
      </c>
      <c r="G88" s="3">
        <f>2662.4+(141.8-379.9)+(-8.146944+(-0.433908--1.162494))+0-80.7--0.246942000000009</f>
        <v>2336.4285840000007</v>
      </c>
      <c r="H88" s="3">
        <f>2643.4+(142.5-402.5)+(-5.392536+(-0.2907--0.8211))+0-85.6--0.174623999999996</f>
        <v>2293.1124880000002</v>
      </c>
      <c r="I88" s="3">
        <f>2441.5+(141.3-368.7)+(-6.225825+(-0.360315--0.940185))+0-80.2--0.204509999999988</f>
        <v>2128.4585550000002</v>
      </c>
      <c r="J88" s="3">
        <f>2386.2+(141.6-388.1)+(0+(0-0))+0-94.4-0</f>
        <v>2045.2999999999997</v>
      </c>
      <c r="K88" s="3">
        <f>2374.4+(127.5-411.2)+(-3.632832+(-0.195075--0.629136))+0-96.9--0.148257000000006</f>
        <v>1990.7494860000004</v>
      </c>
      <c r="L88" s="3">
        <f>2233.7+(103.5-288.9)+(1.139187+(0.052785-0.147339))+0-71.3-0.0363629999999928</f>
        <v>1978.0082699999998</v>
      </c>
      <c r="M88" s="3">
        <f>2206.3+(86.9-268.8)+(1.125213+(0.044319-0.137088))+0-61.7-0.0314669999999937</f>
        <v>1963.700977</v>
      </c>
      <c r="N88" s="3">
        <f>2387.2+(76.8-300.6)+(0+(0-0))+0-85.7-0</f>
        <v>2077.6999999999998</v>
      </c>
      <c r="O88" s="3">
        <f>2654.7+(44.8-358.1)+(1.353897+(0.022848-0.182631))+0-87.9-0.0448289999999911</f>
        <v>2254.6492849999995</v>
      </c>
      <c r="P88" s="3">
        <f>2638.1+(41.7-310.2)+(1.345431+(0.021267-0.158202))+0-93.5-0.0476849999999905</f>
        <v>2277.2608110000001</v>
      </c>
      <c r="Q88" s="3">
        <f>2620.1+(38.8-280.7)+(4.008753+(0.059364-0.429471))+0-87.8-0.134334000000005</f>
        <v>2293.9043119999997</v>
      </c>
      <c r="R88" s="3">
        <f>2607.4+(41.5-272.7)+(7.978644+(0.12699-0.834462))+0-74-0.226440000000009</f>
        <v>2309.2447320000006</v>
      </c>
      <c r="S88" s="3">
        <f>2580.9+(41.3-239)+(2.632518+(0.042126-0.24378))+0-85.4-0.0871080000000136</f>
        <v>2300.1437559999999</v>
      </c>
      <c r="T88" s="3">
        <f>2587.6+(45.9-283.9)+(3.959028+(0.070227-0.434367))+0-87.4-0.133722000000005</f>
        <v>2265.6611659999999</v>
      </c>
      <c r="U88" s="3">
        <f>2494.4+(50.5-258.8)+(1.272144+(0.025755-0.131988))+0-76.4-0.0389639999999923</f>
        <v>2210.826947</v>
      </c>
      <c r="V88" s="3">
        <f>2485.4+(69.3-277.8)+(1.267554+(0.035343-0.141678))+0-89-0.045389999999991</f>
        <v>2189.0158290000004</v>
      </c>
      <c r="W88" s="3">
        <f>2460.9+(106.3-323.8)+(0+(0-0))+0-82-0</f>
        <v>2161.4</v>
      </c>
      <c r="X88" s="3">
        <f>2451.8+(112-345.2)+(-2.500836+(-0.11424--0.352104))+0-90.3--0.0921060000000144</f>
        <v>2126.1291340000002</v>
      </c>
      <c r="Y88" s="3">
        <f>2476.5+(88.6-319.2)+(0+(0-0))+0-82.9-0</f>
        <v>2163</v>
      </c>
      <c r="Z88" s="3">
        <f>2798.1+(31.4-302.9)+(4.281093+(0.048042-0.463437))+0-82.5-0.126225000000005</f>
        <v>2447.839473</v>
      </c>
      <c r="AA88" s="3">
        <f>2892.1+(34.6-352.2)+(5.899884+(0.070584-0.718488))+0-92.3-0.188291999999996</f>
        <v>2487.263688</v>
      </c>
      <c r="AB88" s="3">
        <f>2875.7+(112.1-408.8)+(-1.466607+(-0.057171--0.208488))+0-89.9--0.0458489999999909</f>
        <v>2487.830559</v>
      </c>
      <c r="AC88" s="3">
        <f>2862.3+(141.5-443)+(1.459773+(0.072165-0.22593))+0-61.9-0.0315689999999937</f>
        <v>2500.1744389999999</v>
      </c>
      <c r="AD88" s="2">
        <v>2388.8000000000002</v>
      </c>
      <c r="AE88" s="3">
        <f>2895+(49.3-372.5)+(0+(0-0))+0-105.5-0</f>
        <v>2466.3000000000002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2607.4+(140.9-312.6)+(-2.659548+(-0.143718--0.318852))+0-92.7--0.0945540000000148</f>
        <v>2340.6101400000002</v>
      </c>
      <c r="G89" s="3">
        <f>2275.6+(141.2-180.8)+(-6.963336+(-0.432072--0.553248))+0-95.6--0.292536000000011</f>
        <v>2133.8503759999999</v>
      </c>
      <c r="H89" s="3">
        <f>2312.7+(141.4-214.7)+(-2.358954+(-0.144228--0.218994))+0-33.6--0.0342720000000054</f>
        <v>2203.5500839999995</v>
      </c>
      <c r="I89" s="3">
        <f>2340.6+(143-228)+(2.387412+(0.14586-0.23256))+0-88.3-0.0900660000000141</f>
        <v>2169.5106459999997</v>
      </c>
      <c r="J89" s="3">
        <f>2358.7+(142.4-249.5)+(4.811748+(0.290496-0.50898))+0-92.4-0.188495999999996</f>
        <v>2163.6047679999997</v>
      </c>
      <c r="K89" s="3">
        <f>2292.6+(142.1-273.5)+(-2.338452+(-0.144942--0.27897))+0-67.3--0.0686460000000107</f>
        <v>2091.7642219999998</v>
      </c>
      <c r="L89" s="3">
        <f>2184.5+(141.7-236)+(5.570475+(0.361335-0.6018))+0-78.8-0.200939999999989</f>
        <v>2016.52907</v>
      </c>
      <c r="M89" s="3">
        <f>2375+(142.9-257.6)+(3.63375+(0.218637-0.394128))+0-83.7-0.128061000000005</f>
        <v>2179.9301980000005</v>
      </c>
      <c r="N89" s="3">
        <f>2620.1+(123.3-338.7)+(6.681255+(0.314415-0.863685))+0-75.3-0.192014999999989</f>
        <v>2335.3399699999995</v>
      </c>
      <c r="O89" s="3">
        <f>2905.4+(84.5-357.8)+(7.40877+(0.215475-0.91239))+0-88.2-0.224909999999987</f>
        <v>2550.3869450000002</v>
      </c>
      <c r="P89" s="3">
        <f>3082.4+(57.6-377.8)+(3.144048+(0.058752-0.385356))+0-83.1-0.0847620000000132</f>
        <v>2681.8326820000002</v>
      </c>
      <c r="Q89" s="3">
        <f>3266.9+(9.2-458.2)+(8.330595+(0.02346-1.16841))+0-89-0.226949999999987</f>
        <v>2735.8586950000004</v>
      </c>
      <c r="R89" s="3">
        <f>3319+(29.5-483.7)+(3.38538+(0.03009-0.493374))+0-85.5-0.0872100000000136</f>
        <v>2782.1348859999998</v>
      </c>
      <c r="S89" s="3">
        <f>3289.4+(20.7-495.4)+(-1.677594+(-0.010557--0.252654))+0-69.6--0.0354959999999929</f>
        <v>2743.6999990000004</v>
      </c>
      <c r="T89" s="3">
        <f>3307.8+(33.7-518.8)+(1.686978+(0.017187-0.264588))+0-84.6-0.0431459999999914</f>
        <v>2739.4964310000005</v>
      </c>
      <c r="U89" s="3">
        <f>3274+(56.7-540.5)+(0+(0-0))+0-65.8-0</f>
        <v>2724.3999999999996</v>
      </c>
      <c r="V89" s="3">
        <f>3276.2+(74.2-547.3)+(-1.670862+(-0.037842--0.279123))+0-86.8--0.0442679999999912</f>
        <v>2714.914687</v>
      </c>
      <c r="W89" s="3">
        <f>3264.5+(72.6-554.4)+(-9.98937+(-0.222156--1.696464))+0-83.4--0.25520400000001</f>
        <v>2691.0401419999998</v>
      </c>
      <c r="X89" s="3">
        <f>3232.1+(93.5-591.8)+(-6.593484+(-0.19074--1.207272))+0-87.3--0.178091999999996</f>
        <v>2641.1011400000002</v>
      </c>
      <c r="Y89" s="3">
        <f>3013.2+(101.3-530.5)+(-7.68366+(-0.258315--1.352775))+0-65--0.165749999999991</f>
        <v>2512.5765500000002</v>
      </c>
      <c r="Z89" s="3">
        <f>3171.2+(15.8-394)+(0+(0-0))+0-97.6-0</f>
        <v>2695.4</v>
      </c>
      <c r="AA89" s="3">
        <f>3312.8+(15.6-459.2)+(-5.068584+(-0.023868--0.702576))+0-88--0.134640000000005</f>
        <v>2776.9447640000003</v>
      </c>
      <c r="AB89" s="3">
        <f>3339.1+(86.7-555.4)+(0+(0-0))+0-84.2-0</f>
        <v>2786.2000000000003</v>
      </c>
      <c r="AC89" s="3">
        <f>3326.2+(142.4-588.7)+(-6.785448+(-0.290496--1.200948))+0-96.3--0.196451999999996</f>
        <v>2777.9214559999996</v>
      </c>
      <c r="AD89" s="2">
        <v>2634.7</v>
      </c>
      <c r="AE89" s="3">
        <f>3347+(16.2-471.1)+(0+(0-0))+0-107.4-0</f>
        <v>2784.7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3047.2+(141.3-533.3)+(-6.216288+(-0.288252--1.087932))+0-72.4--0.147695999999997</f>
        <v>2577.5310879999997</v>
      </c>
      <c r="G90" s="3">
        <f>2934.2+(142.3-567.1)+(-1.496442+(-0.072573--0.289221))+0-86.3--0.0440129999999912</f>
        <v>2421.8642189999996</v>
      </c>
      <c r="H90" s="3">
        <f>2817.3+(141.2-526.5)+(-4.310469+(-0.216036--0.805545))+0-80.5--0.123165000000005</f>
        <v>2347.9022049999999</v>
      </c>
      <c r="I90" s="3">
        <f>2701.8+(141.5-471.6)+(-6.88959+(-0.360825--1.20258))+0-75.9--0.193544999999989</f>
        <v>2289.9457100000004</v>
      </c>
      <c r="J90" s="3">
        <f>2509.5+(142.6-375.1)+(-1.279845+(-0.072726--0.191301))+0-78.4--0.039983999999992</f>
        <v>2197.4787139999999</v>
      </c>
      <c r="K90" s="3">
        <f>2445.7+(142.8-378.8)+(-6.236535+(-0.36414--0.96594))+0-89.4--0.227969999999987</f>
        <v>2114.8932349999995</v>
      </c>
      <c r="L90" s="3">
        <f>2439.5+(141.4-361.7)+(1.244145+(0.072114-0.184467))+0-85.2-0.0434519999999914</f>
        <v>2135.0883400000002</v>
      </c>
      <c r="M90" s="3">
        <f>2662.9+(140.2-444.5)+(4.074237+(0.214506-0.680085))+0-88.6-0.135558000000005</f>
        <v>2273.4731000000002</v>
      </c>
      <c r="N90" s="3">
        <f>2824.9+(138.8-426.5)+(4.322097+(0.212364-0.652545))+0-57.7-0.0882810000000033</f>
        <v>2483.2936350000004</v>
      </c>
      <c r="O90" s="3">
        <f>2877+(118.5-349)+(-1.46727+(-0.060435--0.17799))+0-76.6--0.0390659999999922</f>
        <v>2568.5893510000001</v>
      </c>
      <c r="P90" s="3">
        <f>3158.1+(113.8-456.7)+(0+(0-0))+0-87.2-0</f>
        <v>2728</v>
      </c>
      <c r="Q90" s="3">
        <f>3279.2+(118.2-500.8)+(0+(0-0))+0-60.4-0</f>
        <v>2836.2</v>
      </c>
      <c r="R90" s="3">
        <f>3257.2+(115.1-445.3)+(3.322344+(0.117402-0.454206))+0-85.5-0.0872100000000136</f>
        <v>2844.39833</v>
      </c>
      <c r="S90" s="3">
        <f>3228.9+(108.9-448.5)+(-4.940217+(-0.166617--0.686205))+0-84.1--0.128673000000005</f>
        <v>2800.9080440000002</v>
      </c>
      <c r="T90" s="3">
        <f>3211.2+(95.2-462.2)+(-4.913136+(-0.145656--0.707166))+0-79.7--0.121941000000005</f>
        <v>2760.2703149999998</v>
      </c>
      <c r="U90" s="3">
        <f>3158.2+(89-451.4)+(-3.221364+(-0.09078--0.460428))+0-67.1--0.0684420000000107</f>
        <v>2725.9167259999999</v>
      </c>
      <c r="V90" s="3">
        <f>3130+(64.6-431.3)+(1.5963+(0.032946-0.219963))+0-67.2-0.0342719999999932</f>
        <v>2697.4750110000004</v>
      </c>
      <c r="W90" s="3">
        <f>3116.4+(75.3-414.4)+(-4.768092+(-0.115209--0.634032))+0-63--0.0963900000000036</f>
        <v>2710.1471210000004</v>
      </c>
      <c r="X90" s="3">
        <f>3124.9+(104.5-476.5)+(-1.593699+(-0.053295--0.243015))+0-80.8--0.0412079999999918</f>
        <v>2670.7372289999998</v>
      </c>
      <c r="Y90" s="3">
        <f>3023.3+(91.3-498.8)+(-1.541883+(-0.046563--0.254388))+0-75.5--0.0385049999999923</f>
        <v>2539.0044470000003</v>
      </c>
      <c r="Z90" s="3">
        <f>3294.2+(16.2-487)+(-1.680042+(-0.008262--0.24837))+0-86.3--0.0440129999999912</f>
        <v>2735.7040789999996</v>
      </c>
      <c r="AA90" s="3">
        <f>3383.5+(13.3-542)+(-12.079095+(-0.047481--1.93494))+0-86.2--0.307734000000001</f>
        <v>2758.7160980000003</v>
      </c>
      <c r="AB90" s="3">
        <f>3330.8+(88.1-611.2)+(-1.698708+(-0.044931--0.311712))+0-79.5--0.0405449999999919</f>
        <v>2726.808618</v>
      </c>
      <c r="AC90" s="3">
        <f>3197.8+(141.7-576.4)+(-1.630878+(-0.072267--0.293964))+0-78.2--0.0398819999999921</f>
        <v>2683.5307010000006</v>
      </c>
      <c r="AD90" s="2">
        <v>2653.8</v>
      </c>
      <c r="AE90" s="3">
        <f>3439+(30-558.4)+(0+(0-0))+0-108.5-0</f>
        <v>2802.1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3146.8+(141.7-632.2)+(0+(0-0))+0-65.8-0</f>
        <v>2590.5</v>
      </c>
      <c r="G91" s="3">
        <f>3004.2+(141.3-619.1)+(-7.66071+(-0.360315--1.578705))+0-72.3--0.18436499999999</f>
        <v>2447.8420449999994</v>
      </c>
      <c r="H91" s="3">
        <f>2769.9+(143.1-539.4)+(-1.412649+(-0.072981--0.275094))+0-74.2--0.0378419999999925</f>
        <v>2298.2273060000007</v>
      </c>
      <c r="I91" s="3">
        <f>2759.8+(106.9-543.3)+(0+(0-0))+0-92.9-0</f>
        <v>2230.5</v>
      </c>
      <c r="J91" s="3">
        <f>2751.5+(0-472.2)+(-2.80653+(0--0.481644))+0-93.6--0.0954720000000149</f>
        <v>2183.4705860000004</v>
      </c>
      <c r="K91" s="3">
        <f>2719.1+(0-504.3)+(-6.933705+(0--1.285965))+0-89--0.226949999999987</f>
        <v>2120.3792099999996</v>
      </c>
      <c r="L91" s="3">
        <f>2502.1+(0-354.2)+(-2.552142+(0--0.361284))+0-80.1--0.0817020000000128</f>
        <v>2065.6908440000002</v>
      </c>
      <c r="M91" s="3">
        <f>2653.9+(0-387.2)+(0+(0-0))+0-83.5-0</f>
        <v>2183.2000000000003</v>
      </c>
      <c r="N91" s="3">
        <f>2943.5+(0-491.8)+(-3.00237+(0--0.501636))+0-82.1--0.0837420000000131</f>
        <v>2367.1830079999995</v>
      </c>
      <c r="O91" s="3">
        <f>2972.7+(0-450.7)+(3.032154+(0-0.459714))+0-86-0.0877200000000137</f>
        <v>2438.4847199999999</v>
      </c>
      <c r="P91" s="3">
        <f>2985.1+(0-410.2)+(1.522401+(0-0.209202))+0-74.3-0.0378929999999925</f>
        <v>2501.8753059999999</v>
      </c>
      <c r="Q91" s="3">
        <f>3095.5+(0-430.1)+(3.15741+(0-0.438702))+0-87.4-0.0891480000000139</f>
        <v>2580.6295599999999</v>
      </c>
      <c r="R91" s="3">
        <f>3104+(0-347.7)+(1.58304+(0-0.177327))+0-73.1-0.0372809999999926</f>
        <v>2684.5684320000005</v>
      </c>
      <c r="S91" s="3">
        <f>3082.4+(0-318.7)+(-3.144048+(0--0.325074))+0-91.1--0.0929220000000145</f>
        <v>2669.8739480000004</v>
      </c>
      <c r="T91" s="3">
        <f>3053+(0-286)+(-4.67109+(0--0.43758))+0-95--0.145350000000006</f>
        <v>2667.9118399999998</v>
      </c>
      <c r="U91" s="3">
        <f>3053+(0-280.1)+(-1.55703+(0--0.142851))+0-87.7--0.0447269999999911</f>
        <v>2683.8305480000004</v>
      </c>
      <c r="V91" s="3">
        <f>3038.9+(0-291.8)+(3.099678+(0-0.297636))+0-71.2-0.0726240000000114</f>
        <v>2678.629418</v>
      </c>
      <c r="W91" s="3">
        <f>2993.3+(22.1-304.5)+(-3.053166+(-0.022542--0.31059))+0-80.3--0.0819060000000128</f>
        <v>2627.916788</v>
      </c>
      <c r="X91" s="3">
        <f>3007.7+(105.1-433.7)+(-6.135708+(-0.214404--0.884748))+0-84.2--0.171767999999996</f>
        <v>2589.6064040000001</v>
      </c>
      <c r="Y91" s="3">
        <f>2895.2+(89.9-399.4)+(-2.953104+(-0.091698--0.407388))+0-84.6--0.0862920000000135</f>
        <v>2498.5488780000001</v>
      </c>
      <c r="Z91" s="3">
        <f>2951.2+(42.9-241.1)+(0+(0-0))+0-86.5-0</f>
        <v>2666.5</v>
      </c>
      <c r="AA91" s="3">
        <f>3023.3+(37.9-275.1)+(-6.167532+(-0.077316--0.561204))+0-49--0.0999599999999979</f>
        <v>2731.5163160000002</v>
      </c>
      <c r="AB91" s="3">
        <f>3019.4+(119.7-337.9)+(-6.159576+(-0.244188--0.689316))+0-84.7--0.172787999999996</f>
        <v>2710.9583400000001</v>
      </c>
      <c r="AC91" s="3">
        <f>3047.6+(139.5-436)+(-1.554276+(-0.071145--0.22236))+0-36.7--0.0187169999999963</f>
        <v>2713.015656</v>
      </c>
      <c r="AD91" s="2">
        <v>2530</v>
      </c>
      <c r="AE91" s="3">
        <f>3048+(78-299)+(0+(0-0))+0-107-0</f>
        <v>2720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3004.1+(138.2-481.2)+(-3.064182+(-0.140964--0.490824))+0-65.4--0.0667080000000104</f>
        <v>2593.0523859999998</v>
      </c>
      <c r="G92" s="3">
        <f>2908.9+(141.3-481.6)+(-5.934156+(-0.288252--0.982464))+0-83.5--0.170339999999996</f>
        <v>2480.0303960000001</v>
      </c>
      <c r="H92" s="3">
        <f>2638.5+(141.9-344.7)+(-4.036905+(-0.217107--0.527391))+0-71.7--0.109701000000004</f>
        <v>2360.3830800000001</v>
      </c>
      <c r="I92" s="3">
        <f>2508.1+(141.8-297)+(-5.116524+(-0.289272--0.60588))+0-81.4--0.166055999999996</f>
        <v>2266.8661400000001</v>
      </c>
      <c r="J92" s="3">
        <f>2355+(141.9-243)+(1.20105+(0.072369-0.12393))+0-86.5-0.0441149999999912</f>
        <v>2168.5053739999998</v>
      </c>
      <c r="K92" s="3">
        <f>2284.4+(141.6-309.9)+(-4.660176+(-0.288864--0.632196))+0-58.7--0.119747999999997</f>
        <v>2053.2029040000002</v>
      </c>
      <c r="L92" s="3">
        <f>2305.3+(141.6-314.3)+(4.702812+(0.288864-0.641172))+0-50.6-0.103223999999998</f>
        <v>2086.2472800000005</v>
      </c>
      <c r="M92" s="3">
        <f>2572.5+(139.2-403.5)+(0+(0-0))+0-28.8-0</f>
        <v>2279.3999999999996</v>
      </c>
      <c r="N92" s="3">
        <f>2746.2+(140.4-376.6)+(2.801124+(0.143208-0.384132))+0-23.4-0.0238680000000037</f>
        <v>2489.1363319999996</v>
      </c>
      <c r="O92" s="3">
        <f>2948.9+(141.1-427)+(0+(0-0))+0-19.7-0</f>
        <v>2643.3</v>
      </c>
      <c r="P92" s="3">
        <f>3164.3+(141.1-426.9)+(3.227586+(0.143922-0.435438))+0-20-0.0204000000000032</f>
        <v>2861.4156700000003</v>
      </c>
      <c r="Q92" s="3">
        <f>3203.8+(141.5-401.8)+(1.633938+(0.072165-0.204918))+0-15.9-0.00810899999999839</f>
        <v>2929.0930760000001</v>
      </c>
      <c r="R92" s="3">
        <f>3218.2+(140.8-409.6)+(1.641282+(0.071808-0.208896))+0-16.8-0.0085679999999983</f>
        <v>2934.0956259999994</v>
      </c>
      <c r="S92" s="3">
        <f>3190.1+(139.8-411.8)+(-8.134755+(-0.35649--1.05009))+0-56.9--0.145094999999992</f>
        <v>2853.9039399999997</v>
      </c>
      <c r="T92" s="3">
        <f>3206.7+(141-412.9)+(-3.270834+(-0.14382--0.421158))+0-83.4--0.0850680000000133</f>
        <v>2848.4915719999995</v>
      </c>
      <c r="U92" s="3">
        <f>3183.4+(141.3-444.4)+(-8.11767+(-0.360315--1.13322))+0-90.9--0.231794999999987</f>
        <v>2782.2870300000004</v>
      </c>
      <c r="V92" s="3">
        <f>3213.5+(141.5-546.4)+(-3.27777+(-0.14433--0.557328))+0-25.3--0.025806000000004</f>
        <v>2780.4610339999999</v>
      </c>
      <c r="W92" s="3">
        <f>3092.8+(141.5-506.4)+(-7.88664+(-0.360825--1.29132))+0-25.3--0.0645149999999963</f>
        <v>2695.7083699999998</v>
      </c>
      <c r="X92" s="3">
        <f>3100.4+(140.8-557)+(-7.90602+(-0.35904--1.42035))+0-86.9--0.221594999999987</f>
        <v>2590.6768850000003</v>
      </c>
      <c r="Y92" s="3">
        <f>3094.7+(125.4-590.7)+(-6.313188+(-0.255816--1.205028))+0-86.4--0.176255999999996</f>
        <v>2537.8122799999996</v>
      </c>
      <c r="Z92" s="3">
        <f>3200.2+(107.2-533)+(0+(0-0))+0-64.8-0</f>
        <v>2709.5999999999995</v>
      </c>
      <c r="AA92" s="3">
        <f>3216.8+(110.5-497.1)+(-9.843408+(-0.33813--1.521126))+0-83.7--0.25612200000001</f>
        <v>2738.0957100000005</v>
      </c>
      <c r="AB92" s="3">
        <f>3186.6+(141.7-530.7)+(-6.500664+(-0.289068--1.082628))+0-74.5--0.151979999999997</f>
        <v>2717.5448759999999</v>
      </c>
      <c r="AC92" s="3">
        <f>3003.9+(144.4-481.4)+(-3.063978+(-0.147288--0.491028))+0-74.1--0.0755820000000118</f>
        <v>2590.1553440000002</v>
      </c>
      <c r="AD92" s="2">
        <v>2451.1000000000004</v>
      </c>
      <c r="AE92" s="3">
        <f>3271+(140.8-556.9)+(0+(0-0))+0-105.5-0</f>
        <v>2749.4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2832.1+(142.6-450.4)+(-4.333113+(-0.218178--0.689112))+0-98.8--0.151164000000006</f>
        <v>2421.7889849999997</v>
      </c>
      <c r="G93" s="3">
        <f>2753.8+(141.5-447.9)+(-5.617752+(-0.28866--0.913716))+0-63.1--0.128723999999997</f>
        <v>2379.4360280000005</v>
      </c>
      <c r="H93" s="3">
        <f>2585.7+(141.6-398)+(-3.956121+(-0.216648--0.60894))+0-67.4--0.103122000000004</f>
        <v>2258.4392929999995</v>
      </c>
      <c r="I93" s="3">
        <f>2542.4+(141-406.7)+(-1.296624+(-0.07191--0.207417))+0-85.7--0.0437069999999913</f>
        <v>2189.8825900000002</v>
      </c>
      <c r="J93" s="3">
        <f>2405.7+(141.3-331.8)+(-2.453814+(-0.144126--0.338436))+0-77.7--0.0792540000000124</f>
        <v>2135.3197500000001</v>
      </c>
      <c r="K93" s="3">
        <f>2313.2+(141.9-337.5)+(-2.359464+(-0.144738--0.34425))+0-78.4--0.0799680000000125</f>
        <v>2037.1200159999999</v>
      </c>
      <c r="L93" s="3">
        <f>2271.6+(140.8-302.8)+(0+(0-0))+0-63.8-0</f>
        <v>2045.8</v>
      </c>
      <c r="M93" s="3">
        <f>2534.9+(142.4-397)+(1.292799+(0.072624-0.20247))+0-83.1-0.0423809999999916</f>
        <v>2198.3205720000001</v>
      </c>
      <c r="N93" s="3">
        <f>2656.3+(142-382.1)+(2.709426+(0.14484-0.389742))+0-43.9-0.044778000000007</f>
        <v>2374.7197460000002</v>
      </c>
      <c r="O93" s="3">
        <f>2906.6+(143-470.8)+(2.964732+(0.14586-0.480216))+0-71.7-0.0731340000000114</f>
        <v>2509.6572419999998</v>
      </c>
      <c r="P93" s="3">
        <f>2966.1+(141-433.1)+(0+(0-0))+0-73.4-0</f>
        <v>2600.6</v>
      </c>
      <c r="Q93" s="3">
        <f>3150+(140.9-513.8)+(0+(0-0))+0-72-0</f>
        <v>2705.1</v>
      </c>
      <c r="R93" s="3">
        <f>3188.3+(143.5-537.8)+(-8.130165+(-0.365925--1.37139))+0-80.3--0.204764999999988</f>
        <v>2706.7800649999999</v>
      </c>
      <c r="S93" s="3">
        <f>3147.6+(143.3-533.1)+(-8.02638+(-0.365415--1.359405))+0-68.9--0.17569499999999</f>
        <v>2682.0433049999997</v>
      </c>
      <c r="T93" s="3">
        <f>3126.2+(142.7-550.3)+(-1.594362+(-0.072777--0.280653))+0-67.3--0.0343229999999932</f>
        <v>2649.9478369999997</v>
      </c>
      <c r="U93" s="3">
        <f>3001.7+(140.8-487.5)+(-6.123468+(-0.287232--0.9945))+0-70--0.142799999999997</f>
        <v>2579.7266</v>
      </c>
      <c r="V93" s="3">
        <f>2934.1+(141.1-468.8)+(-5.985564+(-0.287844--0.956352))+0-39.3--0.0801719999999983</f>
        <v>2561.8631159999995</v>
      </c>
      <c r="W93" s="3">
        <f>2834.1+(140.3-440.4)+(-7.226955+(-0.357765--1.12302))+0-66.2--0.16880999999999</f>
        <v>2461.5071100000005</v>
      </c>
      <c r="X93" s="3">
        <f>2637.5+(140.5-374.8)+(-6.725625+(-0.358275--0.95574))+0-77.9--0.198644999999989</f>
        <v>2319.3704849999995</v>
      </c>
      <c r="Y93" s="3">
        <f>2521.8+(134.7-277.4)+(-1.286118+(-0.068697--0.141474))+0-85--0.0433499999999914</f>
        <v>2292.9300090000002</v>
      </c>
      <c r="Z93" s="3">
        <f>2790.6+(117.8-279.8)+(0+(0-0))+0-85.7-0</f>
        <v>2542.9</v>
      </c>
      <c r="AA93" s="3">
        <f>3150.1+(124-491.4)+(-6.426204+(-0.25296--1.002456))+0-82--0.167279999999996</f>
        <v>2695.190572</v>
      </c>
      <c r="AB93" s="3">
        <f>2982.1+(140.8-452.3)+(-4.562613+(-0.215424--0.692019))+0-87.4--0.133722000000005</f>
        <v>2579.2477039999999</v>
      </c>
      <c r="AC93" s="3">
        <f>2957+(140.4-495.3)+(-3.01614+(-0.143208--0.505206))+0-87.1--0.0888420000000139</f>
        <v>2512.4347000000002</v>
      </c>
      <c r="AD93" s="2">
        <v>2428.2000000000003</v>
      </c>
      <c r="AE93" s="3">
        <f>3116+(140.4-486.1)+(0+(0-0))+0-78.6-0</f>
        <v>2691.7000000000003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2775.6+(141.5-467.5)+(-2.831112+(-0.14433--0.47685))+0-81.3--0.082926000000013</f>
        <v>2365.8843339999999</v>
      </c>
      <c r="G94" s="3">
        <f>2662.3+(137.1-472.5)+(-2.715546+(-0.139842--0.48195))+0-75.8--0.0773160000000121</f>
        <v>2248.8038779999997</v>
      </c>
      <c r="H94" s="3">
        <f>2575.6+(133.9-460.8)+(2.627112+(0.136578-0.470016))+0-67.6-0.0689520000000108</f>
        <v>2183.3247219999998</v>
      </c>
      <c r="I94" s="3">
        <f>2599.9+(141.7-472.7)+(-2.651898+(-0.144534--0.482154))+0-87.5--0.089250000000014</f>
        <v>2179.1749720000003</v>
      </c>
      <c r="J94" s="3">
        <f>2645.4+(143.5-525.1)+(4.047462+(0.219555-0.803403))+0-53-0.0810900000000031</f>
        <v>2214.1825239999998</v>
      </c>
      <c r="K94" s="3">
        <f>2517+(142.9-488.9)+(-6.41835+(-0.364395--1.246695))+0-78.7--0.200684999999989</f>
        <v>2086.9646349999998</v>
      </c>
      <c r="L94" s="3">
        <f>2318.8+(142.2-368.4)+(-1.182588+(-0.072522--0.187884))+0-79.7--0.0406469999999919</f>
        <v>2011.8734210000002</v>
      </c>
      <c r="M94" s="3">
        <f>2466.1+(141.3-402.7)+(2.515422+(0.144126-0.410754))+0-88.1-0.089862000000014</f>
        <v>2118.7589320000002</v>
      </c>
      <c r="N94" s="3">
        <f>2724+(141.5-495.5)+(2.77848+(0.14433-0.50541))+0-45.4-0.0463080000000072</f>
        <v>2326.9710919999998</v>
      </c>
      <c r="O94" s="3">
        <f>2824.2+(140.9-483.4)+(1.440342+(0.071859-0.246534))+0-78.2-0.0398819999999921</f>
        <v>2404.7257850000001</v>
      </c>
      <c r="P94" s="3">
        <f>3012+(139.3-572.3)+(0+(0-0))+0-87.3-0</f>
        <v>2491.6999999999998</v>
      </c>
      <c r="Q94" s="3">
        <f>3193.9+(137.6-665.9)+(4.886667+(0.210528-1.018827))+0-91-0.139230000000005</f>
        <v>2578.5391380000001</v>
      </c>
      <c r="R94" s="3">
        <f>3159.3+(139.7-631.3)+(3.222486+(0.142494-0.643926))+0-85-0.0867000000000136</f>
        <v>2585.3343540000005</v>
      </c>
      <c r="S94" s="3">
        <f>3099.2+(140.9-588.8)+(-6.322368+(-0.287436--1.201152))+0-82.9--0.169115999999996</f>
        <v>2563.1604639999996</v>
      </c>
      <c r="T94" s="3">
        <f>3075.1+(142.8-604.5)+(-6.273204+(-0.291312--1.23318))+0-85.7--0.174827999999996</f>
        <v>2522.5434920000002</v>
      </c>
      <c r="U94" s="3">
        <f>2926+(142.5-525.9)+(-1.49226+(-0.072675--0.268209))+0-52.8--0.0269279999999946</f>
        <v>2488.5302019999995</v>
      </c>
      <c r="V94" s="3">
        <f>2817+(142.9-453)+(-4.31001+(-0.218637--0.69309))+0-92.5--0.141525000000005</f>
        <v>2410.7059680000002</v>
      </c>
      <c r="W94" s="3">
        <f>2819.3+(143.1-528.1)+(-7.189215+(-0.364905--1.346655))+0-28--0.0713999999999959</f>
        <v>2400.163935</v>
      </c>
      <c r="X94" s="3">
        <f>2791.8+(144.1-500.7)+(-7.11909+(-0.367455--1.276785))+0-86.6--0.220829999999987</f>
        <v>2342.6110700000004</v>
      </c>
      <c r="Y94" s="3">
        <f>2790+(123.3-524.9)+(-1.4229+(-0.062883--0.267699))+0-86.4--0.0440639999999912</f>
        <v>2300.8259800000001</v>
      </c>
      <c r="Z94" s="3">
        <f>3138.9+(97.4-601.7)+(4.802517+(0.149022-0.920601))+0-80.9-0.123777000000005</f>
        <v>2557.6071609999999</v>
      </c>
      <c r="AA94" s="3">
        <f>3281.1+(96-672.1)+(-5.020083+(-0.14688--1.028313))+0-89.5--0.136935000000005</f>
        <v>2611.4982850000001</v>
      </c>
      <c r="AB94" s="3">
        <f>3156.1+(143-667.2)+(-8.048055+(-0.36465--1.70136))+0-82--0.209099999999988</f>
        <v>2543.3977549999995</v>
      </c>
      <c r="AC94" s="3">
        <f>3010.4+(144.4-620.9)+(-4.605912+(-0.220932--0.949977))+0-80.8--0.123624000000005</f>
        <v>2449.3467569999998</v>
      </c>
      <c r="AD94" s="2">
        <v>2330.8999999999996</v>
      </c>
      <c r="AE94" s="3">
        <f>3322+(95.7-681.5)+(0+(0-0))+0-96.8-0</f>
        <v>2639.3999999999996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2730.8+(142.2-505.8)+(-2.785416+(-0.145044--0.515916))+0-70.6--0.0720120000000112</f>
        <v>2294.2574680000002</v>
      </c>
      <c r="G95" s="3">
        <f>2497.6+(140.8-436.9)+(-5.095104+(-0.287232--0.891276))+0-68--0.138719999999997</f>
        <v>2129.1476600000001</v>
      </c>
      <c r="H95" s="3">
        <f>2476.7+(142.2-488.9)+(-2.526234+(-0.145044--0.498678))+0-80--0.0816000000000128</f>
        <v>2047.9090000000001</v>
      </c>
      <c r="I95" s="3">
        <f>2497.2+(143.4-509.8)+(0+(0-0))+0-84.6-0</f>
        <v>2046.1999999999998</v>
      </c>
      <c r="J95" s="3">
        <f>2472.7+(143.6-498.7)+(-5.044308+(-0.292944--1.017348))+0-83.2--0.169727999999996</f>
        <v>2030.249824</v>
      </c>
      <c r="K95" s="3">
        <f>2376.7+(143.4-495.9)+(-6.060585+(-0.36567--1.264545))+0-68.4--0.17441999999999</f>
        <v>1950.8127099999997</v>
      </c>
      <c r="L95" s="3">
        <f>2308.5+(144-428.4)+(-5.886675+(-0.3672--1.09242))+0-90.7--0.231284999999987</f>
        <v>1928.46983</v>
      </c>
      <c r="M95" s="3">
        <f>2270.5+(142.4-403.1)+(-3.473865+(-0.217872--0.616743))+0-82.1--0.125613000000005</f>
        <v>1924.7506189999999</v>
      </c>
      <c r="N95" s="3">
        <f>2334+(141.7-425.4)+(-1.19034+(-0.072267--0.216954))+0-47.3--0.0241229999999952</f>
        <v>2001.97847</v>
      </c>
      <c r="O95" s="3">
        <f>2356.5+(141-345.2)+(-2.40363+(-0.14382--0.352104))+0-92.6--0.0944520000000148</f>
        <v>2057.5991060000001</v>
      </c>
      <c r="P95" s="3">
        <f>2558.5+(136.6-440.5)+(1.304835+(0.069666-0.224655))+0-75.4-0.0384539999999924</f>
        <v>2180.3113919999996</v>
      </c>
      <c r="Q95" s="3">
        <f>2750.7+(104.7-496.1)+(-1.402857+(-0.053397--0.253011))+0-38.7--0.0197369999999961</f>
        <v>2319.4164940000001</v>
      </c>
      <c r="R95" s="3">
        <f>2758.5+(87.3-419.2)+(-4.220505+(-0.133569--0.641376))+0-99.9--0.152847000000006</f>
        <v>2323.1401489999998</v>
      </c>
      <c r="S95" s="3">
        <f>2695.3+(107.2-424.4)+(-4.123809+(-0.164016--0.649332))+0-89.1--0.136323000000005</f>
        <v>2285.4978300000007</v>
      </c>
      <c r="T95" s="3">
        <f>2665.4+(119.4-409)+(-1.359354+(-0.060894--0.20859))+0-88.6--0.045185999999991</f>
        <v>2286.0335279999999</v>
      </c>
      <c r="U95" s="3">
        <f>2657.1+(123.5-412.6)+(-2.710242+(-0.12597--0.420852))+0-84--0.0856800000000134</f>
        <v>2281.6703200000002</v>
      </c>
      <c r="V95" s="3">
        <f>2645.9+(118.2-405.2)+(-4.048227+(-0.180846--0.619956))+0-80.2--0.122706000000005</f>
        <v>2275.2135890000004</v>
      </c>
      <c r="W95" s="3">
        <f>2634.2+(128.8-410.6)+(-5.373768+(-0.262752--0.837624))+0-83.2--0.169727999999996</f>
        <v>2264.5708319999999</v>
      </c>
      <c r="X95" s="3">
        <f>2664.7+(130.8-425.5)+(-4.076991+(-0.200124--0.651015))+0-92--0.140760000000005</f>
        <v>2274.5146600000003</v>
      </c>
      <c r="Y95" s="3">
        <f>2545.8+(122.5-430.7)+(-5.193432+(-0.2499--0.878628))+0-45.1--0.092003999999998</f>
        <v>2188.0273000000007</v>
      </c>
      <c r="Z95" s="3">
        <f>2924.3+(68.1-419.8)+(0+(0-0))+0-87.7-0</f>
        <v>2484.9000000000005</v>
      </c>
      <c r="AA95" s="3">
        <f>3271.8+(45-617.8)+(1.668618+(0.02295-0.315078))+0-44.1-0.0224909999999955</f>
        <v>2656.253999</v>
      </c>
      <c r="AB95" s="3">
        <f>3117.5+(120-592.3)+(-6.3597+(-0.2448--1.208292))+0-71.4--0.145655999999997</f>
        <v>2568.5494479999998</v>
      </c>
      <c r="AC95" s="3">
        <f>3024.6+(142.7-557)+(-4.627638+(-0.218331--0.85221))+0-82.5--0.126225000000005</f>
        <v>2523.9324659999997</v>
      </c>
      <c r="AD95" s="2">
        <v>2358.9000000000005</v>
      </c>
      <c r="AE95" s="3">
        <f>3280+(90.8-619.2)+(0+(0-0))+0-106.7-0</f>
        <v>2644.9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2875.9+(142.3-532.6)+(-2.933418+(-0.145146--0.543252))+0-87.6--0.089352000000014</f>
        <v>2395.55404</v>
      </c>
      <c r="G96" s="3">
        <f>2554.5+(141.9-468.2)+(-1.302795+(-0.072369--0.238782))+0-91.2--0.0465119999999907</f>
        <v>2135.9101299999998</v>
      </c>
      <c r="H96" s="3">
        <f>2467.7+(141.6-441.6)+(-2.517054+(-0.144432--0.450432))+0-84.2--0.0858840000000134</f>
        <v>2081.3748300000002</v>
      </c>
      <c r="I96" s="3">
        <f>2381.1+(142.3-415)+(-2.428722+(-0.145146--0.4233))+0-93--0.0948600000000148</f>
        <v>2013.344292</v>
      </c>
      <c r="J96" s="3">
        <f>2366.5+(142.3-421.3)+(-3.620745+(-0.217719--0.644589))+0-80.8--0.123624000000005</f>
        <v>2003.6297490000002</v>
      </c>
      <c r="K96" s="3">
        <f>2328.6+(141.8-448.7)+(-5.93793+(-0.36159--1.144185))+0-88.1--0.224654999999987</f>
        <v>1928.66932</v>
      </c>
      <c r="L96" s="3">
        <f>2274.5+(142.1-396.1)+(2.31999+(0.144942-0.404022))+0-87.4-0.0891480000000139</f>
        <v>1935.0717619999998</v>
      </c>
      <c r="M96" s="3">
        <f>2654+(141.4-488.6)+(0+(0-0))+0-70.8-0</f>
        <v>2236</v>
      </c>
      <c r="N96" s="3">
        <f>2767.3+(139.4-496.8)+(2.822646+(0.142188-0.506736))+0-65.8-0.0671160000000105</f>
        <v>2346.4909819999998</v>
      </c>
      <c r="O96" s="3">
        <f>2999.3+(121.8-570.5)+(0+(0-0))+0-83.2-0</f>
        <v>2467.4000000000005</v>
      </c>
      <c r="P96" s="3">
        <f>3113.1+(119.7-578.1)+(1.587681+(0.061047-0.294831))+0-76.6-0.0390659999999922</f>
        <v>2579.414831</v>
      </c>
      <c r="Q96" s="3">
        <f>3146.5+(120.9-596)+(3.20943+(0.123318-0.60792))+0-65.5-0.0668100000000104</f>
        <v>2608.5580180000002</v>
      </c>
      <c r="R96" s="3">
        <f>3277.8+(118.6-592.1)+(0+(0-0))+0-83.8-0</f>
        <v>2720.5</v>
      </c>
      <c r="S96" s="3">
        <f>3248.8+(128.1-591.9)+(-1.656888+(-0.065331--0.301869))+0-81.2--0.0414119999999918</f>
        <v>2702.4210620000003</v>
      </c>
      <c r="T96" s="3">
        <f>3191.6+(140.4-590.3)+(-3.255432+(-0.143208--0.602106))+0-67.5--0.0688500000000108</f>
        <v>2671.4723159999999</v>
      </c>
      <c r="U96" s="3">
        <f>3194.7+(131.1-578.3)+(3.258594+(0.133722-0.589866))+0-84.9-0.0865980000000135</f>
        <v>2665.3158520000002</v>
      </c>
      <c r="V96" s="3">
        <f>3179.2+(118.3-586.7)+(-4.864176+(-0.180999--0.897651))+0-77.6--0.118728000000004</f>
        <v>2629.1712039999998</v>
      </c>
      <c r="W96" s="3">
        <f>3169.6+(114.1-587.8)+(-8.08248+(-0.290955--1.49889))+0-73.9--0.188444999999989</f>
        <v>2615.3138999999996</v>
      </c>
      <c r="X96" s="3">
        <f>3159.4+(128.2-607.1)+(-6.445176+(-0.261528--1.238484))+0-77.6--0.158303999999997</f>
        <v>2597.5900839999999</v>
      </c>
      <c r="Y96" s="3">
        <f>3092+(122.7-594.6)+(-6.30768+(-0.250308--1.212984))+0-82.9--0.169115999999996</f>
        <v>2532.0241120000001</v>
      </c>
      <c r="Z96" s="3">
        <f>3214.1+(71.4-547.6)+(3.278382+(0.072828-0.558552))+0-75-0.076500000000012</f>
        <v>2665.6161579999994</v>
      </c>
      <c r="AA96" s="3">
        <f>3325.1+(47.2-569.8)+(-5.087403+(-0.072216--0.871794))+0-87.6--0.134028000000005</f>
        <v>2710.7462030000002</v>
      </c>
      <c r="AB96" s="3">
        <f>3316.5+(115-589.7)+(1.691415+(0.05865-0.300747))+0-82-0.0418199999999917</f>
        <v>2761.2074980000002</v>
      </c>
      <c r="AC96" s="3">
        <f>3199.6+(140.1-578.8)+(1.631796+(0.071451-0.295188))+0-65-0.0331499999999934</f>
        <v>2697.2749089999998</v>
      </c>
      <c r="AD96" s="2">
        <v>2535.4</v>
      </c>
      <c r="AE96" s="3">
        <f>3344+(51.5-581.6)+(0+(0-0))+0-96.5-0</f>
        <v>2717.4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2937.1+(140-513.3)+(-5.991684+(-0.2856--1.047132))+0-70.9--0.144635999999997</f>
        <v>2487.814484</v>
      </c>
      <c r="G97" s="3">
        <f>2777.9+(141.7-491)+(-4.250187+(-0.216801--0.75123))+0-88.5--0.135405000000005</f>
        <v>2336.5196470000001</v>
      </c>
      <c r="H97" s="3">
        <f>2784.7+(142.2-530.1)+(1.420197+(0.072522-0.270351))+0-72.3-0.0368729999999927</f>
        <v>2325.6854949999997</v>
      </c>
      <c r="I97" s="3">
        <f>2715.1+(142.5-531.5)+(5.538804+(0.2907-1.08426))+0-62.2-0.126887999999997</f>
        <v>2268.5183560000005</v>
      </c>
      <c r="J97" s="3">
        <f>2639.7+(142.2-494.2)+(-6.731235+(-0.36261--1.26021))+0-84.6--0.215729999999988</f>
        <v>2197.4820949999998</v>
      </c>
      <c r="K97" s="3">
        <f>2595+(142.6-538)+(-6.61725+(-0.36363--1.3719))+0-61.1--0.155804999999991</f>
        <v>2133.0468249999999</v>
      </c>
      <c r="L97" s="3">
        <f>2275.5+(141.5-445.6)+(-3.481515+(-0.216495--0.681768))+0-89.8--0.137394000000005</f>
        <v>1878.7211520000003</v>
      </c>
      <c r="M97" s="3">
        <f>2589.4+(140.4-469.6)+(3.961782+(0.214812-0.718488))+0-85.8-0.131274000000005</f>
        <v>2177.7268319999998</v>
      </c>
      <c r="N97" s="3">
        <f>2820.8+(140.2-388.6)+(1.438608+(0.071502-0.198186))+0-75.5-0.0385049999999923</f>
        <v>2498.1734190000002</v>
      </c>
      <c r="O97" s="3">
        <f>3028.6+(140.6-505.3)+(1.544586+(0.071706-0.257703))+0-49.2-0.025091999999995</f>
        <v>2616.0334969999999</v>
      </c>
      <c r="P97" s="3">
        <f>3144.2+(126-506.9)+(4.810626+(0.19278-0.775557))+0-94.3-0.144279000000005</f>
        <v>2673.0835699999993</v>
      </c>
      <c r="Q97" s="3">
        <f>3186.4+(107.2-509.9)+(0+(0-0))+0-85.5-0</f>
        <v>2698.2000000000003</v>
      </c>
      <c r="R97" s="3">
        <f>3309+(102.7-528.9)+(-6.75036+(-0.209508--1.078956))+0-69.2--0.141167999999997</f>
        <v>2807.8602560000004</v>
      </c>
      <c r="S97" s="3">
        <f>3444.1+(104.3-629.8)+(-7.025964+(-0.212772--1.284792))+0-78.8--0.160751999999997</f>
        <v>2834.0068079999996</v>
      </c>
      <c r="T97" s="3">
        <f>3342.5+(126-586.7)+(0+(0-0))+0-79.3-0</f>
        <v>2802.5</v>
      </c>
      <c r="U97" s="3">
        <f>3281.7+(128.4-553.5)+(-1.673667+(-0.065484--0.282285))+0-91.9--0.0468689999999907</f>
        <v>2763.2900029999996</v>
      </c>
      <c r="V97" s="3">
        <f>3253.5+(118.8-552.9)+(-4.977855+(-0.181764--0.845937))+0-75.5--0.115515000000004</f>
        <v>2739.7018330000001</v>
      </c>
      <c r="W97" s="3">
        <f>3035.9+(118.9-442.4)+(-7.741545+(-0.303195--1.12812))+0-82.2--0.209609999999988</f>
        <v>2623.4929900000002</v>
      </c>
      <c r="X97" s="3">
        <f>2988.8+(124.3-458.2)+(-6.097152+(-0.253572--0.934728))+0-84.3--0.171971999999996</f>
        <v>2565.3559759999998</v>
      </c>
      <c r="Y97" s="3">
        <f>2915.8+(106.1-456.6)+(-5.948232+(-0.216444--0.931464))+0-69.6--0.141983999999997</f>
        <v>2490.608772</v>
      </c>
      <c r="Z97" s="3">
        <f>3197.6+(70.3-466.4)+(1.630776+(0.035853-0.237864))+0-80.4-0.0410039999999918</f>
        <v>2722.4877609999999</v>
      </c>
      <c r="AA97" s="3">
        <f>3406.4+(49.5-499.8)+(-1.737264+(-0.025245--0.254898))+0-87.3--0.0445229999999911</f>
        <v>2867.3369119999998</v>
      </c>
      <c r="AB97" s="3">
        <f>3282.4+(116.1-477)+(-8.37012+(-0.296055--1.21635))+0-84.1--0.214454999999988</f>
        <v>2830.1646299999998</v>
      </c>
      <c r="AC97" s="3">
        <f>3121.7+(141-479.5)+(-3.184134+(-0.14382--0.48909))+0-51.8--0.0528360000000083</f>
        <v>2728.6139719999996</v>
      </c>
      <c r="AD97" s="2">
        <v>2631.7000000000003</v>
      </c>
      <c r="AE97" s="3">
        <f>3431+(55.3-503.5)+(0+(0-0))+0-92.1-0</f>
        <v>2890.7000000000003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3046.9+(140.6-488.2)+(-6.215676+(-0.286824--0.995928))+0-85.1--0.173603999999996</f>
        <v>2608.8670320000006</v>
      </c>
      <c r="G98" s="3">
        <f>2846.2+(137.8-423.1)+(-4.354686+(-0.210834--0.647343))+0-91.7--0.140301000000005</f>
        <v>2465.4221239999997</v>
      </c>
      <c r="H98" s="3">
        <f>2510.7+(141.6-328.9)+(-5.121828+(-0.288864--0.670956))+0-91.5--0.186659999999996</f>
        <v>2227.3469239999995</v>
      </c>
      <c r="I98" s="3">
        <f>2488.8+(142.4-335.6)+(-1.269288+(-0.072624--0.171156))+0-86.3--0.0440129999999912</f>
        <v>2208.1732570000004</v>
      </c>
      <c r="J98" s="3">
        <f>2376.1+(141.7-335.8)+(-4.847244+(-0.289068--0.685032))+0-72--0.146879999999997</f>
        <v>2105.6955999999996</v>
      </c>
      <c r="K98" s="3">
        <f>2351.7+(141.5-366.9)+(-5.996835+(-0.360825--0.935595))+0-85.1--0.217004999999988</f>
        <v>2035.9949399999996</v>
      </c>
      <c r="L98" s="3">
        <f>2324.3+(140.8-343.3)+(-3.556179+(-0.215424--0.525249))+0-87.7--0.134181000000005</f>
        <v>2030.9878270000002</v>
      </c>
      <c r="M98" s="3">
        <f>2510.4+(139.5-348.6)+(2.560608+(0.14229-0.355572))+0-68.9-0.070278000000011</f>
        <v>2234.677048</v>
      </c>
      <c r="N98" s="3">
        <f>2800.5+(139.4-366.9)+(2.85651+(0.142188-0.374238))+0-91.5-0.0933300000000146</f>
        <v>2484.0311299999998</v>
      </c>
      <c r="O98" s="3">
        <f>2952.3+(138.5-399.8)+(0+(0-0))+0-72.4-0</f>
        <v>2618.6</v>
      </c>
      <c r="P98" s="3">
        <f>3118.3+(121.3-444.2)+(0+(0-0))+0-89.2-0</f>
        <v>2706.2000000000003</v>
      </c>
      <c r="Q98" s="3">
        <f>3272.3+(113-484.1)+(3.337746+(0.11526-0.493782))+0-69.5-0.0708900000000111</f>
        <v>2834.5883340000005</v>
      </c>
      <c r="R98" s="3">
        <f>3340.6+(101.6-462.2)+(5.111118+(0.155448-0.707166))+0-85.8-0.131274000000005</f>
        <v>2898.6281260000001</v>
      </c>
      <c r="S98" s="3">
        <f>3206.3+(93.9-429.6)+(-6.540852+(-0.191556--0.876384))+0-82.3--0.167891999999996</f>
        <v>2782.611868</v>
      </c>
      <c r="T98" s="3">
        <f>3190.3+(121.8-430.1)+(1.627053+(0.062118-0.219351))+0-76.2-0.0388619999999923</f>
        <v>2807.2309580000001</v>
      </c>
      <c r="U98" s="3">
        <f>3137.2+(121.7-412.3)+(-7.99986+(-0.310335--1.051365))+0-90.3--0.230264999999987</f>
        <v>2749.2714349999997</v>
      </c>
      <c r="V98" s="3">
        <f>3138.1+(124-442.3)+(-6.401724+(-0.25296--0.902292))+0-80.3--0.163811999999996</f>
        <v>2733.9114199999995</v>
      </c>
      <c r="W98" s="3">
        <f>3118.6+(128.3-484.5)+(-9.542916+(-0.392598--1.48257))+0-36.4--0.111384000000004</f>
        <v>2717.6584399999997</v>
      </c>
      <c r="X98" s="3">
        <f>3075.3+(129.1-480.5)+(-9.410418+(-0.395046--1.47033))+0-95.2--0.291312000000011</f>
        <v>2620.6561780000002</v>
      </c>
      <c r="Y98" s="3">
        <f>2936.3+(129.1-502)+(-7.487565+(-0.329205--1.2801))+0-85.8--0.218789999999988</f>
        <v>2471.2821199999998</v>
      </c>
      <c r="Z98" s="3">
        <f>3206.4+(67.7-505)+(-1.635264+(-0.034527--0.25755))+0-90.9--0.0463589999999908</f>
        <v>2676.8341179999998</v>
      </c>
      <c r="AA98" s="3">
        <f>3353.8+(42-542.5)+(-3.420876+(-0.04284--0.55335))+0-82.7--0.0843540000000132</f>
        <v>2767.7739880000004</v>
      </c>
      <c r="AB98" s="3">
        <f>3269+(118.3-558.1)+(-1.66719+(-0.060333--0.284631))+0-85.4--0.0435539999999913</f>
        <v>2742.4006619999996</v>
      </c>
      <c r="AC98" s="3">
        <f>3072.9+(143.3-525.5)+(-3.134358+(-0.146166--0.53601))+0-84.4--0.0860880000000135</f>
        <v>2603.6415740000002</v>
      </c>
      <c r="AD98" s="2">
        <v>2626.8999999999996</v>
      </c>
      <c r="AE98" s="3">
        <f>3354+(72.7-575.4)+(0+(0-0))+0-18.8-0</f>
        <v>2832.5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2901.3+(142.4-482.5)+(-5.918652+(-0.290496--0.9843))+0-80.5--0.164219999999996</f>
        <v>2475.6393720000005</v>
      </c>
      <c r="G99" s="3">
        <f>2653.9+(141.9-437)+(-2.706978+(-0.144738--0.44574))+0-85--0.0867000000000136</f>
        <v>2271.480724</v>
      </c>
      <c r="H99" s="3">
        <f>2566.1+(141.6-391.6)+(-5.234844+(-0.288864--0.798864))+0-75.5--0.154019999999997</f>
        <v>2236.029176</v>
      </c>
      <c r="I99" s="3">
        <f>2530+(142.2-383.7)+(-6.4515+(-0.36261--0.978435))+0-98.1--0.250154999999986</f>
        <v>2184.8144800000005</v>
      </c>
      <c r="J99" s="3">
        <f>2523.3+(142-414.2)+(2.573766+(0.14484-0.422484))+0-61.5-0.0627300000000098</f>
        <v>2191.8333920000005</v>
      </c>
      <c r="K99" s="3">
        <f>2409.1+(142-412.8)+(-6.143205+(-0.3621--1.05264))+0-82.8--0.211139999999988</f>
        <v>2050.2584749999996</v>
      </c>
      <c r="L99" s="3">
        <f>2311.7+(140.7-384.3)+(-5.894835+(-0.358785--0.979965))+0-57.6--0.146879999999992</f>
        <v>2005.373225</v>
      </c>
      <c r="M99" s="3">
        <f>2471.3+(141.5-375.1)+(2.520726+(0.14433-0.382602))+0-24.3-0.0247860000000039</f>
        <v>2215.6576680000003</v>
      </c>
      <c r="N99" s="3">
        <f>2680.8+(138.7-408.4)+(1.367208+(0.070737-0.208284))+0-21.9-0.0111689999999978</f>
        <v>2390.4184920000002</v>
      </c>
      <c r="O99" s="3">
        <f>2987.7+(136.7-481.5)+(-1.523727+(-0.069717--0.245565))+0-20.3--0.0103529999999979</f>
        <v>2621.2624739999997</v>
      </c>
      <c r="P99" s="3">
        <f>3287.9+(104.9-643.8)+(1.676829+(0.053499-0.328338))+0-20-0.010199999999998</f>
        <v>2730.3917899999997</v>
      </c>
      <c r="Q99" s="3">
        <f>3307.5+(110.9-637.4)+(-5.060475+(-0.169677--0.975222))+0-18.3--0.0279990000000011</f>
        <v>2758.4730689999997</v>
      </c>
      <c r="R99" s="3">
        <f>3314.1+(107.8-610.4)+(-3.380382+(-0.109956--0.622608))+0-18.3--0.0186660000000029</f>
        <v>2790.3509359999998</v>
      </c>
      <c r="S99" s="3">
        <f>3268.6+(94.4-609.4)+(-11.668902+(-0.337008--2.175558))+0-17--0.0606900000000002</f>
        <v>2726.8303379999998</v>
      </c>
      <c r="T99" s="3">
        <f>3305.8+(93.6-669.6)+(-1.685958+(-0.047736--0.341496))+0-18.9--0.00963899999999808</f>
        <v>2709.517441</v>
      </c>
      <c r="U99" s="3">
        <f>3307.5+(121-681.8)+(0+(0-0))+0-27.6-0</f>
        <v>2719.1</v>
      </c>
      <c r="V99" s="3">
        <f>3295.8+(106.6-700.6)+(-5.042574+(-0.163098--1.071918))+0-27.9--0.0426870000000016</f>
        <v>2669.8089330000003</v>
      </c>
      <c r="W99" s="3">
        <f>3298.7+(124.1-685.8)+(-6.729348+(-0.253164--1.399032))+0-75.4--0.153815999999997</f>
        <v>2656.1703360000001</v>
      </c>
      <c r="X99" s="3">
        <f>3266.7+(134.5-669.7)+(-4.998051+(-0.205785--1.024641))+0-84--0.128520000000005</f>
        <v>2643.449325</v>
      </c>
      <c r="Y99" s="3">
        <f>2998.9+(129.8-564.3)+(-3.058878+(-0.132396--0.575586))+0-82.9--0.0845580000000132</f>
        <v>2478.9688700000002</v>
      </c>
      <c r="Z99" s="3">
        <f>3161.1+(60.1-430.6)+(-1.612161+(-0.030651--0.219606))+0-84.3--0.0429929999999914</f>
        <v>2704.9197869999998</v>
      </c>
      <c r="AA99" s="3">
        <f>3357.1+(40.5-515.9)+(-5.136363+(-0.061965--0.789327))+0-76.3--0.116739000000004</f>
        <v>2801.1077379999997</v>
      </c>
      <c r="AB99" s="3">
        <f>3369.1+(118-638.2)+(-6.872964+(-0.24072--1.301928))+0-88.1--0.179723999999996</f>
        <v>2755.1679679999997</v>
      </c>
      <c r="AC99" s="3">
        <f>3338.6+(142.5-650.2)+(-3.405372+(-0.14535--0.663204))+0-94.9--0.0967980000000151</f>
        <v>2733.2092799999996</v>
      </c>
      <c r="AD99" s="2">
        <v>2657.6</v>
      </c>
      <c r="AE99" s="3">
        <f>3408+(33-487.2)+(0+(0-0))+0-98.6-0</f>
        <v>2855.2000000000003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3098.1+(142-588.9)+(-1.580031+(-0.07242--0.300339))+0-78.2--0.0398819999999921</f>
        <v>2571.68777</v>
      </c>
      <c r="G100" s="3">
        <f>2912.2+(143.1-520.4)+(-4.455666+(-0.218943--0.796212))+0-86.6--0.132498000000005</f>
        <v>2444.5541009999997</v>
      </c>
      <c r="H100" s="3">
        <f>2831.8+(140.9-563.2)+(-4.332654+(-0.215577--0.861696))+0-76.9--0.117657000000004</f>
        <v>2329.0311219999999</v>
      </c>
      <c r="I100" s="3">
        <f>2726+(141.8-523.4)+(0+(0-0))+0-77.6-0</f>
        <v>2266.8000000000002</v>
      </c>
      <c r="J100" s="3">
        <f>2720.6+(141.5-552.2)+(-6.93753+(-0.360825--1.40811))+0-56.3--0.143564999999992</f>
        <v>2247.8533199999993</v>
      </c>
      <c r="K100" s="3">
        <f>2563.7+(141.5-507.5)+(-5.229948+(-0.28866--1.0353))+0-81.9--0.167075999999996</f>
        <v>2111.4837680000001</v>
      </c>
      <c r="L100" s="3">
        <f>2337+(140.9-361.3)+(-3.57561+(-0.215577--0.552789))+0-82.1--0.125613000000005</f>
        <v>2031.387215</v>
      </c>
      <c r="M100" s="3">
        <f>2681.4+(141.5-551.3)+(2.735028+(0.14433-0.562326))+0-27.7-0.0282540000000044</f>
        <v>2246.1887780000006</v>
      </c>
      <c r="N100" s="3">
        <f>2978.5+(143.1-607.5)+(3.03807+(0.145962-0.61965))+0-70.9-0.0723180000000113</f>
        <v>2445.6920639999998</v>
      </c>
      <c r="O100" s="3">
        <f>3036.1+(142.7-570.8)+(-3.096822+(-0.145554--0.582216))+0-86.5--0.0882300000000138</f>
        <v>2518.9280699999999</v>
      </c>
      <c r="P100" s="3">
        <f>3217.5+(116.9-602.8)+(0+(0-0))+0-78.8-0</f>
        <v>2652.7999999999997</v>
      </c>
      <c r="Q100" s="3">
        <f>3321.1+(90.5-646.9)+(5.081283+(0.138465-0.989757))+0-66.6-0.101898000000004</f>
        <v>2702.2280930000002</v>
      </c>
      <c r="R100" s="3">
        <f>3312.2+(77.2-594.2)+(-1.689222+(-0.039372--0.303042))+0-81.5--0.0415649999999917</f>
        <v>2712.3160129999997</v>
      </c>
      <c r="S100" s="3">
        <f>3375.9+(84.1-676.2)+(-3.443418+(-0.085782--0.689724))+0-55--0.0561000000000088</f>
        <v>2726.0166239999999</v>
      </c>
      <c r="T100" s="3">
        <f>3389.8+(77.6-662.8)+(-1.728798+(-0.039576--0.338028))+0-90.9--0.0463589999999908</f>
        <v>2712.3160130000001</v>
      </c>
      <c r="U100" s="3">
        <f>3409.3+(26.4-661.7)+(5.216229+(0.040392-1.012401))+0-83.7-0.128061000000005</f>
        <v>2694.4161590000003</v>
      </c>
      <c r="V100" s="3">
        <f>3364.4+(0-635.9)+(-3.431688+(0--0.648618))+0-80.8--0.0824160000000129</f>
        <v>2644.9993460000001</v>
      </c>
      <c r="W100" s="3">
        <f>3309.9+(12.7-615.1)+(-5.064147+(-0.019431--0.941103))+0-90.9--0.139077000000005</f>
        <v>2612.5966019999996</v>
      </c>
      <c r="X100" s="3">
        <f>3281.5+(16.5-628.9)+(-10.04139+(-0.05049--1.924434))+0-81.9--0.25061400000001</f>
        <v>2579.2831679999999</v>
      </c>
      <c r="Y100" s="3">
        <f>3176.3+(24.2-550.1)+(-6.479652+(-0.049368--1.122204))+0-89.5--0.182579999999996</f>
        <v>2555.6757640000001</v>
      </c>
      <c r="Z100" s="3">
        <f>3432.6+(0-572.6)+(3.501252+(0-0.584052))+0-80.7-0.0823140000000129</f>
        <v>2782.1348859999998</v>
      </c>
      <c r="AA100" s="3">
        <f>3508+(0-640.8)+(-3.57816+(0--0.653616))+0-70.6--0.0720120000000112</f>
        <v>2793.747468</v>
      </c>
      <c r="AB100" s="3">
        <f>3524.6+(62.4-695)+(1.797546+(0.031824-0.35445))+0-84.6-0.0431459999999914</f>
        <v>2808.8317740000002</v>
      </c>
      <c r="AC100" s="3">
        <f>3318.5+(127.9-627.4)+(0+(0-0))+0-76.9-0</f>
        <v>2742.1</v>
      </c>
      <c r="AD100" s="2">
        <v>2482.2000000000003</v>
      </c>
      <c r="AE100" s="3">
        <f>3510+(64.8-713.7)+(0+(0-0))+0-99.1-0</f>
        <v>2762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3024.2+(141.1-535)+(1.542342+(0.071961-0.27285))+0-67.3-0.0343229999999932</f>
        <v>2564.3071299999997</v>
      </c>
      <c r="G101" s="3">
        <f>2900.1+(141.6-582.9)+(2.958102+(0.144432-0.594558))+0-79.3-0.0808860000000126</f>
        <v>2381.9270899999997</v>
      </c>
      <c r="H101" s="3">
        <f>2712.3+(141.7-521.7)+(0+(0-0))+0-76.4-0</f>
        <v>2255.9</v>
      </c>
      <c r="I101" s="3">
        <f>2678.3+(141.9-480.7)+(1.365933+(0.072369-0.245157))+0-88.4-0.045083999999991</f>
        <v>2252.2480610000002</v>
      </c>
      <c r="J101" s="3">
        <f>2614.5+(142-445.5)+(1.333395+(0.07242-0.227205))+0-80-0.0407999999999919</f>
        <v>2232.1378099999997</v>
      </c>
      <c r="K101" s="3">
        <f>2488.6+(141-408)+(-2.538372+(-0.14382--0.41616))+0-81.1--0.0827220000000129</f>
        <v>2138.3166900000001</v>
      </c>
      <c r="L101" s="3">
        <f>2368+(139.3-365.3)+(-2.41536+(-0.142086--0.372606))+0-83.9--0.0855780000000134</f>
        <v>2056.0007380000002</v>
      </c>
      <c r="M101" s="3">
        <f>2553.9+(139.2-407.6)+(3.907467+(0.212976-0.623628))+0-87.2-0.133416000000005</f>
        <v>2201.663399</v>
      </c>
      <c r="N101" s="3">
        <f>2878.4+(139.5-489.5)+(7.33992+(0.355725-1.248225))+0-84.7-0.215984999999988</f>
        <v>2449.9314350000004</v>
      </c>
      <c r="O101" s="3">
        <f>3070+(129.3-562.3)+(6.2628+(0.263772-1.147092))+0-83.8-0.170951999999996</f>
        <v>2558.4085279999999</v>
      </c>
      <c r="P101" s="3">
        <f>3193.7+(92.9-545.3)+(6.515148+(0.189516-1.112412))+0-85.9-0.175235999999996</f>
        <v>2660.8170159999995</v>
      </c>
      <c r="Q101" s="3">
        <f>3206+(72-511.8)+(4.90518+(0.11016-0.783054))+0-69-0.105570000000004</f>
        <v>2701.3267159999996</v>
      </c>
      <c r="R101" s="3">
        <f>3364.1+(60.2-575.4)+(6.862764+(0.122808-1.173816))+0-57.5-0.117299999999997</f>
        <v>2797.0944560000003</v>
      </c>
      <c r="S101" s="3">
        <f>3452.3+(55.7-622.3)+(-8.803365+(-0.142035--1.586865))+0-84.3--0.214964999999988</f>
        <v>2794.2564300000004</v>
      </c>
      <c r="T101" s="3">
        <f>3436.4+(33.6-606.3)+(0+(0-0))+0-91.7-0</f>
        <v>2772.0000000000005</v>
      </c>
      <c r="U101" s="3">
        <f>3427.9+(39.6-625)+(0+(0-0))+0-74.5-0</f>
        <v>2768</v>
      </c>
      <c r="V101" s="3">
        <f>3367+(50.3-585.5)+(0+(0-0))+0-78.3-0</f>
        <v>2753.5</v>
      </c>
      <c r="W101" s="3">
        <f>3296.7+(71.8-558.8)+(-6.725268+(-0.146472--1.139952))+0-81.9--0.167075999999996</f>
        <v>2722.2352879999999</v>
      </c>
      <c r="X101" s="3">
        <f>3202.1+(103.9-561.3)+(-9.798426+(-0.317934--1.717578))+0-82.7--0.25306200000001</f>
        <v>2653.85428</v>
      </c>
      <c r="Y101" s="3">
        <f>3029+(89-510.7)+(-6.17916+(-0.18156--1.041828))+0-90.7--0.185027999999996</f>
        <v>2511.4661360000005</v>
      </c>
      <c r="Z101" s="3">
        <f>3317.2+(19.3-474.6)+(3.383544+(0.019686-0.484092))+0-92.5-0.0943500000000148</f>
        <v>2772.224788</v>
      </c>
      <c r="AA101" s="3">
        <f>3341.6+(15.2-464.8)+(-11.929512+(-0.054264--1.659336))+0-86.6--0.309162000000001</f>
        <v>2795.3847220000002</v>
      </c>
      <c r="AB101" s="3">
        <f>3233.7+(82.9-481.9)+(-4.947561+(-0.126837--0.737307))+0-72.2--0.110466000000004</f>
        <v>2758.2733750000002</v>
      </c>
      <c r="AC101" s="3">
        <f>3203.2+(140.7-493.3)+(-6.534528+(-0.287028--1.006332))+0-78.6--0.160343999999997</f>
        <v>2766.34512</v>
      </c>
      <c r="AD101" s="2">
        <v>2561.7999999999997</v>
      </c>
      <c r="AE101" s="3">
        <f>3228.5+(38.5-465.4)+(0+(0-0))+0-26.3-0</f>
        <v>2775.2999999999997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3088.8+(141-502.8)+(3.150576+(0.14382-0.512856))+0-68.1-0.0694620000000108</f>
        <v>2661.6120780000001</v>
      </c>
      <c r="G102" s="3">
        <f>2926.6+(141-444.6)+(-5.970264+(-0.28764--0.906984))+0-93.8--0.191351999999996</f>
        <v>2524.0404319999998</v>
      </c>
      <c r="H102" s="3">
        <f>2833.4+(141-429.1)+(-4.335102+(-0.21573--0.656523))+0-87.3--0.133569000000005</f>
        <v>2454.2392600000003</v>
      </c>
      <c r="I102" s="3">
        <f>2771.5+(140.2-430.8)+(-2.82693+(-0.143004--0.439416))+0-85.4--0.0871080000000136</f>
        <v>2393.0565900000001</v>
      </c>
      <c r="J102" s="3">
        <f>2777.7+(141-453.4)+(-2.833254+(-0.14382--0.462468))+0-82.2--0.0838440000000131</f>
        <v>2380.669238</v>
      </c>
      <c r="K102" s="3">
        <f>2693.1+(141.8-452.6)+(-4.120443+(-0.216954--0.692478))+0-87.6--0.134028000000005</f>
        <v>2291.1891089999999</v>
      </c>
      <c r="L102" s="3">
        <f>2356.9+(141.2-302.1)+(-6.010095+(-0.36006--0.770355))+0-69.5--0.17722499999999</f>
        <v>2121.0774249999999</v>
      </c>
      <c r="M102" s="3">
        <f>2304+(141.3-247.1)+(-1.17504+(-0.072063--0.126021))+0-95.4--0.0486539999999903</f>
        <v>2101.7275719999998</v>
      </c>
      <c r="N102" s="3">
        <f>2725.1+(127.4-418.5)+(-2.779602+(-0.129948--0.42687))+0-83.9--0.0855780000000134</f>
        <v>2347.702898</v>
      </c>
      <c r="O102" s="3">
        <f>2733.5+(81.2-354.7)+(-4.182255+(-0.124236--0.542691))+0-80.8--0.123624000000005</f>
        <v>2375.5598239999995</v>
      </c>
      <c r="P102" s="3">
        <f>2885.2+(67.4-409.3)+(0+(0-0))+0-60.5-0</f>
        <v>2482.7999999999997</v>
      </c>
      <c r="Q102" s="3">
        <f>2913.2+(58.3-420.3)+(2.971464+(0.059466-0.428706))+0-27.5-0.0280500000000044</f>
        <v>2526.2741740000001</v>
      </c>
      <c r="R102" s="3">
        <f>2887.1+(48.3-377)+(1.472421+(0.024633-0.19227))+0-22.8-0.0116279999999977</f>
        <v>2536.8931559999996</v>
      </c>
      <c r="S102" s="3">
        <f>2876.4+(32.3-306.3)+(1.466964+(0.016473-0.156213))+0-68.3-0.0348329999999931</f>
        <v>2535.3923909999999</v>
      </c>
      <c r="T102" s="3">
        <f>2869.8+(26.6-274.1)+(-1.463598+(-0.013566--0.139791))+0-81.7--0.0416669999999917</f>
        <v>2539.3042940000005</v>
      </c>
      <c r="U102" s="3">
        <f>2856.8+(43.9-264.1)+(-1.456968+(-0.022389--0.134691))+0-85.1--0.0434009999999914</f>
        <v>2550.1987350000004</v>
      </c>
      <c r="V102" s="3">
        <f>2862.6+(69.3-286.3)+(1.459926+(0.035343-0.146013))+0-82.7-0.0421769999999916</f>
        <v>2564.2070790000002</v>
      </c>
      <c r="W102" s="3">
        <f>2832+(83.6-312.3)+(-7.2216+(-0.21318--0.796365))+0-86.2--0.219809999999987</f>
        <v>2510.6813950000005</v>
      </c>
      <c r="X102" s="3">
        <f>2827.8+(94.2-347.7)+(-7.21089+(-0.24021--0.886635))+0-86.3--0.220064999999987</f>
        <v>2481.6556</v>
      </c>
      <c r="Y102" s="3">
        <f>2745.8+(88.2-347.1)+(-1.400358+(-0.044982--0.177021))+0-74.2--0.0378419999999925</f>
        <v>2411.4695230000007</v>
      </c>
      <c r="Z102" s="3">
        <f>2978.7+(19.8-283.2)+(-3.038274+(-0.020196--0.288864))+0-88.6--0.0903720000000141</f>
        <v>2624.0207660000001</v>
      </c>
      <c r="AA102" s="3">
        <f>3040.1+(14.9-333.3)+(-7.752255+(-0.037995--0.849915))+0-84.5--0.215474999999988</f>
        <v>2630.47514</v>
      </c>
      <c r="AB102" s="3">
        <f>3061.4+(76.1-392.3)+(-1.561314+(-0.038811--0.200073))+0-62.2--0.0317219999999937</f>
        <v>2681.6316700000002</v>
      </c>
      <c r="AC102" s="3">
        <f>3048.6+(86.1-414.2)+(-4.664358+(-0.131733--0.633726))+0-31.3--0.0478890000000018</f>
        <v>2685.0855239999996</v>
      </c>
      <c r="AD102" s="2">
        <v>2480.7000000000003</v>
      </c>
      <c r="AE102" s="3">
        <f>3063.5+(64.3-375.7)+(0+(0-0))+0-89.4-0</f>
        <v>2662.7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2866.9+(141.2-355.7)+(0+(0-0))+0-90.6-0</f>
        <v>2561.8000000000002</v>
      </c>
      <c r="G103" s="3">
        <f>2713.2+(141.1-341.3)+(-1.383732+(-0.071961--0.174063))+0-80.5--0.0410549999999918</f>
        <v>2431.2594250000002</v>
      </c>
      <c r="H103" s="3">
        <f>2730.4+(141.8-413.3)+(1.392504+(0.072318-0.210783))+0-67-0.0341699999999932</f>
        <v>2393.1198690000001</v>
      </c>
      <c r="I103" s="3">
        <f>2732.4+(142.4-445.4)+(0+(0-0))+0-81.8-0</f>
        <v>2347.6</v>
      </c>
      <c r="J103" s="3">
        <f>2689.8+(142.5-422.7)+(-2.743596+(-0.14535--0.431154))+0-86--0.0877200000000137</f>
        <v>2321.2299280000002</v>
      </c>
      <c r="K103" s="3">
        <f>2434.2+(142-331.7)+(-6.20721+(-0.3621--0.845835))+0-85.6--0.218279999999988</f>
        <v>2153.3948050000004</v>
      </c>
      <c r="L103" s="3">
        <f>2362.3+(140.8-269.9)+(0+(0-0))+0-87-0</f>
        <v>2146.2000000000003</v>
      </c>
      <c r="M103" s="3">
        <f>2568.4+(139.4-294.3)+(2.619768+(0.142188-0.300186))+0-84-0.0856800000000134</f>
        <v>2331.8760899999997</v>
      </c>
      <c r="N103" s="3">
        <f>2897.5+(108.1-396)+(2.95545+(0.110262-0.40392))+0-75.4-0.076908000000012</f>
        <v>2536.7848839999997</v>
      </c>
      <c r="O103" s="3">
        <f>3078.1+(64.9-372.4)+(0+(0-0))+0-75.5-0</f>
        <v>2695.1</v>
      </c>
      <c r="P103" s="3">
        <f>3214.9+(43.1-345.5)+(4.918797+(0.065943-0.528615))+0-77.2-0.118116000000004</f>
        <v>2839.6380090000002</v>
      </c>
      <c r="Q103" s="3">
        <f>3343.8+(35.8-371.6)+(0+(0-0))+0-73.7-0</f>
        <v>2934.3</v>
      </c>
      <c r="R103" s="3">
        <f>3361+(32.4-371.4)+(-1.71411+(-0.016524--0.189414))+0-43.8--0.0223379999999956</f>
        <v>2976.681118</v>
      </c>
      <c r="S103" s="3">
        <f>3401.9+(30.6-410.7)+(1.734969+(0.015606-0.209457))+0-21.8-0.0111179999999978</f>
        <v>3001.53</v>
      </c>
      <c r="T103" s="3">
        <f>3350.7+(57.8-357.6)+(-3.417714+(-0.058956--0.364752))+0-87.1--0.0888420000000139</f>
        <v>2960.7769239999998</v>
      </c>
      <c r="U103" s="3">
        <f>3332.6+(40.1-356.3)+(-3.399252+(-0.040902--0.363426))+0-78.3--0.0798660000000125</f>
        <v>2935.1031379999999</v>
      </c>
      <c r="V103" s="3">
        <f>3337.5+(54.4-399.4)+(-1.702125+(-0.027744--0.203694))+0-74--0.0377399999999925</f>
        <v>2917.0115650000002</v>
      </c>
      <c r="W103" s="3">
        <f>3316.8+(64.1-423.3)+(-6.766272+(-0.130764--0.863532))+0-84.8--0.172991999999996</f>
        <v>2866.939488</v>
      </c>
      <c r="X103" s="3">
        <f>3231.7+(107.8-484.2)+(-4.944501+(-0.164934--0.740826))+0-68.5--0.104805000000004</f>
        <v>2782.5361959999996</v>
      </c>
      <c r="Y103" s="3">
        <f>3042.9+(103-410.2)+(-3.103758+(-0.10506--0.418404))+0-83.6--0.0852720000000133</f>
        <v>2649.3948580000001</v>
      </c>
      <c r="Z103" s="3">
        <f>3269.2+(30.4-314.3)+(3.334584+(0.031008-0.320586))+0-87.2-0.0889440000000139</f>
        <v>2901.0560619999997</v>
      </c>
      <c r="AA103" s="3">
        <f>3415.6+(20.2-360.9)+(-6.967824+(-0.041208--0.736236))+0-87.7--0.178907999999996</f>
        <v>2981.1061119999999</v>
      </c>
      <c r="AB103" s="3">
        <f>3365.1+(68.9-385.8)+(-8.581005+(-0.175695--0.98379))+0-84.7--0.215984999999988</f>
        <v>2955.9430749999997</v>
      </c>
      <c r="AC103" s="3">
        <f>3312.4+(141-466.8)+(-6.757296+(-0.28764--0.952272))+0-101.4--0.206855999999996</f>
        <v>2879.3141919999998</v>
      </c>
      <c r="AD103" s="2">
        <v>2647.9</v>
      </c>
      <c r="AE103" s="3">
        <f>3406+(12.8-351.7)+(0+(0-0))+0-99.5-0</f>
        <v>2967.6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3062.5+(140.3-456.4)+(0+(0-0))+0-80.1-0</f>
        <v>2666.3</v>
      </c>
      <c r="G104" s="3">
        <f>2759.3+(141-362.8)+(-8.443458+(-0.43146--1.110168))+0-39.7--0.121482000000005</f>
        <v>2490.1567320000004</v>
      </c>
      <c r="H104" s="3">
        <f>2505.9+(142-234)+(-5.112036+(-0.28968--0.47736))+0-80.4--0.164015999999996</f>
        <v>2328.7396600000002</v>
      </c>
      <c r="I104" s="3">
        <f>2468.7+(142.3-237.7)+(-6.295185+(-0.362865--0.606135))+0-91.4--0.233069999999987</f>
        <v>2276.0811549999994</v>
      </c>
      <c r="J104" s="3">
        <f>2443+(142.5-262)+(-7.47558+(-0.43605--0.80172))+0-70.6--0.216036000000008</f>
        <v>2246.0061259999998</v>
      </c>
      <c r="K104" s="3">
        <f>2446.3+(142.1-334.3)+(-4.990452+(-0.289884--0.681972))+0-86.4--0.176255999999996</f>
        <v>2163.2778920000005</v>
      </c>
      <c r="L104" s="3">
        <f>2438.2+(141.8-327.6)+(-6.21741+(-0.36159--0.83538))+0-81.4--0.207569999999988</f>
        <v>2165.4639499999994</v>
      </c>
      <c r="M104" s="3">
        <f>2707.7+(141.2-382.4)+(4.142781+(0.216036-0.585072))+0-89.7-0.137241000000005</f>
        <v>2380.4365040000002</v>
      </c>
      <c r="N104" s="3">
        <f>3005.8+(138.5-475.6)+(4.598874+(0.211905-0.727668))+0-65.9-0.100827000000004</f>
        <v>2606.7822839999999</v>
      </c>
      <c r="O104" s="3">
        <f>3231.8+(126.8-514)+(3.296436+(0.129336-0.52428))+0-73.6-0.0750720000000117</f>
        <v>2773.8264200000003</v>
      </c>
      <c r="P104" s="3">
        <f>3435.1+(123.4-486.4)+(0+(0-0))+0-73.6-0</f>
        <v>2998.5</v>
      </c>
      <c r="Q104" s="3">
        <f>3435.9+(121.4-455.9)+(8.761545+(0.30957-1.162545))+0-83.4-0.212669999999988</f>
        <v>3025.6959000000002</v>
      </c>
      <c r="R104" s="3">
        <f>3392.7+(120.8-395)+(1.730277+(0.061608-0.20145))+0-81.5-0.0415649999999917</f>
        <v>3038.5488700000001</v>
      </c>
      <c r="S104" s="3">
        <f>3359.6+(117.5-382.8)+(-3.426792+(-0.11985--0.390456))+0-74.2--0.0756840000000118</f>
        <v>3017.0194979999997</v>
      </c>
      <c r="T104" s="3">
        <f>3351.4+(86.8-398.3)+(-3.418428+(-0.088536--0.406266))+0-40.3--0.0411060000000064</f>
        <v>2996.5404079999998</v>
      </c>
      <c r="U104" s="3">
        <f>3339.2+(78-373.1)+(-8.51496+(-0.1989--0.951405))+0-74.2--0.189209999999989</f>
        <v>2962.326755</v>
      </c>
      <c r="V104" s="3">
        <f>3341.5+(105.3-414.6)+(-1.704165+(-0.053703--0.211446))+0-50.9--0.0259589999999948</f>
        <v>2979.7795369999999</v>
      </c>
      <c r="W104" s="3">
        <f>3213.1+(108.1-320)+(-6.554724+(-0.220524--0.6528))+0-77--0.157079999999997</f>
        <v>2918.2346319999997</v>
      </c>
      <c r="X104" s="3">
        <f>2967.6+(122.3-271.3)+(-4.540428+(-0.187119--0.415089))+0-87.6--0.134028000000005</f>
        <v>2726.8215700000001</v>
      </c>
      <c r="Y104" s="3">
        <f>2809.6+(118.3-196.7)+(-7.16448+(-0.301665--0.501585))+0-91.5--0.233324999999987</f>
        <v>2632.9687650000001</v>
      </c>
      <c r="Z104" s="3">
        <f>3123.7+(43.5-199.2)+(0+(0-0))+0-84.9-0</f>
        <v>2883.1</v>
      </c>
      <c r="AA104" s="3">
        <f>3382+(17.2-309.8)+(-8.6241+(-0.04386--0.78999))+0-82.7--0.210884999999988</f>
        <v>2999.0329150000002</v>
      </c>
      <c r="AB104" s="3">
        <f>3241.8+(38.4-266.1)+(-3.306636+(-0.039168--0.271422))+0-85.8--0.0875160000000137</f>
        <v>2925.3131340000004</v>
      </c>
      <c r="AC104" s="3">
        <f>3205.2+(92.1-308.7)+(-3.269304+(-0.093942--0.314874))+0-79.7--0.0812940000000127</f>
        <v>2905.932922</v>
      </c>
      <c r="AD104" s="2">
        <v>2728.8</v>
      </c>
      <c r="AE104" s="3">
        <f>3383+(14.8-304.2)+(0+(0-0))+0-92.9-0</f>
        <v>3000.7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3039.9+(140.7-321)+(-7.751745+(-0.358785--0.81855))+0-82.7--0.210884999999988</f>
        <v>2769.8189050000001</v>
      </c>
      <c r="G105" s="3">
        <f>2762+(141.5-294.7)+(-5.63448+(-0.28866--0.601188))+0-82.5--0.168299999999996</f>
        <v>2521.1463480000002</v>
      </c>
      <c r="H105" s="3">
        <f>2550.1+(141.2-210.9)+(-3.901653+(-0.216036--0.322677))+0-80.3--0.122859000000005</f>
        <v>2396.4278469999999</v>
      </c>
      <c r="I105" s="3">
        <f>2515.5+(142.1-223.2)+(-5.13162+(-0.289884--0.455328))+0-75.5--0.154019999999997</f>
        <v>2354.0878440000001</v>
      </c>
      <c r="J105" s="3">
        <f>2507.5+(144.5-241.1)+(-6.394125+(-0.368475--0.614805))+0-99.8--0.254489999999986</f>
        <v>2305.2066949999999</v>
      </c>
      <c r="K105" s="3">
        <f>2504.1+(143.1-301.2)+(-6.385455+(-0.364905--0.76806))+0-88.3--0.225164999999987</f>
        <v>2251.9428649999995</v>
      </c>
      <c r="L105" s="3">
        <f>2536.7+(142.3-290.6)+(-1.293717+(-0.072573--0.148206))+0-88.6--0.045185999999991</f>
        <v>2298.6271019999995</v>
      </c>
      <c r="M105" s="3">
        <f>2622.5+(141.3-265.9)+(2.67495+(0.144126-0.271218))+0-88.1-0.089862000000014</f>
        <v>2412.2579960000003</v>
      </c>
      <c r="N105" s="3">
        <f>2702.2+(136.8-214.8)+(0+(0-0))+0-66.2-0</f>
        <v>2558</v>
      </c>
      <c r="O105" s="3">
        <f>2747+(217.7-193.7)+(-7.00485+(-0.555135--0.493935))+0-78.4--0.199919999999989</f>
        <v>2685.73387</v>
      </c>
      <c r="P105" s="3">
        <f>3316.5+(87.5-333)+(0+(0-0))+0-89.3-0</f>
        <v>2981.7</v>
      </c>
      <c r="Q105" s="3">
        <f>3634.7+(47.7-418.2)+(-3.707394+(-0.048654--0.426564))+0-74.8--0.0762960000000119</f>
        <v>3186.146812</v>
      </c>
      <c r="R105" s="3">
        <f>3595.1+(45.9-338.6)+(0+(0-0))+0-85.1-0</f>
        <v>3217.2999999999997</v>
      </c>
      <c r="S105" s="3">
        <f>3542.6+(34.2-345.8)+(-3.613452+(-0.034884--0.352716))+0-83.7--0.0853740000000134</f>
        <v>3144.0897540000005</v>
      </c>
      <c r="T105" s="3">
        <f>3524.4+(27.1-337.3)+(-5.392332+(-0.041463--0.516069))+0-83.9--0.128367000000005</f>
        <v>3125.5106409999999</v>
      </c>
      <c r="U105" s="3">
        <f>3530+(12.6-362.5)+(3.6006+(0.012852-0.36975))+0-82.2-0.0838440000000131</f>
        <v>3101.0598580000001</v>
      </c>
      <c r="V105" s="3">
        <f>3520.8+(23-413)+(-1.795608+(-0.01173--0.21063))+0-92.6--0.0472259999999906</f>
        <v>3036.6505180000004</v>
      </c>
      <c r="W105" s="3">
        <f>3468.3+(64.3-456.2)+(-12.381831+(-0.229551--1.628634))+0-50.6--0.180642000000001</f>
        <v>3014.9978940000001</v>
      </c>
      <c r="X105" s="3">
        <f>3340.5+(83.6-480.8)+(-11.925585+(-0.298452--1.716456))+0-39.7--0.141729000000001</f>
        <v>2893.2341480000005</v>
      </c>
      <c r="Y105" s="3">
        <f>2606.9+(168.5-180.9)+(-2.659038+(-0.17187--0.184518))+0-69.9--0.0712980000000112</f>
        <v>2522.0249079999999</v>
      </c>
      <c r="Z105" s="3">
        <f>2800.2+(189.9-193.8)+(0+(0-0))+0-68.6-0</f>
        <v>2727.7</v>
      </c>
      <c r="AA105" s="3">
        <f>3638.3+(4.1-433.4)+(-3.711066+(-0.004182--0.442068))+0-92.9--0.0947580000000148</f>
        <v>3112.921578</v>
      </c>
      <c r="AB105" s="3">
        <f>3445.9+(59.8-421.5)+(-3.514818+(-0.060996--0.42993))+0-78.8--0.0803760000000126</f>
        <v>3002.334492</v>
      </c>
      <c r="AC105" s="3">
        <f>3282.6+(140.9-522.6)+(0+(0-0))+0-25.2-0</f>
        <v>2875.7</v>
      </c>
      <c r="AD105" s="2">
        <v>2853.4</v>
      </c>
      <c r="AE105" s="3">
        <f>3667+(6.3-400.3)+(0+(0-0))+0-99.3-0</f>
        <v>3173.7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3199.6+(142.1-539.7)+(1.631796+(0.072471-0.275247))+0-38.4-0.0195839999999961</f>
        <v>2765.0094359999998</v>
      </c>
      <c r="G106" s="3">
        <f>3063.1+(142.1-462)+(0+(0-0))+0-88.2-0</f>
        <v>2655</v>
      </c>
      <c r="H106" s="3">
        <f>3093.9+(141.3-524.9)+(0+(0-0))+0-92.8-0</f>
        <v>2617.5</v>
      </c>
      <c r="I106" s="3">
        <f>2980.8+(141.7-494.3)+(0+(0-0))+0-83.5-0</f>
        <v>2544.7000000000003</v>
      </c>
      <c r="J106" s="3">
        <f>2778+(141.9-402.9)+(-4.25034+(-0.217107--0.616437))+0-82.9--0.126837000000005</f>
        <v>2430.3758269999998</v>
      </c>
      <c r="K106" s="3">
        <f>2764.9+(142.4-511.5)+(-2.820198+(-0.145248--0.52173))+0-69.9--0.0712980000000112</f>
        <v>2323.5275819999997</v>
      </c>
      <c r="L106" s="3">
        <f>2769.5+(128.3-524.2)+(-5.64978+(-0.261732--1.069368))+0-39.7--0.0809879999999983</f>
        <v>2329.1388440000001</v>
      </c>
      <c r="M106" s="3">
        <f>2821.6+(114.9-461.7)+(0+(0-0))+0-21.8-0</f>
        <v>2453</v>
      </c>
      <c r="N106" s="3">
        <f>2863.8+(99.2-349.7)+(2.921076+(0.101184-0.356694))+0-17.9-0.0182580000000029</f>
        <v>2598.0473080000002</v>
      </c>
      <c r="O106" s="3">
        <f>3306.8+(53.3-502.4)+(-6.745872+(-0.108732--1.024896))+0-20.9--0.0426359999999991</f>
        <v>2831.0129280000001</v>
      </c>
      <c r="P106" s="3">
        <f>3565.5+(28.9-548)+(-1.818405+(-0.014739--0.27948))+0-20.1--0.010250999999998</f>
        <v>3024.7565870000003</v>
      </c>
      <c r="Q106" s="3">
        <f>3596.4+(16.7-497.1)+(-1.834164+(-0.008517--0.253521))+0-20.1--0.010250999999998</f>
        <v>3094.3210910000003</v>
      </c>
      <c r="R106" s="3">
        <f>3626+(3.5-430.5)+(0+(0-0))+0-18.9-0</f>
        <v>3180.1</v>
      </c>
      <c r="S106" s="3">
        <f>3599.1+(0-417.8)+(-7.342164+(0--0.852312))+0-19.5--0.0397799999999991</f>
        <v>3155.3499279999996</v>
      </c>
      <c r="T106" s="3">
        <f>3586.4+(0-385.9)+(-3.658128+(0--0.393618))+0-82.9--0.0845580000000132</f>
        <v>3114.420048</v>
      </c>
      <c r="U106" s="3">
        <f>3561.4+(0-383.5)+(-1.816314+(0--0.195585))+0-77.1--0.0393209999999922</f>
        <v>3099.2185920000002</v>
      </c>
      <c r="V106" s="3">
        <f>3544.7+(0-405.7)+(-1.807797+(0--0.206907))+0-62--0.0316199999999937</f>
        <v>3075.43073</v>
      </c>
      <c r="W106" s="3">
        <f>3553+(13.8-419.6)+(5.43609+(0.021114-0.641988))+0-94.5-0.144585000000005</f>
        <v>3057.3706309999998</v>
      </c>
      <c r="X106" s="3">
        <f>3275.8+(58.8-356.2)+(-5.011974+(-0.089964--0.544986))+0-39.5--0.0604350000000023</f>
        <v>2934.4034830000001</v>
      </c>
      <c r="Y106" s="3">
        <f>3061.7+(53.9-288.1)+(3.122934+(0.054978-0.293862))+0-90.1-0.0919020000000144</f>
        <v>2740.1921480000001</v>
      </c>
      <c r="Z106" s="3">
        <f>3446.9+(17.9-332.4)+(-1.757919+(-0.009129--0.169524))+0-81.8--0.0417179999999917</f>
        <v>3049.0441940000001</v>
      </c>
      <c r="AA106" s="3">
        <f>3595.4+(14.3-335)+(-7.334616+(-0.029172--0.6834))+0-88.1--0.179723999999996</f>
        <v>3180.0993360000002</v>
      </c>
      <c r="AB106" s="3">
        <f>3600.5+(75.8-429.4)+(-1.836255+(-0.038658--0.218994))+0-81.5--0.0415649999999917</f>
        <v>3163.7856460000003</v>
      </c>
      <c r="AC106" s="3">
        <f>3360.7+(140.1-431.2)+(-3.427914+(-0.142902--0.439824))+0-43--0.0438600000000069</f>
        <v>3023.5128680000003</v>
      </c>
      <c r="AD106" s="2">
        <v>2741</v>
      </c>
      <c r="AE106" s="3">
        <f>3631+(19.6-357.7)+(0+(0-0))+0-96.2-0</f>
        <v>3196.7000000000003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3323.3+(140.8-508.1)+(-8.474415+(-0.35904--1.295655))+0-84.1--0.214454999999988</f>
        <v>2864.5766549999998</v>
      </c>
      <c r="G107" s="3">
        <f>3155+(139.8-511.6)+(3.2181+(0.142596-0.521832))+0-94.2-0.096084000000015</f>
        <v>2691.74278</v>
      </c>
      <c r="H107" s="3">
        <f>2892+(141.2-412.7)+(-2.94984+(-0.144024--0.420954))+0-66--0.0673200000000105</f>
        <v>2551.8944100000003</v>
      </c>
      <c r="I107" s="3">
        <f>2852.4+(142.1-396.8)+(1.454724+(0.072471-0.202368))+0-79.2-0.040391999999992</f>
        <v>2519.7844350000005</v>
      </c>
      <c r="J107" s="3">
        <f>2730.5+(140.7-360.3)+(-4.177665+(-0.215271--0.551259))+0-78.8--0.120564000000005</f>
        <v>2428.3788869999998</v>
      </c>
      <c r="K107" s="3">
        <f>2579.1+(141.6-388.9)+(-3.946023+(-0.216648--0.595017))+0-30.1--0.0460530000000017</f>
        <v>2298.1783989999999</v>
      </c>
      <c r="L107" s="3">
        <f>2440.4+(141.1-294.4)+(-3.733812+(-0.215883--0.450432))+0-84.1--0.128673000000005</f>
        <v>2199.62941</v>
      </c>
      <c r="M107" s="3">
        <f>2621.8+(139.9-337.4)+(2.674236+(0.142698-0.344148))+0-100.3-0.102306000000016</f>
        <v>2326.3704799999996</v>
      </c>
      <c r="N107" s="3">
        <f>3082.9+(119.3-508.3)+(0+(0-0))+0-73.4-0</f>
        <v>2620.5</v>
      </c>
      <c r="O107" s="3">
        <f>3440.9+(85-607.5)+(-5.264577+(-0.13005--0.929475))+0-81.4--0.124542000000005</f>
        <v>2832.6593899999998</v>
      </c>
      <c r="P107" s="3">
        <f>3521.6+(41.5-562.2)+(-5.388048+(-0.063495--0.860166))+0-69.4--0.106182000000004</f>
        <v>2927.0148049999993</v>
      </c>
      <c r="Q107" s="3">
        <f>3588.9+(15.6-539.7)+(0+(0-0))+0-23.5-0</f>
        <v>3041.3</v>
      </c>
      <c r="R107" s="3">
        <f>3629.2+(0-458.3)+(3.701784+(0-0.467466))+0-77.4-0.0789480000000123</f>
        <v>3096.6553699999995</v>
      </c>
      <c r="S107" s="3">
        <f>3675.5+(28.9-527.5)+(-11.24703+(-0.088434--1.61415))+0-76.3--0.233478000000009</f>
        <v>3091.1121640000001</v>
      </c>
      <c r="T107" s="3">
        <f>3747.1+(28-597.9)+(-1.911021+(-0.01428--0.304929))+0-75.1--0.0383009999999924</f>
        <v>3100.5179290000001</v>
      </c>
      <c r="U107" s="3">
        <f>3698.1+(19-599.4)+(-3.772062+(-0.01938--0.611388))+0-71.6--0.0730320000000114</f>
        <v>3042.9929779999998</v>
      </c>
      <c r="V107" s="3">
        <f>3675.2+(14.4-606.7)+(-5.623056+(-0.022032--0.928251))+0-78.9--0.120717000000005</f>
        <v>2999.4038799999994</v>
      </c>
      <c r="W107" s="3">
        <f>3664.5+(22-626.9)+(-7.47558+(-0.04488--1.278876))+0-73.9--0.150755999999997</f>
        <v>2979.6091719999999</v>
      </c>
      <c r="X107" s="3">
        <f>3437+(45.4-567.9)+(-14.02296+(-0.185232--2.317032))+0-83.9--0.342311999999993</f>
        <v>2819.051152</v>
      </c>
      <c r="Y107" s="3">
        <f>3044.5+(79.4-407.9)+(-4.658085+(-0.121482--0.624087))+0-78.1--0.119493000000004</f>
        <v>2633.8640130000003</v>
      </c>
      <c r="Z107" s="3">
        <f>3576.7+(10.5-558.6)+(-1.824117+(-0.005355--0.284886))+0-54.9--0.0279989999999944</f>
        <v>2972.1834129999997</v>
      </c>
      <c r="AA107" s="3">
        <f>3727.7+(9.3-547.2)+(-11.406762+(-0.028458--1.674432))+0-93.4--0.285804000000011</f>
        <v>3086.9250159999997</v>
      </c>
      <c r="AB107" s="3">
        <f>3625.5+(79.6-614.4)+(-7.39602+(-0.162384--1.253376))+0-88--0.179519999999996</f>
        <v>2996.5744919999997</v>
      </c>
      <c r="AC107" s="3">
        <f>3358.8+(141.9-550.1)+(-5.138964+(-0.217107--0.841653))+0-83.1--0.127143000000005</f>
        <v>2863.1127250000004</v>
      </c>
      <c r="AD107" s="2">
        <v>2695.5</v>
      </c>
      <c r="AE107" s="3">
        <f>3742+(1.1-535.1)+(0+(0-0))+0-109.1-0</f>
        <v>3098.9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3247+(141.9-528.3)+(-1.65597+(-0.072369--0.269433))+0-89.9--0.0458489999999909</f>
        <v>2769.2869430000001</v>
      </c>
      <c r="G108" s="3">
        <f>3068.1+(142-529)+(1.564731+(0.07242-0.26979))+0-79.9-0.0407489999999919</f>
        <v>2602.5266120000001</v>
      </c>
      <c r="H108" s="3">
        <f>2889.8+(142.3-496.4)+(-4.421394+(-0.217719--0.759492))+0-86.9--0.132957000000005</f>
        <v>2445.0533359999999</v>
      </c>
      <c r="I108" s="3">
        <f>2796.1+(142.2-495)+(0+(0-0))+0-94.1-0</f>
        <v>2349.1999999999998</v>
      </c>
      <c r="J108" s="3">
        <f>2798.9+(140.7-531.8)+(0+(0-0))+0-63.9-0</f>
        <v>2343.9</v>
      </c>
      <c r="K108" s="3">
        <f>2668.1+(141.6-498.8)+(-6.803655+(-0.36108--1.27194))+0-91.8--0.234089999999987</f>
        <v>2213.4412949999992</v>
      </c>
      <c r="L108" s="3">
        <f>2379.2+(140.7-345.7)+(-8.493744+(-0.502299--1.234149))+0-89.7--0.320229000000001</f>
        <v>2077.0583349999997</v>
      </c>
      <c r="M108" s="3">
        <f>2496+(141.3-365)+(0+(0-0))+0-68.6-0</f>
        <v>2203.7000000000003</v>
      </c>
      <c r="N108" s="3">
        <f>2738.6+(140.5-456.3)+(0+(0-0))+0-70.3-0</f>
        <v>2352.4999999999995</v>
      </c>
      <c r="O108" s="3">
        <f>3032.9+(137.4-558.3)+(1.546779+(0.070074-0.284733))+0-94.8-0.0483479999999904</f>
        <v>2518.483772</v>
      </c>
      <c r="P108" s="3">
        <f>3205.4+(123.4-554)+(0+(0-0))+0-71.5-0</f>
        <v>2703.3</v>
      </c>
      <c r="Q108" s="3">
        <f>3284.4+(116.7-548.6)+(3.350088+(0.119034-0.559572))+0-80.5-0.0821100000000128</f>
        <v>2774.82744</v>
      </c>
      <c r="R108" s="3">
        <f>3339.4+(110.1-573.6)+(-1.703094+(-0.056151--0.292536))+0-64--0.0326399999999935</f>
        <v>2810.4659310000002</v>
      </c>
      <c r="S108" s="3">
        <f>3391+(91-608.3)+(-1.72941+(-0.04641--0.310233))+0-90.5--0.0461549999999908</f>
        <v>2781.7805679999997</v>
      </c>
      <c r="T108" s="3">
        <f>3377+(85.2-602.8)+(-3.44454+(-0.086904--0.614856))+0-77.3--0.0788460000000123</f>
        <v>2779.2622579999997</v>
      </c>
      <c r="U108" s="3">
        <f>3356.1+(83-601.1)+(0+(0-0))+0-79.4-0</f>
        <v>2758.6</v>
      </c>
      <c r="V108" s="3">
        <f>3357.6+(60.5-597.8)+(1.712376+(0.030855-0.304878))+0-84-0.0428399999999915</f>
        <v>2737.6955130000001</v>
      </c>
      <c r="W108" s="3">
        <f>3222.6+(63.4-564.7)+(-9.861156+(-0.194004--1.727982))+0-81.7--0.250002000000009</f>
        <v>2631.5228240000001</v>
      </c>
      <c r="X108" s="3">
        <f>3022+(81.8-516.4)+(-7.7061+(-0.20859--1.31682))+0-75--0.191249999999989</f>
        <v>2505.9933799999999</v>
      </c>
      <c r="Y108" s="3">
        <f>2923.5+(76.2-426.4)+(-1.490985+(-0.038862--0.217464))+0-85.5--0.0436049999999913</f>
        <v>2486.5312220000001</v>
      </c>
      <c r="Z108" s="3">
        <f>3195.1+(7-435.3)+(1.629501+(0.00357-0.222003))+0-79.9-0.0407489999999919</f>
        <v>2688.2703189999997</v>
      </c>
      <c r="AA108" s="3">
        <f>3541.5+(0-650.7)+(-5.418495+(0--0.995571))+0-88.4--0.135252000000005</f>
        <v>2798.1123280000002</v>
      </c>
      <c r="AB108" s="3">
        <f>3361.9+(85.7-636.8)+(-1.714569+(-0.043707--0.324768))+0-85.7--0.0437069999999913</f>
        <v>2723.7101990000001</v>
      </c>
      <c r="AC108" s="3">
        <f>3327.7+(142.9-687.8)+(1.697127+(0.072879-0.350778))+0-43.2-0.0220319999999956</f>
        <v>2740.9971960000003</v>
      </c>
      <c r="AD108" s="2">
        <v>2585.9</v>
      </c>
      <c r="AE108" s="3">
        <f>3570+(0-665.8)+(0+(0-0))+0-102.6-0</f>
        <v>2801.6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3060.7+(143.6-527.7)+(3.121914+(0.146472-0.538254))+0-82.6-0.0842520000000132</f>
        <v>2596.64588</v>
      </c>
      <c r="G109" s="3">
        <f>3006.7+(143.8-554.5)+(1.533417+(0.073338-0.282795))+0-97.2-0.0495719999999901</f>
        <v>2500.0743880000005</v>
      </c>
      <c r="H109" s="3">
        <f>2778.2+(144.1-473.5)+(4.250646+(0.220473-0.724455))+0-74.7-0.114291000000004</f>
        <v>2377.7323729999998</v>
      </c>
      <c r="I109" s="3">
        <f>2686.9+(142.7-411)+(0+(0-0))+0-83.3-0</f>
        <v>2335.2999999999997</v>
      </c>
      <c r="J109" s="3">
        <f>2509.5+(143.4-325.9)+(-2.55969+(-0.146268--0.332418))+0-75.4--0.076908000000012</f>
        <v>2249.3033679999999</v>
      </c>
      <c r="K109" s="3">
        <f>2487.2+(142.3-370)+(-8.879304+(-0.508011--1.3209))+0-74.7--0.266679000000001</f>
        <v>2177.0002640000002</v>
      </c>
      <c r="L109" s="3">
        <f>2499.3+(141-351)+(-3.823929+(-0.21573--0.53703))+0-95.9--0.146727000000006</f>
        <v>2190.0440979999998</v>
      </c>
      <c r="M109" s="3">
        <f>2524.5+(141-354.7)+(1.287495+(0.07191-0.180897))+0-81.9-0.0417689999999917</f>
        <v>2230.0367390000001</v>
      </c>
      <c r="N109" s="3">
        <f>2617.4+(140.5-364.1)+(-1.334874+(-0.071655--0.185691))+0-75.6--0.0385559999999923</f>
        <v>2317.0177180000001</v>
      </c>
      <c r="O109" s="3">
        <f>2642.7+(137.5-338.1)+(4.043331+(0.210375-0.517293))+0-87.8-0.134334000000005</f>
        <v>2357.902079</v>
      </c>
      <c r="P109" s="3">
        <f>2859.8+(117.5-397.8)+(1.458498+(0.059925-0.202878))+0-87.6-0.0446759999999911</f>
        <v>2493.170869</v>
      </c>
      <c r="Q109" s="3">
        <f>3159.7+(97.7-531.4)+(1.611447+(0.049827-0.271014))+0-71.7-0.0365669999999927</f>
        <v>2655.6536930000002</v>
      </c>
      <c r="R109" s="3">
        <f>3156.9+(85.8-532.5)+(3.220038+(0.087516-0.54315))+0-22.1-0.0225420000000035</f>
        <v>2690.8418620000002</v>
      </c>
      <c r="S109" s="3">
        <f>3232+(80.6-545.2)+(6.59328+(0.164424-1.112208))+0-77.9-0.158915999999997</f>
        <v>2694.9865800000002</v>
      </c>
      <c r="T109" s="3">
        <f>3233.2+(66.2-540.2)+(4.946796+(0.101286-0.826506))+0-88.6-0.135558000000005</f>
        <v>2674.6860179999999</v>
      </c>
      <c r="U109" s="3">
        <f>3221.3+(31.6-542.5)+(3.285726+(0.032232-0.55335))+0-71.5-0.0729300000000114</f>
        <v>2641.5916780000002</v>
      </c>
      <c r="V109" s="3">
        <f>3226.8+(25.9-566.9)+(1.645668+(0.013209-0.289119))+0-55.2-0.0281519999999944</f>
        <v>2631.9416060000003</v>
      </c>
      <c r="W109" s="3">
        <f>3234.8+(27-605)+(-1.649748+(-0.01377--0.30855))+0-56.9--0.0290189999999942</f>
        <v>2598.5740510000001</v>
      </c>
      <c r="X109" s="3">
        <f>3240.2+(32.5-658.2)+(-6.610008+(-0.0663--1.342728))+0-75.8--0.154631999999997</f>
        <v>2533.5210520000001</v>
      </c>
      <c r="Y109" s="3">
        <f>3069+(41.3-578.2)+(1.56519+(0.021063-0.294882))+0-87.1-0.0444209999999912</f>
        <v>2446.2469499999997</v>
      </c>
      <c r="Z109" s="3">
        <f>3364.7+(0-624.2)+(-1.715997+(0--0.318342))+0-82.3--0.0419729999999916</f>
        <v>2656.8443179999995</v>
      </c>
      <c r="AA109" s="3">
        <f>3519.3+(0-706.3)+(-3.589686+(0--0.720426))+0-77.7--0.0792540000000124</f>
        <v>2732.5099940000005</v>
      </c>
      <c r="AB109" s="3">
        <f>3503.6+(57.4-712.9)+(-3.573672+(-0.058548--0.727158))+0-78.8--0.0803760000000126</f>
        <v>2766.4753139999998</v>
      </c>
      <c r="AC109" s="3">
        <f>3345.5+(139.5-656)+(-1.706205+(-0.071145--0.33456))+0-88.4--0.045083999999991</f>
        <v>2739.2022939999997</v>
      </c>
      <c r="AD109" s="2">
        <v>2525.3000000000002</v>
      </c>
      <c r="AE109" s="3">
        <f>3501+(25.9-688.5)+(0+(0-0))+0-94.5-0</f>
        <v>2743.9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3115.6+(141.9-545.8)+(-1.588956+(-0.072369--0.278358))+0-80.9--0.0412589999999918</f>
        <v>2629.4582919999998</v>
      </c>
      <c r="G110" s="3">
        <f>3016+(141.9-550.8)+(0+(0-0))+0-91.8-0</f>
        <v>2515.2999999999997</v>
      </c>
      <c r="H110" s="3">
        <f>2817+(141-473.5)+(-1.43667+(-0.07191--0.241485))+0-51.1--0.0260609999999948</f>
        <v>2432.158966</v>
      </c>
      <c r="I110" s="3">
        <f>2676.1+(141-395.6)+(-1.364811+(-0.07191--0.201756))+0-70.9--0.0361589999999928</f>
        <v>2349.4011939999996</v>
      </c>
      <c r="J110" s="3">
        <f>2681.3+(140.7-431.7)+(-2.734926+(-0.143514--0.440334))+0-86--0.0877200000000137</f>
        <v>2301.9496140000001</v>
      </c>
      <c r="K110" s="3">
        <f>2646.9+(141.9-513.1)+(-6.749595+(-0.361845--1.308405))+0-75.4--0.192269999999989</f>
        <v>2194.6892349999998</v>
      </c>
      <c r="L110" s="3">
        <f>2574+(141.9-453.8)+(-2.62548+(-0.144738--0.462876))+0-69--0.070380000000011</f>
        <v>2190.863038</v>
      </c>
      <c r="M110" s="3">
        <f>2826.3+(139.9-506)+(4.324239+(0.214047-0.77418))+0-70.5-0.107865000000004</f>
        <v>2393.3562410000004</v>
      </c>
      <c r="N110" s="3">
        <f>3131.7+(140.7-575.5)+(0+(0-0))+0-77.7-0</f>
        <v>2619.1999999999998</v>
      </c>
      <c r="O110" s="3">
        <f>3360+(106.8-581.2)+(3.4272+(0.108936-0.592824))+0-80.6-0.0822120000000128</f>
        <v>2807.8611000000001</v>
      </c>
      <c r="P110" s="3">
        <f>3529.7+(94.4-568.3)+(5.400441+(0.144432-0.869499))+0-80.5-0.123165000000005</f>
        <v>2979.8522089999997</v>
      </c>
      <c r="Q110" s="3">
        <f>3612.3+(105.2-588.7)+(5.526819+(0.160956-0.900711))+0-83.6-0.127908000000005</f>
        <v>3049.8591560000004</v>
      </c>
      <c r="R110" s="3">
        <f>3594.5+(84.8-560.6)+(7.33278+(0.172992-1.143624))+0-76.5-0.156059999999997</f>
        <v>3048.4060880000002</v>
      </c>
      <c r="S110" s="3">
        <f>3553.3+(78.6-504.9)+(1.812183+(0.040086-0.257499))+0-73.2-0.0373319999999926</f>
        <v>3055.3574380000005</v>
      </c>
      <c r="T110" s="3">
        <f>3534+(75-574.4)+(-1.80234+(-0.03825--0.292944))+0-19--0.00968999999999807</f>
        <v>3014.0620439999998</v>
      </c>
      <c r="U110" s="3">
        <f>3477.2+(78.4-506.7)+(0+(0-0))+0-75.2-0</f>
        <v>2973.7</v>
      </c>
      <c r="V110" s="3">
        <f>3464.3+(81.2-510.4)+(-3.533586+(-0.082824--0.520608))+0-83.1--0.0847620000000132</f>
        <v>2948.9889600000006</v>
      </c>
      <c r="W110" s="3">
        <f>3477.7+(71.6-537.1)+(-5.320881+(-0.109548--0.821763))+0-82.5--0.126225000000005</f>
        <v>2925.2175589999997</v>
      </c>
      <c r="X110" s="3">
        <f>3417.6+(91.4-562.3)+(-8.71488+(-0.23307--1.433865))+0-79--0.201449999999989</f>
        <v>2860.387365</v>
      </c>
      <c r="Y110" s="3">
        <f>3239.4+(61.4-481.3)+(-4.956282+(-0.093942--0.736389))+0-64.8--0.0991440000000037</f>
        <v>2750.4853089999997</v>
      </c>
      <c r="Z110" s="3">
        <f>3524.8+(10.9-458.2)+(3.595296+(0.011118-0.467364))+0-86.7-0.0884340000000138</f>
        <v>2993.8506160000002</v>
      </c>
      <c r="AA110" s="3">
        <f>3614+(16.8-528.4)+(-5.52942+(-0.025704--0.808452))+0-55.9--0.0855270000000032</f>
        <v>3041.838855</v>
      </c>
      <c r="AB110" s="3">
        <f>3618.7+(51.8-588.5)+(-5.536611+(-0.079254--0.900405))+0-39.6--0.0605880000000023</f>
        <v>3037.745128</v>
      </c>
      <c r="AC110" s="3">
        <f>3546.2+(62.2-545)+(-3.617124+(-0.063444--0.5559))+0-72--0.0734400000000115</f>
        <v>2988.3487719999998</v>
      </c>
      <c r="AD110" s="2">
        <v>2759</v>
      </c>
      <c r="AE110" s="3">
        <f>3627+(17.3-510.2)+(0+(0-0))+0-110.5-0</f>
        <v>3023.6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3259.4+(134.2-524.5)+(-3.324588+(-0.136884--0.53499))+0-55.3--0.0564060000000088</f>
        <v>2810.929924</v>
      </c>
      <c r="G111" s="3">
        <f>2922.5+(142-413.9)+(-2.98095+(-0.14484--0.422178))+0-53.3--0.0543660000000085</f>
        <v>2594.6507539999998</v>
      </c>
      <c r="H111" s="3">
        <f>2811.4+(143.1-403.6)+(-4.301442+(-0.218943--0.617508))+0-79.9--0.122247000000005</f>
        <v>2467.2193699999998</v>
      </c>
      <c r="I111" s="3">
        <f>2630.7+(141.2-328.3)+(-8.049942+(-0.432072--1.004598))+0-94.9--0.290394000000011</f>
        <v>2341.5129779999997</v>
      </c>
      <c r="J111" s="3">
        <f>2583+(141.3-363.5)+(-6.58665+(-0.360315--0.926925))+0-64.3--0.163964999999991</f>
        <v>2290.6439250000003</v>
      </c>
      <c r="K111" s="3">
        <f>2531.1+(140.4-389.6)+(-11.617749+(-0.644436--1.788264))+0-70.4--0.323136000000012</f>
        <v>2201.3492150000002</v>
      </c>
      <c r="L111" s="3">
        <f>2581.4+(140.6-395.6)+(0+(0-0))+0-74.4-0</f>
        <v>2252</v>
      </c>
      <c r="M111" s="3">
        <f>2782.8+(137.8-403.6)+(1.419228+(0.070278-0.205836))+0-97.5-0.0497249999999901</f>
        <v>2420.7339449999999</v>
      </c>
      <c r="N111" s="3">
        <f>3049.3+(118.1-451.5)+(3.110286+(0.120462-0.46053))+0-75.6-0.077112000000012</f>
        <v>2642.9931060000004</v>
      </c>
      <c r="O111" s="3">
        <f>3234.9+(93.4-497.7)+(1.649799+(0.047634-0.253827))+0-53.9-0.0274889999999945</f>
        <v>2778.116117</v>
      </c>
      <c r="P111" s="3">
        <f>3422.5+(40.3-473.7)+(1.745475+(0.020553-0.241587))+0-83.4-0.0425339999999915</f>
        <v>2907.1819069999997</v>
      </c>
      <c r="Q111" s="3">
        <f>3557.4+(16.7-465.9)+(1.814274+(0.008517-0.237609))+0-53.2-0.0271319999999946</f>
        <v>3056.5580500000001</v>
      </c>
      <c r="R111" s="3">
        <f>3533.7+(7.8-428.5)+(0+(0-0))+0-95.6-0</f>
        <v>3017.4</v>
      </c>
      <c r="S111" s="3">
        <f>3482.4+(46.7-457.1)+(-1.776024+(-0.023817--0.233121))+0-90.2--0.0460019999999908</f>
        <v>2980.2792820000004</v>
      </c>
      <c r="T111" s="3">
        <f>3483.3+(33.3-480.7)+(3.552966+(0.033966-0.490314))+0-60.3-0.0615060000000096</f>
        <v>2978.6351119999999</v>
      </c>
      <c r="U111" s="3">
        <f>3481.5+(26.1-456.2)+(0+(0-0))+0-91.5-0</f>
        <v>2959.9</v>
      </c>
      <c r="V111" s="3">
        <f>3481.6+(45-500.6)+(0+(0-0))+0-45.1-0</f>
        <v>2980.9</v>
      </c>
      <c r="W111" s="3">
        <f>3460.1+(58.3-470.5)+(-10.587906+(-0.178398--1.43973))+0-95.7--0.292842000000011</f>
        <v>2943.1662679999999</v>
      </c>
      <c r="X111" s="3">
        <f>3468+(67-562.4)+(-15.91812+(-0.30753--2.581416))+0-87.3--0.400707000000015</f>
        <v>2872.0564730000001</v>
      </c>
      <c r="Y111" s="3">
        <f>3161.3+(58.1-433.7)+(-3.224526+(-0.059262--0.442374))+0-44.8--0.0456960000000071</f>
        <v>2738.1042820000002</v>
      </c>
      <c r="Z111" s="3">
        <f>3230.4+(4.6-293.9)+(0+(0-0))+0-89.8-0</f>
        <v>2851.3</v>
      </c>
      <c r="AA111" s="3">
        <f>3497.6+(6.9-493.9)+(-3.567552+(-0.007038--0.503778))+0-37.1--0.0378420000000059</f>
        <v>2970.4670300000002</v>
      </c>
      <c r="AB111" s="3">
        <f>3508.2+(63.8-502.5)+(-7.156728+(-0.130152--1.0251))+0-87.5--0.178499999999996</f>
        <v>2975.9167200000002</v>
      </c>
      <c r="AC111" s="3">
        <f>3469.9+(134.4-538.8)+(-3.539298+(-0.137088--0.549576))+0-89.6--0.0913920000000143</f>
        <v>2972.8645819999997</v>
      </c>
      <c r="AD111" s="2">
        <v>2785.4</v>
      </c>
      <c r="AE111" s="3">
        <f>3513+(9.8-503)+(0+(0-0))+0-20.3-0</f>
        <v>2999.5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3341.6+(141.1-585.2)+(-3.408432+(-0.143922--0.596904))+0-86.5--0.0882300000000138</f>
        <v>2808.1327799999999</v>
      </c>
      <c r="G112" s="3">
        <f>3204.3+(141-563.3)+(-4.902579+(-0.21573--0.861849))+0-72.2--0.110466000000004</f>
        <v>2705.6540060000002</v>
      </c>
      <c r="H112" s="3">
        <f>2989.6+(141.5-456.2)+(-7.62348+(-0.360825--1.16331))+0-87.6--0.223379999999987</f>
        <v>2580.702385</v>
      </c>
      <c r="I112" s="3">
        <f>2988.1+(142.4-530.6)+(1.523931+(0.072624-0.270606))+0-56.5-0.0288149999999943</f>
        <v>2544.6971339999996</v>
      </c>
      <c r="J112" s="3">
        <f>2734.6+(139.8-413.9)+(-1.394646+(-0.071298--0.211089))+0-81.8--0.0417179999999917</f>
        <v>2377.4868629999996</v>
      </c>
      <c r="K112" s="3">
        <f>2727.9+(140.5-475.8)+(-4.173687+(-0.214965--0.727974))+0-88.1--0.134793000000005</f>
        <v>2300.974115</v>
      </c>
      <c r="L112" s="3">
        <f>2584.6+(141.4-402.9)+(0+(0-0))+0-65.6-0</f>
        <v>2257.5</v>
      </c>
      <c r="M112" s="3">
        <f>2713.4+(140.7-406.1)+(-1.383834+(-0.071757--0.207111))+0-70--0.0356999999999929</f>
        <v>2376.7872199999997</v>
      </c>
      <c r="N112" s="3">
        <f>2964.4+(129.6-447.8)+(6.047376+(0.264384-0.913512))+0-75.8-0.154631999999997</f>
        <v>2575.6436159999994</v>
      </c>
      <c r="O112" s="3">
        <f>3315.4+(83.9-527)+(-3.381708+(-0.085578--0.53754))+0-70.4--0.0718080000000112</f>
        <v>2799.0420620000004</v>
      </c>
      <c r="P112" s="3">
        <f>3468.8+(96.5-552.1)+(-1.769088+(-0.049215--0.281571))+0-82.2--0.0419219999999917</f>
        <v>2929.5051900000003</v>
      </c>
      <c r="Q112" s="3">
        <f>3541.7+(80.4-536.7)+(7.225068+(0.164016-1.094868))+0-72.1-0.147083999999997</f>
        <v>3019.4471319999993</v>
      </c>
      <c r="R112" s="3">
        <f>3522.8+(64.5-505.1)+(3.593256+(0.06579-0.515202))+0-58-0.0591600000000092</f>
        <v>3027.2846840000007</v>
      </c>
      <c r="S112" s="3">
        <f>3566.4+(49-526)+(1.818864+(0.02499-0.26826))+0-66.2-0.0337619999999933</f>
        <v>3024.7418320000002</v>
      </c>
      <c r="T112" s="3">
        <f>3569.8+(41.4-529.9)+(-1.820598+(-0.021114--0.270249))+0-67.5--0.0344249999999932</f>
        <v>3012.2629619999998</v>
      </c>
      <c r="U112" s="3">
        <f>3514.5+(33.4-483.6)+(0+(0-0))+0-92.3-0</f>
        <v>2972</v>
      </c>
      <c r="V112" s="3">
        <f>3512.7+(30-489.2)+(1.791477+(0.0153-0.249492))+0-69.7-0.0355469999999929</f>
        <v>2985.3217380000001</v>
      </c>
      <c r="W112" s="3">
        <f>3507.7+(35.7-498.1)+(0+(0-0))+0-72.5-0</f>
        <v>2972.7999999999997</v>
      </c>
      <c r="X112" s="3">
        <f>3471.7+(51.1-543.7)+(-3.541134+(-0.052122--0.554574))+0-51.5--0.0525300000000082</f>
        <v>2924.613848</v>
      </c>
      <c r="Y112" s="3">
        <f>3236.7+(39.6-437.4)+(6.602868+(0.080784-0.892296))+0-89.2-0.181967999999996</f>
        <v>2755.3093880000001</v>
      </c>
      <c r="Z112" s="3">
        <f>3568.5+(2.9-490.9)+(5.459805+(0.004437-0.751077))+0-38.8-0.0593640000000022</f>
        <v>3046.3538009999997</v>
      </c>
      <c r="AA112" s="3">
        <f>3755.6+(13.7-577.3)+(-7.661424+(-0.027948--1.177692))+0-70.2--0.143207999999997</f>
        <v>3115.4315280000001</v>
      </c>
      <c r="AB112" s="3">
        <f>3654.1+(59.6-543.7)+(-5.590773+(-0.091188--0.831861))+0-83.7--0.128061000000005</f>
        <v>3081.577961</v>
      </c>
      <c r="AC112" s="3">
        <f>3437.7+(129.7-513.1)+(-1.753227+(-0.066147--0.261681))+0-65.2--0.0332519999999934</f>
        <v>2987.5755589999999</v>
      </c>
      <c r="AD112" s="2">
        <v>2849.3</v>
      </c>
      <c r="AE112" s="3">
        <f>3752+(13.3-529.2)+(0+(0-0))+0-95.8-0</f>
        <v>3140.2999999999997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3218.8+(140.6-437.7)+(-4.924764+(-0.215118--0.669681))+0-78.8--0.120564000000005</f>
        <v>2838.5503629999998</v>
      </c>
      <c r="G113" s="3">
        <f>3059.1+(140.6-394.6)+(-7.800705+(-0.35853--1.00623))+0-90.1--0.229754999999987</f>
        <v>2708.0767499999997</v>
      </c>
      <c r="H113" s="3">
        <f>2891.1+(141.9-366)+(-5.897844+(-0.289476--0.74664))+0-77.4--0.157895999999997</f>
        <v>2584.3172159999999</v>
      </c>
      <c r="I113" s="3">
        <f>2856.9+(142.2-383)+(-7.285095+(-0.36261--0.97665))+0-78.5--0.200174999999989</f>
        <v>2531.1291200000001</v>
      </c>
      <c r="J113" s="3">
        <f>2845.1+(141.8-413.7)+(-1.451001+(-0.072318--0.210987))+0-90.7--0.0462569999999908</f>
        <v>2481.233925</v>
      </c>
      <c r="K113" s="3">
        <f>2782.6+(142-465.9)+(0+(0-0))+0-59.2-0</f>
        <v>2399.5</v>
      </c>
      <c r="L113" s="3">
        <f>2610.5+(140.6-397.2)+(-3.994065+(-0.215118--0.607716))+0-47.1--0.0720630000000027</f>
        <v>2303.2705960000003</v>
      </c>
      <c r="M113" s="3">
        <f>2873.1+(141.4-501.8)+(4.395843+(0.216342-0.767754))+0-23.4-0.0358020000000013</f>
        <v>2493.1086289999998</v>
      </c>
      <c r="N113" s="3">
        <f>3334+(138-625.8)+(0+(0-0))+0-19.8-0</f>
        <v>2826.3999999999996</v>
      </c>
      <c r="O113" s="3">
        <f>3533.9+(111.1-671.4)+(0+(0-0))+0-17.9-0</f>
        <v>2955.7000000000003</v>
      </c>
      <c r="P113" s="3">
        <f>3559.6+(83.2-609.9)+(0+(0-0))+0-12.4-0</f>
        <v>3020.5</v>
      </c>
      <c r="Q113" s="3">
        <f>3548.1+(66.3-531.7)+(3.619062+(0.067626-0.542334))+0-14.2-0.0144840000000023</f>
        <v>3071.6298700000002</v>
      </c>
      <c r="R113" s="3">
        <f>3516.2+(57.3-469.1)+(3.586524+(0.058446-0.478482))+0-14.7-0.0149940000000023</f>
        <v>3092.8514939999995</v>
      </c>
      <c r="S113" s="3">
        <f>3460.5+(51-448)+(-5.294565+(-0.07803--0.68544))+0-16.8--0.025704000000001</f>
        <v>3042.0385489999999</v>
      </c>
      <c r="T113" s="3">
        <f>3414.9+(44-427.8)+(-3.483198+(-0.04488--0.436356))+0-14.2--0.0144840000000023</f>
        <v>3013.8227619999998</v>
      </c>
      <c r="U113" s="3">
        <f>3375.2+(41.5-395.4)+(-6.885408+(-0.08466--0.806616))+0-40.9--0.0834359999999982</f>
        <v>2974.3199839999997</v>
      </c>
      <c r="V113" s="3">
        <f>3361.3+(37.1-343.5)+(-1.714263+(-0.018921--0.175185))+0-82.3--0.0419729999999916</f>
        <v>2971.0839739999997</v>
      </c>
      <c r="W113" s="3">
        <f>3349.6+(48.6-353.2)+(-5.124888+(-0.074358--0.540396))+0-76.3--0.116739000000004</f>
        <v>2964.1578890000001</v>
      </c>
      <c r="X113" s="3">
        <f>3374.5+(69-449.6)+(-8.604975+(-0.17595--1.14648))+0-75--0.191249999999989</f>
        <v>2911.4568049999998</v>
      </c>
      <c r="Y113" s="3">
        <f>2897.2+(63.4-203.3)+(0+(0-0))+0-75.7-0</f>
        <v>2681.6</v>
      </c>
      <c r="Z113" s="3">
        <f>3358.5+(21.8-307.6)+(0+(0-0))+0-78.2-0</f>
        <v>2994.5</v>
      </c>
      <c r="AA113" s="3">
        <f>3600.2+(5.8-431.9)+(-5.508306+(-0.008874--0.660807))+0-79.4--0.121482000000005</f>
        <v>3089.9651089999998</v>
      </c>
      <c r="AB113" s="3">
        <f>3588.8+(33.8-494.5)+(-5.490864+(-0.051714--0.756585))+0-62.8--0.0960840000000036</f>
        <v>3060.610091</v>
      </c>
      <c r="AC113" s="3">
        <f>3503+(104.1-510.8)+(-3.57306+(-0.106182--0.521016))+0-76--0.0775200000000121</f>
        <v>3017.219294</v>
      </c>
      <c r="AD113" s="2">
        <v>2905</v>
      </c>
      <c r="AE113" s="3">
        <f>3652+(19.2-435.8)+(0+(0-0))+0-97.2-0</f>
        <v>3138.2000000000003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3258.9+(117-459.4)+(-1.662039+(-0.05967--0.234294))+0-82.6--0.0421259999999916</f>
        <v>2832.4547109999999</v>
      </c>
      <c r="G114" s="3">
        <f>3107.5+(116.1-408.8)+(-6.3393+(-0.236844--0.833952))+0-87.5--0.178499999999996</f>
        <v>2721.736308</v>
      </c>
      <c r="H114" s="3">
        <f>3001.4+(116.7-429.4)+(-1.530714+(-0.059517--0.218994))+0-84.4--0.0430439999999914</f>
        <v>2602.9718070000004</v>
      </c>
      <c r="I114" s="3">
        <f>2788.4+(120.6-315.7)+(-4.266252+(-0.184518--0.483021))+0-83.5--0.127755000000005</f>
        <v>2505.9600060000002</v>
      </c>
      <c r="J114" s="3">
        <f>2720.7+(121.6-327.9)+(-2.775114+(-0.124032--0.334458))+0-81.5--0.083130000000013</f>
        <v>2430.4184419999997</v>
      </c>
      <c r="K114" s="3">
        <f>2630.5+(116.5-314.9)+(-8.04933+(-0.35649--0.963594))+0-88.3--0.27019800000001</f>
        <v>2336.6279719999998</v>
      </c>
      <c r="L114" s="3">
        <f>2333.1+(174-186.3)+(0+(0-0))+0-87-0</f>
        <v>2233.7999999999997</v>
      </c>
      <c r="M114" s="3">
        <f>2593.6+(99.1-204.4)+(1.322736+(0.050541-0.104244))+0-61.2-0.0312119999999938</f>
        <v>2428.3378210000001</v>
      </c>
      <c r="N114" s="3">
        <f>2931.6+(97-303.3)+(2.990232+(0.09894-0.309366))+0-86.4-0.0881280000000138</f>
        <v>2641.5916779999998</v>
      </c>
      <c r="O114" s="3">
        <f>3275.6+(86.5-376.3)+(0+(0-0))+0-87.8-0</f>
        <v>2897.9999999999995</v>
      </c>
      <c r="P114" s="3">
        <f>3489.8+(62-386)+(5.339394+(0.09486-0.59058))+0-81.8-0.125154000000005</f>
        <v>3088.7185200000004</v>
      </c>
      <c r="Q114" s="3">
        <f>3545.1+(39.9-381.7)+(-3.616002+(-0.040698--0.389334))+0-77--0.0785400000000123</f>
        <v>3123.1111739999997</v>
      </c>
      <c r="R114" s="3">
        <f>3494.7+(33.7-328.1)+(1.782297+(0.017187-0.167331))+0-65.9-0.0336089999999933</f>
        <v>3135.9985439999996</v>
      </c>
      <c r="S114" s="3">
        <f>3446.6+(39.5-346.4)+(-8.78883+(-0.100725--0.88332))+0-64.6--0.164729999999991</f>
        <v>3067.258495</v>
      </c>
      <c r="T114" s="3">
        <f>3434.9+(52-356.2)+(-3.503598+(-0.05304--0.363324))+0-100--0.102000000000016</f>
        <v>3027.608686</v>
      </c>
      <c r="U114" s="3">
        <f>3392.6+(45-304.3)+(-1.730226+(-0.02295--0.155193))+0-86--0.0438599999999913</f>
        <v>3045.7458769999994</v>
      </c>
      <c r="V114" s="3">
        <f>3388.8+(35.8-324.9)+(1.728288+(0.018258-0.165699))+0-76-0.0387599999999923</f>
        <v>3025.2420870000005</v>
      </c>
      <c r="W114" s="3">
        <f>3404.7+(41.6-361.9)+(-1.736397+(-0.021216--0.184569))+0-78.8--0.040187999999992</f>
        <v>3004.0671439999992</v>
      </c>
      <c r="X114" s="3">
        <f>3432.1+(56.6-457.7)+(-3.500742+(-0.057732--0.466854))+0-65.1--0.0664020000000104</f>
        <v>2962.8747819999999</v>
      </c>
      <c r="Y114" s="3">
        <f>3327.2+(44.4-461)+(-6.787488+(-0.090576--0.94044))+0-75.2--0.153407999999997</f>
        <v>2829.6157840000001</v>
      </c>
      <c r="Z114" s="3">
        <f>3546.9+(7.8-380.3)+(7.235676+(0.015912-0.775812))+0-83.5-0.170339999999996</f>
        <v>3097.2054360000002</v>
      </c>
      <c r="AA114" s="3">
        <f>3623.5+(10.9-399.5)+(-3.69597+(-0.011118--0.40749))+0-84.9--0.0865980000000135</f>
        <v>3146.7869999999998</v>
      </c>
      <c r="AB114" s="3">
        <f>3623.5+(36.8-447.3)+(-7.39194+(-0.075072--0.912492))+0-84--0.171359999999996</f>
        <v>3122.6168399999997</v>
      </c>
      <c r="AC114" s="3">
        <f>3558.9+(83-465)+(1.815039+(0.04233-0.23715))+0-79.6-0.0405959999999919</f>
        <v>3098.8796230000003</v>
      </c>
      <c r="AD114" s="2">
        <v>2876.5</v>
      </c>
      <c r="AE114" s="3">
        <f>3652+(13.2-415)+(0+(0-0))+0-99-0</f>
        <v>3151.2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3344.5+(84.6-421.4)+(-1.705695+(-0.043146--0.214914))+0-70.6--0.0360059999999928</f>
        <v>2935.6020789999998</v>
      </c>
      <c r="G115" s="3">
        <f>3271.7+(90.7-459.2)+(-1.668567+(-0.046257--0.234192))+0-85.4--0.0435539999999913</f>
        <v>2816.3629219999998</v>
      </c>
      <c r="H115" s="3">
        <f>3110.6+(109.1-406.5)+(-3.172812+(-0.111282--0.41463))+0-94--0.095880000000015</f>
        <v>2716.4264159999998</v>
      </c>
      <c r="I115" s="3">
        <f>2907.9+(123.1-336.8)+(-4.449087+(-0.188343--0.515304))+0-62.3--0.0953190000000036</f>
        <v>2627.8731929999999</v>
      </c>
      <c r="J115" s="3">
        <f>2857.5+(122.5-345)+(-2.91465+(-0.12495--0.3519))+0-84.8--0.0864960000000135</f>
        <v>2547.5987959999998</v>
      </c>
      <c r="K115" s="3">
        <f>2814.4+(115.3-377.4)+(-2.870688+(-0.117606--0.384948))+0-69.2--0.070584000000011</f>
        <v>2480.5672380000005</v>
      </c>
      <c r="L115" s="3">
        <f>2590.7+(112.8-272.8)+(1.321257+(0.057528-0.139128))+0-86.8-0.0442679999999912</f>
        <v>2345.0953889999996</v>
      </c>
      <c r="M115" s="3">
        <f>2712+(96.8-267.7)+(4.14936+(0.148104-0.409581))+0-80.8-0.123624000000005</f>
        <v>2464.0642589999998</v>
      </c>
      <c r="N115" s="3">
        <f>3126.2+(38.1-357.8)+(-1.594362+(-0.019431--0.182478))+0-68.8--0.035087999999993</f>
        <v>2736.3037730000001</v>
      </c>
      <c r="O115" s="3">
        <f>3533.7+(53.7-501.2)+(7.208748+(0.109548-1.022448))+0-79.5-0.162179999999997</f>
        <v>3012.8336680000002</v>
      </c>
      <c r="P115" s="3">
        <f>3543.8+(40-444.9)+(0+(0-0))+0-92.5-0</f>
        <v>3046.4</v>
      </c>
      <c r="Q115" s="3">
        <f>3541.5+(40.4-433.8)+(7.22466+(0.082416-0.884952))+0-89.3-0.182171999999996</f>
        <v>3065.0399520000001</v>
      </c>
      <c r="R115" s="3">
        <f>3501.4+(34.4-355.5)+(-1.785714+(-0.017544--0.181305))+0-96--0.0489599999999903</f>
        <v>3082.7270070000004</v>
      </c>
      <c r="S115" s="3">
        <f>3484+(44.9-326.3)+(-3.55368+(-0.045798--0.332826))+0-79.3--0.0808860000000126</f>
        <v>3120.1142340000001</v>
      </c>
      <c r="T115" s="3">
        <f>3459.3+(52.9-325.3)+(3.528486+(0.053958-0.331806))+0-76.2-0.0777240000000122</f>
        <v>3113.872914</v>
      </c>
      <c r="U115" s="3">
        <f>3444.7+(53.2-326.3)+(-1.756797+(-0.027132--0.166413))+0-72.1--0.0367709999999927</f>
        <v>3097.9192550000002</v>
      </c>
      <c r="V115" s="3">
        <f>3454.1+(48.9-344)+(-3.523182+(-0.049878--0.35088))+0-77--0.0785400000000123</f>
        <v>3078.8563599999998</v>
      </c>
      <c r="W115" s="3">
        <f>3453.8+(54.2-380.1)+(1.761438+(0.027642-0.193851))+0-89.9-0.0458489999999909</f>
        <v>3039.5493799999999</v>
      </c>
      <c r="X115" s="3">
        <f>3501.1+(53.5-496.6)+(-5.356683+(-0.081855--0.759798))+0-66.1--0.101133000000004</f>
        <v>2987.3223930000004</v>
      </c>
      <c r="Y115" s="3">
        <f>3437.5+(30.8-492.9)+(-7.0125+(-0.062832--1.005516))+0-87.9--0.179315999999996</f>
        <v>2881.6095</v>
      </c>
      <c r="Z115" s="3">
        <f>3544.5+(6.1-380.4)+(1.807695+(0.003111-0.194004))+0-83.3-0.0424829999999915</f>
        <v>3088.4743189999995</v>
      </c>
      <c r="AA115" s="3">
        <f>3628.8+(8.5-407.4)+(-5.552064+(-0.013005--0.623322))+0-85.5--0.130815000000005</f>
        <v>3139.5890680000002</v>
      </c>
      <c r="AB115" s="3">
        <f>3660.6+(32.1-487.6)+(-3.733812+(-0.032742--0.497352))+0-85.4--0.0871080000000136</f>
        <v>3116.517906</v>
      </c>
      <c r="AC115" s="3">
        <f>3577.5+(81.1-484)+(-5.473575+(-0.124083--0.74052))+0-86.5--0.132345000000005</f>
        <v>3083.375207</v>
      </c>
      <c r="AD115" s="2">
        <v>2803.1</v>
      </c>
      <c r="AE115" s="3">
        <f>3639+(3.9-416.7)+(0+(0-0))+0-96.1-0</f>
        <v>3130.1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3402.4+(70.7-470.6)+(5.205672+(0.108171-0.720018))+0-51.6-0.078948000000003</f>
        <v>2955.4148770000002</v>
      </c>
      <c r="G116" s="3">
        <f>3186.3+(108.7-411)+(0+(0-0))+0-91.1-0</f>
        <v>2792.9</v>
      </c>
      <c r="H116" s="3">
        <f>3121.9+(120.5-441.9)+(3.184338+(0.12291-0.450738))+0-96.1-0.0980220000000153</f>
        <v>2707.158488</v>
      </c>
      <c r="I116" s="3">
        <f>3101.2+(120.6-493.7)+(-3.163224+(-0.123012--0.503574))+0-85.3--0.0870060000000136</f>
        <v>2640.1043439999999</v>
      </c>
      <c r="J116" s="3">
        <f>2871.4+(122.3-379.8)+(-1.464414+(-0.062373--0.193698))+0-96.2--0.0490619999999902</f>
        <v>2516.4159730000001</v>
      </c>
      <c r="K116" s="3">
        <f>2770.4+(122.6-414.2)+(-7.06452+(-0.31263--1.05621))+0-76.7--0.195584999999989</f>
        <v>2395.9746450000002</v>
      </c>
      <c r="L116" s="3">
        <f>2582+(118.4-311.8)+(-5.26728+(-0.241536--0.636072))+0-92.2--0.188087999999996</f>
        <v>2291.7153440000002</v>
      </c>
      <c r="M116" s="3">
        <f>2488.1+(100.8-217.3)+(-1.268931+(-0.051408--0.110823))+0-86.6--0.0441659999999912</f>
        <v>2283.8346500000002</v>
      </c>
      <c r="N116" s="3">
        <f>2599.3+(60.3-216.6)+(-2.651286+(-0.061506--0.220932))+0-75.2--0.076704000000012</f>
        <v>2365.3848440000002</v>
      </c>
      <c r="O116" s="3">
        <f>2904.1+(17.7-256.6)+(-2.962182+(-0.018054--0.261732))+0-91.2--0.0930240000000145</f>
        <v>2571.3745200000003</v>
      </c>
      <c r="P116" s="3">
        <f>3006.9+(0-235.7)+(-1.533519+(0--0.120207))+0-94.5--0.0481949999999904</f>
        <v>2675.334883</v>
      </c>
      <c r="Q116" s="3">
        <f>3170.4+(6.6-298.2)+(-1.616904+(-0.003366--0.152082))+0-85.8--0.0437579999999913</f>
        <v>2791.57557</v>
      </c>
      <c r="R116" s="3">
        <f>3214.9+(28.5-308)+(0+(0-0))+0-87.5-0</f>
        <v>2847.9</v>
      </c>
      <c r="S116" s="3">
        <f>3304.8+(26.3-373.6)+(-3.370896+(-0.026826--0.381072))+0-87.1--0.0888420000000139</f>
        <v>2867.4721920000002</v>
      </c>
      <c r="T116" s="3">
        <f>3305.1+(28.8-381.4)+(3.371202+(0.029376-0.389028))+0-76.8-0.0783360000000122</f>
        <v>2878.633214</v>
      </c>
      <c r="U116" s="3">
        <f>3246.3+(36-349.4)+(-3.311226+(-0.03672--0.356388))+0-80.3--0.0819060000000128</f>
        <v>2849.6903479999996</v>
      </c>
      <c r="V116" s="3">
        <f>3155.1+(38.5-304.3)+(-6.436404+(-0.07854--0.620772))+0-85.6--0.174623999999996</f>
        <v>2797.9804520000002</v>
      </c>
      <c r="W116" s="3">
        <f>2998.5+(48.8-243.9)+(-3.05847+(-0.049776--0.248778))+0-88.1--0.089862000000014</f>
        <v>2712.5303939999999</v>
      </c>
      <c r="X116" s="3">
        <f>3018.9+(61.5-363)+(-4.618917+(-0.094095--0.55539))+0-42.4--0.0648720000000024</f>
        <v>2670.9072499999997</v>
      </c>
      <c r="Y116" s="3">
        <f>2938.8+(42.1-331.5)+(-1.498788+(-0.021471--0.169065))+0-89.9--0.0458489999999909</f>
        <v>2558.1946550000002</v>
      </c>
      <c r="Z116" s="3">
        <f>3327+(12.8-395.6)+(0+(0-0))+0-93.2-0</f>
        <v>2851</v>
      </c>
      <c r="AA116" s="3">
        <f>3418.4+(16.3-406.8)+(5.230152+(0.024939-0.622404))+0-85.5-0.130815000000005</f>
        <v>2946.9018719999999</v>
      </c>
      <c r="AB116" s="3">
        <f>3433+(40.8-432.9)+(-5.25249+(-0.062424--0.662337))+0-86.4--0.132192000000005</f>
        <v>2949.9796150000002</v>
      </c>
      <c r="AC116" s="3">
        <f>3391.8+(102-448)+(-5.189454+(-0.15606--0.68544))+0-89.4--0.136782000000005</f>
        <v>2951.8767080000002</v>
      </c>
      <c r="AD116" s="2">
        <v>2582.1999999999998</v>
      </c>
      <c r="AE116" s="3">
        <f>3406+(36.7-416.1)+(0+(0-0))+0-107.8-0</f>
        <v>2918.7999999999997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3160+(114.4-361.9)+(-1.6116+(-0.058344--0.184569))+0-85.4--0.0435539999999913</f>
        <v>2825.6581789999996</v>
      </c>
      <c r="G117" s="3">
        <f>2937.7+(118.4-312.8)+(-4.494681+(-0.181152--0.478584))+0-92.5--0.141525000000005</f>
        <v>2646.7442759999999</v>
      </c>
      <c r="H117" s="3">
        <f>2829.4+(120.2-296.2)+(-2.885988+(-0.122604--0.302124))+0-88.1--0.089862000000014</f>
        <v>2562.6833940000001</v>
      </c>
      <c r="I117" s="3">
        <f>2763.4+(114.5-270.8)+(-2.818668+(-0.11679--0.276216))+0-86.3--0.0880260000000138</f>
        <v>2518.2287839999995</v>
      </c>
      <c r="J117" s="3">
        <f>2683.4+(119.8-251.2)+(-2.737068+(-0.122196--0.256224))+0-89.4--0.0911880000000143</f>
        <v>2460.0881479999998</v>
      </c>
      <c r="K117" s="3">
        <f>2655.1+(121.6-340.1)+(-5.416404+(-0.248064--0.693804))+0-65.5--0.133619999999997</f>
        <v>2366.262956</v>
      </c>
      <c r="L117" s="3">
        <f>2493.1+(117.6-258.3)+(0+(0-0))+0-89.5-0</f>
        <v>2262.9</v>
      </c>
      <c r="M117" s="3">
        <f>2680.5+(108.3-290.4)+(-1.367055+(-0.055233--0.148104))+0-67.3--0.0343229999999932</f>
        <v>2429.8601389999999</v>
      </c>
      <c r="N117" s="3">
        <f>3008.1+(113.6-363.4)+(3.068262+(0.115872-0.370668))+0-68.6-0.0699720000000109</f>
        <v>2692.4434939999996</v>
      </c>
      <c r="O117" s="3">
        <f>3327.6+(107.3-439.6)+(-1.697076+(-0.054723--0.224196))+0-90.1--0.0459509999999909</f>
        <v>2903.7183479999999</v>
      </c>
      <c r="P117" s="3">
        <f>3546.2+(91.3-491.1)+(3.617124+(0.093126-0.500922))+0-79.1-0.0806820000000126</f>
        <v>3070.4286459999998</v>
      </c>
      <c r="Q117" s="3">
        <f>3705.2+(70.6-533.2)+(1.889652+(0.036006-0.271932))+0-82.3-0.0419729999999916</f>
        <v>3161.9117529999999</v>
      </c>
      <c r="R117" s="3">
        <f>3737.3+(56.9-552.4)+(1.906023+(0.029019-0.281724))+0-59.7-0.0304469999999939</f>
        <v>3183.7228710000004</v>
      </c>
      <c r="S117" s="3">
        <f>3729.9+(58.5-552.9)+(-1.902249+(-0.029835--0.281979))+0-84.1--0.0428909999999915</f>
        <v>3149.792786</v>
      </c>
      <c r="T117" s="3">
        <f>3709.2+(54.2-567.7)+(-5.675076+(-0.082926--0.868581))+0-76.5--0.117045000000004</f>
        <v>3114.4276239999999</v>
      </c>
      <c r="U117" s="3">
        <f>3695.2+(52.1-566.1)+(-7.538208+(-0.106284--1.154844))+0-84.6--0.172583999999996</f>
        <v>3090.2829359999996</v>
      </c>
      <c r="V117" s="3">
        <f>3696.8+(48.8-585.4)+(-7.541472+(-0.099552--1.194216))+0-82.2--0.167687999999996</f>
        <v>3071.7208800000003</v>
      </c>
      <c r="W117" s="3">
        <f>3701.8+(37.4-617.8)+(-5.663754+(-0.057222--0.945234))+0-83.1--0.127143000000005</f>
        <v>3033.6514010000005</v>
      </c>
      <c r="X117" s="3">
        <f>3680.3+(51.6-668.6)+(-13.138671+(-0.184212--2.386902))+0-79.2--0.282744000000001</f>
        <v>2973.4467630000004</v>
      </c>
      <c r="Y117" s="3">
        <f>3518.2+(40.2-579.3)+(-8.97141+(-0.10251--1.477215))+0-80.8--0.206039999999988</f>
        <v>2890.9093349999998</v>
      </c>
      <c r="Z117" s="3">
        <f>3574.5+(0-403.5)+(7.29198+(0-0.82314))+0-82.6-0.168503999999996</f>
        <v>3094.7003359999999</v>
      </c>
      <c r="AA117" s="3">
        <f>3676.9+(0-483.9)+(-1.875219+(0--0.246789))+0-56.9--0.0290189999999942</f>
        <v>3134.5005889999998</v>
      </c>
      <c r="AB117" s="3">
        <f>3679.6+(39.7-522.6)+(-11.259576+(-0.121482--1.599156))+0-91.2--0.279072000000011</f>
        <v>3095.9971699999996</v>
      </c>
      <c r="AC117" s="3">
        <f>3632+(114-565.6)+(1.85232+(0.05814-0.288456))+0-96.3-0.0491129999999902</f>
        <v>3085.6728909999997</v>
      </c>
      <c r="AD117" s="2">
        <v>2777.7000000000003</v>
      </c>
      <c r="AE117" s="3">
        <f>3658+(2.4-494.5)+(0+(0-0))+0-84.2-0</f>
        <v>3081.7000000000003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3377.4+(132-541)+(-5.167422+(-0.20196--0.82773))+0-68.8--0.105264000000004</f>
        <v>2895.1636119999998</v>
      </c>
      <c r="G118" s="3">
        <f>3330.1+(133.9-594.4)+(1.698351+(0.068289-0.303144))+0-69-0.035189999999993</f>
        <v>2802.0283059999997</v>
      </c>
      <c r="H118" s="3">
        <f>3224.3+(134-578.8)+(-1.644393+(-0.06834--0.295188))+0-84.4--0.0430439999999914</f>
        <v>2693.7254990000001</v>
      </c>
      <c r="I118" s="3">
        <f>3123+(118.8-530.1)+(-3.18546+(-0.121176--0.540702))+0-94.4--0.0962880000000151</f>
        <v>2614.6303539999999</v>
      </c>
      <c r="J118" s="3">
        <f>2899.3+(125.8-473)+(-5.914572+(-0.256632--0.96492))+0-79.8--0.162791999999997</f>
        <v>2467.2565080000004</v>
      </c>
      <c r="K118" s="3">
        <f>2704.1+(137.6-408.1)+(-4.137273+(-0.210528--0.624393))+0-91.1--0.139383000000005</f>
        <v>2338.9159750000003</v>
      </c>
      <c r="L118" s="3">
        <f>2635.6+(127.6-337.5)+(-6.72078+(-0.32538--0.860625))+0-83.7--0.213434999999988</f>
        <v>2336.0279</v>
      </c>
      <c r="M118" s="3">
        <f>2852.6+(106.4-413.2)+(5.819304+(0.217056-0.842928))+0-61.8-0.126071999999997</f>
        <v>2489.06736</v>
      </c>
      <c r="N118" s="3">
        <f>3334.7+(113.4-563)+(0+(0-0))+0-92-0</f>
        <v>2793.1</v>
      </c>
      <c r="O118" s="3">
        <f>3490.1+(114.3-565.5)+(3.559902+(0.116586-0.57681))+0-88.1-0.089862000000014</f>
        <v>2953.8098160000004</v>
      </c>
      <c r="P118" s="3">
        <f>3648.3+(104-581.5)+(3.721266+(0.10608-0.59313))+0-85.6-0.0873120000000136</f>
        <v>3088.346904</v>
      </c>
      <c r="Q118" s="3">
        <f>3703.5+(112-579.9)+(0+(0-0))+0-80.8-0</f>
        <v>3154.7999999999997</v>
      </c>
      <c r="R118" s="3">
        <f>3731.9+(100.5-583.5)+(1.903269+(0.051255-0.297585))+0-77.6-0.0395759999999921</f>
        <v>3172.917363</v>
      </c>
      <c r="S118" s="3">
        <f>3772.5+(75.7-606.5)+(-3.84795+(-0.077214--0.61863))+0-83--0.0846600000000132</f>
        <v>3155.478126</v>
      </c>
      <c r="T118" s="3">
        <f>3738.7+(74.2-632.5)+(-7.626948+(-0.151368--1.2903))+0-40.9--0.0834359999999982</f>
        <v>3133.0954199999996</v>
      </c>
      <c r="U118" s="3">
        <f>3736.9+(71.2-591.1)+(1.905819+(0.036312-0.301461))+0-84.4-0.0430439999999914</f>
        <v>3134.1976259999997</v>
      </c>
      <c r="V118" s="3">
        <f>3693.5+(51.3-591.5)+(-7.53474+(-0.104652--1.20666))+0-53.7--0.109547999999998</f>
        <v>3093.2768160000001</v>
      </c>
      <c r="W118" s="3">
        <f>3683.3+(70.8-587)+(-3.756966+(-0.072216--0.59874))+0-81.7--0.083334000000013</f>
        <v>3082.2528920000004</v>
      </c>
      <c r="X118" s="3">
        <f>3610.9+(84.7-595.7)+(-3.683118+(-0.086394--0.607614))+0-89.5--0.0912900000000143</f>
        <v>3007.3293920000001</v>
      </c>
      <c r="Y118" s="3">
        <f>3325.7+(74.1-467.2)+(0+(0-0))+0-89.5-0</f>
        <v>2843.1</v>
      </c>
      <c r="Z118" s="3">
        <f>3749+(0-560.8)+(0+(0-0))+0-98.6-0</f>
        <v>3089.6</v>
      </c>
      <c r="AA118" s="3">
        <f>3836.2+(0-572.1)+(-7.825848+(0--1.167084))+0-91.5--0.186659999999996</f>
        <v>3166.127896</v>
      </c>
      <c r="AB118" s="3">
        <f>3680.1+(51.3-524.5)+(-7.507404+(-0.104652--1.06998))+0-79.2--0.161567999999997</f>
        <v>3121.3194920000001</v>
      </c>
      <c r="AC118" s="3">
        <f>3492.4+(125.9-482.4)+(-8.90562+(-0.321045--1.23012))+0-79.1--0.201704999999989</f>
        <v>3049.0051600000002</v>
      </c>
      <c r="AD118" s="2">
        <v>2819.6</v>
      </c>
      <c r="AE118" s="3">
        <f>3850+(0-579.6)+(0+(0-0))+0-102.4-0</f>
        <v>3168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3235.3+(143.7-440.1)+(-8.250015+(-0.366435--1.122255))+0-79.7--0.203234999999988</f>
        <v>2851.90904</v>
      </c>
      <c r="G119" s="3">
        <f>3167.4+(141.3-451.3)+(-4.846122+(-0.216189--0.690489))+0-98.7--0.151011000000006</f>
        <v>2754.4791890000001</v>
      </c>
      <c r="H119" s="3">
        <f>2940.8+(140.1-385.6)+(-1.499808+(-0.071451--0.196656))+0-74.6--0.0380459999999924</f>
        <v>2619.3634430000002</v>
      </c>
      <c r="I119" s="3">
        <f>2830.8+(141.3-363.4)+(-7.21854+(-0.360315--0.92667))+0-87.9--0.224144999999987</f>
        <v>2514.3719600000004</v>
      </c>
      <c r="J119" s="3">
        <f>2646.9+(142.6-281.6)+(-5.399676+(-0.290904--0.574464))+0-72.3--0.147491999999997</f>
        <v>2430.6313759999998</v>
      </c>
      <c r="K119" s="3">
        <f>2502.9+(141.2-241.1)+(-2.552958+(-0.144024--0.245922))+0-101.7--0.103734000000016</f>
        <v>2298.9526740000001</v>
      </c>
      <c r="L119" s="3">
        <f>2501.8+(142.6-293.7)+(-6.37959+(-0.36363--0.748935))+0-82.5--0.210374999999988</f>
        <v>2262.4160900000002</v>
      </c>
      <c r="M119" s="3">
        <f>2759+(141.6-398.7)+(5.62836+(0.288864-0.813348))+0-49.4-0.100775999999998</f>
        <v>2457.5030999999999</v>
      </c>
      <c r="N119" s="3">
        <f>3143.8+(134.8-416.3)+(8.01669+(0.34374-1.061565))+0-96.2-0.245309999999986</f>
        <v>2773.1535550000008</v>
      </c>
      <c r="O119" s="3">
        <f>3308.9+(81.7-429.7)+(3.375078+(0.083334-0.438294))+0-93.5-0.0953700000000149</f>
        <v>2870.324748</v>
      </c>
      <c r="P119" s="3">
        <f>3389.3+(31.2-355.5)+(5.185629+(0.047736-0.543915))+0-62.9-0.0962370000000036</f>
        <v>3006.6932129999996</v>
      </c>
      <c r="Q119" s="3">
        <f>3597+(12.5-431)+(7.33788+(0.0255-0.87924))+0-90.2-0.184007999999996</f>
        <v>3094.600132</v>
      </c>
      <c r="R119" s="3">
        <f>3634.5+(38.1-412.2)+(5.560785+(0.058293-0.630666))+0-84.7-0.129591000000005</f>
        <v>3180.5588210000005</v>
      </c>
      <c r="S119" s="3">
        <f>3592.1+(12.7-390.4)+(-1.831971+(-0.006477--0.199104))+0-91.8--0.0468179999999907</f>
        <v>3121.0074739999995</v>
      </c>
      <c r="T119" s="3">
        <f>3575.9+(24.6-423.4)+(0+(0-0))+0-81.1-0</f>
        <v>3096.0000000000005</v>
      </c>
      <c r="U119" s="3">
        <f>3569.4+(24-405.3)+(-9.10197+(-0.0612--1.033515))+0-99.6--0.253979999999986</f>
        <v>3080.6243249999998</v>
      </c>
      <c r="V119" s="3">
        <f>3587.4+(29.5-478.1)+(1.829574+(0.015045-0.243831))+0-82.4-0.0420239999999916</f>
        <v>3057.9587640000004</v>
      </c>
      <c r="W119" s="3">
        <f>3572+(34.8-519.5)+(-5.46516+(-0.053244--0.794835))+0-87.9--0.134487000000005</f>
        <v>2994.8109179999997</v>
      </c>
      <c r="X119" s="3">
        <f>3502+(39.6-553.7)+(-10.71612+(-0.121176--1.694322))+0-92.1--0.281826000000011</f>
        <v>2886.9388520000002</v>
      </c>
      <c r="Y119" s="3">
        <f>3195.6+(28.4-435.2)+(0+(0-0))+0-66.8-0</f>
        <v>2721.9999999999995</v>
      </c>
      <c r="Z119" s="3">
        <f>3546.7+(0-466)+(-5.426451+(0--0.71298))+0-75.5--0.115515000000004</f>
        <v>3000.6020439999998</v>
      </c>
      <c r="AA119" s="3">
        <f>3621.6+(0-497.4)+(-5.541048+(0--0.761022))+0-88.8--0.135864000000005</f>
        <v>3030.7558379999996</v>
      </c>
      <c r="AB119" s="3">
        <f>3625.3+(20.8-549.4)+(-11.093418+(-0.063648--1.681164))+0-84.7--0.25918200000001</f>
        <v>3002.7832800000006</v>
      </c>
      <c r="AC119" s="3">
        <f>3525.7+(62.6-528.5)+(-5.394321+(-0.095778--0.808605))+0-74.9--0.114597000000004</f>
        <v>2980.3331029999999</v>
      </c>
      <c r="AD119" s="2">
        <v>2750.2</v>
      </c>
      <c r="AE119" s="3">
        <f>3626+(9.1-519.2)+(0+(0-0))+0-97.7-0</f>
        <v>3018.2000000000003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3157+(106.2-383.7)+(-11.27049+(-0.379134--1.369809))+0-84.8--0.302736000000001</f>
        <v>2784.722921</v>
      </c>
      <c r="G120" s="3">
        <f>2824.7+(112.8-252.4)+(-7.202985+(-0.28764--0.64362))+0-90.4--0.230519999999987</f>
        <v>2588.0835149999998</v>
      </c>
      <c r="H120" s="3">
        <f>2692.9+(123.2-252.4)+(-5.493516+(-0.251328--0.514896))+0-79.6--0.162383999999997</f>
        <v>2479.0324360000004</v>
      </c>
      <c r="I120" s="3">
        <f>2593+(124.6-224.4)+(-5.28972+(-0.254184--0.457776))+0-91.8--0.187271999999996</f>
        <v>2396.5011439999998</v>
      </c>
      <c r="J120" s="3">
        <f>2512.8+(116.1-193)+(0+(0-0))+0-95.8-0</f>
        <v>2340.1</v>
      </c>
      <c r="K120" s="3">
        <f>2460+(118.5-225.2)+(-5.0184+(-0.24174--0.459408))+0-90--0.183599999999996</f>
        <v>2258.6828679999999</v>
      </c>
      <c r="L120" s="3">
        <f>2357.6+(112.9-190.3)+(0+(0-0))+0-24.3-0</f>
        <v>2255.8999999999996</v>
      </c>
      <c r="M120" s="3">
        <f>2893.8+(82.7-430.1)+(4.427514+(0.126531-0.658053))+0-21.2-0.0324360000000012</f>
        <v>2529.0635560000005</v>
      </c>
      <c r="N120" s="3">
        <f>3210.4+(42.6-518.2)+(1.637304+(0.021726-0.264282))+0-19.1-0.00974099999999806</f>
        <v>2717.0850070000006</v>
      </c>
      <c r="O120" s="3">
        <f>3404.8+(24-559.1)+(1.736448+(0.01224-0.285141))+0-16.3-0.00831299999999835</f>
        <v>2854.8552340000001</v>
      </c>
      <c r="P120" s="3">
        <f>3594.9+(5.4-587.4)+(7.333596+(0.011016-1.198296))+0-19.7-0.0401879999999991</f>
        <v>2999.3061280000002</v>
      </c>
      <c r="Q120" s="3">
        <f>3700+(0-581.7)+(5.661+(0-0.890001))+0-20.6-0.0315180000000012</f>
        <v>3102.4394810000003</v>
      </c>
      <c r="R120" s="3">
        <f>3773.8+(4.1-582.2)+(-1.924638+(-0.002091--0.296922))+0-20.3--0.0103529999999979</f>
        <v>3173.7805460000004</v>
      </c>
      <c r="S120" s="3">
        <f>3738.4+(39-598.9)+(-5.719752+(-0.05967--0.916317))+0-20.7--0.0316710000000012</f>
        <v>3152.9685660000005</v>
      </c>
      <c r="T120" s="3">
        <f>3667.2+(37.8-571.3)+(-1.870272+(-0.019278--0.291363))+0-36--0.0183599999999963</f>
        <v>3096.1201729999998</v>
      </c>
      <c r="U120" s="3">
        <f>3666.1+(6.8-573.1)+(7.478844+(0.013872-1.169124))+0-45.5-0.092819999999998</f>
        <v>3060.5307720000001</v>
      </c>
      <c r="V120" s="3">
        <f>3650.3+(33.4-563.7)+(0+(0-0))+0-81-0</f>
        <v>3039</v>
      </c>
      <c r="W120" s="3">
        <f>3625.7+(42.6-563.8)+(-9.245535+(-0.10863--1.43769))+0-92.4--0.235619999999987</f>
        <v>3004.4191449999998</v>
      </c>
      <c r="X120" s="3">
        <f>3547.4+(68.8-584.1)+(-5.427522+(-0.105264--0.893673))+0-83.6--0.127908000000005</f>
        <v>2943.9887949999998</v>
      </c>
      <c r="Y120" s="3">
        <f>3406.1+(46.1-515.1)+(-1.737111+(-0.023511--0.262701))+0-81.4--0.0415139999999917</f>
        <v>2854.2435929999997</v>
      </c>
      <c r="Z120" s="3">
        <f>3683.1+(0-529.8)+(3.756762+(0-0.540396))+0-76.1-0.0776220000000121</f>
        <v>3080.3387440000006</v>
      </c>
      <c r="AA120" s="3">
        <f>3883+(0-642.7)+(-3.96066+(0--0.655554))+0-83.3--0.0849660000000133</f>
        <v>3153.7798600000001</v>
      </c>
      <c r="AB120" s="3">
        <f>3827.1+(21.9-648.4)+(-3.903642+(-0.022338--0.661368))+0-88--0.089760000000014</f>
        <v>3109.4251479999998</v>
      </c>
      <c r="AC120" s="3">
        <f>3609.5+(54.8-567.6)+(-3.68169+(-0.055896--0.578952))+0-84.6--0.0862920000000135</f>
        <v>3009.027658</v>
      </c>
      <c r="AD120" s="2">
        <v>2820.7</v>
      </c>
      <c r="AE120" s="3">
        <f>3872+(0-605.3)+(0+(0-0))+0-96.5-0</f>
        <v>3170.2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3428.8+(85.4-574.9)+(-5.246064+(-0.130662--0.879597))+0-90.2--0.138006000000005</f>
        <v>2844.7408770000006</v>
      </c>
      <c r="G121" s="3">
        <f>3175.1+(112.4-562.8)+(-1.619301+(-0.057324--0.287028))+0-70.8--0.0361079999999928</f>
        <v>2652.5465109999996</v>
      </c>
      <c r="H121" s="3">
        <f>3086.8+(122.8-523.9)+(-4.722804+(-0.187884--0.801567))+0-82--0.125460000000005</f>
        <v>2599.7163390000005</v>
      </c>
      <c r="I121" s="3">
        <f>2930.6+(123.6-503.3)+(-2.989212+(-0.126072--0.513366))+0-60--0.0612000000000096</f>
        <v>2488.3592819999999</v>
      </c>
      <c r="J121" s="3">
        <f>2807.3+(125.7-453.3)+(-7.158615+(-0.320535--1.155915))+0-65.8--0.16778999999999</f>
        <v>2407.7445550000002</v>
      </c>
      <c r="K121" s="3">
        <f>2587+(126.1-365.3)+(-6.59685+(-0.321555--0.931515))+0-83.1--0.211904999999988</f>
        <v>2258.9250150000003</v>
      </c>
      <c r="L121" s="3">
        <f>2585.5+(113.3-346.9)+(2.63721+(0.115566-0.353838))+0-57.4-0.0585480000000091</f>
        <v>2296.8403899999998</v>
      </c>
      <c r="M121" s="3">
        <f>2653+(101.1-308.6)+(-1.35303+(-0.051561--0.157386))+0-43.2--0.0220319999999956</f>
        <v>2401.0748269999999</v>
      </c>
      <c r="N121" s="3">
        <f>3215.6+(26-475.2)+(4.919868+(0.03978-0.727056))+0-82.1-0.125613000000005</f>
        <v>2688.4069789999999</v>
      </c>
      <c r="O121" s="3">
        <f>3584.9+(0-598.5)+(0+(0-0))+0-77.2-0</f>
        <v>2909.2000000000003</v>
      </c>
      <c r="P121" s="3">
        <f>3639.4+(0-529.7)+(3.712188+(0-0.540294))+0-77.3-0.0788460000000123</f>
        <v>3035.4930479999998</v>
      </c>
      <c r="Q121" s="3">
        <f>3744.8+(0-528.8)+(5.729544+(0-0.809064))+0-77.5-0.118575000000004</f>
        <v>3143.3019050000003</v>
      </c>
      <c r="R121" s="3">
        <f>3751.7+(0-538.8)+(5.740101+(0-0.824364))+0-74.1-0.113373000000004</f>
        <v>3143.6023639999994</v>
      </c>
      <c r="S121" s="3">
        <f>3716.4+(0-539.3)+(-7.581456+(0--1.100172))+0-76.3--0.155651999999997</f>
        <v>3094.4743680000001</v>
      </c>
      <c r="T121" s="3">
        <f>3726.2+(0-576.7)+(0+(0-0))+0-80.6-0</f>
        <v>3068.9</v>
      </c>
      <c r="U121" s="3">
        <f>3692.3+(3.5-598.9)+(-5.649219+(-0.005355--0.916317))+0-61.9--0.0947070000000036</f>
        <v>3030.3564500000002</v>
      </c>
      <c r="V121" s="3">
        <f>3695.5+(0-622.5)+(1.884705+(0-0.317475))+0-71.4-0.0364139999999928</f>
        <v>3003.1308159999999</v>
      </c>
      <c r="W121" s="3">
        <f>3675.2+(12.3-623.1)+(-5.623056+(-0.018819--0.953343))+0-92.4--0.141372000000005</f>
        <v>2967.4528399999995</v>
      </c>
      <c r="X121" s="3">
        <f>3646.5+(29.3-670.3)+(-7.43886+(-0.059772--1.367412))+0-56.1--0.114443999999998</f>
        <v>2943.3832239999997</v>
      </c>
      <c r="Y121" s="3">
        <f>3418.6+(39.8-552.9)+(-1.743486+(-0.020298--0.281979))+0-54.3--0.0276929999999945</f>
        <v>2849.7458879999999</v>
      </c>
      <c r="Z121" s="3">
        <f>3718.1+(0-523.4)+(9.481155+(0-1.33467))+0-91.3-0.232814999999987</f>
        <v>3111.31367</v>
      </c>
      <c r="AA121" s="3">
        <f>3846+(0-609.6)+(1.96146+(0-0.310896))+0-80-0.0407999999999919</f>
        <v>3158.0097639999999</v>
      </c>
      <c r="AB121" s="3">
        <f>3741.3+(28.5-595)+(3.816126+(0.02907-0.6069))+0-87.3-0.0890460000000139</f>
        <v>3090.6492499999999</v>
      </c>
      <c r="AC121" s="3">
        <f>3509.2+(47.7-506)+(1.789692+(0.024327-0.25806))+0-56.5-0.0288149999999943</f>
        <v>2995.9271439999993</v>
      </c>
      <c r="AD121" s="2">
        <v>2797.2</v>
      </c>
      <c r="AE121" s="3">
        <f>3841+(0-596.1)+(0+(0-0))+0-108.3-0</f>
        <v>3136.6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3401.3+(67.8-514.6)+(-5.203989+(-0.103734--0.787338))+0-84.5--0.129285000000005</f>
        <v>2865.6089000000002</v>
      </c>
      <c r="G122" s="3">
        <f>3354.9+(69.2-606.6)+(-3.421998+(-0.070584--0.618732))+0-79.9--0.0814980000000127</f>
        <v>2734.807648</v>
      </c>
      <c r="H122" s="3">
        <f>3042.3+(113.3-453.2)+(-3.103146+(-0.115566--0.462264))+0-85.9--0.0876180000000137</f>
        <v>2613.8311699999999</v>
      </c>
      <c r="I122" s="3">
        <f>2896.2+(119.9-380.3)+(0+(0-0))+0-82.2-0</f>
        <v>2553.6</v>
      </c>
      <c r="J122" s="3">
        <f>2863+(118.7-420)+(-1.46013+(-0.060537--0.2142))+0-58--0.0295799999999941</f>
        <v>2502.4231129999998</v>
      </c>
      <c r="K122" s="3">
        <f>2866.1+(117.8-480.7)+(-2.923422+(-0.120156--0.490314))+0-72--0.0734400000000115</f>
        <v>2428.7201759999998</v>
      </c>
      <c r="L122" s="3">
        <f>2672.1+(105.4-354.1)+(0+(0-0))+0-93.3-0</f>
        <v>2330.1</v>
      </c>
      <c r="M122" s="3">
        <f>3003.6+(0-382.2)+(3.063672+(0-0.389844))+0-81.9-0.0835380000000131</f>
        <v>2542.0902900000001</v>
      </c>
      <c r="N122" s="3">
        <f>3288.5+(0-411.6)+(8.385675+(0-1.04958))+0-64.5-0.164474999999991</f>
        <v>2819.5716200000002</v>
      </c>
      <c r="O122" s="3">
        <f>3457.3+(0-418.4)+(5.289669+(0-0.640152))+0-82.4-0.126072000000005</f>
        <v>2961.0234449999998</v>
      </c>
      <c r="P122" s="3">
        <f>3562+(0-449.1)+(3.63324+(0-0.458082))+0-93.7-0.0955740000000149</f>
        <v>3022.2795840000003</v>
      </c>
      <c r="Q122" s="3">
        <f>3595.3+(0-461)+(5.500809+(0-0.70533))+0-74.7-0.114291000000004</f>
        <v>3064.2811880000004</v>
      </c>
      <c r="R122" s="3">
        <f>3591.6+(0-434.7)+(-1.831716+(0--0.221697))+0-78.2--0.0398819999999921</f>
        <v>3077.1298630000001</v>
      </c>
      <c r="S122" s="3">
        <f>3554.8+(0-469.7)+(-9.06474+(0--1.197735))+0-61.2--0.156059999999991</f>
        <v>3016.1890550000003</v>
      </c>
      <c r="T122" s="3">
        <f>3562+(0-484.9)+(0+(0-0))+0-88.2-0</f>
        <v>2988.9</v>
      </c>
      <c r="U122" s="3">
        <f>3516.7+(0-483.1)+(-5.380551+(0--0.739143))+0-62.8--0.0960840000000036</f>
        <v>2966.2546759999996</v>
      </c>
      <c r="V122" s="3">
        <f>3499.7+(0-464.1)+(-5.354541+(0--0.710073))+0-82--0.125460000000005</f>
        <v>2949.0809920000002</v>
      </c>
      <c r="W122" s="3">
        <f>3497.7+(0-470)+(-3.567654+(0--0.4794))+0-93.9--0.095778000000015</f>
        <v>2930.8075239999998</v>
      </c>
      <c r="X122" s="3">
        <f>3435.3+(0-492.8)+(-3.504006+(0--0.502656))+0-86.1--0.0878220000000137</f>
        <v>2853.486472</v>
      </c>
      <c r="Y122" s="3">
        <f>3380.3+(0-476.7)+(5.171859+(0-0.729351))+0-90.3-0.138159000000005</f>
        <v>2817.6043490000002</v>
      </c>
      <c r="Z122" s="3">
        <f>3653.9+(0-507.4)+(3.726978+(0-0.517548))+0-73.7-0.0751740000000118</f>
        <v>3075.934256</v>
      </c>
      <c r="AA122" s="3">
        <f>3784.7+(0-592.7)+(-7.720788+(0--1.209108))+0-67.2--0.137087999999997</f>
        <v>3118.4254080000001</v>
      </c>
      <c r="AB122" s="3">
        <f>3736.2+(0-603.8)+(-3.810924+(0--0.615876))+0-81.8--0.083436000000013</f>
        <v>3047.4883879999993</v>
      </c>
      <c r="AC122" s="3">
        <f>3618.7+(0-574.3)+(-1.845537+(0--0.292893))+0-73.4--0.0374339999999926</f>
        <v>2969.4847899999995</v>
      </c>
      <c r="AD122" s="2">
        <v>2775.1</v>
      </c>
      <c r="AE122" s="3">
        <f>3767+(0-550.8)+(0+(0-0))+0-91.1-0</f>
        <v>3125.1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3401.1+(0-546.1)+(0+(0-0))+0-86-0</f>
        <v>2769</v>
      </c>
      <c r="G123" s="3">
        <f>3223.5+(0-463.4)+(-3.28797+(0--0.472668))+0-83.9--0.0855780000000134</f>
        <v>2673.470276</v>
      </c>
      <c r="H123" s="3">
        <f>3147.7+(0-425)+(0+(0-0))+0-83.2-0</f>
        <v>2639.5</v>
      </c>
      <c r="I123" s="3">
        <f>2905.6+(0-297.9)+(-2.963712+(0--0.303858))+0-76.7--0.0782340000000122</f>
        <v>2528.4183800000001</v>
      </c>
      <c r="J123" s="3">
        <f>2818.7+(0-267.8)+(-4.312611+(0--0.409734))+0-77.2--0.118116000000004</f>
        <v>2469.9152389999999</v>
      </c>
      <c r="K123" s="3">
        <f>2644.8+(0-232.9)+(-5.395392+(0--0.475116))+0-82.7--0.168707999999996</f>
        <v>2324.4484320000006</v>
      </c>
      <c r="L123" s="3">
        <f>2577.9+(0-287.6)+(-3.944187+(0--0.440028))+0-81.1--0.124083000000005</f>
        <v>2205.8199240000004</v>
      </c>
      <c r="M123" s="3">
        <f>2622.7+(0-252.2)+(4.012731+(0-0.385866))+0-93.6-0.143208000000005</f>
        <v>2280.3836570000003</v>
      </c>
      <c r="N123" s="3">
        <f>2821.6+(0-361.4)+(2.878032+(0-0.368628))+0-71.3-0.0727260000000114</f>
        <v>2391.3366779999997</v>
      </c>
      <c r="O123" s="3">
        <f>2848.7+(0-272.6)+(1.452837+(0-0.139026))+0-83.8-0.0427379999999915</f>
        <v>2493.5710729999996</v>
      </c>
      <c r="P123" s="3">
        <f>3110.2+(0-378.6)+(4.758606+(0-0.579258))+0-85.2-0.130356000000005</f>
        <v>2650.4489920000001</v>
      </c>
      <c r="Q123" s="3">
        <f>3415+(0-493.8)+(3.4833+(0-0.503676))+0-82.3-0.0839460000000131</f>
        <v>2841.7956779999995</v>
      </c>
      <c r="R123" s="3">
        <f>3384.8+(0-411.2)+(3.452496+(0-0.419424))+0-88.8-0.0905760000000142</f>
        <v>2887.7424960000003</v>
      </c>
      <c r="S123" s="3">
        <f>3304.5+(0-375.7)+(3.37059+(0-0.383214))+0-84.9-0.0865980000000135</f>
        <v>2846.8007780000003</v>
      </c>
      <c r="T123" s="3">
        <f>3283.8+(0-361.4)+(0+(0-0))+0-84.4-0</f>
        <v>2838</v>
      </c>
      <c r="U123" s="3">
        <f>3270.4+(0-348)+(0+(0-0))+0-94.4-0</f>
        <v>2828</v>
      </c>
      <c r="V123" s="3">
        <f>3291.1+(0-401.9)+(0+(0-0))+0-66.6-0</f>
        <v>2822.6</v>
      </c>
      <c r="W123" s="3">
        <f>3292.1+(11.7-451.3)+(0+(0-0))+0-63-0</f>
        <v>2789.5</v>
      </c>
      <c r="X123" s="3">
        <f>3303.9+(14.2-498.1)+(-5.054967+(-0.021726--0.762093))+0-93.2--0.142596000000005</f>
        <v>2722.6279960000002</v>
      </c>
      <c r="Y123" s="3">
        <f>3198+(69.1-440.1)+(-6.52392+(-0.140964--0.897804))+0-89--0.181559999999996</f>
        <v>2732.4144799999999</v>
      </c>
      <c r="Z123" s="3">
        <f>3357.3+(38.4-394.3)+(0+(0-0))+0-90.5-0</f>
        <v>2910.9</v>
      </c>
      <c r="AA123" s="3">
        <f>3537.1+(75.2-504.1)+(-9.019605+(-0.19176--1.285455))+0-79.3--0.202214999999988</f>
        <v>3021.1763049999995</v>
      </c>
      <c r="AB123" s="3">
        <f>3555.6+(97.1-539.5)+(1.813356+(0.049521-0.275145))+0-91.6-0.0467159999999907</f>
        <v>3023.141016</v>
      </c>
      <c r="AC123" s="3">
        <f>3297.1+(137.7-426.6)+(-1.681521+(-0.070227--0.217566))+0-59.2--0.030191999999994</f>
        <v>2947.4960100000003</v>
      </c>
      <c r="AD123" s="2">
        <v>2597.3999999999996</v>
      </c>
      <c r="AE123" s="3">
        <f>3501+(106.2-520.6)+(0+(0-0))+0-96.5-0</f>
        <v>2990.1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3194.4+(138.6-452)+(-3.258288+(-0.141372--0.46104))+0-84.4--0.0860880000000135</f>
        <v>2793.747468</v>
      </c>
      <c r="G124" s="3">
        <f>3049.3+(138.6-453.1)+(-1.555143+(-0.070686--0.231081))+0-85.4--0.0435539999999913</f>
        <v>2648.0488059999998</v>
      </c>
      <c r="H124" s="3">
        <f>3013.3+(141.3-428.4)+(1.536783+(0.072063-0.218484))+0-91.1-0.0464609999999908</f>
        <v>2636.4439010000006</v>
      </c>
      <c r="I124" s="3">
        <f>2958.1+(141.3-377.7)+(1.508631+(0.072063-0.192627))+0-71.1-0.0362609999999928</f>
        <v>2651.9518059999996</v>
      </c>
      <c r="J124" s="3">
        <f>2876.5+(141.2-398.9)+(-4.401045+(-0.216036--0.610317))+0-84--0.128520000000005</f>
        <v>2530.9217560000002</v>
      </c>
      <c r="K124" s="3">
        <f>2600+(141.9-266.2)+(-2.652+(-0.144738--0.271524))+0-89.5--0.0912900000000143</f>
        <v>2383.7660759999999</v>
      </c>
      <c r="L124" s="3">
        <f>2523+(142.5-268.4)+(-2.57346+(-0.14535--0.273768))+0-65.7--0.0670140000000105</f>
        <v>2329.0219720000005</v>
      </c>
      <c r="M124" s="3">
        <f>2780.6+(140-347.3)+(1.418106+(0.0714-0.177123))+0-70.7-0.0360569999999928</f>
        <v>2503.8763260000001</v>
      </c>
      <c r="N124" s="3">
        <f>2963.8+(141.2-317.8)+(6.046152+(0.288048-0.648312))+0-69.8-0.142391999999997</f>
        <v>2722.9434959999999</v>
      </c>
      <c r="O124" s="3">
        <f>3292.6+(129.9-372.9)+(3.358452+(0.132498-0.380358))+0-89.3-0.0910860000000142</f>
        <v>2963.3195059999998</v>
      </c>
      <c r="P124" s="3">
        <f>3447.4+(106.8-417.5)+(1.758174+(0.054468-0.212925))+0-48.8-0.0248879999999951</f>
        <v>3089.4748290000002</v>
      </c>
      <c r="Q124" s="3">
        <f>3632.3+(101-495.9)+(1.852473+(0.05151-0.252909))+0-75-0.0382499999999924</f>
        <v>3164.0128239999999</v>
      </c>
      <c r="R124" s="3">
        <f>3675.3+(73.7-493.6)+(3.748806+(0.075174-0.503472))+0-89.7-0.0914940000000143</f>
        <v>3168.9290139999998</v>
      </c>
      <c r="S124" s="3">
        <f>3647.7+(63-489.5)+(-5.580981+(-0.09639--0.748935))+0-89.3--0.136629000000005</f>
        <v>3127.1081929999996</v>
      </c>
      <c r="T124" s="3">
        <f>3635.6+(86.4-514.4)+(-1.854156+(-0.044064--0.262344))+0-86.6--0.0441659999999912</f>
        <v>3119.4082900000003</v>
      </c>
      <c r="U124" s="3">
        <f>3620.8+(90.2-512)+(1.846608+(0.046002-0.26112))+0-79-0.040289999999992</f>
        <v>3121.5912000000003</v>
      </c>
      <c r="V124" s="3">
        <f>3641.1+(60.2-531.8)+(5.570883+(0.092106-0.813654))+0-82.2-0.125766000000005</f>
        <v>3092.023569</v>
      </c>
      <c r="W124" s="3">
        <f>3607.8+(88.3-536.2)+(1.839978+(0.045033-0.273462))+0-89.3-0.0455429999999909</f>
        <v>3072.1660059999999</v>
      </c>
      <c r="X124" s="3">
        <f>3463.1+(75.7-501.1)+(-5.298543+(-0.115821--0.766683))+0-74.4--0.113832000000004</f>
        <v>2958.7661509999998</v>
      </c>
      <c r="Y124" s="3">
        <f>3226.7+(68.9-351.1)+(0+(0-0))+0-89.6-0</f>
        <v>2854.9</v>
      </c>
      <c r="Z124" s="3">
        <f>3658.8+(23-460.6)+(3.731976+(0.02346-0.469812))+0-85.5-0.0872100000000136</f>
        <v>3138.8984140000002</v>
      </c>
      <c r="AA124" s="3">
        <f>3710.2+(38.8-509.1)+(-9.46101+(-0.09894--1.298205))+0-75.4--0.192269999999989</f>
        <v>3156.4305249999998</v>
      </c>
      <c r="AB124" s="3">
        <f>3724.6+(103.8-565.1)+(1.899546+(0.052938-0.288201))+0-86.7-0.0442169999999912</f>
        <v>3178.2200659999999</v>
      </c>
      <c r="AC124" s="3">
        <f>3398.6+(109.2-418.8)+(-3.466572+(-0.111384--0.427176))+0-65.5--0.0668100000000104</f>
        <v>3020.4160299999999</v>
      </c>
      <c r="AD124" s="2">
        <v>2854.7000000000003</v>
      </c>
      <c r="AE124" s="3">
        <f>3783+(31.9-546.2)+(0+(0-0))+0-24.1-0</f>
        <v>3244.6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3273.3+(91.9-398.7)+(-1.669383+(-0.046869--0.203337))+0-93.6--0.0477359999999905</f>
        <v>2871.4348210000003</v>
      </c>
      <c r="G125" s="3">
        <f>3050+(129.6-399.5)+(0+(0-0))+0-86.2-0</f>
        <v>2693.9</v>
      </c>
      <c r="H125" s="3">
        <f>3032+(140.4-466.4)+(3.09264+(0.143208-0.475728))+0-77.6-0.0791520000000124</f>
        <v>2631.0809680000002</v>
      </c>
      <c r="I125" s="3">
        <f>3035.7+(140.2-466.8)+(4.644621+(0.214506-0.714204))+0-85.8-0.131274000000005</f>
        <v>2627.3136489999997</v>
      </c>
      <c r="J125" s="3">
        <f>3093.7+(141-573.9)+(-3.155574+(-0.14382--0.585378))+0-79.3--0.0808860000000126</f>
        <v>2578.8668699999998</v>
      </c>
      <c r="K125" s="3">
        <f>3018.5+(142.4-574.6)+(-6.15774+(-0.290496--1.172184))+0-85.4--0.174215999999996</f>
        <v>2495.7981639999998</v>
      </c>
      <c r="L125" s="3">
        <f>2775.2+(141.4-464.1)+(-7.07676+(-0.36057--1.183455))+0-88.4--0.225419999999987</f>
        <v>2358.0715450000002</v>
      </c>
      <c r="M125" s="3">
        <f>2778.2+(140.4-375.2)+(4.250646+(0.214812-0.574056))+0-96.2-0.147186000000006</f>
        <v>2450.9442159999999</v>
      </c>
      <c r="N125" s="3">
        <f>3082+(138.5-447.3)+(4.71546+(0.211905-0.684369))+0-56.3-0.0861390000000033</f>
        <v>2721.0568569999996</v>
      </c>
      <c r="O125" s="3">
        <f>3354.7+(96.8-470.3)+(6.843588+(0.197472-0.959412))+0-76-0.155039999999997</f>
        <v>2911.1266079999996</v>
      </c>
      <c r="P125" s="3">
        <f>3421.7+(106.2-442.1)+(1.745067+(0.054162-0.225471))+0-83.6-0.0426359999999915</f>
        <v>3003.7311219999997</v>
      </c>
      <c r="Q125" s="3">
        <f>3563.8+(80.2-476.6)+(3.635076+(0.081804-0.486132))+0-73.5-0.0749700000000117</f>
        <v>3097.0557779999999</v>
      </c>
      <c r="R125" s="3">
        <f>3613+(58.8-497.4)+(5.52789+(0.089964-0.761022))+0-82.8-0.126684000000005</f>
        <v>3096.330148</v>
      </c>
      <c r="S125" s="3">
        <f>3582+(46.2-460.5)+(-1.82682+(-0.023562--0.234855))+0-86.5--0.0441149999999912</f>
        <v>3079.628588</v>
      </c>
      <c r="T125" s="3">
        <f>3590.2+(43-497.9)+(3.662004+(0.04386-0.507858))+0-87.9-0.089658000000014</f>
        <v>3050.5083479999998</v>
      </c>
      <c r="U125" s="3">
        <f>3556.9+(41.2-505.5)+(-1.814019+(-0.021012--0.257805))+0-80.9--0.0412589999999918</f>
        <v>3010.164033</v>
      </c>
      <c r="V125" s="3">
        <f>3555.3+(39.2-535)+(3.626406+(0.039984-0.5457))+0-60.7-0.0619140000000097</f>
        <v>3001.8587760000005</v>
      </c>
      <c r="W125" s="3">
        <f>3504.2+(36.8-538.6)+(-7.148568+(-0.075072--1.098744))+0-50.8--0.103631999999998</f>
        <v>2945.5787359999995</v>
      </c>
      <c r="X125" s="3">
        <f>3498.9+(43.3-529.7)+(-5.353317+(-0.066249--0.810441))+0-87.6--0.134028000000005</f>
        <v>2920.4249030000001</v>
      </c>
      <c r="Y125" s="3">
        <f>3351.5+(25.5-488.2)+(3.41853+(0.02601-0.497964))+0-85.9-0.0876180000000137</f>
        <v>2805.7589579999999</v>
      </c>
      <c r="Z125" s="3">
        <f>3587.4+(0-486.4)+(9.14787+(0-1.24032))+0-88.9-0.226694999999987</f>
        <v>3019.780855</v>
      </c>
      <c r="AA125" s="3">
        <f>3698.4+(0-546.9)+(-1.886184+(0--0.278919))+0-92.2--0.0470219999999906</f>
        <v>3057.7397570000003</v>
      </c>
      <c r="AB125" s="3">
        <f>3642.8+(22.6-511.6)+(-5.573484+(-0.034578--0.782748))+0-88--0.134640000000005</f>
        <v>3061.1093260000002</v>
      </c>
      <c r="AC125" s="3">
        <f>3473.5+(109.5-521.9)+(-5.314455+(-0.167535--0.798507))+0-40.1--0.0613530000000023</f>
        <v>3016.3778700000003</v>
      </c>
      <c r="AD125" s="2">
        <v>2770</v>
      </c>
      <c r="AE125" s="3">
        <f>3740+(0-561)+(0+(0-0))+0-92.7-0</f>
        <v>3086.3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3252+(140.9-486.3)+(3.31704+(0.143718-0.496026))+0-81.8-0.083436000000013</f>
        <v>2827.6812959999997</v>
      </c>
      <c r="G126" s="3">
        <f>3153+(140.8-538.4)+(0+(0-0))+0-82.9-0</f>
        <v>2672.5</v>
      </c>
      <c r="H126" s="3">
        <f>3079.9+(140.6-502.3)+(3.141498+(0.143412-0.512346))+0-83.4-0.0850680000000133</f>
        <v>2637.4874959999997</v>
      </c>
      <c r="I126" s="3">
        <f>3025.7+(140.5-464.5)+(1.543107+(0.071655-0.236895))+0-81.8-0.0417179999999917</f>
        <v>2621.2361489999998</v>
      </c>
      <c r="J126" s="3">
        <f>3010.2+(140.5-531.2)+(-1.535202+(-0.071655--0.270912))+0-83.3--0.0424829999999915</f>
        <v>2534.9065380000002</v>
      </c>
      <c r="K126" s="3">
        <f>2877+(140.2-520.6)+(-5.86908+(-0.286008--1.062024))+0-41.7--0.0850679999999982</f>
        <v>2449.8920039999998</v>
      </c>
      <c r="L126" s="3">
        <f>2715.6+(140.9-444.4)+(0+(0-0))+0-69.8-0</f>
        <v>2342.2999999999997</v>
      </c>
      <c r="M126" s="3">
        <f>2848.6+(141.2-415)+(1.452786+(0.072012-0.21165))+0-80.8-0.0412079999999918</f>
        <v>2495.2719399999996</v>
      </c>
      <c r="N126" s="3">
        <f>3133.9+(132.6-442.6)+(1.598289+(0.067626-0.225726))+0-61.4-0.0313139999999938</f>
        <v>2763.9088750000001</v>
      </c>
      <c r="O126" s="3">
        <f>3490.3+(96.5-583.9)+(1.780053+(0.049215-0.297789))+0-52.6-0.0268259999999947</f>
        <v>2951.8046530000006</v>
      </c>
      <c r="P126" s="3">
        <f>3464.4+(43.8-449.9)+(-1.766844+(-0.022338--0.229449))+0-78.1--0.0398309999999921</f>
        <v>2978.6800980000003</v>
      </c>
      <c r="Q126" s="3">
        <f>3582.2+(43.4-490.6)+(5.480766+(0.066402-0.750618))+0-84.7-0.129591000000005</f>
        <v>3054.9669590000003</v>
      </c>
      <c r="R126" s="3">
        <f>3630.9+(21.2-492.5)+(-5.555277+(-0.032436--0.753525))+0-86.5--0.132345000000005</f>
        <v>3068.3981570000001</v>
      </c>
      <c r="S126" s="3">
        <f>3694.5+(3.3-564.1)+(-1.884195+(-0.001683--0.287691))+0-76.4--0.0389639999999923</f>
        <v>3055.7407769999995</v>
      </c>
      <c r="T126" s="3">
        <f>3725.2+(6.9-591.9)+(-5.699556+(-0.010557--0.905607))+0-83.8--0.128214000000005</f>
        <v>3051.7237079999995</v>
      </c>
      <c r="U126" s="3">
        <f>3716.2+(0-611.4)+(-3.790524+(0--0.623628))+0-62.9--0.06415800000001</f>
        <v>3038.7972619999996</v>
      </c>
      <c r="V126" s="3">
        <f>3678.8+(0-597.5)+(1.876188+(0-0.304725))+0-88.7-0.045236999999991</f>
        <v>2994.1262260000008</v>
      </c>
      <c r="W126" s="3">
        <f>3620.2+(0-582.8)+(-1.846302+(0--0.297228))+0-75.1--0.0383009999999924</f>
        <v>2960.7892269999998</v>
      </c>
      <c r="X126" s="3">
        <f>3549.7+(17.8-558.8)+(-5.431041+(-0.027234--0.854964))+0-85.2--0.130356000000005</f>
        <v>2919.0270450000003</v>
      </c>
      <c r="Y126" s="3">
        <f>3375.8+(25.7-487.2)+(-1.721658+(-0.013107--0.248472))+0-84--0.0428399999999915</f>
        <v>2828.8565470000003</v>
      </c>
      <c r="Z126" s="3">
        <f>3721.9+(0-558.7)+(3.796338+(0-0.569874))+0-87.2-0.0889440000000139</f>
        <v>3079.1375199999998</v>
      </c>
      <c r="AA126" s="3">
        <f>3802.9+(5.4-634.2)+(1.939479+(0.002754-0.323442))+0-71.9-0.0366689999999927</f>
        <v>3103.7821219999996</v>
      </c>
      <c r="AB126" s="3">
        <f>3731.7+(35.6-618.7)+(-7.612668+(-0.072624--1.262148))+0-75.7--0.154427999999997</f>
        <v>3066.6312840000001</v>
      </c>
      <c r="AC126" s="3">
        <f>3509.2+(96-559.3)+(1.789692+(0.04896-0.285243))+0-81-0.0413099999999918</f>
        <v>2966.4120989999997</v>
      </c>
      <c r="AD126" s="2">
        <v>2625</v>
      </c>
      <c r="AE126" s="3">
        <f>3656.5+(0-605.4)+(0+(0-0))+0-95.2-0</f>
        <v>2955.9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3349.2+(141.5-570.5)+(1.708092+(0.072165-0.290955))+0-78.6-0.040085999999992</f>
        <v>2843.0492159999999</v>
      </c>
      <c r="G127" s="3">
        <f>2925.2+(141.1-377.8)+(1.491852+(0.071961-0.192678))+0-90.9-0.0463589999999908</f>
        <v>2598.9247759999998</v>
      </c>
      <c r="H127" s="3">
        <f>2928+(142.2-414.9)+(1.49328+(0.072522-0.211599))+0-93.7-0.0477869999999905</f>
        <v>2562.9064160000003</v>
      </c>
      <c r="I127" s="3">
        <f>2940.5+(141.7-442.4)+(2.99931+(0.144534-0.451248))+0-39.9-0.0406980000000064</f>
        <v>2602.5518980000002</v>
      </c>
      <c r="J127" s="3">
        <f>2931.8+(140.4-483.9)+(1.495218+(0.071604-0.246789))+0-77.9-0.0397289999999921</f>
        <v>2511.680304</v>
      </c>
      <c r="K127" s="3">
        <f>2778+(141-432.6)+(-5.66712+(-0.28764--0.882504))+0-85.1--0.173603999999996</f>
        <v>2396.4013480000003</v>
      </c>
      <c r="L127" s="3">
        <f>2488.2+(140.6-320.2)+(-1.268982+(-0.071706--0.163302))+0-24.6--0.0125459999999975</f>
        <v>2282.8351600000001</v>
      </c>
      <c r="M127" s="3">
        <f>2654.1+(140.1-370.2)+(2.707182+(0.142902-0.377604))+0-22.8-0.0232560000000036</f>
        <v>2403.6492239999998</v>
      </c>
      <c r="N127" s="3">
        <f>3026.3+(139.2-479.8)+(1.543413+(0.070992-0.244698))+0-21.6-0.0110159999999978</f>
        <v>2665.4586910000003</v>
      </c>
      <c r="O127" s="3">
        <f>3270.8+(116.2-517.4)+(-3.336216+(-0.118524--0.527748))+0-21.5--0.0219300000000034</f>
        <v>2845.1949380000001</v>
      </c>
      <c r="P127" s="3">
        <f>3385.7+(42.5-487.7)+(6.906828+(0.0867-0.994908))+0-19.9-0.0405959999999991</f>
        <v>2926.5580239999999</v>
      </c>
      <c r="Q127" s="3">
        <f>3525.2+(15.4-520.7)+(1.797852+(0.007854-0.265557))+0-16.5-0.00841499999999833</f>
        <v>3004.9317339999998</v>
      </c>
      <c r="R127" s="3">
        <f>3694.2+(3.2-623.7)+(3.768084+(0.003264-0.636174))+0-19.1-0.019482000000003</f>
        <v>3057.7156919999998</v>
      </c>
      <c r="S127" s="3">
        <f>3701.6+(0-689.3)+(-5.663448+(0--1.054629))+0-22.1--0.0338130000000013</f>
        <v>2985.6249940000002</v>
      </c>
      <c r="T127" s="3">
        <f>3692.6+(0-703.2)+(-7.532904+(0--1.434528))+0-37.6--0.0767039999999984</f>
        <v>2945.7783279999999</v>
      </c>
      <c r="U127" s="3">
        <f>3689.3+(0-677.9)+(-7.526172+(0--1.382916))+0-88.6--0.180743999999996</f>
        <v>2916.8374880000001</v>
      </c>
      <c r="V127" s="3">
        <f>3704.9+(0-698.8)+(-3.778998+(0--0.712776))+0-74--0.0754800000000118</f>
        <v>2929.1092580000004</v>
      </c>
      <c r="W127" s="3">
        <f>3505.5+(0-590.7)+(-1.787805+(0--0.301257))+0-78.9--0.040238999999992</f>
        <v>2834.4536910000002</v>
      </c>
      <c r="X127" s="3">
        <f>3471.1+(0-608.5)+(-8.851305+(0--1.551675))+0-76.9--0.196094999999989</f>
        <v>2778.5964649999996</v>
      </c>
      <c r="Y127" s="3">
        <f>3416.2+(1.5-542.8)+(-10.453572+(-0.00459--1.660968))+0-88.2--0.26989200000001</f>
        <v>2778.1726979999994</v>
      </c>
      <c r="Z127" s="3">
        <f>3618.8+(0-575.5)+(3.691176+(0-0.58701))+0-62.1-0.0633420000000099</f>
        <v>2984.2408240000004</v>
      </c>
      <c r="AA127" s="3">
        <f>3699.6+(0-571.8)+(-5.660388+(0--0.874854))+0-83.5--0.127755000000005</f>
        <v>3039.6422210000001</v>
      </c>
      <c r="AB127" s="3">
        <f>3650.6+(37.4-561.6)+(-9.30903+(-0.09537--1.43208))+0-83.1--0.211904999999988</f>
        <v>3035.539585</v>
      </c>
      <c r="AC127" s="3">
        <f>3554+(67.9-544.1)+(-7.25016+(-0.138516--1.109964))+0-86.3--0.176051999999996</f>
        <v>2985.39734</v>
      </c>
      <c r="AD127" s="2">
        <v>2790.7</v>
      </c>
      <c r="AE127" s="3">
        <f>3706.5+(0-554.7)+(0+(0-0))+0-99.3-0</f>
        <v>3052.5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3248.9+(131.8-543.1)+(-1.656939+(-0.067218--0.276981))+0-34.8--0.0177479999999965</f>
        <v>2801.3705719999998</v>
      </c>
      <c r="G128" s="3">
        <f>3033+(140.2-530.5)+(-3.09366+(-0.143004--0.54111))+0-91.9--0.0937380000000147</f>
        <v>2548.1981839999999</v>
      </c>
      <c r="H128" s="3">
        <f>2958.9+(140-521.1)+(1.509039+(0.0714-0.265761))+0-95.9-0.0489089999999903</f>
        <v>2483.1657690000002</v>
      </c>
      <c r="I128" s="3">
        <f>2879.8+(141-491.5)+(0+(0-0))+0-33.1-0</f>
        <v>2496.2000000000003</v>
      </c>
      <c r="J128" s="3">
        <f>2829.4+(141.1-526.8)+(-5.771976+(-0.287844--1.074672))+0-26.6--0.0542639999999988</f>
        <v>2412.169116</v>
      </c>
      <c r="K128" s="3">
        <f>2809.7+(140.1-527.9)+(-7.164735+(-0.357255--1.346145))+0-52--0.132599999999992</f>
        <v>2363.8567549999993</v>
      </c>
      <c r="L128" s="3">
        <f>2819.4+(140.3-531.5)+(-7.18947+(-0.357765--1.355325))+0-68.6--0.17492999999999</f>
        <v>2353.5830200000005</v>
      </c>
      <c r="M128" s="3">
        <f>2904.2+(139.4-481)+(1.481142+(0.071094-0.24531))+0-91.3-0.0465629999999907</f>
        <v>2472.5603630000001</v>
      </c>
      <c r="N128" s="3">
        <f>3028.7+(131.3-457.4)+(3.089274+(0.133926-0.466548))+0-83.4-0.0850680000000133</f>
        <v>2621.871584</v>
      </c>
      <c r="O128" s="3">
        <f>3217.9+(107.4-490.1)+(4.923387+(0.164322-0.749853))+0-85.6-0.130968000000005</f>
        <v>2753.8068880000001</v>
      </c>
      <c r="P128" s="3">
        <f>3398.1+(78-497)+(3.466062+(0.07956-0.50694))+0-80-0.0816000000000128</f>
        <v>2902.0570819999998</v>
      </c>
      <c r="Q128" s="3">
        <f>3530.4+(52.8-518.1)+(5.401512+(0.080784-0.792693))+0-79.8-0.122094000000005</f>
        <v>2989.8675089999997</v>
      </c>
      <c r="R128" s="3">
        <f>3683.9+(25.9-591.4)+(-5.636367+(-0.039627--0.904842))+0-88--0.134640000000005</f>
        <v>3025.7634880000005</v>
      </c>
      <c r="S128" s="3">
        <f>3651.1+(23.2-678.8)+(-3.724122+(-0.023664--0.692376))+0-68.3--0.0696660000000109</f>
        <v>2924.2142559999998</v>
      </c>
      <c r="T128" s="3">
        <f>3636.1+(18-670.6)+(-3.708822+(-0.01836--0.684012))+0-76.5--0.0780300000000122</f>
        <v>2904.0348600000002</v>
      </c>
      <c r="U128" s="3">
        <f>3630.8+(23.1-673.3)+(-5.555124+(-0.035343--1.030149))+0-64.7--0.0989910000000037</f>
        <v>2911.4386730000006</v>
      </c>
      <c r="V128" s="3">
        <f>3586.6+(29.9-654)+(-5.487498+(-0.045747--1.00062))+0-74--0.113220000000004</f>
        <v>2884.0805950000004</v>
      </c>
      <c r="W128" s="3">
        <f>3562.6+(45.7-631.3)+(-9.08463+(-0.116535--1.609815))+0-82.2--0.209609999999988</f>
        <v>2887.4182599999999</v>
      </c>
      <c r="X128" s="3">
        <f>3284.7+(69.3-549.8)+(-3.350394+(-0.070686--0.560796))+0-91.9--0.0937380000000147</f>
        <v>2709.5334539999999</v>
      </c>
      <c r="Y128" s="3">
        <f>3302.7+(52.3-571.2)+(-1.684377+(-0.026673--0.291312))+0-79.5--0.0405449999999919</f>
        <v>2702.9208069999995</v>
      </c>
      <c r="Z128" s="3">
        <f>3706.3+(0-593.8)+(3.780426+(0-0.605676))+0-89.8-0.0915960000000143</f>
        <v>3025.7831539999997</v>
      </c>
      <c r="AA128" s="3">
        <f>3817.4+(2-638.1)+(-7.787496+(-0.00408--1.301724))+0-96.8--0.197471999999996</f>
        <v>3078.2076199999997</v>
      </c>
      <c r="AB128" s="3">
        <f>3708.6+(46.3-607.1)+(-1.891386+(-0.023613--0.309621))+0-87--0.0443699999999912</f>
        <v>3059.2389919999996</v>
      </c>
      <c r="AC128" s="3">
        <f>3545.3+(65.8-608.9)+(-5.424309+(-0.100674--0.931617))+0-41.2--0.0630360000000024</f>
        <v>2956.4696700000004</v>
      </c>
      <c r="AD128" s="2">
        <v>2735.1</v>
      </c>
      <c r="AE128" s="3">
        <f>3846.5+(6.3-642.9)+(0+(0-0))+0-107.3-0</f>
        <v>3102.6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3298.3+(135.1-550.1)+(0+(0-0))+0-97-0</f>
        <v>2786.3</v>
      </c>
      <c r="G129" s="3">
        <f>3158.6+(140.9-560.5)+(1.610886+(0.071859-0.285855))+0-88.9-0.045338999999991</f>
        <v>2651.4515510000001</v>
      </c>
      <c r="H129" s="3">
        <f>3122.6+(141.4-559.9)+(-3.185052+(-0.144228--0.571098))+0-84.8--0.0864960000000135</f>
        <v>2616.6283139999996</v>
      </c>
      <c r="I129" s="3">
        <f>3132.5+(141.3-562.4)+(-1.597575+(-0.072063--0.286824))+0-68.1--0.0347309999999931</f>
        <v>2641.9519170000003</v>
      </c>
      <c r="J129" s="3">
        <f>3090.3+(140.5-604.6)+(-4.728159+(-0.214965--0.925038))+0-80.3--0.122859000000005</f>
        <v>2542.0047730000001</v>
      </c>
      <c r="K129" s="3">
        <f>2829.9+(141.2-499.9)+(-4.329747+(-0.216036--0.764847))+0-82.7--0.126531000000005</f>
        <v>2384.8455950000002</v>
      </c>
      <c r="L129" s="3">
        <f>2696.5+(139.8-418.2)+(0+(0-0))+0-81.1-0</f>
        <v>2337</v>
      </c>
      <c r="M129" s="3">
        <f>2757.6+(139.4-397.3)+(8.438256+(0.426564-1.215738))+0-82.1-0.25122600000001</f>
        <v>2424.997856</v>
      </c>
      <c r="N129" s="3">
        <f>3023.9+(119.3-489.3)+(7.710945+(0.304215-1.247715))+0-62.6-0.159629999999991</f>
        <v>2597.907815</v>
      </c>
      <c r="O129" s="3">
        <f>3334.6+(94.2-594.1)+(10.203876+(0.288252-1.817946))+0-88.8-0.27172800000001</f>
        <v>2754.3024539999997</v>
      </c>
      <c r="P129" s="3">
        <f>3619.5+(55.8-672.6)+(0+(0-0))+0-89.5-0</f>
        <v>2913.2</v>
      </c>
      <c r="Q129" s="3">
        <f>3558.5+(56.3-521.6)+(5.444505+(0.086139-0.798048))+0-90.8-0.138924000000005</f>
        <v>3006.9936719999996</v>
      </c>
      <c r="R129" s="3">
        <f>3534.3+(43.6-519.6)+(0+(0-0))+0-71.1-0</f>
        <v>2987.2000000000003</v>
      </c>
      <c r="S129" s="3">
        <f>3505.5+(28-517)+(-10.72683+(-0.08568--1.58202))+0-64.1--0.196146000000007</f>
        <v>2943.3656560000004</v>
      </c>
      <c r="T129" s="3">
        <f>3512.8+(44.8-566.7)+(-1.791528+(-0.022848--0.289017))+0-67.4--0.0343739999999932</f>
        <v>2922.0090149999996</v>
      </c>
      <c r="U129" s="3">
        <f>3510.1+(85.1-604.7)+(-1.790151+(-0.043401--0.308397))+0-78.8--0.040187999999992</f>
        <v>2910.2150329999999</v>
      </c>
      <c r="V129" s="3">
        <f>3473.1+(101.1-594.5)+(-1.771281+(-0.051561--0.303195))+0-89.4--0.0455939999999909</f>
        <v>2888.8259469999998</v>
      </c>
      <c r="W129" s="3">
        <f>3479.3+(108.6-606.5)+(3.548886+(0.110772-0.61863))+0-73.2-0.0746640000000117</f>
        <v>2911.1663640000002</v>
      </c>
      <c r="X129" s="3">
        <f>3368.1+(109-589.2)+(1.717731+(0.05559-0.300492))+0-68.9-0.035138999999993</f>
        <v>2820.4376899999993</v>
      </c>
      <c r="Y129" s="3">
        <f>3282.6+(84.5-510.1)+(0+(0-0))+0-59.6-0</f>
        <v>2797.4</v>
      </c>
      <c r="Z129" s="3">
        <f>3550.5+(0-485.4)+(-5.432265+(0--0.742662))+0-92.4--0.141372000000005</f>
        <v>2968.1517690000001</v>
      </c>
      <c r="AA129" s="3">
        <f>3746+(13.5-600.8)+(-1.91046+(-0.006885--0.306408))+0-86.9--0.0443189999999912</f>
        <v>3070.2333819999999</v>
      </c>
      <c r="AB129" s="3">
        <f>3589.2+(68.7-581.4)+(-3.660984+(-0.070074--0.593028))+0-85.4--0.0871080000000136</f>
        <v>2988.049078</v>
      </c>
      <c r="AC129" s="3">
        <f>3552.7+(112.7-590.7)+(-7.247508+(-0.229908--1.205028))+0-79.5--0.162179999999997</f>
        <v>2989.0897919999998</v>
      </c>
      <c r="AD129" s="2">
        <v>2720.7</v>
      </c>
      <c r="AE129" s="3">
        <f>3745+(6.2-576)+(0+(0-0))+0-97.7-0</f>
        <v>3077.5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3459.4+(141.9-610.7)+(-1.764294+(-0.072369--0.311457))+0-84.9--0.0432989999999914</f>
        <v>2904.218093</v>
      </c>
      <c r="G130" s="3">
        <f>3310.2+(141.7-604.1)+(-1.688202+(-0.072267--0.308091))+0-83.4--0.0425339999999915</f>
        <v>2762.9901559999998</v>
      </c>
      <c r="H130" s="3">
        <f>3152.9+(141.7-520.3)+(0+(0-0))+0-91-0</f>
        <v>2683.3</v>
      </c>
      <c r="I130" s="3">
        <f>2880.3+(140.7-340.4)+(-7.344765+(-0.358785--0.86802))+0-83.8--0.213689999999988</f>
        <v>2590.1781600000004</v>
      </c>
      <c r="J130" s="3">
        <f>2886.5+(141.9-423.1)+(-2.94423+(-0.144738--0.431562))+0-91.5--0.0933300000000146</f>
        <v>2511.2359240000005</v>
      </c>
      <c r="K130" s="3">
        <f>2777.6+(142.3-463.9)+(-9.916032+(-0.508011--1.656123))+0-84.5--0.301665000000001</f>
        <v>2363.0337450000002</v>
      </c>
      <c r="L130" s="3">
        <f>2375.2+(141.1-241)+(-8.479464+(-0.503727--0.86037))+0-79.6--0.284172000000001</f>
        <v>2187.861351</v>
      </c>
      <c r="M130" s="3">
        <f>2305.6+(140.4-209)+(1.175856+(0.071604-0.10659))+0-40.7-0.0207569999999959</f>
        <v>2197.4201130000006</v>
      </c>
      <c r="N130" s="3">
        <f>2299.7+(191.5-182.1)+(-1.172847+(-0.097665--0.092871))+0-82.4--0.0420239999999916</f>
        <v>2225.5643829999995</v>
      </c>
      <c r="O130" s="3">
        <f>2492.2+(148.5-192.7)+(3.813066+(0.227205-0.294831))+0-85.6-0.130968000000005</f>
        <v>2366.0144720000003</v>
      </c>
      <c r="P130" s="3">
        <f>2943.7+(142.3-455.2)+(0+(0-0))+0-85.1-0</f>
        <v>2545.6999999999998</v>
      </c>
      <c r="Q130" s="3">
        <f>3187.6+(140.8-574.6)+(4.877028+(0.215424-0.879138))+0-88.5-0.135405000000005</f>
        <v>2669.3779089999998</v>
      </c>
      <c r="R130" s="3">
        <f>3292.1+(128.6-606.7)+(3.357942+(0.131172-0.618834))+0-90.8-0.0926160000000145</f>
        <v>2725.977664</v>
      </c>
      <c r="S130" s="3">
        <f>3305.8+(109.5-595.6)+(6.743832+(0.22338-1.215024))+0-90.5-0.184619999999996</f>
        <v>2734.7675680000002</v>
      </c>
      <c r="T130" s="3">
        <f>3290.7+(83.6-601.7)+(6.713028+(0.170544-1.227468))+0-80.3-0.163811999999996</f>
        <v>2697.7922920000001</v>
      </c>
      <c r="U130" s="3">
        <f>3266.1+(117.6-590.1)+(3.331422+(0.119952-0.601902))+0-91.3-0.0931260000000146</f>
        <v>2705.0563459999994</v>
      </c>
      <c r="V130" s="3">
        <f>3251.6+(124.2-602.2)+(-1.658316+(-0.063342--0.307122))+0-78.3--0.0399329999999921</f>
        <v>2693.9253969999995</v>
      </c>
      <c r="W130" s="3">
        <f>3272.4+(131.9-643)+(3.337848+(0.134538-0.65586))+0-97.7-0.0996540000000156</f>
        <v>2666.3168720000003</v>
      </c>
      <c r="X130" s="3">
        <f>3147.4+(134-608.1)+(-1.605174+(-0.06834--0.310131))+0-93.5--0.0476849999999905</f>
        <v>2578.4843020000003</v>
      </c>
      <c r="Y130" s="3">
        <f>3018.6+(92.6-470.5)+(-6.157944+(-0.188904--0.95982))+0-70--0.142799999999997</f>
        <v>2565.4557719999998</v>
      </c>
      <c r="Z130" s="3">
        <f>3235.3+(3.8-447.3)+(0+(0-0))+0-73.1-0</f>
        <v>2718.7000000000003</v>
      </c>
      <c r="AA130" s="3">
        <f>3340.8+(21.7-517.5)+(-8.51904+(-0.055335--1.319625))+0-90.5--0.230774999999987</f>
        <v>2747.4760249999999</v>
      </c>
      <c r="AB130" s="3">
        <f>3380.7+(103-602.3)+(0+(0-0))+0-72.4-0</f>
        <v>2808.9999999999995</v>
      </c>
      <c r="AC130" s="3">
        <f>3412.5+(143-675.4)+(5.221125+(0.21879-1.033362))+0-82.9-0.126837000000005</f>
        <v>2801.4797159999998</v>
      </c>
      <c r="AD130" s="2">
        <v>2539.8000000000002</v>
      </c>
      <c r="AE130" s="3">
        <f>3389+(63.9-536.6)+(0+(0-0))+0-95-0</f>
        <v>2821.3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3139.4+(142.6-560.1)+(-6.404376+(-0.290904--1.142604))+0-92.6--0.188903999999996</f>
        <v>2623.9362280000005</v>
      </c>
      <c r="G131" s="3">
        <f>3090.2+(141.2-583)+(-7.88001+(-0.36006--1.48665))+0-82.6--0.210629999999988</f>
        <v>2559.2572099999998</v>
      </c>
      <c r="H131" s="3">
        <f>2679.5+(140.9-361.9)+(-9.565815+(-0.503013--1.291983))+0-70.4--0.251328000000001</f>
        <v>2379.5744829999999</v>
      </c>
      <c r="I131" s="3">
        <f>2624.9+(140.5-345.1)+(0+(0-0))+0-83.8-0</f>
        <v>2336.5</v>
      </c>
      <c r="J131" s="3">
        <f>2581.4+(140.7-373.9)+(-6.58257+(-0.358785--0.953445))+0-91--0.232049999999987</f>
        <v>2251.4441400000005</v>
      </c>
      <c r="K131" s="3">
        <f>2470.8+(141.5-363.4)+(-7.560648+(-0.43299--1.112004))+0-84.7--0.25918200000001</f>
        <v>2157.5775480000007</v>
      </c>
      <c r="L131" s="3">
        <f>2385.3+(140.7-293.2)+(0+(0-0))+0-82.4-0</f>
        <v>2150.4</v>
      </c>
      <c r="M131" s="3">
        <f>2652.7+(140.4-366.6)+(0+(0-0))+0-89.6-0</f>
        <v>2336.9</v>
      </c>
      <c r="N131" s="3">
        <f>2961.6+(139.8-512.1)+(-1.510416+(-0.071298--0.261171))+0-86--0.0438599999999913</f>
        <v>2502.0233169999997</v>
      </c>
      <c r="O131" s="3">
        <f>3033+(140.2-507.5)+(-4.64049+(-0.214506--0.776475))+0-82.9--0.126837000000005</f>
        <v>2578.8483159999996</v>
      </c>
      <c r="P131" s="3">
        <f>3197.1+(141.1-506.6)+(0+(0-0))+0-81.8-0</f>
        <v>2749.7999999999997</v>
      </c>
      <c r="Q131" s="3">
        <f>3362.4+(128.1-543.9)+(5.144472+(0.195993-0.832167))+0-78.5-0.120105000000005</f>
        <v>2872.4881930000006</v>
      </c>
      <c r="R131" s="3">
        <f>3462.4+(109.4-658.7)+(3.531648+(0.111588-0.671874))+0-87.3-0.0890460000000139</f>
        <v>2828.6823159999999</v>
      </c>
      <c r="S131" s="3">
        <f>3446.1+(103.1-680.7)+(0+(0-0))+0-82.6-0</f>
        <v>2785.9</v>
      </c>
      <c r="T131" s="3">
        <f>3449.2+(95.8-726.2)+(1.759092+(0.048858-0.370362))+0-64.3-0.0327929999999935</f>
        <v>2755.9047949999995</v>
      </c>
      <c r="U131" s="3">
        <f>3433.8+(92.6-696.2)+(0+(0-0))+0-94.1-0</f>
        <v>2736.1000000000004</v>
      </c>
      <c r="V131" s="3">
        <f>3427.6+(91.6-687.2)+(1.748076+(0.046716-0.350472))+0-84.4-0.0430439999999914</f>
        <v>2749.001276</v>
      </c>
      <c r="W131" s="3">
        <f>3405.8+(94.1-659.7)+(1.736958+(0.047991-0.336447))+0-94.8-0.0483479999999904</f>
        <v>2746.8001540000005</v>
      </c>
      <c r="X131" s="3">
        <f>3296+(103.1-659.6)+(1.68096+(0.052581-0.336396))+0-28.1-0.0143309999999971</f>
        <v>2712.7828140000001</v>
      </c>
      <c r="Y131" s="3">
        <f>3289.1+(78.8-617.6)+(3.354882+(0.080376-0.629952))+0-90.1-0.0919020000000144</f>
        <v>2662.9134039999999</v>
      </c>
      <c r="Z131" s="3">
        <f>3637+(0-653.1)+(0+(0-0))+0-82.7-0</f>
        <v>2901.2000000000003</v>
      </c>
      <c r="AA131" s="3">
        <f>3659.2+(12.3-662.5)+(-7.464768+(-0.025092--1.3515))+0-89.7--0.182987999999996</f>
        <v>2913.3446280000003</v>
      </c>
      <c r="AB131" s="3">
        <f>3598+(81-671.3)+(0+(0-0))+0-88-0</f>
        <v>2919.7</v>
      </c>
      <c r="AC131" s="3">
        <f>3403.7+(104.4-671.7)+(1.735887+(0.053244-0.342567))+0-47.5-0.0242249999999952</f>
        <v>2790.3223389999994</v>
      </c>
      <c r="AD131" s="2">
        <v>2658</v>
      </c>
      <c r="AE131" s="3">
        <f>3656+(0-657.4)+(0+(0-0))+0-98.4-0</f>
        <v>2900.2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3229.9+(141.5-652.7)+(3.294498+(0.14433-0.665754))+0-25.6-0.0261120000000041</f>
        <v>2695.8469620000001</v>
      </c>
      <c r="G132" s="3">
        <f>2957.9+(142.5-534)+(-4.525587+(-0.218025--0.81702))+0-27.2--0.0416160000000016</f>
        <v>2535.3150240000004</v>
      </c>
      <c r="H132" s="3">
        <f>2809.9+(143.4-419.9)+(0+(0-0))+0-101.6-0</f>
        <v>2431.8000000000002</v>
      </c>
      <c r="I132" s="3">
        <f>2798.3+(141.9-394.2)+(-2.854266+(-0.144738--0.402084))+0-91.7--0.0935340000000146</f>
        <v>2451.7966140000003</v>
      </c>
      <c r="J132" s="3">
        <f>2840.1+(142.1-501.9)+(-5.793804+(-0.289884--1.023876))+0-66.9--0.136475999999997</f>
        <v>2408.4766640000003</v>
      </c>
      <c r="K132" s="3">
        <f>2604.1+(142-422.4)+(-6.640455+(-0.3621--1.07712))+0-95.2--0.242759999999986</f>
        <v>2222.817325</v>
      </c>
      <c r="L132" s="3">
        <f>2396+(143.2-302.8)+(-2.44392+(-0.146064--0.308856))+0-82.8--0.0844560000000132</f>
        <v>2151.4033279999999</v>
      </c>
      <c r="M132" s="3">
        <f>2425.2+(122.8-273.4)+(1.236852+(0.062628-0.139434))+0-88.1-0.0449309999999911</f>
        <v>2187.6151150000001</v>
      </c>
      <c r="N132" s="3">
        <f>2795.2+(105.7-444.4)+(2.851104+(0.107814-0.453288))+0-62.4-0.0636480000000099</f>
        <v>2396.5419820000002</v>
      </c>
      <c r="O132" s="3">
        <f>3261.2+(106.9-632.8)+(4.989636+(0.163557-0.968184))+0-76.8-0.117504000000004</f>
        <v>2662.5675049999995</v>
      </c>
      <c r="P132" s="3">
        <f>3486.2+(105.4-686.4)+(3.555924+(0.107508-0.700128))+0-83.7-0.0853740000000134</f>
        <v>2824.3779299999997</v>
      </c>
      <c r="Q132" s="3">
        <f>3542.3+(77.1-677.8)+(7.226292+(0.157284-1.382712))+0-78.3-0.159731999999997</f>
        <v>2869.1411320000002</v>
      </c>
      <c r="R132" s="3">
        <f>3553.8+(52.2-673.2)+(5.437314+(0.079866-1.029996))+0-92.5-0.141525000000005</f>
        <v>2844.6456590000003</v>
      </c>
      <c r="S132" s="3">
        <f>3520.7+(42.3-708.9)+(5.386671+(0.064719-1.084617))+0-84.4-0.129132000000005</f>
        <v>2773.937641</v>
      </c>
      <c r="T132" s="3">
        <f>3462.4+(35.2-718.5)+(-3.531648+(-0.035904--0.73287))+0-29--0.0295800000000046</f>
        <v>2747.2948980000001</v>
      </c>
      <c r="U132" s="3">
        <f>3465.5+(20.1-714.9)+(3.53481+(0.020502-0.729198))+0-21.8-0.0222360000000035</f>
        <v>2751.7038779999998</v>
      </c>
      <c r="V132" s="3">
        <f>3437.2+(37.4-653.5)+(0+(0-0))+0-96.5-0</f>
        <v>2724.6</v>
      </c>
      <c r="W132" s="3">
        <f>3431+(40.2-644.4)+(0+(0-0))+0-86.1-0</f>
        <v>2740.7000000000003</v>
      </c>
      <c r="X132" s="3">
        <f>3377.4+(49.3-631.5)+(1.722474+(0.025143-0.322065))+0-79.9-0.0407489999999919</f>
        <v>2716.6848030000001</v>
      </c>
      <c r="Y132" s="3">
        <f>3293.2+(29.8-555.3)+(5.038596+(0.045594-0.849609))+0-74.9-0.114597000000004</f>
        <v>2696.9199839999997</v>
      </c>
      <c r="Z132" s="3">
        <f>3622.8+(0-616)+(0+(0-0))+0-92.4-0</f>
        <v>2914.4</v>
      </c>
      <c r="AA132" s="3">
        <f>3618.4+(25.4-628.7)+(-12.917688+(-0.090678--2.244459))+0-89.3--0.318801000000001</f>
        <v>2915.3548939999996</v>
      </c>
      <c r="AB132" s="3">
        <f>3508.9+(93.1-631.1)+(-5.368617+(-0.142443--0.965583))+0-83.4--0.127602000000005</f>
        <v>2883.0821249999999</v>
      </c>
      <c r="AC132" s="3">
        <f>3364.2+(124.9-607.5)+(1.715742+(0.063699-0.309825))+0-47.4-0.0241739999999952</f>
        <v>2835.6454419999995</v>
      </c>
      <c r="AD132" s="2">
        <v>2672</v>
      </c>
      <c r="AE132" s="3">
        <f>3644+(9.2-625.9)+(0+(0-0))+0-94-0</f>
        <v>2933.3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3074+(142.9-551.2)+(-3.13548+(-0.145758--0.562224))+0-92.3--0.0941460000000147</f>
        <v>2570.7751319999998</v>
      </c>
      <c r="G133" s="3">
        <f>3032+(142-554.1)+(-6.18528+(-0.28968--1.130364))+0-80.8--0.164831999999996</f>
        <v>2533.9202359999999</v>
      </c>
      <c r="H133" s="3">
        <f>2901+(141-480.2)+(-4.43853+(-0.21573--0.734706))+0-80.1--0.122553000000005</f>
        <v>2477.9029990000004</v>
      </c>
      <c r="I133" s="3">
        <f>2790+(141.1-374.7)+(-1.4229+(-0.071961--0.191097))+0-90.7--0.0462569999999908</f>
        <v>2464.4424930000005</v>
      </c>
      <c r="J133" s="3">
        <f>2727+(140.1-391.3)+(-5.56308+(-0.285804--0.798252))+0-86.1--0.175643999999996</f>
        <v>2384.8250120000002</v>
      </c>
      <c r="K133" s="3">
        <f>2575+(140.4-384.7)+(-3.93975+(-0.214812--0.588591))+0-85.5--0.130815000000005</f>
        <v>2241.7648439999998</v>
      </c>
      <c r="L133" s="3">
        <f>2419.3+(141.5-331.1)+(0+(0-0))+0-96.7-0</f>
        <v>2133.0000000000005</v>
      </c>
      <c r="M133" s="3">
        <f>2646.2+(142.9-425.4)+(4.048686+(0.218637-0.650862))+0-86.1-0.131733000000005</f>
        <v>2281.0847279999998</v>
      </c>
      <c r="N133" s="3">
        <f>3054.4+(107.5-511.8)+(1.557744+(0.054825-0.261018))+0-73.9-0.0376889999999925</f>
        <v>2577.5138620000002</v>
      </c>
      <c r="O133" s="3">
        <f>3275.7+(63.6-568.1)+(1.670607+(0.032436-0.289731))+0-60.9-0.0310589999999938</f>
        <v>2711.6822529999999</v>
      </c>
      <c r="P133" s="3">
        <f>3548.9+(19.6-613.9)+(7.239756+(0.039984-1.252356))+0-98-0.199919999999996</f>
        <v>2862.4274640000003</v>
      </c>
      <c r="Q133" s="3">
        <f>3582+(0-627.9)+(5.48046+(0-0.960687))+0-79-0.120870000000005</f>
        <v>2879.4989029999997</v>
      </c>
      <c r="R133" s="3">
        <f>3588.2+(0-659.7)+(-7.319928+(0--1.345788))+0-84.6--0.172583999999996</f>
        <v>2838.0984440000002</v>
      </c>
      <c r="S133" s="3">
        <f>3630+(5.9-734)+(-5.5539+(-0.009027--1.12302))+0-70.5--0.107865000000004</f>
        <v>2827.0679580000001</v>
      </c>
      <c r="T133" s="3">
        <f>3608.8+(5-725.1)+(5.521464+(0.00765-1.109403))+0-80-0.122400000000005</f>
        <v>2812.9973110000001</v>
      </c>
      <c r="U133" s="3">
        <f>3557.2+(11.8-707.3)+(3.628344+(0.012036-0.721446))+0-89-0.0907800000000142</f>
        <v>2775.5281539999996</v>
      </c>
      <c r="V133" s="3">
        <f>3512.7+(0-684.8)+(1.791477+(0-0.349248))+0-89.1-0.045440999999991</f>
        <v>2740.1967879999997</v>
      </c>
      <c r="W133" s="3">
        <f>3507.2+(0-663.6)+(-1.788672+(0--0.338436))+0-82.7--0.0421769999999916</f>
        <v>2759.4919409999998</v>
      </c>
      <c r="X133" s="3">
        <f>3501.6+(0-679.1)+(3.571632+(0-0.692682))+0-82.6-0.0842520000000132</f>
        <v>2742.6946979999998</v>
      </c>
      <c r="Y133" s="3">
        <f>3487.3+(0-612.8)+(7.114092+(0-1.250112))+0-94.2-0.192167999999996</f>
        <v>2785.9718120000002</v>
      </c>
      <c r="Z133" s="3">
        <f>3643.6+(0-623.6)+(1.858236+(0-0.318036))+0-90.4-0.0461039999999908</f>
        <v>2931.0940959999998</v>
      </c>
      <c r="AA133" s="3">
        <f>3629.7+(0-594.7)+(-7.404588+(0--1.213188))+0-87.1--0.177683999999996</f>
        <v>2941.8862839999997</v>
      </c>
      <c r="AB133" s="3">
        <f>3628.2+(27.5-672.7)+(3.700764+(0.02805-0.686154))+0-85.9-0.0876180000000137</f>
        <v>2900.055042</v>
      </c>
      <c r="AC133" s="3">
        <f>3401.5+(59.3-602.8)+(0+(0-0))+0-49.8-0</f>
        <v>2808.2</v>
      </c>
      <c r="AD133" s="2">
        <v>2681.9000000000005</v>
      </c>
      <c r="AE133" s="3">
        <f>3681+(12.8-627.6)+(0+(0-0))+0-101.7-0</f>
        <v>2964.5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3296.3+(70.7-566.1)+(-5.043339+(-0.108171--0.866133))+0-93.6--0.143208000000005</f>
        <v>2703.157831</v>
      </c>
      <c r="G134" s="3">
        <f>3111.5+(90.9-579.3)+(-3.17373+(-0.092718--0.590886))+0-81.3--0.082926000000013</f>
        <v>2539.2073639999999</v>
      </c>
      <c r="H134" s="3">
        <f>2871+(104.4-470.6)+(-1.46421+(-0.053244--0.240006))+0-63.2--0.0322319999999936</f>
        <v>2440.3547840000006</v>
      </c>
      <c r="I134" s="3">
        <f>2826+(106.6-417.8)+(-2.88252+(-0.108732--0.426156))+0-91.6--0.0934320000000146</f>
        <v>2420.7283360000006</v>
      </c>
      <c r="J134" s="3">
        <f>2851.8+(113.4-488.5)+(2.908836+(0.115668-0.49827))+0-88.6-0.0903720000000141</f>
        <v>2390.5358620000002</v>
      </c>
      <c r="K134" s="3">
        <f>2802.9+(110.7-506.6)+(1.429479+(0.056457-0.258366))+0-86.3-0.0440129999999912</f>
        <v>2321.8835569999997</v>
      </c>
      <c r="L134" s="3">
        <f>2697.2+(96.1-486.5)+(-4.126716+(-0.147033--0.744345))+0-39--0.0596700000000023</f>
        <v>2264.3302659999999</v>
      </c>
      <c r="M134" s="3">
        <f>2823.2+(93.5-519.6)+(1.439832+(0.047685-0.264996))+0-21.7-0.0110669999999978</f>
        <v>2376.6114540000003</v>
      </c>
      <c r="N134" s="3">
        <f>2998.3+(71.5-500.5)+(3.058266+(0.07293-0.51051))+0-22.3-0.0227460000000036</f>
        <v>2549.5979400000001</v>
      </c>
      <c r="O134" s="3">
        <f>3359.4+(52.2-608.7)+(3.426588+(0.053244-0.620874))+0-20.7-0.0211140000000033</f>
        <v>2785.037844</v>
      </c>
      <c r="P134" s="3">
        <f>3522.3+(29.7-628.8)+(1.796373+(0.015147-0.320688))+0-18-0.00917999999999817</f>
        <v>2906.6816520000002</v>
      </c>
      <c r="Q134" s="3">
        <f>3562.3+(0-588)+(3.633546+(0-0.59976))+0-17.2-0.0175440000000027</f>
        <v>2960.1162420000005</v>
      </c>
      <c r="R134" s="3">
        <f>3606.8+(0-619.2)+(1.839468+(0-0.315792))+0-17.3-0.00882299999999825</f>
        <v>2971.8148529999999</v>
      </c>
      <c r="S134" s="3">
        <f>3620.3+(0-647)+(1.846353+(0-0.32997))+0-31.6-0.0161159999999968</f>
        <v>2943.2002670000006</v>
      </c>
      <c r="T134" s="3">
        <f>3610.4+(0-627.8)+(1.841304+(0-0.320178))+0-81.6-0.0416159999999917</f>
        <v>2902.4795100000006</v>
      </c>
      <c r="U134" s="3">
        <f>3586.6+(0-641.1)+(-5.487498+(0--0.980883))+0-84.4--0.129132000000005</f>
        <v>2856.7225170000002</v>
      </c>
      <c r="V134" s="3">
        <f>3600.7+(0-672.3)+(1.836357+(0-0.342873))+0-84.1-0.0428909999999915</f>
        <v>2845.7505929999998</v>
      </c>
      <c r="W134" s="3">
        <f>3577.9+(0-664.8)+(-3.649458+(0--0.678096))+0-82.6--0.0842520000000132</f>
        <v>2827.6128900000003</v>
      </c>
      <c r="X134" s="3">
        <f>3427.1+(11.4-618.5)+(-5.243463+(-0.017442--0.946305))+0-92.6--0.141678000000005</f>
        <v>2723.2270779999999</v>
      </c>
      <c r="Y134" s="3">
        <f>3480.8+(16.2-658.9)+(3.550416+(0.016524-0.672078))+0-81.8-0.083436000000013</f>
        <v>2759.1114260000004</v>
      </c>
      <c r="Z134" s="3">
        <f>3619.5+(0-602.6)+(3.69189+(0-0.614652))+0-81.9-0.0835380000000131</f>
        <v>2937.9937</v>
      </c>
      <c r="AA134" s="3">
        <f>3634.9+(13.4-611.4)+(-3.707598+(-0.013668--0.623628))+0-84.1--0.0857820000000134</f>
        <v>2949.7881440000001</v>
      </c>
      <c r="AB134" s="3">
        <f>3658.6+(50.7-657.6)+(1.865886+(0.025857-0.335376))+0-85.4-0.0435539999999913</f>
        <v>2967.812813</v>
      </c>
      <c r="AC134" s="3">
        <f>3570.5+(80.6-662.1)+(9.104775+(0.20553-1.688355))+0-61.8-0.157589999999991</f>
        <v>2934.6643600000002</v>
      </c>
      <c r="AD134" s="2">
        <v>2724.9</v>
      </c>
      <c r="AE134" s="3">
        <f>3669+(0-591.3)+(0+(0-0))+0-101.1-0</f>
        <v>2976.6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3331.5+(105.3-599.2)+(5.097195+(0.161109-0.916776))+0-88.3-0.135099000000005</f>
        <v>2753.5064289999996</v>
      </c>
      <c r="G135" s="3">
        <f>3060.6+(128.2-455.6)+(-1.560906+(-0.065382--0.232356))+0-96.9--0.0494189999999902</f>
        <v>2634.9554869999997</v>
      </c>
      <c r="H135" s="3">
        <f>2904.3+(139.9-395)+(2.962386+(0.142698-0.4029))+0-65.7-0.0670140000000105</f>
        <v>2586.1351700000005</v>
      </c>
      <c r="I135" s="3">
        <f>2882.1+(139.3-343.3)+(2.939742+(0.142086-0.350166))+0-85.5-0.0872100000000136</f>
        <v>2595.2444519999999</v>
      </c>
      <c r="J135" s="3">
        <f>2904.7+(139.2-415.4)+(5.925588+(0.283968-0.847416))+0-77.1-0.157283999999997</f>
        <v>2556.6048560000004</v>
      </c>
      <c r="K135" s="3">
        <f>2804.7+(139.8-427.9)+(-8.582382+(-0.427788--1.309374))+0-92.3--0.282438000000011</f>
        <v>2416.8816419999998</v>
      </c>
      <c r="L135" s="3">
        <f>2637.7+(140.1-371.5)+(-6.726135+(-0.357255--0.947325))+0-77.7--0.198134999999989</f>
        <v>2322.6620699999999</v>
      </c>
      <c r="M135" s="3">
        <f>2735+(139.9-390)+(0+(0-0))+0-81.4-0</f>
        <v>2403.5</v>
      </c>
      <c r="N135" s="3">
        <f>3196.4+(125-586.8)+(-1.630164+(-0.06375--0.299268))+0-81.9--0.0417689999999917</f>
        <v>2651.347123</v>
      </c>
      <c r="O135" s="3">
        <f>3202.5+(93.4-504.5)+(0+(0-0))+0-81.9-0</f>
        <v>2709.5</v>
      </c>
      <c r="P135" s="3">
        <f>3388.9+(39.9-487.9)+(5.185017+(0.061047-0.746487))+0-67.5-0.103275000000004</f>
        <v>2877.7963020000002</v>
      </c>
      <c r="Q135" s="3">
        <f>3538+(30.3-552)+(5.41314+(0.046359-0.84456))+0-73-0.111690000000004</f>
        <v>2947.8032490000001</v>
      </c>
      <c r="R135" s="3">
        <f>3594.8+(21.4-559.6)+(-3.666696+(-0.021828--0.570792))+0-65.5--0.0668100000000104</f>
        <v>2988.049078</v>
      </c>
      <c r="S135" s="3">
        <f>3659.8+(7.2-598.6)+(-1.866498+(-0.003672--0.305286))+0-87.2--0.0444719999999912</f>
        <v>2979.6795880000004</v>
      </c>
      <c r="T135" s="3">
        <f>3641.8+(0-626.8)+(-7.429272+(0--1.278672))+0-82.6--0.168503999999996</f>
        <v>2926.4179040000004</v>
      </c>
      <c r="U135" s="3">
        <f>3633+(11.2-648.7)+(-5.55849+(-0.017136--0.992511))+0-67.7--0.103581000000004</f>
        <v>2923.3204660000001</v>
      </c>
      <c r="V135" s="3">
        <f>3587.1+(37.1-643.2)+(0+(0-0))+0-35.6-0</f>
        <v>2945.4</v>
      </c>
      <c r="W135" s="3">
        <f>3463.6+(67-579.7)+(5.299308+(0.10251-0.886941))+0-50.8-0.0777240000000029</f>
        <v>2904.5371529999993</v>
      </c>
      <c r="X135" s="3">
        <f>3452.7+(82.7-611.4)+(5.282631+(0.126531-0.935442))+0-79.4-0.121482000000005</f>
        <v>2848.9522379999999</v>
      </c>
      <c r="Y135" s="3">
        <f>3484.2+(62.4-592.5)+(7.107768+(0.127296-1.2087))+0-86.1-0.175643999999996</f>
        <v>2873.8507199999999</v>
      </c>
      <c r="Z135" s="3">
        <f>3695.9+(0-614.9)+(3.769818+(0-0.627198))+0-84.9-0.0865980000000135</f>
        <v>2999.1560220000001</v>
      </c>
      <c r="AA135" s="3">
        <f>3694.6+(17.5-607.7)+(-7.536984+(-0.0357--1.239708))+0-88.3--0.180131999999996</f>
        <v>3009.9471559999993</v>
      </c>
      <c r="AB135" s="3">
        <f>3658.4+(61.2-596.1)+(-1.865784+(-0.031212--0.304011))+0-88.8--0.045287999999991</f>
        <v>3033.1523029999994</v>
      </c>
      <c r="AC135" s="3">
        <f>3592.9+(88.8-600.3)+(-1.832379+(-0.045288--0.306153))+0-82.3--0.0419729999999916</f>
        <v>2997.5704589999996</v>
      </c>
      <c r="AD135" s="2">
        <v>2743.2999999999997</v>
      </c>
      <c r="AE135" s="3">
        <f>3717+(0-605.6)+(0+(0-0))+0-97.3-0</f>
        <v>3014.1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3442.3+(130.8-559.4)+(1.755573+(0.066708-0.285294))+0-77.3-0.0394229999999922</f>
        <v>2937.8975639999999</v>
      </c>
      <c r="G136" s="3">
        <f>3229.8+(140.5-505.7)+(4.941594+(0.214965-0.773721))+0-87.3-0.133569000000005</f>
        <v>2781.5492690000001</v>
      </c>
      <c r="H136" s="3">
        <f>3013.3+(140.7-441.4)+(1.536783+(0.071757-0.225114))+0-78.2-0.0398819999999921</f>
        <v>2635.7435440000004</v>
      </c>
      <c r="I136" s="3">
        <f>2856.7+(140.5-322.2)+(2.913834+(0.14331-0.328644))+0-96.4-0.0983280000000154</f>
        <v>2581.230172</v>
      </c>
      <c r="J136" s="3">
        <f>2838.6+(140.5-371.9)+(-2.895372+(-0.14331--0.379338))+0-91.1--0.0929220000000145</f>
        <v>2513.5335779999996</v>
      </c>
      <c r="K136" s="3">
        <f>2596.4+(141.4-314.2)+(-5.296656+(-0.288456--0.640968))+0-80--0.163199999999997</f>
        <v>2338.8190559999998</v>
      </c>
      <c r="L136" s="3">
        <f>2457.4+(142.4-250.1)+(-7.519644+(-0.435744--0.765306))+0-46.2--0.141372000000005</f>
        <v>2296.4512900000004</v>
      </c>
      <c r="M136" s="3">
        <f>2648+(141.3-253.6)+(5.40192+(0.288252-0.517344))+0-92.2-0.188087999999996</f>
        <v>2448.4847400000003</v>
      </c>
      <c r="N136" s="3">
        <f>2872+(130.8-343.7)+(8.78832+(0.400248-1.051722))+0-71.3-0.218178000000008</f>
        <v>2595.7186679999995</v>
      </c>
      <c r="O136" s="3">
        <f>3267+(106.7-511.8)+(4.99851+(0.163251-0.783054))+0-79.9-0.122247000000005</f>
        <v>2786.2564600000001</v>
      </c>
      <c r="P136" s="3">
        <f>3411.4+(70.5-495)+(3.479628+(0.07191-0.5049))+0-79.2-0.0807840000000126</f>
        <v>2910.6658539999999</v>
      </c>
      <c r="Q136" s="3">
        <f>3506.9+(35.6-465.5)+(1.788519+(0.018156-0.237405))+0-82-0.0418199999999917</f>
        <v>2996.52745</v>
      </c>
      <c r="R136" s="3">
        <f>3520.9+(15.8-462.8)+(1.795659+(0.008058-0.236028))+0-81.4-0.0415139999999917</f>
        <v>2994.026175</v>
      </c>
      <c r="S136" s="3">
        <f>3448.9+(7.1-443.8)+(-10.553634+(-0.021726--1.358028))+0-92.8--0.283968000000011</f>
        <v>2910.4666360000001</v>
      </c>
      <c r="T136" s="3">
        <f>3445.3+(5.3-448.6)+(-8.785515+(-0.013515--1.14393))+0-86.4--0.220319999999987</f>
        <v>2908.1652199999999</v>
      </c>
      <c r="U136" s="3">
        <f>3460.5+(37.1-495)+(-1.764855+(-0.018921--0.25245))+0-77--0.0392699999999922</f>
        <v>2924.1079440000003</v>
      </c>
      <c r="V136" s="3">
        <f>3445.7+(36.6-482.2)+(-5.271921+(-0.055998--0.737766))+0-83--0.126990000000005</f>
        <v>2912.636837</v>
      </c>
      <c r="W136" s="3">
        <f>3430.2+(68.2-505)+(-8.74701+(-0.17391--1.28775))+0-77.7--0.198134999999989</f>
        <v>2908.2649649999998</v>
      </c>
      <c r="X136" s="3">
        <f>3439.8+(76.5-543.6)+(-5.262894+(-0.117045--0.831708))+0-83.3--0.127449000000005</f>
        <v>2884.9792179999999</v>
      </c>
      <c r="Y136" s="3">
        <f>3405.5+(49.8-480)+(0+(0-0))+0-86.8-0</f>
        <v>2888.5</v>
      </c>
      <c r="Z136" s="3">
        <f>3529.9+(0-445)+(3.600498+(0-0.4539))+0-86.5-0.0882300000000138</f>
        <v>3001.4583680000001</v>
      </c>
      <c r="AA136" s="3">
        <f>3508.6+(19-450.4)+(-3.578772+(-0.01938--0.459408))+0-76.5--0.0780300000000122</f>
        <v>2997.6392860000001</v>
      </c>
      <c r="AB136" s="3">
        <f>3517.8+(75.1-489.8)+(-5.382234+(-0.114903--0.749394))+0-88.1--0.134793000000005</f>
        <v>3010.3870500000007</v>
      </c>
      <c r="AC136" s="3">
        <f>3501.7+(126.7-530)+(-5.357601+(-0.193851--0.8109))+0-86.5--0.132345000000005</f>
        <v>3007.2917929999994</v>
      </c>
      <c r="AD136" s="2">
        <v>2680.7</v>
      </c>
      <c r="AE136" s="3">
        <f>3527+(4.7-480.9)+(0+(0-0))+0-36.9-0</f>
        <v>3013.9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3307+(136.6-489.2)+(-5.05971+(-0.208998--0.748476))+0-80.2--0.122706000000005</f>
        <v>2869.8024740000005</v>
      </c>
      <c r="G137" s="3">
        <f>3168.3+(140.4-514.9)+(1.615833+(0.071604-0.262599))+0-87.8-0.0447779999999911</f>
        <v>2707.38006</v>
      </c>
      <c r="H137" s="3">
        <f>3133.2+(140.6-546.2)+(0+(0-0))+0-91.4-0</f>
        <v>2636.2</v>
      </c>
      <c r="I137" s="3">
        <f>3121.4+(140.9-506.3)+(-3.183828+(-0.143718--0.516426))+0-87.8--0.089556000000014</f>
        <v>2665.4784359999999</v>
      </c>
      <c r="J137" s="3">
        <f>3103.5+(140.8-548.7)+(-4.748355+(-0.215424--0.839511))+0-91.3--0.139689000000005</f>
        <v>2600.3154209999998</v>
      </c>
      <c r="K137" s="3">
        <f>2750.2+(141-448.8)+(-5.610408+(-0.28764--0.915552))+0-90.2--0.184007999999996</f>
        <v>2347.4015119999999</v>
      </c>
      <c r="L137" s="3">
        <f>2454.8+(140.6-335.5)+(-6.25974+(-0.35853--0.855525))+0-88.1--0.224654999999987</f>
        <v>2166.2619100000002</v>
      </c>
      <c r="M137" s="3">
        <f>2422.8+(139.6-286)+(-2.471256+(-0.142392--0.29172))+0-75.6--0.077112000000012</f>
        <v>2198.5551840000003</v>
      </c>
      <c r="N137" s="3">
        <f>2519.4+(139.6-283.5)+(-3.854682+(-0.213588--0.433755))+0-63.1--0.0965430000000037</f>
        <v>2308.862028</v>
      </c>
      <c r="O137" s="3">
        <f>2635+(134.3-296)+(0+(0-0))+0-85.1-0</f>
        <v>2388.2000000000003</v>
      </c>
      <c r="P137" s="3">
        <f>2920.8+(77.1-378.6)+(4.468824+(0.117963-0.579258))+0-85.8-0.131274000000005</f>
        <v>2537.3762550000001</v>
      </c>
      <c r="Q137" s="3">
        <f>3027.7+(51.3-402)+(-3.088254+(-0.052326--0.41004))+0-88.6--0.0903720000000141</f>
        <v>2585.7598320000002</v>
      </c>
      <c r="R137" s="3">
        <f>3145.6+(60.3-472.6)+(1.604256+(0.030753-0.241026))+0-44.4-0.0226439999999955</f>
        <v>2690.2713389999994</v>
      </c>
      <c r="S137" s="3">
        <f>3169.8+(80.3-511.4)+(-1.616598+(-0.040953--0.260814))+0-30.5--0.0155549999999969</f>
        <v>2706.8188180000002</v>
      </c>
      <c r="T137" s="3">
        <f>3164+(99.9-505.3)+(1.61364+(0.050949-0.257703))+0-89.1-0.045440999999991</f>
        <v>2670.861445</v>
      </c>
      <c r="U137" s="3">
        <f>3153.8+(98.5-506.6)+(1.608438+(0.050235-0.258366))+0-96.4-0.0491639999999902</f>
        <v>2650.651143</v>
      </c>
      <c r="V137" s="3">
        <f>3071.3+(101.3-475.5)+(1.566363+(0.051663-0.242505))+0-77.8-0.0396779999999921</f>
        <v>2620.635843</v>
      </c>
      <c r="W137" s="3">
        <f>3001.5+(101.9-473.6)+(-1.530765+(-0.051969--0.241536))+0-83.1--0.0423809999999916</f>
        <v>2545.4011830000004</v>
      </c>
      <c r="X137" s="3">
        <f>3034.4+(46.5-507.2)+(0+(0-0))+0-76.5-0</f>
        <v>2497.2000000000003</v>
      </c>
      <c r="Y137" s="3">
        <f>3126.7+(17.7-496.8)+(-1.594617+(-0.009027--0.253368))+0-85.2--0.0434519999999914</f>
        <v>2561.0931759999999</v>
      </c>
      <c r="Z137" s="3">
        <f>3405.2+(0-556.6)+(1.736652+(0-0.283866))+0-80.9-0.0412589999999918</f>
        <v>2769.1115269999996</v>
      </c>
      <c r="AA137" s="3">
        <f>3508.6+(0-600.8)+(-3.578772+(0--0.612816))+0-92.6--0.0944520000000148</f>
        <v>2812.3284960000001</v>
      </c>
      <c r="AB137" s="3">
        <f>3487.3+(2.7-590.9)+(1.778523+(0.001377-0.301359))+0-85.3-0.0435029999999913</f>
        <v>2815.2350380000003</v>
      </c>
      <c r="AC137" s="3">
        <f>3492+(74.2-641.8)+(-1.78092+(-0.037842--0.327318))+0-89--0.045389999999991</f>
        <v>2833.9539460000001</v>
      </c>
      <c r="AD137" s="2">
        <v>2554.9</v>
      </c>
      <c r="AE137" s="3">
        <f>3547+(0-601.3)+(0+(0-0))+0-93.6-0</f>
        <v>2852.1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3137.8+(134.5-523.3)+(-1.600278+(-0.068595--0.266883))+0-61.7--0.0314669999999937</f>
        <v>2685.9294770000001</v>
      </c>
      <c r="G138" s="3">
        <f>2823+(140.7-376.9)+(-4.31919+(-0.215271--0.576657))+0-93.7--0.143361000000005</f>
        <v>2489.2855570000002</v>
      </c>
      <c r="H138" s="3">
        <f>2821.9+(140.8-451.3)+(0+(0-0))+0-67.4-0</f>
        <v>2444</v>
      </c>
      <c r="I138" s="3">
        <f>2831.3+(140.5-473.4)+(1.443963+(0.071655-0.241434))+0-88.5-0.045134999999991</f>
        <v>2411.1290490000001</v>
      </c>
      <c r="J138" s="3">
        <f>2790+(140.2-486.3)+(-5.6916+(-0.286008--0.992052))+0-81.3--0.165851999999996</f>
        <v>2357.7802959999999</v>
      </c>
      <c r="K138" s="3">
        <f>2627.8+(142.9-444.9)+(-6.70089+(-0.364395--1.134495))+0-53.7--0.136934999999992</f>
        <v>2266.3061450000005</v>
      </c>
      <c r="L138" s="3">
        <f>2530.8+(142.1-378.9)+(-2.581416+(-0.144942--0.386478))+0-77.1--0.0786420000000123</f>
        <v>2214.638762</v>
      </c>
      <c r="M138" s="3">
        <f>2803.4+(141.5-501.6)+(0+(0-0))+0-87.5-0</f>
        <v>2355.8000000000002</v>
      </c>
      <c r="N138" s="3">
        <f>3078.3+(138-595.4)+(1.569933+(0.07038-0.303654))+0-61.9-0.0315689999999937</f>
        <v>2560.3050899999998</v>
      </c>
      <c r="O138" s="3">
        <f>3343.1+(112.1-644.2)+(0+(0-0))+0-58.7-0</f>
        <v>2752.3</v>
      </c>
      <c r="P138" s="3">
        <f>3336.4+(85.5-585.5)+(5.104692+(0.130815-0.895815))+0-23.1-0.0353430000000013</f>
        <v>2817.6043490000002</v>
      </c>
      <c r="Q138" s="3">
        <f>3454.4+(58.4-586.5)+(-1.761744+(-0.029784--0.299115))+0-85--0.0433499999999914</f>
        <v>2839.8509370000002</v>
      </c>
      <c r="R138" s="3">
        <f>3631.2+(68.7-637)+(0+(0-0))+0-67.6-0</f>
        <v>2995.2999999999997</v>
      </c>
      <c r="S138" s="3">
        <f>3668.1+(53.8-611.6)+(-1.870731+(-0.027438--0.311916))+0-78.7--0.040136999999992</f>
        <v>3030.0538839999999</v>
      </c>
      <c r="T138" s="3">
        <f>3647.3+(59.5-781.4)+(1.860123+(0.030345-0.398514))+0-61-0.0311099999999938</f>
        <v>2865.8608440000003</v>
      </c>
      <c r="U138" s="3">
        <f>3548+(77.9-772.3)+(1.80948+(0.039729-0.393873))+0-39.1-0.019940999999996</f>
        <v>2815.935395</v>
      </c>
      <c r="V138" s="3">
        <f>3522.2+(67.8-764.2)+(-7.185288+(-0.138312--1.558968))+0-69.4--0.141575999999997</f>
        <v>2750.7769439999997</v>
      </c>
      <c r="W138" s="3">
        <f>3465.7+(78.5-737)+(-7.070028+(-0.16014--1.50348))+0-73.1--0.149123999999997</f>
        <v>2728.5224359999997</v>
      </c>
      <c r="X138" s="3">
        <f>3417.8+(83.1-725.9)+(-8.71539+(-0.211905--1.851045))+0-82.7--0.210884999999988</f>
        <v>2685.4346350000001</v>
      </c>
      <c r="Y138" s="3">
        <f>3365+(47-623.2)+(0+(0-0))+0-70.1-0</f>
        <v>2718.7000000000003</v>
      </c>
      <c r="Z138" s="3">
        <f>3590.7+(0-714.2)+(5.493771+(0-1.092726))+0-22.8-0.0348840000000013</f>
        <v>2858.0661609999997</v>
      </c>
      <c r="AA138" s="3">
        <f>3689.7+(10.6-743.8)+(-11.290482+(-0.032436--2.276028))+0-81.2--0.248472000000009</f>
        <v>2866.5015820000003</v>
      </c>
      <c r="AB138" s="3">
        <f>3659+(40-725)+(-3.73218+(-0.0408--0.7395))+0-81.7--0.083334000000013</f>
        <v>2889.3498540000001</v>
      </c>
      <c r="AC138" s="3">
        <f>3484.1+(95.6-646.4)+(1.776891+(0.048756-0.329664))+0-67-0.0341699999999932</f>
        <v>2867.7618130000001</v>
      </c>
      <c r="AD138" s="2">
        <v>2636.5</v>
      </c>
      <c r="AE138" s="3">
        <f>3696+(0-747.2)+(0+(0-0))+0-93.2-0</f>
        <v>2855.6000000000004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3312.4+(142.4-640.4)+(0+(0-0))+0-83.4-0</f>
        <v>2731</v>
      </c>
      <c r="G139" s="3">
        <f>3149.6+(142.6-618.3)+(-1.606296+(-0.072726--0.315333))+0-56.2--0.0286619999999943</f>
        <v>2616.3649730000006</v>
      </c>
      <c r="H139" s="3">
        <f>3060.6+(143.2-573.8)+(-3.121812+(-0.146064--0.585276))+0-81.7--0.083334000000013</f>
        <v>2545.700734</v>
      </c>
      <c r="I139" s="3">
        <f>3074.5+(142.9-592.5)+(-1.567995+(-0.072879--0.302175))+0-83.3--0.0424829999999915</f>
        <v>2540.3037840000002</v>
      </c>
      <c r="J139" s="3">
        <f>3053.3+(142.1-619.7)+(-6.228732+(-0.289884--1.264188))+0-82.8--0.168911999999996</f>
        <v>2487.814484</v>
      </c>
      <c r="K139" s="3">
        <f>2924.8+(142.3-604.5)+(-2.983296+(-0.145146--0.61659))+0-88.9--0.0906780000000142</f>
        <v>2371.2788260000002</v>
      </c>
      <c r="L139" s="3">
        <f>2780.3+(142.3-579.6)+(-2.835906+(-0.145146--0.591192))+0-61.1--0.0623220000000097</f>
        <v>2279.5724620000001</v>
      </c>
      <c r="M139" s="3">
        <f>2813.7+(141.5-499.6)+(1.434987+(0.072165-0.254796))+0-96.2-0.0490619999999902</f>
        <v>2360.603294</v>
      </c>
      <c r="N139" s="3">
        <f>3066.5+(138.9-561.7)+(1.563915+(0.070839-0.286467))+0-84.8-0.0432479999999914</f>
        <v>2560.2050389999995</v>
      </c>
      <c r="O139" s="3">
        <f>3394.8+(109.8-638.7)+(-1.731348+(-0.055998--0.325737))+0-70.9--0.0361589999999928</f>
        <v>2793.5745499999998</v>
      </c>
      <c r="P139" s="3">
        <f>3468.4+(75.1-599.7)+(-3.537768+(-0.076602--0.611694))+0-82.6--0.0842520000000132</f>
        <v>2858.2815760000003</v>
      </c>
      <c r="Q139" s="3">
        <f>3643.3+(38.5-684.6)+(5.574249+(0.058905-1.047438))+0-86.2-0.131886000000005</f>
        <v>2915.4538300000004</v>
      </c>
      <c r="R139" s="3">
        <f>3649+(31.5-708)+(-3.72198+(-0.03213--0.72216))+0-90.6--0.0924120000000144</f>
        <v>2878.960462</v>
      </c>
      <c r="S139" s="3">
        <f>3627.8+(1.4-713.2)+(-5.550534+(-0.002142--1.091196))+0-93.3--0.142749000000005</f>
        <v>2818.381269</v>
      </c>
      <c r="T139" s="3">
        <f>3612.6+(19.6-748)+(-5.527278+(-0.029988--1.14444))+0-85.4--0.130662000000005</f>
        <v>2794.5178359999995</v>
      </c>
      <c r="U139" s="3">
        <f>3563.4+(45.2-772.8)+(-3.634668+(-0.046104--0.788256))+0-57.2--0.0583440000000091</f>
        <v>2775.7658280000005</v>
      </c>
      <c r="V139" s="3">
        <f>3549.8+(42.8-767)+(-1.810398+(-0.021828--0.39117))+0-85.3--0.0435029999999913</f>
        <v>2738.9024469999999</v>
      </c>
      <c r="W139" s="3">
        <f>3509.5+(65-766.5)+(-7.15938+(-0.1326--1.56366))+0-86.9--0.177275999999996</f>
        <v>2715.5489559999996</v>
      </c>
      <c r="X139" s="3">
        <f>3415.3+(54.6-726.9)+(-10.450818+(-0.167076--2.224314))+0-68.5--0.209610000000008</f>
        <v>2666.31603</v>
      </c>
      <c r="Y139" s="3">
        <f>3168.8+(34.2-570.2)+(6.464352+(0.069768-1.163208))+0-83-0.169319999999996</f>
        <v>2555.0015920000001</v>
      </c>
      <c r="Z139" s="3">
        <f>3655.1+(0-740.5)+(7.456404+(0-1.51062))+0-82.9-0.169115999999996</f>
        <v>2837.4766679999998</v>
      </c>
      <c r="AA139" s="3">
        <f>3753.9+(1.3-768.6)+(-7.657956+(-0.002652--1.567944))+0-90--0.183599999999996</f>
        <v>2890.690936</v>
      </c>
      <c r="AB139" s="3">
        <f>3696.3+(38.3-738.9)+(0+(0-0))+0-88.2-0</f>
        <v>2907.5000000000005</v>
      </c>
      <c r="AC139" s="3">
        <f>3424+(111.3-612.7)+(-3.49248+(-0.113526--0.624954))+0-84.1--0.0857820000000134</f>
        <v>2835.60473</v>
      </c>
      <c r="AD139" s="2">
        <v>2700.5</v>
      </c>
      <c r="AE139" s="3">
        <f>3791+(0-779.8)+(0+(0-0))+0-83.7-0</f>
        <v>2927.5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3332+(142.4-642.1)+(0+(0-0))+0-78.1-0</f>
        <v>2754.2000000000003</v>
      </c>
      <c r="G140" s="3">
        <f>3199.8+(142.7-630.5)+(0+(0-0))+0-82.1-0</f>
        <v>2629.9</v>
      </c>
      <c r="H140" s="3">
        <f>3101.2+(142.8-619.7)+(3.163224+(0.145656-0.632094))+0-64.5-0.0657900000000103</f>
        <v>2562.4109959999996</v>
      </c>
      <c r="I140" s="3">
        <f>2983+(143.4-515.5)+(-3.04266+(-0.146268--0.52581))+0-93.4--0.0952680000000149</f>
        <v>2514.9321500000001</v>
      </c>
      <c r="J140" s="3">
        <f>2909.8+(142.8-527.7)+(-7.41999+(-0.36414--1.345635))+0-72.6--0.185129999999989</f>
        <v>2446.0466350000002</v>
      </c>
      <c r="K140" s="3">
        <f>2876.8+(142.9-558.4)+(-7.33584+(-0.364395--1.42392))+0-90--0.229499999999987</f>
        <v>2365.253185</v>
      </c>
      <c r="L140" s="3">
        <f>2691.8+(141.6-525.6)+(-1.372818+(-0.072216--0.268056))+0-83--0.0423299999999916</f>
        <v>2223.665352</v>
      </c>
      <c r="M140" s="3">
        <f>2719.5+(138.6-480.1)+(4.160835+(0.212058-0.734553))+0-69.9-0.106947000000004</f>
        <v>2311.6313929999997</v>
      </c>
      <c r="N140" s="3">
        <f>3141.8+(126.6-652.6)+(6.409272+(0.258264-1.331304))+0-79.7-0.162587999999997</f>
        <v>2541.2736440000003</v>
      </c>
      <c r="O140" s="3">
        <f>3417+(68-650.8)+(0+(0-0))+0-77.9-0</f>
        <v>2756.2999999999997</v>
      </c>
      <c r="P140" s="3">
        <f>3568+(19.9-665)+(5.45904+(0.030447-1.01745))+0-76.2-0.116586000000004</f>
        <v>2851.0554510000002</v>
      </c>
      <c r="Q140" s="3">
        <f>3589.8+(0-666.9)+(0+(0-0))+0-85.7-0</f>
        <v>2837.2000000000003</v>
      </c>
      <c r="R140" s="3">
        <f>3662.6+(0-706.5)+(-1.867926+(0--0.360315))+0-91.5--0.0466649999999907</f>
        <v>2863.1390539999998</v>
      </c>
      <c r="S140" s="3">
        <f>3636.2+(0-765.9)+(-5.563386+(0--1.171827))+0-51.8--0.079254000000003</f>
        <v>2814.1876949999996</v>
      </c>
      <c r="T140" s="3">
        <f>3639.4+(22-774.7)+(0+(0-0))+0-82.5-0</f>
        <v>2804.2</v>
      </c>
      <c r="U140" s="3">
        <f>3515.2+(25.2-717.9)+(-3.585504+(-0.025704--0.732258))+0-83--0.0846600000000132</f>
        <v>2736.7057100000002</v>
      </c>
      <c r="V140" s="3">
        <f>3481.4+(26.5-704.5)+(-8.87757+(-0.067575--1.796475))+0-76.3--0.194564999999989</f>
        <v>2720.1458949999997</v>
      </c>
      <c r="W140" s="3">
        <f>3502.5+(9-701.9)+(0+(0-0))+0-93.5-0</f>
        <v>2716.1</v>
      </c>
      <c r="X140" s="3">
        <f>3367.3+(11.3-661.9)+(-6.869292+(-0.023052--1.350276))+0-66.9--0.136475999999997</f>
        <v>2644.3944080000001</v>
      </c>
      <c r="Y140" s="3">
        <f>3457.4+(6.7-666.3)+(0+(0-0))+0-73-0</f>
        <v>2724.8</v>
      </c>
      <c r="Z140" s="3">
        <f>3647.1+(0-660.9)+(-1.860021+(0--0.337059))+0-83.9--0.0427889999999915</f>
        <v>2900.8198269999998</v>
      </c>
      <c r="AA140" s="3">
        <f>3672.4+(0-666.5)+(-11.237544+(0--2.03949))+0-61.1--0.186966000000007</f>
        <v>2935.7889120000004</v>
      </c>
      <c r="AB140" s="3">
        <f>3550+(32.6-595.1)+(3.621+(0.033252-0.607002))+0-64.9-0.0661980000000104</f>
        <v>2925.581052</v>
      </c>
      <c r="AC140" s="3">
        <f>3540.7+(104.3-640.1)+(0+(0-0))+0-68.7-0</f>
        <v>2936.2</v>
      </c>
      <c r="AD140" s="2">
        <v>2677.5</v>
      </c>
      <c r="AE140" s="3">
        <f>3678.5+(0-662.8)+(0+(0-0))+0-97.2-0</f>
        <v>2918.5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3413.3+(119.6-656.7)+(5.222349+(0.182988-1.004751))+0-72.7-0.111231000000004</f>
        <v>2807.7893550000008</v>
      </c>
      <c r="G141" s="3">
        <f>3273.1+(96.1-598.4)+(-5.007843+(-0.147033--0.915552))+0-79.9--0.122247000000005</f>
        <v>2686.7829229999998</v>
      </c>
      <c r="H141" s="3">
        <f>3140.3+(123.2-602.4)+(0+(0-0))+0-81-0</f>
        <v>2580.1000000000004</v>
      </c>
      <c r="I141" s="3">
        <f>3053.6+(136.5-530.1)+(-1.557336+(-0.069615--0.270351))+0-84.5--0.0430949999999914</f>
        <v>2574.1864949999999</v>
      </c>
      <c r="J141" s="3">
        <f>3096.1+(137.8-584.8)+(4.737033+(0.210834-0.894744))+0-86.7-0.132651000000005</f>
        <v>2566.3204720000003</v>
      </c>
      <c r="K141" s="3">
        <f>2979.8+(137.9-593.3)+(-7.59849+(-0.351645--1.512915))+0-82.2--0.209609999999988</f>
        <v>2435.9723900000004</v>
      </c>
      <c r="L141" s="3">
        <f>2649.4+(137.5-496.5)+(-6.75597+(-0.350625--1.266075))+0-23.8--0.0606899999999965</f>
        <v>2260.8201699999995</v>
      </c>
      <c r="M141" s="3">
        <f>2607.6+(136.9-471.3)+(0+(0-0))+0-22-0</f>
        <v>2251.1999999999998</v>
      </c>
      <c r="N141" s="3">
        <f>2939.4+(130.8-547.2)+(4.497282+(0.200124-0.837216))+0-21.2-0.0324360000000012</f>
        <v>2505.6277540000001</v>
      </c>
      <c r="O141" s="3">
        <f>3263.2+(108.4-624.3)+(8.32116+(0.27642-1.591965))+0-20.9-0.053294999999997</f>
        <v>2733.3523199999995</v>
      </c>
      <c r="P141" s="3">
        <f>3415.2+(58.5-607.3)+(5.225256+(0.089505-0.929169))+0-17.1-0.026163000000001</f>
        <v>2853.6594289999998</v>
      </c>
      <c r="Q141" s="3">
        <f>3507.2+(31.6-636.8)+(1.788672+(0.016116-0.324768))+0-20.4-0.0104039999999979</f>
        <v>2883.0696159999998</v>
      </c>
      <c r="R141" s="3">
        <f>3559.8+(11.5-656.3)+(-1.815498+(-0.005865--0.334713))+0-21--0.0107099999999979</f>
        <v>2892.5240600000002</v>
      </c>
      <c r="S141" s="3">
        <f>3574.5+(22-702.1)+(0+(0-0))+0-18.3-0</f>
        <v>2876.1</v>
      </c>
      <c r="T141" s="3">
        <f>3534.1+(25.7-712.8)+(-5.407173+(-0.039321--1.090584))+0-20.8--0.0318240000000012</f>
        <v>2821.8759139999997</v>
      </c>
      <c r="U141" s="3">
        <f>3527.9+(10.4-704.8)+(3.598458+(0.010608-0.718896))+0-46.1-0.0470220000000074</f>
        <v>2790.243148</v>
      </c>
      <c r="V141" s="3">
        <f>3522.6+(39.2-701.5)+(1.796526+(0.019992-0.357765))+0-85.8-0.0437579999999913</f>
        <v>2775.9149950000001</v>
      </c>
      <c r="W141" s="3">
        <f>3486.6+(17.4-667.9)+(1.778166+(0.008874-0.340629))+0-90.2-0.0460019999999908</f>
        <v>2747.3004089999999</v>
      </c>
      <c r="X141" s="3">
        <f>3486.7+(18.9-669.3)+(3.556434+(0.019278-0.682686))+0-79.2-0.0807840000000126</f>
        <v>2759.9122419999999</v>
      </c>
      <c r="Y141" s="3">
        <f>3485.9+(0-631)+(5.333427+(0-0.96543))+0-43.6-0.0667080000000025</f>
        <v>2815.6012890000002</v>
      </c>
      <c r="Z141" s="3">
        <f>3648.8+(0-641.8)+(0+(0-0))+0-91.7-0</f>
        <v>2915.3</v>
      </c>
      <c r="AA141" s="3">
        <f>3643.2+(6-619.1)+(-3.716064+(-0.00612--0.631482))+0-81.8--0.083436000000013</f>
        <v>2945.2927339999997</v>
      </c>
      <c r="AB141" s="3">
        <f>3634.8+(43.2-640.4)+(1.853748+(0.022032-0.326604))+0-84.4-0.0430439999999914</f>
        <v>2954.7061320000003</v>
      </c>
      <c r="AC141" s="3">
        <f>3564+(56.4-635.9)+(-1.81764+(-0.028764--0.324309))+0-68.1--0.0347309999999931</f>
        <v>2914.9126360000005</v>
      </c>
      <c r="AD141" s="2">
        <v>2716</v>
      </c>
      <c r="AE141" s="3">
        <f>3696.5+(14.3-601)+(0+(0-0))+0-105-0</f>
        <v>3004.8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3441.3+(81.7-619.5)+(0+(0-0))+0-85.3-0</f>
        <v>2818.2</v>
      </c>
      <c r="G142" s="3">
        <f>3252.7+(118.6-605.1)+(-4.976631+(-0.181458--0.925803))+0-72.7--0.111231000000004</f>
        <v>2689.3789449999999</v>
      </c>
      <c r="H142" s="3">
        <f>3147.3+(115.8-589.1)+(-3.210246+(-0.118116--0.600882))+0-94.6--0.0964920000000151</f>
        <v>2576.7690120000002</v>
      </c>
      <c r="I142" s="3">
        <f>3146.8+(118-580.9)+(-4.814604+(-0.18054--0.888777))+0-73.7--0.112761000000004</f>
        <v>2606.2063940000003</v>
      </c>
      <c r="J142" s="3">
        <f>3125.1+(122.1-621)+(4.781403+(0.186813-0.95013))+0-67-0.102510000000004</f>
        <v>2563.1155759999997</v>
      </c>
      <c r="K142" s="3">
        <f>2732.8+(106.6-442.6)+(-2.787456+(-0.108732--0.451452))+0-82.5--0.0841500000000132</f>
        <v>2311.9394140000004</v>
      </c>
      <c r="L142" s="3">
        <f>2598.8+(106.1-418.2)+(0+(0-0))+0-74.2-0</f>
        <v>2212.5000000000005</v>
      </c>
      <c r="M142" s="3">
        <f>2742.3+(84.9-422.8)+(2.797146+(0.086598-0.431256))+0-85.6-0.0873120000000136</f>
        <v>2321.165176</v>
      </c>
      <c r="N142" s="3">
        <f>3123.8+(80-593.4)+(3.186276+(0.0816-0.605268))+0-73.1-0.0745620000000116</f>
        <v>2539.8880460000005</v>
      </c>
      <c r="O142" s="3">
        <f>3301.6+(85.5-563.8)+(3.367632+(0.08721-0.575076))+0-85.8-0.0875160000000137</f>
        <v>2740.29225</v>
      </c>
      <c r="P142" s="3">
        <f>3416.5+(42.6-518.2)+(8.712075+(0.10863-1.32141))+0-84.1-0.214454999999988</f>
        <v>2864.0848400000004</v>
      </c>
      <c r="Q142" s="3">
        <f>3562.5+(1.1-568.7)+(5.450625+(0.001683-0.870111))+0-80.2-0.122706000000005</f>
        <v>2919.1594910000003</v>
      </c>
      <c r="R142" s="3">
        <f>3542.1+(18.9-562.8)+(0+(0-0))+0-81.9-0</f>
        <v>2916.2999999999997</v>
      </c>
      <c r="S142" s="3">
        <f>3536.9+(1.6-591.4)+(1.803819+(0.000816-0.301614))+0-84.8-0.0432479999999914</f>
        <v>2863.7597730000002</v>
      </c>
      <c r="T142" s="3">
        <f>3495.5+(11.5-595)+(-7.13082+(-0.02346--1.2138))+0-83.1--0.169523999999996</f>
        <v>2823.1290439999998</v>
      </c>
      <c r="U142" s="3">
        <f>3490+(8.8-607.9)+(-5.3397+(-0.013464--0.930087))+0-82.4--0.126072000000005</f>
        <v>2804.2029950000001</v>
      </c>
      <c r="V142" s="3">
        <f>3499.2+(14.8-630.1)+(0+(0-0))+0-82.3-0</f>
        <v>2801.5999999999995</v>
      </c>
      <c r="W142" s="3">
        <f>3499+(20.4-648.8)+(0+(0-0))+0-76.9-0</f>
        <v>2793.7</v>
      </c>
      <c r="X142" s="3">
        <f>3444.7+(29-647.7)+(-3.513594+(-0.02958--0.660654))+0-63.8--0.0650760000000102</f>
        <v>2759.3825559999996</v>
      </c>
      <c r="Y142" s="3">
        <f>3516.8+(11.4-650.3)+(5.380704+(0.017442-0.994959))+0-83.5-0.127755000000005</f>
        <v>2798.675432</v>
      </c>
      <c r="Z142" s="3">
        <f>3608.5+(12.3-618.2)+(0+(0-0))+0-79.8-0</f>
        <v>2922.7999999999997</v>
      </c>
      <c r="AA142" s="3">
        <f>3604.2+(8.3-583.6)+(-5.514426+(-0.012699--0.892908))+0-88.4--0.135252000000005</f>
        <v>2936.0010349999998</v>
      </c>
      <c r="AB142" s="3">
        <f>3637+(46.6-649.3)+(-3.70974+(-0.047532--0.662286))+0-68--0.0693600000000108</f>
        <v>2963.2743740000001</v>
      </c>
      <c r="AC142" s="3">
        <f>3590.6+(59.4-635.3)+(1.831206+(0.030294-0.324003))+0-85.6-0.0436559999999913</f>
        <v>2930.5938409999999</v>
      </c>
      <c r="AD142" s="2">
        <v>2724.2</v>
      </c>
      <c r="AE142" s="3">
        <f>3602+(1.7-569.4)+(0+(0-0))+0-100-0</f>
        <v>2934.3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3429.9+(96.7-624.4)+(1.749249+(0.049317-0.318444))+0-80.4-0.0410039999999918</f>
        <v>2823.239118</v>
      </c>
      <c r="G143" s="3">
        <f>3209+(141.3-562.8)+(-1.63659+(-0.072063--0.287028))+0-90.6--0.0462059999999908</f>
        <v>2695.5245810000001</v>
      </c>
      <c r="H143" s="3">
        <f>3228.5+(140.3-659.2)+(6.58614+(0.286212-1.344768))+0-91.5-0.186659999999996</f>
        <v>2623.440924</v>
      </c>
      <c r="I143" s="3">
        <f>3098.9+(141.7-594.4)+(-7.902195+(-0.361335--1.51572))+0-77.1--0.196604999999989</f>
        <v>2562.5487950000006</v>
      </c>
      <c r="J143" s="3">
        <f>3084.4+(142-614.9)+(-4.719132+(-0.21726--0.940797))+0-76.7--0.117351000000004</f>
        <v>2530.9217560000002</v>
      </c>
      <c r="K143" s="3">
        <f>2793.8+(142.2-513.4)+(-4.274514+(-0.217566--0.785502))+0-64.9--0.0992970000000038</f>
        <v>2354.0927190000007</v>
      </c>
      <c r="L143" s="3">
        <f>2764.9+(140.5-484.3)+(-5.640396+(-0.28662--0.987972))+0-93.1--0.189923999999996</f>
        <v>2323.2508799999996</v>
      </c>
      <c r="M143" s="3">
        <f>2806.2+(138.7-461.9)+(0+(0-0))+0-92-0</f>
        <v>2391</v>
      </c>
      <c r="N143" s="3">
        <f>3040.9+(73.7-507.3)+(3.101718+(0.075174-0.517446))+0-77.2-0.0787440000000123</f>
        <v>2532.6807020000006</v>
      </c>
      <c r="O143" s="3">
        <f>3255.2+(32.2-470.7)+(1.660152+(0.016422-0.240057))+0-86-0.0438599999999913</f>
        <v>2732.0926570000001</v>
      </c>
      <c r="P143" s="3">
        <f>3604.2+(0-681.7)+(3.676284+(0-0.695334))+0-81.1-0.0827220000000129</f>
        <v>2844.2982280000001</v>
      </c>
      <c r="Q143" s="3">
        <f>3598.6+(11-643.1)+(3.670572+(0.01122-0.655962))+0-83.5-0.0851700000000133</f>
        <v>2885.9406600000002</v>
      </c>
      <c r="R143" s="3">
        <f>3569.9+(9.9-638.1)+(1.820649+(0.005049-0.325431))+0-88.7-0.045236999999991</f>
        <v>2854.4550300000001</v>
      </c>
      <c r="S143" s="3">
        <f>3519.2+(10.7-659.5)+(-1.794792+(-0.005457--0.336345))+0-73.7--0.0375869999999925</f>
        <v>2795.2736829999994</v>
      </c>
      <c r="T143" s="3">
        <f>3530.2+(8.4-694.2)+(1.800402+(0.004284-0.354042))+0-78.2-0.0398819999999921</f>
        <v>2767.6107619999998</v>
      </c>
      <c r="U143" s="3">
        <f>3505.8+(0-726)+(-1.787958+(0--0.37026))+0-78.9--0.040238999999992</f>
        <v>2699.5225409999998</v>
      </c>
      <c r="V143" s="3">
        <f>3481.6+(9.8-750.1)+(1.775616+(0.004998-0.382551))+0-75.9-0.0387089999999923</f>
        <v>2666.7593539999998</v>
      </c>
      <c r="W143" s="3">
        <f>3451.6+(10-747.7)+(-1.760316+(-0.0051--0.381327))+0-90.1--0.0459509999999909</f>
        <v>2622.4618619999997</v>
      </c>
      <c r="X143" s="3">
        <f>3377.5+(25.1-748.5)+(-5.167575+(-0.038403--1.145205))+0-87.6--0.134028000000005</f>
        <v>2562.5732549999998</v>
      </c>
      <c r="Y143" s="3">
        <f>3337.1+(6.8-680.4)+(-8.509605+(-0.01734--1.73502))+0-62--0.158099999999991</f>
        <v>2594.8661750000001</v>
      </c>
      <c r="Z143" s="3">
        <f>3576.1+(0-726.6)+(0+(0-0))+0-76.4-0</f>
        <v>2773.1</v>
      </c>
      <c r="AA143" s="3">
        <f>3518.4+(10.6-695.3)+(-12.560688+(-0.037842--2.482221))+0-84.7--0.302379000000001</f>
        <v>2739.1860700000007</v>
      </c>
      <c r="AB143" s="3">
        <f>3378+(57.7-685.6)+(0+(0-0))+0-78.8-0</f>
        <v>2671.2999999999997</v>
      </c>
      <c r="AC143" s="3">
        <f>3268.3+(130.4-677.1)+(1.666833+(0.066504-0.345321))+0-90.1-0.0459509999999909</f>
        <v>2632.8420650000003</v>
      </c>
      <c r="AD143" s="2">
        <v>2495.4</v>
      </c>
      <c r="AE143" s="3">
        <f>3585+(0-706.5)+(0+(0-0))+0-99.9-0</f>
        <v>2778.6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3112.9+(141.1-612.1)+(6.350316+(0.287844-1.248684))+0-72.7-0.148307999999997</f>
        <v>2574.4411680000003</v>
      </c>
      <c r="G144" s="3">
        <f>2974.7+(141.1-557)+(3.034194+(0.143922-0.56814))+0-86.1-0.0878220000000137</f>
        <v>2475.222154</v>
      </c>
      <c r="H144" s="3">
        <f>2843.2+(141.5-505)+(-2.900064+(-0.14433--0.5151))+0-87.5--0.089250000000014</f>
        <v>2389.7599559999999</v>
      </c>
      <c r="I144" s="3">
        <f>2853.3+(141.9-528.5)+(-1.455183+(-0.072369--0.269535))+0-76.8--0.0391679999999922</f>
        <v>2388.6811509999998</v>
      </c>
      <c r="J144" s="3">
        <f>2786.8+(141.9-587.3)+(-5.685072+(-0.289476--1.198092))+0-72.8--0.148511999999997</f>
        <v>2263.9720560000001</v>
      </c>
      <c r="K144" s="3">
        <f>2595.4+(141.7-526.6)+(-2.647308+(-0.144534--0.537132))+0-82.9--0.0845580000000132</f>
        <v>2125.4298479999998</v>
      </c>
      <c r="L144" s="3">
        <f>2216.9+(141.2-357.6)+(-2.261238+(-0.144024--0.364752))+0-79.8--0.0813960000000127</f>
        <v>1918.740886</v>
      </c>
      <c r="M144" s="3">
        <f>2207.1+(140.2-334.7)+(0+(0-0))+0-40-0</f>
        <v>1972.6</v>
      </c>
      <c r="N144" s="3">
        <f>2451.2+(133-453.7)+(0+(0-0))+0-22.4-0</f>
        <v>2108.1</v>
      </c>
      <c r="O144" s="3">
        <f>2658.3+(72.4-488.8)+(-1.355733+(-0.036924--0.249288))+0-76.2--0.0388619999999923</f>
        <v>2164.5954930000003</v>
      </c>
      <c r="P144" s="3">
        <f>2713.3+(55.4-434.5)+(1.383783+(0.028254-0.221595))+0-77.4-0.0394739999999922</f>
        <v>2257.9509680000001</v>
      </c>
      <c r="Q144" s="3">
        <f>2757.9+(40.3-371.7)+(2.813058+(0.041106-0.379134))+0-80.7-0.0823140000000129</f>
        <v>2348.192716</v>
      </c>
      <c r="R144" s="3">
        <f>2843.5+(37.6-348.8)+(1.450185+(0.019176-0.177888))+0-70.9-0.0361589999999928</f>
        <v>2462.6553140000005</v>
      </c>
      <c r="S144" s="3">
        <f>2974.4+(28.2-397.6)+(4.550832+(0.043146-0.608328))+0-87.7-0.134181000000005</f>
        <v>2521.1514690000004</v>
      </c>
      <c r="T144" s="3">
        <f>2986.9+(14.9-405.4)+(-3.046638+(-0.015198--0.413508))+0-83.4--0.0850680000000133</f>
        <v>2510.4367399999996</v>
      </c>
      <c r="U144" s="3">
        <f>3063.7+(13-441.4)+(3.124974+(0.01326-0.450228))+0-86.8-0.0885360000000138</f>
        <v>2551.0994699999992</v>
      </c>
      <c r="V144" s="3">
        <f>3084.1+(19.9-452.5)+(1.572891+(0.010149-0.230775))+0-69-0.035189999999993</f>
        <v>2583.8170749999999</v>
      </c>
      <c r="W144" s="3">
        <f>3038.8+(29-423.7)+(-3.099576+(-0.02958--0.432174))+0-76--0.0775200000000121</f>
        <v>2565.4805380000003</v>
      </c>
      <c r="X144" s="3">
        <f>3031.9+(37.5-429.6)+(-6.185076+(-0.0765--0.876384))+0-84.4--0.172175999999996</f>
        <v>2550.1869839999999</v>
      </c>
      <c r="Y144" s="3">
        <f>3070.2+(20.5-383.9)+(-1.565802+(-0.010455--0.195789))+0-90.5--0.0461549999999908</f>
        <v>2614.9656869999999</v>
      </c>
      <c r="Z144" s="3">
        <f>3095.2+(0-298)+(0+(0-0))+0-85.9-0</f>
        <v>2711.2999999999997</v>
      </c>
      <c r="AA144" s="3">
        <f>3116.7+(34.1-335.2)+(-6.358068+(-0.069564--0.683808))+0-84.1--0.171563999999996</f>
        <v>2725.9277400000001</v>
      </c>
      <c r="AB144" s="3">
        <f>3144.2+(55.3-363.7)+(-1.603542+(-0.028203--0.185487))+0-76.4--0.0389639999999923</f>
        <v>2757.9927059999995</v>
      </c>
      <c r="AC144" s="3">
        <f>3159.8+(100-419.5)+(-1.611498+(-0.051--0.213945))+0-74--0.0377399999999925</f>
        <v>2764.8891870000002</v>
      </c>
      <c r="AD144" s="2">
        <v>2566.9999999999995</v>
      </c>
      <c r="AE144" s="3">
        <f>3148+(34.6-357.3)+(0+(0-0))+0-86.4-0</f>
        <v>2738.9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3155.6+(91.9-465.2)+(-4.828068+(-0.140607--0.711756))+0-68.4--0.104652000000004</f>
        <v>2709.7477330000002</v>
      </c>
      <c r="G145" s="3">
        <f>3055.1+(78-386)+(-6.232404+(-0.15912--0.78744))+0-84.9--0.173195999999996</f>
        <v>2656.769112</v>
      </c>
      <c r="H145" s="3">
        <f>2725.9+(97.2-220.7)+(-6.951045+(-0.24786--0.562785))+0-89.6--0.228479999999987</f>
        <v>2506.3923599999998</v>
      </c>
      <c r="I145" s="3">
        <f>2482.8+(230.8-196.1)+(-3.798684+(-0.353124--0.300033))+0-87.5--0.133875000000005</f>
        <v>2426.2820999999999</v>
      </c>
      <c r="J145" s="3">
        <f>2464.6+(168.9-182.7)+(-3.770838+(-0.258417--0.279531))+0-79.3--0.121329000000005</f>
        <v>2367.8716049999998</v>
      </c>
      <c r="K145" s="3">
        <f>2418.3+(141.9-241.5)+(-6.166665+(-0.361845--0.615825))+0-63.8--0.162689999999991</f>
        <v>2249.1500050000004</v>
      </c>
      <c r="L145" s="3">
        <f>2462.9+(141.8-341.1)+(-1.256079+(-0.072318--0.173961))+0-26--0.0132599999999974</f>
        <v>2236.4588240000003</v>
      </c>
      <c r="M145" s="3">
        <f>2735.4+(140.8-379.4)+(1.395054+(0.071808-0.193494))+0-92.5-0.0471749999999906</f>
        <v>2405.5261930000001</v>
      </c>
      <c r="N145" s="3">
        <f>2977+(137.2-422.6)+(3.03654+(0.139944-0.431052))+0-67.9-0.0692580000000108</f>
        <v>2626.376174</v>
      </c>
      <c r="O145" s="3">
        <f>3209.1+(109.2-443.5)+(3.273282+(0.111384-0.45237))+0-74.5-0.0759900000000119</f>
        <v>2803.1563059999999</v>
      </c>
      <c r="P145" s="3">
        <f>3361.1+(100.1-450.2)+(1.714161+(0.051051-0.229602))+0-83.3-0.0424829999999915</f>
        <v>2929.1931269999995</v>
      </c>
      <c r="Q145" s="3">
        <f>3507.5+(83.3-531.9)+(0+(0-0))+0-82.4-0</f>
        <v>2976.5</v>
      </c>
      <c r="R145" s="3">
        <f>3546.1+(98.6-576.1)+(0+(0-0))+0-89.4-0</f>
        <v>2979.2</v>
      </c>
      <c r="S145" s="3">
        <f>3509.1+(85.1-583.1)+(-5.368923+(-0.130203--0.892143))+0-88--0.134640000000005</f>
        <v>2918.627657</v>
      </c>
      <c r="T145" s="3">
        <f>3502.5+(70.4-613.4)+(-7.1451+(-0.143616--1.251336))+0-73--0.148919999999997</f>
        <v>2880.6115399999999</v>
      </c>
      <c r="U145" s="3">
        <f>3512.9+(57.5-632.8)+(-1.791579+(-0.029325--0.322728))+0-67.8--0.0345779999999931</f>
        <v>2868.3364019999999</v>
      </c>
      <c r="V145" s="3">
        <f>3506.6+(50.4-646.6)+(-5.365098+(-0.077112--0.989298))+0-66.7--0.102051000000004</f>
        <v>2839.3491389999995</v>
      </c>
      <c r="W145" s="3">
        <f>3484.9+(56.7-644.5)+(-1.777299+(-0.028917--0.328695))+0-77.1--0.0393209999999922</f>
        <v>2818.5618000000009</v>
      </c>
      <c r="X145" s="3">
        <f>3471.3+(60.5-650.2)+(-1.770363+(-0.030855--0.331602))+0-85.2--0.0434519999999914</f>
        <v>2794.9738360000006</v>
      </c>
      <c r="Y145" s="3">
        <f>3464.5+(21.7-566)+(1.766895+(0.011067-0.28866))+0-85.9-0.0438089999999913</f>
        <v>2835.7454929999999</v>
      </c>
      <c r="Z145" s="3">
        <f>3607.1+(21.1-609.1)+(-3.679242+(-0.021522--0.621282))+0-86.5--0.0882300000000138</f>
        <v>2929.6087479999997</v>
      </c>
      <c r="AA145" s="3">
        <f>3611.4+(9.7-618.7)+(-5.525442+(-0.014841--0.946611))+0-85.8--0.131274000000005</f>
        <v>2912.1376019999998</v>
      </c>
      <c r="AB145" s="3">
        <f>3605.6+(46.5-651.7)+(-1.838856+(-0.023715--0.332367))+0-70.4--0.0359039999999929</f>
        <v>2928.5056999999993</v>
      </c>
      <c r="AC145" s="3">
        <f>3398.1+(132.4-634.9)+(0+(0-0))+0-50.3-0</f>
        <v>2845.2999999999997</v>
      </c>
      <c r="AD145" s="2">
        <v>2684.0000000000005</v>
      </c>
      <c r="AE145" s="3">
        <f>3619+(6.3-618.2)+(0+(0-0))+0-100.1-0</f>
        <v>2907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3246.6+(138.8-603.1)+(-3.311532+(-0.141576--0.615162))+0-81.3--0.082926000000013</f>
        <v>2698.2449799999995</v>
      </c>
      <c r="G146" s="3">
        <f>3237.8+(141.6-601.6)+(-9.907668+(-0.433296--1.840896))+0-86.2--0.26377200000001</f>
        <v>2683.3637040000003</v>
      </c>
      <c r="H146" s="3">
        <f>3198.1+(140.5-634.8)+(-3.262062+(-0.14331--0.647496))+0-88.7--0.0904740000000141</f>
        <v>2612.4325980000003</v>
      </c>
      <c r="I146" s="3">
        <f>3163.9+(140.9-652.1)+(3.227178+(0.143718-0.665142))+0-78.2-0.0797640000000125</f>
        <v>2577.12599</v>
      </c>
      <c r="J146" s="3">
        <f>3092.5+(141.2-653.2)+(-6.3087+(-0.288048--1.332528))+0-81.7--0.166667999999996</f>
        <v>2493.702448</v>
      </c>
      <c r="K146" s="3">
        <f>2934.8+(141.4-616.3)+(-1.496748+(-0.072114--0.314313))+0-84.6--0.0431459999999914</f>
        <v>2374.0885969999999</v>
      </c>
      <c r="L146" s="3">
        <f>2910.8+(141.9-631.1)+(0+(0-0))+0-71.6-0</f>
        <v>2350.0000000000005</v>
      </c>
      <c r="M146" s="3">
        <f>2919.8+(140.6-558.1)+(2.978196+(0.143412-0.569262))+0-93-0.0948600000000148</f>
        <v>2411.757486</v>
      </c>
      <c r="N146" s="3">
        <f>3026.4+(141.7-606.6)+(6.173856+(0.289068-1.237464))+0-82.8-0.168911999999996</f>
        <v>2483.7565479999998</v>
      </c>
      <c r="O146" s="3">
        <f>3196.5+(116-526.9)+(4.890645+(0.17748-0.806157))+0-86.4-0.132192000000005</f>
        <v>2703.3297759999996</v>
      </c>
      <c r="P146" s="3">
        <f>3513.5+(64.6-582.3)+(3.58377+(0.065892-0.593946))+0-82.5-0.0841500000000132</f>
        <v>2916.2715659999999</v>
      </c>
      <c r="Q146" s="3">
        <f>3574.9+(25.3-588.1)+(1.823199+(0.012903-0.299931))+0-62.4-0.0318239999999937</f>
        <v>2951.2043469999999</v>
      </c>
      <c r="R146" s="3">
        <f>3653.3+(9.5-604.1)+(-1.863183+(-0.004845--0.308091))+0-83.1--0.0423809999999916</f>
        <v>2974.0824440000006</v>
      </c>
      <c r="S146" s="3">
        <f>3631+(3.7-621.5)+(0+(0-0))+0-84.2-0</f>
        <v>2929</v>
      </c>
      <c r="T146" s="3">
        <f>3604.6+(0-639.8)+(0+(0-0))+0-83.2-0</f>
        <v>2881.6000000000004</v>
      </c>
      <c r="U146" s="3">
        <f>3590.4+(0-668.8)+(-1.831104+(0--0.341088))+0-93--0.0474299999999906</f>
        <v>2827.1574140000002</v>
      </c>
      <c r="V146" s="3">
        <f>3577.6+(0-708.7)+(0+(0-0))+0-87.7-0</f>
        <v>2781.2</v>
      </c>
      <c r="W146" s="3">
        <f>3583.9+(0-703.7)+(-3.655578+(0--0.717774))+0-87.1--0.0888420000000139</f>
        <v>2790.2510379999999</v>
      </c>
      <c r="X146" s="3">
        <f>3508.8+(3.2-662.3)+(-5.368464+(-0.004896--1.013319))+0-88.3--0.135099000000005</f>
        <v>2757.1750580000003</v>
      </c>
      <c r="Y146" s="3">
        <f>3474.7+(6.2-557.3)+(-1.772097+(-0.003162--0.284223))+0-85.4--0.0435539999999913</f>
        <v>2836.7525179999998</v>
      </c>
      <c r="Z146" s="3">
        <f>3653.2+(0-638)+(-1.863132+(0--0.32538))+0-78.4--0.039983999999992</f>
        <v>2935.3022319999995</v>
      </c>
      <c r="AA146" s="3">
        <f>3648+(0-638.8)+(-7.44192+(0--1.303152))+0-79.7--0.162587999999997</f>
        <v>2923.5238200000003</v>
      </c>
      <c r="AB146" s="3">
        <f>3654.4+(32.2-668.1)+(-3.727488+(-0.032844--0.681462))+0-80.1--0.0817020000000128</f>
        <v>2935.4028320000002</v>
      </c>
      <c r="AC146" s="3">
        <f>3566.3+(88.3-700.8)+(3.637626+(0.090066-0.714816))+0-77.7-0.0792540000000124</f>
        <v>2879.0336219999999</v>
      </c>
      <c r="AD146" s="2">
        <v>2737.3</v>
      </c>
      <c r="AE146" s="3">
        <f>3651+(0-630)+(0+(0-0))+0-101.7-0</f>
        <v>2919.3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3166.5+(138.3-559.1)+(3.22983+(0.141066-0.570282))+0-83.6-0.0852720000000133</f>
        <v>2664.8153420000003</v>
      </c>
      <c r="G147" s="3">
        <f>2974.9+(140.1-557.8)+(1.517199+(0.071451-0.284478))+0-67-0.0341699999999932</f>
        <v>2491.4700020000005</v>
      </c>
      <c r="H147" s="3">
        <f>2966.6+(139.1-525.3)+(0+(0-0))+0-85.7-0</f>
        <v>2494.7000000000003</v>
      </c>
      <c r="I147" s="3">
        <f>3009.2+(139.7-523.2)+(6.138768+(0.284988-1.067328))+0-82.3-0.167891999999996</f>
        <v>2548.5885359999997</v>
      </c>
      <c r="J147" s="3">
        <f>2977.1+(140.3-530.4)+(-1.518321+(-0.071553--0.270504))+0-94.6--0.0482459999999904</f>
        <v>2491.1288759999998</v>
      </c>
      <c r="K147" s="3">
        <f>2929.2+(139.9-581.9)+(-7.46946+(-0.356745--1.483845))+0-80.3--0.204764999999988</f>
        <v>2400.7624049999995</v>
      </c>
      <c r="L147" s="3">
        <f>2737+(139.9-497.5)+(-6.97935+(-0.356745--1.268625))+0-82.2--0.209609999999988</f>
        <v>2291.3421400000002</v>
      </c>
      <c r="M147" s="3">
        <f>2797+(141.3-458.1)+(4.27941+(0.216189-0.700893))+0-71.7-0.109701000000004</f>
        <v>2412.1850050000003</v>
      </c>
      <c r="N147" s="3">
        <f>3026.9+(127.4-454.4)+(1.543719+(0.064974-0.231744))+0-85.7-0.0437069999999913</f>
        <v>2615.5332420000004</v>
      </c>
      <c r="O147" s="3">
        <f>3266.6+(85-502.8)+(1.665966+(0.04335-0.256428))+0-90.3-0.0460529999999908</f>
        <v>2759.9068349999993</v>
      </c>
      <c r="P147" s="3">
        <f>3431.5+(49.9-520.6)+(5.250195+(0.076347-0.796518))+0-81-0.123930000000005</f>
        <v>2884.2060940000001</v>
      </c>
      <c r="Q147" s="3">
        <f>3562.4+(19.3-561.9)+(5.450472+(0.029529-0.859707))+0-89.8-0.137394000000005</f>
        <v>2934.4829</v>
      </c>
      <c r="R147" s="3">
        <f>3599.3+(0-597.9)+(0+(0-0))+0-72.6-0</f>
        <v>2928.8</v>
      </c>
      <c r="S147" s="3">
        <f>3618.6+(0-655.1)+(-5.536458+(0--1.002303))+0-85.5--0.130815000000005</f>
        <v>2873.5966600000002</v>
      </c>
      <c r="T147" s="3">
        <f>3625.9+(34.2-700.9)+(1.849209+(0.017442-0.357459))+0-87.4-0.0445739999999911</f>
        <v>2873.2646180000002</v>
      </c>
      <c r="U147" s="3">
        <f>3612.4+(32.3-724.8)+(-1.842324+(-0.016473--0.369648))+0-72--0.0367199999999927</f>
        <v>2846.4475710000002</v>
      </c>
      <c r="V147" s="3">
        <f>3601.4+(24.2-717.8)+(-7.346856+(-0.049368--1.464312))+0-88.5--0.180539999999996</f>
        <v>2813.548628</v>
      </c>
      <c r="W147" s="3">
        <f>3583.9+(42.2-715.4)+(-12.794523+(-0.150654--2.553978))+0-89.7--0.320229000000001</f>
        <v>2810.9290300000002</v>
      </c>
      <c r="X147" s="3">
        <f>3610.3+(45.5-763.6)+(-3.682506+(-0.04641--0.778872))+0-91.1--0.0929220000000145</f>
        <v>2798.242878</v>
      </c>
      <c r="Y147" s="3">
        <f>3649.7+(3.6-709.6)+(1.861347+(0.001836-0.361896))+0-88-0.0448799999999911</f>
        <v>2857.1564069999999</v>
      </c>
      <c r="Z147" s="3">
        <f>3698.6+(0-671.5)+(3.772572+(0-0.68493))+0-84.8-0.0864960000000135</f>
        <v>2945.3011459999998</v>
      </c>
      <c r="AA147" s="3">
        <f>3689.2+(16.2-648.4)+(-7.525968+(-0.033048--1.322736))+0-81.1--0.165443999999996</f>
        <v>2969.8291640000002</v>
      </c>
      <c r="AB147" s="3">
        <f>3690.5+(46-668)+(-7.52862+(-0.09384--1.36272))+0-82.4--0.168095999999996</f>
        <v>2980.0083559999998</v>
      </c>
      <c r="AC147" s="3">
        <f>3629.8+(119.8-698.5)+(1.851198+(0.061098-0.356235))+0-75.7-0.0386069999999923</f>
        <v>2976.9174540000008</v>
      </c>
      <c r="AD147" s="2">
        <v>2797.4000000000005</v>
      </c>
      <c r="AE147" s="3">
        <f>3725+(7.8-660.7)+(0+(0-0))+0-97.2-0</f>
        <v>2974.9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3475.3+(141.7-696.9)+(1.772403+(0.072267-0.355419))+0-80.8-0.0412079999999918</f>
        <v>2840.7480430000001</v>
      </c>
      <c r="G148" s="3">
        <f>3276.3+(140.7-649.5)+(0+(0-0))+0-78-0</f>
        <v>2689.5</v>
      </c>
      <c r="H148" s="3">
        <f>3210.4+(139.1-635.2)+(-3.274608+(-0.141882--0.647904))+0-85.6--0.0873120000000136</f>
        <v>2626.0187260000002</v>
      </c>
      <c r="I148" s="3">
        <f>3192.8+(141.9-615.4)+(0+(0-0))+0-81.3-0</f>
        <v>2638</v>
      </c>
      <c r="J148" s="3">
        <f>3091.4+(142.3-582.1)+(-4.729842+(-0.217719--0.890613))+0-91--0.139230000000005</f>
        <v>2556.6822820000002</v>
      </c>
      <c r="K148" s="3">
        <f>2770.3+(141.7-434.7)+(-8.477118+(-0.433602--1.330182))+0-85.8--0.26254800000001</f>
        <v>2384.18201</v>
      </c>
      <c r="L148" s="3">
        <f>2540.7+(141.7-337.9)+(-2.591514+(-0.144534--0.344658))+0-55--0.0561000000000088</f>
        <v>2287.16471</v>
      </c>
      <c r="M148" s="3">
        <f>2707.8+(141.3-398.9)+(0+(0-0))+0-25-0</f>
        <v>2425.2000000000003</v>
      </c>
      <c r="N148" s="3">
        <f>3005.3+(139.1-497.6)+(0+(0-0))+0-22-0</f>
        <v>2624.8</v>
      </c>
      <c r="O148" s="3">
        <f>3228.5+(100.5-547.8)+(3.29307+(0.10251-0.558756))+0-20.1-0.0205020000000032</f>
        <v>2763.916322</v>
      </c>
      <c r="P148" s="3">
        <f>3443.4+(47.8-617.1)+(3.512268+(0.048756-0.629442))+0-20.7-0.0211140000000033</f>
        <v>2856.3104680000001</v>
      </c>
      <c r="Q148" s="3">
        <f>3605+(33.5-704.8)+(0+(0-0))+0-20.4-0</f>
        <v>2913.2999999999997</v>
      </c>
      <c r="R148" s="3">
        <f>3623.8+(30-724.4)+(1.848138+(0.0153-0.369444))+0-21.7-0.0110669999999978</f>
        <v>2909.1829270000003</v>
      </c>
      <c r="S148" s="3">
        <f>3578.9+(5.1-701.3)+(-5.475717+(-0.007803--1.072989))+0-22.3--0.0341190000000013</f>
        <v>2856.023588</v>
      </c>
      <c r="T148" s="3">
        <f>3551.7+(28.8-676.8)+(-1.811367+(-0.014688--0.345168))+0-81.7--0.0416669999999917</f>
        <v>2820.5607799999998</v>
      </c>
      <c r="U148" s="3">
        <f>3525.9+(18-659.3)+(-5.394627+(-0.02754--1.008729))+0-80.8--0.123624000000005</f>
        <v>2799.510186</v>
      </c>
      <c r="V148" s="3">
        <f>3535.1+(19.6-684.4)+(-5.408703+(-0.029988--1.047132))+0-69.5--0.106335000000004</f>
        <v>2796.514776</v>
      </c>
      <c r="W148" s="3">
        <f>3549.5+(16.3-679.1)+(-9.051225+(-0.041565--1.731705))+0-90.2--0.230009999999987</f>
        <v>2789.3689249999998</v>
      </c>
      <c r="X148" s="3">
        <f>3535.8+(27.4-708.5)+(-12.622806+(-0.097818--2.529345))+0-29.1--0.103887</f>
        <v>2815.5126080000005</v>
      </c>
      <c r="Y148" s="3">
        <f>3503.1+(8.5-610.4)+(0+(0-0))+0-49.2-0</f>
        <v>2852</v>
      </c>
      <c r="Z148" s="3">
        <f>3607.1+(0-579)+(1.839621+(0-0.29529))+0-88.4-0.045083999999991</f>
        <v>2941.199247</v>
      </c>
      <c r="AA148" s="3">
        <f>3600.5+(0-558.7)+(-11.01753+(0--1.709622))+0-86.7--0.26530200000001</f>
        <v>2946.0573939999999</v>
      </c>
      <c r="AB148" s="3">
        <f>3605.1+(24.1-579.1)+(-11.031606+(-0.073746--1.772046))+0-83.6--0.25581600000001</f>
        <v>2957.4225099999999</v>
      </c>
      <c r="AC148" s="3">
        <f>3569.8+(96.7-635.5)+(3.641196+(0.098634-0.64821))+0-69.4-0.0707880000000111</f>
        <v>2964.6208320000001</v>
      </c>
      <c r="AD148" s="2">
        <v>2769.6</v>
      </c>
      <c r="AE148" s="3">
        <f>3592+(0-575.3)+(0+(0-0))+0-96.5-0</f>
        <v>2920.2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3445.9+(140.8-686.6)+(0+(0-0))+0-85.4-0</f>
        <v>2814.7000000000003</v>
      </c>
      <c r="G149" s="3">
        <f>3277.8+(142.2-651.3)+(1.671678+(0.072522-0.332163))+0-77.3-0.0394229999999922</f>
        <v>2692.772614</v>
      </c>
      <c r="H149" s="3">
        <f>3169.9+(142.4-632.5)+(0+(0-0))+0-82.6-0</f>
        <v>2597.2000000000003</v>
      </c>
      <c r="I149" s="3">
        <f>3130.3+(142.8-610.8)+(-3.192906+(-0.145656--0.623016))+0-96.5--0.0984300000000154</f>
        <v>2563.1828840000003</v>
      </c>
      <c r="J149" s="3">
        <f>3073.4+(143.5-622.5)+(7.83717+(0.365925-1.587375))+0-77.6-0.197879999999989</f>
        <v>2523.2178399999998</v>
      </c>
      <c r="K149" s="3">
        <f>2914.4+(143.9-599.8)+(-7.43172+(-0.366945--1.52949))+0-88.7--0.226184999999987</f>
        <v>2363.7570100000003</v>
      </c>
      <c r="L149" s="3">
        <f>2741+(142.5-506.2)+(-8.38746+(-0.43605--1.548972))+0-83.3--0.25489800000001</f>
        <v>2286.98036</v>
      </c>
      <c r="M149" s="3">
        <f>2664.9+(142.5-417.6)+(4.077297+(0.218025-0.638928))+0-53.9-0.0824670000000031</f>
        <v>2339.473927</v>
      </c>
      <c r="N149" s="3">
        <f>3154.8+(122.1-591.6)+(1.608948+(0.062271-0.301716))+0-81.8-0.0417179999999917</f>
        <v>2604.8277849999999</v>
      </c>
      <c r="O149" s="3">
        <f>3364.7+(65.1-582)+(1.715997+(0.033201-0.29682))+0-85.5-0.0436049999999913</f>
        <v>2763.7087729999998</v>
      </c>
      <c r="P149" s="3">
        <f>3578.9+(17.2-612.9)+(5.475717+(0.026316-0.937737))+0-66.2-0.101286000000004</f>
        <v>2921.4630100000004</v>
      </c>
      <c r="Q149" s="3">
        <f>3602.9+(17.2-592.6)+(0+(0-0))+0-84-0</f>
        <v>2943.5</v>
      </c>
      <c r="R149" s="3">
        <f>3588.6+(16.4-606.3)+(-3.660372+(-0.016728--0.618426))+0-68.5--0.0698700000000109</f>
        <v>2927.2111959999997</v>
      </c>
      <c r="S149" s="3">
        <f>3561.1+(8.7-615.1)+(0+(0-0))+0-91.3-0</f>
        <v>2863.3999999999996</v>
      </c>
      <c r="T149" s="3">
        <f>3570.3+(4.8-656.8)+(-1.820853+(-0.002448--0.334968))+0-85.2--0.0434519999999914</f>
        <v>2831.6551190000005</v>
      </c>
      <c r="U149" s="3">
        <f>3543.8+(7.9-687.8)+(-3.614676+(-0.008058--0.701556))+0-70.4--0.0718080000000112</f>
        <v>2790.6506300000001</v>
      </c>
      <c r="V149" s="3">
        <f>3543.8+(12-690.7)+(-3.614676+(-0.01224--0.704514))+0-82--0.0836400000000131</f>
        <v>2780.261238</v>
      </c>
      <c r="W149" s="3">
        <f>3534+(11.6-689)+(-1.80234+(-0.005916--0.35139))+0-85.9--0.0438089999999913</f>
        <v>2769.2869429999996</v>
      </c>
      <c r="X149" s="3">
        <f>3460.5+(7.5-672.3)+(-7.05942+(-0.0153--1.371492))+0-83.2--0.169727999999996</f>
        <v>2706.9665</v>
      </c>
      <c r="Y149" s="3">
        <f>3473.2+(0-592)+(-3.542664+(0--0.60384))+0-90.8--0.0926160000000145</f>
        <v>2787.5537919999997</v>
      </c>
      <c r="Z149" s="3">
        <f>3601.5+(0-625.5)+(-1.836765+(0--0.319005))+0-79.8--0.0406979999999919</f>
        <v>2894.7229379999994</v>
      </c>
      <c r="AA149" s="3">
        <f>3618.2+(0-630.1)+(-1.845282+(0--0.321351))+0-82.1--0.0418709999999917</f>
        <v>2904.5179399999997</v>
      </c>
      <c r="AB149" s="3">
        <f>3627.2+(26.7-652.3)+(-9.24936+(-0.068085--1.663365))+0-88.7--0.226184999999987</f>
        <v>2905.4721050000003</v>
      </c>
      <c r="AC149" s="3">
        <f>3550.4+(108.3-691.4)+(-1.810704+(-0.055233--0.352614))+0-70.4--0.0359039999999929</f>
        <v>2895.4225809999998</v>
      </c>
      <c r="AD149" s="2">
        <v>2738.1</v>
      </c>
      <c r="AE149" s="3">
        <f>3625+(0-626.2)+(0+(0-0))+0-101.1-0</f>
        <v>2897.7000000000003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3368+(140.8-658.3)+(0+(0-0))+0-77.3-0</f>
        <v>2773.2</v>
      </c>
      <c r="G150" s="3">
        <f>3124.8+(140.9-598.8)+(-6.374592+(-0.287436--1.221552))+0-93.4--0.190535999999996</f>
        <v>2568.2500599999998</v>
      </c>
      <c r="H150" s="3">
        <f>3017.9+(141.1-611.8)+(-4.617387+(-0.215883--0.936054))+0-75.4--0.115362000000004</f>
        <v>2468.0181460000003</v>
      </c>
      <c r="I150" s="3">
        <f>2772.8+(140.9-437.8)+(-7.07064+(-0.359295--1.11639))+0-78.5--0.200174999999989</f>
        <v>2391.2866300000001</v>
      </c>
      <c r="J150" s="3">
        <f>2657.8+(140.6-373)+(2.710956+(0.143412-0.38046))+0-85.1-0.0868020000000136</f>
        <v>2342.6871060000003</v>
      </c>
      <c r="K150" s="3">
        <f>2599.2+(142.2-390.8)+(-6.62796+(-0.36261--0.99654))+0-80.4--0.205019999999988</f>
        <v>2264.4109899999999</v>
      </c>
      <c r="L150" s="3">
        <f>2540.2+(141.5-379.9)+(-6.47751+(-0.360825--0.968745))+0-83.3--0.212414999999988</f>
        <v>2212.8428249999997</v>
      </c>
      <c r="M150" s="3">
        <f>2808.6+(141.2-464.8)+(1.432386+(0.072012-0.237048))+0-95.6-0.0487559999999903</f>
        <v>2390.618594</v>
      </c>
      <c r="N150" s="3">
        <f>3100.1+(137.6-562.2)+(3.162102+(0.140352-0.573444))+0-71.9-0.0733380000000115</f>
        <v>2606.2556719999998</v>
      </c>
      <c r="O150" s="3">
        <f>3287.4+(92.3-557.8)+(5.029722+(0.141219-0.853434))+0-86.9-0.132957000000005</f>
        <v>2739.1845500000004</v>
      </c>
      <c r="P150" s="3">
        <f>3467.2+(53.2-592.7)+(-1.768272+(-0.027132--0.302277))+0-61.1--0.0311609999999938</f>
        <v>2865.1380339999996</v>
      </c>
      <c r="Q150" s="3">
        <f>3543.2+(47-634.2)+(3.614064+(0.04794-0.646884))+0-31.9-0.0325380000000051</f>
        <v>2927.082582</v>
      </c>
      <c r="R150" s="3">
        <f>3528.4+(22.5-617.1)+(-3.598968+(-0.02295--0.629442))+0-95--0.0969000000000152</f>
        <v>2835.9044240000003</v>
      </c>
      <c r="S150" s="3">
        <f>3515.9+(13.9-633.8)+(1.793109+(0.007089-0.323238))+0-85.4-0.0435539999999913</f>
        <v>2812.033406</v>
      </c>
      <c r="T150" s="3">
        <f>3514.5+(11.1-654.8)+(0+(0-0))+0-80.4-0</f>
        <v>2790.4</v>
      </c>
      <c r="U150" s="3">
        <f>3495.6+(29.2-649.5)+(-5.348268+(-0.044676--0.993735))+0-86.1--0.131733000000005</f>
        <v>2784.9325240000003</v>
      </c>
      <c r="V150" s="3">
        <f>3500.4+(19.9-670.3)+(-5.355612+(-0.030447--1.025559))+0-54--0.0826200000000031</f>
        <v>2791.7221200000004</v>
      </c>
      <c r="W150" s="3">
        <f>3514.2+(41.4-738.5)+(-8.96121+(-0.10557--1.883175))+0-23.8--0.0606899999999965</f>
        <v>2786.1770849999994</v>
      </c>
      <c r="X150" s="3">
        <f>3423.4+(35.5-697.8)+(-5.237802+(-0.054315--1.067634))+0-22.3--0.0341190000000013</f>
        <v>2734.6096360000001</v>
      </c>
      <c r="Y150" s="3">
        <f>3463.9+(11-580)+(3.533178+(0.01122-0.5916))+0-82.8-0.0844560000000132</f>
        <v>2814.9683419999997</v>
      </c>
      <c r="Z150" s="3">
        <f>3663.6+(7.8-663.1)+(0+(0-0))+0-58.5-0</f>
        <v>2949.7999999999997</v>
      </c>
      <c r="AA150" s="3">
        <f>3672.3+(15.6-660.6)+(-1.872873+(-0.007956--0.336906))+0-81.6--0.0416159999999917</f>
        <v>2944.1976930000001</v>
      </c>
      <c r="AB150" s="3">
        <f>3651.2+(52.3-677.2)+(-3.724224+(-0.053346--0.690744))+0-84.8--0.0864960000000135</f>
        <v>2938.4996699999992</v>
      </c>
      <c r="AC150" s="3">
        <f>3575.2+(62.3-660.8)+(-7.293408+(-0.127092--1.348032))+0-88.5--0.180539999999996</f>
        <v>2882.3080719999998</v>
      </c>
      <c r="AD150" s="2">
        <v>2722.9</v>
      </c>
      <c r="AE150" s="3">
        <f>3678+(3.1-644.9)+(0+(0-0))+0-93.6-0</f>
        <v>2942.6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3478.8+(128.3-654)+(-5.322564+(-0.196299--1.00062))+0-94.5--0.144585000000005</f>
        <v>2854.2263420000004</v>
      </c>
      <c r="G151" s="3">
        <f>3356.8+(140.6-660.7)+(0+(0-0))+0-81.4-0</f>
        <v>2755.3</v>
      </c>
      <c r="H151" s="3">
        <f>3112+(140.9-534.9)+(-7.9356+(-0.359295--1.363995))+0-88.4--0.225419999999987</f>
        <v>2622.8945200000003</v>
      </c>
      <c r="I151" s="3">
        <f>2997.6+(140.2-477.8)+(-6.115104+(-0.286008--0.974712))+0-70--0.142799999999997</f>
        <v>2584.7164000000002</v>
      </c>
      <c r="J151" s="3">
        <f>2848.3+(141.1-384.3)+(-2.905266+(-0.143922--0.391986))+0-86.1--0.0878220000000137</f>
        <v>2516.4306200000005</v>
      </c>
      <c r="K151" s="3">
        <f>2597.1+(141.2-351.9)+(-6.622605+(-0.36006--0.897345))+0-87.9--0.224144999999987</f>
        <v>2292.638825</v>
      </c>
      <c r="L151" s="3">
        <f>2509.6+(141.2-376)+(-3.839688+(-0.216036--0.57528))+0-85--0.130050000000005</f>
        <v>2186.4496060000001</v>
      </c>
      <c r="M151" s="3">
        <f>2491.3+(138.9-397.7)+(-2.541126+(-0.141678--0.405654))+0-38.3--0.0390660000000061</f>
        <v>2191.9619159999997</v>
      </c>
      <c r="N151" s="3">
        <f>2560.6+(116.9-391.9)+(0+(0-0))+0-89.7-0</f>
        <v>2195.9</v>
      </c>
      <c r="O151" s="3">
        <f>2768.1+(87.6-461.6)+(-2.823462+(-0.089352--0.470832))+0-79.8--0.0813960000000127</f>
        <v>2311.9394139999999</v>
      </c>
      <c r="P151" s="3">
        <f>3157.1+(36.1-653.2)+(1.610121+(0.018411-0.333132))+0-41.6-0.0212159999999958</f>
        <v>2499.674184</v>
      </c>
      <c r="Q151" s="3">
        <f>3349.5+(0-643.7)+(1.708245+(0-0.328287))+0-87.8-0.0447779999999911</f>
        <v>2619.33518</v>
      </c>
      <c r="R151" s="3">
        <f>3495.4+(0-692)+(-1.782654+(0--0.35292))+0-84.4--0.0430439999999914</f>
        <v>2717.6133100000002</v>
      </c>
      <c r="S151" s="3">
        <f>3517+(11.5-688.2)+(-3.58734+(-0.01173--0.701964))+0-85.1--0.0868020000000136</f>
        <v>2752.3896960000002</v>
      </c>
      <c r="T151" s="3">
        <f>3488+(25.6-685.2)+(-7.11552+(-0.052224--1.397808))+0-83.1--0.169523999999996</f>
        <v>2739.6995879999999</v>
      </c>
      <c r="U151" s="3">
        <f>3488+(4-680.7)+(-3.55776+(-0.00408--0.694314))+0-94.9--0.0967980000000151</f>
        <v>2713.6292720000001</v>
      </c>
      <c r="V151" s="3">
        <f>3452+(19.2-705.2)+(-1.76052+(-0.009792--0.359652))+0-50.3--0.0256529999999949</f>
        <v>2714.314993</v>
      </c>
      <c r="W151" s="3">
        <f>3414.8+(23.8-661.7)+(-6.966192+(-0.048552--1.349868))+0-91.3--0.186251999999996</f>
        <v>2680.1213760000001</v>
      </c>
      <c r="X151" s="3">
        <f>3359.4+(69.5-674)+(-6.853176+(-0.14178--1.37496))+0-77.1--0.157283999999997</f>
        <v>2672.3372880000002</v>
      </c>
      <c r="Y151" s="3">
        <f>3320.9+(0-522)+(-3.387318+(0--0.53244))+0-86.5--0.0882300000000138</f>
        <v>2709.6333519999998</v>
      </c>
      <c r="Z151" s="3">
        <f>3613.5+(0-689.3)+(0+(0-0))+0-82.2-0</f>
        <v>2842</v>
      </c>
      <c r="AA151" s="3">
        <f>3561.9+(0-685.3)+(-5.449707+(0--1.048509))+0-36.2--0.0553860000000021</f>
        <v>2836.0541880000005</v>
      </c>
      <c r="AB151" s="3">
        <f>3576+(14.4-645)+(0+(0-0))+0-83.4-0</f>
        <v>2862</v>
      </c>
      <c r="AC151" s="3">
        <f>3544.9+(28.9-693)+(1.807899+(0.014739-0.35343))+0-98.3-0.05013299999999</f>
        <v>2783.9190749999998</v>
      </c>
      <c r="AD151" s="2">
        <v>2650.6</v>
      </c>
      <c r="AE151" s="3">
        <f>3632+(0-701.7)+(0+(0-0))+0-96.5-0</f>
        <v>2833.8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3332.7+(68.4-639.5)+(-1.699677+(-0.034884--0.326145))+0-84.4--0.0430439999999914</f>
        <v>2675.8346279999996</v>
      </c>
      <c r="G152" s="3">
        <f>3137.9+(98.1-583.6)+(-4.800987+(-0.150093--0.892908))+0-89.1--0.136323000000005</f>
        <v>2559.3781510000003</v>
      </c>
      <c r="H152" s="3">
        <f>3092.3+(120.2-593.2)+(-1.577073+(-0.061302--0.302532))+0-71.9--0.0366689999999927</f>
        <v>2546.1008260000003</v>
      </c>
      <c r="I152" s="3">
        <f>3073.5+(139.8-570.2)+(-6.26994+(-0.285192--1.163208))+0-88.1--0.179723999999996</f>
        <v>2549.7878000000001</v>
      </c>
      <c r="J152" s="3">
        <f>2932.5+(139.9-525.4)+(1.495575+(0.071349-0.267954))+0-91-0.0464099999999908</f>
        <v>2457.2525599999999</v>
      </c>
      <c r="K152" s="3">
        <f>2684.3+(139.9-430.7)+(-1.368993+(-0.071349--0.219657))+0-95.4--0.0486539999999903</f>
        <v>2296.9279690000003</v>
      </c>
      <c r="L152" s="3">
        <f>2504.6+(139.9-362.6)+(-1.277346+(-0.071349--0.184926))+0-88--0.0448799999999911</f>
        <v>2192.7811110000002</v>
      </c>
      <c r="M152" s="3">
        <f>2516.5+(138.6-351.7)+(0+(0-0))+0-66.9-0</f>
        <v>2236.5</v>
      </c>
      <c r="N152" s="3">
        <f>2825.1+(85.9-469.1)+(1.440801+(0.043809-0.239241))+0-57.4-0.0292739999999942</f>
        <v>2385.7160949999998</v>
      </c>
      <c r="O152" s="3">
        <f>3294.1+(71.9-660.1)+(1.679991+(0.036669-0.336651))+0-29.9-0.015248999999997</f>
        <v>2677.3647599999995</v>
      </c>
      <c r="P152" s="3">
        <f>3503.3+(35.3-610.3)+(1.786683+(0.018003-0.311253))+0-79.8-0.0406979999999919</f>
        <v>2849.9527350000003</v>
      </c>
      <c r="Q152" s="3">
        <f>3604.3+(4.1-599.2)+(5.514579+(0.006273-0.916776))+0-54.3-0.0830790000000031</f>
        <v>2959.4209970000002</v>
      </c>
      <c r="R152" s="3">
        <f>3561.2+(18.2-561.1)+(1.816212+(0.009282-0.286161))+0-75.3-0.0384029999999924</f>
        <v>2944.5009299999997</v>
      </c>
      <c r="S152" s="3">
        <f>3539.9+(13.7-567.1)+(-3.610698+(-0.013974--0.578442))+0-86.2--0.0879240000000137</f>
        <v>2897.3416940000002</v>
      </c>
      <c r="T152" s="3">
        <f>3527.3+(7.7-573)+(-1.798923+(-0.003927--0.29223))+0-86--0.0438599999999913</f>
        <v>2874.5332399999998</v>
      </c>
      <c r="U152" s="3">
        <f>3521.3+(9.1-594.8)+(1.795863+(0.004641-0.303348))+0-68.9-0.035138999999993</f>
        <v>2868.1620170000001</v>
      </c>
      <c r="V152" s="3">
        <f>3498+(11.1-576.4)+(-1.78398+(-0.005661--0.293964))+0-80.4--0.0410039999999918</f>
        <v>2850.845327</v>
      </c>
      <c r="W152" s="3">
        <f>3505+(33.9-597.8)+(-1.78755+(-0.017289--0.304878))+0-85.8--0.0437579999999913</f>
        <v>2853.8437969999995</v>
      </c>
      <c r="X152" s="3">
        <f>3460.9+(45.8-616)+(-5.295177+(-0.070074--0.94248))+0-86.9--0.132957000000005</f>
        <v>2799.5101859999995</v>
      </c>
      <c r="Y152" s="3">
        <f>3472+(16.6-568.8)+(3.54144+(0.016932-0.580176))+0-63.4-0.0646680000000101</f>
        <v>2859.3135280000001</v>
      </c>
      <c r="Z152" s="3">
        <f>3650.6+(0-595.9)+(1.861806+(0-0.303909))+0-79.7-0.0406469999999919</f>
        <v>2976.5172500000003</v>
      </c>
      <c r="AA152" s="3">
        <f>3644+(0-604.9)+(-7.43376+(0--1.233996))+0-85.1--0.173603999999996</f>
        <v>2947.9738400000001</v>
      </c>
      <c r="AB152" s="3">
        <f>3646.8+(26.5-668.6)+(-3.719736+(-0.02703--0.681972))+0-29.8--0.0303960000000048</f>
        <v>2971.8656020000003</v>
      </c>
      <c r="AC152" s="3">
        <f>3519.6+(63.6-607.6)+(0+(0-0))+0-91.5-0</f>
        <v>2884.1</v>
      </c>
      <c r="AD152" s="2">
        <v>2774.7000000000003</v>
      </c>
      <c r="AE152" s="3">
        <f>3682+(0-637.7)+(0+(0-0))+0-70.6-0</f>
        <v>2973.7000000000003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3355.5+(128.1-677.1)+(-3.42261+(-0.130662--0.690642))+0-30.8--0.0314160000000049</f>
        <v>2772.8687859999995</v>
      </c>
      <c r="G153" s="3">
        <f>3198.6+(139-594.4)+(-6.525144+(-0.28356--1.212576))+0-81.7--0.166667999999996</f>
        <v>2656.0705399999997</v>
      </c>
      <c r="H153" s="3">
        <f>3031.4+(139.7-599.4)+(-1.546014+(-0.071247--0.305694))+0-56--0.0285599999999943</f>
        <v>2514.4169930000003</v>
      </c>
      <c r="I153" s="3">
        <f>2792.1+(140.5-497.5)+(0+(0-0))+0-64-0</f>
        <v>2371.1</v>
      </c>
      <c r="J153" s="3">
        <f>2696.9+(140.4-440.4)+(-4.126257+(-0.214812--0.673812))+0-65.4--0.100062000000004</f>
        <v>2327.9328049999999</v>
      </c>
      <c r="K153" s="3">
        <f>2688.3+(140.9-514.9)+(-5.484132+(-0.287436--1.050396))+0-73.3--0.149531999999997</f>
        <v>2236.4283599999999</v>
      </c>
      <c r="L153" s="3">
        <f>2445.1+(140.9-417.8)+(-9.976008+(-0.574872--1.704624))+0-64.8--0.264383999999994</f>
        <v>2094.8181279999999</v>
      </c>
      <c r="M153" s="3">
        <f>2301.3+(139.6-355.9)+(0+(0-0))+0-65.4-0</f>
        <v>2019.6</v>
      </c>
      <c r="N153" s="3">
        <f>2482.2+(124.9-379.1)+(2.531844+(0.127398-0.386682))+0-96.4-0.0983280000000154</f>
        <v>2133.7742319999998</v>
      </c>
      <c r="O153" s="3">
        <f>2829.8+(52.4-477.7)+(-1.443198+(-0.026724--0.243627))+0-88.7--0.045236999999991</f>
        <v>2314.6189420000001</v>
      </c>
      <c r="P153" s="3">
        <f>2999.8+(6.5-465.5)+(-1.529898+(-0.003315--0.237405))+0-82.7--0.0421769999999916</f>
        <v>2456.8463690000003</v>
      </c>
      <c r="Q153" s="3">
        <f>3016+(12.9-416.6)+(0+(0-0))+0-84.6-0</f>
        <v>2527.7000000000003</v>
      </c>
      <c r="R153" s="3">
        <f>3059.8+(8.2-445.6)+(-1.560498+(-0.004182--0.227256))+0-84.9--0.0432989999999914</f>
        <v>2536.2058750000001</v>
      </c>
      <c r="S153" s="3">
        <f>3032.3+(11.8-428.2)+(-3.092946+(-0.012036--0.436764))+0-84.8--0.0864960000000135</f>
        <v>2528.518278</v>
      </c>
      <c r="T153" s="3">
        <f>3004.1+(25.6-414.9)+(-6.128364+(-0.052224--0.846396))+0-86--0.175439999999996</f>
        <v>2523.6412480000004</v>
      </c>
      <c r="U153" s="3">
        <f>3040.5+(56.7-470.6)+(3.10131+(0.057834-0.480012))+0-65.4-0.0667080000000104</f>
        <v>2563.8124240000002</v>
      </c>
      <c r="V153" s="3">
        <f>3024+(61.8-456.2)+(4.62672+(0.094554-0.697986))+0-97.2-0.148716000000006</f>
        <v>2536.2745719999998</v>
      </c>
      <c r="W153" s="3">
        <f>2990+(36.4-478.1)+(-3.0498+(-0.037128--0.487662))+0-59.3--0.0604860000000095</f>
        <v>2486.4612199999997</v>
      </c>
      <c r="X153" s="3">
        <f>2799.9+(36.7-408.8)+(-4.283847+(-0.056151--0.625464))+0-75.7--0.115821000000004</f>
        <v>2348.501287</v>
      </c>
      <c r="Y153" s="3">
        <f>2855.1+(28.8-386.3)+(-1.456101+(-0.014688--0.197013))+0-87.9--0.0448289999999911</f>
        <v>2408.4710529999998</v>
      </c>
      <c r="Z153" s="3">
        <f>3217.9+(4.5-472)+(-4.923387+(-0.006885--0.72216))+0-97--0.148410000000006</f>
        <v>2649.3402980000001</v>
      </c>
      <c r="AA153" s="3">
        <f>3176.3+(8.5-487)+(-4.859739+(-0.013005--0.74511))+0-44.4--0.0679320000000026</f>
        <v>2649.3402980000001</v>
      </c>
      <c r="AB153" s="3">
        <f>3031.7+(42.6-432.6)+(-1.546167+(-0.021726--0.220626))+0-79.9--0.0407489999999919</f>
        <v>2560.4934819999994</v>
      </c>
      <c r="AC153" s="3">
        <f>2929.6+(122.5-469.9)+(-1.494096+(-0.062475--0.239649))+0-85.8--0.0437579999999913</f>
        <v>2495.1268359999995</v>
      </c>
      <c r="AD153" s="2">
        <v>2493.7999999999997</v>
      </c>
      <c r="AE153" s="3">
        <f>3214+(6.5-486.9)+(0+(0-0))+0-98.8-0</f>
        <v>2634.7999999999997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2947.8+(140.2-569.9)+(1.503378+(0.071502-0.290649))+0-73.9-0.0376889999999925</f>
        <v>2445.4465420000006</v>
      </c>
      <c r="G154" s="3">
        <f>2948.9+(108.7-613)+(1.503939+(0.055437-0.31263))+0-69.6-0.0354959999999929</f>
        <v>2376.2112499999998</v>
      </c>
      <c r="H154" s="3">
        <f>2916.7+(91.4-648)+(-1.487517+(-0.046614--0.33048))+0-62.8--0.0320279999999936</f>
        <v>2296.128377</v>
      </c>
      <c r="I154" s="3">
        <f>2782.1+(116.8-563.2)+(-1.418871+(-0.059568--0.287232))+0-80.5--0.0410549999999918</f>
        <v>2254.0498480000001</v>
      </c>
      <c r="J154" s="3">
        <f>2648.9+(103.5-523.6)+(-4.052817+(-0.158355--0.801108))+0-39--0.0596700000000023</f>
        <v>2186.4496060000001</v>
      </c>
      <c r="K154" s="3">
        <f>2658.6+(99.5-550.9)+(0+(0-0))+0-82.4-0</f>
        <v>2124.7999999999997</v>
      </c>
      <c r="L154" s="3">
        <f>2394.4+(110.4-389.2)+(-6.10572+(-0.28152--0.99246))+0-86.1--0.219554999999987</f>
        <v>2024.3247750000003</v>
      </c>
      <c r="M154" s="3">
        <f>2355.8+(101.3-344.1)+(-2.402916+(-0.103326--0.350982))+0-76.5--0.0780300000000122</f>
        <v>2034.4227699999999</v>
      </c>
      <c r="N154" s="3">
        <f>2580.8+(101-444.9)+(2.632416+(0.10302-0.453798))+0-56.8-0.0579360000000091</f>
        <v>2182.3237019999997</v>
      </c>
      <c r="O154" s="3">
        <f>2812.6+(97.6-531.8)+(-1.434426+(-0.049776--0.271218))+0-22.4--0.0114239999999977</f>
        <v>2354.79844</v>
      </c>
      <c r="P154" s="3">
        <f>2977.3+(92.7-517.9)+(3.036846+(0.094554-0.528258))+0-59.8-0.0609960000000095</f>
        <v>2494.842146</v>
      </c>
      <c r="Q154" s="3">
        <f>3108.1+(75.7-487.4)+(-3.170262+(-0.077214--0.497148))+0-76.6--0.0781320000000122</f>
        <v>2617.1278040000002</v>
      </c>
      <c r="R154" s="3">
        <f>3103.4+(53.2-427)+(-1.582734+(-0.027132--0.21777))+0-86.1--0.0439109999999913</f>
        <v>2642.1518150000002</v>
      </c>
      <c r="S154" s="3">
        <f>3117.6+(40.3-448.7)+(-1.589976+(-0.020553--0.228837))+0-88.2--0.0449819999999911</f>
        <v>2619.66329</v>
      </c>
      <c r="T154" s="3">
        <f>3103+(45.8-452.8)+(-6.33012+(-0.093432--0.923712))+0-93.4--0.190535999999996</f>
        <v>2597.290696</v>
      </c>
      <c r="U154" s="3">
        <f>3109.7+(42.4-464.2)+(0+(0-0))+0-73.5-0</f>
        <v>2614.3999999999996</v>
      </c>
      <c r="V154" s="3">
        <f>3112.6+(26.9-476.8)+(-1.587426+(-0.013719--0.243168))+0-64.8--0.0330479999999934</f>
        <v>2596.5750709999993</v>
      </c>
      <c r="W154" s="3">
        <f>3055.8+(39.5-460.7)+(-6.233832+(-0.08058--0.939828))+0-90.2--0.184007999999996</f>
        <v>2539.2094240000006</v>
      </c>
      <c r="X154" s="3">
        <f>2894+(50.7-418.8)+(-4.42782+(-0.077571--0.640764))+0-93.7--0.143361000000005</f>
        <v>2428.4787340000003</v>
      </c>
      <c r="Y154" s="3">
        <f>2872.9+(11.4-321.9)+(-4.395537+(-0.017442--0.492507))+0-81.3--0.124389000000005</f>
        <v>2477.3039170000002</v>
      </c>
      <c r="Z154" s="3">
        <f>3299.5+(0-465.9)+(-6.73098+(0--0.950436))+0-88.8--0.181151999999996</f>
        <v>2739.2006079999996</v>
      </c>
      <c r="AA154" s="3">
        <f>3315.9+(8.7-526.8)+(-3.382218+(-0.008874--0.537336))+0-44.5--0.0453900000000071</f>
        <v>2750.4916340000004</v>
      </c>
      <c r="AB154" s="3">
        <f>3315.4+(51.2-548.1)+(-6.763416+(-0.104448--1.118124))+0-93.9--0.191555999999996</f>
        <v>2719.0418159999999</v>
      </c>
      <c r="AC154" s="3">
        <f>3341.2+(70-612.5)+(0+(0-0))+0-88.3-0</f>
        <v>2710.3999999999996</v>
      </c>
      <c r="AD154" s="2">
        <v>2567.1999999999998</v>
      </c>
      <c r="AE154" s="3">
        <f>3311+(3.6-526.9)+(0+(0-0))+0-73.9-0</f>
        <v>2713.7999999999997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3213.8+(101.3-646.8)+(1.639038+(0.051663-0.329868))+0-62.6-0.0319259999999936</f>
        <v>2607.0289070000003</v>
      </c>
      <c r="G155" s="3">
        <f>3098.5+(130.9-644)+(1.580235+(0.066759-0.32844))+0-85.1-0.0434009999999914</f>
        <v>2501.5751530000002</v>
      </c>
      <c r="H155" s="3">
        <f>2862.4+(137.4-539.3)+(0+(0-0))+0-78.7-0</f>
        <v>2381.8000000000002</v>
      </c>
      <c r="I155" s="3">
        <f>2781.7+(136.6-495)+(0+(0-0))+0-88-0</f>
        <v>2335.2999999999997</v>
      </c>
      <c r="J155" s="3">
        <f>2595.4+(138.1-432.2)+(-5.294616+(-0.281724--0.881688))+0-78.5--0.160139999999997</f>
        <v>2218.265488</v>
      </c>
      <c r="K155" s="3">
        <f>2596.8+(137-474.1)+(-5.297472+(-0.27948--0.967164))+0-86.7--0.176867999999996</f>
        <v>2168.5670800000003</v>
      </c>
      <c r="L155" s="3">
        <f>2464.2+(137.8-409.1)+(-10.053936+(-0.562224--1.669128))+0-88.2--0.359855999999992</f>
        <v>2096.1128239999998</v>
      </c>
      <c r="M155" s="3">
        <f>2524.7+(111.1-381.6)+(2.575194+(0.113322-0.389232))+0-72.5-0.0739500000000116</f>
        <v>2183.925334</v>
      </c>
      <c r="N155" s="3">
        <f>2787.4+(38.5-351.7)+(2.843148+(0.03927-0.358734))+0-81.3-0.082926000000013</f>
        <v>2395.3407579999998</v>
      </c>
      <c r="O155" s="3">
        <f>2920.5+(9-315)+(1.489455+(0.00459-0.16065))+0-91.8-0.0468179999999907</f>
        <v>2523.9865770000001</v>
      </c>
      <c r="P155" s="3">
        <f>3231.5+(0-411.7)+(1.648065+(0-0.209967))+0-88.4-0.045083999999991</f>
        <v>2732.7930140000003</v>
      </c>
      <c r="Q155" s="3">
        <f>3453.7+(22.3-483.9)+(5.284161+(0.034119-0.740367))+0-90-0.137700000000005</f>
        <v>2906.5402129999998</v>
      </c>
      <c r="R155" s="3">
        <f>3424.3+(49.1-431)+(-1.746393+(-0.025041--0.21981))+0-83.3--0.0424829999999915</f>
        <v>2957.5908589999999</v>
      </c>
      <c r="S155" s="3">
        <f>3413.7+(33.1-436.2)+(-3.481974+(-0.033762--0.444924))+0-91.5--0.0933300000000146</f>
        <v>2916.1225180000001</v>
      </c>
      <c r="T155" s="3">
        <f>3376+(36-429.9)+(-5.16528+(-0.05508--0.657747))+0-87.7--0.134181000000005</f>
        <v>2889.9715679999999</v>
      </c>
      <c r="U155" s="3">
        <f>3355.4+(28.6-442.5)+(1.711254+(0.014586-0.225675))+0-64.5-0.0328949999999935</f>
        <v>2878.4672700000001</v>
      </c>
      <c r="V155" s="3">
        <f>3366.9+(26.1-445.3)+(-1.717119+(-0.013311--0.227103))+0-80.8--0.0412079999999918</f>
        <v>2865.4378810000003</v>
      </c>
      <c r="W155" s="3">
        <f>3335.4+(24-413.9)+(-1.701054+(-0.01224--0.211089))+0-85.6--0.0436559999999913</f>
        <v>2858.4414510000001</v>
      </c>
      <c r="X155" s="3">
        <f>3200.7+(23-354.6)+(-4.897071+(-0.03519--0.542538))+0-82.4--0.126072000000005</f>
        <v>2782.4363490000001</v>
      </c>
      <c r="Y155" s="3">
        <f>3048.1+(38-190.2)+(-3.109062+(-0.03876--0.194004))+0-86.6--0.0883320000000138</f>
        <v>2806.434514</v>
      </c>
      <c r="Z155" s="3">
        <f>3503.9+(28-360.3)+(1.786989+(0.01428-0.183753))+0-81.1-0.0413609999999918</f>
        <v>3092.0761549999997</v>
      </c>
      <c r="AA155" s="3">
        <f>3507.8+(27-375.9)+(-7.155912+(-0.05508--0.766836))+0-88.2--0.179927999999996</f>
        <v>3064.4357720000003</v>
      </c>
      <c r="AB155" s="3">
        <f>3524+(63.3-443.8)+(1.79724+(0.032283-0.226338))+0-96.9-0.0494189999999902</f>
        <v>3048.1537659999999</v>
      </c>
      <c r="AC155" s="3">
        <f>3337.4+(101.5-419.3)+(3.404148+(0.10353-0.427686))+0-86.8-0.0885360000000138</f>
        <v>2935.7914559999995</v>
      </c>
      <c r="AD155" s="2">
        <v>2815.0999999999995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3328.9+(80.9-558)+(-3.395478+(-0.082518--0.56916))+0-84.6--0.0862920000000135</f>
        <v>2764.3774560000002</v>
      </c>
      <c r="G156" s="3">
        <f>3164.9+(121.5-567.8)+(-1.614099+(-0.061965--0.289578))+0-82.1--0.0418709999999917</f>
        <v>2635.1553850000005</v>
      </c>
      <c r="H156" s="3">
        <f>2971.5+(134.9-573.4)+(-6.06186+(-0.275196--1.169736))+0-78.4--0.159935999999997</f>
        <v>2449.5926159999999</v>
      </c>
      <c r="I156" s="3">
        <f>2854.3+(136.4-532.2)+(1.455693+(0.069564-0.271422))+0-89.5-0.0456449999999909</f>
        <v>2370.2081899999998</v>
      </c>
      <c r="J156" s="3">
        <f>2869.8+(135.7-523.1)+(8.781588+(0.415242-1.600686))+0-98.4-0.301104000000011</f>
        <v>2391.29504</v>
      </c>
      <c r="K156" s="3">
        <f>2851.2+(137-554.2)+(1.454112+(0.06987-0.282642))+0-91.2-0.0465119999999907</f>
        <v>2343.9948280000003</v>
      </c>
      <c r="L156" s="3">
        <f>2825.5+(134.7-547.1)+(-5.76402+(-0.274788--1.116084))+0-87--0.177479999999996</f>
        <v>2321.3547559999997</v>
      </c>
      <c r="M156" s="3">
        <f>2812.8+(134.3-513.6)+(-1.434528+(-0.068493--0.261936))+0-36.9--0.0188189999999963</f>
        <v>2395.3777339999997</v>
      </c>
      <c r="N156" s="3">
        <f>3192.2+(98.5-616.5)+(3.256044+(0.10047-0.62883))+0-24.5-0.0249900000000039</f>
        <v>2652.4026939999999</v>
      </c>
      <c r="O156" s="3">
        <f>3396.8+(76.9-618.4)+(0+(0-0))+0-20.6-0</f>
        <v>2834.7000000000003</v>
      </c>
      <c r="P156" s="3">
        <f>3537.4+(31.4-569.6)+(0+(0-0))+0-20.5-0</f>
        <v>2978.7</v>
      </c>
      <c r="Q156" s="3">
        <f>3572.6+(14.4-531.9)+(-3.644052+(-0.014688--0.542538))+0-20.7--0.0211140000000033</f>
        <v>3031.3049120000001</v>
      </c>
      <c r="R156" s="3">
        <f>3517.2+(11.8-474.1)+(-3.587544+(-0.012036--0.483582))+0-21.8--0.0222360000000035</f>
        <v>3030.006237999999</v>
      </c>
      <c r="S156" s="3">
        <f>3450.6+(4.6-481.6)+(-3.519612+(-0.004692--0.491232))+0-22.6--0.0230520000000036</f>
        <v>2947.9899799999998</v>
      </c>
      <c r="T156" s="3">
        <f>3465.2+(0-499.1)+(0+(0-0))+0-23.1-0</f>
        <v>2943</v>
      </c>
      <c r="U156" s="3">
        <f>3475.1+(0-520.5)+(1.772301+(0-0.265455))+0-24.4-0.0124439999999975</f>
        <v>2931.6944020000001</v>
      </c>
      <c r="V156" s="3">
        <f>3454.7+(13.2-514.3)+(-8.809485+(-0.03366--1.311465))+0-28.1--0.0716549999999959</f>
        <v>2918.0399750000001</v>
      </c>
      <c r="W156" s="3">
        <f>3459.6+(9.8-486.3)+(-7.057584+(-0.019992--0.992052))+0-68.9--0.140555999999997</f>
        <v>2908.2550319999996</v>
      </c>
      <c r="X156" s="3">
        <f>3299+(6.5-399.9)+(-6.72996+(-0.01326--0.815796))+0-73.7--0.150347999999997</f>
        <v>2826.1229240000002</v>
      </c>
      <c r="Y156" s="3">
        <f>3206.8+(6.2-287.2)+(-1.635468+(-0.003162--0.146472))+0-92.7--0.0472769999999906</f>
        <v>2831.6551190000005</v>
      </c>
      <c r="Z156" s="3">
        <f>3584+(0-452.2)+(0+(0-0))+0-95.2-0</f>
        <v>3036.6000000000004</v>
      </c>
      <c r="AA156" s="3">
        <f>3597+(0-490.1)+(-9.17235+(0--1.249755))+0-82.5--0.210374999999988</f>
        <v>3016.6877800000002</v>
      </c>
      <c r="AB156" s="3">
        <f>3439.9+(40.4-450.3)+(-7.017396+(-0.082416--0.918612))+0-85.7--0.174827999999996</f>
        <v>2938.2936280000004</v>
      </c>
      <c r="AC156" s="3">
        <f>3351+(116.1-502)+(-3.41802+(-0.118422--0.51204))+0-81.1--0.0827220000000129</f>
        <v>2881.0583200000001</v>
      </c>
      <c r="AD156" s="2">
        <v>2779.2999999999997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3349.1+(136-612.5)+(0+(0-0))+0-87.3-0</f>
        <v>2785.2999999999997</v>
      </c>
      <c r="G157" s="3">
        <f>3152.7+(135.4-563.9)+(1.607877+(0.069054-0.287589))+0-95.1-0.0485009999999904</f>
        <v>2630.4408409999996</v>
      </c>
      <c r="H157" s="3">
        <f>3102.8+(136.6-607.8)+(6.329712+(0.278664-1.239912))+0-91.6-0.186863999999996</f>
        <v>2545.1816000000008</v>
      </c>
      <c r="I157" s="3">
        <f>3017.5+(136-580)+(-1.538925+(-0.06936--0.2958))+0-71--0.0362099999999928</f>
        <v>2501.2237250000003</v>
      </c>
      <c r="J157" s="3">
        <f>2884.8+(136.6-496.8)+(-2.942496+(-0.139332--0.506736))+0-82.1--0.0837420000000131</f>
        <v>2440.0086500000002</v>
      </c>
      <c r="K157" s="3">
        <f>2843+(136.5-506.1)+(-4.34979+(-0.208845--0.774333))+0-100--0.153000000000006</f>
        <v>2369.7686979999999</v>
      </c>
      <c r="L157" s="3">
        <f>2790.7+(139.1-516.8)+(-9.962799+(-0.496587--1.844976))+0-86.5--0.308805000000001</f>
        <v>2318.194395</v>
      </c>
      <c r="M157" s="3">
        <f>2843.6+(135.7-511.3)+(-1.450236+(-0.069207--0.260763))+0-53.4--0.0272339999999946</f>
        <v>2413.3685540000001</v>
      </c>
      <c r="N157" s="3">
        <f>3148.2+(74.2-517.5)+(4.816746+(0.113526-0.791775))+0-88.6-0.135558000000005</f>
        <v>2620.3029389999997</v>
      </c>
      <c r="O157" s="3">
        <f>3290.5+(49.2-489.7)+(-3.35631+(-0.050184--0.499494))+0-95.5--0.0974100000000152</f>
        <v>2751.6904099999997</v>
      </c>
      <c r="P157" s="3">
        <f>3461.7+(20.5-525.3)+(-1.765467+(-0.010455--0.267903))+0-83.6--0.0426359999999915</f>
        <v>2871.834617</v>
      </c>
      <c r="Q157" s="3">
        <f>3594.2+(11.9-493)+(1.833042+(0.006069-0.25143))+0-86.8-0.0442679999999912</f>
        <v>3027.8434129999996</v>
      </c>
      <c r="R157" s="3">
        <f>3632.6+(4-450)+(1.852626+(0.00204-0.2295))+0-89-0.045389999999991</f>
        <v>3099.1797759999999</v>
      </c>
      <c r="S157" s="3">
        <f>3623.6+(1-450)+(3.696072+(0.00102-0.459))+0-81.7-0.083334000000013</f>
        <v>3096.0547580000002</v>
      </c>
      <c r="T157" s="3">
        <f>3605.2+(0-442.5)+(-7.354608+(0--0.9027))+0-86.5--0.176459999999996</f>
        <v>3069.9245519999999</v>
      </c>
      <c r="U157" s="3">
        <f>3603.4+(2-472)+(-3.675468+(-0.00204--0.48144))+0-45.5--0.0464100000000073</f>
        <v>3084.7503419999998</v>
      </c>
      <c r="V157" s="3">
        <f>3611.2+(12.1-527.6)+(-1.841712+(-0.006171--0.269076))+0-69.7--0.0355469999999929</f>
        <v>3024.4567400000001</v>
      </c>
      <c r="W157" s="3">
        <f>3622.3+(20-576.4)+(-5.542119+(-0.0306--0.881892))+0-84--0.128520000000005</f>
        <v>2977.3376930000004</v>
      </c>
      <c r="X157" s="3">
        <f>3445.5+(31.6-551.2)+(-10.54323+(-0.096696--1.686672))+0-72.5--0.221850000000008</f>
        <v>2844.668596</v>
      </c>
      <c r="Y157" s="3">
        <f>3385.1+(6.1-421.7)+(0+(0-0))+0-87.1-0</f>
        <v>2882.4</v>
      </c>
      <c r="Z157" s="3">
        <f>3614.2+(0-432.3)+(1.843242+(0-0.220473))+0-83.3-0.0424829999999915</f>
        <v>3100.1802859999993</v>
      </c>
      <c r="AA157" s="3">
        <f>3614.2+(14.1-428.5)+(-5.529726+(-0.021573--0.655605))+0-89.9--0.137547000000005</f>
        <v>3105.1418529999996</v>
      </c>
      <c r="AB157" s="3">
        <f>3506.2+(57.9-452.7)+(-3.576324+(-0.059058--0.461754))+0-71.3--0.0727260000000114</f>
        <v>3036.9990979999993</v>
      </c>
      <c r="AC157" s="3">
        <f>3211.4+(126.7-358.2)+(-3.275628+(-0.129234--0.365364))+0-58.3--0.0594660000000093</f>
        <v>2918.619968</v>
      </c>
      <c r="AD157" s="2">
        <v>2719.3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2963.6+(137.4-278.6)+(0+(0-0))+0-84.8-0</f>
        <v>2737.6</v>
      </c>
      <c r="G158" s="3">
        <f>2915.8+(137.3-318.2)+(-4.461174+(-0.210069--0.486846))+0-81.5--0.124695000000005</f>
        <v>2649.3402980000001</v>
      </c>
      <c r="H158" s="3">
        <f>2874.9+(137.6-343.2)+(-4.398597+(-0.210528--0.525096))+0-95.7--0.146421000000006</f>
        <v>2569.6623920000002</v>
      </c>
      <c r="I158" s="3">
        <f>2745.8+(137.3-292)+(-5.601432+(-0.280092--0.59568))+0-87.8--0.179111999999996</f>
        <v>2498.193268</v>
      </c>
      <c r="J158" s="3">
        <f>2673.8+(136.5-331.8)+(-6.81819+(-0.348075--0.84609))+0-48.4--0.123419999999993</f>
        <v>2423.903245</v>
      </c>
      <c r="K158" s="3">
        <f>2634+(135.6-338.9)+(-1.34334+(-0.069156--0.172839))+0-84.2--0.0429419999999915</f>
        <v>2345.303285</v>
      </c>
      <c r="L158" s="3">
        <f>2535.7+(136.1-311.7)+(0+(0-0))+0-80.3-0</f>
        <v>2279.7999999999997</v>
      </c>
      <c r="M158" s="3">
        <f>2470.3+(134.9-236.6)+(-3.779559+(-0.206397--0.361998))+0-82--0.125460000000005</f>
        <v>2283.1015020000004</v>
      </c>
      <c r="N158" s="3">
        <f>2557.3+(134.8-244)+(0+(0-0))+0-88.6-0</f>
        <v>2359.5000000000005</v>
      </c>
      <c r="O158" s="3">
        <f>2543.5+(135.5-214.7)+(1.297185+(0.069105-0.109497))+0-77.1-0.0393209999999922</f>
        <v>2388.4174720000001</v>
      </c>
      <c r="P158" s="3">
        <f>2747.5+(117.4-264.4)+(-2.80245+(-0.119748--0.269688))+0-84--0.0856800000000134</f>
        <v>2513.9331700000002</v>
      </c>
      <c r="Q158" s="3">
        <f>3160.3+(111.7-432.8)+(-1.611753+(-0.056967--0.220728))+0-95.4--0.0486539999999903</f>
        <v>2742.4006620000005</v>
      </c>
      <c r="R158" s="3">
        <f>3206.7+(104.2-403.8)+(-1.635417+(-0.053142--0.205938))+0-73.7--0.0375869999999925</f>
        <v>2831.9549659999998</v>
      </c>
      <c r="S158" s="3">
        <f>3128.5+(94.3-361.3)+(-3.19107+(-0.096186--0.368526))+0-68.4--0.0697680000000109</f>
        <v>2790.2510379999999</v>
      </c>
      <c r="T158" s="3">
        <f>3102.6+(102.2-352.6)+(-3.164652+(-0.104244--0.359652))+0-84.3--0.0859860000000134</f>
        <v>2765.0767419999997</v>
      </c>
      <c r="U158" s="3">
        <f>3122.4+(97.8-362.1)+(7.96212+(0.24939-0.923355))+0-94.7-0.241484999999986</f>
        <v>2770.4466700000003</v>
      </c>
      <c r="V158" s="3">
        <f>3112.5+(67.1-371.5)+(1.587375+(0.034221-0.189465))+0-77-0.0392699999999922</f>
        <v>2732.4928609999997</v>
      </c>
      <c r="W158" s="3">
        <f>3111.6+(64.9-408.7)+(-3.173832+(-0.066198--0.416874))+0-88.8--0.0905760000000142</f>
        <v>2676.2674200000001</v>
      </c>
      <c r="X158" s="3">
        <f>3015+(68.9-415.7)+(1.53765+(0.035139-0.212007))+0-81.9-0.0417689999999917</f>
        <v>2587.619013</v>
      </c>
      <c r="Y158" s="3">
        <f>3127.7+(39-416.6)+(1.595127+(0.01989-0.212466))+0-87.1-0.0444209999999912</f>
        <v>2664.3581300000001</v>
      </c>
      <c r="Z158" s="3">
        <f>3540.5+(5-542.9)+(0+(0-0))+0-84-0</f>
        <v>2918.6</v>
      </c>
      <c r="AA158" s="3">
        <f>3438.4+(43.6-481.8)+(-10.521504+(-0.133416--1.474308))+0-96--0.293760000000011</f>
        <v>2895.3131480000002</v>
      </c>
      <c r="AB158" s="3">
        <f>3336.9+(117.8-498.1)+(-6.807276+(-0.240312--1.016124))+0-90.3--0.184211999999996</f>
        <v>2860.4527479999997</v>
      </c>
      <c r="AC158" s="3">
        <f>3152.7+(142.7-412.6)+(-1.607877+(-0.072777--0.210426))+0-84.5--0.0430949999999914</f>
        <v>2796.8728669999996</v>
      </c>
      <c r="AD158" s="2">
        <v>2574.7000000000003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3026.8+(143.2-438.5)+(3.087336+(0.146064-0.44727))+0-59.1-0.0602820000000094</f>
        <v>2675.1258480000001</v>
      </c>
      <c r="G159" s="3">
        <f>2803+(141.5-369.6)+(-4.28859+(-0.216495--0.565488))+0-70.2--0.107406000000004</f>
        <v>2500.8678090000003</v>
      </c>
      <c r="H159" s="3">
        <f>2745.4+(140.4-402.1)+(0+(0-0))+0-96.2-0</f>
        <v>2387.5</v>
      </c>
      <c r="I159" s="3">
        <f>2645+(140.4-384.9)+(-5.3958+(-0.286416--0.785196))+0-84.6--0.172583999999996</f>
        <v>2311.1755640000001</v>
      </c>
      <c r="J159" s="3">
        <f>2652.2+(141.4-433.5)+(-5.410488+(-0.288456--0.88434))+0-79.3--0.161771999999997</f>
        <v>2276.1471679999995</v>
      </c>
      <c r="K159" s="3">
        <f>2702.7+(141.8-486.7)+(1.378377+(0.072318-0.248217))+0-76.9-0.0392189999999922</f>
        <v>2282.063259</v>
      </c>
      <c r="L159" s="3">
        <f>2557.8+(142.1-423)+(-2.608956+(-0.144942--0.43146))+0-91.6--0.0934320000000146</f>
        <v>2183.0709940000002</v>
      </c>
      <c r="M159" s="3">
        <f>2654.4+(141.3-426.8)+(5.414976+(0.288252-0.870672))+0-76-0.155039999999997</f>
        <v>2297.5775159999998</v>
      </c>
      <c r="N159" s="3">
        <f>2921.3+(140.5-451.1)+(1.489863+(0.071655-0.230061))+0-89-0.045389999999991</f>
        <v>2522.9860670000003</v>
      </c>
      <c r="O159" s="3">
        <f>3028.2+(139.3-436.5)+(3.088764+(0.142086-0.44523))+0-83.9-0.0855780000000134</f>
        <v>2649.8000419999998</v>
      </c>
      <c r="P159" s="3">
        <f>3282.9+(125.2-503.5)+(1.674279+(0.063852-0.256785))+0-100.1-0.0510509999999898</f>
        <v>2805.9302950000001</v>
      </c>
      <c r="Q159" s="3">
        <f>3473.5+(112.7-591.1)+(5.314455+(0.172431-0.904383))+0-75.8-0.115974000000004</f>
        <v>2923.766529</v>
      </c>
      <c r="R159" s="3">
        <f>3518.3+(108.7-592.7)+(-5.382999+(-0.166311--0.906831))+0-76.5--0.117045000000004</f>
        <v>2953.274566</v>
      </c>
      <c r="S159" s="3">
        <f>3565.1+(105.7-615.4)+(-3.636402+(-0.107814--0.627708))+0-91.5--0.0933300000000146</f>
        <v>2960.8768220000002</v>
      </c>
      <c r="T159" s="3">
        <f>3527+(90-614.7)+(1.79877+(0.0459-0.313497))+0-98-0.0499799999999901</f>
        <v>2905.7811930000003</v>
      </c>
      <c r="U159" s="3">
        <f>3526.8+(89-602.4)+(1.798668+(0.04539-0.307224))+0-102.8-0.0524279999999896</f>
        <v>2912.0844059999999</v>
      </c>
      <c r="V159" s="3">
        <f>3469.5+(85.1-609.2)+(-7.07778+(-0.173604--1.242768))+0-75.8--0.154631999999997</f>
        <v>2863.7460160000001</v>
      </c>
      <c r="W159" s="3">
        <f>3356.5+(84.7-568.9)+(-5.135445+(-0.129591--0.870417))+0-89--0.136170000000005</f>
        <v>2779.0415510000003</v>
      </c>
      <c r="X159" s="3">
        <f>3183.8+(112.2-528.7)+(-4.871214+(-0.171666--0.808911))+0-73--0.111690000000004</f>
        <v>2690.1777210000005</v>
      </c>
      <c r="Y159" s="3">
        <f>3183.2+(28.3-379.4)+(-1.623432+(-0.014433--0.193494))+0-90.6--0.0462059999999908</f>
        <v>2740.1018349999999</v>
      </c>
      <c r="Z159" s="3">
        <f>3577.8+(0-568.6)+(0+(0-0))+0-96.8-0</f>
        <v>2912.4</v>
      </c>
      <c r="AA159" s="3">
        <f>3548.9+(23.8-591.7)+(-9.049695+(-0.06069--1.508835))+0-90--0.229499999999987</f>
        <v>2883.6279500000001</v>
      </c>
      <c r="AB159" s="3">
        <f>3475.1+(54.2-598)+(-8.861505+(-0.13821--1.5249))+0-78.8--0.200939999999989</f>
        <v>2845.2261250000001</v>
      </c>
      <c r="AC159" s="3">
        <f>3235.4+(126.8-544.7)+(-8.25027+(-0.32334--1.388985))+0-55.3--0.141014999999992</f>
        <v>2755.1563900000001</v>
      </c>
      <c r="AD159" s="2">
        <v>2616.3000000000002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3019.3+(141.2-492.8)+(-1.539843+(-0.072012--0.251328))+0-88.4--0.045083999999991</f>
        <v>2577.9845570000002</v>
      </c>
      <c r="G160" s="3">
        <f>2990.1+(141.6-575.2)+(6.099804+(0.288864-1.173408))+0-78.5-0.160139999999997</f>
        <v>2483.05512</v>
      </c>
      <c r="H160" s="3">
        <f>2870.8+(141.6-550.1)+(-4.392324+(-0.216648--0.841653))+0-72.4--0.110772000000004</f>
        <v>2386.243453</v>
      </c>
      <c r="I160" s="3">
        <f>2831.3+(141.3-522.5)+(2.887926+(0.144126-0.53295))+0-85.1-0.0868020000000136</f>
        <v>2367.4123000000009</v>
      </c>
      <c r="J160" s="3">
        <f>2655.3+(140.8-444.2)+(-5.416812+(-0.287232--0.906168))+0-86.5--0.176459999999996</f>
        <v>2260.7785840000001</v>
      </c>
      <c r="K160" s="3">
        <f>2527.2+(141.6-396.5)+(-1.288872+(-0.072216--0.202215))+0-89.5--0.0456449999999909</f>
        <v>2181.686772</v>
      </c>
      <c r="L160" s="3">
        <f>2494.5+(142-408.6)+(-6.360975+(-0.3621--1.04193))+0-84.8--0.216239999999988</f>
        <v>2137.6350950000001</v>
      </c>
      <c r="M160" s="3">
        <f>2612.4+(141.1-361.2)+(0+(0-0))+0-100.9-0</f>
        <v>2291.4</v>
      </c>
      <c r="N160" s="3">
        <f>2660.1+(139.9-322.3)+(1.356651+(0.071349-0.164373))+0-75.1-0.0383009999999924</f>
        <v>2403.8253259999997</v>
      </c>
      <c r="O160" s="3">
        <f>2918.6+(100-448.2)+(1.488486+(0.051-0.228582))+0-70-0.0356999999999929</f>
        <v>2501.6752040000001</v>
      </c>
      <c r="P160" s="3">
        <f>3306.1+(90-517.6)+(-1.686111+(-0.0459--0.263976))+0-69--0.035189999999993</f>
        <v>2808.0671550000002</v>
      </c>
      <c r="Q160" s="3">
        <f>3370.6+(77.3-550.9)+(3.438012+(0.078846-0.561918))+0-69.2-0.070584000000011</f>
        <v>2830.6843560000002</v>
      </c>
      <c r="R160" s="3">
        <f>3345.5+(66.6-494.2)+(-1.706205+(-0.033966--0.252042))+0-86.2--0.0439619999999913</f>
        <v>2830.2558330000006</v>
      </c>
      <c r="S160" s="3">
        <f>3318.2+(104.9-530.5)+(-3.384564+(-0.106998--0.54111))+0-74.4--0.0758880000000119</f>
        <v>2815.3254359999996</v>
      </c>
      <c r="T160" s="3">
        <f>3421.1+(111.5-536.8)+(0+(0-0))+0-88.3-0</f>
        <v>2907.5</v>
      </c>
      <c r="U160" s="3">
        <f>3338.2+(97.5-536.4)+(1.702482+(0.049725-0.273564))+0-97.7-0.0498269999999901</f>
        <v>2803.028816</v>
      </c>
      <c r="V160" s="3">
        <f>3350+(100-556.3)+(-1.7085+(-0.051--0.283713))+0-85.4--0.0435539999999913</f>
        <v>2806.8677669999997</v>
      </c>
      <c r="W160" s="3">
        <f>3327.6+(106.9-557.3)+(-3.394152+(-0.109038--0.568446))+0-89.8--0.0915960000000143</f>
        <v>2784.5568519999997</v>
      </c>
      <c r="X160" s="3">
        <f>3082+(104.2-471.2)+(3.14364+(0.106284-0.480624))+0-87.6-0.089352000000014</f>
        <v>2630.0799480000001</v>
      </c>
      <c r="Y160" s="3">
        <f>3228.1+(24.2-433.6)+(1.646331+(0.012342-0.221136))+0-77.7-0.0396269999999921</f>
        <v>2742.3979099999997</v>
      </c>
      <c r="Z160" s="3">
        <f>3671.6+(0-628.3)+(-3.745032+(0--0.640866))+0-66.3--0.0676260000000106</f>
        <v>2973.9634599999999</v>
      </c>
      <c r="AA160" s="3">
        <f>3555.9+(22.9-595.1)+(-5.440527+(-0.035037--0.910503))+0-78.5--0.120105000000005</f>
        <v>2900.755044</v>
      </c>
      <c r="AB160" s="3">
        <f>3286.4+(70.6-487.1)+(-5.028192+(-0.108018--0.745263))+0-86.4--0.132192000000005</f>
        <v>2779.2412450000002</v>
      </c>
      <c r="AC160" s="3">
        <f>2988.2+(128.1-420.7)+(-7.61991+(-0.326655--1.072785))+0-63.2--0.161159999999991</f>
        <v>2625.6873800000003</v>
      </c>
      <c r="AD160" s="2">
        <v>2676.2999999999997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3037.4+(143-512.9)+(0+(0-0))+0-80.5-0</f>
        <v>2587</v>
      </c>
      <c r="G161" s="3">
        <f>2914.3+(142.4-523.7)+(-1.486293+(-0.072624--0.267087))+0-89.4--0.0455939999999909</f>
        <v>2442.353764</v>
      </c>
      <c r="H161" s="3">
        <f>2724.3+(143-443.5)+(0+(0-0))+0-93.5-0</f>
        <v>2330.3000000000002</v>
      </c>
      <c r="I161" s="3">
        <f>2598.3+(144-448.3)+(-5.300532+(-0.29376--0.914532))+0-28.3--0.0577319999999988</f>
        <v>2261.077972</v>
      </c>
      <c r="J161" s="3">
        <f>2622.6+(142.7-469.6)+(0+(0-0))+0-67.6-0</f>
        <v>2228.1</v>
      </c>
      <c r="K161" s="3">
        <f>2601.8+(143.5-483.6)+(-6.63459+(-0.365925--1.23318))+0-78.9--0.201194999999989</f>
        <v>2177.2338600000003</v>
      </c>
      <c r="L161" s="3">
        <f>2511.4+(142.7-451.1)+(-6.40407+(-0.363885--1.150305))+0-76.4--0.194819999999989</f>
        <v>2121.1771699999999</v>
      </c>
      <c r="M161" s="3">
        <f>2599.7+(142.1-440.2)+(1.325847+(0.072471-0.224502))+0-57.4-0.0292739999999942</f>
        <v>2245.3445419999998</v>
      </c>
      <c r="N161" s="3">
        <f>2841.1+(125.8-472.1)+(0+(0-0))+0-45.6-0</f>
        <v>2449.1999999999998</v>
      </c>
      <c r="O161" s="3">
        <f>3072.8+(98.3-563)+(3.134256+(0.100266-0.57426))+0-36.4-0.0371280000000058</f>
        <v>2574.3231340000002</v>
      </c>
      <c r="P161" s="3">
        <f>3289.9+(59.2-544.4)+(0+(0-0))+0-90.9-0</f>
        <v>2713.8</v>
      </c>
      <c r="Q161" s="3">
        <f>3519.6+(26.5-617.1)+(1.794996+(0.013515-0.314721))+0-77.7-0.0396269999999921</f>
        <v>2852.7541630000001</v>
      </c>
      <c r="R161" s="3">
        <f>3521.6+(11.4-604.2)+(-3.592032+(-0.011628--0.616284))+0-86.4--0.0881280000000138</f>
        <v>2839.5007519999995</v>
      </c>
      <c r="S161" s="3">
        <f>3511.5+(26.5-651)+(-1.790865+(-0.013515--0.33201))+0-84.8--0.0432479999999914</f>
        <v>2800.7708779999998</v>
      </c>
      <c r="T161" s="3">
        <f>3488.2+(46.2-706.5)+(-3.557964+(-0.047124--0.72063))+0-73.2--0.0746640000000117</f>
        <v>2751.890206</v>
      </c>
      <c r="U161" s="3">
        <f>3489.3+(31.2-706.3)+(5.338629+(0.047736-1.080639))+0-87.2-0.133416000000005</f>
        <v>2731.1723100000004</v>
      </c>
      <c r="V161" s="3">
        <f>3451.7+(19.9-695)+(0+(0-0))+0-87.2-0</f>
        <v>2689.4</v>
      </c>
      <c r="W161" s="3">
        <f>3422.9+(31.9-677.8)+(-5.237037+(-0.048807--1.037034))+0-87.2--0.133416000000005</f>
        <v>2685.6846060000003</v>
      </c>
      <c r="X161" s="3">
        <f>3322.7+(62.8-681.9)+(-11.862039+(-0.224196--2.434383))+0-47.2--0.168504000000001</f>
        <v>2646.9166520000003</v>
      </c>
      <c r="Y161" s="3">
        <f>3400+(14.7-572.1)+(0+(0-0))+0-92.1-0</f>
        <v>2750.5</v>
      </c>
      <c r="Z161" s="3">
        <f>3601.5+(0-648.9)+(1.836765+(0-0.330939))+0-82.6-0.0421259999999916</f>
        <v>2871.4637000000002</v>
      </c>
      <c r="AA161" s="3">
        <f>3575.4+(15.6-643.2)+(-7.293816+(-0.031824--1.312128))+0-82.2--0.167687999999996</f>
        <v>2859.7541760000004</v>
      </c>
      <c r="AB161" s="3">
        <f>3508.9+(85.4-660.5)+(0+(0-0))+0-92-0</f>
        <v>2841.8</v>
      </c>
      <c r="AC161" s="3">
        <f>3155.2+(127.3-520.5)+(-1.609152+(-0.064923--0.265455))+0-82.2--0.0419219999999917</f>
        <v>2678.4333019999999</v>
      </c>
      <c r="AD161" s="2">
        <v>2644.9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3087.4+(141.9-555.1)+(-3.149148+(-0.144738--0.566202))+0-90.1--0.0919020000000144</f>
        <v>2581.4642180000001</v>
      </c>
      <c r="G162" s="3">
        <f>2925.7+(141.5-529.5)+(-1.492107+(-0.072165--0.270045))+0-88.1--0.0449309999999911</f>
        <v>2448.350704</v>
      </c>
      <c r="H162" s="3">
        <f>2812.8+(139.3-538.1)+(-4.303584+(-0.213129--0.823293))+0-82.7--0.126531000000005</f>
        <v>2327.733111</v>
      </c>
      <c r="I162" s="3">
        <f>2683+(140.1-478.4)+(-1.36833+(-0.071451--0.243984))+0-81.2--0.0414119999999918</f>
        <v>2262.3456150000002</v>
      </c>
      <c r="J162" s="3">
        <f>2712.3+(141-487.1)+(4.149819+(0.21573-0.745263))+0-72.8-0.111384000000004</f>
        <v>2296.9089020000001</v>
      </c>
      <c r="K162" s="3">
        <f>2697.3+(141.3-570.5)+(4.126869+(0.216189-0.872865))+0-25.7-0.0393210000000015</f>
        <v>2245.8308720000005</v>
      </c>
      <c r="L162" s="3">
        <f>2643.8+(141-570.9)+(2.696676+(0.14382-0.582318))+0-24.1-0.0245820000000038</f>
        <v>2192.0335960000002</v>
      </c>
      <c r="M162" s="3">
        <f>2558+(139.5-395.1)+(0+(0-0))+0-67.2-0</f>
        <v>2235.2000000000003</v>
      </c>
      <c r="N162" s="3">
        <f>2802+(124.8-504.3)+(-4.28706+(-0.190944--0.771579))+0-25.3--0.0387090000000015</f>
        <v>2393.5322839999999</v>
      </c>
      <c r="O162" s="3">
        <f>3095.5+(50-539.9)+(1.578705+(0.0255-0.275349))+0-22.5-0.0114749999999977</f>
        <v>2584.4173810000002</v>
      </c>
      <c r="P162" s="3">
        <f>3410.7+(24.4-658.2)+(8.697285+(0.06222-1.67841))+0-19.6-0.0499799999999972</f>
        <v>2764.331115</v>
      </c>
      <c r="Q162" s="3">
        <f>3432.1+(26.8-622.8)+(1.750371+(0.013668-0.317628))+0-16-0.00815999999999838</f>
        <v>2821.5382509999999</v>
      </c>
      <c r="R162" s="3">
        <f>3539.3+(38.3-690.7)+(-1.805043+(-0.019533--0.352257))+0-17.7--0.0090269999999982</f>
        <v>2867.7367080000004</v>
      </c>
      <c r="S162" s="3">
        <f>3492.5+(45.1-714.3)+(0+(0-0))+0-19.7-0</f>
        <v>2803.6000000000004</v>
      </c>
      <c r="T162" s="3">
        <f>3441.1+(35-708.1)+(-1.754961+(-0.01785--0.361131))+0-21.7--0.0110669999999978</f>
        <v>2744.8993869999999</v>
      </c>
      <c r="U162" s="3">
        <f>3450.6+(47-736.4)+(-1.759806+(-0.02397--0.375564))+0-22.3--0.0113729999999977</f>
        <v>2737.5031609999996</v>
      </c>
      <c r="V162" s="3">
        <f>3443.9+(36.7-740.1)+(-3.512778+(-0.037434--0.754902))+0-37.3--0.0380460000000059</f>
        <v>2700.442736</v>
      </c>
      <c r="W162" s="3">
        <f>3454.9+(54.3-716.7)+(-1.761999+(-0.027693--0.365517))+0-93.1--0.0474809999999906</f>
        <v>2698.023306</v>
      </c>
      <c r="X162" s="3">
        <f>3314.3+(78.9-633.2)+(-5.070879+(-0.120717--0.968796))+0-87.5--0.133875000000005</f>
        <v>2668.411075</v>
      </c>
      <c r="Y162" s="3">
        <f>3372.8+(5.8-501.1)+(0+(0-0))+0-81.8-0</f>
        <v>2795.7</v>
      </c>
      <c r="Z162" s="3">
        <f>3621.4+(0-617.7)+(-3.693828+(0--0.630054))+0-76--0.0775200000000121</f>
        <v>2924.7137459999994</v>
      </c>
      <c r="AA162" s="3">
        <f>3595.5+(21.7-620.5)+(-1.833705+(-0.011067--0.316455))+0-85.9--0.0438089999999913</f>
        <v>2909.3154919999997</v>
      </c>
      <c r="AB162" s="3">
        <f>3508+(99.5-629.5)+(-1.78908+(-0.050745--0.321045))+0-96.6--0.0492659999999902</f>
        <v>2879.9304860000002</v>
      </c>
      <c r="AC162" s="3">
        <f>3314.8+(139.3-573.6)+(-5.071644+(-0.213129--0.877608))+0-79.4--0.121482000000005</f>
        <v>2796.8143169999998</v>
      </c>
      <c r="AD162" s="2">
        <v>2671.2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3105.7+(139.6-546.4)+(-3.167814+(-0.142392--0.557328))+0-48.4--0.0493680000000077</f>
        <v>2647.7964899999997</v>
      </c>
      <c r="G163" s="3">
        <f>2980+(140-538.4)+(-6.0792+(-0.2856--1.098336))+0-65--0.132599999999997</f>
        <v>2511.466136</v>
      </c>
      <c r="H163" s="3">
        <f>2833.6+(141.3-490.4)+(-4.335408+(-0.216189--0.750312))+0-67.5--0.103275000000004</f>
        <v>2413.3019899999999</v>
      </c>
      <c r="I163" s="3">
        <f>2715.6+(140.9-406)+(-6.92478+(-0.359295--1.0353))+0-98.8--0.251939999999986</f>
        <v>2345.7031649999999</v>
      </c>
      <c r="J163" s="3">
        <f>2769+(141.2-510)+(5.64876+(0.288048-1.0404))+0-82-0.167279999999996</f>
        <v>2322.9291279999998</v>
      </c>
      <c r="K163" s="3">
        <f>2734.7+(141.2-513.9)+(2.789394+(0.144024-0.524178))+0-75.6-0.077112000000012</f>
        <v>2288.7321280000001</v>
      </c>
      <c r="L163" s="3">
        <f>2555.2+(141.3-463.6)+(-3.909456+(-0.216189--0.709308))+0-80.3--0.122859000000005</f>
        <v>2149.3065219999994</v>
      </c>
      <c r="M163" s="3">
        <f>2658.8+(140.5-422.6)+(1.355988+(0.071655-0.215526))+0-94.5-0.0481949999999904</f>
        <v>2283.3639220000005</v>
      </c>
      <c r="N163" s="3">
        <f>2960.8+(141-487.6)+(0+(0-0))+0-66.4-0</f>
        <v>2547.8000000000002</v>
      </c>
      <c r="O163" s="3">
        <f>2967.2+(140.9-400.1)+(1.513272+(0.071859-0.204051))+0-88.2-0.0449819999999911</f>
        <v>2621.1360980000004</v>
      </c>
      <c r="P163" s="3">
        <f>3312.9+(113.3-505)+(1.689579+(0.057783-0.25755))+0-86.2-0.0439619999999913</f>
        <v>2836.4458500000001</v>
      </c>
      <c r="Q163" s="3">
        <f>3525.4+(108.3-592.8)+(5.393862+(0.165699-0.906984))+0-91-0.139230000000005</f>
        <v>2954.4133469999997</v>
      </c>
      <c r="R163" s="3">
        <f>3530.5+(79.7-579.7)+(3.60111+(0.081294-0.591294))+0-79.2-0.0807840000000126</f>
        <v>2954.3103259999998</v>
      </c>
      <c r="S163" s="3">
        <f>3549.9+(63.4-624)+(1.810449+(0.032334-0.31824))+0-86.1-0.0439109999999913</f>
        <v>2904.6806320000001</v>
      </c>
      <c r="T163" s="3">
        <f>3529.5+(52.6-632.7)+(0+(0-0))+0-85.4-0</f>
        <v>2864</v>
      </c>
      <c r="U163" s="3">
        <f>3512.7+(37.4-650.9)+(-1.791477+(-0.019074--0.331959))+0-66.2--0.0337619999999933</f>
        <v>2831.5551700000001</v>
      </c>
      <c r="V163" s="3">
        <f>3493.1+(31.8-632.3)+(-8.907405+(-0.08109--1.612365))+0-92.1--0.234854999999987</f>
        <v>2793.358725</v>
      </c>
      <c r="W163" s="3">
        <f>3487.1+(51.2-650.5)+(-10.670526+(-0.156672--1.99053))+0-75.7--0.231642000000009</f>
        <v>2803.4949740000006</v>
      </c>
      <c r="X163" s="3">
        <f>3326.5+(84.7-576.5)+(-5.089545+(-0.129591--0.882045))+0-64.3--0.0983790000000037</f>
        <v>2766.1612879999998</v>
      </c>
      <c r="Y163" s="3">
        <f>3368.5+(21.2-467.9)+(1.717935+(0.010812-0.238629))+0-71.3-0.0363629999999928</f>
        <v>2851.953755</v>
      </c>
      <c r="Z163" s="3">
        <f>3588.7+(0-542.7)+(-3.660474+(0--0.553554))+0-72.6--0.0740520000000116</f>
        <v>2970.3671319999999</v>
      </c>
      <c r="AA163" s="3">
        <f>3595.7+(24.9-579.2)+(-7.335228+(-0.050796--1.181568))+0-66.1--0.134843999999997</f>
        <v>2969.2303879999999</v>
      </c>
      <c r="AB163" s="3">
        <f>3531.9+(86.4-609.8)+(-5.403807+(-0.132192--0.932994))+0-80--0.122400000000005</f>
        <v>2924.0193950000003</v>
      </c>
      <c r="AC163" s="3">
        <f>3219.9+(130.6-472.3)+(4.926447+(0.199818-0.722619))+0-88.2-0.134946000000005</f>
        <v>2794.2687000000001</v>
      </c>
      <c r="AD163" s="2">
        <v>2730.5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3112.6+(141.2-503.7)+(-3.174852+(-0.144024--0.513774))+0-87.7--0.089454000000014</f>
        <v>2659.6843520000002</v>
      </c>
      <c r="G164" s="3">
        <f>2981.4+(140.5-581.2)+(1.520514+(0.071655-0.296412))+0-45.3-0.0231029999999954</f>
        <v>2496.6726539999995</v>
      </c>
      <c r="H164" s="3">
        <f>2968.3+(140.8-620.9)+(3.027666+(0.143616-0.633318))+0-84-0.0856800000000134</f>
        <v>2406.6522840000002</v>
      </c>
      <c r="I164" s="3">
        <f>2924.6+(141.2-627)+(-2.983092+(-0.144024--0.63954))+0-87.9--0.089658000000014</f>
        <v>2348.5020819999995</v>
      </c>
      <c r="J164" s="3">
        <f>2828.1+(136.9-529.3)+(8.653986+(0.418914-1.619658))+0-83.6-0.25581600000001</f>
        <v>2359.2974260000001</v>
      </c>
      <c r="K164" s="3">
        <f>2696.4+(101.9-470.2)+(5.500656+(0.207876-0.959208))+0-87.4-0.178295999999996</f>
        <v>2245.2710280000001</v>
      </c>
      <c r="L164" s="3">
        <f>2655.9+(103.1-509)+(2.709018+(0.105162-0.51918))+0-91.3-0.0931260000000146</f>
        <v>2160.9018739999997</v>
      </c>
      <c r="M164" s="3">
        <f>2882.1+(92.9-576.4)+(8.819226+(0.284274-1.763784))+0-82.1-0.25122600000001</f>
        <v>2323.5884900000001</v>
      </c>
      <c r="N164" s="3">
        <f>3020+(94-550.5)+(4.6206+(0.14382-0.842265))+0-74-0.113220000000004</f>
        <v>2493.308935</v>
      </c>
      <c r="O164" s="3">
        <f>3256.3+(79.7-560.5)+(0+(0-0))+0-86.6-0</f>
        <v>2688.9</v>
      </c>
      <c r="P164" s="3">
        <f>3472.8+(41.3-579.4)+(1.771128+(0.021063-0.295494))+0-64.5-0.0328949999999935</f>
        <v>2871.6638020000005</v>
      </c>
      <c r="Q164" s="3">
        <f>3485.7+(20.5-520.4)+(1.777707+(0.010455-0.265404))+0-82.9-0.0422789999999916</f>
        <v>2904.3804789999999</v>
      </c>
      <c r="R164" s="3">
        <f>3430.8+(11.4-465.6)+(-5.249124+(-0.017442--0.712368))+0-82--0.125460000000005</f>
        <v>2890.1712620000008</v>
      </c>
      <c r="S164" s="3">
        <f>3440.1+(1.5-503.5)+(-5.263353+(-0.002295--0.770355))+0-58.3--0.0891990000000034</f>
        <v>2875.3939059999998</v>
      </c>
      <c r="T164" s="3">
        <f>3552.6+(0-586.2)+(-1.811826+(0--0.298962))+0-82.5--0.0420749999999916</f>
        <v>2882.4292109999997</v>
      </c>
      <c r="U164" s="3">
        <f>3556.1+(0-586.7)+(0+(0-0))+0-79.6-0</f>
        <v>2889.7999999999997</v>
      </c>
      <c r="V164" s="3">
        <f>3539.3+(14.6-631.6)+(-1.805043+(-0.007446--0.322116))+0-62.9--0.0320789999999936</f>
        <v>2857.9417060000001</v>
      </c>
      <c r="W164" s="3">
        <f>3492.5+(20-580.6)+(0+(0-0))+0-89.1-0</f>
        <v>2842.8</v>
      </c>
      <c r="X164" s="3">
        <f>3378.7+(25.3-555.1)+(-5.169411+(-0.038709--0.849303))+0-72--0.110160000000004</f>
        <v>2772.651343</v>
      </c>
      <c r="Y164" s="3">
        <f>3503.7+(0-526.5)+(0+(0-0))+0-85.2-0</f>
        <v>2892</v>
      </c>
      <c r="Z164" s="3">
        <f>3669.3+(0-603.8)+(0+(0-0))+0-68.2-0</f>
        <v>2997.3</v>
      </c>
      <c r="AA164" s="3">
        <f>3640.8+(1.3-617.2)+(-5.570424+(-0.001989--0.944316))+0-78.8--0.120564000000005</f>
        <v>2941.5924669999999</v>
      </c>
      <c r="AB164" s="3">
        <f>3524.7+(59.6-634)+(-8.987985+(-0.15198--1.6167))+0-84.9--0.216494999999988</f>
        <v>2858.0932299999999</v>
      </c>
      <c r="AC164" s="3">
        <f>3358.8+(130-657.5)+(-3.425976+(-0.1326--0.67065))+0-73.6--0.0750720000000117</f>
        <v>2754.8871460000005</v>
      </c>
      <c r="AD164" s="2">
        <v>2683.1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3228+(142.9-642.4)+(-4.93884+(-0.218637--0.982872))+0-86.3--0.132039000000005</f>
        <v>2638.1574339999997</v>
      </c>
      <c r="G165" s="3">
        <f>3080.1+(142.9-640.9)+(-4.712553+(-0.218637--0.980577))+0-83.9--0.128367000000005</f>
        <v>2494.3777539999996</v>
      </c>
      <c r="H165" s="3">
        <f>2975.6+(142-607.8)+(-3.035112+(-0.14484--0.619956))+0-80.3--0.0819060000000128</f>
        <v>2427.0219099999999</v>
      </c>
      <c r="I165" s="3">
        <f>2912.7+(115.2-575.1)+(1.485477+(0.058752-0.293301))+0-82.7-0.0421769999999916</f>
        <v>2371.308751</v>
      </c>
      <c r="J165" s="3">
        <f>2827.7+(87.3-500.8)+(-5.768508+(-0.178092--1.021632))+0-82.6--0.168503999999996</f>
        <v>2326.8435360000003</v>
      </c>
      <c r="K165" s="3">
        <f>2678.5+(86.1-406.9)+(-4.098105+(-0.131733--0.622557))+0-83--0.126990000000005</f>
        <v>2271.219709</v>
      </c>
      <c r="L165" s="3">
        <f>2573.1+(108.9-473)+(-6.561405+(-0.277695--1.20615))+0-82.6--0.210629999999988</f>
        <v>2120.97768</v>
      </c>
      <c r="M165" s="3">
        <f>2514+(105.2-449.9)+(1.28214+(0.053652-0.229449))+0-85-0.0433499999999914</f>
        <v>2085.3629930000002</v>
      </c>
      <c r="N165" s="3">
        <f>2807.9+(87.5-597.6)+(1.432029+(0.044625-0.304776))+0-80.9-0.0412589999999918</f>
        <v>2218.0306190000001</v>
      </c>
      <c r="O165" s="3">
        <f>2877.4+(109.9-539.8)+(-2.934948+(-0.112098--0.550596))+0-80.7--0.0823140000000129</f>
        <v>2364.3858640000003</v>
      </c>
      <c r="P165" s="3">
        <f>2879.3+(88.1-462.1)+(0+(0-0))+0-73.5-0</f>
        <v>2431.8000000000002</v>
      </c>
      <c r="Q165" s="3">
        <f>3013.5+(72.1-478)+(0+(0-0))+0-85.1-0</f>
        <v>2522.5</v>
      </c>
      <c r="R165" s="3">
        <f>3231.5+(45.7-570.5)+(-1.648065+(-0.023307--0.290955))+0-81.2--0.0414119999999918</f>
        <v>2624.1609950000002</v>
      </c>
      <c r="S165" s="3">
        <f>3362.2+(29.6-604.7)+(-5.144166+(-0.045288--0.925191))+0-80--0.122400000000005</f>
        <v>2702.9581370000001</v>
      </c>
      <c r="T165" s="3">
        <f>3339.7+(24.7-578)+(-6.812988+(-0.050388--1.17912))+0-70.3--0.143411999999997</f>
        <v>2710.5591559999993</v>
      </c>
      <c r="U165" s="3">
        <f>3243.3+(20.7-525.3)+(1.654083+(0.010557-0.267903))+0-76.3-0.0389129999999923</f>
        <v>2663.7578240000003</v>
      </c>
      <c r="V165" s="3">
        <f>3161.4+(8.9-504.3)+(-8.06157+(-0.022695--1.285965))+0-64.9--0.165494999999991</f>
        <v>2594.4671950000002</v>
      </c>
      <c r="W165" s="3">
        <f>2993.4+(22.6-431.2)+(-7.63317+(-0.05763--1.09956))+0-87.2--0.222359999999987</f>
        <v>2491.2311200000004</v>
      </c>
      <c r="X165" s="3">
        <f>2911.9+(33.2-412.1)+(-2.970138+(-0.033864--0.420342))+0-87.8--0.089556000000014</f>
        <v>2442.7058959999999</v>
      </c>
      <c r="Y165" s="3">
        <f>3256+(0-507.6)+(1.66056+(0-0.258876))+0-75.9-0.0387089999999923</f>
        <v>2673.862975</v>
      </c>
      <c r="Z165" s="3">
        <f>3418.2+(0-523.5)+(0+(0-0))+0-82-0</f>
        <v>2812.7</v>
      </c>
      <c r="AA165" s="3">
        <f>3356.9+(0-516)+(-6.848076+(0--1.05264))+0-82.5--0.168299999999996</f>
        <v>2752.772864</v>
      </c>
      <c r="AB165" s="3">
        <f>3055.3+(75-420.1)+(0+(0-0))+0-78.4-0</f>
        <v>2631.8</v>
      </c>
      <c r="AC165" s="3">
        <f>3026+(141.3-492.7)+(-1.54326+(-0.072063--0.251277))+0-44.5--0.0226949999999955</f>
        <v>2628.7586489999999</v>
      </c>
      <c r="AD165" s="2">
        <v>2516.5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2884.4+(142-414)+(-2.942088+(-0.14484--0.42228))+0-82.3--0.0839460000000131</f>
        <v>2527.5192980000002</v>
      </c>
      <c r="G166" s="3">
        <f>2684.3+(142.4-383.1)+(-1.368993+(-0.072624--0.195381))+0-53.8--0.0274379999999945</f>
        <v>2388.5812020000003</v>
      </c>
      <c r="H166" s="3">
        <f>2675.7+(141.4-437.2)+(-2.729214+(-0.144228--0.445944))+0-81.6--0.083232000000013</f>
        <v>2295.9557339999997</v>
      </c>
      <c r="I166" s="3">
        <f>2605.5+(139.8-430.8)+(3.986415+(0.213894-0.659124))+0-69.8-0.106794000000004</f>
        <v>2248.1343910000001</v>
      </c>
      <c r="J166" s="3">
        <f>2579.9+(142.6-433.2)+(-1.315749+(-0.072726--0.220932))+0-39.6--0.020195999999996</f>
        <v>2248.5526530000002</v>
      </c>
      <c r="K166" s="3">
        <f>2568.2+(142.3-426.3)+(-6.54891+(-0.362865--1.087065))+0-68.1--0.17365499999999</f>
        <v>2210.4489450000001</v>
      </c>
      <c r="L166" s="3">
        <f>2510.6+(141.7-442.5)+(-5.121624+(-0.289068--0.9027))+0-78.7--0.160547999999997</f>
        <v>2126.7525559999999</v>
      </c>
      <c r="M166" s="3">
        <f>2640.3+(141.6-467.2)+(1.346553+(0.072216-0.238272))+0-69.9-0.0356489999999929</f>
        <v>2245.9448480000001</v>
      </c>
      <c r="N166" s="3">
        <f>2980.5+(141.6-529.1)+(0+(0-0))+0-77.7-0</f>
        <v>2515.3000000000002</v>
      </c>
      <c r="O166" s="3">
        <f>3025.9+(140.3-479.1)+(0+(0-0))+0-71-0</f>
        <v>2616.1</v>
      </c>
      <c r="P166" s="3">
        <f>3238+(118.8-487.8)+(3.30276+(0.121176-0.497556))+0-85.3-0.0870060000000136</f>
        <v>2786.5393739999995</v>
      </c>
      <c r="Q166" s="3">
        <f>3406.8+(107-514.1)+(0+(0-0))+0-76-0</f>
        <v>2923.7000000000003</v>
      </c>
      <c r="R166" s="3">
        <f>3404.5+(85-445.5)+(0+(0-0))+0-78-0</f>
        <v>2966</v>
      </c>
      <c r="S166" s="3">
        <f>3360.4+(66.3-427.4)+(-6.855216+(-0.135252--0.871896))+0-84.3--0.171971999999996</f>
        <v>2909.0534000000002</v>
      </c>
      <c r="T166" s="3">
        <f>3352.5+(57-415.7)+(-5.129325+(-0.08721--0.636021))+0-84.5--0.129285000000005</f>
        <v>2904.8487709999999</v>
      </c>
      <c r="U166" s="3">
        <f>3370.4+(45.4-450.9)+(1.718904+(0.023154-0.229959))+0-69.3-0.035342999999993</f>
        <v>2897.0767559999999</v>
      </c>
      <c r="V166" s="3">
        <f>3370.4+(41.8-444.7)+(1.718904+(0.021318-0.226797))+0-90.3-0.0460529999999908</f>
        <v>2878.6673719999999</v>
      </c>
      <c r="W166" s="3">
        <f>3354.3+(50.5-488.5)+(0+(0-0))+0-98.9-0</f>
        <v>2817.4</v>
      </c>
      <c r="X166" s="3">
        <f>3114.5+(53.7-441.2)+(3.17679+(0.054774-0.450024))+0-80.5-0.0821100000000128</f>
        <v>2649.1994300000001</v>
      </c>
      <c r="Y166" s="3">
        <f>3292.8+(3.6-438)+(0+(0-0))+0-56.4-0</f>
        <v>2802</v>
      </c>
      <c r="Z166" s="3">
        <f>3460.7+(0-489.6)+(-1.764957+(0--0.249696))+0-25.2--0.0128519999999974</f>
        <v>2944.3975909999999</v>
      </c>
      <c r="AA166" s="3">
        <f>3276.2+(8.7-339)+(-1.670862+(-0.004437--0.17289))+0-84.3--0.0429929999999914</f>
        <v>2860.1405839999993</v>
      </c>
      <c r="AB166" s="3">
        <f>3211+(92.7-440.5)+(-3.27522+(-0.094554--0.44931))+0-76.3--0.0778260000000122</f>
        <v>2784.057362</v>
      </c>
      <c r="AC166" s="3">
        <f>2973.1+(141.9-431.4)+(-3.032562+(-0.144738--0.440028))+0-53.6--0.0546720000000085</f>
        <v>2627.3174000000004</v>
      </c>
      <c r="AD166" s="2">
        <v>2645.1000000000004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2882.5+(143.2-485.6)+(-4.410225+(-0.219096--0.742968))+0-96.9--0.148257000000006</f>
        <v>2439.4619039999998</v>
      </c>
      <c r="G167" s="3">
        <f>2816.2+(142.7-528.5)+(-7.18131+(-0.363885--1.347675))+0-76.7--0.195584999999989</f>
        <v>2347.6980649999996</v>
      </c>
      <c r="H167" s="3">
        <f>2467.9+(141.2-365.4)+(-2.517258+(-0.144024--0.372708))+0-75.8--0.0773160000000121</f>
        <v>2165.6887419999998</v>
      </c>
      <c r="I167" s="3">
        <f>2381.3+(141.3-319.7)+(-4.857852+(-0.288252--0.652188))+0-75.2--0.153407999999997</f>
        <v>2123.3594920000005</v>
      </c>
      <c r="J167" s="3">
        <f>2375.7+(141.4-294.8)+(-1.211607+(-0.072114--0.150348))+0-79.5--0.0405449999999919</f>
        <v>2141.7071719999994</v>
      </c>
      <c r="K167" s="3">
        <f>2349.3+(122.2-292.6)+(-1.198143+(-0.062322--0.149226))+0-82.8--0.0422279999999916</f>
        <v>2095.0309889999999</v>
      </c>
      <c r="L167" s="3">
        <f>2338+(109.1-304.3)+(-8.34666+(-0.389487--1.086351))+0-79.5--0.283815000000001</f>
        <v>2055.9340189999998</v>
      </c>
      <c r="M167" s="3">
        <f>2586.7+(99.1-401)+(1.319217+(0.050541-0.20451))+0-82.3-0.0419729999999916</f>
        <v>2203.6232749999995</v>
      </c>
      <c r="N167" s="3">
        <f>2898.6+(99-504.5)+(-1.478286+(-0.05049--0.257295))+0-70.8--0.0361079999999928</f>
        <v>2421.0646269999993</v>
      </c>
      <c r="O167" s="3">
        <f>3054.1+(86.9-458.1)+(0+(0-0))+0-86.6-0</f>
        <v>2596.2999999999997</v>
      </c>
      <c r="P167" s="3">
        <f>3287.5+(84.7-547.5)+(-1.676625+(-0.043197--0.279225))+0-89.3--0.0455429999999909</f>
        <v>2734.004946</v>
      </c>
      <c r="Q167" s="3">
        <f>3350.4+(80-536.7)+(-1.708704+(-0.0408--0.273717))+0-75--0.0382499999999924</f>
        <v>2817.262463</v>
      </c>
      <c r="R167" s="3">
        <f>3418.6+(73.4-554.6)+(-3.486972+(-0.074868--0.565692))+0-72.4--0.0738480000000115</f>
        <v>2862.0776999999994</v>
      </c>
      <c r="S167" s="3">
        <f>3410.5+(56.2-548.5)+(-1.739355+(-0.028662--0.279735))+0-60.1--0.0306509999999939</f>
        <v>2856.6423690000001</v>
      </c>
      <c r="T167" s="3">
        <f>3387.1+(50.3-519)+(-8.637105+(-0.128265--1.32345))+0-77--0.196349999999989</f>
        <v>2834.15443</v>
      </c>
      <c r="U167" s="3">
        <f>3370+(46.7-552.1)+(-3.4374+(-0.047634--0.563142))+0-57.2--0.0583440000000091</f>
        <v>2804.5364520000003</v>
      </c>
      <c r="V167" s="3">
        <f>3293.8+(34.1-495.8)+(-1.679838+(-0.017391--0.252858))+0-75.2--0.0383519999999924</f>
        <v>2755.4939810000005</v>
      </c>
      <c r="W167" s="3">
        <f>3030.2+(10.8-314.4)+(-7.72701+(-0.02754--0.80172))+0-77.9--0.198644999999989</f>
        <v>2641.9458149999996</v>
      </c>
      <c r="X167" s="3">
        <f>2916.9+(40.1-287.7)+(-5.950476+(-0.081804--0.586908))+0-85.2--0.173807999999996</f>
        <v>2578.8284360000002</v>
      </c>
      <c r="Y167" s="3">
        <f>3134.8+(7.1-309.3)+(1.598748+(0.003621-0.157743))+0-85.7-0.0437069999999913</f>
        <v>2748.3009190000007</v>
      </c>
      <c r="Z167" s="3">
        <f>3406.9+(0-396.4)+(0+(0-0))+0-80.9-0</f>
        <v>2929.6</v>
      </c>
      <c r="AA167" s="3">
        <f>3184+(1.5-270.9)+(-11.36688+(-0.005355--0.967113))+0-46.9--0.167433000000001</f>
        <v>2857.4623109999998</v>
      </c>
      <c r="AB167" s="3">
        <f>2930.6+(76.6-224)+(-4.483818+(-0.117198--0.34272))+0-84.8--0.129744000000005</f>
        <v>2694.2714479999995</v>
      </c>
      <c r="AC167" s="3">
        <f>2852+(121.8-230.9)+(-4.36356+(-0.186354--0.353277))+0-88.4--0.135252000000005</f>
        <v>2650.438615</v>
      </c>
      <c r="AD167" s="2">
        <v>2645.6000000000004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2817.2+(140.8-316.9)+(-7.18386+(-0.35904--0.808095))+0-89.2--0.227459999999987</f>
        <v>2545.3926550000001</v>
      </c>
      <c r="G168" s="3">
        <f>2635.2+(141-304.5)+(-8.063712+(-0.43146--0.93177))+0-83.5--0.25551000000001</f>
        <v>2380.8921079999996</v>
      </c>
      <c r="H168" s="3">
        <f>2463+(141.2-283.2)+(-3.76839+(-0.216036--0.433296))+0-70.8--0.108324000000004</f>
        <v>2246.7571939999998</v>
      </c>
      <c r="I168" s="3">
        <f>2359.4+(142-239.3)+(-2.406588+(-0.14484--0.244086))+0-82.9--0.0845580000000132</f>
        <v>2176.9772159999998</v>
      </c>
      <c r="J168" s="3">
        <f>2340.7+(141.6-235.2)+(-1.193757+(-0.072216--0.119952))+0-65.6--0.0334559999999933</f>
        <v>2180.3874350000001</v>
      </c>
      <c r="K168" s="3">
        <f>2336.7+(141.5-222.9)+(-3.575151+(-0.216495--0.341037))+0-91--0.139230000000005</f>
        <v>2160.988621</v>
      </c>
      <c r="L168" s="3">
        <f>2337.5+(141.1-275.7)+(-1.192125+(-0.071961--0.140607))+0-81.2--0.0414119999999918</f>
        <v>2120.6179330000004</v>
      </c>
      <c r="M168" s="3">
        <f>2364.7+(139.6-281.7)+(1.205997+(0.071196-0.143667))+0-34.5-0.0175949999999965</f>
        <v>2189.2159310000002</v>
      </c>
      <c r="N168" s="3">
        <f>2592.2+(92.7-363)+(1.322022+(0.047277-0.18513))+0-20.1-0.010250999999998</f>
        <v>2302.9739179999997</v>
      </c>
      <c r="O168" s="3">
        <f>2804.9+(95.2-389)+(-1.430499+(-0.048552--0.19839))+0-12.7--0.00647699999999871</f>
        <v>2497.1258160000002</v>
      </c>
      <c r="P168" s="3">
        <f>3036.3+(94.2-459.7)+(1.548513+(0.048042-0.234447))+0-10.6-0.00540599999999892</f>
        <v>2661.5567019999999</v>
      </c>
      <c r="Q168" s="3">
        <f>3355.6+(96.8-593.6)+(1.711356+(0.049368-0.302736))+0-12.3-0.00627299999999875</f>
        <v>2847.9517149999997</v>
      </c>
      <c r="R168" s="3">
        <f>3369+(78.6-523.6)+(0+(0-0))+0-11.7-0</f>
        <v>2912.3</v>
      </c>
      <c r="S168" s="3">
        <f>3354.1+(92.1-548.7)+(-1.710591+(-0.046971--0.279837))+0-13.9--0.00708899999999859</f>
        <v>2882.1293639999999</v>
      </c>
      <c r="T168" s="3">
        <f>3262.7+(101.5-487.4)+(-1.663977+(-0.051765--0.248574))+0-12.5--0.00637499999999873</f>
        <v>2862.8392069999995</v>
      </c>
      <c r="U168" s="3">
        <f>3150.9+(114.2-430.9)+(-8.034795+(-0.29121--1.098795))+0-12--0.0305999999999983</f>
        <v>2815.0033900000003</v>
      </c>
      <c r="V168" s="3">
        <f>2911.8+(94.7-283.6)+(-4.455054+(-0.144891--0.433908))+0-25.4--0.0388620000000015</f>
        <v>2693.3728249999999</v>
      </c>
      <c r="W168" s="3">
        <f>2858.5+(90.9-271.5)+(-8.74701+(-0.278154--0.83079))+0-63.8--0.195228000000007</f>
        <v>2606.1008539999998</v>
      </c>
      <c r="X168" s="3">
        <f>2820.4+(95.5-303.6)+(-10.068828+(-0.340935--1.083852))+0-66.8--0.238476000000001</f>
        <v>2536.4125650000001</v>
      </c>
      <c r="Y168" s="3">
        <f>2767.6+(95.2-206.9)+(1.411476+(0.048552-0.105519))+0-71.1-0.0362609999999928</f>
        <v>2586.1182479999998</v>
      </c>
      <c r="Z168" s="3">
        <f>3487.2+(0-595)+(-1.778472+(0--0.30345))+0-75.4--0.0384539999999924</f>
        <v>2815.3634319999996</v>
      </c>
      <c r="AA168" s="3">
        <f>3315.8+(33-491.4)+(-6.764232+(-0.06732--1.002456))+0-88.9--0.181355999999996</f>
        <v>2762.8522600000001</v>
      </c>
      <c r="AB168" s="3">
        <f>3237.4+(120.2-565.1)+(-4.953222+(-0.183906--0.864603))+0-81.9--0.125307000000005</f>
        <v>2706.4527819999998</v>
      </c>
      <c r="AC168" s="3">
        <f>3157.6+(140-606.6)+(-3.220752+(-0.1428--0.618732))+0-77.6--0.0791520000000124</f>
        <v>2610.734332</v>
      </c>
      <c r="AD168" s="2">
        <v>2616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3061.1+(139.7-621.6)+(-4.683483+(-0.213741--0.951048))+0-79.1--0.121023000000005</f>
        <v>2496.2748470000001</v>
      </c>
      <c r="G169" s="3">
        <f>2889.3+(141-560.1)+(-1.473543+(-0.07191--0.285651))+0-58.3--0.0297329999999941</f>
        <v>2410.6699309999999</v>
      </c>
      <c r="H169" s="3">
        <f>2637.8+(142.4-416.2)+(-2.690556+(-0.145248--0.424524))+0-81.4--0.083028000000013</f>
        <v>2280.2717480000001</v>
      </c>
      <c r="I169" s="3">
        <f>2468.9+(142.1-330.1)+(-3.777417+(-0.217413--0.505053))+0-78--0.119340000000005</f>
        <v>2199.5295630000005</v>
      </c>
      <c r="J169" s="3">
        <f>2380.6+(142-274.8)+(4.856424+(0.28968-0.560592))+0-97.9-0.199715999999996</f>
        <v>2154.2857959999997</v>
      </c>
      <c r="K169" s="3">
        <f>2329.2+(141.7-306.9)+(-3.563676+(-0.216801--0.469557))+0-26.1--0.0399330000000015</f>
        <v>2134.6290130000002</v>
      </c>
      <c r="L169" s="3">
        <f>2314.1+(142.1-344.2)+(-5.900955+(-0.362355--0.87771))+0-54.1--0.137954999999992</f>
        <v>2052.6523550000002</v>
      </c>
      <c r="M169" s="3">
        <f>2339.6+(142.1-273.6)+(-1.193196+(-0.072471--0.139536))+0-81.2--0.0414119999999918</f>
        <v>2125.8152810000001</v>
      </c>
      <c r="N169" s="3">
        <f>2483.4+(141.3-305)+(-1.266534+(-0.072063--0.15555))+0-68--0.0346799999999931</f>
        <v>2250.5516330000005</v>
      </c>
      <c r="O169" s="3">
        <f>2783+(140.6-410.4)+(0+(0-0))+0-77.4-0</f>
        <v>2435.7999999999997</v>
      </c>
      <c r="P169" s="3">
        <f>2945.5+(139.7-431.6)+(0+(0-0))+0-69.5-0</f>
        <v>2584.1</v>
      </c>
      <c r="Q169" s="3">
        <f>3097.2+(139-440.6)+(0+(0-0))+0-90.6-0</f>
        <v>2705</v>
      </c>
      <c r="R169" s="3">
        <f>3140.8+(138.8-416.8)+(-4.805424+(-0.212364--0.637704))+0-87.3--0.133569000000005</f>
        <v>2771.2534850000002</v>
      </c>
      <c r="S169" s="3">
        <f>3140.8+(138.1-454)+(-3.203616+(-0.140862--0.46308))+0-82.2--0.0838440000000131</f>
        <v>2739.9024460000005</v>
      </c>
      <c r="T169" s="3">
        <f>3150.8+(138.7-464.7)+(0+(0-0))+0-71.6-0</f>
        <v>2753.2000000000003</v>
      </c>
      <c r="U169" s="3">
        <f>3160.8+(139.2-474.4)+(4.836024+(0.212976-0.725832))+0-79.1-0.121023000000005</f>
        <v>2750.7021450000002</v>
      </c>
      <c r="V169" s="3">
        <f>3101.9+(113.5-457.4)+(-7.909845+(-0.289425--1.16637))+0-76--0.193799999999989</f>
        <v>2675.1608999999999</v>
      </c>
      <c r="W169" s="3">
        <f>3073.9+(127.5-459.2)+(-7.838445+(-0.325125--1.17096))+0-78--0.198899999999989</f>
        <v>2657.4062900000004</v>
      </c>
      <c r="X169" s="3">
        <f>2818.6+(120.3-347.9)+(-4.312458+(-0.184059--0.532287))+0-62.8--0.0960840000000036</f>
        <v>2524.3318539999996</v>
      </c>
      <c r="Y169" s="3">
        <f>2997.6+(57.7-308.3)+(1.528776+(0.029427-0.157233))+0-79.2-0.040391999999992</f>
        <v>2669.1605780000004</v>
      </c>
      <c r="Z169" s="3">
        <f>3253.4+(51.6-396.7)+(-4.977702+(-0.078948--0.606951))+0-71.8--0.109854000000004</f>
        <v>2832.160155</v>
      </c>
      <c r="AA169" s="3">
        <f>3131.5+(106.2-382.5)+(-9.58239+(-0.324972--1.17045))+0-86--0.26316000000001</f>
        <v>2760.7262479999999</v>
      </c>
      <c r="AB169" s="3">
        <f>3092.5+(142.6-426.6)+(-7.885875+(-0.36363--1.08783))+0-79.2--0.201959999999989</f>
        <v>2722.3402850000002</v>
      </c>
      <c r="AC169" s="3">
        <f>2887.6+(142.9-364)+(-8.836056+(-0.437274--1.11384))+0-92.2--0.282132000000011</f>
        <v>2566.422642</v>
      </c>
      <c r="AD169" s="2">
        <v>2576.7000000000003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2671.7+(142.3-382.3)+(-5.450268+(-0.290292--0.779892))+0-86.7--0.176867999999996</f>
        <v>2340.2161999999998</v>
      </c>
      <c r="G170" s="3">
        <f>2687.8+(141.6-510.8)+(1.370778+(0.072216-0.260508))+0-78.2-0.0398819999999921</f>
        <v>2241.5426040000007</v>
      </c>
      <c r="H170" s="3">
        <f>2312+(141.3-259.2)+(1.17912+(0.072063-0.132192))+0-87.4-0.0445739999999911</f>
        <v>2107.7744169999996</v>
      </c>
      <c r="I170" s="3">
        <f>2210.2+(141-200)+(-3.381606+(-0.21573--0.306))+0-83.8--0.128214000000005</f>
        <v>2064.2368779999997</v>
      </c>
      <c r="J170" s="3">
        <f>2221.5+(140.9-191.9)+(-2.26593+(-0.143718--0.195738))+0-97.6--0.0995520000000156</f>
        <v>2070.7856420000003</v>
      </c>
      <c r="K170" s="3">
        <f>2209.7+(141.7-221)+(-3.380841+(-0.216801--0.33813))+0-85.5--0.130815000000005</f>
        <v>2041.7713029999995</v>
      </c>
      <c r="L170" s="3">
        <f>2188+(141.2-273)+(-6.69528+(-0.432072--0.83538))+0-85.6--0.26193600000001</f>
        <v>1964.569964</v>
      </c>
      <c r="M170" s="3">
        <f>2386.8+(140.6-331.3)+(1.217268+(0.071706-0.168963))+0-83.7-0.0426869999999915</f>
        <v>2113.4773240000004</v>
      </c>
      <c r="N170" s="3">
        <f>2611.9+(138.1-397.8)+(-1.332069+(-0.070431--0.202878))+0-50.7--0.0258569999999949</f>
        <v>2300.326235</v>
      </c>
      <c r="O170" s="3">
        <f>2788.4+(137.8-408.5)+(-1.422084+(-0.070278--0.208335))+0-90.8--0.0463079999999908</f>
        <v>2425.6622809999999</v>
      </c>
      <c r="P170" s="3">
        <f>2980.6+(137.9-454)+(-4.560318+(-0.210987--0.69462))+0-87.6--0.134028000000005</f>
        <v>2572.957343</v>
      </c>
      <c r="Q170" s="3">
        <f>3231.3+(138.7-595)+(-1.647963+(-0.070737--0.30345))+0-48--0.0244799999999951</f>
        <v>2725.60923</v>
      </c>
      <c r="R170" s="3">
        <f>3218.7+(137.8-567.1)+(-4.924611+(-0.210834--0.867663))+0-80.6--0.123318000000005</f>
        <v>2704.6555359999998</v>
      </c>
      <c r="S170" s="3">
        <f>3118.7+(137.7-512.1)+(-4.771611+(-0.210681--0.783513))+0-85.9--0.131427000000005</f>
        <v>2654.3326479999996</v>
      </c>
      <c r="T170" s="3">
        <f>3123.5+(138.2-509.6)+(-1.592985+(-0.070482--0.259896))+0-58.5--0.0298349999999941</f>
        <v>2692.2262639999999</v>
      </c>
      <c r="U170" s="3">
        <f>3149.6+(138.8-520.1)+(1.606296+(0.070788-0.265251))+0-94.1-0.0479909999999905</f>
        <v>2675.563842</v>
      </c>
      <c r="V170" s="3">
        <f>3081.4+(140.2-520.8)+(-3.143028+(-0.143004--0.531216))+0-84.9--0.0865980000000135</f>
        <v>2613.2317819999998</v>
      </c>
      <c r="W170" s="3">
        <f>2893.9+(129.6-386.8)+(-5.903556+(-0.264384--0.789072))+0-81.5--0.166259999999996</f>
        <v>2549.987392</v>
      </c>
      <c r="X170" s="3">
        <f>2720.4+(121-314.1)+(-2.774808+(-0.12342--0.320382))+0-66.8--0.0681360000000106</f>
        <v>2457.9902899999997</v>
      </c>
      <c r="Y170" s="3">
        <f>2886.2+(66-266.7)+(-2.943924+(-0.06732--0.272034))+0-81.7--0.083334000000013</f>
        <v>2601.1441239999999</v>
      </c>
      <c r="Z170" s="3">
        <f>3319.7+(57.2-488.9)+(-1.693047+(-0.029172--0.249339))+0-72.7--0.0370769999999926</f>
        <v>2813.8641970000003</v>
      </c>
      <c r="AA170" s="3">
        <f>3276.6+(112-496.3)+(-11.697462+(-0.39984--1.771791))+0-83.1--0.296667000000001</f>
        <v>2799.1711559999999</v>
      </c>
      <c r="AB170" s="3">
        <f>3030.1+(140.7-390.3)+(-6.181404+(-0.287028--0.796212))+0-89.1--0.181763999999996</f>
        <v>2685.9095440000001</v>
      </c>
      <c r="AC170" s="3">
        <f>3010.2+(140.2-466.7)+(0+(0-0))+0-88.8-0</f>
        <v>2594.8999999999996</v>
      </c>
      <c r="AD170" s="2">
        <v>2516.5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2897.4+(141.3-589.1)+(-2.955348+(-0.144126--0.600882))+0-25.5--0.0260100000000041</f>
        <v>2421.627418</v>
      </c>
      <c r="G171" s="3">
        <f>2702.3+(141-473.7)+(-4.134519+(-0.21573--0.724761))+0-27.6--0.0422280000000016</f>
        <v>2338.4167400000001</v>
      </c>
      <c r="H171" s="3">
        <f>2631.1+(140.4-403.4)+(-5.367444+(-0.286416--0.822936))+0-91.5--0.186659999999996</f>
        <v>2271.9557359999999</v>
      </c>
      <c r="I171" s="3">
        <f>2658+(140.9-463.5)+(-2.71116+(-0.143718--0.47277))+0-55.1--0.0562020000000088</f>
        <v>2277.9740940000006</v>
      </c>
      <c r="J171" s="3">
        <f>2700.8+(141.2-485.1)+(4.132224+(0.216036-0.742203))+0-88.8-0.135864000000005</f>
        <v>2271.570193</v>
      </c>
      <c r="K171" s="3">
        <f>2711+(141.5-515.3)+(5.53044+(0.28866-1.051212))+0-81.7-0.166667999999996</f>
        <v>2260.10122</v>
      </c>
      <c r="L171" s="3">
        <f>2649.4+(141.5-513.1)+(-1.351194+(-0.072165--0.261681))+0-83.8--0.0427379999999915</f>
        <v>2192.8810600000002</v>
      </c>
      <c r="M171" s="3">
        <f>2616.3+(139.8-469.3)+(0+(0-0))+0-82.7-0</f>
        <v>2204.1000000000004</v>
      </c>
      <c r="N171" s="3">
        <f>2949.5+(140-551.2)+(3.00849+(0.1428-0.562224))+0-89-0.0907800000000142</f>
        <v>2451.7982860000002</v>
      </c>
      <c r="O171" s="3">
        <f>3017.5+(139-522.6)+(1.538925+(0.07089-0.266526))+0-59-0.030089999999994</f>
        <v>2576.2131989999998</v>
      </c>
      <c r="P171" s="3">
        <f>3171.5+(139.6-583.1)+(1.617465+(0.071196-0.297381))+0-34-0.0173399999999966</f>
        <v>2695.3739399999999</v>
      </c>
      <c r="Q171" s="3">
        <f>3225.6+(139.8-574.3)+(1.645056+(0.071298-0.292893))+0-44.3-0.0225929999999955</f>
        <v>2748.2008679999994</v>
      </c>
      <c r="R171" s="3">
        <f>3310.9+(139.9-552.9)+(-1.688559+(-0.071349--0.281979))+0-88--0.0448799999999911</f>
        <v>2808.4669509999999</v>
      </c>
      <c r="S171" s="3">
        <f>3258.9+(139.3-536.9)+(-3.324078+(-0.142086--0.547638))+0-82.1--0.0837420000000131</f>
        <v>2776.3652160000001</v>
      </c>
      <c r="T171" s="3">
        <f>3212.5+(139.6-522.3)+(-1.638375+(-0.071196--0.266373))+0-85.9--0.0438089999999913</f>
        <v>2742.5006109999999</v>
      </c>
      <c r="U171" s="3">
        <f>3190+(138.7-528)+(3.2538+(0.141474-0.53856))+0-84.5-0.0861900000000135</f>
        <v>2718.9705239999998</v>
      </c>
      <c r="V171" s="3">
        <f>3038.2+(139.7-463.7)+(-6.197928+(-0.284988--0.945948))+0-82.2--0.167687999999996</f>
        <v>2626.6307200000001</v>
      </c>
      <c r="W171" s="3">
        <f>2959.6+(137.6-424.8)+(-1.509396+(-0.070176--0.216648))+0-79--0.040289999999992</f>
        <v>2592.0773659999995</v>
      </c>
      <c r="X171" s="3">
        <f>2839.6+(106.8-394.8)+(-4.344588+(-0.163404--0.604044))+0-82.1--0.125613000000005</f>
        <v>2465.721665</v>
      </c>
      <c r="Y171" s="3">
        <f>3106.5+(44.5-346.8)+(3.16863+(0.04539-0.353736))+0-81-0.0826200000000129</f>
        <v>2725.9776639999995</v>
      </c>
      <c r="Z171" s="3">
        <f>3375.9+(42.4-410.9)+(-3.443418+(-0.043248--0.419118))+0-80.9--0.0825180000000129</f>
        <v>2923.5149700000002</v>
      </c>
      <c r="AA171" s="3">
        <f>3264.5+(106.1-405.7)+(-1.664895+(-0.054111--0.206907))+0-88.2--0.0449819999999911</f>
        <v>2875.2328830000001</v>
      </c>
      <c r="AB171" s="3">
        <f>3084.6+(115.9-389.2)+(0+(0-0))+0-89.8-0</f>
        <v>2721.5</v>
      </c>
      <c r="AC171" s="3">
        <f>2999.3+(108.9-402.8)+(-4.588929+(-0.166617--0.616284))+0-89.9--0.137547000000005</f>
        <v>2611.4982849999997</v>
      </c>
      <c r="AD171" s="2">
        <v>2527.1000000000004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2736.5+(141.6-339.1)+(-2.79123+(-0.144432--0.345882))+0-70.8--0.0722160000000113</f>
        <v>2465.6824360000001</v>
      </c>
      <c r="G172" s="3">
        <f>2632.1+(141.9-336.1)+(-1.342371+(-0.072369--0.171411))+0-81.2--0.0414119999999918</f>
        <v>2355.4980830000004</v>
      </c>
      <c r="H172" s="3">
        <f>2475.3+(141.9-272)+(-3.787209+(-0.217107--0.41616))+0-68.7--0.105111000000004</f>
        <v>2273.0169550000005</v>
      </c>
      <c r="I172" s="3">
        <f>2251.4+(141.8-137.8)+(-1.148214+(-0.072318--0.070278))+0-94.2--0.0480419999999904</f>
        <v>2160.097788</v>
      </c>
      <c r="J172" s="3">
        <f>2223.4+(140.2-133.1)+(-5.66967+(-0.35751--0.339405))+0-89.4--0.227969999999987</f>
        <v>2135.6401949999999</v>
      </c>
      <c r="K172" s="3">
        <f>2243.4+(140.4-169.4)+(3.432402+(0.214812-0.259182))+0-84.2-0.128826000000005</f>
        <v>2133.459206</v>
      </c>
      <c r="L172" s="3">
        <f>2130.4+(140.1-169.3)+(-6.519024+(-0.428706--0.518058))+0-84.7--0.25918200000001</f>
        <v>2010.32951</v>
      </c>
      <c r="M172" s="3">
        <f>1978.7+(173.5-88.6)+(-3.027411+(-0.265455--0.135558))+0-78--0.119340000000005</f>
        <v>1982.562032</v>
      </c>
      <c r="N172" s="3">
        <f>2061.7+(150.8-100.8)+(-2.102934+(-0.153816--0.102816))+0-82.2--0.0838440000000131</f>
        <v>2027.4299099999998</v>
      </c>
      <c r="O172" s="3">
        <f>2298.7+(141.4-184.9)+(-4.689348+(-0.288456--0.377196))+0-73.2--0.149327999999997</f>
        <v>2177.5487199999998</v>
      </c>
      <c r="P172" s="3">
        <f>2589.7+(141.1-385.8)+(-2.641494+(-0.143922--0.393516))+0-71.7--0.0731340000000114</f>
        <v>2270.9812340000003</v>
      </c>
      <c r="Q172" s="3">
        <f>2941.7+(139.8-569.6)+(-1.500267+(-0.071298--0.290496))+0-84.7--0.0431969999999914</f>
        <v>2425.9621279999997</v>
      </c>
      <c r="R172" s="3">
        <f>2953.5+(139.4-516.3)+(1.506285+(0.071094-0.263313))+0-69.3-0.035342999999993</f>
        <v>2508.5787229999996</v>
      </c>
      <c r="S172" s="3">
        <f>2913.5+(139.8-421.9)+(-2.97177+(-0.142596--0.430338))+0-84.7--0.0863940000000135</f>
        <v>2544.1023660000001</v>
      </c>
      <c r="T172" s="3">
        <f>2891+(139.9-412.6)+(-5.89764+(-0.285396--0.841704))+0-72.1--0.147083999999997</f>
        <v>2541.0057520000005</v>
      </c>
      <c r="U172" s="3">
        <f>2791.2+(140.8-339.8)+(2.847024+(0.143616-0.346596))+0-88-0.089760000000014</f>
        <v>2506.7542840000001</v>
      </c>
      <c r="V172" s="3">
        <f>2607.1+(140.8-265.1)+(1.329621+(0.071808-0.135201))+0-75-0.0382499999999924</f>
        <v>2409.0279779999996</v>
      </c>
      <c r="W172" s="3">
        <f>2562.3+(139.1-334.9)+(-1.306773+(-0.070941--0.170799))+0-87.3--0.0445229999999911</f>
        <v>2278.0376079999996</v>
      </c>
      <c r="X172" s="3">
        <f>2477.1+(104.7-334.9)+(3.789963+(0.160191-0.512397))+0-84.6-0.129438000000005</f>
        <v>2165.6083190000004</v>
      </c>
      <c r="Y172" s="3">
        <f>2998.6+(52.9-517.6)+(3.058572+(0.053958-0.527952))+0-87.2-0.0889440000000139</f>
        <v>2449.1956339999997</v>
      </c>
      <c r="Z172" s="3">
        <f>3184.1+(47.8-570.5)+(-3.247782+(-0.048756--0.58191))+0-84.2--0.0858840000000134</f>
        <v>2574.5712559999997</v>
      </c>
      <c r="AA172" s="3">
        <f>3189.5+(109.5-635.7)+(-1.626645+(-0.055845--0.324207))+0-87.8--0.0447779999999911</f>
        <v>2574.1864949999999</v>
      </c>
      <c r="AB172" s="3">
        <f>2818.7+(141.3-460.1)+(1.437537+(0.072063-0.234651))+0-87.4-0.0445739999999911</f>
        <v>2413.7303749999996</v>
      </c>
      <c r="AC172" s="3">
        <f>2679.1+(142.3-402.6)+(-4.099023+(-0.217719--0.615978))+0-91.4--0.139842000000005</f>
        <v>2323.8390779999995</v>
      </c>
      <c r="AD172" s="2">
        <v>2329.5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2637+(142-445.4)+(-2.68974+(-0.14484--0.454308))+0-61.7--0.0629340000000098</f>
        <v>2269.5826620000003</v>
      </c>
      <c r="G173" s="3">
        <f>2596.1+(142.5-453.2)+(-3.972033+(-0.218025--0.693396))+0-87.3--0.133569000000005</f>
        <v>2194.736907</v>
      </c>
      <c r="H173" s="3">
        <f>2412.6+(142.3-372.7)+(-3.691278+(-0.217719--0.570231))+0-81.1--0.124083000000005</f>
        <v>2097.8853170000002</v>
      </c>
      <c r="I173" s="3">
        <f>2359.4+(142.7-356.1)+(-3.609882+(-0.218331--0.544833))+0-84.9--0.129897000000005</f>
        <v>2057.9465169999999</v>
      </c>
      <c r="J173" s="3">
        <f>2161.9+(141.9-231.4)+(-4.410276+(-0.289476--0.472056))+0-92.3--0.188291999999996</f>
        <v>1976.0605960000003</v>
      </c>
      <c r="K173" s="3">
        <f>2132.7+(141.9-257.2)+(1.087677+(0.072369-0.131172))+0-77.5-0.0395249999999921</f>
        <v>1940.889349</v>
      </c>
      <c r="L173" s="3">
        <f>2125.9+(141.4-265.4)+(-3.252627+(-0.216342--0.406062))+0-87.3--0.133569000000005</f>
        <v>1911.6706620000002</v>
      </c>
      <c r="M173" s="3">
        <f>2228.2+(140.1-247.6)+(-1.136382+(-0.071451--0.126276))+0-81.3--0.0414629999999918</f>
        <v>2038.3599059999999</v>
      </c>
      <c r="N173" s="3">
        <f>2664.4+(139.3-440.7)+(2.717688+(0.142086-0.449514))+0-45-0.0459000000000072</f>
        <v>2320.36436</v>
      </c>
      <c r="O173" s="3">
        <f>3057.5+(139.7-594.4)+(-1.559325+(-0.071247--0.303144))+0-90.6--0.0462059999999908</f>
        <v>2510.9187780000002</v>
      </c>
      <c r="P173" s="3">
        <f>3023.5+(138.7-483.7)+(-1.541985+(-0.070737--0.246687))+0-79.2--0.040391999999992</f>
        <v>2597.9743570000001</v>
      </c>
      <c r="Q173" s="3">
        <f>3129.3+(138.2-503.8)+(4.787829+(0.211446-0.770814))+0-66.5-0.101745000000004</f>
        <v>2701.3267160000005</v>
      </c>
      <c r="R173" s="3">
        <f>3174.2+(137.8-498.2)+(4.856526+(0.210834-0.762246))+0-81.9-0.125307000000005</f>
        <v>2736.0798069999996</v>
      </c>
      <c r="S173" s="3">
        <f>3109.8+(138.5-487.1)+(-4.757994+(-0.211905--0.745263))+0-74.1--0.113373000000004</f>
        <v>2682.9887370000006</v>
      </c>
      <c r="T173" s="3">
        <f>3133.8+(139-492.9)+(0+(0-0))+0-91-0</f>
        <v>2688.9</v>
      </c>
      <c r="U173" s="3">
        <f>3080.6+(139.1-494.6)+(-7.85553+(-0.354705--1.26123))+0-38.3--0.0976649999999944</f>
        <v>2679.9486599999996</v>
      </c>
      <c r="V173" s="3">
        <f>3147.6+(139.1-504.6)+(4.815828+(0.212823-0.772038))+0-84.9-0.129897000000005</f>
        <v>2701.326716</v>
      </c>
      <c r="W173" s="3">
        <f>3088.4+(138-465.2)+(-6.300336+(-0.28152--0.949008))+0-97.9--0.199715999999996</f>
        <v>2657.8668680000001</v>
      </c>
      <c r="X173" s="3">
        <f>3108.8+(98.1-524.5)+(-9.512928+(-0.300186--1.60497))+0-93.7--0.286722000000011</f>
        <v>2580.7785779999999</v>
      </c>
      <c r="Y173" s="3">
        <f>3299.6+(49.8-529.2)+(0+(0-0))+0-89-0</f>
        <v>2731.2</v>
      </c>
      <c r="Z173" s="3">
        <f>3342.6+(42.4-523.9)+(1.704726+(0.021624-0.267189))+0-87.9-0.0448289999999911</f>
        <v>2774.6143320000001</v>
      </c>
      <c r="AA173" s="3">
        <f>3342.8+(74.2-554)+(-3.409656+(-0.075684--0.56508))+0-86.7--0.0884340000000138</f>
        <v>2773.4681740000005</v>
      </c>
      <c r="AB173" s="3">
        <f>3339.7+(97.2-586)+(0+(0-0))+0-87.7-0</f>
        <v>2763.2</v>
      </c>
      <c r="AC173" s="3">
        <f>3156.6+(141.5-594.5)+(-6.439464+(-0.28866--1.21278))+0-47.5--0.0968999999999979</f>
        <v>2650.681556</v>
      </c>
      <c r="AD173" s="2">
        <v>2563.8000000000002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2988.1+(140.4-535)+(3.047862+(0.143208-0.5457))+0-91.4-0.0932280000000146</f>
        <v>2504.6521419999999</v>
      </c>
      <c r="G174" s="3">
        <f>2836+(140.2-480.2)+(2.89272+(0.143004-0.489804))+0-87.7-0.089454000000014</f>
        <v>2410.7564660000003</v>
      </c>
      <c r="H174" s="3">
        <f>2790.3+(140.5-508)+(0+(0-0))+0-88.7-0</f>
        <v>2334.1000000000004</v>
      </c>
      <c r="I174" s="3">
        <f>2715.2+(141.1-488.6)+(1.384752+(0.071961-0.249186))+0-80.7-0.0411569999999918</f>
        <v>2288.1663699999999</v>
      </c>
      <c r="J174" s="3">
        <f>2682.5+(140.2-487.5)+(-5.4723+(-0.286008--0.9945))+0-74.8--0.152591999999997</f>
        <v>2255.7887839999994</v>
      </c>
      <c r="K174" s="3">
        <f>2677.3+(139.8-494.4)+(-6.827115+(-0.35649--1.26072))+0-73.6--0.187679999999989</f>
        <v>2243.3647950000004</v>
      </c>
      <c r="L174" s="3">
        <f>2645.9+(141.3-529.7)+(-10.795272+(-0.576504--2.161176))+0-82.9--0.338231999999993</f>
        <v>2165.7276320000001</v>
      </c>
      <c r="M174" s="3">
        <f>2761.4+(140.1-529.8)+(2.816628+(0.142902-0.540396))+0-89.7-0.0914940000000143</f>
        <v>2284.3276400000004</v>
      </c>
      <c r="N174" s="3">
        <f>2968.6+(138.8-607.5)+(3.027972+(0.141576-0.61965))+0-50.1-0.051102000000008</f>
        <v>2452.2987960000005</v>
      </c>
      <c r="O174" s="3">
        <f>3026.9+(136.4-531)+(-1.543719+(-0.069564--0.27081))+0-82.3--0.0419729999999916</f>
        <v>2548.6994999999997</v>
      </c>
      <c r="P174" s="3">
        <f>3201.5+(138.2-549.7)+(4.898295+(0.211446-0.841041))+0-81.3-0.124389000000005</f>
        <v>2712.8443109999998</v>
      </c>
      <c r="Q174" s="3">
        <f>3371.3+(131.6-625.2)+(5.158089+(0.201348-0.956556))+0-86.3-0.132039000000005</f>
        <v>2795.670842</v>
      </c>
      <c r="R174" s="3">
        <f>3397.6+(122.7-608)+(-1.732776+(-0.062577--0.31008))+0-85.8--0.0437579999999913</f>
        <v>2825.0584849999996</v>
      </c>
      <c r="S174" s="3">
        <f>3355.3+(113.5-582.3)+(-6.844812+(-0.23154--1.187892))+0-90.8--0.185231999999996</f>
        <v>2789.9967719999995</v>
      </c>
      <c r="T174" s="3">
        <f>3347.3+(128.5-614.5)+(1.707123+(0.065535-0.313395))+0-62.2-0.0317219999999937</f>
        <v>2800.5275410000004</v>
      </c>
      <c r="U174" s="3">
        <f>3301.7+(138.4-616.5)+(-1.683867+(-0.070584--0.314415))+0-81.3--0.0414629999999918</f>
        <v>2740.9014269999998</v>
      </c>
      <c r="V174" s="3">
        <f>3278.9+(139.5-612.2)+(-3.344478+(-0.14229--0.624444))+0-84.7--0.0863940000000135</f>
        <v>2718.7240699999998</v>
      </c>
      <c r="W174" s="3">
        <f>3299.5+(139.4-592)+(1.682745+(0.071094-0.30192))+0-89.7-0.0457469999999909</f>
        <v>2758.6061720000002</v>
      </c>
      <c r="X174" s="3">
        <f>3020.4+(108.6-453.7)+(-10.782828+(-0.387702--1.619709))+0-80.4--0.287028000000001</f>
        <v>2585.6362070000005</v>
      </c>
      <c r="Y174" s="3">
        <f>3194.3+(15.4-377.3)+(3.258186+(0.015708-0.384846))+0-92.5-0.0943500000000148</f>
        <v>2742.6946980000002</v>
      </c>
      <c r="Z174" s="3">
        <f>3463.6+(23.2-528.5)+(0+(0-0))+0-88-0</f>
        <v>2870.2999999999997</v>
      </c>
      <c r="AA174" s="3">
        <f>3502.5+(64.1-516.6)+(-5.358825+(-0.098073--0.790398))+0-87.8--0.134334000000005</f>
        <v>2957.6678339999999</v>
      </c>
      <c r="AB174" s="3">
        <f>3419.3+(137.9-511.5)+(-1.743843+(-0.070329--0.260865))+0-89.4--0.0455939999999909</f>
        <v>2954.7922870000002</v>
      </c>
      <c r="AC174" s="3">
        <f>3023.4+(140.2-351.8)+(-4.625802+(-0.214506--0.538254))+0-85.4--0.130662000000005</f>
        <v>2722.2286079999999</v>
      </c>
      <c r="AD174" s="2">
        <v>2569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2927.6+(139.4-438)+(-1.493076+(-0.071094--0.22338))+0-60.5--0.0308549999999939</f>
        <v>2567.1900649999998</v>
      </c>
      <c r="G175" s="3">
        <f>2732.9+(139.8-361.4)+(-4.181337+(-0.213894--0.552942))+0-81.6--0.124848000000005</f>
        <v>2425.982559</v>
      </c>
      <c r="H175" s="3">
        <f>2499.7+(139.5-296)+(-5.099388+(-0.28458--0.60384))+0-84.5--0.172379999999996</f>
        <v>2254.0922519999999</v>
      </c>
      <c r="I175" s="3">
        <f>2430.1+(139.6-289.7)+(-3.718053+(-0.213588--0.443241))+0-55.1--0.0843030000000032</f>
        <v>2221.495903</v>
      </c>
      <c r="J175" s="3">
        <f>2318.2+(139.8-256.6)+(-3.546846+(-0.213894--0.392598))+0-57.8--0.0884340000000033</f>
        <v>2140.3202919999994</v>
      </c>
      <c r="K175" s="3">
        <f>2237.6+(139.3-204.9)+(2.282352+(0.142086-0.208998))+0-76.6-0.0781320000000122</f>
        <v>2097.5373079999999</v>
      </c>
      <c r="L175" s="3">
        <f>2173.7+(139.4-261.3)+(-6.651522+(-0.426564--0.799578))+0-66.2--0.202572000000008</f>
        <v>1979.5240639999995</v>
      </c>
      <c r="M175" s="3">
        <f>2288.1+(138.5-255.7)+(-1.166931+(-0.070635--0.130407))+0-78.4--0.039983999999992</f>
        <v>2091.4328249999999</v>
      </c>
      <c r="N175" s="3">
        <f>2703.3+(138.3-447.7)+(0+(0-0))+0-81.3-0</f>
        <v>2312.6</v>
      </c>
      <c r="O175" s="3">
        <f>2856.3+(138.9-520.3)+(0+(0-0))+0-24-0</f>
        <v>2450.9</v>
      </c>
      <c r="P175" s="3">
        <f>2982.1+(133.8-483)+(0+(0-0))+0-23.6-0</f>
        <v>2609.3000000000002</v>
      </c>
      <c r="Q175" s="3">
        <f>3195.3+(120.5-544)+(6.518412+(0.24582-1.10976))+0-83.8-0.170951999999996</f>
        <v>2693.4835200000002</v>
      </c>
      <c r="R175" s="3">
        <f>3287+(116.6-592.4)+(1.67637+(0.059466-0.302124))+0-78.5-0.040034999999992</f>
        <v>2734.0936769999998</v>
      </c>
      <c r="S175" s="3">
        <f>3271.4+(106-606.9)+(-3.336828+(-0.10812--0.619038))+0-81.4--0.083028000000013</f>
        <v>2686.3571179999999</v>
      </c>
      <c r="T175" s="3">
        <f>3263.5+(100.4-602.3)+(-1.664385+(-0.051204--0.307173))+0-81.7--0.0416669999999917</f>
        <v>2678.5332509999998</v>
      </c>
      <c r="U175" s="3">
        <f>3221.6+(103.2-568.9)+(-1.643016+(-0.052632--0.290139))+0-86.6--0.0441659999999912</f>
        <v>2667.9386570000001</v>
      </c>
      <c r="V175" s="3">
        <f>3162.5+(106.3-520.7)+(-6.4515+(-0.216852--1.062228))+0-81.3--0.165851999999996</f>
        <v>2661.3597279999999</v>
      </c>
      <c r="W175" s="3">
        <f>3154.6+(106.7-443.1)+(1.608846+(0.054417-0.225981))+0-70.4-0.0359039999999929</f>
        <v>2749.2013779999997</v>
      </c>
      <c r="X175" s="3">
        <f>2916.1+(96.5-310.7)+(-2.974422+(-0.09843--0.316914))+0-79.2--0.0807840000000126</f>
        <v>2620.0248460000007</v>
      </c>
      <c r="Y175" s="3">
        <f>3227.8+(21.6-324.5)+(4.938534+(0.033048-0.496485))+0-85.5-0.130815000000005</f>
        <v>2843.7442820000001</v>
      </c>
      <c r="Z175" s="3">
        <f>3288.4+(27.5-332.2)+(-6.708336+(-0.0561--0.677688))+0-89.9--0.183395999999996</f>
        <v>2887.8966479999999</v>
      </c>
      <c r="AA175" s="3">
        <f>3265.3+(78.1-356.8)+(-11.657121+(-0.278817--1.273776))+0-82.7--0.295239000000001</f>
        <v>2893.5330770000005</v>
      </c>
      <c r="AB175" s="3">
        <f>3266.5+(138.9-402.5)+(-4.997745+(-0.212517--0.615825))+0-87.6--0.134028000000005</f>
        <v>2910.8395909999999</v>
      </c>
      <c r="AC175" s="3">
        <f>3133.8+(139.1-411.7)+(-1.598238+(-0.070941--0.209967))+0-39.5--0.020144999999996</f>
        <v>2820.260933</v>
      </c>
      <c r="AD175" s="2">
        <v>2596.4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2859.3+(139.5-375.1)+(2.916486+(0.14229-0.382602))+0-25.4-0.025908000000004</f>
        <v>2600.9502660000003</v>
      </c>
      <c r="G176" s="3">
        <f>2784.7+(138.8-347.5)+(2.840394+(0.141576-0.35445))+0-93-0.0948600000000148</f>
        <v>2485.5326599999999</v>
      </c>
      <c r="H176" s="3">
        <f>2694.1+(139.6-359.7)+(-4.121973+(-0.213588--0.550341))+0-50.6--0.0774180000000029</f>
        <v>2419.6921979999997</v>
      </c>
      <c r="I176" s="3">
        <f>2378.2+(139.9-215.4)+(-3.638646+(-0.214047--0.329562))+0-70.8--0.108324000000004</f>
        <v>2228.4851929999995</v>
      </c>
      <c r="J176" s="3">
        <f>2351.2+(140.4-215)+(-1.199112+(-0.071604--0.10965))+0-93.2--0.0475319999999905</f>
        <v>2182.286466</v>
      </c>
      <c r="K176" s="3">
        <f>2328.4+(141.1-218.7)+(-4.749936+(-0.287844--0.446148))+0-82--0.167279999999996</f>
        <v>2164.3756480000002</v>
      </c>
      <c r="L176" s="3">
        <f>2346.5+(141.8-258.3)+(-1.196715+(-0.072318--0.131733))+0-89.2--0.0454919999999909</f>
        <v>2139.7081920000005</v>
      </c>
      <c r="M176" s="3">
        <f>2510.7+(140.4-406.2)+(0+(0-0))+0-39.2-0</f>
        <v>2205.6999999999998</v>
      </c>
      <c r="N176" s="3">
        <f>2935.2+(140.2-656.3)+(1.496952+(0.071502-0.334713))+0-23.1-0.0117809999999977</f>
        <v>2397.2219599999999</v>
      </c>
      <c r="O176" s="3">
        <f>3051.8+(139.4-612.9)+(3.112836+(0.142188-0.625158))+0-21.3-0.0217260000000034</f>
        <v>2559.6081400000003</v>
      </c>
      <c r="P176" s="3">
        <f>3145.7+(138.9-596)+(6.417228+(0.283356-1.21584))+0-19.5-0.0397799999999991</f>
        <v>2674.5449639999997</v>
      </c>
      <c r="Q176" s="3">
        <f>3167.2+(137.6-553.3)+(-1.615272+(-0.070176--0.282183))+0-18.9--0.00963899999999808</f>
        <v>2731.2063739999999</v>
      </c>
      <c r="R176" s="3">
        <f>3229.9+(137.8-573.7)+(0+(0-0))+0-17.9-0</f>
        <v>2776.1</v>
      </c>
      <c r="S176" s="3">
        <f>3242+(118.1-571)+(-3.30684+(-0.120462--0.58242))+0-31.2--0.031824000000005</f>
        <v>2755.0869420000004</v>
      </c>
      <c r="T176" s="3">
        <f>3156+(93.5-481.4)+(-4.82868+(-0.143055--0.736542))+0-92.5--0.141525000000005</f>
        <v>2671.5063319999999</v>
      </c>
      <c r="U176" s="3">
        <f>3073.7+(108.6-459.1)+(-1.567587+(-0.055386--0.234141))+0-81.8--0.0417179999999917</f>
        <v>2640.0528859999995</v>
      </c>
      <c r="V176" s="3">
        <f>3038.8+(114.2-440)+(-6.199152+(-0.232968--0.8976))+0-63.2--0.128927999999997</f>
        <v>2644.3944080000001</v>
      </c>
      <c r="W176" s="3">
        <f>2958.2+(107.9-399.9)+(-9.052092+(-0.330174--1.223694))+0-84.4--0.25826400000001</f>
        <v>2573.899692</v>
      </c>
      <c r="X176" s="3">
        <f>2923+(69.5-391.5)+(-8.94438+(-0.21267--1.19799))+0-78.4--0.239904000000009</f>
        <v>2514.8808439999998</v>
      </c>
      <c r="Y176" s="3">
        <f>3245.7+(0-432.5)+(-3.310614+(0--0.44115))+0-85.6--0.0873120000000136</f>
        <v>2724.8178480000001</v>
      </c>
      <c r="Z176" s="3">
        <f>3457.3+(3.9-510)+(-5.289669+(-0.005967--0.7803))+0-82.6--0.126378000000005</f>
        <v>2864.2110420000004</v>
      </c>
      <c r="AA176" s="3">
        <f>3307.8+(51.9-468.3)+(-6.747912+(-0.105876--0.955332))+0-89.2--0.181967999999996</f>
        <v>2796.4835120000002</v>
      </c>
      <c r="AB176" s="3">
        <f>3236.9+(113.5-497.2)+(-6.603276+(-0.23154--1.014288))+0-84.1--0.171563999999996</f>
        <v>2763.4510360000004</v>
      </c>
      <c r="AC176" s="3">
        <f>2865.5+(139.8-366.2)+(5.84562+(0.285192-0.747048))+0-67.4-0.137495999999997</f>
        <v>2576.9462680000001</v>
      </c>
      <c r="AD176" s="2">
        <v>2575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2697.4+(140.8-356.8)+(-6.87837+(-0.35904--0.90984))+0-44.5--0.113474999999994</f>
        <v>2430.6859050000003</v>
      </c>
      <c r="G177" s="3">
        <f>2649.6+(141.4-368.4)+(1.351296+(0.072114-0.187884))+0-88.7-0.045236999999991</f>
        <v>2335.0902890000002</v>
      </c>
      <c r="H177" s="3">
        <f>2620.1+(141.2-406.6)+(-6.681255+(-0.36006--1.03683))+0-73.9--0.188444999999989</f>
        <v>2274.9839599999996</v>
      </c>
      <c r="I177" s="3">
        <f>2529.2+(142-395.4)+(0+(0-0))+0-74.7-0</f>
        <v>2201.1</v>
      </c>
      <c r="J177" s="3">
        <f>2527.4+(142-423.9)+(1.288974+(0.07242-0.216189))+0-70.8-0.0361079999999928</f>
        <v>2175.8090969999998</v>
      </c>
      <c r="K177" s="3">
        <f>2412.5+(142.7-366.7)+(3.691125+(0.218331-0.561051))+0-88-0.134640000000005</f>
        <v>2103.713765</v>
      </c>
      <c r="L177" s="3">
        <f>2148.3+(142.9-265.8)+(-2.191266+(-0.145758--0.271116))+0-77.4--0.0789480000000123</f>
        <v>1946.01304</v>
      </c>
      <c r="M177" s="3">
        <f>2214.3+(122.4-244.9)+(3.387879+(0.187272-0.374697))+0-79.5-0.121635000000005</f>
        <v>2015.378819</v>
      </c>
      <c r="N177" s="3">
        <f>2569+(96-392.2)+(-1.31019+(-0.04896--0.200022))+0-77.3--0.0394229999999922</f>
        <v>2194.3802950000004</v>
      </c>
      <c r="O177" s="3">
        <f>2674.7+(84.3-425.9)+(1.364097+(0.042993-0.217209))+0-87.4-0.0445739999999911</f>
        <v>2246.8453069999996</v>
      </c>
      <c r="P177" s="3">
        <f>2746.5+(82.3-390.9)+(4.202145+(0.125919-0.598077))+0-82.8-0.126684000000005</f>
        <v>2358.7033030000002</v>
      </c>
      <c r="Q177" s="3">
        <f>2888.1+(100.4-452.5)+(0+(0-0))+0-75.3-0</f>
        <v>2460.6999999999998</v>
      </c>
      <c r="R177" s="3">
        <f>2911.5+(92.7-443.7)+(-1.484865+(-0.047277--0.226287))+0-94.5--0.0481949999999904</f>
        <v>2464.7423399999998</v>
      </c>
      <c r="S177" s="3">
        <f>2894+(98.1-459.8)+(-4.42782+(-0.150093--0.703494))+0-76.1--0.116433000000004</f>
        <v>2452.4420140000002</v>
      </c>
      <c r="T177" s="3">
        <f>2907.1+(82.9-460.4)+(0+(0-0))+0-38.3-0</f>
        <v>2491.2999999999997</v>
      </c>
      <c r="U177" s="3">
        <f>2893.1+(82.8-429.4)+(0+(0-0))+0-95.6-0</f>
        <v>2450.9</v>
      </c>
      <c r="V177" s="3">
        <f>2875.3+(68.5-449.7)+(-7.332015+(-0.174675--1.146735))+0-92.3--0.235364999999987</f>
        <v>2395.6754100000003</v>
      </c>
      <c r="W177" s="3">
        <f>2843.4+(88-516.9)+(-7.25067+(-0.2244--1.318095))+0-80.9--0.206294999999988</f>
        <v>2327.64932</v>
      </c>
      <c r="X177" s="3">
        <f>2673.9+(66.1-440.5)+(-8.182134+(-0.202266--1.34793))+0-56.3--0.172278000000007</f>
        <v>2236.3358079999998</v>
      </c>
      <c r="Y177" s="3">
        <f>2897.8+(0-404.8)+(4.433634+(0-0.619344))+0-78.6-0.120258000000005</f>
        <v>2418.094032</v>
      </c>
      <c r="Z177" s="3">
        <f>2964.1+(0-406.2)+(-4.535073+(0--0.621486))+0-83.6--0.127908000000005</f>
        <v>2470.5143210000001</v>
      </c>
      <c r="AA177" s="3">
        <f>2978.7+(86.4-444.7)+(-4.557411+(-0.132192--0.680391))+0-84.6--0.129438000000005</f>
        <v>2531.9202259999997</v>
      </c>
      <c r="AB177" s="3">
        <f>2843.9+(125.9-414.1)+(-8.702334+(-0.385254--1.267146))+0-85.5--0.26163000000001</f>
        <v>2462.6411879999996</v>
      </c>
      <c r="AC177" s="3">
        <f>2662+(142-334.4)+(-5.43048+(-0.28968--0.682176))+0-68.5--0.139739999999997</f>
        <v>2396.2017559999999</v>
      </c>
      <c r="AD177" s="2">
        <v>2365.3000000000002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2390.6+(152.5-198.9)+(-2.438412+(-0.15555--0.202878))+0-83.8--0.0854760000000134</f>
        <v>2258.094392</v>
      </c>
      <c r="G178" s="3">
        <f>2270.8+(157.4-186.7)+(-4.632432+(-0.321096--0.380868))+0-86.6--0.176663999999996</f>
        <v>2150.5040040000004</v>
      </c>
      <c r="H178" s="3">
        <f>2223.2+(142.1-206.8)+(-5.66916+(-0.362355--0.52734))+0-73.3--0.186914999999989</f>
        <v>2079.8827399999996</v>
      </c>
      <c r="I178" s="3">
        <f>2222+(141.2-212.6)+(-3.39966+(-0.216036--0.325278))+0-79.5--0.121635000000005</f>
        <v>2067.9312169999998</v>
      </c>
      <c r="J178" s="3">
        <f>2140.2+(146.9-189.2)+(2.183004+(0.149838-0.192984))+0-78.6-0.0801720000000125</f>
        <v>2021.3596859999998</v>
      </c>
      <c r="K178" s="3">
        <f>2076.5+(169.9-181.7)+(-3.177045+(-0.259947--0.278001))+0-78.3--0.119799000000005</f>
        <v>1983.3608080000001</v>
      </c>
      <c r="L178" s="3">
        <f>1969.8+(180.7-154.2)+(-2.009196+(-0.184314--0.157284))+0-89.6--0.0913920000000143</f>
        <v>1904.7551660000001</v>
      </c>
      <c r="M178" s="3">
        <f>1880.5+(238.4-144.6)+(0+(0-0))+0-82.8-0</f>
        <v>1891.5</v>
      </c>
      <c r="N178" s="3">
        <f>2162.6+(123.3-174)+(-1.102926+(-0.062883--0.08874))+0-61.4--0.0313139999999938</f>
        <v>2049.4542449999999</v>
      </c>
      <c r="O178" s="3">
        <f>2301.9+(141.3-166.2)+(1.173969+(0.072063-0.084762))+0-90.4-0.0461039999999908</f>
        <v>2187.715166</v>
      </c>
      <c r="P178" s="3">
        <f>2437.6+(118.1-175.7)+(-1.243176+(-0.060231--0.089607))+0-87.7--0.0447269999999911</f>
        <v>2291.1309270000002</v>
      </c>
      <c r="Q178" s="3">
        <f>2493.2+(146-162.3)+(-1.271532+(-0.07446--0.082773))+0-87.6--0.0446759999999911</f>
        <v>2388.0814569999998</v>
      </c>
      <c r="R178" s="3">
        <f>2504.7+(135.2-174.3)+(1.277397+(0.068952-0.088893))+0-84.1-0.0428909999999915</f>
        <v>2382.7145649999998</v>
      </c>
      <c r="S178" s="3">
        <f>2497.6+(117.4-187.6)+(-3.821328+(-0.179622--0.287028))+0-84--0.128520000000005</f>
        <v>2339.8145980000004</v>
      </c>
      <c r="T178" s="3">
        <f>2517.8+(96.7-185.3)+(-1.284078+(-0.049317--0.094503))+0-86.9--0.0443189999999912</f>
        <v>2341.1054270000004</v>
      </c>
      <c r="U178" s="3">
        <f>2441.3+(132.3-177)+(-3.735189+(-0.202419--0.27081))+0-65.1--0.0996030000000038</f>
        <v>2327.9328050000004</v>
      </c>
      <c r="V178" s="3">
        <f>2483.3+(102.9-177.1)+(-2.532966+(-0.104958--0.180642))+0-90.2--0.0920040000000144</f>
        <v>2316.5347220000008</v>
      </c>
      <c r="W178" s="3">
        <f>2365.5+(140.8-172.2)+(-2.41281+(-0.143616--0.175644))+0-73.1--0.0745620000000116</f>
        <v>2258.6937799999996</v>
      </c>
      <c r="X178" s="3">
        <f>2251.2+(178.7-175.5)+(-4.592448+(-0.364548--0.35802))+0-84--0.171359999999996</f>
        <v>2165.9723839999992</v>
      </c>
      <c r="Y178" s="3">
        <f>2492.7+(142.8-191.3)+(0+(0-0))+0-71.3-0</f>
        <v>2372.8999999999996</v>
      </c>
      <c r="Z178" s="3">
        <f>2640.6+(91.2-193.3)+(-4.040118+(-0.139536--0.295749))+0-71--0.108630000000004</f>
        <v>2463.724725</v>
      </c>
      <c r="AA178" s="3">
        <f>2498.4+(139.4-183.1)+(-5.096736+(-0.284376--0.373524))+0-81.9--0.167075999999996</f>
        <v>2367.9594880000004</v>
      </c>
      <c r="AB178" s="3">
        <f>2457.5+(152.5-211.6)+(0+(0-0))+0-83.3-0</f>
        <v>2315.1</v>
      </c>
      <c r="AC178" s="3">
        <f>2400.2+(158.4-192)+(-4.896408+(-0.323136--0.39168))+0-96.6--0.197063999999996</f>
        <v>2265.3692000000001</v>
      </c>
      <c r="AD178" s="2">
        <v>2304.6999999999998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2378.7+(140.8-212.4)+(-1.213137+(-0.071808--0.108324))+0-74.4--0.0379439999999925</f>
        <v>2231.5613229999999</v>
      </c>
      <c r="G179" s="3">
        <f>2347.3+(140.9-212.9)+(2.394246+(0.143718-0.217158))+0-78.6-0.0801720000000125</f>
        <v>2198.9406340000005</v>
      </c>
      <c r="H179" s="3">
        <f>2191.5+(147.6-187.2)+(-3.352995+(-0.225828--0.286416))+0-73.3--0.112149000000004</f>
        <v>2075.419742</v>
      </c>
      <c r="I179" s="3">
        <f>2169.3+(142.4-193.1)+(-1.106343+(-0.072624--0.098481))+0-87.8--0.0447779999999911</f>
        <v>2029.7642920000005</v>
      </c>
      <c r="J179" s="3">
        <f>2121.6+(146.8-178.9)+(-1.082016+(-0.074868--0.091239))+0-85--0.0433499999999914</f>
        <v>2003.4777049999998</v>
      </c>
      <c r="K179" s="3">
        <f>1996.3+(168-156.6)+(2.036226+(0.17136-0.159732))+0-76.7-0.0782340000000122</f>
        <v>1932.9696199999998</v>
      </c>
      <c r="L179" s="3">
        <f>1908.1+(163.2-156.6)+(1.946262+(0.166464-0.159732))+0-83.1-0.0847620000000132</f>
        <v>1833.4682319999999</v>
      </c>
      <c r="M179" s="3">
        <f>1835.9+(167.9-138.1)+(1.872618+(0.171258-0.140862))+0-82.2-0.0838440000000131</f>
        <v>1785.31917</v>
      </c>
      <c r="N179" s="3">
        <f>1872.7+(170.9-136.4)+(1.910154+(0.174318-0.139128))+0-76.5-0.0780300000000122</f>
        <v>1832.5673140000001</v>
      </c>
      <c r="O179" s="3">
        <f>1965+(170-147.2)+(1.00215+(0.0867-0.075072))+0-97-0.0494699999999902</f>
        <v>1891.764308</v>
      </c>
      <c r="P179" s="3">
        <f>2047.2+(168.9-161.7)+(0+(0-0))+0-64.8-0</f>
        <v>1989.6000000000001</v>
      </c>
      <c r="Q179" s="3">
        <f>2141.1+(165.9-179.8)+(0+(0-0))+0-86.5-0</f>
        <v>2040.6999999999998</v>
      </c>
      <c r="R179" s="3">
        <f>2289.6+(148.8-217.1)+(-1.167696+(-0.075888--0.110721))+0-87.9--0.0448289999999911</f>
        <v>2132.3119659999998</v>
      </c>
      <c r="S179" s="3">
        <f>2268.1+(161.9-203.6)+(-3.470193+(-0.247707--0.311508))+0-86--0.131580000000005</f>
        <v>2137.1251880000004</v>
      </c>
      <c r="T179" s="3">
        <f>2239.4+(175.4-191.7)+(-2.284188+(-0.178908--0.195534))+0-82.4--0.0840480000000131</f>
        <v>2138.516486</v>
      </c>
      <c r="U179" s="3">
        <f>2266.6+(163.4-207.1)+(-2.311932+(-0.166668--0.211242))+0-65.1--0.0664020000000104</f>
        <v>2155.599044</v>
      </c>
      <c r="V179" s="3">
        <f>2262.3+(155.2-199.2)+(-2.307546+(-0.158304--0.203184))+0-95--0.0969000000000152</f>
        <v>2121.1342340000001</v>
      </c>
      <c r="W179" s="3">
        <f>2137.4+(168-191.8)+(-2.180148+(-0.17136--0.195636))+0-69.3--0.070686000000011</f>
        <v>2042.2148140000002</v>
      </c>
      <c r="X179" s="3">
        <f>2065.9+(189.4-165.6)+(-1.053609+(-0.096594--0.084456))+0-85.1--0.0434009999999914</f>
        <v>2003.5776540000002</v>
      </c>
      <c r="Y179" s="3">
        <f>2389+(137.7-185.5)+(-1.21839+(-0.070227--0.094605))+0-83.1--0.0423809999999916</f>
        <v>2256.9483690000002</v>
      </c>
      <c r="Z179" s="3">
        <f>2434.5+(163.6-186.1)+(-2.48319+(-0.166872--0.189822))+0-87.3--0.0890460000000139</f>
        <v>2322.328806</v>
      </c>
      <c r="AA179" s="3">
        <f>2395.1+(157.2-171.5)+(-3.664503+(-0.240516--0.262395))+0-82.7--0.126531000000005</f>
        <v>2294.5839069999997</v>
      </c>
      <c r="AB179" s="3">
        <f>2401.1+(166-187.2)+(2.449122+(0.16932-0.190944))+0-82.2-0.0838440000000131</f>
        <v>2300.0436540000001</v>
      </c>
      <c r="AC179" s="3">
        <f>2265.1+(190.4-152.1)+(-1.155201+(-0.097104--0.077571))+0-87--0.0443699999999912</f>
        <v>2215.269636</v>
      </c>
      <c r="AD179" s="2">
        <v>2270.4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2242.4+(167.3-164.7)+(0+(0-0))+0-79.1-0</f>
        <v>2165.9</v>
      </c>
      <c r="G180" s="3">
        <f>2239+(158.4-167.3)+(0+(0-0))+0-83.4-0</f>
        <v>2146.6999999999998</v>
      </c>
      <c r="H180" s="3">
        <f>2237.7+(143.1-216.6)+(0+(0-0))+0-77-0</f>
        <v>2087.1999999999998</v>
      </c>
      <c r="I180" s="3">
        <f>2103.4+(159.5-156.2)+(0+(0-0))+0-82.8-0</f>
        <v>2023.9000000000003</v>
      </c>
      <c r="J180" s="3">
        <f>1841.9+(227.7-120.5)+(4.696845+(0.580635-0.307275))+0-72.9-0.185894999999989</f>
        <v>1880.9843100000001</v>
      </c>
      <c r="K180" s="3">
        <f>1820.1+(259.7-139.9)+(1.856502+(0.264894-0.142698))+0-93.3-0.0951660000000149</f>
        <v>1848.4835319999997</v>
      </c>
      <c r="L180" s="3">
        <f>1841+(172.8-169.6)+(0.93891+(0.088128-0.086496))+0-82-0.0418199999999917</f>
        <v>1763.0987220000002</v>
      </c>
      <c r="M180" s="3">
        <f>1990.1+(143.1-195.9)+(-2.029902+(-0.145962--0.199818))+0-94.8--0.0966960000000151</f>
        <v>1840.6206500000001</v>
      </c>
      <c r="N180" s="3">
        <f>2570.7+(141.1-347.3)+(6.555285+(0.359805-0.885615))+0-28.3-0.0721649999999959</f>
        <v>2342.1573099999996</v>
      </c>
      <c r="O180" s="3">
        <f>2706.6+(137.4-372.2)+(0+(0-0))+0-72.2-0</f>
        <v>2399.6</v>
      </c>
      <c r="P180" s="3">
        <f>2834.9+(139-399.5)+(1.445799+(0.07089-0.203745))+0-82.8-0.0422279999999916</f>
        <v>2492.8707159999999</v>
      </c>
      <c r="Q180" s="3">
        <f>2912.3+(139.2-382.9)+(1.485273+(0.070992-0.195279))+0-76.8-0.0391679999999922</f>
        <v>2593.1218180000005</v>
      </c>
      <c r="R180" s="3">
        <f>2957.2+(138.9-388.1)+(-3.016344+(-0.141678--0.395862))+0-88.1--0.089862000000014</f>
        <v>2617.2277019999997</v>
      </c>
      <c r="S180" s="3">
        <f>3074.2+(139.4-482)+(1.567842+(0.071094-0.24582))+0-78.5-0.040034999999992</f>
        <v>2654.4530810000001</v>
      </c>
      <c r="T180" s="3">
        <f>3121.4+(139.9-537.7)+(0+(0-0))+0-77-0</f>
        <v>2646.6</v>
      </c>
      <c r="U180" s="3">
        <f>3068.9+(140.5-561)+(7.825695+(0.358275-1.43055))+0-59.8-0.152489999999991</f>
        <v>2595.20093</v>
      </c>
      <c r="V180" s="3">
        <f>2957.8+(139.8-503.7)+(-6.033912+(-0.285192--1.027548))+0-68.5--0.139739999999997</f>
        <v>2520.248184</v>
      </c>
      <c r="W180" s="3">
        <f>2794.4+(138.7-402.9)+(-11.401152+(-0.565896--1.643832))+0-71.5--0.291719999999994</f>
        <v>2448.6685040000007</v>
      </c>
      <c r="X180" s="3">
        <f>2679.6+(127.6-346)+(-6.83298+(-0.32538--0.8823))+0-77--0.196349999999989</f>
        <v>2378.1202899999998</v>
      </c>
      <c r="Y180" s="3">
        <f>3056.7+(67.6-382.9)+(3.117834+(0.068952-0.390558))+0-89.5-0.0912900000000143</f>
        <v>2654.6049379999999</v>
      </c>
      <c r="Z180" s="3">
        <f>3157.3+(88.5-411.5)+(-3.220446+(-0.09027--0.41973))+0-90.5--0.0923100000000144</f>
        <v>2741.0013240000003</v>
      </c>
      <c r="AA180" s="3">
        <f>3036.6+(135.7-462.1)+(-3.097332+(-0.138414--0.471342))+0-83.9--0.0855780000000134</f>
        <v>2623.6211739999999</v>
      </c>
      <c r="AB180" s="3">
        <f>2778+(140.4-297.8)+(-2.83356+(-0.143208--0.303756))+0-74.3--0.0757860000000118</f>
        <v>2543.7027739999994</v>
      </c>
      <c r="AC180" s="3">
        <f>2636+(140.4-229.9)+(1.34436+(0.071604-0.117249))+0-92.5-0.0471749999999906</f>
        <v>2455.2515399999997</v>
      </c>
      <c r="AD180" s="2">
        <v>2422.1000000000004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2592.9+(141.2-239.8)+(-3.967137+(-0.216036--0.366894))+0-89--0.136170000000005</f>
        <v>2401.6198910000003</v>
      </c>
      <c r="G181" s="3">
        <f>2586.4+(140.4-298.6)+(-5.276256+(-0.286416--0.609144))+0-56.5--0.115259999999998</f>
        <v>2366.8617320000003</v>
      </c>
      <c r="H181" s="3">
        <f>2500.8+(140.6-289.5)+(-3.826224+(-0.215118--0.442935))+0-74.2--0.113526000000004</f>
        <v>2274.2151190000004</v>
      </c>
      <c r="I181" s="3">
        <f>2227.5+(170.9-169.1)+(-1.136025+(-0.087159--0.086241))+0-84.5--0.0430949999999914</f>
        <v>2143.7061520000002</v>
      </c>
      <c r="J181" s="3">
        <f>2033.6+(219-119.6)+(4.148544+(0.44676-0.243984))+0-75.1-0.153203999999997</f>
        <v>2062.0981160000001</v>
      </c>
      <c r="K181" s="3">
        <f>2019.9+(206.2-140.2)+(1.030149+(0.105162-0.071502))+0-84.2-0.0429419999999915</f>
        <v>2002.7208670000002</v>
      </c>
      <c r="L181" s="3">
        <f>1904.4+(194.3-161.2)+(-3.884976+(-0.396372--0.328848))+0-84.9--0.173195999999996</f>
        <v>1848.8206959999998</v>
      </c>
      <c r="M181" s="3">
        <f>1955.4+(183.6-170.9)+(-0.997254+(-0.093636--0.087159))+0-67.1--0.0342209999999932</f>
        <v>1900.0304900000001</v>
      </c>
      <c r="N181" s="3">
        <f>2277.9+(152.3-215)+(0+(0-0))+0-83.1-0</f>
        <v>2132.1000000000004</v>
      </c>
      <c r="O181" s="3">
        <f>2594.6+(139.8-272.7)+(-9.262722+(-0.499086--0.973539))+0-92.7--0.330939000000001</f>
        <v>2360.5426699999998</v>
      </c>
      <c r="P181" s="3">
        <f>2658.6+(145.3-240.3)+(0+(0-0))+0-81-0</f>
        <v>2482.6</v>
      </c>
      <c r="Q181" s="3">
        <f>2630.6+(163.6-229.6)+(2.683212+(0.166872-0.234192))+0-82.9-0.0845580000000132</f>
        <v>2484.2313339999996</v>
      </c>
      <c r="R181" s="3">
        <f>2730.3+(155.9-211.1)+(0+(0-0))+0-85.7-0</f>
        <v>2589.4000000000005</v>
      </c>
      <c r="S181" s="3">
        <f>2861.1+(137.4-329.3)+(-1.459161+(-0.070074--0.167943))+0-75.3--0.0384029999999924</f>
        <v>2592.5771109999996</v>
      </c>
      <c r="T181" s="3">
        <f>2901.2+(138-355.1)+(-1.479612+(-0.07038--0.181101))+0-72.9--0.0371789999999926</f>
        <v>2609.8682879999997</v>
      </c>
      <c r="U181" s="3">
        <f>2907.9+(138.8-367.5)+(0+(0-0))+0-87.8-0</f>
        <v>2591.4</v>
      </c>
      <c r="V181" s="3">
        <f>2911.4+(139-401.5)+(-4.454442+(-0.21267--0.614295))+0-83.7--0.128061000000005</f>
        <v>2561.2752440000004</v>
      </c>
      <c r="W181" s="3">
        <f>2786.2+(116.5-343.5)+(-1.420962+(-0.059415--0.175185))+0-91.2--0.0465119999999907</f>
        <v>2466.7413200000001</v>
      </c>
      <c r="X181" s="3">
        <f>2455.2+(103.7-222.8)+(1.252152+(0.052887-0.113628))+0-43.2-0.0220319999999956</f>
        <v>2294.069379</v>
      </c>
      <c r="Y181" s="3">
        <f>2836.3+(51.9-233.2)+(-1.446513+(-0.026469--0.118932))+0-86--0.0438599999999913</f>
        <v>2567.6898099999999</v>
      </c>
      <c r="Z181" s="3">
        <f>2907+(65.2-231.4)+(-2.96514+(-0.066504--0.236028))+0-79.9--0.0814980000000127</f>
        <v>2658.1858820000002</v>
      </c>
      <c r="AA181" s="3">
        <f>2912.7+(89.3-246.6)+(-2.970954+(-0.091086--0.251532))+0-88.6--0.0903720000000141</f>
        <v>2664.0798639999998</v>
      </c>
      <c r="AB181" s="3">
        <f>2777.9+(117-315.6)+(0+(0-0))+0-88.1-0</f>
        <v>2491.2000000000003</v>
      </c>
      <c r="AC181" s="3">
        <f>2607.9+(140.1-297.4)+(-5.320116+(-0.285804--0.606696))+0-78.8--0.160751999999997</f>
        <v>2366.9615279999994</v>
      </c>
      <c r="AD181" s="2">
        <v>2455.2999999999997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2448.1+(140-243.6)+(-7.491186+(-0.4284--0.745416))+0-65.7--0.201042000000008</f>
        <v>2271.8268720000005</v>
      </c>
      <c r="G182" s="3">
        <f>2439.7+(139.5-257.6)+(-6.221235+(-0.355725--0.65688))+0-81.5--0.207824999999988</f>
        <v>2234.387745</v>
      </c>
      <c r="H182" s="3">
        <f>2292.5+(128-172.6)+(-3.507525+(-0.19584--0.264078))+0-74.9--0.114597000000004</f>
        <v>2169.6753100000001</v>
      </c>
      <c r="I182" s="3">
        <f>2123.4+(171.4-146.7)+(-7.580538+(-0.611898--0.523719))+0-82.5--0.294525000000001</f>
        <v>2058.2258079999997</v>
      </c>
      <c r="J182" s="3">
        <f>2191.3+(154.8-167.9)+(2.235126+(0.157896-0.171258))+0-90.4-0.0922080000000144</f>
        <v>2089.929556</v>
      </c>
      <c r="K182" s="3">
        <f>2101.8+(176.5-161.5)+(-3.215754+(-0.270045--0.247095))+0-82.4--0.126072000000005</f>
        <v>2031.2873680000002</v>
      </c>
      <c r="L182" s="3">
        <f>2051.6+(166.8-165.1)+(-6.277896+(-0.510408--0.505206))+0-84.4--0.25826400000001</f>
        <v>1962.8751659999996</v>
      </c>
      <c r="M182" s="3">
        <f>2135.9+(139-185.6)+(2.178618+(0.14178-0.189312))+0-60.5-0.0617100000000096</f>
        <v>2030.8693760000001</v>
      </c>
      <c r="N182" s="3">
        <f>2539.2+(100.5-284.5)+(2.589984+(0.10251-0.29019))+0-85.9-0.0876180000000137</f>
        <v>2271.6146859999999</v>
      </c>
      <c r="O182" s="3">
        <f>2645.4+(101.1-254.3)+(1.349154+(0.051561-0.129693))+0-82.4-0.0420239999999916</f>
        <v>2411.0289980000002</v>
      </c>
      <c r="P182" s="3">
        <f>2685.1+(124.6-226.1)+(4.108203+(0.190638-0.345933))+0-74.8-0.114444000000004</f>
        <v>2512.6384640000001</v>
      </c>
      <c r="Q182" s="3">
        <f>2745+(106.7-247.6)+(2.7999+(0.108834-0.252552))+0-82.7-0.0843540000000132</f>
        <v>2523.9718280000002</v>
      </c>
      <c r="R182" s="3">
        <f>2714.8+(109.1-256.2)+(-1.384548+(-0.055641--0.130662))+0-32.7--0.0166769999999967</f>
        <v>2533.7071500000006</v>
      </c>
      <c r="S182" s="3">
        <f>2697.2+(102-228.9)+(-4.126716+(-0.15606--0.350217))+0-83.4--0.127602000000005</f>
        <v>2483.0950429999998</v>
      </c>
      <c r="T182" s="3">
        <f>2702.8+(77.6-249.4)+(-1.378428+(-0.039576--0.127194))+0-56.2--0.0286619999999943</f>
        <v>2473.5378520000004</v>
      </c>
      <c r="U182" s="3">
        <f>2711.4+(109.8-289.7)+(1.382814+(0.055998-0.147747))+0-62-0.0316199999999937</f>
        <v>2470.7594449999997</v>
      </c>
      <c r="V182" s="3">
        <f>2713.9+(110.1-298.5)+(-1.384089+(-0.056151--0.152235))+0-83--0.0423299999999916</f>
        <v>2441.2543249999999</v>
      </c>
      <c r="W182" s="3">
        <f>2714.8+(93.6-272.5)+(-1.384548+(-0.047736--0.138975))+0-86--0.0438599999999913</f>
        <v>2448.6505509999997</v>
      </c>
      <c r="X182" s="3">
        <f>2614.4+(81.9-230.7)+(-5.333376+(-0.167076--0.470628))+0-26--0.0530399999999989</f>
        <v>2434.6232159999995</v>
      </c>
      <c r="Y182" s="3">
        <f>2743.7+(102.2-188.9)+(1.399287+(0.052122-0.096339))+0-76.2-0.0388619999999923</f>
        <v>2582.1162080000004</v>
      </c>
      <c r="Z182" s="3">
        <f>2731.2+(106.9-176.9)+(-5.571648+(-0.218076--0.360876))+0-76.8--0.156671999999997</f>
        <v>2579.1278239999997</v>
      </c>
      <c r="AA182" s="3">
        <f>2693.3+(118.7-175.8)+(-8.241498+(-0.363222--0.537948))+0-69.6--0.212976000000008</f>
        <v>2558.746204</v>
      </c>
      <c r="AB182" s="3">
        <f>2577.1+(180.8-171.1)+(-3.942963+(-0.276624--0.261783))+0-78.5--0.120105000000005</f>
        <v>2504.4623009999996</v>
      </c>
      <c r="AC182" s="3">
        <f>2598.3+(145.2-211.3)+(-1.325133+(-0.074052--0.107763))+0-85.6--0.0436559999999913</f>
        <v>2445.3522340000004</v>
      </c>
      <c r="AD182" s="2">
        <v>2448.6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2559+(140.2-288.5)+(-5.22036+(-0.286008--0.58854))+0-32.5--0.0662999999999986</f>
        <v>2373.3484719999997</v>
      </c>
      <c r="G183" s="3">
        <f>2468+(140.5-293.4)+(-10.06944+(-0.57324--1.197072))+0-80.9--0.330071999999993</f>
        <v>2225.084464</v>
      </c>
      <c r="H183" s="3">
        <f>2404.1+(140.9-301.7)+(-3.678273+(-0.215577--0.461601))+0-89.2--0.136476000000005</f>
        <v>2150.8042270000001</v>
      </c>
      <c r="I183" s="3">
        <f>2417.4+(141.8-326.3)+(-1.232874+(-0.072318--0.166413))+0-79.1--0.040340999999992</f>
        <v>2152.7015620000002</v>
      </c>
      <c r="J183" s="3">
        <f>2244.3+(139.5-240.4)+(-1.144593+(-0.071145--0.122604))+0-74.8--0.0381479999999924</f>
        <v>2067.5450139999998</v>
      </c>
      <c r="K183" s="3">
        <f>2234.8+(140.2-249.1)+(-1.139748+(-0.071502--0.127041))+0-77.1--0.0393209999999922</f>
        <v>2047.7551120000001</v>
      </c>
      <c r="L183" s="3">
        <f>2229.1+(114.7-295.6)+(-1.136841+(-0.058497--0.150756))+0-54.3--0.0276929999999945</f>
        <v>1992.8831109999999</v>
      </c>
      <c r="M183" s="3">
        <f>2331.7+(117-324.3)+(2.378334+(0.11934-0.330786))+0-21.4-0.0218280000000034</f>
        <v>2105.1450599999998</v>
      </c>
      <c r="N183" s="3">
        <f>2693.1+(106.8-489.2)+(4.120443+(0.163404-0.748476))+0-13.8-0.0211140000000008</f>
        <v>2300.4142569999995</v>
      </c>
      <c r="O183" s="3">
        <f>2636.9+(105.1-386.6)+(-2.689638+(-0.107202--0.394332))+0-8.8--0.0089760000000014</f>
        <v>2344.2064679999999</v>
      </c>
      <c r="P183" s="3">
        <f>2765.6+(106-381.7)+(0+(0-0))+0-12.1-0</f>
        <v>2477.8000000000002</v>
      </c>
      <c r="Q183" s="3">
        <f>2774.7+(100.2-319.2)+(1.415097+(0.051102-0.162792))+0-10.8-0.0055079999999989</f>
        <v>2546.1978989999993</v>
      </c>
      <c r="R183" s="3">
        <f>2760.4+(78.2-279.6)+(1.407804+(0.039882-0.142596))+0-13.8-0.0070379999999986</f>
        <v>2546.4980519999995</v>
      </c>
      <c r="S183" s="3">
        <f>2783.9+(63.1-332.6)+(-1.419789+(-0.032181--0.169626))+0-45.7--0.0233069999999954</f>
        <v>2467.440963</v>
      </c>
      <c r="T183" s="3">
        <f>2835.4+(55.7-394.7)+(-1.446054+(-0.028407--0.201297))+0-46--0.0234599999999953</f>
        <v>2449.1502959999998</v>
      </c>
      <c r="U183" s="3">
        <f>2856.8+(51.6-423)+(-1.456968+(-0.026316--0.21573))+0-46.1--0.0235109999999953</f>
        <v>2438.055957</v>
      </c>
      <c r="V183" s="3">
        <f>2868.6+(48.1-429.5)+(-7.31493+(-0.122655--1.095225))+0-83.1--0.211904999999988</f>
        <v>2397.9695449999999</v>
      </c>
      <c r="W183" s="3">
        <f>2876.9+(60.2-441.6)+(-5.868876+(-0.122808--0.900864))+0-83.4--0.170135999999996</f>
        <v>2407.1793160000002</v>
      </c>
      <c r="X183" s="3">
        <f>2689.1+(35.8-294.2)+(-2.742882+(-0.036516--0.300084))+0-78.4--0.0799680000000125</f>
        <v>2349.9006539999996</v>
      </c>
      <c r="Y183" s="3">
        <f>2706.2+(116-208.8)+(1.380162+(0.05916-0.106488))+0-74.7-0.0380969999999924</f>
        <v>2539.9947369999995</v>
      </c>
      <c r="Z183" s="3">
        <f>2767.5+(72.5-200.7)+(-2.82285+(-0.07395--0.204714))+0-76.2--0.0777240000000122</f>
        <v>2560.4856380000006</v>
      </c>
      <c r="AA183" s="3">
        <f>2763+(89.2-194)+(-7.04565+(-0.22746--0.4947))+0-85.8--0.218789999999988</f>
        <v>2565.8403799999996</v>
      </c>
      <c r="AB183" s="3">
        <f>2624.6+(152.2-182.9)+(-5.354184+(-0.310488--0.373116))+0-87.3--0.178091999999996</f>
        <v>2501.4865359999999</v>
      </c>
      <c r="AC183" s="3">
        <f>2511.5+(167.3-181.1)+(-5.12346+(-0.341292--0.369444))+0-93.3--0.190331999999996</f>
        <v>2399.4950239999998</v>
      </c>
      <c r="AD183" s="2">
        <v>2432.6999999999998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2636.8+(139.7-356.1)+(-1.344768+(-0.071247--0.181611))+0-74--0.0377399999999925</f>
        <v>2345.2033360000005</v>
      </c>
      <c r="G184" s="3">
        <f>2588.8+(140.2-395.9)+(-6.60144+(-0.35751--1.009545))+0-80--0.203999999999988</f>
        <v>2247.3545950000007</v>
      </c>
      <c r="H184" s="3">
        <f>2463.6+(140.5-402.6)+(-7.538616+(-0.42993--1.231956))+0-71.7--0.219402000000008</f>
        <v>2123.2828120000004</v>
      </c>
      <c r="I184" s="3">
        <f>2351.9+(140.8-353.1)+(-8.396283+(-0.502656--1.260567))+0-82.9--0.295953000000001</f>
        <v>2049.3575809999998</v>
      </c>
      <c r="J184" s="3">
        <f>2220+(140.4-276.2)+(-4.5288+(-0.286416--0.563448))+0-83.7--0.170747999999996</f>
        <v>1996.4189799999997</v>
      </c>
      <c r="K184" s="3">
        <f>2203.3+(123.3-246.1)+(3.371049+(0.188649-0.376533))+0-82.6-0.126378000000005</f>
        <v>2000.9567870000001</v>
      </c>
      <c r="L184" s="3">
        <f>2176+(103.8-275.7)+(-4.43904+(-0.211752--0.562428))+0-79--0.161159999999997</f>
        <v>1921.1727960000001</v>
      </c>
      <c r="M184" s="3">
        <f>2384.6+(116.4-416.9)+(0+(0-0))+0-47.9-0</f>
        <v>2036.1999999999998</v>
      </c>
      <c r="N184" s="3">
        <f>2641.8+(108.6-475)+(0+(0-0))+0-87.4-0</f>
        <v>2188</v>
      </c>
      <c r="O184" s="3">
        <f>2889.7+(102.8-566)+(2.947494+(0.104856-0.57732))+0-80.4-0.0820080000000128</f>
        <v>2348.4930220000001</v>
      </c>
      <c r="P184" s="3">
        <f>3027.6+(103-582.7)+(3.088152+(0.10506-0.594354))+0-68.8-0.070176000000011</f>
        <v>2481.6286819999991</v>
      </c>
      <c r="Q184" s="3">
        <f>3088.9+(105-599.8)+(4.726017+(0.16065-0.917694))+0-71.9-0.110007000000004</f>
        <v>2526.0589660000001</v>
      </c>
      <c r="R184" s="3">
        <f>3124.5+(103-583)+(4.780485+(0.15759-0.89199))+0-85.2-0.130356000000005</f>
        <v>2563.215729</v>
      </c>
      <c r="S184" s="3">
        <f>3073.4+(86-569.1)+(-3.134868+(-0.08772--0.580482))+0-80.9--0.0825180000000129</f>
        <v>2506.8404120000005</v>
      </c>
      <c r="T184" s="3">
        <f>3089+(111-592)+(0+(0-0))+0-82.3-0</f>
        <v>2525.6999999999998</v>
      </c>
      <c r="U184" s="3">
        <f>3076.8+(90-577.6)+(-3.138336+(-0.0918--0.589152))+0-77.4--0.0789480000000123</f>
        <v>2509.2379639999999</v>
      </c>
      <c r="V184" s="3">
        <f>3050.9+(94-575.3)+(-6.223836+(-0.19176--1.173612))+0-85--0.173399999999996</f>
        <v>2479.5314160000007</v>
      </c>
      <c r="W184" s="3">
        <f>3049.6+(99-611)+(-7.77648+(-0.25245--1.55805))+0-62.1--0.158354999999991</f>
        <v>2469.1874750000002</v>
      </c>
      <c r="X184" s="3">
        <f>3023.3+(42-526.1)+(-3.083766+(-0.04284--0.536622))+0-78--0.0795600000000124</f>
        <v>2458.6895760000002</v>
      </c>
      <c r="Y184" s="3">
        <f>3342.9+(0-604)+(1.704879+(0-0.30804))+0-83.9-0.0427889999999915</f>
        <v>2656.3540499999999</v>
      </c>
      <c r="Z184" s="3">
        <f>3448.4+(0-643.2)+(-8.79342+(0--1.64016))+0-74.9--0.190994999999989</f>
        <v>2723.3377349999996</v>
      </c>
      <c r="AA184" s="3">
        <f>3337.7+(28-648.9)+(-3.404454+(-0.02856--0.661878))+0-31.8--0.0324360000000051</f>
        <v>2682.2612999999997</v>
      </c>
      <c r="AB184" s="3">
        <f>3082+(128-555.4)+(-4.71546+(-0.19584--0.849762))+0-80.5--0.123165000000005</f>
        <v>2570.161627</v>
      </c>
      <c r="AC184" s="3">
        <f>2937.7+(141-548.8)+(-1.498227+(-0.07191--0.279888))+0-83.4--0.0425339999999915</f>
        <v>2445.2522849999996</v>
      </c>
      <c r="AD184" s="2">
        <v>2446.7999999999997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2856.7+(142-562.9)+(-1.456917+(-0.07242--0.287079))+0-75.5--0.0385049999999923</f>
        <v>2359.0962469999995</v>
      </c>
      <c r="G185" s="3">
        <f>2657.6+(142-458.1)+(0+(0-0))+0-77.7-0</f>
        <v>2263.8000000000002</v>
      </c>
      <c r="H185" s="3">
        <f>2485.8+(141-406.1)+(-5.071032+(-0.28764--0.828444))+0-82.7--0.168707999999996</f>
        <v>2133.6384800000005</v>
      </c>
      <c r="I185" s="3">
        <f>2464.4+(142-426.6)+(-1.256844+(-0.07242--0.217566))+0-38.7--0.0197369999999961</f>
        <v>2140.0080390000003</v>
      </c>
      <c r="J185" s="3">
        <f>2359.5+(142-313.6)+(0+(0-0))+0-82.6-0</f>
        <v>2105.3000000000002</v>
      </c>
      <c r="K185" s="3">
        <f>2349.5+(142-291.9)+(-4.79298+(-0.28968--0.595476))+0-98.2--0.200327999999996</f>
        <v>2097.1131439999999</v>
      </c>
      <c r="L185" s="3">
        <f>2303+(142-295.8)+(-5.87265+(-0.3621--0.75429))+0-82.7--0.210884999999988</f>
        <v>2061.2304249999997</v>
      </c>
      <c r="M185" s="3">
        <f>2204.4+(141-219.3)+(-1.124244+(-0.07191--0.111843))+0-76.3--0.0389129999999923</f>
        <v>2048.7546019999995</v>
      </c>
      <c r="N185" s="3">
        <f>2678.4+(139-454.7)+(2.731968+(0.14178-0.463794))+0-71.1-0.0725220000000113</f>
        <v>2293.9374320000006</v>
      </c>
      <c r="O185" s="3">
        <f>2894.4+(139-523.6)+(0+(0-0))+0-77.8-0</f>
        <v>2432</v>
      </c>
      <c r="P185" s="3">
        <f>2952.1+(138-486.7)+(0+(0-0))+0-83.8-0</f>
        <v>2519.6</v>
      </c>
      <c r="Q185" s="3">
        <f>3056.8+(138-523.1)+(-3.117936+(-0.14076--0.533562))+0-82.6--0.0842520000000132</f>
        <v>2586.4591180000007</v>
      </c>
      <c r="R185" s="3">
        <f>3150.3+(138-575.8)+(0+(0-0))+0-81.4-0</f>
        <v>2631.1</v>
      </c>
      <c r="S185" s="3">
        <f>3084.2+(134-565.5)+(0+(0-0))+0-87.5-0</f>
        <v>2565.1999999999998</v>
      </c>
      <c r="T185" s="3">
        <f>3061.5+(125-559.3)+(0+(0-0))+0-88.1-0</f>
        <v>2539.1</v>
      </c>
      <c r="U185" s="3">
        <f>2993+(127-553.5)+(0+(0-0))+0-80.4-0</f>
        <v>2486.1</v>
      </c>
      <c r="V185" s="3">
        <f>2867.2+(117-466.9)+(0+(0-0))+0-83.5-0</f>
        <v>2433.7999999999997</v>
      </c>
      <c r="W185" s="3">
        <f>2836.9+(115-460.9)+(0+(0-0))+0-77.4-0</f>
        <v>2413.6</v>
      </c>
      <c r="X185" s="3">
        <f>2796.4+(57-351.2)+(0+(0-0))+0-81.6-0</f>
        <v>2420.6000000000004</v>
      </c>
      <c r="Y185" s="3">
        <f>3184.2+(0-484.8)+(0+(0-0))+0-90.3-0</f>
        <v>2609.0999999999995</v>
      </c>
      <c r="Z185" s="3">
        <f>3263.6+(0-534.6)+(0+(0-0))+0-82.9-0</f>
        <v>2646.1</v>
      </c>
      <c r="AA185" s="3">
        <f>3083.3+(40-467.6)+(0+(0-0))+0-86.1-0</f>
        <v>2569.6000000000004</v>
      </c>
      <c r="AB185" s="3">
        <f>2763.5+(114-373.5)+(0+(0-0))+0-82-0</f>
        <v>2422</v>
      </c>
      <c r="AC185" s="3">
        <f>2680+(138-424.1)+(0+(0-0))+0-67.7-0</f>
        <v>2326.2000000000003</v>
      </c>
      <c r="AD185" s="2">
        <v>2418.1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2654.2+(0-465.2)+(-2.707284+(0--0.474504))+0-70.6--0.0720120000000112</f>
        <v>2116.2392320000004</v>
      </c>
      <c r="G186" s="3">
        <f>2397+(0-348.8)+(-6.11235+(0--0.88944))+0-97.5--0.248624999999986</f>
        <v>1945.7257149999998</v>
      </c>
      <c r="H186" s="3">
        <f>2341.4+(0-371.8)+(-1.194114+(0--0.189618))+0-77.7--0.0396269999999921</f>
        <v>1890.935131</v>
      </c>
      <c r="I186" s="3">
        <f>2330.3+(0-366)+(-2.376906+(0--0.37332))+0-94.1--0.095982000000015</f>
        <v>1868.2923960000003</v>
      </c>
      <c r="J186" s="3">
        <f>2356.6+(0-399)+(1.201866+(0-0.20349))+0-78.1-0.0398309999999921</f>
        <v>1880.458545</v>
      </c>
      <c r="K186" s="3">
        <f>2219.9+(0-394.6)+(-6.792894+(0--1.207476))+0-80.4--0.246024000000009</f>
        <v>1739.5606060000002</v>
      </c>
      <c r="L186" s="3">
        <f>2087.7+(0-315.6)+(-1.064727+(0--0.160956))+0-89.6--0.0456959999999909</f>
        <v>1681.6419249999999</v>
      </c>
      <c r="M186" s="3">
        <f>2159.3+(0-292.1)+(1.101243+(0-0.148971))+0-59.4-0.030293999999994</f>
        <v>1808.7219780000003</v>
      </c>
      <c r="N186" s="3">
        <f>2137.5+(0-248.8)+(-3.270375+(0--0.380664))+0-78.7--0.120411000000005</f>
        <v>1807.2307000000001</v>
      </c>
      <c r="O186" s="3">
        <f>2475.5+(0-402.3)+(-7.57503+(0--1.231038))+0-91.4--0.279684000000011</f>
        <v>1975.7356919999997</v>
      </c>
      <c r="P186" s="3">
        <f>2656.7+(138-486.2)+(-5.419668+(-0.28152--0.991848))+0-71--0.144839999999997</f>
        <v>2232.9355</v>
      </c>
      <c r="Q186" s="3">
        <f>2779.1+(137-524.7)+(5.669364+(0.27948-1.070388))+0-85.6-0.174623999999996</f>
        <v>2310.5038319999994</v>
      </c>
      <c r="R186" s="3">
        <f>2862.2+(138-555.7)+(1.459722+(0.07038-0.283407))+0-90.5-0.0461549999999908</f>
        <v>2355.2005399999998</v>
      </c>
      <c r="S186" s="3">
        <f>2900.7+(138-578.7)+(1.479357+(0.07038-0.295137))+0-81.7-0.0416669999999917</f>
        <v>2379.5129330000004</v>
      </c>
      <c r="T186" s="3">
        <f>2805.5+(137-540.2)+(-5.72322+(-0.27948--1.102008))+0-84.9--0.173195999999996</f>
        <v>2312.6725040000001</v>
      </c>
      <c r="U186" s="3">
        <f>2801.5+(137-559.8)+(-5.71506+(-0.27948--1.141992))+0-83.7--0.170747999999996</f>
        <v>2290.3182000000002</v>
      </c>
      <c r="V186" s="3">
        <f>2685+(125-534.4)+(-9.58545+(-0.44625--1.907808))+0-67.9--0.242403000000001</f>
        <v>2199.8185109999999</v>
      </c>
      <c r="W186" s="3">
        <f>2573.5+(42-374.2)+(-1.312485+(-0.02142--0.190842))+0-59.4--0.030293999999994</f>
        <v>2180.7872310000002</v>
      </c>
      <c r="X186" s="3">
        <f>3079.5+(42-520.8)+(-3.14109+(-0.04284--0.531216))+0-94.8--0.0966960000000151</f>
        <v>2503.3439819999999</v>
      </c>
      <c r="Y186" s="3">
        <f>3281.7+(0-657)+(-5.021001+(0--1.00521))+0-78.5--0.120105000000005</f>
        <v>2542.304314</v>
      </c>
      <c r="Z186" s="3">
        <f>3193.7+(0-630)+(-6.515148+(0--1.2852))+0-71.9--0.146675999999997</f>
        <v>2486.7167279999994</v>
      </c>
      <c r="AA186" s="3">
        <f>3086.5+(27-605.3)+(-6.29646+(-0.05508--1.234812))+0-82.7--0.168707999999996</f>
        <v>2420.5519800000002</v>
      </c>
      <c r="AB186" s="3">
        <f>2987.9+(80-613.6)+(-3.047658+(-0.0816--0.625872))+0-80.7--0.0823140000000129</f>
        <v>2371.1789280000007</v>
      </c>
      <c r="AC186" s="3">
        <f>2800.2+(105-538.5)+(-8.568612+(-0.3213--1.64781))+0-82.4--0.25214400000001</f>
        <v>2277.3100419999996</v>
      </c>
      <c r="AD186" s="2">
        <v>2256.9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2508.5+(133-409.7)+(0+(0-0))+0-86.7-0</f>
        <v>2145.1000000000004</v>
      </c>
      <c r="G187" s="3">
        <f>2471.7+(133-419.1)+(-3.781701+(-0.20349--0.641223))+0-45.8--0.0700740000000026</f>
        <v>2136.5261059999998</v>
      </c>
      <c r="H187" s="3">
        <f>2271.9+(132-302.5)+(-2.317338+(-0.13464--0.30855))+0-66--0.0673200000000105</f>
        <v>2033.3238920000003</v>
      </c>
      <c r="I187" s="3">
        <f>2197.7+(133-345.5)+(-3.362481+(-0.20349--0.528615))+0-23.7--0.0362610000000014</f>
        <v>1958.4989049999997</v>
      </c>
      <c r="J187" s="3">
        <f>2199.3+(120-299.8)+(0+(0-0))+0-84.6-0</f>
        <v>1934.9000000000003</v>
      </c>
      <c r="K187" s="3">
        <f>2196.9+(87-350.2)+(-2.240838+(-0.08874--0.357204))+0-83.4--0.0850680000000133</f>
        <v>1848.4126940000001</v>
      </c>
      <c r="L187" s="3">
        <f>2156.8+(110-332.6)+(0+(0-0))+0-90.1-0</f>
        <v>1844.1000000000004</v>
      </c>
      <c r="M187" s="3">
        <f>2360.2+(107-411.1)+(-1.203702+(-0.05457--0.209661))+0-68.8--0.035087999999993</f>
        <v>1986.2864769999999</v>
      </c>
      <c r="N187" s="3">
        <f>2515.3+(113-425.3)+(-2.565606+(-0.11526--0.433806))+0-80.3--0.0819060000000128</f>
        <v>2120.5348459999996</v>
      </c>
      <c r="O187" s="3">
        <f>2785.8+(109-541.4)+(2.841516+(0.11118-0.552228))+0-70.2-0.0716040000000112</f>
        <v>2285.5288639999999</v>
      </c>
      <c r="P187" s="3">
        <f>2866.2+(102-563.2)+(-1.461762+(-0.05202--0.287232))+0-17.6--0.00897599999999821</f>
        <v>2386.1824260000003</v>
      </c>
      <c r="Q187" s="3">
        <f>2879.4+(114-516.6)+(-1.468494+(-0.05814--0.263466))+0-55.9--0.0285089999999943</f>
        <v>2419.6653410000004</v>
      </c>
      <c r="R187" s="3">
        <f>2974.7+(103-547)+(-3.034194+(-0.10506--0.55794))+0-80.2--0.0818040000000128</f>
        <v>2448.0004899999999</v>
      </c>
      <c r="S187" s="3">
        <f>2957.3+(91-554.4)+(-4.524669+(-0.13923--0.848232))+0-58.3--0.0891990000000034</f>
        <v>2431.8735320000001</v>
      </c>
      <c r="T187" s="3">
        <f>2973.1+(92-566.7)+(-4.548843+(-0.14076--0.867051))+0-49.4--0.0755820000000029</f>
        <v>2445.2530299999994</v>
      </c>
      <c r="U187" s="3">
        <f>2969+(104-578.4)+(-4.54257+(-0.15912--0.884952))+0-85.6--0.130968000000005</f>
        <v>2405.31423</v>
      </c>
      <c r="V187" s="3">
        <f>2961.4+(107-628.2)+(-7.55157+(-0.27285--1.60191))+0-74.5--0.189974999999989</f>
        <v>2359.6674649999995</v>
      </c>
      <c r="W187" s="3">
        <f>2872.7+(55-479.2)+(-4.395231+(-0.08415--0.733176))+0-80.5--0.123165000000005</f>
        <v>2364.3769600000001</v>
      </c>
      <c r="X187" s="3">
        <f>3142.4+(0-521.7)+(0+(0-0))+0-80.7-0</f>
        <v>2540</v>
      </c>
      <c r="Y187" s="3">
        <f>3168.9+(40-531.6)+(-8.080695+(-0.102--1.35558))+0-85.6--0.218279999999988</f>
        <v>2585.0911650000003</v>
      </c>
      <c r="Z187" s="3">
        <f>3192.4+(103-557.8)+(-6.512496+(-0.21012--1.137912))+0-83.3--0.169931999999996</f>
        <v>2648.8852280000001</v>
      </c>
      <c r="AA187" s="3">
        <f>3149.5+(131-564.2)+(-6.42498+(-0.26724--1.150968))+0-75.4--0.153815999999997</f>
        <v>2635.5125640000001</v>
      </c>
      <c r="AB187" s="3">
        <f>2897+(131-429.4)+(-5.90988+(-0.26724--0.875976))+0-88.3--0.180131999999996</f>
        <v>2505.1789879999997</v>
      </c>
      <c r="AC187" s="3">
        <f>2796.7+(130-420.6)+(-4.278951+(-0.1989--0.643518))+0-81.4--0.124542000000005</f>
        <v>2420.990209</v>
      </c>
      <c r="AD187" s="2">
        <v>2431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2630+(130-373.9)+(-1.3413+(-0.0663--0.190689))+0-90--0.0458999999999909</f>
        <v>2294.928989</v>
      </c>
      <c r="G188" s="3">
        <f>2571.1+(131-387.2)+(-5.245044+(-0.26724--0.789888))+0-85.8--0.175031999999996</f>
        <v>2224.5526359999999</v>
      </c>
      <c r="H188" s="3">
        <f>2345.2+(131-282.7)+(-3.588156+(-0.20043--0.432531))+0-83--0.126990000000005</f>
        <v>2107.270935</v>
      </c>
      <c r="I188" s="3">
        <f>2334.3+(131-315)+(-3.571479+(-0.20043--0.48195))+0-88.3--0.135099000000005</f>
        <v>2058.8451399999999</v>
      </c>
      <c r="J188" s="3">
        <f>2362+(132-364.5)+(2.40924+(0.13464-0.37179))+0-62-0.0632400000000099</f>
        <v>2069.6088500000001</v>
      </c>
      <c r="K188" s="3">
        <f>2317.1+(132-365.3)+(-3.545163+(-0.20196--0.558909))+0-81.6--0.124848000000005</f>
        <v>1999.136634</v>
      </c>
      <c r="L188" s="3">
        <f>2244.3+(132-291.1)+(2.289186+(0.13464-0.296922))+0-87.5-0.089250000000014</f>
        <v>1999.7376540000005</v>
      </c>
      <c r="M188" s="3">
        <f>2549.4+(108-355.8)+(2.600388+(0.11016-0.362916))+0-86.9-0.0886380000000139</f>
        <v>2216.9589939999996</v>
      </c>
      <c r="N188" s="3">
        <f>2996.6+(0-500.7)+(1.528266+(0-0.255357))+0-75.5-0.0385049999999923</f>
        <v>2421.6344039999999</v>
      </c>
      <c r="O188" s="3">
        <f>3121.8+(0-595.5)+(-1.592118+(0--0.303705))+0-84.7--0.0431969999999914</f>
        <v>2440.3547840000001</v>
      </c>
      <c r="P188" s="3">
        <f>3107.1+(0-569.9)+(-4.753863+(0--0.871947))+0-69.8--0.106794000000004</f>
        <v>2463.6248779999996</v>
      </c>
      <c r="Q188" s="3">
        <f>3152+(0-567.1)+(-1.60752+(0--0.289221))+0-87.2--0.0444719999999912</f>
        <v>2496.4261730000003</v>
      </c>
      <c r="R188" s="3">
        <f>3257.4+(0-651.2)+(4.983822+(0-0.996336))+0-64.3-0.0983790000000037</f>
        <v>2545.7891069999996</v>
      </c>
      <c r="S188" s="3">
        <f>3243.2+(0-639.1)+(3.308064+(0-0.651882))+0-88-0.089760000000014</f>
        <v>2518.6664220000002</v>
      </c>
      <c r="T188" s="3">
        <f>3256.3+(0-653.1)+(-3.321426+(0--0.666162))+0-82.6--0.0842520000000132</f>
        <v>2518.0289880000005</v>
      </c>
      <c r="U188" s="3">
        <f>3249.6+(0-671.4)+(-8.28648+(0--1.71207))+0-81.5--0.207824999999988</f>
        <v>2490.3334149999996</v>
      </c>
      <c r="V188" s="3">
        <f>3062.3+(0-585.3)+(-7.808865+(0--1.492515))+0-61.8--0.157589999999991</f>
        <v>2409.0412399999996</v>
      </c>
      <c r="W188" s="3">
        <f>3084.3+(0-543.2)+(-3.145986+(0--0.554064))+0-85.4--0.0871080000000136</f>
        <v>2453.1951860000004</v>
      </c>
      <c r="X188" s="3">
        <f>3253.1+(0-535.2)+(-1.659081+(0--0.272952))+0-94.2--0.0480419999999904</f>
        <v>2622.3619129999997</v>
      </c>
      <c r="Y188" s="3">
        <f>3250.6+(0-535.3)+(-6.631224+(0--1.092012))+0-87.7--0.178907999999996</f>
        <v>2622.2396960000001</v>
      </c>
      <c r="Z188" s="3">
        <f>3268.1+(0-525.6)+(-5.000193+(0--0.804168))+0-85.1--0.130203000000005</f>
        <v>2653.3341780000001</v>
      </c>
      <c r="AA188" s="3">
        <f>3194.7+(0-499.4)+(-9.775782+(0--1.528164))+0-72.8--0.222768000000008</f>
        <v>2614.4751499999998</v>
      </c>
      <c r="AB188" s="3">
        <f>2797.6+(0-292.5)+(-4.280328+(0--0.447525))+0-85.1--0.130203000000005</f>
        <v>2416.2974000000004</v>
      </c>
      <c r="AC188" s="3">
        <f>2556.4+(0-196.3)+(0+(0-0))+0-86.1-0</f>
        <v>2274</v>
      </c>
      <c r="AD188" s="2">
        <v>2407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2398.6+(0-159.3)+(-1.223286+(0--0.081243))+0-84.2--0.0429419999999915</f>
        <v>2154.0008990000001</v>
      </c>
      <c r="G189" s="3">
        <f>2334+(0-181)+(-4.76136+(0--0.36924))+0-74.1--0.151163999999997</f>
        <v>2074.659044</v>
      </c>
      <c r="H189" s="3">
        <f>2284.5+(0-201.8)+(-1.165095+(0--0.102918))+0-78.4--0.039983999999992</f>
        <v>2003.2778069999999</v>
      </c>
      <c r="I189" s="3">
        <f>2229.8+(0-248.2)+(-2.274396+(0--0.253164))+0-49.8--0.0507960000000079</f>
        <v>1929.8295640000001</v>
      </c>
      <c r="J189" s="3">
        <f>2222.2+(0-266)+(3.399966+(0-0.40698))+0-77.7-0.118881000000004</f>
        <v>1881.3741049999996</v>
      </c>
      <c r="K189" s="3">
        <f>2175.7+(0-299.4)+(-3.328821+(0--0.458082))+0-65.6--0.100368000000004</f>
        <v>1807.929629</v>
      </c>
      <c r="L189" s="3">
        <f>2087.8+(0-237.1)+(-1.064778+(0--0.120921))+0-69.3--0.035342999999993</f>
        <v>1780.4914860000004</v>
      </c>
      <c r="M189" s="3">
        <f>2352.4+(0-373)+(4.798896+(0-0.76092))+0-54.6-0.111383999999998</f>
        <v>1928.7265920000002</v>
      </c>
      <c r="N189" s="3">
        <f>2571.4+(0-359.5)+(-1.311414+(0--0.183345))+0-83.8--0.0427379999999915</f>
        <v>2127.0146690000001</v>
      </c>
      <c r="O189" s="3">
        <f>2692.7+(0-379.3)+(1.373277+(0-0.193443))+0-88.8-0.045287999999991</f>
        <v>2225.7345459999997</v>
      </c>
      <c r="P189" s="3">
        <f>2976.6+(0-506.3)+(0+(0-0))+0-90.6-0</f>
        <v>2379.6999999999998</v>
      </c>
      <c r="Q189" s="3">
        <f>3020.8+(0-555.4)+(3.081216+(0-0.566508))+0-35.5-0.0362100000000057</f>
        <v>2432.378498</v>
      </c>
      <c r="R189" s="3">
        <f>2971.1+(0-459.3)+(-4.545783+(0--0.702729))+0-87.5--0.133875000000005</f>
        <v>2420.5908209999998</v>
      </c>
      <c r="S189" s="3">
        <f>2967.1+(0-386.8)+(-4.539663+(0--0.591804))+0-89.4--0.136782000000005</f>
        <v>2487.0889229999998</v>
      </c>
      <c r="T189" s="3">
        <f>2967.6+(0-398.8)+(-7.56738+(0--1.01694))+0-81.7--0.208334999999988</f>
        <v>2480.7578949999997</v>
      </c>
      <c r="U189" s="3">
        <f>2888.5+(0-383.4)+(-8.83881+(0--1.173204))+0-84.6--0.25887600000001</f>
        <v>2413.0932699999998</v>
      </c>
      <c r="V189" s="3">
        <f>2765.8+(0-374)+(-9.873906+(0--1.33518))+0-58.1--0.207417000000001</f>
        <v>2325.3686910000001</v>
      </c>
      <c r="W189" s="3">
        <f>2644.5+(23-260.4)+(-2.69739+(-0.02346--0.265608))+0-93.8--0.095676000000015</f>
        <v>2310.9404339999996</v>
      </c>
      <c r="X189" s="3">
        <f>2988+(21-398)+(-4.57164+(-0.03213--0.60894))+0-95--0.145350000000006</f>
        <v>2512.1505199999997</v>
      </c>
      <c r="Y189" s="3">
        <f>2703.6+(73-312)+(-5.515344+(-0.14892--0.63648))+0-81--0.165239999999996</f>
        <v>2378.7374559999998</v>
      </c>
      <c r="Z189" s="3">
        <f>2841.1+(106-291.3)+(-7.244805+(-0.2703--0.742815))+0-79.8--0.203489999999988</f>
        <v>2569.4311999999995</v>
      </c>
      <c r="AA189" s="3">
        <f>2756.6+(138-287.8)+(-8.435196+(-0.42228--0.880668))+0-88.8--0.27172800000001</f>
        <v>2510.2949199999998</v>
      </c>
      <c r="AB189" s="3">
        <f>2554+(140-273.2)+(-5.21016+(-0.2856--0.557328))+0-53.5--0.109139999999998</f>
        <v>2362.4707080000003</v>
      </c>
      <c r="AC189" s="3">
        <f>2488.3+(138-259)+(-6.345165+(-0.3519--0.66045))+0-95.5--0.243524999999986</f>
        <v>2266.0069100000001</v>
      </c>
      <c r="AD189" s="2">
        <v>2348.1999999999998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2391.5+(139-313.1)+(-1.219665+(-0.07089--0.159681))+0-74.5--0.0379949999999924</f>
        <v>2141.8071210000003</v>
      </c>
      <c r="G190" s="3">
        <f>2299.1+(139-317)+(-2.345082+(-0.14178--0.32334))+0-60.4--0.0616080000000096</f>
        <v>2058.598086</v>
      </c>
      <c r="H190" s="3">
        <f>2144.4+(139-203.4)+(-1.093644+(-0.07089--0.103734))+0-71.6--0.0365159999999927</f>
        <v>2007.3757159999998</v>
      </c>
      <c r="I190" s="3">
        <f>2069.2+(139-172.9)+(-5.27646+(-0.35445--0.440895))+0-71.4--0.18206999999999</f>
        <v>1958.8920549999998</v>
      </c>
      <c r="J190" s="3">
        <f>2105.2+(141-235.9)+(1.073652+(0.07191-0.120309))+0-73-0.0372299999999926</f>
        <v>1938.2880229999998</v>
      </c>
      <c r="K190" s="3">
        <f>2141.8+(141-332.1)+(-5.46159+(-0.35955--0.846855))+0-72.8--0.185639999999989</f>
        <v>1873.1113550000002</v>
      </c>
      <c r="L190" s="3">
        <f>2125.2+(141-369.2)+(-1.083852+(-0.07191--0.188292))+0-34.8--0.0177479999999965</f>
        <v>1861.2502779999998</v>
      </c>
      <c r="M190" s="3">
        <f>2373.3+(140-445.1)+(-1.210383+(-0.0714--0.227001))+0-15.3--0.00780299999999845</f>
        <v>2051.8530209999999</v>
      </c>
      <c r="N190" s="3">
        <f>2708.1+(141-582.8)+(0+(0-0))+0-11.5-0</f>
        <v>2254.8000000000002</v>
      </c>
      <c r="O190" s="3">
        <f>2894.9+(27-561.9)+(0+(0-0))+0-11-0</f>
        <v>2349</v>
      </c>
      <c r="P190" s="3">
        <f>2860.1+(0-453.5)+(-2.917302+(0--0.46257))+0-13.2--0.0134640000000021</f>
        <v>2390.9587320000001</v>
      </c>
      <c r="Q190" s="3">
        <f>3122+(0-555.2)+(-1.59222+(0--0.283152))+0-13.3--0.00678299999999865</f>
        <v>2552.1977149999998</v>
      </c>
      <c r="R190" s="3">
        <f>3118.2+(0-548)+(-3.180564+(0--0.55896))+0-30.2--0.0308040000000048</f>
        <v>2537.4092000000001</v>
      </c>
      <c r="S190" s="3">
        <f>3076.4+(0-491)+(-4.706892+(0--0.75123))+0-75.3--0.115209000000004</f>
        <v>2506.2595470000001</v>
      </c>
      <c r="T190" s="3">
        <f>2866.2+(0-391.7)+(-1.461762+(0--0.199767))+0-74.5--0.0379949999999924</f>
        <v>2398.7760000000003</v>
      </c>
      <c r="U190" s="3">
        <f>2703.5+(0-329.9)+(-6.893925+(0--0.841245))+0-66.8--0.17033999999999</f>
        <v>2300.9176600000001</v>
      </c>
      <c r="V190" s="3">
        <f>2575+(0-357.5)+(-2.6265+(0--0.36465))+0-44.4--0.0452880000000071</f>
        <v>2170.8834379999998</v>
      </c>
      <c r="W190" s="3">
        <f>2485.1+(65-289.4)+(-3.802203+(-0.09945--0.442782))+0-74--0.113220000000004</f>
        <v>2183.3543490000002</v>
      </c>
      <c r="X190" s="3">
        <f>2968+(34-510.2)+(-1.51368+(-0.01734--0.260202))+0-69--0.035189999999993</f>
        <v>2421.5643720000003</v>
      </c>
      <c r="Y190" s="3">
        <f>2997.5+(63-512.3)+(-9.17235+(-0.19278--1.567638))+0-80.8--0.247248000000009</f>
        <v>2459.8497559999996</v>
      </c>
      <c r="Z190" s="3">
        <f>2863.4+(118-454)+(-1.460334+(-0.06018--0.23154))+0-80.6--0.0411059999999918</f>
        <v>2445.5521320000003</v>
      </c>
      <c r="AA190" s="3">
        <f>2732.7+(140-414.3)+(-1.393677+(-0.0714--0.211293))+0-88.8--0.045287999999991</f>
        <v>2368.3915039999993</v>
      </c>
      <c r="AB190" s="3">
        <f>2272.7+(143.3-150.4)+(-5.795385+(-0.365415--0.38352))+0-80.6--0.205529999999988</f>
        <v>2179.4282500000004</v>
      </c>
      <c r="AC190" s="3">
        <f>1703.5+(421.8-132.6)+(-2.606355+(-0.645354--0.202878))+0-85.8--0.131274000000005</f>
        <v>1903.9824430000001</v>
      </c>
      <c r="AD190" s="2">
        <v>2498.7000000000003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1652.8+(371-123.1)+(-3.371712+(-0.75684--0.251124))+0-60.7--0.123827999999997</f>
        <v>1836.2464</v>
      </c>
      <c r="G191" s="3">
        <f>1615.6+(372.4-122.5)+(-4.11978+(-0.94962--0.312375))+0-72--0.18359999999999</f>
        <v>1788.926575</v>
      </c>
      <c r="H191" s="3">
        <f>1610.8+(371.5-117.6)+(-4.10754+(-0.947325--0.29988))+0-88.3--0.225164999999987</f>
        <v>1771.8701800000001</v>
      </c>
      <c r="I191" s="3">
        <f>1614.5+(362.3-116.9)+(-0.823395+(-0.184773--0.059619))+0-87.3--0.0445229999999911</f>
        <v>1771.6959740000002</v>
      </c>
      <c r="J191" s="3">
        <f>1615.8+(366.1-133.1)+(-1.648116+(-0.373422--0.135762))+0-69.5--0.0708900000000111</f>
        <v>1777.4851139999998</v>
      </c>
      <c r="K191" s="3">
        <f>1612.1+(322.9-153.4)+(-4.110855+(-0.823395--0.39117))+0-81.5--0.207824999999988</f>
        <v>1695.7647449999999</v>
      </c>
      <c r="L191" s="3">
        <f>1511.3+(357.9-150)+(0+(0-0))+0-81.5-0</f>
        <v>1637.6999999999998</v>
      </c>
      <c r="M191" s="3">
        <f>1621.6+(361.9-150.6)+(-0.827016+(-0.184569--0.076806))+0-76--0.0387599999999923</f>
        <v>1756.0039809999998</v>
      </c>
      <c r="N191" s="3">
        <f>1782.5+(384.8-153.6)+(-1.81815+(-0.392496--0.156672))+0-86.6--0.0883320000000138</f>
        <v>1925.1343580000002</v>
      </c>
      <c r="O191" s="3">
        <f>1791+(424.5-152.9)+(-0.91341+(-0.216495--0.077979))+0-90.7--0.0462569999999908</f>
        <v>1970.8943309999997</v>
      </c>
      <c r="P191" s="3">
        <f>1898.1+(384.8-151.4)+(1.936062+(0.392496-0.154428))+0-67.1-0.0684420000000107</f>
        <v>2066.5056879999997</v>
      </c>
      <c r="Q191" s="3">
        <f>2017.2+(317.3-154.5)+(0+(0-0))+0-70.1-0</f>
        <v>2109.9</v>
      </c>
      <c r="R191" s="3">
        <f>2013.5+(342.6-162.6)+(1.026885+(0.174726-0.082926))+0-79.7-0.0406469999999919</f>
        <v>2114.8780380000003</v>
      </c>
      <c r="S191" s="3">
        <f>2009.3+(352.4-169.8)+(2.049486+(0.359448-0.173196))+0-76.9-0.0784380000000123</f>
        <v>2117.1572999999999</v>
      </c>
      <c r="T191" s="3">
        <f>1921.1+(386.6-169.2)+(-1.959522+(-0.394332--0.172584))+0-81.2--0.082824000000013</f>
        <v>2055.2015540000002</v>
      </c>
      <c r="U191" s="3">
        <f>1884.2+(384.4-168.2)+(-6.726594+(-1.372308--0.600474))+0-88.3--0.315231000000001</f>
        <v>2004.9168030000003</v>
      </c>
      <c r="V191" s="3">
        <f>1797.6+(378.6-171.8)+(-1.833552+(-0.386172--0.175236))+0-61.3--0.0625260000000098</f>
        <v>1941.1180379999998</v>
      </c>
      <c r="W191" s="3">
        <f>1947.3+(338.5-178.1)+(0+(0-0))+0-74.2-0</f>
        <v>2033.4999999999998</v>
      </c>
      <c r="X191" s="3">
        <f>2244.7+(253.6-186.3)+(-1.144797+(-0.129336--0.095013))+0-93.6--0.0477359999999905</f>
        <v>2217.2686160000003</v>
      </c>
      <c r="Y191" s="3">
        <f>2299.2+(181.8-185.1)+(-4.690368+(-0.370872--0.377604))+0-46.9--0.0956759999999979</f>
        <v>2244.4120399999993</v>
      </c>
      <c r="Z191" s="3">
        <f>2355+(204.5-173.7)+(-2.4021+(-0.20859--0.177174))+0-80.2--0.0818040000000128</f>
        <v>2303.2482880000002</v>
      </c>
      <c r="AA191" s="3">
        <f>2390.6+(138.3-179.2)+(-1.219206+(-0.070533--0.091392))+0-75.3--0.0384029999999924</f>
        <v>2273.2400559999996</v>
      </c>
      <c r="AB191" s="3">
        <f>2241.2+(156.5-140.2)+(-8.001084+(-0.558705--0.500514))+0-85.5--0.305235000000001</f>
        <v>2164.2459599999997</v>
      </c>
      <c r="AC191" s="3">
        <f>1950.7+(307.7-129.9)+(0.994857+(0.156927-0.066249))+0-94.9-0.0483989999999904</f>
        <v>2034.6371360000001</v>
      </c>
      <c r="AD191" s="2">
        <v>2460.8000000000002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1923.9+(268.9-119.8)+(-2.943567+(-0.411417--0.183294))+0-65.2--0.0997560000000038</f>
        <v>2004.7280659999999</v>
      </c>
      <c r="G192" s="3">
        <f>1921.3+(274.6-114.3)+(-2.939589+(-0.420138--0.174879))+0-86.2--0.131886000000005</f>
        <v>1992.3470379999999</v>
      </c>
      <c r="H192" s="3">
        <f>1838+(343.3-109.8)+(-4.6869+(-0.875415--0.27999))+0-85.3--0.217514999999988</f>
        <v>1981.13519</v>
      </c>
      <c r="I192" s="3">
        <f>1796.1+(323.3-115.7)+(-1.832022+(-0.329766--0.118014))+0-55.2--0.0563040000000088</f>
        <v>1946.5125299999997</v>
      </c>
      <c r="J192" s="3">
        <f>1796.4+(333.8-128.6)+(0+(0-0))+0-94-0</f>
        <v>1907.6000000000001</v>
      </c>
      <c r="K192" s="3">
        <f>1793.9+(224.7-145.8)+(-2.744667+(-0.343791--0.223074))+0-69.5--0.106335000000004</f>
        <v>1800.5409510000002</v>
      </c>
      <c r="L192" s="3">
        <f>1735.3+(270.9-132.8)+(0.885003+(0.138159-0.067728))+0-83.7-0.0426869999999915</f>
        <v>1790.6127469999999</v>
      </c>
      <c r="M192" s="3">
        <f>1863.9+(292.8-134.7)+(-0.950589+(-0.149328--0.068697))+0-84.9--0.0432989999999914</f>
        <v>1936.1120789999998</v>
      </c>
      <c r="N192" s="3">
        <f>2053.2+(291.7-136.6)+(-2.094264+(-0.297534--0.139332))+0-73.2--0.0746640000000117</f>
        <v>2132.9221980000002</v>
      </c>
      <c r="O192" s="3">
        <f>2143.4+(259.1-139.8)+(-1.093134+(-0.132141--0.071298))+0-86.1--0.0439109999999913</f>
        <v>2175.4899340000006</v>
      </c>
      <c r="P192" s="3">
        <f>2152.3+(282.2-144.3)+(2.195346+(0.287844-0.147186))+0-82.4-0.0840480000000131</f>
        <v>2210.0519559999998</v>
      </c>
      <c r="Q192" s="3">
        <f>2144.5+(293.7-141.7)+(3.281085+(0.449361-0.216801))+0-83.8-0.128214000000005</f>
        <v>2216.085431</v>
      </c>
      <c r="R192" s="3">
        <f>2124.3+(285.2-162.5)+(-3.250179+(-0.436356--0.248625))+0-75.8--0.115974000000004</f>
        <v>2167.8780639999995</v>
      </c>
      <c r="S192" s="3">
        <f>2121.6+(284.7-160)+(0+(0-0))+0-84.1-0</f>
        <v>2162.1999999999998</v>
      </c>
      <c r="T192" s="3">
        <f>2115.4+(287.9-166.9)+(-3.236562+(-0.440487--0.255357))+0-82.7--0.126531000000005</f>
        <v>2150.4048390000003</v>
      </c>
      <c r="U192" s="3">
        <f>2103.8+(271-162.5)+(-6.437628+(-0.82926--0.49725))+0-83.2--0.25459200000001</f>
        <v>2122.5849540000004</v>
      </c>
      <c r="V192" s="3">
        <f>2038.7+(272.5-161.1)+(-6.238422+(-0.83385--0.492966))+0-82.8--0.25336800000001</f>
        <v>2060.9740619999998</v>
      </c>
      <c r="W192" s="3">
        <f>2015.3+(338.2-178.2)+(-4.111212+(-0.689928--0.363528))+0-53.1--0.108323999999998</f>
        <v>2117.8707119999999</v>
      </c>
      <c r="X192" s="3">
        <f>2226.2+(241.8-183.4)+(0+(0-0))+0-43.7-0</f>
        <v>2240.9</v>
      </c>
      <c r="Y192" s="3">
        <f>2241.3+(324-183.8)+(-10.287567+(-1.48716--0.843642))+0-88--0.403920000000015</f>
        <v>2282.972835</v>
      </c>
      <c r="Z192" s="3">
        <f>2244.1+(346.7-169.1)+(-5.722455+(-0.884085--0.431205))+0-76.8--0.195839999999989</f>
        <v>2338.9205049999996</v>
      </c>
      <c r="AA192" s="3">
        <f>2232.5+(343.5-157.3)+(-3.415725+(-0.525555--0.240669))+0-89--0.136170000000005</f>
        <v>2326.1355589999998</v>
      </c>
      <c r="AB192" s="3">
        <f>2181.6+(310.9-135.5)+(-3.337848+(-0.475677--0.207315))+0-85.7--0.131121000000005</f>
        <v>2267.8249110000002</v>
      </c>
      <c r="AC192" s="3">
        <f>1945.8+(399.4-127.7)+(-2.977074+(-0.611082--0.195381))+0-89.6--0.137088000000005</f>
        <v>2124.6443130000002</v>
      </c>
      <c r="AD192" s="2">
        <v>2391.6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1763.6+(447.3-121.7)+(-3.597744+(-0.912492--0.248268))+0-74.9--0.152795999999997</f>
        <v>2010.190828</v>
      </c>
      <c r="G193" s="3">
        <f>1737.8+(358.9-111.5)+(0.886278+(0.183039-0.056865))+0-78.3-0.0399329999999921</f>
        <v>1907.8725189999998</v>
      </c>
      <c r="H193" s="3">
        <f>1606.5+(395.6-110.4)+(-0.819315+(-0.201756--0.056304))+0-78.8--0.040187999999992</f>
        <v>1811.9754210000001</v>
      </c>
      <c r="I193" s="3">
        <f>1530.1+(409.3-114.2)+(-2.341053+(-0.626229--0.174726))+0-79.1--0.121023000000005</f>
        <v>1743.4284669999997</v>
      </c>
      <c r="J193" s="3">
        <f>1535.7+(395.7-124.5)+(-0.783207+(-0.201807--0.063495))+0-71.3--0.0363629999999928</f>
        <v>1734.7148440000001</v>
      </c>
      <c r="K193" s="3">
        <f>1525.9+(373.3-152.5)+(-3.891045+(-0.951915--0.388875))+0-91.9--0.234344999999987</f>
        <v>1650.58026</v>
      </c>
      <c r="L193" s="3">
        <f>1575.4+(310.4-146.2)+(0+(0-0))+0-76.2-0</f>
        <v>1663.4</v>
      </c>
      <c r="M193" s="3">
        <f>1797+(153.6-160.8)+(-5.49882+(-0.470016--0.492048))+0-85--0.26010000000001</f>
        <v>1699.583312</v>
      </c>
      <c r="N193" s="3">
        <f>1846+(181.7-172.1)+(-0.94146+(-0.092667--0.087771))+0-75.8--0.0386579999999923</f>
        <v>1778.892302</v>
      </c>
      <c r="O193" s="3">
        <f>2024.1+(138-221.2)+(-3.096873+(-0.21114--0.338436))+0-82.4--0.126072000000005</f>
        <v>1855.6564949999997</v>
      </c>
      <c r="P193" s="3">
        <f>2065.7+(138-207.6)+(-3.160521+(-0.21114--0.317628))+0-88.2--0.134946000000005</f>
        <v>1904.9809129999999</v>
      </c>
      <c r="Q193" s="3">
        <f>2061.4+(139-193.3)+(-2.102628+(-0.14178--0.197166))+0-70.2--0.0716040000000112</f>
        <v>1934.924362</v>
      </c>
      <c r="R193" s="3">
        <f>2095.1+(139-219.5)+(2.137002+(0.14178-0.22389))+0-78.6-0.0801720000000125</f>
        <v>1937.9747200000002</v>
      </c>
      <c r="S193" s="3">
        <f>2069.8+(165-166.9)+(-3.166794+(-0.25245--0.255357))+0-86--0.131580000000005</f>
        <v>1978.8676929999999</v>
      </c>
      <c r="T193" s="3">
        <f>2088.1+(235.3-153.8)+(-3.194793+(-0.360009--0.235314))+0-67.4--0.103122000000004</f>
        <v>2098.9836339999997</v>
      </c>
      <c r="U193" s="3">
        <f>2082.5+(210.7-149.2)+(-5.310375+(-0.537285--0.38046))+0-87.5--0.223124999999987</f>
        <v>2051.2559249999999</v>
      </c>
      <c r="V193" s="3">
        <f>1979+(200.7-146.9)+(-5.04645+(-0.511785--0.374595))+0-70--0.17849999999999</f>
        <v>1957.79486</v>
      </c>
      <c r="W193" s="3">
        <f>1890.2+(317.7-163.6)+(-1.928004+(-0.324054--0.166872))+0-82.7--0.0843540000000132</f>
        <v>1959.599168</v>
      </c>
      <c r="X193" s="3">
        <f>2198.1+(231.6-179.5)+(-1.121031+(-0.118116--0.091545))+0-85.5--0.0436049999999913</f>
        <v>2163.5960029999997</v>
      </c>
      <c r="Y193" s="3">
        <f>2252+(250.7-180.2)+(-2.29704+(-0.255714--0.183804))+0-82.5--0.0841500000000132</f>
        <v>2237.7152000000001</v>
      </c>
      <c r="Z193" s="3">
        <f>2232.1+(270.4-165.5)+(-5.691855+(-0.68952--0.422025))+0-86.3--0.220064999999987</f>
        <v>2244.9607149999997</v>
      </c>
      <c r="AA193" s="3">
        <f>2260.1+(230.3-148.9)+(-1.152651+(-0.117453--0.075939))+0-86.6--0.0441659999999912</f>
        <v>2253.7500010000003</v>
      </c>
      <c r="AB193" s="3">
        <f>2228.6+(212.7-132.8)+(-5.68293+(-0.542385--0.33864))+0-87.7--0.223634999999987</f>
        <v>2215.1369599999998</v>
      </c>
      <c r="AC193" s="3">
        <f>2265.3+(138.4-156.9)+(-2.310606+(-0.141168--0.160038))+0-91.4--0.0932280000000146</f>
        <v>2153.2014920000001</v>
      </c>
      <c r="AD193" s="2">
        <v>2226.5000000000005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2338.2+(138.3-292.7)+(-5.96241+(-0.352665--0.746385))+0-65.9--0.16804499999999</f>
        <v>2112.4993549999995</v>
      </c>
      <c r="G194" s="3">
        <f>2297.4+(137.6-293)+(-3.515022+(-0.210528--0.44829))+0-81.8--0.125154000000005</f>
        <v>2057.0478939999998</v>
      </c>
      <c r="H194" s="3">
        <f>2179+(137.3-230)+(-5.55645+(-0.350115--0.5865))+0-85.5--0.218024999999988</f>
        <v>1995.6979600000002</v>
      </c>
      <c r="I194" s="3">
        <f>2074.9+(137-178.5)+(-4.232796+(-0.27948--0.36414))+0-78.5--0.160139999999997</f>
        <v>1950.912004</v>
      </c>
      <c r="J194" s="3">
        <f>2053.5+(137-202.7)+(-3.141855+(-0.20961--0.310131))+0-57.1--0.0873630000000033</f>
        <v>1927.7460290000001</v>
      </c>
      <c r="K194" s="3">
        <f>2055.8+(139-255.6)+(-1.048458+(-0.07089--0.130356))+0-92--0.0469199999999907</f>
        <v>1846.2579280000002</v>
      </c>
      <c r="L194" s="3">
        <f>2039+(139-212.4)+(3.11967+(0.21267-0.324972))+0-80.5-0.123165000000005</f>
        <v>1887.984203</v>
      </c>
      <c r="M194" s="3">
        <f>2393.2+(137-379.5)+(3.661596+(0.20961-0.580635))+0-57.3-0.0876690000000033</f>
        <v>2096.6029019999996</v>
      </c>
      <c r="N194" s="3">
        <f>2752.7+(138-483.4)+(0+(0-0))+0-87.3-0</f>
        <v>2319.9999999999995</v>
      </c>
      <c r="O194" s="3">
        <f>3027.5+(138-607.4)+(0+(0-0))+0-88.3-0</f>
        <v>2469.7999999999997</v>
      </c>
      <c r="P194" s="3">
        <f>3101.4+(138-592)+(0+(0-0))+0-84.6-0</f>
        <v>2562.8000000000002</v>
      </c>
      <c r="Q194" s="3">
        <f>3092.7+(135-534.3)+(-4.731831+(-0.20655--0.817479))+0-86.7--0.132651000000005</f>
        <v>2602.7117489999996</v>
      </c>
      <c r="R194" s="3">
        <f>3071+(138-522.8)+(-9.39726+(-0.42228--1.599768))+0-88.9--0.27203400000001</f>
        <v>2589.3522619999999</v>
      </c>
      <c r="S194" s="3">
        <f>3079.7+(140-544.2)+(-3.141294+(-0.1428--0.555084))+0-74.1--0.0755820000000118</f>
        <v>2598.746572</v>
      </c>
      <c r="T194" s="3">
        <f>2984.8+(141-484.1)+(-1.522248+(-0.07191--0.246891))+0-86.9--0.0443189999999912</f>
        <v>2553.4970520000002</v>
      </c>
      <c r="U194" s="3">
        <f>2821+(141-427.4)+(-2.87742+(-0.14382--0.435948))+0-71--0.0724200000000113</f>
        <v>2461.0871279999997</v>
      </c>
      <c r="V194" s="3">
        <f>2668.9+(142-444.7)+(-4.083417+(-0.21726--0.680391))+0-62.2--0.0951660000000036</f>
        <v>2300.4748800000007</v>
      </c>
      <c r="W194" s="3">
        <f>2209.1+(250.2-179.3)+(4.506564+(0.510408-0.365772))+0-92.9-0.189515999999996</f>
        <v>2191.5616839999998</v>
      </c>
      <c r="X194" s="3">
        <f>2391.2+(171.3-188.9)+(2.439024+(0.174726-0.192678))+0-83.6-0.0852720000000133</f>
        <v>2292.3358000000003</v>
      </c>
      <c r="Y194" s="3">
        <f>2393.1+(171.9-179.7)+(2.440962+(0.175338-0.183294))+0-84.5-0.0861900000000135</f>
        <v>2303.1468159999999</v>
      </c>
      <c r="Z194" s="3">
        <f>2382.2+(158.9-162.5)+(0+(0-0))+0-78.9-0</f>
        <v>2299.6999999999998</v>
      </c>
      <c r="AA194" s="3">
        <f>2396.5+(142-216.4)+(1.222215+(0.07242-0.110364))+0-82.1-0.0418709999999917</f>
        <v>2241.1424000000002</v>
      </c>
      <c r="AB194" s="3">
        <f>2343+(141-251)+(-5.97465+(-0.35955--0.64005))+0-88.9--0.226694999999987</f>
        <v>2138.6325449999999</v>
      </c>
      <c r="AC194" s="3">
        <f>2216.7+(141-193.8)+(-4.522068+(-0.28764--0.395352))+0-81.3--0.165851999999996</f>
        <v>2078.3514959999993</v>
      </c>
      <c r="AD194" s="2">
        <v>2408.9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2205+(141-235.5)+(-4.4982+(-0.28764--0.48042))+0-80--0.163199999999997</f>
        <v>2026.3577799999998</v>
      </c>
      <c r="G195" s="3">
        <f>2147.2+(141-245.7)+(-7.665504+(-0.50337--0.877149))+0-84.9--0.303093000000001</f>
        <v>1950.6113679999996</v>
      </c>
      <c r="H195" s="3">
        <f>2079.1+(140-244.1)+(2.120682+(0.1428-0.248982))+0-70.5-0.0719100000000112</f>
        <v>1906.4425899999999</v>
      </c>
      <c r="I195" s="3">
        <f>1974.6+(140-196.1)+(-4.028184+(-0.2856--0.400044))+0-47--0.095879999999998</f>
        <v>1867.6821400000001</v>
      </c>
      <c r="J195" s="3">
        <f>1933+(139-160.9)+(1.97166+(0.14178-0.164118))+0-86.4-0.0881280000000138</f>
        <v>1826.5611939999997</v>
      </c>
      <c r="K195" s="3">
        <f>1904.5+(139-199.9)+(-2.913885+(-0.21267--0.305847))+0-91.7--0.140301000000005</f>
        <v>1749.2195929999998</v>
      </c>
      <c r="L195" s="3">
        <f>1831.3+(158-153.2)+(0+(0-0))+0-88.8-0</f>
        <v>1747.3</v>
      </c>
      <c r="M195" s="3">
        <f>2165.6+(139-276.6)+(-3.313368+(-0.21267--0.423198))+0-88.8--0.135864000000005</f>
        <v>1936.2330240000001</v>
      </c>
      <c r="N195" s="3">
        <f>2570.7+(139-488.8)+(1.311057+(0.07089-0.249288))+0-68.9-0.035138999999993</f>
        <v>2153.0975199999993</v>
      </c>
      <c r="O195" s="3">
        <f>2662.7+(110-415.8)+(-2.715954+(-0.1122--0.424116))+0-60.4--0.0616080000000096</f>
        <v>2294.1575699999994</v>
      </c>
      <c r="P195" s="3">
        <f>2739.8+(136-410.5)+(-1.397298+(-0.06936--0.209355))+0-91.1--0.0464609999999908</f>
        <v>2372.9891580000003</v>
      </c>
      <c r="Q195" s="3">
        <f>2860.8+(139-462.7)+(4.377024+(0.21267-0.707931))+0-85.2-0.130356000000005</f>
        <v>2455.6514070000003</v>
      </c>
      <c r="R195" s="3">
        <f>2797.4+(139-411.3)+(-5.706696+(-0.28356--0.839052))+0-80.6--0.164423999999996</f>
        <v>2439.5132200000003</v>
      </c>
      <c r="S195" s="3">
        <f>2859.3+(139-460.9)+(5.832972+(0.28356-0.940236))+0-92.6-0.188903999999996</f>
        <v>2449.7873920000002</v>
      </c>
      <c r="T195" s="3">
        <f>2819.6+(139-476.6)+(-1.437996+(-0.07089--0.243066))+0-82--0.0418199999999917</f>
        <v>2398.7759999999998</v>
      </c>
      <c r="U195" s="3">
        <f>2713.3+(140-433.6)+(-6.918915+(-0.357--1.10568))+0-91.2--0.232559999999987</f>
        <v>2322.5623250000003</v>
      </c>
      <c r="V195" s="3">
        <f>2486.2+(141.4-381.3)+(-8.875734+(-0.504798--1.361241))+0-73.2--0.261324000000001</f>
        <v>2165.3420329999999</v>
      </c>
      <c r="W195" s="3">
        <f>2397.5+(140.9-223.4)+(-3.668175+(-0.215577--0.341802))+0-79.9--0.122247000000005</f>
        <v>2231.6802969999999</v>
      </c>
      <c r="X195" s="3">
        <f>2677.2+(141.3-326.7)+(-5.461488+(-0.288252--0.666468))+0-87.1--0.177683999999996</f>
        <v>2399.7944119999997</v>
      </c>
      <c r="Y195" s="3">
        <f>2663+(141-306.3)+(-6.79065+(-0.35955--0.781065))+0-73.7--0.187934999999989</f>
        <v>2417.8188</v>
      </c>
      <c r="Z195" s="3">
        <f>2592.8+(140.5-260.9)+(-5.289312+(-0.28662--0.532236))+0-87.4--0.178295999999996</f>
        <v>2380.1345999999999</v>
      </c>
      <c r="AA195" s="3">
        <f>2562.5+(140.4-272.2)+(-6.534375+(-0.35802--0.69411))+0-75.9--0.193544999999989</f>
        <v>2348.7952599999999</v>
      </c>
      <c r="AB195" s="3">
        <f>2361.7+(140.8-166.4)+(1.204467+(0.071808-0.084864))+0-82-0.0418199999999917</f>
        <v>2255.2495909999998</v>
      </c>
      <c r="AC195" s="3">
        <f>2045+(215.7-109.9)+(-5.21475+(-0.550035--0.280245))+0-68.1--0.17365499999999</f>
        <v>2077.3891150000004</v>
      </c>
      <c r="AD195" s="2">
        <v>2348.4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2072.5+(152.7-103.8)+(-1.056975+(-0.077877--0.052938))+0-82.9--0.0422789999999916</f>
        <v>2037.4603650000001</v>
      </c>
      <c r="G196" s="3">
        <f>2076.1+(140.9-116.2)+(-1.058811+(-0.071859--0.059262))+0-85.2--0.0434519999999914</f>
        <v>2014.5720439999998</v>
      </c>
      <c r="H196" s="3">
        <f>2007.4+(142.5-139.4)+(3.071322+(0.218025-0.213282))+0-77.6-0.118728000000004</f>
        <v>1935.8573370000001</v>
      </c>
      <c r="I196" s="3">
        <f>1985.8+(142.2-134.8)+(3.038274+(0.217566-0.206244))+0-78.4-0.119952000000005</f>
        <v>1917.7296439999998</v>
      </c>
      <c r="J196" s="3">
        <f>1967.5+(141.9-124.8)+(-4.0137+(-0.289476--0.254592))+0-90.6--0.184823999999996</f>
        <v>1890.13624</v>
      </c>
      <c r="K196" s="3">
        <f>1967.9+(139.3-186.3)+(-3.010887+(-0.213129--0.285039))+0-82.9--0.126837000000005</f>
        <v>1835.18786</v>
      </c>
      <c r="L196" s="3">
        <f>1893.4+(157.1-148.2)+(-2.896902+(-0.240363--0.226746))+0-78.4--0.119952000000005</f>
        <v>1821.1094330000001</v>
      </c>
      <c r="M196" s="3">
        <f>2017.1+(148-163.1)+(5.143605+(0.3774-0.415905))+0-80.6-0.205529999999988</f>
        <v>1926.2995700000001</v>
      </c>
      <c r="N196" s="3">
        <f>2500.2+(139.1-374.5)+(0+(0-0))+0-77.4-0</f>
        <v>2187.3999999999996</v>
      </c>
      <c r="O196" s="3">
        <f>2836.8+(139.5-543.1)+(4.340304+(0.213435-0.830943))+0-77.7-0.118881000000004</f>
        <v>2359.1039150000006</v>
      </c>
      <c r="P196" s="3">
        <f>3023.3+(138.1-588.3)+(0+(0-0))+0-82.5-0</f>
        <v>2490.6000000000004</v>
      </c>
      <c r="Q196" s="3">
        <f>3048.5+(137.9-595.4)+(3.10947+(0.140658-0.607308))+0-75.6-0.077112000000012</f>
        <v>2517.9657080000002</v>
      </c>
      <c r="R196" s="3">
        <f>3030.6+(137.5-571.9)+(-1.545606+(-0.070125--0.291669))+0-78.5--0.040034999999992</f>
        <v>2516.4159729999997</v>
      </c>
      <c r="S196" s="3">
        <f>3003.6+(137.9-571.2)+(3.063672+(0.140658-0.582624))+0-72.6-0.0740520000000116</f>
        <v>2500.2476539999998</v>
      </c>
      <c r="T196" s="3">
        <f>2882.3+(137.8-510.7)+(4.409919+(0.210834-0.781371))+0-84-0.128520000000005</f>
        <v>2429.110862</v>
      </c>
      <c r="U196" s="3">
        <f>2867.5+(139.2-520.9)+(0+(0-0))+0-89.7-0</f>
        <v>2396.1000000000004</v>
      </c>
      <c r="V196" s="3">
        <f>2827.7+(138.4-560.4)+(-1.442127+(-0.070584--0.285804))+0-67.1--0.0342209999999932</f>
        <v>2337.4073139999996</v>
      </c>
      <c r="W196" s="3">
        <f>2686.3+(116.6-342.3)+(4.110039+(0.178398-0.523719))+0-83.8-0.128214000000005</f>
        <v>2380.4365040000002</v>
      </c>
      <c r="X196" s="3">
        <f>3107.1+(113.1-532.3)+(-3.169242+(-0.115362--0.542946))+0-82.8--0.0844560000000132</f>
        <v>2602.442798</v>
      </c>
      <c r="Y196" s="3">
        <f>3219+(133.1-604.5)+(-8.20845+(-0.339405--1.541475))+0-83--0.211649999999988</f>
        <v>2657.8052700000003</v>
      </c>
      <c r="Z196" s="3">
        <f>3194.4+(139.3-580.2)+(-6.516576+(-0.284172--1.183608))+0-92--0.187679999999996</f>
        <v>2656.0705400000002</v>
      </c>
      <c r="AA196" s="3">
        <f>2898.3+(139.5-424.4)+(-4.434399+(-0.213435--0.649332))+0-86.7--0.132651000000005</f>
        <v>2522.8341490000003</v>
      </c>
      <c r="AB196" s="3">
        <f>2700.1+(139.3-366.4)+(-6.885255+(-0.355215--0.93432))+0-81.3--0.207314999999988</f>
        <v>2385.601165</v>
      </c>
      <c r="AC196" s="3">
        <f>2554.4+(138.4-380)+(-6.51372+(-0.35292--0.969))+0-36.8--0.0938399999999947</f>
        <v>2270.1961999999999</v>
      </c>
      <c r="AD196" s="2">
        <v>2400.1000000000004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2556.5+(139.5-403.4)+(-1.303815+(-0.071145--0.205734))+0-88.6--0.045185999999991</f>
        <v>2202.8759599999998</v>
      </c>
      <c r="G197" s="3">
        <f>2348+(139.3-355.4)+(1.19748+(0.071043-0.181254))+0-76.4-0.0389639999999923</f>
        <v>2056.5483050000003</v>
      </c>
      <c r="H197" s="3">
        <f>2336.8+(138.4-403.4)+(2.383536+(0.141168-0.411468))+0-81.8-0.083436000000013</f>
        <v>1992.0298000000003</v>
      </c>
      <c r="I197" s="3">
        <f>2327.8+(139.3-409)+(-1.187178+(-0.071043--0.20859))+0-78.6--0.040085999999992</f>
        <v>1978.4904550000006</v>
      </c>
      <c r="J197" s="3">
        <f>2334.2+(140.5-428.2)+(1.190442+(0.071655-0.218382))+0-76.1-0.0388109999999923</f>
        <v>1971.404904</v>
      </c>
      <c r="K197" s="3">
        <f>2310.6+(140.9-474.3)+(-3.535218+(-0.215577--0.725679))+0-80.8--0.123624000000005</f>
        <v>1893.4985079999999</v>
      </c>
      <c r="L197" s="3">
        <f>2232.4+(139.8-429)+(2.277048+(0.142596-0.43758))+0-79.2-0.0807840000000126</f>
        <v>1865.90128</v>
      </c>
      <c r="M197" s="3">
        <f>2363.9+(141.3-442.5)+(2.411178+(0.144126-0.45135))+0-21.9-0.0223380000000035</f>
        <v>2042.8816160000003</v>
      </c>
      <c r="N197" s="3">
        <f>2686.2+(141.2-512.5)+(-1.369962+(-0.072012--0.261375))+0-18.9--0.00963899999999808</f>
        <v>2294.8290399999996</v>
      </c>
      <c r="O197" s="3">
        <f>2818+(139.8-569.1)+(-1.43718+(-0.071298--0.290241))+0-15.5--0.00790499999999843</f>
        <v>2371.9896679999997</v>
      </c>
      <c r="P197" s="3">
        <f>2792.9+(139.1-529.3)+(0+(0-0))+0-16.9-0</f>
        <v>2385.8000000000002</v>
      </c>
      <c r="Q197" s="3">
        <f>2736.5+(141.5-481.2)+(-2.79123+(-0.14433--0.490824))+0-19.5--0.0198900000000031</f>
        <v>2374.8751540000003</v>
      </c>
      <c r="R197" s="3">
        <f>2781.2+(141.2-489.7)+(1.418412+(0.072012-0.249747))+0-19.5-0.00994499999999802</f>
        <v>2414.4307319999998</v>
      </c>
      <c r="S197" s="3">
        <f>2877.5+(141.6-541.7)+(0+(0-0))+0-20.3-0</f>
        <v>2457.1</v>
      </c>
      <c r="T197" s="3">
        <f>2886.2+(142.3-556.2)+(2.943924+(0.145146-0.567324))+0-20.2-0.0206040000000032</f>
        <v>2454.601142</v>
      </c>
      <c r="U197" s="3">
        <f>2825.6+(142-494.8)+(-7.20528+(-0.3621--1.26174))+0-71--0.18104999999999</f>
        <v>2395.6754099999998</v>
      </c>
      <c r="V197" s="3">
        <f>2782.9+(141.9-509.1)+(-4.257837+(-0.217107--0.778923))+0-66.2--0.101286000000004</f>
        <v>2345.9052649999999</v>
      </c>
      <c r="W197" s="3">
        <f>2708+(128.3-337.6)+(2.76216+(0.130866-0.344352))+0-88.9-0.0906780000000142</f>
        <v>2412.2579959999998</v>
      </c>
      <c r="X197" s="3">
        <f>3181.9+(116.7-533.5)+(0+(0-0))+0-90.3-0</f>
        <v>2674.7999999999997</v>
      </c>
      <c r="Y197" s="3">
        <f>3224.8+(134.9-591.4)+(-6.578592+(-0.275196--1.206456))+0-82.2--0.167687999999996</f>
        <v>2680.6203560000004</v>
      </c>
      <c r="Z197" s="3">
        <f>3190.1+(141.6-594)+(-3.253902+(-0.144432--0.60588))+0-55.4--0.0565080000000088</f>
        <v>2679.5640539999999</v>
      </c>
      <c r="AA197" s="3">
        <f>3085.8+(141.8-566.5)+(-1.573758+(-0.072318--0.288915))+0-82.2--0.0419219999999917</f>
        <v>2577.5847610000005</v>
      </c>
      <c r="AB197" s="3">
        <f>2928.9+(141.4-531.7)+(-7.468695+(-0.36057--1.355835))+0-85.6--0.218279999999988</f>
        <v>2446.74485</v>
      </c>
      <c r="AC197" s="3">
        <f>2712.3+(140.3-479.7)+(-6.916365+(-0.357765--1.223235))+0-64.2--0.163709999999991</f>
        <v>2302.8128150000002</v>
      </c>
      <c r="AD197" s="2">
        <v>2411.2999999999997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2556.6+(140.2-428.2)+(-3.911598+(-0.214506--0.655146))+0-83.3--0.127449000000005</f>
        <v>2181.9564909999999</v>
      </c>
      <c r="G198" s="3">
        <f>2276.6+(139.9-335.5)+(-5.80533+(-0.356745--0.855525))+0-74.7--0.190484999999989</f>
        <v>2001.1839350000002</v>
      </c>
      <c r="H198" s="3">
        <f>2126.7+(139.4-293.7)+(-3.253851+(-0.213282--0.449361))+0-86.5--0.132345000000005</f>
        <v>1883.0145729999999</v>
      </c>
      <c r="I198" s="3">
        <f>2117.7+(139-319.4)+(0+(0-0))+0-88-0</f>
        <v>1849.2999999999997</v>
      </c>
      <c r="J198" s="3">
        <f>2024.4+(140.1-284.9)+(-1.032444+(-0.071451--0.145299))+0-80.5--0.0410549999999918</f>
        <v>1798.1824590000001</v>
      </c>
      <c r="K198" s="3">
        <f>2009.8+(140.6-330.6)+(-3.074994+(-0.215118--0.505818))+0-84.6--0.129438000000005</f>
        <v>1732.5451439999999</v>
      </c>
      <c r="L198" s="3">
        <f>2031.9+(138.8-338.9)+(1.036269+(0.070788-0.172839))+0-77.7-0.0396269999999921</f>
        <v>1754.9945910000004</v>
      </c>
      <c r="M198" s="3">
        <f>2146.6+(139.4-337.5)+(1.094766+(0.071094-0.172125))+0-55.7-0.0284069999999944</f>
        <v>1893.765328</v>
      </c>
      <c r="N198" s="3">
        <f>2612.6+(120.9-549.8)+(1.332426+(0.061659-0.280398))+0-82.6-0.0421259999999916</f>
        <v>2102.1715610000001</v>
      </c>
      <c r="O198" s="3">
        <f>2773+(105.9-563)+(1.41423+(0.054009-0.28713))+0-69-0.035189999999993</f>
        <v>2248.0459190000001</v>
      </c>
      <c r="P198" s="3">
        <f>2670.4+(139.4-522.8)+(0+(0-0))+0-59.4-0</f>
        <v>2227.6</v>
      </c>
      <c r="Q198" s="3">
        <f>2787.5+(142.4-518.4)+(0+(0-0))+0-88.3-0</f>
        <v>2323.1999999999998</v>
      </c>
      <c r="R198" s="3">
        <f>2784.4+(141.9-487.6)+(0+(0-0))+0-82-0</f>
        <v>2356.6999999999998</v>
      </c>
      <c r="S198" s="3">
        <f>1976+(140.8-183.9)+(-2.01552+(-0.143616--0.187578))+175-59.4--0.0605880000000095</f>
        <v>2046.5890300000003</v>
      </c>
      <c r="T198" s="3">
        <f>2256.7+(139.7-229)+(-1.150917+(-0.071247--0.11679))+0-36.9--0.0188189999999963</f>
        <v>2129.4134449999992</v>
      </c>
      <c r="U198" s="3">
        <f>2309.1+(140.2-230.3)+(-8.243487+(-0.500514--0.822171))+0-89.5--0.319515000000001</f>
        <v>2121.8976849999999</v>
      </c>
      <c r="V198" s="3">
        <f>2421.2+(140.5-382.1)+(1.234812+(0.071655-0.194871))+0-88.6-0.045185999999991</f>
        <v>2092.0664100000004</v>
      </c>
      <c r="W198" s="3">
        <f>2569.3+(87.7-392.1)+(-2.620686+(-0.089454--0.399942))+0-61--0.0622200000000097</f>
        <v>2201.6520219999998</v>
      </c>
      <c r="X198" s="3">
        <f>2994.7+(53.8-460.9)+(-6.109188+(-0.109752--0.940236))+0-83.6--0.170543999999996</f>
        <v>2498.8918400000002</v>
      </c>
      <c r="Y198" s="3">
        <f>3115+(75.1-551.8)+(-6.3546+(-0.153204--1.125672))+0-73.8--0.150551999999997</f>
        <v>2559.2684199999999</v>
      </c>
      <c r="Z198" s="3">
        <f>2911.8+(127.3-482.3)+(-2.970036+(-0.129846--0.491946))+0-81.2--0.082824000000013</f>
        <v>2473.0748880000006</v>
      </c>
      <c r="AA198" s="3">
        <f>2859.4+(142.5-523.7)+(-7.29147+(-0.363375--1.335435))+0-74.5--0.189974999999989</f>
        <v>2397.5705649999995</v>
      </c>
      <c r="AB198" s="3">
        <f>2659.9+(141.7-444.8)+(-5.426196+(-0.289068--0.907392))+0-79.1--0.161363999999997</f>
        <v>2273.0534920000005</v>
      </c>
      <c r="AC198" s="3">
        <f>2525.9+(139.9-364)+(-1.288209+(-0.071349--0.18564))+0-91.8--0.0468179999999907</f>
        <v>2208.8728999999998</v>
      </c>
      <c r="AD198" s="2">
        <v>2349.4999999999995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2454.2+(141.1-349.8)+(-1.251642+(-0.071961--0.178398))+0-78.8--0.040187999999992</f>
        <v>2165.594983</v>
      </c>
      <c r="G199" s="3">
        <f>2367.5+(140.8-374.7)+(-6.037125+(-0.35904--0.955485))+0-49.1--0.125204999999993</f>
        <v>2079.1845249999997</v>
      </c>
      <c r="H199" s="3">
        <f>2255.3+(140.8-370.5)+(0+(0-0))+0-66.1-0</f>
        <v>1959.5000000000002</v>
      </c>
      <c r="I199" s="3">
        <f>2286.6+(140.3-391.4)+(-1.166166+(-0.071553--0.199614))+0-65--0.0331499999999934</f>
        <v>1969.4950449999999</v>
      </c>
      <c r="J199" s="3">
        <f>2315.4+(84.5-397.9)+(2.361708+(0.08619-0.405858))+0-75.4-0.076908000000012</f>
        <v>1928.5651319999999</v>
      </c>
      <c r="K199" s="3">
        <f>2220.8+(88.7-392.6)+(-2.265216+(-0.090474--0.400452))+0-89.4--0.0911880000000143</f>
        <v>1825.6359500000001</v>
      </c>
      <c r="L199" s="3">
        <f>2111.1+(115.1-332.7)+(1.076661+(0.058701-0.169677))+0-92.1-0.0469709999999907</f>
        <v>1802.318714</v>
      </c>
      <c r="M199" s="3">
        <f>2154.6+(121.7-275.2)+(0+(0-0))+0-83.4-0</f>
        <v>1917.6999999999998</v>
      </c>
      <c r="N199" s="3">
        <f>2302.3+(123.9-303.7)+(1.174173+(0.063189-0.154887))+0-73.1-0.0372809999999926</f>
        <v>2050.4451940000004</v>
      </c>
      <c r="O199" s="3">
        <f>2503+(122.4-369.7)+(1.27653+(0.062424-0.188547))+0-78.1-0.0398309999999921</f>
        <v>2178.7105759999999</v>
      </c>
      <c r="P199" s="3">
        <f>2763.8+(125.9-516.9)+(-4.228614+(-0.192627--0.790857))+0-73.9--0.113067000000004</f>
        <v>2295.3826830000003</v>
      </c>
      <c r="Q199" s="3">
        <f>2880.4+(120.8-567.7)+(0+(0-0))+0-81.6-0</f>
        <v>2351.9</v>
      </c>
      <c r="R199" s="3">
        <f>2866.1+(117.6-533.2)+(-4.385133+(-0.179928--0.815796))+0-89.4--0.136782000000005</f>
        <v>2357.487517</v>
      </c>
      <c r="S199" s="3">
        <f>2871.3+(112.1-535.2)+(-2.928726+(-0.114342--0.545904))+0-83.7--0.0853740000000134</f>
        <v>2362.0882100000008</v>
      </c>
      <c r="T199" s="3">
        <f>2809.6+(118.5-496.8)+(0+(0-0))+0-89.7-0</f>
        <v>2341.6</v>
      </c>
      <c r="U199" s="3">
        <f>2799.1+(106.4-508)+(-2.855082+(-0.108528--0.51816))+0-84.8--0.0864960000000135</f>
        <v>2310.3410459999996</v>
      </c>
      <c r="V199" s="3">
        <f>2511.2+(96.2-353.8)+(-3.842136+(-0.147186--0.541314))+0-69.7--0.106641000000004</f>
        <v>2180.5586330000001</v>
      </c>
      <c r="W199" s="3">
        <f>2527.8+(86.3-224)+(2.578356+(0.088026-0.22848))+0-82.1-0.0837420000000131</f>
        <v>2310.3541600000008</v>
      </c>
      <c r="X199" s="3">
        <f>3135.7+(44.4-567.3)+(-7.996035+(-0.11322--1.446615))+0-64.4--0.164219999999991</f>
        <v>2541.9015799999997</v>
      </c>
      <c r="Y199" s="3">
        <f>3189.8+(67.4-636.8)+(-4.880394+(-0.103122--0.974304))+0-86.4--0.132192000000005</f>
        <v>2530.1229800000001</v>
      </c>
      <c r="Z199" s="3">
        <f>2984.9+(125.4-564.6)+(-7.611495+(-0.31977--1.43973))+0-84.9--0.216494999999988</f>
        <v>2454.5249599999997</v>
      </c>
      <c r="AA199" s="3">
        <f>2851.3+(143.6-517.3)+(-4.362489+(-0.219708--0.791469))+0-83.3--0.127449000000005</f>
        <v>2390.6367210000003</v>
      </c>
      <c r="AB199" s="3">
        <f>2820.7+(140.7-556.3)+(-2.877114+(-0.143514--0.567426))+0-88--0.089760000000014</f>
        <v>2314.7365579999996</v>
      </c>
      <c r="AC199" s="3">
        <f>2711+(141.9-516.9)+(-1.38261+(-0.072369--0.263619))+0-72.2--0.0368219999999927</f>
        <v>2262.6454620000004</v>
      </c>
      <c r="AD199" s="2">
        <v>2354.7000000000003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2385.5+(141.1-325.2)+(-3.649815+(-0.215883--0.497556))+0-82.8--0.126684000000005</f>
        <v>2115.3585419999999</v>
      </c>
      <c r="G200" s="3">
        <f>2273.7+(141.3-286.1)+(-3.478761+(-0.216189--0.437733))+0-85.8--0.131274000000005</f>
        <v>2039.9740569999999</v>
      </c>
      <c r="H200" s="3">
        <f>2229.5+(142-300.7)+(-2.27409+(-0.14484--0.306714))+0-82.1--0.0837420000000131</f>
        <v>1986.6715260000003</v>
      </c>
      <c r="I200" s="3">
        <f>2168.5+(142.3-287.5)+(-3.317805+(-0.217719--0.439875))+0-74--0.113220000000004</f>
        <v>1946.3175709999998</v>
      </c>
      <c r="J200" s="3">
        <f>2138.9+(105.5-254.8)+(3.272517+(0.161415-0.389844))+0-81.7-0.125001000000005</f>
        <v>1910.8190870000001</v>
      </c>
      <c r="K200" s="3">
        <f>2084.9+(103.3-284.5)+(-5.316495+(-0.263415--0.725475))+0-85.9--0.219044999999988</f>
        <v>1813.16461</v>
      </c>
      <c r="L200" s="3">
        <f>1950.8+(116.4-253.6)+(0+(0-0))+0-80.2-0</f>
        <v>1733.3999999999999</v>
      </c>
      <c r="M200" s="3">
        <f>2091.9+(116.5-298.9)+(0+(0-0))+0-82.6-0</f>
        <v>1826.9</v>
      </c>
      <c r="N200" s="3">
        <f>2149.9+(108-273.8)+(-4.385796+(-0.22032--0.558552))+0-76.4--0.155855999999997</f>
        <v>1903.8082920000002</v>
      </c>
      <c r="O200" s="3">
        <f>2336.5+(109.6-352.5)+(-2.38323+(-0.111792--0.35955))+0-75.5--0.077010000000012</f>
        <v>2016.0415379999999</v>
      </c>
      <c r="P200" s="3">
        <f>2505.1+(120.2-458.2)+(-3.832803+(-0.183906--0.701046))+0-83.1--0.127143000000005</f>
        <v>2080.8114800000003</v>
      </c>
      <c r="Q200" s="3">
        <f>2493.6+(113.5-395.7)+(-5.086944+(-0.23154--0.807228))+0-79.6--0.162383999999997</f>
        <v>2127.4511280000006</v>
      </c>
      <c r="R200" s="3">
        <f>2497.2+(77.2-361.1)+(0+(0-0))+0-86-0</f>
        <v>2127.2999999999997</v>
      </c>
      <c r="S200" s="3">
        <f>2503+(94.2-349.9)+(-6.38265+(-0.24021--0.892245))+0-84.9--0.216494999999988</f>
        <v>2156.8858800000003</v>
      </c>
      <c r="T200" s="3">
        <f>2512.5+(123.8-421.9)+(-3.844125+(-0.189414--0.645507))+0-83.7--0.128061000000005</f>
        <v>2127.4400290000003</v>
      </c>
      <c r="U200" s="3">
        <f>2206.6+(140.8-253.5)+(-3.376098+(-0.215424--0.387855))+0-94.4--0.144432000000005</f>
        <v>1996.4407649999998</v>
      </c>
      <c r="V200" s="3">
        <f>1947.6+(175.9-150.4)+(-1.986552+(-0.179418--0.153408))+0-73--0.0744600000000116</f>
        <v>1898.1618980000001</v>
      </c>
      <c r="W200" s="3">
        <f>2287.1+(108.1-188.3)+(1.166421+(0.055131-0.096033))+0-83.7-0.0426869999999915</f>
        <v>2124.2828320000003</v>
      </c>
      <c r="X200" s="3">
        <f>2672.7+(125-386.7)+(0+(0-0))+0-91.1-0</f>
        <v>2319.9</v>
      </c>
      <c r="Y200" s="3">
        <f>2666.3+(139.6-385.6)+(-4.079439+(-0.213588--0.589968))+0-91.2--0.139536000000005</f>
        <v>2325.5364770000006</v>
      </c>
      <c r="Z200" s="3">
        <f>2591.2+(140-346.6)+(-1.321512+(-0.0714--0.176766))+0-85.1--0.0434009999999914</f>
        <v>2298.3272549999997</v>
      </c>
      <c r="AA200" s="3">
        <f>2486.6+(140.6-293.5)+(-3.804498+(-0.215118--0.449055))+0-84.2--0.128826000000005</f>
        <v>2246.0582650000001</v>
      </c>
      <c r="AB200" s="3">
        <f>2423.9+(139.6-284.3)+(-8.653323+(-0.498372--1.014951))+0-82.2--0.293454000000001</f>
        <v>2189.1567100000007</v>
      </c>
      <c r="AC200" s="3">
        <f>2226.1+(139.7-209.7)+(-1.135311+(-0.071247--0.106947))+0-53.3--0.0271829999999946</f>
        <v>2101.7275719999998</v>
      </c>
      <c r="AD200" s="2">
        <v>2188.5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2087.8+(140.5-133.8)+(-4.259112+(-0.28662--0.272952))+0-81--0.165239999999996</f>
        <v>2009.3924600000003</v>
      </c>
      <c r="G201" s="3">
        <f>2053.2+(141.5-133.8)+(-1.047132+(-0.072165--0.068238))+0-85.5--0.0436049999999913</f>
        <v>1974.3925459999998</v>
      </c>
      <c r="H201" s="3">
        <f>2033.3+(142.2-190)+(-5.184915+(-0.36261--0.4845))+0-68.5--0.17467499999999</f>
        <v>1912.1116500000001</v>
      </c>
      <c r="I201" s="3">
        <f>1979.6+(141.7-198.3)+(-5.04798+(-0.361335--0.505665))+0-69.7--0.17773499999999</f>
        <v>1848.574085</v>
      </c>
      <c r="J201" s="3">
        <f>2020.1+(141.6-254.3)+(2.060502+(0.144432-0.259386))+0-62-0.0632400000000099</f>
        <v>1847.2823079999998</v>
      </c>
      <c r="K201" s="3">
        <f>2011.7+(141.1-296.9)+(1.025967+(0.071961-0.151419))+0-80.2-0.0409019999999919</f>
        <v>1776.6056070000002</v>
      </c>
      <c r="L201" s="3">
        <f>2006.9+(139.4-279.7)+(2.047038+(0.142188-0.285294))+0-87.9-0.089658000000014</f>
        <v>1780.5142739999999</v>
      </c>
      <c r="M201" s="3">
        <f>2055.1+(139-222.8)+(1.048101+(0.07089-0.113628))+0-73.3-0.0373829999999926</f>
        <v>1898.9679799999999</v>
      </c>
      <c r="N201" s="3">
        <f>2110.6+(139.4-232.7)+(0+(0-0))+0-73.1-0</f>
        <v>1944.2</v>
      </c>
      <c r="O201" s="3">
        <f>2934.5+(139.2-563.4)+(0+(0-0))+0-78.4-0</f>
        <v>2431.9</v>
      </c>
      <c r="P201" s="3">
        <f>2946.8+(138-625)+(-1.502868+(-0.07038--0.31875))+0-89--0.045389999999991</f>
        <v>2369.5908920000002</v>
      </c>
      <c r="Q201" s="3">
        <f>2988+(136.5-604.7)+(4.57164+(0.208845-0.925191))+0-70.8-0.108324000000004</f>
        <v>2452.7469700000001</v>
      </c>
      <c r="R201" s="3">
        <f>2950.9+(135.9-584.4)+(0+(0-0))+0-83.3-0</f>
        <v>2419.1</v>
      </c>
      <c r="S201" s="3">
        <f>2944.3+(129.5-569.8)+(1.501593+(0.066045-0.290598))+0-82.6-0.0421259999999916</f>
        <v>2422.6349140000002</v>
      </c>
      <c r="T201" s="3">
        <f>2945.7+(139.3-545.8)+(0+(0-0))+0-87.1-0</f>
        <v>2452.1</v>
      </c>
      <c r="U201" s="3">
        <f>2879.5+(141.3-545.2)+(-10.279815+(-0.504441--1.946364))+0-77.2--0.275604000000001</f>
        <v>2389.837712</v>
      </c>
      <c r="V201" s="3">
        <f>2762.4+(141.6-494.9)+(-5.635296+(-0.288864--1.009596))+0-59.4--0.121175999999997</f>
        <v>2344.9066120000002</v>
      </c>
      <c r="W201" s="3">
        <f>2761.5+(140.3-366.2)+(1.408365+(0.071553-0.186762))+0-84.8-0.0432479999999914</f>
        <v>2452.049908</v>
      </c>
      <c r="X201" s="3">
        <f>3028+(141.4-471.9)+(0+(0-0))+0-88.4-0</f>
        <v>2609.1</v>
      </c>
      <c r="Y201" s="3">
        <f>2977.1+(141.2-435)+(0+(0-0))+0-82.7-0</f>
        <v>2600.6</v>
      </c>
      <c r="Z201" s="3">
        <f>2927.2+(141.2-419.1)+(-5.971488+(-0.288048--0.854964))+0-65.1--0.132803999999997</f>
        <v>2578.9282319999998</v>
      </c>
      <c r="AA201" s="3">
        <f>2806.7+(141.3-373.2)+(-2.862834+(-0.144126--0.380664))+0-74.7--0.0761940000000119</f>
        <v>2497.5498980000002</v>
      </c>
      <c r="AB201" s="3">
        <f>2301+(148.6-128.6)+(-3.52053+(-0.227358--0.196758))+0-70.7--0.108171000000004</f>
        <v>2246.8570410000002</v>
      </c>
      <c r="AC201" s="3">
        <f>2186.1+(169.4-105.5)+(-4.459644+(-0.345576--0.21522))+0-81.3--0.165851999999996</f>
        <v>2164.2758519999998</v>
      </c>
      <c r="AD201" s="2">
        <v>2397.1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2079.8+(160.8-102.3)+(-4.242792+(-0.328032--0.208692))+0-82.2--0.167687999999996</f>
        <v>2051.9055560000002</v>
      </c>
      <c r="G202" s="3">
        <f>2011.2+(152.9-105)+(-5.12856+(-0.389895--0.26775))+0-82.3--0.209864999999988</f>
        <v>1971.7591600000001</v>
      </c>
      <c r="H202" s="3">
        <f>1998+(141.8-112.9)+(-3.05694+(-0.216954--0.172737))+0-85.1--0.130203000000005</f>
        <v>1938.8290460000001</v>
      </c>
      <c r="I202" s="3">
        <f>2010.1+(140.3-141.7)+(-1.025151+(-0.071553--0.072267))+0-61.7--0.0314669999999937</f>
        <v>1946.0070299999998</v>
      </c>
      <c r="J202" s="3">
        <f>2033.9+(140.8-175)+(3.111867+(0.215424-0.26775))+0-85.7-0.131121000000005</f>
        <v>1916.9284200000002</v>
      </c>
      <c r="K202" s="3">
        <f>1998.6+(140.9-238.9)+(-3.057858+(-0.215577--0.365517))+0-84.3--0.128979000000005</f>
        <v>1813.5210609999999</v>
      </c>
      <c r="L202" s="3">
        <f>1990.3+(141-210.9)+(0+(0-0))+0-88.4-0</f>
        <v>1831.9999999999998</v>
      </c>
      <c r="M202" s="3">
        <f>2209.8+(138.7-216)+(-2.253996+(-0.141474--0.22032))+0-87.2--0.0889440000000139</f>
        <v>2043.213794</v>
      </c>
      <c r="N202" s="3">
        <f>2401.7+(137.6-321.5)+(3.674601+(0.210528-0.491895))+0-82.3-0.125919000000005</f>
        <v>2138.7673149999996</v>
      </c>
      <c r="O202" s="3">
        <f>2619.6+(138.2-388.3)+(1.335996+(0.070482-0.198033))+0-90.2-0.0460019999999908</f>
        <v>2280.4624430000003</v>
      </c>
      <c r="P202" s="3">
        <f>2648.6+(138.1-413.5)+(0+(0-0))+0-63.9-0</f>
        <v>2309.2999999999997</v>
      </c>
      <c r="Q202" s="3">
        <f>2716.7+(139.5-411.6)+(-2.771034+(-0.14229--0.419832))+0-81.6--0.083232000000013</f>
        <v>2360.5897399999999</v>
      </c>
      <c r="R202" s="3">
        <f>2993.5+(139.9-548.6)+(0+(0-0))+0-73.4-0</f>
        <v>2511.4</v>
      </c>
      <c r="S202" s="3">
        <f>3027.2+(138.4-570.4)+(1.543872+(0.070584-0.290904))+0-92.2-0.0470219999999906</f>
        <v>2504.2765299999996</v>
      </c>
      <c r="T202" s="3">
        <f>2959.4+(139.6-539.8)+(-3.018588+(-0.142392--0.550596))+0-86.1--0.0878220000000137</f>
        <v>2470.5774380000003</v>
      </c>
      <c r="U202" s="3">
        <f>2861.1+(139.7-502.8)+(-7.295805+(-0.356235--1.28214))+0-93.8--0.239189999999986</f>
        <v>2398.0692899999995</v>
      </c>
      <c r="V202" s="3">
        <f>2868+(141.1-608.7)+(-2.92536+(-0.143922--0.620874))+0-27.1--0.0276420000000043</f>
        <v>2370.879234</v>
      </c>
      <c r="W202" s="3">
        <f>3031.3+(116.3-534.8)+(1.545963+(0.059313-0.272748))+0-68.4-0.0348839999999931</f>
        <v>2545.6976439999999</v>
      </c>
      <c r="X202" s="3">
        <f>3143.5+(112.5-532.8)+(-3.20637+(-0.11475--0.543456))+0-64.6--0.0658920000000103</f>
        <v>2655.8882279999998</v>
      </c>
      <c r="Y202" s="3">
        <f>3158.6+(116.3-520)+(0+(0-0))+0-82.6-0</f>
        <v>2672.3</v>
      </c>
      <c r="Z202" s="3">
        <f>3063.7+(134.3-477.1)+(-1.562487+(-0.068493--0.243321))+0-80.9--0.0412589999999918</f>
        <v>2638.6535999999996</v>
      </c>
      <c r="AA202" s="3">
        <f>3027.6+(135.5-472.2)+(-1.544076+(-0.069105--0.240822))+0-89.9--0.0458489999999909</f>
        <v>2599.6734900000001</v>
      </c>
      <c r="AB202" s="3">
        <f>2963.7+(135.8-443.7)+(-6.045948+(-0.277032--0.905148))+0-84.8--0.172991999999996</f>
        <v>2565.7551599999993</v>
      </c>
      <c r="AC202" s="3">
        <f>2840.5+(135.2-435.7)+(0+(0-0))+0-54.8-0</f>
        <v>2485.1999999999998</v>
      </c>
      <c r="AD202" s="2">
        <v>2439.1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2507.1+(135.4-359.6)+(0+(0-0))+0-87.1-0</f>
        <v>2195.8000000000002</v>
      </c>
      <c r="G203" s="3">
        <f>2368+(135.7-320.7)+(1.20768+(0.069207-0.163557))+0-84.1-0.0428909999999915</f>
        <v>2099.9704390000002</v>
      </c>
      <c r="H203" s="3">
        <f>2328.1+(136.2-344.7)+(1.187331+(0.069462-0.175797))+0-85.9-0.0438089999999913</f>
        <v>2034.7371869999999</v>
      </c>
      <c r="I203" s="3">
        <f>2329.7+(136.4-395.1)+(2.376294+(0.139128-0.403002))+0-88.3-0.0900660000000141</f>
        <v>1984.722354</v>
      </c>
      <c r="J203" s="3">
        <f>2342.1+(135.3-401.4)+(-2.388942+(-0.138006--0.409428))+0-77.1--0.0786420000000123</f>
        <v>1996.8611220000003</v>
      </c>
      <c r="K203" s="3">
        <f>2262.6+(135.4-409)+(-2.307852+(-0.138108--0.41718))+0-78.5--0.0800700000000125</f>
        <v>1908.5512899999999</v>
      </c>
      <c r="L203" s="3">
        <f>2183.5+(135.8-340)+(5.567925+(0.34629-0.867))+0-80.8-0.206039999999988</f>
        <v>1903.341175</v>
      </c>
      <c r="M203" s="3">
        <f>2413.3+(134.1-384.9)+(1.230783+(0.068391-0.196299))+0-81.7-0.0416669999999917</f>
        <v>2081.8612080000003</v>
      </c>
      <c r="N203" s="3">
        <f>2672+(133.7-460)+(2.72544+(0.136374-0.4692))+0-87.6-0.089352000000014</f>
        <v>2260.4032619999998</v>
      </c>
      <c r="O203" s="3">
        <f>2799.1+(133.4-474.2)+(4.282623+(0.204102-0.725526))+0-88.1-0.134793000000005</f>
        <v>2373.8264060000001</v>
      </c>
      <c r="P203" s="3">
        <f>2788.4+(132.1-460.5)+(1.422084+(0.067371-0.234855))+0-68.2-0.0347819999999931</f>
        <v>2393.0198180000002</v>
      </c>
      <c r="Q203" s="3">
        <f>2786.6+(131.4-469.4)+(0+(0-0))+0-80.6-0</f>
        <v>2368</v>
      </c>
      <c r="R203" s="3">
        <f>2773.2+(132.4-465.9)+(-1.414332+(-0.067524--0.237609))+0-89.2--0.0454919999999909</f>
        <v>2349.3012450000001</v>
      </c>
      <c r="S203" s="3">
        <f>2795+(132.9-480.5)+(4.27635+(0.203337-0.735165))+0-85.6-0.130968000000005</f>
        <v>2365.4135540000002</v>
      </c>
      <c r="T203" s="3">
        <f>2777.8+(132.8-478.5)+(1.416678+(0.067728-0.244035))+0-79.9-0.0407489999999919</f>
        <v>2353.3996220000004</v>
      </c>
      <c r="U203" s="3">
        <f>2746.9+(133.1-496.5)+(-8.405514+(-0.407286--1.51929))+0-89--0.27234000000001</f>
        <v>2287.47883</v>
      </c>
      <c r="V203" s="3">
        <f>2581.7+(131.7-389.6)+(-5.266668+(-0.268668--0.794784))+0-78.5--0.160139999999997</f>
        <v>2240.7195879999995</v>
      </c>
      <c r="W203" s="3">
        <f>2740.6+(101.8-351.6)+(0+(0-0))+0-87-0</f>
        <v>2403.7999999999997</v>
      </c>
      <c r="X203" s="3">
        <f>3070.6+(100.5-519.1)+(-1.566006+(-0.051255--0.264741))+0-85.1--0.0434009999999914</f>
        <v>2565.5908810000001</v>
      </c>
      <c r="Y203" s="3">
        <f>3091.8+(117.1-544.4)+(-1.576818+(-0.059721--0.277644))+0-57.6--0.0293759999999942</f>
        <v>2605.5704810000002</v>
      </c>
      <c r="Z203" s="3">
        <f>2983.5+(140.7-462.1)+(-3.04317+(-0.143514--0.471342))+0-76.8--0.0783360000000122</f>
        <v>2582.6629939999998</v>
      </c>
      <c r="AA203" s="3">
        <f>2832.2+(141.8-366.5)+(-5.777688+(-0.289272--0.74766))+0-85.1--0.173603999999996</f>
        <v>2517.254304</v>
      </c>
      <c r="AB203" s="3">
        <f>2681.1+(141-338.4)+(2.734722+(0.14382-0.345168))+0-87.4-0.0891480000000139</f>
        <v>2398.7442259999998</v>
      </c>
      <c r="AC203" s="3">
        <f>2479.3+(139.6-252.1)+(-1.264443+(-0.071196--0.128571))+0-74.8--0.0381479999999924</f>
        <v>2290.8310799999999</v>
      </c>
      <c r="AD203" s="2">
        <v>2371.2000000000003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2011.6+(183-99.6)+(-3.077748+(-0.27999--0.152388))+0-83.2--0.127296000000005</f>
        <v>2008.7219459999999</v>
      </c>
      <c r="G204" s="3">
        <f>1865.8+(194.4-91.6)+(-4.75779+(-0.49572--0.23358))+0-82.7--0.210884999999988</f>
        <v>1881.0909549999999</v>
      </c>
      <c r="H204" s="3">
        <f>1864.9+(145.3-98.8)+(-4.755495+(-0.370515--0.25194))+0-77.3--0.197114999999989</f>
        <v>1829.423045</v>
      </c>
      <c r="I204" s="3">
        <f>1859.9+(149.6-97.4)+(-2.845647+(-0.228888--0.149022))+0-89.2--0.136476000000005</f>
        <v>1820.1109630000001</v>
      </c>
      <c r="J204" s="3">
        <f>1861.5+(151.6-113.2)+(-1.89873+(-0.154632--0.115464))+0-85.4--0.0871080000000136</f>
        <v>1812.64921</v>
      </c>
      <c r="K204" s="3">
        <f>1859.5+(144.2-159.2)+(-2.845035+(-0.220626--0.243576))+0-86.7--0.132651000000005</f>
        <v>1755.1105659999998</v>
      </c>
      <c r="L204" s="3">
        <f>1858.9+(140.7-171.8)+(-1.896078+(-0.143514--0.175236))+0-80--0.0816000000000128</f>
        <v>1746.0172440000001</v>
      </c>
      <c r="M204" s="3">
        <f>2127.3+(140.7-289)+(-1.084923+(-0.071757--0.14739))+0-24.3--0.0123929999999975</f>
        <v>1953.7031030000003</v>
      </c>
      <c r="N204" s="3">
        <f>2575.5+(141.1-520.9)+(-1.313505+(-0.071961--0.265659))+0-21--0.0107099999999979</f>
        <v>2173.5909029999998</v>
      </c>
      <c r="O204" s="3">
        <f>2705.4+(139.3-552.7)+(0+(0-0))+0-19.8-0</f>
        <v>2272.1999999999998</v>
      </c>
      <c r="P204" s="3">
        <f>2805.1+(138.6-559.4)+(2.861202+(0.141372-0.570588))+0-20.1-0.0205020000000032</f>
        <v>2366.6114840000005</v>
      </c>
      <c r="Q204" s="3">
        <f>2890.5+(137.8-570.4)+(-1.474155+(-0.070278--0.290904))+0-19.8--0.010097999999998</f>
        <v>2436.856569</v>
      </c>
      <c r="R204" s="3">
        <f>2900.1+(138.2-565.2)+(1.479051+(0.070482-0.288252))+0-19.9-0.010148999999998</f>
        <v>2454.4511319999997</v>
      </c>
      <c r="S204" s="3">
        <f>2861.4+(137-544.8)+(-4.377942+(-0.20961--0.833544))+0-19--0.0290700000000011</f>
        <v>2430.8750620000005</v>
      </c>
      <c r="T204" s="3">
        <f>2867.4+(139-557.1)+(-1.462374+(-0.07089--0.284121))+0-20.9--0.0106589999999979</f>
        <v>2427.1615160000001</v>
      </c>
      <c r="U204" s="3">
        <f>2728.6+(141.6-481.4)+(-6.95793+(-0.36108--1.22757))+0-41.2--0.105059999999994</f>
        <v>2341.6136200000001</v>
      </c>
      <c r="V204" s="3">
        <f>2726.1+(139.2-408.1)+(-4.170933+(-0.212976--0.624393))+0-80.6--0.123318000000005</f>
        <v>2372.9638019999998</v>
      </c>
      <c r="W204" s="3">
        <f>2893.4+(98.6-340.1)+(-1.475634+(-0.050286--0.173451))+0-83.4--0.0425339999999915</f>
        <v>2567.1900650000002</v>
      </c>
      <c r="X204" s="3">
        <f>3040.3+(93.5-422.8)+(-7.752765+(-0.238425--1.07814))+0-77.2--0.196859999999989</f>
        <v>2627.0838100000001</v>
      </c>
      <c r="Y204" s="3">
        <f>2905.4+(106-346.6)+(-5.927016+(-0.21624--0.707064))+0-69.1--0.140963999999997</f>
        <v>2590.4047720000003</v>
      </c>
      <c r="Z204" s="3">
        <f>2767.6+(140.5-296.5)+(-2.822952+(-0.14331--0.30243))+0-82.8--0.0844560000000132</f>
        <v>2526.2206239999996</v>
      </c>
      <c r="AA204" s="3">
        <f>2810+(140.5-325.7)+(-4.2993+(-0.214965--0.498321))+0-92.1--0.140913000000005</f>
        <v>2528.8249690000002</v>
      </c>
      <c r="AB204" s="3">
        <f>2717.1+(140.6-338.2)+(-5.542884+(-0.286824--0.689928))+0-87--0.177479999999996</f>
        <v>2427.5376999999999</v>
      </c>
      <c r="AC204" s="3">
        <f>2478.8+(140.7-255.1)+(-6.32094+(-0.358785--0.650505))+0-83.4--0.212669999999988</f>
        <v>2275.18345</v>
      </c>
      <c r="AD204" s="2">
        <v>2442.1999999999998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2244.8+(140.5-193)+(-4.579392+(-0.28662--0.39372))+0-78.5--0.160139999999997</f>
        <v>2109.4878480000002</v>
      </c>
      <c r="G205" s="3">
        <f>2088.4+(141.3-119.1)+(-3.195252+(-0.216189--0.182223))+0-76.1--0.116433000000004</f>
        <v>2031.387215</v>
      </c>
      <c r="H205" s="3">
        <f>2005.8+(141.4-123.8)+(-2.045916+(-0.144228--0.126276))+0-76.8--0.0783360000000122</f>
        <v>1944.614468</v>
      </c>
      <c r="I205" s="3">
        <f>2028.1+(140.5-138.7)+(1.034331+(0.071655-0.070737))+0-84.8-0.0432479999999914</f>
        <v>1946.092001</v>
      </c>
      <c r="J205" s="3">
        <f>2028+(140.8-173.1)+(0+(0-0))+0-70.9-0</f>
        <v>1924.8</v>
      </c>
      <c r="K205" s="3">
        <f>2129.2+(141.1-293.7)+(-1.085892+(-0.071961--0.149787))+0-73.8--0.0376379999999925</f>
        <v>1901.8295719999999</v>
      </c>
      <c r="L205" s="3">
        <f>2090.3+(141-274)+(-1.066053+(-0.07191--0.13974))+0-73--0.0372299999999926</f>
        <v>1883.339007</v>
      </c>
      <c r="M205" s="3">
        <f>2173.2+(140-248.2)+(1.108332+(0.0714-0.126582))+0-59.4-0.030293999999994</f>
        <v>2006.6228560000002</v>
      </c>
      <c r="N205" s="3">
        <f>2482.2+(139.4-302.5)+(-1.265922+(-0.071094--0.154275))+0-75.9--0.0387089999999923</f>
        <v>2242.0559679999997</v>
      </c>
      <c r="O205" s="3">
        <f>2774.3+(141.1-465.6)+(0+(0-0))+0-77-0</f>
        <v>2372.8000000000002</v>
      </c>
      <c r="P205" s="3">
        <f>2816.1+(140.2-479)+(1.436211+(0.071502-0.24429))+0-73.8-0.0376379999999925</f>
        <v>2404.7257849999996</v>
      </c>
      <c r="Q205" s="3">
        <f>2897.7+(138.4-493.2)+(2.955654+(0.141168-0.503064))+0-79.2-0.0807840000000126</f>
        <v>2466.2129739999996</v>
      </c>
      <c r="R205" s="3">
        <f>2903.6+(138.5-502.6)+(-1.480836+(-0.070635--0.256326))+0-49.6--0.025295999999995</f>
        <v>2488.6301509999998</v>
      </c>
      <c r="S205" s="3">
        <f>2932.3+(139.5-499.8)+(-8.972838+(-0.42687--1.529388))+0-79.9--0.244494000000009</f>
        <v>2484.4741739999999</v>
      </c>
      <c r="T205" s="3">
        <f>2955.1+(142-515.4)+(-4.521303+(-0.21726--0.788562))+0-80.5--0.123165000000005</f>
        <v>2497.3731639999996</v>
      </c>
      <c r="U205" s="3">
        <f>2935.6+(142.1-551)+(-4.491468+(-0.217413--0.84303))+0-42.7--0.0653310000000025</f>
        <v>2480.1994799999998</v>
      </c>
      <c r="V205" s="3">
        <f>2844.3+(133.5-492.5)+(-4.351779+(-0.204255--0.753525))+0-58.5--0.0895050000000034</f>
        <v>2423.086996</v>
      </c>
      <c r="W205" s="3">
        <f>2992.5+(56.7-413.6)+(0+(0-0))+0-85.1-0</f>
        <v>2550.5</v>
      </c>
      <c r="X205" s="3">
        <f>3118.2+(30.4-449.2)+(-6.361128+(-0.062016--0.916368))+0-89.7--0.182987999999996</f>
        <v>2604.3762119999997</v>
      </c>
      <c r="Y205" s="3">
        <f>3131.7+(56.7-458.6)+(-7.985835+(-0.144585--1.16943))+0-73.6--0.187679999999989</f>
        <v>2649.4266899999998</v>
      </c>
      <c r="Z205" s="3">
        <f>2980.4+(115.6-406.5)+(-7.60002+(-0.29478--1.036575))+0-68.9--0.17569499999999</f>
        <v>2613.9174699999999</v>
      </c>
      <c r="AA205" s="3">
        <f>2738.2+(141.3-282)+(-2.792964+(-0.144126--0.28764))+0-80.1--0.0817020000000128</f>
        <v>2514.8322520000002</v>
      </c>
      <c r="AB205" s="3">
        <f>2538.3+(141.5-221.5)+(-2.589066+(-0.14433--0.22593))+0-82.7--0.0843540000000132</f>
        <v>2373.1768880000004</v>
      </c>
      <c r="AC205" s="3">
        <f>2308.7+(141.5-215.6)+(-3.532311+(-0.216495--0.329868))+0-23.5--0.0359550000000014</f>
        <v>2207.7170169999999</v>
      </c>
      <c r="AD205" s="2">
        <v>2411.5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2241.5+(141.8-227.9)+(0+(0-0))+0-47-0</f>
        <v>2108.4</v>
      </c>
      <c r="G206" s="3">
        <f>2185+(142.8-192.6)+(-3.34305+(-0.218484--0.294678))+0-83.6--0.127908000000005</f>
        <v>2048.4610519999997</v>
      </c>
      <c r="H206" s="3">
        <f>2114.8+(142.7-180.2)+(-3.235644+(-0.218331--0.275706))+0-77.9--0.119187000000005</f>
        <v>1996.3409180000001</v>
      </c>
      <c r="I206" s="3">
        <f>1977.3+(146-126.7)+(0+(0-0))+0-91.3-0</f>
        <v>1905.3</v>
      </c>
      <c r="J206" s="3">
        <f>1884.8+(187-116.5)+(1.922496+(0.19074-0.11883))+0-83-0.0846600000000132</f>
        <v>1874.209746</v>
      </c>
      <c r="K206" s="3">
        <f>1840.7+(195.6-147.5)+(1.877514+(0.199512-0.15045))+0-80.2-0.0818040000000128</f>
        <v>1810.4447720000001</v>
      </c>
      <c r="L206" s="3">
        <f>1919.1+(166.3-145.8)+(1.957482+(0.169626-0.148716))+0-83-0.0846600000000132</f>
        <v>1858.4937319999999</v>
      </c>
      <c r="M206" s="3">
        <f>2099.5+(140.8-188.8)+(0+(0-0))+0-81.6-0</f>
        <v>1969.9</v>
      </c>
      <c r="N206" s="3">
        <f>2347+(140.1-296)+(0+(0-0))+0-70.4-0</f>
        <v>2120.6999999999998</v>
      </c>
      <c r="O206" s="3">
        <f>2612.4+(141.8-375)+(0+(0-0))+0-86.6-0</f>
        <v>2292.6000000000004</v>
      </c>
      <c r="P206" s="3">
        <f>2707.9+(141-378)+(0+(0-0))+0-62.6-0</f>
        <v>2408.3000000000002</v>
      </c>
      <c r="Q206" s="3">
        <f>2853+(140.5-417.6)+(0+(0-0))+0-90.6-0</f>
        <v>2485.3000000000002</v>
      </c>
      <c r="R206" s="3">
        <f>2861.2+(139.6-446.5)+(0+(0-0))+0-24-0</f>
        <v>2530.2999999999997</v>
      </c>
      <c r="S206" s="3">
        <f>2723.3+(139.7-338)+(0+(0-0))+0-89.1-0</f>
        <v>2435.9</v>
      </c>
      <c r="T206" s="3">
        <f>2649.5+(137.8-362.5)+(2.70249+(0.140556-0.36975))+0-45.4-0.0463080000000072</f>
        <v>2381.8269880000003</v>
      </c>
      <c r="U206" s="3">
        <f>2558.6+(140.3-310.2)+(-5.219544+(-0.286212--0.632808))+0-80.6--0.164423999999996</f>
        <v>2303.3914759999998</v>
      </c>
      <c r="V206" s="3">
        <f>2305.2+(136-203.8)+(0+(0-0))+0-83.4-0</f>
        <v>2153.9999999999995</v>
      </c>
      <c r="W206" s="3">
        <f>2591.4+(54.7-229.7)+(1.321614+(0.027897-0.117147))+0-72.6-0.0370259999999926</f>
        <v>2344.9953380000002</v>
      </c>
      <c r="X206" s="3">
        <f>2874.7+(38.4-295.1)+(-7.330485+(-0.09792--0.752505))+0-88.7--0.226184999999987</f>
        <v>2522.850285</v>
      </c>
      <c r="Y206" s="3">
        <f>2917.3+(66.3-334.9)+(-7.439115+(-0.169065--0.853995))+0-71.1--0.18130499999999</f>
        <v>2571.0271200000007</v>
      </c>
      <c r="Z206" s="3">
        <f>2834.8+(126.9-351)+(-1.445748+(-0.064719--0.17901))+0-40.5--0.0206549999999959</f>
        <v>2568.8891980000003</v>
      </c>
      <c r="AA206" s="3">
        <f>2725.9+(143.2-332.4)+(-1.390209+(-0.073032--0.169524))+0-66.3--0.0338129999999933</f>
        <v>2469.1400960000001</v>
      </c>
      <c r="AB206" s="3">
        <f>2590.2+(143.3-317)+(0+(0-0))+0-86.5-0</f>
        <v>2330</v>
      </c>
      <c r="AC206" s="3">
        <f>2523.3+(141.4-333.2)+(-3.860649+(-0.216342--0.509796))+0-82.8--0.126684000000005</f>
        <v>2245.2594889999996</v>
      </c>
      <c r="AD206" s="2">
        <v>2404.5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2510.1+(139.7-332.9)+(-5.120604+(-0.284988--0.679116))+0-84.2--0.171767999999996</f>
        <v>2228.1452920000006</v>
      </c>
      <c r="G207" s="3">
        <f>2405.3+(139.1-328.6)+(-4.906812+(-0.283764--0.670344))+0-85--0.173399999999996</f>
        <v>2126.4531680000005</v>
      </c>
      <c r="H207" s="3">
        <f>2324.8+(140.3-329.1)+(-3.556944+(-0.214659--0.503523))+0-77.3--0.118269000000004</f>
        <v>2055.550189</v>
      </c>
      <c r="I207" s="3">
        <f>2187.1+(140.4-295)+(-1.115421+(-0.071604--0.15045))+0-87--0.0443699999999912</f>
        <v>1944.507795</v>
      </c>
      <c r="J207" s="3">
        <f>2161+(140.7-304.8)+(2.20422+(0.143514-0.310896))+0-71.7-0.0731340000000114</f>
        <v>1927.1637040000001</v>
      </c>
      <c r="K207" s="3">
        <f>2123.5+(140.9-338.6)+(-4.33194+(-0.287436--0.690744))+0-81.2--0.165647999999996</f>
        <v>1840.8370159999997</v>
      </c>
      <c r="L207" s="3">
        <f>2089.6+(141.1-334)+(1.065696+(0.071961-0.17034))+0-68.1-0.0347309999999931</f>
        <v>1829.532586</v>
      </c>
      <c r="M207" s="3">
        <f>2092.9+(140-294.4)+(0+(0-0))+0-93-0</f>
        <v>1845.5</v>
      </c>
      <c r="N207" s="3">
        <f>2252+(138.5-400.9)+(-1.14852+(-0.070635--0.204459))+0-69.8--0.0355979999999929</f>
        <v>1918.8209019999999</v>
      </c>
      <c r="O207" s="3">
        <f>2540.7+(140.2-517)+(1.295757+(0.071502-0.26367))+0-82.7-0.0421769999999916</f>
        <v>2082.2614119999998</v>
      </c>
      <c r="P207" s="3">
        <f>2520.6+(141.4-452.8)+(0+(0-0))+0-89-0</f>
        <v>2120.1999999999998</v>
      </c>
      <c r="Q207" s="3">
        <f>2599.5+(142.2-474.2)+(1.325745+(0.072522-0.241842))+0-86.6-0.0441659999999912</f>
        <v>2182.0122590000001</v>
      </c>
      <c r="R207" s="3">
        <f>2616.4+(140.1-460.4)+(0+(0-0))+0-64.5-0</f>
        <v>2231.6000000000004</v>
      </c>
      <c r="S207" s="3">
        <f>2610.5+(139.6-427.5)+(-5.32542+(-0.284784--0.8721))+0-87.6--0.178703999999996</f>
        <v>2230.4405999999999</v>
      </c>
      <c r="T207" s="3">
        <f>2490.1+(141-379.1)+(-5.079804+(-0.28764--0.773364))+0-42--0.0856799999999982</f>
        <v>2205.4916000000003</v>
      </c>
      <c r="U207" s="3">
        <f>2445.1+(141.9-366.3)+(-4.988004+(-0.289476--0.747252))+0-81.4--0.166055999999996</f>
        <v>2134.9358279999997</v>
      </c>
      <c r="V207" s="3">
        <f>2356.6+(137.2-346)+(-3.605598+(-0.209916--0.52938))+0-76.7--0.117351000000004</f>
        <v>2067.9312169999998</v>
      </c>
      <c r="W207" s="3">
        <f>2514+(60.4-273.6)+(1.28214+(0.030804-0.139536))+0-82.6-0.0421259999999916</f>
        <v>2219.3312820000006</v>
      </c>
      <c r="X207" s="3">
        <f>2851.3+(44.4-421.9)+(-4.362489+(-0.067932--0.645507))+0-87.6--0.134028000000005</f>
        <v>2382.5491140000004</v>
      </c>
      <c r="Y207" s="3">
        <f>2848+(62.5-442.2)+(-7.2624+(-0.159375--1.12761))+0-69.2--0.17645999999999</f>
        <v>2392.9822950000007</v>
      </c>
      <c r="Z207" s="3">
        <f>2738.3+(119.8-411.6)+(-4.189599+(-0.183294--0.629748))+0-56.4--0.0862920000000033</f>
        <v>2386.443147</v>
      </c>
      <c r="AA207" s="3">
        <f>2444.9+(138.4-236.7)+(-4.987596+(-0.282336--0.482868))+0-79.3--0.161771999999997</f>
        <v>2262.6747079999996</v>
      </c>
      <c r="AB207" s="3">
        <f>2248.3+(138.2-128.1)+(-4.586532+(-0.281928--0.261324))+0-79.9--0.162995999999997</f>
        <v>2174.0558599999999</v>
      </c>
      <c r="AC207" s="3">
        <f>2120.7+(139.1-110.9)+(-5.407785+(-0.354705--0.282795))+0-83.9--0.213944999999988</f>
        <v>2059.7342499999995</v>
      </c>
      <c r="AD207" s="2">
        <v>2222.2999999999997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2102.3+(130.9-161.4)+(-3.216519+(-0.200277--0.246942))+0-65.4--0.100062000000004</f>
        <v>2003.3302079999999</v>
      </c>
      <c r="G208" s="3">
        <f>2094.7+(140.6-171.3)+(-3.204891+(-0.215118--0.262089))+0-80.6--0.123318000000005</f>
        <v>1980.3653979999999</v>
      </c>
      <c r="H208" s="3">
        <f>2082+(141.4-169.9)+(-5.3091+(-0.36057--0.433245))+0-70.8--0.18053999999999</f>
        <v>1977.6441150000001</v>
      </c>
      <c r="I208" s="3">
        <f>2050.6+(142.5-154)+(-1.045806+(-0.072675--0.07854))+0-83.7--0.0426869999999915</f>
        <v>1954.4027459999998</v>
      </c>
      <c r="J208" s="3">
        <f>2102.8+(142.7-215.9)+(-1.072428+(-0.072777--0.110109))+0-83.1--0.0423809999999916</f>
        <v>1945.5072850000001</v>
      </c>
      <c r="K208" s="3">
        <f>2096.2+(87.7-251)+(-2.138124+(-0.089454--0.25602))+0-79.9--0.0814980000000127</f>
        <v>1851.1099399999998</v>
      </c>
      <c r="L208" s="3">
        <f>2104.3+(112.9-282.1)+(-1.073193+(-0.057579--0.143871))+0-76.2--0.0388619999999923</f>
        <v>1857.951961</v>
      </c>
      <c r="M208" s="3">
        <f>2302.3+(113.9-323.2)+(2.348346+(0.116178-0.329664))+0-62-0.0632400000000099</f>
        <v>2033.0716200000002</v>
      </c>
      <c r="N208" s="3">
        <f>2500.7+(126.3-354.7)+(-3.826071+(-0.193239--0.542691))+0-83.4--0.127602000000005</f>
        <v>2185.5509829999996</v>
      </c>
      <c r="O208" s="3">
        <f>2548.2+(140.8-322.5)+(0+(0-0))+0-90.4-0</f>
        <v>2276.1</v>
      </c>
      <c r="P208" s="3">
        <f>2500.4+(140.1-218.8)+(0+(0-0))+0-79-0</f>
        <v>2342.7000000000003</v>
      </c>
      <c r="Q208" s="3">
        <f>2474.4+(139.7-202)+(0+(0-0))+0-79.8-0</f>
        <v>2332.2999999999997</v>
      </c>
      <c r="R208" s="3">
        <f>2448.3+(141.2-185.6)+(0+(0-0))+0-64.5-0</f>
        <v>2339.4</v>
      </c>
      <c r="S208" s="3">
        <f>2499.3+(140.5-199.9)+(0+(0-0))+0-81.1-0</f>
        <v>2358.8000000000002</v>
      </c>
      <c r="T208" s="3">
        <f>2494.6+(140.7-230)+(0+(0-0))+0-70.2-0</f>
        <v>2335.1</v>
      </c>
      <c r="U208" s="3">
        <f>2396.8+(141.2-194.4)+(0+(0-0))+0-84.7-0</f>
        <v>2258.9000000000005</v>
      </c>
      <c r="V208" s="3">
        <f>2399.8+(140.3-202.4)+(0+(0-0))+0-91.6-0</f>
        <v>2246.1000000000004</v>
      </c>
      <c r="W208" s="3">
        <f>2439.6+(223.8-190.4)+(0+(0-0))+0-74-0</f>
        <v>2399</v>
      </c>
      <c r="X208" s="3">
        <f>2584.1+(185.9-188.6)+(0+(0-0))+0-87.7-0</f>
        <v>2493.7000000000003</v>
      </c>
      <c r="Y208" s="3">
        <f>2479.8+(237-179.8)+(0+(0-0))+0-82.6-0</f>
        <v>2454.4</v>
      </c>
      <c r="Z208" s="3">
        <f>2446.5+(224.3-161.4)+(0+(0-0))+0-89.5-0</f>
        <v>2419.9</v>
      </c>
      <c r="AA208" s="3">
        <f>2458.8+(147.6-154)+(0+(0-0))+0-84.9-0</f>
        <v>2367.5</v>
      </c>
      <c r="AB208" s="3">
        <f>2352.2+(149.7-140.1)+(0+(0-0))+0-88.8-0</f>
        <v>2272.9999999999995</v>
      </c>
      <c r="AC208" s="3">
        <f>2292.1+(141.5-215.8)+(0+(0-0))+0-58.7-0</f>
        <v>2159.1</v>
      </c>
      <c r="AD208" s="2">
        <v>2391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2232.2+(140.8-197.7)+(-3.415266+(-0.215424--0.302481))+0-92.8--0.141984000000005</f>
        <v>2079.3137749999996</v>
      </c>
      <c r="G209" s="3">
        <f>2201.7+(141-201.2)+(1.122867+(0.07191-0.102612))+0-70.4-0.0359039999999929</f>
        <v>2072.1562610000001</v>
      </c>
      <c r="H209" s="3">
        <f>2165.6+(141.4-234.6)+(-2.208912+(-0.144228--0.239292))+0-23.6--0.0240720000000038</f>
        <v>2046.7102240000002</v>
      </c>
      <c r="I209" s="3">
        <f>2010.5+(151.6-113.1)+(-1.025355+(-0.077316--0.057681))+0-88.5--0.045134999999991</f>
        <v>1959.500145</v>
      </c>
      <c r="J209" s="3">
        <f>1996.5+(155-122.5)+(-3.054645+(-0.23715--0.187425))+0-92.6--0.141678000000005</f>
        <v>1933.437308</v>
      </c>
      <c r="K209" s="3">
        <f>1921.4+(173-151.6)+(-0.979914+(-0.08823--0.077316))+0-81.8--0.0417179999999917</f>
        <v>1860.0508900000002</v>
      </c>
      <c r="L209" s="3">
        <f>1935.7+(150-164.3)+(0+(0-0))+0-87.3-0</f>
        <v>1834.1000000000001</v>
      </c>
      <c r="M209" s="3">
        <f>2206.2+(140.5-252.5)+(2.250324+(0.14331-0.25755))+0-86.1-0.0878220000000137</f>
        <v>2010.1482620000002</v>
      </c>
      <c r="N209" s="3">
        <f>2521.8+(140.7-360.2)+(2.572236+(0.143514-0.367404))+0-72.9-0.0743580000000116</f>
        <v>2231.6739880000005</v>
      </c>
      <c r="O209" s="3">
        <f>2508.9+(141-306.1)+(-1.279539+(-0.07191--0.156111))+0-84.9--0.0432989999999914</f>
        <v>2257.747961</v>
      </c>
      <c r="P209" s="3">
        <f>2533.1+(140.5-332.3)+(0+(0-0))+0-56.6-0</f>
        <v>2284.6999999999998</v>
      </c>
      <c r="Q209" s="3">
        <f>2515.6+(139.5-282.7)+(-3.848868+(-0.213435--0.432531))+0-92.5--0.141525000000005</f>
        <v>2276.4117530000003</v>
      </c>
      <c r="R209" s="3">
        <f>2529+(140.5-286.3)+(0+(0-0))+0-80.8-0</f>
        <v>2302.3999999999996</v>
      </c>
      <c r="S209" s="3">
        <f>2553.1+(140.5-319.4)+(0+(0-0))+0-83.9-0</f>
        <v>2290.2999999999997</v>
      </c>
      <c r="T209" s="3">
        <f>2598.8+(140.8-371.3)+(0+(0-0))+0-94-0</f>
        <v>2274.3000000000002</v>
      </c>
      <c r="U209" s="3">
        <f>2558.7+(141.5-374.9)+(0+(0-0))+0-86.7-0</f>
        <v>2238.6</v>
      </c>
      <c r="V209" s="3">
        <f>2457.9+(141.9-291.3)+(0+(0-0))+0-86.8-0</f>
        <v>2221.6999999999998</v>
      </c>
      <c r="W209" s="3">
        <f>2533.7+(150.3-192.2)+(0+(0-0))+0-87.1-0</f>
        <v>2404.6999999999998</v>
      </c>
      <c r="X209" s="3">
        <f>2666.7+(142.8-265.7)+(0+(0-0))+0-58.1-0</f>
        <v>2485.6999999999998</v>
      </c>
      <c r="Y209" s="3">
        <f>2659.1+(142.6-248.2)+(0+(0-0))+0-82.8-0</f>
        <v>2470.6999999999998</v>
      </c>
      <c r="Z209" s="3">
        <f>2684.7+(141.8-265.9)+(0+(0-0))+0-78.3-0</f>
        <v>2482.2999999999997</v>
      </c>
      <c r="AA209" s="3">
        <f>2504.5+(141.2-189)+(0+(0-0))+0-81.1-0</f>
        <v>2375.6</v>
      </c>
      <c r="AB209" s="3">
        <f>2399.8+(141.5-176.1)+(0+(0-0))+0-85.4-0</f>
        <v>2279.8000000000002</v>
      </c>
      <c r="AC209" s="3">
        <f>2199+(142.1-142.7)+(0+(0-0))+0-96.4-0</f>
        <v>2102</v>
      </c>
      <c r="AD209" s="2">
        <v>2400.9999999999995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2257.6+(141.1-259.5)+(-5.75688+(-0.359805--0.661725))+0-76.4--0.194819999999989</f>
        <v>2057.5398599999999</v>
      </c>
      <c r="G210" s="3">
        <f>2214.7+(142-299.8)+(-5.647485+(-0.3621--0.76449))+0-30.4--0.0775199999999956</f>
        <v>2021.3324249999994</v>
      </c>
      <c r="H210" s="3">
        <f>2253.6+(141.5-298)+(-1.149336+(-0.072165--0.15198))+0-67.7--0.0345269999999931</f>
        <v>2028.365006</v>
      </c>
      <c r="I210" s="3">
        <f>2277.3+(142.4-305.4)+(-3.484269+(-0.217872--0.467262))+0-90.9--0.139077000000005</f>
        <v>2020.304198</v>
      </c>
      <c r="J210" s="3">
        <f>2172.6+(141-270.4)+(-3.324078+(-0.21573--0.413712))+0-78.6--0.120258000000005</f>
        <v>1961.5941619999999</v>
      </c>
      <c r="K210" s="3">
        <f>2112.8+(114.9-288.8)+(-2.155056+(-0.117198--0.294576))+0-72.9--0.0743580000000116</f>
        <v>1864.0966800000001</v>
      </c>
      <c r="L210" s="3">
        <f>2052.5+(112.6-242)+(0+(0-0))+0-77.3-0</f>
        <v>1845.8</v>
      </c>
      <c r="M210" s="3">
        <f>2379+(105.4-378.9)+(0+(0-0))+0-94.8-0</f>
        <v>2010.7</v>
      </c>
      <c r="N210" s="3">
        <f>2476.2+(107.9-361.4)+(0+(0-0))+0-80.2-0</f>
        <v>2142.5</v>
      </c>
      <c r="O210" s="3">
        <f>2466.8+(118.8-356.9)+(0+(0-0))+0-83.9-0</f>
        <v>2144.8000000000002</v>
      </c>
      <c r="P210" s="3">
        <f>2466.1+(112.9-321.9)+(0+(0-0))+0-57.9-0</f>
        <v>2199.1999999999998</v>
      </c>
      <c r="Q210" s="3">
        <f>2477.8+(111-248.9)+(0+(0-0))+0-88-0</f>
        <v>2251.9</v>
      </c>
      <c r="R210" s="3">
        <f>2476.3+(118.4-254.8)+(0+(0-0))+0-87-0</f>
        <v>2252.9</v>
      </c>
      <c r="S210" s="3">
        <f>2562.5+(119.2-346.9)+(-2.61375+(-0.121584--0.353838))+0-86.2--0.0879240000000137</f>
        <v>2246.3064280000003</v>
      </c>
      <c r="T210" s="3">
        <f>2567.6+(120.7-380.2)+(-1.309476+(-0.061557--0.193902))+0-83.5--0.0425849999999915</f>
        <v>2223.4654540000001</v>
      </c>
      <c r="U210" s="3">
        <f>2502.2+(101.3-305.4)+(-5.104488+(-0.206652--0.623016))+0-91.5--0.186659999999996</f>
        <v>2202.098536</v>
      </c>
      <c r="V210" s="3">
        <f>2469.2+(95.6-295.2)+(-2.518584+(-0.097512--0.301104))+0-85.6--0.0873120000000136</f>
        <v>2181.77232</v>
      </c>
      <c r="W210" s="3">
        <f>2545.8+(86.7-204.4)+(-2.596716+(-0.088434--0.208488))+0-38.5--0.0392700000000061</f>
        <v>2387.1626080000005</v>
      </c>
      <c r="X210" s="3">
        <f>2781.7+(85.9-289.8)+(-4.256001+(-0.131427--0.443394))+0-79.8--0.122094000000005</f>
        <v>2494.1780599999993</v>
      </c>
      <c r="Y210" s="3">
        <f>2676+(105.9-218.5)+(-4.09428+(-0.162027--0.334305))+0-89.2--0.136476000000005</f>
        <v>2470.4144740000006</v>
      </c>
      <c r="Z210" s="3">
        <f>2603.6+(141.4-235.6)+(-3.983508+(-0.216342--0.360468))+0-88.4--0.135252000000005</f>
        <v>2417.2958699999999</v>
      </c>
      <c r="AA210" s="3">
        <f>2578.8+(141.8-278.9)+(-5.260752+(-0.289272--0.568956))+0-86--0.175439999999996</f>
        <v>2350.8943720000002</v>
      </c>
      <c r="AB210" s="3">
        <f>2522.9+(141.6-307.9)+(-1.286679+(-0.072216--0.157029))+0-82.4--0.0420239999999916</f>
        <v>2273.0401579999998</v>
      </c>
      <c r="AC210" s="3">
        <f>2347.9+(142.3-277.1)+(-3.592287+(-0.217719--0.423963))+0-81.3--0.124389000000005</f>
        <v>2128.5383459999998</v>
      </c>
      <c r="AD210" s="2">
        <v>2367.4999999999995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2240.2+(141.9-272)+(-1.142502+(-0.072369--0.13872))+0-76--0.0387599999999923</f>
        <v>2033.0626089999996</v>
      </c>
      <c r="G211" s="3">
        <f>2181.8+(142-264)+(0+(0-0))+0-88.2-0</f>
        <v>1971.6000000000001</v>
      </c>
      <c r="H211" s="3">
        <f>2186.8+(141.8-267.1)+(1.115268+(0.072318-0.136221))+0-69.5-0.0354449999999929</f>
        <v>1993.0159199999998</v>
      </c>
      <c r="I211" s="3">
        <f>2197.3+(141.4-240.8)+(2.241246+(0.144228-0.245616))+0-86.7-0.0884340000000138</f>
        <v>2013.251424</v>
      </c>
      <c r="J211" s="3">
        <f>2169.9+(141.8-232.2)+(2.213298+(0.144636-0.236844))+0-90.7-0.0925140000000145</f>
        <v>1990.8285760000001</v>
      </c>
      <c r="K211" s="3">
        <f>2154+(133.4-287.9)+(0+(0-0))+0-81.9-0</f>
        <v>1917.6</v>
      </c>
      <c r="L211" s="3">
        <f>2056.9+(116.6-233.3)+(4.196076+(0.237864-0.475932))+0-87-0.177479999999996</f>
        <v>1856.980528</v>
      </c>
      <c r="M211" s="3">
        <f>2189.6+(112.4-304.8)+(-2.233392+(-0.114648--0.310896))+0-40--0.0408000000000064</f>
        <v>1955.2036559999999</v>
      </c>
      <c r="N211" s="3">
        <f>2346.4+(115.5-322.7)+(-4.786656+(-0.23562--0.658308))+0-20.9--0.0426359999999991</f>
        <v>2113.9786680000002</v>
      </c>
      <c r="O211" s="3">
        <f>2596.2+(107.6-428)+(-3.972186+(-0.164628--0.65484))+0-21.4--0.0327420000000012</f>
        <v>2250.9507679999997</v>
      </c>
      <c r="P211" s="3">
        <f>2792.5+(115.7-501.1)+(-7.120875+(-0.295035--1.277805))+0-21.9--0.0558449999999968</f>
        <v>2379.1177399999997</v>
      </c>
      <c r="Q211" s="3">
        <f>2665.1+(102.3-416)+(-4.077603+(-0.156519--0.63648))+0-21.7--0.0332010000000013</f>
        <v>2326.1355590000003</v>
      </c>
      <c r="R211" s="3">
        <f>2627.2+(115.7-379.1)+(-5.359488+(-0.236028--0.773364))+0-56.9--0.116075999999998</f>
        <v>2302.1939239999992</v>
      </c>
      <c r="S211" s="3">
        <f>2537.3+(106-301.8)+(1.294023+(0.05406-0.153918))+0-79.6-0.0405959999999919</f>
        <v>2263.0535690000002</v>
      </c>
      <c r="T211" s="3">
        <f>2520.7+(112.9-299.4)+(-2.571114+(-0.115158--0.305388))+0-88.8--0.0905760000000142</f>
        <v>2243.1096919999995</v>
      </c>
      <c r="U211" s="3">
        <f>2466.2+(102.2-286.9)+(-6.28881+(-0.26061--0.731595))+0-56--0.142799999999992</f>
        <v>2219.824975</v>
      </c>
      <c r="V211" s="3">
        <f>2362.8+(92.1-222.9)+(-3.615084+(-0.140913--0.341037))+0-82.8--0.126684000000005</f>
        <v>2145.9117239999996</v>
      </c>
      <c r="W211" s="3">
        <f>2569.4+(76.2-192.6)+(1.310394+(0.038862-0.098226))+0-74.2-0.0378419999999925</f>
        <v>2380.0131879999999</v>
      </c>
      <c r="X211" s="3">
        <f>2708.6+(71.8-226.6)+(-4.144158+(-0.109854--0.346698))+0-79.1--0.121023000000005</f>
        <v>2470.9137089999999</v>
      </c>
      <c r="Y211" s="3">
        <f>2691.9+(88.2-225.8)+(-5.491476+(-0.179928--0.460632))+0-86.1--0.175643999999996</f>
        <v>2463.1648720000003</v>
      </c>
      <c r="Z211" s="3">
        <f>2666+(132.6-244.5)+(-5.43864+(-0.270504--0.49878))+0-64.6--0.131783999999997</f>
        <v>2484.4214200000001</v>
      </c>
      <c r="AA211" s="3">
        <f>2540.6+(140.3-191)+(-6.47853+(-0.357765--0.48705))+0-83.9--0.213944999999988</f>
        <v>2399.8647000000001</v>
      </c>
      <c r="AB211" s="3">
        <f>2387+(140.3-150)+(-6.08685+(-0.357765--0.3825))+0-87.9--0.224144999999987</f>
        <v>2283.56203</v>
      </c>
      <c r="AC211" s="3">
        <f>2273.4+(140.3-176.5)+(-3.478302+(-0.214659--0.270045))+0-62.4--0.0954720000000036</f>
        <v>2171.4725560000002</v>
      </c>
      <c r="AD211" s="2">
        <v>2381.6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2273.2+(140.3-234)+(-3.477996+(-0.214659--0.35802))+0-81.2--0.124236000000005</f>
        <v>2095.0896010000001</v>
      </c>
      <c r="G212" s="3">
        <f>2212.6+(140.5-186.2)+(-3.385278+(-0.214965--0.284886))+0-92.9--0.142137000000005</f>
        <v>2070.8267799999999</v>
      </c>
      <c r="H212" s="3">
        <f>2067.3+(151.3-97.3)+(-2.108646+(-0.154326--0.099246))+0-89.8--0.0915960000000143</f>
        <v>2029.42787</v>
      </c>
      <c r="I212" s="3">
        <f>2069.2+(141.2-130.5)+(-1.055292+(-0.072012--0.066555))+0-69.9--0.0356489999999929</f>
        <v>2008.9748999999993</v>
      </c>
      <c r="J212" s="3">
        <f>1972.7+(167.4-106.9)+(1.006077+(0.085374-0.054519))+0-88-0.0448799999999911</f>
        <v>1946.1920520000001</v>
      </c>
      <c r="K212" s="3">
        <f>1947.5+(149.9-154.8)+(0.993225+(0.076449-0.078948))+0-79.7-0.0406469999999919</f>
        <v>1863.8500789999998</v>
      </c>
      <c r="L212" s="3">
        <f>1873.3+(137.4-158.9)+(-0.955383+(-0.070074--0.081039))+0-69.4--0.035393999999993</f>
        <v>1781.4909759999998</v>
      </c>
      <c r="M212" s="3">
        <f>2156.5+(118.3-230.9)+(0+(0-0))+0-88-0</f>
        <v>1955.9</v>
      </c>
      <c r="N212" s="3">
        <f>2313.3+(118.9-248.5)+(-3.539349+(-0.181917--0.380205))+0-87.9--0.134487000000005</f>
        <v>2092.5934259999999</v>
      </c>
      <c r="O212" s="3">
        <f>2386.8+(116-251.5)+(-1.217268+(-0.05916--0.128265))+0-62.1--0.0316709999999937</f>
        <v>2188.0835080000006</v>
      </c>
      <c r="P212" s="3">
        <f>2421.8+(123-257.9)+(-2.470236+(-0.12546--0.263058))+0-88--0.089760000000014</f>
        <v>2196.6571220000001</v>
      </c>
      <c r="Q212" s="3">
        <f>2425.4+(113-239)+(-2.473908+(-0.11526--0.24378))+0-81.2--0.082824000000013</f>
        <v>2215.9374360000002</v>
      </c>
      <c r="R212" s="3">
        <f>2354.8+(120.5-190.5)+(-1.200948+(-0.061455--0.097155))+0-77.6--0.0395759999999921</f>
        <v>2206.0743280000006</v>
      </c>
      <c r="S212" s="3">
        <f>2308.5+(122.7-168.1)+(-3.532005+(-0.187731--0.257193))+0-80.6--0.123318000000005</f>
        <v>2179.1607749999998</v>
      </c>
      <c r="T212" s="3">
        <f>2312.3+(128-162.8)+(-3.537819+(-0.19584--0.249084))+0-79.9--0.122247000000005</f>
        <v>2194.2376719999997</v>
      </c>
      <c r="U212" s="3">
        <f>2369+(109.5-201.3)+(-3.62457+(-0.167535--0.307989))+0-96.2--0.147186000000006</f>
        <v>2177.6630700000001</v>
      </c>
      <c r="V212" s="3">
        <f>2234.3+(88.4-194.5)+(2.278986+(0.090168-0.19839))+0-74.7-0.0761940000000119</f>
        <v>2055.5945700000002</v>
      </c>
      <c r="W212" s="3">
        <f>2370.6+(155.5-176)+(1.209006+(0.079305-0.08976))+0-88-0.0448799999999911</f>
        <v>2263.2536709999999</v>
      </c>
      <c r="X212" s="3">
        <f>2470.6+(132.7-177)+(-3.780018+(-0.203031--0.27081))+0-75.7--0.115821000000004</f>
        <v>2347.0035819999998</v>
      </c>
      <c r="Y212" s="3">
        <f>2497.4+(118.1-168.7)+(-2.547348+(-0.120462--0.172074))+0-87.5--0.089250000000014</f>
        <v>2356.8935140000003</v>
      </c>
      <c r="Z212" s="3">
        <f>2455.8+(144.5-157.6)+(-2.504916+(-0.14739--0.160752))+0-82.1--0.0837420000000131</f>
        <v>2358.192188</v>
      </c>
      <c r="AA212" s="3">
        <f>2361.2+(140.6-152.8)+(-2.408424+(-0.143412--0.155856))+0-88.7--0.0904740000000141</f>
        <v>2257.9944940000005</v>
      </c>
      <c r="AB212" s="3">
        <f>2322.8+(140.2-184)+(-5.92314+(-0.35751--0.4692))+0-88.6--0.225929999999987</f>
        <v>2184.81448</v>
      </c>
      <c r="AC212" s="3">
        <f>2228+(140.5-171.9)+(-6.81768+(-0.42993--0.526014))+0-87.8--0.26866800000001</f>
        <v>2102.347072</v>
      </c>
      <c r="AD212" s="2">
        <v>2379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2227.8+(140.7-201)+(2.272356+(0.143514-0.20502))+0-71.1-0.0725220000000113</f>
        <v>2098.5383280000001</v>
      </c>
      <c r="G213" s="3">
        <f>2222.9+(141.3-232)+(1.133679+(0.072063-0.11832))+0-82.9-0.0422789999999916</f>
        <v>2050.3451430000005</v>
      </c>
      <c r="H213" s="3">
        <f>2169.3+(141.2-248.7)+(2.212686+(0.144024-0.253674))+0-80.3-0.0819060000000128</f>
        <v>1983.5211300000001</v>
      </c>
      <c r="I213" s="3">
        <f>2118.1+(141.6-261.7)+(-1.080231+(-0.072216--0.133467))+0-86--0.0438599999999913</f>
        <v>1911.0248799999999</v>
      </c>
      <c r="J213" s="3">
        <f>2105.1+(141.8-280.9)+(0+(0-0))+0-90.4-0</f>
        <v>1875.6</v>
      </c>
      <c r="K213" s="3">
        <f>2087.2+(107.8-314.2)+(-4.257888+(-0.219912--0.640968))+0-77--0.157079999999997</f>
        <v>1800.1202479999997</v>
      </c>
      <c r="L213" s="3">
        <f>2141+(119.7-345.7)+(2.18382+(0.122094-0.352614))+0-90-0.0918000000000144</f>
        <v>1826.8615</v>
      </c>
      <c r="M213" s="3">
        <f>2230.9+(107.4-376.5)+(0+(0-0))+0-28.1-0</f>
        <v>1933.7000000000003</v>
      </c>
      <c r="N213" s="3">
        <f>2445.5+(111.4-366.8)+(0+(0-0))+0-73.7-0</f>
        <v>2116.4</v>
      </c>
      <c r="O213" s="3">
        <f>2735.7+(112.1-496.6)+(0+(0-0))+0-89.5-0</f>
        <v>2261.6999999999998</v>
      </c>
      <c r="P213" s="3">
        <f>2719.3+(111.6-489.5)+(-4.160529+(-0.170748--0.748935))+0-75.8--0.115974000000004</f>
        <v>2262.1336319999996</v>
      </c>
      <c r="Q213" s="3">
        <f>2727.4+(115.7-501.8)+(0+(0-0))+0-33.7-0</f>
        <v>2307.6000000000004</v>
      </c>
      <c r="R213" s="3">
        <f>2716.2+(110.8-509.4)+(-4.155786+(-0.169524--0.779382))+0-25.8--0.0394740000000015</f>
        <v>2288.2935459999999</v>
      </c>
      <c r="S213" s="3">
        <f>2703.2+(115.1-479.1)+(0+(0-0))+0-83.3-0</f>
        <v>2255.8999999999996</v>
      </c>
      <c r="T213" s="3">
        <f>2699.1+(102.1-465.2)+(0+(0-0))+0-88.5-0</f>
        <v>2247.5</v>
      </c>
      <c r="U213" s="3">
        <f>2684.9+(107.2-508.4)+(-5.477196+(-0.218688--1.037136))+0-71.3--0.145451999999997</f>
        <v>2207.8867040000005</v>
      </c>
      <c r="V213" s="3">
        <f>2702.3+(84-485.8)+(-4.134519+(-0.12852--0.743274))+0-79.2--0.121176000000005</f>
        <v>2217.9014110000003</v>
      </c>
      <c r="W213" s="3">
        <f>2872.3+(82.6-440.1)+(-1.464873+(-0.042126--0.224451))+0-88.5--0.045134999999991</f>
        <v>2425.0625869999999</v>
      </c>
      <c r="X213" s="3">
        <f>2801.7+(103.4-377)+(-4.286601+(-0.158202--0.57681))+0-88.5--0.135405000000005</f>
        <v>2435.8674120000001</v>
      </c>
      <c r="Y213" s="3">
        <f>2617.1+(124.2-343.3)+(-1.334721+(-0.063342--0.175083))+0-88.2--0.0449819999999911</f>
        <v>2308.6220020000001</v>
      </c>
      <c r="Z213" s="3">
        <f>2413.6+(141.2-284.6)+(2.461872+(0.144024-0.290292))+0-82.3-0.0839460000000131</f>
        <v>2190.1316579999993</v>
      </c>
      <c r="AA213" s="3">
        <f>2447.1+(142.2-339.3)+(1.248021+(0.072522-0.173043))+0-82.7-0.0421769999999916</f>
        <v>2168.4053230000004</v>
      </c>
      <c r="AB213" s="3">
        <f>2401.5+(142-363.9)+(-2.44953+(-0.14484--0.371178))+0-83.1--0.0847620000000132</f>
        <v>2094.36157</v>
      </c>
      <c r="AC213" s="3">
        <f>2388+(141.6-427.9)+(-3.65364+(-0.216648--0.654687))+0-64.4--0.0985320000000037</f>
        <v>2034.1829309999998</v>
      </c>
      <c r="AD213" s="2">
        <v>2286.3000000000002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2374.9+(141-478.8)+(-1.211199+(-0.07191--0.244188))+0-75.5--0.0385049999999923</f>
        <v>1960.599584</v>
      </c>
      <c r="G214" s="3">
        <f>2279.3+(139.8-426.1)+(-2.324886+(-0.142596--0.434622))+0-85.7--0.0874140000000137</f>
        <v>1905.3545540000002</v>
      </c>
      <c r="H214" s="3">
        <f>2156.2+(140.6-410.8)+(-3.298986+(-0.215118--0.628524))+0-67.6--0.103428000000004</f>
        <v>1815.6178479999999</v>
      </c>
      <c r="I214" s="3">
        <f>2132.4+(140.4-417.5)+(-4.350096+(-0.286416--0.8517))+0-84.7--0.172787999999996</f>
        <v>1766.9879760000001</v>
      </c>
      <c r="J214" s="3">
        <f>2115.9+(141.3-414.4)+(0+(0-0))+0-82.6-0</f>
        <v>1760.2000000000003</v>
      </c>
      <c r="K214" s="3">
        <f>2083.6+(105.9-438.9)+(-3.187908+(-0.162027--0.671517))+0-85.4--0.130662000000005</f>
        <v>1662.6522439999999</v>
      </c>
      <c r="L214" s="3">
        <f>2049.1+(113.2-436.2)+(-3.135123+(-0.173196--0.667386))+0-76.9--0.117657000000004</f>
        <v>1646.6767239999999</v>
      </c>
      <c r="M214" s="3">
        <f>2021.8+(106.6-369.3)+(1.031118+(0.054366-0.188343))+0-98.3-0.05013299999999</f>
        <v>1661.6470079999999</v>
      </c>
      <c r="N214" s="3">
        <f>2128.1+(112.2-378.3)+(1.085331+(0.057222-0.192933))+0-76.9-0.0392189999999922</f>
        <v>1786.010401</v>
      </c>
      <c r="O214" s="3">
        <f>2229+(141.2-398.3)+(-4.54716+(-0.288048--0.812532))+0-80.6--0.164423999999996</f>
        <v>1887.4417480000002</v>
      </c>
      <c r="P214" s="3">
        <f>2464.3+(140.7-552.2)+(1.256793+(0.071757-0.281622))+0-76.1-0.0388109999999923</f>
        <v>1977.7081170000006</v>
      </c>
      <c r="Q214" s="3">
        <f>2531.7+(140.4-570.6)+(-3.873501+(-0.214812--0.873018))+0-90.4--0.138312000000005</f>
        <v>2008.023017</v>
      </c>
      <c r="R214" s="3">
        <f>2556.5+(139.7-576.7)+(1.303815+(0.071247-0.294117))+0-85.6-0.0436559999999913</f>
        <v>2034.9372890000002</v>
      </c>
      <c r="S214" s="3">
        <f>2542.9+(139.9-572.6)+(-2.593758+(-0.142698--0.584052))+0-88.4--0.0901680000000141</f>
        <v>2019.7377639999997</v>
      </c>
      <c r="T214" s="3">
        <f>2474.1+(141.7-537.1)+(-5.047164+(-0.289068--1.095684))+0-87.2--0.177887999999996</f>
        <v>1987.4373399999995</v>
      </c>
      <c r="U214" s="3">
        <f>2351.5+(142.2-467.2)+(-4.79706+(-0.290088--0.953088))+0-69.2--0.141167999999997</f>
        <v>1953.307108</v>
      </c>
      <c r="V214" s="3">
        <f>2228.1+(132.3-352.4)+(2.272662+(0.134946-0.359448))+0-66.5-0.0678300000000106</f>
        <v>1943.4803300000001</v>
      </c>
      <c r="W214" s="3">
        <f>2344.9+(91.8-317.8)+(-1.195899+(-0.046818--0.162078))+0-45.7--0.0233069999999954</f>
        <v>2072.1426680000004</v>
      </c>
      <c r="X214" s="3">
        <f>2573.1+(82.1-439)+(2.624562+(0.083742-0.44778))+0-82.9-0.0845580000000132</f>
        <v>2135.4759659999995</v>
      </c>
      <c r="Y214" s="3">
        <f>2506.5+(106.5-401.3)+(-3.834945+(-0.162945--0.613989))+0-86.5--0.132345000000005</f>
        <v>2121.9484439999997</v>
      </c>
      <c r="Z214" s="3">
        <f>2404.9+(138.9-344.9)+(-4.905996+(-0.283356--0.703596))+0-78.1--0.159323999999997</f>
        <v>2116.4735680000003</v>
      </c>
      <c r="AA214" s="3">
        <f>2151.6+(143.1-172.6)+(-2.194632+(-0.145962--0.176052))+0-86--0.0877200000000137</f>
        <v>2034.0231779999999</v>
      </c>
      <c r="AB214" s="3">
        <f>2009.6+(142.6-143.9)+(-2.049792+(-0.145452--0.146778))+0-64.7--0.0659940000000103</f>
        <v>1941.617528</v>
      </c>
      <c r="AC214" s="3">
        <f>1812.9+(167.3-95.9)+(-1.849158+(-0.170646--0.097818))+0-89.7--0.0914940000000143</f>
        <v>1792.7695080000001</v>
      </c>
      <c r="AD214" s="2">
        <v>2171.3999999999996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1807.4+(149.8-107.3)+(-3.687096+(-0.305592--0.218892))+0-90.6--0.184823999999996</f>
        <v>1755.7110280000002</v>
      </c>
      <c r="G215" s="3">
        <f>1823.9+(140.9-129.4)+(-0.930189+(-0.071859--0.065994))+0-80.2--0.0409019999999919</f>
        <v>1754.304848</v>
      </c>
      <c r="H215" s="3">
        <f>1742.4+(146.4-107.3)+(-2.665872+(-0.223992--0.164169))+0-83.6--0.127908000000005</f>
        <v>1695.3022129999999</v>
      </c>
      <c r="I215" s="3">
        <f>1724.8+(144.5-112.9)+(-2.638944+(-0.221085--0.172737))+0-68.1--0.104193000000004</f>
        <v>1685.7169009999998</v>
      </c>
      <c r="J215" s="3">
        <f>1733.2+(148.4-125.8)+(-1.767864+(-0.151368--0.128316))+0-85.7--0.0874140000000137</f>
        <v>1668.3964980000001</v>
      </c>
      <c r="K215" s="3">
        <f>1749.8+(141.3-180.3)+(0+(0-0))+0-79.1-0</f>
        <v>1631.7</v>
      </c>
      <c r="L215" s="3">
        <f>1737.8+(141.3-249.6)+(-0.886278+(-0.072063--0.127296))+0-21.3--0.0108629999999978</f>
        <v>1607.3798180000001</v>
      </c>
      <c r="M215" s="3">
        <f>2159.6+(141.7-452.8)+(-1.101396+(-0.072267--0.230928))+0-20.7--0.0105569999999979</f>
        <v>1826.8678219999999</v>
      </c>
      <c r="N215" s="3">
        <f>2354.8+(141.1-463.9)+(0+(0-0))+0-15.4-0</f>
        <v>2016.6000000000001</v>
      </c>
      <c r="O215" s="3">
        <f>2582.5+(141.3-617.6)+(-5.2683+(-0.288252--1.259904))+0-11.6--0.0236639999999995</f>
        <v>2090.3270159999997</v>
      </c>
      <c r="P215" s="3">
        <f>2686+(142.7-677.1)+(-1.36986+(-0.072777--0.345321))+0-11.6--0.00591599999999882</f>
        <v>2138.9086000000002</v>
      </c>
      <c r="Q215" s="3">
        <f>2707.6+(141.6-663.3)+(-2.761752+(-0.144432--0.676566))+0-11.6--0.0118320000000018</f>
        <v>2172.0822140000005</v>
      </c>
      <c r="R215" s="3">
        <f>2520.4+(141.2-549.1)+(-3.856212+(-0.216036--0.840123))+0-11.2--0.0171360000000006</f>
        <v>2098.0850110000001</v>
      </c>
      <c r="S215" s="3">
        <f>2427.3+(141.5-488.9)+(-3.713769+(-0.216495--0.748017))+0-11.2--0.0171360000000006</f>
        <v>2065.534889</v>
      </c>
      <c r="T215" s="3">
        <f>2340.8+(141.7-448.3)+(1.193808+(0.072267-0.228633))+0-10.9-0.00555899999999889</f>
        <v>2024.3318830000003</v>
      </c>
      <c r="U215" s="3">
        <f>2276.5+(134.2-415.9)+(-6.96609+(-0.410652--1.272654))+0-10.5--0.0321300000000012</f>
        <v>1978.228042</v>
      </c>
      <c r="V215" s="3">
        <f>2274.2+(96.7-349.9)+(-2.319684+(-0.098634--0.356898))+0-10.3--0.0105060000000016</f>
        <v>2008.6490859999999</v>
      </c>
      <c r="W215" s="3">
        <f>2687.9+(22.8-402.3)+(0+(0-0))+0-10.5-0</f>
        <v>2297.9</v>
      </c>
      <c r="X215" s="3">
        <f>2777.6+(13.2-445.2)+(-5.666304+(-0.026928--0.908208))+0-10.3--0.0210119999999996</f>
        <v>2330.5359880000001</v>
      </c>
      <c r="Y215" s="3">
        <f>2646.2+(35.6-357.2)+(-10.796496+(-0.145248--1.457376))+0-11.1--0.045287999999999</f>
        <v>2304.0609199999999</v>
      </c>
      <c r="Z215" s="3">
        <f>2481.9+(94.2-311.4)+(-6.328845+(-0.24021--0.79407))+0-11--0.0280499999999984</f>
        <v>2247.9530650000002</v>
      </c>
      <c r="AA215" s="3">
        <f>2258.5+(140.9-248.6)+(-5.759175+(-0.359295--0.63393))+0-10.7--0.0272849999999984</f>
        <v>2134.6427450000006</v>
      </c>
      <c r="AB215" s="3">
        <f>2003.9+(150.7-133.8)+(-3.065967+(-0.230571--0.204714))+0-10.4--0.0159120000000006</f>
        <v>2007.3240880000001</v>
      </c>
      <c r="AC215" s="3">
        <f>1902.5+(152.2-125.3)+(-0.970275+(-0.077622--0.063903))+0-10--0.00509999999999899</f>
        <v>1918.4211060000002</v>
      </c>
      <c r="AD215" s="2">
        <v>2368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1900.6+(142.9-162.5)+(0.969306+(0.072879-0.082875))+0-10.6-0.00540599999999892</f>
        <v>1871.3539040000001</v>
      </c>
      <c r="G216" s="3">
        <f>1882.5+(142.7-162)+(-3.8403+(-0.291108--0.33048))+0-10.8--0.0220319999999995</f>
        <v>1848.6211040000001</v>
      </c>
      <c r="H216" s="3">
        <f>1830.1+(143.1-152)+(-3.733404+(-0.291924--0.31008))+0-10.4--0.0212159999999995</f>
        <v>1807.1059679999998</v>
      </c>
      <c r="I216" s="3">
        <f>1809.5+(145.5-129)+(3.69138+(0.29682-0.26316))+0-10.3-0.0210119999999996</f>
        <v>1819.4040280000002</v>
      </c>
      <c r="J216" s="3">
        <f>1805.8+(120.4-156.8)+(4.60479+(0.30702-0.39984))+0-10.1-0.0257549999999985</f>
        <v>1763.7862150000001</v>
      </c>
      <c r="K216" s="3">
        <f>1806.2+(103.7-179.5)+(2.763486+(0.158661-0.274635))+0-10.6-0.0162180000000006</f>
        <v>1722.4312940000002</v>
      </c>
      <c r="L216" s="3">
        <f>1826.5+(102.7-217.7)+(3.72606+(0.209508-0.444108))+0-10.3-0.0210119999999996</f>
        <v>1704.6704480000001</v>
      </c>
      <c r="M216" s="3">
        <f>1990.4+(119.6-272.2)+(0+(0-0))+0-10.2-0</f>
        <v>1827.6000000000001</v>
      </c>
      <c r="N216" s="3">
        <f>2244.3+(137.6-375.8)+(2.289186+(0.140352-0.383316))+0-10.5-0.0107100000000017</f>
        <v>1997.6355120000001</v>
      </c>
      <c r="O216" s="3">
        <f>2323.5+(140.1-338.5)+(-3.554955+(-0.214353--0.517905))+0-10.3--0.0157590000000006</f>
        <v>2111.5643559999994</v>
      </c>
      <c r="P216" s="3">
        <f>2406.1+(139.4-382.9)+(0+(0-0))+0-10.4-0</f>
        <v>2152.1999999999998</v>
      </c>
      <c r="Q216" s="3">
        <f>2553.3+(138.3-430.2)+(-2.604366+(-0.141066--0.438804))+0-10.3--0.0105060000000016</f>
        <v>2248.8038780000002</v>
      </c>
      <c r="R216" s="3">
        <f>2545.1+(138.3-438.2)+(-5.192004+(-0.282132--0.893928))+0-10--0.0203999999999996</f>
        <v>2230.6401919999998</v>
      </c>
      <c r="S216" s="3">
        <f>2467+(141.5-390.9)+(-2.51634+(-0.14433--0.398718))+0-10--0.0102000000000016</f>
        <v>2205.3482480000002</v>
      </c>
      <c r="T216" s="3">
        <f>2444.8+(140.8-439.1)+(-6.23424+(-0.35904--1.119705))+0-9.8--0.0249899999999986</f>
        <v>2131.2514149999997</v>
      </c>
      <c r="U216" s="3">
        <f>2334.3+(138.2-400.1)+(-1.190493+(-0.070482--0.204051))+0-10.3--0.00525299999999896</f>
        <v>2061.0483289999997</v>
      </c>
      <c r="V216" s="3">
        <f>2128.8+(111.7-197.1)+(0+(0-0))+0-10.5-0</f>
        <v>2032.9</v>
      </c>
      <c r="W216" s="3">
        <f>2255.1+(167.4-182.3)+(0+(0-0))+0-10.3-0</f>
        <v>2229.8999999999996</v>
      </c>
      <c r="X216" s="3">
        <f>2327.9+(136.9-180.9)+(-2.374458+(-0.139638--0.184518))+0-10.2--0.0104040000000016</f>
        <v>2271.3808260000005</v>
      </c>
      <c r="Y216" s="3">
        <f>2264.2+(170.1-167)+(-2.309484+(-0.173502--0.17034))+0-9.8--0.00999600000000156</f>
        <v>2255.1973499999999</v>
      </c>
      <c r="Z216" s="3">
        <f>2254+(149.3-151)+(2.29908+(0.152286-0.15402))+0-10.3-0.0105060000000016</f>
        <v>2244.2868399999998</v>
      </c>
      <c r="AA216" s="3">
        <f>2155+(147.3-152.8)+(2.1981+(0.150246-0.155856))+0-10.5-0.0107100000000017</f>
        <v>2141.1817799999999</v>
      </c>
      <c r="AB216" s="3">
        <f>2125.9+(136.9-182.8)+(-3.252627+(-0.209457--0.279684))+0-10.2--0.0156060000000006</f>
        <v>2066.633206</v>
      </c>
      <c r="AC216" s="3">
        <f>2061.4+(136.9-195.7)+(-4.205256+(-0.279276--0.399228))+0-10.1--0.0206039999999996</f>
        <v>1988.4353000000003</v>
      </c>
      <c r="AD216" s="2">
        <v>2339.1000000000004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2013.2+(136.7-203.9)+(-1.026732+(-0.069717--0.103989))+0-9.8--0.00499799999999901</f>
        <v>1935.212538</v>
      </c>
      <c r="G217" s="3">
        <f>1998.1+(136.2-217.3)+(-3.057093+(-0.208386--0.332469))+0-10.5--0.0160650000000006</f>
        <v>1903.5830550000001</v>
      </c>
      <c r="H217" s="3">
        <f>1881.1+(135.7-183.1)+(-3.837444+(-0.276828--0.373524))+0-10.6--0.0216239999999995</f>
        <v>1819.3808759999999</v>
      </c>
      <c r="I217" s="3">
        <f>1788.1+(135.5-115.1)+(-1.823862+(-0.13821--0.117402))+0-10.2--0.0104040000000016</f>
        <v>1796.4657340000001</v>
      </c>
      <c r="J217" s="3">
        <f>1740.9+(138.9-117.4)+(2.663577+(0.212517-0.179622))+0-10.2-0.0156060000000006</f>
        <v>1754.8808660000002</v>
      </c>
      <c r="K217" s="3">
        <f>1733.4+(115.8-151)+(-3.536136+(-0.236232--0.30804))+0-9.9--0.0201959999999996</f>
        <v>1684.8558679999999</v>
      </c>
      <c r="L217" s="3">
        <f>1815.8+(104.9-216.9)+(0+(0-0))+0-10.3-0</f>
        <v>1693.5</v>
      </c>
      <c r="M217" s="3">
        <f>2017.1+(127.3-301.3)+(0+(0-0))+0-10.2-0</f>
        <v>1832.8999999999999</v>
      </c>
      <c r="N217" s="3">
        <f>2552.4+(132.3-570.8)+(2.603448+(0.134946-0.582216))+0-10-0.0102000000000016</f>
        <v>2106.0459780000001</v>
      </c>
      <c r="O217" s="3">
        <f>2613.2+(133.2-590.3)+(1.332732+(0.067932-0.301053))+0-9.6-0.00489599999999903</f>
        <v>2147.5947150000002</v>
      </c>
      <c r="P217" s="3">
        <f>2576.6+(130-523.8)+(-2.628132+(-0.1326--0.534276))+0-10--0.0102000000000016</f>
        <v>2170.5837440000005</v>
      </c>
      <c r="Q217" s="3">
        <f>2637.4+(132-538.4)+(-4.035222+(-0.20196--0.823752))+0-10--0.0153000000000006</f>
        <v>2217.60187</v>
      </c>
      <c r="R217" s="3">
        <f>2725.4+(131.5-591.7)+(-8.339724+(-0.40239--1.810602))+0-10.2--0.0312120000000012</f>
        <v>2248.0996999999998</v>
      </c>
      <c r="S217" s="3">
        <f>2633.2+(131.8-583.6)+(0+(0-0))+0-10.2-0</f>
        <v>2171.1999999999998</v>
      </c>
      <c r="T217" s="3">
        <f>2624.2+(132.6-571.9)+(-1.338342+(-0.067626--0.291669))+0-10--0.00509999999999899</f>
        <v>2173.7908009999996</v>
      </c>
      <c r="U217" s="3">
        <f>2629+(134.7-584.5)+(0+(0-0))+0-10-0</f>
        <v>2169.1999999999998</v>
      </c>
      <c r="V217" s="3">
        <f>2598.1+(117.3-536)+(-5.300124+(-0.239292--1.09344))+0-11.3--0.0230519999999995</f>
        <v>2163.6770759999999</v>
      </c>
      <c r="W217" s="3">
        <f>2927.8+(64.3-560.8)+(-2.986356+(-0.065586--0.572016))+0-11.2--0.0114240000000018</f>
        <v>2417.6314980000002</v>
      </c>
      <c r="X217" s="3">
        <f>3082.4+(48.3-638.8)+(-1.572024+(-0.024633--0.325788))+0-11.3--0.00576299999999885</f>
        <v>2479.3348940000001</v>
      </c>
      <c r="Y217" s="3">
        <f>2946.8+(73.2-538.8)+(-3.005736+(-0.074664--0.549576))+0-11--0.0112200000000018</f>
        <v>2467.6803960000002</v>
      </c>
      <c r="Z217" s="3">
        <f>2828.3+(129.2-495.3)+(-7.212165+(-0.32946--1.263015))+0-11.3--0.0288149999999984</f>
        <v>2444.6502050000004</v>
      </c>
      <c r="AA217" s="3">
        <f>2771.3+(141-468.3)+(-5.653452+(-0.28764--0.955332))+0-11.3--0.0230519999999995</f>
        <v>2427.7372919999998</v>
      </c>
      <c r="AB217" s="3">
        <f>2672.5+(140.6-434.5)+(-4.088925+(-0.215118--0.664785))+0-11--0.0168300000000006</f>
        <v>2363.9775719999998</v>
      </c>
      <c r="AC217" s="3">
        <f>2405.3+(142.4-336.9)+(-2.453406+(-0.145248--0.343638))+0-10.8--0.0110160000000017</f>
        <v>2197.7559999999999</v>
      </c>
      <c r="AD217" s="2">
        <v>2429.6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2285.4+(142-374.4)+(-1.165554+(-0.07242--0.190944))+0-10.9--0.00555899999999889</f>
        <v>2041.0585289999997</v>
      </c>
      <c r="G218" s="3">
        <f>2293+(141.2-411.8)+(1.16943+(0.072012-0.210018))+0-11.1-0.00566099999999887</f>
        <v>2012.3257630000003</v>
      </c>
      <c r="H218" s="3">
        <f>2119.5+(141.1-295.6)+(0+(0-0))+0-11.1-0</f>
        <v>1953.9</v>
      </c>
      <c r="I218" s="3">
        <f>2015.4+(142.1-235.9)+(4.111416+(0.289884-0.481236))+0-10.8-0.0220319999999995</f>
        <v>1914.698032</v>
      </c>
      <c r="J218" s="3">
        <f>2007.2+(125.9-238.1)+(1.023672+(0.064209-0.121431))+0-10-0.00509999999999899</f>
        <v>1885.9613499999998</v>
      </c>
      <c r="K218" s="3">
        <f>2007.3+(98-272.4)+(2.047446+(0.09996-0.277848))+0-6.7-0.00683400000000107</f>
        <v>1828.0627240000001</v>
      </c>
      <c r="L218" s="3">
        <f>1993.4+(120.3-322)+(-2.033268+(-0.122706--0.32844))+0-0-0</f>
        <v>1789.872466</v>
      </c>
      <c r="M218" s="3">
        <f>2194.6+(141.1-410.6)+(5.59623+(0.359805-1.04703))+0--2.2--0.00560999999999968</f>
        <v>1932.2146149999999</v>
      </c>
      <c r="N218" s="3">
        <f>2482.4+(140.1-501.8)+(-2.532048+(-0.142902--0.511836))+0--2.2-0.00224400000000035</f>
        <v>2120.7346419999999</v>
      </c>
      <c r="O218" s="3">
        <f>2584.3+(140.6-534.1)+(-1.317993+(-0.071706--0.272391))+0--2.2-0.00112199999999978</f>
        <v>2191.88157</v>
      </c>
      <c r="P218" s="3">
        <f>2594.8+(140.6-530.2)+(0+(0-0))+0--2.3-0</f>
        <v>2207.5000000000005</v>
      </c>
      <c r="Q218" s="3">
        <f>2694.5+(139.4-542.9)+(1.374195+(0.071094-0.276879))+0--2.3--0.00117299999999977</f>
        <v>2294.4695830000005</v>
      </c>
      <c r="R218" s="3">
        <f>2564.7+(140.6-478)+(-2.615994+(-0.143412--0.48756))+0--2.3-0.00234600000000037</f>
        <v>2227.3258079999996</v>
      </c>
      <c r="S218" s="3">
        <f>2552+(139.4-488)+(-2.60304+(-0.142188--0.49776))+0--2.3-0.00234600000000037</f>
        <v>2203.450186</v>
      </c>
      <c r="T218" s="3">
        <f>2569.7+(140-527.4)+(2.621094+(0.1428-0.537948))+0--2.3--0.00234600000000037</f>
        <v>2186.8282920000001</v>
      </c>
      <c r="U218" s="3">
        <f>2541.8+(140.3-525.4)+(-3.888954+(-0.214659--0.803862))+0--2.3-0.00351900000000013</f>
        <v>2155.6967300000006</v>
      </c>
      <c r="V218" s="3">
        <f>2538.9+(108.9-484.7)+(-2.589678+(-0.111078--0.494394))+0--2.2-0.00224400000000035</f>
        <v>2163.0913940000005</v>
      </c>
      <c r="W218" s="3">
        <f>2943.8+(15.9-533.8)+(0+(0-0))+0--2.3-0</f>
        <v>2428.2000000000003</v>
      </c>
      <c r="X218" s="3">
        <f>3050.7+(0-559.3)+(-6.223428+(0--1.140972))+0--2.4-0.0048959999999999</f>
        <v>2488.7126479999997</v>
      </c>
      <c r="Y218" s="3">
        <f>2907.4+(10.2-443.9)+(-7.41387+(-0.02601--1.131945))+0--3.1-0.00790499999999955</f>
        <v>2470.4841600000004</v>
      </c>
      <c r="Z218" s="3">
        <f>2664.7+(82-337.4)+(-1.358997+(-0.04182--0.172074))+0-0-0</f>
        <v>2408.0712569999996</v>
      </c>
      <c r="AA218" s="3">
        <f>2533.2+(141.7-341.4)+(-5.167728+(-0.289068--0.696456))+0-0-0</f>
        <v>2328.7396600000002</v>
      </c>
      <c r="AB218" s="3">
        <f>2417.7+(142.1-347.9)+(-1.233027+(-0.072471--0.177429))+0-0-0</f>
        <v>2210.7719309999998</v>
      </c>
      <c r="AC218" s="3">
        <f>2342.6+(143.3-347.2)+(-7.168356+(-0.438498--1.062432))+0-0-0</f>
        <v>2132.1555779999999</v>
      </c>
      <c r="AD218" s="2">
        <v>2407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2352.4+(142-435.8)+(-2.399448+(-0.14484--0.444516))+0-0-0</f>
        <v>2056.5002279999999</v>
      </c>
      <c r="G219" s="3">
        <f>2274.8+(141.7-415.4)+(-1.160148+(-0.072267--0.211854))+0-0-0</f>
        <v>2000.0794390000001</v>
      </c>
      <c r="H219" s="3">
        <f>2205.9+(141.5-368.2)+(0+(0-0))+0-2.5-0</f>
        <v>1976.7</v>
      </c>
      <c r="I219" s="3">
        <f>2174.7+(140.8-318.8)+(3.327291+(0.215424-0.487764))+0-5.5-0.00841500000000032</f>
        <v>1994.2465359999999</v>
      </c>
      <c r="J219" s="3">
        <f>2162.1+(124-322.3)+(-2.205342+(-0.12648--0.328746))+0-7.6--0.00775200000000121</f>
        <v>1954.2046760000001</v>
      </c>
      <c r="K219" s="3">
        <f>2167.2+(117.2-342.2)+(-1.105272+(-0.059772--0.174522))+0-7.7--0.00392699999999922</f>
        <v>1933.5134049999997</v>
      </c>
      <c r="L219" s="3">
        <f>2108.6+(143.4-366.9)+(-3.226158+(-0.219402--0.561357))+0-8--0.0122400000000005</f>
        <v>1874.2280369999999</v>
      </c>
      <c r="M219" s="3">
        <f>2234.5+(141.5-387.8)+(2.27919+(0.14433-0.395556))+0-9.2-0.00938400000000147</f>
        <v>1981.0185800000002</v>
      </c>
      <c r="N219" s="3">
        <f>2419.9+(141.9-429.4)+(0+(0-0))+0-9.8-0</f>
        <v>2122.6</v>
      </c>
      <c r="O219" s="3">
        <f>2610.9+(140.8-513.7)+(-2.663118+(-0.143616--0.523974))+0-9.6--0.00979200000000153</f>
        <v>2226.1270319999999</v>
      </c>
      <c r="P219" s="3">
        <f>2634.5+(140.6-505.7)+(0+(0-0))+0-9.9-0</f>
        <v>2259.5</v>
      </c>
      <c r="Q219" s="3">
        <f>2674.5+(140.3-495.8)+(-4.091985+(-0.214659--0.758574))+0-9.8--0.0149940000000006</f>
        <v>2305.6669240000001</v>
      </c>
      <c r="R219" s="3">
        <f>2646.7+(141.4-482.2)+(-5.399268+(-0.288456--0.983688))+0-11.3--0.0230519999999995</f>
        <v>2289.9190159999994</v>
      </c>
      <c r="S219" s="3">
        <f>2610.9+(141.9-505)+(2.663118+(0.144738-0.5151))+0-14.2-0.0144840000000023</f>
        <v>2235.8782720000004</v>
      </c>
      <c r="T219" s="3">
        <f>2601+(141.5-537.1)+(-1.32651+(-0.072165--0.273921))+0-13.9--0.00708899999999859</f>
        <v>2190.3823350000002</v>
      </c>
      <c r="U219" s="3">
        <f>2546.7+(138.8-498.1)+(-2.597634+(-0.141576--0.508062))+0-14.1--0.0143820000000022</f>
        <v>2171.0832339999997</v>
      </c>
      <c r="V219" s="3">
        <f>2518.7+(114.9-456.2)+(0+(0-0))+0-14.6-0</f>
        <v>2162.7999999999997</v>
      </c>
      <c r="W219" s="3">
        <f>2772.7+(112.3-503.4)+(-2.828154+(-0.114546--0.513468))+0-17.3--0.0176460000000028</f>
        <v>2361.8884139999996</v>
      </c>
      <c r="X219" s="3">
        <f>2961.2+(122.7-604.4)+(-6.040848+(-0.250308--1.232976))+0-14.7--0.0299879999999994</f>
        <v>2459.771808</v>
      </c>
      <c r="Y219" s="3">
        <f>2778.9+(136.5-489.6)+(0+(0-0))+0-14.4-0</f>
        <v>2411.4</v>
      </c>
      <c r="Z219" s="3">
        <f>2639.2+(139.8-380.8)+(-2.691984+(-0.142596--0.388416))+0-14.2--0.0144840000000023</f>
        <v>2381.5683199999999</v>
      </c>
      <c r="AA219" s="3">
        <f>2604.3+(141.7-378.6)+(-3.984579+(-0.216801--0.579258))+0-14.9--0.0227970000000009</f>
        <v>2348.9006749999999</v>
      </c>
      <c r="AB219" s="3">
        <f>2333+(141.4-266.1)+(-5.94915+(-0.36057--0.678555))+0-15--0.0382499999999978</f>
        <v>2187.7070850000005</v>
      </c>
      <c r="AC219" s="3">
        <f>2298.6+(141.8-302.8)+(-2.344572+(-0.144636--0.308856))+0-14.7--0.0149940000000023</f>
        <v>2120.7346420000003</v>
      </c>
      <c r="AD219" s="2">
        <v>2377.0000000000005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2290.8+(140.7-327.2)+(-4.673232+(-0.287028--0.667488))+0-14.6--0.0297839999999994</f>
        <v>2085.4370120000003</v>
      </c>
      <c r="G220" s="3">
        <f>2298.4+(142-368.9)+(-2.344368+(-0.14484--0.376278))+0-14.3--0.0145860000000023</f>
        <v>2055.1016559999998</v>
      </c>
      <c r="H220" s="3">
        <f>2324.9+(141.9-390.8)+(2.371398+(0.144738-0.398616))+0-14.5-0.0147900000000023</f>
        <v>2063.6027299999996</v>
      </c>
      <c r="I220" s="3">
        <f>2283+(141.6-389.8)+(-5.82165+(-0.36108--0.99399))+0-14.6--0.0372299999999979</f>
        <v>2015.0484899999999</v>
      </c>
      <c r="J220" s="3">
        <f>2257.5+(141.2-391.7)+(-5.756625+(-0.36006--0.998835))+0-14.4--0.0367199999999979</f>
        <v>1987.5188699999999</v>
      </c>
      <c r="K220" s="3">
        <f>2177.7+(141.7-392.6)+(-3.331881+(-0.216801--0.600678))+0-14.4--0.0220320000000008</f>
        <v>1909.4740279999996</v>
      </c>
      <c r="L220" s="3">
        <f>1993.7+(141-315.3)+(-3.050361+(-0.21573--0.482409))+0-14.2--0.0217260000000008</f>
        <v>1802.438044</v>
      </c>
      <c r="M220" s="3">
        <f>2310.1+(143.4-451.9)+(3.534453+(0.219402-0.691407))+0-14.7-0.0224910000000008</f>
        <v>1989.9399569999998</v>
      </c>
      <c r="N220" s="3">
        <f>2528.6+(142.2-459.1)+(-1.289586+(-0.072522--0.234141))+0-21.5--0.0109649999999978</f>
        <v>2189.0829979999999</v>
      </c>
      <c r="O220" s="3">
        <f>2536.9+(141.1-428.2)+(-2.587638+(-0.143922--0.436764))+0-50.4--0.051408000000008</f>
        <v>2197.1566119999998</v>
      </c>
      <c r="P220" s="3">
        <f>2552.1+(142.8-416.3)+(-1.301571+(-0.072828--0.212313))+0-54.4--0.0277439999999945</f>
        <v>2223.065658</v>
      </c>
      <c r="Q220" s="3">
        <f>2581.9+(141.4-448.1)+(-3.950307+(-0.216342--0.685593))+0-38.3--0.0585990000000022</f>
        <v>2233.4775429999995</v>
      </c>
      <c r="R220" s="3">
        <f>2570.5+(141.2-427.3)+(-5.24382+(-0.288048--0.871692))+0-61.9--0.126275999999997</f>
        <v>2217.9661000000001</v>
      </c>
      <c r="S220" s="3">
        <f>2481.9+(142.2-395.7)+(-1.265769+(-0.072522--0.201807))+0-70.8--0.0361079999999928</f>
        <v>2156.4996239999996</v>
      </c>
      <c r="T220" s="3">
        <f>2468.7+(142.9-464.3)+(-3.777111+(-0.218637--0.710379))+0-49.6--0.0758880000000029</f>
        <v>2094.4905189999995</v>
      </c>
      <c r="U220" s="3">
        <f>2362.9+(139.8-377)+(-2.410158+(-0.142596--0.38454))+0-73.4--0.0748680000000117</f>
        <v>2050.2066540000005</v>
      </c>
      <c r="V220" s="3">
        <f>2297.3+(135.8-303.6)+(0+(0-0))+0-26.8-0</f>
        <v>2102.6999999999998</v>
      </c>
      <c r="W220" s="3">
        <f>2570.4+(113.2-313.9)+(-2.621808+(-0.115464--0.320178))+0-34.5--0.0351900000000055</f>
        <v>2332.8180960000004</v>
      </c>
      <c r="X220" s="3">
        <f>2842+(135.1-442.6)+(-1.44942+(-0.068901--0.225726))+0-50.7--0.0258569999999949</f>
        <v>2482.5332620000004</v>
      </c>
      <c r="Y220" s="3">
        <f>2771.8+(140.9-377.7)+(-5.654472+(-0.287436--0.770508))+0-75.3--0.153611999999997</f>
        <v>2454.6822119999997</v>
      </c>
      <c r="Z220" s="3">
        <f>2638.8+(140.3-303.8)+(-2.691576+(-0.143106--0.309876))+0-39.7--0.0404940000000063</f>
        <v>2433.1156880000003</v>
      </c>
      <c r="AA220" s="3">
        <f>2589.4+(140.8-289.4)+(-3.961782+(-0.215424--0.442782))+0-39.2--0.0599760000000023</f>
        <v>2397.9255520000002</v>
      </c>
      <c r="AB220" s="3">
        <f>2581.8+(141.1-314.4)+(-3.950154+(-0.215883--0.481032))+0-65.8--0.100674000000004</f>
        <v>2339.1156689999998</v>
      </c>
      <c r="AC220" s="3">
        <f>2576.9+(81.3-338.1)+(-5.256876+(-0.165852--0.689724))+0-74.3--0.151571999999997</f>
        <v>2241.2185679999998</v>
      </c>
      <c r="AD220" s="2">
        <v>2329.2999999999997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2534.6+(0-295)+(-3.877938+(0--0.45135))+0-54.3--0.0830790000000031</f>
        <v>2181.9564909999999</v>
      </c>
      <c r="G221" s="3">
        <f>2284.8+(0-160.3)+(-5.82624+(0--0.408765))+0-28--0.0713999999999959</f>
        <v>2091.1539249999996</v>
      </c>
      <c r="H221" s="3">
        <f>2233.7+(0-167)+(0+(0-0))+0-22.9-0</f>
        <v>2043.7999999999997</v>
      </c>
      <c r="I221" s="3">
        <f>2198.7+(0-155.2)+(-5.606685+(0--0.39576))+0-50.8--0.129539999999993</f>
        <v>1987.6186149999996</v>
      </c>
      <c r="J221" s="3">
        <f>2219.3+(0-179.1)+(1.131843+(0-0.091341))+0-72.8-0.0371279999999926</f>
        <v>1968.4033740000004</v>
      </c>
      <c r="K221" s="3">
        <f>2236.9+(0-242.6)+(0+(0-0))+0-78.3-0</f>
        <v>1916.0000000000002</v>
      </c>
      <c r="L221" s="3">
        <f>2191.3+(0-284.6)+(-2.235126+(0--0.290292))+0-81.2--0.082824000000013</f>
        <v>1823.6379900000004</v>
      </c>
      <c r="M221" s="3">
        <f>2118.6+(0-247.6)+(-2.160972+(0--0.252552))+0-22.8--0.0232560000000036</f>
        <v>1846.314836</v>
      </c>
      <c r="N221" s="3">
        <f>2237.1+(0-299.8)+(2.281842+(0-0.305796))+0-22.5-0.0229500000000036</f>
        <v>1916.7530959999999</v>
      </c>
      <c r="O221" s="3">
        <f>2339.6+(0-294.1)+(1.193196+(0-0.149991))+0-21.7-0.0110669999999978</f>
        <v>2024.832138</v>
      </c>
      <c r="P221" s="3">
        <f>2456.6+(18.2-327.8)+(-5.011464+(-0.037128--0.668712))+0-22.1--0.045083999999999</f>
        <v>2120.565204</v>
      </c>
      <c r="Q221" s="3">
        <f>2530.3+(127-426.6)+(-1.290453+(-0.06477--0.217566))+0-32--0.0163199999999968</f>
        <v>2197.5786630000002</v>
      </c>
      <c r="R221" s="3">
        <f>2470.6+(138.6-374)+(-3.780018+(-0.212058--0.57222))+0-71.7--0.109701000000004</f>
        <v>2160.1898449999999</v>
      </c>
      <c r="S221" s="3">
        <f>2419.4+(140.1-342.1)+(-4.935576+(-0.285804--0.697884))+0-84.6--0.172583999999996</f>
        <v>2128.4490880000003</v>
      </c>
      <c r="T221" s="3">
        <f>2349.3+(140.8-296.3)+(-4.792572+(-0.287232--0.604452))+0-79.2--0.161567999999997</f>
        <v>2110.2862160000004</v>
      </c>
      <c r="U221" s="3">
        <f>2208.5+(141.4-212.5)+(-2.25267+(-0.144228--0.21675))+0-75.4--0.076908000000012</f>
        <v>2059.8967600000001</v>
      </c>
      <c r="V221" s="3">
        <f>2084.7+(176.1-150.3)+(-1.063197+(-0.089811--0.076653))+0-72.1--0.0367709999999927</f>
        <v>2037.360416</v>
      </c>
      <c r="W221" s="3">
        <f>2353.2+(189.3-178.1)+(-3.600396+(-0.289629--0.272493))+0-87.1--0.133263000000005</f>
        <v>2273.8157309999997</v>
      </c>
      <c r="X221" s="3">
        <f>2531.3+(138.4-229.8)+(-1.290963+(-0.070584--0.117198))+0-77.4--0.0394739999999922</f>
        <v>2361.2951250000001</v>
      </c>
      <c r="Y221" s="3">
        <f>2533+(141.1-223.7)+(-5.16732+(-0.287844--0.456348))+0-88.1--0.179723999999996</f>
        <v>2357.4809080000005</v>
      </c>
      <c r="Z221" s="3">
        <f>2561.1+(142.2-234.2)+(0+(0-0))+0-84.3-0</f>
        <v>2384.7999999999997</v>
      </c>
      <c r="AA221" s="3">
        <f>2565+(142.1-251.7)+(0+(0-0))+0-71.3-0</f>
        <v>2384.1</v>
      </c>
      <c r="AB221" s="3">
        <f>2564.5+(139.8-271)+(-1.307895+(-0.071298--0.13821))+0-85--0.0433499999999914</f>
        <v>2347.102367</v>
      </c>
      <c r="AC221" s="3">
        <f>2474.5+(139.7-302.3)+(-3.785985+(-0.213741--0.462519))+0-57.7--0.0882810000000033</f>
        <v>2250.7510740000002</v>
      </c>
      <c r="AD221" s="2">
        <v>2187.6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2339.6+(139.9-278.4)+(-2.386392+(-0.142698--0.283968))+0-71.8--0.0732360000000114</f>
        <v>2127.1281140000001</v>
      </c>
      <c r="G222" s="3">
        <f>2121.6+(140.5-172.4)+(-2.164032+(-0.14331--0.175848))+0-90.3--0.0921060000000144</f>
        <v>1997.3606119999997</v>
      </c>
      <c r="H222" s="3">
        <f>1974.4+(143.4-98.7)+(1.006944+(0.073134-0.050337))+0-90.1-0.0459509999999909</f>
        <v>1929.9837900000002</v>
      </c>
      <c r="I222" s="3">
        <f>1924+(148.4-97.5)+(-2.94372+(-0.227052--0.149175))+0-80--0.122400000000005</f>
        <v>1892.0008030000001</v>
      </c>
      <c r="J222" s="3">
        <f>1968+(139.2-121.8)+(-1.00368+(-0.070992--0.062118))+0-80.5--0.0410549999999918</f>
        <v>1903.9285010000001</v>
      </c>
      <c r="K222" s="3">
        <f>1948.7+(147-169.6)+(-3.975348+(-0.29988--0.345984))+0-80.7--0.164627999999996</f>
        <v>1841.6353840000002</v>
      </c>
      <c r="L222" s="3">
        <f>1990.1+(141.6-221.6)+(-1.014951+(-0.072216--0.113016))+0-69.8--0.0355979999999929</f>
        <v>1839.361447</v>
      </c>
      <c r="M222" s="3">
        <f>2261.5+(141.3-297)+(0+(0-0))+0-78-0</f>
        <v>2027.8000000000002</v>
      </c>
      <c r="N222" s="3">
        <f>2447.5+(140.9-286.7)+(0+(0-0))+0-91.2-0</f>
        <v>2210.5</v>
      </c>
      <c r="O222" s="3">
        <f>2533.3+(139.4-303.6)+(-5.167932+(-0.284376--0.619344))+0-65.8--0.134231999999997</f>
        <v>2298.6012679999999</v>
      </c>
      <c r="P222" s="3">
        <f>2569.5+(137.8-245.9)+(5.24178+(0.281112-0.501636))+0-81.2-0.165647999999996</f>
        <v>2385.0556080000001</v>
      </c>
      <c r="Q222" s="3">
        <f>2540.1+(138.3-155.3)+(1.295451+(0.070533-0.079203))+0-80.1-0.0408509999999919</f>
        <v>2444.2459299999996</v>
      </c>
      <c r="R222" s="3">
        <f>2535.9+(154.3-155.7)+(-6.466545+(-0.393465--0.397035))+0-90.3--0.230264999999987</f>
        <v>2437.96729</v>
      </c>
      <c r="S222" s="3">
        <f>2582.9+(141.1-187.7)+(2.634558+(0.143922-0.191454))+0-84.6-0.0862920000000135</f>
        <v>2454.2007340000005</v>
      </c>
      <c r="T222" s="3">
        <f>2566.3+(141.7-247.7)+(0+(0-0))+0-76.8-0</f>
        <v>2383.5</v>
      </c>
      <c r="U222" s="3">
        <f>2546.2+(142.3-245.8)+(-2.597124+(-0.145146--0.250716))+0-65.1--0.0664020000000104</f>
        <v>2375.1748479999997</v>
      </c>
      <c r="V222" s="3">
        <f>2523.8+(142.9-237.5)+(2.574276+(0.145758-0.24225))+0-80.9-0.0825180000000129</f>
        <v>2350.6952660000002</v>
      </c>
      <c r="W222" s="3">
        <f>2657.8+(155.3-183.3)+(-4.066434+(-0.237609--0.280449))+0-89.3--0.136629000000005</f>
        <v>2536.6130350000003</v>
      </c>
      <c r="X222" s="3">
        <f>2762.1+(141.8-237.7)+(-7.043355+(-0.36159--0.606135))+0-81.6--0.208079999999988</f>
        <v>2578.00927</v>
      </c>
      <c r="Y222" s="3">
        <f>2642.2+(141.2-188.3)+(-6.73761+(-0.36006--0.480165))+0-30.6--0.0780299999999956</f>
        <v>2557.960525</v>
      </c>
      <c r="Z222" s="3">
        <f>2530+(157.6-128.5)+(-3.8709+(-0.241128--0.196605))+0-24.6--0.0376380000000014</f>
        <v>2530.6222149999999</v>
      </c>
      <c r="AA222" s="3">
        <f>2435.7+(197.2-111.3)+(-3.726621+(-0.301716--0.170289))+0-55.1--0.0843030000000032</f>
        <v>2462.726255</v>
      </c>
      <c r="AB222" s="3">
        <f>2281.7+(199.3-100.3)+(-2.327334+(-0.203286--0.102306))+0-66.5--0.0678300000000106</f>
        <v>2311.839516</v>
      </c>
      <c r="AC222" s="3">
        <f>2133.1+(225.3-86.3)+(-2.175762+(-0.229806--0.088026))+0-91.3--0.0931260000000146</f>
        <v>2178.5755840000002</v>
      </c>
      <c r="AD222" s="2">
        <v>2438.6999999999998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2090.1+(140.4-97.7)+(0+(0-0))+0-53-0</f>
        <v>2079.7999999999997</v>
      </c>
      <c r="G223" s="3">
        <f>2097.7+(139.8-115.2)+(-3.209481+(-0.213894--0.176256))+0-76.4--0.116892000000004</f>
        <v>2042.7697729999995</v>
      </c>
      <c r="H223" s="3">
        <f>2003+(148.7-88.7)+(-5.10765+(-0.379185--0.226185))+0-86.8--0.221339999999987</f>
        <v>1971.1606899999999</v>
      </c>
      <c r="I223" s="3">
        <f>1999.3+(143.1-96.2)+(1.019643+(0.072981-0.049062))+0-80.4-0.0410039999999918</f>
        <v>1966.8025580000001</v>
      </c>
      <c r="J223" s="3">
        <f>1995.6+(147-109.3)+(0+(0-0))+0-85.3-0</f>
        <v>1948</v>
      </c>
      <c r="K223" s="3">
        <f>1992+(141.3-164.4)+(0+(0-0))+0-87.9-0</f>
        <v>1881</v>
      </c>
      <c r="L223" s="3">
        <f>2077.3+(140.7-282.3)+(0+(0-0))+0-84.8-0</f>
        <v>1850.9000000000003</v>
      </c>
      <c r="M223" s="3">
        <f>2301.3+(140.5-303.3)+(-2.347326+(-0.14331--0.309366))+0-87.3--0.0890460000000139</f>
        <v>2049.1077759999998</v>
      </c>
      <c r="N223" s="3">
        <f>2519.1+(138.8-378.2)+(1.284741+(0.070788-0.192882))+0-81.8-0.0417179999999917</f>
        <v>2199.0209289999998</v>
      </c>
      <c r="O223" s="3">
        <f>2627.6+(137.4-371.9)+(-5.360304+(-0.280296--0.758676))+0-78.6--0.160343999999997</f>
        <v>2309.7784200000001</v>
      </c>
      <c r="P223" s="3">
        <f>2657.7+(139-376.4)+(0+(0-0))+0-88-0</f>
        <v>2332.2999999999997</v>
      </c>
      <c r="Q223" s="3">
        <f>2597.4+(130-341.6)+(-6.62337+(-0.3315--0.87108))+0-72.1--0.18385499999999</f>
        <v>2307.8000649999999</v>
      </c>
      <c r="R223" s="3">
        <f>2605+(132.9-272.5)+(-3.98565+(-0.203337--0.416925))+0-67.6--0.103428000000004</f>
        <v>2394.1313660000001</v>
      </c>
      <c r="S223" s="3">
        <f>2508.6+(134.8-171.2)+(1.279386+(0.068748-0.087312))+0-72.9-0.0371789999999926</f>
        <v>2400.523643</v>
      </c>
      <c r="T223" s="3">
        <f>2485.6+(136-205.4)+(-2.535312+(-0.13872--0.209508))+0-64.3--0.0655860000000102</f>
        <v>2349.5010619999998</v>
      </c>
      <c r="U223" s="3">
        <f>2553.3+(137.3-271)+(-1.302183+(-0.070023--0.13821))+0-86.6--0.0441659999999912</f>
        <v>2331.8101700000007</v>
      </c>
      <c r="V223" s="3">
        <f>2638.5+(137.2-297.3)+(2.69127+(0.139944-0.303246))+0-71.9-0.0733380000000115</f>
        <v>2408.9546299999997</v>
      </c>
      <c r="W223" s="3">
        <f>2561.9+(139-229.3)+(0+(0-0))+0-84.2-0</f>
        <v>2387.4</v>
      </c>
      <c r="X223" s="3">
        <f>2554.4+(140.1-254.5)+(-2.605488+(-0.142902--0.25959))+0-92.3--0.0941460000000147</f>
        <v>2345.3053459999996</v>
      </c>
      <c r="Y223" s="3">
        <f>2556.8+(135.2-272.2)+(-3.911904+(-0.206856--0.416466))+0-80.5--0.123165000000005</f>
        <v>2335.720871</v>
      </c>
      <c r="Z223" s="3">
        <f>2542.8+(129-219)+(-3.890484+(-0.19737--0.33507))+0-77.5--0.118575000000004</f>
        <v>2371.6657910000004</v>
      </c>
      <c r="AA223" s="3">
        <f>2430.8+(135.8-148.3)+(-2.479416+(-0.138516--0.151266))+0-84.1--0.0857820000000134</f>
        <v>2331.8191160000006</v>
      </c>
      <c r="AB223" s="3">
        <f>2312.7+(137.8-115.9)+(-3.538431+(-0.210834--0.177327))+0-85.6--0.130968000000005</f>
        <v>2245.5590299999999</v>
      </c>
      <c r="AC223" s="3">
        <f>2223.5+(207.7-102.4)+(-5.669925+(-0.529635--0.26112))+0-65.5--0.16702499999999</f>
        <v>2257.5285850000005</v>
      </c>
      <c r="AD223" s="2">
        <v>2393.2999999999997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1909.1+(222.8-95.3)+(-0.973641+(-0.113628--0.048603))+0-88.2--0.0449819999999911</f>
        <v>1947.4063159999998</v>
      </c>
      <c r="G224" s="3">
        <f>1923.1+(160.7-89.7)+(0+(0-0))+0-73-0</f>
        <v>1921.1</v>
      </c>
      <c r="H224" s="3">
        <f>1936.2+(154.5-87.4)+(2.962386+(0.236385-0.133722))+0-71.8-0.109854000000004</f>
        <v>1934.455195</v>
      </c>
      <c r="I224" s="3">
        <f>1934.2+(179.5-88.4)+(1.972884+(0.18309-0.090168))+0-84.8-0.0864960000000135</f>
        <v>1942.4793099999999</v>
      </c>
      <c r="J224" s="3">
        <f>1927.7+(172-103.2)+(1.966254+(0.17544-0.105264))+0-83.9-0.0855780000000134</f>
        <v>1914.5508520000001</v>
      </c>
      <c r="K224" s="3">
        <f>2087.8+(134.1-232.3)+(-1.064778+(-0.068391--0.118473))+0-89.5--0.0456449999999909</f>
        <v>1899.1309490000001</v>
      </c>
      <c r="L224" s="3">
        <f>2110.3+(134-294)+(-1.076253+(-0.06834--0.14994))+0-84.3--0.0429929999999914</f>
        <v>1865.0483400000003</v>
      </c>
      <c r="M224" s="3">
        <f>2310.4+(134.3-342.2)+(-4.713216+(-0.273972--0.698088))+0-65.8--0.134231999999997</f>
        <v>2032.545132</v>
      </c>
      <c r="N224" s="3">
        <f>2377+(134.6-283.7)+(3.63681+(0.205938-0.434061))+0-85.3-0.130509000000005</f>
        <v>2145.8781779999999</v>
      </c>
      <c r="O224" s="3">
        <f>2403.6+(135.4-278)+(-4.903344+(-0.276216--0.56712))+0-82.5--0.168299999999996</f>
        <v>2174.0558599999999</v>
      </c>
      <c r="P224" s="3">
        <f>2301.6+(133.1-220.3)+(0+(0-0))+0-84-0</f>
        <v>2130.4</v>
      </c>
      <c r="Q224" s="3">
        <f>2379.8+(132-248.8)+(-1.213698+(-0.06732--0.126888))+0-87.4--0.0445739999999911</f>
        <v>2174.490444</v>
      </c>
      <c r="R224" s="3">
        <f>2501.1+(133.6-318.6)+(-5.102244+(-0.272544--0.649944))+0-62--0.126479999999997</f>
        <v>2249.501636</v>
      </c>
      <c r="S224" s="3">
        <f>2439.4+(132.4-307.8)+(-2.488188+(-0.135048--0.313956))+0-90.5--0.0923100000000144</f>
        <v>2171.2830300000001</v>
      </c>
      <c r="T224" s="3">
        <f>2482.3+(133.5-339.6)+(-1.265973+(-0.068085--0.173196))+0-86.6--0.0441659999999912</f>
        <v>2188.4833040000003</v>
      </c>
      <c r="U224" s="3">
        <f>2459.5+(134.5-326.5)+(-3.763035+(-0.205785--0.499545))+0-80.9--0.123777000000005</f>
        <v>2183.2545019999998</v>
      </c>
      <c r="V224" s="3">
        <f>2358+(105-218.2)+(-8.41806+(-0.37485--0.778974))+0-88.3--0.315231000000001</f>
        <v>2148.8012950000002</v>
      </c>
      <c r="W224" s="3">
        <f>2482.6+(83.1-174.8)+(-2.532252+(-0.084762--0.178296))+0-87.1--0.0888420000000139</f>
        <v>2301.4501240000004</v>
      </c>
      <c r="X224" s="3">
        <f>2508.5+(75.8-218.5)+(-6.396675+(-0.19329--0.557175))+0-74.1--0.188954999999989</f>
        <v>2285.8561650000001</v>
      </c>
      <c r="Y224" s="3">
        <f>2417.2+(109.4-224.6)+(-1.232772+(-0.055794--0.114546))+0-83.1--0.0423809999999916</f>
        <v>2217.7683610000004</v>
      </c>
      <c r="Z224" s="3">
        <f>2295.9+(139.7-163.1)+(-8.196363+(-0.498729--0.582267))+0-71.9--0.256683000000001</f>
        <v>2192.7438579999998</v>
      </c>
      <c r="AA224" s="3">
        <f>2193.9+(150.5-136.1)+(-4.475556+(-0.30702--0.277644))+0-91.1--0.185843999999996</f>
        <v>2112.8809120000005</v>
      </c>
      <c r="AB224" s="3">
        <f>2168+(141.1-159.2)+(-5.5284+(-0.359805--0.40596))+0-88.6--0.225929999999987</f>
        <v>2056.0436850000001</v>
      </c>
      <c r="AC224" s="3">
        <f>2172.6+(141.6-223.4)+(-5.54013+(-0.36108--0.56967))+0-88.8--0.226439999999987</f>
        <v>1996.8948999999996</v>
      </c>
      <c r="AD224" s="2">
        <v>2378.1000000000004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2183.8+(143.7-267.4)+(-4.454952+(-0.293148--0.545496))+0-90.2--0.184007999999996</f>
        <v>1965.8814040000002</v>
      </c>
      <c r="G225" s="3">
        <f>2065.5+(141.2-270.9)+(-4.21362+(-0.288048--0.552636))+0-49.5--0.100979999999998</f>
        <v>1882.4519479999999</v>
      </c>
      <c r="H225" s="3">
        <f>1947.6+(143.1-203.3)+(-1.986552+(-0.145962--0.207366))+0-62.6--0.06385200000001</f>
        <v>1822.9387039999999</v>
      </c>
      <c r="I225" s="3">
        <f>1954.1+(143.2-199.1)+(-1.993182+(-0.146064--0.203082))+0-82.1--0.0837420000000131</f>
        <v>1814.247578</v>
      </c>
      <c r="J225" s="3">
        <f>2073.2+(143.7-310.1)+(2.114664+(0.146574-0.316302))+0-85.1-0.0868020000000136</f>
        <v>1823.5581339999999</v>
      </c>
      <c r="K225" s="3">
        <f>2110.7+(74.9-344.9)+(2.152914+(0.076398-0.351798))+0-81.7-0.083334000000013</f>
        <v>1760.7941799999999</v>
      </c>
      <c r="L225" s="3">
        <f>2178.1+(91.5-402.8)+(0+(0-0))+0-87.2-0</f>
        <v>1779.6</v>
      </c>
      <c r="M225" s="3">
        <f>2283.8+(130.5-414.9)+(2.329476+(0.13311-0.423198))+0-39.4-0.0401880000000063</f>
        <v>1961.9992</v>
      </c>
      <c r="N225" s="3">
        <f>2273.1+(141.2-336.6)+(-3.477843+(-0.216036--0.514998))+0-22.9--0.0350370000000013</f>
        <v>2051.656156</v>
      </c>
      <c r="O225" s="3">
        <f>2374+(139.6-380.7)+(3.63222+(0.213588-0.582471))+0-21.2-0.0324360000000012</f>
        <v>2114.9309010000002</v>
      </c>
      <c r="P225" s="3">
        <f>2350.4+(146.8-328.8)+(-1.198704+(-0.074868--0.167688))+0-23.4--0.0119339999999976</f>
        <v>2143.9060500000001</v>
      </c>
      <c r="Q225" s="3">
        <f>2351.7+(139.2-304.6)+(0+(0-0))+0-20.7-0</f>
        <v>2165.6</v>
      </c>
      <c r="R225" s="3">
        <f>2305.2+(141.8-228.1)+(-3.526956+(-0.216954--0.348993))+0-77.6--0.118728000000004</f>
        <v>2138.0238109999996</v>
      </c>
      <c r="S225" s="3">
        <f>2195.8+(139-209.5)+(0+(0-0))+0-66-0</f>
        <v>2059.3000000000002</v>
      </c>
      <c r="T225" s="3">
        <f>2154+(140.9-209.6)+(-2.19708+(-0.143718--0.213792))+0-77.3--0.0788460000000123</f>
        <v>2005.9518400000002</v>
      </c>
      <c r="U225" s="3">
        <f>2141.4+(109.9-178.4)+(-3.276342+(-0.168147--0.272952))+0-94.6--0.144738000000005</f>
        <v>1975.273201</v>
      </c>
      <c r="V225" s="3">
        <f>2159.3+(142.7-175.3)+(-2.202486+(-0.145554--0.178806))+0-84.4--0.0860880000000135</f>
        <v>2040.2168540000002</v>
      </c>
      <c r="W225" s="3">
        <f>2405.2+(91.5-181.1)+(2.453304+(0.09333-0.184722))+0-82.8-0.0844560000000132</f>
        <v>2235.0774559999995</v>
      </c>
      <c r="X225" s="3">
        <f>2416.4+(82.5-174.7)+(-2.464728+(-0.08415--0.178194))+0-86.2--0.0879240000000137</f>
        <v>2235.7172400000004</v>
      </c>
      <c r="Y225" s="3">
        <f>2337.5+(110.8-177.1)+(-5.960625+(-0.28254--0.451605))+0-70.9--0.18079499999999</f>
        <v>2194.6892349999998</v>
      </c>
      <c r="Z225" s="3">
        <f>2261.1+(135.4-180.6)+(2.306322+(0.138108-0.184212))+0-89.2-0.0909840000000142</f>
        <v>2128.8692340000002</v>
      </c>
      <c r="AA225" s="3">
        <f>2234+(140.1-171.4)+(-5.6967+(-0.357255--0.43707))+0-75.5--0.192524999999989</f>
        <v>2121.7756399999998</v>
      </c>
      <c r="AB225" s="3">
        <f>2110.9+(139.1-183.3)+(-1.076559+(-0.070941--0.093483))+0-68.8--0.035087999999993</f>
        <v>1996.8810710000005</v>
      </c>
      <c r="AC225" s="3">
        <f>2084.6+(139.5-195.3)+(-1.063146+(-0.071145--0.099603))+0-95.8--0.0488579999999903</f>
        <v>1932.0141699999999</v>
      </c>
      <c r="AD225" s="2">
        <v>2336.2999999999997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2037.2+(140-209)+(-5.19486+(-0.357--0.53295))+0-86.5--0.220574999999987</f>
        <v>1876.9016650000001</v>
      </c>
      <c r="G226" s="3">
        <f>1928.4+(141-179.3)+(-0.983484+(-0.07191--0.091443))+0-58.7--0.029936999999994</f>
        <v>1830.4659860000002</v>
      </c>
      <c r="H226" s="3">
        <f>1853.3+(140.4-130.1)+(-3.780732+(-0.286416--0.265404))+0-83.8--0.170951999999996</f>
        <v>1776.1692079999998</v>
      </c>
      <c r="I226" s="3">
        <f>1830.5+(140.5-146.8)+(-1.86711+(-0.14331--0.149736))+0-63.8--0.0650760000000102</f>
        <v>1758.6043920000002</v>
      </c>
      <c r="J226" s="3">
        <f>1869.9+(141.3-170.8)+(4.768245+(0.360315-0.43554))+0-74.3-0.189464999999989</f>
        <v>1770.6035550000001</v>
      </c>
      <c r="K226" s="3">
        <f>1989.8+(141.7-273.4)+(2.029596+(0.144534-0.278868))+0-80.5-0.0821100000000128</f>
        <v>1779.4131519999999</v>
      </c>
      <c r="L226" s="3">
        <f>2033+(139.6-313.9)+(-1.03683+(-0.071196--0.160089))+0-86--0.0438599999999913</f>
        <v>1771.7959230000001</v>
      </c>
      <c r="M226" s="3">
        <f>2072.9+(140.8-287.4)+(-3.171537+(-0.215424--0.439722))+0-96.5--0.147645000000006</f>
        <v>1827.0004060000001</v>
      </c>
      <c r="N226" s="3">
        <f>2132.8+(139.8-281.3)+(-5.43864+(-0.35649--0.717315))+0-44.3--0.112964999999994</f>
        <v>1942.0351500000002</v>
      </c>
      <c r="O226" s="3">
        <f>2193.1+(138.6-273.6)+(3.355443+(0.212058-0.418608))+0-83.4-0.127602000000005</f>
        <v>1977.7212909999998</v>
      </c>
      <c r="P226" s="3">
        <f>2256.5+(139.7-247.7)+(2.30163+(0.142494-0.252654))+0-84.8-0.0864960000000135</f>
        <v>2065.8049740000001</v>
      </c>
      <c r="Q226" s="3">
        <f>2232.7+(139.3-235.8)+(0+(0-0))+0-67-0</f>
        <v>2069.1999999999998</v>
      </c>
      <c r="R226" s="3">
        <f>2203.4+(140.3-225.4)+(-3.371202+(-0.214659--0.344862))+0-81.7--0.125001000000005</f>
        <v>2033.4840020000001</v>
      </c>
      <c r="S226" s="3">
        <f>2202.4+(140.3-277.5)+(-4.492896+(-0.286212--0.5661))+0-72.5--0.147899999999997</f>
        <v>1988.634892</v>
      </c>
      <c r="T226" s="3">
        <f>2189.9+(140.6-289.4)+(-1.116849+(-0.071706--0.147594))+0-53.3--0.0271829999999946</f>
        <v>1986.7862220000002</v>
      </c>
      <c r="U226" s="3">
        <f>2080.7+(137.7-210.9)+(-5.305785+(-0.351135--0.537795))+0-22.5--0.0573749999999967</f>
        <v>1979.9382499999999</v>
      </c>
      <c r="V226" s="3">
        <f>2077.2+(127.7-170.7)+(-4.237488+(-0.260508--0.348228))+0-22--0.044879999999999</f>
        <v>2008.0951119999997</v>
      </c>
      <c r="W226" s="3">
        <f>2511.8+(95.4-296.9)+(-1.281018+(-0.048654--0.151419))+0-37.9--0.0193289999999962</f>
        <v>2271.2410760000002</v>
      </c>
      <c r="X226" s="3">
        <f>2502+(94.8-260.1)+(-2.55204+(-0.096696--0.265302))+0-80.6--0.0822120000000128</f>
        <v>2253.7987779999999</v>
      </c>
      <c r="Y226" s="3">
        <f>2465.1+(124-240.4)+(-7.543206+(-0.37944--0.735624))+0-90.7--0.277542000000011</f>
        <v>2251.0905199999997</v>
      </c>
      <c r="Z226" s="3">
        <f>2376.8+(139.2-207.5)+(-7.273008+(-0.425952--0.63495))+0-82--0.250920000000009</f>
        <v>2219.6869099999999</v>
      </c>
      <c r="AA226" s="3">
        <f>2346.8+(140.4-215.3)+(-1.196868+(-0.071604--0.109803))+0-65.4--0.0333539999999934</f>
        <v>2205.3746850000002</v>
      </c>
      <c r="AB226" s="3">
        <f>2117.3+(140.6-155.5)+(-4.319292+(-0.286824--0.31722))+0-82.1--0.167483999999996</f>
        <v>2016.1785880000002</v>
      </c>
      <c r="AC226" s="3">
        <f>2067.2+(140.8-180.8)+(-4.217088+(-0.287232--0.368832))+0-82.4--0.168095999999996</f>
        <v>1940.8326079999999</v>
      </c>
      <c r="AD226" s="2">
        <v>2283.6999999999998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2101.5+(141.1-247.2)+(-1.071765+(-0.071961--0.126072))+0-91.3--0.0465629999999907</f>
        <v>1903.128909</v>
      </c>
      <c r="G227" s="3">
        <f>2039.6+(140.3-264.9)+(0+(0-0))+0-28.6-0</f>
        <v>1886.4</v>
      </c>
      <c r="H227" s="3">
        <f>2016.5+(140.5-232.3)+(2.05683+(0.14331-0.236946))+0-75.9-0.0774180000000121</f>
        <v>1850.6857759999998</v>
      </c>
      <c r="I227" s="3">
        <f>1865.2+(139-116.6)+(3.805008+(0.28356-0.237864))+0-88.1-0.179723999999996</f>
        <v>1803.1709800000001</v>
      </c>
      <c r="J227" s="3">
        <f>1835.1+(132.6-126.5)+(0+(0-0))+0-73.5-0</f>
        <v>1767.6999999999998</v>
      </c>
      <c r="K227" s="3">
        <f>1895.1+(101.1-175.8)+(2.899503+(0.154683-0.268974))+0-85-0.130050000000005</f>
        <v>1738.0551619999999</v>
      </c>
      <c r="L227" s="3">
        <f>1916.6+(110.6-215.6)+(-4.88733+(-0.28203--0.54978))+0-89.1--0.227204999999987</f>
        <v>1718.1076249999999</v>
      </c>
      <c r="M227" s="3">
        <f>2010.5+(140.2-184.2)+(2.05071+(0.143004-0.187884))+0-94.1-0.095982000000015</f>
        <v>1874.3098480000001</v>
      </c>
      <c r="N227" s="3">
        <f>2266.5+(139.1-285.3)+(0+(0-0))+0-77.2-0</f>
        <v>2043.1000000000001</v>
      </c>
      <c r="O227" s="3">
        <f>2264.3+(139-281.7)+(0+(0-0))+0-79-0</f>
        <v>2042.6000000000004</v>
      </c>
      <c r="P227" s="3">
        <f>2293.7+(141-277.6)+(1.169787+(0.07191-0.141576))+0-86.9-0.0443189999999912</f>
        <v>2071.2558019999997</v>
      </c>
      <c r="Q227" s="3">
        <f>2264.1+(142.3-249.1)+(-3.464073+(-0.217719--0.381123))+0-83.7--0.128061000000005</f>
        <v>2070.4273919999996</v>
      </c>
      <c r="R227" s="3">
        <f>2241.3+(141.6-237.9)+(-5.715315+(-0.36108--0.606645))+0-79.1--0.201704999999989</f>
        <v>2060.6319549999998</v>
      </c>
      <c r="S227" s="3">
        <f>2224.3+(142.1-290)+(-3.403179+(-0.217413--0.4437))+0-84.9--0.129897000000005</f>
        <v>1988.4530050000001</v>
      </c>
      <c r="T227" s="3">
        <f>2231.9+(141-309.9)+(4.553076+(0.28764-0.632196))+0-71.8-0.146471999999997</f>
        <v>1995.2620480000003</v>
      </c>
      <c r="U227" s="3">
        <f>2143.1+(141.5-245.3)+(-3.278943+(-0.216495--0.375309))+0-75.5--0.115515000000004</f>
        <v>1960.795386</v>
      </c>
      <c r="V227" s="3">
        <f>2149.6+(100.8-197.8)+(3.288888+(0.154224-0.302634))+0-67.7-0.103581000000004</f>
        <v>1987.9368969999996</v>
      </c>
      <c r="W227" s="3">
        <f>2300.4+(134.4-177.3)+(-1.173204+(-0.068544--0.090423))+0-74.4--0.0379439999999925</f>
        <v>2181.9866190000002</v>
      </c>
      <c r="X227" s="3">
        <f>2400.9+(99.1-187.3)+(-4.897836+(-0.202164--0.382092))+0-98--0.199919999999996</f>
        <v>2210.1820120000002</v>
      </c>
      <c r="Y227" s="3">
        <f>2430.5+(125.3-244.5)+(1.239555+(0.063903-0.124695))+0-82.2-0.0419219999999917</f>
        <v>2230.2368410000004</v>
      </c>
      <c r="Z227" s="3">
        <f>2156.5+(197.3-143.6)+(-3.299445+(-0.301869--0.219708))+0-72.1--0.110313000000004</f>
        <v>2134.8287070000001</v>
      </c>
      <c r="AA227" s="3">
        <f>1986.3+(246.9-126.9)+(-4.052052+(-0.503676--0.258876))+0-72.3--0.147491999999997</f>
        <v>2029.8506400000003</v>
      </c>
      <c r="AB227" s="3">
        <f>1989.9+(186-110.8)+(-2.029698+(-0.18972--0.113016))+0-79.1--0.0806820000000126</f>
        <v>1983.9742800000001</v>
      </c>
      <c r="AC227" s="3">
        <f>1924.1+(155.7-109.9)+(-2.943873+(-0.238221--0.168147))+0-75--0.114750000000004</f>
        <v>1892.0008029999999</v>
      </c>
      <c r="AD227" s="2">
        <v>2246.1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1900.1+(162.4-94.6)+(-4.845255+(-0.41412--0.24123))+0-94.6--0.241229999999986</f>
        <v>1868.523085</v>
      </c>
      <c r="G228" s="3">
        <f>1729+(222.6-89.2)+(0+(0-0))+0-76.9-0</f>
        <v>1785.5</v>
      </c>
      <c r="H228" s="3">
        <f>1675.9+(227.5-86.9)+(-4.273545+(-0.580125--0.221595))+0-82.1--0.209354999999988</f>
        <v>1729.9772800000001</v>
      </c>
      <c r="I228" s="3">
        <f>1662.3+(210.7-88.9)+(-2.543319+(-0.322371--0.136017))+0-81.7--0.125001000000005</f>
        <v>1699.7953279999999</v>
      </c>
      <c r="J228" s="3">
        <f>1674.1+(208-101.1)+(0+(0-0))+0-67.6-0</f>
        <v>1713.4</v>
      </c>
      <c r="K228" s="3">
        <f>1692.2+(170.4-141.2)+(1.726044+(0.173808-0.144024))+0-30.5-0.0311100000000049</f>
        <v>1692.6247180000003</v>
      </c>
      <c r="L228" s="3">
        <f>1628.4+(176.9-155.5)+(-5.813388+(-0.631533--0.555135))+0-44.7--0.159579000000001</f>
        <v>1599.3697930000001</v>
      </c>
      <c r="M228" s="3">
        <f>1751.6+(176.1-148.1)+(-2.679948+(-0.269433--0.226593))+0-92.5--0.141525000000005</f>
        <v>1684.5187369999999</v>
      </c>
      <c r="N228" s="3">
        <f>1803.4+(183.3-148.4)+(0+(0-0))+0-60.6-0</f>
        <v>1777.7000000000003</v>
      </c>
      <c r="O228" s="3">
        <f>1816.3+(232.3-152.6)+(1.852626+(0.236946-0.155652))+0-87.9-0.089658000000014</f>
        <v>1809.9442619999998</v>
      </c>
      <c r="P228" s="3">
        <f>1850.2+(245.6-148.9)+(-2.830806+(-0.375768--0.227817))+0-57.7--0.0882810000000033</f>
        <v>1886.309524</v>
      </c>
      <c r="Q228" s="3">
        <f>1884.7+(241.3-151)+(0.961197+(0.123063-0.07701))+0-66.6-0.0339659999999932</f>
        <v>1909.3732840000002</v>
      </c>
      <c r="R228" s="3">
        <f>1743.2+(309.8-140.3)+(-2.667096+(-0.473994--0.214659))+0-84.1--0.128673000000005</f>
        <v>1825.802242</v>
      </c>
      <c r="S228" s="3">
        <f>1657.5+(348.5-139.3)+(-0.845325+(-0.177735--0.071043))+0-77.9--0.0397289999999921</f>
        <v>1787.887712</v>
      </c>
      <c r="T228" s="3">
        <f>1636.7+(321.4-131.6)+(-3.338868+(-0.655656--0.268464))+0-69.6--0.141983999999997</f>
        <v>1753.3159240000002</v>
      </c>
      <c r="U228" s="3">
        <f>1645.2+(309.5-140.2)+(-1.678104+(-0.31569--0.143004))+0-61.1--0.0623220000000097</f>
        <v>1751.6115320000001</v>
      </c>
      <c r="V228" s="3">
        <f>1834.3+(266.6-152.6)+(0+(0-0))+0-90.2-0</f>
        <v>1858.1</v>
      </c>
      <c r="W228" s="3">
        <f>2054.7+(295.7-172.6)+(-1.047897+(-0.150807--0.088026))+0-86--0.0438599999999913</f>
        <v>2090.7331819999995</v>
      </c>
      <c r="X228" s="3">
        <f>2120.9+(272.1-168.9)+(-5.408295+(-0.693855--0.430695))+0-87.5--0.223124999999987</f>
        <v>2131.1516699999997</v>
      </c>
      <c r="Y228" s="3">
        <f>2060.2+(302-160.7)+(-4.202808+(-0.61608--0.327828))+0-88--0.179519999999996</f>
        <v>2109.1884600000003</v>
      </c>
      <c r="Z228" s="3">
        <f>2072.9+(261.3-142.7)+(-2.114358+(-0.266526--0.145554))+0-63.2--0.0644640000000101</f>
        <v>2126.1291340000002</v>
      </c>
      <c r="AA228" s="3">
        <f>2073.1+(227-126.8)+(-2.114562+(-0.23154--0.129336))+0-88.3--0.0900660000000141</f>
        <v>2082.8732999999997</v>
      </c>
      <c r="AB228" s="3">
        <f>2038.3+(202.5-110.9)+(-5.197665+(-0.516375--0.282795))+0-89.4--0.227969999999987</f>
        <v>2035.2967249999997</v>
      </c>
      <c r="AC228" s="3">
        <f>2030.9+(161.6-110)+(-6.214554+(-0.494496--0.3366))+0-90.7--0.277542000000011</f>
        <v>1985.7050920000001</v>
      </c>
      <c r="AD228" s="2">
        <v>2121.9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1888.3+(136.4-143.6)+(2.889099+(0.208692-0.219708))+0-26.4-0.0403920000000015</f>
        <v>1857.5376909999998</v>
      </c>
      <c r="G229" s="3">
        <f>1832.7+(155.5-103.9)+(-3.738708+(-0.31722--0.211956))+0-94--0.191759999999996</f>
        <v>1786.647788</v>
      </c>
      <c r="H229" s="3">
        <f>1861.8+(135-145.5)+(0.949518+(0.06885-0.074205))+0-69.4-0.035393999999993</f>
        <v>1782.8087689999998</v>
      </c>
      <c r="I229" s="3">
        <f>1868.4+(135.4-145.7)+(4.76442+(0.34527-0.371535))+0-78.7-0.200684999999989</f>
        <v>1783.9374700000001</v>
      </c>
      <c r="J229" s="3">
        <f>1855.6+(138.9-136.2)+(-0.946356+(-0.070839--0.069462))+0-86.2--0.0439619999999913</f>
        <v>1771.1962289999999</v>
      </c>
      <c r="K229" s="3">
        <f>1819.5+(136.2-161.2)+(-0.927945+(-0.069462--0.082212))+0-83.3--0.0424829999999915</f>
        <v>1710.327288</v>
      </c>
      <c r="L229" s="3">
        <f>1725.2+(133.6-164.3)+(-3.519408+(-0.272544--0.335172))+0-79.3--0.161771999999997</f>
        <v>1611.904992</v>
      </c>
      <c r="M229" s="3">
        <f>1663.8+(196.9-150.4)+(0.848538+(0.100419-0.076704))+0-96.4-0.0491639999999902</f>
        <v>1614.7230889999998</v>
      </c>
      <c r="N229" s="3">
        <f>1756.7+(146.9-157.5)+(0+(0-0))+0-69.5-0</f>
        <v>1676.6000000000001</v>
      </c>
      <c r="O229" s="3">
        <f>1878.7+(133-181.2)+(-0.958137+(-0.06783--0.092412))+0-62.3--0.0317729999999937</f>
        <v>1767.2982179999999</v>
      </c>
      <c r="P229" s="3">
        <f>1868.1+(149.2-172.5)+(-3.810924+(-0.304368--0.3519))+0-69.9--0.142595999999997</f>
        <v>1771.2792039999997</v>
      </c>
      <c r="Q229" s="3">
        <f>1876.7+(153.1-161.7)+(1.914234+(0.156162-0.164934))+0-80.5-0.0821100000000128</f>
        <v>1789.423352</v>
      </c>
      <c r="R229" s="3">
        <f>1867.5+(146.7-167.4)+(-1.90485+(-0.149634--0.170748))+0-75.4--0.076908000000012</f>
        <v>1769.5931719999999</v>
      </c>
      <c r="S229" s="3">
        <f>1852.7+(156.6-167.8)+(-2.834631+(-0.239598--0.256734))+0-81.9--0.125307000000005</f>
        <v>1756.9078119999999</v>
      </c>
      <c r="T229" s="3">
        <f>1794.4+(159.1-150.1)+(0.915144+(0.081141-0.076551))+0-90.5-0.0461549999999908</f>
        <v>1713.7735790000002</v>
      </c>
      <c r="U229" s="3">
        <f>1757.2+(191.9-149.2)+(0.896172+(0.097869-0.076092))+0-87.6-0.0446759999999911</f>
        <v>1713.1732730000001</v>
      </c>
      <c r="V229" s="3">
        <f>1712.6+(326.4-164)+(-1.746852+(-0.332928--0.16728))+0-80.1--0.0817020000000128</f>
        <v>1793.0692020000001</v>
      </c>
      <c r="W229" s="3">
        <f>2048.3+(263.1-176.6)+(-1.044633+(-0.134181--0.090066))+0-89.7--0.0457469999999909</f>
        <v>2044.0569989999999</v>
      </c>
      <c r="X229" s="3">
        <f>2166.7+(189.3-178.3)+(-3.315051+(-0.289629--0.272799))+0-93.3--0.142749000000005</f>
        <v>2081.2108679999997</v>
      </c>
      <c r="Y229" s="3">
        <f>2166.7+(192.8-170.9)+(-2.210034+(-0.196656--0.174318))+0-84.2--0.0858840000000134</f>
        <v>2102.2535120000002</v>
      </c>
      <c r="Z229" s="3">
        <f>2093.5+(195.1-158)+(-3.203055+(-0.298503--0.24174))+0-80.4--0.123012000000005</f>
        <v>2047.0631939999998</v>
      </c>
      <c r="AA229" s="3">
        <f>2121.9+(186.6-146.7)+(-1.082169+(-0.095166--0.074817))+0-89.3--0.0455429999999909</f>
        <v>2071.443025</v>
      </c>
      <c r="AB229" s="3">
        <f>2061.9+(168.5-142.9)+(-3.154707+(-0.257805--0.218637))+0-86.9--0.132957000000005</f>
        <v>1997.539082</v>
      </c>
      <c r="AC229" s="3">
        <f>1944.6+(153.2-136)+(-1.983492+(-0.156264--0.13872))+0-49.4--0.0503880000000079</f>
        <v>1910.4493519999999</v>
      </c>
      <c r="AD229" s="2">
        <v>2137.4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1917.8+(149.8-126.4)+(0+(0-0))+0-95.7-0</f>
        <v>1845.5</v>
      </c>
      <c r="G230" s="3">
        <f>1799.2+(152.2-104.1)+(-1.835184+(-0.155244--0.106182))+0-85.2--0.0869040000000136</f>
        <v>1760.3026579999998</v>
      </c>
      <c r="H230" s="3">
        <f>1713+(163.6-92)+(-1.74726+(-0.166872--0.09384))+0-80.2--0.0818040000000128</f>
        <v>1702.6615119999997</v>
      </c>
      <c r="I230" s="3">
        <f>1713.7+(152.2-105.5)+(-2.621961+(-0.232866--0.161415))+0-83.9--0.128367000000005</f>
        <v>1673.9349549999999</v>
      </c>
      <c r="J230" s="3">
        <f>1772.4+(138.1-131.4)+(1.807848+(0.140862-0.134028))+0-91-0.0928200000000145</f>
        <v>1689.821862</v>
      </c>
      <c r="K230" s="3">
        <f>1932.8+(100.8-216.3)+(0.985728+(0.051408-0.110313))+0-85.7-0.0437069999999913</f>
        <v>1732.4831159999999</v>
      </c>
      <c r="L230" s="3">
        <f>2140.4+(96.4-217.7)+(-3.274812+(-0.147492--0.333081))+0-84.4--0.129132000000005</f>
        <v>1931.7399090000001</v>
      </c>
      <c r="M230" s="3">
        <f>2113.2+(97.2-184.6)+(2.155464+(0.099144-0.188292))+0-92.1-0.0939420000000147</f>
        <v>1935.6723739999998</v>
      </c>
      <c r="N230" s="3">
        <f>2402.7+(114.1-441.9)+(-1.225377+(-0.058191--0.225369))+0-78.1--0.0398309999999921</f>
        <v>1995.7816319999997</v>
      </c>
      <c r="O230" s="3">
        <f>2662.5+(110.8-572.7)+(8.14725+(0.339048-1.752462))+0-46.1-0.141066000000005</f>
        <v>2161.0927699999997</v>
      </c>
      <c r="P230" s="3">
        <f>2743+(141.5-601.6)+(-1.39893+(-0.072165--0.306816))+0-58--0.0295799999999941</f>
        <v>2223.7653009999999</v>
      </c>
      <c r="Q230" s="3">
        <f>2792.8+(141-597.2)+(2.848656+(0.14382-0.609144))+0-64.9-0.0661980000000104</f>
        <v>2274.0171340000002</v>
      </c>
      <c r="R230" s="3">
        <f>2704.2+(140.9-569.8)+(-2.758284+(-0.143718--0.581196))+0-54.8--0.0558960000000087</f>
        <v>2218.2350899999992</v>
      </c>
      <c r="S230" s="3">
        <f>2644.9+(142.4-542.3)+(-2.697798+(-0.145248--0.553146))+0-77.6--0.0791520000000124</f>
        <v>2165.1892519999997</v>
      </c>
      <c r="T230" s="3">
        <f>2658.3+(140.7-583.6)+(1.355733+(0.071757-0.297636))+0-67.5-0.0344249999999932</f>
        <v>2148.9954290000001</v>
      </c>
      <c r="U230" s="3">
        <f>2618.8+(140.6-567.8)+(-5.342352+(-0.286824--1.158312))+0-85.2--0.173807999999996</f>
        <v>2102.1029440000007</v>
      </c>
      <c r="V230" s="3">
        <f>2292.4+(112.2-279.7)+(1.169124+(0.057222-0.142647))+0-39.9-0.020348999999996</f>
        <v>2086.0633499999999</v>
      </c>
      <c r="W230" s="3">
        <f>2319.6+(190.9-193)+(0+(0-0))+0-46.5-0</f>
        <v>2271</v>
      </c>
      <c r="X230" s="3">
        <f>2422.4+(159.2-214.1)+(-6.17712+(-0.40596--0.545955))+0-85.6--0.218279999999988</f>
        <v>2276.0811550000003</v>
      </c>
      <c r="Y230" s="3">
        <f>2407.6+(175.9-209.2)+(-1.227876+(-0.089709--0.106692))+0-89.3--0.0455429999999909</f>
        <v>2283.8346499999998</v>
      </c>
      <c r="Z230" s="3">
        <f>2297.9+(184.2-175.5)+(-4.687716+(-0.375768--0.35802))+0-65.5--0.133619999999997</f>
        <v>2236.5281559999999</v>
      </c>
      <c r="AA230" s="3">
        <f>2232.2+(153-179.2)+(-6.830532+(-0.46818--0.548352))+0-25.1--0.0768060000000029</f>
        <v>2174.2264460000001</v>
      </c>
      <c r="AB230" s="3">
        <f>2080.9+(172.3-150.9)+(-5.306295+(-0.439365--0.384795))+0-41.1--0.104804999999994</f>
        <v>2055.9439400000001</v>
      </c>
      <c r="AC230" s="3">
        <f>1918.2+(211.1-101.5)+(-3.913128+(-0.430644--0.20706))+0-86.1--0.175643999999996</f>
        <v>1937.738932</v>
      </c>
      <c r="AD230" s="2">
        <v>2321.2999999999997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1900.7+(189.1-118.8)+(0+(0-0))+0-78.1-0</f>
        <v>1892.9</v>
      </c>
      <c r="G231" s="3">
        <f>1743.8+(241.4-84.7)+(-3.557352+(-0.492456--0.172788))+0-70.8--0.144431999999997</f>
        <v>1825.9674120000002</v>
      </c>
      <c r="H231" s="3">
        <f>1666.3+(270.8-85.5)+(-0.849813+(-0.138108--0.043605))+0-75.9--0.0387089999999923</f>
        <v>1774.7943929999997</v>
      </c>
      <c r="I231" s="3">
        <f>1732.4+(184.2-101.4)+(0+(0-0))+0-83.2-0</f>
        <v>1732</v>
      </c>
      <c r="J231" s="3">
        <f>1727+(198.8-102.5)+(0.88077+(0.101388-0.052275))+0-87.1-0.0444209999999912</f>
        <v>1737.085462</v>
      </c>
      <c r="K231" s="3">
        <f>1870.1+(130.8-174.6)+(-0.953751+(-0.066708--0.089046))+0-87.8--0.0447779999999911</f>
        <v>1737.6133649999999</v>
      </c>
      <c r="L231" s="3">
        <f>2036.7+(102.9-293.3)+(-1.038717+(-0.052479--0.149583))+0-87.2--0.0444719999999912</f>
        <v>1758.202859</v>
      </c>
      <c r="M231" s="3">
        <f>2255.8+(105.5-373.6)+(0+(0-0))+0-64.7-0</f>
        <v>1923.0000000000002</v>
      </c>
      <c r="N231" s="3">
        <f>2263.5+(139.7-310)+(-1.154385+(-0.071247--0.1581))+0-89.4--0.0455939999999909</f>
        <v>2002.7780619999996</v>
      </c>
      <c r="O231" s="3">
        <f>2448+(140-390.6)+(1.24848+(0.0714-0.199206))+0-87.3-0.0445229999999911</f>
        <v>2111.1761509999997</v>
      </c>
      <c r="P231" s="3">
        <f>2568.6+(138.4-433.3)+(0+(0-0))+0-82.9-0</f>
        <v>2190.7999999999997</v>
      </c>
      <c r="Q231" s="3">
        <f>2553.3+(138.6-409)+(-1.302183+(-0.070686--0.20859))+0-80.1--0.0408509999999919</f>
        <v>2201.6765720000003</v>
      </c>
      <c r="R231" s="3">
        <f>2517.5+(140.9-398.1)+(-5.1357+(-0.287436--0.812124))+0-83.7--0.170747999999996</f>
        <v>2172.1597360000005</v>
      </c>
      <c r="S231" s="3">
        <f>2529.3+(141.4-410.2)+(-3.869829+(-0.216342--0.627606))+0-87.5--0.133875000000005</f>
        <v>2169.6753100000001</v>
      </c>
      <c r="T231" s="3">
        <f>2532.3+(141.5-418.9)+(-2.582946+(-0.14433--0.427278))+0-86.9--0.0886380000000139</f>
        <v>2165.7886400000002</v>
      </c>
      <c r="U231" s="3">
        <f>2298.2+(141.6-325.9)+(-3.516246+(-0.216648--0.498627))+0-66.9--0.102357000000004</f>
        <v>2043.8680899999997</v>
      </c>
      <c r="V231" s="3">
        <f>2307.3+(107.9-236.2)+(2.353446+(0.110058-0.240924))+0-79.2-0.0807840000000126</f>
        <v>2101.9417960000001</v>
      </c>
      <c r="W231" s="3">
        <f>2663.9+(66.9-262.8)+(-2.717178+(-0.068238--0.268056))+0-89.1--0.0908820000000142</f>
        <v>2376.4735220000002</v>
      </c>
      <c r="X231" s="3">
        <f>2642+(72.7-294.3)+(-6.7371+(-0.185385--0.750465))+0-88.6--0.225929999999987</f>
        <v>2325.8539100000003</v>
      </c>
      <c r="Y231" s="3">
        <f>2572.4+(94.7-304.4)+(-2.623848+(-0.096594--0.310488))+0-80.8--0.0824160000000129</f>
        <v>2279.5724620000001</v>
      </c>
      <c r="Z231" s="3">
        <f>2527.3+(127.2-350.1)+(1.288923+(0.064872-0.178551))+0-84.5-0.0430949999999914</f>
        <v>2221.0321490000001</v>
      </c>
      <c r="AA231" s="3">
        <f>2464.8+(141.4-354.7)+(-2.514096+(-0.144228--0.361794))+0-81--0.0826200000000129</f>
        <v>2168.2860900000001</v>
      </c>
      <c r="AB231" s="3">
        <f>2481.5+(140-387.3)+(-1.265565+(-0.0714--0.197523))+0-85.5--0.0436049999999913</f>
        <v>2147.6041629999995</v>
      </c>
      <c r="AC231" s="3">
        <f>2397.5+(142.1-364.2)+(-3.668175+(-0.217413--0.557226))+0-82.6--0.126378000000005</f>
        <v>2089.5980159999999</v>
      </c>
      <c r="AD231" s="2">
        <v>2346.1999999999998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2252.5+(141.9-334.7)+(-4.5951+(-0.289476--0.682788))+0-84.8--0.172991999999996</f>
        <v>1970.871204</v>
      </c>
      <c r="G232" s="3">
        <f>2138.9+(141.8-277.3)+(-4.363356+(-0.289272--0.565692))+0-87.4--0.178295999999996</f>
        <v>1912.0913600000001</v>
      </c>
      <c r="H232" s="3">
        <f>2174.4+(140.9-325.9)+(0+(0-0))+0-42.2-0</f>
        <v>1947.2</v>
      </c>
      <c r="I232" s="3">
        <f>2171.5+(140.8-282.8)+(-1.107465+(-0.071808--0.144228))+0-96.6--0.0492659999999902</f>
        <v>1931.914221</v>
      </c>
      <c r="J232" s="3">
        <f>2025+(117.4-197.9)+(0+(0-0))+0-90.1-0</f>
        <v>1854.4</v>
      </c>
      <c r="K232" s="3">
        <f>2051.2+(90.9-231.9)+(1.046112+(0.046359-0.118269))+0-85.2-0.0434519999999914</f>
        <v>1825.93075</v>
      </c>
      <c r="L232" s="3">
        <f>2064.9+(106.4-255.3)+(-4.212396+(-0.217056--0.520812))+0-85.4--0.174215999999996</f>
        <v>1826.8655759999997</v>
      </c>
      <c r="M232" s="3">
        <f>2312.6+(140.4-367.2)+(-3.538278+(-0.214812--0.561816))+0-42.9--0.0656370000000025</f>
        <v>2039.7743629999998</v>
      </c>
      <c r="N232" s="3">
        <f>2488+(139.4-444.9)+(-3.80664+(-0.213282--0.680697))+0-23.4--0.0358020000000013</f>
        <v>2155.7965769999996</v>
      </c>
      <c r="O232" s="3">
        <f>2524.6+(138.2-480.6)+(-1.287546+(-0.070482--0.245106))+0-22--0.0112199999999978</f>
        <v>2159.0982979999999</v>
      </c>
      <c r="P232" s="3">
        <f>2524.7+(138-445.2)+(0+(0-0))+0-19.8-0</f>
        <v>2197.6999999999998</v>
      </c>
      <c r="Q232" s="3">
        <f>2533.7+(140.4-438.6)+(-2.584374+(-0.143208--0.447372))+0-18--0.0183600000000029</f>
        <v>2215.2381500000001</v>
      </c>
      <c r="R232" s="3">
        <f>2522.5+(139.9-438.8)+(-1.286475+(-0.071349--0.223788))+0-18.7--0.0095369999999981</f>
        <v>2203.7755010000001</v>
      </c>
      <c r="S232" s="3">
        <f>2503.5+(139.8-417)+(5.10714+(0.285192-0.85068))+0-38.1-0.0777239999999983</f>
        <v>2192.6639279999999</v>
      </c>
      <c r="T232" s="3">
        <f>2514.9+(139.7-424.8)+(2.565198+(0.142494-0.433296))+0-79.8-0.0813960000000127</f>
        <v>2152.1929999999998</v>
      </c>
      <c r="U232" s="3">
        <f>2435.6+(142.1-403.3)+(-6.21078+(-0.362355--1.028415))+0-53.6--0.136679999999992</f>
        <v>2115.3919599999999</v>
      </c>
      <c r="V232" s="3">
        <f>2443+(90.9-284.1)+(3.73779+(0.139077-0.434673))+0-84.3-0.128979000000005</f>
        <v>2168.8132150000001</v>
      </c>
      <c r="W232" s="3">
        <f>2908.7+(40.4-437.6)+(-2.966874+(-0.041208--0.446352))+0-75.9--0.0774180000000121</f>
        <v>2433.1156879999999</v>
      </c>
      <c r="X232" s="3">
        <f>2957.9+(32.7-509.6)+(-6.034116+(-0.066708--1.039584))+0-44.4--0.0905759999999981</f>
        <v>2431.629336</v>
      </c>
      <c r="Y232" s="3">
        <f>2834.8+(60.7-431.9)+(-8.674488+(-0.185742--1.321614))+0-85.1--0.26040600000001</f>
        <v>2371.2217900000005</v>
      </c>
      <c r="Z232" s="3">
        <f>2746.5+(117.5-416.2)+(-8.40429+(-0.35955--1.273572))+0-95.8--0.293148000000011</f>
        <v>2344.8028800000002</v>
      </c>
      <c r="AA232" s="3">
        <f>2528.8+(141.3-342.1)+(-3.869064+(-0.216189--0.523413))+0-80.3--0.122859000000005</f>
        <v>2244.261019</v>
      </c>
      <c r="AB232" s="3">
        <f>2465.4+(141.3-391.1)+(0+(0-0))+0-89.8-0</f>
        <v>2125.7999999999997</v>
      </c>
      <c r="AC232" s="3">
        <f>2349+(142.1-394.4)+(-4.79196+(-0.289884--0.804576))+0-62.4--0.127295999999997</f>
        <v>2030.1500279999998</v>
      </c>
      <c r="AD232" s="2">
        <v>2349.7999999999997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2291.9+(142-382.7)+(-8.182083+(-0.50694--1.366239))+0-64.8--0.231336000000001</f>
        <v>1979.3085520000004</v>
      </c>
      <c r="G233" s="3">
        <f>2029.1+(141.6-269.1)+(-6.209046+(-0.433296--0.823446))+0-22.1--0.0676260000000026</f>
        <v>1873.74873</v>
      </c>
      <c r="H233" s="3">
        <f>2048.2+(141.6-304)+(-2.089164+(-0.144432--0.31008))+0-21.7--0.0221340000000035</f>
        <v>1862.1986179999997</v>
      </c>
      <c r="I233" s="3">
        <f>2066.6+(140.9-323.4)+(0+(0-0))+0-24.4-0</f>
        <v>1859.6999999999998</v>
      </c>
      <c r="J233" s="3">
        <f>2108.1+(141.4-359.5)+(2.150262+(0.144228-0.36669))+0-23.7-0.0241740000000038</f>
        <v>1868.203626</v>
      </c>
      <c r="K233" s="3">
        <f>2235.7+(141.7-453.4)+(-1.140207+(-0.072267--0.231234))+0-21.7--0.0110669999999978</f>
        <v>1901.3298269999996</v>
      </c>
      <c r="L233" s="3">
        <f>2237.7+(141.1-451.4)+(-2.282454+(-0.143922--0.460428))+0-22.5--0.0229500000000036</f>
        <v>1902.9570019999999</v>
      </c>
      <c r="M233" s="3">
        <f>2240.4+(140.8-389.3)+(-2.285208+(-0.143616--0.397086))+0-23--0.0234600000000037</f>
        <v>1966.8917220000003</v>
      </c>
      <c r="N233" s="3">
        <f>2431.6+(140.9-455)+(-2.480232+(-0.143718--0.4641))+0-22.8--0.0232560000000036</f>
        <v>2092.5634059999998</v>
      </c>
      <c r="O233" s="3">
        <f>2577.9+(140.2-511)+(3.944187+(0.214506-0.78183))+0-21.7-0.0332010000000013</f>
        <v>2188.7436619999999</v>
      </c>
      <c r="P233" s="3">
        <f>2508.9+(138.9-426)+(-5.118156+(-0.283356--0.86904))+0-22.8--0.046511999999999</f>
        <v>2194.51404</v>
      </c>
      <c r="Q233" s="3">
        <f>2645.1+(139.2-509.5)+(-5.396004+(-0.283968--1.03938))+0-23.6--0.048143999999999</f>
        <v>2246.6075519999995</v>
      </c>
      <c r="R233" s="3">
        <f>2612.1+(139.4-470.1)+(-2.664342+(-0.142188--0.479502))+0-40.3--0.0411060000000064</f>
        <v>2238.8140779999994</v>
      </c>
      <c r="S233" s="3">
        <f>2505.2+(139-392.8)+(-5.110608+(-0.28356--0.801312))+0-77.6--0.158303999999997</f>
        <v>2169.3654479999996</v>
      </c>
      <c r="T233" s="3">
        <f>2526+(139-423.9)+(-2.57652+(-0.14178--0.432378))+0-88.6--0.0903720000000141</f>
        <v>2150.3044500000001</v>
      </c>
      <c r="U233" s="3">
        <f>2510.7+(139.5-459.9)+(-2.560914+(-0.14229--0.469098))+0-68.8--0.070176000000011</f>
        <v>2119.3360699999998</v>
      </c>
      <c r="V233" s="3">
        <f>2581.5+(82.7-393.7)+(1.316565+(0.042177-0.200787))+0-76.3-0.0389129999999923</f>
        <v>2195.3190420000001</v>
      </c>
      <c r="W233" s="3">
        <f>2816.6+(52.9-413.2)+(2.872932+(0.053958-0.421464))+0-82.1-0.0837420000000131</f>
        <v>2376.6216840000002</v>
      </c>
      <c r="X233" s="3">
        <f>2760.3+(55.5-361.1)+(-4.223259+(-0.084915--0.552483))+0-83.1--0.127143000000005</f>
        <v>2367.9714520000007</v>
      </c>
      <c r="Y233" s="3">
        <f>2642.7+(80.8-341)+(-6.738885+(-0.20604--0.86955))+0-66.4--0.16931999999999</f>
        <v>2310.193945</v>
      </c>
      <c r="Z233" s="3">
        <f>2483.3+(127.9-216.7)+(1.266483+(0.065229-0.110517))+0-87-0.0443699999999912</f>
        <v>2308.676825</v>
      </c>
      <c r="AA233" s="3">
        <f>2449.6+(140.5-232.5)+(-1.249296+(-0.071655--0.118575))+0-83.6--0.0426359999999915</f>
        <v>2272.8402599999999</v>
      </c>
      <c r="AB233" s="3">
        <f>2407.5+(140.4-271.1)+(-4.9113+(-0.286416--0.553044))+0-76.1--0.155243999999997</f>
        <v>2196.2105720000004</v>
      </c>
      <c r="AC233" s="3">
        <f>2128.8+(146.6-102.3)+(-3.257064+(-0.224298--0.156519))+0-86.5--0.132345000000005</f>
        <v>2083.4075020000005</v>
      </c>
      <c r="AD233" s="2">
        <v>2295.5000000000005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2083.1+(140.5-134.5)+(-1.062381+(-0.071655--0.068595))+0-70.8--0.0361079999999928</f>
        <v>2017.2706669999998</v>
      </c>
      <c r="G234" s="3">
        <f>1976.1+(143.2-109.8)+(-1.007811+(-0.073032--0.055998))+0-81.6--0.0416159999999917</f>
        <v>1926.9167710000002</v>
      </c>
      <c r="H234" s="3">
        <f>1866.4+(163.5-94.7)+(-1.903728+(-0.16677--0.096594))+0-81--0.0826200000000129</f>
        <v>1852.308716</v>
      </c>
      <c r="I234" s="3">
        <f>1876.4+(153.5-105.7)+(-0.956964+(-0.078285--0.053907))+0-84.8--0.0432479999999914</f>
        <v>1838.461906</v>
      </c>
      <c r="J234" s="3">
        <f>1852.6+(155.8-114.1)+(-4.72413+(-0.39729--0.290955))+0-68.7--0.17518499999999</f>
        <v>1820.94472</v>
      </c>
      <c r="K234" s="3">
        <f>1891.2+(160.6-149.9)+(1.929024+(0.163812-0.152898))+0-93.1-0.0949620000000148</f>
        <v>1810.644976</v>
      </c>
      <c r="L234" s="3">
        <f>1836.6+(161.3-162.7)+(-5.619996+(-0.493578--0.497862))+0-88.6--0.27111600000001</f>
        <v>1741.255404</v>
      </c>
      <c r="M234" s="3">
        <f>1915.9+(188.5-136)+(0+(0-0))+0-86.3-0</f>
        <v>1882.1000000000001</v>
      </c>
      <c r="N234" s="3">
        <f>2276.2+(139.4-242.8)+(-2.321724+(-0.142188--0.247656))+0-90.2--0.0920040000000144</f>
        <v>2080.4757479999998</v>
      </c>
      <c r="O234" s="3">
        <f>2384.7+(139.1-278.7)+(1.216197+(0.070941-0.142137))+0-87.5-0.0446249999999911</f>
        <v>2158.7003759999998</v>
      </c>
      <c r="P234" s="3">
        <f>2346.1+(138.9-251.4)+(-2.393022+(-0.141678--0.256428))+0-65.1--0.0664020000000104</f>
        <v>2166.2881299999999</v>
      </c>
      <c r="Q234" s="3">
        <f>2337.1+(136.8-218.2)+(-2.383842+(-0.139536--0.222564))+0-91.5--0.0933300000000146</f>
        <v>2161.9925159999998</v>
      </c>
      <c r="R234" s="3">
        <f>2303.9+(139-210.6)+(-5.874945+(-0.35445--0.53703))+0-80--0.203999999999988</f>
        <v>2146.8116350000005</v>
      </c>
      <c r="S234" s="3">
        <f>2026+(204.8-125.8)+(-2.06652+(-0.208896--0.128316))+0-89.6--0.0913920000000143</f>
        <v>2013.344292</v>
      </c>
      <c r="T234" s="3">
        <f>1990.2+(193.4-134.6)+(0+(0-0))+0-91.3-0</f>
        <v>1957.7</v>
      </c>
      <c r="U234" s="3">
        <f>1991.7+(188-144)+(-2.031534+(-0.19176--0.14688))+0-89.9--0.0916980000000143</f>
        <v>1943.8152839999998</v>
      </c>
      <c r="V234" s="3">
        <f>2059.3+(169-113.5)+(0+(0-0))+0-79.1-0</f>
        <v>2035.7000000000003</v>
      </c>
      <c r="W234" s="3">
        <f>2447+(59.8-147.4)+(1.24797+(0.030498-0.075174))+0-50-0.0254999999999949</f>
        <v>2310.5777939999998</v>
      </c>
      <c r="X234" s="3">
        <f>2412.4+(71.8-123.4)+(-7.381944+(-0.219708--0.377604))+0-45.9--0.140454000000005</f>
        <v>2307.8164059999999</v>
      </c>
      <c r="Y234" s="3">
        <f>2327.2+(109.8-103.1)+(-7.121232+(-0.335988--0.315486))+0-74.8--0.228888000000009</f>
        <v>2252.1871539999997</v>
      </c>
      <c r="Z234" s="3">
        <f>2205.4+(178.4-85.8)+(-3.374262+(-0.272952--0.131274))+0-85.6--0.130968000000005</f>
        <v>2209.0150280000003</v>
      </c>
      <c r="AA234" s="3">
        <f>2175.2+(90.1-88)+(-3.328056+(-0.137853--0.13464))+0-86.2--0.131886000000005</f>
        <v>2087.9006170000002</v>
      </c>
      <c r="AB234" s="3">
        <f>2148.5+(91.2-123.6)+(-4.38294+(-0.186048--0.252144))+0-86.2--0.175847999999996</f>
        <v>2025.759004</v>
      </c>
      <c r="AC234" s="3">
        <f>1962+(102.3-86.2)+(-1.00062+(-0.052173--0.043962))+0-74.5--0.0379949999999924</f>
        <v>1902.6291639999997</v>
      </c>
      <c r="AD234" s="2">
        <v>2180.3999999999996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1824.5+(100.5-70.2)+(-4.652475+(-0.256275--0.17901))+0-73.6--0.187679999999989</f>
        <v>1776.6579400000001</v>
      </c>
      <c r="G235" s="3">
        <f>1813+(95.2-76.3)+(-1.84926+(-0.097104--0.077826))+0-77.4--0.0789480000000123</f>
        <v>1752.7104100000001</v>
      </c>
      <c r="H235" s="3">
        <f>1745.4+(131.3-52.3)+(-2.670462+(-0.200889--0.080019))+0-86.2--0.131886000000005</f>
        <v>1735.5405539999999</v>
      </c>
      <c r="I235" s="3">
        <f>1744.9+(132.5-65.4)+(-0.889899+(-0.067575--0.033354))+0-53.5--0.0272849999999946</f>
        <v>1757.603165</v>
      </c>
      <c r="J235" s="3">
        <f>1788.8+(113.9-76.9)+(-0.912288+(-0.058089--0.039219))+0-88--0.0448799999999911</f>
        <v>1736.9137219999998</v>
      </c>
      <c r="K235" s="3">
        <f>1918.7+(68.1-155.6)+(0.978537+(0.034731-0.079356))+0-69.8-0.0355979999999929</f>
        <v>1762.2983140000001</v>
      </c>
      <c r="L235" s="3">
        <f>1901+(93.8-204.5)+(-1.93902+(-0.095676--0.20859))+0-87.3--0.0890460000000139</f>
        <v>1701.2629400000001</v>
      </c>
      <c r="M235" s="3">
        <f>1906.4+(110.5-186.2)+(0+(0-0))+0-88.2-0</f>
        <v>1742.5</v>
      </c>
      <c r="N235" s="3">
        <f>2127.2+(96-295.7)+(-1.084872+(-0.04896--0.150807))+0-88--0.0448799999999911</f>
        <v>1838.5618549999997</v>
      </c>
      <c r="O235" s="3">
        <f>2156.1+(79.5-267.8)+(3.298833+(0.121635-0.409734))+0-85.4-0.130662000000005</f>
        <v>1885.2800719999998</v>
      </c>
      <c r="P235" s="3">
        <f>2152.4+(82.9-238.4)+(3.293172+(0.126837-0.364752))+0-93.8-0.143514000000005</f>
        <v>1906.011743</v>
      </c>
      <c r="Q235" s="3">
        <f>2095.9+(102.4-237.1)+(-3.206727+(-0.156672--0.362763))+0-73.1--0.111843000000004</f>
        <v>1885.2112070000001</v>
      </c>
      <c r="R235" s="3">
        <f>2011.7+(68.4-166.3)+(-5.129835+(-0.17442--0.424065))+0-71.6--0.18257999999999</f>
        <v>1837.5023899999999</v>
      </c>
      <c r="S235" s="3">
        <f>1941.3+(50.4-132.4)+(-4.950315+(-0.12852--0.33762))+0-44.7--0.113984999999994</f>
        <v>1809.9727699999999</v>
      </c>
      <c r="T235" s="3">
        <f>1901.2+(89.9-130)+(-4.84806+(-0.229245--0.3315))+0-39.1--0.0997049999999943</f>
        <v>1817.3539000000003</v>
      </c>
      <c r="U235" s="3">
        <f>1910.1+(117.4-113.5)+(-3.896604+(-0.239496--0.23154))+0-97.6--0.199103999999996</f>
        <v>1812.6945440000002</v>
      </c>
      <c r="V235" s="3">
        <f>1941.2+(142.7-91.9)+(-2.970036+(-0.218331--0.140607))+0-91.2--0.139536000000005</f>
        <v>1897.8917759999999</v>
      </c>
      <c r="W235" s="3">
        <f>2348.2+(57.3-155.2)+(-2.395164+(-0.058446--0.158304))+0-87.3--0.0890460000000139</f>
        <v>2160.7937399999996</v>
      </c>
      <c r="X235" s="3">
        <f>2400.2+(61.9-179)+(-4.896408+(-0.126276--0.36516))+0-84.1--0.171563999999996</f>
        <v>2194.51404</v>
      </c>
      <c r="Y235" s="3">
        <f>2429.6+(67.6-206.5)+(0+(0-0))+0-75.1-0</f>
        <v>2215.6</v>
      </c>
      <c r="Z235" s="3">
        <f>2423.8+(92.3-202.6)+(-2.472276+(-0.094146--0.206652))+0-88.1--0.089862000000014</f>
        <v>2223.1300919999999</v>
      </c>
      <c r="AA235" s="3">
        <f>2354.9+(139.9-214.4)+(-2.401998+(-0.142698--0.218688))+0-82.9--0.0845580000000132</f>
        <v>2195.25855</v>
      </c>
      <c r="AB235" s="3">
        <f>2293+(140-224.8)+(-4.67772+(-0.2856--0.458592))+0-86.8--0.177071999999996</f>
        <v>2117.0723439999997</v>
      </c>
      <c r="AC235" s="3">
        <f>2096.2+(138.8-152.7)+(-5.34531+(-0.35394--0.389385))+0-91.7--0.233834999999987</f>
        <v>1985.5239699999995</v>
      </c>
      <c r="AD235" s="2">
        <v>2156.2000000000003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2087.9+(136.1-274.5)+(-2.129658+(-0.138822--0.27999))+0-85.6--0.0873120000000136</f>
        <v>1861.9988220000002</v>
      </c>
      <c r="G236" s="3">
        <f>1980.4+(137.8-278.3)+(-4.040016+(-0.281112--0.567732))+0-36.4--0.0742559999999984</f>
        <v>1799.82086</v>
      </c>
      <c r="H236" s="3">
        <f>1875.5+(136.6-185)+(-0.956505+(-0.069666--0.09435))+0-79--0.040289999999992</f>
        <v>1747.2084689999999</v>
      </c>
      <c r="I236" s="3">
        <f>1807.5+(138.5-140.4)+(-3.6873+(-0.28254--0.286416))+0-87.2--0.177887999999996</f>
        <v>1714.8944639999997</v>
      </c>
      <c r="J236" s="3">
        <f>1791.9+(137.5-128.4)+(-4.569345+(-0.350625--0.32742))+0-85.5--0.218024999999988</f>
        <v>1711.1254749999998</v>
      </c>
      <c r="K236" s="3">
        <f>1852.6+(100.7-164.9)+(3.779304+(0.205428-0.336396))+0-87.7-0.178907999999996</f>
        <v>1704.1694279999997</v>
      </c>
      <c r="L236" s="3">
        <f>1949+(115.1-285.8)+(-2.98197+(-0.176103--0.437274))+0-77.6--0.118728000000004</f>
        <v>1698.097929</v>
      </c>
      <c r="M236" s="3">
        <f>2316.2+(136.5-466.1)+(-2.362524+(-0.13923--0.475422))+0-56.7--0.057834000000009</f>
        <v>1927.9315019999999</v>
      </c>
      <c r="N236" s="3">
        <f>2442.7+(140-464.7)+(-3.737331+(-0.2142--0.710991))+0-85.3--0.130509000000005</f>
        <v>2029.5899690000003</v>
      </c>
      <c r="O236" s="3">
        <f>2475.2+(138.3-452.9)+(0+(0-0))+0-83.8-0</f>
        <v>2076.7999999999997</v>
      </c>
      <c r="P236" s="3">
        <f>2477.5+(138.3-398.3)+(0+(0-0))+0-80.5-0</f>
        <v>2137</v>
      </c>
      <c r="Q236" s="3">
        <f>2445.1+(136.3-339.7)+(-4.988004+(-0.278052--0.692988))+0-86.3--0.176051999999996</f>
        <v>2151.0029839999993</v>
      </c>
      <c r="R236" s="3">
        <f>2425.1+(138.5-351.2)+(-7.420806+(-0.42381--1.074672))+0-66.7--0.204102000000008</f>
        <v>2139.1341580000003</v>
      </c>
      <c r="S236" s="3">
        <f>2406.1+(140.2-297.5)+(-4.908444+(-0.286008--0.6069))+0-87.5--0.178499999999996</f>
        <v>2156.8909479999998</v>
      </c>
      <c r="T236" s="3">
        <f>2290+(139.4-284.3)+(-3.5037+(-0.213282--0.434979))+0-48.5--0.0742050000000028</f>
        <v>2093.392202</v>
      </c>
      <c r="U236" s="3">
        <f>2244.5+(138-236.8)+(-4.57878+(-0.28152--0.483072))+0-82.5--0.168299999999996</f>
        <v>2058.9910719999998</v>
      </c>
      <c r="V236" s="3">
        <f>2164.9+(128.6-140)+(-2.208198+(-0.131172--0.1428))+0-76.4--0.0779280000000122</f>
        <v>2074.981358</v>
      </c>
      <c r="W236" s="3">
        <f>2640.8+(50-217.9)+(-4.040424+(-0.0765--0.333387))+0-89.5--0.136935000000005</f>
        <v>2379.7533980000003</v>
      </c>
      <c r="X236" s="3">
        <f>2608.6+(57.1-190.2)+(-6.65193+(-0.145605--0.48501))+0-90.4--0.230519999999987</f>
        <v>2379.0179950000002</v>
      </c>
      <c r="Y236" s="3">
        <f>2436+(96.7-140.9)+(-3.72708+(-0.147951--0.215577))+0-91.6--0.140148000000005</f>
        <v>2296.6806940000001</v>
      </c>
      <c r="Z236" s="3">
        <f>2324.1+(125.7-126.5)+(-2.370582+(-0.128214--0.12903))+0-89--0.0907800000000142</f>
        <v>2232.0210139999999</v>
      </c>
      <c r="AA236" s="3">
        <f>2287.6+(135.3-191.5)+(-5.83338+(-0.345015--0.488325))+0-40.3--0.102764999999994</f>
        <v>2185.5126949999999</v>
      </c>
      <c r="AB236" s="3">
        <f>2182.2+(135.1-193.9)+(0+(0-0))+0-55.2-0</f>
        <v>2068.1999999999998</v>
      </c>
      <c r="AC236" s="3">
        <f>2102.7+(134.7-181.6)+(-5.361885+(-0.343485--0.46308))+0-63.8--0.162689999999991</f>
        <v>1986.9203999999995</v>
      </c>
      <c r="AD236" s="2">
        <v>2367.8999999999996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2112.8+(135.2-179.4)+(-3.232584+(-0.206856--0.274482))+0-91.1--0.139383000000005</f>
        <v>1974.4744250000006</v>
      </c>
      <c r="G237" s="3">
        <f>2110.3+(136.4-223.4)+(-2.152506+(-0.139128--0.227868))+0-77.1--0.0786420000000123</f>
        <v>1944.2148760000002</v>
      </c>
      <c r="H237" s="3">
        <f>2043.1+(135.9-209)+(-1.041981+(-0.069309--0.10659))+0-82.2--0.0419219999999917</f>
        <v>1886.8372219999999</v>
      </c>
      <c r="I237" s="3">
        <f>2066.8+(135.5-238.1)+(1.054068+(0.069105-0.121431))+0-82.3-0.0419729999999916</f>
        <v>1882.8597690000001</v>
      </c>
      <c r="J237" s="3">
        <f>2075.8+(133.9-265.4)+(-1.058658+(-0.068289--0.135354))+0-84.8--0.0432479999999914</f>
        <v>1858.5516550000002</v>
      </c>
      <c r="K237" s="3">
        <f>2106.9+(94.2-273.4)+(3.223557+(0.144126-0.418302))+0-86.4-0.132192000000005</f>
        <v>1844.1171889999998</v>
      </c>
      <c r="L237" s="3">
        <f>2093.6+(115.4-302.8)+(-4.270944+(-0.235416--0.617712))+0-83.3--0.169931999999996</f>
        <v>1819.1812839999998</v>
      </c>
      <c r="M237" s="3">
        <f>2239+(135.3-355.5)+(0+(0-0))+0-48.7-0</f>
        <v>1970.1</v>
      </c>
      <c r="N237" s="3">
        <f>2349.9+(133.7-351.1)+(1.198449+(0.068187-0.179061))+0-93.5-0.0476849999999905</f>
        <v>2040.03989</v>
      </c>
      <c r="O237" s="3">
        <f>2480.8+(132.2-423)+(5.060832+(0.269688-0.86292))+0-71-0.144839999999997</f>
        <v>2123.32276</v>
      </c>
      <c r="P237" s="3">
        <f>2541.2+(133.6-419.7)+(-1.296012+(-0.068136--0.214047))+0-88.2--0.0449819999999911</f>
        <v>2165.7948809999998</v>
      </c>
      <c r="Q237" s="3">
        <f>2561+(134.7-443.1)+(-2.61222+(-0.137394--0.451962))+0-69.1--0.070482000000011</f>
        <v>2181.2728299999999</v>
      </c>
      <c r="R237" s="3">
        <f>2449.9+(133.8-361.7)+(-1.249449+(-0.068238--0.184467))+0-78.1--0.0398309999999921</f>
        <v>2142.806611</v>
      </c>
      <c r="S237" s="3">
        <f>2306.1+(134.5-295.2)+(-2.352222+(-0.13719--0.301104))+0-78.4--0.0799680000000125</f>
        <v>2064.8916600000002</v>
      </c>
      <c r="T237" s="3">
        <f>2280.8+(135.8-279)+(2.326416+(0.138516-0.28458))+0-85-0.0867000000000136</f>
        <v>2054.6936520000004</v>
      </c>
      <c r="U237" s="3">
        <f>2270+(101.8-257.9)+(-3.4731+(-0.155754--0.394587))+0-93--0.142290000000005</f>
        <v>2017.8080230000003</v>
      </c>
      <c r="V237" s="3">
        <f>2228.6+(81.2-152)+(-1.136586+(-0.041412--0.07752))+0-67--0.0341699999999932</f>
        <v>2089.7336919999998</v>
      </c>
      <c r="W237" s="3">
        <f>2615.2+(56.3-217.4)+(-1.333752+(-0.028713--0.110874))+0-88.6--0.045185999999991</f>
        <v>2364.2935949999996</v>
      </c>
      <c r="X237" s="3">
        <f>2672.2+(61.7-257.7)+(-4.088466+(-0.094401--0.394281))+0-79.2--0.121176000000005</f>
        <v>2393.33259</v>
      </c>
      <c r="Y237" s="3">
        <f>2647.5+(83.4-267)+(-6.751125+(-0.21267--0.68085))+0-94.2--0.240209999999986</f>
        <v>2363.6572650000003</v>
      </c>
      <c r="Z237" s="3">
        <f>2594.9+(133.8-310.3)+(-5.293596+(-0.272952--0.633012))+0-83.4--0.170135999999996</f>
        <v>2330.2366000000002</v>
      </c>
      <c r="AA237" s="3">
        <f>2473.7+(143.3-311.1)+(-2.523174+(-0.146166--0.317322))+0-79.8--0.0813960000000127</f>
        <v>2223.8293779999995</v>
      </c>
      <c r="AB237" s="3">
        <f>2347.5+(140.7-277.9)+(-5.986125+(-0.358785--0.708645))+0-85.9--0.219044999999988</f>
        <v>2118.9827799999998</v>
      </c>
      <c r="AC237" s="3">
        <f>2171.3+(140.4-246.9)+(-5.536815+(-0.35802--0.629595))+0-44--0.112199999999994</f>
        <v>2015.64696</v>
      </c>
      <c r="AD237" s="2">
        <v>2423.1999999999998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2152.7+(140-293.3)+(-4.391508+(-0.2856--0.598332))+0-47--0.095879999999998</f>
        <v>1948.4171039999999</v>
      </c>
      <c r="G238" s="3">
        <f>2166+(140.4-283.3)+(-1.10466+(-0.071604--0.144483))+0-86.5--0.0441149999999912</f>
        <v>1935.6123339999999</v>
      </c>
      <c r="H238" s="3">
        <f>2163.1+(140.2-290)+(-2.206362+(-0.143004--0.2958))+0-91.5--0.0933300000000146</f>
        <v>1919.8397639999998</v>
      </c>
      <c r="I238" s="3">
        <f>2078.6+(140.7-252.4)+(-2.120172+(-0.143514--0.257448))+0-86.2--0.0879240000000137</f>
        <v>1878.7816859999998</v>
      </c>
      <c r="J238" s="3">
        <f>2063.6+(112.3-248.4)+(-3.157308+(-0.171819--0.380052))+0-86.4--0.132192000000005</f>
        <v>1838.2831169999999</v>
      </c>
      <c r="K238" s="3">
        <f>2074.2+(85-273)+(0+(0-0))+0-72.5-0</f>
        <v>1813.6999999999998</v>
      </c>
      <c r="L238" s="3">
        <f>2068.2+(89.9-300.3)+(-1.054782+(-0.045849--0.153153))+0-33.1--0.0168809999999966</f>
        <v>1823.7694029999998</v>
      </c>
      <c r="M238" s="3">
        <f>2075.2+(140.3-262)+(-1.058352+(-0.071553--0.13362))+0-20.8--0.0106079999999979</f>
        <v>1931.7143229999999</v>
      </c>
      <c r="N238" s="3">
        <f>2207.2+(141.4-274.3)+(-2.251344+(-0.144228--0.279786))+0-20--0.0204000000000032</f>
        <v>2052.2046139999998</v>
      </c>
      <c r="O238" s="3">
        <f>2406.8+(140.6-375.8)+(-1.227468+(-0.071706--0.191658))+0-20.2--0.010301999999998</f>
        <v>2150.3027860000007</v>
      </c>
      <c r="P238" s="3">
        <f>2557.2+(138.5-445)+(2.608344+(0.14127-0.4539))+0-19.9-0.0202980000000032</f>
        <v>2233.0754159999997</v>
      </c>
      <c r="Q238" s="3">
        <f>2605.5+(140-493.7)+(-1.328805+(-0.0714--0.251787))+0-18.4--0.00938399999999813</f>
        <v>2232.2609659999998</v>
      </c>
      <c r="R238" s="3">
        <f>2690.4+(140.3-544.5)+(-5.488416+(-0.286212--1.11078))+0-20--0.0407999999999991</f>
        <v>2261.5769520000003</v>
      </c>
      <c r="S238" s="3">
        <f>2474.6+(138.7-408.6)+(-3.786138+(-0.212211--0.625158))+0-20--0.0306000000000012</f>
        <v>2181.3574089999997</v>
      </c>
      <c r="T238" s="3">
        <f>2612.2+(133.9-530.7)+(1.332222+(0.068289-0.270657))+0-18.9-0.00963899999999808</f>
        <v>2197.6202149999995</v>
      </c>
      <c r="U238" s="3">
        <f>2717+(97.9-582.2)+(-1.38567+(-0.049929--0.296922))+0-20.4--0.0104039999999979</f>
        <v>2211.1717269999999</v>
      </c>
      <c r="V238" s="3">
        <f>2753.5+(69.1-517.5)+(4.212855+(0.105723-0.791775))+0-21.7-0.0332010000000013</f>
        <v>2286.8936020000001</v>
      </c>
      <c r="W238" s="3">
        <f>2874.7+(30.5-434.3)+(-2.932194+(-0.03111--0.442986))+0-20.4--0.0208080000000033</f>
        <v>2448.0004899999999</v>
      </c>
      <c r="X238" s="3">
        <f>2799.7+(58.3-426.8)+(-5.711388+(-0.118932--0.870672))+0-22.5--0.045899999999999</f>
        <v>2403.7862519999999</v>
      </c>
      <c r="Y238" s="3">
        <f>2702.2+(74-407.1)+(-6.89061+(-0.1887--1.038105))+0-49.8--0.126989999999993</f>
        <v>2313.3857849999999</v>
      </c>
      <c r="Z238" s="3">
        <f>2635.5+(125.4-377.2)+(-4.032315+(-0.191862--0.577116))+0-76--0.116280000000004</f>
        <v>2304.1692189999999</v>
      </c>
      <c r="AA238" s="3">
        <f>2371.4+(139.5-231.4)+(-3.628242+(-0.213435--0.354042))+0-87--0.133110000000005</f>
        <v>2189.1454750000003</v>
      </c>
      <c r="AB238" s="3">
        <f>2310.1+(141.6-285.1)+(-1.178151+(-0.072216--0.145401))+0-28.8--0.0146879999999971</f>
        <v>2136.7097220000001</v>
      </c>
      <c r="AC238" s="3">
        <f>2200.7+(139.6-291.6)+(-3.367071+(-0.213588--0.446148))+0-24--0.0367200000000014</f>
        <v>2021.6022089999999</v>
      </c>
      <c r="AD238" s="2">
        <v>2379.1000000000004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2213.5+(139.7-349.6)+(-1.128885+(-0.071247--0.178296))+0-23.3--0.0118829999999976</f>
        <v>1979.290047</v>
      </c>
      <c r="G239" s="3">
        <f>2212.7+(138.5-358)+(-2.256954+(-0.14127--0.36516))+0-22.7--0.0231540000000036</f>
        <v>1968.4900899999998</v>
      </c>
      <c r="H239" s="3">
        <f>2078.7+(141.1-282.4)+(0+(0-0))+0-21.5-0</f>
        <v>1915.8999999999999</v>
      </c>
      <c r="I239" s="3">
        <f>1981.7+(140.3-222.3)+(-2.021334+(-0.143106--0.226746))+0-22.5--0.0229500000000036</f>
        <v>1875.2852560000001</v>
      </c>
      <c r="J239" s="3">
        <f>1984.5+(140.4-224.1)+(0+(0-0))+0-21.9-0</f>
        <v>1878.8999999999999</v>
      </c>
      <c r="K239" s="3">
        <f>1990.9+(136-271.2)+(-2.030718+(-0.13872--0.276624))+0-22.1--0.0225420000000035</f>
        <v>1831.729728</v>
      </c>
      <c r="L239" s="3">
        <f>2271.7+(93.2-427.3)+(-3.475701+(-0.142596--0.653769))+0-22.4--0.0342720000000013</f>
        <v>1912.2697439999999</v>
      </c>
      <c r="M239" s="3">
        <f>2347.1+(97.7-399.6)+(-2.394042+(-0.099654--0.407592))+0-20.5--0.0209100000000033</f>
        <v>2022.6348059999998</v>
      </c>
      <c r="N239" s="3">
        <f>2636.8+(92.3-491.9)+(-5.379072+(-0.188292--1.003476))+0-14.3--0.0291719999999994</f>
        <v>2218.365284</v>
      </c>
      <c r="O239" s="3">
        <f>2694.7+(101.1-500.9)+(0+(0-0))+0-13.9-0</f>
        <v>2280.9999999999995</v>
      </c>
      <c r="P239" s="3">
        <f>2673.1+(114-464.7)+(-2.726562+(-0.11628--0.473994))+0-36--0.0367200000000057</f>
        <v>2284.0678720000001</v>
      </c>
      <c r="Q239" s="3">
        <f>2783+(142.3-533.9)+(-1.41933+(-0.072573--0.272289))+0-50.6--0.0258059999999949</f>
        <v>2339.6061920000002</v>
      </c>
      <c r="R239" s="3">
        <f>2646.3+(142.3-460.7)+(-6.748065+(-0.362865--1.174785))+0-49--0.124949999999993</f>
        <v>2273.0888049999999</v>
      </c>
      <c r="S239" s="3">
        <f>2428.1+(142.1-413.1)+(-1.238331+(-0.072471--0.210681))+0-33.3--0.0169829999999966</f>
        <v>2122.7168619999998</v>
      </c>
      <c r="T239" s="3">
        <f>2370.8+(142-412.1)+(-2.418216+(-0.14484--0.420342))+0-70--0.0714000000000112</f>
        <v>2028.6286860000002</v>
      </c>
      <c r="U239" s="3">
        <f>2388.5+(117.5-385.1)+(-2.43627+(-0.11985--0.392802))+0-83.3--0.0849660000000133</f>
        <v>2035.5216480000004</v>
      </c>
      <c r="V239" s="3">
        <f>2587.7+(51.9-392.2)+(-3.959181+(-0.079407--0.600066))+0-79.8--0.122094000000005</f>
        <v>2164.2835719999994</v>
      </c>
      <c r="W239" s="3">
        <f>3019.9+(20.9-519.9)+(-3.080298+(-0.021318--0.530298))+0-85.1--0.0868020000000136</f>
        <v>2433.3154840000002</v>
      </c>
      <c r="X239" s="3">
        <f>3035.6+(21.4-568.6)+(-6.192624+(-0.043656--1.159944))+0-47.9--0.0977159999999979</f>
        <v>2435.5213799999997</v>
      </c>
      <c r="Y239" s="3">
        <f>2837.3+(36.1-429.4)+(-5.788092+(-0.073644--0.875976))+0-83.4--0.170135999999996</f>
        <v>2355.7843760000001</v>
      </c>
      <c r="Z239" s="3">
        <f>2703.1+(97.9-411.7)+(-6.892905+(-0.249645--1.049835))+0-73.1--0.186404999999989</f>
        <v>2310.29369</v>
      </c>
      <c r="AA239" s="3">
        <f>2527.4+(140.7-428.8)+(-3.866922+(-0.215271--0.656064))+0-28.4--0.0434520000000016</f>
        <v>2207.517323</v>
      </c>
      <c r="AB239" s="3">
        <f>2405.4+(141.3-378.2)+(-6.13377+(-0.360315--0.96441))+0-71.1--0.18130499999999</f>
        <v>2092.0516299999999</v>
      </c>
      <c r="AC239" s="3">
        <f>2407.7+(142.2-411.6)+(-4.911708+(-0.290088--0.839664))+0-75.1--0.153203999999997</f>
        <v>2058.9910719999998</v>
      </c>
      <c r="AD239" s="2">
        <v>2334.4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2224.2+(141.7-352.5)+(-3.403026+(-0.216801--0.539325))+0-63.1--0.0965430000000037</f>
        <v>1947.316041</v>
      </c>
      <c r="G240" s="3">
        <f>2166.5+(141.6-308)+(-3.314745+(-0.216648--0.47124))+0-75.5--0.115515000000004</f>
        <v>1921.655362</v>
      </c>
      <c r="H240" s="3">
        <f>2103.6+(141.9-300.5)+(-1.072836+(-0.072369--0.153255))+0-71.6--0.0365159999999927</f>
        <v>1872.4445659999999</v>
      </c>
      <c r="I240" s="3">
        <f>2096.4+(143-294.6)+(-1.069164+(-0.07293--0.150246))+0-79.1--0.040340999999992</f>
        <v>1864.7484930000003</v>
      </c>
      <c r="J240" s="3">
        <f>2102+(142.8-312.6)+(-2.14404+(-0.145656--0.318852))+0-77.2--0.0787440000000123</f>
        <v>1853.1079</v>
      </c>
      <c r="K240" s="3">
        <f>2235.8+(110-395.3)+(3.420774+(0.1683-0.604809))+0-55.9-0.0855270000000032</f>
        <v>1897.4987380000002</v>
      </c>
      <c r="L240" s="3">
        <f>2326.6+(85.4-506.6)+(-1.186566+(-0.043554--0.258366))+0-25--0.0127499999999975</f>
        <v>1879.440996</v>
      </c>
      <c r="M240" s="3">
        <f>2549+(105.1-554.4)+(2.59998+(0.107202-0.565488))+0-20.3-0.0207060000000032</f>
        <v>2081.5209879999998</v>
      </c>
      <c r="N240" s="3">
        <f>2629.4+(116.6-547.4)+(2.681988+(0.118932-0.558348))+0-46.2-0.0471240000000074</f>
        <v>2154.5954480000005</v>
      </c>
      <c r="O240" s="3">
        <f>2697.1+(118.3-567.6)+(-2.751042+(-0.120666--0.578952))+0-71.4--0.0728280000000114</f>
        <v>2174.1800719999997</v>
      </c>
      <c r="P240" s="3">
        <f>2747.5+(139.9-573.4)+(-2.80245+(-0.142698--0.584868))+0-82--0.0836400000000131</f>
        <v>2229.72336</v>
      </c>
      <c r="Q240" s="3">
        <f>2803.2+(141.2-610.2)+(2.859264+(0.144024-0.622404))+0-77.8-0.0793560000000124</f>
        <v>2258.7015279999996</v>
      </c>
      <c r="R240" s="3">
        <f>2693.4+(139.4-509.9)+(-5.494536+(-0.284376--1.040196))+0-82.7--0.168707999999996</f>
        <v>2235.6299920000006</v>
      </c>
      <c r="S240" s="3">
        <f>2652.7+(141.6-509.6)+(0+(0-0))+0-84.5-0</f>
        <v>2200.1999999999998</v>
      </c>
      <c r="T240" s="3">
        <f>2529.4+(141.4-451.5)+(-1.289994+(-0.072114--0.230265))+0-76.9--0.0392189999999922</f>
        <v>2141.3073759999997</v>
      </c>
      <c r="U240" s="3">
        <f>2528.5+(107.9-436)+(0+(0-0))+0-85.9-0</f>
        <v>2114.5</v>
      </c>
      <c r="V240" s="3">
        <f>2909+(37.1-554.2)+(1.48359+(0.018921-0.282642))+0-80.1-0.0408509999999919</f>
        <v>2312.979018</v>
      </c>
      <c r="W240" s="3">
        <f>3138.3+(0-619.1)+(1.600533+(0-0.315741))+0-27.7-0.0141269999999972</f>
        <v>2492.7706650000005</v>
      </c>
      <c r="X240" s="3">
        <f>3053.4+(0-521.2)+(-9.343404+(0--1.594872))+0-79.7--0.243882000000009</f>
        <v>2444.9953500000001</v>
      </c>
      <c r="Y240" s="3">
        <f>2888.2+(2.1-433.3)+(-1.472982+(-0.001071--0.220983))+0-88.6--0.045185999999991</f>
        <v>2367.1921159999997</v>
      </c>
      <c r="Z240" s="3">
        <f>2712.8+(48.5-361.2)+(-5.534112+(-0.09894--0.736848))+0-73.2--0.149327999999997</f>
        <v>2322.1531240000004</v>
      </c>
      <c r="AA240" s="3">
        <f>2534.6+(125.8-341.7)+(-3.877938+(-0.192474--0.522801))+0-87.8--0.134334000000005</f>
        <v>2227.4867229999995</v>
      </c>
      <c r="AB240" s="3">
        <f>2407.8+(139.6-368.8)+(-4.911912+(-0.284784--0.752352))+0-88.5--0.180539999999996</f>
        <v>2085.8361960000002</v>
      </c>
      <c r="AC240" s="3">
        <f>2342.5+(139.1-440.3)+(-3.584025+(-0.212823--0.673659))+0-39.6--0.0605880000000023</f>
        <v>1998.6373990000002</v>
      </c>
      <c r="AD240" s="2">
        <v>2409.6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2183.2+(139.4-345.2)+(-5.56716+(-0.35547--0.88026))+0-84.1--0.214454999999988</f>
        <v>1888.4720850000001</v>
      </c>
      <c r="G241" s="3">
        <f>2086.3+(139.7-316.9)+(-5.320065+(-0.356235--0.808095))+0-49.1--0.125204999999993</f>
        <v>1855.2570000000003</v>
      </c>
      <c r="H241" s="3">
        <f>2105.1+(139.2-305.3)+(-3.220803+(-0.212976--0.467109))+0-74--0.113220000000004</f>
        <v>1862.1465499999999</v>
      </c>
      <c r="I241" s="3">
        <f>2303.2+(139.7-437.1)+(1.174632+(0.071247-0.222921))+0-83.2-0.0424319999999916</f>
        <v>1923.5805259999997</v>
      </c>
      <c r="J241" s="3">
        <f>2280.4+(127.2-420.9)+(0+(0-0))+0-82.4-0</f>
        <v>1904.3</v>
      </c>
      <c r="K241" s="3">
        <f>2281+(71.9-417.6)+(0+(0-0))+0-69.9-0</f>
        <v>1865.3999999999999</v>
      </c>
      <c r="L241" s="3">
        <f>2314.9+(61-479.3)+(-4.722396+(-0.12444--0.977772))+0-79--0.161159999999997</f>
        <v>1813.8920960000003</v>
      </c>
      <c r="M241" s="3">
        <f>2331.2+(116.9-415.3)+(-2.377824+(-0.119238--0.423606))+0-90.3--0.0921060000000144</f>
        <v>1940.5186499999998</v>
      </c>
      <c r="N241" s="3">
        <f>2352.6+(139.8-367.5)+(2.399652+(0.142596-0.37485))+0-50.4-0.051408000000008</f>
        <v>2076.6159900000002</v>
      </c>
      <c r="O241" s="3">
        <f>2329.5+(138.5-316.8)+(0+(0-0))+0-90.6-0</f>
        <v>2060.6</v>
      </c>
      <c r="P241" s="3">
        <f>2342.2+(141.9-289.2)+(-3.583566+(-0.217107--0.442476))+0-89.3--0.136629000000005</f>
        <v>2102.3784319999995</v>
      </c>
      <c r="Q241" s="3">
        <f>2313.8+(141.3-255.6)+(-4.720152+(-0.288252--0.521424))+0-77--0.157079999999997</f>
        <v>2118.1700999999998</v>
      </c>
      <c r="R241" s="3">
        <f>2313.9+(140.6-304.5)+(-3.540267+(-0.215118--0.465885))+0-67.7--0.103581000000004</f>
        <v>2079.1140810000002</v>
      </c>
      <c r="S241" s="3">
        <f>2214.2+(140.7-273.2)+(-4.516968+(-0.287028--0.557328))+0-69.9--0.142595999999997</f>
        <v>2007.6959279999994</v>
      </c>
      <c r="T241" s="3">
        <f>2208.2+(111.1-285.4)+(2.252364+(0.113322-0.291108))+0-83.2-0.0848640000000133</f>
        <v>1952.6897139999999</v>
      </c>
      <c r="U241" s="3">
        <f>2113.7+(87.1-163.7)+(-3.233961+(-0.133263--0.250461))+0-87.6--0.134028000000005</f>
        <v>1946.517265</v>
      </c>
      <c r="V241" s="3">
        <f>2235.4+(35.6-115.4)+(0+(0-0))+0-68.6-0</f>
        <v>2087</v>
      </c>
      <c r="W241" s="3">
        <f>2774.9+(0-466.9)+(-4.245597+(0--0.714357))+0-44.4--0.0679320000000026</f>
        <v>2260.136692</v>
      </c>
      <c r="X241" s="3">
        <f>2862.8+(0-527.3)+(-2.920056+(0--0.537846))+0-86.5--0.0882300000000138</f>
        <v>2246.7060199999996</v>
      </c>
      <c r="Y241" s="3">
        <f>2751.1+(5.4-465.2)+(0+(0-0))+0-78.2-0</f>
        <v>2213.1</v>
      </c>
      <c r="Z241" s="3">
        <f>2426.6+(59.1-338.1)+(0+(0-0))+0-85.8-0</f>
        <v>2061.7999999999997</v>
      </c>
      <c r="AA241" s="3">
        <f>2273.1+(120.5-354.2)+(-3.477843+(-0.184365--0.541926))+0-42.8--0.0654840000000025</f>
        <v>1993.5452019999998</v>
      </c>
      <c r="AB241" s="3">
        <f>2142+(137.6-343.4)+(0+(0-0))+0-42.7-0</f>
        <v>1893.5</v>
      </c>
      <c r="AC241" s="3">
        <f>2102+(139.3-319.2)+(-4.28808+(-0.284172--0.651168))+0-94.5--0.192779999999996</f>
        <v>1823.8716959999999</v>
      </c>
      <c r="AD241" s="2">
        <v>2268.1000000000004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2064.4+(139.1-317.7)+(-1.052844+(-0.070941--0.162027))+0-92.3--0.0470729999999906</f>
        <v>1792.5853150000003</v>
      </c>
      <c r="G242" s="3">
        <f>1962.5+(141.1-304.9)+(-2.00175+(-0.143922--0.310998))+0-80.5--0.0821100000000128</f>
        <v>1716.4474360000002</v>
      </c>
      <c r="H242" s="3">
        <f>1875.1+(141.8-299.6)+(-4.781505+(-0.36159--0.76398))+0-53.6--0.136679999999992</f>
        <v>1659.4575650000002</v>
      </c>
      <c r="I242" s="3">
        <f>1835.5+(140.4-254.9)+(-1.87221+(-0.143208--0.259998))+0-60.3--0.0615060000000096</f>
        <v>1659.0060860000001</v>
      </c>
      <c r="J242" s="3">
        <f>1857.3+(122.7-234.2)+(0+(0-0))+0-77.5-0</f>
        <v>1668.3</v>
      </c>
      <c r="K242" s="3">
        <f>1866.6+(79.7-230.8)+(0+(0-0))+0-83.3-0</f>
        <v>1632.2</v>
      </c>
      <c r="L242" s="3">
        <f>1767.9+(52.6-205.1)+(-4.508145+(-0.13413--0.523005))+0-75.6--0.192779999999989</f>
        <v>1535.8735100000004</v>
      </c>
      <c r="M242" s="3">
        <f>1776.1+(108.7-245.5)+(-1.811622+(-0.110874--0.25041))+0-32--0.0326400000000051</f>
        <v>1605.6605539999998</v>
      </c>
      <c r="N242" s="3">
        <f>1862.9+(111.9-209.2)+(2.850237+(0.171207-0.320076))+0-78-0.119340000000005</f>
        <v>1690.1820280000002</v>
      </c>
      <c r="O242" s="3">
        <f>1904.1+(124.8-186.2)+(-1.942182+(-0.127296--0.189924))+0-79.7--0.0812940000000127</f>
        <v>1761.2017399999997</v>
      </c>
      <c r="P242" s="3">
        <f>1868.1+(140-106.4)+(1.905462+(0.1428-0.108528))+0-87.2-0.0889440000000139</f>
        <v>1816.3507899999997</v>
      </c>
      <c r="Q242" s="3">
        <f>1957.3+(141-200.6)+(-4.991115+(-0.35955--0.51153))+0-54.5--0.138974999999992</f>
        <v>1838.4998400000002</v>
      </c>
      <c r="R242" s="3">
        <f>1891.8+(141.5-109.3)+(-6.753726+(-0.505155--0.390201))+0-95.2--0.339864000000001</f>
        <v>1822.2711839999999</v>
      </c>
      <c r="S242" s="3">
        <f>1853.4+(142.8-146)+(-2.835702+(-0.218484--0.22338))+0-66.5--0.101745000000004</f>
        <v>1780.970939</v>
      </c>
      <c r="T242" s="3">
        <f>1879.4+(139-177.2)+(-2.875482+(-0.21267--0.271116))+0-73.9--0.113067000000004</f>
        <v>1764.596031</v>
      </c>
      <c r="U242" s="3">
        <f>1902.9+(103.8-164.9)+(0+(0-0))+0-77.5-0</f>
        <v>1764.3000000000002</v>
      </c>
      <c r="V242" s="3">
        <f>2007.2+(90.1-102.2)+(-2.047344+(-0.091902--0.104244))+0-74.4--0.0758880000000119</f>
        <v>1918.740886</v>
      </c>
      <c r="W242" s="3">
        <f>2588.3+(28.4-441.8)+(0+(0-0))+0-54.6-0</f>
        <v>2120.3000000000002</v>
      </c>
      <c r="X242" s="3">
        <f>2615+(11.9-394)+(-5.3346+(-0.024276--0.80376))+0-83.4--0.170135999999996</f>
        <v>2145.1150200000002</v>
      </c>
      <c r="Y242" s="3">
        <f>2512.6+(29.4-323)+(0+(0-0))+0-94.5-0</f>
        <v>2124.5</v>
      </c>
      <c r="Z242" s="3">
        <f>2437.1+(71.6-335.1)+(-3.728763+(-0.109548--0.512703))+0-85.1--0.130203000000005</f>
        <v>2085.3045950000001</v>
      </c>
      <c r="AA242" s="3">
        <f>2354.5+(133.8-404.9)+(0+(0-0))+0-83.9-0</f>
        <v>1999.5</v>
      </c>
      <c r="AB242" s="3">
        <f>2103.1+(140.8-312)+(-3.217743+(-0.215424--0.47736))+0-86.2--0.131886000000005</f>
        <v>1842.8760789999997</v>
      </c>
      <c r="AC242" s="3">
        <f>1894.2+(142.6-256.5)+(-3.864168+(-0.290904--0.52326))+0-85.3--0.174011999999996</f>
        <v>1691.5421999999999</v>
      </c>
      <c r="AD242" s="2">
        <v>2146.1999999999998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1836.6+(141.3-251.1)+(-0.936666+(-0.072063--0.128061))+0-83.9--0.0427889999999915</f>
        <v>1642.0621209999999</v>
      </c>
      <c r="G243" s="3">
        <f>1825.1+(140.4-233.1)+(-1.861602+(-0.143208--0.237762))+0-72.3--0.0737460000000115</f>
        <v>1658.406698</v>
      </c>
      <c r="H243" s="3">
        <f>1794.5+(141.4-236.4)+(-5.49117+(-0.432684--0.723384))+0-62.9--0.192474000000007</f>
        <v>1631.5920039999999</v>
      </c>
      <c r="I243" s="3">
        <f>1737.8+(137.8-196.5)+(1.772556+(0.140556-0.20043))+0-96.5-0.0984300000000154</f>
        <v>1584.214252</v>
      </c>
      <c r="J243" s="3">
        <f>1779.5+(113.5-228.4)+(-1.81509+(-0.11577--0.232968))+0-79.9--0.0814980000000127</f>
        <v>1583.0836059999999</v>
      </c>
      <c r="K243" s="3">
        <f>1950.7+(87.5-321.3)+(-1.989714+(-0.08925--0.327726))+0-89.9--0.0916980000000143</f>
        <v>1625.3404599999999</v>
      </c>
      <c r="L243" s="3">
        <f>2051.9+(98.4-419.9)+(-5.232345+(-0.25092--1.070745))+0-65.1--0.166004999999991</f>
        <v>1661.0534850000001</v>
      </c>
      <c r="M243" s="3">
        <f>2109+(121.7-417.3)+(-2.15118+(-0.124134--0.425646))+0-38.9--0.0396780000000062</f>
        <v>1772.69001</v>
      </c>
      <c r="N243" s="3">
        <f>2277.3+(122.8-476.4)+(-3.484269+(-0.187884--0.728892))+0-23.7--0.0362610000000014</f>
        <v>1897.0930000000003</v>
      </c>
      <c r="O243" s="3">
        <f>2495.7+(120.1-600.4)+(-5.091228+(-0.245004--1.224816))+0-58.9--0.120155999999997</f>
        <v>1952.5087399999998</v>
      </c>
      <c r="P243" s="3">
        <f>2575.1+(126.5-644.5)+(-1.313301+(-0.064515--0.328695))+0-82.6--0.0421259999999916</f>
        <v>1973.493005</v>
      </c>
      <c r="Q243" s="3">
        <f>2625.8+(113.2-659.2)+(-1.339158+(-0.057732--0.336192))+0-72.8--0.0371279999999926</f>
        <v>2005.9764300000004</v>
      </c>
      <c r="R243" s="3">
        <f>2500.6+(106.1-536.9)+(-6.37653+(-0.270555--1.369095))+0-98--0.249899999999986</f>
        <v>1966.7719100000002</v>
      </c>
      <c r="S243" s="3">
        <f>2315.9+(135.9-466.1)+(0+(0-0))+0-77.3-0</f>
        <v>1908.4</v>
      </c>
      <c r="T243" s="3">
        <f>2295.2+(140.8-469.8)+(0+(0-0))+0-86.1-0</f>
        <v>1880.1</v>
      </c>
      <c r="U243" s="3">
        <f>2160.2+(119-368.3)+(-1.101702+(-0.06069--0.187833))+0-53.4--0.0272339999999946</f>
        <v>1856.5526749999997</v>
      </c>
      <c r="V243" s="3">
        <f>2206.3+(33.5-187.4)+(0+(0-0))+0-90.8-0</f>
        <v>1961.6000000000001</v>
      </c>
      <c r="W243" s="3">
        <f>2995.4+(0-616.1)+(3.055308+(0-0.628422))+0-89.3-0.0910860000000142</f>
        <v>2292.3358000000003</v>
      </c>
      <c r="X243" s="3">
        <f>2990.2+(0-649.8)+(-7.62501+(0--1.65699))+0-86.2--0.219809999999987</f>
        <v>2248.4517900000001</v>
      </c>
      <c r="Y243" s="3">
        <f>2967.9+(11.9-639.9)+(-3.027258+(-0.012138--0.652698))+0-89.8--0.0915960000000143</f>
        <v>2247.8048980000003</v>
      </c>
      <c r="Z243" s="3">
        <f>2856.8+(37.8-608.4)+(-4.370904+(-0.057834--0.930852))+0-69.5--0.106335000000004</f>
        <v>2213.3084490000001</v>
      </c>
      <c r="AA243" s="3">
        <f>2665+(115.7-573.3)+(-6.79575+(-0.295035--1.461915))+0-84.4--0.215219999999988</f>
        <v>2117.58635</v>
      </c>
      <c r="AB243" s="3">
        <f>2578.7+(143.6-609)+(1.315137+(0.073236-0.31059))+0-89.5-0.0456449999999909</f>
        <v>2024.832138</v>
      </c>
      <c r="AC243" s="3">
        <f>2436.7+(139.3-585.5)+(-6.213585+(-0.355215--1.493025))+0-56.8--0.144839999999992</f>
        <v>1928.7690649999997</v>
      </c>
      <c r="AD243" s="2">
        <v>2383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2314.8+(141-488.1)+(-3.541644+(-0.21573--0.746793))+0-90.7--0.138771000000005</f>
        <v>1874.1281900000001</v>
      </c>
      <c r="G244" s="3">
        <f>2190.2+(143.6-398.8)+(-5.58501+(-0.36618--1.01694))+0-83.4--0.212669999999988</f>
        <v>1846.8784199999996</v>
      </c>
      <c r="H244" s="3">
        <f>2173.4+(140.8-411.9)+(2.216868+(0.143616-0.420138))+0-88.3-0.0900660000000141</f>
        <v>1815.8502800000003</v>
      </c>
      <c r="I244" s="3">
        <f>2229.8+(139.8-453.5)+(0+(0-0))+0-81.6-0</f>
        <v>1834.5000000000002</v>
      </c>
      <c r="J244" s="3">
        <f>2232.2+(113.9-441.7)+(1.138422+(0.058089-0.225267))+0-85.7-0.0437069999999913</f>
        <v>1819.6275369999998</v>
      </c>
      <c r="K244" s="3">
        <f>2315+(98.4-486.6)+(-3.54195+(-0.150552--0.744498))+0-81.2--0.124236000000005</f>
        <v>1842.7762319999999</v>
      </c>
      <c r="L244" s="3">
        <f>2220.4+(111.2-426.5)+(-1.132404+(-0.056712--0.217515))+0-79.6--0.0405959999999919</f>
        <v>1824.5689950000003</v>
      </c>
      <c r="M244" s="3">
        <f>2252.1+(118.1-414.7)+(-3.445713+(-0.180693--0.634491))+0-80.1--0.122553000000005</f>
        <v>1872.530638</v>
      </c>
      <c r="N244" s="3">
        <f>2448.3+(138.5-544)+(-2.497266+(-0.14127--0.55488))+0-89.2--0.0909840000000142</f>
        <v>1951.6073280000001</v>
      </c>
      <c r="O244" s="3">
        <f>2675.7+(137-696.2)+(-2.729214+(-0.13974--0.710124))+0-61.9--0.0631380000000099</f>
        <v>2052.504308</v>
      </c>
      <c r="P244" s="3">
        <f>2696+(135.8-613.8)+(-6.8748+(-0.34629--1.56519))+0-85.6--0.218279999999988</f>
        <v>2126.9623799999999</v>
      </c>
      <c r="Q244" s="3">
        <f>2332.2+(136.4-314.9)+(-5.94711+(-0.34782--0.802995))+0-66.7--0.17008499999999</f>
        <v>2081.6781500000002</v>
      </c>
      <c r="R244" s="3">
        <f>2166.7+(136.7-154.8)+(-3.315051+(-0.209151--0.236844))+0-83.5--0.127755000000005</f>
        <v>2061.9403969999998</v>
      </c>
      <c r="S244" s="3">
        <f>2146.1+(137.7-184.6)+(-2.189022+(-0.140454--0.188292))+0-73.6--0.0750720000000117</f>
        <v>2023.5338879999999</v>
      </c>
      <c r="T244" s="3">
        <f>2192.1+(137.4-197)+(1.117971+(0.070074-0.10047))+0-86-0.0438599999999913</f>
        <v>2047.543715</v>
      </c>
      <c r="U244" s="3">
        <f>2143.3+(109.9-180.5)+(2.186166+(0.112098-0.18411))+0-78.4-0.0799680000000125</f>
        <v>1996.334186</v>
      </c>
      <c r="V244" s="3">
        <f>2286.4+(76.3-113.3)+(0+(0-0))+0-78.1-0</f>
        <v>2171.3000000000002</v>
      </c>
      <c r="W244" s="3">
        <f>2606.2+(9.4-148.8)+(-1.329162+(-0.004794--0.075888))+0-87.2--0.0444719999999912</f>
        <v>2378.3864039999999</v>
      </c>
      <c r="X244" s="3">
        <f>2656.9+(18.5-206)+(-1.355019+(-0.009435--0.10506))+0-100.5--0.0512549999999898</f>
        <v>2367.6918609999998</v>
      </c>
      <c r="Y244" s="3">
        <f>2556.3+(35.2-180.4)+(-1.303713+(-0.017952--0.092004))+0-86.3--0.0440129999999912</f>
        <v>2323.6143520000005</v>
      </c>
      <c r="Z244" s="3">
        <f>2403.9+(93.6-140)+(-2.451978+(-0.095472--0.1428))+0-83.2--0.0848640000000133</f>
        <v>2271.9802140000002</v>
      </c>
      <c r="AA244" s="3">
        <f>2190.5+(169.2-81.5)+(-1.117155+(-0.086292--0.041565))+0-87.6--0.0446759999999911</f>
        <v>2189.482794</v>
      </c>
      <c r="AB244" s="3">
        <f>2030.1+(214.6-64.7)+(-5.176755+(-0.54723--0.164985))+0-87.5--0.223124999999987</f>
        <v>2087.1641249999998</v>
      </c>
      <c r="AC244" s="3">
        <f>1815.6+(249.9-58.2)+(-2.777868+(-0.382347--0.089046))+0-37.5--0.0573750000000022</f>
        <v>1966.786206</v>
      </c>
      <c r="AD244" s="2">
        <v>2362.6999999999998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1717+(236.2-53.8)+(-1.75134+(-0.240924--0.054876))+0-59--0.0601800000000094</f>
        <v>1838.522792</v>
      </c>
      <c r="G245" s="3">
        <f>1694.6+(226.3-51.6)+(-4.32123+(-0.577065--0.13158))+0-85.3--0.217514999999988</f>
        <v>1779.4508000000001</v>
      </c>
      <c r="H245" s="3">
        <f>1708.9+(166.7-52)+(0.871539+(0.085017-0.02652))+0-80.7-0.0411569999999918</f>
        <v>1743.7888790000002</v>
      </c>
      <c r="I245" s="3">
        <f>1835.5+(134.6-141.5)+(-4.680525+(-0.34323--0.360825))+0-85.8--0.218789999999988</f>
        <v>1738.3558599999999</v>
      </c>
      <c r="J245" s="3">
        <f>1782.7+(109.5-81.4)+(-0.909177+(-0.055845--0.041514))+0-78--0.0397799999999921</f>
        <v>1731.9162719999999</v>
      </c>
      <c r="K245" s="3">
        <f>1864.8+(69.7-103.2)+(-0.951048+(-0.035547--0.052632))+0-83.2--0.0424319999999916</f>
        <v>1747.2084689999999</v>
      </c>
      <c r="L245" s="3">
        <f>1887.8+(58.9-115.3)+(1.925556+(0.060078-0.117606))+0-83.9-0.0855780000000134</f>
        <v>1749.2824499999999</v>
      </c>
      <c r="M245" s="3">
        <f>1969.2+(95.2-110.8)+(1.004292+(0.048552-0.056508))+0-96.4-0.0491639999999902</f>
        <v>1858.147172</v>
      </c>
      <c r="N245" s="3">
        <f>2026.4+(139.7-107)+(0+(0-0))+0-75.8-0</f>
        <v>1983.3</v>
      </c>
      <c r="O245" s="3">
        <f>2059+(129.2-104.5)+(-4.20036+(-0.263568--0.21318))+0-38.9--0.0793559999999983</f>
        <v>2040.6286079999998</v>
      </c>
      <c r="P245" s="3">
        <f>2082.7+(200.6-101.1)+(-4.248708+(-0.409224--0.206244))+0-94.6--0.192983999999996</f>
        <v>2083.3412959999996</v>
      </c>
      <c r="Q245" s="3">
        <f>2092.9+(186.9-95.7)+(-1.067379+(-0.095319--0.048807))+0-89.7--0.0457469999999909</f>
        <v>2093.3318560000002</v>
      </c>
      <c r="R245" s="3">
        <f>2131.4+(148.6-98.4)+(-4.348056+(-0.303144--0.200736))+0-89.5--0.182579999999996</f>
        <v>2087.832116</v>
      </c>
      <c r="S245" s="3">
        <f>2123.9+(125.7-111.8)+(-1.083189+(-0.064107--0.057018))+0-81.7--0.0416669999999917</f>
        <v>2055.0513890000002</v>
      </c>
      <c r="T245" s="3">
        <f>2083.1+(128.2-96.9)+(-3.187143+(-0.196146--0.148257))+0-74.6--0.114138000000004</f>
        <v>2036.679106</v>
      </c>
      <c r="U245" s="3">
        <f>2079.3+(129.5-106.3)+(-1.060443+(-0.066045--0.054213))+0-73.6--0.0375359999999925</f>
        <v>2027.8652610000001</v>
      </c>
      <c r="V245" s="3">
        <f>2247.3+(78.1-113.6)+(3.438369+(0.119493-0.173808))+0-85.3-0.130509000000005</f>
        <v>2129.753545</v>
      </c>
      <c r="W245" s="3">
        <f>2382.2+(55.2-119.5)+(-6.07461+(-0.14076--0.304725))+0-66.8--0.17033999999999</f>
        <v>2245.3596949999996</v>
      </c>
      <c r="X245" s="3">
        <f>2412.1+(23.8-117.1)+(-4.920684+(-0.048552--0.238884))+0-85.4--0.174215999999996</f>
        <v>2228.8438639999995</v>
      </c>
      <c r="Y245" s="3">
        <f>2319.6+(31-210.6)+(-5.91498+(-0.07905--0.53703))+0-79.1--0.201704999999989</f>
        <v>2055.6447050000002</v>
      </c>
      <c r="Z245" s="3">
        <f>2296+(56.2-245.9)+(-4.68384+(-0.114648--0.501636))+0-79.4--0.161975999999997</f>
        <v>2022.7651240000002</v>
      </c>
      <c r="AA245" s="3">
        <f>2281.6+(107.1-290.4)+(-1.163616+(-0.054621--0.148104))+0-91.8--0.0468179999999907</f>
        <v>2005.4766849999996</v>
      </c>
      <c r="AB245" s="3">
        <f>2158.4+(116.2-282.9)+(-3.302352+(-0.177786--0.432837))+0-89--0.136170000000005</f>
        <v>1899.788869</v>
      </c>
      <c r="AC245" s="3">
        <f>2086.5+(110.1-303.9)+(-4.25646+(-0.224604--0.619956))+0-71.6--0.146063999999997</f>
        <v>1817.3849560000001</v>
      </c>
      <c r="AD245" s="2">
        <v>2362.6000000000004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2150.6+(126.3-385.9)+(2.193612+(0.128826-0.393618))+0-43.7-0.044574000000007</f>
        <v>1849.184246</v>
      </c>
      <c r="G246" s="3">
        <f>2080.5+(140.7-336.3)+(-2.12211+(-0.143514--0.343026))+0-95.4--0.0973080000000152</f>
        <v>1787.67471</v>
      </c>
      <c r="H246" s="3">
        <f>1977.3+(140-284.5)+(-2.016846+(-0.1428--0.29019))+0-86.4--0.0881280000000138</f>
        <v>1744.6186720000001</v>
      </c>
      <c r="I246" s="3">
        <f>1926+(125.5-264.6)+(1.96452+(0.12801-0.269892))+0-34.5-0.0351900000000055</f>
        <v>1754.1874480000001</v>
      </c>
      <c r="J246" s="3">
        <f>1893.2+(92-181.6)+(-0.965532+(-0.04692--0.092616))+0-91.6--0.0467159999999907</f>
        <v>1711.1268800000003</v>
      </c>
      <c r="K246" s="3">
        <f>2105.1+(0-213)+(5.368005+(0-0.54315))+0-84.6-0.215729999999988</f>
        <v>1812.1091250000002</v>
      </c>
      <c r="L246" s="3">
        <f>2401.9+(10.7-389.8)+(0+(0-0))+0-81.3-0</f>
        <v>1941.5000000000002</v>
      </c>
      <c r="M246" s="3">
        <f>2535.5+(38.5-431.9)+(2.58621+(0.03927-0.440538))+0-78.5-0.0800700000000125</f>
        <v>2065.7048719999998</v>
      </c>
      <c r="N246" s="3">
        <f>2805.7+(65.8-556.4)+(4.292721+(0.100674-0.851292))+0-84.8-0.129744000000005</f>
        <v>2233.7123590000001</v>
      </c>
      <c r="O246" s="3">
        <f>2831.6+(96.7-559.6)+(-1.444116+(-0.049317--0.285396))+0-74--0.0377399999999925</f>
        <v>2293.5297030000002</v>
      </c>
      <c r="P246" s="3">
        <f>2768+(105-523)+(0+(0-0))+0-89-0</f>
        <v>2261</v>
      </c>
      <c r="Q246" s="3">
        <f>2634.9+(112-470.6)+(-1.343799+(-0.05712--0.240006))+0-56.2--0.0286619999999943</f>
        <v>2218.9677490000004</v>
      </c>
      <c r="R246" s="3">
        <f>2582.9+(119.3-439.2)+(-9.220953+(-0.425901--1.567944))+0-82.8--0.295596000000001</f>
        <v>2172.4166859999996</v>
      </c>
      <c r="S246" s="3">
        <f>2622.6+(110-472.6)+(1.337526+(0.0561-0.241026))+0-81.6-0.0416159999999917</f>
        <v>2179.510984</v>
      </c>
      <c r="T246" s="3">
        <f>2610.5+(82.8-462.7)+(-3.994065+(-0.126684--0.707931))+0-84.9--0.129897000000005</f>
        <v>2142.4170789999998</v>
      </c>
      <c r="U246" s="3">
        <f>2664.9+(69.5-501.7)+(1.359099+(0.035445-0.255867))+0-96.8-0.0493679999999902</f>
        <v>2136.989309</v>
      </c>
      <c r="V246" s="3">
        <f>2860.3+(0-547.2)+(-4.376259+(0--0.837216))+0-57.9--0.0885870000000033</f>
        <v>2251.7495440000002</v>
      </c>
      <c r="W246" s="3">
        <f>3176.4+(0-659)+(-6.479856+(0--1.34436))+0-88.1--0.179723999999996</f>
        <v>2424.3442280000004</v>
      </c>
      <c r="X246" s="3">
        <f>3090.5+(0-612.5)+(-6.30462+(0--1.2495))+0-88.7--0.180947999999996</f>
        <v>2384.4258280000004</v>
      </c>
      <c r="Y246" s="3">
        <f>3014.1+(12.3-584.8)+(-7.685955+(-0.031365--1.49124))+0-84.7--0.215984999999988</f>
        <v>2350.889905</v>
      </c>
      <c r="Z246" s="3">
        <f>2979.8+(28.1-599.2)+(-4.559094+(-0.042993--0.916776))+0-73--0.111690000000004</f>
        <v>2332.1263790000003</v>
      </c>
      <c r="AA246" s="3">
        <f>2660.9+(112-511.1)+(-2.714118+(-0.11424--0.521322))+0-52.4--0.0534480000000084</f>
        <v>2207.1464120000001</v>
      </c>
      <c r="AB246" s="3">
        <f>2595.4+(140.6-476.4)+(-3.970962+(-0.215118--0.728892))+0-86.5--0.132345000000005</f>
        <v>2169.7751570000005</v>
      </c>
      <c r="AC246" s="3">
        <f>2570.3+(140.7-493)+(0+(0-0))+0-85.3-0</f>
        <v>2132.6999999999998</v>
      </c>
      <c r="AD246" s="2">
        <v>2334.1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2425.6+(140.4-506.9)+(-6.18528+(-0.35802--1.292595))+0-60.4--0.154019999999991</f>
        <v>1993.6033149999998</v>
      </c>
      <c r="G247" s="3">
        <f>2427.2+(140.5-509.4)+(1.237872+(0.071655-0.259794))+0-86.3-0.0440129999999912</f>
        <v>1973.0057199999997</v>
      </c>
      <c r="H247" s="3">
        <f>2409.3+(139.6-498.4)+(-2.457486+(-0.142392--0.508368))+0-83.2--0.0848640000000133</f>
        <v>1965.2933539999997</v>
      </c>
      <c r="I247" s="3">
        <f>2422.7+(136.3-476.3)+(1.235577+(0.069513-0.242913))+0-83.7-0.0426869999999915</f>
        <v>2000.0194899999997</v>
      </c>
      <c r="J247" s="3">
        <f>2458.6+(109.4-481.2)+(6.26943+(0.27897-1.22706))+0-86.1-0.219554999999987</f>
        <v>2005.8017850000003</v>
      </c>
      <c r="K247" s="3">
        <f>2449.7+(44-433.5)+(2.498694+(0.04488-0.44217))+0-82.6-0.0842520000000132</f>
        <v>1979.6171519999998</v>
      </c>
      <c r="L247" s="3">
        <f>2537.9+(37.3-484.1)+(3.882987+(0.057069-0.740673))+0-81.4-0.124542000000005</f>
        <v>2012.7748409999999</v>
      </c>
      <c r="M247" s="3">
        <f>2598.2+(63.9-481.4)+(5.300328+(0.130356-0.982056))+0-24.2-0.0493679999999989</f>
        <v>2160.8992600000001</v>
      </c>
      <c r="N247" s="3">
        <f>2760.4+(61.3-491.5)+(-1.407804+(-0.031263--0.250665))+0-16.3--0.00831299999999835</f>
        <v>2312.7199109999997</v>
      </c>
      <c r="O247" s="3">
        <f>2906.9+(82.1-600.4)+(-2.965038+(-0.083742--0.612408))+0-16--0.0163200000000026</f>
        <v>2370.1799480000004</v>
      </c>
      <c r="P247" s="3">
        <f>2971.1+(117.9-661.5)+(-4.545783+(-0.180387--1.012095))+0-15.2--0.0232560000000009</f>
        <v>2408.6091810000003</v>
      </c>
      <c r="Q247" s="3">
        <f>2936.1+(125.6-642.8)+(-7.487055+(-0.32028--1.63914))+0-15--0.0382499999999978</f>
        <v>2397.770055</v>
      </c>
      <c r="R247" s="3">
        <f>2830.8+(135.6-635.7)+(-1.443708+(-0.069156--0.324207))+0-15.5--0.00790499999999843</f>
        <v>2314.0192480000001</v>
      </c>
      <c r="S247" s="3">
        <f>2668.5+(132.4-549.4)+(-6.804675+(-0.33762--1.40097))+0-17.3--0.0441149999999975</f>
        <v>2228.50279</v>
      </c>
      <c r="T247" s="3">
        <f>2687+(125.8-586.7)+(0+(0-0))+0-21.1-0</f>
        <v>2205</v>
      </c>
      <c r="U247" s="3">
        <f>2609.3+(95.6-476.2)+(-6.653715+(-0.24378--1.21431))+0-87.3--0.222614999999987</f>
        <v>2135.9394300000004</v>
      </c>
      <c r="V247" s="3">
        <f>2849.5+(12.9-499.6)+(-1.453245+(-0.006579--0.254796))+0-79.2--0.040391999999992</f>
        <v>2282.4353640000004</v>
      </c>
      <c r="W247" s="3">
        <f>3189.8+(0-619.8)+(1.626798+(0-0.316098))+0-80.3-0.0409529999999919</f>
        <v>2490.9697469999996</v>
      </c>
      <c r="X247" s="3">
        <f>3203+(0-612.2)+(-1.63353+(0--0.312222))+0-68.6--0.034985999999993</f>
        <v>2520.9136780000003</v>
      </c>
      <c r="Y247" s="3">
        <f>3188.9+(0-592.4)+(-6.505356+(0--1.208496))+0-93.6--0.190943999999996</f>
        <v>2497.7940840000001</v>
      </c>
      <c r="Z247" s="3">
        <f>3074.2+(9.2-601.8)+(-3.135684+(-0.009384--0.613836))+0-70.9--0.0723180000000113</f>
        <v>2408.241086</v>
      </c>
      <c r="AA247" s="3">
        <f>2982.3+(49.1-616.2)+(-3.041946+(-0.050082--0.628524))+0-75.6--0.077112000000012</f>
        <v>2337.2136080000005</v>
      </c>
      <c r="AB247" s="3">
        <f>2741.6+(104.5-533.9)+(-1.398216+(-0.053295--0.272289))+0-84.4--0.0430439999999914</f>
        <v>2226.6638219999995</v>
      </c>
      <c r="AC247" s="3">
        <f>2513.6+(124-424)+(-5.127744+(-0.25296--0.86496))+0-97.6--0.199103999999996</f>
        <v>2111.68336</v>
      </c>
      <c r="AD247" s="2">
        <v>2327.9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2334.6+(121.4-391)+(0+(0-0))+0-82.3-0</f>
        <v>1982.7</v>
      </c>
      <c r="G248" s="3">
        <f>1884.1+(131-159)+(-2.882673+(-0.20043--0.24327))+0-87.3--0.133569000000005</f>
        <v>1766.093736</v>
      </c>
      <c r="H248" s="3">
        <f>1802.1+(132.2-129.9)+(0.919071+(0.067422-0.066249))+0-65.2-0.0332519999999934</f>
        <v>1740.0869919999998</v>
      </c>
      <c r="I248" s="3">
        <f>1804.2+(127.5-121.3)+(-0.920142+(-0.065025--0.061863))+0-88.7--0.045236999999991</f>
        <v>1720.8219330000002</v>
      </c>
      <c r="J248" s="3">
        <f>2122.7+(113.5-297.2)+(4.330308+(0.23154-0.606288))+0-86.8-0.177071999999996</f>
        <v>1855.978488</v>
      </c>
      <c r="K248" s="3">
        <f>2283.6+(41.3-383)+(1.164636+(0.021063-0.19533))+0-79.5-0.0405449999999919</f>
        <v>1863.3498239999999</v>
      </c>
      <c r="L248" s="3">
        <f>2457+(29.4-511.8)+(-6.26535+(-0.07497--1.30509))+0-82.4--0.210119999999988</f>
        <v>1887.3748899999998</v>
      </c>
      <c r="M248" s="3">
        <f>2462.7+(85.5-488.4)+(1.255977+(0.043605-0.249084))+0-54.5-0.0277949999999945</f>
        <v>2006.3227029999998</v>
      </c>
      <c r="N248" s="3">
        <f>2539+(108.9-457.6)+(2.58978+(0.111078-0.466752))+0-81-0.0826200000000129</f>
        <v>2111.4514859999999</v>
      </c>
      <c r="O248" s="3">
        <f>2777.5+(113.8-600.8)+(-2.83305+(-0.116076--0.612816))+0-28--0.0285600000000045</f>
        <v>2260.1922500000001</v>
      </c>
      <c r="P248" s="3">
        <f>2874.7+(119.7-640.5)+(-2.932194+(-0.122094--0.65331))+0-86.4--0.0881280000000138</f>
        <v>2265.1871499999993</v>
      </c>
      <c r="Q248" s="3">
        <f>2755.9+(127.3-583.6)+(-1.405509+(-0.064923--0.297636))+0-71.5--0.0364649999999927</f>
        <v>2226.9636690000002</v>
      </c>
      <c r="R248" s="3">
        <f>2683.1+(122.8-553.9)+(-9.578667+(-0.438396--1.977423))+0-81.5--0.290955000000001</f>
        <v>2162.751315</v>
      </c>
      <c r="S248" s="3">
        <f>2481.1+(126.2-440.2)+(-3.796083+(-0.193086--0.673506))+0-81.8--0.125154000000005</f>
        <v>2082.1094909999997</v>
      </c>
      <c r="T248" s="3">
        <f>2457.7+(100.6-453)+(-5.013708+(-0.205224--0.92412))+0-84.5--0.172379999999996</f>
        <v>2016.6775679999996</v>
      </c>
      <c r="U248" s="3">
        <f>2453.9+(46.3-437.4)+(0+(0-0))+0-87.9-0</f>
        <v>1974.9</v>
      </c>
      <c r="V248" s="3">
        <f>2791.5+(0-532.9)+(0+(0-0))+0-87-0</f>
        <v>2171.6</v>
      </c>
      <c r="W248" s="3">
        <f>3032.2+(0-606.4)+(1.546422+(0-0.309264))+0-78.1-0.0398309999999921</f>
        <v>2348.8973269999997</v>
      </c>
      <c r="X248" s="3">
        <f>3080.8+(0-678.2)+(-4.713624+(0--1.037646))+0-53.4--0.0817020000000031</f>
        <v>2345.605724</v>
      </c>
      <c r="Y248" s="3">
        <f>3005.1+(0-603.4)+(-9.195606+(0--1.846404))+0-94.8--0.290088000000011</f>
        <v>2299.840886</v>
      </c>
      <c r="Z248" s="3">
        <f>2826.3+(0-529.1)+(-4.324239+(0--0.809523))+0-93.1--0.142443000000005</f>
        <v>2200.7277270000004</v>
      </c>
      <c r="AA248" s="3">
        <f>2822.6+(34-590.4)+(-2.879052+(-0.03468--0.602208))+0-92.4--0.0942480000000147</f>
        <v>2171.5827239999994</v>
      </c>
      <c r="AB248" s="3">
        <f>2650.1+(78.5-560.9)+(-1.351551+(-0.040035--0.286059))+0-92.3--0.0470729999999906</f>
        <v>2074.3415459999997</v>
      </c>
      <c r="AC248" s="3">
        <f>2524.7+(96.3-545.8)+(-3.862791+(-0.147339--0.835074))+0-85.3--0.130509000000005</f>
        <v>1986.8554529999999</v>
      </c>
      <c r="AD248" s="2">
        <v>2282.6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2378.3+(118-537.4)+(-6.064665+(-0.3009--1.37037))+0-57.9--0.147644999999992</f>
        <v>1896.15245</v>
      </c>
      <c r="G249" s="3">
        <f>2243.1+(125.6-449.6)+(-2.287962+(-0.128112--0.458592))+0-94.3--0.096186000000015</f>
        <v>1822.9387039999999</v>
      </c>
      <c r="H249" s="3">
        <f>2119.7+(124.7-418.5)+(1.081047+(0.063597-0.213435))+0-85.8-0.0437579999999913</f>
        <v>1740.987451</v>
      </c>
      <c r="I249" s="3">
        <f>2024.1+(120.7-352.5)+(-3.096873+(-0.184671--0.539325))+0-93--0.142290000000005</f>
        <v>1696.700071</v>
      </c>
      <c r="J249" s="3">
        <f>2018+(104.9-333.3)+(-1.02918+(-0.053499--0.169983))+0-89--0.045389999999991</f>
        <v>1699.7326939999998</v>
      </c>
      <c r="K249" s="3">
        <f>2179.1+(37.4-387.9)+(-1.111341+(-0.019074--0.197829))+0-87--0.0443699999999912</f>
        <v>1740.7117840000001</v>
      </c>
      <c r="L249" s="3">
        <f>2241.6+(16.2-474.3)+(-4.572864+(-0.033048--0.967572))+0-80--0.163199999999997</f>
        <v>1700.02486</v>
      </c>
      <c r="M249" s="3">
        <f>2144.9+(40.9-420.1)+(-1.093899+(-0.020859--0.214251))+0-82.5--0.0420749999999916</f>
        <v>1682.3415680000001</v>
      </c>
      <c r="N249" s="3">
        <f>2298.3+(73.8-480.8)+(3.516399+(0.112914-0.735624))+0-62.3-0.0953190000000036</f>
        <v>1831.7983700000002</v>
      </c>
      <c r="O249" s="3">
        <f>2372.9+(100.7-487.9)+(-1.210179+(-0.051357--0.248829))+0-84--0.0428399999999915</f>
        <v>1900.730133</v>
      </c>
      <c r="P249" s="3">
        <f>2522.5+(103.6-574.8)+(1.286475+(0.052836-0.293148))+0-89.4-0.0455939999999909</f>
        <v>1962.9005690000001</v>
      </c>
      <c r="Q249" s="3">
        <f>2437.7+(117-524.6)+(-7.459362+(-0.35802--1.605276))+0-86.7--0.26530200000001</f>
        <v>1937.4531959999999</v>
      </c>
      <c r="R249" s="3">
        <f>2489.3+(100.9-597.6)+(-1.269543+(-0.051459--0.304776))+0-84.7--0.0431969999999914</f>
        <v>1906.9269710000001</v>
      </c>
      <c r="S249" s="3">
        <f>2553.4+(94.3-622.9)+(-6.51117+(-0.240465--1.588395))+0-82.2--0.209609999999988</f>
        <v>1937.6463699999999</v>
      </c>
      <c r="T249" s="3">
        <f>2470.6+(88.9-583.1)+(1.260006+(0.045339-0.297381))+0-87.3-0.0445229999999911</f>
        <v>1890.0634409999998</v>
      </c>
      <c r="U249" s="3">
        <f>2436+(55.4-531.2)+(-2.48472+(-0.056508--0.541824))+0-82.7--0.0843540000000132</f>
        <v>1875.5849499999999</v>
      </c>
      <c r="V249" s="3">
        <f>2380.5+(0-379.9)+(1.214055+(0-0.193749))+0-89.2-0.0454919999999909</f>
        <v>1912.3748139999998</v>
      </c>
      <c r="W249" s="3">
        <f>2584.6+(0-493)+(-2.636292+(0--0.50286))+0-70.2--0.0716040000000112</f>
        <v>2019.3381719999998</v>
      </c>
      <c r="X249" s="3">
        <f>2684.9+(0-551.6)+(-2.738598+(0--0.562632))+0-79.2--0.0807840000000126</f>
        <v>2052.0048180000008</v>
      </c>
      <c r="Y249" s="3">
        <f>2671+(0-570.6)+(-4.08663+(0--0.873018))+0-80.1--0.122553000000005</f>
        <v>2017.2089410000001</v>
      </c>
      <c r="Z249" s="3">
        <f>2557.5+(14.1-526.8)+(-1.304325+(-0.007191--0.268668))+0-83.4--0.0425339999999915</f>
        <v>1960.399686</v>
      </c>
      <c r="AA249" s="3">
        <f>2569.9+(57.6-539.8)+(0+(0-0))+0-80.1-0</f>
        <v>2007.6000000000004</v>
      </c>
      <c r="AB249" s="3">
        <f>2547+(69.2-542.6)+(-2.59794+(-0.070584--0.553452))+0-90.3--0.0921060000000144</f>
        <v>1981.277034</v>
      </c>
      <c r="AC249" s="3">
        <f>2446.6+(80.7-506.2)+(-3.743298+(-0.123471--0.774486))+0-75.9--0.116127000000004</f>
        <v>1942.2238439999999</v>
      </c>
      <c r="AD249" s="2">
        <v>1999.9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2378.1+(94.5-516)+(-4.851324+(-0.19278--1.05264))+0-85.6--0.174623999999996</f>
        <v>1867.18316</v>
      </c>
      <c r="G250" s="3">
        <f>2165.4+(100-455.9)+(-6.626124+(-0.306--1.395054))+0-75.9--0.232254000000009</f>
        <v>1728.2951839999998</v>
      </c>
      <c r="H250" s="3">
        <f>2118.6+(99.9-481.7)+(-1.080486+(-0.050949--0.245667))+0-81.5--0.0415649999999917</f>
        <v>1654.4557969999998</v>
      </c>
      <c r="I250" s="3">
        <f>1987.6+(92.8-399.6)+(-2.027352+(-0.094656--0.407592))+0-76.8--0.0783360000000122</f>
        <v>1602.36392</v>
      </c>
      <c r="J250" s="3">
        <f>1958.1+(71.2-357.9)+(-1.997262+(-0.072624--0.365058))+0-80.7--0.0823140000000129</f>
        <v>1589.0774859999999</v>
      </c>
      <c r="K250" s="3">
        <f>2136.4+(1.2-435.9)+(1.089564+(0.000612-0.222309))+0-58.9-0.030038999999994</f>
        <v>1643.6378279999999</v>
      </c>
      <c r="L250" s="3">
        <f>1933.6+(0-352.2)+(-2.958408+(0--0.538866))+0-83.6--0.127908000000005</f>
        <v>1495.5083659999998</v>
      </c>
      <c r="M250" s="3">
        <f>1925.7+(15-335.7)+(-0.982107+(-0.00765--0.171207))+0-87.4--0.0445739999999911</f>
        <v>1516.826024</v>
      </c>
      <c r="N250" s="3">
        <f>1879.4+(1.9-267.9)+(-1.916988+(-0.001938--0.273258))+0-65.5--0.0668100000000104</f>
        <v>1546.3211420000002</v>
      </c>
      <c r="O250" s="3">
        <f>1912.4+(14.9-234.3)+(-1.950648+(-0.015198--0.238986))+0-89.5--0.0912900000000143</f>
        <v>1601.8644300000001</v>
      </c>
      <c r="P250" s="3">
        <f>1947.6+(28.8-261.8)+(-2.979828+(-0.044064--0.400554))+0-87.2--0.133416000000005</f>
        <v>1624.9100779999997</v>
      </c>
      <c r="Q250" s="3">
        <f>1815.7+(44.7-185.8)+(-0.926007+(-0.022797--0.094758))+0-80.8--0.0412079999999918</f>
        <v>1592.9871620000001</v>
      </c>
      <c r="R250" s="3">
        <f>1646.2+(77.5-128.2)+(0+(0-0))+0-83.5-0</f>
        <v>1512</v>
      </c>
      <c r="S250" s="3">
        <f>1645.3+(92.6-221.1)+(0.839103+(0.047226-0.112761))+0-26.6-0.0135659999999973</f>
        <v>1490.960002</v>
      </c>
      <c r="T250" s="3">
        <f>1668.8+(87-241.9)+(0.851088+(0.04437-0.123369))+0-23.2-0.0118319999999976</f>
        <v>1491.460257</v>
      </c>
      <c r="U250" s="3">
        <f>1660.2+(36.1-218.7)+(0.846702+(0.018411-0.111537))+0-22.9-0.0116789999999977</f>
        <v>1455.4418970000002</v>
      </c>
      <c r="V250" s="3">
        <f>2000.3+(0-328.1)+(1.020153+(0-0.167331))+0-23.4-0.0119339999999976</f>
        <v>1649.6408879999997</v>
      </c>
      <c r="W250" s="3">
        <f>2331.8+(0-447.8)+(0+(0-0))+0-41.6-0</f>
        <v>1842.4000000000003</v>
      </c>
      <c r="X250" s="3">
        <f>2355.1+(0-449.5)+(0+(0-0))+0-80.6-0</f>
        <v>1825</v>
      </c>
      <c r="Y250" s="3">
        <f>2335.9+(0-436.8)+(-4.765236+(0--0.891072))+0-97.9--0.199715999999996</f>
        <v>1797.5255520000001</v>
      </c>
      <c r="Z250" s="3">
        <f>2266.9+(12.5-455.6)+(-2.312238+(-0.01275--0.464712))+0-86.3--0.0880260000000138</f>
        <v>1735.7277500000002</v>
      </c>
      <c r="AA250" s="3">
        <f>2112+(61.7-434.3)+(-3.23136+(-0.094401--0.664479))+0-87.2--0.133416000000005</f>
        <v>1649.6721339999999</v>
      </c>
      <c r="AB250" s="3">
        <f>2021.9+(109.2-443.5)+(1.031169+(0.055692-0.226185))+0-83.8-0.0427379999999915</f>
        <v>1604.6179380000001</v>
      </c>
      <c r="AC250" s="3">
        <f>2001.6+(119.7-500.1)+(0+(0-0))+0-76.9-0</f>
        <v>1544.2999999999997</v>
      </c>
      <c r="AD250" s="2">
        <v>1650.8000000000002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1925.6+(124.9-518.7)+(-6.874392+(-0.445893--1.851759))+0-71.1--0.253827000000001</f>
        <v>1455.4853009999997</v>
      </c>
      <c r="G251" s="3">
        <f>1853.8+(124.7-487.8)+(-1.890876+(-0.127194--0.497556))+0-90.5--0.0923100000000144</f>
        <v>1398.7717959999998</v>
      </c>
      <c r="H251" s="3">
        <f>1743.4+(116.6-405)+(-2.667402+(-0.178398--0.61965))+0-94.4--0.144432000000005</f>
        <v>1358.518282</v>
      </c>
      <c r="I251" s="3">
        <f>1729.1+(106-429.5)+(1.763682+(0.10812-0.43809))+0-31.2-0.031824000000005</f>
        <v>1375.801888</v>
      </c>
      <c r="J251" s="3">
        <f>1700.9+(97.1-397)+(-0.867459+(-0.049521--0.20247))+0-57.7--0.0294269999999941</f>
        <v>1342.6149169999999</v>
      </c>
      <c r="K251" s="3">
        <f>1715.6+(46-391.8)+(1.749912+(0.04692-0.399636))+0-48.9-0.0498780000000078</f>
        <v>1322.2473179999997</v>
      </c>
      <c r="L251" s="3">
        <f>1749.9+(40.4-485.8)+(-6.247143+(-0.144228--1.734306))+0-26.9--0.0960330000000004</f>
        <v>1273.0389679999998</v>
      </c>
      <c r="M251" s="3">
        <f>1509.2+(59.7-337.3)+(-0.769692+(-0.030447--0.172023))+0-30.3--0.0154529999999969</f>
        <v>1200.6873369999998</v>
      </c>
      <c r="N251" s="3">
        <f>1573.7+(82.2-382.8)+(3.210348+(0.167688-0.780912))+0-51.7-0.105467999999998</f>
        <v>1223.8916559999998</v>
      </c>
      <c r="O251" s="3">
        <f>1830.7+(94.5-603.5)+(-1.867314+(-0.09639--0.61557))+0-16.8--0.0171360000000027</f>
        <v>1303.569002</v>
      </c>
      <c r="P251" s="3">
        <f>1867+(107-625.7)+(-6.66519+(-0.38199--2.233749))+0-23--0.0821100000000003</f>
        <v>1320.568679</v>
      </c>
      <c r="Q251" s="3">
        <f>1808.4+(115.6-522.9)+(2.766852+(0.176868-0.800037))+0-78.1-0.119493000000004</f>
        <v>1325.0241900000003</v>
      </c>
      <c r="R251" s="3">
        <f>1711.8+(126.1-445.2)+(2.619054+(0.192933-0.681156))+0-83.5-0.127755000000005</f>
        <v>1311.2030759999998</v>
      </c>
      <c r="S251" s="3">
        <f>1849.5+(120.5-527.9)+(1.88649+(0.12291-0.538458))+0-83.6-0.0852720000000133</f>
        <v>1359.8856699999999</v>
      </c>
      <c r="T251" s="3">
        <f>1908.9+(98.6-537.5)+(-3.894156+(-0.201144--1.0965))+0-83.2--0.169727999999996</f>
        <v>1383.970928</v>
      </c>
      <c r="U251" s="3">
        <f>1917.2+(68.2-502.4)+(2.933316+(0.104346-0.768672))+0-72.2-0.110466000000004</f>
        <v>1412.9585239999999</v>
      </c>
      <c r="V251" s="3">
        <f>2025.2+(0-365)+(0+(0-0))+0-84.7-0</f>
        <v>1575.5</v>
      </c>
      <c r="W251" s="3">
        <f>2229.8+(0-375.5)+(1.137198+(0-0.191505))+0-92.8-0.0473279999999906</f>
        <v>1762.3983650000002</v>
      </c>
      <c r="X251" s="3">
        <f>2212+(0-344)+(-4.51248+(0--0.70176))+0-96.2--0.196247999999996</f>
        <v>1768.185528</v>
      </c>
      <c r="Y251" s="3">
        <f>2211+(1.3-381)+(-4.51044+(-0.002652--0.77724))+0-25.9--0.0528359999999989</f>
        <v>1801.7169839999999</v>
      </c>
      <c r="Z251" s="3">
        <f>2244.2+(27.6-395)+(2.289084+(0.028152-0.4029))+0-69.5-0.0708900000000111</f>
        <v>1809.1434459999998</v>
      </c>
      <c r="AA251" s="3">
        <f>2232.6+(64.5-407.7)+(-1.138626+(-0.032895--0.207927))+0-91.8--0.0468179999999907</f>
        <v>1796.6832239999999</v>
      </c>
      <c r="AB251" s="3">
        <f>2207.1+(52-437.5)+(-5.628105+(-0.1326--1.115625))+0-78.3--0.199664999999989</f>
        <v>1738.854585</v>
      </c>
      <c r="AC251" s="3">
        <f>2148.5+(83-464.5)+(-4.38294+(-0.16932--0.94758))+0-80.9--0.165035999999996</f>
        <v>1682.6603560000001</v>
      </c>
      <c r="AD251" s="2">
        <v>1776.1000000000001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2027.9+(98-470.2)+(-3.102687+(-0.14994--0.719406))+0-74.6--0.114138000000004</f>
        <v>1578.6809170000001</v>
      </c>
      <c r="G252" s="3">
        <f>1859.4+(107.4-380.3)+(-0.948294+(-0.054774--0.193953))+0-92.4--0.0471239999999906</f>
        <v>1493.3380089999998</v>
      </c>
      <c r="H252" s="3">
        <f>1656.9+(110.3-243.8)+(-1.690038+(-0.112506--0.248676))+0-75--0.076500000000012</f>
        <v>1446.9226320000002</v>
      </c>
      <c r="I252" s="3">
        <f>1601.9+(97.2-178.4)+(0.816969+(0.049572-0.090984))+0-90.4-0.0461039999999908</f>
        <v>1431.0294529999999</v>
      </c>
      <c r="J252" s="3">
        <f>1635.5+(56.5-167.3)+(0.834105+(0.028815-0.085323))+0-94.6-0.0482459999999904</f>
        <v>1430.8293510000001</v>
      </c>
      <c r="K252" s="3">
        <f>1837.4+(0-257.9)+(3.748296+(0-0.526116))+0-78.5-0.160139999999997</f>
        <v>1504.06204</v>
      </c>
      <c r="L252" s="3">
        <f>2058.7+(0-379.9)+(-4.199748+(0--0.774996))+0-83.6--0.170543999999996</f>
        <v>1591.945792</v>
      </c>
      <c r="M252" s="3">
        <f>2286.5+(20.5-424.7)+(4.66446+(0.04182-0.866388))+0-92.2-0.188087999999996</f>
        <v>1793.7518039999998</v>
      </c>
      <c r="N252" s="3">
        <f>2540.6+(44.7-531.4)+(3.887118+(0.068391-0.813042))+0-82.5-0.126225000000005</f>
        <v>1974.4162420000002</v>
      </c>
      <c r="O252" s="3">
        <f>2662+(87.6-606.6)+(1.35762+(0.044676-0.309366))+0-91.6-0.0467159999999907</f>
        <v>2052.4462140000001</v>
      </c>
      <c r="P252" s="3">
        <f>2676.9+(98.2-603.8)+(0+(0-0))+0-58.5-0</f>
        <v>2112.8000000000002</v>
      </c>
      <c r="Q252" s="3">
        <f>2671.4+(114-579.9)+(-1.362414+(-0.05814--0.295749))+0-93.9--0.0478889999999905</f>
        <v>2110.5230839999999</v>
      </c>
      <c r="R252" s="3">
        <f>2689.8+(109.8-616.1)+(-9.602586+(-0.391986--2.199477))+0-88--0.314160000000001</f>
        <v>2088.019065</v>
      </c>
      <c r="S252" s="3">
        <f>2630.9+(114.4-604)+(0+(0-0))+0-79.6-0</f>
        <v>2061.7000000000003</v>
      </c>
      <c r="T252" s="3">
        <f>2600.8+(120.5-596.1)+(0+(0-0))+0-67.8-0</f>
        <v>2057.4</v>
      </c>
      <c r="U252" s="3">
        <f>2642.9+(95.3-578.1)+(2.695758+(0.097206-0.589662))+0-82.1-0.0837420000000131</f>
        <v>2080.1195600000001</v>
      </c>
      <c r="V252" s="3">
        <f>2756.7+(22.1-454.7)+(-4.217751+(-0.033813--0.695691))+0-82--0.125460000000005</f>
        <v>2238.6695870000003</v>
      </c>
      <c r="W252" s="3">
        <f>2892.9+(2.1-438)+(-4.426137+(-0.003213--0.67014))+0-88.7--0.135711000000005</f>
        <v>2364.6765009999999</v>
      </c>
      <c r="X252" s="3">
        <f>2916.1+(0-446.3)+(0+(0-0))+0-84.9-0</f>
        <v>2384.8999999999996</v>
      </c>
      <c r="Y252" s="3">
        <f>2956.7+(6.7-487.5)+(6.031668+(0.013668-0.9945))+0-90.6-0.184823999999996</f>
        <v>2390.1660119999997</v>
      </c>
      <c r="Z252" s="3">
        <f>2945.2+(17.8-492.4)+(4.506156+(0.027234-0.753372))+0-85.2-0.130356000000005</f>
        <v>2389.0496619999999</v>
      </c>
      <c r="AA252" s="3">
        <f>2934.7+(56.6-571.2)+(4.490091+(0.086598-0.873936))+0-90.8-0.138924000000005</f>
        <v>2332.8638289999999</v>
      </c>
      <c r="AB252" s="3">
        <f>2774.9+(105-553.8)+(-2.830398+(-0.1071--0.564876))+0-91.3--0.0931260000000146</f>
        <v>2232.5205040000005</v>
      </c>
      <c r="AC252" s="3">
        <f>2590.6+(113.7-528.6)+(-3.963618+(-0.173961--0.808758))+0-47.3--0.0723690000000027</f>
        <v>2125.1435479999996</v>
      </c>
      <c r="AD252" s="2">
        <v>2288.6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2365.7+(114.5-472.4)+(-2.413014+(-0.11679--0.481848))+0-97.2--0.0991440000000155</f>
        <v>1908.6511879999996</v>
      </c>
      <c r="G253" s="3">
        <f>1918+(120.1-246.6)+(-6.84726+(-0.428757--0.880362))+0-85.5--0.305235000000001</f>
        <v>1699.90958</v>
      </c>
      <c r="H253" s="3">
        <f>1764+(115.5-187.5)+(0.89964+(0.058905-0.095625))+0-86.7-0.0442169999999912</f>
        <v>1606.1187030000001</v>
      </c>
      <c r="I253" s="3">
        <f>1818.8+(102-254.2)+(1.855176+(0.10404-0.259284))+0-84.7-0.0863940000000135</f>
        <v>1583.5135379999999</v>
      </c>
      <c r="J253" s="3">
        <f>1844.6+(93.7-266.3)+(-0.940746+(-0.047787--0.135813))+0-79.6--0.0405959999999919</f>
        <v>1591.5878760000001</v>
      </c>
      <c r="K253" s="3">
        <f>1980+(42.7-291.4)+(0+(0-0))+0-80.1-0</f>
        <v>1651.2</v>
      </c>
      <c r="L253" s="3">
        <f>2096.7+(35.5-307.6)+(-3.207951+(-0.054315--0.470628))+0-85--0.130050000000005</f>
        <v>1736.938412</v>
      </c>
      <c r="M253" s="3">
        <f>2241.8+(73.7-359)+(-2.286636+(-0.075174--0.36618))+0-75.8--0.0773160000000121</f>
        <v>1878.7816860000005</v>
      </c>
      <c r="N253" s="3">
        <f>2376.2+(55.5-441.4)+(0+(0-0))+0-26.2-0</f>
        <v>1964.0999999999997</v>
      </c>
      <c r="O253" s="3">
        <f>2636.4+(63.9-585.3)+(-1.344564+(-0.032589--0.298503))+0-23.9--0.0121889999999976</f>
        <v>2090.033539</v>
      </c>
      <c r="P253" s="3">
        <f>2722.7+(109.6-627.5)+(-2.777154+(-0.111792--0.64005))+0-19.7--0.0200940000000031</f>
        <v>2182.8711979999998</v>
      </c>
      <c r="Q253" s="3">
        <f>2652.4+(115.6-588.1)+(-4.058172+(-0.176868--0.899793))+0-20.5--0.0313650000000012</f>
        <v>2156.0961179999999</v>
      </c>
      <c r="R253" s="3">
        <f>2658.7+(119.6-577.4)+(-1.355937+(-0.060996--0.294474))+0-77.6--0.0395759999999921</f>
        <v>2122.2171169999997</v>
      </c>
      <c r="S253" s="3">
        <f>2542.5+(115.1-504.6)+(-2.59335+(-0.117402--0.514692))+0-81.9--0.0835380000000131</f>
        <v>2068.9874779999996</v>
      </c>
      <c r="T253" s="3">
        <f>2474.4+(117-514.8)+(2.523888+(0.11934-0.525096))+0-55.6-0.0567120000000089</f>
        <v>2023.0614200000005</v>
      </c>
      <c r="U253" s="3">
        <f>2388.8+(92.3-493.1)+(-3.654864+(-0.141219--0.754443))+0-26--0.0397800000000015</f>
        <v>1958.9981400000004</v>
      </c>
      <c r="V253" s="3">
        <f>2441.3+(63.8-367.6)+(-2.490126+(-0.065076--0.374952))+0-97.4--0.0993480000000155</f>
        <v>2038.019098</v>
      </c>
      <c r="W253" s="3">
        <f>2678.3+(26.6-444.1)+(-4.097799+(-0.040698--0.679473))+0-59.6--0.0911880000000034</f>
        <v>2197.8321639999999</v>
      </c>
      <c r="X253" s="3">
        <f>2715.3+(73.9-506.8)+(-6.924015+(-0.188445--1.29234))+0-87.5--0.223124999999987</f>
        <v>2189.3030050000002</v>
      </c>
      <c r="Y253" s="3">
        <f>2725.1+(101.8-534.6)+(1.389801+(0.051918-0.272646))+0-93.7-0.0477869999999905</f>
        <v>2199.721286</v>
      </c>
      <c r="Z253" s="3">
        <f>2692.8+(110.5-540)+(-4.119984+(-0.169065--0.8262))+0-79.4--0.121482000000005</f>
        <v>2180.5586330000001</v>
      </c>
      <c r="AA253" s="3">
        <f>2541.4+(103.1-532.3)+(-6.48057+(-0.262905--1.357365))+0-62.8--0.160139999999991</f>
        <v>2044.1740300000004</v>
      </c>
      <c r="AB253" s="3">
        <f>2356.5+(123.4-534.7)+(-1.201815+(-0.062934--0.272697))+0-22.5--0.0114749999999977</f>
        <v>1921.7194229999998</v>
      </c>
      <c r="AC253" s="3">
        <f>2168.6+(115.6-437.8)+(-3.317958+(-0.176868--0.669834))+0-36.5--0.0558450000000021</f>
        <v>1807.1308529999999</v>
      </c>
      <c r="AD253" s="2">
        <v>2185.1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2058.5+(62.2-386.6)+(-4.19934+(-0.126888--0.788664))+0-48--0.0979199999999979</f>
        <v>1682.6603559999999</v>
      </c>
      <c r="G254" s="3">
        <f>1962.6+(106.3-383.4)+(0+(0-0))+0-48.1-0</f>
        <v>1637.4</v>
      </c>
      <c r="H254" s="3">
        <f>1845.3+(103.4-327.6)+(-3.764412+(-0.210936--0.668304))+0-52.4--0.106895999999998</f>
        <v>1565.4998519999999</v>
      </c>
      <c r="I254" s="3">
        <f>1799.6+(113.6-323)+(-0.917796+(-0.057936--0.16473))+0-75.1--0.0383009999999924</f>
        <v>1514.327299</v>
      </c>
      <c r="J254" s="3">
        <f>1840+(101.3-314.4)+(2.8152+(0.154989-0.481032))+0-100.4-0.153612000000006</f>
        <v>1528.8355449999999</v>
      </c>
      <c r="K254" s="3">
        <f>2031.4+(84.3-425.2)+(4.144056+(0.171972-0.867408))+0-85-0.173399999999996</f>
        <v>1608.77522</v>
      </c>
      <c r="L254" s="3">
        <f>2073.9+(76.7-447.9)+(1.057689+(0.039117-0.228429))+0-79.5-0.0405449999999919</f>
        <v>1624.027832</v>
      </c>
      <c r="M254" s="3">
        <f>2053.8+(98.9-352.3)+(-2.094876+(-0.100878--0.359346))+0-76--0.0775200000000121</f>
        <v>1722.6411120000002</v>
      </c>
      <c r="N254" s="3">
        <f>2181+(122.4-401.8)+(0+(0-0))+0-71.3-0</f>
        <v>1830.3</v>
      </c>
      <c r="O254" s="3">
        <f>2164.4+(112.9-354.1)+(-5.51922+(-0.287895--0.902955))+0-72--0.18359999999999</f>
        <v>1846.4794400000001</v>
      </c>
      <c r="P254" s="3">
        <f>2194.6+(104.4-382.3)+(-5.59623+(-0.26622--0.974865))+0-64.7--0.164984999999991</f>
        <v>1847.2773999999997</v>
      </c>
      <c r="Q254" s="3">
        <f>2223.7+(107.9-393.6)+(-3.402261+(-0.165087--0.602208))+0-73.5--0.112455000000004</f>
        <v>1861.6473149999997</v>
      </c>
      <c r="R254" s="3">
        <f>2118.2+(126.2-343.4)+(-2.160564+(-0.128724--0.350268))+0-81.9--0.0835380000000131</f>
        <v>1817.2445179999997</v>
      </c>
      <c r="S254" s="3">
        <f>2119.7+(101.5-346.5)+(-1.081047+(-0.051765--0.176715))+0-77--0.0392699999999922</f>
        <v>1796.7831729999998</v>
      </c>
      <c r="T254" s="3">
        <f>2115.2+(120.1-376.4)+(-2.157504+(-0.122502--0.383928))+0-47.1--0.0480420000000075</f>
        <v>1809.9519639999999</v>
      </c>
      <c r="U254" s="3">
        <f>2113.6+(116.3-417.2)+(-2.155872+(-0.118626--0.425544))+0-16.1--0.0164220000000026</f>
        <v>1794.7674679999998</v>
      </c>
      <c r="V254" s="3">
        <f>2237.5+(36-320.3)+(0+(0-0))+0-43.9-0</f>
        <v>1909.3</v>
      </c>
      <c r="W254" s="3">
        <f>2648.6+(11.2-515.7)+(4.052358+(0.017136-0.789021))+0-82.8-0.126684000000005</f>
        <v>2064.4537889999997</v>
      </c>
      <c r="X254" s="3">
        <f>2780.9+(20.8-622.6)+(-1.418259+(-0.010608--0.317526))+0-89.7--0.0457469999999909</f>
        <v>2088.3344060000004</v>
      </c>
      <c r="Y254" s="3">
        <f>2781.5+(28.1-637.4)+(0+(0-0))+0-92.3-0</f>
        <v>2079.8999999999996</v>
      </c>
      <c r="Z254" s="3">
        <f>2668.6+(62.8-600.5)+(-1.360986+(-0.032028--0.306255))+0-84.7--0.0431969999999914</f>
        <v>2045.1564379999998</v>
      </c>
      <c r="AA254" s="3">
        <f>2450.1+(74-496.1)+(-2.499102+(-0.07548--0.506022))+0-81.9--0.0835380000000131</f>
        <v>1944.1149780000001</v>
      </c>
      <c r="AB254" s="3">
        <f>2029+(60-222.1)+(-3.10437+(-0.0918--0.339813))+0-86.6--0.132498000000005</f>
        <v>1777.5761410000002</v>
      </c>
      <c r="AC254" s="3">
        <f>1941.8+(84.4-231.8)+(-4.95159+(-0.21522--0.59109))+0-65.2--0.166259999999991</f>
        <v>1724.7905399999997</v>
      </c>
      <c r="AD254" s="2">
        <v>2215.7000000000003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1954.5+(85.9-241.3)+(-3.98718+(-0.175236--0.492252))+0-84.1--0.171563999999996</f>
        <v>1711.5013999999999</v>
      </c>
      <c r="G255" s="3">
        <f>1899.2+(98.3-240.5)+(-0.968592+(-0.050133--0.122655))+0-93.4--0.0476339999999905</f>
        <v>1662.7515639999999</v>
      </c>
      <c r="H255" s="3">
        <f>1870.3+(95.4-254.1)+(-3.815412+(-0.194616--0.518364))+0-83.4--0.170135999999996</f>
        <v>1624.8784719999999</v>
      </c>
      <c r="I255" s="3">
        <f>1825.9+(84.5-233.3)+(0.931209+(0.043095-0.118983))+0-64.5-0.0328949999999935</f>
        <v>1613.4224260000001</v>
      </c>
      <c r="J255" s="3">
        <f>1856.5+(74.2-237.2)+(-2.840445+(-0.113526--0.362916))+0-87.5--0.133875000000005</f>
        <v>1603.5428199999999</v>
      </c>
      <c r="K255" s="3">
        <f>1888.1+(40.1-218.3)+(2.888793+(0.061353-0.333999))+0-89.6-0.137088000000005</f>
        <v>1622.779059</v>
      </c>
      <c r="L255" s="3">
        <f>1874.2+(27.4-190.5)+(-0.955842+(-0.013974--0.097155))+0-92.5--0.0471749999999906</f>
        <v>1617.774514</v>
      </c>
      <c r="M255" s="3">
        <f>1968.6+(23.8-208)+(5.01993+(0.06069-0.5304))+0-71.1-0.18130499999999</f>
        <v>1717.668915</v>
      </c>
      <c r="N255" s="3">
        <f>2154.4+(42.8-280.3)+(5.49372+(0.10914-0.714765))+0-87.7-0.223634999999987</f>
        <v>1833.86446</v>
      </c>
      <c r="O255" s="3">
        <f>2220.9+(24.4-238)+(1.132659+(0.012444-0.12138))+0-73.1-0.0372809999999926</f>
        <v>1935.1864420000004</v>
      </c>
      <c r="P255" s="3">
        <f>2178.9+(55.7-161.2)+(1.111239+(0.028407-0.082212))+0-92.4-0.0471239999999906</f>
        <v>1982.0103099999999</v>
      </c>
      <c r="Q255" s="3">
        <f>2142.1+(63.5-159.8)+(-2.184942+(-0.06477--0.162996))+0-90.5--0.0923100000000144</f>
        <v>1953.3055939999999</v>
      </c>
      <c r="R255" s="3">
        <f>2059.5+(82.5-172.3)+(-6.30207+(-0.25245--0.527238))+0-69.6--0.212976000000008</f>
        <v>1894.2856940000001</v>
      </c>
      <c r="S255" s="3">
        <f>2039.5+(122-229.5)+(-5.200725+(-0.3111--0.585225))+0-81--0.206549999999988</f>
        <v>1846.2799499999999</v>
      </c>
      <c r="T255" s="3">
        <f>2075.4+(129-277.8)+(1.058454+(0.06579-0.141678))+0-87-0.0443699999999912</f>
        <v>1840.538196</v>
      </c>
      <c r="U255" s="3">
        <f>2081+(112-252.1)+(1.06131+(0.05712-0.128571))+0-92-0.0469199999999907</f>
        <v>1849.8429390000001</v>
      </c>
      <c r="V255" s="3">
        <f>2000.1+(131.8-118.8)+(-3.060153+(-0.201654--0.181764))+0-88--0.134640000000005</f>
        <v>1922.154597</v>
      </c>
      <c r="W255" s="3">
        <f>2158.2+(117.3-117.2)+(1.100682+(0.059823-0.059772))+0-87.8-0.0447779999999911</f>
        <v>2071.5559549999998</v>
      </c>
      <c r="X255" s="3">
        <f>2157.8+(96.8-126.4)+(-5.50239+(-0.24684--0.32232))+0-46.7--0.119084999999993</f>
        <v>2076.1921750000001</v>
      </c>
      <c r="Y255" s="3">
        <f>2175.1+(76.4-122.7)+(-1.109301+(-0.038964--0.062577))+0-74.9--0.0381989999999924</f>
        <v>2052.8525109999996</v>
      </c>
      <c r="Z255" s="3">
        <f>2152+(94.7-132.2)+(0+(0-0))+0-85.6-0</f>
        <v>2028.9</v>
      </c>
      <c r="AA255" s="3">
        <f>2099.1+(91.3-132.5)+(-1.070541+(-0.046563--0.067575))+0-87.6--0.0446759999999911</f>
        <v>1969.2951470000003</v>
      </c>
      <c r="AB255" s="3">
        <f>2026.9+(120-162.2)+(-5.168595+(-0.306--0.41361))+0-79.7--0.203234999999988</f>
        <v>1900.1422499999999</v>
      </c>
      <c r="AC255" s="3">
        <f>1986.7+(121-235.3)+(-2.026434+(-0.12342--0.240006))+0-38.4--0.0391680000000061</f>
        <v>1832.12932</v>
      </c>
      <c r="AD255" s="2">
        <v>2168.6999999999998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1967.7+(127.6-204.5)+(3.010581+(0.195228-0.312885))+0-96.5-0.147645000000006</f>
        <v>1797.0452789999999</v>
      </c>
      <c r="G256" s="3">
        <f>1861.7+(131.2-256.6)+(0+(0-0))+0-25.2-0</f>
        <v>1711.1</v>
      </c>
      <c r="H256" s="3">
        <f>1825.9+(126.5-225)+(0.931209+(0.064515-0.11475))+0-85.4-0.0435539999999913</f>
        <v>1642.8374199999998</v>
      </c>
      <c r="I256" s="3">
        <f>1761.3+(125.2-208.6)+(-0.898263+(-0.063852--0.106386))+0-86.8--0.0442679999999912</f>
        <v>1590.2885389999999</v>
      </c>
      <c r="J256" s="3">
        <f>1769.3+(116.6-209.7)+(0+(0-0))+0-89.4-0</f>
        <v>1586.8</v>
      </c>
      <c r="K256" s="3">
        <f>1864.9+(38.7-206)+(1.902198+(0.039474-0.21012))+0-85.5-0.0872100000000136</f>
        <v>1613.7443420000002</v>
      </c>
      <c r="L256" s="3">
        <f>1817.5+(18.6-162.9)+(-8.342325+(-0.085374--0.747711))+0-85.4--0.391986000000015</f>
        <v>1580.5119979999999</v>
      </c>
      <c r="M256" s="3">
        <f>1699.5+(67.5-135)+(1.73349+(0.06885-0.1377))+0-50.7-0.0517140000000081</f>
        <v>1582.912926</v>
      </c>
      <c r="N256" s="3">
        <f>1734.2+(107.6-143.9)+(-1.768884+(-0.109752--0.146778))+0-90.7--0.0925140000000145</f>
        <v>1605.5606559999999</v>
      </c>
      <c r="O256" s="3">
        <f>1989.1+(115.5-260.7)+(2.028882+(0.11781-0.265914))+0-95.6-0.0975120000000152</f>
        <v>1750.0832659999999</v>
      </c>
      <c r="P256" s="3">
        <f>1986.1+(131.2-233.3)+(1.012911+(0.066912-0.118983))+0-88.5-0.045134999999991</f>
        <v>1796.4157049999999</v>
      </c>
      <c r="Q256" s="3">
        <f>1970.1+(120.3-192.9)+(-2.009502+(-0.122706--0.196758))+0-76--0.0775200000000121</f>
        <v>1819.6420700000001</v>
      </c>
      <c r="R256" s="3">
        <f>1867.8+(143.8-149.1)+(-3.810312+(-0.293352--0.304164))+0-86.9--0.177275999999996</f>
        <v>1771.9777759999997</v>
      </c>
      <c r="S256" s="3">
        <f>1818.8+(147.6-144.8)+(-1.855176+(-0.150552--0.147696))+0-72.1--0.0735420000000115</f>
        <v>1747.71551</v>
      </c>
      <c r="T256" s="3">
        <f>1755.8+(163.1-129.6)+(-3.581832+(-0.332724--0.264384))+0-88--0.179519999999996</f>
        <v>1697.8293479999998</v>
      </c>
      <c r="U256" s="3">
        <f>1615.5+(219.8-104.8)+(-1.64781+(-0.224196--0.106896))+0-94--0.095880000000015</f>
        <v>1634.83077</v>
      </c>
      <c r="V256" s="3">
        <f>1860.6+(163.5-112.5)+(0+(0-0))+0-70.8-0</f>
        <v>1840.8</v>
      </c>
      <c r="W256" s="3">
        <f>1994.9+(147.4-115)+(0+(0-0))+0-76.6-0</f>
        <v>1950.7000000000003</v>
      </c>
      <c r="X256" s="3">
        <f>1981+(159.1-119.4)+(-4.04124+(-0.324564--0.243576))+0-85.2--0.173807999999996</f>
        <v>1931.5515800000001</v>
      </c>
      <c r="Y256" s="3">
        <f>2013.4+(99.1-120.5)+(3.080502+(0.151623-0.184365))+0-59.9-0.0916470000000035</f>
        <v>1935.0561129999999</v>
      </c>
      <c r="Z256" s="3">
        <f>1983.7+(120.7-116.8)+(-3.035061+(-0.184671--0.178704))+0-73.1--0.111843000000004</f>
        <v>1911.570815</v>
      </c>
      <c r="AA256" s="3">
        <f>1988.6+(129.1-143.6)+(-2.028372+(-0.131682--0.146472))+0-98.2--0.100164000000016</f>
        <v>1873.9865819999998</v>
      </c>
      <c r="AB256" s="3">
        <f>1907.6+(113.5-179)+(-2.918628+(-0.173655--0.27387))+0-54.3--0.0830790000000031</f>
        <v>1785.064666</v>
      </c>
      <c r="AC256" s="3">
        <f>1860+(117.1-172.4)+(-3.7944+(-0.238884--0.351696))+0-90.4--0.184415999999996</f>
        <v>1710.8028280000001</v>
      </c>
      <c r="AD256" s="2">
        <v>2031.9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1720.1+(141.1-146)+(-4.386255+(-0.359805--0.3723))+0-80.7--0.205784999999988</f>
        <v>1630.3320249999997</v>
      </c>
      <c r="G257" s="3">
        <f>1660.4+(140.8-139.4)+(-3.387216+(-0.287232--0.284376))+0-82.9--0.169115999999996</f>
        <v>1575.6790440000002</v>
      </c>
      <c r="H257" s="3">
        <f>1670.4+(140.9-182.6)+(-1.703808+(-0.143718--0.186252))+0-40.8--0.0416160000000065</f>
        <v>1586.280342</v>
      </c>
      <c r="I257" s="3">
        <f>1695.8+(135.3-177.3)+(-2.594574+(-0.207009--0.271269))+0-67.4--0.103122000000004</f>
        <v>1583.9728079999998</v>
      </c>
      <c r="J257" s="3">
        <f>1768.2+(110.1-220.3)+(0+(0-0))+0-49.3-0</f>
        <v>1608.7</v>
      </c>
      <c r="K257" s="3">
        <f>1779.6+(73.5-192.5)+(2.722788+(0.112455-0.294525))+0-58.4-0.0893520000000034</f>
        <v>1604.6513659999998</v>
      </c>
      <c r="L257" s="3">
        <f>1756.2+(74.9-145.3)+(-1.791324+(-0.076398--0.148206))+0-86.2--0.0879240000000137</f>
        <v>1597.9684079999997</v>
      </c>
      <c r="M257" s="3">
        <f>1804.6+(130-129.9)+(4.60173+(0.3315-0.331245))+0-93.6-0.238679999999986</f>
        <v>1715.463305</v>
      </c>
      <c r="N257" s="3">
        <f>2015.5+(115.2-200.1)+(2.05581+(0.117504-0.204102))+0-58.9-0.0600780000000094</f>
        <v>1873.6091339999998</v>
      </c>
      <c r="O257" s="3">
        <f>2153.5+(137.5-301.5)+(2.19657+(0.14025-0.30753))+0-44.1-0.044982000000007</f>
        <v>1947.3843079999999</v>
      </c>
      <c r="P257" s="3">
        <f>2122.4+(140.4-253.5)+(-1.082424+(-0.071604--0.129285))+0-20.1--0.010250999999998</f>
        <v>1988.1855080000003</v>
      </c>
      <c r="Q257" s="3">
        <f>2156+(140.3-244.9)+(-2.19912+(-0.143106--0.249798))+0-23.8--0.0242760000000038</f>
        <v>2025.5318480000003</v>
      </c>
      <c r="R257" s="3">
        <f>2060.2+(138.4-148.1)+(-5.25351+(-0.35292--0.377655))+0-84--0.214199999999988</f>
        <v>1961.4854249999999</v>
      </c>
      <c r="S257" s="3">
        <f>2012.1+(141.1-146.6)+(1.026171+(0.071961-0.074766))+0-84.8-0.0432479999999914</f>
        <v>1922.7801179999999</v>
      </c>
      <c r="T257" s="3">
        <f>2049.4+(141.4-200.1)+(0+(0-0))+0-85.4-0</f>
        <v>1905.3</v>
      </c>
      <c r="U257" s="3">
        <f>2019.9+(125.3-169.3)+(-3.090447+(-0.191709--0.259029))+0-73.4--0.112302000000004</f>
        <v>1899.5891750000001</v>
      </c>
      <c r="V257" s="3">
        <f>2014+(279.8-119.1)+(1.02714+(0.142698-0.060741))+0-83.8-0.0427379999999915</f>
        <v>2091.9663589999996</v>
      </c>
      <c r="W257" s="3">
        <f>2109.1+(177.2-123.4)+(-2.151282+(-0.180744--0.125868))+0-74.8--0.0762960000000119</f>
        <v>2085.9701380000001</v>
      </c>
      <c r="X257" s="3">
        <f>2028.2+(155.8-123.5)+(1.034382+(0.079458-0.062985))+0-75-0.0382499999999924</f>
        <v>1986.5126049999999</v>
      </c>
      <c r="Y257" s="3">
        <f>1955.5+(205-117.5)+(-2.991915+(-0.31365--0.179775))+0-86.5--0.132345000000005</f>
        <v>1953.5065549999999</v>
      </c>
      <c r="Z257" s="3">
        <f>1989.9+(180.2-108.3)+(-6.089094+(-0.551412--0.331398))+0-79.5--0.243270000000009</f>
        <v>1976.2341620000002</v>
      </c>
      <c r="AA257" s="3">
        <f>1969.8+(165.8-94.8)+(-7.032186+(-0.591906--0.338436))+0-92.1--0.328797000000001</f>
        <v>1941.7431409999999</v>
      </c>
      <c r="AB257" s="3">
        <f>1804.6+(160.5-82.1)+(-4.60173+(-0.409275--0.209355))+0-82.7--0.210884999999988</f>
        <v>1795.7092349999998</v>
      </c>
      <c r="AC257" s="3">
        <f>1711.7+(155-79.6)+(-4.364835+(-0.39525--0.20298))+0-85.6--0.218279999999988</f>
        <v>1697.1611750000002</v>
      </c>
      <c r="AD257" s="2">
        <v>2238.7000000000003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1719.2+(138.8-197.6)+(-0.876792+(-0.070788--0.100776))+0-46.3--0.0236129999999953</f>
        <v>1613.2768090000002</v>
      </c>
      <c r="G258" s="3">
        <f>1713.4+(140.1-189.1)+(-3.495336+(-0.285804--0.385764))+0-83.4--0.170135999999996</f>
        <v>1577.77476</v>
      </c>
      <c r="H258" s="3">
        <f>1637.2+(140.4-93.6)+(0+(0-0))+0-73.3-0</f>
        <v>1610.7</v>
      </c>
      <c r="I258" s="3">
        <f>1525.6+(143.9-92.4)+(2.334168+(0.220167-0.141372))+0-89.9-0.137547000000005</f>
        <v>1489.4754159999998</v>
      </c>
      <c r="J258" s="3">
        <f>1553.8+(122.7-97.1)+(3.169752+(0.250308-0.198084))+0-92.7-0.189107999999996</f>
        <v>1489.7328679999998</v>
      </c>
      <c r="K258" s="3">
        <f>1714+(75.9-132.2)+(-1.74828+(-0.077418--0.134844))+0-69.5--0.0708900000000111</f>
        <v>1586.5800360000001</v>
      </c>
      <c r="L258" s="3">
        <f>1862.2+(41.4-190.5)+(0+(0-0))+0-49.3-0</f>
        <v>1663.8000000000002</v>
      </c>
      <c r="M258" s="3">
        <f>1896+(54.6-175.8)+(2.90088+(0.083538-0.268974))+0-100.7-0.154071000000006</f>
        <v>1676.6613729999999</v>
      </c>
      <c r="N258" s="3">
        <f>1962.6+(86.1-109.9)+(0+(0-0))+0-70.3-0</f>
        <v>1868.5</v>
      </c>
      <c r="O258" s="3">
        <f>2198.1+(94.7-286.7)+(0+(0-0))+0-56.2-0</f>
        <v>1949.8999999999999</v>
      </c>
      <c r="P258" s="3">
        <f>2199.9+(110.6-225.3)+(0+(0-0))+0-89.3-0</f>
        <v>1995.9000000000003</v>
      </c>
      <c r="Q258" s="3">
        <f>2186.2+(121.8-229.2)+(-3.344886+(-0.186354--0.350676))+0-71.5--0.109395000000004</f>
        <v>2004.2288309999999</v>
      </c>
      <c r="R258" s="3">
        <f>2147.6+(123.7-214.6)+(-5.47638+(-0.315435--0.54723))+0-70--0.17849999999999</f>
        <v>1981.6339149999999</v>
      </c>
      <c r="S258" s="3">
        <f>2069+(125-182)+(-2.11038+(-0.1275--0.18564))+0-87.9--0.089658000000014</f>
        <v>1922.137418</v>
      </c>
      <c r="T258" s="3">
        <f>2079+(122.9-210.4)+(-1.06029+(-0.062679--0.107304))+0-94.8--0.0483479999999904</f>
        <v>1895.7326830000002</v>
      </c>
      <c r="U258" s="3">
        <f>1983+(102-111.7)+(3.03399+(0.15606-0.170901))+0-84.7-0.129591000000005</f>
        <v>1891.4895579999998</v>
      </c>
      <c r="V258" s="3">
        <f>2161.5+(76.4-118.7)+(1.102365+(0.038964-0.060537))+0-50.4-0.0257039999999949</f>
        <v>2069.8550879999998</v>
      </c>
      <c r="W258" s="3">
        <f>2332.3+(138.8-133.1)+(2.378946+(0.141576-0.135762))+0-96.5-0.0984300000000154</f>
        <v>2243.7863299999999</v>
      </c>
      <c r="X258" s="3">
        <f>2434+(0-181)+(0+(0-0))+0-62.4-0</f>
        <v>2190.6</v>
      </c>
      <c r="Y258" s="3">
        <f>2425.6+(0-244.4)+(2.474112+(0-0.249288))+0-60.8-0.0620160000000097</f>
        <v>2122.5628079999997</v>
      </c>
      <c r="Z258" s="3">
        <f>2412.8+(17.8-248.5)+(0+(0-0))+0-61.3-0</f>
        <v>2120.8000000000002</v>
      </c>
      <c r="AA258" s="3">
        <f>2339.1+(81.8-241.9)+(-2.385882+(-0.083436--0.246738))+0-77.2--0.0787440000000123</f>
        <v>2099.656164</v>
      </c>
      <c r="AB258" s="3">
        <f>2120.1+(128.8-183)+(-5.406255+(-0.32844--0.46665))+0-90.2--0.230009999999987</f>
        <v>1970.6619650000002</v>
      </c>
      <c r="AC258" s="3">
        <f>1916.1+(140.6-157.4)+(-4.886055+(-0.35853--0.40137))+0-43.6--0.111179999999994</f>
        <v>1850.967965</v>
      </c>
      <c r="AD258" s="2">
        <v>2223.3000000000002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1794.1+(138.8-112.2)+(-2.744973+(-0.212364--0.171666))+0-76.7--0.117351000000004</f>
        <v>1741.3316799999998</v>
      </c>
      <c r="G259" s="3">
        <f>1588.5+(216.5-65.3)+(-1.62027+(-0.22083--0.066606))+0-94.4--0.0962880000000151</f>
        <v>1643.6217939999999</v>
      </c>
      <c r="H259" s="3">
        <f>1504.9+(272.1-64.2)+(-1.534998+(-0.277542--0.065484))+0-88.6--0.0903720000000141</f>
        <v>1622.5433160000005</v>
      </c>
      <c r="I259" s="3">
        <f>1500.2+(275.3-68.8)+(-2.295306+(-0.421209--0.105264))+0-95.2--0.145656000000006</f>
        <v>1609.0344049999999</v>
      </c>
      <c r="J259" s="3">
        <f>1493.2+(296.9-84.5)+(0.761532+(0.151419-0.043095))+0-95.3-0.0486029999999903</f>
        <v>1611.121253</v>
      </c>
      <c r="K259" s="3">
        <f>1494.2+(291.7-106.7)+(0+(0-0))+0-84.4-0</f>
        <v>1594.8</v>
      </c>
      <c r="L259" s="3">
        <f>1748.8+(139.9-125.2)+(-4.45944+(-0.356745--0.31926))+0-84.5--0.215474999999988</f>
        <v>1674.7185500000001</v>
      </c>
      <c r="M259" s="3">
        <f>1935.5+(140.9-196.8)+(4.935525+(0.359295-0.50184))+0-63.1-0.160904999999991</f>
        <v>1821.132075</v>
      </c>
      <c r="N259" s="3">
        <f>2086.8+(140.6-256)+(2.128536+(0.143412-0.26112))+0-86-0.0877200000000137</f>
        <v>1887.323108</v>
      </c>
      <c r="O259" s="3">
        <f>2145.9+(143.2-275.6)+(3.283227+(0.219096-0.421668))+0-60.4-0.0924120000000035</f>
        <v>1956.0882429999999</v>
      </c>
      <c r="P259" s="3">
        <f>2084.7+(142.6-197.8)+(-5.315985+(-0.36363--0.50439))+0-64.7--0.164984999999991</f>
        <v>1959.7897599999997</v>
      </c>
      <c r="Q259" s="3">
        <f>2114.7+(142.5-201.1)+(-4.313988+(-0.2907--0.410244))+0-83.3--0.169931999999996</f>
        <v>1968.7754879999998</v>
      </c>
      <c r="R259" s="3">
        <f>2090.5+(139.2-190)+(-8.52924+(-0.567936--0.7752))+0-87.4--0.356591999999992</f>
        <v>1944.3346160000001</v>
      </c>
      <c r="S259" s="3">
        <f>1927.5+(153.3-112)+(-2.949075+(-0.234549--0.17136))+0-62.3--0.0953190000000036</f>
        <v>1903.5830550000001</v>
      </c>
      <c r="T259" s="3">
        <f>1929.5+(153.5-111.4)+(-0.984045+(-0.078285--0.056814))+0-92.5--0.0471749999999906</f>
        <v>1878.1416589999999</v>
      </c>
      <c r="U259" s="3">
        <f>1930.7+(141-124.2)+(-0.984657+(-0.07191--0.063342))+0-79.2--0.040391999999992</f>
        <v>1867.3471669999999</v>
      </c>
      <c r="V259" s="3">
        <f>1975.5+(271-116.2)+(1.007505+(0.13821-0.059262))+0-76-0.0387599999999923</f>
        <v>2055.3476930000002</v>
      </c>
      <c r="W259" s="3">
        <f>2286.8+(145.3-122.3)+(0+(0-0))+0-90.1-0</f>
        <v>2219.7000000000003</v>
      </c>
      <c r="X259" s="3">
        <f>2403.5+(41.3-163)+(-6.128925+(-0.105315--0.41565))+0-77--0.196349999999989</f>
        <v>2199.1777600000005</v>
      </c>
      <c r="Y259" s="3">
        <f>2401+(67.8-150.4)+(-4.89804+(-0.138312--0.306816))+0-94.1--0.191963999999996</f>
        <v>2219.7624280000005</v>
      </c>
      <c r="Z259" s="3">
        <f>2178.9+(147.5-107.7)+(-2.222478+(-0.15045--0.109854))+0-89.5--0.0912900000000143</f>
        <v>2127.0282160000002</v>
      </c>
      <c r="AA259" s="3">
        <f>2079.9+(158.2-102)+(-6.364494+(-0.484092--0.31212))+0-94.1--0.287946000000011</f>
        <v>2035.7514799999999</v>
      </c>
      <c r="AB259" s="3">
        <f>2078.3+(139.4-169.3)+(-5.299665+(-0.35547--0.431715))+0-88.5--0.225674999999987</f>
        <v>1954.902255</v>
      </c>
      <c r="AC259" s="3">
        <f>2072.7+(137.7-240.4)+(-3.171231+(-0.210681--0.367812))+0-78.2--0.119646000000005</f>
        <v>1888.9055459999997</v>
      </c>
      <c r="AD259" s="2">
        <v>2248.2000000000003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1955.7+(140-268.2)+(0+(0-0))+0-80.9-0</f>
        <v>1746.6</v>
      </c>
      <c r="G260" s="3">
        <f>1761.2+(163.3-93)+(-1.796424+(-0.166566--0.09486))+0-84.9--0.0865980000000135</f>
        <v>1744.8184679999999</v>
      </c>
      <c r="H260" s="3">
        <f>1603.5+(215.1-66)+(0.817785+(0.109701-0.03366))+0-80.7-0.0411569999999918</f>
        <v>1672.752669</v>
      </c>
      <c r="I260" s="3">
        <f>1633.1+(195.8-68.1)+(2.498643+(0.299574-0.104193))+0-77.5-0.118575000000004</f>
        <v>1685.8754489999999</v>
      </c>
      <c r="J260" s="3">
        <f>1621.4+(203.9-80)+(0+(0-0))+0-83.6-0</f>
        <v>1661.7000000000003</v>
      </c>
      <c r="K260" s="3">
        <f>1656.5+(226.3-106.5)+(1.68963+(0.230826-0.10863))+0-90.1-0.0919020000000144</f>
        <v>1687.919924</v>
      </c>
      <c r="L260" s="3">
        <f>1707.4+(143.4-111.5)+(-1.741548+(-0.146268--0.11373))+0-27.7--0.0282540000000044</f>
        <v>1709.8541680000003</v>
      </c>
      <c r="M260" s="3">
        <f>1772.4+(182.9-123.3)+(1.807848+(0.186558-0.125766))+0-24.9-0.025398000000004</f>
        <v>1808.9432419999998</v>
      </c>
      <c r="N260" s="3">
        <f>1707.1+(255.9-107.4)+(1.741242+(0.261018-0.109548))+0-22-0.0224400000000035</f>
        <v>1835.470272</v>
      </c>
      <c r="O260" s="3">
        <f>1803.2+(208.5-110.1)+(-5.517792+(-0.63801--0.336906))+0-20.2--0.0618120000000023</f>
        <v>1875.642916</v>
      </c>
      <c r="P260" s="3">
        <f>1840.4+(170.7-133.5)+(0+(0-0))+0-14-0</f>
        <v>1863.6000000000001</v>
      </c>
      <c r="Q260" s="3">
        <f>1856.8+(162.2-141.3)+(0.946968+(0.082722-0.072063))+0-17.4-0.00887399999999823</f>
        <v>1861.2487529999996</v>
      </c>
      <c r="R260" s="3">
        <f>1819.6+(156.5-146.5)+(-1.855992+(-0.15963--0.14943))+0-34.9--0.0355980000000056</f>
        <v>1792.8694059999998</v>
      </c>
      <c r="S260" s="3">
        <f>1818.6+(168-131.6)+(-2.782458+(-0.25704--0.201348))+0-88.3--0.135099000000005</f>
        <v>1763.9969490000001</v>
      </c>
      <c r="T260" s="3">
        <f>1841.9+(157.4-147.2)+(1.878738+(0.160548-0.150144))+0-75-0.076500000000012</f>
        <v>1778.912642</v>
      </c>
      <c r="U260" s="3">
        <f>1936.4+(142.4-177.6)+(-1.975128+(-0.145248--0.181152))+0-82.3--0.0839460000000131</f>
        <v>1817.0447220000001</v>
      </c>
      <c r="V260" s="3">
        <f>2058.4+(100.4-149.1)+(-1.049784+(-0.051204--0.076041))+0-79.2--0.040391999999992</f>
        <v>1929.5154449999998</v>
      </c>
      <c r="W260" s="3">
        <f>2102.2+(143.4-116.5)+(1.072122+(0.073134-0.059415))+0-84.1-0.0428909999999915</f>
        <v>2046.04295</v>
      </c>
      <c r="X260" s="3">
        <f>2131.1+(156.7-121.2)+(-5.434305+(-0.399585--0.30906))+0-91.9--0.234344999999987</f>
        <v>2069.4095149999998</v>
      </c>
      <c r="Y260" s="3">
        <f>2133.2+(156.5-116)+(-4.351728+(-0.31926--0.23664))+0-91.5--0.186659999999996</f>
        <v>2077.9523119999999</v>
      </c>
      <c r="Z260" s="3">
        <f>2105.9+(160.7-108)+(-4.296036+(-0.327828--0.22032))+0-84.2--0.171767999999996</f>
        <v>2070.1682240000005</v>
      </c>
      <c r="AA260" s="3">
        <f>2068.1+(175.2-107.9)+(-3.164193+(-0.268056--0.165087))+0-87.6--0.134028000000005</f>
        <v>2044.666866</v>
      </c>
      <c r="AB260" s="3">
        <f>2006.9+(144.2-131)+(-5.117595+(-0.36771--0.33405))+0-63.8--0.162689999999991</f>
        <v>1951.3114350000001</v>
      </c>
      <c r="AC260" s="3">
        <f>1931.9+(140.7-140.4)+(-3.941076+(-0.287028--0.286416))+0-91.2--0.186047999999996</f>
        <v>1837.2443599999999</v>
      </c>
      <c r="AD260" s="2">
        <v>2222.1999999999998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1636+(170.6-90.3)+(-5.00616+(-0.522036--0.276318))+0-55.4--0.169524000000006</f>
        <v>1655.8176459999997</v>
      </c>
      <c r="G261" s="3">
        <f>1513.2+(186.6-68.5)+(0.771732+(0.095166-0.034935))+0-81.4-0.0415139999999917</f>
        <v>1550.6904489999999</v>
      </c>
      <c r="H261" s="3">
        <f>1512.1+(177.4-71.2)+(0+(0-0))+0-83.8-0</f>
        <v>1534.5</v>
      </c>
      <c r="I261" s="3">
        <f>1512.4+(184.7-65.7)+(0+(0-0))+0-98.3-0</f>
        <v>1533.1000000000001</v>
      </c>
      <c r="J261" s="3">
        <f>1662.3+(136-119.6)+(3.391092+(0.27744-0.243984))+0-79.3-0.161771999999997</f>
        <v>1602.6627760000001</v>
      </c>
      <c r="K261" s="3">
        <f>1743.5+(102.8-150.8)+(3.55674+(0.209712-0.307632))+0-86.5-0.176459999999996</f>
        <v>1612.2823600000002</v>
      </c>
      <c r="L261" s="3">
        <f>1700.7+(131-150)+(1.734714+(0.13362-0.153))+0-78.9-0.0804780000000126</f>
        <v>1604.4348559999999</v>
      </c>
      <c r="M261" s="3">
        <f>1698+(177.5-131.1)+(-1.73196+(-0.18105--0.133722))+0-66--0.0673200000000105</f>
        <v>1676.6880320000002</v>
      </c>
      <c r="N261" s="3">
        <f>1831.5+(200.2-111.3)+(2.802195+(0.306306-0.170289))+0-62.5-0.0956250000000036</f>
        <v>1860.7425870000002</v>
      </c>
      <c r="O261" s="3">
        <f>1825.5+(325.8-108.2)+(0.931005+(0.166158-0.055182))+0-78.1-0.0398309999999921</f>
        <v>1966.00215</v>
      </c>
      <c r="P261" s="3">
        <f>1844.6+(337.8-104.6)+(-0.940746+(-0.172278--0.053346))+0-73.7--0.0375869999999925</f>
        <v>2003.0779089999996</v>
      </c>
      <c r="Q261" s="3">
        <f>1943.2+(248.7-106)+(-3.964128+(-0.507348--0.21624))+0-78--0.159119999999997</f>
        <v>2003.8038840000002</v>
      </c>
      <c r="R261" s="3">
        <f>1935.1+(228-106)+(-4.934505+(-0.5814--0.2703))+0-78--0.198899999999989</f>
        <v>1974.0532949999999</v>
      </c>
      <c r="S261" s="3">
        <f>1898.2+(206.7-103.4)+(-7.744656+(-0.843336--0.421872))+0-75.3--0.307223999999993</f>
        <v>1918.3411039999999</v>
      </c>
      <c r="T261" s="3">
        <f>1816.7+(137-107.5)+(0.926517+(0.06987-0.054825))+0-82.8-0.0422279999999916</f>
        <v>1764.299334</v>
      </c>
      <c r="U261" s="3">
        <f>1829.9+(148.7-113.9)+(-2.799747+(-0.227511--0.174267))+0-86.3--0.132039000000005</f>
        <v>1775.6790480000002</v>
      </c>
      <c r="V261" s="3">
        <f>1938.9+(198.8-88.8)+(-3.955356+(-0.405552--0.181152))+0-71.3--0.145451999999997</f>
        <v>1973.5656960000001</v>
      </c>
      <c r="W261" s="3">
        <f>2053+(221.8-119.7)+(-2.09406+(-0.226236--0.122094))+0-82.8--0.0844560000000132</f>
        <v>2070.1862539999997</v>
      </c>
      <c r="X261" s="3">
        <f>2133.2+(153.9-118.6)+(-6.527592+(-0.470934--0.362916))+0-86.8--0.26560800000001</f>
        <v>2075.3299980000002</v>
      </c>
      <c r="Y261" s="3">
        <f>2084.2+(160.3-114.5)+(-4.251768+(-0.327012--0.23358))+0-88.2--0.179927999999996</f>
        <v>2037.6347279999998</v>
      </c>
      <c r="Z261" s="3">
        <f>1976.4+(184.2-103.2)+(-5.03982+(-0.46971--0.26316))+0-80.3--0.204764999999988</f>
        <v>1972.0583950000002</v>
      </c>
      <c r="AA261" s="3">
        <f>1828.3+(251.2-91.6)+(-2.797299+(-0.384336--0.140148))+0-85.2--0.130356000000005</f>
        <v>1899.7888689999997</v>
      </c>
      <c r="AB261" s="3">
        <f>1759.4+(203.1-77.6)+(-3.589176+(-0.414324--0.158304))+0-90.2--0.184007999999996</f>
        <v>1791.038812</v>
      </c>
      <c r="AC261" s="3">
        <f>1630.3+(177.8-70)+(-0.831453+(-0.090678--0.0357))+0-50.8--0.0259079999999948</f>
        <v>1686.4394770000001</v>
      </c>
      <c r="AD261" s="2">
        <v>2248.6999999999998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1610.3+(168.6-74.6)+(-3.285012+(-0.343944--0.152184))+0-81.8--0.166871999999996</f>
        <v>1619.1901</v>
      </c>
      <c r="G262" s="3">
        <f>1611.3+(140-108.5)+(-1.643526+(-0.1428--0.11067))+0-90.5--0.0923100000000144</f>
        <v>1550.7166540000001</v>
      </c>
      <c r="H262" s="3">
        <f>1673.7+(141.4-146.7)+(-0.853587+(-0.072114--0.074817))+0-86.6--0.0441659999999912</f>
        <v>1580.9932820000001</v>
      </c>
      <c r="I262" s="3">
        <f>1697.6+(140.6-132.6)+(0.865776+(0.071706-0.067626))+0-95.3-0.0486029999999903</f>
        <v>1611.121253</v>
      </c>
      <c r="J262" s="3">
        <f>1630.8+(137.1-92.6)+(-3.326832+(-0.279684--0.188904))+0-90.3--0.184211999999996</f>
        <v>1581.7665999999999</v>
      </c>
      <c r="K262" s="3">
        <f>1579+(193.7-104.6)+(1.61058+(0.197574-0.106692))+0-82.7-0.0843540000000132</f>
        <v>1587.0171079999998</v>
      </c>
      <c r="L262" s="3">
        <f>1622.5+(160.7-112.8)+(-0.827475+(-0.081957--0.057528))+0-73.8--0.0376379999999925</f>
        <v>1595.785734</v>
      </c>
      <c r="M262" s="3">
        <f>1628.7+(252.9-107.7)+(-0.830637+(-0.128979--0.054927))+0-85.6--0.0436559999999913</f>
        <v>1687.4389670000003</v>
      </c>
      <c r="N262" s="3">
        <f>1723+(305.7-107.6)+(2.63619+(0.467721-0.164628))+0-86.5-0.132345000000005</f>
        <v>1837.4069379999999</v>
      </c>
      <c r="O262" s="3">
        <f>1868.5+(296.9-108.4)+(0.952935+(0.151419-0.055284))+0-84.9-0.0432989999999914</f>
        <v>1973.105771</v>
      </c>
      <c r="P262" s="3">
        <f>1967.5+(231.3-106.6)+(4.0137+(0.471852-0.217464))+0-92.2-0.188087999999996</f>
        <v>2004.0799999999995</v>
      </c>
      <c r="Q262" s="3">
        <f>1959.6+(241.4-102.9)+(-2.998188+(-0.369342--0.157437))+0-87.1--0.133263000000005</f>
        <v>2007.9231699999998</v>
      </c>
      <c r="R262" s="3">
        <f>1913+(232.7-85.5)+(-5.85378+(-0.712062--0.26163))+0-71.6--0.219096000000008</f>
        <v>1982.5148839999999</v>
      </c>
      <c r="S262" s="3">
        <f>1813.6+(260.2-85)+(-1.849872+(-0.265404--0.0867))+0-86.5--0.0882300000000138</f>
        <v>1900.3596540000001</v>
      </c>
      <c r="T262" s="3">
        <f>1800.5+(242.6-88.7)+(-0.918255+(-0.123726--0.045237))+0-83.4--0.0425339999999915</f>
        <v>1870.0457899999999</v>
      </c>
      <c r="U262" s="3">
        <f>1764.4+(240.7-100)+(1.799688+(0.245514-0.102))+0-86.7-0.0884340000000138</f>
        <v>1820.254768</v>
      </c>
      <c r="V262" s="3">
        <f>1868.8+(155.7-121.1)+(-3.812352+(-0.317628--0.247044))+0-74.4--0.151775999999997</f>
        <v>1825.2688399999997</v>
      </c>
      <c r="W262" s="3">
        <f>1937.7+(169.7-121.8)+(0.988227+(0.086547-0.062118))+0-88-0.0448799999999911</f>
        <v>1898.5677760000003</v>
      </c>
      <c r="X262" s="3">
        <f>1981.4+(137.9-118.3)+(-6.063084+(-0.421974--0.361998))+0-98.3--0.300798000000011</f>
        <v>1896.8777380000001</v>
      </c>
      <c r="Y262" s="3">
        <f>2010.1+(81.1-111.2)+(-4.100604+(-0.165444--0.226848))+0-73.6--0.150143999999997</f>
        <v>1902.5109440000001</v>
      </c>
      <c r="Z262" s="3">
        <f>2033.2+(67.2-125.2)+(-4.147728+(-0.137088--0.255408))+0-87--0.177479999999996</f>
        <v>1884.348072</v>
      </c>
      <c r="AA262" s="3">
        <f>2029.2+(113.3-216.5)+(-2.069784+(-0.115566--0.22083))+0-75.9--0.0774180000000121</f>
        <v>1848.212898</v>
      </c>
      <c r="AB262" s="3">
        <f>1984.8+(140-234.8)+(-1.012248+(-0.0714--0.119748))+0-84.6--0.0431459999999914</f>
        <v>1804.4792460000001</v>
      </c>
      <c r="AC262" s="3">
        <f>1954.5+(140-234.5)+(-4.983975+(-0.357--0.597975))+0-96.8--0.246839999999986</f>
        <v>1758.7038400000001</v>
      </c>
      <c r="AD262" s="2">
        <v>2163.1999999999998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1732.9+(140.8-185.4)+(0+(0-0))+0-81.1-0</f>
        <v>1607.2000000000003</v>
      </c>
      <c r="G263" s="3">
        <f>1748.5+(139.8-229.1)+(-2.675205+(-0.213894--0.350523))+0-85.4--0.130662000000005</f>
        <v>1571.3920860000001</v>
      </c>
      <c r="H263" s="3">
        <f>1599.5+(139.7-175.2)+(0+(0-0))+0-74.5-0</f>
        <v>1489.5</v>
      </c>
      <c r="I263" s="3">
        <f>1554.6+(140.4-165)+(1.585692+(0.143208-0.1683))+0-88-0.089760000000014</f>
        <v>1443.47084</v>
      </c>
      <c r="J263" s="3">
        <f>1549+(128.5-154.1)+(-2.36997+(-0.196605--0.235773))+0-96.8--0.148104000000006</f>
        <v>1424.4173020000003</v>
      </c>
      <c r="K263" s="3">
        <f>1591.2+(77-163.1)+(2.434536+(0.11781-0.249543))+0-70.7-0.108171000000004</f>
        <v>1436.594632</v>
      </c>
      <c r="L263" s="3">
        <f>1601.4+(46.2-170.7)+(-1.633428+(-0.047124--0.174114))+0-81.8--0.083436000000013</f>
        <v>1393.6769980000004</v>
      </c>
      <c r="M263" s="3">
        <f>1598.7+(95.9-163.8)+(-4.892022+(-0.293454--0.501228))+0-74.4--0.227664000000009</f>
        <v>1451.9434159999998</v>
      </c>
      <c r="N263" s="3">
        <f>1577.4+(151.3-105.5)+(-2.413422+(-0.231489--0.161415))+0-68.9--0.105417000000004</f>
        <v>1551.9219209999999</v>
      </c>
      <c r="O263" s="3">
        <f>1683.3+(179.4-101.9)+(0+(0-0))+0-84.3-0</f>
        <v>1676.5</v>
      </c>
      <c r="P263" s="3">
        <f>1756.3+(136.4-91.9)+(0+(0-0))+0-79-0</f>
        <v>1721.8</v>
      </c>
      <c r="Q263" s="3">
        <f>1750.1+(151.9-92)+(-1.785102+(-0.154938--0.09384))+0-73.9--0.0753780000000118</f>
        <v>1734.329178</v>
      </c>
      <c r="R263" s="3">
        <f>1613.1+(295.7-99)+(-3.290724+(-0.603228--0.20196))+0-86--0.175439999999996</f>
        <v>1720.2834479999999</v>
      </c>
      <c r="S263" s="3">
        <f>1568.6+(307.7-97.8)+(-0.799986+(-0.156927--0.049878))+0-89.7--0.0457469999999909</f>
        <v>1687.9387119999999</v>
      </c>
      <c r="T263" s="3">
        <f>1547.4+(263-97.3)+(-5.524218+(-0.93891--0.347361))+0-86.1--0.307377000000001</f>
        <v>1621.1916100000003</v>
      </c>
      <c r="U263" s="3">
        <f>1578.1+(235.8-95.9)+(0.804831+(0.120258-0.048909))+0-94.9-0.0483989999999904</f>
        <v>1623.9277809999999</v>
      </c>
      <c r="V263" s="3">
        <f>1666.7+(262.1-110.6)+(-0.850017+(-0.133671--0.056406))+0-64.1--0.0326909999999935</f>
        <v>1753.2054089999999</v>
      </c>
      <c r="W263" s="3">
        <f>1966.8+(132.2-115)+(0+(0-0))+0-79.3-0</f>
        <v>1904.7</v>
      </c>
      <c r="X263" s="3">
        <f>1993+(126.3-115)+(-3.04929+(-0.193239--0.17595))+0-87.5--0.133875000000005</f>
        <v>1913.8672959999999</v>
      </c>
      <c r="Y263" s="3">
        <f>1981.1+(118.8-108.9)+(-3.031083+(-0.181764--0.166617))+0-74.7--0.114291000000004</f>
        <v>1913.3680610000001</v>
      </c>
      <c r="Z263" s="3">
        <f>1969.3+(144.8-99.5)+(-5.021715+(-0.36924--0.253725))+0-84.1--0.214454999999988</f>
        <v>1925.577225</v>
      </c>
      <c r="AA263" s="3">
        <f>1918.8+(151.4-96.7)+(0+(0-0))+0-93.5-0</f>
        <v>1880</v>
      </c>
      <c r="AB263" s="3">
        <f>1786.8+(173.4-83.6)+(-3.645072+(-0.353736--0.170544))+0-78.7--0.160547999999997</f>
        <v>1794.2322839999999</v>
      </c>
      <c r="AC263" s="3">
        <f>1682.3+(172.8-71.4)+(-6.005811+(-0.616896--0.254898))+0-64.2--0.229194000000001</f>
        <v>1713.3613849999999</v>
      </c>
      <c r="AD263" s="2">
        <v>2053.8000000000002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1626+(148.8-75.8)+(4.1463+(0.37944-0.19329))+0-82.6-0.210629999999988</f>
        <v>1620.5218200000002</v>
      </c>
      <c r="G264" s="3">
        <f>1500.4+(170.7-58.1)+(1.530408+(0.174114-0.059262))+0-87.4-0.0891480000000139</f>
        <v>1527.1561119999999</v>
      </c>
      <c r="H264" s="3">
        <f>1425.4+(196.7-59)+(-2.180862+(-0.300951--0.09027))+0-77.9--0.119187000000005</f>
        <v>1482.9276440000001</v>
      </c>
      <c r="I264" s="3">
        <f>1438.3+(193.6-62)+(0+(0-0))+0-87.8-0</f>
        <v>1482.1</v>
      </c>
      <c r="J264" s="3">
        <f>1443+(174.6-72.3)+(0.73593+(0.089046-0.036873))+0-85.7-0.0437069999999913</f>
        <v>1460.344396</v>
      </c>
      <c r="K264" s="3">
        <f>1549.3+(151.8-105.5)+(3.160572+(0.309672-0.21522))+0-87-0.177479999999996</f>
        <v>1511.6775439999999</v>
      </c>
      <c r="L264" s="3">
        <f>1760.6+(103.5-154.2)+(2.693718+(0.158355-0.235926))+0-87.9-0.134487000000005</f>
        <v>1624.4816599999997</v>
      </c>
      <c r="M264" s="3">
        <f>1894.2+(120-193.9)+(-2.898126+(-0.1836--0.296667))+0-74--0.113220000000004</f>
        <v>1743.6281609999999</v>
      </c>
      <c r="N264" s="3">
        <f>1831.8+(185-126.5)+(0.934218+(0.09435-0.064515))+0-75.6-0.0385559999999923</f>
        <v>1815.625497</v>
      </c>
      <c r="O264" s="3">
        <f>1866.5+(159.4-158.3)+(-3.80766+(-0.325176--0.322932))+0-25.2--0.0514079999999989</f>
        <v>1838.6415039999999</v>
      </c>
      <c r="P264" s="3">
        <f>1927.4+(148.3-165.6)+(1.965948+(0.151266-0.168912))+0-70.3-0.0717060000000112</f>
        <v>1841.6765960000002</v>
      </c>
      <c r="Q264" s="3">
        <f>1914.4+(172.9-145.2)+(-1.952688+(-0.176358--0.148104))+0-76.6--0.0781320000000122</f>
        <v>1863.5971900000004</v>
      </c>
      <c r="R264" s="3">
        <f>1921.9+(156.7-143.2)+(-2.940507+(-0.239751--0.219096))+0-80.5--0.123165000000005</f>
        <v>1852.062003</v>
      </c>
      <c r="S264" s="3">
        <f>1913.7+(149-144.6)+(-0.975987+(-0.07599--0.073746))+0-79.3--0.040442999999992</f>
        <v>1837.8622120000002</v>
      </c>
      <c r="T264" s="3">
        <f>1923.9+(140.8-151)+(0.981189+(0.071808-0.07701))+0-86.9-0.0443189999999912</f>
        <v>1827.7316679999999</v>
      </c>
      <c r="U264" s="3">
        <f>1918.6+(119.2-152.4)+(-0.978486+(-0.060792--0.077724))+0-77.6--0.0395759999999921</f>
        <v>1806.8780219999999</v>
      </c>
      <c r="V264" s="3">
        <f>2018.1+(143.9-104.9)+(1.029231+(0.073389-0.053499))+0-85.2-0.0434519999999914</f>
        <v>1972.905669</v>
      </c>
      <c r="W264" s="3">
        <f>2094.3+(188.6-102.1)+(-2.136186+(-0.192372--0.104142))+0-83.6--0.0852720000000133</f>
        <v>2095.0608560000001</v>
      </c>
      <c r="X264" s="3">
        <f>2134.1+(144-110.9)+(-2.176782+(-0.14688--0.113118))+0-57.5--0.0586500000000092</f>
        <v>2107.5481059999997</v>
      </c>
      <c r="Y264" s="3">
        <f>2025+(156.4-107.4)+(-4.131+(-0.319056--0.219096))+0-24.6--0.0501839999999989</f>
        <v>2045.2192240000002</v>
      </c>
      <c r="Z264" s="3">
        <f>2027.8+(164.1-91.5)+(0+(0-0))+0-77.8-0</f>
        <v>2022.6000000000001</v>
      </c>
      <c r="AA264" s="3">
        <f>2001.2+(151.3-102.9)+(-7.144284+(-0.540141--0.367353))+0-87.7--0.313089000000001</f>
        <v>1954.8960169999998</v>
      </c>
      <c r="AB264" s="3">
        <f>1967.1+(140.1-174.7)+(-2.006442+(-0.142902--0.178194))+0-72.2--0.0736440000000115</f>
        <v>1858.4024939999999</v>
      </c>
      <c r="AC264" s="3">
        <f>1922.8+(140.2-164.6)+(-3.922512+(-0.286008--0.335784))+0-91.6--0.186863999999996</f>
        <v>1803.1141279999999</v>
      </c>
      <c r="AD264" s="2">
        <v>2289.9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1637.3+(152.1-96.6)+(-3.340092+(-0.310284--0.197064))+0-54--0.110159999999998</f>
        <v>1635.4568479999998</v>
      </c>
      <c r="G265" s="3">
        <f>1542.5+(169.1-71.3)+(0+(0-0))+0-70.6-0</f>
        <v>1569.7</v>
      </c>
      <c r="H265" s="3">
        <f>1534+(177.9-62.1)+(-3.12936+(-0.362916--0.126684))+0-81.4--0.166055999999996</f>
        <v>1565.2004639999998</v>
      </c>
      <c r="I265" s="3">
        <f>1548.1+(173.6-67.3)+(3.158124+(0.354144-0.137292))+0-84.3-0.171971999999996</f>
        <v>1573.3030039999999</v>
      </c>
      <c r="J265" s="3">
        <f>1542.8+(161.2-81.7)+(0.786828+(0.082212-0.041667))+0-67.5-0.0344249999999932</f>
        <v>1555.592948</v>
      </c>
      <c r="K265" s="3">
        <f>1666.7+(110.5-144)+(0+(0-0))+0-37.2-0</f>
        <v>1596</v>
      </c>
      <c r="L265" s="3">
        <f>1782.2+(111-164.7)+(0+(0-0))+0-89.5-0</f>
        <v>1639</v>
      </c>
      <c r="M265" s="3">
        <f>1865.8+(135.1-152.5)+(1.903116+(0.137802-0.15555))+0-73.5-0.0749700000000117</f>
        <v>1776.7103979999997</v>
      </c>
      <c r="N265" s="3">
        <f>1992.3+(132.5-162.9)+(-2.032146+(-0.13515--0.166158))+0-72.3--0.0737460000000115</f>
        <v>1887.6726079999999</v>
      </c>
      <c r="O265" s="3">
        <f>2104.2+(138.4-210.7)+(3.219426+(0.211752-0.322371))+0-75.8-0.115974000000004</f>
        <v>1959.0928329999999</v>
      </c>
      <c r="P265" s="3">
        <f>2283.9+(140-354.2)+(-1.164789+(-0.0714--0.180642))+0-89.7--0.0457469999999909</f>
        <v>1978.9902000000002</v>
      </c>
      <c r="Q265" s="3">
        <f>2618.4+(139.2-591.6)+(-8.012304+(-0.425952--1.810296))+0-85.8--0.26254800000001</f>
        <v>2073.8345880000002</v>
      </c>
      <c r="R265" s="3">
        <f>2605.1+(140-633.5)+(2.657202+(0.1428-0.64617))+0-23.9-0.0243780000000038</f>
        <v>2089.8294539999997</v>
      </c>
      <c r="S265" s="3">
        <f>2552.6+(141.2-573.3)+(0+(0-0))+0-79-0</f>
        <v>2041.5</v>
      </c>
      <c r="T265" s="3">
        <f>2591.2+(140.7-584.3)+(0+(0-0))+0-87.4-0</f>
        <v>2060.1999999999998</v>
      </c>
      <c r="U265" s="3">
        <f>2550+(132.7-569.6)+(-2.601+(-0.135354--0.580992))+0-84.6--0.0862920000000135</f>
        <v>2026.43093</v>
      </c>
      <c r="V265" s="3">
        <f>2615+(96.2-475.8)+(0+(0-0))+0-69.4-0</f>
        <v>2166</v>
      </c>
      <c r="W265" s="3">
        <f>2697.7+(70.2-414.6)+(-1.375827+(-0.035802--0.211446))+0-89.7--0.0457469999999909</f>
        <v>2262.4455640000001</v>
      </c>
      <c r="X265" s="3">
        <f>2684.7+(68.8-426.3)+(-6.845985+(-0.17544--1.087065))+0-89.6--0.228479999999987</f>
        <v>2231.8941199999995</v>
      </c>
      <c r="Y265" s="3">
        <f>2684.1+(94.7-449.8)+(-5.475564+(-0.193188--0.917592))+0-94.1--0.191963999999996</f>
        <v>2230.3408040000004</v>
      </c>
      <c r="Z265" s="3">
        <f>2630+(128.7-462.2)+(-2.6826+(-0.131274--0.471444))+0-87.6--0.089352000000014</f>
        <v>2206.6469219999999</v>
      </c>
      <c r="AA265" s="3">
        <f>2617.9+(140.1-513)+(-2.670258+(-0.142902--0.52326))+0-93.8--0.095676000000015</f>
        <v>2149.0057759999995</v>
      </c>
      <c r="AB265" s="3">
        <f>2616.8+(141.3-557.6)+(-4.003704+(-0.216189--0.853128))+0-89--0.136170000000005</f>
        <v>2108.269405</v>
      </c>
      <c r="AC265" s="3">
        <f>2563.6+(136-584.2)+(-6.53718+(-0.3468--1.48971))+0-83.8--0.213689999999988</f>
        <v>2026.4194199999999</v>
      </c>
      <c r="AD265" s="2">
        <v>2274.5000000000005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2364.1+(140.8-510.9)+(2.411382+(0.143616-0.521118))+0-80.4-0.0820080000000128</f>
        <v>1915.5518719999998</v>
      </c>
      <c r="G266" s="3">
        <f>2301.8+(141.3-480.3)+(-2.347836+(-0.144126--0.489906))+0-90.8--0.0926160000000145</f>
        <v>1870.0905600000001</v>
      </c>
      <c r="H266" s="3">
        <f>2154.3+(139.6-419.7)+(-2.197386+(-0.142392--0.428094))+0-62.8--0.06405600000001</f>
        <v>1809.5523720000003</v>
      </c>
      <c r="I266" s="3">
        <f>2069.5+(137.9-354.7)+(3.166335+(0.210987-0.542691))+0-81-0.123930000000005</f>
        <v>1774.410701</v>
      </c>
      <c r="J266" s="3">
        <f>2025.5+(139.4-312.3)+(1.033005+(0.071094-0.159273))+0-83.6-0.0426359999999915</f>
        <v>1769.90219</v>
      </c>
      <c r="K266" s="3">
        <f>1907.7+(35.5-181.3)+(-1.945854+(-0.03621--0.184926))+0-79.2--0.0807840000000126</f>
        <v>1680.9836460000001</v>
      </c>
      <c r="L266" s="3">
        <f>1875.9+(114.6-196.7)+(-0.956709+(-0.058446--0.100317))+0-80.7--0.0411569999999918</f>
        <v>1712.2263190000001</v>
      </c>
      <c r="M266" s="3">
        <f>2308.3+(122.3-422.1)+(-1.177233+(-0.062373--0.215271))+0-89.4--0.0455939999999909</f>
        <v>1918.121259</v>
      </c>
      <c r="N266" s="3">
        <f>2495.8+(130.3-523.8)+(1.272858+(0.066453-0.267138))+0-77.3-0.0394229999999922</f>
        <v>2026.0327500000003</v>
      </c>
      <c r="O266" s="3">
        <f>2607+(140.4-559.1)+(5.31828+(0.286416-1.140564))+0-75.2-0.153407999999997</f>
        <v>2117.4107240000003</v>
      </c>
      <c r="P266" s="3">
        <f>2669.2+(141.2-594)+(-1.361292+(-0.072012--0.30294))+0-74--0.0377399999999925</f>
        <v>2141.3073759999997</v>
      </c>
      <c r="Q266" s="3">
        <f>2641.6+(140.9-613.1)+(-2.694432+(-0.143718--0.625362))+0-71.6--0.0730320000000114</f>
        <v>2095.6602439999997</v>
      </c>
      <c r="R266" s="3">
        <f>2657+(140.8-595.9)+(-2.71014+(-0.143616--0.607818))+0-79--0.0805800000000126</f>
        <v>2120.7346419999999</v>
      </c>
      <c r="S266" s="3">
        <f>2667.9+(140.7-633.7)+(1.360629+(0.071757-0.323187))+0-71-0.0362099999999928</f>
        <v>2104.9729889999999</v>
      </c>
      <c r="T266" s="3">
        <f>2642.3+(141.7-637)+(4.042719+(0.216801-0.97461))+0-86.7-0.132651000000005</f>
        <v>2063.4522590000001</v>
      </c>
      <c r="U266" s="3">
        <f>2700+(129.4-668.6)+(1.377+(0.065994-0.340986))+0-91-0.0464099999999908</f>
        <v>2070.8555980000001</v>
      </c>
      <c r="V266" s="3">
        <f>2714.4+(79.6-568)+(-1.384344+(-0.040596--0.28968))+0-81.2--0.0414119999999918</f>
        <v>2143.7061520000002</v>
      </c>
      <c r="W266" s="3">
        <f>2850.7+(40.7-532.2)+(-2.907714+(-0.041514--0.542844))+0-85.3--0.0870060000000136</f>
        <v>2271.5806219999999</v>
      </c>
      <c r="X266" s="3">
        <f>2758.9+(59.3-507.8)+(1.407039+(0.030243-0.258978))+0-56.4-0.0287639999999943</f>
        <v>2255.1495399999999</v>
      </c>
      <c r="Y266" s="3">
        <f>2715.1+(81.6-505.8)+(-1.384701+(-0.041616--0.257958))+0-80.1--0.0408509999999919</f>
        <v>2209.6724920000001</v>
      </c>
      <c r="Z266" s="3">
        <f>2685.1+(111.4-507.2)+(-9.585807+(-0.397698--1.810704))+0-83.5--0.298095000000001</f>
        <v>2197.9252940000001</v>
      </c>
      <c r="AA266" s="3">
        <f>2693+(140-580.3)+(-6.86715+(-0.357--1.479765))+0-88.4--0.225419999999987</f>
        <v>2158.781035</v>
      </c>
      <c r="AB266" s="3">
        <f>2658+(140.9-612.2)+(0+(0-0))+0-70.4-0</f>
        <v>2116.2999999999997</v>
      </c>
      <c r="AC266" s="3">
        <f>2546.1+(140.6-536.8)+(-3.895533+(-0.215118--0.821304))+0-84.8--0.129744000000005</f>
        <v>2061.9403969999998</v>
      </c>
      <c r="AD266" s="2">
        <v>2288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2449.1+(140-531.5)+(-4.996164+(-0.2856--1.08426))+0-82.1--0.167483999999996</f>
        <v>1971.4699799999999</v>
      </c>
      <c r="G267" s="3">
        <f>2300.4+(139.8-487.3)+(-2.346408+(-0.142596--0.497046))+0-90.1--0.0919020000000144</f>
        <v>1860.8999440000002</v>
      </c>
      <c r="H267" s="3">
        <f>2243.8+(139.7-452.5)+(-4.577352+(-0.284988--0.9231))+0-94--0.191759999999996</f>
        <v>1833.2525200000002</v>
      </c>
      <c r="I267" s="3">
        <f>2017.6+(140.5-327.8)+(1.028976+(0.071655-0.167178))+0-81-0.0413099999999918</f>
        <v>1750.192143</v>
      </c>
      <c r="J267" s="3">
        <f>2119.3+(140.5-367)+(0+(0-0))+0-86.2-0</f>
        <v>1806.6000000000001</v>
      </c>
      <c r="K267" s="3">
        <f>2314.6+(141.4-517.6)+(3.541338+(0.216342-0.791928))+0-60.3-0.0922590000000035</f>
        <v>1880.973493</v>
      </c>
      <c r="L267" s="3">
        <f>2305+(139.4-506.4)+(0+(0-0))+0-74.6-0</f>
        <v>1863.4</v>
      </c>
      <c r="M267" s="3">
        <f>2373.8+(140-508.7)+(2.421276+(0.1428-0.518874))+0-25.6-0.0261120000000041</f>
        <v>1981.5190900000002</v>
      </c>
      <c r="N267" s="3">
        <f>2585.8+(140.2-561.2)+(2.637516+(0.143004-0.572424))+0-23.3-0.0237660000000037</f>
        <v>2143.68433</v>
      </c>
      <c r="O267" s="3">
        <f>2672.1+(139.5-609.4)+(0+(0-0))+0-19.7-0</f>
        <v>2182.5</v>
      </c>
      <c r="P267" s="3">
        <f>2633.6+(136.1-607.8)+(0+(0-0))+0-21-0</f>
        <v>2140.9</v>
      </c>
      <c r="Q267" s="3">
        <f>2595.8+(137.8-582.8)+(-3.971574+(-0.210834--0.891684))+0-20.8--0.0318240000000012</f>
        <v>2126.7411000000002</v>
      </c>
      <c r="R267" s="3">
        <f>2548.3+(141.3-566.2)+(-1.299633+(-0.072063--0.288762))+0-21--0.0107099999999979</f>
        <v>2101.3277760000001</v>
      </c>
      <c r="S267" s="3">
        <f>2533.9+(141.9-557.5)+(-5.169156+(-0.289476--1.1373))+0-20.9--0.0426359999999991</f>
        <v>2093.1213040000002</v>
      </c>
      <c r="T267" s="3">
        <f>2493.4+(136.2-500.9)+(-1.271634+(-0.069462--0.255459))+0-82.8--0.0422279999999916</f>
        <v>2044.8565910000002</v>
      </c>
      <c r="U267" s="3">
        <f>2267.4+(106.1-369.1)+(2.312748+(0.108222-0.376482))+0-75.5-0.077010000000012</f>
        <v>1930.8674780000001</v>
      </c>
      <c r="V267" s="3">
        <f>2212.3+(82.4-240.7)+(-2.256546+(-0.084048--0.245514))+0-70--0.0714000000000112</f>
        <v>1981.97632</v>
      </c>
      <c r="W267" s="3">
        <f>2465.6+(53.1-285.8)+(3.772368+(0.081243-0.437274))+0-70-0.107100000000004</f>
        <v>2166.209237</v>
      </c>
      <c r="X267" s="3">
        <f>2556.3+(9-318.1)+(-5.214852+(-0.01836--0.648924))+0-70--0.142799999999997</f>
        <v>2172.7585120000003</v>
      </c>
      <c r="Y267" s="3">
        <f>2563.9+(22-354)+(-3.922767+(-0.03366--0.54162))+0-70.3--0.107559000000004</f>
        <v>2158.2927519999998</v>
      </c>
      <c r="Z267" s="3">
        <f>2640.8+(51.5-474.4)+(2.693616+(0.05253-0.483888))+0-80.2-0.0818040000000128</f>
        <v>2139.8804540000006</v>
      </c>
      <c r="AA267" s="3">
        <f>2578.5+(120.1-483.3)+(-6.575175+(-0.306255--1.232415))+0-85.5--0.218024999999988</f>
        <v>2124.3690100000003</v>
      </c>
      <c r="AB267" s="3">
        <f>2252.6+(141.2-384.2)+(-1.148826+(-0.072012--0.195942))+0-71.8--0.0366179999999927</f>
        <v>1936.8117220000001</v>
      </c>
      <c r="AC267" s="3">
        <f>1853.7+(140.7-181.4)+(-4.726935+(-0.358785--0.46257))+0-87.3--0.222614999999987</f>
        <v>1721.2994650000001</v>
      </c>
      <c r="AD267" s="2">
        <v>2263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1652.4+(140.6-122.3)+(-2.528172+(-0.215118--0.187119))+0-85.8--0.131274000000005</f>
        <v>1582.4751030000002</v>
      </c>
      <c r="G268" s="3">
        <f>1511.9+(159.6-84.5)+(-2.313207+(-0.244188--0.129285))+0-66--0.100980000000004</f>
        <v>1518.6728699999999</v>
      </c>
      <c r="H268" s="3">
        <f>1454.7+(181.4-70)+(0.741897+(0.092514-0.0357))+0-83.5-0.0425849999999915</f>
        <v>1483.3561260000001</v>
      </c>
      <c r="I268" s="3">
        <f>1447.7+(197-63.9)+(-3.691635+(-0.50235--0.162945))+0-86.8--0.221339999999987</f>
        <v>1490.1903</v>
      </c>
      <c r="J268" s="3">
        <f>1461.1+(197.7-89.5)+(2.980644+(0.403308-0.18258))+0-95.2-0.194207999999996</f>
        <v>1477.107164</v>
      </c>
      <c r="K268" s="3">
        <f>1580.1+(154.7-112.5)+(1.611702+(0.157794-0.11475))+0-76.6-0.0781320000000122</f>
        <v>1547.2766139999999</v>
      </c>
      <c r="L268" s="3">
        <f>1672.7+(141.4-137.8)+(1.706154+(0.144228-0.140556))+0-77-0.0785400000000123</f>
        <v>1600.931286</v>
      </c>
      <c r="M268" s="3">
        <f>1727.1+(176.7-142.3)+(1.761642+(0.180234-0.145146))+0-79-0.0805800000000126</f>
        <v>1684.21615</v>
      </c>
      <c r="N268" s="3">
        <f>1867.6+(141-182.3)+(1.904952+(0.14382-0.185946))+0-50.7-0.0517140000000081</f>
        <v>1777.411112</v>
      </c>
      <c r="O268" s="3">
        <f>1951.5+(140.7-193.6)+(0.995265+(0.071757-0.098736))+0-90.1-0.0459509999999909</f>
        <v>1809.422335</v>
      </c>
      <c r="P268" s="3">
        <f>1922.2+(149.2-126.2)+(-4.90161+(-0.38046--0.32181))+0-82.9--0.211394999999988</f>
        <v>1857.5511349999999</v>
      </c>
      <c r="Q268" s="3">
        <f>1883.7+(159.1-117.9)+(-2.882061+(-0.243423--0.180387))+0-77.1--0.117963000000004</f>
        <v>1844.9728660000001</v>
      </c>
      <c r="R268" s="3">
        <f>1862.3+(168.4-111.3)+(-4.748865+(-0.42942--0.283815))+0-84.4--0.215219999999988</f>
        <v>1830.3207499999999</v>
      </c>
      <c r="S268" s="3">
        <f>1885.9+(140-162.4)+(-1.923618+(-0.1428--0.165648))+0-77.7--0.0792540000000124</f>
        <v>1783.978484</v>
      </c>
      <c r="T268" s="3">
        <f>1877.8+(138.4-176.5)+(-0.957678+(-0.070584--0.090015))+0-79--0.040289999999992</f>
        <v>1759.8020429999999</v>
      </c>
      <c r="U268" s="3">
        <f>1881.2+(100.8-179.2)+(-1.918824+(-0.102816--0.182784))+0-72.6--0.0740520000000116</f>
        <v>1728.4351959999999</v>
      </c>
      <c r="V268" s="3">
        <f>1901.2+(81-136.2)+(-2.908836+(-0.12393--0.208386))+0-77.2--0.118116000000004</f>
        <v>1766.093736</v>
      </c>
      <c r="W268" s="3">
        <f>2020.8+(65.2-146.6)+(4.122432+(0.133008-0.299064))+0-70.8-0.144431999999997</f>
        <v>1872.4119439999999</v>
      </c>
      <c r="X268" s="3">
        <f>1989.8+(73.3-123.1)+(-5.07399+(-0.186915--0.313905))+0-85.8--0.218789999999988</f>
        <v>1849.4717900000001</v>
      </c>
      <c r="Y268" s="3">
        <f>1997.9+(70.3-191.9)+(-2.037858+(-0.071706--0.195738))+0-80.7--0.0823140000000129</f>
        <v>1793.7684880000002</v>
      </c>
      <c r="Z268" s="3">
        <f>2002.5+(106.1-230.5)+(-2.04255+(-0.108222--0.23511))+0-89.5--0.0912900000000143</f>
        <v>1786.7756279999999</v>
      </c>
      <c r="AA268" s="3">
        <f>1923.3+(139.4-244.8)+(-3.923532+(-0.284376--0.499392))+0-88--0.179519999999996</f>
        <v>1726.3710039999999</v>
      </c>
      <c r="AB268" s="3">
        <f>1853.5+(142.1-248)+(-3.78114+(-0.289884--0.50592))+0-91--0.185639999999996</f>
        <v>1653.2205359999998</v>
      </c>
      <c r="AC268" s="3">
        <f>1825.6+(143.2-315.2)+(-0.931056+(-0.073032--0.160752))+0-59.8--0.0304979999999939</f>
        <v>1592.9871620000001</v>
      </c>
      <c r="AD268" s="2">
        <v>2053.6999999999998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1785.3+(143.3-305.4)+(-3.642012+(-0.292332--0.623016))+0-77.2--0.157487999999997</f>
        <v>1542.8461600000001</v>
      </c>
      <c r="G269" s="3">
        <f>1753+(143.2-330.3)+(-1.78806+(-0.146064--0.336906))+0-83.4--0.0850680000000133</f>
        <v>1480.98785</v>
      </c>
      <c r="H269" s="3">
        <f>1622.4+(143.3-253.2)+(-1.654848+(-0.146166--0.258264))+0-90.5--0.0923100000000144</f>
        <v>1420.5495599999999</v>
      </c>
      <c r="I269" s="3">
        <f>1638.4+(138.5-263.7)+(-2.506752+(-0.211905--0.403461))+0-84.8--0.129744000000005</f>
        <v>1426.2145480000001</v>
      </c>
      <c r="J269" s="3">
        <f>1661.9+(93.9-254.3)+(-0.847569+(-0.047889--0.129693))+0-73.7--0.0375869999999925</f>
        <v>1427.0718219999999</v>
      </c>
      <c r="K269" s="3">
        <f>1687+(24-213.8)+(4.30185+(0.0612-0.54519))+0-67.6-0.17237999999999</f>
        <v>1433.2454800000003</v>
      </c>
      <c r="L269" s="3">
        <f>1701.3+(0-220)+(-6.941304+(0--0.8976))+0-87.3--0.356183999999992</f>
        <v>1388.3124800000001</v>
      </c>
      <c r="M269" s="3">
        <f>1738.9+(0-199.7)+(0.886839+(0-0.101847))+0-80.6-0.0411059999999918</f>
        <v>1459.3438860000003</v>
      </c>
      <c r="N269" s="3">
        <f>1823.6+(4.2-150.3)+(2.790108+(0.006426-0.229959))+0-72.8-0.111384000000004</f>
        <v>1607.1551910000001</v>
      </c>
      <c r="O269" s="3">
        <f>1826.4+(9.3-132.7)+(2.794392+(0.014229-0.203031))+0-77-0.117810000000004</f>
        <v>1628.4877799999999</v>
      </c>
      <c r="P269" s="3">
        <f>1819.2+(66.9-127.1)+(0+(0-0))+0-100.2-0</f>
        <v>1658.8</v>
      </c>
      <c r="Q269" s="3">
        <f>1815.9+(60.5-135.4)+(0.926109+(0.030855-0.069054))+0-71-0.0362099999999928</f>
        <v>1670.8516999999999</v>
      </c>
      <c r="R269" s="3">
        <f>1798.1+(71.4-137)+(-3.668124+(-0.145656--0.27948))+0-86.3--0.176051999999996</f>
        <v>1642.841752</v>
      </c>
      <c r="S269" s="3">
        <f>1811.2+(40.2-170.5)+(0+(0-0))+0-80.5-0</f>
        <v>1600.4</v>
      </c>
      <c r="T269" s="3">
        <f>1826.6+(0-164.9)+(2.794698+(0-0.252297))+0-85.8-0.131274000000005</f>
        <v>1578.3111269999997</v>
      </c>
      <c r="U269" s="3">
        <f>1759.3+(15-136.6)+(0.897243+(0.00765-0.069666))+0-86.6-0.0441659999999912</f>
        <v>1551.8910610000003</v>
      </c>
      <c r="V269" s="3">
        <f>1779.9+(130.4-156.5)+(-0.907749+(-0.066504--0.079815))+0-64.4--0.0328439999999935</f>
        <v>1688.5384060000001</v>
      </c>
      <c r="W269" s="3">
        <f>1837.8+(160.7-150.3)+(0.937278+(0.081957-0.076653))+0-78.7-0.040136999999992</f>
        <v>1770.4024449999997</v>
      </c>
      <c r="X269" s="3">
        <f>1837.7+(156.5-137)+(-1.874454+(-0.15963--0.13974))+0-94.5--0.0963900000000151</f>
        <v>1760.9020459999999</v>
      </c>
      <c r="Y269" s="3">
        <f>1829.4+(130-124.4)+(-4.66497+(-0.3315--0.31722))+0-91.4--0.233069999999987</f>
        <v>1739.15382</v>
      </c>
      <c r="Z269" s="3">
        <f>1820.9+(110.9-110.8)+(-0.928659+(-0.056559--0.056508))+0-90.8--0.0463079999999908</f>
        <v>1729.3175980000001</v>
      </c>
      <c r="AA269" s="3">
        <f>1775+(99.2-101.7)+(-2.71575+(-0.151776--0.155601))+0-84.5--0.129285000000005</f>
        <v>1685.4173599999999</v>
      </c>
      <c r="AB269" s="3">
        <f>1707.9+(99.9-108.3)+(-1.742058+(-0.101898--0.110466))+0-89.8--0.0915960000000143</f>
        <v>1608.058106</v>
      </c>
      <c r="AC269" s="3">
        <f>1665.2+(117.5-173)+(-2.547756+(-0.179775--0.26469))+0-57.1--0.0873630000000033</f>
        <v>1550.2245220000002</v>
      </c>
      <c r="AD269" s="2">
        <v>1971.9000000000003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1510.9+(138.4-95.2)+(-3.852795+(-0.35292--0.24276))+0-89.6--0.228479999999987</f>
        <v>1460.7655250000003</v>
      </c>
      <c r="G270" s="3">
        <f>1374.6+(184.9-72.2)+(-2.103138+(-0.282897--0.110466))+0-88.4--0.135252000000005</f>
        <v>1396.759683</v>
      </c>
      <c r="H270" s="3">
        <f>1373.2+(182.3-70.4)+(-3.50166+(-0.464865--0.17952))+0-94.6--0.241229999999986</f>
        <v>1386.9542250000004</v>
      </c>
      <c r="I270" s="3">
        <f>1375.5+(161.9-72.9)+(-1.40301+(-0.165138--0.074358))+0-82.7--0.0843540000000132</f>
        <v>1380.390564</v>
      </c>
      <c r="J270" s="3">
        <f>1415.6+(119.1-85.8)+(0+(0-0))+0-44.5-0</f>
        <v>1404.3999999999999</v>
      </c>
      <c r="K270" s="3">
        <f>1539.7+(79.7-107.7)+(-3.140988+(-0.162588--0.219708))+0-86--0.175439999999996</f>
        <v>1422.7915720000001</v>
      </c>
      <c r="L270" s="3">
        <f>1545.9+(41-123.4)+(-3.942045+(-0.10455--0.31467))+0-91.8--0.234089999999987</f>
        <v>1368.2021649999999</v>
      </c>
      <c r="M270" s="3">
        <f>1410.9+(133.1-120.8)+(-1.439118+(-0.135762--0.123216))+0-90.2--0.0920040000000144</f>
        <v>1331.6403400000002</v>
      </c>
      <c r="N270" s="3">
        <f>1415+(180.7-120.9)+(2.16495+(0.276471-0.184977))+0-81.6-0.124848000000005</f>
        <v>1395.3315960000002</v>
      </c>
      <c r="O270" s="3">
        <f>1583.1+(64.8-122.9)+(-1.614762+(-0.066096--0.125358))+0-66--0.0673200000000105</f>
        <v>1457.5118200000002</v>
      </c>
      <c r="P270" s="3">
        <f>1652.4+(42.5-137.2)+(-2.528172+(-0.065025--0.209916))+0-79.7--0.121941000000005</f>
        <v>1475.7386600000002</v>
      </c>
      <c r="Q270" s="3">
        <f>1721.3+(87.5-210.1)+(-1.755726+(-0.08925--0.214302))+0-82.9--0.0845580000000132</f>
        <v>1514.253884</v>
      </c>
      <c r="R270" s="3">
        <f>1678.6+(107.9-205.4)+(-2.568258+(-0.165087--0.314262))+0-75.9--0.116127000000004</f>
        <v>1502.8970439999998</v>
      </c>
      <c r="S270" s="3">
        <f>1594.4+(109.8-154.9)+(-4.06572+(-0.27999--0.394995))+0-60.9--0.155294999999991</f>
        <v>1484.6045800000002</v>
      </c>
      <c r="T270" s="3">
        <f>1516.3+(124.8-114.5)+(0.773313+(0.063648-0.058395))+0-87.7-0.0447269999999911</f>
        <v>1439.6338389999999</v>
      </c>
      <c r="U270" s="3">
        <f>1505.8+(146.3-119.7)+(0+(0-0))+0-86.1-0</f>
        <v>1446.3</v>
      </c>
      <c r="V270" s="3">
        <f>1600+(241.5-127.5)+(-0.816+(-0.123165--0.065025))+0-84.1--0.0428909999999915</f>
        <v>1629.0687510000002</v>
      </c>
      <c r="W270" s="3">
        <f>1730.9+(230.5-153.4)+(-0.882759+(-0.117555--0.078234))+0-73.2--0.0373319999999926</f>
        <v>1733.915252</v>
      </c>
      <c r="X270" s="3">
        <f>1797.2+(186-153.1)+(-2.749716+(-0.28458--0.234243))+0-81.1--0.124083000000005</f>
        <v>1746.3240300000002</v>
      </c>
      <c r="Y270" s="3">
        <f>1790.5+(153.5-128.6)+(-3.65262+(-0.31314--0.262344))+0-73.9--0.150755999999997</f>
        <v>1737.9473399999999</v>
      </c>
      <c r="Z270" s="3">
        <f>1753.6+(159.1-115.3)+(-0.894336+(-0.081141--0.058803))+0-81.7--0.0416669999999917</f>
        <v>1714.8249929999997</v>
      </c>
      <c r="AA270" s="3">
        <f>1694.4+(155.8-103.4)+(-2.592432+(-0.238374--0.158202))+0-85.6--0.130968000000005</f>
        <v>1658.6583640000001</v>
      </c>
      <c r="AB270" s="3">
        <f>1638.3+(103.1-91.1)+(-4.177665+(-0.262905--0.232305))+0-84.9--0.216494999999988</f>
        <v>1561.4082299999998</v>
      </c>
      <c r="AC270" s="3">
        <f>1640.3+(89.4-199.4)+(-3.346212+(-0.182376--0.406776))+0-44.1--0.0899639999999981</f>
        <v>1483.168152</v>
      </c>
      <c r="AD270" s="2">
        <v>1817.4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1413.7+(121.8-85.7)+(-2.162961+(-0.186354--0.131121))+0-86.8--0.132804000000005</f>
        <v>1360.91461</v>
      </c>
      <c r="G271" s="3">
        <f>1175.8+(228.9-74.3)+(-1.199316+(-0.233478--0.075786))+0-85.8--0.0875160000000137</f>
        <v>1243.3305080000002</v>
      </c>
      <c r="H271" s="3">
        <f>1159.8+(242.9-71.6)+(0+(0-0))+0-82.6-0</f>
        <v>1248.5</v>
      </c>
      <c r="I271" s="3">
        <f>1211.4+(218.1-74.8)+(-0.617814+(-0.111231--0.038148))+0-79.3--0.040442999999992</f>
        <v>1274.7495460000002</v>
      </c>
      <c r="J271" s="3">
        <f>1321.5+(155.9-83.8)+(0.673965+(0.079509-0.042738))+0-67.5-0.0344249999999932</f>
        <v>1326.7763109999999</v>
      </c>
      <c r="K271" s="3">
        <f>1369.6+(159.9-112.5)+(0+(0-0))+0-85.1-0</f>
        <v>1331.9</v>
      </c>
      <c r="L271" s="3">
        <f>1348.8+(233.7-124.4)+(0.687888+(0.119187-0.063444))+0-88.4-0.045083999999991</f>
        <v>1370.3985469999998</v>
      </c>
      <c r="M271" s="3">
        <f>1678.5+(32.6-120.8)+(0.856035+(0.016626-0.061608))+0-84.2-0.0429419999999915</f>
        <v>1506.8681109999998</v>
      </c>
      <c r="N271" s="3">
        <f>2299.4+(0-469.3)+(3.518082+(0-0.718029))+0-58-0.0887400000000034</f>
        <v>1774.8113130000002</v>
      </c>
      <c r="O271" s="3">
        <f>2516.6+(12.9-584.6)+(1.283466+(0.006579-0.298146))+0-92.5-0.0471749999999906</f>
        <v>1853.344724</v>
      </c>
      <c r="P271" s="3">
        <f>2680.6+(4.3-690.1)+(5.468424+(0.008772-1.407804))+0-64.1-0.130763999999997</f>
        <v>1934.6386279999999</v>
      </c>
      <c r="Q271" s="3">
        <f>2697.8+(0-671.8)+(-4.127634+(0--1.027854))+0-32.3--0.0494190000000019</f>
        <v>1990.6496390000002</v>
      </c>
      <c r="R271" s="3">
        <f>2672.6+(13.9-631.9)+(-5.452104+(-0.028356--1.289076))+0-76.7--0.156467999999997</f>
        <v>1973.8650839999996</v>
      </c>
      <c r="S271" s="3">
        <f>2600.3+(39.4-640)+(0+(0-0))+0-58.2-0</f>
        <v>1941.5000000000002</v>
      </c>
      <c r="T271" s="3">
        <f>2620.4+(0-641)+(0+(0-0))+0-74.4-0</f>
        <v>1905</v>
      </c>
      <c r="U271" s="3">
        <f>2490.6+(0-535.9)+(-1.270206+(0--0.273309))+0-67.4--0.0343739999999932</f>
        <v>1886.3374769999998</v>
      </c>
      <c r="V271" s="3">
        <f>2420.6+(0-366.9)+(-3.703518+(0--0.561357))+0-95.5--0.146115000000006</f>
        <v>1955.2039539999996</v>
      </c>
      <c r="W271" s="3">
        <f>2882.7+(0-629.1)+(-2.940354+(0--0.641682))+0-62.4--0.0636480000000099</f>
        <v>2188.9649759999998</v>
      </c>
      <c r="X271" s="3">
        <f>2879.2+(0-616)+(-5.873568+(0--1.25664))+0-70--0.142799999999997</f>
        <v>2188.725872</v>
      </c>
      <c r="Y271" s="3">
        <f>2788.9+(1.8-535.5)+(-5.689356+(-0.003672--1.09242))+0-78.7--0.160547999999997</f>
        <v>2172.0599399999996</v>
      </c>
      <c r="Z271" s="3">
        <f>2726.6+(27.6-527.1)+(0+(0-0))+0-79.9-0</f>
        <v>2147.1999999999998</v>
      </c>
      <c r="AA271" s="3">
        <f>2639.3+(47.4-508.5)+(-2.692086+(-0.048348--0.51867))+0-92.2--0.0940440000000147</f>
        <v>2083.8722800000005</v>
      </c>
      <c r="AB271" s="3">
        <f>2438.8+(52-433.8)+(-1.243788+(-0.02652--0.221238))+0-88.5--0.045134999999991</f>
        <v>1967.496065</v>
      </c>
      <c r="AC271" s="3">
        <f>2104.1+(52-317.9)+(-3.219273+(-0.07956--0.486387))+0-31.4--0.0480420000000018</f>
        <v>1804.0355959999997</v>
      </c>
      <c r="AD271" s="2">
        <v>2128.5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1882.8+(77-203.2)+(-1.920456+(-0.07854--0.207264))+0-87.6--0.089352000000014</f>
        <v>1667.2976200000001</v>
      </c>
      <c r="G272" s="3">
        <f>1773.3+(115-195.3)+(-4.521915+(-0.29325--0.498015))+0-77.8--0.198389999999989</f>
        <v>1611.08124</v>
      </c>
      <c r="H272" s="3">
        <f>1864.8+(110-284.5)+(1.902096+(0.1122-0.29019))+0-72.6-0.0740520000000116</f>
        <v>1619.350054</v>
      </c>
      <c r="I272" s="3">
        <f>1970.3+(121-358.4)+(0+(0-0))+0-83.8-0</f>
        <v>1649.1000000000001</v>
      </c>
      <c r="J272" s="3">
        <f>2009.3+(79-373.3)+(2.049486+(0.08058-0.380766))+0-66.5-0.0678300000000106</f>
        <v>1650.18147</v>
      </c>
      <c r="K272" s="3">
        <f>2016.7+(75-300.7)+(-4.114068+(-0.153--0.613428))+0-88.5--0.180539999999996</f>
        <v>1699.0269000000001</v>
      </c>
      <c r="L272" s="3">
        <f>2047.6+(110-270.2)+(0+(0-0))+0-80.7-0</f>
        <v>1806.6999999999998</v>
      </c>
      <c r="M272" s="3">
        <f>2082.8+(110-222.9)+(-2.124456+(-0.1122--0.227358))+0-72.6--0.0740520000000116</f>
        <v>1895.3647540000002</v>
      </c>
      <c r="N272" s="3">
        <f>2159.5+(91-259.1)+(2.20269+(0.09282-0.264282))+0-81.8-0.083436000000013</f>
        <v>1911.5477920000001</v>
      </c>
      <c r="O272" s="3">
        <f>2283.7+(0-349.7)+(1.164687+(0-0.178347))+0-95-0.0484499999999904</f>
        <v>1839.9378899999997</v>
      </c>
      <c r="P272" s="3">
        <f>2309.3+(0-364)+(0+(0-0))+0-74-0</f>
        <v>1871.3000000000002</v>
      </c>
      <c r="Q272" s="3">
        <f>2286.7+(0-378.1)+(-3.498651+(0--0.578493))+0-49.2--0.0752760000000029</f>
        <v>1856.555118</v>
      </c>
      <c r="R272" s="3">
        <f>2284+(0-350.9)+(-6.98904+(0--1.073754))+0-90.1--0.27570600000001</f>
        <v>1837.36042</v>
      </c>
      <c r="S272" s="3">
        <f>2295.7+(0-372.9)+(-3.512421+(0--0.570537))+0-91--0.139230000000005</f>
        <v>1828.9973459999997</v>
      </c>
      <c r="T272" s="3">
        <f>2304.7+(0-394.1)+(4.701588+(0-0.803964))+0-88.8-0.181151999999996</f>
        <v>1825.516472</v>
      </c>
      <c r="U272" s="3">
        <f>2294.6+(0-378.5)+(-3.510738+(0--0.579105))+0-88.1--0.134793000000005</f>
        <v>1825.20316</v>
      </c>
      <c r="V272" s="3">
        <f>2324.3+(0-259.6)+(1.185393+(0-0.132396))+0-82-0.0418199999999917</f>
        <v>1983.7111770000001</v>
      </c>
      <c r="W272" s="3">
        <f>2330.5+(0-194.8)+(-4.75422+(0--0.397392))+0-82.9--0.169115999999996</f>
        <v>2048.6122879999998</v>
      </c>
      <c r="X272" s="3">
        <f>2179.6+(59.5-159.6)+(-2.223192+(-0.06069--0.162792))+0-86--0.0877200000000137</f>
        <v>1991.4666299999999</v>
      </c>
      <c r="Y272" s="3">
        <f>2152.1+(45.5-157.5)+(-4.390284+(-0.09282--0.3213))+0-63--0.128519999999997</f>
        <v>1973.0667159999998</v>
      </c>
      <c r="Z272" s="3">
        <f>2113.8+(80.8-148.1)+(1.078038+(0.041208-0.075531))+0-86.1-0.0439109999999913</f>
        <v>1961.3998040000004</v>
      </c>
      <c r="AA272" s="3">
        <f>2103.5+(37.5-123.5)+(-4.29114+(-0.0765--0.25194))+0-91--0.185639999999996</f>
        <v>1922.5699399999999</v>
      </c>
      <c r="AB272" s="3">
        <f>2125+(0-171.3)+(-3.25125+(0--0.262089))+0-46.4--0.0709920000000027</f>
        <v>1904.3818309999999</v>
      </c>
      <c r="AC272" s="3">
        <f>2021.6+(0-166.9)+(1.031016+(0-0.085119))+0-93.9-0.0478889999999905</f>
        <v>1761.6980079999998</v>
      </c>
      <c r="AD272" s="2">
        <v>2030.6999999999998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1949+(0-258.4)+(-4.96995+(0--0.65892))+0-43.7--0.111434999999994</f>
        <v>1642.7004049999998</v>
      </c>
      <c r="G273" s="3">
        <f>1807+(0-200.4)+(0+(0-0))+0-88.8-0</f>
        <v>1517.8</v>
      </c>
      <c r="H273" s="3">
        <f>1724.9+(56-193.5)+(-0.879699+(-0.02856--0.098685))+0-94.2--0.0480419999999904</f>
        <v>1492.4384679999998</v>
      </c>
      <c r="I273" s="3">
        <f>1669.2+(25-171.3)+(1.702584+(0.0255-0.174726))+0-89.8-0.0915960000000143</f>
        <v>1434.561762</v>
      </c>
      <c r="J273" s="3">
        <f>1679+(26-163.7)+(0.85629+(0.01326-0.083487))+0-77-0.0392699999999922</f>
        <v>1465.046793</v>
      </c>
      <c r="K273" s="3">
        <f>1724.7+(0-172.1)+(3.518388+(0-0.351084))+0-74.5-0.151979999999997</f>
        <v>1481.1153240000001</v>
      </c>
      <c r="L273" s="3">
        <f>1742.5+(0-120.3)+(-2.666025+(0--0.184059))+0-92.9--0.142137000000005</f>
        <v>1526.9601709999999</v>
      </c>
      <c r="M273" s="3">
        <f>1805+(0-212.2)+(0+(0-0))+0-72.6-0</f>
        <v>1520.2</v>
      </c>
      <c r="N273" s="3">
        <f>2029.5+(0-333.6)+(3.105135+(0-0.510408))+0-49.7-0.0760410000000029</f>
        <v>1648.7186859999999</v>
      </c>
      <c r="O273" s="3">
        <f>2042.7+(0-346.9)+(3.125331+(0-0.530757))+0-74-0.113220000000004</f>
        <v>1624.2813540000002</v>
      </c>
      <c r="P273" s="3">
        <f>2052.1+(0-335.1)+(0+(0-0))+0-73.2-0</f>
        <v>1643.8</v>
      </c>
      <c r="Q273" s="3">
        <f>2072.2+(0-327.5)+(1.056822+(0-0.167025))+0-84.7-0.0431969999999914</f>
        <v>1660.8465999999999</v>
      </c>
      <c r="R273" s="3">
        <f>2071.3+(0-338.2)+(-5.281815+(0--0.86241))+0-89.8--0.228989999999987</f>
        <v>1639.1095850000002</v>
      </c>
      <c r="S273" s="3">
        <f>2074.8+(0-344.8)+(-2.116296+(0--0.351696))+0-89--0.0907800000000142</f>
        <v>1639.3261800000002</v>
      </c>
      <c r="T273" s="3">
        <f>2045.6+(0-361.1)+(0+(0-0))+0-85-0</f>
        <v>1599.5</v>
      </c>
      <c r="U273" s="3">
        <f>2035.1+(17.6-324.4)+(-4.151604+(-0.035904--0.661776))+0-101.4--0.206855999999996</f>
        <v>1623.5811239999998</v>
      </c>
      <c r="V273" s="3">
        <f>2056.1+(0-235.8)+(2.097222+(0-0.240516))+0-75.1-0.076602000000012</f>
        <v>1746.980104</v>
      </c>
      <c r="W273" s="3">
        <f>2152.5+(0-201.7)+(0+(0-0))+0-87.1-0</f>
        <v>1863.7</v>
      </c>
      <c r="X273" s="3">
        <f>2164.9+(0-209.7)+(-6.624594+(0--0.641682))+0-89.2--0.27295200000001</f>
        <v>1860.2900400000001</v>
      </c>
      <c r="Y273" s="3">
        <f>2162.3+(1.3-217.4)+(-3.308319+(-0.001989--0.332622))+0-70.1--0.107253000000004</f>
        <v>1873.2295670000003</v>
      </c>
      <c r="Z273" s="3">
        <f>2163.3+(20.2-270.4)+(-2.206566+(-0.020604--0.275808))+0-40--0.0408000000000064</f>
        <v>1871.1894380000001</v>
      </c>
      <c r="AA273" s="3">
        <f>2212+(32.1-340.1)+(-2.25624+(-0.032742--0.346902))+0-81.2--0.082824000000013</f>
        <v>1820.940744</v>
      </c>
      <c r="AB273" s="3">
        <f>2237.9+(62.8-400.1)+(-4.565316+(-0.128112--0.816204))+0-93.9--0.191555999999996</f>
        <v>1803.014332</v>
      </c>
      <c r="AC273" s="3">
        <f>2119.3+(81.5-409.2)+(-2.161686+(-0.08313--0.417384))+0-59.1--0.0602820000000094</f>
        <v>1730.7328500000001</v>
      </c>
      <c r="AD273" s="2">
        <v>1998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1837.7+(96-296.3)+(-2.811681+(-0.14688--0.453339))+0-85.9--0.131427000000005</f>
        <v>1549.126205</v>
      </c>
      <c r="G274" s="3">
        <f>1748.8+(84.7-232)+(-5.351328+(-0.259182--0.70992))+0-83.6--0.25581600000001</f>
        <v>1513.2552260000002</v>
      </c>
      <c r="H274" s="3">
        <f>1620.9+(88-161.7)+(-3.306636+(-0.17952--0.329868))+0-94.1--0.191963999999996</f>
        <v>1450.1356760000003</v>
      </c>
      <c r="I274" s="3">
        <f>1603.5+(70.3-166.5)+(0+(0-0))+0-88.3-0</f>
        <v>1419</v>
      </c>
      <c r="J274" s="3">
        <f>1692.8+(57.4-188.3)+(1.726656+(0.058548-0.192066))+0-86.3-0.0880260000000138</f>
        <v>1477.1051119999997</v>
      </c>
      <c r="K274" s="3">
        <f>1698.2+(0-171.8)+(0+(0-0))+0-75.1-0</f>
        <v>1451.3000000000002</v>
      </c>
      <c r="L274" s="3">
        <f>1793.5+(0-266.9)+(-1.82937+(0--0.272238))+0-39.5--0.0402900000000063</f>
        <v>1485.5831579999999</v>
      </c>
      <c r="M274" s="3">
        <f>1942.3+(0-343.2)+(1.981146+(0-0.350064))+0-26.1-0.0266220000000042</f>
        <v>1574.60446</v>
      </c>
      <c r="N274" s="3">
        <f>1997.9+(0-312.1)+(2.037858+(0-0.318342))+0-18.1-0.0184620000000029</f>
        <v>1669.4010540000004</v>
      </c>
      <c r="O274" s="3">
        <f>2017.3+(0-286.3)+(3.086469+(0-0.438039))+0-12.7-0.0194310000000007</f>
        <v>1720.928999</v>
      </c>
      <c r="P274" s="3">
        <f>2006.5+(0-277.8)+(0+(0-0))+0-12.8-0</f>
        <v>1715.9</v>
      </c>
      <c r="Q274" s="3">
        <f>2003+(0-288.6)+(1.02153+(0-0.147186))+0-14.6-0.00744599999999852</f>
        <v>1700.6668980000002</v>
      </c>
      <c r="R274" s="3">
        <f>1975.5+(0-269.3)+(-6.04503+(0--0.824058))+0-16.7--0.0511020000000019</f>
        <v>1684.3301299999998</v>
      </c>
      <c r="S274" s="3">
        <f>1986.6+(13.5-258.6)+(0+(0-0))+0-52.6-0</f>
        <v>1688.9</v>
      </c>
      <c r="T274" s="3">
        <f>1988.1+(0-291.4)+(0+(0-0))+0-80-0</f>
        <v>1616.6999999999998</v>
      </c>
      <c r="U274" s="3">
        <f>1988.8+(6.6-283.4)+(0+(0-0))+0-86.4-0</f>
        <v>1625.6</v>
      </c>
      <c r="V274" s="3">
        <f>2083.9+(0-226.5)+(0+(0-0))+0-80.9-0</f>
        <v>1776.5</v>
      </c>
      <c r="W274" s="3">
        <f>2309.9+(0-289.5)+(-1.178049+(0--0.147645))+0-81.8--0.0417179999999917</f>
        <v>1937.611314</v>
      </c>
      <c r="X274" s="3">
        <f>2308.7+(0-287.7)+(-2.354874+(0--0.293454))+0-70.2--0.0716040000000112</f>
        <v>1948.8101839999997</v>
      </c>
      <c r="Y274" s="3">
        <f>2232.8+(0-231.6)+(0+(0-0))+0-88.2-0</f>
        <v>1913.0000000000002</v>
      </c>
      <c r="Z274" s="3">
        <f>2226.2+(0-222.2)+(-1.135362+(0--0.113322))+0-87.4--0.0445739999999911</f>
        <v>1915.6225339999996</v>
      </c>
      <c r="AA274" s="3">
        <f>2222.9+(17-267.9)+(-2.267358+(-0.01734--0.273258))+0-80.8--0.0824160000000129</f>
        <v>1889.270976</v>
      </c>
      <c r="AB274" s="3">
        <f>2141.9+(31.5-284.2)+(1.092369+(0.016065-0.144942))+0-87.8-0.0447779999999911</f>
        <v>1802.3187140000002</v>
      </c>
      <c r="AC274" s="3">
        <f>2029.9+(59.4-280.4)+(-7.246743+(-0.212058--1.001028))+0-80.2--0.286314000000001</f>
        <v>1722.5285409999999</v>
      </c>
      <c r="AD274" s="2">
        <v>2003.6999999999998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1845+(69.2-202.7)+(-4.70475+(-0.17646--0.516885))+0-85.1--0.217004999999988</f>
        <v>1622.2526800000001</v>
      </c>
      <c r="G275" s="3">
        <f>1759.7+(77.5-195.5)+(-4.487235+(-0.197625--0.498525))+0-82.5--0.210374999999988</f>
        <v>1555.2240399999998</v>
      </c>
      <c r="H275" s="3">
        <f>1775.9+(83.1-258)+(0.905709+(0.042381-0.13158))+0-65.6-0.0334559999999933</f>
        <v>1536.1830540000003</v>
      </c>
      <c r="I275" s="3">
        <f>1776.1+(78.2-232)+(2.717433+(0.119646-0.35496))+0-87.8-0.134334000000005</f>
        <v>1536.8477849999999</v>
      </c>
      <c r="J275" s="3">
        <f>1764.1+(36.5-221.9)+(0+(0-0))+0-89.6-0</f>
        <v>1489.1</v>
      </c>
      <c r="K275" s="3">
        <f>1804+(10.9-236.1)+(4.6002+(0.027795-0.602055))+0-77.3-0.197114999999989</f>
        <v>1505.3288250000001</v>
      </c>
      <c r="L275" s="3">
        <f>1858.8+(0-264.8)+(1.895976+(0-0.270096))+0-84-0.0856800000000134</f>
        <v>1511.5402000000001</v>
      </c>
      <c r="M275" s="3">
        <f>2035.9+(0-354.5)+(0+(0-0))+0-90-0</f>
        <v>1591.4</v>
      </c>
      <c r="N275" s="3">
        <f>2117.9+(0-413.4)+(2.160258+(0-0.421668))+0-66-0.0673200000000105</f>
        <v>1640.1712699999998</v>
      </c>
      <c r="O275" s="3">
        <f>2130.1+(0-355.8)+(2.172702+(0-0.362916))+0-82.5-0.0841500000000132</f>
        <v>1693.5256360000001</v>
      </c>
      <c r="P275" s="3">
        <f>2111.6+(0-297.8)+(-5.38458+(0--0.75939))+0-88.9--0.226694999999987</f>
        <v>1720.501505</v>
      </c>
      <c r="Q275" s="3">
        <f>2112.8+(0-272.5)+(-1.077528+(0--0.138975))+0-92.4--0.0471239999999906</f>
        <v>1747.0085710000001</v>
      </c>
      <c r="R275" s="3">
        <f>2100.8+(0-269.5)+(-5.35704+(0--0.687225))+0-91.4--0.233069999999987</f>
        <v>1735.4632550000001</v>
      </c>
      <c r="S275" s="3">
        <f>2095.9+(0-303.9)+(-2.137818+(0--0.309978))+0-75.7--0.0772140000000121</f>
        <v>1714.5493739999999</v>
      </c>
      <c r="T275" s="3">
        <f>2102.8+(5.6-301.3)+(-4.289712+(-0.011424--0.614652))+0-89.6--0.182783999999996</f>
        <v>1713.9963000000002</v>
      </c>
      <c r="U275" s="3">
        <f>2021.3+(0-280)+(3.092589+(0-0.4284))+0-68.3-0.104499000000004</f>
        <v>1675.55969</v>
      </c>
      <c r="V275" s="3">
        <f>2108.1+(0-226.5)+(0+(0-0))+0-89.2-0</f>
        <v>1792.3999999999999</v>
      </c>
      <c r="W275" s="3">
        <f>2204.3+(0-187.6)+(-1.124193+(0--0.095676))+0-86.2--0.0439619999999913</f>
        <v>1929.5154450000002</v>
      </c>
      <c r="X275" s="3">
        <f>2203.5+(1.7-170.5)+(-1.123785+(-0.000867--0.086955))+0-82.2--0.0419219999999917</f>
        <v>1951.5042249999999</v>
      </c>
      <c r="Y275" s="3">
        <f>2176.4+(0-181.4)+(-6.659784+(0--0.555084))+0-81.8--0.250308000000009</f>
        <v>1907.3456079999999</v>
      </c>
      <c r="Z275" s="3">
        <f>2135.7+(0-213.4)+(-2.178414+(0--0.217668))+0-84.1--0.0857820000000134</f>
        <v>1836.325036</v>
      </c>
      <c r="AA275" s="3">
        <f>2089.2+(0-191)+(-5.32746+(0--0.48705))+0-94.8--0.241739999999986</f>
        <v>1798.8013299999998</v>
      </c>
      <c r="AB275" s="3">
        <f>2098.3+(11.8-256.8)+(0+(0-0))+0-90.2-0</f>
        <v>1763.1000000000001</v>
      </c>
      <c r="AC275" s="3">
        <f>1959.6+(35.7-227)+(-2.998188+(-0.054621--0.34731))+0-57.4--0.0878220000000033</f>
        <v>1708.2823229999999</v>
      </c>
      <c r="AD275" s="2">
        <v>1986.6000000000001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1722.8+(51.4-126.9)+(-2.635884+(-0.078642--0.194157))+0-86.2--0.131886000000005</f>
        <v>1558.7115169999997</v>
      </c>
      <c r="G276" s="3">
        <f>1591.6+(65.6-88.3)+(0+(0-0))+0-78.3-0</f>
        <v>1490.6</v>
      </c>
      <c r="H276" s="3">
        <f>1515.8+(71.7-87.7)+(-0.773058+(-0.036567--0.044727))+0-82.3--0.0419729999999916</f>
        <v>1416.7770750000002</v>
      </c>
      <c r="I276" s="3">
        <f>1516.9+(72.9-90.1)+(0.773619+(0.037179-0.045951))+0-83.6-0.0426359999999915</f>
        <v>1416.8222110000002</v>
      </c>
      <c r="J276" s="3">
        <f>1516.8+(96.6-90.7)+(0.773568+(0.049266-0.046257))+0-92.7-0.0472769999999906</f>
        <v>1430.7293000000002</v>
      </c>
      <c r="K276" s="3">
        <f>1538.3+(97.5-112.9)+(0.784533+(0.049725-0.057579))+0-83-0.0423299999999916</f>
        <v>1440.6343489999999</v>
      </c>
      <c r="L276" s="3">
        <f>1793.6+(0-158.8)+(-3.658944+(0--0.323952))+0-66.1--0.134843999999997</f>
        <v>1565.4998519999999</v>
      </c>
      <c r="M276" s="3">
        <f>1831.6+(0-173.3)+(2.802348+(0-0.265149))+0-82.1-0.125613000000005</f>
        <v>1578.6115860000002</v>
      </c>
      <c r="N276" s="3">
        <f>1890.4+(0-157.9)+(2.892312+(0-0.241587))+0-90.9-0.139077000000005</f>
        <v>1644.1116479999998</v>
      </c>
      <c r="O276" s="3">
        <f>1959.7+(0-152.3)+(1.998894+(0-0.155346))+0-85.9-0.0876180000000137</f>
        <v>1723.25593</v>
      </c>
      <c r="P276" s="3">
        <f>2022.6+(0-196.1)+(1.031526+(0-0.100011))+0-62.7-0.0319769999999936</f>
        <v>1764.6995379999998</v>
      </c>
      <c r="Q276" s="3">
        <f>2019.1+(0-191.9)+(1.029741+(0-0.097869))+0-81.4-0.0415139999999917</f>
        <v>1746.6903579999998</v>
      </c>
      <c r="R276" s="3">
        <f>2008.2+(0-170.5)+(-2.048364+(0--0.17391))+0-81.6--0.083232000000013</f>
        <v>1754.3087780000001</v>
      </c>
      <c r="S276" s="3">
        <f>1983.2+(0-154.4)+(-5.05716+(0--0.39372))+0-88.2--0.224909999999987</f>
        <v>1736.1614699999998</v>
      </c>
      <c r="T276" s="3">
        <f>1939+(0-130.7)+(4.94445+(0-0.333285))+0-87.6-0.223379999999987</f>
        <v>1725.0877850000002</v>
      </c>
      <c r="U276" s="3">
        <f>1916.5+(0-130.8)+(0+(0-0))+0-86.3-0</f>
        <v>1699.4</v>
      </c>
      <c r="V276" s="3">
        <f>1996.3+(27.7-143.3)+(1.018113+(0.014127-0.073083))+0-63.2-0.0322319999999936</f>
        <v>1818.426925</v>
      </c>
      <c r="W276" s="3">
        <f>2042.7+(73.4-132.5)+(-1.041777+(-0.037434--0.067575))+0-80.2--0.0409019999999919</f>
        <v>1902.4292660000001</v>
      </c>
      <c r="X276" s="3">
        <f>2032+(92.8-154.9)+(-3.10896+(-0.141984--0.236997))+0-85.7--0.131121000000005</f>
        <v>1881.317174</v>
      </c>
      <c r="Y276" s="3">
        <f>1958.5+(82.2-147)+(-5.99301+(-0.251532--0.44982))+0-93.8--0.287028000000011</f>
        <v>1794.392306</v>
      </c>
      <c r="Z276" s="3">
        <f>1944.5+(49.8-127)+(-3.96678+(-0.101592--0.25908))+0-96.6--0.197063999999996</f>
        <v>1767.0877720000001</v>
      </c>
      <c r="AA276" s="3">
        <f>1839+(31.3-115.7)+(2.81367+(0.047889-0.177021))+0-82.4-0.126072000000005</f>
        <v>1674.7584659999998</v>
      </c>
      <c r="AB276" s="3">
        <f>1778.7+(33.1-98.9)+(-1.814274+(-0.033762--0.100878))+0-80.2--0.0818040000000128</f>
        <v>1631.0346460000001</v>
      </c>
      <c r="AC276" s="3">
        <f>1713.9+(53.9-109.2)+(-2.622267+(-0.082467--0.167076))+0-52--0.079560000000003</f>
        <v>1604.1419020000001</v>
      </c>
      <c r="AD276" s="2">
        <v>1892.3000000000002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1637.5+(99.3-83)+(-3.3405+(-0.202572--0.16932))+0-90.7--0.185027999999996</f>
        <v>1559.911276</v>
      </c>
      <c r="G277" s="3">
        <f>1493.3+(167.7-78.1)+(1.523166+(0.171054-0.079662))+0-87.2-0.0889440000000139</f>
        <v>1497.2256139999997</v>
      </c>
      <c r="H277" s="3">
        <f>1435.7+(154.4-76.3)+(-2.196621+(-0.236232--0.116739))+0-84.2--0.128826000000005</f>
        <v>1427.4127120000001</v>
      </c>
      <c r="I277" s="3">
        <f>1412.3+(149.3-77.7)+(-1.440546+(-0.152286--0.079254))+0-77.8--0.0793560000000124</f>
        <v>1404.6657779999998</v>
      </c>
      <c r="J277" s="3">
        <f>1372.9+(158.3-85.4)+(-0.700179+(-0.080733--0.043554))+0-63--0.0321299999999936</f>
        <v>1382.0947720000001</v>
      </c>
      <c r="K277" s="3">
        <f>1390.9+(156.1-109.4)+(-3.546795+(-0.398055--0.27897))+0-79.4--0.202469999999988</f>
        <v>1354.73659</v>
      </c>
      <c r="L277" s="3">
        <f>1458.3+(133.2-155.7)+(-2.974932+(-0.271728--0.317628))+0-85.9--0.175235999999996</f>
        <v>1347.1462039999999</v>
      </c>
      <c r="M277" s="3">
        <f>1405.5+(137.7-143.9)+(-1.43361+(-0.140454--0.146778))+0-83.9--0.0855780000000134</f>
        <v>1314.0582919999997</v>
      </c>
      <c r="N277" s="3">
        <f>1423.8+(152.9-124.2)+(-0.726138+(-0.077979--0.063342))+0-74.6--0.0380459999999924</f>
        <v>1377.197271</v>
      </c>
      <c r="O277" s="3">
        <f>1459.1+(169.9-120.5)+(1.488282+(0.173298-0.12291))+0-79-0.0805800000000126</f>
        <v>1430.9580899999999</v>
      </c>
      <c r="P277" s="3">
        <f>1466.8+(161.8-118.4)+(-0.748068+(-0.082518--0.060384))+0-69.5--0.0354449999999929</f>
        <v>1439.9652430000001</v>
      </c>
      <c r="Q277" s="3">
        <f>1352.8+(230.2-113.9)+(-2.069784+(-0.352206--0.174267))+0-71.8--0.109854000000004</f>
        <v>1395.162131</v>
      </c>
      <c r="R277" s="3">
        <f>1320.8+(244.4-112.6)+(-2.020824+(-0.373932--0.172278))+0-84.2--0.128826000000005</f>
        <v>1366.3063480000001</v>
      </c>
      <c r="S277" s="3">
        <f>1313.5+(233.5-108.2)+(-2.67954+(-0.47634--0.220728))+0-62.6--0.127703999999997</f>
        <v>1373.392552</v>
      </c>
      <c r="T277" s="3">
        <f>1326.2+(214.5-104.8)+(-1.352724+(-0.21879--0.106896))+0-80.3--0.0819060000000128</f>
        <v>1354.2172880000003</v>
      </c>
      <c r="U277" s="3">
        <f>1355.1+(188-110.2)+(-0.691101+(-0.09588--0.056202))+0-82.4--0.0420239999999916</f>
        <v>1349.8112449999999</v>
      </c>
      <c r="V277" s="3">
        <f>1563.6+(130.8-136.4)+(-1.594872+(-0.133416--0.139128))+0-25--0.025500000000004</f>
        <v>1531.43634</v>
      </c>
      <c r="W277" s="3">
        <f>1717.7+(176.1-144.6)+(1.752054+(0.179622-0.147492))+0-78.9-0.0804780000000126</f>
        <v>1672.003706</v>
      </c>
      <c r="X277" s="3">
        <f>1712.5+(201-145.9)+(0+(0-0))+0-94.6-0</f>
        <v>1673</v>
      </c>
      <c r="Y277" s="3">
        <f>1667.8+(209.5-150)+(-3.402312+(-0.42738--0.306))+0-80.5--0.164219999999996</f>
        <v>1643.4405279999999</v>
      </c>
      <c r="Z277" s="3">
        <f>1641.1+(195.9-117.7)+(-1.673922+(-0.199818--0.120054))+0-88.3--0.0900660000000141</f>
        <v>1629.33638</v>
      </c>
      <c r="AA277" s="3">
        <f>1597.5+(176.3-101)+(0+(0-0))+0-79.2-0</f>
        <v>1593.6</v>
      </c>
      <c r="AB277" s="3">
        <f>1574.6+(136.4-91.3)+(-3.212184+(-0.278256--0.186252))+0-88--0.179519999999996</f>
        <v>1528.5753319999997</v>
      </c>
      <c r="AC277" s="3">
        <f>1492.1+(115.8-81.4)+(-3.804855+(-0.29529--0.20757))+0-97.3--0.248114999999986</f>
        <v>1425.5555400000001</v>
      </c>
      <c r="AD277" s="2">
        <v>1766.5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1330.1+(134.5-74.9)+(1.356702+(0.13719-0.076398))+0-58.3-0.0594660000000093</f>
        <v>1332.758028</v>
      </c>
      <c r="G278" s="3">
        <f>1249.4+(196.2-73.2)+(-3.18597+(-0.50031--0.18666))+0-82.2--0.209609999999988</f>
        <v>1286.9099899999999</v>
      </c>
      <c r="H278" s="3">
        <f>1343.7+(125.5-84.7)+(0.685287+(0.064005-0.043197))+0-89.1-0.045440999999991</f>
        <v>1296.0606540000001</v>
      </c>
      <c r="I278" s="3">
        <f>1390.5+(75.6-89.3)+(-0.709155+(-0.038556--0.045543))+0-82.8--0.0422279999999916</f>
        <v>1293.34006</v>
      </c>
      <c r="J278" s="3">
        <f>1332+(85.3-83.2)+(-0.67932+(-0.043503--0.042432))+0-81.2--0.0414119999999918</f>
        <v>1252.2610209999998</v>
      </c>
      <c r="K278" s="3">
        <f>1362.2+(73.9-110.7)+(2.778888+(0.150756-0.225828))+0-24.6-0.0501839999999989</f>
        <v>1303.4536320000002</v>
      </c>
      <c r="L278" s="3">
        <f>1550.6+(67.4-152.9)+(-1.581612+(-0.068748--0.155958))+0-80.7--0.0823140000000129</f>
        <v>1382.9879119999998</v>
      </c>
      <c r="M278" s="3">
        <f>1656.5+(21.7-127.9)+(0.844815+(0.011067-0.065229))+0-88.1-0.0449309999999911</f>
        <v>1462.9457220000002</v>
      </c>
      <c r="N278" s="3">
        <f>1733.8+(45.4-156.2)+(0+(0-0))+0-23.6-0</f>
        <v>1599.4</v>
      </c>
      <c r="O278" s="3">
        <f>1796.3+(101.7-120)+(0+(0-0))+0-70.9-0</f>
        <v>1707.1</v>
      </c>
      <c r="P278" s="3">
        <f>1784.1+(124.9-115)+(-3.639564+(-0.254796--0.2346))+0-74.7--0.152387999999997</f>
        <v>1715.7926279999999</v>
      </c>
      <c r="Q278" s="3">
        <f>1763.5+(142.5-110.9)+(-3.59754+(-0.2907--0.226236))+0-80.1--0.163403999999996</f>
        <v>1711.5013999999999</v>
      </c>
      <c r="R278" s="3">
        <f>1774+(123.4-109.9)+(-2.71422+(-0.188802--0.168147))+0-77.4--0.118422000000004</f>
        <v>1707.4835469999998</v>
      </c>
      <c r="S278" s="3">
        <f>1775.2+(122.6-112.1)+(-1.810704+(-0.125052--0.114342))+0-82.9--0.0845580000000132</f>
        <v>1701.063144</v>
      </c>
      <c r="T278" s="3">
        <f>1749+(103-109.4)+(-1.78398+(-0.10506--0.111588))+0-86--0.0877200000000137</f>
        <v>1654.9102679999999</v>
      </c>
      <c r="U278" s="3">
        <f>1706.5+(151.8-116.5)+(0+(0-0))+0-81.1-0</f>
        <v>1660.7</v>
      </c>
      <c r="V278" s="3">
        <f>1749.1+(196.4-149)+(-3.568164+(-0.400656--0.30396))+0-48--0.0979199999999979</f>
        <v>1744.9330599999998</v>
      </c>
      <c r="W278" s="3">
        <f>1863.6+(271.3-157.4)+(1.900872+(0.276726-0.160548))+0-97.9-0.0998580000000156</f>
        <v>1881.5171919999998</v>
      </c>
      <c r="X278" s="3">
        <f>1844.8+(256.3-156.5)+(-5.645088+(-0.784278--0.47889))+0-82.1--0.25122600000001</f>
        <v>1856.8007500000001</v>
      </c>
      <c r="Y278" s="3">
        <f>1799.5+(267.6-151.7)+(0.917745+(0.136476-0.077367))+0-82.6-0.0421259999999916</f>
        <v>1833.7347280000001</v>
      </c>
      <c r="Z278" s="3">
        <f>1837.8+(234.9-126.2)+(-3.749112+(-0.479196--0.257448))+0-82.7--0.168707999999996</f>
        <v>1859.997848</v>
      </c>
      <c r="AA278" s="3">
        <f>1843+(193.4-98.9)+(-2.81979+(-0.295902--0.151317))+0-82.3--0.125919000000005</f>
        <v>1852.3615440000001</v>
      </c>
      <c r="AB278" s="3">
        <f>1814+(118.3-87.2)+(-0.92514+(-0.060333--0.044472))+0-81.2--0.0414119999999918</f>
        <v>1763.000411</v>
      </c>
      <c r="AC278" s="3">
        <f>1649.6+(194.8-79)+(-5.047776+(-0.596088--0.24174))+0-92--0.281520000000011</f>
        <v>1668.2793959999999</v>
      </c>
      <c r="AD278" s="2">
        <v>1996.8999999999999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1498.1+(221.2-72.7)+(-1.528062+(-0.225624--0.074154))+0-79.8--0.0813960000000127</f>
        <v>1565.2018639999999</v>
      </c>
      <c r="G279" s="3">
        <f>1410.4+(177.5-71.9)+(0.719304+(0.090525-0.036669))+0-50.4-0.0257039999999949</f>
        <v>1466.347456</v>
      </c>
      <c r="H279" s="3">
        <f>1402.8+(155.9-70.5)+(-0.715428+(-0.079509--0.035955))+0-88.8--0.045287999999991</f>
        <v>1398.6863060000001</v>
      </c>
      <c r="I279" s="3">
        <f>1403.9+(132.6-72.4)+(0.715989+(0.067626-0.036924))+0-80.3-0.0409529999999919</f>
        <v>1384.5057380000003</v>
      </c>
      <c r="J279" s="3">
        <f>1400+(143.4-82.6)+(-0.714+(-0.073134--0.042126))+0-84.3--0.0429929999999914</f>
        <v>1375.7979849999999</v>
      </c>
      <c r="K279" s="3">
        <f>1532.9+(97.6-113.2)+(0+(0-0))+0-78.1-0</f>
        <v>1439.2000000000003</v>
      </c>
      <c r="L279" s="3">
        <f>1666.7+(30.6-127.8)+(-3.400068+(-0.062424--0.260712))+0-84.1--0.171563999999996</f>
        <v>1482.369784</v>
      </c>
      <c r="M279" s="3">
        <f>1814.3+(34.7-127.4)+(-3.701172+(-0.070788--0.259896))+0-81.5--0.166259999999996</f>
        <v>1636.7541959999999</v>
      </c>
      <c r="N279" s="3">
        <f>1843.4+(48.9-116.9)+(2.820402+(0.074817-0.178857))+0-73.1-0.111843000000004</f>
        <v>1704.9045190000002</v>
      </c>
      <c r="O279" s="3">
        <f>1856.4+(57.5-117.2)+(-2.840292+(-0.087975--0.179316))+0-89.7--0.137241000000005</f>
        <v>1704.3882899999999</v>
      </c>
      <c r="P279" s="3">
        <f>2064.2+(46.7-203.6)+(0+(0-0))+0-86.7-0</f>
        <v>1820.5999999999997</v>
      </c>
      <c r="Q279" s="3">
        <f>2101.2+(55.7-246.2)+(-5.35806+(-0.142035--0.62781))+0-89.7--0.228734999999987</f>
        <v>1816.3564499999998</v>
      </c>
      <c r="R279" s="3">
        <f>2100.6+(59-248.7)+(-5.35653+(-0.15045--0.634185))+0-86.7--0.221084999999987</f>
        <v>1819.5482899999997</v>
      </c>
      <c r="S279" s="3">
        <f>2064.6+(34.8-234.5)+(-3.158838+(-0.053244--0.358785))+0-86--0.131580000000005</f>
        <v>1776.1782829999997</v>
      </c>
      <c r="T279" s="3">
        <f>2069.3+(61.6-276.8)+(-1.055343+(-0.031416--0.141168))+0-81.5--0.0415649999999917</f>
        <v>1771.6959740000002</v>
      </c>
      <c r="U279" s="3">
        <f>2007.4+(55-242.3)+(-1.023774+(-0.02805--0.123573))+0-90.1--0.0459509999999909</f>
        <v>1729.1177000000002</v>
      </c>
      <c r="V279" s="3">
        <f>2020.4+(0-149.3)+(-1.030404+(0--0.076143))+0-63--0.0321299999999936</f>
        <v>1807.1778690000001</v>
      </c>
      <c r="W279" s="3">
        <f>2240+(14.5-160.4)+(-2.2848+(-0.01479--0.163608))+0-85.8--0.0875160000000137</f>
        <v>2006.2515340000002</v>
      </c>
      <c r="X279" s="3">
        <f>2322+(0-191.7)+(-4.73688+(0--0.391068))+0-97.5--0.198899999999996</f>
        <v>2028.6530880000003</v>
      </c>
      <c r="Y279" s="3">
        <f>2284+(0-175.4)+(-3.49452+(0--0.268362))+0-77.4--0.118422000000004</f>
        <v>2028.0922639999999</v>
      </c>
      <c r="Z279" s="3">
        <f>2247+(26-197.4)+(-3.43791+(-0.03978--0.302022))+0-85.1--0.130203000000005</f>
        <v>1987.4545350000001</v>
      </c>
      <c r="AA279" s="3">
        <f>2205.2+(92.4-277.6)+(-2.249304+(-0.094248--0.283152))+0-82.5--0.0841500000000132</f>
        <v>1935.5237499999996</v>
      </c>
      <c r="AB279" s="3">
        <f>2107.4+(128.3-305.9)+(-5.37387+(-0.327165--0.780045))+0-79.3--0.202214999999988</f>
        <v>1845.7812250000002</v>
      </c>
      <c r="AC279" s="3">
        <f>1775.4+(126.9-154.4)+(-5.432724+(-0.388314--0.472464))+0-77.1--0.235926000000009</f>
        <v>1665.6873520000001</v>
      </c>
      <c r="AD279" s="2">
        <v>1999.6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1758.8+(132.4-183.8)+(-3.587952+(-0.270096--0.374952))+0-78.5--0.160139999999997</f>
        <v>1625.5770439999999</v>
      </c>
      <c r="G280" s="3">
        <f>1676+(132.1-138.5)+(-0.85476+(-0.067371--0.070635))+0-89.8--0.0457979999999909</f>
        <v>1578.9943020000001</v>
      </c>
      <c r="H280" s="3">
        <f>1583.4+(111.5-97.1)+(-4.03767+(-0.284325--0.247605))+0-91.9--0.234344999999987</f>
        <v>1502.0599550000002</v>
      </c>
      <c r="I280" s="3">
        <f>1500.9+(153.7-74.2)+(0.765459+(0.078387-0.037842))+0-86.6-0.0441659999999912</f>
        <v>1494.5618380000003</v>
      </c>
      <c r="J280" s="3">
        <f>1475.8+(177-76)+(-0.752658+(-0.09027--0.03876))+0-76.6--0.0390659999999922</f>
        <v>1499.4348980000002</v>
      </c>
      <c r="K280" s="3">
        <f>1630.1+(121.9-103.4)+(0.831351+(0.062169-0.052734))+0-89.6-0.0456959999999909</f>
        <v>1559.7950900000001</v>
      </c>
      <c r="L280" s="3">
        <f>1691.5+(128-126.3)+(-1.72533+(-0.13056--0.128826))+0-87.9--0.089658000000014</f>
        <v>1603.6625940000001</v>
      </c>
      <c r="M280" s="3">
        <f>1795.9+(95.3-129.6)+(1.831818+(0.097206-0.132192))+0-90.3-0.0921060000000144</f>
        <v>1673.0047260000001</v>
      </c>
      <c r="N280" s="3">
        <f>1920.6+(56.9-142.5)+(-3.918024+(-0.116076--0.2907))+0-60.2--0.122807999999997</f>
        <v>1771.179408</v>
      </c>
      <c r="O280" s="3">
        <f>2098.8+(78.9-236.4)+(1.070388+(0.040239-0.120564))+0-97.7-0.0498269999999901</f>
        <v>1844.540236</v>
      </c>
      <c r="P280" s="3">
        <f>2219.7+(104.8-307.3)+(-4.528188+(-0.213792--0.626892))+0-90.5--0.184619999999996</f>
        <v>1922.7695319999998</v>
      </c>
      <c r="Q280" s="3">
        <f>2221.2+(109-323)+(-4.531248+(-0.22236--0.65892))+0-78.2--0.159527999999997</f>
        <v>1925.0648399999998</v>
      </c>
      <c r="R280" s="3">
        <f>2160.4+(116.1-327.8)+(-3.305412+(-0.177633--0.501534))+0-47--0.0719100000000027</f>
        <v>1898.7903990000002</v>
      </c>
      <c r="S280" s="3">
        <f>2112.9+(112.2-265.6)+(1.077579+(0.057222-0.135456))+0-87.6-0.0446759999999911</f>
        <v>1872.8546690000001</v>
      </c>
      <c r="T280" s="3">
        <f>2068.1+(98.3-250)+(-1.054731+(-0.050133--0.1275))+0-92.8--0.0473279999999906</f>
        <v>1822.6699639999997</v>
      </c>
      <c r="U280" s="3">
        <f>2092.4+(86.4-280.6)+(-1.067124+(-0.044064--0.143106))+0-84.9--0.0432989999999914</f>
        <v>1812.3752169999998</v>
      </c>
      <c r="V280" s="3">
        <f>2227.9+(21.9-216)+(-3.408687+(-0.033507--0.33048))+0-93.5--0.143055000000005</f>
        <v>1937.3313410000003</v>
      </c>
      <c r="W280" s="3">
        <f>2291.7+(3.7-149.3)+(-2.337534+(-0.003774--0.152286))+0-72.5--0.0739500000000116</f>
        <v>2071.4849279999999</v>
      </c>
      <c r="X280" s="3">
        <f>2302.8+(4.2-151.4)+(-4.697712+(-0.008568--0.308856))+0-98.6--0.201143999999996</f>
        <v>2052.8037200000008</v>
      </c>
      <c r="Y280" s="3">
        <f>2298.8+(0-183.2)+(0+(0-0))+0-83.5-0</f>
        <v>2032.1000000000004</v>
      </c>
      <c r="Z280" s="3">
        <f>2298+(5.4-198.7)+(2.34396+(0.005508-0.202674))+0-92.7-0.0945540000000148</f>
        <v>2014.05224</v>
      </c>
      <c r="AA280" s="3">
        <f>2287.8+(67.7-292.8)+(-3.500334+(-0.103581--0.447984))+0-78.3--0.119799000000005</f>
        <v>1981.3638680000006</v>
      </c>
      <c r="AB280" s="3">
        <f>2292.1+(120.4-379.3)+(-1.168971+(-0.061404--0.193443))+0-91.2--0.0465119999999907</f>
        <v>1941.0095799999997</v>
      </c>
      <c r="AC280" s="3">
        <f>2137+(118.2-364.9)+(-5.44935+(-0.30141--0.930495))+0-81.2--0.207059999999988</f>
        <v>1804.4867949999998</v>
      </c>
      <c r="AD280" s="2">
        <v>2056.9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2026.9+(118-341)+(-4.134876+(-0.24072--0.69564))+0-95.1--0.194003999999996</f>
        <v>1705.3140480000002</v>
      </c>
      <c r="G281" s="3">
        <f>1967.9+(123.5-366.3)+(-3.010887+(-0.188955--0.560439))+0-84.3--0.128979000000005</f>
        <v>1638.2895760000004</v>
      </c>
      <c r="H281" s="3">
        <f>1896.2+(124.2-335.4)+(-1.934124+(-0.126684--0.342108))+0-93--0.0948600000000148</f>
        <v>1590.37616</v>
      </c>
      <c r="I281" s="3">
        <f>1859.5+(125-318.4)+(0+(0-0))+0-87-0</f>
        <v>1579.1</v>
      </c>
      <c r="J281" s="3">
        <f>1775.5+(114.2-268.4)+(0+(0-0))+0-79.1-0</f>
        <v>1542.2</v>
      </c>
      <c r="K281" s="3">
        <f>1937.3+(80.8-329.2)+(0+(0-0))+0-96.8-0</f>
        <v>1592.1000000000001</v>
      </c>
      <c r="L281" s="3">
        <f>2106.1+(56-393.2)+(-2.148222+(-0.05712--0.401064))+0-89.5--0.0912900000000143</f>
        <v>1677.6870119999999</v>
      </c>
      <c r="M281" s="3">
        <f>2132.1+(83.8-411)+(-1.087371+(-0.042738--0.20961))+0-42.2--0.0215219999999957</f>
        <v>1761.8010229999998</v>
      </c>
      <c r="N281" s="3">
        <f>2262.9+(99-427.3)+(2.308158+(0.10098-0.435846))+0-30.3-0.0309060000000048</f>
        <v>1906.2423860000001</v>
      </c>
      <c r="O281" s="3">
        <f>2272.4+(106.1-426.9)+(2.317848+(0.108222-0.435438))+0-28.6-0.0291720000000046</f>
        <v>1924.9614600000002</v>
      </c>
      <c r="P281" s="3">
        <f>2281.6+(112.8-434.3)+(3.490848+(0.172584-0.664479))+0-27-0.0413100000000016</f>
        <v>1936.0576429999999</v>
      </c>
      <c r="Q281" s="3">
        <f>2273.5+(116.5-438.5)+(1.159485+(0.059415-0.223635))+0-22.5-0.0114749999999977</f>
        <v>1929.98379</v>
      </c>
      <c r="R281" s="3">
        <f>2254.1+(51.9-406.2)+(-3.448773+(-0.079407--0.621486))+0-23.4--0.0358020000000013</f>
        <v>1873.529108</v>
      </c>
      <c r="S281" s="3">
        <f>2255.1+(80.7-398.9)+(-2.300202+(-0.082314--0.406878))+0-26.1--0.0266220000000042</f>
        <v>1908.8509840000002</v>
      </c>
      <c r="T281" s="3">
        <f>2237.7+(64.6-398.1)+(-5.706135+(-0.16473--1.015155))+0-43.1--0.109904999999994</f>
        <v>1856.3541949999999</v>
      </c>
      <c r="U281" s="3">
        <f>2269.7+(35.1-348.1)+(1.157547+(0.017901-0.177531))+0-91-0.0464099999999908</f>
        <v>1866.6515069999998</v>
      </c>
      <c r="V281" s="3">
        <f>2325.8+(3.2-281.8)+(-3.558474+(-0.004896--0.431154))+0-79.8--0.122094000000005</f>
        <v>1964.3898780000004</v>
      </c>
      <c r="W281" s="3">
        <f>2398.1+(0-257.5)+(-1.223031+(0--0.131325))+0-86.6--0.0441659999999912</f>
        <v>2052.95246</v>
      </c>
      <c r="X281" s="3">
        <f>2377.8+(0-254.1)+(-4.850712+(0--0.518364))+0-85.6--0.174623999999996</f>
        <v>2033.9422760000004</v>
      </c>
      <c r="Y281" s="3">
        <f>2388.3+(0-254.7)+(-2.436066+(0--0.259794))+0-81.3--0.082926000000013</f>
        <v>2050.2066540000001</v>
      </c>
      <c r="Z281" s="3">
        <f>2233.5+(0-177.7)+(0+(0-0))+0-94.8-0</f>
        <v>1961.0000000000002</v>
      </c>
      <c r="AA281" s="3">
        <f>2176.3+(38.6-185.6)+(-3.329739+(-0.059058--0.283968))+0-93.2--0.142596000000005</f>
        <v>1933.1377669999999</v>
      </c>
      <c r="AB281" s="3">
        <f>2156.7+(104-291.5)+(-4.399668+(-0.21216--0.59466))+0-91.5--0.186659999999996</f>
        <v>1873.8694919999998</v>
      </c>
      <c r="AC281" s="3">
        <f>1985.3+(122.9-231.1)+(-5.062515+(-0.313395--0.589305))+0-94.3--0.240464999999986</f>
        <v>1778.25386</v>
      </c>
      <c r="AD281" s="2">
        <v>2026.4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1741.9+(108.1-139.7)+(-2.665107+(-0.165393--0.213741))+0-87.1--0.133263000000005</f>
        <v>1620.7165040000002</v>
      </c>
      <c r="G282" s="3">
        <f>1645.2+(106.6-96)+(-2.517156+(-0.163098--0.14688))+0-90.6--0.138618000000005</f>
        <v>1562.8052439999999</v>
      </c>
      <c r="H282" s="3">
        <f>1658+(119.6-110.8)+(-3.38232+(-0.243984--0.226032))+0-81.6--0.166463999999996</f>
        <v>1581.9661919999999</v>
      </c>
      <c r="I282" s="3">
        <f>1650.5+(114.2-86.1)+(0+(0-0))+0-98.6-0</f>
        <v>1580</v>
      </c>
      <c r="J282" s="3">
        <f>1692.5+(111.7-171.9)+(1.72635+(0.113934-0.175338))+0-67.4-0.0687480000000108</f>
        <v>1566.496198</v>
      </c>
      <c r="K282" s="3">
        <f>1963+(48.6-279.2)+(0+(0-0))+0-82.4-0</f>
        <v>1650</v>
      </c>
      <c r="L282" s="3">
        <f>1910.3+(0-176.4)+(0+(0-0))+0-88.2-0</f>
        <v>1645.6999999999998</v>
      </c>
      <c r="M282" s="3">
        <f>2031.3+(0-212.2)+(0+(0-0))+0-97.7-0</f>
        <v>1721.3999999999999</v>
      </c>
      <c r="N282" s="3">
        <f>2124+(1.1-237.6)+(-1.08324+(-0.000561--0.121176))+0-79.6--0.0405959999999919</f>
        <v>1806.9779710000003</v>
      </c>
      <c r="O282" s="3">
        <f>2184.3+(5.8-248)+(2.227986+(0.005916-0.25296))+0-84.5-0.0861900000000135</f>
        <v>1859.4947520000001</v>
      </c>
      <c r="P282" s="3">
        <f>2218.7+(1.5-244)+(1.131537+(0.000765-0.12444))+0-79.5-0.0405449999999919</f>
        <v>1897.6673169999997</v>
      </c>
      <c r="Q282" s="3">
        <f>2200.2+(7.4-260)+(-4.488408+(-0.015096--0.5304))+0-94.2--0.192167999999996</f>
        <v>1849.619064</v>
      </c>
      <c r="R282" s="3">
        <f>2271.1+(16.8-324.2)+(1.158261+(0.008568-0.165342))+0-92.7-0.0472769999999906</f>
        <v>1871.9542099999999</v>
      </c>
      <c r="S282" s="3">
        <f>2268.6+(13.2-341.6)+(1.156986+(0.006732-0.174216))+0-88.6-0.045185999999991</f>
        <v>1852.5443159999998</v>
      </c>
      <c r="T282" s="3">
        <f>2261.5+(7.1-381.8)+(1.153365+(0.003621-0.194718))+0-86.9-0.0443189999999912</f>
        <v>1800.8179489999998</v>
      </c>
      <c r="U282" s="3">
        <f>2142.2+(7.5-319.7)+(-4.370088+(-0.0153--0.652188))+0-84.2--0.171767999999996</f>
        <v>1742.2385679999998</v>
      </c>
      <c r="V282" s="3">
        <f>2153.6+(0-250.5)+(-4.393344+(0--0.51102))+0-73.6--0.150143999999997</f>
        <v>1825.76782</v>
      </c>
      <c r="W282" s="3">
        <f>2286.7+(0-215.8)+(-3.498651+(0--0.330174))+0-85.9--0.131427000000005</f>
        <v>1981.9629499999994</v>
      </c>
      <c r="X282" s="3">
        <f>2205.6+(0-189.8)+(0+(0-0))+0-83.5-0</f>
        <v>1932.3</v>
      </c>
      <c r="Y282" s="3">
        <f>2187+(0-194)+(-1.11537+(0--0.09894))+0-87.7--0.0447269999999911</f>
        <v>1904.328297</v>
      </c>
      <c r="Z282" s="3">
        <f>2179.8+(0-246.3)+(-3.335094+(0--0.376839))+0-73.3--0.112149000000004</f>
        <v>1857.3538940000003</v>
      </c>
      <c r="AA282" s="3">
        <f>2036+(19.3-215.6)+(-6.23016+(-0.059058--0.659736))+0-91.4--0.279684000000011</f>
        <v>1742.950202</v>
      </c>
      <c r="AB282" s="3">
        <f>1932.1+(57.6-224.5)+(-0.985371+(-0.029376--0.114495))+0-79.7--0.0406469999999919</f>
        <v>1684.6403949999999</v>
      </c>
      <c r="AC282" s="3">
        <f>1871.2+(67.8-271.9)+(-3.817248+(-0.138312--0.554676))+0-40.8--0.0832319999999982</f>
        <v>1622.9823480000002</v>
      </c>
      <c r="AD282" s="2">
        <v>1867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1859.8+(84.8-354)+(-2.845494+(-0.129744--0.54162))+0-78--0.119340000000005</f>
        <v>1510.2857219999999</v>
      </c>
      <c r="G283" s="3">
        <f>1758.8+(80.4-304.1)+(-2.690964+(-0.123012--0.465273))+0-79--0.120870000000005</f>
        <v>1453.872167</v>
      </c>
      <c r="H283" s="3">
        <f>1607.7+(10.9-162.9)+(-3.279708+(-0.022236--0.332316))+0-70.3--0.143411999999997</f>
        <v>1382.5737839999999</v>
      </c>
      <c r="I283" s="3">
        <f>1604.8+(0-153.2)+(-0.818448+(0--0.078132))+0-79.9--0.0407489999999919</f>
        <v>1371.0004329999999</v>
      </c>
      <c r="J283" s="3">
        <f>1763.1+(0-278.8)+(-1.798362+(0--0.284376))+0-81--0.0826200000000129</f>
        <v>1401.8686339999999</v>
      </c>
      <c r="K283" s="3">
        <f>1908.6+(0-376.6)+(1.946772+(0-0.384132))+0-86.1-0.0878220000000137</f>
        <v>1447.3748180000002</v>
      </c>
      <c r="L283" s="3">
        <f>2026.8+(0-418.1)+(-3.101004+(0--0.639693))+0-85.1--0.130203000000005</f>
        <v>1521.2688919999998</v>
      </c>
      <c r="M283" s="3">
        <f>2012.2+(0-382.9)+(0+(0-0))+0-88.5-0</f>
        <v>1540.8000000000002</v>
      </c>
      <c r="N283" s="3">
        <f>2097.3+(0-390.8)+(2.139246+(0-0.398616))+0-72.3-0.0737460000000115</f>
        <v>1635.8668840000003</v>
      </c>
      <c r="O283" s="3">
        <f>2194.4+(0-453.7)+(-3.357432+(0--0.694161))+0-82.3--0.125919000000005</f>
        <v>1655.8626480000003</v>
      </c>
      <c r="P283" s="3">
        <f>2206+(0-441.8)+(-2.25012+(0--0.450636))+0-74.3--0.0757860000000118</f>
        <v>1688.1763020000003</v>
      </c>
      <c r="Q283" s="3">
        <f>2216.1+(0-444.7)+(2.260422+(0-0.453594))+0-64.8-0.0660960000000103</f>
        <v>1708.3407319999999</v>
      </c>
      <c r="R283" s="3">
        <f>2216.1+(0-485.2)+(-7.911477+(0--1.732164))+0-52.9--0.188853000000001</f>
        <v>1672.0095399999998</v>
      </c>
      <c r="S283" s="3">
        <f>2220.4+(0-488.3)+(0+(0-0))+0-79.9-0</f>
        <v>1652.2</v>
      </c>
      <c r="T283" s="3">
        <f>2182.6+(0-498.7)+(-3.339378+(0--0.763011))+0-72.4--0.110772000000004</f>
        <v>1609.0344049999999</v>
      </c>
      <c r="U283" s="3">
        <f>2172+(0-476.7)+(-2.21544+(0--0.486234))+0-68.8--0.070176000000011</f>
        <v>1624.84097</v>
      </c>
      <c r="V283" s="3">
        <f>2085.9+(0-311)+(-1.063809+(0--0.15861))+0-99.2--0.0505919999999899</f>
        <v>1674.8453930000001</v>
      </c>
      <c r="W283" s="3">
        <f>2388.5+(0-437.7)+(3.654405+(0-0.669681))+0-64-0.0979200000000037</f>
        <v>1889.6868039999999</v>
      </c>
      <c r="X283" s="3">
        <f>2432.9+(0-430.4)+(-3.722337+(0--0.658512))+0-81.5--0.124695000000005</f>
        <v>1918.06087</v>
      </c>
      <c r="Y283" s="3">
        <f>2411.1+(0-402)+(0+(0-0))+0-96.2-0</f>
        <v>1912.8999999999999</v>
      </c>
      <c r="Z283" s="3">
        <f>2378.8+(0-400.6)+(-4.852752+(0--0.817224))+0-85--0.173399999999996</f>
        <v>1889.3378720000003</v>
      </c>
      <c r="AA283" s="3">
        <f>2194.8+(0-328.4)+(-2.238696+(0--0.334968))+0-75.3--0.076806000000012</f>
        <v>1789.2730780000002</v>
      </c>
      <c r="AB283" s="3">
        <f>2110.7+(34.1-330)+(-3.229371+(-0.052173--0.5049))+0-74.3--0.113679000000004</f>
        <v>1737.8370349999998</v>
      </c>
      <c r="AC283" s="3">
        <f>1934.2+(40.2-286.6)+(0.986442+(0.020502-0.146166))+0-75.2-0.0383519999999924</f>
        <v>1613.4224259999999</v>
      </c>
      <c r="AD283" s="2">
        <v>1747.3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1767.8+(49.5-279.5)+(-2.704734+(-0.075735--0.427635))+0-53.3--0.0815490000000031</f>
        <v>1482.228715</v>
      </c>
      <c r="G284" s="3">
        <f>1723.9+(53.2-260.1)+(-1.758378+(-0.054264--0.265302))+0-89.1--0.0908820000000142</f>
        <v>1426.443542</v>
      </c>
      <c r="H284" s="3">
        <f>1749.7+(50.8-313.3)+(-0.892347+(-0.025908--0.159783))+0-70.5--0.0359549999999928</f>
        <v>1415.9774830000001</v>
      </c>
      <c r="I284" s="3">
        <f>1711.6+(51.3-273.1)+(-6.110412+(-0.183141--0.974967))+0-73.8--0.263466000000001</f>
        <v>1410.94488</v>
      </c>
      <c r="J284" s="3">
        <f>1645+(28.1-202.6)+(0.83895+(0.014331-0.103326))+0-91.2-0.0465119999999907</f>
        <v>1380.0034430000001</v>
      </c>
      <c r="K284" s="3">
        <f>1642.3+(0-234.3)+(-2.512719+(0--0.358479))+0-41.1--0.0628830000000024</f>
        <v>1364.8086430000001</v>
      </c>
      <c r="L284" s="3">
        <f>1759.5+(0-307.3)+(-4.486725+(0--0.783615))+0-85.1--0.217004999999988</f>
        <v>1363.6138950000002</v>
      </c>
      <c r="M284" s="3">
        <f>1611.4+(0-273.6)+(0+(0-0))+0-53.2-0</f>
        <v>1284.6000000000001</v>
      </c>
      <c r="N284" s="3">
        <f>1585.1+(0-339.7)+(0.808401+(0-0.173247))+0-58.7-0.029936999999994</f>
        <v>1187.3052169999999</v>
      </c>
      <c r="O284" s="3">
        <f>1616.5+(0-339.2)+(0.824415+(0-0.172992))+0-67.4-0.0343739999999932</f>
        <v>1210.5170489999998</v>
      </c>
      <c r="P284" s="3">
        <f>1718.1+(0-358.9)+(-1.752462+(0--0.366078))+0-83.1--0.0847620000000132</f>
        <v>1274.798378</v>
      </c>
      <c r="Q284" s="3">
        <f>1680.8+(0-308.2)+(0+(0-0))+0-66.7-0</f>
        <v>1305.8999999999999</v>
      </c>
      <c r="R284" s="3">
        <f>1682.3+(0-311.9)+(-3.431892+(0--0.636276))+0-72.8--0.148511999999997</f>
        <v>1294.952896</v>
      </c>
      <c r="S284" s="3">
        <f>1539.5+(0-187.1)+(-1.57029+(0--0.190842))+0-77.1--0.0786420000000123</f>
        <v>1273.9991940000002</v>
      </c>
      <c r="T284" s="3">
        <f>1551.8+(0-199.1)+(-3.165672+(0--0.406164))+0-78.5--0.160139999999997</f>
        <v>1271.6006319999999</v>
      </c>
      <c r="U284" s="3">
        <f>1661.4+(0-314.8)+(0.847314+(0-0.160548))+0-64.9-0.0330989999999934</f>
        <v>1282.3536670000001</v>
      </c>
      <c r="V284" s="3">
        <f>1757.2+(0-302.2)+(-2.688516+(0--0.462366))+0-24--0.0367200000000014</f>
        <v>1428.8105700000001</v>
      </c>
      <c r="W284" s="3">
        <f>1900.7+(0-181.3)+(1.938714+(0-0.184926))+0-27.8-0.0283560000000044</f>
        <v>1693.3254320000001</v>
      </c>
      <c r="X284" s="3">
        <f>1974.7+(0-194.4)+(-2.014194+(0--0.198288))+0-49.4--0.0503880000000079</f>
        <v>1729.1344819999999</v>
      </c>
      <c r="Y284" s="3">
        <f>1966+(0-165.3)+(3.00798+(0-0.252909))+0-83.9-0.128367000000005</f>
        <v>1719.426704</v>
      </c>
      <c r="Z284" s="3">
        <f>1956+(0-174.9)+(2.99268+(0-0.267597))+0-92.4-0.141372000000005</f>
        <v>1691.2837109999998</v>
      </c>
      <c r="AA284" s="3">
        <f>1940.4+(0-213.2)+(1.979208+(0-0.217464))+0-70.1-0.0715020000000112</f>
        <v>1658.790242</v>
      </c>
      <c r="AB284" s="3">
        <f>1935+(0-250.7)+(-3.9474+(0--0.511428))+0-76.5--0.156059999999997</f>
        <v>1604.520088</v>
      </c>
      <c r="AC284" s="3">
        <f>1892+(5.3-301.3)+(-5.78952+(-0.016218--0.921978))+0-61.7--0.188802000000007</f>
        <v>1529.6050419999999</v>
      </c>
      <c r="AD284" s="2">
        <v>1675.8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1638.3+(29.6-206.5)+(0+(0-0))+0-71.8-0</f>
        <v>1389.6</v>
      </c>
      <c r="G285" s="3">
        <f>1446.4+(34-122.3)+(0+(0-0))+0-58.9-0</f>
        <v>1299.2</v>
      </c>
      <c r="H285" s="3">
        <f>1443.7+(19-130.4)+(-0.736287+(-0.00969--0.066504))+0-61.7--0.0314669999999937</f>
        <v>1269.951994</v>
      </c>
      <c r="I285" s="3">
        <f>1449.9+(2.8-122.5)+(2.218347+(0.004284-0.187425))+0-67-0.102510000000004</f>
        <v>1265.1326960000001</v>
      </c>
      <c r="J285" s="3">
        <f>1452.1+(8.5-132.1)+(2.962284+(0.01734-0.269484))+0-56.7-0.115667999999998</f>
        <v>1274.394472</v>
      </c>
      <c r="K285" s="3">
        <f>1552.3+(2-166.2)+(3.958365+(0.0051-0.42381))+0-66.7-0.17008499999999</f>
        <v>1324.7695699999999</v>
      </c>
      <c r="L285" s="3">
        <f>1659.2+(0-209.6)+(-0.846192+(0--0.106896))+0-64.2--0.0327419999999935</f>
        <v>1384.6934460000002</v>
      </c>
      <c r="M285" s="3">
        <f>1694.6+(8.8-184.2)+(1.728492+(0.008976-0.187884))+0-78.1-0.0796620000000124</f>
        <v>1442.5699219999999</v>
      </c>
      <c r="N285" s="3">
        <f>1812.4+(0-210.2)+(3.697296+(0-0.428808))+0-28.2-0.0575279999999988</f>
        <v>1577.2109599999999</v>
      </c>
      <c r="O285" s="3">
        <f>1837+(0-160.6)+(0.93687+(0-0.081906))+0-61.2-0.0312119999999938</f>
        <v>1616.0237520000001</v>
      </c>
      <c r="P285" s="3">
        <f>1933.6+(0-197.7)+(1.972272+(0-0.201654))+0-88.1-0.089862000000014</f>
        <v>1649.4807559999999</v>
      </c>
      <c r="Q285" s="3">
        <f>1965+(0-188.4)+(-4.0086+(0--0.384336))+0-87.8--0.179111999999996</f>
        <v>1685.3548479999999</v>
      </c>
      <c r="R285" s="3">
        <f>1974.2+(0-217.5)+(-3.020526+(0--0.332775))+0-80.6--0.123318000000005</f>
        <v>1673.5355670000001</v>
      </c>
      <c r="S285" s="3">
        <f>1863.5+(0-184.7)+(1.90077+(0-0.188394))+0-57.8-0.0589560000000092</f>
        <v>1622.6534199999999</v>
      </c>
      <c r="T285" s="3">
        <f>1885+(0-223.5)+(0+(0-0))+0-80.8-0</f>
        <v>1580.7</v>
      </c>
      <c r="U285" s="3">
        <f>1877.3+(0-275.1)+(0+(0-0))+0-67.2-0</f>
        <v>1534.9999999999998</v>
      </c>
      <c r="V285" s="3">
        <f>2009.2+(0-254)+(1.024692+(0-0.12954))+0-67.6-0.0344759999999931</f>
        <v>1688.4606760000001</v>
      </c>
      <c r="W285" s="3">
        <f>2086+(0-139.9)+(2.12772+(0-0.142698))+0-90.6-0.0924120000000144</f>
        <v>1857.3926100000001</v>
      </c>
      <c r="X285" s="3">
        <f>2113.4+(0-155.7)+(-1.077834+(0--0.079407))+0-88.6--0.045185999999991</f>
        <v>1868.1467590000002</v>
      </c>
      <c r="Y285" s="3">
        <f>2074.2+(1.1-142.9)+(-6.347052+(-0.003366--0.437274))+0-72.5--0.221850000000008</f>
        <v>1854.2087059999997</v>
      </c>
      <c r="Z285" s="3">
        <f>2093.3+(0-135.6)+(-2.135166+(0--0.138312))+0-96.1--0.0980220000000153</f>
        <v>1859.7011680000005</v>
      </c>
      <c r="AA285" s="3">
        <f>2039.8+(0-158.2)+(-2.080596+(0--0.161364))+0-85.2--0.0869040000000136</f>
        <v>1794.5676719999999</v>
      </c>
      <c r="AB285" s="3">
        <f>1998.1+(0-185.2)+(-2.038062+(0--0.188904))+0-79.8--0.0813960000000127</f>
        <v>1731.332238</v>
      </c>
      <c r="AC285" s="3">
        <f>1887.6+(0-207.1)+(-5.776056+(0--0.633726))+0-67.4--0.206244000000008</f>
        <v>1608.163914</v>
      </c>
      <c r="AD285" s="2">
        <v>1729.6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1800.5+(0-173)+(2.754765+(0-0.26469))+0-83.5-0.127755000000005</f>
        <v>1546.36232</v>
      </c>
      <c r="G286" s="3">
        <f>1651.3+(10.9-115.7)+(4.210815+(0.027795-0.295035))+0-78.5-0.200174999999989</f>
        <v>1471.7434000000001</v>
      </c>
      <c r="H286" s="3">
        <f>1611.7+(5.9-124.3)+(3.287868+(0.012036-0.253572))+0-69.5-0.141779999999997</f>
        <v>1426.7045519999999</v>
      </c>
      <c r="I286" s="3">
        <f>1679.3+(0-137.8)+(4.282215+(0-0.35139))+0-83.9-0.213944999999988</f>
        <v>1461.3168799999999</v>
      </c>
      <c r="J286" s="3">
        <f>1707.7+(0-153.6)+(0+(0-0))+0-93.5-0</f>
        <v>1460.6000000000001</v>
      </c>
      <c r="K286" s="3">
        <f>1716.6+(0-166.4)+(1.750932+(0-0.169728))+0-75-0.076500000000012</f>
        <v>1476.7047039999998</v>
      </c>
      <c r="L286" s="3">
        <f>1740.5+(0-158.9)+(-0.887655+(0--0.081039))+0-88.4--0.045083999999991</f>
        <v>1492.4384679999998</v>
      </c>
      <c r="M286" s="3">
        <f>1756.9+(0-150.8)+(0.896019+(0-0.076908))+0-54.8-0.0279479999999944</f>
        <v>1552.0911630000003</v>
      </c>
      <c r="N286" s="3">
        <f>1965.2+(0-203.9)+(-3.006756+(0--0.311967))+0-82.4--0.126072000000005</f>
        <v>1676.331283</v>
      </c>
      <c r="O286" s="3">
        <f>1985.7+(0-218.9)+(-5.063535+(0--0.558195))+0-72.4--0.18461999999999</f>
        <v>1690.0792799999999</v>
      </c>
      <c r="P286" s="3">
        <f>1972.2+(0-182.8)+(-4.023288+(0--0.372912))+0-84.9--0.173195999999996</f>
        <v>1701.0228199999999</v>
      </c>
      <c r="Q286" s="3">
        <f>1962.5+(0-196.2)+(-5.004375+(0--0.50031))+0-66.4--0.16931999999999</f>
        <v>1695.5652549999998</v>
      </c>
      <c r="R286" s="3">
        <f>1895.2+(0-166)+(-2.899656+(0--0.25398))+0-63.7--0.0974610000000037</f>
        <v>1662.951785</v>
      </c>
      <c r="S286" s="3">
        <f>1817.5+(0-181.7)+(0+(0-0))+0-83.9-0</f>
        <v>1551.8999999999999</v>
      </c>
      <c r="T286" s="3">
        <f>1837.6+(0-218.1)+(0.937176+(0-0.111231))+0-90.9-0.0463589999999908</f>
        <v>1529.379586</v>
      </c>
      <c r="U286" s="3">
        <f>1930.2+(0-251.7)+(1.968804+(0-0.256734))+0-91.3-0.0931260000000146</f>
        <v>1588.8189440000001</v>
      </c>
      <c r="V286" s="3">
        <f>2004.6+(0-199.2)+(2.044692+(0-0.203184))+0-59.1-0.0602820000000094</f>
        <v>1748.081226</v>
      </c>
      <c r="W286" s="3">
        <f>2045.4+(44.7-118.1)+(2.086308+(0.045594-0.120462))+0-84.8-0.0864960000000135</f>
        <v>1889.1249439999999</v>
      </c>
      <c r="X286" s="3">
        <f>2048.8+(57.1-132.3)+(-3.134664+(-0.087363--0.202419))+0-94.1--0.143973000000005</f>
        <v>1876.6243650000001</v>
      </c>
      <c r="Y286" s="3">
        <f>2042.3+(66.6-132.1)+(-1.041573+(-0.033966--0.067371))+0-87.3--0.0445229999999911</f>
        <v>1888.536355</v>
      </c>
      <c r="Z286" s="3">
        <f>2035.2+(47.7-130)+(-2.075904+(-0.048654--0.1326))+0-60.9--0.0621180000000097</f>
        <v>1890.07016</v>
      </c>
      <c r="AA286" s="3">
        <f>1921.9+(41.5-120.3)+(-0.980169+(-0.021165--0.061353))+0-85.9--0.0438089999999913</f>
        <v>1756.3038280000001</v>
      </c>
      <c r="AB286" s="3">
        <f>1811.9+(58-111.8)+(-0.924069+(-0.02958--0.057018))+0-90--0.0458999999999909</f>
        <v>1667.2492690000001</v>
      </c>
      <c r="AC286" s="3">
        <f>1696.8+(60.1-102.1)+(-1.730736+(-0.061302--0.104142))+0-70--0.0714000000000112</f>
        <v>1583.1835040000001</v>
      </c>
      <c r="AD286" s="2">
        <v>1876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1643.5+(87-96)+(0+(0-0))+0-82.6-0</f>
        <v>1551.9</v>
      </c>
      <c r="G287" s="3">
        <f>1632.5+(33.3-96.9)+(2.497725+(0.050949-0.148257))+0-87.2-0.133416000000005</f>
        <v>1483.9670010000002</v>
      </c>
      <c r="H287" s="3">
        <f>1586.9+(66.7-90.6)+(3.237276+(0.136068-0.184824))+0-85.1-0.173603999999996</f>
        <v>1480.9149159999999</v>
      </c>
      <c r="I287" s="3">
        <f>1539.8+(71.8-92.9)+(0+(0-0))+0-67.4-0</f>
        <v>1451.3</v>
      </c>
      <c r="J287" s="3">
        <f>1528.5+(71.8-101.2)+(-1.55907+(-0.073236--0.103224))+0-71.8--0.0732360000000114</f>
        <v>1425.8441539999999</v>
      </c>
      <c r="K287" s="3">
        <f>1564.8+(82.4-119.2)+(1.596096+(0.084048-0.121584))+0-95.3-0.0972060000000152</f>
        <v>1434.1613540000001</v>
      </c>
      <c r="L287" s="3">
        <f>1725.5+(23.5-127.3)+(-4.400025+(-0.059925--0.324615))+0-88.9--0.226694999999987</f>
        <v>1528.8913600000001</v>
      </c>
      <c r="M287" s="3">
        <f>1728+(40-123)+(-1.76256+(-0.0408--0.12546))+0-79.5--0.0810900000000127</f>
        <v>1563.90319</v>
      </c>
      <c r="N287" s="3">
        <f>1806+(9.1-124.9)+(-1.84212+(-0.009282--0.127398))+0-64.1--0.0653820000000102</f>
        <v>1624.4413780000002</v>
      </c>
      <c r="O287" s="3">
        <f>1842+(54.5-121.5)+(3.75768+(0.11118-0.24786))+0-94.4-0.192575999999996</f>
        <v>1684.0284240000001</v>
      </c>
      <c r="P287" s="3">
        <f>1843.1+(51.4-122)+(0.939981+(0.026214-0.06222))+0-89.6-0.0456959999999909</f>
        <v>1683.7582790000001</v>
      </c>
      <c r="Q287" s="3">
        <f>1842.1+(48.5-119.4)+(-4.697355+(-0.123675--0.30447))+0-82.9--0.211394999999988</f>
        <v>1683.9948349999997</v>
      </c>
      <c r="R287" s="3">
        <f>1822.2+(79.2-124.8)+(-3.717288+(-0.161568--0.254592))+0-90.5--0.184619999999996</f>
        <v>1682.6603560000001</v>
      </c>
      <c r="S287" s="3">
        <f>1837.5+(75.5-126)+(0.937125+(0.038505-0.06426))+0-84.5-0.0430949999999914</f>
        <v>1703.368275</v>
      </c>
      <c r="T287" s="3">
        <f>1843.5+(42.3-125.1)+(0+(0-0))+0-85.7-0</f>
        <v>1675</v>
      </c>
      <c r="U287" s="3">
        <f>1829.5+(54.7-130.7)+(-3.73218+(-0.111588--0.266628))+0-95.3--0.194411999999996</f>
        <v>1654.817272</v>
      </c>
      <c r="V287" s="3">
        <f>1848+(125.3-129.3)+(1.88496+(0.127806-0.131886))+0-60.5-0.0617100000000096</f>
        <v>1785.31917</v>
      </c>
      <c r="W287" s="3">
        <f>1898.7+(205.6-119)+(2.905011+(0.314568-0.18207))+0-84.2-0.128826000000005</f>
        <v>1904.0086829999998</v>
      </c>
      <c r="X287" s="3">
        <f>2082.8+(71.9-125.4)+(-4.248912+(-0.146676--0.255816))+0-93.4--0.190535999999996</f>
        <v>1931.9507640000002</v>
      </c>
      <c r="Y287" s="3">
        <f>2096.6+(42.2-127.8)+(2.138532+(0.043044-0.130356))+0-87.7-0.089454000000014</f>
        <v>1925.2617660000001</v>
      </c>
      <c r="Z287" s="3">
        <f>1970.8+(119.4-124.4)+(0+(0-0))+0-79.2-0</f>
        <v>1886.6</v>
      </c>
      <c r="AA287" s="3">
        <f>1833.6+(130.6-117.7)+(-1.870272+(-0.133212--0.120054))+0-72--0.0734400000000115</f>
        <v>1772.69001</v>
      </c>
      <c r="AB287" s="3">
        <f>1793.2+(111.3-106.9)+(-1.829064+(-0.113526--0.109038))+0-95.4--0.0973080000000152</f>
        <v>1700.4637560000001</v>
      </c>
      <c r="AC287" s="3">
        <f>1790+(36.4-105)+(-2.7387+(-0.055692--0.16065))+0-80.6--0.123318000000005</f>
        <v>1638.2895760000001</v>
      </c>
      <c r="AD287" s="2">
        <v>1868.2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1746.1+(0-126.8)+(-0.890511+(0--0.064668))+0-71.1--0.0362609999999928</f>
        <v>1547.4104179999999</v>
      </c>
      <c r="G288" s="3">
        <f>1696.9+(3.1-118.4)+(-3.461676+(-0.006324--0.241536))+0-98.8--0.201551999999996</f>
        <v>1479.7750880000001</v>
      </c>
      <c r="H288" s="3">
        <f>1589+(25.8-100.1)+(0+(0-0))+0-91-0</f>
        <v>1423.7</v>
      </c>
      <c r="I288" s="3">
        <f>1471.3+(52.6-90.6)+(-0.750363+(-0.026826--0.046206))+0-81.3--0.0414629999999918</f>
        <v>1351.3104800000001</v>
      </c>
      <c r="J288" s="3">
        <f>1491+(46.6-101.1)+(-0.76041+(-0.023766--0.051561))+0-81.1--0.0413609999999918</f>
        <v>1354.7087460000002</v>
      </c>
      <c r="K288" s="3">
        <f>1514.5+(92-119.8)+(-2.317185+(-0.14076--0.183294))+0-93.8--0.143514000000005</f>
        <v>1390.7688630000002</v>
      </c>
      <c r="L288" s="3">
        <f>1498.5+(92-120.8)+(-2.292705+(-0.14076--0.184824))+0-93.8--0.143514000000005</f>
        <v>1373.7948730000003</v>
      </c>
      <c r="M288" s="3">
        <f>1707.4+(38.9-126.2)+(-0.870774+(-0.019839--0.064362))+0-69.8--0.0355979999999929</f>
        <v>1549.5093470000002</v>
      </c>
      <c r="N288" s="3">
        <f>1873.6+(0-166.1)+(0+(0-0))+0-30.5-0</f>
        <v>1677</v>
      </c>
      <c r="O288" s="3">
        <f>1996.3+(0-174)+(-2.036226+(0--0.17748))+0-27.6--0.0281520000000044</f>
        <v>1792.869406</v>
      </c>
      <c r="P288" s="3">
        <f>2046.7+(0-186.6)+(-2.087634+(0--0.190332))+0-27.6--0.0281520000000044</f>
        <v>1830.6308500000002</v>
      </c>
      <c r="Q288" s="3">
        <f>2049.6+(0-194.9)+(5.22648+(0-0.496995))+0-27.5-0.070124999999996</f>
        <v>1831.8593599999999</v>
      </c>
      <c r="R288" s="3">
        <f>2029.6+(0-214.4)+(-7.245672+(0--0.765408))+0-25.7--0.0917490000000004</f>
        <v>1783.1114849999997</v>
      </c>
      <c r="S288" s="3">
        <f>2041.6+(0-217.4)+(-4.164864+(0--0.443496))+0-59.4--0.121175999999997</f>
        <v>1761.1998079999998</v>
      </c>
      <c r="T288" s="3">
        <f>2068.6+(0-232.6)+(1.054986+(0-0.118626))+0-82.5-0.0420749999999916</f>
        <v>1754.3942849999999</v>
      </c>
      <c r="U288" s="3">
        <f>2008.5+(0-201.2)+(-1.024335+(0--0.102612))+0-97.4--0.0496739999999901</f>
        <v>1709.027951</v>
      </c>
      <c r="V288" s="3">
        <f>2013+(0-136.4)+(0+(0-0))+0-79.1-0</f>
        <v>1797.5</v>
      </c>
      <c r="W288" s="3">
        <f>2029.4+(63.2-134.9)+(3.104982+(0.096696-0.206397))+0-64.9-0.0992970000000038</f>
        <v>1895.695984</v>
      </c>
      <c r="X288" s="3">
        <f>2064.1+(76.7-132.9)+(-4.210764+(-0.156468--0.271116))+0-90.7--0.185027999999996</f>
        <v>1913.288912</v>
      </c>
      <c r="Y288" s="3">
        <f>2069.5+(64.1-137.6)+(-2.11089+(-0.065382--0.140352))+0-87.2--0.0889440000000139</f>
        <v>1906.853024</v>
      </c>
      <c r="Z288" s="3">
        <f>2034.6+(52.1-141.5)+(-2.075292+(-0.053142--0.14433))+0-85.6--0.0873120000000136</f>
        <v>1857.7032080000001</v>
      </c>
      <c r="AA288" s="3">
        <f>1978.6+(31.3-126.7)+(0+(0-0))+0-78.1-0</f>
        <v>1805.1</v>
      </c>
      <c r="AB288" s="3">
        <f>1923.9+(31.1-136.7)+(-2.943567+(-0.047583--0.209151))+0-85.9--0.131427000000005</f>
        <v>1729.7494280000001</v>
      </c>
      <c r="AC288" s="3">
        <f>1850+(45-174.6)+(-0.9435+(-0.02295--0.089046))+0-91.3--0.0465629999999907</f>
        <v>1628.2691589999999</v>
      </c>
      <c r="AD288" s="2">
        <v>1871.1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1707.5+(64.4-163.9)+(-2.612475+(-0.098532--0.250767))+0-60.8--0.0930240000000035</f>
        <v>1544.8327839999999</v>
      </c>
      <c r="G289" s="3">
        <f>1756.5+(60.3-213.1)+(0+(0-0))+0-79.4-0</f>
        <v>1524.3</v>
      </c>
      <c r="H289" s="3">
        <f>1596+(54.8-127.2)+(0.81396+(0.027948-0.064872))+0-89.7-0.0457469999999909</f>
        <v>1434.6312889999999</v>
      </c>
      <c r="I289" s="3">
        <f>1570.8+(57.9-124.9)+(1.602216+(0.059058-0.127398))+0-67-0.0683400000000107</f>
        <v>1438.2655359999999</v>
      </c>
      <c r="J289" s="3">
        <f>1538.2+(54.4-111.6)+(3.137928+(0.110976-0.227664))+0-65.3-0.133211999999997</f>
        <v>1418.5880280000001</v>
      </c>
      <c r="K289" s="3">
        <f>1580+(71.5-136.4)+(1.6116+(0.07293-0.139128))+0-82.3-0.0839460000000131</f>
        <v>1434.261456</v>
      </c>
      <c r="L289" s="3">
        <f>1757.3+(30.1-162.2)+(0+(0-0))+0-86.1-0</f>
        <v>1539.1000000000001</v>
      </c>
      <c r="M289" s="3">
        <f>1830.9+(18.6-166.4)+(-1.867518+(-0.018972--0.169728))+0-60.3--0.0615060000000096</f>
        <v>1621.1447440000002</v>
      </c>
      <c r="N289" s="3">
        <f>1847.1+(63.2-144.1)+(1.884042+(0.064464-0.146982))+0-93.9-0.095778000000015</f>
        <v>1674.0057459999996</v>
      </c>
      <c r="O289" s="3">
        <f>1833+(72.1-142.8)+(-0.93483+(-0.036771--0.072828))+0-91.2--0.0465119999999907</f>
        <v>1670.2477389999999</v>
      </c>
      <c r="P289" s="3">
        <f>1884.2+(31.4-148)+(-1.921884+(-0.032028--0.15096))+0-56--0.0571200000000089</f>
        <v>1709.8541680000001</v>
      </c>
      <c r="Q289" s="3">
        <f>1919.3+(21.1-135.4)+(-0.978843+(-0.010761--0.069054))+0-74.2--0.0378419999999925</f>
        <v>1729.9172919999999</v>
      </c>
      <c r="R289" s="3">
        <f>1951.4+(8.5-149.3)+(0+(0-0))+0-89.5-0</f>
        <v>1721.1000000000001</v>
      </c>
      <c r="S289" s="3">
        <f>1970.5+(0-166.1)+(-2.00991+(0--0.169422))+0-85.5--0.0872100000000136</f>
        <v>1717.146722</v>
      </c>
      <c r="T289" s="3">
        <f>1962.1+(0-182.7)+(-1.000671+(0--0.093177))+0-86.1--0.0439109999999913</f>
        <v>1692.4364169999999</v>
      </c>
      <c r="U289" s="3">
        <f>1942.7+(0-171.7)+(0.990777+(0-0.087567))+0-84.7-0.0431969999999914</f>
        <v>1687.1600129999999</v>
      </c>
      <c r="V289" s="3">
        <f>1948.4+(41.3-162.3)+(-5.962104+(-0.126378--0.496638))+0-71.8--0.219708000000008</f>
        <v>1750.2278640000002</v>
      </c>
      <c r="W289" s="3">
        <f>2072+(77.9-158.2)+(2.11344+(0.079458-0.161364))+0-97.5-0.0994500000000155</f>
        <v>1896.1320840000001</v>
      </c>
      <c r="X289" s="3">
        <f>2079.1+(41.1-142.6)+(-3.181023+(-0.062883--0.218178))+0-86.8--0.132804000000005</f>
        <v>1887.907076</v>
      </c>
      <c r="Y289" s="3">
        <f>2071+(39.5-148.3)+(-4.22484+(-0.08058--0.302532))+0-91.7--0.187067999999996</f>
        <v>1866.68418</v>
      </c>
      <c r="Z289" s="3">
        <f>2076.2+(11.8-159.6)+(-3.176586+(-0.018054--0.244188))+0-78.6--0.120258000000005</f>
        <v>1846.9698059999998</v>
      </c>
      <c r="AA289" s="3">
        <f>2069.1+(2.3-149.1)+(-3.165723+(-0.003519--0.228123))+0-91.6--0.140148000000005</f>
        <v>1827.8990289999999</v>
      </c>
      <c r="AB289" s="3">
        <f>2055.8+(11.9-173.1)+(0+(0-0))+0-89.8-0</f>
        <v>1804.8000000000002</v>
      </c>
      <c r="AC289" s="3">
        <f>1952.2+(18-165.5)+(-3.982488+(-0.03672--0.33762))+0-98.6--0.201143999999996</f>
        <v>1702.6195560000001</v>
      </c>
      <c r="AD289" s="2">
        <v>1819.6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1806.2+(34.9-185.4)+(0+(0-0))+0-66.9-0</f>
        <v>1588.8</v>
      </c>
      <c r="G290" s="3">
        <f>1734.2+(46.2-161.7)+(2.653326+(0.070686-0.247401))+0-84.1-0.128673000000005</f>
        <v>1536.9479380000002</v>
      </c>
      <c r="H290" s="3">
        <f>1717.4+(46.5-157.5)+(0.875874+(0.023715-0.080325))+0-93.6-0.0477359999999905</f>
        <v>1513.5715280000002</v>
      </c>
      <c r="I290" s="3">
        <f>1719.1+(42.7-199.4)+(2.630223+(0.065331-0.305082))+0-77.6-0.118728000000004</f>
        <v>1487.0717440000001</v>
      </c>
      <c r="J290" s="3">
        <f>1658.6+(20.1-147.2)+(1.691772+(0.020502-0.150144))+0-78.4-0.0799680000000125</f>
        <v>1454.5821619999999</v>
      </c>
      <c r="K290" s="3">
        <f>1623.9+(19.3-135.8)+(1.656378+(0.019686-0.138516))+0-78.4-0.0799680000000125</f>
        <v>1430.45758</v>
      </c>
      <c r="L290" s="3">
        <f>1601.6+(13.9-145.3)+(-6.534528+(-0.056712--0.592824))+0-87.9--0.358631999999992</f>
        <v>1376.6602159999998</v>
      </c>
      <c r="M290" s="3">
        <f>1621+(9.2-148.8)+(4.96026+(0.028152-0.455328))+0-82.4-0.25214400000001</f>
        <v>1403.2809399999999</v>
      </c>
      <c r="N290" s="3">
        <f>1736.2+(0-180)+(3.541848+(0-0.3672))+0-86.1-0.175643999999996</f>
        <v>1473.0990040000001</v>
      </c>
      <c r="O290" s="3">
        <f>1774.6+(0-196.5)+(2.715138+(0-0.300645))+0-91.9-0.140607000000005</f>
        <v>1488.4738859999998</v>
      </c>
      <c r="P290" s="3">
        <f>1766.9+(0-192.1)+(-3.604476+(0--0.391884))+0-95.6--0.195023999999996</f>
        <v>1476.1824320000003</v>
      </c>
      <c r="Q290" s="3">
        <f>1638.2+(0-195.6)+(-2.506446+(0--0.299268))+0-79--0.120870000000005</f>
        <v>1361.513692</v>
      </c>
      <c r="R290" s="3">
        <f>1770.8+(0-210)+(-1.806216+(0--0.2142))+0-84.4--0.0860880000000135</f>
        <v>1474.8940719999998</v>
      </c>
      <c r="S290" s="3">
        <f>1751.5+(0-215.2)+(-0.893265+(0--0.109752))+0-72.3--0.0368729999999927</f>
        <v>1463.2533599999999</v>
      </c>
      <c r="T290" s="3">
        <f>1744.1+(0-197.8)+(-0.889491+(0--0.100878))+0-93.2--0.0475319999999905</f>
        <v>1452.358919</v>
      </c>
      <c r="U290" s="3">
        <f>1622.4+(14.3-143.5)+(-3.309696+(-0.029172--0.29274))+0-67.5--0.137699999999997</f>
        <v>1422.7915720000001</v>
      </c>
      <c r="V290" s="3">
        <f>1609.4+(116.5-124.9)+(0.820794+(0.059415-0.063699))+0-83.3-0.0424829999999915</f>
        <v>1518.4740270000002</v>
      </c>
      <c r="W290" s="3">
        <f>1730.1+(131.9-125.2)+(-0.882351+(-0.067269--0.063852))+0-88.7--0.045236999999991</f>
        <v>1647.2594689999999</v>
      </c>
      <c r="X290" s="3">
        <f>1759.1+(99.6-125.8)+(-0.897141+(-0.050796--0.064158))+0-93.3--0.0475829999999905</f>
        <v>1638.7638039999999</v>
      </c>
      <c r="Y290" s="3">
        <f>1761.7+(78.7-131.3)+(-0.898467+(-0.040137--0.066963))+0-83.4--0.0425339999999915</f>
        <v>1624.870893</v>
      </c>
      <c r="Z290" s="3">
        <f>1760.8+(71.5-126)+(-0.898008+(-0.036465--0.06426))+0-88.6--0.045185999999991</f>
        <v>1616.8749730000002</v>
      </c>
      <c r="AA290" s="3">
        <f>1767.3+(61.8-120.4)+(2.703969+(0.094554-0.184212))+0-81.6-0.124848000000005</f>
        <v>1629.5894630000003</v>
      </c>
      <c r="AB290" s="3">
        <f>1691+(40.7-112.4)+(0+(0-0))+0-84.9-0</f>
        <v>1534.3999999999999</v>
      </c>
      <c r="AC290" s="3">
        <f>1556.8+(51-101.7)+(-1.587936+(-0.05202--0.103734))+0-91.5--0.0933300000000146</f>
        <v>1413.1571079999999</v>
      </c>
      <c r="AD290" s="2">
        <v>1672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1554+(38.1-104.1)+(-2.37762+(-0.058293--0.159273))+0-72--0.110160000000004</f>
        <v>1413.8335199999999</v>
      </c>
      <c r="G291" s="3">
        <f>1483.2+(41.4-96.1)+(0+(0-0))+0-73.4-0</f>
        <v>1355.1</v>
      </c>
      <c r="H291" s="3">
        <f>1388.1+(124.3-89.4)+(0.707931+(0.063393-0.045594))+0-101.5-0.0517649999999897</f>
        <v>1322.1739650000002</v>
      </c>
      <c r="I291" s="3">
        <f>1376.4+(82.6-89.9)+(0.701964+(0.042126-0.045849))+0-81.3-0.0414629999999918</f>
        <v>1288.4567780000002</v>
      </c>
      <c r="J291" s="3">
        <f>1395.7+(85.9-96.4)+(-0.711807+(-0.043809--0.049164))+0-89.8--0.0457979999999909</f>
        <v>1294.7393460000003</v>
      </c>
      <c r="K291" s="3">
        <f>1426.3+(81.1-116.5)+(2.182239+(0.124083-0.178245))+0-85.9-0.131427000000005</f>
        <v>1306.9966499999998</v>
      </c>
      <c r="L291" s="3">
        <f>1461+(42.7-122.1)+(2.23533+(0.065331-0.186813))+0-94-0.143820000000005</f>
        <v>1289.5700279999999</v>
      </c>
      <c r="M291" s="3">
        <f>1528.1+(22.9-121.3)+(-0.779331+(-0.011679--0.061863))+0-97.3--0.0496229999999901</f>
        <v>1331.7204759999997</v>
      </c>
      <c r="N291" s="3">
        <f>1547.2+(15.6-135.2)+(0.789072+(0.007956-0.068952))+0-63.8-0.0325379999999935</f>
        <v>1364.4955380000004</v>
      </c>
      <c r="O291" s="3">
        <f>1636.8+(13-129.9)+(0.834768+(0.00663-0.066249))+0-92.9-0.0473789999999906</f>
        <v>1427.7277699999997</v>
      </c>
      <c r="P291" s="3">
        <f>1699.2+(0-138.1)+(-0.866592+(0--0.070431))+0-101.1--0.0515609999999897</f>
        <v>1459.2554000000002</v>
      </c>
      <c r="Q291" s="3">
        <f>1713.9+(0-150)+(-2.622267+(0--0.2295))+0-89.9--0.137547000000005</f>
        <v>1471.74478</v>
      </c>
      <c r="R291" s="3">
        <f>1753.2+(0-186.9)+(-1.788264+(0--0.190638))+0-72.8--0.0742560000000116</f>
        <v>1491.9766300000001</v>
      </c>
      <c r="S291" s="3">
        <f>1750.7+(0-183.8)+(-1.785714+(0--0.187476))+0-80--0.0816000000000128</f>
        <v>1485.383362</v>
      </c>
      <c r="T291" s="3">
        <f>1750.1+(0-184.7)+(-3.570204+(0--0.376788))+0-92.9--0.189515999999996</f>
        <v>1469.4960999999996</v>
      </c>
      <c r="U291" s="3">
        <f>1689.1+(9-136.7)+(4.307205+(0.02295-0.348585))+0-97.4-0.248369999999986</f>
        <v>1467.7331999999997</v>
      </c>
      <c r="V291" s="3">
        <f>1713.6+(37.3-118.7)+(0+(0-0))+0-81.6-0</f>
        <v>1550.6</v>
      </c>
      <c r="W291" s="3">
        <f>1869.6+(64-125.6)+(1.906992+(0.06528-0.128112))+0-74.3-0.0757860000000118</f>
        <v>1735.468374</v>
      </c>
      <c r="X291" s="3">
        <f>1852.1+(73.7-125)+(-2.833713+(-0.112761--0.19125))+0-92.3--0.141219000000005</f>
        <v>1705.8859950000001</v>
      </c>
      <c r="Y291" s="3">
        <f>1860.8+(56.2-128.4)+(0.949008+(0.028662-0.065484))+0-79.3-0.040442999999992</f>
        <v>1710.1717429999999</v>
      </c>
      <c r="Z291" s="3">
        <f>1803.7+(69.8-126)+(0.919887+(0.035598-0.06426))+0-88.3-0.045032999999991</f>
        <v>1660.046192</v>
      </c>
      <c r="AA291" s="3">
        <f>1724.6+(101.3-118.6)+(1.759092+(0.103326-0.120972))+0-85.9-0.0876180000000137</f>
        <v>1623.0538279999998</v>
      </c>
      <c r="AB291" s="3">
        <f>1709.1+(86-161.9)+(-1.743282+(-0.08772--0.165138))+0-74.6--0.0760920000000119</f>
        <v>1557.0102279999999</v>
      </c>
      <c r="AC291" s="3">
        <f>1702.9+(71.5-173.9)+(-4.342395+(-0.182325--0.443445))+0-99.2--0.252959999999986</f>
        <v>1497.471685</v>
      </c>
      <c r="AD291" s="2">
        <v>1712.4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1510.5+(57.1-113.1)+(-2.311065+(-0.087363--0.173043))+0-64.4--0.0985320000000037</f>
        <v>1387.9731469999999</v>
      </c>
      <c r="G292" s="3">
        <f>1466.8+(27.4-99.2)+(0+(0-0))+0-82.9-0</f>
        <v>1312.1</v>
      </c>
      <c r="H292" s="3">
        <f>1476.1+(6.5-108.7)+(0.752811+(0.003315-0.055437))+0-88.5-0.045134999999991</f>
        <v>1286.0555539999998</v>
      </c>
      <c r="I292" s="3">
        <f>1478.3+(12.9-161.8)+(2.261799+(0.019737-0.247554))+0-98.8-0.151164000000006</f>
        <v>1232.4828179999997</v>
      </c>
      <c r="J292" s="3">
        <f>1484.9+(52.8-199.5)+(3.786495+(0.13464-0.508725))+0-83.1-0.211904999999988</f>
        <v>1258.3005050000002</v>
      </c>
      <c r="K292" s="3">
        <f>1474+(15.7-162.8)+(1.50348+(0.016014-0.166056))+0-63.6-0.0648720000000101</f>
        <v>1264.5885660000004</v>
      </c>
      <c r="L292" s="3">
        <f>1583.6+(21.9-126.1)+(-4.845816+(-0.067014--0.385866))+0-96--0.293760000000011</f>
        <v>1379.166796</v>
      </c>
      <c r="M292" s="3">
        <f>1629.7+(4.1-143.2)+(2.493441+(0.006273-0.219096))+0-59.8-0.0914940000000034</f>
        <v>1432.9891240000002</v>
      </c>
      <c r="N292" s="3">
        <f>1815.9+(0-261.6)+(0+(0-0))+0-78.2-0</f>
        <v>1476.1000000000001</v>
      </c>
      <c r="O292" s="3">
        <f>1811.3+(0-193.8)+(-3.695052+(0--0.395352))+0-82.9--0.169115999999996</f>
        <v>1531.4694159999999</v>
      </c>
      <c r="P292" s="3">
        <f>1828.1+(0-182.9)+(1.864662+(0-0.186558))+0-39.7-0.0404940000000063</f>
        <v>1607.1376099999998</v>
      </c>
      <c r="Q292" s="3">
        <f>1800.1+(12.1-131.5)+(0+(0-0))+0-56.4-0</f>
        <v>1624.2999999999997</v>
      </c>
      <c r="R292" s="3">
        <f>1802.4+(20.8-133.3)+(-2.757672+(-0.031824--0.203949))+0-88.4--0.135252000000005</f>
        <v>1599.0497050000001</v>
      </c>
      <c r="S292" s="3">
        <f>1818.8+(0-214.2)+(-1.855176+(0--0.218484))+0-31.9--0.0325380000000051</f>
        <v>1571.0958459999997</v>
      </c>
      <c r="T292" s="3">
        <f>1827.4+(0-222.6)+(0.931974+(0-0.113526))+0-70.2-0.0358019999999929</f>
        <v>1535.382646</v>
      </c>
      <c r="U292" s="3">
        <f>1834.1+(0-240.3)+(2.806173+(0-0.367659))+0-79.3-0.121329000000005</f>
        <v>1516.8171849999999</v>
      </c>
      <c r="V292" s="3">
        <f>1890.8+(0-146.1)+(0.964308+(0-0.074511))+0-83.5-0.0425849999999915</f>
        <v>1662.0472120000002</v>
      </c>
      <c r="W292" s="3">
        <f>1996.8+(75-126.5)+(0+(0-0))+0-90.2-0</f>
        <v>1855.1</v>
      </c>
      <c r="X292" s="3">
        <f>1993.8+(50.1-130.3)+(-1.016838+(-0.025551--0.066453))+0-74.4--0.0379439999999925</f>
        <v>1838.2620079999997</v>
      </c>
      <c r="Y292" s="3">
        <f>1971.7+(76.5-129.1)+(-4.022268+(-0.15606--0.263364))+0-86.5--0.176459999999996</f>
        <v>1828.861496</v>
      </c>
      <c r="Z292" s="3">
        <f>1967.7+(72.9-130.3)+(-1.003527+(-0.037179--0.066453))+0-89.8--0.0457979999999909</f>
        <v>1819.571545</v>
      </c>
      <c r="AA292" s="3">
        <f>1968.3+(8.1-134.2)+(0+(0-0))+0-84.2-0</f>
        <v>1758</v>
      </c>
      <c r="AB292" s="3">
        <f>1958.2+(0-160.1)+(-2.996046+(0--0.244953))+0-102.6--0.156978000000006</f>
        <v>1692.9058850000001</v>
      </c>
      <c r="AC292" s="3">
        <f>1855.9+(0-155)+(-0.946509+(0--0.07905))+0-87.8--0.0447779999999911</f>
        <v>1612.277319</v>
      </c>
      <c r="AD292" s="2">
        <v>1860.6000000000001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1651.4+(16.3-121.6)+(-1.684428+(-0.016626--0.124032))+0-72.7--0.0741540000000116</f>
        <v>1471.8971320000001</v>
      </c>
      <c r="G293" s="3">
        <f>1547.6+(56.2-93)+(0.789276+(0.028662-0.04743))+0-82.6-0.0421259999999916</f>
        <v>1428.9283820000001</v>
      </c>
      <c r="H293" s="3">
        <f>1522.8+(58.1-90.6)+(-1.553256+(-0.059262--0.092412))+0-91.6--0.0934320000000146</f>
        <v>1397.2733260000002</v>
      </c>
      <c r="I293" s="3">
        <f>1526.9+(43.6-90.7)+(0.778719+(0.022236-0.046257))+0-86.7-0.0442169999999912</f>
        <v>1393.8104810000002</v>
      </c>
      <c r="J293" s="3">
        <f>1611.4+(17-120.2)+(3.287256+(0.03468-0.245208))+0-72.4-0.147695999999997</f>
        <v>1438.729032</v>
      </c>
      <c r="K293" s="3">
        <f>1641.5+(15.2-137.3)+(1.67433+(0.015504-0.140046))+0-75.1-0.076602000000012</f>
        <v>1445.7731860000001</v>
      </c>
      <c r="L293" s="3">
        <f>1699+(11.2-140.8)+(1.73298+(0.011424-0.143616))+0-91.2-0.0930240000000145</f>
        <v>1479.707764</v>
      </c>
      <c r="M293" s="3">
        <f>1754.4+(0-162.2)+(-1.789488+(0--0.165444))+0-89.2--0.0909840000000142</f>
        <v>1501.46694</v>
      </c>
      <c r="N293" s="3">
        <f>1794.9+(18.1-119.6)+(1.830798+(0.018462-0.121992))+0-66.3-0.0676260000000106</f>
        <v>1628.7596420000002</v>
      </c>
      <c r="O293" s="3">
        <f>1817.7+(21.7-119.3)+(1.854054+(0.022134-0.121686))+0-79.6-0.0811920000000127</f>
        <v>1642.1733100000001</v>
      </c>
      <c r="P293" s="3">
        <f>1822.8+(41.1-123.6)+(0.929628+(0.020961-0.063036))+0-89.8-0.0457979999999909</f>
        <v>1651.3417549999999</v>
      </c>
      <c r="Q293" s="3">
        <f>1863.6+(43.1-125.1)+(-0.950436+(-0.021981--0.063801))+0-70.7--0.0360569999999928</f>
        <v>1710.027441</v>
      </c>
      <c r="R293" s="3">
        <f>1856.6+(36.9-127.4)+(-3.787464+(-0.075276--0.259896))+0-82.1--0.167483999999996</f>
        <v>1680.5646400000001</v>
      </c>
      <c r="S293" s="3">
        <f>1861+(25.6-126.3)+(-2.84733+(-0.039168--0.193239))+0-69.9--0.106947000000004</f>
        <v>1687.813688</v>
      </c>
      <c r="T293" s="3">
        <f>1833.2+(0-134.4)+(-5.609592+(0--0.411264))+0-86.8--0.26560800000001</f>
        <v>1607.06728</v>
      </c>
      <c r="U293" s="3">
        <f>1811+(1.3-127.5)+(2.77083+(0.001989-0.195075))+0-86.4-0.132192000000005</f>
        <v>1600.8455519999998</v>
      </c>
      <c r="V293" s="3">
        <f>1856.6+(38-128.9)+(0+(0-0))+0-68.5-0</f>
        <v>1697.1999999999998</v>
      </c>
      <c r="W293" s="3">
        <f>1911.5+(104-131.3)+(0.974865+(0.05304-0.066963))+0-73.5-0.0374849999999925</f>
        <v>1811.6234569999999</v>
      </c>
      <c r="X293" s="3">
        <f>2002.3+(61.4-132.5)+(-5.105865+(-0.15657--0.337875))+0-97.9--0.249644999999986</f>
        <v>1828.6250849999999</v>
      </c>
      <c r="Y293" s="3">
        <f>1953.4+(73.8-133.6)+(-1.992468+(-0.075276--0.136272))+0-89--0.0907800000000142</f>
        <v>1802.7593080000001</v>
      </c>
      <c r="Z293" s="3">
        <f>1953.6+(77.2-132.5)+(-0.996336+(-0.039372--0.067575))+0-88.5--0.045134999999991</f>
        <v>1808.8770019999999</v>
      </c>
      <c r="AA293" s="3">
        <f>1873.8+(62.7-125.7)+(-3.822552+(-0.127908--0.256428))+0-86.2--0.175847999999996</f>
        <v>1721.0818159999999</v>
      </c>
      <c r="AB293" s="3">
        <f>1927.4+(0-148.1)+(-0.982974+(0--0.075531))+0-86.2--0.0439619999999913</f>
        <v>1692.236519</v>
      </c>
      <c r="AC293" s="3">
        <f>1909.4+(0-208.1)+(-4.86897+(0--0.530655))+0-73--0.186149999999989</f>
        <v>1624.1478350000002</v>
      </c>
      <c r="AD293" s="2">
        <v>1891.1999999999998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1704.4+(0-142.1)+(-4.34622+(0--0.362355))+0-86.1--0.219554999999987</f>
        <v>1472.4356900000002</v>
      </c>
      <c r="G294" s="3">
        <f>1650+(0-143.8)+(-4.2075+(0--0.36669))+0-82.4--0.210119999999988</f>
        <v>1420.16931</v>
      </c>
      <c r="H294" s="3">
        <f>1602.7+(1.9-135.6)+(1.634754+(0.001938-0.138312))+0-99-0.100980000000016</f>
        <v>1371.3974000000001</v>
      </c>
      <c r="I294" s="3">
        <f>1521.9+(8.3-127.9)+(0.776169+(0.004233-0.065229))+0-69.7-0.0355469999999929</f>
        <v>1333.2796260000002</v>
      </c>
      <c r="J294" s="3">
        <f>1607.2+(0-148.7)+(-1.639344+(0--0.151674))+0-72--0.0734400000000115</f>
        <v>1385.0857700000001</v>
      </c>
      <c r="K294" s="3">
        <f>1685.9+(0-194)+(1.719618+(0-0.19788))+0-82.3-0.0839460000000131</f>
        <v>1411.0377920000001</v>
      </c>
      <c r="L294" s="3">
        <f>1725.5+(0-185.8)+(3.52002+(0-0.379032))+0-69.4-0.141575999999997</f>
        <v>1473.2994120000001</v>
      </c>
      <c r="M294" s="3">
        <f>1730.3+(0-175.6)+(-1.764906+(0--0.179112))+0-69.2--0.070584000000011</f>
        <v>1483.98479</v>
      </c>
      <c r="N294" s="3">
        <f>1814.2+(0-132.7)+(-0.925242+(0--0.067677))+0-95.3--0.0486029999999903</f>
        <v>1585.391038</v>
      </c>
      <c r="O294" s="3">
        <f>1836.1+(1.9-118.8)+(-1.872822+(-0.001938--0.121176))+0-81.3--0.082926000000013</f>
        <v>1636.2293419999999</v>
      </c>
      <c r="P294" s="3">
        <f>1803.5+(22.3-120.7)+(-1.83957+(-0.022746--0.123114))+0-84.4--0.0860880000000135</f>
        <v>1619.0468859999999</v>
      </c>
      <c r="Q294" s="3">
        <f>1825.9+(60.7-123.5)+(-1.862418+(-0.061914--0.12597))+0-84.1--0.0857820000000134</f>
        <v>1677.2874200000003</v>
      </c>
      <c r="R294" s="3">
        <f>1818.1+(67.8-125.1)+(-3.708924+(-0.138312--0.255204))+0-80.8--0.164831999999996</f>
        <v>1676.5727999999999</v>
      </c>
      <c r="S294" s="3">
        <f>1753.2+(88-123.5)+(0.894132+(0.04488-0.062985))+0-88.6-0.045185999999991</f>
        <v>1629.9308410000001</v>
      </c>
      <c r="T294" s="3">
        <f>1825+(20.2-120.2)+(-0.93075+(-0.010302--0.061302))+0-88.8--0.045287999999991</f>
        <v>1635.365538</v>
      </c>
      <c r="U294" s="3">
        <f>1769.2+(61.9-130.3)+(-1.804584+(-0.063138--0.132906))+0-87.4--0.0891480000000139</f>
        <v>1611.754332</v>
      </c>
      <c r="V294" s="3">
        <f>1768.6+(109.3-134)+(-1.803972+(-0.111486--0.13668))+0-75.6--0.077112000000012</f>
        <v>1666.5983339999998</v>
      </c>
      <c r="W294" s="3">
        <f>1842.6+(187.7-132.5)+(0.939726+(0.095727-0.067575))+0-83.1-0.0423809999999916</f>
        <v>1815.625497</v>
      </c>
      <c r="X294" s="3">
        <f>1877.4+(159.5-137.3)+(-2.872422+(-0.244035--0.210069))+0-95--0.145350000000006</f>
        <v>1801.838962</v>
      </c>
      <c r="Y294" s="3">
        <f>1868.1+(159.4-135.2)+(0.952731+(0.081294-0.068952))+0-69-0.035189999999993</f>
        <v>1824.229883</v>
      </c>
      <c r="Z294" s="3">
        <f>1869.8+(129.7-132.4)+(-0.953598+(-0.066147--0.067524))+0-81--0.0413099999999918</f>
        <v>1785.189089</v>
      </c>
      <c r="AA294" s="3">
        <f>1861+(106.4-117.1)+(-1.89822+(-0.108528--0.119442))+0-96.5--0.0984300000000154</f>
        <v>1752.0111239999999</v>
      </c>
      <c r="AB294" s="3">
        <f>1853.1+(76.6-125.7)+(-3.780324+(-0.156264--0.256428))+0-85.9--0.175235999999996</f>
        <v>1714.5950760000001</v>
      </c>
      <c r="AC294" s="3">
        <f>1843.4+(86.1-180.2)+(-4.70067+(-0.219555--0.45951))+0-68--0.17339999999999</f>
        <v>1677.0126850000001</v>
      </c>
      <c r="AD294" s="2">
        <v>1925.1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1771.3+(101.1-218.6)+(-0.903363+(-0.051561--0.111486))+0-80.9--0.0412589999999918</f>
        <v>1572.0978209999998</v>
      </c>
      <c r="G295" s="3">
        <f>1614.7+(84.9-137)+(-3.293988+(-0.173196--0.27948))+0-93.5--0.190739999999996</f>
        <v>1466.1030360000002</v>
      </c>
      <c r="H295" s="3">
        <f>1390.8+(119.1-84.4)+(0.709308+(0.060741-0.043044))+0-85.9-0.0438089999999913</f>
        <v>1340.2831959999999</v>
      </c>
      <c r="I295" s="3">
        <f>1374.7+(117.5-85.8)+(-2.103291+(-0.179775--0.131274))+0-85.8--0.131274000000005</f>
        <v>1318.5794820000003</v>
      </c>
      <c r="J295" s="3">
        <f>1380+(95.5-93.6)+(0.7038+(0.048705-0.047736))+0-80.5-0.0410549999999918</f>
        <v>1302.0637140000001</v>
      </c>
      <c r="K295" s="3">
        <f>1420.8+(113.6-116)+(0.724608+(0.057936-0.05916))+0-96.6-0.0492659999999902</f>
        <v>1322.4741179999999</v>
      </c>
      <c r="L295" s="3">
        <f>1547.9+(78.6-122.8)+(-3.947145+(-0.20043--0.31314))+0-95.5--0.243524999999986</f>
        <v>1404.6090900000002</v>
      </c>
      <c r="M295" s="3">
        <f>1654.7+(9.9-131.7)+(-2.531691+(-0.015147--0.201501))+0-25.4--0.0388620000000015</f>
        <v>1505.1935250000001</v>
      </c>
      <c r="N295" s="3">
        <f>1760.3+(26.5-122.4)+(1.795506+(0.02703-0.124848))+0-18.1-0.0184620000000029</f>
        <v>1647.9792259999999</v>
      </c>
      <c r="O295" s="3">
        <f>1755.4+(53.4-130)+(-0.895254+(-0.027234--0.0663))+0-20.6--0.0105059999999979</f>
        <v>1657.3543180000004</v>
      </c>
      <c r="P295" s="3">
        <f>1758.4+(53.7-134.3)+(2.690352+(0.082161-0.205479))+0-20.3-0.0310590000000012</f>
        <v>1660.0359750000002</v>
      </c>
      <c r="Q295" s="3">
        <f>1744.6+(51.3-136.5)+(0+(0-0))+0-18.8-0</f>
        <v>1640.6</v>
      </c>
      <c r="R295" s="3">
        <f>1692.2+(80.2-127.3)+(-0.863022+(-0.040902--0.064923))+0-18--0.00917999999999817</f>
        <v>1626.2701790000001</v>
      </c>
      <c r="S295" s="3">
        <f>1662.4+(107.7-111)+(-0.847824+(-0.054927--0.05661))+0-43.4--0.0221339999999956</f>
        <v>1614.8759930000001</v>
      </c>
      <c r="T295" s="3">
        <f>1661.9+(105.1-135.8)+(-0.847569+(-0.053601--0.069258))+0-80--0.0407999999999919</f>
        <v>1550.4088879999999</v>
      </c>
      <c r="U295" s="3">
        <f>1682.6+(112.1-136.7)+(0+(0-0))+0-96-0</f>
        <v>1562</v>
      </c>
      <c r="V295" s="3">
        <f>1727.1+(77.4-131.3)+(-0.880821+(-0.039474--0.066963))+0-67.1--0.0342209999999932</f>
        <v>1605.2808889999999</v>
      </c>
      <c r="W295" s="3">
        <f>1754.7+(167.3-131.1)+(0.894897+(0.085323-0.066861))+0-63.7-0.0324869999999935</f>
        <v>1728.080872</v>
      </c>
      <c r="X295" s="3">
        <f>1780.1+(137.6-136.7)+(-3.631404+(-0.280704--0.278868))+0-36.3--0.0740519999999984</f>
        <v>1741.1408120000001</v>
      </c>
      <c r="Y295" s="3">
        <f>1783.8+(175.6-134.4)+(-0.909738+(-0.089556--0.068544))+0-102.2--0.0521219999999896</f>
        <v>1721.921372</v>
      </c>
      <c r="Z295" s="3">
        <f>1777.9+(167.4-126.6)+(-1.813458+(-0.170748--0.129132))+0-83--0.0846600000000132</f>
        <v>1733.929586</v>
      </c>
      <c r="AA295" s="3">
        <f>1785.9+(120.1-115)+(0+(0-0))+0-87.1-0</f>
        <v>1703.9</v>
      </c>
      <c r="AB295" s="3">
        <f>1774.1+(68.1-125.2)+(-2.714373+(-0.104193--0.191556))+0-84.1--0.128673000000005</f>
        <v>1630.4016630000001</v>
      </c>
      <c r="AC295" s="3">
        <f>1685.2+(94.8-138.4)+(-1.718904+(-0.096696--0.141168))+0-99.1--0.101082000000016</f>
        <v>1540.9266500000001</v>
      </c>
      <c r="AD295" s="2">
        <v>1952.1999999999998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1625.1+(109-171.5)+(-4.144005+(-0.27795--0.437325))+0-63.1--0.160904999999991</f>
        <v>1495.676275</v>
      </c>
      <c r="G296" s="3">
        <f>1618.9+(115.4-169.1)+(0+(0-0))+0-89-0</f>
        <v>1476.2</v>
      </c>
      <c r="H296" s="3">
        <f>1595.3+(119.2-167.1)+(-1.627206+(-0.121584--0.170442))+0-89.5--0.0912900000000143</f>
        <v>1456.4129419999999</v>
      </c>
      <c r="I296" s="3">
        <f>1441.9+(121.5-109.4)+(-1.470738+(-0.12393--0.111588))+0-97--0.0989400000000155</f>
        <v>1355.6158600000001</v>
      </c>
      <c r="J296" s="3">
        <f>1412.2+(116.6-93.7)+(0+(0-0))+0-85.8-0</f>
        <v>1349.3000000000002</v>
      </c>
      <c r="K296" s="3">
        <f>1416+(119.5-119.5)+(-0.72216+(-0.060945--0.060945))+0-79.7--0.0406469999999919</f>
        <v>1335.618487</v>
      </c>
      <c r="L296" s="3">
        <f>1570.1+(73.9-126.2)+(0+(0-0))+0-88.5-0</f>
        <v>1429.3</v>
      </c>
      <c r="M296" s="3">
        <f>1669.6+(46-125.8)+(1.702992+(0.04692-0.128316))+0-80.1-0.0817020000000128</f>
        <v>1511.239894</v>
      </c>
      <c r="N296" s="3">
        <f>1765.1+(47.4-148.9)+(1.800402+(0.048348-0.151878))+0-89.5-0.0912900000000143</f>
        <v>1575.7055819999998</v>
      </c>
      <c r="O296" s="3">
        <f>1758.8+(83-165.9)+(0+(0-0))+0-82.8-0</f>
        <v>1593.1</v>
      </c>
      <c r="P296" s="3">
        <f>1763.6+(96.5-181.6)+(2.698308+(0.147645-0.277848))+0-62.3-0.0953190000000036</f>
        <v>1618.6727860000001</v>
      </c>
      <c r="Q296" s="3">
        <f>1736.1+(94.4-137.7)+(-1.770822+(-0.096288--0.140454))+0-80.5--0.0821100000000128</f>
        <v>1610.655454</v>
      </c>
      <c r="R296" s="3">
        <f>1718.4+(82.7-127.7)+(-4.38192+(-0.210885--0.325635))+0-93.5--0.238424999999986</f>
        <v>1575.871255</v>
      </c>
      <c r="S296" s="3">
        <f>1735.7+(90.5-138.6)+(-0.885207+(-0.046155--0.070686))+0-71.8--0.0366179999999927</f>
        <v>1614.9759420000003</v>
      </c>
      <c r="T296" s="3">
        <f>1730.1+(88.5-155.9)+(-0.882351+(-0.045135--0.079509))+0-81.7--0.0416669999999917</f>
        <v>1580.1936899999998</v>
      </c>
      <c r="U296" s="3">
        <f>1737.3+(60-146)+(0.886023+(0.0306-0.07446))+0-77.3-0.0394229999999922</f>
        <v>1574.8027400000001</v>
      </c>
      <c r="V296" s="3">
        <f>1747.6+(63.3-122.9)+(0+(0-0))+0-78.5-0</f>
        <v>1609.5</v>
      </c>
      <c r="W296" s="3">
        <f>1760.5+(146.1-125.1)+(0.897855+(0.074511-0.063801))+0-80.2-0.0409019999999919</f>
        <v>1702.1676629999999</v>
      </c>
      <c r="X296" s="3">
        <f>1732.8+(147.2-132.3)+(-4.41864+(-0.37536--0.337365))+0-86.3--0.220064999999987</f>
        <v>1657.1634299999998</v>
      </c>
      <c r="Y296" s="3">
        <f>1715+(186.7-128.8)+(-3.4986+(-0.380868--0.262752))+0-92.2--0.188087999999996</f>
        <v>1677.2713720000002</v>
      </c>
      <c r="Z296" s="3">
        <f>1650.7+(232-124.2)+(-4.209285+(-0.5916--0.31671))+0-89.2--0.227459999999987</f>
        <v>1665.043285</v>
      </c>
      <c r="AA296" s="3">
        <f>1664.8+(176.1-112.2)+(-1.698096+(-0.179622--0.114444))+0-94.9--0.0967980000000151</f>
        <v>1632.1335240000001</v>
      </c>
      <c r="AB296" s="3">
        <f>1635.9+(112.7-101.2)+(-2.502927+(-0.172431--0.154836))+0-80.9--0.123777000000005</f>
        <v>1564.103255</v>
      </c>
      <c r="AC296" s="3">
        <f>1611+(101.6-142)+(-1.64322+(-0.103632--0.14484))+0-93.4--0.0952680000000149</f>
        <v>1475.6932559999998</v>
      </c>
      <c r="AD296" s="2">
        <v>1922.8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1576+(112.3-185)+(-0.80376+(-0.057273--0.09435))+0-68.3--0.0348329999999931</f>
        <v>1434.2681499999999</v>
      </c>
      <c r="G297" s="3">
        <f>1452.8+(116.5-156.5)+(2.222784+(0.178245-0.239445))+0-85.9-0.131427000000005</f>
        <v>1328.9301569999998</v>
      </c>
      <c r="H297" s="3">
        <f>1440.5+(114.7-158.3)+(-0.734655+(-0.058497--0.080733))+0-95.9--0.0489089999999903</f>
        <v>1300.3364900000001</v>
      </c>
      <c r="I297" s="3">
        <f>1447.6+(111.1-162.3)+(2.214828+(0.169983-0.248319))+0-89.2-0.136476000000005</f>
        <v>1309.200016</v>
      </c>
      <c r="J297" s="3">
        <f>1440.5+(103.5-147.4)+(0+(0-0))+0-82.9-0</f>
        <v>1313.6999999999998</v>
      </c>
      <c r="K297" s="3">
        <f>1525.2+(46.1-140.5)+(3.111408+(0.094044-0.28662))+0-89-0.181559999999996</f>
        <v>1344.537272</v>
      </c>
      <c r="L297" s="3">
        <f>1599.8+(11.3-153.7)+(-3.263592+(-0.023052--0.313548))+0-83.2--0.169727999999996</f>
        <v>1371.3966320000002</v>
      </c>
      <c r="M297" s="3">
        <f>1596.8+(44.7-160.9)+(-0.814368+(-0.022797--0.082059))+0-90--0.0458999999999909</f>
        <v>1389.8907939999999</v>
      </c>
      <c r="N297" s="3">
        <f>1708.4+(89.8-212.6)+(-0.871284+(-0.045798--0.108426))+0-89.5--0.0456449999999909</f>
        <v>1495.3369890000001</v>
      </c>
      <c r="O297" s="3">
        <f>1716+(106.2-225.3)+(1.75032+(0.108324-0.229806))+0-80.2-0.0818040000000128</f>
        <v>1518.2470340000002</v>
      </c>
      <c r="P297" s="3">
        <f>1767.5+(121.9-263.5)+(-0.901425+(-0.062169--0.134385))+0-69.6--0.0354959999999929</f>
        <v>1555.5062870000002</v>
      </c>
      <c r="Q297" s="3">
        <f>1756.5+(119.5-259.2)+(0+(0-0))+0-89.5-0</f>
        <v>1527.3</v>
      </c>
      <c r="R297" s="3">
        <f>1733.5+(88.9-237.2)+(-2.652255+(-0.136017--0.362916))+0-86.8--0.132804000000005</f>
        <v>1496.1074480000002</v>
      </c>
      <c r="S297" s="3">
        <f>1659.6+(89.2-215.8)+(0+(0-0))+0-54.8-0</f>
        <v>1478.2</v>
      </c>
      <c r="T297" s="3">
        <f>1519.7+(92.5-136.4)+(-3.875235+(-0.235875--0.34782))+0-81.3--0.207314999999988</f>
        <v>1390.9440249999998</v>
      </c>
      <c r="U297" s="3">
        <f>1574.4+(83.1-148.5)+(-2.408832+(-0.127143--0.227205))+0-98.6--0.150858000000006</f>
        <v>1408.242088</v>
      </c>
      <c r="V297" s="3">
        <f>1701.6+(43.7-189.7)+(-2.603448+(-0.066861--0.290241))+0-56.9--0.0870570000000033</f>
        <v>1496.4069889999998</v>
      </c>
      <c r="W297" s="3">
        <f>1753.9+(27-122.9)+(0.894489+(0.01377-0.062679))+0-85.1-0.0434009999999914</f>
        <v>1573.7021790000001</v>
      </c>
      <c r="X297" s="3">
        <f>1750.9+(25.3-123)+(-1.785918+(-0.025806--0.12546))+0-92.7--0.0945540000000148</f>
        <v>1558.9082900000001</v>
      </c>
      <c r="Y297" s="3">
        <f>1753.2+(22.2-117.6)+(-1.788264+(-0.022644--0.119952))+0-84.2--0.0858840000000134</f>
        <v>1571.9949280000001</v>
      </c>
      <c r="Z297" s="3">
        <f>1745+(56.6-128.2)+(-4.44975+(-0.14433--0.32691))+0-87.6--0.223379999999987</f>
        <v>1581.75621</v>
      </c>
      <c r="AA297" s="3">
        <f>1672.8+(124.2-118.8)+(0+(0-0))+0-86.9-0</f>
        <v>1591.3</v>
      </c>
      <c r="AB297" s="3">
        <f>1547.5+(143.1-101.4)+(-3.946125+(-0.364905--0.25857))+0-92.4--0.235619999999987</f>
        <v>1492.9831599999998</v>
      </c>
      <c r="AC297" s="3">
        <f>1338.5+(177.9-80.3)+(-1.36527+(-0.181458--0.081906))+0-102.9--0.104958000000016</f>
        <v>1331.840136</v>
      </c>
      <c r="AD297" s="2">
        <v>1811.1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1330.7+(148.3-88.8)+(-1.357314+(-0.151266--0.090576))+0-78.4--0.0799680000000125</f>
        <v>1310.4619639999999</v>
      </c>
      <c r="G298" s="3">
        <f>1307.8+(133.8-89.6)+(0+(0-0))+0-85.3-0</f>
        <v>1266.7</v>
      </c>
      <c r="H298" s="3">
        <f>1259+(160.3-73)+(-0.64209+(-0.081753--0.03723))+0-83.5--0.0425849999999915</f>
        <v>1262.1559719999998</v>
      </c>
      <c r="I298" s="3">
        <f>1278.5+(141.7-86.2)+(1.956105+(0.216801-0.131886))+0-77.2-0.118116000000004</f>
        <v>1258.7229039999997</v>
      </c>
      <c r="J298" s="3">
        <f>1247.5+(146.9-81.8)+(-3.181125+(-0.374595--0.20859))+0-83--0.211649999999988</f>
        <v>1226.4645199999998</v>
      </c>
      <c r="K298" s="3">
        <f>1337.5+(117.9-127.1)+(0.682125+(0.060129-0.064821))+0-74.8-0.0381479999999924</f>
        <v>1254.139285</v>
      </c>
      <c r="L298" s="3">
        <f>1378.6+(85.7-180.2)+(-3.51543+(-0.218535--0.45951))+0-88.2--0.224909999999987</f>
        <v>1192.8504549999998</v>
      </c>
      <c r="M298" s="3">
        <f>1356.5+(86.8-189.5)+(-5.53452+(-0.354144--0.77316))+0-96.9--0.395351999999992</f>
        <v>1152.1798479999998</v>
      </c>
      <c r="N298" s="3">
        <f>1401.2+(118-237.9)+(-0.714612+(-0.06018--0.121329))+0-79.8--0.0406979999999919</f>
        <v>1200.8872349999999</v>
      </c>
      <c r="O298" s="3">
        <f>1527.5+(123.5-308.7)+(-1.55805+(-0.12597--0.314874))+0-86.5--0.0882300000000138</f>
        <v>1254.519084</v>
      </c>
      <c r="P298" s="3">
        <f>1548+(124-315.4)+(2.36844+(0.18972-0.482562))+0-74.6-0.114138000000004</f>
        <v>1283.96146</v>
      </c>
      <c r="Q298" s="3">
        <f>1517.9+(120.3-267.3)+(-3.870645+(-0.306765--0.681615))+0-85.4--0.217769999999988</f>
        <v>1282.2219749999999</v>
      </c>
      <c r="R298" s="3">
        <f>1568.7+(108.9-333)+(-4.000185+(-0.277695--0.84915))+0-91.5--0.233324999999987</f>
        <v>1249.904595</v>
      </c>
      <c r="S298" s="3">
        <f>1609.2+(96.1-377.3)+(0+(0-0))+0-84.7-0</f>
        <v>1243.3</v>
      </c>
      <c r="T298" s="3">
        <f>1581+(97.8-343.4)+(-1.61262+(-0.099756--0.350268))+0-88.7--0.0904740000000141</f>
        <v>1245.4283660000001</v>
      </c>
      <c r="U298" s="3">
        <f>1581.5+(91.9-367.4)+(0+(0-0))+0-52.9-0</f>
        <v>1253.0999999999999</v>
      </c>
      <c r="V298" s="3">
        <f>1595.8+(49.9-257.7)+(0.813858+(0.025449-0.131427))+0-38.3-0.0195329999999961</f>
        <v>1350.3883470000001</v>
      </c>
      <c r="W298" s="3">
        <f>1695.5+(67.1-121.1)+(-0.864705+(-0.034221--0.061761))+0-92--0.0469199999999907</f>
        <v>1548.7097550000001</v>
      </c>
      <c r="X298" s="3">
        <f>1700+(63.9-121.8)+(-0.867+(-0.032589--0.062118))+0-67.5--0.0344249999999932</f>
        <v>1573.7969539999999</v>
      </c>
      <c r="Y298" s="3">
        <f>1705.6+(63.6-118.4)+(0+(0-0))+0-88-0</f>
        <v>1562.8</v>
      </c>
      <c r="Z298" s="3">
        <f>1694.5+(71.2-145.9)+(0.864195+(0.036312-0.074409))+0-68.2-0.0347819999999931</f>
        <v>1552.391316</v>
      </c>
      <c r="AA298" s="3">
        <f>1700.2+(100.8-192)+(3.468408+(0.205632-0.39168))+0-81.6-0.166463999999996</f>
        <v>1530.5158960000001</v>
      </c>
      <c r="AB298" s="3">
        <f>1680.8+(115.1-223.5)+(0+(0-0))+0-88.5-0</f>
        <v>1483.8999999999999</v>
      </c>
      <c r="AC298" s="3">
        <f>1645.2+(86.6-263.4)+(-5.873364+(-0.309162--0.940338))+0-82.8--0.295596000000001</f>
        <v>1380.6534080000001</v>
      </c>
      <c r="AD298" s="2">
        <v>1577.8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1458.5+(99.6-191.8)+(-2.97534+(-0.203184--0.391272))+0-79.2--0.161567999999997</f>
        <v>1284.4743159999998</v>
      </c>
      <c r="G299" s="3">
        <f>1423.7+(96.4-206.8)+(-2.904348+(-0.196656--0.421872))+0-89.7--0.182987999999996</f>
        <v>1221.103856</v>
      </c>
      <c r="H299" s="3">
        <f>1419.8+(90.8-233.2)+(-2.172294+(-0.138924--0.356796))+0-84.1--0.128673000000005</f>
        <v>1191.4742510000001</v>
      </c>
      <c r="I299" s="3">
        <f>1420.8+(87.3-252.2)+(-2.173824+(-0.133569--0.385866))+0-76--0.116280000000004</f>
        <v>1178.0947530000001</v>
      </c>
      <c r="J299" s="3">
        <f>1423+(84-244.4)+(1.45146+(0.08568-0.249288))+0-85-0.0867000000000136</f>
        <v>1178.8011519999998</v>
      </c>
      <c r="K299" s="3">
        <f>1388.2+(80.4-222.4)+(2.831928+(0.164016-0.453696))+0-86.3-0.176051999999996</f>
        <v>1162.266196</v>
      </c>
      <c r="L299" s="3">
        <f>1383.8+(64-224.7)+(-2.822952+(-0.13056--0.458388))+0-81.1--0.165443999999996</f>
        <v>1139.6703199999999</v>
      </c>
      <c r="M299" s="3">
        <f>1366.4+(74.6-234.9)+(0.696864+(0.038046-0.119799))+0-94-0.0479399999999905</f>
        <v>1112.6671710000003</v>
      </c>
      <c r="N299" s="3">
        <f>1430.8+(97.1-283.5)+(-2.189124+(-0.148563--0.433755))+0-68.4--0.104652000000004</f>
        <v>1174.2007199999998</v>
      </c>
      <c r="O299" s="3">
        <f>1509.5+(106.3-291)+(-0.769845+(-0.054213--0.14841))+0-74.3--0.0378929999999925</f>
        <v>1249.862245</v>
      </c>
      <c r="P299" s="3">
        <f>1560.2+(114.2-312.9)+(-3.182808+(-0.232968--0.638316))+0-73.8--0.150551999999997</f>
        <v>1285.0730920000001</v>
      </c>
      <c r="Q299" s="3">
        <f>1577.9+(110.5-306.1)+(-0.804729+(-0.056355--0.156111))+0-87.7--0.0447269999999911</f>
        <v>1293.939754</v>
      </c>
      <c r="R299" s="3">
        <f>1554.5+(113.6-292.8)+(-5.549565+(-0.405552--1.045296))+0-90.7--0.323799000000001</f>
        <v>1280.013978</v>
      </c>
      <c r="S299" s="3">
        <f>1487+(112.5-248.9)+(0+(0-0))+0-73.2-0</f>
        <v>1277.3999999999999</v>
      </c>
      <c r="T299" s="3">
        <f>1459+(99.2-199.2)+(-1.48818+(-0.101184--0.203184))+0-79.2--0.0807840000000126</f>
        <v>1278.494604</v>
      </c>
      <c r="U299" s="3">
        <f>1495.4+(97.1-185.4)+(0+(0-0))+0-97.6-0</f>
        <v>1309.5000000000002</v>
      </c>
      <c r="V299" s="3">
        <f>1551+(82.2-127.2)+(-0.79101+(-0.041922--0.064872))+0-78.2--0.0398819999999921</f>
        <v>1427.0718219999999</v>
      </c>
      <c r="W299" s="3">
        <f>1699.4+(147.5-125.9)+(0.866694+(0.075225-0.064209))+0-73.5-0.0374849999999925</f>
        <v>1648.3402249999999</v>
      </c>
      <c r="X299" s="3">
        <f>1747.4+(158.3-130)+(-2.673522+(-0.242199--0.1989))+0-77.5--0.118575000000004</f>
        <v>1695.601754</v>
      </c>
      <c r="Y299" s="3">
        <f>1710.8+(234.9-127.5)+(-2.617524+(-0.359397--0.195075))+0-99.3--0.151929000000006</f>
        <v>1716.2700830000001</v>
      </c>
      <c r="Z299" s="3">
        <f>1707.1+(175-122)+(-0.870621+(-0.08925--0.06222))+0-61.2--0.0312119999999938</f>
        <v>1698.033561</v>
      </c>
      <c r="AA299" s="3">
        <f>1704.6+(155.1-109)+(-0.869346+(-0.079101--0.05559))+0-88--0.0448799999999911</f>
        <v>1661.8520229999997</v>
      </c>
      <c r="AB299" s="3">
        <f>1692.9+(108.5-109.8)+(-3.453516+(-0.22134--0.223992))+0-92.5--0.188699999999996</f>
        <v>1595.8378360000002</v>
      </c>
      <c r="AC299" s="3">
        <f>1696.3+(101.6-208.7)+(-2.595339+(-0.155448--0.319311))+0-100.8--0.154224000000006</f>
        <v>1486.1227480000002</v>
      </c>
      <c r="AD299" s="2">
        <v>1732.8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1695.7+(105.4-380.9)+(0.864807+(0.053754-0.194259))+0-50.9-0.0259589999999948</f>
        <v>1369.998343</v>
      </c>
      <c r="G300" s="3">
        <f>1549.9+(113.3-277.6)+(1.580898+(0.115566-0.283152))+0-87.4-0.0891480000000139</f>
        <v>1299.5241639999999</v>
      </c>
      <c r="H300" s="3">
        <f>1459.4+(114.6-198.7)+(0.744294+(0.058446-0.101337))+0-86.4-0.0440639999999912</f>
        <v>1289.5573390000002</v>
      </c>
      <c r="I300" s="3">
        <f>1433.7+(115.3-186.7)+(2.193561+(0.176409-0.285651))+0-102.9-0.157437000000006</f>
        <v>1261.3268819999998</v>
      </c>
      <c r="J300" s="3">
        <f>1441+(104-205)+(2.93964+(0.21216-0.4182))+0-81.4-0.166055999999996</f>
        <v>1261.1675439999999</v>
      </c>
      <c r="K300" s="3">
        <f>1533.5+(93.9-241.3)+(0+(0-0))+0-86.2-0</f>
        <v>1299.8999999999999</v>
      </c>
      <c r="L300" s="3">
        <f>1677.2+(63.7-318.4)+(1.710744+(0.064974-0.324768))+0-87.8-0.089556000000014</f>
        <v>1336.0613940000001</v>
      </c>
      <c r="M300" s="3">
        <f>1796.8+(63.2-384.8)+(2.749104+(0.096696-0.588744))+0-90.6-0.138618000000005</f>
        <v>1386.7184379999999</v>
      </c>
      <c r="N300" s="3">
        <f>1842.7+(84.9-300.2)+(2.819331+(0.129897-0.459306))+0-94.7-0.144891000000005</f>
        <v>1535.0450310000001</v>
      </c>
      <c r="O300" s="3">
        <f>1847.6+(104-277.5)+(4.71138+(0.2652-0.707625))+0-68-0.17339999999999</f>
        <v>1610.195555</v>
      </c>
      <c r="P300" s="3">
        <f>1855.4+(113-200.4)+(1.892508+(0.11526-0.204408))+0-96-0.0979200000000153</f>
        <v>1673.7054400000002</v>
      </c>
      <c r="Q300" s="3">
        <f>1550.2+(347.1-127)+(3.162408+(0.708084-0.25908))+0-86-0.175439999999996</f>
        <v>1687.7359720000002</v>
      </c>
      <c r="R300" s="3">
        <f>1642.1+(249.3-120.1)+(-1.674942+(-0.254286--0.122502))+0-103.4--0.105468000000016</f>
        <v>1666.1987419999998</v>
      </c>
      <c r="S300" s="3">
        <f>1720.2+(144.9-143.5)+(0.877302+(0.073899-0.073185))+0-69.7-0.0355469999999929</f>
        <v>1652.742469</v>
      </c>
      <c r="T300" s="3">
        <f>1750.9+(110.8-205)+(0+(0-0))+0-64.5-0</f>
        <v>1592.2</v>
      </c>
      <c r="U300" s="3">
        <f>1860.2+(91.6-248)+(-1.897404+(-0.093432--0.25296))+0-98.9--0.100878000000016</f>
        <v>1603.2630019999999</v>
      </c>
      <c r="V300" s="3">
        <f>1729.3+(181.8-126.8)+(0+(0-0))+0-81.4-0</f>
        <v>1702.8999999999999</v>
      </c>
      <c r="W300" s="3">
        <f>1920.6+(234.6-123.8)+(0+(0-0))+0-75.5-0</f>
        <v>1955.8999999999999</v>
      </c>
      <c r="X300" s="3">
        <f>1834+(339.3-125.6)+(-2.80602+(-0.519129--0.192168))+0-90.1--0.137853000000005</f>
        <v>1954.6048720000001</v>
      </c>
      <c r="Y300" s="3">
        <f>1783.6+(342.7-127.1)+(-1.819272+(-0.349554--0.129642))+0-93.3--0.0951660000000149</f>
        <v>1903.9559819999999</v>
      </c>
      <c r="Z300" s="3">
        <f>1766.5+(337.7-125.9)+(-1.80183+(-0.344454--0.128418))+0-100.9--0.102918000000016</f>
        <v>1875.485052</v>
      </c>
      <c r="AA300" s="3">
        <f>1762.8+(220.3-113.1)+(-0.899028+(-0.112353--0.057681))+0-79.4--0.0404939999999919</f>
        <v>1789.686794</v>
      </c>
      <c r="AB300" s="3">
        <f>1769.3+(190.8-103.2)+(-2.707029+(-0.291924--0.157896))+0-69.7--0.106641000000004</f>
        <v>1784.4655839999998</v>
      </c>
      <c r="AC300" s="3">
        <f>1740.6+(154.2-92.3)+(-3.550824+(-0.314568--0.188292))+0-88.3--0.180131999999996</f>
        <v>1710.7030319999999</v>
      </c>
      <c r="AD300" s="2">
        <v>1934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1613.6+(134.4-102.7)+(-4.11468+(-0.34272--0.261885))+0-92.4--0.235619999999987</f>
        <v>1548.9401049999997</v>
      </c>
      <c r="G301" s="3">
        <f>1576.1+(138.4-108.9)+(-4.019055+(-0.35292--0.277695))+0-87.5--0.223124999999987</f>
        <v>1514.2288449999999</v>
      </c>
      <c r="H301" s="3">
        <f>1575.7+(117.9-140.1)+(-3.214428+(-0.240516--0.285804))+0-63.8--0.130151999999997</f>
        <v>1486.661012</v>
      </c>
      <c r="I301" s="3">
        <f>1599+(108.8-142.2)+(-0.81549+(-0.055488--0.072522))+0-99.9--0.0509489999999899</f>
        <v>1464.9524929999998</v>
      </c>
      <c r="J301" s="3">
        <f>1613.5+(105.3-139)+(-3.29154+(-0.214812--0.28356))+0-84.7--0.172787999999996</f>
        <v>1492.049996</v>
      </c>
      <c r="K301" s="3">
        <f>1619.3+(82.4-128.7)+(4.129215+(0.21012-0.328185))+0-74.2-0.189209999999989</f>
        <v>1502.62194</v>
      </c>
      <c r="L301" s="3">
        <f>1651+(70.8-116.3)+(0+(0-0))+0-91.9-0</f>
        <v>1513.6</v>
      </c>
      <c r="M301" s="3">
        <f>1774.6+(55.3-137.3)+(-0.905046+(-0.028203--0.070023))+0-90.7--0.0462569999999908</f>
        <v>1601.0830309999999</v>
      </c>
      <c r="N301" s="3">
        <f>1771+(61.6-153.4)+(-1.80642+(-0.062832--0.156468))+0-97--0.0989400000000155</f>
        <v>1580.5861560000001</v>
      </c>
      <c r="O301" s="3">
        <f>1758.4+(119.2-142.6)+(0.896784+(0.060792-0.072726))+0-85.3-0.0435029999999913</f>
        <v>1650.5413469999999</v>
      </c>
      <c r="P301" s="3">
        <f>1748.8+(92-153.3)+(-0.891888+(-0.04692--0.078183))+0-49.1--0.025040999999995</f>
        <v>1637.5644160000002</v>
      </c>
      <c r="Q301" s="3">
        <f>1750+(99.2-140.5)+(-2.6775+(-0.151776--0.214965))+0-89--0.136170000000005</f>
        <v>1617.221859</v>
      </c>
      <c r="R301" s="3">
        <f>1721.7+(97.5-143)+(-4.390335+(-0.248625--0.36465))+0-81.4--0.207569999999988</f>
        <v>1590.73326</v>
      </c>
      <c r="S301" s="3">
        <f>1592.7+(170.5-122)+(-0.812277+(-0.086955--0.06222))+0-85.9--0.0438089999999913</f>
        <v>1554.506797</v>
      </c>
      <c r="T301" s="3">
        <f>1522.2+(198.2-118.1)+(0.776322+(0.101082-0.060231))+0-81.6-0.0416159999999917</f>
        <v>1521.475557</v>
      </c>
      <c r="U301" s="3">
        <f>1516.7+(180-123.6)+(0.773517+(0.0918-0.063036))+0-85.1-0.0434009999999914</f>
        <v>1488.7588800000003</v>
      </c>
      <c r="V301" s="3">
        <f>1599.7+(219.7-123.3)+(0.815847+(0.112047-0.062883))+0-79.5-0.0405449999999919</f>
        <v>1617.4244660000002</v>
      </c>
      <c r="W301" s="3">
        <f>1674.3+(281.9-128.9)+(0.853893+(0.143769-0.065739))+0-70.6-0.0360059999999928</f>
        <v>1757.5959170000001</v>
      </c>
      <c r="X301" s="3">
        <f>1699.9+(293.2-132.8)+(-1.733898+(-0.299064--0.135456))+0-87.9--0.089658000000014</f>
        <v>1770.5921520000002</v>
      </c>
      <c r="Y301" s="3">
        <f>1745.5+(228.7-136.4)+(-1.78041+(-0.233274--0.139128))+0-82.6--0.0842520000000132</f>
        <v>1753.4096960000002</v>
      </c>
      <c r="Z301" s="3">
        <f>1745.4+(183.3-130.2)+(0.890154+(0.093483-0.066402))+0-88.9-0.045338999999991</f>
        <v>1710.4718959999998</v>
      </c>
      <c r="AA301" s="3">
        <f>1778+(161.1-115.4)+(0.90678+(0.082161-0.058854))+0-87.3-0.0445229999999911</f>
        <v>1737.285564</v>
      </c>
      <c r="AB301" s="3">
        <f>1751.8+(140.8-102.3)+(-0.893418+(-0.071808--0.052173))+0-93.5--0.0476849999999905</f>
        <v>1695.934632</v>
      </c>
      <c r="AC301" s="3">
        <f>1677.1+(162.9-93.2)+(-0.855321+(-0.083079--0.047532))+0-93.6--0.0477359999999905</f>
        <v>1652.3568680000001</v>
      </c>
      <c r="AD301" s="2">
        <v>1967.7999999999997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1631.1+(128.7-92.4)+(-1.663722+(-0.131274--0.094248))+0-80--0.0816000000000128</f>
        <v>1585.7808519999999</v>
      </c>
      <c r="G302" s="3">
        <f>1568.9+(142.5-87.1)+(-0.800139+(-0.072675--0.044421))+0-75.7--0.0386069999999923</f>
        <v>1547.8102140000001</v>
      </c>
      <c r="H302" s="3">
        <f>1477.1+(172.4-82)+(1.506642+(0.175848-0.08364))+0-83.9-0.0855780000000134</f>
        <v>1485.1132720000001</v>
      </c>
      <c r="I302" s="3">
        <f>1465.1+(196.9-83.7)+(-2.241603+(-0.301257--0.128061))+0-100.5--0.153765000000006</f>
        <v>1475.5389660000001</v>
      </c>
      <c r="J302" s="3">
        <f>1490.4+(157.1-91.8)+(0+(0-0))+0-77.8-0</f>
        <v>1477.9</v>
      </c>
      <c r="K302" s="3">
        <f>1530+(160.4-115.9)+(0.7803+(0.081804-0.059109))+0-82.2-0.0419219999999917</f>
        <v>1493.0610730000001</v>
      </c>
      <c r="L302" s="3">
        <f>1563.7+(135.4-123.2)+(-0.797487+(-0.069054--0.062832))+0-63.8--0.0325379999999935</f>
        <v>1511.328829</v>
      </c>
      <c r="M302" s="3">
        <f>1557.7+(127.5-120.5)+(0.794427+(0.065025-0.061455))+0-30.2-0.0154019999999969</f>
        <v>1535.2825949999999</v>
      </c>
      <c r="N302" s="3">
        <f>1627.1+(91.2-124.9)+(0+(0-0))+0-27.6-0</f>
        <v>1565.8</v>
      </c>
      <c r="O302" s="3">
        <f>1646.2+(85.3-122.6)+(0.839562+(0.043503-0.062526))+0-25.9-0.0132089999999974</f>
        <v>1583.8073300000001</v>
      </c>
      <c r="P302" s="3">
        <f>1649.9+(106.3-125.3)+(0+(0-0))+0-26.1-0</f>
        <v>1604.8000000000002</v>
      </c>
      <c r="Q302" s="3">
        <f>1646.6+(102-124)+(-2.519298+(-0.15606--0.18972))+0-24.6--0.0376380000000014</f>
        <v>1597.5519999999999</v>
      </c>
      <c r="R302" s="3">
        <f>1650.9+(127.5-124.9)+(0.841959+(0.065025-0.063699))+0-33.9-0.0172889999999966</f>
        <v>1620.4259959999999</v>
      </c>
      <c r="S302" s="3">
        <f>1654.2+(140.3-124.8)+(1.687284+(0.143106-0.127296))+0-81.1-0.0827220000000129</f>
        <v>1590.220372</v>
      </c>
      <c r="T302" s="3">
        <f>1670.5+(113.1-124.4)+(0+(0-0))+0-81.8-0</f>
        <v>1577.4</v>
      </c>
      <c r="U302" s="3">
        <f>1684.2+(108-125)+(-3.435768+(-0.22032--0.255))+0-87--0.177479999999996</f>
        <v>1576.976392</v>
      </c>
      <c r="V302" s="3">
        <f>1852.1+(133.4-116.2)+(-2.833713+(-0.204102--0.177786))+0-68.8--0.105264000000004</f>
        <v>1797.7452350000001</v>
      </c>
      <c r="W302" s="3">
        <f>1963.7+(263.8-122)+(5.007435+(0.67269-0.3111))+0-94.7-0.241484999999986</f>
        <v>2015.9275399999999</v>
      </c>
      <c r="X302" s="3">
        <f>1990.2+(223.4-104.8)+(-3.045006+(-0.341802--0.160344))+0-76.1--0.116433000000004</f>
        <v>2029.5899690000003</v>
      </c>
      <c r="Y302" s="3">
        <f>1992.7+(189.1-105.4)+(-3.048831+(-0.289323--0.161262))+0-83.4--0.127602000000005</f>
        <v>1989.9507100000001</v>
      </c>
      <c r="Z302" s="3">
        <f>1989.7+(182.2-96)+(-2.029494+(-0.185844--0.09792))+0-99.2--0.101184000000016</f>
        <v>1974.6837660000003</v>
      </c>
      <c r="AA302" s="3">
        <f>1987.6+(51.4-84.9)+(1.013676+(0.026214-0.043299))+0-78-0.0397799999999921</f>
        <v>1877.0568109999999</v>
      </c>
      <c r="AB302" s="3">
        <f>1944+(93.1-162.2)+(0+(0-0))+0-78.9-0</f>
        <v>1796</v>
      </c>
      <c r="AC302" s="3">
        <f>1709.4+(149.1-68.6)+(0.871794+(0.076041-0.034986))+0-93.1-0.0474809999999906</f>
        <v>1697.6653680000002</v>
      </c>
      <c r="AD302" s="2">
        <v>2015.6000000000004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1635.5+(144.5-92.1)+(-0.834105+(-0.073695--0.046971))+0-100.1--0.0510509999999898</f>
        <v>1586.9902220000001</v>
      </c>
      <c r="G303" s="3">
        <f>1570.5+(140.3-98.2)+(-2.402865+(-0.214659--0.150246))+0-88--0.134640000000005</f>
        <v>1522.2673619999998</v>
      </c>
      <c r="H303" s="3">
        <f>1504.7+(171.5-87)+(-2.302191+(-0.262395--0.13311))+0-89.9--0.137547000000005</f>
        <v>1497.006071</v>
      </c>
      <c r="I303" s="3">
        <f>1461.4+(185.6-89.3)+(0.745314+(0.094656-0.045543))+0-91.6-0.0467159999999907</f>
        <v>1466.8477110000001</v>
      </c>
      <c r="J303" s="3">
        <f>1509.9+(151.2-96.1)+(0+(0-0))+0-74.6-0</f>
        <v>1490.4</v>
      </c>
      <c r="K303" s="3">
        <f>1552.7+(129.8-116.7)+(0+(0-0))+0-89.8-0</f>
        <v>1476</v>
      </c>
      <c r="L303" s="3">
        <f>1607.2+(130.9-123.6)+(-1.639344+(-0.133518--0.126072))+0-88.6--0.0903720000000141</f>
        <v>1524.3435820000002</v>
      </c>
      <c r="M303" s="3">
        <f>1619.7+(140.7-124.3)+(0.826047+(0.071757-0.063393))+0-88.3-0.045032999999991</f>
        <v>1548.5893780000001</v>
      </c>
      <c r="N303" s="3">
        <f>1646+(137.7-120.6)+(1.67892+(0.140454-0.123012))+0-101.7-0.103734000000016</f>
        <v>1562.9926279999997</v>
      </c>
      <c r="O303" s="3">
        <f>1645.6+(141.6-122.8)+(2.517768+(0.216648-0.187884))+0-73.2-0.111996000000004</f>
        <v>1593.6345359999998</v>
      </c>
      <c r="P303" s="3">
        <f>1626.1+(179.1-128.9)+(-1.658622+(-0.182682--0.131478))+0-92--0.0938400000000147</f>
        <v>1582.6840139999999</v>
      </c>
      <c r="Q303" s="3">
        <f>1642+(144.7-124.5)+(1.67484+(0.147594-0.12699))+0-72.9-0.0743580000000116</f>
        <v>1590.9210859999998</v>
      </c>
      <c r="R303" s="3">
        <f>1635.5+(162.5-130.1)+(-2.502315+(-0.248625--0.199053))+0-95.6--0.146268000000006</f>
        <v>1569.8943810000001</v>
      </c>
      <c r="S303" s="3">
        <f>1640.8+(140-124.9)+(0.836808+(0.0714-0.063699))+0-94.3-0.0480929999999904</f>
        <v>1562.396416</v>
      </c>
      <c r="T303" s="3">
        <f>1630.8+(119-124.7)+(-2.495124+(-0.18207--0.190791))+0-88.6--0.135558000000005</f>
        <v>1534.1491549999998</v>
      </c>
      <c r="U303" s="3">
        <f>1634+(92.5-128)+(-1.66668+(-0.09435--0.13056))+0-79.8--0.0813960000000127</f>
        <v>1517.150926</v>
      </c>
      <c r="V303" s="3">
        <f>1719.7+(144.3-126.2)+(-0.877047+(-0.073593--0.064362))+0-79.5--0.0405449999999919</f>
        <v>1657.4542670000001</v>
      </c>
      <c r="W303" s="3">
        <f>1785.7+(214.6-144)+(0+(0-0))+0-96.1-0</f>
        <v>1760.2</v>
      </c>
      <c r="X303" s="3">
        <f>1916.2+(107.5-134)+(-2.931786+(-0.164475--0.20502))+0-66.7--0.102051000000004</f>
        <v>1820.21081</v>
      </c>
      <c r="Y303" s="3">
        <f>1936.5+(90.3-133.1)+(-2.962845+(-0.138159--0.203643))+0-87.7--0.134181000000005</f>
        <v>1803.2368199999999</v>
      </c>
      <c r="Z303" s="3">
        <f>1897.9+(113.5-121.5)+(-1.935858+(-0.11577--0.12393))+0-83.7--0.0853740000000134</f>
        <v>1804.3576760000001</v>
      </c>
      <c r="AA303" s="3">
        <f>1695+(241.2-109.1)+(-1.7289+(-0.246024--0.111282))+0-98.4--0.100368000000016</f>
        <v>1726.9367259999999</v>
      </c>
      <c r="AB303" s="3">
        <f>1638.8+(190.6-98.1)+(-2.507364+(-0.291618--0.150093))+0-80.9--0.123777000000005</f>
        <v>1647.8748879999998</v>
      </c>
      <c r="AC303" s="3">
        <f>1634+(124.6-89.3)+(-2.50002+(-0.190638--0.136629))+0-50.1--0.0766530000000029</f>
        <v>1616.7226240000002</v>
      </c>
      <c r="AD303" s="2">
        <v>1988.0000000000002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1566.2+(174.9-84.6)+(-3.195048+(-0.356796--0.172584))+0-99.9--0.203795999999996</f>
        <v>1553.424536</v>
      </c>
      <c r="G304" s="3">
        <f>1541.4+(154.7-79.2)+(0+(0-0))+0-92.3-0</f>
        <v>1524.6000000000001</v>
      </c>
      <c r="H304" s="3">
        <f>1500.3+(155.6-80.1)+(-3.825765+(-0.39678--0.204255))+0-77.5--0.197624999999989</f>
        <v>1494.479335</v>
      </c>
      <c r="I304" s="3">
        <f>1508.4+(160.3-81.7)+(-2.307852+(-0.245259--0.125001))+0-90.5--0.138465000000005</f>
        <v>1494.2103549999999</v>
      </c>
      <c r="J304" s="3">
        <f>1535.8+(163-87.5)+(0.783258+(0.08313-0.044625))+0-84.9-0.0432989999999914</f>
        <v>1527.1784639999998</v>
      </c>
      <c r="K304" s="3">
        <f>1552.6+(162.5-110.6)+(3.167304+(0.3315-0.225624))+0-98.1-0.200123999999996</f>
        <v>1509.473056</v>
      </c>
      <c r="L304" s="3">
        <f>1564.7+(137.5-131.9)+(-1.595994+(-0.14025--0.134538))+0-101.1--0.103122000000016</f>
        <v>1467.7014160000001</v>
      </c>
      <c r="M304" s="3">
        <f>1550+(184.5-124.5)+(-0.7905+(-0.094095--0.063495))+0-95.8--0.0488579999999903</f>
        <v>1513.427758</v>
      </c>
      <c r="N304" s="3">
        <f>1584.8+(209-123.3)+(0+(0-0))+0-75.9-0</f>
        <v>1594.6</v>
      </c>
      <c r="O304" s="3">
        <f>1589+(198.9-119.7)+(0.81039+(0.101439-0.061047))+0-67.2-0.0342719999999932</f>
        <v>1601.8165099999999</v>
      </c>
      <c r="P304" s="3">
        <f>1633+(184.5-117)+(2.49849+(0.282285-0.17901))+0-77.2-0.118116000000004</f>
        <v>1625.7836489999997</v>
      </c>
      <c r="Q304" s="3">
        <f>1622+(177.8-117.1)+(-1.65444+(-0.181356--0.119442))+0-83--0.0846600000000132</f>
        <v>1598.0683060000001</v>
      </c>
      <c r="R304" s="3">
        <f>1619.6+(185.8-120.1)+(-1.651992+(-0.189516--0.122502))+0-71.3--0.0727260000000114</f>
        <v>1612.3537200000001</v>
      </c>
      <c r="S304" s="3">
        <f>1619.1+(159.9-115.8)+(-0.825741+(-0.081549--0.059058))+0-76.9--0.0392189999999922</f>
        <v>1585.4909869999997</v>
      </c>
      <c r="T304" s="3">
        <f>1620.4+(123.4-110.4)+(0+(0-0))+0-88-0</f>
        <v>1545.4</v>
      </c>
      <c r="U304" s="3">
        <f>1608+(137.4-117.1)+(-1.64016+(-0.140148--0.119442))+0-95.5--0.0974100000000152</f>
        <v>1531.2365440000001</v>
      </c>
      <c r="V304" s="3">
        <f>1713.5+(61.8-123.6)+(0+(0-0))+0-78.3-0</f>
        <v>1573.4</v>
      </c>
      <c r="W304" s="3">
        <f>1920.7+(29.4-126.2)+(-0.979557+(-0.014994--0.064362))+0-74.8--0.0381479999999924</f>
        <v>1748.2079590000003</v>
      </c>
      <c r="X304" s="3">
        <f>1912.2+(35.7-129.1)+(-2.925666+(-0.054621--0.197523))+0-77.8--0.119034000000004</f>
        <v>1738.33627</v>
      </c>
      <c r="Y304" s="3">
        <f>1906.8+(42.5-127.2)+(-1.944936+(-0.04335--0.129744))+0-88.5--0.0902700000000141</f>
        <v>1731.8317279999999</v>
      </c>
      <c r="Z304" s="3">
        <f>1805.3+(89.9-122.8)+(0.920703+(0.045849-0.062628))+0-80.1-0.0408509999999919</f>
        <v>1693.1630729999999</v>
      </c>
      <c r="AA304" s="3">
        <f>1741.4+(124.5-115)+(-0.888114+(-0.063495--0.05865))+0-82.1--0.0418709999999917</f>
        <v>1667.9489120000001</v>
      </c>
      <c r="AB304" s="3">
        <f>1684.4+(148.3-103.4)+(-4.29522+(-0.378165--0.26367))+0-74.5--0.189974999999989</f>
        <v>1650.5802600000002</v>
      </c>
      <c r="AC304" s="3">
        <f>1692.8+(127.7-93.3)+(-4.31664+(-0.325635--0.237915))+0-83.2--0.212159999999988</f>
        <v>1639.8078</v>
      </c>
      <c r="AD304" s="2">
        <v>1939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1690.2+(99.1-154.1)+(-3.448008+(-0.202164--0.314364))+0-76.8--0.156671999999997</f>
        <v>1555.2208640000001</v>
      </c>
      <c r="G305" s="3">
        <f>1687.7+(100.4-162)+(-4.303635+(-0.25602--0.4131))+0-78.9--0.201194999999989</f>
        <v>1543.2546400000001</v>
      </c>
      <c r="H305" s="3">
        <f>1552.2+(119.3-106)+(-3.166488+(-0.243372--0.21624))+0-73.5--0.149939999999997</f>
        <v>1488.95632</v>
      </c>
      <c r="I305" s="3">
        <f>1435.2+(194.2-84.8)+(0.731952+(0.099042-0.043248))+0-90.8-0.0463079999999908</f>
        <v>1454.5414380000002</v>
      </c>
      <c r="J305" s="3">
        <f>1407.9+(208.7-89.9)+(-0.718029+(-0.106437--0.045849))+0-82.6--0.0421259999999916</f>
        <v>1443.3635090000002</v>
      </c>
      <c r="K305" s="3">
        <f>1412.3+(194.4-108.5)+(1.440546+(0.198288-0.11067))+0-77.2-0.0787440000000123</f>
        <v>1422.4494200000001</v>
      </c>
      <c r="L305" s="3">
        <f>1400.8+(156-123.1)+(-1.428816+(-0.15912--0.125562))+0-91.7--0.0935340000000146</f>
        <v>1340.6311600000001</v>
      </c>
      <c r="M305" s="3">
        <f>1378.2+(147.4-121.5)+(-2.108646+(-0.225522--0.185895))+0-71.4--0.109242000000004</f>
        <v>1330.660969</v>
      </c>
      <c r="N305" s="3">
        <f>1494.8+(68.1-122.5)+(-0.762348+(-0.034731--0.062475))+0-63.4--0.0323339999999936</f>
        <v>1376.2977299999998</v>
      </c>
      <c r="O305" s="3">
        <f>1606.8+(33.8-136.7)+(1.638936+(0.034476-0.139434))+0-97-0.0989400000000155</f>
        <v>1408.3350379999997</v>
      </c>
      <c r="P305" s="3">
        <f>1609.1+(60.6-130.4)+(0+(0-0))+0-80.1-0</f>
        <v>1459.2</v>
      </c>
      <c r="Q305" s="3">
        <f>1644.3+(79.2-158.8)+(-2.515779+(-0.121176--0.242964))+0-72.1--0.110313000000004</f>
        <v>1490.3163220000001</v>
      </c>
      <c r="R305" s="3">
        <f>1653.4+(73.7-156.7)+(0+(0-0))+0-81.7-0</f>
        <v>1488.7</v>
      </c>
      <c r="S305" s="3">
        <f>1646.9+(81.5-188.6)+(-0.839919+(-0.041565--0.096186))+0-83.3--0.0424829999999915</f>
        <v>1455.7571850000002</v>
      </c>
      <c r="T305" s="3">
        <f>1596.4+(91.7-151.8)+(1.628328+(0.093534-0.154836))+0-80.2-0.0818040000000128</f>
        <v>1457.5852220000002</v>
      </c>
      <c r="U305" s="3">
        <f>1588.1+(74.1-136)+(-1.619862+(-0.075582--0.13872))+0-91.7--0.0935340000000146</f>
        <v>1433.0368099999998</v>
      </c>
      <c r="V305" s="3">
        <f>1632.8+(99.3-128)+(-0.832728+(-0.050643--0.06528))+0-81.1--0.0413609999999918</f>
        <v>1522.22327</v>
      </c>
      <c r="W305" s="3">
        <f>1736.7+(244-133.2)+(0.885717+(0.12444-0.067932))+0-75.2-0.0383519999999924</f>
        <v>1773.2038729999999</v>
      </c>
      <c r="X305" s="3">
        <f>1694.9+(315.2-136.2)+(-1.728798+(-0.321504--0.138924))+0-85.4--0.0871080000000136</f>
        <v>1786.6757299999999</v>
      </c>
      <c r="Y305" s="3">
        <f>1698.1+(347.5-134.5)+(0+(0-0))+0-97.2-0</f>
        <v>1813.8999999999999</v>
      </c>
      <c r="Z305" s="3">
        <f>1691.2+(284.6-128.9)+(-1.725024+(-0.290292--0.131478))+0-63.8--0.0650760000000102</f>
        <v>1781.2812380000003</v>
      </c>
      <c r="AA305" s="3">
        <f>1681.9+(229.5-118)+(0.857769+(0.117045-0.06018))+0-80.4-0.0410039999999918</f>
        <v>1713.87363</v>
      </c>
      <c r="AB305" s="3">
        <f>1673.1+(127.2-112.1)+(1.706562+(0.129744-0.114342))+0-83.2-0.0848640000000133</f>
        <v>1606.6370999999999</v>
      </c>
      <c r="AC305" s="3">
        <f>1672.3+(98.5-125.2)+(-1.705746+(-0.10047--0.127704))+0-76.7--0.0782340000000122</f>
        <v>1567.299722</v>
      </c>
      <c r="AD305" s="2">
        <v>1784.8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1663.3+(101.5-158.2)+(0+(0-0))+0-61.9-0</f>
        <v>1544.6999999999998</v>
      </c>
      <c r="G306" s="3">
        <f>1596+(111.5-154.4)+(0.81396+(0.056865-0.078744))+0-70.7-0.0360569999999928</f>
        <v>1483.1560239999999</v>
      </c>
      <c r="H306" s="3">
        <f>1594.5+(116.4-166.4)+(-2.439585+(-0.178092--0.254592))+0-86.3--0.132039000000005</f>
        <v>1455.9689540000002</v>
      </c>
      <c r="I306" s="3">
        <f>1596.3+(116.2-137.3)+(1.628226+(0.118524-0.140046))+0-94.7-0.0965940000000151</f>
        <v>1482.0101099999999</v>
      </c>
      <c r="J306" s="3">
        <f>1596.7+(84.6-180)+(1.628634+(0.086292-0.1836))+0-27.5-0.0280500000000044</f>
        <v>1475.3032760000001</v>
      </c>
      <c r="K306" s="3">
        <f>1660.8+(19.8-160.4)+(1.694016+(0.020196-0.163608))+0-23.9-0.0243780000000038</f>
        <v>1497.8262259999999</v>
      </c>
      <c r="L306" s="3">
        <f>1765+(20.1-130.2)+(0+(0-0))+0-87-0</f>
        <v>1567.9</v>
      </c>
      <c r="M306" s="3">
        <f>1769.2+(52.1-129.7)+(-0.902292+(-0.026571--0.066147))+0-76.4--0.0389639999999923</f>
        <v>1614.376248</v>
      </c>
      <c r="N306" s="3">
        <f>1943.6+(16.3-263.5)+(0.991236+(0.008313-0.134385))+0-69.4-0.035393999999993</f>
        <v>1627.8297699999998</v>
      </c>
      <c r="O306" s="3">
        <f>2008.6+(35-253.9)+(0+(0-0))+0-88.4-0</f>
        <v>1701.2999999999997</v>
      </c>
      <c r="P306" s="3">
        <f>2030.2+(50.1-247.4)+(0+(0-0))+0-94.2-0</f>
        <v>1738.7</v>
      </c>
      <c r="Q306" s="3">
        <f>2013.8+(69.5-262.1)+(-1.027038+(-0.035445--0.133671))+0-79--0.040289999999992</f>
        <v>1741.3114779999996</v>
      </c>
      <c r="R306" s="3">
        <f>2022.3+(80.7-295.6)+(-3.094119+(-0.123471--0.452268))+0-84.3--0.128979000000005</f>
        <v>1720.463657</v>
      </c>
      <c r="S306" s="3">
        <f>2024+(88.1-365.5)+(-1.03224+(-0.044931--0.186405))+0-63.9--0.0325889999999935</f>
        <v>1681.8418229999997</v>
      </c>
      <c r="T306" s="3">
        <f>2027.4+(84.7-374.9)+(-2.067948+(-0.086394--0.382398))+0-90.1--0.0919020000000144</f>
        <v>1645.4199580000002</v>
      </c>
      <c r="U306" s="3">
        <f>1996.8+(70.5-296.9)+(2.036736+(0.07191-0.302838))+0-97-0.0989400000000155</f>
        <v>1675.1068680000001</v>
      </c>
      <c r="V306" s="3">
        <f>1994.8+(17.5-198.2)+(-1.017348+(-0.008925--0.101082))+0-77.5--0.0395249999999921</f>
        <v>1735.7143339999998</v>
      </c>
      <c r="W306" s="3">
        <f>2085.3+(78.7-133.9)+(0+(0-0))+0-41.2-0</f>
        <v>1988.9</v>
      </c>
      <c r="X306" s="3">
        <f>2110.6+(52.7-140.3)+(-1.076406+(-0.026877--0.071553))+0-41.5--0.0211649999999958</f>
        <v>1980.489435</v>
      </c>
      <c r="Y306" s="3">
        <f>2111.2+(97.7-136.9)+(-3.230136+(-0.149481--0.209457))+0-85.8--0.131274000000005</f>
        <v>1983.161114</v>
      </c>
      <c r="Z306" s="3">
        <f>2167.9+(59.9-122.6)+(0+(0-0))+0-95.5-0</f>
        <v>2009.7000000000003</v>
      </c>
      <c r="AA306" s="3">
        <f>2140+(23.3-137.2)+(0+(0-0))+0-82.8-0</f>
        <v>1943.3</v>
      </c>
      <c r="AB306" s="3">
        <f>2086.4+(67.3-245.4)+(-4.256256+(-0.137292--0.500616))+0-91.6--0.186863999999996</f>
        <v>1812.9939320000003</v>
      </c>
      <c r="AC306" s="3">
        <f>1943.7+(108.7-239.1)+(-4.956435+(-0.277185--0.609705))+0-90.5--0.230774999999987</f>
        <v>1718.4068600000003</v>
      </c>
      <c r="AD306" s="2">
        <v>1964.1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1791.7+(70.3-170.9)+(0+(0-0))+0-75.5-0</f>
        <v>1615.6000000000001</v>
      </c>
      <c r="G307" s="3">
        <f>1776.4+(64.4-188.4)+(0.905964+(0.032844-0.096084))+0-88.5-0.045134999999991</f>
        <v>1564.6975890000001</v>
      </c>
      <c r="H307" s="3">
        <f>1806+(59.7-228.6)+(0+(0-0))+0-71.3-0</f>
        <v>1565.8</v>
      </c>
      <c r="I307" s="3">
        <f>1810.1+(54.8-226.3)+(-2.769453+(-0.083844--0.346239))+0-89.1--0.136323000000005</f>
        <v>1547.129265</v>
      </c>
      <c r="J307" s="3">
        <f>1796.6+(37.2-210.9)+(-3.665064+(-0.075888--0.430236))+0-98.4--0.200735999999996</f>
        <v>1521.3900199999998</v>
      </c>
      <c r="K307" s="3">
        <f>1918.8+(20-261)+(3.914352+(0.0408-0.53244))+0-94.4-0.192575999999996</f>
        <v>1586.630136</v>
      </c>
      <c r="L307" s="3">
        <f>1935.3+(0-208.1)+(-0.987003+(0--0.106131))+0-95.6--0.0487559999999903</f>
        <v>1630.7678840000001</v>
      </c>
      <c r="M307" s="3">
        <f>1941+(0-176.1)+(-1.97982+(0--0.179622))+0-48--0.0489600000000077</f>
        <v>1715.1487620000003</v>
      </c>
      <c r="N307" s="3">
        <f>1953.7+(19.9-137.9)+(-0.996387+(-0.010149--0.070329))+0-90.9--0.0463589999999908</f>
        <v>1743.9101519999999</v>
      </c>
      <c r="O307" s="3">
        <f>1973.8+(0-192.7)+(3.019914+(0-0.294831))+0-94.1-0.143973000000005</f>
        <v>1689.5811100000001</v>
      </c>
      <c r="P307" s="3">
        <f>2024.5+(6-213.5)+(2.06499+(0.00612-0.21777))+0-93.8-0.095676000000015</f>
        <v>1724.957664</v>
      </c>
      <c r="Q307" s="3">
        <f>2039.2+(89.1-294.5)+(-2.079984+(-0.090882--0.30039))+0-85.8--0.0875160000000137</f>
        <v>1746.21704</v>
      </c>
      <c r="R307" s="3">
        <f>2077.4+(88.5-356.5)+(-4.237896+(-0.18054--0.72726))+0-90.7--0.185027999999996</f>
        <v>1715.1938520000001</v>
      </c>
      <c r="S307" s="3">
        <f>2104.1+(105.1-455.2)+(2.146182+(0.107202-0.464304))+0-85.8-0.0875160000000137</f>
        <v>1669.901564</v>
      </c>
      <c r="T307" s="3">
        <f>2108+(98.9-499.6)+(1.07508+(0.050439-0.254796))+0-76.1-0.0388109999999923</f>
        <v>1632.0319120000001</v>
      </c>
      <c r="U307" s="3">
        <f>2119.1+(88.7-508)+(-5.403705+(-0.226185--1.2954))+0-85--0.216749999999988</f>
        <v>1610.68226</v>
      </c>
      <c r="V307" s="3">
        <f>2115.9+(42.2-312.7)+(1.079109+(0.021522-0.159477))+0-100.7-0.0513569999999898</f>
        <v>1745.5897970000001</v>
      </c>
      <c r="W307" s="3">
        <f>2217.4+(0-177.9)+(3.392622+(0-0.272187))+0-90.6-0.138618000000005</f>
        <v>1951.8818170000002</v>
      </c>
      <c r="X307" s="3">
        <f>2216.9+(7.8-167.3)+(-1.130619+(-0.003978--0.085323))+0-85.1--0.0434009999999914</f>
        <v>1971.2941270000001</v>
      </c>
      <c r="Y307" s="3">
        <f>2207.4+(11.8-163.5)+(-3.377322+(-0.018054--0.250155))+0-73--0.111690000000004</f>
        <v>1979.666469</v>
      </c>
      <c r="Z307" s="3">
        <f>2206.3+(20.6-150.9)+(-3.375639+(-0.031518--0.230877))+0-99.5--0.152235000000006</f>
        <v>1973.4759549999999</v>
      </c>
      <c r="AA307" s="3">
        <f>2196.8+(64.1-226)+(-4.481472+(-0.130764--0.46104))+0-44.8--0.091391999999998</f>
        <v>1986.0401960000002</v>
      </c>
      <c r="AB307" s="3">
        <f>2194.5+(114.7-283.4)+(-3.357585+(-0.175491--0.433602))+0-89.1--0.136323000000005</f>
        <v>1933.7368489999999</v>
      </c>
      <c r="AC307" s="3">
        <f>2185.7+(118.7-356.4)+(-1.114707+(-0.060537--0.181764))+0-92.5--0.0471749999999906</f>
        <v>1854.5536949999996</v>
      </c>
      <c r="AD307" s="2">
        <v>1974.2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1794.9+(113.5-214.4)+(0+(0-0))+0-87.7-0</f>
        <v>1606.3</v>
      </c>
      <c r="G308" s="3">
        <f>1739+(120-196.6)+(-3.54756+(-0.2448--0.401064))+0-89.6--0.182783999999996</f>
        <v>1569.5914880000003</v>
      </c>
      <c r="H308" s="3">
        <f>1748+(124.4-193.9)+(1.78296+(0.126888-0.197778))+0-89.8-0.0915960000000143</f>
        <v>1590.3204740000001</v>
      </c>
      <c r="I308" s="3">
        <f>1745.6+(119.2-205.5)+(0.890256+(0.060792-0.104805))+0-90.1-0.0459509999999909</f>
        <v>1570.0002919999999</v>
      </c>
      <c r="J308" s="3">
        <f>1781.2+(97.9-232)+(-0.908412+(-0.049929--0.11832))+0-78.4--0.039983999999992</f>
        <v>1567.8999630000001</v>
      </c>
      <c r="K308" s="3">
        <f>1883.6+(81.4-282.6)+(0.960636+(0.041514-0.144126))+0-64-0.0326399999999935</f>
        <v>1619.2253839999998</v>
      </c>
      <c r="L308" s="3">
        <f>1980.4+(50.6-257.1)+(0+(0-0))+0-85.3-0</f>
        <v>1688.6000000000001</v>
      </c>
      <c r="M308" s="3">
        <f>1988.4+(75-239.4)+(4.056336+(0.153-0.488376))+0-80.4-0.164015999999996</f>
        <v>1747.1569440000001</v>
      </c>
      <c r="N308" s="3">
        <f>2041.3+(85.2-230.2)+(2.082126+(0.086904-0.234804))+0-72.9-0.0743580000000116</f>
        <v>1825.2598679999999</v>
      </c>
      <c r="O308" s="3">
        <f>2170.5+(83.2-336.1)+(-2.21391+(-0.084864--0.342822))+0-64.7--0.0659940000000103</f>
        <v>1851.0100419999999</v>
      </c>
      <c r="P308" s="3">
        <f>2192.8+(103.4-343)+(1.118328+(0.052734-0.17493))+0-97.3-0.0496229999999901</f>
        <v>1856.8465090000004</v>
      </c>
      <c r="Q308" s="3">
        <f>2192.2+(111.9-342.1)+(-1.118022+(-0.057069--0.174471))+0-89.2--0.0454919999999909</f>
        <v>1871.8448719999997</v>
      </c>
      <c r="R308" s="3">
        <f>2184.2+(94.3-341.9)+(-4.455768+(-0.192372--0.697476))+0-89--0.181559999999996</f>
        <v>1843.8308959999999</v>
      </c>
      <c r="S308" s="3">
        <f>2188.5+(94.2-349)+(-4.46454+(-0.192168--0.71196))+0-86.2--0.175847999999996</f>
        <v>1843.7311000000002</v>
      </c>
      <c r="T308" s="3">
        <f>2188.7+(95-382.8)+(-2.232474+(-0.0969--0.390456))+0-91--0.0928200000000145</f>
        <v>1808.0539019999999</v>
      </c>
      <c r="U308" s="3">
        <f>2190.7+(75.6-392.4)+(-2.234514+(-0.077112--0.400248))+0-88.1--0.089862000000014</f>
        <v>1783.978484</v>
      </c>
      <c r="V308" s="3">
        <f>2199.2+(27.7-276.3)+(0+(0-0))+0-76.1-0</f>
        <v>1874.5</v>
      </c>
      <c r="W308" s="3">
        <f>2247.8+(0-196.1)+(2.292756+(0-0.200022))+0-82.3-0.0839460000000131</f>
        <v>1971.4087880000002</v>
      </c>
      <c r="X308" s="3">
        <f>2290.3+(0-204.2)+(0+(0-0))+0-70.7-0</f>
        <v>2015.4000000000003</v>
      </c>
      <c r="Y308" s="3">
        <f>2285.6+(0-208.2)+(-2.331312+(0--0.212364))+0-85.9--0.0876180000000137</f>
        <v>1989.4686700000002</v>
      </c>
      <c r="Z308" s="3">
        <f>2279.5+(44.2-237.8)+(-5.812725+(-0.11271--0.60639))+0-101.2--0.258059999999985</f>
        <v>1979.6390149999997</v>
      </c>
      <c r="AA308" s="3">
        <f>2254.6+(117.9-271.7)+(-1.149846+(-0.060129--0.138567))+0-95.9--0.0489089999999903</f>
        <v>2003.8775009999999</v>
      </c>
      <c r="AB308" s="3">
        <f>2214.1+(122.9-333.5)+(-3.387573+(-0.188037--0.510255))+0-92.4--0.141372000000005</f>
        <v>1908.176017</v>
      </c>
      <c r="AC308" s="3">
        <f>2129.3+(117.2-341.2)+(-2.171886+(-0.119544--0.348024))+0-85.7--0.0874140000000137</f>
        <v>1817.7440080000001</v>
      </c>
      <c r="AD308" s="2">
        <v>2020.1000000000001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1971.7+(117.5-289.1)+(-4.022268+(-0.2397--0.589764))+0-70.3--0.143411999999997</f>
        <v>1726.2712079999999</v>
      </c>
      <c r="G309" s="3">
        <f>1921.4+(117.9-317.6)+(-2.939742+(-0.180387--0.485928))+0-89.8--0.137394000000005</f>
        <v>1629.4031930000001</v>
      </c>
      <c r="H309" s="3">
        <f>1941.7+(120.7-329.6)+(-0.990267+(-0.061557--0.168096))+0-89.3--0.0455429999999909</f>
        <v>1642.6618149999999</v>
      </c>
      <c r="I309" s="3">
        <f>1943.4+(118.6-358.7)+(-0.991134+(-0.060486--0.182937))+0-83.3--0.0424829999999915</f>
        <v>1619.1738000000003</v>
      </c>
      <c r="J309" s="3">
        <f>1863.2+(99.6-307.7)+(-1.900464+(-0.101592--0.313854))+0-85.3--0.0870060000000136</f>
        <v>1568.1988040000001</v>
      </c>
      <c r="K309" s="3">
        <f>1862.6+(82.9-253.5)+(1.899852+(0.084558-0.25857))+0-97.6-0.0995520000000156</f>
        <v>1596.0262880000002</v>
      </c>
      <c r="L309" s="3">
        <f>1882+(56.3-192)+(-1.91964+(-0.057426--0.19584))+0-95--0.0969000000000152</f>
        <v>1649.6156739999999</v>
      </c>
      <c r="M309" s="3">
        <f>2131.5+(90.3-368.9)+(3.261195+(0.138159-0.564417))+0-32.8-0.0501840000000019</f>
        <v>1822.8847530000003</v>
      </c>
      <c r="N309" s="3">
        <f>2212.6+(109-355.3)+(3.385278+(0.16677-0.543609))+0-28.7-0.0439110000000017</f>
        <v>1940.5645279999999</v>
      </c>
      <c r="O309" s="3">
        <f>2194.3+(109.3-335.6)+(1.119093+(0.055743-0.171156))+0-29-0.0147899999999971</f>
        <v>1939.9888900000003</v>
      </c>
      <c r="P309" s="3">
        <f>2192.4+(111.8-315.7)+(1.118124+(0.057018-0.161007))+0-26.9-0.0137189999999973</f>
        <v>1962.6004159999998</v>
      </c>
      <c r="Q309" s="3">
        <f>2165.4+(112.8-336.7)+(-7.730478+(-0.402696--1.202019))+0-26.9--0.0960330000000004</f>
        <v>1907.764878</v>
      </c>
      <c r="R309" s="3">
        <f>2110.4+(118-324.2)+(-3.228912+(-0.18054--0.496026))+0-26.5--0.0405450000000015</f>
        <v>1874.827119</v>
      </c>
      <c r="S309" s="3">
        <f>2103.1+(105.3-298.4)+(-6.435486+(-0.322218--0.913104))+0-26.2--0.080172000000003</f>
        <v>1878.035572</v>
      </c>
      <c r="T309" s="3">
        <f>2114+(98.2-271.3)+(0+(0-0))+0-75.4-0</f>
        <v>1865.5</v>
      </c>
      <c r="U309" s="3">
        <f>2127.9+(79.6-282.2)+(-2.170458+(-0.081192--0.287844))+0-83--0.0846600000000132</f>
        <v>1840.4208540000002</v>
      </c>
      <c r="V309" s="3">
        <f>2174.1+(41.7-245.3)+(0+(0-0))+0-87.9-0</f>
        <v>1882.6</v>
      </c>
      <c r="W309" s="3">
        <f>2250.1+(33.9-143.7)+(1.147551+(0.017289-0.073287))+0-91-0.0464099999999908</f>
        <v>2050.345143</v>
      </c>
      <c r="X309" s="3">
        <f>2248.9+(13.4-165.3)+(0+(0-0))+0-6.5-0</f>
        <v>2090.5</v>
      </c>
      <c r="Y309" s="3">
        <f>2245.4+(9.2-169.8)+(-4.580616+(-0.018768--0.346392))+0-1.1--0.00224399999999995</f>
        <v>2079.4492519999999</v>
      </c>
      <c r="Z309" s="3">
        <f>2247.6+(11.6-177.4)+(-2.292552+(-0.011832--0.180948))+0-7.9--0.00805800000000126</f>
        <v>2071.7846219999997</v>
      </c>
      <c r="AA309" s="3">
        <f>2243.1+(75-231.9)+(-6.863886+(-0.2295--0.709614))+0-17.3--0.052938000000002</f>
        <v>2062.5691659999993</v>
      </c>
      <c r="AB309" s="3">
        <f>2157.1+(110.3-281.6)+(-4.400484+(-0.225012--0.574464))+0-15.5--0.0316199999999993</f>
        <v>1966.2805879999999</v>
      </c>
      <c r="AC309" s="3">
        <f>2039.3+(112-263.9)+(-5.200215+(-0.2856--0.672945))+0-37.5--0.0956249999999946</f>
        <v>1845.182755</v>
      </c>
      <c r="AD309" s="2">
        <v>2020.1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1963.9+(110.3-261.8)+(-5.007945+(-0.281265--0.66759))+0-56.6--0.144329999999992</f>
        <v>1751.3227100000004</v>
      </c>
      <c r="G310" s="3">
        <f>1767.9+(93.5-166.4)+(-1.803258+(-0.09537--0.169728))+0-78.3--0.0798660000000125</f>
        <v>1615.050966</v>
      </c>
      <c r="H310" s="3">
        <f>1764.2+(99.8-188)+(-4.49871+(-0.25449--0.4794))+0-88.2--0.224909999999987</f>
        <v>1583.7511099999999</v>
      </c>
      <c r="I310" s="3">
        <f>1643+(95.8-130.6)+(2.51379+(0.146574-0.199818))+0-65.9-0.100827000000004</f>
        <v>1544.659719</v>
      </c>
      <c r="J310" s="3">
        <f>1639.7+(119.2-111.9)+(2.508741+(0.182376-0.171207))+0-82.6-0.126378000000005</f>
        <v>1566.7935320000001</v>
      </c>
      <c r="K310" s="3">
        <f>1832.9+(65.7-203)+(0+(0-0))+0-76.6-0</f>
        <v>1619.0000000000002</v>
      </c>
      <c r="L310" s="3">
        <f>2097+(19.4-259.5)+(0+(0-0))+0-87.6-0</f>
        <v>1769.3000000000002</v>
      </c>
      <c r="M310" s="3">
        <f>2112.9+(54.4-248.2)+(-1.077579+(-0.027744--0.126582))+0-93.4--0.0476339999999905</f>
        <v>1824.7688930000002</v>
      </c>
      <c r="N310" s="3">
        <f>2107.2+(64.5-242.5)+(-1.074672+(-0.032895--0.123675))+0-38.4--0.0195839999999961</f>
        <v>1889.8356919999997</v>
      </c>
      <c r="O310" s="3">
        <f>2111.4+(87.9-233.9)+(-1.076814+(-0.044829--0.119289))+0-63.1--0.0321809999999936</f>
        <v>1901.3298270000003</v>
      </c>
      <c r="P310" s="3">
        <f>2123.8+(106.9-219.2)+(2.166276+(0.109038-0.223584))+0-64.8-0.0660960000000103</f>
        <v>1948.6856340000002</v>
      </c>
      <c r="Q310" s="3">
        <f>2049+(110.1-166.9)+(-1.04499+(-0.056151--0.085119))+0-61.1--0.0311609999999938</f>
        <v>1930.115139</v>
      </c>
      <c r="R310" s="3">
        <f>2102.4+(111.2-209.8)+(-4.288896+(-0.226848--0.427992))+0-65--0.132599999999997</f>
        <v>1934.8448480000002</v>
      </c>
      <c r="S310" s="3">
        <f>2121.1+(117-249.6)+(0+(0-0))+0-64-0</f>
        <v>1924.5</v>
      </c>
      <c r="T310" s="3">
        <f>2131+(104.3-245.5)+(1.08681+(0.053193-0.125205))+0-70.6-0.0360059999999928</f>
        <v>1920.1787919999999</v>
      </c>
      <c r="U310" s="3">
        <f>2100.6+(94.5-250.1)+(-5.35653+(-0.240975--0.637755))+0-39.2--0.0999599999999943</f>
        <v>1900.94021</v>
      </c>
      <c r="V310" s="3">
        <f>2097.8+(56.5-197.1)+(-2.139756+(-0.05763--0.201042))+0-29.7--0.0302940000000047</f>
        <v>1925.5339500000002</v>
      </c>
      <c r="W310" s="3">
        <f>2187.6+(109.8-154.4)+(3.347028+(0.167994-0.236232))+0-30.9-0.0472770000000018</f>
        <v>2115.3315129999996</v>
      </c>
      <c r="X310" s="3">
        <f>2182.7+(97.2-153.5)+(-1.113177+(-0.049572--0.078285))+0-25.1--0.0128009999999975</f>
        <v>2100.2283369999996</v>
      </c>
      <c r="Y310" s="3">
        <f>2189.8+(103.3-134.8)+(-1.116798+(-0.052683--0.068748))+0-50.7--0.0258569999999949</f>
        <v>2106.5251240000002</v>
      </c>
      <c r="Z310" s="3">
        <f>2189.5+(108.4-126.8)+(-1.116645+(-0.055284--0.064668))+0-92.6--0.0472259999999906</f>
        <v>2077.439965</v>
      </c>
      <c r="AA310" s="3">
        <f>2151.7+(119.6-135.8)+(-3.292101+(-0.182988--0.207774))+0-92.6--0.141678000000005</f>
        <v>2039.774363</v>
      </c>
      <c r="AB310" s="3">
        <f>2129.4+(119.6-144)+(-5.42997+(-0.30498--0.3672))+0-87.3--0.222614999999987</f>
        <v>2012.5548650000001</v>
      </c>
      <c r="AC310" s="3">
        <f>2046.2+(111.8-167.4)+(-5.21781+(-0.28509--0.42687))+0-77.4--0.197369999999989</f>
        <v>1908.3213400000002</v>
      </c>
      <c r="AD310" s="2">
        <v>2012.1000000000004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1953.3+(112.5-269.5)+(-0.996183+(-0.057375--0.137445))+0-62--0.0316199999999937</f>
        <v>1733.4155069999999</v>
      </c>
      <c r="G311" s="3">
        <f>1924.8+(115.4-260.8)+(-3.926592+(-0.235416--0.532032))+0-68.4--0.139535999999997</f>
        <v>1707.5095599999997</v>
      </c>
      <c r="H311" s="3">
        <f>1805+(131.2-216.6)+(0+(0-0))+0-83.3-0</f>
        <v>1636.3</v>
      </c>
      <c r="I311" s="3">
        <f>1763.6+(127.8-172.8)+(-2.698308+(-0.195534--0.264384))+0-85.9--0.131427000000005</f>
        <v>1630.2019689999997</v>
      </c>
      <c r="J311" s="3">
        <f>1722.4+(107.6-131)+(0.878424+(0.054876-0.06681))+0-100-0.0509999999999899</f>
        <v>1599.8154900000002</v>
      </c>
      <c r="K311" s="3">
        <f>1831.3+(70.6-196.8)+(1.867926+(0.072012-0.200736))+0-66.1-0.0674220000000105</f>
        <v>1640.6717799999999</v>
      </c>
      <c r="L311" s="3">
        <f>1843.1+(49.4-159.2)+(0+(0-0))+0-88-0</f>
        <v>1645.3</v>
      </c>
      <c r="M311" s="3">
        <f>1890.1+(106.5-157.3)+(1.927902+(0.10863-0.160446))+0-82.6-0.0842520000000132</f>
        <v>1758.4918339999999</v>
      </c>
      <c r="N311" s="3">
        <f>1959.7+(120.9-147.2)+(0.999447+(0.061659-0.075072))+0-58.1-0.0296309999999941</f>
        <v>1876.2564030000003</v>
      </c>
      <c r="O311" s="3">
        <f>2036.6+(98.1-289.4)+(0+(0-0))+0-87.6-0</f>
        <v>1757.7</v>
      </c>
      <c r="P311" s="3">
        <f>2047.2+(105.4-285.1)+(1.044072+(0.053754-0.145401))+0-91.3-0.0465629999999907</f>
        <v>1777.1058620000001</v>
      </c>
      <c r="Q311" s="3">
        <f>2023.5+(122.7-270.4)+(-3.095955+(-0.187731--0.413712))+0-86.9--0.132957000000005</f>
        <v>1786.1629829999999</v>
      </c>
      <c r="R311" s="3">
        <f>2004.4+(120.3-302)+(-4.088976+(-0.245412--0.61608))+0-78.4--0.159935999999997</f>
        <v>1740.741628</v>
      </c>
      <c r="S311" s="3">
        <f>1977.4+(115.2-331.7)+(-1.008474+(-0.058752--0.169167))+0-77.8--0.0396779999999921</f>
        <v>1682.2416190000001</v>
      </c>
      <c r="T311" s="3">
        <f>1902.4+(100.1-286.7)+(-3.880896+(-0.204204--0.584868))+0-75.5--0.154019999999997</f>
        <v>1636.953788</v>
      </c>
      <c r="U311" s="3">
        <f>1843.4+(95.8-231.7)+(-5.640804+(-0.293148--0.709002))+0-86.6--0.26499600000001</f>
        <v>1615.9400460000002</v>
      </c>
      <c r="V311" s="3">
        <f>1906.6+(82.2-234.7)+(0.972366+(0.041922-0.119697))+0-77.1-0.0393209999999922</f>
        <v>1677.85527</v>
      </c>
      <c r="W311" s="3">
        <f>2031.5+(86.6-131)+(2.07213+(0.088332-0.13362))+0-66.2-0.0675240000000106</f>
        <v>1922.8593179999998</v>
      </c>
      <c r="X311" s="3">
        <f>2028.1+(122.2-131.8)+(1.034331+(0.062322-0.067218))+0-76-0.0387599999999923</f>
        <v>1943.490675</v>
      </c>
      <c r="Y311" s="3">
        <f>1988.6+(123-128)+(-5.07093+(-0.31365--0.3264))+0-75.8--0.193289999999989</f>
        <v>1902.9351099999999</v>
      </c>
      <c r="Z311" s="3">
        <f>2008.1+(119.3-118.8)+(-4.096524+(-0.243372--0.242352))+0-91.9--0.187475999999996</f>
        <v>1912.7899319999999</v>
      </c>
      <c r="AA311" s="3">
        <f>2072.7+(122.9-142.3)+(2.114154+(0.125358-0.145146))+0-72.6-0.0740520000000116</f>
        <v>1982.7203139999997</v>
      </c>
      <c r="AB311" s="3">
        <f>2057.6+(119.8-201.1)+(-3.148128+(-0.183294--0.307683))+0-65.3--0.0999090000000038</f>
        <v>1908.07617</v>
      </c>
      <c r="AC311" s="3">
        <f>2072.4+(120.7-217.4)+(0+(0-0))+0-91.6-0</f>
        <v>1884.1000000000001</v>
      </c>
      <c r="AD311" s="2">
        <v>1965.7000000000003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1815.7+(144.7-108.2)+(-1.852014+(-0.147594--0.110364))+0-86.9--0.0886380000000139</f>
        <v>1763.4993939999999</v>
      </c>
      <c r="G312" s="3">
        <f>1606.8+(200.2-76.9)+(-3.277872+(-0.408408--0.156876))+0-74.8--0.152591999999997</f>
        <v>1651.9231879999998</v>
      </c>
      <c r="H312" s="3">
        <f>1625.2+(141.7-84.5)+(-3.315408+(-0.289068--0.17238))+0-85.1--0.173603999999996</f>
        <v>1594.0415080000002</v>
      </c>
      <c r="I312" s="3">
        <f>1685.4+(106.5-111.9)+(-0.859554+(-0.054315--0.057069))+0-83.4--0.0425339999999915</f>
        <v>1595.7857339999998</v>
      </c>
      <c r="J312" s="3">
        <f>1605.4+(135.3-86.8)+(0+(0-0))+0-97.1-0</f>
        <v>1556.8000000000002</v>
      </c>
      <c r="K312" s="3">
        <f>1609.3+(132.9-107.6)+(2.462229+(0.203337-0.164628))+0-65.8-0.100674000000004</f>
        <v>1571.2002639999998</v>
      </c>
      <c r="L312" s="3">
        <f>1587.3+(147.9-126.6)+(-4.047615+(-0.377145--0.32283))+0-81.5--0.207824999999988</f>
        <v>1523.2058949999998</v>
      </c>
      <c r="M312" s="3">
        <f>1550.8+(189.1-119.9)+(-3.95454+(-0.482205--0.305745))+0-76.1--0.194054999999989</f>
        <v>1539.9630549999999</v>
      </c>
      <c r="N312" s="3">
        <f>1675.3+(145.4-122.8)+(0.854403+(0.074154-0.062628))+0-87.9-0.0448289999999911</f>
        <v>1610.8210999999999</v>
      </c>
      <c r="O312" s="3">
        <f>1770+(97.2-206.1)+(-2.7081+(-0.148716--0.315333))+0-65.1--0.0996030000000038</f>
        <v>1593.5581200000001</v>
      </c>
      <c r="P312" s="3">
        <f>1819.1+(96.9-274.5)+(0+(0-0))+0-86-0</f>
        <v>1555.5</v>
      </c>
      <c r="Q312" s="3">
        <f>1719.6+(108.4-187.5)+(-0.876996+(-0.055284--0.095625))+0-75.6--0.0385559999999923</f>
        <v>1564.101901</v>
      </c>
      <c r="R312" s="3">
        <f>1714.4+(98.3-193.6)+(-1.748688+(-0.100266--0.197472))+0-84--0.0856800000000134</f>
        <v>1533.5341980000001</v>
      </c>
      <c r="S312" s="3">
        <f>1711.5+(107.8-246)+(-1.74573+(-0.109956--0.25092))+0-61.3--0.0625260000000098</f>
        <v>1510.45776</v>
      </c>
      <c r="T312" s="3">
        <f>1714.7+(104.8-233.8)+(-0.874497+(-0.053448--0.119238))+0-97.6--0.0497759999999901</f>
        <v>1487.3410690000003</v>
      </c>
      <c r="U312" s="3">
        <f>1704+(85.3-234)+(-2.60712+(-0.130509--0.35802))+0-74.3--0.113679000000004</f>
        <v>1478.73407</v>
      </c>
      <c r="V312" s="3">
        <f>1782.4+(107.7-115.4)+(-0.909024+(-0.054927--0.058854))+0-85.7--0.0437069999999913</f>
        <v>1688.13861</v>
      </c>
      <c r="W312" s="3">
        <f>1917.9+(209.9-126.8)+(0+(0-0))+0-68.3-0</f>
        <v>1932.7</v>
      </c>
      <c r="X312" s="3">
        <f>1923.7+(249.4-125.8)+(-1.962174+(-0.254388--0.128316))+0-87.4--0.0891480000000139</f>
        <v>1957.9009019999999</v>
      </c>
      <c r="Y312" s="3">
        <f>1903.7+(257.8-126.5)+(-5.825322+(-0.788868--0.38709))+0-91.4--0.279684000000011</f>
        <v>1937.6525839999999</v>
      </c>
      <c r="Z312" s="3">
        <f>1836.1+(272-115.5)+(-4.682055+(-0.6936--0.294525))+0-70.8--0.18053999999999</f>
        <v>1916.89941</v>
      </c>
      <c r="AA312" s="3">
        <f>1839.5+(234-101.6)+(-3.75258+(-0.47736--0.207264))+0-62.3--0.127091999999997</f>
        <v>1905.704416</v>
      </c>
      <c r="AB312" s="3">
        <f>1840.4+(163.6-90.3)+(-1.877208+(-0.166872--0.092106))+0-83.4--0.0850680000000133</f>
        <v>1828.433094</v>
      </c>
      <c r="AC312" s="3">
        <f>1679.3+(143.1-79.9)+(-3.425772+(-0.291924--0.162996))+0-92.9--0.189515999999996</f>
        <v>1646.2348159999999</v>
      </c>
      <c r="AD312" s="2">
        <v>1832.6000000000004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1634.6+(101.3-88.8)+(-0.833646+(-0.051663--0.045288))+0-74.4--0.0379439999999925</f>
        <v>1571.8979229999998</v>
      </c>
      <c r="G313" s="3">
        <f>1554.1+(95.5-78.2)+(-2.377773+(-0.146115--0.119646))+0-73.6--0.112608000000004</f>
        <v>1495.5083659999998</v>
      </c>
      <c r="H313" s="3">
        <f>1523.5+(123.8-81.8)+(-1.55397+(-0.126276--0.083436))+0-91.1--0.0929220000000145</f>
        <v>1472.8961120000001</v>
      </c>
      <c r="I313" s="3">
        <f>1512+(117.2-74.4)+(-3.08448+(-0.239088--0.151776))+0-83.4--0.170135999999996</f>
        <v>1468.3983439999997</v>
      </c>
      <c r="J313" s="3">
        <f>1545.8+(111.4-81.8)+(-0.788358+(-0.056814--0.041718))+0-97.1--0.0495209999999901</f>
        <v>1477.5460669999998</v>
      </c>
      <c r="K313" s="3">
        <f>1593.3+(120-110.6)+(3.250332+(0.2448-0.225624))+0-84.4-0.172175999999996</f>
        <v>1521.397332</v>
      </c>
      <c r="L313" s="3">
        <f>1753.4+(106.1-122.9)+(0+(0-0))+0-79.6-0</f>
        <v>1657.0000000000002</v>
      </c>
      <c r="M313" s="3">
        <f>1893+(115.8-122.4)+(-0.96543+(-0.059058--0.062424))+0-52.2--0.0266219999999947</f>
        <v>1833.2645580000001</v>
      </c>
      <c r="N313" s="3">
        <f>1857.5+(204-115.5)+(-0.947325+(-0.10404--0.058905))+0-90.2--0.0460019999999908</f>
        <v>1854.8535420000001</v>
      </c>
      <c r="O313" s="3">
        <f>1798.3+(169.9-114.3)+(0+(0-0))+0-67.5-0</f>
        <v>1786.3999999999999</v>
      </c>
      <c r="P313" s="3">
        <f>1804.5+(238.7-117.9)+(0.920295+(0.121737-0.060129))+0-84-0.0428399999999915</f>
        <v>1842.239063</v>
      </c>
      <c r="Q313" s="3">
        <f>1762.8+(300.9-112.8)+(-1.798056+(-0.306918--0.115056))+0-83.4--0.0850680000000133</f>
        <v>1865.5951499999999</v>
      </c>
      <c r="R313" s="3">
        <f>1754.5+(275.4-98.9)+(-5.36877+(-0.842724--0.302634))+0-81.7--0.250002000000009</f>
        <v>1843.6411419999999</v>
      </c>
      <c r="S313" s="3">
        <f>1829.3+(157.3-97.7)+(-4.664715+(-0.401115--0.249135))+0-72.8--0.185639999999989</f>
        <v>1811.4689449999998</v>
      </c>
      <c r="T313" s="3">
        <f>1864.6+(106.5-83.8)+(0+(0-0))+0-66.7-0</f>
        <v>1820.6</v>
      </c>
      <c r="U313" s="3">
        <f>1852+(284.7-92.9)+(-2.83356+(-0.435591--0.142137))+0-99.6--0.152388000000006</f>
        <v>1941.2253740000001</v>
      </c>
      <c r="V313" s="3">
        <f>1874.5+(287-110.5)+(2.867985+(0.43911-0.169065))+0-79.2-0.121176000000005</f>
        <v>1974.8168539999999</v>
      </c>
      <c r="W313" s="3">
        <f>1889.8+(407.6-113)+(3.855192+(0.831504-0.23052))+0-94.2-0.192167999999996</f>
        <v>2094.4640080000004</v>
      </c>
      <c r="X313" s="3">
        <f>1923+(332.2-110.2)+(-2.94219+(-0.508266--0.168606))+0-77.9--0.119187000000005</f>
        <v>2063.9373369999998</v>
      </c>
      <c r="Y313" s="3">
        <f>1942.9+(319.3-106.6)+(0+(0-0))+0-91.9-0</f>
        <v>2063.6999999999998</v>
      </c>
      <c r="Z313" s="3">
        <f>1926.5+(338.6-96.9)+(-1.96503+(-0.345372--0.098838))+0-86--0.0877200000000137</f>
        <v>2080.0761559999996</v>
      </c>
      <c r="AA313" s="3">
        <f>1920.5+(277.4-81)+(-2.938365+(-0.424422--0.12393))+0-71--0.108630000000004</f>
        <v>2042.7697730000002</v>
      </c>
      <c r="AB313" s="3">
        <f>1893.1+(207.6-71.8)+(-1.930962+(-0.211752--0.073236))+0-79.5--0.0810900000000127</f>
        <v>1947.4116119999999</v>
      </c>
      <c r="AC313" s="3">
        <f>1822.5+(178.5-62.7)+(-3.7179+(-0.36414--0.127908))+0-90.2--0.184007999999996</f>
        <v>1844.3298759999998</v>
      </c>
      <c r="AD313" s="2">
        <v>1955.3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1686.9+(174.2-72.9)+(-3.441276+(-0.355368--0.148716))+0-59.5--0.121379999999997</f>
        <v>1725.173452</v>
      </c>
      <c r="G314" s="3">
        <f>1614.9+(159.4-69.5)+(-1.647198+(-0.162588--0.07089))+0-83.3--0.0849660000000133</f>
        <v>1619.8460700000003</v>
      </c>
      <c r="H314" s="3">
        <f>1511.4+(251.3-71.5)+(-0.770814+(-0.128163--0.036465))+0-84--0.0428399999999915</f>
        <v>1606.3803280000002</v>
      </c>
      <c r="I314" s="3">
        <f>1554.9+(217.2-71.8)+(1.585998+(0.221544-0.073236))+0-92.4-0.0942480000000147</f>
        <v>1609.540058</v>
      </c>
      <c r="J314" s="3">
        <f>1548.3+(213.7-79.8)+(-3.948165+(-0.544935--0.20349))+0-86.7--0.221084999999987</f>
        <v>1591.4314749999996</v>
      </c>
      <c r="K314" s="3">
        <f>1606+(214-109.2)+(4.0953+(0.5457-0.27846))+0-82.6-0.210629999999988</f>
        <v>1632.3519100000001</v>
      </c>
      <c r="L314" s="3">
        <f>1716.6+(166.5-119.6)+(0+(0-0))+0-79.2-0</f>
        <v>1684.3</v>
      </c>
      <c r="M314" s="3">
        <f>1662.5+(342.3-119.6)+(-2.543625+(-0.523719--0.182988))+0-79.5--0.121635000000005</f>
        <v>1802.937279</v>
      </c>
      <c r="N314" s="3">
        <f>1734.3+(243.5-115.5)+(-1.768986+(-0.24837--0.11781))+0-82.6--0.0842520000000132</f>
        <v>1777.8847060000001</v>
      </c>
      <c r="O314" s="3">
        <f>1736.7+(211.1-115.4)+(-2.657151+(-0.322983--0.176562))+0-59.8--0.0914940000000034</f>
        <v>1769.8879220000001</v>
      </c>
      <c r="P314" s="3">
        <f>1750.4+(287-112.5)+(-1.785408+(-0.29274--0.11475))+0-92.1--0.0939420000000147</f>
        <v>1830.9305440000001</v>
      </c>
      <c r="Q314" s="3">
        <f>1747.8+(269.1-106)+(-4.45689+(-0.686205--0.2703))+0-89.7--0.228734999999987</f>
        <v>1816.55594</v>
      </c>
      <c r="R314" s="3">
        <f>1752+(257.3-106)+(-3.57408+(-0.524892--0.21624))+0-100.1--0.204203999999996</f>
        <v>1799.5214719999999</v>
      </c>
      <c r="S314" s="3">
        <f>1721.1+(196.7-102.9)+(-3.511044+(-0.401268--0.209916))+0-31.6--0.0644639999999986</f>
        <v>1779.6620680000001</v>
      </c>
      <c r="T314" s="3">
        <f>1695.1+(227.4-96.2)+(-1.729002+(-0.231948--0.098124))+0-82.6--0.0842520000000132</f>
        <v>1741.9214260000001</v>
      </c>
      <c r="U314" s="3">
        <f>1715.8+(270.1-101.2)+(1.750116+(0.275502-0.103224))+0-93.8-0.095676000000015</f>
        <v>1792.7267180000001</v>
      </c>
      <c r="V314" s="3">
        <f>1740.1+(275.4-107.8)+(0.887451+(0.140454-0.054978))+0-88.6-0.045185999999991</f>
        <v>1820.0277409999999</v>
      </c>
      <c r="W314" s="3">
        <f>1792.8+(405.7-125.9)+(1.828656+(0.413814-0.128418))+0-84.8-0.0864960000000135</f>
        <v>1989.8275559999997</v>
      </c>
      <c r="X314" s="3">
        <f>1804.1+(406.1-125.2)+(-5.520546+(-1.242666--0.383112))+0-75.1--0.229806000000009</f>
        <v>2003.7497060000003</v>
      </c>
      <c r="Y314" s="3">
        <f>1810.8+(415.8-120.8)+(-4.61754+(-1.06029--0.30804))+0-91.6--0.233579999999987</f>
        <v>2009.0637900000002</v>
      </c>
      <c r="Z314" s="3">
        <f>1820+(380.2-110.7)+(-2.7846+(-0.581706--0.169371))+0-80.4--0.123012000000005</f>
        <v>2006.026077</v>
      </c>
      <c r="AA314" s="3">
        <f>1810.6+(371.1-96.3)+(-0.923406+(-0.189261--0.049113))+0-100.1--0.0510509999999898</f>
        <v>1984.2874970000003</v>
      </c>
      <c r="AB314" s="3">
        <f>1718.7+(312.9-85.5)+(-1.753074+(-0.319158--0.08721))+0-92.8--0.0946560000000148</f>
        <v>1851.4096339999999</v>
      </c>
      <c r="AC314" s="3">
        <f>1511.7+(278-74.6)+(-3.854835+(-0.7089--0.19023))+0-71.8--0.18308999999999</f>
        <v>1639.1095850000002</v>
      </c>
      <c r="AD314" s="2">
        <v>2108.5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1484.4+(214.9-66.1)+(-1.514088+(-0.219198--0.067422))+0-74.5--0.0759900000000119</f>
        <v>1557.110126</v>
      </c>
      <c r="G315" s="3">
        <f>1479.6+(198.3-62.2)+(-2.263788+(-0.303399--0.095166))+0-106--0.162180000000006</f>
        <v>1507.3901589999998</v>
      </c>
      <c r="H315" s="3">
        <f>1456.3+(199.3-61.2)+(0+(0-0))+0-93.3-0</f>
        <v>1501.1000000000001</v>
      </c>
      <c r="I315" s="3">
        <f>1449.4+(182.3-62.8)+(-1.478388+(-0.185946--0.064056))+0-87.1--0.0888420000000139</f>
        <v>1480.2885640000004</v>
      </c>
      <c r="J315" s="3">
        <f>1488.4+(189.6-71.4)+(0.759084+(0.096696-0.036414))+0-90.6-0.0462059999999908</f>
        <v>1516.7731600000002</v>
      </c>
      <c r="K315" s="3">
        <f>1545.5+(220.2-102.8)+(-0.788205+(-0.112302--0.052428))+0-93.9--0.0478889999999905</f>
        <v>1568.1998099999998</v>
      </c>
      <c r="L315" s="3">
        <f>1667.5+(191.7-127.5)+(-0.850425+(-0.097767--0.065025))+0-59.9--0.0305489999999939</f>
        <v>1670.9473820000001</v>
      </c>
      <c r="M315" s="3">
        <f>1684.8+(232.6-124.5)+(0+(0-0))+0-32.2-0</f>
        <v>1760.6999999999998</v>
      </c>
      <c r="N315" s="3">
        <f>1711.2+(247.5-120.7)+(0+(0-0))+0-25.2-0</f>
        <v>1812.8</v>
      </c>
      <c r="O315" s="3">
        <f>1715.3+(249.8-117.6)+(-1.749606+(-0.254796--0.119952))+0-19.7--0.0200940000000031</f>
        <v>1825.9356439999999</v>
      </c>
      <c r="P315" s="3">
        <f>1719.5+(262.7-113.1)+(0+(0-0))+0-17.3-0</f>
        <v>1851.8</v>
      </c>
      <c r="Q315" s="3">
        <f>1712.7+(256.9-109.9)+(-0.873477+(-0.131019--0.056049))+0-17.5--0.00892499999999822</f>
        <v>1841.2604780000001</v>
      </c>
      <c r="R315" s="3">
        <f>1684+(277.6-115.1)+(-4.2942+(-0.70788--0.293505))+0-18.6--0.0474299999999973</f>
        <v>1823.2388550000001</v>
      </c>
      <c r="S315" s="3">
        <f>1697+(219.3-112.6)+(0+(0-0))+0-71.7-0</f>
        <v>1732</v>
      </c>
      <c r="T315" s="3">
        <f>1731.9+(224.2-104.9)+(-0.883269+(-0.114342--0.053499))+0-72.8--0.0371279999999926</f>
        <v>1777.4930160000001</v>
      </c>
      <c r="U315" s="3">
        <f>1702.6+(272.2-110)+(-1.736652+(-0.277644--0.1122))+0-88.4--0.0901680000000141</f>
        <v>1774.5880719999998</v>
      </c>
      <c r="V315" s="3">
        <f>1752.1+(270.3-114.2)+(0.893571+(0.137853-0.058242))+0-91.5-0.0466649999999907</f>
        <v>1817.6265169999997</v>
      </c>
      <c r="W315" s="3">
        <f>1869+(341.9-125.7)+(0.95319+(0.174369-0.064107))+0-87.3-0.0445229999999911</f>
        <v>1998.9189289999997</v>
      </c>
      <c r="X315" s="3">
        <f>1949.8+(317.3-125.6)+(-3.977592+(-0.647292--0.256224))+0-78.2--0.159527999999997</f>
        <v>2059.0908680000002</v>
      </c>
      <c r="Y315" s="3">
        <f>1982.5+(284.5-123)+(-4.0443+(-0.58038--0.25092))+0-84.8--0.172991999999996</f>
        <v>2054.9992319999997</v>
      </c>
      <c r="Z315" s="3">
        <f>1957.5+(297.1-114.1)+(-1.99665+(-0.303042--0.116382))+0-98.7--0.100674000000016</f>
        <v>2039.7173640000001</v>
      </c>
      <c r="AA315" s="3">
        <f>1799.8+(315.3-98.6)+(-1.835796+(-0.321606--0.100572))+0-86.5--0.0882300000000138</f>
        <v>1928.0314000000001</v>
      </c>
      <c r="AB315" s="3">
        <f>1792.9+(267.2-85.8)+(-2.743137+(-0.408816--0.131274))+0-78.6--0.120258000000005</f>
        <v>1892.7995790000002</v>
      </c>
      <c r="AC315" s="3">
        <f>1801.8+(165.6-76.5)+(-1.837836+(-0.168912--0.07803))+0-86.1--0.0878220000000137</f>
        <v>1802.959104</v>
      </c>
      <c r="AD315" s="2">
        <v>2106.1999999999998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1748.3+(127-76.8)+(-4.458165+(-0.32385--0.19584))+0-101.4--0.258569999999985</f>
        <v>1692.772395</v>
      </c>
      <c r="G316" s="3">
        <f>1588+(150.5-64.3)+(0+(0-0))+0-60.9-0</f>
        <v>1613.3</v>
      </c>
      <c r="H316" s="3">
        <f>1519.6+(169.2-62.4)+(-3.87498+(-0.43146--0.15912))+0-88.3--0.225164999999987</f>
        <v>1534.1778449999999</v>
      </c>
      <c r="I316" s="3">
        <f>1514.1+(167.9-65.7)+(-0.772191+(-0.085629--0.033507))+0-93.1--0.0474809999999906</f>
        <v>1522.423168</v>
      </c>
      <c r="J316" s="3">
        <f>1557.9+(136.6-74.5)+(1.589058+(0.139332-0.07599))+0-85.4-0.0871080000000136</f>
        <v>1536.1652919999999</v>
      </c>
      <c r="K316" s="3">
        <f>1589.6+(124.1-107.6)+(1.621392+(0.126582-0.109752))+0-81-0.0826200000000129</f>
        <v>1526.655602</v>
      </c>
      <c r="L316" s="3">
        <f>1562.6+(82.9-82.6)+(-2.390778+(-0.126837--0.126378))+0-76.5--0.117045000000004</f>
        <v>1484.1258079999998</v>
      </c>
      <c r="M316" s="3">
        <f>1562.1+(144.8-121.4)+(-1.593342+(-0.147696--0.123828))+0-97--0.0989400000000155</f>
        <v>1486.9817300000002</v>
      </c>
      <c r="N316" s="3">
        <f>1625.9+(170.6-115.5)+(-0.829209+(-0.087006--0.058905))+0-61--0.0311099999999938</f>
        <v>1619.1737999999998</v>
      </c>
      <c r="O316" s="3">
        <f>1786.7+(165.3-120.2)+(2.733651+(0.252909-0.183906))+0-83.2-0.127296000000005</f>
        <v>1751.2753579999999</v>
      </c>
      <c r="P316" s="3">
        <f>1857.3+(178.9-113.4)+(3.788892+(0.364956-0.231336))+0-82-0.167279999999996</f>
        <v>1844.5552320000002</v>
      </c>
      <c r="Q316" s="3">
        <f>1843.6+(187.1-110.3)+(-0.940236+(-0.095421--0.056253))+0-75.9--0.0387089999999923</f>
        <v>1843.5593049999998</v>
      </c>
      <c r="R316" s="3">
        <f>1871.1+(145.2-109.7)+(-3.817044+(-0.296208--0.223788))+0-81.3--0.165851999999996</f>
        <v>1821.576388</v>
      </c>
      <c r="S316" s="3">
        <f>1863.5+(136.9-122.1)+(-3.80154+(-0.279276--0.249084))+0-84.1--0.171563999999996</f>
        <v>1790.5398319999999</v>
      </c>
      <c r="T316" s="3">
        <f>1930.4+(86.5-128.9)+(0+(0-0))+0-74.8-0</f>
        <v>1813.2</v>
      </c>
      <c r="U316" s="3">
        <f>1890.7+(102-139.4)+(-5.785542+(-0.31212--0.426564))+0-90.3--0.27631800000001</f>
        <v>1757.6052199999999</v>
      </c>
      <c r="V316" s="3">
        <f>1923+(102.7-132.9)+(0+(0-0))+0-66.8-0</f>
        <v>1826</v>
      </c>
      <c r="W316" s="3">
        <f>2006.5+(145.7-124.1)+(0+(0-0))+0-82.7-0</f>
        <v>1945.3999999999999</v>
      </c>
      <c r="X316" s="3">
        <f>2005.9+(145.7-122.5)+(-5.115045+(-0.371535--0.312375))+0-82.2--0.209609999999988</f>
        <v>1941.9354049999999</v>
      </c>
      <c r="Y316" s="3">
        <f>1978.9+(170.4-120)+(-5.046195+(-0.43452--0.306))+0-94.2--0.240209999999986</f>
        <v>1930.165495</v>
      </c>
      <c r="Z316" s="3">
        <f>1926.1+(198-111.8)+(-1.964622+(-0.20196--0.114036))+0-71.1--0.0725220000000113</f>
        <v>1939.2199760000001</v>
      </c>
      <c r="AA316" s="3">
        <f>1907.2+(192.9-96.1)+(-3.890688+(-0.393516--0.196044))+0-85.6--0.174623999999996</f>
        <v>1914.4864640000001</v>
      </c>
      <c r="AB316" s="3">
        <f>1920.2+(134.3-85.4)+(-0.979302+(-0.068493--0.043554))+0-79.7--0.0406469999999919</f>
        <v>1888.436406</v>
      </c>
      <c r="AC316" s="3">
        <f>1805.5+(109.7-95.4)+(-3.68322+(-0.223788--0.194616))+0-94.7--0.193187999999996</f>
        <v>1721.580796</v>
      </c>
      <c r="AD316" s="2">
        <v>1985.9999999999998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1733.6+(101.6-105)+(-0.884136+(-0.051816--0.05355))+0-76.3--0.0389129999999923</f>
        <v>1653.056511</v>
      </c>
      <c r="G317" s="3">
        <f>1582.3+(125.8-78.6)+(-0.806973+(-0.064158--0.040086))+0-82.3--0.0419729999999916</f>
        <v>1546.4109280000002</v>
      </c>
      <c r="H317" s="3">
        <f>1533.6+(133.3-69.3)+(0+(0-0))+0-79.1-0</f>
        <v>1518.5</v>
      </c>
      <c r="I317" s="3">
        <f>1533.1+(142.9-66.3)+(-0.781881+(-0.072879--0.033813))+0-87.6--0.0446759999999911</f>
        <v>1521.323729</v>
      </c>
      <c r="J317" s="3">
        <f>1525.8+(143-71.1)+(-2.334474+(-0.21879--0.108783))+0-65.3--0.0999090000000038</f>
        <v>1530.0554280000001</v>
      </c>
      <c r="K317" s="3">
        <f>1606.4+(106-100.1)+(0.819264+(0.05406-0.051051))+0-72.5-0.0369749999999926</f>
        <v>1540.5852980000002</v>
      </c>
      <c r="L317" s="3">
        <f>1813.2+(38.2-131.9)+(-1.849464+(-0.038964--0.134538))+0-78.6--0.0801720000000125</f>
        <v>1639.2262820000001</v>
      </c>
      <c r="M317" s="3">
        <f>1936.2+(87.3-131.5)+(-2.962386+(-0.133569--0.201195))+0-85.6--0.130968000000005</f>
        <v>1803.6362080000001</v>
      </c>
      <c r="N317" s="3">
        <f>1974.4+(109.8-134.3)+(-2.013888+(-0.111996--0.136986))+0-76.4--0.0779280000000122</f>
        <v>1871.5890299999999</v>
      </c>
      <c r="O317" s="3">
        <f>2022.8+(69-208.7)+(-1.031628+(-0.03519--0.106437))+0-78.8--0.040187999999992</f>
        <v>1803.3798069999998</v>
      </c>
      <c r="P317" s="3">
        <f>2062.1+(92.8-197.4)+(-3.155013+(-0.141984--0.302022))+0-81.7--0.125001000000005</f>
        <v>1872.930026</v>
      </c>
      <c r="Q317" s="3">
        <f>2069+(109-200.8)+(0+(0-0))+0-84.4-0</f>
        <v>1892.8</v>
      </c>
      <c r="R317" s="3">
        <f>2013.3+(113.4-193.3)+(-4.107132+(-0.231336--0.394332))+0-62.2--0.126887999999997</f>
        <v>1867.3827519999998</v>
      </c>
      <c r="S317" s="3">
        <f>1984+(114.5-196.3)+(-4.04736+(-0.23358--0.400452))+0-84.2--0.171767999999996</f>
        <v>1814.2912799999999</v>
      </c>
      <c r="T317" s="3">
        <f>1905.3+(122.1-157.8)+(0.971703+(0.062271-0.080478))+0-84.2-0.0429419999999915</f>
        <v>1786.3105539999999</v>
      </c>
      <c r="U317" s="3">
        <f>1897.7+(176.9-139.1)+(-3.871308+(-0.360876--0.283764))+0-83.5--0.170339999999996</f>
        <v>1848.22192</v>
      </c>
      <c r="V317" s="3">
        <f>1953.4+(182-120.6)+(-0.996234+(-0.09282--0.061506))+0-57.7--0.0294269999999941</f>
        <v>1956.1018790000001</v>
      </c>
      <c r="W317" s="3">
        <f>2058.5+(233.3-130.8)+(2.09967+(0.237966-0.133416))+0-95.6-0.0975120000000152</f>
        <v>2067.5067080000003</v>
      </c>
      <c r="X317" s="3">
        <f>2094.5+(227.4-128.9)+(-1.068195+(-0.115974--0.065739))+0-87--0.0443699999999912</f>
        <v>2104.9259400000001</v>
      </c>
      <c r="Y317" s="3">
        <f>2081.2+(227.2-127.1)+(-3.184236+(-0.347616--0.194463))+0-85--0.130050000000005</f>
        <v>2093.0926610000001</v>
      </c>
      <c r="Z317" s="3">
        <f>2090.6+(220.8-115.5)+(1.066206+(0.112608-0.058905))+0-85-0.0433499999999914</f>
        <v>2111.9765590000002</v>
      </c>
      <c r="AA317" s="3">
        <f>2070+(209.3-99.7)+(-3.1671+(-0.320229--0.152541))+0-87.2--0.133416000000005</f>
        <v>2089.1986280000001</v>
      </c>
      <c r="AB317" s="3">
        <f>2046+(162.7-111.4)+(-5.2173+(-0.414885--0.28407))+0-92.6--0.236129999999987</f>
        <v>1999.5880150000005</v>
      </c>
      <c r="AC317" s="3">
        <f>1892.3+(144.7-117.2)+(-1.930146+(-0.147594--0.119544))+0-74.5--0.0759900000000119</f>
        <v>1843.417794</v>
      </c>
      <c r="AD317" s="2">
        <v>2075.6999999999998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1806.1+(134.2-130.8)+(-3.684444+(-0.273768--0.266832))+0-56.7--0.115667999999998</f>
        <v>1749.2242879999999</v>
      </c>
      <c r="G318" s="3">
        <f>1645.2+(159-80.3)+(-1.678104+(-0.16218--0.081906))+0-24.9--0.025398000000004</f>
        <v>1697.26702</v>
      </c>
      <c r="H318" s="3">
        <f>1541.4+(203.7-61.4)+(0+(0-0))+0-74.1-0</f>
        <v>1609.6000000000001</v>
      </c>
      <c r="I318" s="3">
        <f>1496+(246.4-63.7)+(-0.76296+(-0.125664--0.032487))+0-83.1--0.0423809999999916</f>
        <v>1594.7862440000001</v>
      </c>
      <c r="J318" s="3">
        <f>1549.3+(216.8-72.8)+(0+(0-0))+0-83.4-0</f>
        <v>1609.8999999999999</v>
      </c>
      <c r="K318" s="3">
        <f>1711.2+(148-110.4)+(0.872712+(0.07548-0.056304))+0-66-0.0336599999999933</f>
        <v>1683.658228</v>
      </c>
      <c r="L318" s="3">
        <f>1815+(130.6-143.7)+(-1.8513+(-0.133212--0.146574))+0-81.7--0.083334000000013</f>
        <v>1718.4453960000001</v>
      </c>
      <c r="M318" s="3">
        <f>1904.3+(132.4-156.4)+(2.913579+(0.202572-0.239292))+0-91.7-0.140301000000005</f>
        <v>1791.336558</v>
      </c>
      <c r="N318" s="3">
        <f>1982+(163-144.9)+(0+(0-0))+0-72.7-0</f>
        <v>1927.3999999999999</v>
      </c>
      <c r="O318" s="3">
        <f>1962.4+(194.6-118.2)+(1.000824+(0.099246-0.060282))+0-42.5-0.0216749999999957</f>
        <v>1997.3181130000003</v>
      </c>
      <c r="P318" s="3">
        <f>2013.5+(183.9-124.5)+(0+(0-0))+0-52.2-0</f>
        <v>2020.7</v>
      </c>
      <c r="Q318" s="3">
        <f>2017.8+(186-118.7)+(-2.058156+(-0.18972--0.121074))+0-85.5--0.0872100000000136</f>
        <v>1997.5604079999996</v>
      </c>
      <c r="R318" s="3">
        <f>1972.6+(195.6-110.8)+(-4.024104+(-0.399024--0.226032))+0-88.2--0.179927999999996</f>
        <v>1965.1828320000002</v>
      </c>
      <c r="S318" s="3">
        <f>1980.8+(188.7-101.2)+(2.020416+(0.192474-0.103224))+0-91.7-0.0935340000000146</f>
        <v>1978.6161319999994</v>
      </c>
      <c r="T318" s="3">
        <f>1969.5+(159.2-110.4)+(-2.00889+(-0.162384--0.112608))+0-80.1--0.0817020000000128</f>
        <v>1936.2230360000001</v>
      </c>
      <c r="U318" s="3">
        <f>1911.8+(190.1-104)+(3.900072+(0.387804-0.21216))+0-83.6-0.170543999999996</f>
        <v>1918.2051719999999</v>
      </c>
      <c r="V318" s="3">
        <f>1937+(214.2-111.8)+(0+(0-0))+0-78.8-0</f>
        <v>1960.6000000000001</v>
      </c>
      <c r="W318" s="3">
        <f>2040.9+(274.9-128.2)+(-1.040859+(-0.140199--0.065382))+0-86.7--0.0442169999999912</f>
        <v>2099.8285410000003</v>
      </c>
      <c r="X318" s="3">
        <f>2046.7+(243-126.8)+(-2.087634+(-0.24786--0.129336))+0-75.6--0.077112000000012</f>
        <v>2085.1709540000002</v>
      </c>
      <c r="Y318" s="3">
        <f>2014.9+(261.8-124.2)+(-6.165594+(-0.801108--0.380052))+0-91.9--0.281214000000011</f>
        <v>2054.2945639999998</v>
      </c>
      <c r="Z318" s="3">
        <f>1970.8+(261-113.5)+(2.010216+(0.26622-0.11577))+0-79.2-0.0807840000000126</f>
        <v>2041.1798820000004</v>
      </c>
      <c r="AA318" s="3">
        <f>1854.7+(288.3-101)+(-4.729485+(-0.735165--0.25755))+0-77.5--0.197624999999989</f>
        <v>1959.4905249999999</v>
      </c>
      <c r="AB318" s="3">
        <f>1781.4+(256-87)+(-3.634056+(-0.52224--0.17748))+0-77.7--0.158507999999997</f>
        <v>1868.879692</v>
      </c>
      <c r="AC318" s="3">
        <f>1782.1+(173.7-85.1)+(-3.635484+(-0.354348--0.173604))+0-65.2--0.133007999999997</f>
        <v>1801.8167799999999</v>
      </c>
      <c r="AD318" s="2">
        <v>2035.3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1668.7+(160.8-82.8)+(-2.553111+(-0.246024--0.126684))+0-86.3--0.132039000000005</f>
        <v>1657.8595880000003</v>
      </c>
      <c r="G319" s="3">
        <f>1624.7+(183.2-66.2)+(-4.142985+(-0.46716--0.16881))+0-97.4--0.248369999999986</f>
        <v>1640.107035</v>
      </c>
      <c r="H319" s="3">
        <f>1556.6+(161.8-73.4)+(1.587732+(0.165036-0.074868))+0-82.6-0.0842520000000132</f>
        <v>1563.9936479999999</v>
      </c>
      <c r="I319" s="3">
        <f>1588.1+(129.3-106.2)+(-0.809931+(-0.065943--0.054162))+0-69.9--0.0356489999999929</f>
        <v>1540.5139369999997</v>
      </c>
      <c r="J319" s="3">
        <f>1540.9+(149.6-82.4)+(-0.785859+(-0.076296--0.042024))+0-88.3--0.045032999999991</f>
        <v>1519.0249020000003</v>
      </c>
      <c r="K319" s="3">
        <f>1554.4+(147.5-101.4)+(1.585488+(0.15045-0.103428))+0-82.7-0.0843540000000132</f>
        <v>1519.3481559999998</v>
      </c>
      <c r="L319" s="3">
        <f>1566.4+(146.7-120.8)+(-1.597728+(-0.149634--0.123216))+0-83.6--0.0852720000000133</f>
        <v>1507.1611260000002</v>
      </c>
      <c r="M319" s="3">
        <f>1542.3+(180.6-119.4)+(0+(0-0))+0-91.4-0</f>
        <v>1512.1</v>
      </c>
      <c r="N319" s="3">
        <f>1619.5+(139.8-121.3)+(0.825945+(0.071298-0.061863))+0-40.3-0.0205529999999959</f>
        <v>1598.514827</v>
      </c>
      <c r="O319" s="3">
        <f>1673.8+(158.9-114)+(0.853638+(0.081039-0.05814))+0-84.3-0.0429929999999914</f>
        <v>1635.2335440000002</v>
      </c>
      <c r="P319" s="3">
        <f>1837.9+(106.5-143.3)+(-2.811987+(-0.162945--0.219249))+0-90.9--0.139077000000005</f>
        <v>1707.583394</v>
      </c>
      <c r="Q319" s="3">
        <f>1851.1+(104.2-141.2)+(-3.776244+(-0.212568--0.288048))+0-86.7--0.176867999999996</f>
        <v>1723.8761039999999</v>
      </c>
      <c r="R319" s="3">
        <f>1806.7+(121.5-139)+(-0.921417+(-0.061965--0.07089))+0-77.8--0.0396779999999921</f>
        <v>1710.5271860000003</v>
      </c>
      <c r="S319" s="3">
        <f>1734.9+(130.7-116.4)+(-3.539196+(-0.266628--0.237456))+0-93.1--0.189923999999996</f>
        <v>1652.7215560000002</v>
      </c>
      <c r="T319" s="3">
        <f>1660.1+(91.3-104.3)+(-2.539953+(-0.139689--0.159579))+0-63.3--0.0968490000000037</f>
        <v>1581.376786</v>
      </c>
      <c r="U319" s="3">
        <f>1684.6+(88.9-113.5)+(2.577438+(0.136017-0.173655))+0-83.3-0.127449000000005</f>
        <v>1579.112351</v>
      </c>
      <c r="V319" s="3">
        <f>1916.5+(48.8-236.3)+(-1.95483+(-0.049776--0.241026))+0-83.3--0.0849660000000133</f>
        <v>1644.0213860000001</v>
      </c>
      <c r="W319" s="3">
        <f>1876+(101-113.8)+(-4.7838+(-0.25755--0.29019))+0-77.9--0.198644999999989</f>
        <v>1780.7474849999999</v>
      </c>
      <c r="X319" s="3">
        <f>2039.3+(73.5-109.2)+(-3.120129+(-0.112455--0.167076))+0-86.8--0.132804000000005</f>
        <v>1913.8672960000001</v>
      </c>
      <c r="Y319" s="3">
        <f>2068+(63.9-114)+(-1.05468+(-0.032589--0.05814))+0-72.8--0.0371279999999926</f>
        <v>1944.1079990000001</v>
      </c>
      <c r="Z319" s="3">
        <f>2073.4+(97.4-131.7)+(-1.057434+(-0.049674--0.067167))+0-88.6--0.045185999999991</f>
        <v>1949.5052450000003</v>
      </c>
      <c r="AA319" s="3">
        <f>2081.7+(115.1-200.3)+(1.061667+(0.058701-0.102153))+0-89.5-0.0456449999999909</f>
        <v>1907.9725699999999</v>
      </c>
      <c r="AB319" s="3">
        <f>1961.7+(131.1-185.7)+(-3.001401+(-0.200583--0.284121))+0-85.1--0.130203000000005</f>
        <v>1819.2123400000003</v>
      </c>
      <c r="AC319" s="3">
        <f>1794.9+(130.5-182.9)+(-3.661596+(-0.26622--0.373116))+0-70.6--0.144023999999997</f>
        <v>1668.4893240000001</v>
      </c>
      <c r="AD319" s="2">
        <v>1870.2999999999997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1707.9+(130.8-189.1)+(-3.484116+(-0.266832--0.385764))+0-93.5--0.190739999999996</f>
        <v>1552.9255560000001</v>
      </c>
      <c r="G320" s="3">
        <f>1619.1+(130.1-166.4)+(-0.825741+(-0.066351--0.084864))+0-84.8--0.0432479999999914</f>
        <v>1497.2360200000001</v>
      </c>
      <c r="H320" s="3">
        <f>1576.1+(130.7-134.9)+(-3.215244+(-0.266628--0.275196))+0-81.1--0.165443999999996</f>
        <v>1487.7587679999999</v>
      </c>
      <c r="I320" s="3">
        <f>1588.6+(130.7-150.4)+(-0.810186+(-0.066657--0.076704))+0-57.8--0.0294779999999941</f>
        <v>1510.3293389999999</v>
      </c>
      <c r="J320" s="3">
        <f>1630.6+(125-164.5)+(4.15803+(0.31875-0.419475))+0-76.6-0.195329999999989</f>
        <v>1518.361975</v>
      </c>
      <c r="K320" s="3">
        <f>1724.4+(107.2-188.7)+(2.638332+(0.164016-0.288711))+0-83.5-0.127755000000005</f>
        <v>1561.7858820000001</v>
      </c>
      <c r="L320" s="3">
        <f>1791.6+(111.7-212.5)+(2.741148+(0.170901-0.325125))+0-84.9-0.129897000000005</f>
        <v>1608.3570269999998</v>
      </c>
      <c r="M320" s="3">
        <f>1864.9+(117.2-198)+(-2.853297+(-0.179316--0.30294))+0-89.7--0.137241000000005</f>
        <v>1691.8075679999999</v>
      </c>
      <c r="N320" s="3">
        <f>1976.9+(129.9-224.6)+(2.016438+(0.132498-0.229092))+0-74-0.0754800000000118</f>
        <v>1810.0443640000001</v>
      </c>
      <c r="O320" s="3">
        <f>2044.5+(131.7-222.1)+(0+(0-0))+0-71.5-0</f>
        <v>1882.6</v>
      </c>
      <c r="P320" s="3">
        <f>2049+(130.7-231.5)+(2.08998+(0.133314-0.23613))+0-79.1-0.0806820000000126</f>
        <v>1871.006482</v>
      </c>
      <c r="Q320" s="3">
        <f>2024.8+(130.3-222.8)+(-2.065296+(-0.132906--0.227256))+0-90.4--0.0922080000000144</f>
        <v>1840.021262</v>
      </c>
      <c r="R320" s="3">
        <f>2012.2+(130.8-230.2)+(-5.13111+(-0.33354--0.58701))+0-80.7--0.205784999999988</f>
        <v>1827.4281450000001</v>
      </c>
      <c r="S320" s="3">
        <f>2027.2+(131.2-247.4)+(-1.033872+(-0.066912--0.126174))+0-85.8--0.0437579999999913</f>
        <v>1824.2691480000001</v>
      </c>
      <c r="T320" s="3">
        <f>2014.4+(127.3-279.3)+(-5.13672+(-0.324615--0.712215))+0-73.9--0.188444999999989</f>
        <v>1783.9393250000001</v>
      </c>
      <c r="U320" s="3">
        <f>2018.3+(101.9-269.4)+(-2.058666+(-0.103938--0.274788))+0-88.5--0.0902700000000141</f>
        <v>1760.5024539999999</v>
      </c>
      <c r="V320" s="3">
        <f>2037.1+(77.4-225.9)+(1.038921+(0.039474-0.115209))+0-78.9-0.040238999999992</f>
        <v>1810.6229469999998</v>
      </c>
      <c r="W320" s="3">
        <f>2037.9+(129.9-125.3)+(0+(0-0))+0-66.6-0</f>
        <v>1975.9</v>
      </c>
      <c r="X320" s="3">
        <f>2037.2+(173.6-122.8)+(-1.038972+(-0.088536--0.062628))+0-90--0.0458999999999909</f>
        <v>1996.9810200000002</v>
      </c>
      <c r="Y320" s="3">
        <f>2018.1+(151.9-119.4)+(-6.175386+(-0.464814--0.365364))+0-78.3--0.239598000000009</f>
        <v>1966.264762</v>
      </c>
      <c r="Z320" s="3">
        <f>1999.7+(188.1-111.5)+(-4.079388+(-0.383724--0.22746))+0-98--0.199919999999996</f>
        <v>1974.2642680000004</v>
      </c>
      <c r="AA320" s="3">
        <f>1891.3+(186.3-88.2)+(-0.964563+(-0.095013--0.044982))+0-83.5--0.0425849999999915</f>
        <v>1904.9279909999998</v>
      </c>
      <c r="AB320" s="3">
        <f>1870+(140.5-94.5)+(-3.8148+(-0.28662--0.19278))+0-73.3--0.149531999999997</f>
        <v>1838.9408919999998</v>
      </c>
      <c r="AC320" s="3">
        <f>1780.1+(147.9-81.6)+(-2.723553+(-0.226287--0.124848))+0-76.2--0.116586000000004</f>
        <v>1767.4915939999998</v>
      </c>
      <c r="AD320" s="2">
        <v>2107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1704.4+(110.4-93.9)+(-3.476976+(-0.225216--0.191556))+0-82.1--0.167483999999996</f>
        <v>1635.4568480000003</v>
      </c>
      <c r="G321" s="3">
        <f>1713.3+(111.3-90.3)+(-2.621349+(-0.170289--0.138159))+0-92.6--0.141678000000005</f>
        <v>1639.1881989999999</v>
      </c>
      <c r="H321" s="3">
        <f>1723.5+(106.5-159.4)+(0+(0-0))+0-94.7-0</f>
        <v>1575.8999999999999</v>
      </c>
      <c r="I321" s="3">
        <f>1720.8+(107.1-159.3)+(-0.877608+(-0.054621--0.081243))+0-86.4--0.0440639999999912</f>
        <v>1581.3930779999998</v>
      </c>
      <c r="J321" s="3">
        <f>1647.8+(105.8-100.5)+(0.840378+(0.053958-0.051255))+0-75.2-0.0383519999999924</f>
        <v>1578.7047289999998</v>
      </c>
      <c r="K321" s="3">
        <f>1659.8+(89.9-127.5)+(1.692996+(0.091698-0.13005))+0-37.2-0.0379440000000059</f>
        <v>1586.6167</v>
      </c>
      <c r="L321" s="3">
        <f>1790+(74.5-133.1)+(1.8258+(0.07599-0.135762))+0-67.9-0.0692580000000108</f>
        <v>1665.19677</v>
      </c>
      <c r="M321" s="3">
        <f>1895.3+(72.9-121.1)+(0.966603+(0.037179-0.061761))+0-81-0.0413099999999918</f>
        <v>1767.0007109999999</v>
      </c>
      <c r="N321" s="3">
        <f>2025.7+(68-174.6)+(-4.132428+(-0.13872--0.356184))+0-58.3--0.118931999999997</f>
        <v>1857.0039680000002</v>
      </c>
      <c r="O321" s="3">
        <f>2043.7+(78.6-167.5)+(3.126861+(0.120258-0.256275))+0-84.5-0.129285000000005</f>
        <v>1873.1615589999999</v>
      </c>
      <c r="P321" s="3">
        <f>2014.1+(100.8-148.2)+(-2.054382+(-0.102816--0.151164))+0-92.5--0.0943500000000148</f>
        <v>1872.2883159999999</v>
      </c>
      <c r="Q321" s="3">
        <f>2000.2+(105.9-164)+(-4.080408+(-0.216036--0.33456))+0-84.2--0.171767999999996</f>
        <v>1854.109884</v>
      </c>
      <c r="R321" s="3">
        <f>1999+(116.4-190.5)+(-5.09745+(-0.29682--0.485775))+0-85.9--0.219044999999988</f>
        <v>1834.3105500000001</v>
      </c>
      <c r="S321" s="3">
        <f>2010.4+(103.6-217.4)+(1.025304+(0.052836-0.110874))+0-84.2-0.0429419999999915</f>
        <v>1813.3243240000002</v>
      </c>
      <c r="T321" s="3">
        <f>2004.6+(78-226.3)+(-2.044692+(-0.07956--0.230826))+0-82.9--0.0845580000000132</f>
        <v>1771.5911319999998</v>
      </c>
      <c r="U321" s="3">
        <f>2019.6+(55-191.2)+(-1.029996+(-0.02805--0.097512))+0-89.4--0.0455939999999909</f>
        <v>1793.0850599999997</v>
      </c>
      <c r="V321" s="3">
        <f>2026.2+(44.2-140.6)+(0+(0-0))+0-73.7-0</f>
        <v>1856.1</v>
      </c>
      <c r="W321" s="3">
        <f>2016.5+(188.3-151.2)+(0+(0-0))+0-82.5-0</f>
        <v>1971.1</v>
      </c>
      <c r="X321" s="3">
        <f>2032.8+(161.6-145.7)+(1.036728+(0.082416-0.074307))+0-84-0.0428399999999915</f>
        <v>1965.7019969999997</v>
      </c>
      <c r="Y321" s="3">
        <f>2019.6+(158.8-126.8)+(-3.089988+(-0.242964--0.194004))+0-85.7--0.131121000000005</f>
        <v>1962.892173</v>
      </c>
      <c r="Z321" s="3">
        <f>2021+(162.6-113.3)+(-2.06142+(-0.165852--0.115566))+0-92--0.0938400000000147</f>
        <v>1976.282134</v>
      </c>
      <c r="AA321" s="3">
        <f>2012.3+(133.9-120.5)+(-3.078819+(-0.204867--0.184365))+0-92--0.140760000000005</f>
        <v>1930.7414390000001</v>
      </c>
      <c r="AB321" s="3">
        <f>2024.4+(131.6-219.4)+(-2.064888+(-0.134232--0.223788))+0-59.2--0.0603840000000094</f>
        <v>1875.4850520000002</v>
      </c>
      <c r="AC321" s="3">
        <f>1928.4+(132.4-217.3)+(-4.91742+(-0.33762--0.554115))+0-66.2--0.16880999999999</f>
        <v>1772.7678849999998</v>
      </c>
      <c r="AD321" s="2">
        <v>2099.5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1853.9+(130.4-296.2)+(-0.945489+(-0.066504--0.151062))+0-23.5--0.0119849999999976</f>
        <v>1663.7510540000003</v>
      </c>
      <c r="G322" s="3">
        <f>1826.6+(131.5-316.6)+(0+(0-0))+0-24.8-0</f>
        <v>1616.7</v>
      </c>
      <c r="H322" s="3">
        <f>1747.2+(131.7-255.5)+(0+(0-0))+0-76.1-0</f>
        <v>1547.3000000000002</v>
      </c>
      <c r="I322" s="3">
        <f>1684+(132.1-210.1)+(0+(0-0))+0-84.1-0</f>
        <v>1521.9</v>
      </c>
      <c r="J322" s="3">
        <f>1699.1+(132.3-229.1)+(3.466164+(0.269892-0.467364))+0-68.5-0.139739999999997</f>
        <v>1536.928952</v>
      </c>
      <c r="K322" s="3">
        <f>1797.7+(82.2-244.6)+(2.750481+(0.125766-0.374238))+0-85.3-0.130509000000005</f>
        <v>1552.3715000000002</v>
      </c>
      <c r="L322" s="3">
        <f>1849.1+(59.8-244.5)+(1.886082+(0.060996-0.24939))+0-87.7-0.089454000000014</f>
        <v>1578.3082339999999</v>
      </c>
      <c r="M322" s="3">
        <f>1860.9+(74.6-189.6)+(-1.898118+(-0.076092--0.193392))+0-71--0.0724200000000113</f>
        <v>1673.1916020000001</v>
      </c>
      <c r="N322" s="3">
        <f>2063.1+(88.5-243.1)+(-3.156543+(-0.135405--0.371943))+0-82.3--0.125919000000005</f>
        <v>1823.4059140000002</v>
      </c>
      <c r="O322" s="3">
        <f>2239.5+(91.6-314.1)+(1.142145+(0.046716-0.160191))+0-92.1-0.0469709999999907</f>
        <v>1925.881699</v>
      </c>
      <c r="P322" s="3">
        <f>2239.5+(90.1-309)+(0+(0-0))+0-83.4-0</f>
        <v>1937.1999999999998</v>
      </c>
      <c r="Q322" s="3">
        <f>2261.6+(103.5-380.1)+(1.153416+(0.052785-0.193851))+0-90.4-0.0461039999999908</f>
        <v>1895.5662459999999</v>
      </c>
      <c r="R322" s="3">
        <f>2286.3+(110.4-443.6)+(-5.830065+(-0.28152--1.13118))+0-34.4--0.087719999999995</f>
        <v>1913.807315</v>
      </c>
      <c r="S322" s="3">
        <f>2258.1+(113.3-397.7)+(0+(0-0))+0-67.6-0</f>
        <v>1906.1</v>
      </c>
      <c r="T322" s="3">
        <f>2251+(97.1-383.6)+(-1.14801+(-0.049521--0.195636))+0-76.4--0.0389639999999923</f>
        <v>1887.1370689999999</v>
      </c>
      <c r="U322" s="3">
        <f>2233.2+(86-376.1)+(-5.69466+(-0.2193--0.959055))+0-82.2--0.209609999999988</f>
        <v>1856.1547049999997</v>
      </c>
      <c r="V322" s="3">
        <f>2226.5+(55.5-318.8)+(-3.406545+(-0.084915--0.487764))+0-94.6--0.144738000000005</f>
        <v>1865.7410420000001</v>
      </c>
      <c r="W322" s="3">
        <f>2386.5+(0-242.5)+(-1.217115+(0--0.123675))+0-68.5--0.034934999999993</f>
        <v>2074.441495</v>
      </c>
      <c r="X322" s="3">
        <f>2426.5+(0-256.9)+(-3.712545+(0--0.393057))+0-65.5--0.100215000000004</f>
        <v>2100.8807269999998</v>
      </c>
      <c r="Y322" s="3">
        <f>2410.7+(0-279.2)+(-7.376742+(0--0.854352))+0-27.2--0.0832320000000031</f>
        <v>2097.860842</v>
      </c>
      <c r="Z322" s="3">
        <f>2422.4+(36.1-287.4)+(-3.706272+(-0.055233--0.439722))+0-90.9--0.139077000000005</f>
        <v>2077.0172939999998</v>
      </c>
      <c r="AA322" s="3">
        <f>2418+(95.1-344.6)+(-4.93272+(-0.194004--0.702984))+0-83.5--0.170339999999996</f>
        <v>2080.7465999999999</v>
      </c>
      <c r="AB322" s="3">
        <f>2246.9+(131.9-323.4)+(-5.729595+(-0.336345--0.82467))+0-88.3--0.225164999999987</f>
        <v>1962.0838950000002</v>
      </c>
      <c r="AC322" s="3">
        <f>1985.3+(131.4-245.1)+(-2.025006+(-0.134028--0.250002))+0-74.4--0.0758880000000119</f>
        <v>1795.3668559999999</v>
      </c>
      <c r="AD322" s="2">
        <v>2144.1999999999998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1944.5+(130.7-296.9)+(-3.96678+(-0.266628--0.605676))+0-78.8--0.160751999999997</f>
        <v>1696.0330200000001</v>
      </c>
      <c r="G323" s="3">
        <f>1882+(130.8-299.5)+(-0.95982+(-0.066708--0.152745))+0-60.8--0.0310079999999938</f>
        <v>1651.6572249999999</v>
      </c>
      <c r="H323" s="3">
        <f>1823.4+(131.9-243.5)+(0+(0-0))+0-93.5-0</f>
        <v>1618.3000000000002</v>
      </c>
      <c r="I323" s="3">
        <f>1777.6+(131.3-222.6)+(0+(0-0))+0-83.4-0</f>
        <v>1602.8999999999999</v>
      </c>
      <c r="J323" s="3">
        <f>1783.2+(132.1-215.8)+(2.728296+(0.202113-0.330174))+0-84.6-0.129438000000005</f>
        <v>1617.3707970000003</v>
      </c>
      <c r="K323" s="3">
        <f>1801.1+(79.6-172.5)+(-2.755683+(-0.121788--0.263925))+0-75.7--0.115821000000004</f>
        <v>1630.0022749999998</v>
      </c>
      <c r="L323" s="3">
        <f>2007.7+(52.8-276.8)+(0+(0-0))+0-39.7-0</f>
        <v>1744</v>
      </c>
      <c r="M323" s="3">
        <f>2163.7+(77.4-350.3)+(0+(0-0))+0-24.2-0</f>
        <v>1866.5999999999997</v>
      </c>
      <c r="N323" s="3">
        <f>2246.6+(88.4-397.7)+(0+(0-0))+0-20.9-0</f>
        <v>1916.3999999999999</v>
      </c>
      <c r="O323" s="3">
        <f>2305.9+(100.3-427.9)+(0+(0-0))+0-21.2-0</f>
        <v>1957.1000000000001</v>
      </c>
      <c r="P323" s="3">
        <f>2297.4+(108.3-422.4)+(-3.515022+(-0.165699--0.646272))+0-18.2--0.0278460000000011</f>
        <v>1962.0933970000001</v>
      </c>
      <c r="Q323" s="3">
        <f>2289.1+(114.6-423.2)+(-2.334882+(-0.116892--0.431664))+0-17.8--0.0181560000000028</f>
        <v>1960.6980460000002</v>
      </c>
      <c r="R323" s="3">
        <f>2258+(113.7-421.5)+(-3.45474+(-0.173961--0.644895))+0-20.8--0.0318240000000012</f>
        <v>1926.448018</v>
      </c>
      <c r="S323" s="3">
        <f>2246+(111.7-429.2)+(-3.43638+(-0.170901--0.656676))+0-23.8--0.0364140000000014</f>
        <v>1901.785809</v>
      </c>
      <c r="T323" s="3">
        <f>2263+(112.8-427.9)+(-1.15413+(-0.057528--0.218229))+0-40.3--0.0205529999999959</f>
        <v>1906.6271240000001</v>
      </c>
      <c r="U323" s="3">
        <f>2272.3+(104.5-408)+(-2.317746+(-0.10659--0.41616))+0-73.2--0.0746640000000117</f>
        <v>1893.6664880000001</v>
      </c>
      <c r="V323" s="3">
        <f>2278+(77-411.6)+(-3.48534+(-0.11781--0.629748))+0-29.4--0.0449820000000017</f>
        <v>1911.0715799999998</v>
      </c>
      <c r="W323" s="3">
        <f>2301.7+(0-198.5)+(0+(0-0))+0-25.5-0</f>
        <v>2077.6999999999998</v>
      </c>
      <c r="X323" s="3">
        <f>2313.8+(9.7-174.7)+(0+(0-0))+0-73-0</f>
        <v>2075.8000000000002</v>
      </c>
      <c r="Y323" s="3">
        <f>2280.8+(17.7-151.2)+(-6.979248+(-0.054162--0.462672))+0-83.1--0.25428600000001</f>
        <v>2057.8835480000002</v>
      </c>
      <c r="Z323" s="3">
        <f>2314+(27-172.5)+(0+(0-0))+0-88.6-0</f>
        <v>2079.9</v>
      </c>
      <c r="AA323" s="3">
        <f>2308.2+(80.9-266.4)+(-1.177182+(-0.041259--0.135864))+0-86--0.0438599999999913</f>
        <v>2035.6612829999997</v>
      </c>
      <c r="AB323" s="3">
        <f>2304.9+(129.4-337.2)+(-2.350998+(-0.131988--0.343944))+0-86.4--0.0881280000000138</f>
        <v>2008.6490860000001</v>
      </c>
      <c r="AC323" s="3">
        <f>2153+(130.9-290.7)+(-3.29409+(-0.200277--0.444771))+0-92.7--0.141831000000005</f>
        <v>1897.5922349999998</v>
      </c>
      <c r="AD323" s="2">
        <v>2111.2999999999997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1879.5+(131.9-212.2)+(-4.792725+(-0.336345--0.54111))+0-86.1--0.219554999999987</f>
        <v>1708.731595</v>
      </c>
      <c r="G324" s="3">
        <f>1766.3+(131.5-216.4)+(-3.603252+(-0.26826--0.441456))+0-72.2--0.147287999999997</f>
        <v>1605.9172319999998</v>
      </c>
      <c r="H324" s="3">
        <f>1776+(130.8-247.7)+(-0.90576+(-0.066708--0.126327))+0-75.3--0.0384029999999924</f>
        <v>1582.992262</v>
      </c>
      <c r="I324" s="3">
        <f>1782.6+(130.6-249.2)+(0+(0-0))+0-82-0</f>
        <v>1582</v>
      </c>
      <c r="J324" s="3">
        <f>1748.7+(130.7-229.2)+(0+(0-0))+0-78.7-0</f>
        <v>1571.5</v>
      </c>
      <c r="K324" s="3">
        <f>1817.5+(58.7-206.7)+(2.780775+(0.089811-0.316251))+0-80.8-0.123624000000005</f>
        <v>1591.130711</v>
      </c>
      <c r="L324" s="3">
        <f>1861.7+(33.4-205.7)+(0+(0-0))+0-28.4-0</f>
        <v>1661</v>
      </c>
      <c r="M324" s="3">
        <f>1959.3+(68.2-167.6)+(3.996972+(0.139128-0.341904))+0-95.2-0.194207999999996</f>
        <v>1768.299988</v>
      </c>
      <c r="N324" s="3">
        <f>2174.1+(89.6-323.9)+(0+(0-0))+0-49.8-0</f>
        <v>1890</v>
      </c>
      <c r="O324" s="3">
        <f>2264.9+(112-372.4)+(0+(0-0))+0-66.1-0</f>
        <v>1938.4</v>
      </c>
      <c r="P324" s="3">
        <f>2267.8+(117-361.5)+(-2.313156+(-0.11934--0.36873))+0-79.6--0.0811920000000127</f>
        <v>1941.7174260000004</v>
      </c>
      <c r="Q324" s="3">
        <f>2273.1+(107.4-336.9)+(-2.318562+(-0.109548--0.343638))+0-80.8--0.0824160000000129</f>
        <v>1960.7979439999999</v>
      </c>
      <c r="R324" s="3">
        <f>2254+(104.9-351.3)+(-6.89724+(-0.320994--1.074978))+0-81.7--0.250002000000009</f>
        <v>1920.0067459999998</v>
      </c>
      <c r="S324" s="3">
        <f>2147.3+(115.2-321.6)+(-3.285369+(-0.176256--0.492048))+0-77.7--0.118881000000004</f>
        <v>1860.3493040000001</v>
      </c>
      <c r="T324" s="3">
        <f>2105.8+(113.7-324.7)+(-5.36979+(-0.289935--0.827985))+0-57.3--0.146114999999992</f>
        <v>1832.8143750000002</v>
      </c>
      <c r="U324" s="3">
        <f>2128.3+(108.7-322.3)+(-1.085433+(-0.055437--0.164373))+0-78.9--0.040238999999992</f>
        <v>1834.863742</v>
      </c>
      <c r="V324" s="3">
        <f>2123.3+(94.1-305.2)+(-1.082883+(-0.047991--0.155652))+0-54.8--0.0279479999999944</f>
        <v>1856.4527260000002</v>
      </c>
      <c r="W324" s="3">
        <f>2266.1+(29.8-164)+(-3.467133+(-0.045594--0.25092))+0-88--0.134640000000005</f>
        <v>2040.7728330000002</v>
      </c>
      <c r="X324" s="3">
        <f>2271.6+(29-146.4)+(-4.634064+(-0.05916--0.298656))+0-84.9--0.173195999999996</f>
        <v>2065.0786279999998</v>
      </c>
      <c r="Y324" s="3">
        <f>2271.9+(31.3-146.2)+(-3.476007+(-0.047889--0.223686))+0-97.9--0.149787000000006</f>
        <v>2055.9495769999999</v>
      </c>
      <c r="Z324" s="3">
        <f>2255.2+(38.1-191.4)+(-2.300304+(-0.038862--0.195228))+0-86.4--0.0881280000000138</f>
        <v>2013.4441899999995</v>
      </c>
      <c r="AA324" s="3">
        <f>2084.7+(94-182.8)+(-2.126394+(-0.09588--0.186456))+0-63.5--0.0647700000000101</f>
        <v>1930.4289519999998</v>
      </c>
      <c r="AB324" s="3">
        <f>2059.1+(129.6-250.6)+(-3.150423+(-0.198288--0.383418))+0-73.4--0.112302000000004</f>
        <v>1861.8470089999998</v>
      </c>
      <c r="AC324" s="3">
        <f>1953+(130.4-176.2)+(-3.98412+(-0.266016--0.359448))+0-95.2--0.194207999999996</f>
        <v>1808.3035199999999</v>
      </c>
      <c r="AD324" s="2">
        <v>2130.5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1819.7+(131.2-167.7)+(-2.784141+(-0.200736--0.256581))+0-78.4--0.119952000000005</f>
        <v>1702.191656</v>
      </c>
      <c r="G325" s="3">
        <f>1724.4+(131.6-119.9)+(-4.39722+(-0.33558--0.305745))+0-76.3--0.194564999999989</f>
        <v>1655.5675100000001</v>
      </c>
      <c r="H325" s="3">
        <f>1651+(131.4-90.5)+(-2.52603+(-0.201042--0.138465))+0-76.7--0.117351000000004</f>
        <v>1612.7287440000002</v>
      </c>
      <c r="I325" s="3">
        <f>1587.7+(178.1-75.3)+(-2.429181+(-0.272493--0.115209))+0-91.7--0.140301000000005</f>
        <v>1596.3538359999998</v>
      </c>
      <c r="J325" s="3">
        <f>1591.7+(163.8-83.4)+(-0.811767+(-0.083538--0.042534))+0-77.1--0.0393209999999922</f>
        <v>1594.1865500000001</v>
      </c>
      <c r="K325" s="3">
        <f>1736+(96.9-114)+(1.77072+(0.098838-0.11628))+0-72.2-0.0736440000000115</f>
        <v>1648.3796339999999</v>
      </c>
      <c r="L325" s="3">
        <f>1976+(55.8-249.4)+(-3.02328+(-0.085374--0.381582))+0-81.7--0.125001000000005</f>
        <v>1698.0979290000002</v>
      </c>
      <c r="M325" s="3">
        <f>2084.4+(97.8-266.4)+(-1.063044+(-0.049878--0.135864))+0-82.3--0.0419729999999916</f>
        <v>1832.5649150000004</v>
      </c>
      <c r="N325" s="3">
        <f>2125.9+(109.4-207.3)+(0+(0-0))+0-87-0</f>
        <v>1941</v>
      </c>
      <c r="O325" s="3">
        <f>2163.1+(88.3-196.4)+(2.206362+(0.090066-0.200328))+0-85.9-0.0876180000000137</f>
        <v>1971.1084820000001</v>
      </c>
      <c r="P325" s="3">
        <f>2176+(107.8-235.5)+(1.10976+(0.054978-0.120105))+0-88.6-0.045185999999991</f>
        <v>1960.6994470000002</v>
      </c>
      <c r="Q325" s="3">
        <f>2132.8+(94.8-235.4)+(-2.175456+(-0.096696--0.240108))+0-74.6--0.0760920000000119</f>
        <v>1915.6440480000003</v>
      </c>
      <c r="R325" s="3">
        <f>2126.1+(115.4-270.9)+(-6.505866+(-0.353124--0.828954))+0-70.3--0.215118000000008</f>
        <v>1894.4850819999999</v>
      </c>
      <c r="S325" s="3">
        <f>2132.8+(114.9-274)+(-4.350912+(-0.234396--0.55896))+0-83.3--0.169931999999996</f>
        <v>1886.5435840000002</v>
      </c>
      <c r="T325" s="3">
        <f>2143.9+(101.2-279.5)+(0+(0-0))+0-83.8-0</f>
        <v>1881.8000000000002</v>
      </c>
      <c r="U325" s="3">
        <f>2129.4+(98.4-256.3)+(-3.257982+(-0.150552--0.392139))+0-91.3--0.139689000000005</f>
        <v>1877.323294</v>
      </c>
      <c r="V325" s="3">
        <f>2142.9+(86.3-219.3)+(-2.185758+(-0.088026--0.223686))+0-86.2--0.0879240000000137</f>
        <v>1921.737826</v>
      </c>
      <c r="W325" s="3">
        <f>2167.6+(64-131.3)+(3.316428+(0.09792-0.200889))+0-50.7-0.0775710000000029</f>
        <v>2052.7358880000002</v>
      </c>
      <c r="X325" s="3">
        <f>2331.3+(2.6-142)+(-2.377926+(-0.002652--0.14484))+0-96.7--0.0986340000000154</f>
        <v>2093.0628960000004</v>
      </c>
      <c r="Y325" s="3">
        <f>2399.8+(15.6-229.1)+(-2.447796+(-0.015912--0.233682))+0-86.1--0.0878220000000137</f>
        <v>2098.0577960000001</v>
      </c>
      <c r="Z325" s="3">
        <f>2399.7+(59.8-283.4)+(-3.671541+(-0.091494--0.433602))+0-84.2--0.128826000000005</f>
        <v>2088.6993930000003</v>
      </c>
      <c r="AA325" s="3">
        <f>2402.2+(108.8-309)+(-3.675366+(-0.166464--0.47277))+0-84.9--0.129897000000005</f>
        <v>2113.8608369999997</v>
      </c>
      <c r="AB325" s="3">
        <f>2427.2+(131.1-421.3)+(1.237872+(0.066861-0.214863))+0-79.7-0.0406469999999919</f>
        <v>2058.3492230000002</v>
      </c>
      <c r="AC325" s="3">
        <f>2338.8+(132.3-430.7)+(-2.385576+(-0.134946--0.439314))+0-83.9--0.0855780000000134</f>
        <v>1954.5043699999999</v>
      </c>
      <c r="AD325" s="2">
        <v>2083.8999999999996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2028.7+(132.1-260.4)+(-1.034637+(-0.067371--0.132804))+0-76.7--0.0391169999999922</f>
        <v>1822.7699130000001</v>
      </c>
      <c r="G326" s="3">
        <f>1985.4+(131.6-247.3)+(-1.012554+(-0.067116--0.126123))+0-74--0.0377399999999925</f>
        <v>1794.784193</v>
      </c>
      <c r="H326" s="3">
        <f>1944.7+(131.4-210.4)+(-0.991797+(-0.067014--0.107304))+0-84.3--0.0429929999999914</f>
        <v>1780.4914860000001</v>
      </c>
      <c r="I326" s="3">
        <f>1904.3+(132.2-213.5)+(0.971193+(0.067422-0.108885))+0-94.8-0.0483479999999904</f>
        <v>1729.0813820000001</v>
      </c>
      <c r="J326" s="3">
        <f>1789.1+(129.6-179)+(-2.737323+(-0.198288--0.27387))+0-85.3--0.130509000000005</f>
        <v>1651.868768</v>
      </c>
      <c r="K326" s="3">
        <f>1958.3+(81.7-243.3)+(0+(0-0))+0-72.5-0</f>
        <v>1724.1999999999998</v>
      </c>
      <c r="L326" s="3">
        <f>1979.8+(78.2-246.3)+(-6.058188+(-0.239292--0.753678))+0-51.9--0.158814000000006</f>
        <v>1754.4150119999997</v>
      </c>
      <c r="M326" s="3">
        <f>1786.8+(126.6-132.5)+(-1.822536+(-0.129132--0.13515))+0-79--0.0805800000000126</f>
        <v>1700.1640619999998</v>
      </c>
      <c r="N326" s="3">
        <f>1932.1+(112.8-170.1)+(1.970742+(0.115056-0.173502))+0-80.7-0.0823140000000129</f>
        <v>1795.9299819999999</v>
      </c>
      <c r="O326" s="3">
        <f>2019.1+(113.9-183.2)+(5.148705+(0.290445-0.46716))+0-88.6-0.225929999999987</f>
        <v>1865.94606</v>
      </c>
      <c r="P326" s="3">
        <f>1997.2+(124.8-181.3)+(2.037144+(0.127296-0.184926))+0-82.6-0.0842520000000132</f>
        <v>1859.9952620000001</v>
      </c>
      <c r="Q326" s="3">
        <f>1998.4+(127.5-199.4)+(-4.076736+(-0.2601--0.406776))+0-68.2--0.139127999999997</f>
        <v>1854.5090680000001</v>
      </c>
      <c r="R326" s="3">
        <f>2011.9+(131.9-207.8)+(0+(0-0))+0-74.7-0</f>
        <v>1861.3</v>
      </c>
      <c r="S326" s="3">
        <f>1948.2+(131-163.8)+(-1.987164+(-0.13362--0.167076))+0-97.7--0.0996540000000156</f>
        <v>1815.8459460000001</v>
      </c>
      <c r="T326" s="3">
        <f>1888.3+(135.8-122.1)+(2.889099+(0.207774-0.186813))+0-88.6-0.135558000000005</f>
        <v>1816.1745020000001</v>
      </c>
      <c r="U326" s="3">
        <f>1822.8+(117.3-112.9)+(-1.859256+(-0.119646--0.115158))+0-51.2--0.0522240000000082</f>
        <v>1774.18848</v>
      </c>
      <c r="V326" s="3">
        <f>1879.7+(115.8-105.1)+(0.958647+(0.059058-0.053601))+0-72.5-0.0369749999999926</f>
        <v>1818.827129</v>
      </c>
      <c r="W326" s="3">
        <f>2191.6+(50.8-128.8)+(-2.235432+(-0.051816--0.131376))+0-86.6--0.0883320000000138</f>
        <v>2024.9324600000002</v>
      </c>
      <c r="X326" s="3">
        <f>2402.6+(30.7-260.1)+(2.450652+(0.031314-0.265302))+0-83.3-0.0849660000000133</f>
        <v>2092.0316979999998</v>
      </c>
      <c r="Y326" s="3">
        <f>2404.6+(45.4-273.1)+(-3.679038+(-0.069462--0.417843))+0-91.7--0.140301000000005</f>
        <v>2082.0096440000002</v>
      </c>
      <c r="Z326" s="3">
        <f>2407.2+(84.1-329.1)+(-3.683016+(-0.128673--0.503523))+0-79.4--0.121482000000005</f>
        <v>2079.6133159999999</v>
      </c>
      <c r="AA326" s="3">
        <f>2389.3+(120.3-370.7)+(-6.092715+(-0.306765--0.945285))+0-71.1--0.18130499999999</f>
        <v>2062.5271100000004</v>
      </c>
      <c r="AB326" s="3">
        <f>2158.3+(132.6-264.2)+(-1.100733+(-0.067626--0.134742))+0-86--0.0438599999999913</f>
        <v>1939.7102430000002</v>
      </c>
      <c r="AC326" s="3">
        <f>1955.1+(133.6-181.3)+(-4.985505+(-0.34068--0.462315))+0-92.8--0.236639999999987</f>
        <v>1809.9727700000001</v>
      </c>
      <c r="AD326" s="2">
        <v>1983.6999999999998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1909.4+(132.9-203.6)+(-2.921382+(-0.203337--0.311508))+0-82.2--0.125766000000005</f>
        <v>1753.8125550000002</v>
      </c>
      <c r="G327" s="3">
        <f>1718.3+(132.2-113)+(-4.381665+(-0.33711--0.28815))+0-87.7--0.223634999999987</f>
        <v>1645.59301</v>
      </c>
      <c r="H327" s="3">
        <f>1638.5+(131.8-90.1)+(-0.835635+(-0.067218--0.045951))+0-79.2--0.040391999999992</f>
        <v>1600.1834899999999</v>
      </c>
      <c r="I327" s="3">
        <f>1617.1+(131.8-100.1)+(-0.824721+(-0.067218--0.051051))+0-66.7--0.0340169999999932</f>
        <v>1581.2931289999999</v>
      </c>
      <c r="J327" s="3">
        <f>1606.7+(129.7-117.7)+(-1.638834+(-0.132294--0.120054))+0-27.6--0.0281520000000044</f>
        <v>1589.4770780000001</v>
      </c>
      <c r="K327" s="3">
        <f>1750.9+(95.7-138.6)+(3.571836+(0.195228-0.282744))+0-60.7-0.123827999999997</f>
        <v>1650.660492</v>
      </c>
      <c r="L327" s="3">
        <f>2011.1+(85.5-251.6)+(-1.025661+(-0.043605--0.128316))+0-81--0.0413099999999918</f>
        <v>1763.1003600000001</v>
      </c>
      <c r="M327" s="3">
        <f>2242.5+(106.2-328.5)+(1.143675+(0.054162-0.167535))+0-86.6-0.0441659999999912</f>
        <v>1934.5861360000001</v>
      </c>
      <c r="N327" s="3">
        <f>2502.2+(127.6-432.4)+(-2.552244+(-0.130152--0.441048))+0-73.2--0.0746640000000117</f>
        <v>2122.033316</v>
      </c>
      <c r="O327" s="3">
        <f>2570.7+(130-465.6)+(2.622114+(0.1326-0.474912))+0-65.9-0.0672180000000105</f>
        <v>2171.4125839999997</v>
      </c>
      <c r="P327" s="3">
        <f>2528.7+(130.9-453.6)+(-6.448185+(-0.333795--1.15668))+0-88.9--0.226694999999987</f>
        <v>2111.7013949999996</v>
      </c>
      <c r="Q327" s="3">
        <f>2440.8+(133.2-405.8)+(1.244808+(0.067932-0.206958))+0-88.7-0.045236999999991</f>
        <v>2080.5605450000007</v>
      </c>
      <c r="R327" s="3">
        <f>2299.7+(132.2-303.4)+(-1.172847+(-0.067422--0.154734))+0-83.3--0.0424829999999915</f>
        <v>2044.1569479999998</v>
      </c>
      <c r="S327" s="3">
        <f>2141.3+(131.8-280.2)+(1.092063+(0.067218-0.142902))+0-67-0.0341699999999932</f>
        <v>1926.8822090000001</v>
      </c>
      <c r="T327" s="3">
        <f>2381.2+(132.2-441.7)+(0+(0-0))+0-88.4-0</f>
        <v>1983.2999999999997</v>
      </c>
      <c r="U327" s="3">
        <f>2472.2+(110.1-473.7)+(0+(0-0))+0-86.7-0</f>
        <v>2021.8999999999999</v>
      </c>
      <c r="V327" s="3">
        <f>2539.3+(104-460.1)+(-1.295043+(-0.05304--0.234651))+0-92--0.0469199999999907</f>
        <v>2090.1334879999999</v>
      </c>
      <c r="W327" s="3">
        <f>2555.8+(34.6-309.5)+(3.910374+(0.052938-0.473535))+0-72.6-0.111078000000004</f>
        <v>2211.6786990000001</v>
      </c>
      <c r="X327" s="3">
        <f>2521.7+(9-260.8)+(-3.858201+(-0.01377--0.399024))+0-77.5--0.118575000000004</f>
        <v>2189.0456279999994</v>
      </c>
      <c r="Y327" s="3">
        <f>2512.8+(20.5-286)+(-5.126112+(-0.04182--0.58344))+0-79.1--0.161363999999997</f>
        <v>2163.7768720000004</v>
      </c>
      <c r="Z327" s="3">
        <f>2440.8+(64.8-280.3)+(-2.489616+(-0.066096--0.285906))+0-74.6--0.0760920000000119</f>
        <v>2148.5062860000003</v>
      </c>
      <c r="AA327" s="3">
        <f>2398.5+(83-292.1)+(-2.44647+(-0.08466--0.297942))+0-77.4--0.0789480000000123</f>
        <v>2109.8457599999997</v>
      </c>
      <c r="AB327" s="3">
        <f>2278.7+(96.4-249.6)+(-1.162137+(-0.049164--0.127296))+0-86--0.0438599999999913</f>
        <v>2038.4598549999998</v>
      </c>
      <c r="AC327" s="3">
        <f>1999.9+(111.7-144.9)+(-5.099745+(-0.284835--0.369495))+0-82--0.209099999999988</f>
        <v>1879.8940150000001</v>
      </c>
      <c r="AD327" s="2">
        <v>2192.5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1756.5+(97.1-84.9)+(-3.58326+(-0.198084--0.173196))+0-86.4--0.176255999999996</f>
        <v>1678.8681079999999</v>
      </c>
      <c r="G328" s="3">
        <f>1681.6+(114.4-88.6)+(1.715232+(0.116688-0.090372))+0-94.8-0.0966960000000151</f>
        <v>1614.2448519999998</v>
      </c>
      <c r="H328" s="3">
        <f>1637+(115.9-84.6)+(-0.83487+(-0.059109--0.043146))+0-80--0.0407999999999919</f>
        <v>1587.489967</v>
      </c>
      <c r="I328" s="3">
        <f>1629.5+(125.9-71)+(0.831045+(0.064209-0.03621))+0-90.9-0.0463589999999908</f>
        <v>1594.3126850000001</v>
      </c>
      <c r="J328" s="3">
        <f>1610.6+(102.7-80.4)+(-0.821406+(-0.052377--0.041004))+0-54.6--0.0278459999999945</f>
        <v>1577.4950669999998</v>
      </c>
      <c r="K328" s="3">
        <f>1630.2+(127.4-108.3)+(2.494206+(0.194922-0.165699))+0-94.6-0.144738000000005</f>
        <v>1557.0786910000002</v>
      </c>
      <c r="L328" s="3">
        <f>1686.4+(74-128.6)+(0+(0-0))+0-96.7-0</f>
        <v>1535.1000000000001</v>
      </c>
      <c r="M328" s="3">
        <f>1714.8+(83.6-119.8)+(0.874548+(0.042636-0.061098))+0-93.1-0.0474809999999906</f>
        <v>1586.3086049999999</v>
      </c>
      <c r="N328" s="3">
        <f>1819.9+(63.6-115.6)+(0.928149+(0.032436-0.058956))+0-71.6-0.0365159999999927</f>
        <v>1697.1651130000002</v>
      </c>
      <c r="O328" s="3">
        <f>1918.1+(63.9-116.7)+(0+(0-0))+0-82.8-0</f>
        <v>1782.5</v>
      </c>
      <c r="P328" s="3">
        <f>1908.9+(87.1-112.4)+(-0.973539+(-0.044421--0.057324))+0-84.6--0.0431459999999914</f>
        <v>1798.0825100000002</v>
      </c>
      <c r="Q328" s="3">
        <f>1903.4+(123.4-107.5)+(-0.970734+(-0.062934--0.054825))+0-86.7--0.0442169999999912</f>
        <v>1831.6653739999999</v>
      </c>
      <c r="R328" s="3">
        <f>1839.2+(141.5-108.9)+(-0.937992+(-0.072165--0.055539))+0-62.5--0.0318749999999937</f>
        <v>1808.3772569999999</v>
      </c>
      <c r="S328" s="3">
        <f>1738.5+(203.8-106.5)+(0.886635+(0.103938-0.054315))+0-86.7-0.0442169999999912</f>
        <v>1749.992041</v>
      </c>
      <c r="T328" s="3">
        <f>1724+(208.9-101.7)+(0.87924+(0.106539-0.051867))+0-86.6-0.0441659999999912</f>
        <v>1745.4897460000002</v>
      </c>
      <c r="U328" s="3">
        <f>1726.6+(192.7-107.7)+(-3.522264+(-0.393108--0.219708))+0-92.8--0.189311999999996</f>
        <v>1715.2936479999998</v>
      </c>
      <c r="V328" s="3">
        <f>1764.1+(196.6-118.9)+(2.699073+(0.300798-0.181917))+0-81.3-0.124389000000005</f>
        <v>1763.193565</v>
      </c>
      <c r="W328" s="3">
        <f>1781.2+(271.5-130.7)+(0.908412+(0.138465-0.066657))+0-48.1-0.0245309999999951</f>
        <v>1874.855689</v>
      </c>
      <c r="X328" s="3">
        <f>1874+(290.5-147.2)+(0+(0-0))+0-98.9-0</f>
        <v>1918.3999999999999</v>
      </c>
      <c r="Y328" s="3">
        <f>1863.7+(270.6-142.9)+(-2.851461+(-0.414018--0.218637))+0-85.2--0.130356000000005</f>
        <v>1903.283514</v>
      </c>
      <c r="Z328" s="3">
        <f>1856.9+(257.9-117.7)+(-3.788076+(-0.526116--0.240108))+0-79.9--0.162995999999997</f>
        <v>1913.288912</v>
      </c>
      <c r="AA328" s="3">
        <f>1845.6+(252.7-103.9)+(-4.70628+(-0.644385--0.264945))+0-84.4--0.215219999999988</f>
        <v>1905.1294999999998</v>
      </c>
      <c r="AB328" s="3">
        <f>1787.8+(219.8-87.8)+(-0.911778+(-0.112098--0.044778))+0-90.9--0.0463589999999908</f>
        <v>1827.9672609999998</v>
      </c>
      <c r="AC328" s="3">
        <f>1615.7+(199.5-76)+(-2.472021+(-0.305235--0.11628))+0-55.4--0.0847620000000032</f>
        <v>1681.223786</v>
      </c>
      <c r="AD328" s="2">
        <v>2042.9999999999995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1500.3+(229.8-69)+(0+(0-0))+0-79.9-0</f>
        <v>1581.1999999999998</v>
      </c>
      <c r="G329" s="3">
        <f>1489.5+(241.3-63.9)+(-0.759645+(-0.123063--0.032589))+0-99--0.05048999999999</f>
        <v>1567.1003710000002</v>
      </c>
      <c r="H329" s="3">
        <f>1427.4+(247.9-64.7)+(0+(0-0))+0-63.2-0</f>
        <v>1547.4</v>
      </c>
      <c r="I329" s="3">
        <f>1386.8+(283.4-65.7)+(-0.707268+(-0.144534--0.033507))+0-72.5--0.0369749999999926</f>
        <v>1531.2186799999999</v>
      </c>
      <c r="J329" s="3">
        <f>1460.3+(260.5-75.3)+(0+(0-0))+0-89.6-0</f>
        <v>1555.9</v>
      </c>
      <c r="K329" s="3">
        <f>1559.1+(207.8-107.9)+(1.590282+(0.211956-0.110058))+0-60.8-0.0620160000000097</f>
        <v>1599.830164</v>
      </c>
      <c r="L329" s="3">
        <f>1743+(168.5-122)+(-1.77786+(-0.17187--0.12444))+0-87--0.0887400000000139</f>
        <v>1700.7634499999999</v>
      </c>
      <c r="M329" s="3">
        <f>1910.3+(110.5-120.8)+(-0.974253+(-0.056355--0.061608))+0-79.2--0.040391999999992</f>
        <v>1819.8713919999998</v>
      </c>
      <c r="N329" s="3">
        <f>2018.1+(94.8-142.5)+(-2.058462+(-0.096696--0.14535))+0-39--0.0397800000000062</f>
        <v>1929.4299719999999</v>
      </c>
      <c r="O329" s="3">
        <f>2212+(116.6-252)+(-5.6406+(-0.29733--0.6426))+0-54.1--0.137954999999992</f>
        <v>2017.342625</v>
      </c>
      <c r="P329" s="3">
        <f>2345.5+(87.7-291.6)+(-3.588615+(-0.134181--0.446148))+0-71.8--0.109854000000004</f>
        <v>2066.6332059999995</v>
      </c>
      <c r="Q329" s="3">
        <f>2339.6+(120.5-310)+(-5.96598+(-0.307275--0.7905))+0-86.2--0.219809999999987</f>
        <v>2058.6370550000001</v>
      </c>
      <c r="R329" s="3">
        <f>2355.4+(112.6-320.1)+(-2.402508+(-0.114852--0.326502))+0-82.5--0.0841500000000132</f>
        <v>2063.2932920000003</v>
      </c>
      <c r="S329" s="3">
        <f>2341.8+(93.2-308.7)+(-5.97159+(-0.23766--0.787185))+0-75.9--0.193544999999989</f>
        <v>2045.17148</v>
      </c>
      <c r="T329" s="3">
        <f>2354.8+(112.6-339.1)+(-1.200948+(-0.057426--0.172941))+0-80.7--0.0411569999999918</f>
        <v>2046.5557239999998</v>
      </c>
      <c r="U329" s="3">
        <f>2302.8+(105.9-311.3)+(1.174428+(0.054009-0.158763))+0-95.2-0.0485519999999903</f>
        <v>2003.2211219999999</v>
      </c>
      <c r="V329" s="3">
        <f>2273.8+(91.3-295.9)+(-2.319276+(-0.093126--0.301818))+0-62.9--0.06415800000001</f>
        <v>2004.2535740000001</v>
      </c>
      <c r="W329" s="3">
        <f>2308.1+(46-128.6)+(-1.177131+(-0.02346--0.065586))+0-84.9--0.0432989999999914</f>
        <v>2139.5082939999998</v>
      </c>
      <c r="X329" s="3">
        <f>2399+(0-151.7)+(0+(0-0))+0-82.6-0</f>
        <v>2164.7000000000003</v>
      </c>
      <c r="Y329" s="3">
        <f>2311.7+(15.3-142.5)+(-1.178967+(-0.007803--0.072675))+0-45.8--0.0233579999999954</f>
        <v>2137.6092629999998</v>
      </c>
      <c r="Z329" s="3">
        <f>2282.1+(45-132)+(0+(0-0))+0-84.2-0</f>
        <v>2110.9</v>
      </c>
      <c r="AA329" s="3">
        <f>2252.3+(83.2-134.3)+(-3.446019+(-0.127296--0.205479))+0-85.7--0.131121000000005</f>
        <v>2112.2632850000005</v>
      </c>
      <c r="AB329" s="3">
        <f>2181.1+(112-154)+(-4.449444+(-0.22848--0.31416))+0-88--0.179519999999996</f>
        <v>2046.9157559999996</v>
      </c>
      <c r="AC329" s="3">
        <f>2098.1+(108.1-154.2)+(-5.350155+(-0.275655--0.39321))+0-96.4--0.245819999999986</f>
        <v>1950.61322</v>
      </c>
      <c r="AD329" s="2">
        <v>2213.9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1969.1+(117.9-184.5)+(-1.004241+(-0.060129--0.094095))+0-72.5--0.0369749999999926</f>
        <v>1829.0667000000001</v>
      </c>
      <c r="G330" s="3">
        <f>1923.6+(120.6-220.8)+(-1.962072+(-0.123012--0.225216))+0-81.6--0.083232000000013</f>
        <v>1740.0233639999999</v>
      </c>
      <c r="H330" s="3">
        <f>1856.9+(122.5-193.7)+(0.947019+(0.062475-0.098787))+0-91.4-0.0466139999999907</f>
        <v>1695.1640929999999</v>
      </c>
      <c r="I330" s="3">
        <f>1677.2+(113.1-95)+(-1.710744+(-0.115362--0.0969))+0-72.7--0.0741540000000116</f>
        <v>1620.9449479999998</v>
      </c>
      <c r="J330" s="3">
        <f>1635.8+(113.1-77.2)+(-1.668516+(-0.115362--0.078744))+0-74.2--0.0756840000000118</f>
        <v>1595.8705499999999</v>
      </c>
      <c r="K330" s="3">
        <f>1869.6+(67.9-191.4)+(-2.860488+(-0.103887--0.292842))+0-56.9--0.0870570000000033</f>
        <v>1686.6155239999998</v>
      </c>
      <c r="L330" s="3">
        <f>2059.7+(45.9-230.4)+(-3.151341+(-0.070227--0.352512))+0-84.2--0.128826000000005</f>
        <v>1788.2597699999999</v>
      </c>
      <c r="M330" s="3">
        <f>2243.2+(38.9-327.7)+(-3.432096+(-0.059517--0.501381))+0-21.8--0.0333540000000013</f>
        <v>1929.6431219999997</v>
      </c>
      <c r="N330" s="3">
        <f>2389.3+(55.1-388.4)+(0+(0-0))+0-21.4-0</f>
        <v>2034.6</v>
      </c>
      <c r="O330" s="3">
        <f>2379.9+(71.5-381.5)+(-2.427498+(-0.07293--0.38913))+0-21.1--0.0215220000000034</f>
        <v>2046.7102240000004</v>
      </c>
      <c r="P330" s="3">
        <f>2372.2+(82.8-406.9)+(-1.209822+(-0.042228--0.207519))+0-21.8--0.0111179999999978</f>
        <v>2025.2665869999998</v>
      </c>
      <c r="Q330" s="3">
        <f>2348.8+(100.3-392.9)+(-2.395776+(-0.102306--0.400758))+0-22.7--0.0231540000000036</f>
        <v>2031.4258300000004</v>
      </c>
      <c r="R330" s="3">
        <f>2227.3+(96.3-316.7)+(-4.543692+(-0.196452--0.646068))+0-19.5--0.0397799999999991</f>
        <v>1983.3457040000001</v>
      </c>
      <c r="S330" s="3">
        <f>2198.4+(106-288.2)+(0+(0-0))+0-52.6-0</f>
        <v>1963.6000000000001</v>
      </c>
      <c r="T330" s="3">
        <f>1989.3+(87.7-152)+(2.029086+(0.089454-0.15504))+0-76.6-0.0781320000000122</f>
        <v>1850.2853680000001</v>
      </c>
      <c r="U330" s="3">
        <f>1986.9+(84.2-184.6)+(-1.013319+(-0.042942--0.094146))+0-37.6--0.0191759999999962</f>
        <v>1847.9570610000001</v>
      </c>
      <c r="V330" s="3">
        <f>2272.3+(74.4-308)+(-2.317746+(-0.075888--0.31416))+0-99.4--0.101388000000016</f>
        <v>1937.3219140000003</v>
      </c>
      <c r="W330" s="3">
        <f>2368+(0-168.1)+(3.62304+(0-0.257193))+0-85.1-0.130203000000005</f>
        <v>2118.035644</v>
      </c>
      <c r="X330" s="3">
        <f>2470.2+(0-189.9)+(-2.519604+(0--0.193698))+0-58.8--0.0599760000000094</f>
        <v>2219.2340699999995</v>
      </c>
      <c r="Y330" s="3">
        <f>2524.2+(0-193)+(-1.287342+(0--0.09843))+0-95.4--0.0486539999999903</f>
        <v>2234.6597419999998</v>
      </c>
      <c r="Z330" s="3">
        <f>2497.5+(41.5-206)+(0+(0-0))+0-91.7-0</f>
        <v>2241.3000000000002</v>
      </c>
      <c r="AA330" s="3">
        <f>2328.1+(110.5-189)+(0+(0-0))+0-81.6-0</f>
        <v>2168</v>
      </c>
      <c r="AB330" s="3">
        <f>2059.6+(130.7-123.8)+(-7.352772+(-0.466599--0.441966))+0-80.6--0.287742000000001</f>
        <v>1978.8103369999999</v>
      </c>
      <c r="AC330" s="3">
        <f>2018.9+(102.1-134.2)+(-7.207473+(-0.364497--0.479094))+0-90--0.321300000000001</f>
        <v>1890.0284240000003</v>
      </c>
      <c r="AD330" s="2">
        <v>2251.3000000000002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1908.1+(123.6-173.2)+(0+(0-0))+0-73.8-0</f>
        <v>1784.7</v>
      </c>
      <c r="G331" s="3">
        <f>1833.6+(131.7-142.3)+(0+(0-0))+0-85.7-0</f>
        <v>1737.3</v>
      </c>
      <c r="H331" s="3">
        <f>1612.9+(167.1-63.3)+(0.822579+(0.085221-0.032283))+0-81.6-0.0416159999999917</f>
        <v>1635.9339010000001</v>
      </c>
      <c r="I331" s="3">
        <f>1635.6+(135-78.8)+(0+(0-0))+0-88-0</f>
        <v>1603.8</v>
      </c>
      <c r="J331" s="3">
        <f>1910.4+(117.8-241.8)+(0+(0-0))+0-84.2-0</f>
        <v>1702.2</v>
      </c>
      <c r="K331" s="3">
        <f>1990.2+(72.5-234.6)+(2.030004+(0.07395-0.239292))+0-79.7-0.0812940000000127</f>
        <v>1750.183368</v>
      </c>
      <c r="L331" s="3">
        <f>2172+(69.2-310.9)+(0+(0-0))+0-84.4-0</f>
        <v>1845.8999999999999</v>
      </c>
      <c r="M331" s="3">
        <f>2309.9+(92-333.6)+(-2.356098+(-0.09384--0.340272))+0-89.3--0.0910860000000142</f>
        <v>1976.9814200000003</v>
      </c>
      <c r="N331" s="3">
        <f>2368.3+(119.5-303.9)+(2.415666+(0.12189-0.309978))+0-73.2-0.0746640000000117</f>
        <v>2112.8529140000001</v>
      </c>
      <c r="O331" s="3">
        <f>2328+(139.6-308)+(-5.9364+(-0.35598--0.7854))+0-85.1--0.217004999999988</f>
        <v>2069.2100249999999</v>
      </c>
      <c r="P331" s="3">
        <f>2345.1+(138.6-310.5)+(-1.196001+(-0.070686--0.158355))+0-81.1--0.0413609999999918</f>
        <v>2091.0330290000002</v>
      </c>
      <c r="Q331" s="3">
        <f>2242.1+(138.1-247.9)+(-3.430413+(-0.211293--0.379287))+0-79.5--0.121635000000005</f>
        <v>2049.6592159999996</v>
      </c>
      <c r="R331" s="3">
        <f>2055.7+(138.2-185.6)+(-1.048407+(-0.070482--0.094656))+0-61.9--0.0315689999999937</f>
        <v>1945.4073359999995</v>
      </c>
      <c r="S331" s="3">
        <f>1962.4+(140.2-119.5)+(-2.001648+(-0.143004--0.12189))+0-86--0.0877200000000137</f>
        <v>1895.1649580000001</v>
      </c>
      <c r="T331" s="3">
        <f>1977.2+(139.6-140.3)+(2.016744+(0.142392-0.143106))+0-87.3-0.0890460000000139</f>
        <v>1891.126984</v>
      </c>
      <c r="U331" s="3">
        <f>2036.3+(118.8-181.1)+(-1.038513+(-0.060588--0.092361))+0-79.7--0.0406469999999919</f>
        <v>1893.333907</v>
      </c>
      <c r="V331" s="3">
        <f>2190+(98.4-275.9)+(-5.5845+(-0.25092--0.703545))+0-59.3--0.151214999999991</f>
        <v>1948.2193400000001</v>
      </c>
      <c r="W331" s="3">
        <f>2328.8+(9.1-143.1)+(3.563064+(0.013923-0.218943))+0-95.9-0.146727000000006</f>
        <v>2102.1113170000003</v>
      </c>
      <c r="X331" s="3">
        <f>2422.2+(0-182.5)+(0+(0-0))+0-84.9-0</f>
        <v>2154.7999999999997</v>
      </c>
      <c r="Y331" s="3">
        <f>2422.9+(2.4-212)+(-4.942716+(-0.004896--0.43248))+0-64.8--0.132191999999997</f>
        <v>2144.11706</v>
      </c>
      <c r="Z331" s="3">
        <f>2436+(49.6-251.3)+(-4.96944+(-0.101184--0.512652))+0-90.7--0.185027999999996</f>
        <v>2139.2270560000002</v>
      </c>
      <c r="AA331" s="3">
        <f>2399.1+(106.3-306.3)+(-1.223541+(-0.054213--0.156213))+0-80.9--0.0412589999999918</f>
        <v>2117.1197179999999</v>
      </c>
      <c r="AB331" s="3">
        <f>2334.1+(139.1-333.8)+(-4.761564+(-0.283764--0.680952))+0-87.9--0.179315999999996</f>
        <v>2047.31494</v>
      </c>
      <c r="AC331" s="3">
        <f>2179.2+(141.1-272.8)+(-4.445568+(-0.287844--0.556512))+0-82.3--0.167891999999996</f>
        <v>1961.1909919999998</v>
      </c>
      <c r="AD331" s="2">
        <v>2228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2027.2+(138.5-223.6)+(-4.135488+(-0.28254--0.456144))+0-66.7--0.136067999999997</f>
        <v>1871.5741840000001</v>
      </c>
      <c r="G332" s="3">
        <f>1835.8+(138.5-138.9)+(-0.936258+(-0.070635--0.070839))+0-96.3--0.0491129999999902</f>
        <v>1738.2130589999999</v>
      </c>
      <c r="H332" s="3">
        <f>1842.6+(138.1-173.4)+(-1.879452+(-0.140862--0.176868))+0-90.2--0.0920040000000144</f>
        <v>1715.3485579999999</v>
      </c>
      <c r="I332" s="3">
        <f>1873.3+(110.7-243.3)+(-1.910766+(-0.112914--0.248166))+0-40--0.0408000000000064</f>
        <v>1698.9652859999999</v>
      </c>
      <c r="J332" s="3">
        <f>1932+(104.5-242.5)+(0.98532+(0.053295-0.123675))+0-59.9-0.0305489999999939</f>
        <v>1734.9843909999997</v>
      </c>
      <c r="K332" s="3">
        <f>2004.3+(87.8-243.5)+(-1.022193+(-0.044778--0.124185))+0-92.5--0.0471749999999906</f>
        <v>1755.2043889999998</v>
      </c>
      <c r="L332" s="3">
        <f>2077+(95.6-261.3)+(-4.23708+(-0.195024--0.533052))+0-82.4--0.168095999999996</f>
        <v>1825.169044</v>
      </c>
      <c r="M332" s="3">
        <f>2119.6+(94.4-300.3)+(2.161992+(0.096288-0.306306))+0-56.8-0.0579360000000091</f>
        <v>1858.794038</v>
      </c>
      <c r="N332" s="3">
        <f>2276.8+(88.9-390.3)+(-2.322336+(-0.090678--0.398106))+0-33.4--0.0340680000000053</f>
        <v>1940.0191599999998</v>
      </c>
      <c r="O332" s="3">
        <f>2486.5+(90.3-454.1)+(6.340575+(0.230265-1.157955))+0-81.3-0.207314999999988</f>
        <v>2046.6055700000002</v>
      </c>
      <c r="P332" s="3">
        <f>2527.2+(101.1-411.3)+(-3.866616+(-0.154683--0.629289))+0-85.6--0.130968000000005</f>
        <v>2128.138958</v>
      </c>
      <c r="Q332" s="3">
        <f>2551.3+(97.1-445)+(-2.602326+(-0.099042--0.4539))+0-89--0.0907800000000142</f>
        <v>2112.2433120000001</v>
      </c>
      <c r="R332" s="3">
        <f>2509+(94.3-418.9)+(-8.95713+(-0.336651--1.495473))+0-95.5--0.340935000000001</f>
        <v>2081.4426270000004</v>
      </c>
      <c r="S332" s="3">
        <f>2286.4+(95.1-324.5)+(-1.166064+(-0.048501--0.165495))+0-91.2--0.0465119999999907</f>
        <v>1964.7974419999998</v>
      </c>
      <c r="T332" s="3">
        <f>2143.4+(90.1-278.4)+(-1.093134+(-0.045951--0.141984))+0-75.3--0.0384029999999924</f>
        <v>1878.8413020000003</v>
      </c>
      <c r="U332" s="3">
        <f>2134.9+(74-231.9)+(-2.177598+(-0.07548--0.236538))+0-90.6--0.0924120000000144</f>
        <v>1884.475872</v>
      </c>
      <c r="V332" s="3">
        <f>2156.3+(73.7-238.8)+(2.199426+(0.075174-0.243576))+0-55-0.0561000000000088</f>
        <v>1938.1749240000001</v>
      </c>
      <c r="W332" s="3">
        <f>2350.3+(5.1-177.3)+(2.397306+(0.005202-0.180846))+0-91.4-0.0932280000000146</f>
        <v>2088.828434</v>
      </c>
      <c r="X332" s="3">
        <f>2601.9+(0-372.7)+(-3.980907+(0--0.570231))+0-73.6--0.112608000000004</f>
        <v>2152.3019320000003</v>
      </c>
      <c r="Y332" s="3">
        <f>2385.5+(0-238.7)+(1.216605+(0-0.121737))+0-70.1-0.0357509999999929</f>
        <v>2077.7591170000005</v>
      </c>
      <c r="Z332" s="3">
        <f>2277+(60.2-208.3)+(-2.32254+(-0.061404--0.212466))+0-93.9--0.095778000000015</f>
        <v>2032.9242999999999</v>
      </c>
      <c r="AA332" s="3">
        <f>2260.4+(105.9-275.9)+(0+(0-0))+0-83.9-0</f>
        <v>2006.5</v>
      </c>
      <c r="AB332" s="3">
        <f>2212.9+(139.7-328.6)+(-2.257158+(-0.142494--0.335172))+0-85.7--0.0874140000000137</f>
        <v>1936.322934</v>
      </c>
      <c r="AC332" s="3">
        <f>1971.6+(138.9-250.8)+(1.005516+(0.070839-0.127908))+0-77.5-0.0395249999999921</f>
        <v>1783.1089219999999</v>
      </c>
      <c r="AD332" s="2">
        <v>2114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1858.8+(138.9-256.2)+(0.947988+(0.070839-0.130662))+0-55.7-0.0284069999999944</f>
        <v>1686.659758</v>
      </c>
      <c r="G333" s="3">
        <f>1832.2+(138.6-224.4)+(0.934422+(0.070686-0.114444))+0-68.4-0.0348839999999931</f>
        <v>1678.8557800000001</v>
      </c>
      <c r="H333" s="3">
        <f>1669.1+(139-123.5)+(0+(0-0))+0-77-0</f>
        <v>1607.6</v>
      </c>
      <c r="I333" s="3">
        <f>1671.5+(139.2-118.4)+(-0.852465+(-0.070992--0.060384))+0-83.2--0.0424319999999916</f>
        <v>1608.2793589999999</v>
      </c>
      <c r="J333" s="3">
        <f>1668.1+(116.2-110)+(-1.701462+(-0.118524--0.1122))+0-82.5--0.0841500000000132</f>
        <v>1590.1763639999999</v>
      </c>
      <c r="K333" s="3">
        <f>1641.9+(106.4-110.5)+(2.512107+(0.162792-0.169065))+0-92.3-0.141219000000005</f>
        <v>1547.8646150000002</v>
      </c>
      <c r="L333" s="3">
        <f>1671.9+(68.5-134)+(-0.852669+(-0.034935--0.06834))+0-84.1--0.0428909999999915</f>
        <v>1521.5236270000003</v>
      </c>
      <c r="M333" s="3">
        <f>1712+(116.1-128.2)+(1.74624+(0.118422-0.130764))+0-91-0.0928200000000145</f>
        <v>1610.541078</v>
      </c>
      <c r="N333" s="3">
        <f>1911+(122.1-246.3)+(-0.97461+(-0.062271--0.125613))+0-50.2--0.0256019999999949</f>
        <v>1735.7143339999998</v>
      </c>
      <c r="O333" s="3">
        <f>1956.1+(138.4-264.3)+(-0.997611+(-0.070584--0.134793))+0-55.8--0.0284579999999943</f>
        <v>1773.495056</v>
      </c>
      <c r="P333" s="3">
        <f>1965.3+(138.7-231.8)+(-4.009212+(-0.282948--0.472872))+0-70.5--0.143819999999997</f>
        <v>1798.0245319999999</v>
      </c>
      <c r="Q333" s="3">
        <f>1941.1+(137.4-201.2)+(-2.969883+(-0.210222--0.307836))+0-84.3--0.128979000000005</f>
        <v>1790.2567100000001</v>
      </c>
      <c r="R333" s="3">
        <f>1918.5+(138.1-202.1)+(-6.849045+(-0.493017--0.721497))+0-86.4--0.308448000000001</f>
        <v>1761.787883</v>
      </c>
      <c r="S333" s="3">
        <f>1841.3+(138.5-162.2)+(-1.878126+(-0.14127--0.165444))+0-74.8--0.0762960000000119</f>
        <v>1741.022344</v>
      </c>
      <c r="T333" s="3">
        <f>1719.8+(159.7-111.5)+(-0.877098+(-0.081447--0.056865))+0-86.7--0.0442169999999912</f>
        <v>1680.4425369999999</v>
      </c>
      <c r="U333" s="3">
        <f>1697.3+(140.4-105)+(0.865623+(0.071604-0.05355))+0-73.4-0.0374339999999926</f>
        <v>1660.1462429999999</v>
      </c>
      <c r="V333" s="3">
        <f>1698.1+(150.6-101.1)+(0+(0-0))+0-45.7-0</f>
        <v>1701.8999999999999</v>
      </c>
      <c r="W333" s="3">
        <f>1947.4+(179.8-129)+(0+(0-0))+0-87.9-0</f>
        <v>1910.3</v>
      </c>
      <c r="X333" s="3">
        <f>2106.9+(118.1-131.4)+(-1.074519+(-0.060231--0.067014))+0-85.9--0.0438089999999913</f>
        <v>2006.6760729999999</v>
      </c>
      <c r="Y333" s="3">
        <f>2086.8+(73.6-129.7)+(-4.257072+(-0.150144--0.264588))+0-88.4--0.180335999999996</f>
        <v>1938.337708</v>
      </c>
      <c r="Z333" s="3">
        <f>2017.4+(109.2-120)+(-1.028874+(-0.055692--0.0612))+0-89.9--0.0458489999999909</f>
        <v>1915.7224830000002</v>
      </c>
      <c r="AA333" s="3">
        <f>1876.9+(136.9-108)+(-3.828876+(-0.279276--0.22032))+0-77.6--0.158303999999997</f>
        <v>1824.4704720000004</v>
      </c>
      <c r="AB333" s="3">
        <f>1797+(141.3-95.5)+(-4.58235+(-0.360315--0.243525))+0-89.2--0.227459999999987</f>
        <v>1749.12832</v>
      </c>
      <c r="AC333" s="3">
        <f>1639.6+(121.7-83.1)+(-5.853372+(-0.434469--0.296667))+0-66.4--0.237048000000001</f>
        <v>1606.0458739999997</v>
      </c>
      <c r="AD333" s="2">
        <v>2009.3000000000002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1552.7+(157.9-72.4)+(-3.959385+(-0.402645--0.18462))+0-87--0.221849999999987</f>
        <v>1547.2444399999999</v>
      </c>
      <c r="G334" s="3">
        <f>1516.3+(185.4-68.6)+(-3.866565+(-0.47277--0.17493))+0-98.9--0.252194999999986</f>
        <v>1530.2877899999999</v>
      </c>
      <c r="H334" s="3">
        <f>1513.5+(161-67.7)+(-3.08754+(-0.32844--0.138108))+0-86.6--0.176663999999996</f>
        <v>1517.0987920000002</v>
      </c>
      <c r="I334" s="3">
        <f>1535.9+(172.6-69.8)+(0.783309+(0.088026-0.035598))+0-84.9-0.0432989999999914</f>
        <v>1554.5924380000001</v>
      </c>
      <c r="J334" s="3">
        <f>1541.4+(171.5-78.7)+(-0.786114+(-0.087465--0.040137))+0-87.4--0.0445739999999911</f>
        <v>1546.0111319999999</v>
      </c>
      <c r="K334" s="3">
        <f>1598.6+(158.8-109.9)+(-1.630572+(-0.161976--0.112098))+0-72.7--0.0741540000000116</f>
        <v>1573.1937039999998</v>
      </c>
      <c r="L334" s="3">
        <f>1722.7+(143.9-119.4)+(-3.514308+(-0.293556--0.243576))+0-89.8--0.183191999999996</f>
        <v>1654.018904</v>
      </c>
      <c r="M334" s="3">
        <f>2045.2+(69-183.9)+(-1.043052+(-0.03519--0.093789))+0-96.8--0.0493679999999902</f>
        <v>1832.5649149999999</v>
      </c>
      <c r="N334" s="3">
        <f>2130.4+(87.8-216.5)+(1.086504+(0.044778-0.110415))+0-84.6-0.0431459999999914</f>
        <v>1918.0777210000001</v>
      </c>
      <c r="O334" s="3">
        <f>2162.5+(104.6-271.1)+(4.4115+(0.213384-0.553044))+0-30.9-0.0630359999999986</f>
        <v>1969.108804</v>
      </c>
      <c r="P334" s="3">
        <f>2156.7+(110.2-214.1)+(-2.199834+(-0.112404--0.218382))+0-95.9--0.0978180000000153</f>
        <v>1954.9039619999996</v>
      </c>
      <c r="Q334" s="3">
        <f>2147.7+(105.2-222.7)+(0+(0-0))+0-83.1-0</f>
        <v>1947.1</v>
      </c>
      <c r="R334" s="3">
        <f>2055.3+(98.8-201.2)+(-5.241015+(-0.25194--0.51306))+0-67.1--0.17110499999999</f>
        <v>1880.9912100000001</v>
      </c>
      <c r="S334" s="3">
        <f>1958.5+(119.3-133.4)+(0.998835+(0.060843-0.068034))+0-85.9-0.0438089999999913</f>
        <v>1859.4478349999999</v>
      </c>
      <c r="T334" s="3">
        <f>1953.9+(124.5-142.6)+(0+(0-0))+0-87.1-0</f>
        <v>1848.7000000000003</v>
      </c>
      <c r="U334" s="3">
        <f>1952.7+(105.6-141.4)+(0+(0-0))+0-97.5-0</f>
        <v>1819.4</v>
      </c>
      <c r="V334" s="3">
        <f>1942.7+(115.1-133.6)+(2.972331+(0.176103-0.204408))+0-70.7-0.108171000000004</f>
        <v>1856.3358549999998</v>
      </c>
      <c r="W334" s="3">
        <f>2013.9+(163.1-133.4)+(3.081267+(0.249543-0.204102))+0-87.1-0.133263000000005</f>
        <v>1959.4934450000003</v>
      </c>
      <c r="X334" s="3">
        <f>2224+(85.3-142.5)+(3.40272+(0.130509-0.218025))+0-84.4-0.129132000000005</f>
        <v>2085.5860720000001</v>
      </c>
      <c r="Y334" s="3">
        <f>2194.8+(70.7-125.8)+(-3.358044+(-0.108171--0.192474))+0-83.7--0.128061000000005</f>
        <v>2052.8543200000004</v>
      </c>
      <c r="Z334" s="3">
        <f>2205.9+(58.1-104.3)+(-2.250018+(-0.059262--0.106386))+0-87.6--0.089352000000014</f>
        <v>2069.9864580000003</v>
      </c>
      <c r="AA334" s="3">
        <f>2205.9+(59.7-88.1)+(-2.250018+(-0.060894--0.089862))+0-83.1--0.0847620000000132</f>
        <v>2092.2637119999999</v>
      </c>
      <c r="AB334" s="3">
        <f>2174.4+(74.6-129.3)+(-7.762608+(-0.266322--0.461601))+0-85--0.303450000000001</f>
        <v>2027.4361210000004</v>
      </c>
      <c r="AC334" s="3">
        <f>2017.6+(90.9-139.5)+(-4.115904+(-0.185436--0.28458))+0-67.9--0.138515999999997</f>
        <v>1897.2217559999999</v>
      </c>
      <c r="AD334" s="2">
        <v>2208.9999999999995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1955.6+(97.4-212.1)+(-1.994712+(-0.099348--0.216342))+0-87.6--0.089352000000014</f>
        <v>1751.511634</v>
      </c>
      <c r="G335" s="3">
        <f>1751.4+(106.6-90.1)+(-3.572856+(-0.217464--0.183804))+0-89.5--0.182579999999996</f>
        <v>1674.976064</v>
      </c>
      <c r="H335" s="3">
        <f>1722.8+(110.7-88.5)+(0+(0-0))+0-86.6-0</f>
        <v>1658.4</v>
      </c>
      <c r="I335" s="3">
        <f>1697.4+(109.2-90.9)+(-2.597022+(-0.167076--0.139077))+0-76.4--0.116892000000004</f>
        <v>1636.7918709999999</v>
      </c>
      <c r="J335" s="3">
        <f>1850.2+(102.4-183.8)+(0.943602+(0.052224-0.093738))+0-84.2-0.0429419999999915</f>
        <v>1685.4591459999999</v>
      </c>
      <c r="K335" s="3">
        <f>1896.4+(81.2-180)+(0+(0-0))+0-90.8-0</f>
        <v>1706.8000000000002</v>
      </c>
      <c r="L335" s="3">
        <f>1947.3+(65-148.2)+(-1.986246+(-0.0663--0.151164))+0-90--0.0918000000000144</f>
        <v>1772.2904179999998</v>
      </c>
      <c r="M335" s="3">
        <f>2055.9+(68.4-166.3)+(0+(0-0))+0-83.3-0</f>
        <v>1874.7</v>
      </c>
      <c r="N335" s="3">
        <f>2236.6+(77.5-290.9)+(-1.140666+(-0.039525--0.148359))+0-70.1--0.0357509999999929</f>
        <v>1952.1039189999999</v>
      </c>
      <c r="O335" s="3">
        <f>2256.6+(89.4-296.4)+(3.452598+(0.136782-0.453492))+0-84-0.128520000000005</f>
        <v>1968.6073679999997</v>
      </c>
      <c r="P335" s="3">
        <f>2247.7+(102.3-274.9)+(2.292654+(0.104346-0.280398))+0-83.8-0.0854760000000134</f>
        <v>1993.331126</v>
      </c>
      <c r="Q335" s="3">
        <f>2216.3+(114.8-278.2)+(-1.130313+(-0.058548--0.141882))+0-79.1--0.040340999999992</f>
        <v>1972.7933619999999</v>
      </c>
      <c r="R335" s="3">
        <f>2212.5+(119.8-286.4)+(0+(0-0))+0-80.7-0</f>
        <v>1965.2</v>
      </c>
      <c r="S335" s="3">
        <f>2203.2+(117.9-306.2)+(-4.494528+(-0.240516--0.624648))+0-78.8--0.160751999999997</f>
        <v>1932.1503559999999</v>
      </c>
      <c r="T335" s="3">
        <f>2220.4+(104.2-341.7)+(-1.132404+(-0.053142--0.174267))+0-64.1--0.0326909999999935</f>
        <v>1917.821412</v>
      </c>
      <c r="U335" s="3">
        <f>2231.3+(90-329.1)+(-2.275926+(-0.0918--0.335682))+0-78.4--0.0799680000000125</f>
        <v>1911.8479240000001</v>
      </c>
      <c r="V335" s="3">
        <f>2225.3+(63.1-305.1)+(-1.134903+(-0.032181--0.155601))+0-79.3--0.040442999999992</f>
        <v>1903.0289600000003</v>
      </c>
      <c r="W335" s="3">
        <f>2242.4+(32.9-143.4)+(1.143624+(0.016779-0.073134))+0-57-0.0290699999999942</f>
        <v>2075.9581990000001</v>
      </c>
      <c r="X335" s="3">
        <f>2389.4+(6-171.6)+(1.218594+(0.00306-0.087516))+0-76.5-0.0390149999999922</f>
        <v>2148.3951230000002</v>
      </c>
      <c r="Y335" s="3">
        <f>2535.6+(0-254.3)+(-5.172624+(0--0.518772))+0-85.2--0.173807999999996</f>
        <v>2191.619956</v>
      </c>
      <c r="Z335" s="3">
        <f>2547.8+(19.4-265.8)+(-2.598756+(-0.019788--0.271116))+0-81.8--0.083436000000013</f>
        <v>2217.3360079999998</v>
      </c>
      <c r="AA335" s="3">
        <f>2518.3+(81.1-279.9)+(0+(0-0))+0-88.8-0</f>
        <v>2230.6999999999998</v>
      </c>
      <c r="AB335" s="3">
        <f>2354.3+(114.4-273.2)+(0+(0-0))+0-59-0</f>
        <v>2136.5</v>
      </c>
      <c r="AC335" s="3">
        <f>2176.7+(108.5-221.5)+(-5.550585+(-0.276675--0.564825))+0-68--0.17339999999999</f>
        <v>1990.6109649999996</v>
      </c>
      <c r="AD335" s="2">
        <v>2241.8000000000002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1916.5+(119.2-135.5)+(-1.95483+(-0.121584--0.13821))+0-76--0.0775200000000121</f>
        <v>1822.3393160000001</v>
      </c>
      <c r="G336" s="3">
        <f>1799.5+(121.1-134.8)+(2.753235+(0.185283-0.206244))+0-91-0.139230000000005</f>
        <v>1697.3930439999999</v>
      </c>
      <c r="H336" s="3">
        <f>1724.4+(114.9-127.6)+(0+(0-0))+0-91.9-0</f>
        <v>1619.8</v>
      </c>
      <c r="I336" s="3">
        <f>1689.1+(118.3-104.4)+(0+(0-0))+0-98.2-0</f>
        <v>1604.8</v>
      </c>
      <c r="J336" s="3">
        <f>1712.6+(93-135.6)+(0+(0-0))+0-74-0</f>
        <v>1596</v>
      </c>
      <c r="K336" s="3">
        <f>1760.7+(63.8-119.4)+(3.591828+(0.130152-0.243576))+0-76.5-0.156059999999997</f>
        <v>1631.9223440000001</v>
      </c>
      <c r="L336" s="3">
        <f>2027.2+(32.7-245.1)+(-5.16936+(-0.083385--0.625005))+0-82.7--0.210884999999988</f>
        <v>1727.6831450000002</v>
      </c>
      <c r="M336" s="3">
        <f>2181.2+(62.1-267.4)+(1.112412+(0.031671-0.136374))+0-89.5-0.0456449999999909</f>
        <v>1887.3620639999999</v>
      </c>
      <c r="N336" s="3">
        <f>2276.8+(83-299.1)+(-1.161168+(-0.04233--0.152541))+0-51.3--0.0261629999999948</f>
        <v>2008.3752060000004</v>
      </c>
      <c r="O336" s="3">
        <f>2316.2+(95-348)+(3.543786+(0.14535-0.53244))+0-85.5-0.130815000000005</f>
        <v>1980.7258809999998</v>
      </c>
      <c r="P336" s="3">
        <f>2278+(99.1-321.8)+(-1.16178+(-0.050541--0.164118))+0-79.9--0.0407489999999919</f>
        <v>1974.3925460000003</v>
      </c>
      <c r="Q336" s="3">
        <f>2292.1+(105.7-336.1)+(3.506913+(0.161721-0.514233))+0-76.3-0.116739000000004</f>
        <v>1988.4376619999996</v>
      </c>
      <c r="R336" s="3">
        <f>2245.8+(105.2-335.6)+(-6.872148+(-0.321912--1.026936))+0-95.8--0.293148000000011</f>
        <v>1913.7260240000001</v>
      </c>
      <c r="S336" s="3">
        <f>2257.2+(108-339.2)+(-3.453516+(-0.16524--0.518976))+0-101.2--0.154836000000006</f>
        <v>1921.8550559999996</v>
      </c>
      <c r="T336" s="3">
        <f>2276.9+(100.5-355.2)+(1.161219+(0.051255-0.181152))+0-93.8-0.0478379999999905</f>
        <v>1929.3834840000002</v>
      </c>
      <c r="U336" s="3">
        <f>2267.4+(77.1-313.7)+(0+(0-0))+0-83.9-0</f>
        <v>1946.9</v>
      </c>
      <c r="V336" s="3">
        <f>2163.8+(53.2-202.2)+(-2.207076+(-0.054264--0.206244))+0-92.4--0.0942480000000147</f>
        <v>1920.4391520000001</v>
      </c>
      <c r="W336" s="3">
        <f>2319.3+(36.8-132.7)+(-4.731372+(-0.075072--0.270708))+0-102.8--0.209711999999996</f>
        <v>2116.2739759999999</v>
      </c>
      <c r="X336" s="3">
        <f>2479.7+(10.3-156.6)+(-1.264647+(-0.005253--0.079866))+0-90.1--0.0459509999999909</f>
        <v>2242.1559169999996</v>
      </c>
      <c r="Y336" s="3">
        <f>2405.2+(14.9-145.1)+(-3.679956+(-0.022797--0.222003))+0-99.7--0.152541000000006</f>
        <v>2171.9717909999999</v>
      </c>
      <c r="Z336" s="3">
        <f>2394.9+(21.5-154)+(-3.664197+(-0.032895--0.23562))+0-95.2--0.145656000000006</f>
        <v>2163.8841840000005</v>
      </c>
      <c r="AA336" s="3">
        <f>2350.9+(81.6-227)+(-5.994795+(-0.20808--0.57885))+0-83.1--0.211904999999988</f>
        <v>2116.9878800000001</v>
      </c>
      <c r="AB336" s="3">
        <f>2340.1+(129.4-308.4)+(-3.580353+(-0.197982--0.471852))+0-91.5--0.139995000000005</f>
        <v>2066.4335120000001</v>
      </c>
      <c r="AC336" s="3">
        <f>2074.2+(134.1-270.6)+(-5.28921+(-0.341955--0.69003))+0-82.9--0.211394999999988</f>
        <v>1850.0702599999997</v>
      </c>
      <c r="AD336" s="2">
        <v>2270.6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1990+(133.6-199)+(-2.0298+(-0.136272--0.20298))+0-82.9--0.0845580000000132</f>
        <v>1839.8214659999999</v>
      </c>
      <c r="G337" s="3">
        <f>1753.6+(182.3-65.9)+(0.894336+(0.092973-0.033609))+0-99.5-0.0507449999999899</f>
        <v>1771.402955</v>
      </c>
      <c r="H337" s="3">
        <f>1662.6+(229.7-64.7)+(3.391704+(0.468588-0.131988))+0-92.5-0.188699999999996</f>
        <v>1738.639604</v>
      </c>
      <c r="I337" s="3">
        <f>1659.5+(222.4-67.5)+(0+(0-0))+0-88.8-0</f>
        <v>1725.6000000000001</v>
      </c>
      <c r="J337" s="3">
        <f>1594.2+(263.9-76.3)+(-0.813042+(-0.134589--0.038913))+0-90.9--0.0463589999999908</f>
        <v>1690.0376409999999</v>
      </c>
      <c r="K337" s="3">
        <f>1713+(215.9-113.1)+(-4.36815+(-0.550545--0.288405))+0-84.1--0.214454999999988</f>
        <v>1727.284165</v>
      </c>
      <c r="L337" s="3">
        <f>1720.8+(228.3-129.1)+(-1.755216+(-0.232866--0.131682))+0-83.1--0.0847620000000132</f>
        <v>1735.1283620000002</v>
      </c>
      <c r="M337" s="3">
        <f>1938.5+(101.2-131.3)+(-0.988635+(-0.051612--0.066963))+0-46.2--0.0235619999999953</f>
        <v>1861.2502780000002</v>
      </c>
      <c r="N337" s="3">
        <f>2291.4+(65.1-277.6)+(0+(0-0))+0-28.6-0</f>
        <v>2050.3000000000002</v>
      </c>
      <c r="O337" s="3">
        <f>2326.4+(75.3-293.2)+(0+(0-0))+0-30-0</f>
        <v>2078.5</v>
      </c>
      <c r="P337" s="3">
        <f>2324.5+(92.4-282.2)+(0+(0-0))+0-30-0</f>
        <v>2104.6999999999998</v>
      </c>
      <c r="Q337" s="3">
        <f>2315.1+(104.8-296.2)+(-3.542103+(-0.160344--0.453186))+0-26.8--0.0410040000000016</f>
        <v>2093.6917429999999</v>
      </c>
      <c r="R337" s="3">
        <f>2248.1+(110.5-290.4)+(-2.293062+(-0.11271--0.296208))+0-29.4--0.0299880000000047</f>
        <v>2036.7204239999999</v>
      </c>
      <c r="S337" s="3">
        <f>2111.7+(111.6-167.8)+(2.153934+(0.113832-0.171156))+0-43.1-0.0439620000000069</f>
        <v>2014.4526480000002</v>
      </c>
      <c r="T337" s="3">
        <f>2110.8+(102.7-185.2)+(1.076508+(0.052377-0.094452))+0-93.5-0.0476849999999905</f>
        <v>1935.7867480000002</v>
      </c>
      <c r="U337" s="3">
        <f>2159+(98-219.6)+(-1.10109+(-0.04998--0.111996))+0-95.5--0.0487049999999903</f>
        <v>1940.909631</v>
      </c>
      <c r="V337" s="3">
        <f>2235.1+(81.7-267.2)+(0+(0-0))+0-85.6-0</f>
        <v>1964</v>
      </c>
      <c r="W337" s="3">
        <f>2413.2+(9-147.1)+(3.692196+(0.01377-0.225063))+0-89-0.136170000000005</f>
        <v>2189.4447329999998</v>
      </c>
      <c r="X337" s="3">
        <f>2425.8+(47.4-154)+(-2.474316+(-0.048348--0.15708))+0-92.8--0.0946560000000148</f>
        <v>2224.1290720000002</v>
      </c>
      <c r="Y337" s="3">
        <f>2408+(12.1-143.9)+(2.45616+(0.012342-0.146778))+0-89.7-0.0914940000000143</f>
        <v>2188.7302299999997</v>
      </c>
      <c r="Z337" s="3">
        <f>2369.8+(10.7-149)+(0+(0-0))+0-89.3-0</f>
        <v>2142.1999999999998</v>
      </c>
      <c r="AA337" s="3">
        <f>2361.5+(37.5-185)+(-1.204365+(-0.019125--0.09435))+0-90.9--0.0463589999999908</f>
        <v>2122.0172189999998</v>
      </c>
      <c r="AB337" s="3">
        <f>2332.4+(97.9-287.8)+(-5.94762+(-0.249645--0.73389))+0-91.9--0.234344999999987</f>
        <v>2045.3709700000002</v>
      </c>
      <c r="AC337" s="3">
        <f>2227.4+(92.8-297.2)+(-3.407922+(-0.141984--0.454716))+0-52.4--0.080172000000003</f>
        <v>1967.5849819999999</v>
      </c>
      <c r="AD337" s="2">
        <v>2274.5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2073.7+(107-226.6)+(-2.115174+(-0.10914--0.231132))+0-105.2--0.107304000000017</f>
        <v>1847.014122</v>
      </c>
      <c r="G338" s="3">
        <f>1913.2+(108.9-157.3)+(-3.902928+(-0.222156--0.320892))+0-68.3--0.139331999999997</f>
        <v>1792.8351399999999</v>
      </c>
      <c r="H338" s="3">
        <f>1858.7+(111.6-110.6)+(0+(0-0))+0-75.8-0</f>
        <v>1783.9</v>
      </c>
      <c r="I338" s="3">
        <f>1866.2+(112.1-94)+(0+(0-0))+0-77.1-0</f>
        <v>1807.2</v>
      </c>
      <c r="J338" s="3">
        <f>1877.3+(90.7-121.5)+(0.957423+(0.046257-0.061965))+0-74.4-0.0379439999999925</f>
        <v>1773.0037709999999</v>
      </c>
      <c r="K338" s="3">
        <f>2005+(59.7-193.5)+(2.0451+(0.060894-0.19737))+0-88.5-0.0902700000000141</f>
        <v>1784.518354</v>
      </c>
      <c r="L338" s="3">
        <f>2174.2+(29.9-268.3)+(1.108842+(0.015249-0.136833))+0-87.9-0.0448289999999911</f>
        <v>1848.8424289999998</v>
      </c>
      <c r="M338" s="3">
        <f>2355.7+(54.6-338.6)+(0+(0-0))+0-100.5-0</f>
        <v>1971.1999999999998</v>
      </c>
      <c r="N338" s="3">
        <f>2409.3+(68.7-370.5)+(-1.228743+(-0.035037--0.188955))+0-90--0.0458999999999909</f>
        <v>2016.4710749999999</v>
      </c>
      <c r="O338" s="3">
        <f>2402.7+(73.9-364.7)+(2.450754+(0.075378-0.371994))+0-83.5-0.0851700000000133</f>
        <v>2030.4689679999994</v>
      </c>
      <c r="P338" s="3">
        <f>2391.4+(67.1-321.5)+(0+(0-0))+0-83.3-0</f>
        <v>2053.6999999999998</v>
      </c>
      <c r="Q338" s="3">
        <f>2378.4+(105.4-339.6)+(-3.638952+(-0.161262--0.519588))+0-81.7--0.125001000000005</f>
        <v>2059.3443750000001</v>
      </c>
      <c r="R338" s="3">
        <f>2275+(118.4-284.2)+(-4.641+(-0.241536--0.579768))+0-95--0.193799999999996</f>
        <v>2010.0910319999998</v>
      </c>
      <c r="S338" s="3">
        <f>2200.7+(109.6-248.1)+(2.244714+(0.111792-0.253062))+0-94.9-0.0967980000000151</f>
        <v>1969.3066459999995</v>
      </c>
      <c r="T338" s="3">
        <f>2193.9+(107.3-280.6)+(-1.118889+(-0.054723--0.143106))+0-59.6--0.030395999999994</f>
        <v>1959.9998900000001</v>
      </c>
      <c r="U338" s="3">
        <f>2193.9+(80.9-263.5)+(2.237778+(0.082518-0.26877))+0-92.4-0.0942480000000147</f>
        <v>1920.857278</v>
      </c>
      <c r="V338" s="3">
        <f>2213.1+(43.6-217.4)+(-1.128681+(-0.022236--0.110874))+0-100.3--0.0511529999999898</f>
        <v>1938.0111099999999</v>
      </c>
      <c r="W338" s="3">
        <f>2317.9+(22-138)+(-3.546387+(-0.03366--0.21114))+0-87--0.133110000000005</f>
        <v>2111.6642030000003</v>
      </c>
      <c r="X338" s="3">
        <f>2427.4+(16.1-152.4)+(1.237974+(0.008211-0.077724))+0-87.8-0.0447779999999911</f>
        <v>2204.423683</v>
      </c>
      <c r="Y338" s="3">
        <f>2421.4+(0-190.6)+(-6.17457+(0--0.48603))+0-60.1--0.153254999999991</f>
        <v>2165.1647150000003</v>
      </c>
      <c r="Z338" s="3">
        <f>2419.1+(12.6-204)+(-1.233741+(-0.006426--0.10404))+0-82.3--0.0419729999999916</f>
        <v>2144.3058459999993</v>
      </c>
      <c r="AA338" s="3">
        <f>2273+(71.2-191.1)+(-3.47769+(-0.108936--0.292383))+0-90.1--0.137853000000005</f>
        <v>2059.8436100000004</v>
      </c>
      <c r="AB338" s="3">
        <f>2215.8+(111.9-252.1)+(-3.390174+(-0.171207--0.385713))+0-68.4--0.104652000000004</f>
        <v>2004.1289840000004</v>
      </c>
      <c r="AC338" s="3">
        <f>2119.2+(121.7-247.1)+(-5.40396+(-0.310335--0.630105))+0-98.7--0.251684999999986</f>
        <v>1890.2674949999996</v>
      </c>
      <c r="AD338" s="2">
        <v>2252.8000000000002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2060.1+(116.2-272.1)+(-3.151953+(-0.177786--0.416313))+0-74.9--0.114597000000004</f>
        <v>1826.5011709999997</v>
      </c>
      <c r="G339" s="3">
        <f>1959.2+(129.4-170.1)+(0+(0-0))+0-90.7-0</f>
        <v>1827.8</v>
      </c>
      <c r="H339" s="3">
        <f>1833.4+(121.3-119.3)+(2.805102+(0.185589-0.182529))+0-78.9-0.120717000000005</f>
        <v>1759.187445</v>
      </c>
      <c r="I339" s="3">
        <f>1813.5+(110.6-131.4)+(-1.84977+(-0.112812--0.134028))+0-77--0.0785400000000123</f>
        <v>1713.9499860000001</v>
      </c>
      <c r="J339" s="3">
        <f>1869.5+(97.9-120.7)+(2.860335+(0.149787-0.184671))+0-93.3-0.142749000000005</f>
        <v>1756.0827019999999</v>
      </c>
      <c r="K339" s="3">
        <f>1961.7+(55.6-143.5)+(0+(0-0))+0-91.3-0</f>
        <v>1782.5</v>
      </c>
      <c r="L339" s="3">
        <f>2036.1+(20.5-160)+(-4.153644+(-0.04182--0.3264))+0-87.3--0.178091999999996</f>
        <v>1805.6090280000001</v>
      </c>
      <c r="M339" s="3">
        <f>2149.3+(44.5-184.4)+(1.096143+(0.022695-0.094044))+0-99-0.05048999999999</f>
        <v>1911.3743039999999</v>
      </c>
      <c r="N339" s="3">
        <f>2173.5+(56.5-236.3)+(2.21697+(0.05763-0.241026))+0-78.3-0.0798660000000125</f>
        <v>1917.3537080000001</v>
      </c>
      <c r="O339" s="3">
        <f>2197.7+(61.3-136.2)+(3.362481+(0.093789-0.208386))+0-95.3-0.145809000000005</f>
        <v>2030.6020749999996</v>
      </c>
      <c r="P339" s="3">
        <f>2191.5+(92.6-114.1)+(0+(0-0))+0-91.9-0</f>
        <v>2078.1</v>
      </c>
      <c r="Q339" s="3">
        <f>2177+(118.3-111.5)+(0+(0-0))+0-92.9-0</f>
        <v>2090.9</v>
      </c>
      <c r="R339" s="3">
        <f>2057.2+(123.9-122.4)+(-2.098344+(-0.126378--0.124848))+0-81.3--0.082926000000013</f>
        <v>1975.3830519999999</v>
      </c>
      <c r="S339" s="3">
        <f>2230.7+(91.2-219.4)+(1.137657+(0.046512-0.111894))+0-97.9-0.0499289999999901</f>
        <v>2005.6223459999999</v>
      </c>
      <c r="T339" s="3">
        <f>2168.5+(83.6-233.8)+(-2.21187+(-0.085272--0.238476))+0-85--0.0867000000000136</f>
        <v>1931.3280340000001</v>
      </c>
      <c r="U339" s="3">
        <f>2151.4+(59.8-233.1)+(-2.194428+(-0.060996--0.237762))+0-52.5--0.0535500000000084</f>
        <v>1923.6358880000003</v>
      </c>
      <c r="V339" s="3">
        <f>2237.1+(27.2-204.3)+(3.422763+(0.041616-0.312579))+0-90.8-0.138924000000005</f>
        <v>1972.2128760000001</v>
      </c>
      <c r="W339" s="3">
        <f>2332.7+(10.5-138.3)+(-3.569031+(-0.016065--0.211599))+0-98.7--0.151011000000006</f>
        <v>2102.9775139999997</v>
      </c>
      <c r="X339" s="3">
        <f>2512.2+(0-212.5)+(0+(0-0))+0-82-0</f>
        <v>2217.6999999999998</v>
      </c>
      <c r="Y339" s="3">
        <f>2425.8+(0-180.8)+(-7.422948+(0--0.553248))+0-92.7--0.283662000000011</f>
        <v>2145.7139619999998</v>
      </c>
      <c r="Z339" s="3">
        <f>2324.9+(0-165.3)+(2.371398+(0-0.168606))+0-96.5-0.0984300000000154</f>
        <v>2065.2043619999999</v>
      </c>
      <c r="AA339" s="3">
        <f>2308.6+(56.4-215.5)+(-1.177386+(-0.028764--0.109905))+0-85.8--0.0437579999999913</f>
        <v>2062.6475129999994</v>
      </c>
      <c r="AB339" s="3">
        <f>2308.7+(99-276.4)+(0+(0-0))+0-89.3-0</f>
        <v>2041.9999999999998</v>
      </c>
      <c r="AC339" s="3">
        <f>2253.9+(111.4-319.3)+(-3.448467+(-0.170442--0.488529))+0-97.2--0.148716000000006</f>
        <v>1945.8183359999998</v>
      </c>
      <c r="AD339" s="2">
        <v>2227.5999999999995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2215.4+(110.8-363.1)+(-3.389562+(-0.169524--0.555543))+0-74.8--0.114444000000004</f>
        <v>1885.4109010000002</v>
      </c>
      <c r="G340" s="3">
        <f>2171.4+(115.1-369)+(-5.53707+(-0.293505--0.94095))+0-39.4--0.100469999999994</f>
        <v>1873.310845</v>
      </c>
      <c r="H340" s="3">
        <f>1979.2+(123.8-301.5)+(-1.009392+(-0.063138--0.153765))+0-45.6--0.0232559999999954</f>
        <v>1755.0044910000001</v>
      </c>
      <c r="I340" s="3">
        <f>1979.4+(118.7-279.7)+(1.009494+(0.060537-0.142647))+0-86-0.0438599999999913</f>
        <v>1733.2835240000002</v>
      </c>
      <c r="J340" s="3">
        <f>2140.4+(91-364.8)+(1.091604+(0.04641-0.186048))+0-75.8-0.0386579999999923</f>
        <v>1791.7133080000003</v>
      </c>
      <c r="K340" s="3">
        <f>2196+(36.7-345.3)+(4.47984+(0.074868-0.704412))+0-84.5-0.172379999999996</f>
        <v>1806.5779160000002</v>
      </c>
      <c r="L340" s="3">
        <f>2149.7+(1.9-329.5)+(-2.192694+(-0.001938--0.33609))+0-63.6--0.0648720000000101</f>
        <v>1756.70633</v>
      </c>
      <c r="M340" s="3">
        <f>2015.9+(39.5-194.4)+(-1.028109+(-0.020145--0.099144))+0-37--0.0188699999999962</f>
        <v>1823.0697600000001</v>
      </c>
      <c r="N340" s="3">
        <f>1975.2+(77.1-135.7)+(-2.014704+(-0.078642--0.138414))+0-98.6--0.100572000000016</f>
        <v>1816.1456400000002</v>
      </c>
      <c r="O340" s="3">
        <f>2072.9+(59.2-155.7)+(2.114358+(0.060384-0.158814))+0-53.2-0.0542640000000085</f>
        <v>1925.161664</v>
      </c>
      <c r="P340" s="3">
        <f>2209.9+(54.7-213.3)+(0+(0-0))+0-75.3-0</f>
        <v>1976.0000000000002</v>
      </c>
      <c r="Q340" s="3">
        <f>2252.4+(91.2-242.6)+(0+(0-0))+0-88.2-0</f>
        <v>2012.8</v>
      </c>
      <c r="R340" s="3">
        <f>2240.2+(102.7-269.9)+(-3.427506+(-0.157131--0.412947))+0-81.9--0.125307000000005</f>
        <v>1988.0536169999998</v>
      </c>
      <c r="S340" s="3">
        <f>2216.3+(115.7-277.1)+(-1.130313+(-0.059007--0.141321))+0-89.3--0.0455429999999909</f>
        <v>1964.5975440000002</v>
      </c>
      <c r="T340" s="3">
        <f>2233.3+(100.7-290.4)+(-2.277966+(-0.102714--0.296208))+0-93.3--0.0951660000000149</f>
        <v>1948.3106940000002</v>
      </c>
      <c r="U340" s="3">
        <f>2121.7+(80.4-266.1)+(-2.164134+(-0.082008--0.271422))+0-42.8--0.0436560000000068</f>
        <v>1891.2689359999999</v>
      </c>
      <c r="V340" s="3">
        <f>2090.3+(35.4-157.7)+(0+(0-0))+0-105.4-0</f>
        <v>1862.6000000000001</v>
      </c>
      <c r="W340" s="3">
        <f>2265.5+(6-148)+(-1.155405+(-0.00306--0.07548))+0-90.8--0.0463079999999908</f>
        <v>2031.663323</v>
      </c>
      <c r="X340" s="3">
        <f>2519.4+(0-233.4)+(-1.284894+(0--0.119034))+0-95.2--0.0485519999999903</f>
        <v>2189.6826920000003</v>
      </c>
      <c r="Y340" s="3">
        <f>2572.8+(0-281.3)+(0+(0-0))+0-93.2-0</f>
        <v>2198.3000000000002</v>
      </c>
      <c r="Z340" s="3">
        <f>2508.5+(8.7-256.9)+(-2.55867+(-0.008874--0.262038))+0-91.3--0.0931260000000146</f>
        <v>2166.7876200000001</v>
      </c>
      <c r="AA340" s="3">
        <f>2418.6+(64.4-248.3)+(-1.233486+(-0.032844--0.126633))+0-95.7--0.0488069999999903</f>
        <v>2137.9091100000001</v>
      </c>
      <c r="AB340" s="3">
        <f>2332.3+(107.2-296.8)+(-5.947365+(-0.27336--0.75684))+0-93.8--0.239189999999986</f>
        <v>2043.6753050000002</v>
      </c>
      <c r="AC340" s="3">
        <f>2272+(108.4-356.9)+(-5.7936+(-0.27642--0.910095))+0-54.1--0.137954999999992</f>
        <v>1964.3780300000001</v>
      </c>
      <c r="AD340" s="2">
        <v>2118.8999999999996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2165.5+(117.6-299.5)+(-2.20881+(-0.119952--0.30549))+0-93.6--0.0954720000000149</f>
        <v>1888.0722000000001</v>
      </c>
      <c r="G341" s="3">
        <f>1948.8+(110.8-196.1)+(1.987776+(0.113016-0.200022))+0-99.3-0.101286000000016</f>
        <v>1765.9994839999999</v>
      </c>
      <c r="H341" s="3">
        <f>1935.7+(108.4-206.6)+(1.974414+(0.110568-0.210732))+0-86.8-0.0885360000000138</f>
        <v>1752.4857140000001</v>
      </c>
      <c r="I341" s="3">
        <f>1793+(111.5-133.4)+(0.91443+(0.056865-0.068034))+0-69.6-0.0354959999999929</f>
        <v>1702.367765</v>
      </c>
      <c r="J341" s="3">
        <f>1913.6+(105.7-187.1)+(-0.975936+(-0.053907--0.095421))+0-95--0.0484499999999904</f>
        <v>1736.3140279999998</v>
      </c>
      <c r="K341" s="3">
        <f>1997.1+(57.8-212.9)+(2.037042+(0.058956-0.217158))+0-91.6-0.0934320000000146</f>
        <v>1752.1854080000001</v>
      </c>
      <c r="L341" s="3">
        <f>2153.6+(23.7-256.6)+(1.098336+(0.012087-0.130866))+0-92.4-0.0471239999999906</f>
        <v>1829.2324329999999</v>
      </c>
      <c r="M341" s="3">
        <f>2292+(59.6-341.1)+(1.16892+(0.030396-0.173961))+0-95.2-0.0485519999999903</f>
        <v>1916.276803</v>
      </c>
      <c r="N341" s="3">
        <f>2435.3+(83.3-470.8)+(2.484006+(0.084966-0.480216))+0-32.7-0.0333540000000052</f>
        <v>2017.1554020000003</v>
      </c>
      <c r="O341" s="3">
        <f>2574.7+(100.1-541.9)+(5.252388+(0.204204-1.105476))+0-37.5-0.0764999999999984</f>
        <v>2099.6746159999993</v>
      </c>
      <c r="P341" s="3">
        <f>2590.8+(100.1-507.8)+(0+(0-0))+0-86.6-0</f>
        <v>2096.5000000000005</v>
      </c>
      <c r="Q341" s="3">
        <f>2577.7+(99-519.8)+(0+(0-0))+0-84.5-0</f>
        <v>2072.3999999999996</v>
      </c>
      <c r="R341" s="3">
        <f>2556.5+(103-525)+(-2.60763+(-0.10506--0.5355))+0-82.2--0.0838440000000131</f>
        <v>2050.2066540000005</v>
      </c>
      <c r="S341" s="3">
        <f>2538.3+(85-497.4)+(-5.178132+(-0.1734--1.014696))+0-95.5--0.194819999999996</f>
        <v>2026.2579840000001</v>
      </c>
      <c r="T341" s="3">
        <f>2601.8+(90.4-565.8)+(0+(0-0))+0-90.7-0</f>
        <v>2035.7</v>
      </c>
      <c r="U341" s="3">
        <f>2468.3+(81.5-478.5)+(1.258833+(0.041565-0.244035))+0-78.2-0.0398819999999921</f>
        <v>1994.1164810000002</v>
      </c>
      <c r="V341" s="3">
        <f>2419.7+(55-384.8)+(0+(0-0))+0-92.5-0</f>
        <v>1997.3999999999996</v>
      </c>
      <c r="W341" s="3">
        <f>2471.9+(0-229.8)+(-2.521338+(0--0.234396))+0-96.2--0.0981240000000153</f>
        <v>2143.711182</v>
      </c>
      <c r="X341" s="3">
        <f>2645.4+(0-278)+(-4.047462+(0--0.42534))+0-98.5--0.150705000000006</f>
        <v>2265.4285829999999</v>
      </c>
      <c r="Y341" s="3">
        <f>2610.4+(0-288.2)+(-2.662608+(0--0.293964))+0-69.8--0.0711960000000111</f>
        <v>2250.1025519999998</v>
      </c>
      <c r="Z341" s="3">
        <f>2623.9+(6.4-305)+(1.338189+(0.003264-0.15555))+0-89.3-0.0455429999999909</f>
        <v>2237.1403599999999</v>
      </c>
      <c r="AA341" s="3">
        <f>2613.6+(35.2-351.5)+(-2.665872+(-0.035904--0.35853))+0-96.9--0.0988380000000155</f>
        <v>2198.1555919999996</v>
      </c>
      <c r="AB341" s="3">
        <f>2584.1+(62.8-438.8)+(-2.635782+(-0.064056--0.447576))+0-85.4--0.0871080000000136</f>
        <v>2120.534846</v>
      </c>
      <c r="AC341" s="3">
        <f>2307+(78.6-343.9)+(-1.17657+(-0.040086--0.175389))+0-81--0.0413099999999918</f>
        <v>1959.7000430000001</v>
      </c>
      <c r="AD341" s="2">
        <v>2274.2999999999997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2222.8+(102.4-342.4)+(-5.66814+(-0.26112--0.87312))+0-71.2--0.18155999999999</f>
        <v>1906.7254200000002</v>
      </c>
      <c r="G342" s="3">
        <f>2147.2+(99.8-293.3)+(-1.095072+(-0.050898--0.149583))+0-87.7--0.0447269999999911</f>
        <v>1865.0483399999998</v>
      </c>
      <c r="H342" s="3">
        <f>2058.1+(102.6-268.3)+(-2.099262+(-0.104652--0.273666))+0-93.4--0.0952680000000149</f>
        <v>1797.1650199999999</v>
      </c>
      <c r="I342" s="3">
        <f>2021.2+(96-247.2)+(-3.092436+(-0.14688--0.378216))+0-95.7--0.146421000000006</f>
        <v>1771.5853209999998</v>
      </c>
      <c r="J342" s="3">
        <f>1989.5+(88.3-201.7)+(1.014645+(0.045033-0.102867))+0-93.5-0.0476849999999905</f>
        <v>1783.5091259999999</v>
      </c>
      <c r="K342" s="3">
        <f>2197.6+(64-364.3)+(-1.120776+(-0.03264--0.185793))+0-97.5--0.0497249999999901</f>
        <v>1798.882102</v>
      </c>
      <c r="L342" s="3">
        <f>2263.4+(45-438.4)+(-1.154334+(-0.02295--0.223584))+0-43.2--0.0220319999999956</f>
        <v>1825.868332</v>
      </c>
      <c r="M342" s="3">
        <f>2445.1+(41.8-428.2)+(1.247001+(0.021318-0.218382))+0-99.6-0.0507959999999899</f>
        <v>1960.0991410000001</v>
      </c>
      <c r="N342" s="3">
        <f>2598.5+(51.6-489.7)+(1.325235+(0.026316-0.249747))+0-86.3-0.0440129999999912</f>
        <v>2075.1577909999996</v>
      </c>
      <c r="O342" s="3">
        <f>2695.9+(0-512.4)+(0+(0-0))+0-85.2-0</f>
        <v>2098.3000000000002</v>
      </c>
      <c r="P342" s="3">
        <f>2731.4+(0-568.4)+(0+(0-0))+0-35.2-0</f>
        <v>2127.8000000000002</v>
      </c>
      <c r="Q342" s="3">
        <f>2701.9+(0-504.5)+(-1.377969+(0--0.257295))+0-70.2--0.0358019999999929</f>
        <v>2126.1151280000004</v>
      </c>
      <c r="R342" s="3">
        <f>2662.6+(0-466.6)+(-5.431704+(0--0.951864))+0-82.1--0.167483999999996</f>
        <v>2109.5876440000002</v>
      </c>
      <c r="S342" s="3">
        <f>2626.7+(0-471.9)+(2.679234+(0-0.481338))+0-83.1-0.0847620000000132</f>
        <v>2073.813134</v>
      </c>
      <c r="T342" s="3">
        <f>2609.2+(0-518)+(1.330692+(0-0.26418))+0-88.6-0.045185999999991</f>
        <v>2003.6213259999997</v>
      </c>
      <c r="U342" s="3">
        <f>2621.2+(57.3-679.1)+(2.673624+(0.058446-0.692682))+0-28.8-0.0293760000000046</f>
        <v>1972.6100119999996</v>
      </c>
      <c r="V342" s="3">
        <f>2630.6+(58.2-560)+(2.683212+(0.059364-0.5712))+0-96.1-0.0980220000000153</f>
        <v>2034.7733539999995</v>
      </c>
      <c r="W342" s="3">
        <f>2685.3+(0-424.5)+(-5.478012+(0--0.86598))+0-82.9--0.169115999999996</f>
        <v>2173.4570840000001</v>
      </c>
      <c r="X342" s="3">
        <f>2746.9+(0-372.4)+(-1.400919+(0--0.189924))+0-92.2--0.0470219999999906</f>
        <v>2281.1360270000005</v>
      </c>
      <c r="Y342" s="3">
        <f>2745.9+(0-375.7)+(-5.601636+(0--0.766428))+0-87.8--0.179111999999996</f>
        <v>2277.7439039999999</v>
      </c>
      <c r="Z342" s="3">
        <f>2751+(2.3-411.2)+(-7.01505+(-0.005865--1.04856))+0-86.3--0.220064999999987</f>
        <v>2250.0477099999998</v>
      </c>
      <c r="AA342" s="3">
        <f>2767.1+(68.9-518.2)+(0+(0-0))+0-91.1-0</f>
        <v>2226.6999999999998</v>
      </c>
      <c r="AB342" s="3">
        <f>2732.1+(109.7-569.9)+(-1.393371+(-0.055947--0.290649))+0-86.9--0.0443189999999912</f>
        <v>2183.8856500000002</v>
      </c>
      <c r="AC342" s="3">
        <f>2491.1+(133.7-484.7)+(-3.811383+(-0.204561--0.741591))+0-102.3--0.156519000000006</f>
        <v>2034.6821660000003</v>
      </c>
      <c r="AD342" s="2">
        <v>2281.1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2322.1+(132.3-433.6)+(-2.368542+(-0.134946--0.442272))+0-61.6--0.0628320000000098</f>
        <v>1957.2016160000001</v>
      </c>
      <c r="G343" s="3">
        <f>2092.1+(133-274.2)+(1.066971+(0.06783-0.139842))+0-88.5-0.045134999999991</f>
        <v>1863.3498239999999</v>
      </c>
      <c r="H343" s="3">
        <f>2166.8+(133.1-383.7)+(-2.210136+(-0.135762--0.391374))+0-91.1--0.0929220000000145</f>
        <v>1823.2383980000004</v>
      </c>
      <c r="I343" s="3">
        <f>2170.7+(131.3-385.9)+(1.107057+(0.066963-0.196809))+0-95.4-0.0486539999999903</f>
        <v>1821.6285569999998</v>
      </c>
      <c r="J343" s="3">
        <f>2153.8+(108.4-416.4)+(0+(0-0))+0-92.9-0</f>
        <v>1752.9</v>
      </c>
      <c r="K343" s="3">
        <f>2237+(41.5-430.8)+(-3.42261+(-0.063495--0.659124))+0-89.9--0.137547000000005</f>
        <v>1755.1105660000001</v>
      </c>
      <c r="L343" s="3">
        <f>2325.2+(35.9-464.4)+(0+(0-0))+0-81-0</f>
        <v>1815.6999999999998</v>
      </c>
      <c r="M343" s="3">
        <f>2537.3+(51-564.1)+(1.294023+(0.02601-0.287691))+0-37.5-0.0191249999999962</f>
        <v>1987.7132170000002</v>
      </c>
      <c r="N343" s="3">
        <f>2628.4+(57.4-613.2)+(-1.340484+(-0.029274--0.312732))+0-26--0.0132599999999974</f>
        <v>2045.5562339999999</v>
      </c>
      <c r="O343" s="3">
        <f>2620.8+(68-589.6)+(-4.009824+(-0.10404--0.902088))+0-24.9--0.0380970000000014</f>
        <v>2071.1263210000002</v>
      </c>
      <c r="P343" s="3">
        <f>2622.1+(52-614)+(-4.011813+(-0.07956--0.93942))+0-24.2--0.0370260000000014</f>
        <v>2032.7850729999998</v>
      </c>
      <c r="Q343" s="3">
        <f>2621.9+(62.8-591.3)+(-5.348676+(-0.128112--1.206252))+0-23.7--0.048347999999999</f>
        <v>2065.4778120000001</v>
      </c>
      <c r="R343" s="3">
        <f>2578.7+(97.7-601.6)+(0+(0-0))+0-25.5-0</f>
        <v>2049.2999999999997</v>
      </c>
      <c r="S343" s="3">
        <f>2593.6+(110.9-601.6)+(-3.968208+(-0.169677--0.920448))+0-28.8--0.0440640000000017</f>
        <v>2070.9266269999998</v>
      </c>
      <c r="T343" s="3">
        <f>2613.7+(49.4-602.1)+(2.665974+(0.050388-0.614142))+0-42.6-0.0434520000000068</f>
        <v>2020.4587680000002</v>
      </c>
      <c r="U343" s="3">
        <f>2586.4+(53.8-550)+(-1.319064+(-0.027438--0.2805))+0-91.7--0.0467669999999907</f>
        <v>1997.4807650000002</v>
      </c>
      <c r="V343" s="3">
        <f>2605.4+(42.4-502.8)+(0+(0-0))+0-73.4-0</f>
        <v>2071.6</v>
      </c>
      <c r="W343" s="3">
        <f>2650.5+(0-330.9)+(-2.70351+(0--0.337518))+0-83.9--0.0855780000000134</f>
        <v>2233.419586</v>
      </c>
      <c r="X343" s="3">
        <f>2755.6+(0-407.4)+(-1.405356+(0--0.207774))+0-72.1--0.0367709999999927</f>
        <v>2274.9391890000002</v>
      </c>
      <c r="Y343" s="3">
        <f>2735.8+(0-474.5)+(-6.97629+(0--1.209975))+0-39.5--0.100724999999994</f>
        <v>2216.1344100000001</v>
      </c>
      <c r="Z343" s="3">
        <f>2764.1+(0-481.7)+(0+(0-0))+0-71.2-0</f>
        <v>2211.2000000000003</v>
      </c>
      <c r="AA343" s="3">
        <f>2725.4+(51.6-503.7)+(-2.779908+(-0.052632--0.513774))+0-83.5--0.0851700000000133</f>
        <v>2187.5664040000001</v>
      </c>
      <c r="AB343" s="3">
        <f>2725.1+(49.2-571.7)+(-2.779602+(-0.050184--0.583134))+0-85.9--0.0876180000000137</f>
        <v>2114.540966</v>
      </c>
      <c r="AC343" s="3">
        <f>2404.3+(66.5-418.7)+(-6.130965+(-0.169575--1.067685))+0-88.6--0.225929999999987</f>
        <v>1958.4930750000005</v>
      </c>
      <c r="AD343" s="2">
        <v>2312.4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1968.7+(74.3-170.7)+(-3.012111+(-0.113679--0.261171))+0-97.9--0.149787000000006</f>
        <v>1771.685168</v>
      </c>
      <c r="G344" s="3">
        <f>1668+(116-66.7)+(-2.55204+(-0.17748--0.102051))+0-93.6--0.143208000000005</f>
        <v>1621.215739</v>
      </c>
      <c r="H344" s="3">
        <f>1623.6+(147.4-62.7)+(-0.828036+(-0.075174--0.031977))+0-91.7--0.0467669999999907</f>
        <v>1615.7755339999999</v>
      </c>
      <c r="I344" s="3">
        <f>1625.1+(136.3-64.4)+(-1.657602+(-0.139026--0.065688))+0-88.5--0.0902700000000141</f>
        <v>1606.85933</v>
      </c>
      <c r="J344" s="3">
        <f>1627.6+(128.1-73.1)+(0.830076+(0.065331-0.037281))+0-60.3-0.0307529999999939</f>
        <v>1623.127373</v>
      </c>
      <c r="K344" s="3">
        <f>1753.1+(79.4-110.6)+(3.576324+(0.161976-0.225624))+0-98.4-0.200735999999996</f>
        <v>1626.8119399999998</v>
      </c>
      <c r="L344" s="3">
        <f>1858.3+(33.5-153.6)+(-0.947733+(-0.017085--0.078336))+0-92.1--0.0469709999999907</f>
        <v>1645.2604890000002</v>
      </c>
      <c r="M344" s="3">
        <f>1975.6+(34.3-139.6)+(-1.007556+(-0.017493--0.071196))+0-83.6--0.0426359999999915</f>
        <v>1785.788783</v>
      </c>
      <c r="N344" s="3">
        <f>2131+(3.3-152.5)+(-1.08681+(-0.001683--0.077775))+0-74.2--0.0378419999999925</f>
        <v>1906.6271239999999</v>
      </c>
      <c r="O344" s="3">
        <f>2197.4+(8-177.2)+(-4.482696+(-0.01632--0.361488))+0-60.2--0.122807999999997</f>
        <v>1963.9852800000001</v>
      </c>
      <c r="P344" s="3">
        <f>2214.2+(29.4-138.5)+(-1.129242+(-0.014994--0.070635))+0-85.9--0.0438089999999913</f>
        <v>2018.1702079999998</v>
      </c>
      <c r="Q344" s="3">
        <f>2209.3+(49.3-140.6)+(-2.253486+(-0.050286--0.143412))+0-82.1--0.0837420000000131</f>
        <v>2033.8233820000003</v>
      </c>
      <c r="R344" s="3">
        <f>2141.6+(42-174.9)+(-4.368864+(-0.08568--0.356796))+0-81.2--0.165647999999996</f>
        <v>1923.5678999999998</v>
      </c>
      <c r="S344" s="3">
        <f>2094.9+(39.5-170)+(-3.205197+(-0.060435--0.2601))+0-87.9--0.134487000000005</f>
        <v>1873.6289550000001</v>
      </c>
      <c r="T344" s="3">
        <f>2081.8+(16.6-200)+(1.061718+(0.008466-0.102))+0-85.8-0.0437579999999913</f>
        <v>1813.5244260000002</v>
      </c>
      <c r="U344" s="3">
        <f>2026.2+(31-188.6)+(2.066724+(0.03162-0.192372))+0-86.7-0.0884340000000138</f>
        <v>1783.7175380000001</v>
      </c>
      <c r="V344" s="3">
        <f>2035.7+(17.8-151.8)+(1.038207+(0.009078-0.077418))+0-86.4-0.0440639999999912</f>
        <v>1816.225803</v>
      </c>
      <c r="W344" s="3">
        <f>2122.3+(86.8-149.5)+(1.082373+(0.044268-0.076245))+0-59.1-0.030140999999994</f>
        <v>2001.5202550000006</v>
      </c>
      <c r="X344" s="3">
        <f>2293.6+(85.9-158.9)+(0+(0-0))+0-89.5-0</f>
        <v>2131.1</v>
      </c>
      <c r="Y344" s="3">
        <f>2297.4+(46.2-148)+(0+(0-0))+0-95.2-0</f>
        <v>2100.4</v>
      </c>
      <c r="Z344" s="3">
        <f>2290.6+(53.1-128)+(-1.168206+(-0.027081--0.06528))+0-92.3--0.0470729999999906</f>
        <v>2122.3170659999996</v>
      </c>
      <c r="AA344" s="3">
        <f>2275.9+(29-121.2)+(0+(0-0))+0-91.2-0</f>
        <v>2092.5000000000005</v>
      </c>
      <c r="AB344" s="3">
        <f>2112.3+(84.2-100.4)+(-4.309092+(-0.171768--0.204816))+0-88.5--0.180539999999996</f>
        <v>2003.5044960000002</v>
      </c>
      <c r="AC344" s="3">
        <f>1641+(258.6-85.1)+(-0.83691+(-0.131886--0.043401))+0-74.5--0.0379949999999924</f>
        <v>1739.1125999999999</v>
      </c>
      <c r="AD344" s="2">
        <v>2230.0999999999995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1520.6+(289.8-77.9)+(-3.87753+(-0.73899--0.198645))+0-95.7--0.244034999999986</f>
        <v>1632.6261599999998</v>
      </c>
      <c r="G345" s="3">
        <f>1486.5+(288.6-72.9)+(-2.274345+(-0.441558--0.111537))+0-101.3--0.154989000000006</f>
        <v>1598.4506230000002</v>
      </c>
      <c r="H345" s="3">
        <f>1358.3+(346-70.5)+(0+(0-0))+0-91.7-0</f>
        <v>1542.1</v>
      </c>
      <c r="I345" s="3">
        <f>1298+(358.1-72.3)+(0.66198+(0.182631-0.036873))+0-84.6-0.0431459999999914</f>
        <v>1499.964592</v>
      </c>
      <c r="J345" s="3">
        <f>1248.5+(397.2-83.4)+(-2.54694+(-0.810288--0.170136))+0-90.7--0.185027999999996</f>
        <v>1468.5979360000001</v>
      </c>
      <c r="K345" s="3">
        <f>1445.9+(270-118.6)+(0.737409+(0.1377-0.060486))+0-72.6-0.0370259999999926</f>
        <v>1525.4775970000003</v>
      </c>
      <c r="L345" s="3">
        <f>1597+(163.6-141.6)+(0.81447+(0.083436-0.072216))+0-85.3-0.0435029999999913</f>
        <v>1534.4821869999998</v>
      </c>
      <c r="M345" s="3">
        <f>1717.8+(131.3-137.5)+(-0.876078+(-0.066963--0.070125))+0-67--0.0341699999999932</f>
        <v>1643.7612539999998</v>
      </c>
      <c r="N345" s="3">
        <f>1860.3+(133.7-123.1)+(0+(0-0))+0-98.7-0</f>
        <v>1772.1999999999998</v>
      </c>
      <c r="O345" s="3">
        <f>1853.7+(153-122.2)+(-0.945387+(-0.07803--0.062322))+0-87.5--0.0446249999999911</f>
        <v>1796.0835300000001</v>
      </c>
      <c r="P345" s="3">
        <f>1954.4+(86.8-120.6)+(-2.990232+(-0.132804--0.184518))+0-30.6--0.0468180000000018</f>
        <v>1887.1083000000003</v>
      </c>
      <c r="Q345" s="3">
        <f>2003.4+(52.2-131.3)+(-1.021734+(-0.026622--0.066963))+0-50.4--0.0257039999999949</f>
        <v>1872.944311</v>
      </c>
      <c r="R345" s="3">
        <f>2037.4+(44.8-139.7)+(-1.039074+(-0.022848--0.071247))+0-93.3--0.0475829999999905</f>
        <v>1848.2569080000001</v>
      </c>
      <c r="S345" s="3">
        <f>1980.9+(57.7-122)+(3.030777+(0.088281-0.18666))+0-97.6-0.149328000000006</f>
        <v>1821.7830700000002</v>
      </c>
      <c r="T345" s="3">
        <f>1912.8+(58.2-120)+(1.951056+(0.059364-0.1224))+0-88-0.089760000000014</f>
        <v>1764.79826</v>
      </c>
      <c r="U345" s="3">
        <f>1905.1+(53.8-113.7)+(-1.943202+(-0.054876--0.115974))+0-107.8--0.109956000000017</f>
        <v>1735.6278519999998</v>
      </c>
      <c r="V345" s="3">
        <f>1989.9+(40.7-144)+(1.014849+(0.020757-0.07344))+0-90.4-0.0461039999999908</f>
        <v>1797.1160620000001</v>
      </c>
      <c r="W345" s="3">
        <f>2096.7+(102.4-130.6)+(1.069317+(0.052224-0.066606))+0-94.9-0.0483989999999904</f>
        <v>1974.606536</v>
      </c>
      <c r="X345" s="3">
        <f>2137.5+(203.4-162)+(-1.090125+(-0.103734--0.08262))+0-79.7--0.0406469999999919</f>
        <v>2098.1294080000002</v>
      </c>
      <c r="Y345" s="3">
        <f>2145.7+(162.2-144.6)+(-5.471535+(-0.41361--0.36873))+0-95.8--0.244289999999986</f>
        <v>2062.2278749999996</v>
      </c>
      <c r="Z345" s="3">
        <f>2142.1+(129.6-139.9)+(-4.369884+(-0.264384--0.285396))+0-98.5--0.200939999999996</f>
        <v>2029.1520679999996</v>
      </c>
      <c r="AA345" s="3">
        <f>2083+(120.3-116.2)+(-5.31165+(-0.306765--0.29631))+0-95.7--0.244034999999986</f>
        <v>1986.3219299999996</v>
      </c>
      <c r="AB345" s="3">
        <f>2051.6+(93-96.1)+(-1.046316+(-0.04743--0.049011))+0-61.4--0.0313139999999938</f>
        <v>1986.086579</v>
      </c>
      <c r="AC345" s="3">
        <f>1968.2+(115-87.8)+(-3.011346+(-0.17595--0.134334))+0-94.6--0.144738000000005</f>
        <v>1897.8917760000002</v>
      </c>
      <c r="AD345" s="2">
        <v>2245.8000000000002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1653.6+(211.6-79.3)+(-0.843336+(-0.107916--0.040443))+0-100.4--0.0512039999999898</f>
        <v>1684.6403949999999</v>
      </c>
      <c r="G346" s="3">
        <f>1576.4+(227.5-74.4)+(-0.803964+(-0.116025--0.037944))+0-92.9--0.0473789999999906</f>
        <v>1635.7653339999999</v>
      </c>
      <c r="H346" s="3">
        <f>1578.4+(249.1-72.3)+(0.804984+(0.127041-0.036873))+0-90.7-0.0462569999999908</f>
        <v>1665.3488950000001</v>
      </c>
      <c r="I346" s="3">
        <f>1577.2+(252.9-73.2)+(-1.608744+(-0.257958--0.074664))+0-98.2--0.100164000000016</f>
        <v>1657.0081259999999</v>
      </c>
      <c r="J346" s="3">
        <f>1577.9+(239.9-84.3)+(1.609458+(0.244698-0.085986))+0-94-0.095880000000015</f>
        <v>1641.17229</v>
      </c>
      <c r="K346" s="3">
        <f>1576.9+(208-117.5)+(0.804219+(0.10608-0.059925))+0-80.1-0.0408509999999919</f>
        <v>1588.1095230000003</v>
      </c>
      <c r="L346" s="3">
        <f>1769.7+(100.1-120.8)+(-5.415282+(-0.306306--0.369648))+0-96.5--0.295290000000011</f>
        <v>1647.44335</v>
      </c>
      <c r="M346" s="3">
        <f>1882.6+(76.2-116)+(0.960126+(0.038862-0.05916))+0-60.6-0.0309059999999939</f>
        <v>1783.1089220000001</v>
      </c>
      <c r="N346" s="3">
        <f>2191.9+(60.7-222.8)+(0+(0-0))+0-86.2-0</f>
        <v>1943.6000000000001</v>
      </c>
      <c r="O346" s="3">
        <f>2261.4+(80.2-243.2)+(-2.306628+(-0.081804--0.248064))+0-97--0.0989400000000155</f>
        <v>1999.3585720000003</v>
      </c>
      <c r="P346" s="3">
        <f>2416.1+(88.9-347.3)+(1.232211+(0.045339-0.177123))+0-95.9-0.0489089999999903</f>
        <v>2062.8515179999995</v>
      </c>
      <c r="Q346" s="3">
        <f>2489.3+(96.1-382.5)+(-5.078172+(-0.196044--0.7803))+0-94.9--0.193595999999996</f>
        <v>2103.6996800000002</v>
      </c>
      <c r="R346" s="3">
        <f>2554.2+(112.2-430.9)+(-2.605284+(-0.114444--0.439518))+0-92.9--0.0947580000000148</f>
        <v>2140.4145480000002</v>
      </c>
      <c r="S346" s="3">
        <f>2331.4+(122.6-308.8)+(-5.94507+(-0.31263--0.78744))+0-92.5--0.235874999999987</f>
        <v>2047.4656150000003</v>
      </c>
      <c r="T346" s="3">
        <f>2157.6+(81.5-204)+(-2.200752+(-0.08313--0.20808))+0-103.1--0.105162000000016</f>
        <v>1930.02936</v>
      </c>
      <c r="U346" s="3">
        <f>2074+(85.5-163.2)+(-6.34644+(-0.26163--0.499392))+0-97.9--0.299574000000011</f>
        <v>1892.5908959999999</v>
      </c>
      <c r="V346" s="3">
        <f>2132.9+(78.3-202.2)+(0+(0-0))+0-59.4-0</f>
        <v>1949.6</v>
      </c>
      <c r="W346" s="3">
        <f>2355.1+(7-137.8)+(-2.402202+(-0.00714--0.140556))+0-104--0.106080000000017</f>
        <v>2118.1372939999997</v>
      </c>
      <c r="X346" s="3">
        <f>2498.2+(4.8-168.3)+(2.548164+(0.004896-0.171666))+0-92.2-0.0940440000000147</f>
        <v>2244.7873500000001</v>
      </c>
      <c r="Y346" s="3">
        <f>2510.6+(0-208)+(-3.841218+(0--0.31824))+0-79.7--0.121941000000005</f>
        <v>2219.498963</v>
      </c>
      <c r="Z346" s="3">
        <f>2377.7+(0-140.3)+(-4.850508+(0--0.286212))+0-89.1--0.181763999999996</f>
        <v>2143.9174679999996</v>
      </c>
      <c r="AA346" s="3">
        <f>2262.3+(64.2-119.2)+(-1.153773+(-0.032742--0.060792))+0-93.5--0.0476849999999905</f>
        <v>2112.7219620000001</v>
      </c>
      <c r="AB346" s="3">
        <f>2094.6+(115.8-98.7)+(-2.136492+(-0.118116--0.100674))+0-89.7--0.0914940000000143</f>
        <v>2019.9375599999998</v>
      </c>
      <c r="AC346" s="3">
        <f>1798.9+(292.2-82.3)+(-0.917439+(-0.149022--0.041973))+0-101--0.0515099999999898</f>
        <v>1906.8270220000002</v>
      </c>
      <c r="AD346" s="2">
        <v>2228.8000000000002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1538.7+(370.5-75.2)+(-1.569474+(-0.37791--0.076704))+0-89.4--0.0911880000000143</f>
        <v>1742.820508</v>
      </c>
      <c r="G347" s="3">
        <f>1537.9+(322.6-70.5)+(-0.784329+(-0.164526--0.035955))+0-78.9--0.040238999999992</f>
        <v>1710.2273389999998</v>
      </c>
      <c r="H347" s="3">
        <f>1517.7+(341.8-68.1)+(-1.548054+(-0.348636--0.069462))+0-95.5--0.0974100000000152</f>
        <v>1694.1701820000001</v>
      </c>
      <c r="I347" s="3">
        <f>1410.6+(406.6-69.3)+(0.719406+(0.207366-0.035343))+0-90.3-0.0460529999999908</f>
        <v>1658.4453759999999</v>
      </c>
      <c r="J347" s="3">
        <f>1403.7+(418-81.9)+(-2.863548+(-0.85272--0.167076))+0-92.4--0.188495999999996</f>
        <v>1644.0393040000001</v>
      </c>
      <c r="K347" s="3">
        <f>1397.7+(414.5-114.8)+(0.712827+(0.211395-0.058548))+0-75-0.0382499999999924</f>
        <v>1623.2274239999999</v>
      </c>
      <c r="L347" s="3">
        <f>1428.1+(371.5-124)+(-4.369986+(-1.13679--0.37944))+0-85.4--0.26132400000001</f>
        <v>1585.3339879999999</v>
      </c>
      <c r="M347" s="3">
        <f>1542.8+(326.2-121.2)+(-2.360484+(-0.499086--0.185436))+0-80.5--0.123165000000005</f>
        <v>1664.7490309999998</v>
      </c>
      <c r="N347" s="3">
        <f>1669.5+(258.3-118.3)+(-0.851445+(-0.131733--0.060333))+0-101.7--0.0518669999999897</f>
        <v>1706.9290219999998</v>
      </c>
      <c r="O347" s="3">
        <f>1660.8+(254.8-114.4)+(-0.847008+(-0.129948--0.058344))+0-80--0.0407999999999919</f>
        <v>1720.3221880000001</v>
      </c>
      <c r="P347" s="3">
        <f>1651.3+(281.4-111.5)+(-0.842163+(-0.143514--0.056865))+0-98.4--0.05018399999999</f>
        <v>1721.9213719999996</v>
      </c>
      <c r="Q347" s="3">
        <f>1642.6+(279.6-107.4)+(0+(0-0))+0-91.5-0</f>
        <v>1723.3</v>
      </c>
      <c r="R347" s="3">
        <f>1626.3+(261.3-103.4)+(-2.488239+(-0.399789--0.158202))+0-93.5--0.143055000000005</f>
        <v>1688.113229</v>
      </c>
      <c r="S347" s="3">
        <f>1623.7+(254.9-99.1)+(1.656174+(0.259998-0.101082))+0-87.8-0.089556000000014</f>
        <v>1693.4255340000002</v>
      </c>
      <c r="T347" s="3">
        <f>1619.7+(251-92.3)+(0+(0-0))+0-96.7-0</f>
        <v>1681.7</v>
      </c>
      <c r="U347" s="3">
        <f>1620.5+(227.9-93.3)+(-2.479365+(-0.348687--0.142749))+0-72--0.110160000000004</f>
        <v>1680.5248569999999</v>
      </c>
      <c r="V347" s="3">
        <f>1596.4+(282.2-98.1)+(1.628328+(0.287844-0.100062))+0-81.2-0.082824000000013</f>
        <v>1701.0332859999999</v>
      </c>
      <c r="W347" s="3">
        <f>1550.6+(445.2-109.4)+(0.790806+(0.227052-0.055794))+0-90-0.0458999999999909</f>
        <v>1797.3161639999998</v>
      </c>
      <c r="X347" s="3">
        <f>1678.8+(467.7-127.1)+(0+(0-0))+0-98.8-0</f>
        <v>1920.6000000000001</v>
      </c>
      <c r="Y347" s="3">
        <f>1881.6+(336.9-128.4)+(-0.959616+(-0.171819--0.065484))+0-96.7--0.0493169999999902</f>
        <v>1992.3833659999998</v>
      </c>
      <c r="Z347" s="3">
        <f>1884.5+(293.4-94.8)+(-0.961095+(-0.149634--0.048348))+0-94.5--0.0481949999999904</f>
        <v>1987.5858139999998</v>
      </c>
      <c r="AA347" s="3">
        <f>1879.3+(293.5-78.8)+(-0.958443+(-0.149685--0.040188))+0-98.3--0.05013299999999</f>
        <v>1994.6821930000001</v>
      </c>
      <c r="AB347" s="3">
        <f>1842.8+(277.8-63.8)+(-1.879656+(-0.283356--0.065076))+0-95.8--0.0977160000000153</f>
        <v>1958.9997800000001</v>
      </c>
      <c r="AC347" s="3">
        <f>1712.4+(288.4-54.3)+(0.873324+(0.147084-0.027693))+0-95.7-0.0488069999999903</f>
        <v>1851.7439080000001</v>
      </c>
      <c r="AD347" s="2">
        <v>2158.4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1551.9+(344.4-50)+(-3.957345+(-0.87822--0.1275))+0-80.9--0.206294999999988</f>
        <v>1760.89823</v>
      </c>
      <c r="G348" s="3">
        <f>1359.9+(404-45.6)+(1.387098+(0.41208-0.046512))+0-91.4-0.0932280000000146</f>
        <v>1628.5594380000002</v>
      </c>
      <c r="H348" s="3">
        <f>1347.9+(420-45.3)+(-2.749716+(-0.8568--0.092412))+0-95.7--0.195227999999996</f>
        <v>1623.581124</v>
      </c>
      <c r="I348" s="3">
        <f>1357.9+(391.7-48.1)+(-1.385058+(-0.399534--0.049062))+0-94.1--0.095982000000015</f>
        <v>1605.7604520000002</v>
      </c>
      <c r="J348" s="3">
        <f>1393.3+(362.4-61.1)+(0.710583+(0.184824-0.031161))+0-73.1-0.0372809999999926</f>
        <v>1622.3269650000002</v>
      </c>
      <c r="K348" s="3">
        <f>1529.9+(294.1-97)+(0+(0-0))+0-95.6-0</f>
        <v>1631.4</v>
      </c>
      <c r="L348" s="3">
        <f>1644.4+(293.6-112.4)+(-0.838644+(-0.149736--0.057324))+0-88--0.0448799999999911</f>
        <v>1736.7138240000002</v>
      </c>
      <c r="M348" s="3">
        <f>1643.5+(342-108.1)+(1.67637+(0.34884-0.110262))+0-94.4-0.0962880000000151</f>
        <v>1784.8186600000001</v>
      </c>
      <c r="N348" s="3">
        <f>1819+(273.6-105.3)+(0+(0-0))+0-81.4-0</f>
        <v>1905.8999999999999</v>
      </c>
      <c r="O348" s="3">
        <f>2000.9+(180.9-101.7)+(3.061377+(0.276777-0.155601))+0-85.2-0.130356000000005</f>
        <v>1997.9521970000001</v>
      </c>
      <c r="P348" s="3">
        <f>2227.3+(131.1-192)+(1.135923+(0.066861-0.09792))+0-84-0.0428399999999915</f>
        <v>2083.4620239999999</v>
      </c>
      <c r="Q348" s="3">
        <f>2324.5+(150.6-250.4)+(0+(0-0))+0-83.6-0</f>
        <v>2141.1</v>
      </c>
      <c r="R348" s="3">
        <f>2365.8+(150.8-277.2)+(-1.206558+(-0.076908--0.141372))+0-81--0.0413099999999918</f>
        <v>2157.2992160000003</v>
      </c>
      <c r="S348" s="3">
        <f>2413.2+(151.2-309.4)+(-2.461464+(-0.154224--0.315588))+0-89.1--0.0908820000000142</f>
        <v>2163.6907820000001</v>
      </c>
      <c r="T348" s="3">
        <f>2407.4+(152.4-338.4)+(-2.455548+(-0.155448--0.345168))+0-88.7--0.0904740000000141</f>
        <v>2130.5246460000003</v>
      </c>
      <c r="U348" s="3">
        <f>2318.6+(129.9-279.3)+(-1.182486+(-0.066249--0.142443))+0-83.6--0.0426359999999915</f>
        <v>2084.5363440000001</v>
      </c>
      <c r="V348" s="3">
        <f>2333.3+(91.4-286.6)+(-1.189983+(-0.046614--0.146166))+0-72.4--0.0369239999999927</f>
        <v>2064.6464930000002</v>
      </c>
      <c r="W348" s="3">
        <f>2385.1+(37.6-134)+(-1.216401+(-0.019176--0.06834))+0-79.7--0.0406469999999919</f>
        <v>2207.8734099999997</v>
      </c>
      <c r="X348" s="3">
        <f>2482.6+(80.2-128)+(2.532252+(0.081804-0.13056))+0-96-0.0979200000000153</f>
        <v>2341.1855759999994</v>
      </c>
      <c r="Y348" s="3">
        <f>2476.4+(48.9-125.8)+(-6.31482+(-0.124695--0.32079))+0-94.2--0.240209999999986</f>
        <v>2299.4214850000003</v>
      </c>
      <c r="Z348" s="3">
        <f>2486.1+(34.5-158.4)+(-2.535822+(-0.03519--0.161568))+0-95.2--0.0971040000000152</f>
        <v>2264.6876600000001</v>
      </c>
      <c r="AA348" s="3">
        <f>2451.6+(93.8-210.4)+(-6.25158+(-0.23919--0.53652))+0-94.3--0.240464999999986</f>
        <v>2234.9862149999999</v>
      </c>
      <c r="AB348" s="3">
        <f>2320.9+(112.3-205.6)+(-5.918295+(-0.286365--0.52428))+0-99.3--0.253214999999986</f>
        <v>2122.8728350000001</v>
      </c>
      <c r="AC348" s="3">
        <f>2074.2+(138.5-169.5)+(-1.057842+(-0.070635--0.086445))+0-75.4--0.0384539999999924</f>
        <v>1966.7964219999997</v>
      </c>
      <c r="AD348" s="2">
        <v>2336.6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2020.1+(138.1-169.8)+(-4.121004+(-0.281724--0.346392))+0-95.2--0.194207999999996</f>
        <v>1889.3378719999996</v>
      </c>
      <c r="G349" s="3">
        <f>1964.4+(139.1-129.2)+(-2.003688+(-0.141882--0.131784))+0-98--0.0999600000000156</f>
        <v>1874.3861740000002</v>
      </c>
      <c r="H349" s="3">
        <f>1846.3+(134.5-54)+(-2.824839+(-0.205785--0.08262))+0-94.5--0.144585000000005</f>
        <v>1829.4965809999999</v>
      </c>
      <c r="I349" s="3">
        <f>1803.3+(145.3-57.3)+(-3.678732+(-0.296412--0.116892))+0-88.6--0.180743999999996</f>
        <v>1799.0224920000001</v>
      </c>
      <c r="J349" s="3">
        <f>1817+(153-70.3)+(0.92667+(0.07803-0.035853))+0-84.2-0.0429419999999915</f>
        <v>1816.4259050000001</v>
      </c>
      <c r="K349" s="3">
        <f>1824.4+(212.4-105.7)+(2.791332+(0.324972-0.161721))+0-90.2-0.138006000000005</f>
        <v>1843.7165770000001</v>
      </c>
      <c r="L349" s="3">
        <f>1951.5+(130.9-119.3)+(2.985795+(0.200277-0.182529))+0-82.8-0.126684000000005</f>
        <v>1883.1768589999999</v>
      </c>
      <c r="M349" s="3">
        <f>2213.9+(83-152.1)+(2.258178+(0.08466-0.155142))+0-98.7-0.100674000000016</f>
        <v>2048.1870220000005</v>
      </c>
      <c r="N349" s="3">
        <f>2328+(113-237)+(0+(0-0))+0-95-0</f>
        <v>2109</v>
      </c>
      <c r="O349" s="3">
        <f>2404.6+(131.2-304.3)+(-3.679038+(-0.200736--0.465579))+0-96.6--0.147798000000006</f>
        <v>2131.6336030000002</v>
      </c>
      <c r="P349" s="3">
        <f>2407.8+(113-239)+(0+(0-0))+0-90-0</f>
        <v>2191.8000000000002</v>
      </c>
      <c r="Q349" s="3">
        <f>2357+(108.2-218.2)+(-6.01035+(-0.27591--0.55641))+0-82.7--0.210884999999988</f>
        <v>2158.781035</v>
      </c>
      <c r="R349" s="3">
        <f>2356.9+(108.7-224.5)+(-2.404038+(-0.110874--0.22899))+0-90.7--0.0925140000000145</f>
        <v>2148.206592</v>
      </c>
      <c r="S349" s="3">
        <f>2362.6+(121.5-251.6)+(2.409852+(0.12393-0.256632))+0-65.8-0.0671160000000105</f>
        <v>2168.9100339999995</v>
      </c>
      <c r="T349" s="3">
        <f>2345.7+(122.1-248.8)+(-4.785228+(-0.249084--0.507552))+0-97.8--0.199511999999996</f>
        <v>2116.8727519999998</v>
      </c>
      <c r="U349" s="3">
        <f>2167+(106.9-149)+(0+(0-0))+0-65.9-0</f>
        <v>2059</v>
      </c>
      <c r="V349" s="3">
        <f>2061.9+(171.3-102.2)+(-1.051569+(-0.087363--0.052122))+0-98.1--0.05003099999999</f>
        <v>2031.8632210000003</v>
      </c>
      <c r="W349" s="3">
        <f>2064+(261.2-105.5)+(0+(0-0))+0-97.4-0</f>
        <v>2122.2999999999997</v>
      </c>
      <c r="X349" s="3">
        <f>2222+(245.9-149.3)+(0+(0-0))+0-101-0</f>
        <v>2217.6</v>
      </c>
      <c r="Y349" s="3">
        <f>2294.4+(128.3-148.2)+(-1.170144+(-0.065433--0.075582))+0-68.3--0.0348329999999931</f>
        <v>2205.074838</v>
      </c>
      <c r="Z349" s="3">
        <f>2300+(88.6-110.4)+(-5.865+(-0.22593--0.28152))+0-99.4--0.253469999999986</f>
        <v>2173.24406</v>
      </c>
      <c r="AA349" s="3">
        <f>2358.7+(63.4-131.5)+(0+(0-0))+0-95.7-0</f>
        <v>2194.9</v>
      </c>
      <c r="AB349" s="3">
        <f>2357.3+(109.5-253.9)+(-6.011115+(-0.279225--0.647445))+0-90.6--0.231029999999987</f>
        <v>2116.8881350000001</v>
      </c>
      <c r="AC349" s="3">
        <f>2199.4+(139.6-262.9)+(-5.60847+(-0.35598--0.670395))+0-95.9--0.244544999999986</f>
        <v>1975.15049</v>
      </c>
      <c r="AD349" s="2">
        <v>2340.2000000000003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2173.6+(139.6-287.2)+(-2.217072+(-0.142392--0.292944))+0-88.6--0.0903720000000141</f>
        <v>1935.4238520000001</v>
      </c>
      <c r="G350" s="3">
        <f>2045.3+(139.5-175.9)+(1.043103+(0.071145-0.089709))+0-97.9-0.0499289999999901</f>
        <v>1911.9746099999998</v>
      </c>
      <c r="H350" s="3">
        <f>1987.1+(139.3-138.8)+(0+(0-0))+0-86.8-0</f>
        <v>1900.8</v>
      </c>
      <c r="I350" s="3">
        <f>2085.4+(139.9-228.1)+(-3.190662+(-0.214047--0.348993))+0-93.9--0.143667000000005</f>
        <v>1900.3879509999999</v>
      </c>
      <c r="J350" s="3">
        <f>2040.7+(117.4-188.8)+(2.081514+(0.119748-0.192576))+0-76.2-0.0777240000000122</f>
        <v>1895.0309619999998</v>
      </c>
      <c r="K350" s="3">
        <f>2104.5+(56.2-214.6)+(-2.14659+(-0.057324--0.218892))+0-97.5--0.0994500000000155</f>
        <v>1846.7144279999998</v>
      </c>
      <c r="L350" s="3">
        <f>2194.6+(63.1-304.3)+(-2.238492+(-0.064362--0.310386))+0-83.9--0.0855780000000134</f>
        <v>1867.5931099999998</v>
      </c>
      <c r="M350" s="3">
        <f>2455.5+(91.9-390.2)+(2.50461+(0.093738-0.398004))+0-74.2-0.0756840000000118</f>
        <v>2085.1246599999999</v>
      </c>
      <c r="N350" s="3">
        <f>2525.6+(116.8-330.4)+(0+(0-0))+0-98.2-0</f>
        <v>2213.8000000000002</v>
      </c>
      <c r="O350" s="3">
        <f>2507.4+(114.1-354.1)+(0+(0-0))+0-66.6-0</f>
        <v>2200.8000000000002</v>
      </c>
      <c r="P350" s="3">
        <f>2494.5+(123.5-299.5)+(1.272195+(0.062985-0.152745))+0-91.5-0.0466649999999907</f>
        <v>2228.1357700000003</v>
      </c>
      <c r="Q350" s="3">
        <f>2484.9+(126.3-293.8)+(3.801897+(0.193239-0.449514))+0-84.6-0.129438000000005</f>
        <v>2236.2161840000003</v>
      </c>
      <c r="R350" s="3">
        <f>2455+(137.8-277.7)+(-5.0082+(-0.281112--0.566508))+0-95.5--0.194819999999996</f>
        <v>2215.0720160000001</v>
      </c>
      <c r="S350" s="3">
        <f>2407.5+(138.7-282.8)+(-2.45565+(-0.141474--0.288456))+0-77.7--0.0792540000000124</f>
        <v>2183.4705860000004</v>
      </c>
      <c r="T350" s="3">
        <f>2352.7+(139.3-257.9)+(0+(0-0))+0-89.2-0</f>
        <v>2144.9</v>
      </c>
      <c r="U350" s="3">
        <f>2343.3+(118.2-248.8)+(1.195083+(0.060282-0.126888))+0-102.9-0.0524789999999896</f>
        <v>2110.8759980000004</v>
      </c>
      <c r="V350" s="3">
        <f>2338.8+(104.4-242.2)+(-1.192788+(-0.053244--0.123522))+0-95--0.0484499999999904</f>
        <v>2104.9259399999996</v>
      </c>
      <c r="W350" s="3">
        <f>2357.9+(61.3-103.3)+(-1.202529+(-0.031263--0.052683))+0-96.8--0.0493679999999902</f>
        <v>2217.9682589999998</v>
      </c>
      <c r="X350" s="3">
        <f>2242.4+(58.6-131.1)+(-2.287248+(-0.059772--0.133722))+0-82--0.0836400000000131</f>
        <v>2085.7703419999998</v>
      </c>
      <c r="Y350" s="3">
        <f>2244.9+(38.8-135.1)+(-3.434697+(-0.059364--0.206703))+0-85--0.130050000000005</f>
        <v>2060.4426920000001</v>
      </c>
      <c r="Z350" s="3">
        <f>2266.3+(21.6-133.7)+(0+(0-0))+0-91.2-0</f>
        <v>2063.0000000000005</v>
      </c>
      <c r="AA350" s="3">
        <f>2261.3+(80.8-191.4)+(0+(0-0))+0-93.9-0</f>
        <v>2056.8000000000002</v>
      </c>
      <c r="AB350" s="3">
        <f>2422.4+(115.4-220.7)+(-6.17712+(-0.29427--0.562785))+0-95.5--0.243524999999986</f>
        <v>2215.9349199999997</v>
      </c>
      <c r="AC350" s="3">
        <f>2390.9+(138.7-284.9)+(-9.754872+(-0.565896--1.162392))+0-90.8--0.370463999999992</f>
        <v>2145.1120880000003</v>
      </c>
      <c r="AD350" s="2">
        <v>2348.8000000000002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2199.5+(140.1-253.3)+(-4.48698+(-0.285804--0.516732))+0-98.5--0.200939999999996</f>
        <v>1983.7448879999999</v>
      </c>
      <c r="G351" s="3">
        <f>1970.8+(139.8-156.5)+(-3.015324+(-0.213894--0.239445))+0-69.9--0.106947000000004</f>
        <v>1881.3171739999998</v>
      </c>
      <c r="H351" s="3">
        <f>1889.3+(139.7-89.3)+(-3.854172+(-0.284988--0.182172))+0-102.2--0.208487999999996</f>
        <v>1833.7515000000001</v>
      </c>
      <c r="I351" s="3">
        <f>1851+(142.7-57.5)+(-1.88802+(-0.145554--0.05865))+0-93.8--0.095676000000015</f>
        <v>1840.5207519999999</v>
      </c>
      <c r="J351" s="3">
        <f>1856.9+(143.2-68.9)+(3.788076+(0.292128-0.140556))+0-80.5-0.164219999999996</f>
        <v>1854.4754280000002</v>
      </c>
      <c r="K351" s="3">
        <f>1854.3+(123.1-104.1)+(0+(0-0))+0-95-0</f>
        <v>1778.3</v>
      </c>
      <c r="L351" s="3">
        <f>1963.8+(54.9-165.3)+(3.004614+(0.083997-0.252909))+0-52.5-0.080325000000003</f>
        <v>1803.655377</v>
      </c>
      <c r="M351" s="3">
        <f>2260.6+(70.3-321.4)+(1.152906+(0.035853-0.163914))+0-30.4-0.0155039999999969</f>
        <v>1980.1093409999999</v>
      </c>
      <c r="N351" s="3">
        <f>2323.4+(100.1-334.2)+(1.184934+(0.051051-0.170442))+0-25.2-0.0128519999999974</f>
        <v>2065.1526910000007</v>
      </c>
      <c r="O351" s="3">
        <f>2310.2+(108.9-345.6)+(2.356404+(0.111078-0.352512))+0-27.8-0.0283560000000044</f>
        <v>2047.7866140000001</v>
      </c>
      <c r="P351" s="3">
        <f>2300.5+(90.4-294.3)+(0+(0-0))+0-27.2-0</f>
        <v>2069.4</v>
      </c>
      <c r="Q351" s="3">
        <f>2326.9+(107.1-290.9)+(-3.560157+(-0.163863--0.445077))+0-25.2--0.0385560000000015</f>
        <v>2114.6596130000003</v>
      </c>
      <c r="R351" s="3">
        <f>2315.5+(103.5-318.6)+(-7.08543+(-0.31671--0.974916))+0-28.2--0.0862920000000033</f>
        <v>2065.8590680000002</v>
      </c>
      <c r="S351" s="3">
        <f>2317.3+(104.2-320.5)+(2.363646+(0.106284-0.32691))+0-27.5-0.0280500000000044</f>
        <v>2075.6149700000001</v>
      </c>
      <c r="T351" s="3">
        <f>2320.9+(91.2-368.8)+(0+(0-0))+0-29.5-0</f>
        <v>2013.8000000000002</v>
      </c>
      <c r="U351" s="3">
        <f>2438.2+(98.8-432.2)+(-1.243482+(-0.050388--0.220422))+0-72.7--0.0370769999999926</f>
        <v>2031.0636289999995</v>
      </c>
      <c r="V351" s="3">
        <f>2445.5+(87.2-401)+(-1.247205+(-0.044472--0.20451))+0-85.3--0.0435029999999913</f>
        <v>2045.3563359999998</v>
      </c>
      <c r="W351" s="3">
        <f>2422.3+(39-241.9)+(-1.235373+(-0.01989--0.123369))+0-87.1--0.0444209999999912</f>
        <v>2131.2125270000001</v>
      </c>
      <c r="X351" s="3">
        <f>2697.3+(0-274.3)+(-1.375623+(0--0.139893))+0-91.3--0.0465629999999907</f>
        <v>2330.5108329999998</v>
      </c>
      <c r="Y351" s="3">
        <f>2878.5+(0-419.9)+(-1.468035+(0--0.214149))+0-90.3--0.0460529999999908</f>
        <v>2367.0921669999998</v>
      </c>
      <c r="Z351" s="3">
        <f>2922.8+(32-526.9)+(-4.471884+(-0.04896--0.806157))+0-73--0.111690000000004</f>
        <v>2351.2970030000001</v>
      </c>
      <c r="AA351" s="3">
        <f>2752+(100-464.8)+(-5.61408+(-0.204--0.948192))+0-92.3--0.188291999999996</f>
        <v>2290.2184039999993</v>
      </c>
      <c r="AB351" s="3">
        <f>2626.6+(126-434.5)+(-6.69783+(-0.3213--1.107975))+0-85.7--0.218534999999988</f>
        <v>2226.7073800000003</v>
      </c>
      <c r="AC351" s="3">
        <f>2482.9+(140.2-402.4)+(-3.798837+(-0.214506--0.615672))+0-81.8--0.125154000000005</f>
        <v>2135.6274829999998</v>
      </c>
      <c r="AD351" s="2">
        <v>2382.4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2387.1+(141.2-393.2)+(-2.434842+(-0.144024--0.401064))+0-97.5--0.0994500000000155</f>
        <v>2035.5216479999997</v>
      </c>
      <c r="G352" s="3">
        <f>2215.2+(140.7-355.4)+(-4.519008+(-0.287028--0.725016))+0-94.6--0.192983999999996</f>
        <v>1902.0119639999998</v>
      </c>
      <c r="H352" s="3">
        <f>2055.6+(140.8-347.2)+(3.145068+(0.215424-0.531216))+0-93.9-0.143667000000005</f>
        <v>1757.9856089999996</v>
      </c>
      <c r="I352" s="3">
        <f>2113.7+(141.1-425.8)+(1.077987+(0.071961-0.217158))+0-69.5-0.0354449999999929</f>
        <v>1760.3973449999999</v>
      </c>
      <c r="J352" s="3">
        <f>2156.2+(118.8-426.2)+(4.398648+(0.242352-0.869448))+0-90-0.183599999999996</f>
        <v>1762.3879519999996</v>
      </c>
      <c r="K352" s="3">
        <f>2243.7+(59.6-438.7)+(-5.721435+(-0.15198--1.118685))+0-92.7--0.236384999999987</f>
        <v>1767.3816549999997</v>
      </c>
      <c r="L352" s="3">
        <f>2360.8+(50.3-482.6)+(0+(0-0))+0-85.9-0</f>
        <v>1842.6000000000001</v>
      </c>
      <c r="M352" s="3">
        <f>2571.9+(74.4-547.3)+(0+(0-0))+0-97.5-0</f>
        <v>2001.5</v>
      </c>
      <c r="N352" s="3">
        <f>2610.4+(103.8-534)+(3.993912+(0.158814-0.81702))+0-80.4-0.123012000000005</f>
        <v>2103.012694</v>
      </c>
      <c r="O352" s="3">
        <f>2617+(112.1-526.3)+(4.00401+(0.171513-0.805239))+0-94.9-0.145197000000005</f>
        <v>2111.1250870000003</v>
      </c>
      <c r="P352" s="3">
        <f>2776.4+(101.6-596)+(1.415964+(0.051816-0.30396))+0-91.2-0.0465119999999907</f>
        <v>2191.9173080000005</v>
      </c>
      <c r="Q352" s="3">
        <f>2786.5+(113.2-584.6)+(-4.263345+(-0.173196--0.894438))+0-86.6--0.132498000000005</f>
        <v>2225.0903949999997</v>
      </c>
      <c r="R352" s="3">
        <f>2663.1+(106.4-500.2)+(-4.074543+(-0.162792--0.765306))+0-88.6--0.135558000000005</f>
        <v>2177.3635290000002</v>
      </c>
      <c r="S352" s="3">
        <f>2637.5+(98.8-487.3)+(-4.035375+(-0.151164--0.745569))+0-90.7--0.138771000000005</f>
        <v>2154.997801</v>
      </c>
      <c r="T352" s="3">
        <f>2671.3+(91.6-553.6)+(-1.362363+(-0.046716--0.282336))+0-87.4--0.0445739999999911</f>
        <v>2120.8178310000003</v>
      </c>
      <c r="U352" s="3">
        <f>2707.9+(88.6-561.7)+(-2.762058+(-0.090372--0.572934))+0-99--0.100980000000016</f>
        <v>2133.6214840000002</v>
      </c>
      <c r="V352" s="3">
        <f>2650.3+(59.2-471.7)+(0+(0-0))+0-75.5-0</f>
        <v>2162.3000000000002</v>
      </c>
      <c r="W352" s="3">
        <f>2680.9+(17.7-304.3)+(0+(0-0))+0-95.9-0</f>
        <v>2298.4</v>
      </c>
      <c r="X352" s="3">
        <f>2833.4+(0-335.2)+(-2.890068+(0--0.341904))+0-90.2--0.0920040000000144</f>
        <v>2405.5438400000007</v>
      </c>
      <c r="Y352" s="3">
        <f>2820+(0-334.8)+(-10.0674+(0--1.195236))+0-92.1--0.328797000000001</f>
        <v>2384.5566330000001</v>
      </c>
      <c r="Z352" s="3">
        <f>2826.9+(30-373.8)+(0+(0-0))+0-93.6-0</f>
        <v>2389.5</v>
      </c>
      <c r="AA352" s="3">
        <f>2695.1+(95.2-338.3)+(-8.247006+(-0.291312--1.035198))+0-99.1--0.303246000000011</f>
        <v>2345.7001260000002</v>
      </c>
      <c r="AB352" s="3">
        <f>2600.3+(141.1-433.8)+(-10.609224+(-0.575688--1.769904))+0-91.7--0.374135999999992</f>
        <v>2206.8591280000005</v>
      </c>
      <c r="AC352" s="3">
        <f>2546.6+(141-497.1)+(-5.195064+(-0.28764--1.014084))+0-89.3--0.182171999999996</f>
        <v>2096.9135519999995</v>
      </c>
      <c r="AD352" s="2">
        <v>2413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2378.7+(140-461.4)+(-1.213137+(-0.0714--0.235314))+0-63.5--0.0323849999999936</f>
        <v>1992.7831619999997</v>
      </c>
      <c r="G353" s="3">
        <f>2052.5+(139.9-227.5)+(-2.09355+(-0.142698--0.23205))+0-70.4--0.0718080000000112</f>
        <v>1892.5676099999998</v>
      </c>
      <c r="H353" s="3">
        <f>1763.5+(153.3-66.6)+(0.899385+(0.078183-0.033966))+0-94.5-0.0481949999999904</f>
        <v>1756.595407</v>
      </c>
      <c r="I353" s="3">
        <f>1792.3+(139.6-92.9)+(0.914073+(0.071196-0.047379))+0-92.3-0.0470729999999906</f>
        <v>1747.590817</v>
      </c>
      <c r="J353" s="3">
        <f>1819.4+(133.6-152.5)+(2.783682+(0.204408-0.233325))+0-80.6-0.123318000000005</f>
        <v>1722.5314470000001</v>
      </c>
      <c r="K353" s="3">
        <f>2006.8+(77.6-297)+(-3.070404+(-0.118728--0.45441))+0-85.4--0.130662000000005</f>
        <v>1699.3959399999999</v>
      </c>
      <c r="L353" s="3">
        <f>1939.7+(74.9-237)+(-0.989247+(-0.038199--0.12087))+0-99.9--0.0509489999999899</f>
        <v>1676.8443729999999</v>
      </c>
      <c r="M353" s="3">
        <f>2034.7+(76.7-332.8)+(2.075394+(0.078234-0.339456))+0-32.9-0.0335580000000052</f>
        <v>1747.4806139999998</v>
      </c>
      <c r="N353" s="3">
        <f>2306.6+(97.8-526.8)+(1.176366+(0.049878-0.268668))+0-32.9-0.0167789999999967</f>
        <v>1845.6407969999998</v>
      </c>
      <c r="O353" s="3">
        <f>2365.7+(99.5-502.1)+(0+(0-0))+0-69.7-0</f>
        <v>1893.3999999999999</v>
      </c>
      <c r="P353" s="3">
        <f>2435.1+(88.1-485.4)+(0+(0-0))+0-94.3-0</f>
        <v>1943.5</v>
      </c>
      <c r="Q353" s="3">
        <f>2561.1+(82.3-574.2)+(-1.306161+(-0.041973--0.292842))+0-80.2--0.0409019999999919</f>
        <v>1987.9856099999997</v>
      </c>
      <c r="R353" s="3">
        <f>2502.7+(80.4-532.7)+(-5.105508+(-0.164016--1.086708))+0-92.2--0.188087999999996</f>
        <v>1954.2052719999997</v>
      </c>
      <c r="S353" s="3">
        <f>2465.7+(71.7-471)+(-1.257507+(-0.036567--0.24021))+0-79.2--0.040391999999992</f>
        <v>1986.1865279999995</v>
      </c>
      <c r="T353" s="3">
        <f>2410.7+(52-446.8)+(1.229457+(0.02652-0.227868))+0-85.1-0.0434009999999914</f>
        <v>1931.7847080000001</v>
      </c>
      <c r="U353" s="3">
        <f>2318.7+(43.9-388.7)+(2.365074+(0.044778-0.396474))+0-80.2-0.0818040000000128</f>
        <v>1895.631574</v>
      </c>
      <c r="V353" s="3">
        <f>2272.1+(1-344.5)+(-3.476313+(-0.00153--0.527085))+0-77.4--0.118422000000004</f>
        <v>1848.3676639999999</v>
      </c>
      <c r="W353" s="3">
        <f>2352.9+(0-338.6)+(4.799916+(0-0.690744))+0-67.3-0.137291999999997</f>
        <v>1950.9718800000003</v>
      </c>
      <c r="X353" s="3">
        <f>2470.4+(0-349.3)+(-2.519808+(0--0.356286))+0-81--0.0826200000000129</f>
        <v>2038.019098</v>
      </c>
      <c r="Y353" s="3">
        <f>2342.7+(0-329.9)+(-4.779108+(0--0.672996))+0-82.5--0.168299999999996</f>
        <v>1926.3621879999998</v>
      </c>
      <c r="Z353" s="3">
        <f>2259.2+(0-299)+(-4.608768+(0--0.60996))+0-84.6--0.172583999999996</f>
        <v>1871.7737759999998</v>
      </c>
      <c r="AA353" s="3">
        <f>2314.8+(0-363.6)+(3.541644+(0-0.556308))+0-84.2-0.128826000000005</f>
        <v>1869.8565100000001</v>
      </c>
      <c r="AB353" s="3">
        <f>2265.6+(0-429.1)+(-5.77728+(0--1.094205))+0-89--0.226949999999987</f>
        <v>1743.0438750000001</v>
      </c>
      <c r="AC353" s="3">
        <f>2222.2+(0-463.7)+(0+(0-0))+0-84.2-0</f>
        <v>1674.2999999999997</v>
      </c>
      <c r="AD353" s="2">
        <v>1949.6999999999998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2127+(0-420.6)+(-2.16954+(0--0.429012))+0-65.5--0.0668100000000104</f>
        <v>1639.2262820000001</v>
      </c>
      <c r="G354" s="3">
        <f>1895.8+(0-282.7)+(0+(0-0))+0-83.6-0</f>
        <v>1529.5</v>
      </c>
      <c r="H354" s="3">
        <f>1841.1+(0-272.2)+(0+(0-0))+0-70.9-0</f>
        <v>1497.9999999999998</v>
      </c>
      <c r="I354" s="3">
        <f>1825.8+(0-226.5)+(-4.65579+(0--0.577575))+0-76.3--0.194564999999989</f>
        <v>1519.11635</v>
      </c>
      <c r="J354" s="3">
        <f>1808.6+(0-236)+(-0.922386+(0--0.12036))+0-85.9--0.0438089999999913</f>
        <v>1485.9417829999998</v>
      </c>
      <c r="K354" s="3">
        <f>1807.9+(0-283.4)+(0+(0-0))+0-79.8-0</f>
        <v>1444.7</v>
      </c>
      <c r="L354" s="3">
        <f>1750+(0-298.5)+(-1.785+(0--0.30447))+0-86.2--0.0879240000000137</f>
        <v>1363.9073939999998</v>
      </c>
      <c r="M354" s="3">
        <f>1843.4+(0-360.1)+(0.940134+(0-0.183651))+0-82.4-0.0420239999999916</f>
        <v>1401.6144589999999</v>
      </c>
      <c r="N354" s="3">
        <f>1938.4+(0-430.7)+(-2.965752+(0--0.658971))+0-72.6--0.111078000000004</f>
        <v>1432.904297</v>
      </c>
      <c r="O354" s="3">
        <f>1943.4+(0-411.8)+(2.973402+(0-0.630054))+0-76.9-0.117657000000004</f>
        <v>1456.9256910000001</v>
      </c>
      <c r="P354" s="3">
        <f>1930.3+(0-384.7)+(0+(0-0))+0-84.1-0</f>
        <v>1461.5</v>
      </c>
      <c r="Q354" s="3">
        <f>1962.5+(48.9-400.6)+(2.00175+(0.049878-0.408612))+0-79.2-0.0807840000000126</f>
        <v>1533.1622319999999</v>
      </c>
      <c r="R354" s="3">
        <f>1953+(75.9-427.1)+(-0.99603+(-0.038709--0.217821))+0-75--0.0382499999999924</f>
        <v>1526.021332</v>
      </c>
      <c r="S354" s="3">
        <f>1963.9+(91.7-455.6)+(-4.006356+(-0.187068--0.929424))+0-78.4--0.159935999999997</f>
        <v>1518.495936</v>
      </c>
      <c r="T354" s="3">
        <f>1978.8+(80.7-503)+(-2.018376+(-0.082314--0.51306))+0-22--0.0224400000000035</f>
        <v>1532.93481</v>
      </c>
      <c r="U354" s="3">
        <f>1970.9+(60.3-447.6)+(-1.005159+(-0.030753--0.228276))+0-75.2--0.0383519999999924</f>
        <v>1507.6307160000001</v>
      </c>
      <c r="V354" s="3">
        <f>1977.7+(54-469.2)+(-2.017254+(-0.05508--0.478584))+0-38.2--0.0389640000000061</f>
        <v>1522.745214</v>
      </c>
      <c r="W354" s="3">
        <f>1969.2+(13.3-293.7)+(-3.012876+(-0.020349--0.449361))+0-87.3--0.133569000000005</f>
        <v>1599.0497050000004</v>
      </c>
      <c r="X354" s="3">
        <f>2038.8+(0-258.2)+(3.119364+(0-0.395046))+0-71.7-0.109701000000004</f>
        <v>1711.5146169999998</v>
      </c>
      <c r="Y354" s="3">
        <f>2057.7+(0-305.3)+(-2.098854+(0--0.311406))+0-83.6--0.0852720000000133</f>
        <v>1667.0978239999999</v>
      </c>
      <c r="Z354" s="3">
        <f>2104.9+(0-325.1)+(-4.293996+(0--0.663204))+0-89.9--0.183395999999996</f>
        <v>1686.4526040000001</v>
      </c>
      <c r="AA354" s="3">
        <f>2075.7+(56.6-350)+(-4.234428+(-0.115464--0.714))+0-88.5--0.180539999999996</f>
        <v>1690.3446479999998</v>
      </c>
      <c r="AB354" s="3">
        <f>2036.3+(91.6-371.3)+(-6.231078+(-0.280296--1.136178))+0-78.8--0.241128000000009</f>
        <v>1672.6659320000001</v>
      </c>
      <c r="AC354" s="3">
        <f>2000.7+(92.5-381.9)+(-4.081428+(-0.1887--0.779076))+0-66.3--0.135251999999997</f>
        <v>1641.6442000000002</v>
      </c>
      <c r="AD354" s="2">
        <v>1955.9999999999998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2007.3+(97.8-363)+(-3.071169+(-0.149634--0.55539))+0-82.2--0.125766000000005</f>
        <v>1657.360353</v>
      </c>
      <c r="G355" s="3">
        <f>1977.8+(104.3-340.8)+(0+(0-0))+0-78-0</f>
        <v>1663.3</v>
      </c>
      <c r="H355" s="3">
        <f>1896.9+(104.1-284.7)+(-2.902257+(-0.159273--0.435591))+0-94.3--0.144279000000005</f>
        <v>1619.5183400000003</v>
      </c>
      <c r="I355" s="3">
        <f>1820.3+(110.4-255.9)+(0.928353+(0.056304-0.130509))+0-91.9-0.0468689999999907</f>
        <v>1583.7072789999997</v>
      </c>
      <c r="J355" s="3">
        <f>1763.5+(102.3-214.7)+(4.496925+(0.260865-0.547485))+0-93.2-0.237659999999986</f>
        <v>1561.8726449999999</v>
      </c>
      <c r="K355" s="3">
        <f>1823.8+(57-249.7)+(2.790414+(0.08721-0.382041))+0-96-0.146880000000006</f>
        <v>1537.4487029999998</v>
      </c>
      <c r="L355" s="3">
        <f>1917.7+(54.6-305.3)+(-0.978027+(-0.027846--0.155703))+0-77.3--0.0394229999999922</f>
        <v>1588.8892530000001</v>
      </c>
      <c r="M355" s="3">
        <f>2058.3+(57.9-303.7)+(2.099466+(0.059058-0.309774))+0-97.3-0.0992460000000155</f>
        <v>1716.9495040000004</v>
      </c>
      <c r="N355" s="3">
        <f>2193.3+(69.1-379.9)+(1.118583+(0.035241-0.193749))+0-82.6-0.0421259999999916</f>
        <v>1800.8179490000002</v>
      </c>
      <c r="O355" s="3">
        <f>2245+(78.1-407.4)+(3.43485+(0.119493-0.623322))+0-85.8-0.131274000000005</f>
        <v>1832.6997470000001</v>
      </c>
      <c r="P355" s="3">
        <f>2259.4+(80.7-382.8)+(3.456882+(0.123471-0.585684))+0-87.6-0.134028000000005</f>
        <v>1872.5606410000003</v>
      </c>
      <c r="Q355" s="3">
        <f>2269+(91.7-387.6)+(-5.78595+(-0.233835--0.98838))+0-88.9--0.226694999999987</f>
        <v>1879.3952899999999</v>
      </c>
      <c r="R355" s="3">
        <f>2141.8+(82.8-262.7)+(0+(0-0))+0-73.9-0</f>
        <v>1888</v>
      </c>
      <c r="S355" s="3">
        <f>2061.4+(92.2-220.3)+(0+(0-0))+0-98.7-0</f>
        <v>1834.6000000000001</v>
      </c>
      <c r="T355" s="3">
        <f>2110.3+(97.9-335)+(0+(0-0))+0-68.4-0</f>
        <v>1804.8000000000002</v>
      </c>
      <c r="U355" s="3">
        <f>2219.7+(89.1-373.8)+(2.264094+(0.090882-0.381276))+0-47.2-0.0481440000000075</f>
        <v>1889.7255559999996</v>
      </c>
      <c r="V355" s="3">
        <f>2266.5+(56.5-338.2)+(3.467745+(0.086445-0.517446))+0-67.5-0.103275000000004</f>
        <v>1920.233469</v>
      </c>
      <c r="W355" s="3">
        <f>2280+(1.6-193.4)+(2.3256+(0.001632-0.197268))+0-66.7-0.0680340000000106</f>
        <v>2023.5619300000001</v>
      </c>
      <c r="X355" s="3">
        <f>2319.3+(72.2-167.5)+(2.365686+(0.073644-0.17085))+0-91.6-0.0934320000000146</f>
        <v>2134.5750480000002</v>
      </c>
      <c r="Y355" s="3">
        <f>2319.4+(40.8-158.5)+(0+(0-0))+0-89.7-0</f>
        <v>2112.0000000000005</v>
      </c>
      <c r="Z355" s="3">
        <f>2285+(58.5-129.6)+(0+(0-0))+0-95.1-0</f>
        <v>2118.8000000000002</v>
      </c>
      <c r="AA355" s="3">
        <f>2234.5+(65.7-145.2)+(1.139595+(0.033507-0.074052))+0-89.8-0.0457979999999909</f>
        <v>2066.2532519999995</v>
      </c>
      <c r="AB355" s="3">
        <f>2205.4+(86.5-193.1)+(-3.374262+(-0.132345--0.295443))+0-91.2--0.139536000000005</f>
        <v>2004.5283720000002</v>
      </c>
      <c r="AC355" s="3">
        <f>2182.9+(100.4-215.9)+(3.339837+(0.153612-0.330327))+0-102.5-0.156825000000006</f>
        <v>1967.906297</v>
      </c>
      <c r="AD355" s="2">
        <v>2126.4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2165.8+(103-300.1)+(-4.418232+(-0.21012--0.612204))+0-48.9--0.0997559999999979</f>
        <v>1915.8836080000003</v>
      </c>
      <c r="G356" s="3">
        <f>2109.6+(104.1-226.9)+(-4.303584+(-0.212364--0.462876))+0-96.4--0.196655999999996</f>
        <v>1886.543584</v>
      </c>
      <c r="H356" s="3">
        <f>1840.5+(104.4-114.1)+(-2.815965+(-0.159732--0.174573))+0-90.4--0.138312000000005</f>
        <v>1737.7371879999998</v>
      </c>
      <c r="I356" s="3">
        <f>1774.6+(118.3-100.6)+(-1.810092+(-0.120666--0.102612))+0-92.7--0.0945540000000148</f>
        <v>1697.8664079999999</v>
      </c>
      <c r="J356" s="3">
        <f>1857.9+(99.7-127)+(-0.947529+(-0.050847--0.06477))+0-80.8--0.0412079999999918</f>
        <v>1748.9076020000002</v>
      </c>
      <c r="K356" s="3">
        <f>1977.8+(75.2-184.6)+(-2.017356+(-0.076704--0.188292))+0-95--0.0969000000000152</f>
        <v>1771.5911319999998</v>
      </c>
      <c r="L356" s="3">
        <f>1989.6+(67.3-209.2)+(-2.029392+(-0.068646--0.213384))+0-93--0.0948600000000148</f>
        <v>1752.9102059999998</v>
      </c>
      <c r="M356" s="3">
        <f>2119.8+(62.7-212.2)+(0+(0-0))+0-85-0</f>
        <v>1885.3000000000002</v>
      </c>
      <c r="N356" s="3">
        <f>2173.4+(88.5-228)+(5.54217+(0.225675-0.5814))+0-74.2-0.189209999999989</f>
        <v>1964.6972350000001</v>
      </c>
      <c r="O356" s="3">
        <f>2068+(97.8-169)+(0+(0-0))+0-81.2-0</f>
        <v>1915.6</v>
      </c>
      <c r="P356" s="3">
        <f>2044.3+(127.4-115.6)+(0+(0-0))+0-99.9-0</f>
        <v>1956.1999999999998</v>
      </c>
      <c r="Q356" s="3">
        <f>1983.1+(171.4-115)+(-1.011381+(-0.087414--0.05865))+0-83.7--0.0426869999999915</f>
        <v>1954.8025419999999</v>
      </c>
      <c r="R356" s="3">
        <f>1982.3+(173.6-119.5)+(-6.065838+(-0.531216--0.36567))+0-90.7--0.277542000000011</f>
        <v>1939.7461579999999</v>
      </c>
      <c r="S356" s="3">
        <f>2006.4+(173-115.2)+(-1.023264+(-0.08823--0.058752))+0-94.6--0.0482459999999904</f>
        <v>1968.5955040000006</v>
      </c>
      <c r="T356" s="3">
        <f>2026.9+(87.7-122.3)+(-6.202314+(-0.268362--0.374238))+0-64.9--0.198594000000008</f>
        <v>1921.502156</v>
      </c>
      <c r="U356" s="3">
        <f>2083.2+(81-136.8)+(1.062432+(0.04131-0.069768))+0-84.3-0.0429929999999914</f>
        <v>1944.0909809999998</v>
      </c>
      <c r="V356" s="3">
        <f>2093.5+(92.6-122.1)+(2.13537+(0.094452-0.124542))+0-102.6-0.104652000000016</f>
        <v>1963.4006280000003</v>
      </c>
      <c r="W356" s="3">
        <f>2105.7+(164.1-125.4)+(2.147814+(0.167382-0.127908))+0-81.6-0.083232000000013</f>
        <v>2064.9040559999999</v>
      </c>
      <c r="X356" s="3">
        <f>2105.6+(249.6-160.2)+(0+(0-0))+0-96.8-0</f>
        <v>2098.1999999999998</v>
      </c>
      <c r="Y356" s="3">
        <f>2117.2+(207.7-161.6)+(0+(0-0))+0-94.6-0</f>
        <v>2068.6999999999998</v>
      </c>
      <c r="Z356" s="3">
        <f>2102.3+(174.8-121.4)+(-4.288692+(-0.356592--0.247656))+0-77.3--0.157691999999997</f>
        <v>2074.1600639999997</v>
      </c>
      <c r="AA356" s="3">
        <f>2103.8+(132.7-101.4)+(-3.218814+(-0.203031--0.155142))+0-97.2--0.148716000000006</f>
        <v>2034.7820130000005</v>
      </c>
      <c r="AB356" s="3">
        <f>2105.7+(90.1-187.3)+(-2.147814+(-0.091902--0.191046))+0-89.2--0.0909840000000142</f>
        <v>1917.3423139999998</v>
      </c>
      <c r="AC356" s="3">
        <f>2079.9+(94.9-201)+(-5.303745+(-0.241995--0.51255))+0-98.3--0.250664999999986</f>
        <v>1870.7174750000001</v>
      </c>
      <c r="AD356" s="2">
        <v>2183.1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1887.8+(113.8-124.4)+(-1.925556+(-0.116076--0.126888))+0-82.1--0.0837420000000131</f>
        <v>1793.2689980000002</v>
      </c>
      <c r="G357" s="3">
        <f>1818+(118.5-97.1)+(-1.85436+(-0.12087--0.099042))+0-95.1--0.0970020000000152</f>
        <v>1742.5208140000002</v>
      </c>
      <c r="H357" s="3">
        <f>1686.1+(158-62.5)+(0+(0-0))+0-89.7-0</f>
        <v>1691.8999999999999</v>
      </c>
      <c r="I357" s="3">
        <f>1694.2+(167.4-63.6)+(2.592126+(0.256122-0.097308))+0-90.7-0.138771000000005</f>
        <v>1709.9121689999999</v>
      </c>
      <c r="J357" s="3">
        <f>1683.3+(174.8-78.7)+(-0.858483+(-0.089148--0.040137))+0-84.7--0.0431969999999914</f>
        <v>1693.8357029999997</v>
      </c>
      <c r="K357" s="3">
        <f>1729+(129-112.1)+(0.88179+(0.06579-0.057171))+0-82.7-0.0421769999999916</f>
        <v>1664.0482320000001</v>
      </c>
      <c r="L357" s="3">
        <f>1832+(113-118.8)+(0+(0-0))+0-99.9-0</f>
        <v>1726.3</v>
      </c>
      <c r="M357" s="3">
        <f>1866.5+(140.1-120.4)+(1.90383+(0.142902-0.122808))+0-90.8-0.0926160000000145</f>
        <v>1797.2313080000001</v>
      </c>
      <c r="N357" s="3">
        <f>1939.2+(113.4-121.6)+(0.988992+(0.057834-0.062016))+0-70.7-0.0360569999999928</f>
        <v>1861.2487529999999</v>
      </c>
      <c r="O357" s="3">
        <f>2007.8+(104.6-132.1)+(2.047956+(0.106692-0.134742))+0-63.4-0.0646680000000101</f>
        <v>1918.8552379999999</v>
      </c>
      <c r="P357" s="3">
        <f>2009.2+(119.3-120.6)+(-1.024692+(-0.060843--0.061506))+0-93.6--0.0477359999999905</f>
        <v>1913.3237070000002</v>
      </c>
      <c r="Q357" s="3">
        <f>1984.4+(111.4-131.4)+(-5.06022+(-0.28407--0.33507))+0-65.5--0.16702499999999</f>
        <v>1894.0578050000001</v>
      </c>
      <c r="R357" s="3">
        <f>1982.7+(128.3-126)+(-4.044708+(-0.261732--0.25704))+0-90.8--0.185231999999996</f>
        <v>1890.335832</v>
      </c>
      <c r="S357" s="3">
        <f>1915.8+(154.5-114.3)+(0+(0-0))+0-103.9-0</f>
        <v>1852.1</v>
      </c>
      <c r="T357" s="3">
        <f>1902.5+(137-119.5)+(-0.970275+(-0.06987--0.060945))+0-93.2--0.0475319999999905</f>
        <v>1825.868332</v>
      </c>
      <c r="U357" s="3">
        <f>1901.6+(120.6-120.3)+(0+(0-0))+0-84.6-0</f>
        <v>1817.3</v>
      </c>
      <c r="V357" s="3">
        <f>1900.8+(123.9-117.6)+(-3.877632+(-0.252756--0.239904))+0-81--0.165239999999996</f>
        <v>1822.3747559999999</v>
      </c>
      <c r="W357" s="3">
        <f>1992.8+(186.7-122.4)+(0+(0-0))+0-82.2-0</f>
        <v>1974.8999999999999</v>
      </c>
      <c r="X357" s="3">
        <f>2169.7+(176.5-149.3)+(-1.106547+(-0.090015--0.076143))+0-87--0.0443699999999912</f>
        <v>2108.8239509999999</v>
      </c>
      <c r="Y357" s="3">
        <f>2172.2+(127.7-146.8)+(-2.215644+(-0.130254--0.149736))+0-97.1--0.0990420000000155</f>
        <v>2053.9028799999996</v>
      </c>
      <c r="Z357" s="3">
        <f>2166.4+(124.2-120.7)+(-2.209728+(-0.126684--0.123114))+0-98.5--0.100470000000016</f>
        <v>2069.2871719999998</v>
      </c>
      <c r="AA357" s="3">
        <f>2123.4+(144.8-100.4)+(-5.41467+(-0.36924--0.25602))+0-99--0.252449999999986</f>
        <v>2063.5245600000003</v>
      </c>
      <c r="AB357" s="3">
        <f>1978.6+(127.5-106)+(-3.027258+(-0.195075--0.16218))+0-81.5--0.124695000000005</f>
        <v>1915.664542</v>
      </c>
      <c r="AC357" s="3">
        <f>1828.4+(143.9-100.7)+(-2.797452+(-0.220167--0.154071))+0-96.9--0.148257000000006</f>
        <v>1771.9847090000001</v>
      </c>
      <c r="AD357" s="2">
        <v>2162.1999999999998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1715.9+(150.3-85.3)+(0.875109+(0.076653-0.043503))+0-55.7-0.0284069999999944</f>
        <v>1726.0798520000001</v>
      </c>
      <c r="G358" s="3">
        <f>1606.1+(197.3-60.7)+(-2.457333+(-0.301869--0.092871))+0-92.6--0.141678000000005</f>
        <v>1647.575347</v>
      </c>
      <c r="H358" s="3">
        <f>1556.8+(197.5-57.4)+(0+(0-0))+0-80.1-0</f>
        <v>1616.8</v>
      </c>
      <c r="I358" s="3">
        <f>1555.5+(204.4-57.5)+(-3.966525+(-0.52122--0.146625))+0-105.1--0.268004999999985</f>
        <v>1593.226885</v>
      </c>
      <c r="J358" s="3">
        <f>1561.2+(169.4-70.6)+(0+(0-0))+0-92.6-0</f>
        <v>1567.4</v>
      </c>
      <c r="K358" s="3">
        <f>1630.1+(123.1-105.1)+(1.662702+(0.125562-0.107202))+0-83.2-0.0848640000000133</f>
        <v>1566.496198</v>
      </c>
      <c r="L358" s="3">
        <f>1645.5+(128.7-115.2)+(-1.67841+(-0.131274--0.117504))+0-54.2--0.0552840000000086</f>
        <v>1603.163104</v>
      </c>
      <c r="M358" s="3">
        <f>1850.8+(47.6-143)+(1.887816+(0.048552-0.14586))+0-30.2-0.0308040000000048</f>
        <v>1726.9597039999999</v>
      </c>
      <c r="N358" s="3">
        <f>1966.9+(73.8-172.8)+(-1.003119+(-0.037638--0.088128))+0-29.5--0.015044999999997</f>
        <v>1837.4624160000003</v>
      </c>
      <c r="O358" s="3">
        <f>2018.6+(88.9-220.9)+(1.029486+(0.045339-0.112659))+0-29.7-0.015146999999997</f>
        <v>1857.8470189999998</v>
      </c>
      <c r="P358" s="3">
        <f>2148.2+(101.6-276.3)+(-3.286746+(-0.155448--0.422739))+0-26.9--0.0411570000000016</f>
        <v>1943.6217019999997</v>
      </c>
      <c r="Q358" s="3">
        <f>2079+(117.5-230.8)+(0+(0-0))+0-24.5-0</f>
        <v>1941.2</v>
      </c>
      <c r="R358" s="3">
        <f>1957.2+(114.1-178.4)+(-1.996344+(-0.116382--0.181968))+0-25.8--0.0263160000000041</f>
        <v>1865.1955580000001</v>
      </c>
      <c r="S358" s="3">
        <f>1808.1+(124.9-117.4)+(-1.844262+(-0.127398--0.119748))+0-54.6--0.0556920000000087</f>
        <v>1759.2037799999998</v>
      </c>
      <c r="T358" s="3">
        <f>1817.8+(112.1-112.4)+(1.854156+(0.114342-0.114648))+0-88.5-0.0902700000000141</f>
        <v>1730.76358</v>
      </c>
      <c r="U358" s="3">
        <f>1816.4+(128-108.5)+(0.926364+(0.06528-0.055335))+0-107-0.0545699999999891</f>
        <v>1729.781739</v>
      </c>
      <c r="V358" s="3">
        <f>1814.1+(133.6-121.6)+(0+(0-0))+0-93-0</f>
        <v>1733.1</v>
      </c>
      <c r="W358" s="3">
        <f>1972.3+(147.7-121.1)+(1.005873+(0.075327-0.061761))+0-95.8-0.0488579999999903</f>
        <v>1904.0705809999999</v>
      </c>
      <c r="X358" s="3">
        <f>2124.3+(185.5-172.1)+(0+(0-0))+0-86.5-0</f>
        <v>2051.2000000000003</v>
      </c>
      <c r="Y358" s="3">
        <f>2161.7+(137.1-165.1)+(-6.614802+(-0.419526--0.505206))+0-88.3--0.27019800000001</f>
        <v>2039.1410759999999</v>
      </c>
      <c r="Z358" s="3">
        <f>2185.8+(76.6-119)+(-2.229516+(-0.078132--0.12138))+0-78.6--0.0801720000000125</f>
        <v>2062.6939040000002</v>
      </c>
      <c r="AA358" s="3">
        <f>2135.1+(123.3-100.4)+(-4.355604+(-0.251532--0.204816))+0-92--0.187679999999996</f>
        <v>2061.7853599999999</v>
      </c>
      <c r="AB358" s="3">
        <f>1947.3+(161.3-84.8)+(-3.972492+(-0.329052--0.172992))+0-87--0.177479999999996</f>
        <v>1932.8489280000001</v>
      </c>
      <c r="AC358" s="3">
        <f>1905.1+(101.9-81.5)+(-4.858005+(-0.259845--0.207825))+0-90.3--0.230264999999987</f>
        <v>1830.5202400000001</v>
      </c>
      <c r="AD358" s="2">
        <v>2196.1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1933.3+(100.7-196.2)+(-4.929915+(-0.256785--0.50031))+0-66.2--0.16880999999999</f>
        <v>1767.0824199999997</v>
      </c>
      <c r="G359" s="3">
        <f>1664.7+(130.7-62.6)+(-4.244985+(-0.333285--0.15963))+0-99.4--0.253469999999986</f>
        <v>1629.2348299999996</v>
      </c>
      <c r="H359" s="3">
        <f>1614.2+(143.5-61.5)+(-0.823242+(-0.073185--0.031365))+0-96.6--0.0492659999999902</f>
        <v>1598.784204</v>
      </c>
      <c r="I359" s="3">
        <f>1612.6+(144.4-62.9)+(-0.822426+(-0.073644--0.032079))+0-90--0.0458999999999909</f>
        <v>1603.281909</v>
      </c>
      <c r="J359" s="3">
        <f>1710.9+(107.5-77.7)+(-4.362795+(-0.274125--0.198135))+0-90.5--0.230774999999987</f>
        <v>1645.99199</v>
      </c>
      <c r="K359" s="3">
        <f>1771.2+(91.6-118.7)+(-0.903312+(-0.046716--0.060537))+0-92.7--0.0472769999999906</f>
        <v>1650.5577860000001</v>
      </c>
      <c r="L359" s="3">
        <f>1773+(109.3-125.9)+(-2.71269+(-0.167229--0.192627))+0-98.9--0.151317000000006</f>
        <v>1654.964025</v>
      </c>
      <c r="M359" s="3">
        <f>2011.2+(69.3-130.8)+(0+(0-0))+0-100.8-0</f>
        <v>1848.9</v>
      </c>
      <c r="N359" s="3">
        <f>2101.1+(80.1-207.7)+(1.071561+(0.040851-0.105927))+0-50.1-0.0255509999999949</f>
        <v>1924.3809340000003</v>
      </c>
      <c r="O359" s="3">
        <f>2077.8+(98.7-194.1)+(-4.238712+(-0.201348--0.395964))+0-92.8--0.189311999999996</f>
        <v>1885.745216</v>
      </c>
      <c r="P359" s="3">
        <f>2100.5+(99.4-157.9)+(-2.14251+(-0.101388--0.161058))+0-96.8--0.0987360000000154</f>
        <v>1943.2158959999999</v>
      </c>
      <c r="Q359" s="3">
        <f>2097.6+(101.6-148.4)+(0+(0-0))+0-96.7-0</f>
        <v>1954.0999999999997</v>
      </c>
      <c r="R359" s="3">
        <f>2050.2+(108.5-115.2)+(-4.182408+(-0.22134--0.235008))+0-104.8--0.213791999999995</f>
        <v>1934.7450519999998</v>
      </c>
      <c r="S359" s="3">
        <f>2058.4+(110.3-135.8)+(-1.049784+(-0.056253--0.069258))+0-102.5--0.0522749999999896</f>
        <v>1929.4154960000001</v>
      </c>
      <c r="T359" s="3">
        <f>2049.6+(94.7-151)+(0+(0-0))+0-80.3-0</f>
        <v>1913</v>
      </c>
      <c r="U359" s="3">
        <f>2014.5+(89.9-136.4)+(2.05479+(0.091698-0.139128))+0-101.1-0.103122000000016</f>
        <v>1868.8042380000002</v>
      </c>
      <c r="V359" s="3">
        <f>2045.7+(85-101.2)+(-5.216535+(-0.21675--0.25806))+0-90.2--0.230009999999987</f>
        <v>1934.354785</v>
      </c>
      <c r="W359" s="3">
        <f>2055.3+(205.6-113.4)+(0+(0-0))+0-97.8-0</f>
        <v>2049.6999999999998</v>
      </c>
      <c r="X359" s="3">
        <f>2257.3+(214.9-166.5)+(-2.302446+(-0.219198--0.16983))+0-89.7--0.0914940000000143</f>
        <v>2213.7396800000006</v>
      </c>
      <c r="Y359" s="3">
        <f>2267.9+(160.4-159.1)+(-5.783145+(-0.40902--0.405705))+0-91.6--0.233579999999987</f>
        <v>2172.0471200000006</v>
      </c>
      <c r="Z359" s="3">
        <f>2268.3+(113.5-111.2)+(-4.627332+(-0.23154--0.226848))+0-60.2--0.122807999999997</f>
        <v>2205.8907840000006</v>
      </c>
      <c r="AA359" s="3">
        <f>2261.6+(155.3-92.4)+(-8.073912+(-0.554421--0.329868))+0-103.9--0.370923000000002</f>
        <v>2212.672458</v>
      </c>
      <c r="AB359" s="3">
        <f>2188.8+(142.9-83.4)+(-4.465152+(-0.291516--0.170136))+0-88.3--0.180131999999996</f>
        <v>2155.5936000000002</v>
      </c>
      <c r="AC359" s="3">
        <f>2051.1+(149.3-76.3)+(-2.092122+(-0.152286--0.077826))+0-91--0.0928200000000145</f>
        <v>2031.0262380000001</v>
      </c>
      <c r="AD359" s="2">
        <v>2244.4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1922+(125-67.8)+(-5.88132+(-0.3825--0.207468))+0-92.8--0.283968000000011</f>
        <v>1880.627616</v>
      </c>
      <c r="G360" s="3">
        <f>1893.5+(95.1-78.5)+(-2.897055+(-0.145503--0.120105))+0-92.9--0.142137000000005</f>
        <v>1814.419684</v>
      </c>
      <c r="H360" s="3">
        <f>1792.6+(133.7-56.3)+(-2.742678+(-0.204561--0.086139))+0-88.9--0.136017000000005</f>
        <v>1778.3749169999999</v>
      </c>
      <c r="I360" s="3">
        <f>1798.5+(123.2-63.1)+(-0.917235+(-0.062832--0.032181))+0-97.1--0.0495209999999901</f>
        <v>1760.601635</v>
      </c>
      <c r="J360" s="3">
        <f>1858.5+(94.2-106.5)+(-1.89567+(-0.096084--0.10863))+0-84.5--0.0861900000000135</f>
        <v>1759.9030660000001</v>
      </c>
      <c r="K360" s="3">
        <f>1876.6+(62.7-134.1)+(1.914132+(0.063954-0.136782))+0-83.6-0.0852720000000133</f>
        <v>1723.3560319999999</v>
      </c>
      <c r="L360" s="3">
        <f>1915.8+(78.2-130.7)+(-3.908232+(-0.159528--0.266628))+0-99.8--0.203591999999996</f>
        <v>1759.90246</v>
      </c>
      <c r="M360" s="3">
        <f>2160.5+(79.7-203.5)+(1.101855+(0.040647-0.103785))+0-89.5-0.0456449999999909</f>
        <v>1948.193072</v>
      </c>
      <c r="N360" s="3">
        <f>2193.8+(98.4-189.6)+(1.118838+(0.050184-0.096696))+0-78.7-0.040136999999992</f>
        <v>2024.9321890000003</v>
      </c>
      <c r="O360" s="3">
        <f>2195+(104-206.5)+(4.4778+(0.21216-0.42126))+0-72.9-0.148715999999997</f>
        <v>2023.7199840000001</v>
      </c>
      <c r="P360" s="3">
        <f>2151+(103.4-163.6)+(-2.19402+(-0.105468--0.166872))+0-70--0.0714000000000112</f>
        <v>2018.7387840000004</v>
      </c>
      <c r="Q360" s="3">
        <f>2127.2+(101.6-131.6)+(-5.42436+(-0.25908--0.33558))+0-88.8--0.226439999999987</f>
        <v>2003.2785799999999</v>
      </c>
      <c r="R360" s="3">
        <f>2124.9+(95.5-132.8)+(-5.418495+(-0.243525--0.33864))+0-96.2--0.245309999999986</f>
        <v>1986.3219300000001</v>
      </c>
      <c r="S360" s="3">
        <f>2130.3+(82.6-145.8)+(-4.345812+(-0.168504--0.297432))+0-93.3--0.190331999999996</f>
        <v>1969.7734480000004</v>
      </c>
      <c r="T360" s="3">
        <f>2145.4+(100.3-150.3)+(2.188308+(0.102306-0.153306))+0-97.9-0.0998580000000156</f>
        <v>1999.5374499999998</v>
      </c>
      <c r="U360" s="3">
        <f>2139+(100-117)+(0+(0-0))+0-90-0</f>
        <v>2032</v>
      </c>
      <c r="V360" s="3">
        <f>2106.9+(101.2-117.4)+(-3.223557+(-0.154836--0.179622))+0-82.7--0.126531000000005</f>
        <v>2004.9277600000005</v>
      </c>
      <c r="W360" s="3">
        <f>2149.3+(157.1-106.9)+(2.192286+(0.160242-0.109038))+0-92.8-0.0946560000000148</f>
        <v>2108.8488339999994</v>
      </c>
      <c r="X360" s="3">
        <f>2181.9+(224.4-118.1)+(2.225538+(0.228888-0.120462))+0-90-0.0918000000000144</f>
        <v>2200.442164</v>
      </c>
      <c r="Y360" s="3">
        <f>2164.2+(200.8-114.2)+(-3.311226+(-0.307224--0.174726))+0-91--0.139230000000005</f>
        <v>2156.4955059999998</v>
      </c>
      <c r="Z360" s="3">
        <f>2158.4+(190.8-104.9)+(-3.302352+(-0.291924--0.160497))+0-89.8--0.137394000000005</f>
        <v>2151.2036149999999</v>
      </c>
      <c r="AA360" s="3">
        <f>2168.4+(183-88.6)+(-1.105884+(-0.09333--0.045186))+0-93.6--0.0477359999999905</f>
        <v>2168.0937080000003</v>
      </c>
      <c r="AB360" s="3">
        <f>2155.8+(147.4-78.6)+(-5.49729+(-0.37587--0.20043))+0-88.2--0.224909999999987</f>
        <v>2130.9521800000007</v>
      </c>
      <c r="AC360" s="3">
        <f>2091.9+(135-80.8)+(-3.200607+(-0.20655--0.123624))+0-48.7--0.0745110000000028</f>
        <v>2094.1909780000001</v>
      </c>
      <c r="AD360" s="2">
        <v>2158.3000000000002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1910.5+(208.6-58.6)+(-3.89742+(-0.425544--0.119544))+0-83.4--0.170135999999996</f>
        <v>1973.066716</v>
      </c>
      <c r="G361" s="3">
        <f>1816.5+(220-53.9)+(-3.70566+(-0.4488--0.109956))+0-85.9--0.175235999999996</f>
        <v>1892.8307319999999</v>
      </c>
      <c r="H361" s="3">
        <f>1789.5+(140-68.3)+(-1.82529+(-0.1428--0.069666))+0-84.4--0.0860880000000135</f>
        <v>1774.987664</v>
      </c>
      <c r="I361" s="3">
        <f>1798.3+(185.9-188.6)+(2.751399+(0.284427-0.288558))+0-59.6-0.0911880000000034</f>
        <v>1738.65608</v>
      </c>
      <c r="J361" s="3">
        <f>1740.2+(151.1-71.6)+(-3.550008+(-0.308244--0.146064))+0-81.8--0.166871999999996</f>
        <v>1734.3546840000001</v>
      </c>
      <c r="K361" s="3">
        <f>1768+(163.4-110.2)+(-1.80336+(-0.166668--0.112404))+0-90.9--0.0927180000000145</f>
        <v>1728.5350940000001</v>
      </c>
      <c r="L361" s="3">
        <f>1762.1+(187.7-114.4)+(-0.898671+(-0.095727--0.058344))+0-79.4--0.0404939999999919</f>
        <v>1755.1044399999998</v>
      </c>
      <c r="M361" s="3">
        <f>1781.4+(223.4-106)+(0.908514+(0.113934-0.05406))+0-76.3-0.0389129999999923</f>
        <v>1823.4294750000001</v>
      </c>
      <c r="N361" s="3">
        <f>1857.4+(217.9-104.7)+(-0.947274+(-0.111129--0.053397))+0-73.2--0.0373319999999926</f>
        <v>1896.4323260000001</v>
      </c>
      <c r="O361" s="3">
        <f>1960.8+(198-102.9)+(-1.000008+(-0.10098--0.052479))+0-83.4--0.0425339999999915</f>
        <v>1971.4940249999997</v>
      </c>
      <c r="P361" s="3">
        <f>1979.7+(218.1-99.2)+(3.028941+(0.333693-0.151776))+0-88.2-0.134946000000005</f>
        <v>2013.4759119999999</v>
      </c>
      <c r="Q361" s="3">
        <f>1935.1+(233.5-92)+(-3.947604+(-0.47634--0.18768))+0-78.8--0.160751999999997</f>
        <v>1993.7244879999998</v>
      </c>
      <c r="R361" s="3">
        <f>1950.4+(226.5-91.1)+(-1.989408+(-0.23103--0.092922))+0-89.5--0.0912900000000143</f>
        <v>1994.2637740000002</v>
      </c>
      <c r="S361" s="3">
        <f>1931.5+(226.5-84)+(-3.94026+(-0.46206--0.17136))+0-90.3--0.184211999999996</f>
        <v>1979.6532520000001</v>
      </c>
      <c r="T361" s="3">
        <f>1965.9+(210.9-74.6)+(2.005218+(0.215118-0.076092))+0-87.8-0.089556000000014</f>
        <v>2016.4546880000005</v>
      </c>
      <c r="U361" s="3">
        <f>1934.7+(219.1-74.3)+(0.986697+(0.111741-0.037893))+0-87.2-0.0444719999999912</f>
        <v>1993.3160729999997</v>
      </c>
      <c r="V361" s="3">
        <f>1915.9+(241.1-91.4)+(1.954218+(0.245922-0.093228))+0-84.9-0.0865980000000135</f>
        <v>1982.7203139999999</v>
      </c>
      <c r="W361" s="3">
        <f>1920.1+(304.6-96.1)+(0+(0-0))+0-90.3-0</f>
        <v>2038.3</v>
      </c>
      <c r="X361" s="3">
        <f>1955.8+(349.5-103.6)+(1.994916+(0.35649-0.105672))+0-92.5-0.0943500000000148</f>
        <v>2111.3513840000001</v>
      </c>
      <c r="Y361" s="3">
        <f>1950.2+(316.8-103.5)+(-0.994602+(-0.161568--0.052785))+0-99.2--0.0505919999999899</f>
        <v>2063.2472070000003</v>
      </c>
      <c r="Z361" s="3">
        <f>1941.5+(307-94)+(-1.98033+(-0.31314--0.09588))+0-74.4--0.0758880000000119</f>
        <v>2077.9782979999995</v>
      </c>
      <c r="AA361" s="3">
        <f>1942.9+(322.1-76.7)+(-1.981758+(-0.328542--0.078234))+0-97.5--0.0994500000000155</f>
        <v>2088.6673840000003</v>
      </c>
      <c r="AB361" s="3">
        <f>1923.6+(290.8-66)+(-4.90518+(-0.74154--0.1683))+0-91.8--0.234089999999987</f>
        <v>2051.3556699999999</v>
      </c>
      <c r="AC361" s="3">
        <f>1811.9+(298.8-54)+(-2.772207+(-0.457164--0.08262))+0-101.8--0.155754000000006</f>
        <v>1951.9090030000002</v>
      </c>
      <c r="AD361" s="2">
        <v>2087.9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1730.6+(310-50.4)+(-5.295636+(-0.9486--0.154224))+0-88.8--0.27172800000001</f>
        <v>1895.5817159999999</v>
      </c>
      <c r="G362" s="3">
        <f>1717.5+(280-49.1)+(-4.379625+(-0.714--0.125205))+0-95.1--0.242504999999986</f>
        <v>1848.5740850000002</v>
      </c>
      <c r="H362" s="3">
        <f>1653.5+(279.3-48.5)+(-3.37314+(-0.569772--0.09894))+0-64.8--0.132191999999997</f>
        <v>1815.7882200000001</v>
      </c>
      <c r="I362" s="3">
        <f>1607.6+(278.1-51.5)+(0+(0-0))+0-76.8-0</f>
        <v>1757.3999999999999</v>
      </c>
      <c r="J362" s="3">
        <f>1615.7+(279.8-66.4)+(2.472021+(0.428094-0.101592))+0-83.5-0.127755000000005</f>
        <v>1748.2707680000001</v>
      </c>
      <c r="K362" s="3">
        <f>1717+(230.1-108.5)+(0+(0-0))+0-93.9-0</f>
        <v>1744.6999999999998</v>
      </c>
      <c r="L362" s="3">
        <f>1941.2+(123.1-117.1)+(-0.990012+(-0.062781--0.059721))+0-91.6--0.0467159999999907</f>
        <v>1854.6536440000002</v>
      </c>
      <c r="M362" s="3">
        <f>2120.3+(125.4-126.9)+(0+(0-0))+0-89.9-0</f>
        <v>2028.9</v>
      </c>
      <c r="N362" s="3">
        <f>2234.8+(125.8-142.3)+(-1.139748+(-0.064158--0.072573))+0-98.5--0.05023499999999</f>
        <v>2118.7189020000005</v>
      </c>
      <c r="O362" s="3">
        <f>2231.6+(124.8-127.4)+(-1.138116+(-0.063648--0.064974))+0-75.4--0.0384539999999924</f>
        <v>2152.5016639999999</v>
      </c>
      <c r="P362" s="3">
        <f>2299.9+(124.1-118)+(1.172949+(0.063291-0.06018))+0-86.3-0.0440129999999912</f>
        <v>2220.8320469999994</v>
      </c>
      <c r="Q362" s="3">
        <f>2306.4+(125.5-118.7)+(0+(0-0))+0-80-0</f>
        <v>2233.2000000000003</v>
      </c>
      <c r="R362" s="3">
        <f>2278.3+(125.4-79.4)+(-3.485799+(-0.191862--0.121482))+0-79.1--0.121023000000005</f>
        <v>2241.7648440000003</v>
      </c>
      <c r="S362" s="3">
        <f>2288.4+(126.7-79.5)+(1.167084+(0.064617-0.040545))+0-87.7-0.0447269999999911</f>
        <v>2249.046429</v>
      </c>
      <c r="T362" s="3">
        <f>2274.8+(125.1-119.1)+(-2.320296+(-0.127602--0.121482))+0-82.4--0.0840480000000131</f>
        <v>2196.1576320000004</v>
      </c>
      <c r="U362" s="3">
        <f>2264.8+(125.3-128.8)+(-4.620192+(-0.255612--0.262752))+0-95.2--0.194207999999996</f>
        <v>2161.6811560000001</v>
      </c>
      <c r="V362" s="3">
        <f>2262+(98.6-110.3)+(-6.92172+(-0.301716--0.337518))+0-62.7--0.191862000000007</f>
        <v>2180.9059440000005</v>
      </c>
      <c r="W362" s="3">
        <f>2273+(120-82.4)+(-9.27384+(-0.4896--0.336192))+0-90.9--0.370871999999992</f>
        <v>2210.6436239999998</v>
      </c>
      <c r="X362" s="3">
        <f>2358.7+(199.7-116.2)+(0+(0-0))+0-82.6-0</f>
        <v>2359.6</v>
      </c>
      <c r="Y362" s="3">
        <f>2328.9+(176.3-95.3)+(-5.938695+(-0.449565--0.243015))+0-93.6--0.238679999999986</f>
        <v>2310.393435</v>
      </c>
      <c r="Z362" s="3">
        <f>2328.8+(154.4-74.9)+(-5.93844+(-0.39372--0.190995))+0-78.9--0.201194999999989</f>
        <v>2323.4600300000002</v>
      </c>
      <c r="AA362" s="3">
        <f>2193.8+(271.4-58.6)+(-4.475352+(-0.553656--0.119544))+0-94.3--0.192371999999996</f>
        <v>2307.5829080000003</v>
      </c>
      <c r="AB362" s="3">
        <f>2032.8+(294.3-44.9)+(-1.036728+(-0.150093--0.022899))+0-93.9--0.0478889999999905</f>
        <v>2187.1839669999995</v>
      </c>
      <c r="AC362" s="3">
        <f>1835.1+(331.8-37.5)+(-4.679505+(-0.84609--0.095625))+0-98.1--0.250154999999986</f>
        <v>2026.120185</v>
      </c>
      <c r="AD362" s="2">
        <v>2281.6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1794.5+(326.2-49.7)+(-5.49117+(-0.998172--0.152082))+0-91.2--0.279072000000011</f>
        <v>1973.7418120000002</v>
      </c>
      <c r="G363" s="3">
        <f>1755.3+(302.1-47.6)+(-4.476015+(-0.770355--0.12138))+0-79--0.201449999999989</f>
        <v>1925.87646</v>
      </c>
      <c r="H363" s="3">
        <f>1659.7+(364-47.8)+(-3.385788+(-0.74256--0.097512))+0-98--0.199919999999996</f>
        <v>1874.0690840000002</v>
      </c>
      <c r="I363" s="3">
        <f>1644.4+(359.8-52.6)+(-5.031864+(-1.100988--0.160956))+0-89.1--0.27264600000001</f>
        <v>1856.8007500000003</v>
      </c>
      <c r="J363" s="3">
        <f>1626.6+(393.4-68.6)+(-2.488698+(-0.601902--0.104958))+0-97.2--0.148716000000006</f>
        <v>1851.3630739999996</v>
      </c>
      <c r="K363" s="3">
        <f>1665.6+(357.7-110.8)+(-0.849456+(-0.182427--0.056508))+0-98.8--0.05038799999999</f>
        <v>1812.7750129999999</v>
      </c>
      <c r="L363" s="3">
        <f>1706.3+(322.8-109)+(0+(0-0))+0-78.3-0</f>
        <v>1841.8</v>
      </c>
      <c r="M363" s="3">
        <f>1849.1+(295.5-101.7)+(1.886082+(0.30141-0.103734))+0-32.5-0.0331500000000052</f>
        <v>2012.4506079999999</v>
      </c>
      <c r="N363" s="3">
        <f>1938.9+(285.3-100.6)+(-0.988839+(-0.145503--0.051306))+0-28.6--0.0145859999999971</f>
        <v>2093.9315499999998</v>
      </c>
      <c r="O363" s="3">
        <f>1936.7+(307.1-96.4)+(0+(0-0))+0-24.4-0</f>
        <v>2123</v>
      </c>
      <c r="P363" s="3">
        <f>1963.9+(292-94.1)+(-5.007945+(-0.7446--0.239955))+0-18.2--0.0464099999999974</f>
        <v>2138.1338200000005</v>
      </c>
      <c r="Q363" s="3">
        <f>2027.6+(250.9-86.6)+(-1.034076+(-0.127959--0.044166))+0-20.6--0.0105059999999979</f>
        <v>2170.1926370000001</v>
      </c>
      <c r="R363" s="3">
        <f>2017.5+(247.6-87.3)+(-6.17355+(-0.757656--0.267138))+0-19.4--0.0593640000000022</f>
        <v>2151.7952960000002</v>
      </c>
      <c r="S363" s="3">
        <f>1978.7+(273.3-88)+(1.009137+(0.139383-0.04488))+0-65.2-0.0332519999999934</f>
        <v>2099.8703879999998</v>
      </c>
      <c r="T363" s="3">
        <f>1943.7+(275.5-83.7)+(-3.965148+(-0.56202--0.170748))+0-79.7--0.162587999999997</f>
        <v>2051.6061680000003</v>
      </c>
      <c r="U363" s="3">
        <f>1941.2+(269.9-79.8)+(-2.970036+(-0.412947--0.122094))+0-75.2--0.115056000000004</f>
        <v>2052.9541670000003</v>
      </c>
      <c r="V363" s="3">
        <f>1945.6+(277.6-89.9)+(0+(0-0))+0-75.5-0</f>
        <v>2057.7999999999997</v>
      </c>
      <c r="W363" s="3">
        <f>1987+(350-104)+(0+(0-0))+0-85-0</f>
        <v>2148</v>
      </c>
      <c r="X363" s="3">
        <f>2045.6+(284-88)+(1.043256+(0.14484-0.04488))+0-0-0</f>
        <v>2242.7432159999998</v>
      </c>
      <c r="Y363" s="3">
        <f>2062.2+(258-88)+(-1.051722+(-0.13158--0.04488))+0-0-0</f>
        <v>2231.0615779999998</v>
      </c>
      <c r="Z363" s="3">
        <f>2069.2+(353.5-71.6)+(-1.055292+(-0.180285--0.036516))+0-70.3--0.0358529999999929</f>
        <v>2279.6367919999998</v>
      </c>
      <c r="AA363" s="3">
        <f>2072.6+(345.6-56.2)+(-1.057026+(-0.176256--0.028662))+0-83.7--0.0426869999999915</f>
        <v>2277.1380670000003</v>
      </c>
      <c r="AB363" s="3">
        <f>2028.7+(299.7-43.1)+(-5.173185+(-0.764235--0.109905))+0-64.1--0.163454999999991</f>
        <v>2215.5359400000002</v>
      </c>
      <c r="AC363" s="3">
        <f>1794.9+(359.3-35.7)+(-3.661596+(-0.732972--0.072828))+0-54.9--0.111995999999998</f>
        <v>2059.3902560000001</v>
      </c>
      <c r="AD363" s="2">
        <v>2395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1704.3+(372.5-48.5)+(-3.476772+(-0.7599--0.09894))+0-76.5--0.156059999999997</f>
        <v>1947.8183280000001</v>
      </c>
      <c r="G364" s="3">
        <f>1712+(334.3-43.7)+(-2.61936+(-0.511479--0.066861))+0-84.5--0.129285000000005</f>
        <v>1915.165307</v>
      </c>
      <c r="H364" s="3">
        <f>1685.2+(340-45)+(-4.29726+(-0.867--0.11475))+0-88.5--0.225674999999987</f>
        <v>1886.8761649999999</v>
      </c>
      <c r="I364" s="3">
        <f>1580.3+(384.2-45.7)+(0.805953+(0.195942-0.023307))+0-79.4-0.0404939999999919</f>
        <v>1840.3380939999997</v>
      </c>
      <c r="J364" s="3">
        <f>1557.4+(392.4-65.1)+(-3.177096+(-0.800496--0.132804))+0-81.2--0.165647999999996</f>
        <v>1799.8208599999998</v>
      </c>
      <c r="K364" s="3">
        <f>1566.6+(382.1-103.8)+(-1.597932+(-0.389742--0.105876))+0-86.6--0.0883320000000138</f>
        <v>1756.5065340000001</v>
      </c>
      <c r="L364" s="3">
        <f>1599.4+(362.6-102.3)+(0+(0-0))+0-79-0</f>
        <v>1780.7</v>
      </c>
      <c r="M364" s="3">
        <f>1804+(331.2-96.7)+(-2.76012+(-0.506736--0.147951))+0-93.3--0.142749000000005</f>
        <v>1942.2238440000001</v>
      </c>
      <c r="N364" s="3">
        <f>1870.7+(360.9-98.7)+(-0.954057+(-0.184059--0.050337))+0-47--0.0239699999999952</f>
        <v>2084.8361910000003</v>
      </c>
      <c r="O364" s="3">
        <f>1845.3+(438.7-98.1)+(-4.705515+(-1.118685--0.250155))+0-92.5--0.235874999999987</f>
        <v>2088.0618300000001</v>
      </c>
      <c r="P364" s="3">
        <f>1852.6+(416.4-94.8)+(0.944826+(0.212364-0.048348))+0-22.5-0.0114749999999977</f>
        <v>2152.7973670000001</v>
      </c>
      <c r="Q364" s="3">
        <f>1844.3+(440.2-87.4)+(0.940593+(0.224502-0.044574))+0-62.1-0.0316709999999937</f>
        <v>2136.0888499999996</v>
      </c>
      <c r="R364" s="3">
        <f>1816.5+(468.3-89)+(-5.55849+(-1.432998--0.27234))+0-89.9--0.27509400000001</f>
        <v>2099.455946</v>
      </c>
      <c r="S364" s="3">
        <f>1832+(441.9-89.5)+(-3.73728+(-0.901476--0.18258))+0-88.5--0.180539999999996</f>
        <v>2091.6243639999998</v>
      </c>
      <c r="T364" s="3">
        <f>1836.8+(413.2-85.1)+(-1.873536+(-0.421464--0.086802))+0-85.3--0.0870060000000136</f>
        <v>2077.4788080000003</v>
      </c>
      <c r="U364" s="3">
        <f>1844.1+(382.6-87.4)+(-0.940491+(-0.195126--0.044574))+0-70.1--0.0357509999999929</f>
        <v>2068.1447080000003</v>
      </c>
      <c r="V364" s="3">
        <f>1830.3+(407.3-92.9)+(-2.800359+(-0.623169--0.142137))+0-93.5--0.143055000000005</f>
        <v>2048.0616639999998</v>
      </c>
      <c r="W364" s="3">
        <f>1874.7+(456.6-97.1)+(1.912194+(0.465732-0.099042))+0-100.4-0.102408000000016</f>
        <v>2135.9764759999994</v>
      </c>
      <c r="X364" s="3">
        <f>1942.8+(474.9-104.2)+(1.981656+(0.484398-0.106284))+0-74.3-0.0757860000000118</f>
        <v>2241.483984</v>
      </c>
      <c r="Y364" s="3">
        <f>2042.6+(437.9-100.3)+(-1.041726+(-0.223329--0.051153))+0-87.7--0.0447269999999911</f>
        <v>2291.330825</v>
      </c>
      <c r="Z364" s="3">
        <f>2026.3+(447.2-90.4)+(-5.167065+(-1.14036--0.23052))+0-90.9--0.231794999999987</f>
        <v>2286.3548900000001</v>
      </c>
      <c r="AA364" s="3">
        <f>2060.4+(379.4-74.3)+(0+(0-0))+0-83.1-0</f>
        <v>2282.4</v>
      </c>
      <c r="AB364" s="3">
        <f>2059.4+(322.1-59.8)+(-4.201176+(-0.657084--0.121992))+0-87.5--0.178499999999996</f>
        <v>2229.6422320000001</v>
      </c>
      <c r="AC364" s="3">
        <f>2081.2+(194-52.2)+(-5.30706+(-0.4947--0.13311))+0-90.2--0.230009999999987</f>
        <v>2127.3613599999999</v>
      </c>
      <c r="AD364" s="2">
        <v>2295.6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2115.5+(146.6-125.7)+(0+(0-0))+0-66.5-0</f>
        <v>2069.9</v>
      </c>
      <c r="G365" s="3">
        <f>2048.8+(146.1-86.7)+(-4.179552+(-0.298044--0.176868))+0-98.9--0.201755999999996</f>
        <v>2005.201028</v>
      </c>
      <c r="H365" s="3">
        <f>1872.4+(181.8-42.7)+(-5.729544+(-0.556308--0.130662))+0-85--0.26010000000001</f>
        <v>1920.60491</v>
      </c>
      <c r="I365" s="3">
        <f>1896+(152.6-50.5)+(-1.93392+(-0.155652--0.05151))+0-78.8--0.0803760000000126</f>
        <v>1917.342314</v>
      </c>
      <c r="J365" s="3">
        <f>1872.8+(162.6-62.3)+(-1.910256+(-0.165852--0.063546))+0-87--0.0887400000000139</f>
        <v>1884.1761779999999</v>
      </c>
      <c r="K365" s="3">
        <f>1841.1+(187.7-102.9)+(1.877922+(0.191454-0.104958))+0-87.1-0.0888420000000139</f>
        <v>1840.6755759999999</v>
      </c>
      <c r="L365" s="3">
        <f>1818.2+(179.7-98.9)+(-1.854564+(-0.183294--0.100878))+0-81.4--0.083028000000013</f>
        <v>1815.746048</v>
      </c>
      <c r="M365" s="3">
        <f>1898.6+(180.2-93.9)+(1.936572+(0.183804-0.095778))+0-87.3-0.0890460000000139</f>
        <v>1899.5355519999998</v>
      </c>
      <c r="N365" s="3">
        <f>1952.5+(197-95.6)+(-0.995775+(-0.10047--0.048756))+0-68--0.0346799999999931</f>
        <v>1984.887191</v>
      </c>
      <c r="O365" s="3">
        <f>2015+(224.8-96.2)+(0+(0-0))+0-82.7-0</f>
        <v>2060.9</v>
      </c>
      <c r="P365" s="3">
        <f>2009.5+(223.6-92.8)+(-1.024845+(-0.114036--0.047328))+0-77.2--0.0393719999999922</f>
        <v>2062.0478190000003</v>
      </c>
      <c r="Q365" s="3">
        <f>2043.1+(205.5-86.3)+(4.167924+(0.41922-0.176052))+0-77.9-0.158915999999997</f>
        <v>2088.6521759999996</v>
      </c>
      <c r="R365" s="3">
        <f>2024.9+(228.7-86.8)+(-4.130796+(-0.466548--0.177072))+0-85.9--0.175235999999996</f>
        <v>2076.6549640000003</v>
      </c>
      <c r="S365" s="3">
        <f>2033.3+(218-88.7)+(-2.073966+(-0.22236--0.090474))+0-82.1--0.0837420000000131</f>
        <v>2078.3778899999998</v>
      </c>
      <c r="T365" s="3">
        <f>2001+(206.3-85.1)+(-4.08204+(-0.420852--0.173604))+0-86.8--0.177071999999996</f>
        <v>2031.2477839999999</v>
      </c>
      <c r="U365" s="3">
        <f>1982.8+(183-85.3)+(-3.033684+(-0.27999--0.130509))+0-83.8--0.128214000000005</f>
        <v>1993.6450490000002</v>
      </c>
      <c r="V365" s="3">
        <f>2039.4+(164.6-94.8)+(4.160376+(0.335784-0.193392))+0-84.5-0.172379999999996</f>
        <v>2028.8303880000003</v>
      </c>
      <c r="W365" s="3">
        <f>1988.8+(285.3-96.7)+(-4.057152+(-0.582012--0.197268))+0-74.5--0.151979999999997</f>
        <v>2098.6100840000004</v>
      </c>
      <c r="X365" s="3">
        <f>2064.6+(334.2-102.4)+(2.105892+(0.340884-0.104448))+0-96.4-0.0983280000000154</f>
        <v>2202.2440000000001</v>
      </c>
      <c r="Y365" s="3">
        <f>2059.8+(307.3-100.7)+(-3.151494+(-0.470169--0.154071))+0-90.4--0.138312000000005</f>
        <v>2172.6707200000001</v>
      </c>
      <c r="Z365" s="3">
        <f>2094.9+(211-89.3)+(2.136798+(0.21522-0.091086))+0-83.5-0.0851700000000133</f>
        <v>2135.2757620000002</v>
      </c>
      <c r="AA365" s="3">
        <f>2094.4+(136.5-74.8)+(2.136288+(0.13923-0.076296))+0-84.1-0.0857820000000134</f>
        <v>2074.1134400000001</v>
      </c>
      <c r="AB365" s="3">
        <f>2067+(130.9-98.1)+(-3.16251+(-0.200277--0.150093))+0-74.4--0.113832000000004</f>
        <v>2022.3011380000003</v>
      </c>
      <c r="AC365" s="3">
        <f>1913.8+(153.3-54.4)+(-1.952076+(-0.156366--0.055488))+0-57.8--0.0589560000000092</f>
        <v>1952.9060020000002</v>
      </c>
      <c r="AD365" s="2">
        <v>2181.2000000000007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1859.5025340000002</v>
      </c>
      <c r="G366" s="1">
        <v>1757.9410959999998</v>
      </c>
      <c r="H366" s="1">
        <v>1696.7077549999997</v>
      </c>
      <c r="I366" s="1">
        <v>1660.9081719999997</v>
      </c>
      <c r="J366" s="1">
        <v>1636.375364</v>
      </c>
      <c r="K366" s="1">
        <v>1594.4418740000001</v>
      </c>
      <c r="L366" s="1">
        <v>1546.039644</v>
      </c>
      <c r="M366" s="1">
        <v>1576.5000000000002</v>
      </c>
      <c r="N366" s="1">
        <v>1668.9</v>
      </c>
      <c r="O366" s="1">
        <v>1755</v>
      </c>
      <c r="P366" s="1">
        <v>1801.7000000000003</v>
      </c>
      <c r="Q366" s="1">
        <v>1802.8651240000002</v>
      </c>
      <c r="R366" s="1">
        <v>1754.2013240000001</v>
      </c>
      <c r="S366" s="1">
        <v>1704.6588039999999</v>
      </c>
      <c r="T366" s="1">
        <v>1653.8507600000003</v>
      </c>
      <c r="U366" s="1">
        <v>1600.069845</v>
      </c>
      <c r="V366" s="1">
        <v>1591.5311299999996</v>
      </c>
      <c r="W366" s="1">
        <v>1663.5081179999997</v>
      </c>
      <c r="X366" s="1">
        <v>1896.195555</v>
      </c>
      <c r="Y366" s="1">
        <v>1928.971534</v>
      </c>
      <c r="Z366" s="1">
        <v>1913.27756</v>
      </c>
      <c r="AA366" s="1">
        <v>1903.9285599999998</v>
      </c>
      <c r="AB366" s="1">
        <v>1863.93209</v>
      </c>
      <c r="AC366" s="1">
        <v>1786.8167150000004</v>
      </c>
      <c r="AD366" s="1">
        <v>1928.8000000000002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6"/>
  <sheetViews>
    <sheetView tabSelected="1" topLeftCell="Y1" workbookViewId="0">
      <selection activeCell="AD1" sqref="AD1:AD154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91</v>
      </c>
      <c r="B1">
        <v>1</v>
      </c>
      <c r="C1">
        <v>1</v>
      </c>
      <c r="D1">
        <v>4</v>
      </c>
      <c r="E1">
        <v>2</v>
      </c>
      <c r="F1" s="3">
        <f>282+(140.2-3)+(-0.28764+(-0.143004--0.00306))+0-0-0</f>
        <v>418.77241599999996</v>
      </c>
      <c r="G1" s="3">
        <f>218+(181.1-3)+(-0.44472+(-0.369444--0.00612))+0-0-0</f>
        <v>395.29195600000003</v>
      </c>
      <c r="H1" s="3">
        <f>216+(167.3-3)+(-0.5508+(-0.426615--0.00765))+0-0-0</f>
        <v>379.33023500000002</v>
      </c>
      <c r="I1" s="3">
        <f>216+(148.8-4)+(-0.33048+(-0.227664--0.00612))+0-0-0</f>
        <v>360.24797599999999</v>
      </c>
      <c r="J1" s="3">
        <f>216+(149.8-5)+(-0.11016+(-0.076398--0.00255))+0-0-0</f>
        <v>360.61599200000001</v>
      </c>
      <c r="K1" s="3">
        <f>216+(181.5-5)+(0+(0-0))+0-0-0</f>
        <v>392.5</v>
      </c>
      <c r="L1" s="3">
        <f>198+(229.9-8)+(-0.10098+(-0.117249--0.00408))+0-0-0</f>
        <v>419.68585099999996</v>
      </c>
      <c r="M1" s="3">
        <f>193+(258-8)+(0+(0-0))+0-0-0</f>
        <v>443</v>
      </c>
      <c r="N1" s="3">
        <f>193+(277.9-5)+(-0.19686+(-0.283458--0.0051))+0-0-0</f>
        <v>465.42478199999999</v>
      </c>
      <c r="O1" s="3">
        <f>192+(271.1-6)+(-0.29376+(-0.414783--0.00918))+0-0-0</f>
        <v>456.40063700000002</v>
      </c>
      <c r="P1" s="3">
        <f>210+(256.9-5)+(-0.3213+(-0.393057--0.00765))+0-0-0</f>
        <v>461.19329299999998</v>
      </c>
      <c r="Q1" s="3">
        <f>209+(239.9-4)+(-0.10659+(-0.122349--0.00204))+0-0-0</f>
        <v>444.67310099999997</v>
      </c>
      <c r="R1" s="3">
        <f>209+(240.5-9)+(0+(0-0))+0-0-0</f>
        <v>440.5</v>
      </c>
      <c r="S1" s="3">
        <f>210+(236.8-6)+(0.1071+(0.120768-0.00306))+0-0-0</f>
        <v>441.02480800000001</v>
      </c>
      <c r="T1" s="3">
        <f>212+(230.9-6)+(-0.5406+(-0.588795--0.0153))+0-0-0</f>
        <v>435.78590499999996</v>
      </c>
      <c r="U1" s="3">
        <f>212+(226-5)+(-0.32436+(-0.34578--0.00765))+0-0-0</f>
        <v>432.33751000000001</v>
      </c>
      <c r="V1" s="3">
        <f>218+(235.4-6)+(-0.33354+(-0.360162--0.00918))+0-0-0</f>
        <v>446.71547799999996</v>
      </c>
      <c r="W1" s="3">
        <f>218+(247.1-7)+(-0.22236+(-0.252042--0.00714))+0-0-0</f>
        <v>457.63273800000002</v>
      </c>
      <c r="X1" s="3">
        <f>219+(295.3-6)+(-0.22338+(-0.301206--0.00612))+0-0-0</f>
        <v>507.78153400000002</v>
      </c>
      <c r="Y1" s="3">
        <f>219+(287.5-5)+(-0.22338+(-0.29325--0.0051))+0-0-0</f>
        <v>500.98847000000001</v>
      </c>
      <c r="Z1" s="3">
        <f>210+(272.8-6)+(-0.3213+(-0.417384--0.00918))+0-0-0</f>
        <v>476.07049599999999</v>
      </c>
      <c r="AA1" s="3">
        <f>201+(262.6-5)+(-0.30753+(-0.401778--0.00765))+0-0-0</f>
        <v>457.89834200000001</v>
      </c>
      <c r="AB1" s="3">
        <f>201+(249.8-5)+(-0.30753+(-0.382194--0.00765))+0-0-0</f>
        <v>445.11792600000001</v>
      </c>
      <c r="AC1" s="3">
        <f>201+(231.8-5)+(-0.71757+(-0.827526--0.01785))+0-0-0</f>
        <v>426.27275400000002</v>
      </c>
      <c r="AD1" s="2">
        <v>1</v>
      </c>
      <c r="AE1" s="3">
        <f>219+(268-6)+(0+(0-0))+0-0-0</f>
        <v>481</v>
      </c>
    </row>
    <row r="2" spans="1:31" s="2" customFormat="1" x14ac:dyDescent="0.3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414.63637700000004</v>
      </c>
      <c r="G2" s="3">
        <f>202+(204-3)+(0+(0-0))+0-0-0</f>
        <v>403</v>
      </c>
      <c r="H2" s="3">
        <f>202+(179-2)+(-0.30906+(-0.27387--0.00306))+0-0-0</f>
        <v>378.42012999999997</v>
      </c>
      <c r="I2" s="3">
        <f>202+(172.9-1)+(-0.30906+(-0.264537--0.00153))+0-0-0</f>
        <v>373.32793299999997</v>
      </c>
      <c r="J2" s="3">
        <f>202+(168.6-1)+(-0.30906+(-0.257958--0.00153))+0-0-0</f>
        <v>369.03451200000001</v>
      </c>
      <c r="K2" s="3">
        <f>201+(178.9-2)+(0.30753+(0.273717-0.00306))+0-0-0</f>
        <v>378.47818699999999</v>
      </c>
      <c r="L2" s="3">
        <f>199+(210-2)+(-0.30447+(-0.3213--0.00306))+0-0-0</f>
        <v>406.37729000000002</v>
      </c>
      <c r="M2" s="3">
        <f>198+(221.4-3)+(0.10098+(0.112914-0.00153))+0-0-0</f>
        <v>416.61236399999996</v>
      </c>
      <c r="N2" s="3">
        <f>195+(246.2-5)+(0.09945+(0.125562-0.00255))+0-0-0</f>
        <v>436.422462</v>
      </c>
      <c r="O2" s="3">
        <f>195+(261.9-6)+(0.09945+(0.133569-0.00306))+0-0-0</f>
        <v>451.12995899999999</v>
      </c>
      <c r="P2" s="3">
        <f>195+(269.8-6)+(0+(0-0))+0-0-0</f>
        <v>458.8</v>
      </c>
      <c r="Q2" s="3">
        <f>194+(274.2-6)+(-0.19788+(-0.279684--0.00612))+0-0-0</f>
        <v>461.72855599999997</v>
      </c>
      <c r="R2" s="3">
        <f>195+(272.4-6)+(0+(0-0))+0-0-0</f>
        <v>461.4</v>
      </c>
      <c r="S2" s="3">
        <f>195+(291.3-31)+(0+(0-0))+0-0-0</f>
        <v>455.3</v>
      </c>
      <c r="T2" s="3">
        <f>197+(278.5-31)+(-0.20094+(-0.28407--0.03162))+0-0-0</f>
        <v>444.04660999999999</v>
      </c>
      <c r="U2" s="3">
        <f>199+(286.5-28)+(-0.40596+(-0.58446--0.05712))+0-0-0</f>
        <v>456.56670000000003</v>
      </c>
      <c r="V2" s="3">
        <f>199+(282.6-31)+(0.20298+(0.288252-0.03162))+0-0-0</f>
        <v>451.05961200000002</v>
      </c>
      <c r="W2" s="3">
        <f>201+(276.2-33)+(-0.20502+(-0.281724--0.03366))+0-0-0</f>
        <v>443.746916</v>
      </c>
      <c r="X2" s="3">
        <f>222+(262-36)+(-0.22644+(-0.26724--0.03672))+0-0-0</f>
        <v>447.54304000000002</v>
      </c>
      <c r="Y2" s="3">
        <f>236+(300.3-40)+(0+(0-0))+0-0-0</f>
        <v>496.3</v>
      </c>
      <c r="Z2" s="3">
        <f>236+(293-37)+(-0.36108+(-0.44829--0.05661))+0-0-0</f>
        <v>491.24723999999998</v>
      </c>
      <c r="AA2" s="3">
        <f>236+(277.3-39)+(-0.24072+(-0.282846--0.03978))+0-0-0</f>
        <v>473.816214</v>
      </c>
      <c r="AB2" s="3">
        <f>236+(261.6-38)+(0.24072+(0.266832-0.03876))+0-0-0</f>
        <v>460.06879200000003</v>
      </c>
      <c r="AC2" s="3">
        <f>210+(275.2-35)+(-0.1071+(-0.140352--0.01785))+0-0-0</f>
        <v>449.97039799999999</v>
      </c>
      <c r="AD2" s="2">
        <v>462.62982100000005</v>
      </c>
      <c r="AE2" s="3">
        <f>236+(299.5-41)+(0+(0-0))+0-0-0</f>
        <v>494.5</v>
      </c>
    </row>
    <row r="3" spans="1:31" s="2" customFormat="1" x14ac:dyDescent="0.3">
      <c r="A3">
        <v>91</v>
      </c>
      <c r="B3">
        <v>1</v>
      </c>
      <c r="C3">
        <v>3</v>
      </c>
      <c r="D3">
        <v>6</v>
      </c>
      <c r="E3">
        <v>2</v>
      </c>
      <c r="F3" s="3">
        <f>202+(261.1-28)+(-0.30906+(-0.399483--0.04284))+0-0-0</f>
        <v>434.43429700000002</v>
      </c>
      <c r="G3" s="3">
        <f>202+(232.9-28)+(-0.10302+(-0.118779--0.01428))+0-0-0</f>
        <v>406.69248099999999</v>
      </c>
      <c r="H3" s="3">
        <f>202+(218.1-28)+(-0.10302+(-0.111231--0.01428))+0-0-0</f>
        <v>391.90002900000002</v>
      </c>
      <c r="I3" s="3">
        <f>202+(206.8-30)+(0.41208+(0.421872-0.0612))+0-0-0</f>
        <v>379.57275200000004</v>
      </c>
      <c r="J3" s="3">
        <f>202+(204.1-32)+(0+(0-0))+0-0-0</f>
        <v>374.1</v>
      </c>
      <c r="K3" s="3">
        <f>202+(217.6-35)+(0.10302+(0.110976-0.01785))+0-0-0</f>
        <v>384.79614600000002</v>
      </c>
      <c r="L3" s="3">
        <f>199+(252.6-42)+(0.10149+(0.128826-0.02142))+0-0-0</f>
        <v>409.808896</v>
      </c>
      <c r="M3" s="3">
        <f>194+(264.7-41)+(-0.39576+(-0.539988--0.08364))+0-0-0</f>
        <v>416.847892</v>
      </c>
      <c r="N3" s="3">
        <f>194+(284.7-38)+(-0.09894+(-0.145197--0.01938))+0-0-0</f>
        <v>440.47524299999998</v>
      </c>
      <c r="O3" s="3">
        <f>200+(288.9-37)+(0.102+(0.147339-0.01887))+0-0-0</f>
        <v>452.13046900000001</v>
      </c>
      <c r="P3" s="3">
        <f>208+(287.3-36)+(-0.10608+(-0.146523--0.01836))+0-0-0</f>
        <v>459.06575700000002</v>
      </c>
      <c r="Q3" s="3">
        <f>208+(290.7-36)+(0+(0-0))+0-0-0</f>
        <v>462.7</v>
      </c>
      <c r="R3" s="3">
        <f>216+(286.1-36)+(-0.5508+(-0.729555--0.0918))+0-0-0</f>
        <v>464.91144500000001</v>
      </c>
      <c r="S3" s="3">
        <f>211+(287-38)+(0.21522+(0.29274-0.03876))+0-0-0</f>
        <v>460.4692</v>
      </c>
      <c r="T3" s="3">
        <f>211+(280.2-30)+(-0.21522+(-0.285804--0.0306))+0-0-0</f>
        <v>460.72957600000001</v>
      </c>
      <c r="U3" s="3">
        <f>216+(273.3-30)+(-0.44064+(-0.557532--0.0612))+0-0-0</f>
        <v>458.36302799999999</v>
      </c>
      <c r="V3" s="3">
        <f>219+(268.8-36)+(0+(0-0))+0-0-0</f>
        <v>451.8</v>
      </c>
      <c r="W3" s="3">
        <f>219+(267.9-33)+(0.11169+(0.136629-0.01683))+0-0-0</f>
        <v>454.13148899999999</v>
      </c>
      <c r="X3" s="3">
        <f>219+(271.2-38)+(-0.33507+(-0.414936--0.05814))+0-0-0</f>
        <v>451.50813399999998</v>
      </c>
      <c r="Y3" s="3">
        <f>234+(296.6-43)+(0+(0-0))+0-0-0</f>
        <v>487.6</v>
      </c>
      <c r="Z3" s="3">
        <f>237+(291.1-43)+(-0.72522+(-0.890766--0.13158))+0-0-0</f>
        <v>483.61559400000004</v>
      </c>
      <c r="AA3" s="3">
        <f>237+(276.3-37)+(-0.12087+(-0.140913--0.01887))+0-0-0</f>
        <v>476.05708700000002</v>
      </c>
      <c r="AB3" s="3">
        <f>237+(262.3-37)+(-0.24174+(-0.267546--0.03774))+0-0-0</f>
        <v>461.82845400000002</v>
      </c>
      <c r="AC3" s="3">
        <f>237+(246.3-36)+(-0.36261+(-0.376839--0.05508))+0-0-0</f>
        <v>446.61563100000001</v>
      </c>
      <c r="AD3" s="2">
        <v>430.24072300000006</v>
      </c>
      <c r="AE3" s="3">
        <f>237+(294.1-42)+(0+(0-0))+0-0-0</f>
        <v>489.1</v>
      </c>
    </row>
    <row r="4" spans="1:31" s="2" customFormat="1" x14ac:dyDescent="0.3">
      <c r="A4">
        <v>91</v>
      </c>
      <c r="B4">
        <v>1</v>
      </c>
      <c r="C4">
        <v>4</v>
      </c>
      <c r="D4">
        <v>7</v>
      </c>
      <c r="E4">
        <v>2</v>
      </c>
      <c r="F4" s="3">
        <f>218+(232.6-32)+(-0.22236+(-0.237252--0.03264))+0-0-0</f>
        <v>418.17302800000004</v>
      </c>
      <c r="G4" s="3">
        <f>216+(213.8-32)+(-0.33048+(-0.327114--0.04896))+0-0-0</f>
        <v>397.19136600000002</v>
      </c>
      <c r="H4" s="3">
        <f>215+(190.8-31)+(-0.10965+(-0.097308--0.01581))+0-0-0</f>
        <v>374.60885200000001</v>
      </c>
      <c r="I4" s="3">
        <f>215+(180.1-31)+(0+(0-0))+0-0-0</f>
        <v>364.1</v>
      </c>
      <c r="J4" s="3">
        <f>215+(179.8-31)+(-0.32895+(-0.275094--0.04743))+0-0-0</f>
        <v>363.24338599999999</v>
      </c>
      <c r="K4" s="3">
        <f>215+(191.8-34)+(-0.10965+(-0.097818--0.01734))+0-0-0</f>
        <v>372.609872</v>
      </c>
      <c r="L4" s="3">
        <f>216+(223.8-40)+(-0.44064+(-0.456552--0.0816))+0-0-0</f>
        <v>398.98440800000003</v>
      </c>
      <c r="M4" s="3">
        <f>216+(226.2-41)+(-0.66096+(-0.692172--0.12546))+0-0-0</f>
        <v>399.972328</v>
      </c>
      <c r="N4" s="3">
        <f>216+(209-37)+(0.22032+(0.21318-0.03774))+0-0-0</f>
        <v>388.39576</v>
      </c>
      <c r="O4" s="3">
        <f>215+(257.9-37)+(0.10965+(0.131529-0.01887))+0-0-0</f>
        <v>436.12230899999997</v>
      </c>
      <c r="P4" s="3">
        <f>215+(268.5-38)+(0.2193+(0.27387-0.03876))+0-0-0</f>
        <v>445.95441</v>
      </c>
      <c r="Q4" s="3">
        <f>215+(273-38)+(0+(0-0))+0-0-0</f>
        <v>450</v>
      </c>
      <c r="R4" s="3">
        <f>212+(277.8-38)+(-0.5406+(-0.70839--0.0969))+0-0-0</f>
        <v>450.64791000000002</v>
      </c>
      <c r="S4" s="3">
        <f>212+(276-34)+(-0.43248+(-0.56304--0.06936))+0-0-0</f>
        <v>453.07384000000002</v>
      </c>
      <c r="T4" s="3">
        <f>212+(266.6-32)+(-0.21624+(-0.271932--0.03264))+0-0-0</f>
        <v>446.14446800000002</v>
      </c>
      <c r="U4" s="3">
        <f>212+(256.1-32)+(-0.32436+(-0.391833--0.04896))+0-0-0</f>
        <v>435.43276700000001</v>
      </c>
      <c r="V4" s="3">
        <f>219+(245.9-30)+(0.11169+(0.125409-0.0153))+0-0-0</f>
        <v>435.12179899999995</v>
      </c>
      <c r="W4" s="3">
        <f>221+(243.7-32)+(0.45084+(0.497148-0.06528))+0-0-0</f>
        <v>433.58270799999997</v>
      </c>
      <c r="X4" s="3">
        <f>242+(240.9-37)+(-0.12342+(-0.122859--0.01887))+0-0-0</f>
        <v>445.67259099999995</v>
      </c>
      <c r="Y4" s="3">
        <f>257+(276.6-42)+(0+(0-0))+0-0-0</f>
        <v>491.6</v>
      </c>
      <c r="Z4" s="3">
        <f>257+(276.4-42)+(-0.65535+(-0.70482--0.1071))+0-0-0</f>
        <v>490.14693</v>
      </c>
      <c r="AA4" s="3">
        <f>257+(266.8-36)+(-0.52428+(-0.544272--0.07344))+0-0-0</f>
        <v>486.80488800000001</v>
      </c>
      <c r="AB4" s="3">
        <f>253+(256.9-36)+(0+(0-0))+0-0-0</f>
        <v>473.9</v>
      </c>
      <c r="AC4" s="3">
        <f>241+(248.3-35)+(0.12291+(0.126633-0.01785))+0-0-0</f>
        <v>454.53169300000002</v>
      </c>
      <c r="AD4" s="2">
        <v>476.90767733333331</v>
      </c>
      <c r="AE4" s="3">
        <f>256+(278.1-41)+(0+(0-0))+0-0-0</f>
        <v>493.1</v>
      </c>
    </row>
    <row r="5" spans="1:31" s="2" customFormat="1" x14ac:dyDescent="0.3">
      <c r="A5">
        <v>91</v>
      </c>
      <c r="B5">
        <v>1</v>
      </c>
      <c r="C5">
        <v>5</v>
      </c>
      <c r="D5">
        <v>1</v>
      </c>
      <c r="E5">
        <v>1</v>
      </c>
      <c r="F5" s="3">
        <f>218+(239-31)+(-0.5559+(-0.60945--0.07905))+0-0-0</f>
        <v>424.91370000000001</v>
      </c>
      <c r="G5" s="3">
        <f>215+(215.9-30)+(-0.4386+(-0.440436--0.0612))+0-0-0</f>
        <v>400.08216399999998</v>
      </c>
      <c r="H5" s="3">
        <f>215+(196-30)+(0.10965+(0.09996-0.0153))+0-0-0</f>
        <v>381.19430999999997</v>
      </c>
      <c r="I5" s="3">
        <f>215+(186.7-30)+(-0.6579+(-0.571302--0.0918))+0-0-0</f>
        <v>370.56259799999998</v>
      </c>
      <c r="J5" s="3">
        <f>215+(173.2-33)+(-0.2193+(-0.176664--0.03366))+0-0-0</f>
        <v>354.83769599999999</v>
      </c>
      <c r="K5" s="3">
        <f>215+(172.2-37)+(0.2193+(0.175644-0.03774))+0-0-0</f>
        <v>350.55720400000001</v>
      </c>
      <c r="L5" s="3">
        <f>216+(195.3-39)+(-0.33048+(-0.298809--0.05967))+0-0-0</f>
        <v>371.73038100000002</v>
      </c>
      <c r="M5" s="3">
        <f>216+(209.1-37)+(-0.11016+(-0.106641--0.01887))+0-0-0</f>
        <v>387.90206900000004</v>
      </c>
      <c r="N5" s="3">
        <f>216+(234.7-36)+(0.11016+(0.119697-0.01836))+0-0-0</f>
        <v>414.911497</v>
      </c>
      <c r="O5" s="3">
        <f>216+(252.9-34)+(0.11016+(0.128979-0.01734))+0-0-0</f>
        <v>435.12179899999995</v>
      </c>
      <c r="P5" s="3">
        <f>232+(249.7-32)+(0+(0-0))+0-0-0</f>
        <v>449.7</v>
      </c>
      <c r="Q5" s="3">
        <f>246+(241.6-31)+(0.12546+(0.123216-0.01581))+0-0-0</f>
        <v>456.83286600000002</v>
      </c>
      <c r="R5" s="3">
        <f>241+(236.6-34)+(-0.49164+(-0.482664--0.06936))+0-0-0</f>
        <v>442.69505600000002</v>
      </c>
      <c r="S5" s="3">
        <f>241+(232.2-33)+(-0.36873+(-0.355266--0.05049))+0-0-0</f>
        <v>439.52649400000001</v>
      </c>
      <c r="T5" s="3">
        <f>243+(226.4-29)+(-0.12393+(-0.115464--0.01479))+0-0-0</f>
        <v>440.17539599999998</v>
      </c>
      <c r="U5" s="3">
        <f>243+(222.1-31)+(-0.61965+(-0.566355--0.07905))+0-0-0</f>
        <v>432.993045</v>
      </c>
      <c r="V5" s="3">
        <f>247+(215.4-32)+(0+(0-0))+0-0-0</f>
        <v>430.4</v>
      </c>
      <c r="W5" s="3">
        <f>255+(209.3-32)+(0.13005+(0.106743-0.01632))+0-0-0</f>
        <v>432.52047300000004</v>
      </c>
      <c r="X5" s="3">
        <f>255+(221.7-41)+(0+(0-0))+0-0-0</f>
        <v>435.7</v>
      </c>
      <c r="Y5" s="3">
        <f>255+(264.6-41)+(0.2601+(0.269892-0.04182))+0-0-0</f>
        <v>479.08817200000004</v>
      </c>
      <c r="Z5" s="3">
        <f>255+(266.2-41)+(-0.2601+(-0.271524--0.04182))+0-0-0</f>
        <v>479.710196</v>
      </c>
      <c r="AA5" s="3">
        <f>255+(259.6-38)+(-0.39015+(-0.397188--0.05814))+0-0-0</f>
        <v>475.87080200000003</v>
      </c>
      <c r="AB5" s="3">
        <f>255+(250.3-37)+(0.13005+(0.127653-0.01887))+0-0-0</f>
        <v>468.53883300000001</v>
      </c>
      <c r="AC5" s="3">
        <f>255+(226.5-35)+(-0.5202+(-0.46206--0.0714))+0-0-0</f>
        <v>445.58913999999999</v>
      </c>
      <c r="AD5" s="2">
        <v>464</v>
      </c>
      <c r="AE5" s="3">
        <f>255+(265.6-42)+(0+(0-0))+0-0-0</f>
        <v>478.6</v>
      </c>
    </row>
    <row r="6" spans="1:31" s="2" customFormat="1" x14ac:dyDescent="0.3">
      <c r="A6">
        <v>91</v>
      </c>
      <c r="B6">
        <v>1</v>
      </c>
      <c r="C6">
        <v>6</v>
      </c>
      <c r="D6">
        <v>2</v>
      </c>
      <c r="E6">
        <v>1</v>
      </c>
      <c r="F6" s="3">
        <f>248+(193.3-33)+(-0.37944+(-0.295749--0.05049))+0-0-0</f>
        <v>407.67530099999999</v>
      </c>
      <c r="G6" s="3">
        <f>248+(168.7-33)+(-0.6324+(-0.430185--0.08415))+0-0-0</f>
        <v>382.721565</v>
      </c>
      <c r="H6" s="3">
        <f>248+(154.6-32)+(-0.37944+(-0.236538--0.04896))+0-0-0</f>
        <v>370.032982</v>
      </c>
      <c r="I6" s="3">
        <f>248+(142.7-32)+(0+(0-0))+0-0-0</f>
        <v>358.7</v>
      </c>
      <c r="J6" s="3">
        <f>248+(137.1-32)+(0+(0-0))+0-0-0</f>
        <v>353.1</v>
      </c>
      <c r="K6" s="3">
        <f>247+(146.2-36)+(0.12597+(0.074562-0.01836))+0-0-0</f>
        <v>357.38217199999997</v>
      </c>
      <c r="L6" s="3">
        <f>249+(170.9-41)+(-0.12699+(-0.087159--0.02091))+0-0-0</f>
        <v>378.70676099999997</v>
      </c>
      <c r="M6" s="3">
        <f>258+(167.4-40)+(0+(0-0))+0-0-0</f>
        <v>385.4</v>
      </c>
      <c r="N6" s="3">
        <f>283+(166.3-38)+(0+(0-0))+0-0-0</f>
        <v>411.3</v>
      </c>
      <c r="O6" s="3">
        <f>248+(220.1-35)+(0.50592+(0.449004-0.0714))+0-0-0</f>
        <v>433.98352400000005</v>
      </c>
      <c r="P6" s="3">
        <f>294+(196.8-34)+(0.29988+(0.200736-0.03468))+0-0-0</f>
        <v>457.26593600000001</v>
      </c>
      <c r="Q6" s="3">
        <f>289+(197.7-34)+(-0.58956+(-0.403308--0.06936))+0-0-0</f>
        <v>451.77649199999996</v>
      </c>
      <c r="R6" s="3">
        <f>300+(189.3-42)+(-0.306+(-0.193086--0.04284))+0-0-0</f>
        <v>446.84375399999999</v>
      </c>
      <c r="S6" s="3">
        <f>300+(193.3-31)+(-0.612+(-0.394332--0.06324))+0-0-0</f>
        <v>461.35690800000003</v>
      </c>
      <c r="T6" s="3">
        <f>294+(202.5-30)+(0.14994+(0.103275-0.0153))+0-0-0</f>
        <v>466.73791499999999</v>
      </c>
      <c r="U6" s="3">
        <f>288+(201-35)+(-0.44064+(-0.30753--0.05355))+0-0-0</f>
        <v>453.30538000000001</v>
      </c>
      <c r="V6" s="3">
        <f>303+(191.3-42)+(-0.30906+(-0.195126--0.04284))+0-0-0</f>
        <v>451.83865400000002</v>
      </c>
      <c r="W6" s="3">
        <f>308+(184.7-35)+(-1.09956+(-0.659379--0.12495))+0-0-0</f>
        <v>456.066011</v>
      </c>
      <c r="X6" s="3">
        <f>314+(170-36)+(-0.16014+(-0.0867--0.01836))+0-0-0</f>
        <v>447.77152000000001</v>
      </c>
      <c r="Y6" s="3">
        <f>317+(218.9-40)+(0.32334+(0.223278-0.0408))+0-0-0</f>
        <v>496.40581799999995</v>
      </c>
      <c r="Z6" s="3">
        <f>341+(198-44)+(-0.52173+(-0.30294--0.06732))+0-0-0</f>
        <v>494.24265000000003</v>
      </c>
      <c r="AA6" s="3">
        <f>344+(185.4-40)+(-0.35088+(-0.189108--0.0408))+0-0-0</f>
        <v>488.90081199999997</v>
      </c>
      <c r="AB6" s="3">
        <f>344+(182.7-38)+(-0.17544+(-0.093177--0.01938))+0-0-0</f>
        <v>488.45076299999999</v>
      </c>
      <c r="AC6" s="3">
        <f>335+(171.6-35)+(0+(0-0))+0-0-0</f>
        <v>471.6</v>
      </c>
      <c r="AD6" s="2">
        <v>3524.9</v>
      </c>
      <c r="AE6" s="3">
        <f>344+(193.9-43)+(0+(0-0))+0-0-0</f>
        <v>494.9</v>
      </c>
    </row>
    <row r="7" spans="1:31" s="2" customFormat="1" x14ac:dyDescent="0.3">
      <c r="A7">
        <v>91</v>
      </c>
      <c r="B7">
        <v>1</v>
      </c>
      <c r="C7">
        <v>7</v>
      </c>
      <c r="D7">
        <v>3</v>
      </c>
      <c r="E7">
        <v>1</v>
      </c>
      <c r="F7" s="3">
        <f>278+(185.4-37)+(-0.28356+(-0.189108--0.03774))+0-0-0</f>
        <v>425.96507199999996</v>
      </c>
      <c r="G7" s="3">
        <f>249+(191.3-34)+(-0.25398+(-0.195126--0.03468))+0-0-0</f>
        <v>405.88557400000002</v>
      </c>
      <c r="H7" s="3">
        <f>249+(175.9-33)+(-0.25398+(-0.179418--0.03366))+0-0-0</f>
        <v>391.50026199999996</v>
      </c>
      <c r="I7" s="3">
        <f>249+(171.8-33)+(0.12699+(0.087618-0.01683))+0-0-0</f>
        <v>387.99777800000004</v>
      </c>
      <c r="J7" s="3">
        <f>248+(164.1-33)+(-0.25296+(-0.167382--0.03366))+0-0-0</f>
        <v>378.71331800000002</v>
      </c>
      <c r="K7" s="3">
        <f>247+(171.2-32)+(0.62985+(0.43656-0.0816))+0-0-0</f>
        <v>387.18480999999997</v>
      </c>
      <c r="L7" s="3">
        <f>247+(191.3-40)+(0.12597+(0.097563-0.0204))+0-0-0</f>
        <v>398.50313299999999</v>
      </c>
      <c r="M7" s="3">
        <f>239+(202.8-43)+(0+(0-0))+0-0-0</f>
        <v>398.8</v>
      </c>
      <c r="N7" s="3">
        <f>239+(229.3-43)+(-0.36567+(-0.350829--0.06579))+0-0-0</f>
        <v>424.64929100000001</v>
      </c>
      <c r="O7" s="3">
        <f>240+(249.3-35)+(-0.2448+(-0.254286--0.0357))+0-0-0</f>
        <v>453.836614</v>
      </c>
      <c r="P7" s="3">
        <f>267+(233.7-34)+(0.27234+(0.238374-0.03468))+0-0-0</f>
        <v>467.17603400000002</v>
      </c>
      <c r="Q7" s="3">
        <f>268+(244.2-32)+(-0.54672+(-0.498168--0.06528))+0-0-0</f>
        <v>479.220392</v>
      </c>
      <c r="R7" s="3">
        <f>278+(239.6-34)+(-0.42534+(-0.366588--0.05202))+0-0-0</f>
        <v>482.86009200000001</v>
      </c>
      <c r="S7" s="3">
        <f>284+(221-36)+(-0.57936+(-0.45084--0.07344))+0-0-0</f>
        <v>468.04324000000003</v>
      </c>
      <c r="T7" s="3">
        <f>286+(217-36)+(-0.58344+(-0.44268--0.07344))+0-0-0</f>
        <v>466.04732000000001</v>
      </c>
      <c r="U7" s="3">
        <f>289+(210.7-39)+(0+(0-0))+0-0-0</f>
        <v>460.7</v>
      </c>
      <c r="V7" s="3">
        <f>303+(193.9-35)+(-0.46359+(-0.296667--0.05355))+0-0-0</f>
        <v>461.19329299999998</v>
      </c>
      <c r="W7" s="3">
        <f>306+(181.8-34)+(0.31212+(0.185436-0.03468))+0-0-0</f>
        <v>454.26287600000001</v>
      </c>
      <c r="X7" s="3">
        <f>306+(183.8-43)+(-0.7803+(-0.46869--0.10965))+0-0-0</f>
        <v>445.66066000000001</v>
      </c>
      <c r="Y7" s="3">
        <f>306+(219.3-39)+(0.15606+(0.111843-0.01989))+0-0-0</f>
        <v>486.54801300000003</v>
      </c>
      <c r="Z7" s="3">
        <f>306+(216.2-40)+(-0.31212+(-0.220524--0.0408))+0-0-0</f>
        <v>481.70815599999997</v>
      </c>
      <c r="AA7" s="3">
        <f>306+(208.6-40)+(-0.7803+(-0.53193--0.102))+0-0-0</f>
        <v>473.38977</v>
      </c>
      <c r="AB7" s="3">
        <f>299+(208.5-39)+(-0.76245+(-0.531675--0.09945))+0-0-0</f>
        <v>467.30532499999998</v>
      </c>
      <c r="AC7" s="3">
        <f>275+(222.2-39)+(0.2805+(0.226644-0.03978))+0-0-0</f>
        <v>458.66736399999996</v>
      </c>
      <c r="AD7" s="2">
        <v>0</v>
      </c>
      <c r="AE7" s="3">
        <f>306+(214.6-40)+(0+(0-0))+0-0-0</f>
        <v>480.6</v>
      </c>
    </row>
    <row r="8" spans="1:31" s="2" customFormat="1" x14ac:dyDescent="0.3">
      <c r="A8">
        <v>91</v>
      </c>
      <c r="B8">
        <v>1</v>
      </c>
      <c r="C8">
        <v>8</v>
      </c>
      <c r="D8">
        <v>4</v>
      </c>
      <c r="E8">
        <v>1</v>
      </c>
      <c r="F8" s="3">
        <f>247+(211.6-35)+(-0.50388+(-0.431664--0.0714))+0-0-0</f>
        <v>422.73585600000001</v>
      </c>
      <c r="G8" s="3">
        <f>244+(194.9-34)+(-0.49776+(-0.397596--0.06936))+0-0-0</f>
        <v>404.074004</v>
      </c>
      <c r="H8" s="3">
        <f>244+(177-33)+(0.49776+(0.36108-0.06732))+0-0-0</f>
        <v>388.79151999999999</v>
      </c>
      <c r="I8" s="3">
        <f>244+(164.6-33)+(0.24888+(0.167892-0.03366))+0-0-0</f>
        <v>375.98311200000001</v>
      </c>
      <c r="J8" s="3">
        <f>244+(167.6-34)+(-0.6222+(-0.42738--0.0867))+0-0-0</f>
        <v>376.63712000000004</v>
      </c>
      <c r="K8" s="3">
        <f>243+(180.8-35)+(-0.24786+(-0.184416--0.0357))+0-0-0</f>
        <v>388.40342400000003</v>
      </c>
      <c r="L8" s="3">
        <f>243+(197.8-42)+(0.61965+(0.50439-0.1071))+0-0-0</f>
        <v>399.81693999999999</v>
      </c>
      <c r="M8" s="3">
        <f>236+(210.7-40)+(-0.36108+(-0.322371--0.0612))+0-0-0</f>
        <v>406.07774899999998</v>
      </c>
      <c r="N8" s="3">
        <f>236+(228.5-40)+(0.24072+(0.23307-0.0408))+0-0-0</f>
        <v>424.93299000000002</v>
      </c>
      <c r="O8" s="3">
        <f>269+(211.1-38)+(0.27438+(0.215322-0.03876))+0-0-0</f>
        <v>442.55094200000002</v>
      </c>
      <c r="P8" s="3">
        <f>286+(208.2-38)+(0.29172+(0.212364-0.03876))+0-0-0</f>
        <v>456.665324</v>
      </c>
      <c r="Q8" s="3">
        <f>284+(220.3-38)+(0.14484+(0.112353-0.01938))+0-0-0</f>
        <v>466.53781300000003</v>
      </c>
      <c r="R8" s="3">
        <f>280+(232.6-38)+(0+(0-0))+0-0-0</f>
        <v>474.6</v>
      </c>
      <c r="S8" s="3">
        <f>280+(240.8-38)+(-0.5712+(-0.491232--0.07752))+0-0-0</f>
        <v>481.815088</v>
      </c>
      <c r="T8" s="3">
        <f>283+(235.6-33)+(-0.43299+(-0.360468--0.05049))+0-0-0</f>
        <v>484.857032</v>
      </c>
      <c r="U8" s="3">
        <f>283+(223.4-33)+(-0.28866+(-0.227868--0.03366))+0-0-0</f>
        <v>472.91713199999998</v>
      </c>
      <c r="V8" s="3">
        <f>301+(209.2-33)+(-0.46053+(-0.320076--0.05049))+0-0-0</f>
        <v>476.46988399999998</v>
      </c>
      <c r="W8" s="3">
        <f>306+(195.7-33)+(-0.31212+(-0.199614--0.03366))+0-0-0</f>
        <v>468.221926</v>
      </c>
      <c r="X8" s="3">
        <f>306+(194.8-37)+(0.15606+(0.099348-0.01887))+0-0-0</f>
        <v>464.03653800000001</v>
      </c>
      <c r="Y8" s="3">
        <f>306+(256-41)+(0.31212+(0.26112-0.04182))+0-0-0</f>
        <v>521.53142000000003</v>
      </c>
      <c r="Z8" s="3">
        <f>306+(265.6-43)+(-0.46818+(-0.406368--0.06579))+0-0-0</f>
        <v>527.79124200000001</v>
      </c>
      <c r="AA8" s="3">
        <f>306+(261.6-43)+(-0.15606+(-0.133416--0.02193))+0-0-0</f>
        <v>524.33245399999998</v>
      </c>
      <c r="AB8" s="3">
        <f>299+(254.8-39)+(0+(0-0))+0-0-0</f>
        <v>514.79999999999995</v>
      </c>
      <c r="AC8" s="3">
        <f>293+(233.9-38)+(-0.14943+(-0.119289--0.01938))+0-0-0</f>
        <v>488.65066099999996</v>
      </c>
      <c r="AD8" s="2">
        <v>3523.9963519999997</v>
      </c>
      <c r="AE8" s="3">
        <f>306+(263.2-43)+(0+(0-0))+0-0-0</f>
        <v>526.20000000000005</v>
      </c>
    </row>
    <row r="9" spans="1:31" s="2" customFormat="1" x14ac:dyDescent="0.3">
      <c r="A9">
        <v>91</v>
      </c>
      <c r="B9">
        <v>1</v>
      </c>
      <c r="C9">
        <v>9</v>
      </c>
      <c r="D9">
        <v>5</v>
      </c>
      <c r="E9">
        <v>1</v>
      </c>
      <c r="F9" s="3">
        <f>242+(254.2-35)+(-0.24684+(-0.259284--0.0357))+0-0-0</f>
        <v>460.72957600000001</v>
      </c>
      <c r="G9" s="3">
        <f>231+(241.4-34)+(-0.35343+(-0.369342--0.05202))+0-0-0</f>
        <v>437.72924799999998</v>
      </c>
      <c r="H9" s="3">
        <f>231+(221.1-34)+(-0.11781+(-0.112761--0.01734))+0-0-0</f>
        <v>417.88676900000002</v>
      </c>
      <c r="I9" s="3">
        <f>231+(206.1-34)+(-0.23562+(-0.210222--0.03468))+0-0-0</f>
        <v>402.68883800000003</v>
      </c>
      <c r="J9" s="3">
        <f>231+(198.5-33)+(-0.23562+(-0.20247--0.03366))+0-0-0</f>
        <v>396.09557000000001</v>
      </c>
      <c r="K9" s="3">
        <f>230+(205.3-33)+(0.1173+(0.104703-0.01683))+0-0-0</f>
        <v>402.50517300000001</v>
      </c>
      <c r="L9" s="3">
        <f>229+(221.5-43)+(0.23358+(0.22593-0.04386))+0-0-0</f>
        <v>407.91565000000003</v>
      </c>
      <c r="M9" s="3">
        <f>229+(226.4-40)+(-0.11679+(-0.115464--0.0204))+0-0-0</f>
        <v>415.18814599999996</v>
      </c>
      <c r="N9" s="3">
        <f>240+(234.4-37)+(-0.1224+(-0.119544--0.01887))+0-0-0</f>
        <v>437.17692599999998</v>
      </c>
      <c r="O9" s="3">
        <f>252+(239-33)+(-0.12852+(-0.12189--0.01683))+0-0-0</f>
        <v>457.76641999999998</v>
      </c>
      <c r="P9" s="3">
        <f>252+(253.4-33)+(0+(0-0))+0-0-0</f>
        <v>472.4</v>
      </c>
      <c r="Q9" s="3">
        <f>252+(264.2-32)+(0.25704+(0.269484-0.03264))+0-0-0</f>
        <v>484.69388399999997</v>
      </c>
      <c r="R9" s="3">
        <f>249+(277.5-32)+(0+(0-0))+0-0-0</f>
        <v>494.5</v>
      </c>
      <c r="S9" s="3">
        <f>250+(286.7-35)+(-0.6375+(-0.731085--0.08925))+0-0-0</f>
        <v>500.42066499999999</v>
      </c>
      <c r="T9" s="3">
        <f>252+(292.8-39)+(-0.25704+(-0.298656--0.03978))+0-0-0</f>
        <v>505.28408400000001</v>
      </c>
      <c r="U9" s="3">
        <f>252+(280.3-34)+(-0.38556+(-0.428859--0.05202))+0-0-0</f>
        <v>497.537601</v>
      </c>
      <c r="V9" s="3">
        <f>259+(272.4-34)+(0+(0-0))+0-0-0</f>
        <v>497.4</v>
      </c>
      <c r="W9" s="3">
        <f>268+(253.9-33)+(0.6834+(0.647445-0.08415))+0-0-0</f>
        <v>490.14669499999997</v>
      </c>
      <c r="X9" s="3">
        <f>278+(235.4-40)+(0.56712+(0.480216-0.0816))+0-0-0</f>
        <v>474.36573599999997</v>
      </c>
      <c r="Y9" s="3">
        <f>286+(279.7-43)+(0.29172+(0.285294-0.04386))+0-0-0</f>
        <v>523.23315400000001</v>
      </c>
      <c r="Z9" s="3">
        <f>286+(284.4-34)+(0.14586+(0.145044-0.01734))+0-0-0</f>
        <v>536.67356399999994</v>
      </c>
      <c r="AA9" s="3">
        <f>286+(291.9-42)+(0+(0-0))+0-0-0</f>
        <v>535.9</v>
      </c>
      <c r="AB9" s="3">
        <f>286+(297.4-42)+(-0.43758+(-0.455022--0.06426))+0-0-0</f>
        <v>540.57165799999996</v>
      </c>
      <c r="AC9" s="3">
        <f>286+(276.2-39)+(-0.14586+(-0.140862--0.01989))+0-0-0</f>
        <v>522.93316800000002</v>
      </c>
      <c r="AD9" s="2">
        <v>3327.9020739999996</v>
      </c>
      <c r="AE9" s="3">
        <f>288+(286.7-44)+(0+(0-0))+0-0-0</f>
        <v>530.70000000000005</v>
      </c>
    </row>
    <row r="10" spans="1:31" s="2" customFormat="1" x14ac:dyDescent="0.3">
      <c r="A10">
        <v>91</v>
      </c>
      <c r="B10">
        <v>1</v>
      </c>
      <c r="C10">
        <v>10</v>
      </c>
      <c r="D10">
        <v>6</v>
      </c>
      <c r="E10">
        <v>1</v>
      </c>
      <c r="F10" s="3">
        <f>275+(246.6-36)+(-0.42075+(-0.377298--0.05508))+0-0-0</f>
        <v>484.857032</v>
      </c>
      <c r="G10" s="3">
        <f>261+(232.8-36)+(0+(0-0))+0-0-0</f>
        <v>457.8</v>
      </c>
      <c r="H10" s="3">
        <f>257+(211.9-35)+(-0.39321+(-0.324207--0.05355))+0-0-0</f>
        <v>433.236133</v>
      </c>
      <c r="I10" s="3">
        <f>257+(190.5-34)+(-0.39321+(-0.291465--0.05202))+0-0-0</f>
        <v>412.867345</v>
      </c>
      <c r="J10" s="3">
        <f>257+(185-34)+(-0.39321+(-0.28305--0.05202))+0-0-0</f>
        <v>407.37576000000001</v>
      </c>
      <c r="K10" s="3">
        <f>257+(189.2-35)+(0+(0-0))+0-0-0</f>
        <v>411.2</v>
      </c>
      <c r="L10" s="3">
        <f>253+(197.2-39)+(0+(0-0))+0-0-0</f>
        <v>411.2</v>
      </c>
      <c r="M10" s="3">
        <f>253+(201.5-40)+(-0.12903+(-0.102765--0.0204))+0-0-0</f>
        <v>414.28860500000002</v>
      </c>
      <c r="N10" s="3">
        <f>266+(209.7-35)+(0+(0-0))+0-0-0</f>
        <v>440.7</v>
      </c>
      <c r="O10" s="3">
        <f>265+(231.5-31)+(-0.2703+(-0.23613--0.03162))+0-0-0</f>
        <v>465.02519000000001</v>
      </c>
      <c r="P10" s="3">
        <f>265+(245.6-31)+(-0.13515+(-0.125256--0.01581))+0-0-0</f>
        <v>479.35540400000002</v>
      </c>
      <c r="Q10" s="3">
        <f>265+(266.4-34)+(-0.2703+(-0.271728--0.03468))+0-0-0</f>
        <v>496.892652</v>
      </c>
      <c r="R10" s="3">
        <f>262+(270.5-35)+(-0.13362+(-0.137955--0.01785))+0-0-0</f>
        <v>497.24627500000003</v>
      </c>
      <c r="S10" s="3">
        <f>266+(273.3-36)+(-0.54264+(-0.557532--0.07344))+0-0-0</f>
        <v>502.27326800000003</v>
      </c>
      <c r="T10" s="3">
        <f>267+(252.1-38)+(0.13617+(0.128571-0.01938))+0-0-0</f>
        <v>481.34536100000003</v>
      </c>
      <c r="U10" s="3">
        <f>268+(244.3-38)+(-0.27336+(-0.249186--0.03876))+0-0-0</f>
        <v>473.816214</v>
      </c>
      <c r="V10" s="3">
        <f>288+(231.6-36)+(-0.14688+(-0.118116--0.01836))+0-0-0</f>
        <v>483.353364</v>
      </c>
      <c r="W10" s="3">
        <f>289+(212.7-34)+(-0.44217+(-0.325431--0.05202))+0-0-0</f>
        <v>466.984419</v>
      </c>
      <c r="X10" s="3">
        <f>306+(189.3-35)+(-0.31212+(-0.193086--0.0357))+0-0-0</f>
        <v>459.83049399999999</v>
      </c>
      <c r="Y10" s="3">
        <f>306+(241.3-46)+(0.31212+(0.246126-0.04692))+0-0-0</f>
        <v>501.81132600000001</v>
      </c>
      <c r="Z10" s="3">
        <f>306+(255.6-45)+(-0.93636+(-0.782136--0.1377))+0-0-0</f>
        <v>515.01920400000006</v>
      </c>
      <c r="AA10" s="3">
        <f>297+(263.9-45)+(0+(0-0))+0-0-0</f>
        <v>515.9</v>
      </c>
      <c r="AB10" s="3">
        <f>288+(269.3-43)+(-0.14688+(-0.137343--0.02193))+0-0-0</f>
        <v>514.03770699999995</v>
      </c>
      <c r="AC10" s="3">
        <f>269+(268.5-40)+(-0.54876+(-0.54774--0.0816))+0-0-0</f>
        <v>496.48509999999999</v>
      </c>
      <c r="AD10" s="2">
        <v>476.88084500000002</v>
      </c>
      <c r="AE10" s="3">
        <f>306+(255.1-46)+(0+(0-0))+0-0-0</f>
        <v>515.1</v>
      </c>
    </row>
    <row r="11" spans="1:31" s="2" customFormat="1" x14ac:dyDescent="0.3">
      <c r="A11">
        <v>91</v>
      </c>
      <c r="B11">
        <v>1</v>
      </c>
      <c r="C11">
        <v>11</v>
      </c>
      <c r="D11">
        <v>7</v>
      </c>
      <c r="E11">
        <v>1</v>
      </c>
      <c r="F11" s="3">
        <f>227+(265.8-38)+(-0.23154+(-0.271116--0.03876))+0-0-0</f>
        <v>454.33610400000003</v>
      </c>
      <c r="G11" s="3">
        <f>225+(246.3-36)+(-0.34425+(-0.376839--0.05508))+0-0-0</f>
        <v>434.63399100000004</v>
      </c>
      <c r="H11" s="3">
        <f>225+(226.6-35)+(-0.34425+(-0.346698--0.05355))+0-0-0</f>
        <v>415.962602</v>
      </c>
      <c r="I11" s="3">
        <f>225+(207.7-35)+(-0.11475+(-0.105927--0.01785))+0-0-0</f>
        <v>397.49717299999998</v>
      </c>
      <c r="J11" s="3">
        <f>225+(203.9-36)+(0.2295+(0.207978-0.03672))+0-0-0</f>
        <v>393.30075799999997</v>
      </c>
      <c r="K11" s="3">
        <f>221+(211.5-39)+(0+(0-0))+0-0-0</f>
        <v>393.5</v>
      </c>
      <c r="L11" s="3">
        <f>216+(220.4-43)+(-0.44064+(-0.449616--0.08772))+0-0-0</f>
        <v>392.597464</v>
      </c>
      <c r="M11" s="3">
        <f>229+(206.5-41)+(-0.11679+(-0.105315--0.02091))+0-0-0</f>
        <v>394.29880500000002</v>
      </c>
      <c r="N11" s="3">
        <f>227+(219.9-39)+(-0.23154+(-0.224298--0.03978))+0-0-0</f>
        <v>407.48394199999996</v>
      </c>
      <c r="O11" s="3">
        <f>226+(239.4-39)+(-0.11526+(-0.122094--0.01989))+0-0-0</f>
        <v>426.18253599999997</v>
      </c>
      <c r="P11" s="3">
        <f>225+(257.7-39)+(-0.2295+(-0.262854--0.03978))+0-0-0</f>
        <v>443.24742599999996</v>
      </c>
      <c r="Q11" s="3">
        <f>227+(271.8-39)+(-0.34731+(-0.415854--0.05967))+0-0-0</f>
        <v>459.09650600000003</v>
      </c>
      <c r="R11" s="3">
        <f>223+(289-40)+(-0.22746+(-0.29478--0.0408))+0-0-0</f>
        <v>471.51855999999998</v>
      </c>
      <c r="S11" s="3">
        <f>262+(259.9-39)+(-0.40086+(-0.397647--0.05967))+0-0-0</f>
        <v>482.16116299999999</v>
      </c>
      <c r="T11" s="3">
        <f>283+(242.7-38)+(-0.43299+(-0.371331--0.05814))+0-0-0</f>
        <v>486.95381900000001</v>
      </c>
      <c r="U11" s="3">
        <f>280+(237.1-38)+(-0.4284+(-0.362763--0.05814))+0-0-0</f>
        <v>478.36697700000002</v>
      </c>
      <c r="V11" s="3">
        <f>291+(215.3-36)+(-0.89046+(-0.658818--0.11016))+0-0-0</f>
        <v>468.860882</v>
      </c>
      <c r="W11" s="3">
        <f>319+(182.9-36)+(-0.32538+(-0.186558--0.03672))+0-0-0</f>
        <v>465.42478199999999</v>
      </c>
      <c r="X11" s="3">
        <f>324+(174-43)+(0.16524+(0.08874-0.02193))+0-0-0</f>
        <v>455.23205000000002</v>
      </c>
      <c r="Y11" s="3">
        <f>324+(232.9-43)+(0+(0-0))+0-0-0</f>
        <v>513.9</v>
      </c>
      <c r="Z11" s="3">
        <f>324+(256.1-44)+(-0.66096+(-0.522444--0.08976))+0-0-0</f>
        <v>535.00635599999998</v>
      </c>
      <c r="AA11" s="3">
        <f>324+(261.9-43)+(-0.33048+(-0.267138--0.04386))+0-0-0</f>
        <v>542.34624199999996</v>
      </c>
      <c r="AB11" s="3">
        <f>319+(254.7-42)+(-0.16269+(-0.129897--0.02142))+0-0-0</f>
        <v>531.42883300000005</v>
      </c>
      <c r="AC11" s="3">
        <f>280+(258-40)+(-0.4284+(-0.39474--0.0612))+0-0-0</f>
        <v>497.23806000000002</v>
      </c>
      <c r="AD11" s="2">
        <v>480.55479200000002</v>
      </c>
      <c r="AE11" s="3">
        <f>324+(252.9-45)+(0+(0-0))+0-0-0</f>
        <v>531.9</v>
      </c>
    </row>
    <row r="12" spans="1:31" s="2" customFormat="1" x14ac:dyDescent="0.3">
      <c r="A12">
        <v>91</v>
      </c>
      <c r="B12">
        <v>1</v>
      </c>
      <c r="C12">
        <v>12</v>
      </c>
      <c r="D12">
        <v>1</v>
      </c>
      <c r="E12">
        <v>2</v>
      </c>
      <c r="F12" s="3">
        <f>239+(273.1-35)+(-0.36567+(-0.417843--0.05355))+0-0-0</f>
        <v>476.37003700000002</v>
      </c>
      <c r="G12" s="3">
        <f>228+(254.7-35)+(-0.23256+(-0.259794--0.0357))+0-0-0</f>
        <v>447.24334599999997</v>
      </c>
      <c r="H12" s="3">
        <f>228+(230.9-34)+(0.23256+(0.235518-0.03468))+0-0-0</f>
        <v>425.33339799999999</v>
      </c>
      <c r="I12" s="3">
        <f>228+(214.1-34)+(0.34884+(0.327573-0.05202))+0-0-0</f>
        <v>408.72439300000002</v>
      </c>
      <c r="J12" s="3">
        <f>227+(198.9-34)+(0.11577+(0.101439-0.01734))+0-0-0</f>
        <v>392.09986899999996</v>
      </c>
      <c r="K12" s="3">
        <f>227+(195.5-33)+(0.34731+(0.299115-0.05049))+0-0-0</f>
        <v>390.095935</v>
      </c>
      <c r="L12" s="3">
        <f>224+(195.9-40)+(-0.34272+(-0.299727--0.0612))+0-0-0</f>
        <v>379.31875299999996</v>
      </c>
      <c r="M12" s="3">
        <f>223+(195.3-42)+(-0.22746+(-0.199206--0.04284))+0-0-0</f>
        <v>375.91617400000001</v>
      </c>
      <c r="N12" s="3">
        <f>223+(208.9-43)+(-0.11373+(-0.106539--0.02193))+0-0-0</f>
        <v>388.701661</v>
      </c>
      <c r="O12" s="3">
        <f>220+(231.2-40)+(0.2244+(0.235824-0.0408))+0-0-0</f>
        <v>411.61942399999998</v>
      </c>
      <c r="P12" s="3">
        <f>220+(247.8-40)+(0.3366+(0.379134-0.0612))+0-0-0</f>
        <v>428.45453400000002</v>
      </c>
      <c r="Q12" s="3">
        <f>220+(259.3-41)+(-0.1122+(-0.132243--0.02091))+0-0-0</f>
        <v>438.07646700000004</v>
      </c>
      <c r="R12" s="3">
        <f>218+(268.1-42)+(-0.22236+(-0.273462--0.04284))+0-0-0</f>
        <v>443.647018</v>
      </c>
      <c r="S12" s="3">
        <f>218+(285.7-38)+(0+(0-0))+0-0-0</f>
        <v>465.7</v>
      </c>
      <c r="T12" s="3">
        <f>220+(286.1-34)+(0.1122+(0.145911-0.01734))+0-0-0</f>
        <v>472.34077100000002</v>
      </c>
      <c r="U12" s="3">
        <f>215+(290.7-37)+(-0.10965+(-0.148257--0.01887))+0-0-0</f>
        <v>468.46096299999999</v>
      </c>
      <c r="V12" s="3">
        <f>262+(249.9-38)+(0.40086+(0.382347-0.05814))+0-0-0</f>
        <v>474.625067</v>
      </c>
      <c r="W12" s="3">
        <f>314+(187.9-36)+(-0.32028+(-0.191658--0.03672))+0-0-0</f>
        <v>465.42478199999999</v>
      </c>
      <c r="X12" s="3">
        <f>262+(227.3-44)+(-0.13362+(-0.115923--0.02244))+0-0-0</f>
        <v>445.07289700000001</v>
      </c>
      <c r="Y12" s="3">
        <f>290+(265.6-43)+(0.2958+(0.270912-0.04386))+0-0-0</f>
        <v>513.12285199999997</v>
      </c>
      <c r="Z12" s="3">
        <f>290+(284.5-42)+(0.1479+(0.145095-0.02142))+0-0-0</f>
        <v>532.77157499999998</v>
      </c>
      <c r="AA12" s="3">
        <f>290+(295.2-44)+(0.1479+(0.150552-0.02244))+0-0-0</f>
        <v>541.47601200000008</v>
      </c>
      <c r="AB12" s="3">
        <f>281+(301-42)+(-0.28662+(-0.30702--0.04284))+0-0-0</f>
        <v>539.44920000000002</v>
      </c>
      <c r="AC12" s="3">
        <f>281+(281.6-40)+(-0.14331+(-0.143616--0.0204))+0-0-0</f>
        <v>522.33347400000002</v>
      </c>
      <c r="AD12" s="2">
        <v>476.15703600000001</v>
      </c>
      <c r="AE12" s="3">
        <f>290+(287.2-46)+(0+(0-0))+0-0-0</f>
        <v>531.20000000000005</v>
      </c>
    </row>
    <row r="13" spans="1:31" s="2" customFormat="1" x14ac:dyDescent="0.3">
      <c r="A13">
        <v>91</v>
      </c>
      <c r="B13">
        <v>1</v>
      </c>
      <c r="C13">
        <v>13</v>
      </c>
      <c r="D13">
        <v>2</v>
      </c>
      <c r="E13">
        <v>2</v>
      </c>
      <c r="F13" s="3">
        <f>275+(254-40)+(-0.14025+(-0.12954--0.0204))+0-0-0</f>
        <v>488.75060999999999</v>
      </c>
      <c r="G13" s="3">
        <f>260+(235.1-38)+(-0.2652+(-0.239802--0.03876))+0-0-0</f>
        <v>456.633758</v>
      </c>
      <c r="H13" s="3">
        <f>260+(209-37)+(-0.2652+(-0.21318--0.03774))+0-0-0</f>
        <v>431.55936000000003</v>
      </c>
      <c r="I13" s="3">
        <f>260+(189.5-37)+(0+(0-0))+0-0-0</f>
        <v>412.5</v>
      </c>
      <c r="J13" s="3">
        <f>258+(177.1-38)+(0.13158+(0.090321-0.01938))+0-0-0</f>
        <v>397.30252100000001</v>
      </c>
      <c r="K13" s="3">
        <f>257+(176.4-40)+(0.26214+(0.179928-0.0408))+0-0-0</f>
        <v>393.80126799999999</v>
      </c>
      <c r="L13" s="3">
        <f>259+(173.6-42)+(0+(0-0))+0-0-0</f>
        <v>390.6</v>
      </c>
      <c r="M13" s="3">
        <f>258+(173.5-44)+(-0.13158+(-0.088485--0.02244))+0-0-0</f>
        <v>387.30237499999998</v>
      </c>
      <c r="N13" s="3">
        <f>256+(183-40)+(0.26112+(0.18666-0.0408))+0-0-0</f>
        <v>399.40697999999998</v>
      </c>
      <c r="O13" s="3">
        <f>254+(193.8-38)+(-0.12954+(-0.098838--0.01938))+0-0-0</f>
        <v>409.591002</v>
      </c>
      <c r="P13" s="3">
        <f>253+(204.4-36)+(-0.64515+(-0.52122--0.0918))+0-0-0</f>
        <v>420.32542999999998</v>
      </c>
      <c r="Q13" s="3">
        <f>253+(215.8-36)+(-0.12903+(-0.110058--0.01836))+0-0-0</f>
        <v>432.579272</v>
      </c>
      <c r="R13" s="3">
        <f>250+(230.2-40)+(0+(0-0))+0-0-0</f>
        <v>440.2</v>
      </c>
      <c r="S13" s="3">
        <f>251+(245.8-38)+(0+(0-0))+0-0-0</f>
        <v>458.8</v>
      </c>
      <c r="T13" s="3">
        <f>253+(251.5-39)+(-0.25806+(-0.25653--0.03978))+0-0-0</f>
        <v>465.02519000000001</v>
      </c>
      <c r="U13" s="3">
        <f>254+(245.7-39)+(-0.12954+(-0.125307--0.01989))+0-0-0</f>
        <v>460.46504299999998</v>
      </c>
      <c r="V13" s="3">
        <f>260+(227.3-38)+(0.1326+(0.115923-0.01938))+0-0-0</f>
        <v>449.52914300000003</v>
      </c>
      <c r="W13" s="3">
        <f>272+(206.9-37)+(-0.13872+(-0.105519--0.01887))+0-0-0</f>
        <v>441.67463099999998</v>
      </c>
      <c r="X13" s="3">
        <f>272+(207.1-43)+(-0.27744+(-0.211242--0.04386))+0-0-0</f>
        <v>435.65517800000003</v>
      </c>
      <c r="Y13" s="3">
        <f>272+(274.3-42)+(0.13872+(0.139893-0.02142))+0-0-0</f>
        <v>504.55719299999998</v>
      </c>
      <c r="Z13" s="3">
        <f>272+(306.5-46)+(-0.27744+(-0.31263--0.04692))+0-0-0</f>
        <v>531.95685000000003</v>
      </c>
      <c r="AA13" s="3">
        <f>280+(308.8-45)+(-0.1428+(-0.157488--0.02295))+0-0-0</f>
        <v>543.52266199999997</v>
      </c>
      <c r="AB13" s="3">
        <f>290+(296.6-43)+(-0.2958+(-0.302532--0.04386))+0-0-0</f>
        <v>543.04552799999999</v>
      </c>
      <c r="AC13" s="3">
        <f>287+(276.7-41)+(-0.14637+(-0.141117--0.02091))+0-0-0</f>
        <v>522.43342300000006</v>
      </c>
      <c r="AD13" s="2">
        <v>499.17959200000007</v>
      </c>
      <c r="AE13" s="3">
        <f>272+(306.7-46)+(0+(0-0))+0-0-0</f>
        <v>532.70000000000005</v>
      </c>
    </row>
    <row r="14" spans="1:31" s="2" customFormat="1" x14ac:dyDescent="0.3">
      <c r="A14">
        <v>91</v>
      </c>
      <c r="B14">
        <v>1</v>
      </c>
      <c r="C14">
        <v>14</v>
      </c>
      <c r="D14">
        <v>3</v>
      </c>
      <c r="E14">
        <v>1</v>
      </c>
      <c r="F14" s="3">
        <f>279+(242.8-38)+(-0.28458+(-0.247656--0.03876))+0-0-0</f>
        <v>483.30652400000002</v>
      </c>
      <c r="G14" s="3">
        <f>279+(210.3-37)+(-0.28458+(-0.214506--0.03774))+0-0-0</f>
        <v>451.83865400000002</v>
      </c>
      <c r="H14" s="3">
        <f>279+(187.7-37)+(-0.28458+(-0.191454--0.03774))+0-0-0</f>
        <v>429.261706</v>
      </c>
      <c r="I14" s="3">
        <f>279+(165.7-36)+(-0.28458+(-0.169014--0.03672))+0-0-0</f>
        <v>408.28312599999998</v>
      </c>
      <c r="J14" s="3">
        <f>278+(152.9-36)+(-0.28356+(-0.155958--0.03672))+0-0-0</f>
        <v>394.49720199999996</v>
      </c>
      <c r="K14" s="3">
        <f>277+(151.2-37)+(0.14127+(0.077112-0.01887))+0-0-0</f>
        <v>391.39951200000002</v>
      </c>
      <c r="L14" s="3">
        <f>277+(152.6-45)+(0+(0-0))+0-0-0</f>
        <v>384.6</v>
      </c>
      <c r="M14" s="3">
        <f>274+(156.6-42)+(0.13974+(0.079866-0.02142))+0-0-0</f>
        <v>388.79818600000004</v>
      </c>
      <c r="N14" s="3">
        <f>273+(181.2-40)+(-0.13923+(-0.092412--0.0204))+0-0-0</f>
        <v>413.98875799999996</v>
      </c>
      <c r="O14" s="3">
        <f>273+(194-35)+(0+(0-0))+0-0-0</f>
        <v>432</v>
      </c>
      <c r="P14" s="3">
        <f>273+(209.3-30)+(0+(0-0))+0-0-0</f>
        <v>452.3</v>
      </c>
      <c r="Q14" s="3">
        <f>273+(229.6-32)+(-0.13923+(-0.117096--0.01632))+0-0-0</f>
        <v>470.35999400000003</v>
      </c>
      <c r="R14" s="3">
        <f>267+(251.6-30)+(-0.27234+(-0.256632--0.0306))+0-0-0</f>
        <v>488.10162800000001</v>
      </c>
      <c r="S14" s="3">
        <f>268+(269.7-32)+(-0.54672+(-0.550188--0.06528))+0-0-0</f>
        <v>504.66837199999998</v>
      </c>
      <c r="T14" s="3">
        <f>270+(266.1-35)+(-0.4131+(-0.407133--0.05355))+0-0-0</f>
        <v>500.33331700000002</v>
      </c>
      <c r="U14" s="3">
        <f>270+(251.8-36)+(-0.2754+(-0.256836--0.03672))+0-0-0</f>
        <v>485.304484</v>
      </c>
      <c r="V14" s="3">
        <f>288+(236.1-34)+(0+(0-0))+0-0-0</f>
        <v>490.1</v>
      </c>
      <c r="W14" s="3">
        <f>289+(215.3-31)+(-0.14739+(-0.109803--0.01581))+0-0-0</f>
        <v>473.05861700000003</v>
      </c>
      <c r="X14" s="3">
        <f>364+(140.9-38)+(-0.18564+(-0.071859--0.01938))+0-0-0</f>
        <v>466.66188099999999</v>
      </c>
      <c r="Y14" s="3">
        <f>420+(151.8-42)+(0.2142+(0.077418-0.02142))+0-0-0</f>
        <v>530.070198</v>
      </c>
      <c r="Z14" s="3">
        <f>422+(179.8-45)+(-1.29132+(-0.550188--0.1377))+0-0-0</f>
        <v>555.09619199999997</v>
      </c>
      <c r="AA14" s="3">
        <f>420+(189.6-45)+(-0.6426+(-0.290088--0.06885))+0-0-0</f>
        <v>563.73616200000004</v>
      </c>
      <c r="AB14" s="3">
        <f>289+(321-43)+(-0.14739+(-0.16371--0.02193))+0-0-0</f>
        <v>566.71082999999999</v>
      </c>
      <c r="AC14" s="3">
        <f>289+(305.7-41)+(-0.44217+(-0.467721--0.06273))+0-0-0</f>
        <v>552.85283900000002</v>
      </c>
      <c r="AD14" s="2">
        <v>499.92194000000006</v>
      </c>
      <c r="AE14" s="3">
        <f>422+(175.3-45)+(0+(0-0))+0-0-0</f>
        <v>552.29999999999995</v>
      </c>
    </row>
    <row r="15" spans="1:31" s="2" customFormat="1" x14ac:dyDescent="0.3">
      <c r="A15">
        <v>91</v>
      </c>
      <c r="B15">
        <v>1</v>
      </c>
      <c r="C15">
        <v>15</v>
      </c>
      <c r="D15">
        <v>4</v>
      </c>
      <c r="E15">
        <v>1</v>
      </c>
      <c r="F15" s="3">
        <f>290+(252.6-39)+(-0.5916+(-0.515304--0.07956))+0-0-0</f>
        <v>502.57265599999999</v>
      </c>
      <c r="G15" s="3">
        <f>293+(239.5-38)+(-0.74715+(-0.610725--0.0969))+0-0-0</f>
        <v>493.23902500000003</v>
      </c>
      <c r="H15" s="3">
        <f>279+(218.3-38)+(-0.71145+(-0.556665--0.0969))+0-0-0</f>
        <v>458.12878499999999</v>
      </c>
      <c r="I15" s="3">
        <f>279+(202.2-37)+(-0.28458+(-0.206244--0.03774))+0-0-0</f>
        <v>443.746916</v>
      </c>
      <c r="J15" s="3">
        <f>279+(187.3-37)+(0.14229+(0.095523-0.01887))+0-0-0</f>
        <v>429.51894300000004</v>
      </c>
      <c r="K15" s="3">
        <f>275+(184.5-39)+(-0.14025+(-0.094095--0.01989))+0-0-0</f>
        <v>420.28554500000001</v>
      </c>
      <c r="L15" s="3">
        <f>275+(180.4-40)+(0.14025+(0.092004-0.0204))+0-0-0</f>
        <v>415.61185399999999</v>
      </c>
      <c r="M15" s="3">
        <f>268+(184.8-39)+(-0.13668+(-0.094248--0.01989))+0-0-0</f>
        <v>413.58896200000004</v>
      </c>
      <c r="N15" s="3">
        <f>268+(206.8-35)+(0+(0-0))+0-0-0</f>
        <v>439.8</v>
      </c>
      <c r="O15" s="3">
        <f>266+(230.3-35)+(-0.27132+(-0.234906--0.0357))+0-0-0</f>
        <v>460.829474</v>
      </c>
      <c r="P15" s="3">
        <f>266+(247.8-35)+(-0.13566+(-0.126378--0.01785))+0-0-0</f>
        <v>478.555812</v>
      </c>
      <c r="Q15" s="3">
        <f>265+(269.3-33)+(-0.67575+(-0.686715--0.08415))+0-0-0</f>
        <v>500.02168499999999</v>
      </c>
      <c r="R15" s="3">
        <f>249+(365-38)+(-0.25398+(-0.3723--0.03876))+0-0-0</f>
        <v>575.41247999999996</v>
      </c>
      <c r="S15" s="3">
        <f>271+(320-37)+(-0.69105+(-0.816--0.09435))+0-0-0</f>
        <v>552.58730000000003</v>
      </c>
      <c r="T15" s="3">
        <f>295+(286-33)+(-0.75225+(-0.7293--0.08415))+0-0-0</f>
        <v>546.60260000000005</v>
      </c>
      <c r="U15" s="3">
        <f>290+(291-36)+(-0.2958+(-0.29682--0.03672))+0-0-0</f>
        <v>544.44410000000005</v>
      </c>
      <c r="V15" s="3">
        <f>311+(262-35)+(-0.63444+(-0.53448--0.0714))+0-0-0</f>
        <v>536.90247999999997</v>
      </c>
      <c r="W15" s="3">
        <f>332+(229-39)+(-0.16932+(-0.11679--0.01989))+0-0-0</f>
        <v>521.73378000000002</v>
      </c>
      <c r="X15" s="3">
        <f>336+(196-44)+(0+(0-0))+0-0-0</f>
        <v>488</v>
      </c>
      <c r="Y15" s="3">
        <f>342+(281-44)+(0.17442+(0.14331-0.02244))+0-0-0</f>
        <v>579.29529000000002</v>
      </c>
      <c r="Z15" s="3">
        <f>383+(252-47)+(0.39066+(0.25704-0.04794))+0-0-0</f>
        <v>588.59975999999995</v>
      </c>
      <c r="AA15" s="3">
        <f>398+(283-46)+(-0.60894+(-0.43299--0.07038))+0-0-0</f>
        <v>634.02845000000002</v>
      </c>
      <c r="AB15" s="3">
        <f>343+(304-44)+(0+(0-0))+0-0-0</f>
        <v>603</v>
      </c>
      <c r="AC15" s="3">
        <f>332+(275-43)+(-0.33864+(-0.2805--0.04386))+0-0-0</f>
        <v>563.42471999999998</v>
      </c>
      <c r="AD15" s="2">
        <v>522.23246799999993</v>
      </c>
      <c r="AE15" s="3">
        <f>398+(249.6-46)+(0+(0-0))+0-0-0</f>
        <v>601.6</v>
      </c>
    </row>
    <row r="16" spans="1:31" s="2" customFormat="1" x14ac:dyDescent="0.3">
      <c r="A16">
        <v>91</v>
      </c>
      <c r="B16">
        <v>1</v>
      </c>
      <c r="C16">
        <v>16</v>
      </c>
      <c r="D16">
        <v>5</v>
      </c>
      <c r="E16">
        <v>1</v>
      </c>
      <c r="F16" s="3">
        <f>329+(252.9-41)+(0+(0-0))+0-0-0</f>
        <v>540.9</v>
      </c>
      <c r="G16" s="3">
        <f>329+(216.1-40)+(0+(0-0))+0-0-0</f>
        <v>505.1</v>
      </c>
      <c r="H16" s="3">
        <f>329+(192.1-38)+(0+(0-0))+0-0-0</f>
        <v>483.1</v>
      </c>
      <c r="I16" s="3">
        <f>329+(172.8-35)+(0+(0-0))+0-0-0</f>
        <v>466.8</v>
      </c>
      <c r="J16" s="3">
        <f>326+(153.8-35)+(0+(0-0))+0-0-0</f>
        <v>444.8</v>
      </c>
      <c r="K16" s="3">
        <f>326+(149.5-35)+(0+(0-0))+0-0-0</f>
        <v>440.5</v>
      </c>
      <c r="L16" s="3">
        <f>326+(141.5-44)+(0.16626+(0.072165-0.02244))+0-0-0</f>
        <v>423.71598499999999</v>
      </c>
      <c r="M16" s="3">
        <f>332+(138.7-44)+(0.50796+(0.212211-0.06732))+0-0-0</f>
        <v>427.35285099999999</v>
      </c>
      <c r="N16" s="3">
        <f>372+(130.7-53.4)+(-0.37944+(-0.133314--0.054468))+0-0-0</f>
        <v>448.84171399999997</v>
      </c>
      <c r="O16" s="3">
        <f>361+(154.4-42)+(-0.36822+(-0.157488--0.04284))+0-0-0</f>
        <v>472.91713199999998</v>
      </c>
      <c r="P16" s="3">
        <f>336+(195.8-35)+(-0.51408+(-0.299574--0.05355))+0-0-0</f>
        <v>496.039896</v>
      </c>
      <c r="Q16" s="3">
        <f>324+(216.7-36)+(0+(0-0))+0-0-0</f>
        <v>504.7</v>
      </c>
      <c r="R16" s="3">
        <f>317+(256.2-41)+(-0.97002+(-0.783972--0.12546))+0-0-0</f>
        <v>530.5714680000001</v>
      </c>
      <c r="S16" s="3">
        <f>324+(272.6-36)+(0.16524+(0.139026-0.01836))+0-0-0</f>
        <v>560.88590599999998</v>
      </c>
      <c r="T16" s="3">
        <f>337+(265.1-37)+(-0.34374+(-0.270402--0.03774))+0-0-0</f>
        <v>564.52359799999999</v>
      </c>
      <c r="U16" s="3">
        <f>318+(271.2-40)+(-0.16218+(-0.138312--0.0204))+0-0-0</f>
        <v>548.91990800000008</v>
      </c>
      <c r="V16" s="3">
        <f>346+(238.4-39)+(-0.35292+(-0.243168--0.03978))+0-0-0</f>
        <v>544.84369200000003</v>
      </c>
      <c r="W16" s="3">
        <f>361+(197-40)+(0+(0-0))+0-0-0</f>
        <v>518</v>
      </c>
      <c r="X16" s="3">
        <f>371+(169.9-45)+(-0.18921+(-0.086649--0.02295))+0-0-0</f>
        <v>495.64709099999999</v>
      </c>
      <c r="Y16" s="3">
        <f>376+(231.1-43)+(0.19176+(0.117861-0.02193))+0-0-0</f>
        <v>564.38769100000002</v>
      </c>
      <c r="Z16" s="3">
        <f>380+(255.5-40)+(-0.5814+(-0.390915--0.0612))+0-0-0</f>
        <v>594.588885</v>
      </c>
      <c r="AA16" s="3">
        <f>380+(283-44)+(-1.1628+(-0.86598--0.13464))+0-0-0</f>
        <v>617.10586000000001</v>
      </c>
      <c r="AB16" s="3">
        <f>365+(287.5-46)+(-0.93075+(-0.733125--0.1173))+0-0-0</f>
        <v>604.95342500000004</v>
      </c>
      <c r="AC16" s="3">
        <f>348+(283.8-42)+(-0.70992+(-0.578952--0.08568))+0-0-0</f>
        <v>588.59680800000001</v>
      </c>
      <c r="AD16" s="2">
        <v>507.80179500000003</v>
      </c>
      <c r="AE16" s="3">
        <f>381+(261.4-47)+(0+(0-0))+0-0-0</f>
        <v>595.4</v>
      </c>
    </row>
    <row r="17" spans="1:31" s="2" customFormat="1" x14ac:dyDescent="0.3">
      <c r="A17">
        <v>91</v>
      </c>
      <c r="B17">
        <v>1</v>
      </c>
      <c r="C17">
        <v>17</v>
      </c>
      <c r="D17">
        <v>6</v>
      </c>
      <c r="E17">
        <v>1</v>
      </c>
      <c r="F17" s="3">
        <f>343+(252.7-41)+(-0.17493+(-0.128877--0.02091))+0-0-0</f>
        <v>554.417103</v>
      </c>
      <c r="G17" s="3">
        <f>325+(233.9-38)+(-0.49725+(-0.357867--0.05814))+0-0-0</f>
        <v>520.10302300000001</v>
      </c>
      <c r="H17" s="3">
        <f>324+(214.3-38)+(0.33048+(0.218586-0.03876))+0-0-0</f>
        <v>500.81030600000003</v>
      </c>
      <c r="I17" s="3">
        <f>305+(212.5-39)+(0.3111+(0.21675-0.03978))+0-0-0</f>
        <v>478.98806999999999</v>
      </c>
      <c r="J17" s="3">
        <f>294+(207.7-40)+(-0.29988+(-0.211854--0.0408))+0-0-0</f>
        <v>461.22906599999999</v>
      </c>
      <c r="K17" s="3">
        <f>294+(193-41)+(0.14994+(0.09843-0.02091))+0-0-0</f>
        <v>446.22746000000001</v>
      </c>
      <c r="L17" s="3">
        <f>295+(173.5-44)+(-0.3009+(-0.17697--0.04488))+0-0-0</f>
        <v>424.06700999999998</v>
      </c>
      <c r="M17" s="3">
        <f>297+(170.3-44)+(0.30294+(0.173706-0.04488))+0-0-0</f>
        <v>423.73176599999999</v>
      </c>
      <c r="N17" s="3">
        <f>311+(179.6-40)+(0.31722+(0.183192-0.0408))+0-0-0</f>
        <v>451.05961200000002</v>
      </c>
      <c r="O17" s="3">
        <f>310+(205-40)+(0.4743+(0.31365-0.0612))+0-0-0</f>
        <v>475.72674999999998</v>
      </c>
      <c r="P17" s="3">
        <f>310+(232.2-39)+(0.4743+(0.355266-0.05967))+0-0-0</f>
        <v>503.96989600000001</v>
      </c>
      <c r="Q17" s="3">
        <f>308+(255.4-39)+(0+(0-0))+0-0-0</f>
        <v>524.4</v>
      </c>
      <c r="R17" s="3">
        <f>306+(290.1-38)+(0+(0-0))+0-0-0</f>
        <v>558.1</v>
      </c>
      <c r="S17" s="3">
        <f>320+(297.6-39)+(-0.9792+(-0.910656--0.11934))+0-0-0</f>
        <v>576.82948399999998</v>
      </c>
      <c r="T17" s="3">
        <f>323+(306.4-42)+(0+(0-0))+0-0-0</f>
        <v>587.4</v>
      </c>
      <c r="U17" s="3">
        <f>343+(278.3-41)+(0+(0-0))+0-0-0</f>
        <v>580.29999999999995</v>
      </c>
      <c r="V17" s="3">
        <f>366+(219.2-39)+(-0.37332+(-0.223584--0.03978))+0-0-0</f>
        <v>545.642876</v>
      </c>
      <c r="W17" s="3">
        <f>392+(185.8-36)+(-0.59976+(-0.284274--0.05508))+0-0-0</f>
        <v>540.971046</v>
      </c>
      <c r="X17" s="3">
        <f>392+(159.8-38)+(-0.19992+(-0.081498--0.01938))+0-0-0</f>
        <v>513.53796199999999</v>
      </c>
      <c r="Y17" s="3">
        <f>394+(229.6-45)+(0.60282+(0.351288-0.06885))+0-0-0</f>
        <v>579.48525800000004</v>
      </c>
      <c r="Z17" s="3">
        <f>360+(294.1-45)+(0+(0-0))+0-0-0</f>
        <v>609.1</v>
      </c>
      <c r="AA17" s="3">
        <f>354+(324.8-47)+(-0.54162+(-0.496944--0.07191))+0-0-0</f>
        <v>630.83334600000001</v>
      </c>
      <c r="AB17" s="3">
        <f>370+(315-46)+(-0.7548+(-0.6426--0.09384))+0-0-0</f>
        <v>637.69644000000005</v>
      </c>
      <c r="AC17" s="3">
        <f>397+(275.5-43)+(-1.01235+(-0.702525--0.10965))+0-0-0</f>
        <v>627.89477499999998</v>
      </c>
      <c r="AD17" s="2">
        <v>349.72655200000003</v>
      </c>
      <c r="AE17" s="3">
        <f>392+(266.5-46)+(0+(0-0))+0-0-0</f>
        <v>612.5</v>
      </c>
    </row>
    <row r="18" spans="1:31" s="2" customFormat="1" x14ac:dyDescent="0.3">
      <c r="A18">
        <v>91</v>
      </c>
      <c r="B18">
        <v>1</v>
      </c>
      <c r="C18">
        <v>18</v>
      </c>
      <c r="D18">
        <v>7</v>
      </c>
      <c r="E18">
        <v>1</v>
      </c>
      <c r="F18" s="3">
        <f>402+(210.9-42)+(0.61506+(0.322677-0.06426))+0-0-0</f>
        <v>571.77347699999996</v>
      </c>
      <c r="G18" s="3">
        <f>392+(200.9-40)+(-0.59976+(-0.307377--0.0612))+0-0-0</f>
        <v>552.05406299999993</v>
      </c>
      <c r="H18" s="3">
        <f>357+(203.2-40)+(-0.18207+(-0.103632--0.0204))+0-0-0</f>
        <v>519.93469800000003</v>
      </c>
      <c r="I18" s="3">
        <f>358+(182.6-39)+(-0.9129+(-0.46563--0.09945))+0-0-0</f>
        <v>500.32092</v>
      </c>
      <c r="J18" s="3">
        <f>358+(162.9-37)+(0.73032+(0.332316-0.07548))+0-0-0</f>
        <v>484.887156</v>
      </c>
      <c r="K18" s="3">
        <f>360+(145.8-38)+(-0.1836+(-0.074358--0.01938))+0-0-0</f>
        <v>467.56142199999999</v>
      </c>
      <c r="L18" s="3">
        <f>362+(141.7-44)+(-0.73848+(-0.289068--0.08976))+0-0-0</f>
        <v>458.76221199999998</v>
      </c>
      <c r="M18" s="3">
        <f>358+(125.5-44)+(-0.54774+(-0.192015--0.06732))+0-0-0</f>
        <v>438.82756499999999</v>
      </c>
      <c r="N18" s="3">
        <f>355+(143.2-42)+(-0.18105+(-0.073032--0.02142))+0-0-0</f>
        <v>455.96733799999998</v>
      </c>
      <c r="O18" s="3">
        <f>351+(160.8-39)+(0+(0-0))+0-0-0</f>
        <v>472.8</v>
      </c>
      <c r="P18" s="3">
        <f>349+(182.6-38)+(0+(0-0))+0-0-0</f>
        <v>493.6</v>
      </c>
      <c r="Q18" s="3">
        <f>348+(211.8-38)+(0.17748+(0.108018-0.01938))+0-0-0</f>
        <v>522.06611799999996</v>
      </c>
      <c r="R18" s="3">
        <f>339+(247.5-40)+(-0.17289+(-0.126225--0.0204))+0-0-0</f>
        <v>546.22128499999997</v>
      </c>
      <c r="S18" s="3">
        <f>342+(272.8-40)+(-0.34884+(-0.278256--0.0408))+0-0-0</f>
        <v>574.21370400000001</v>
      </c>
      <c r="T18" s="3">
        <f>372+(236-42)+(-0.18972+(-0.12036--0.02142))+0-0-0</f>
        <v>565.71133999999995</v>
      </c>
      <c r="U18" s="3">
        <f>390+(212.8-44)+(-0.9945+(-0.54264--0.1122))+0-0-0</f>
        <v>557.37505999999996</v>
      </c>
      <c r="V18" s="3">
        <f>408+(183.8-43)+(0+(0-0))+0-0-0</f>
        <v>548.79999999999995</v>
      </c>
      <c r="W18" s="3">
        <f>416+(147.9-43.2)+(-1.0608+(-0.377145--0.11016))+0-0-0</f>
        <v>519.3722150000001</v>
      </c>
      <c r="X18" s="3">
        <f>416+(135.1-47.8)+(-0.21216+(-0.068901--0.024378))+0-0-0</f>
        <v>503.043317</v>
      </c>
      <c r="Y18" s="3">
        <f>417+(206.8-44)+(-0.21267+(-0.105468--0.02244))+0-0-0</f>
        <v>579.50430199999994</v>
      </c>
      <c r="Z18" s="3">
        <f>417+(255.3-44)+(-0.63801+(-0.390609--0.06732))+0-0-0</f>
        <v>627.3387009999999</v>
      </c>
      <c r="AA18" s="3">
        <f>417+(278.8-46)+(-0.85068+(-0.568752--0.09384))+0-0-0</f>
        <v>648.47440799999993</v>
      </c>
      <c r="AB18" s="3">
        <f>418+(280.3-41)+(-0.21318+(-0.142953--0.02091))+0-0-0</f>
        <v>656.96477699999991</v>
      </c>
      <c r="AC18" s="3">
        <f>419+(253.5-39)+(0.21369+(0.129285-0.01989))+0-0-0</f>
        <v>633.82308499999999</v>
      </c>
      <c r="AD18" s="2">
        <v>518.87021199999992</v>
      </c>
      <c r="AE18" s="3">
        <f>417+(257-46)+(0+(0-0))+0-0-0</f>
        <v>628</v>
      </c>
    </row>
    <row r="19" spans="1:31" s="2" customFormat="1" x14ac:dyDescent="0.3">
      <c r="A19">
        <v>91</v>
      </c>
      <c r="B19">
        <v>1</v>
      </c>
      <c r="C19">
        <v>19</v>
      </c>
      <c r="D19">
        <v>1</v>
      </c>
      <c r="E19">
        <v>1</v>
      </c>
      <c r="F19" s="3">
        <f>406+(216.5-40)+(-1.0353+(-0.552075--0.102))+0-0-0</f>
        <v>581.01462500000002</v>
      </c>
      <c r="G19" s="3">
        <f>380+(197.9-39)+(-0.969+(-0.504645--0.09945))+0-0-0</f>
        <v>537.52580499999999</v>
      </c>
      <c r="H19" s="3">
        <f>355+(203.6-38)+(0.54315+(0.311508-0.05814))+0-0-0</f>
        <v>521.39651800000001</v>
      </c>
      <c r="I19" s="3">
        <f>355+(182.8-38)+(0.90525+(0.46614-0.0969))+0-0-0</f>
        <v>501.07449000000003</v>
      </c>
      <c r="J19" s="3">
        <f>357+(163.9-39)+(-0.91035+(-0.417945--0.09945))+0-0-0</f>
        <v>480.671155</v>
      </c>
      <c r="K19" s="3">
        <f>357+(155.5-41)+(0+(0-0))+0-0-0</f>
        <v>471.5</v>
      </c>
      <c r="L19" s="3">
        <f>354+(133.2-42)+(-0.72216+(-0.271728--0.08568))+0-0-0</f>
        <v>444.29179199999999</v>
      </c>
      <c r="M19" s="3">
        <f>350+(132.2-41)+(0.1785+(0.067422-0.02091))+0-0-0</f>
        <v>441.42501199999998</v>
      </c>
      <c r="N19" s="3">
        <f>347+(155.2-40)+(0.35394+(0.158304-0.0408))+0-0-0</f>
        <v>462.67144400000001</v>
      </c>
      <c r="O19" s="3">
        <f>389+(142.7-36)+(0+(0-0))+0-0-0</f>
        <v>495.7</v>
      </c>
      <c r="P19" s="3">
        <f>452+(106.8-45.3)+(-0.23052+(-0.054468--0.023103))+0-0-0</f>
        <v>513.23811499999999</v>
      </c>
      <c r="Q19" s="3">
        <f>445+(131.4-35.3)+(-0.9078+(-0.268056--0.072012))+0-0-0</f>
        <v>539.99615600000004</v>
      </c>
      <c r="R19" s="3">
        <f>426+(181.1-45)+(0.43452+(0.184722-0.0459))+0-0-0</f>
        <v>562.67334200000005</v>
      </c>
      <c r="S19" s="3">
        <f>371+(255.6-44)+(-0.56763+(-0.391068--0.06732))+0-0-0</f>
        <v>581.70862199999999</v>
      </c>
      <c r="T19" s="3">
        <f>441+(195.6-41)+(-0.22491+(-0.099756--0.02091))+0-0-0</f>
        <v>595.296244</v>
      </c>
      <c r="U19" s="3">
        <f>445+(171.8-41)+(-0.68085+(-0.262854--0.06273))+0-0-0</f>
        <v>574.91902599999992</v>
      </c>
      <c r="V19" s="3">
        <f>474+(125.6-48.6)+(0.24174+(0.064056-0.024786))+7.2-0-0</f>
        <v>558.48101000000008</v>
      </c>
      <c r="W19" s="3">
        <f>500+(101.6-57.4)+(-0.51+(-0.103632--0.058548))+0-0-0</f>
        <v>543.64491600000008</v>
      </c>
      <c r="X19" s="3">
        <f>502+(88.9-60.5)+(-1.02408+(-0.181356--0.12342))+0-0-0</f>
        <v>529.31798400000002</v>
      </c>
      <c r="Y19" s="3">
        <f>511+(139.7-53.1)+(0.26061+(0.071247-0.027081))+0-0-0</f>
        <v>597.90477599999997</v>
      </c>
      <c r="Z19" s="3">
        <f>509+(177.6-47)+(-0.77877+(-0.271728--0.07191))+0-0-0</f>
        <v>638.62141200000008</v>
      </c>
      <c r="AA19" s="3">
        <f>508+(202-49)+(-1.2954+(-0.5151--0.12495))+0-0-0</f>
        <v>659.31444999999997</v>
      </c>
      <c r="AB19" s="3">
        <f>494+(204.7-46)+(-1.00776+(-0.417588--0.09384))+0-0-0</f>
        <v>651.36849200000006</v>
      </c>
      <c r="AC19" s="3">
        <f>492+(183.5-41)+(-1.00368+(-0.37434--0.08364))+0-0-0</f>
        <v>633.20561999999995</v>
      </c>
      <c r="AD19" s="2">
        <v>497.69183600000002</v>
      </c>
      <c r="AE19" s="3">
        <f>505+(182.4-47)+(0+(0-0))+0-0-0</f>
        <v>640.4</v>
      </c>
    </row>
    <row r="20" spans="1:31" s="2" customFormat="1" x14ac:dyDescent="0.3">
      <c r="A20">
        <v>91</v>
      </c>
      <c r="B20">
        <v>1</v>
      </c>
      <c r="C20">
        <v>20</v>
      </c>
      <c r="D20">
        <v>2</v>
      </c>
      <c r="E20">
        <v>1</v>
      </c>
      <c r="F20" s="3">
        <f>470+(170.7-40)+(0+(0-0))+0-0-0</f>
        <v>600.70000000000005</v>
      </c>
      <c r="G20" s="3">
        <f>419+(184.2-39)+(-0.85476+(-0.375768--0.07956))+0-0-0</f>
        <v>563.04903200000001</v>
      </c>
      <c r="H20" s="3">
        <f>419+(156.9-38)+(-0.85476+(-0.320076--0.07752))+0-0-0</f>
        <v>536.802684</v>
      </c>
      <c r="I20" s="3">
        <f>419+(136.4-40.7)+(-0.42738+(-0.139128--0.041514))+0-0-0</f>
        <v>514.17500600000005</v>
      </c>
      <c r="J20" s="3">
        <f>390+(142.1-41)+(-0.5967+(-0.217413--0.06273))+0-0-0</f>
        <v>490.34861700000005</v>
      </c>
      <c r="K20" s="3">
        <f>333+(179.2-43)+(0.16983+(0.091392-0.02193))+0-0-0</f>
        <v>469.43929199999997</v>
      </c>
      <c r="L20" s="3">
        <f>321+(176.5-43)+(0+(0-0))+0-0-0</f>
        <v>454.5</v>
      </c>
      <c r="M20" s="3">
        <f>320+(173.7-42)+(-0.1632+(-0.088587--0.02142))+0-0-0</f>
        <v>451.46963299999999</v>
      </c>
      <c r="N20" s="3">
        <f>365+(134.6-42)+(-0.55845+(-0.205938--0.06426))+0-0-0</f>
        <v>456.89987200000002</v>
      </c>
      <c r="O20" s="3">
        <f>382+(136.7-49)+(0.19482+(0.069717-0.02499))+0-0-0</f>
        <v>469.939547</v>
      </c>
      <c r="P20" s="3">
        <f>395+(150.2-38)+(0+(0-0))+0-0-0</f>
        <v>507.2</v>
      </c>
      <c r="Q20" s="3">
        <f>315+(255-38)+(0.3213+(0.2601-0.03876))+0-0-0</f>
        <v>532.54264000000001</v>
      </c>
      <c r="R20" s="3">
        <f>299+(316.1-38)+(0.15249+(0.161211-0.01938))+0-0-0</f>
        <v>577.39432099999999</v>
      </c>
      <c r="S20" s="3">
        <f>321+(314.2-37)+(-0.98226+(-0.961452--0.11322))+11.3-0-0</f>
        <v>607.66950799999995</v>
      </c>
      <c r="T20" s="3">
        <f>327+(297.4-35)+(-0.33354+(-0.303348--0.0357))+25-0-0</f>
        <v>613.798812</v>
      </c>
      <c r="U20" s="3">
        <f>329+(280.3-37)+(-0.50337+(-0.428859--0.05661))+25-0-0</f>
        <v>596.42438099999993</v>
      </c>
      <c r="V20" s="3">
        <f>346+(262.9-38)+(-0.17646+(-0.134079--0.01938))+0-0-0</f>
        <v>570.60884099999998</v>
      </c>
      <c r="W20" s="3">
        <f>370+(218.9-39)+(0.1887+(0.111639-0.01989))+0-0-0</f>
        <v>550.18044899999995</v>
      </c>
      <c r="X20" s="3">
        <f>368+(204.9-45)+(-0.56304+(-0.313497--0.06885))+12-0-0</f>
        <v>539.09231299999999</v>
      </c>
      <c r="Y20" s="3">
        <f>361+(278.7-45)+(-0.36822+(-0.284274--0.0459))+0-0-0</f>
        <v>594.09340600000007</v>
      </c>
      <c r="Z20" s="3">
        <f>361+(329.4-43)+(-0.92055+(-0.83997--0.10965))+0-0-0</f>
        <v>645.74912999999992</v>
      </c>
      <c r="AA20" s="3">
        <f>361+(354.3-43)+(-0.73644+(-0.722772--0.08772))+0-0-0</f>
        <v>670.92850799999997</v>
      </c>
      <c r="AB20" s="3">
        <f>324+(369.8-42)+(-0.33048+(-0.377196--0.04284))+0-0-0</f>
        <v>651.13516399999992</v>
      </c>
      <c r="AC20" s="3">
        <f>322+(350.7-39)+(-0.49266+(-0.536571--0.05967))+0-0-0</f>
        <v>632.73043900000005</v>
      </c>
      <c r="AD20" s="2">
        <v>508.53909400000003</v>
      </c>
      <c r="AE20" s="3">
        <f>363+(333.8-40)+(0+(0-0))+0-0-0</f>
        <v>656.8</v>
      </c>
    </row>
    <row r="21" spans="1:31" s="2" customFormat="1" x14ac:dyDescent="0.3">
      <c r="A21">
        <v>91</v>
      </c>
      <c r="B21">
        <v>1</v>
      </c>
      <c r="C21">
        <v>21</v>
      </c>
      <c r="D21">
        <v>3</v>
      </c>
      <c r="E21">
        <v>1</v>
      </c>
      <c r="F21" s="3">
        <f>318+(326.7-37)+(-0.48654+(-0.499851--0.05661))+0-0-0</f>
        <v>606.770219</v>
      </c>
      <c r="G21" s="3">
        <f>307+(308.7-39)+(-0.62628+(-0.629748--0.07956))+0-0-0</f>
        <v>575.52353200000005</v>
      </c>
      <c r="H21" s="3">
        <f>307+(279.7-39)+(-0.31314+(-0.285294--0.03978))+0-0-0</f>
        <v>547.141346</v>
      </c>
      <c r="I21" s="3">
        <f>302+(253.4-37)+(-0.46206+(-0.387702--0.05661))+0-0-0</f>
        <v>517.60684800000001</v>
      </c>
      <c r="J21" s="3">
        <f>302+(235.9-38)+(-0.15402+(-0.120309--0.01938))+0-0-0</f>
        <v>499.64505099999997</v>
      </c>
      <c r="K21" s="3">
        <f>302+(215.8-40)+(0.15402+(0.110058-0.0204))+0-0-0</f>
        <v>478.043678</v>
      </c>
      <c r="L21" s="3">
        <f>306+(198.9-43)+(-1.09242+(-0.710073--0.15351))+0-0-0</f>
        <v>460.25101699999999</v>
      </c>
      <c r="M21" s="3">
        <f>302+(205.2-42)+(0+(0-0))+0-0-0</f>
        <v>465.2</v>
      </c>
      <c r="N21" s="3">
        <f>299+(210.4-39)+(0.15249+(0.107304-0.01989))+0-0-0</f>
        <v>470.639904</v>
      </c>
      <c r="O21" s="3">
        <f>299+(231.8-37)+(-0.30498+(-0.236436--0.03774))+0-0-0</f>
        <v>493.29632400000003</v>
      </c>
      <c r="P21" s="3">
        <f>298+(257.9-35)+(0.15198+(0.131529-0.01785))+0-0-0</f>
        <v>521.16565900000001</v>
      </c>
      <c r="Q21" s="3">
        <f>304+(283.2-39)+(0+(0-0))+0-0-0</f>
        <v>548.20000000000005</v>
      </c>
      <c r="R21" s="3">
        <f>300+(331.2-38)+(0+(0-0))+0-0-0</f>
        <v>593.20000000000005</v>
      </c>
      <c r="S21" s="3">
        <f>293+(371.3-42)+(-0.74715+(-0.946815--0.1071))+0-0-0</f>
        <v>620.71313499999997</v>
      </c>
      <c r="T21" s="3">
        <f>296+(366.8-41)+(0+(0-0))+0-0-0</f>
        <v>621.79999999999995</v>
      </c>
      <c r="U21" s="3">
        <f>313+(335-40)+(-0.31926+(-0.3417--0.0408))+0-0-0</f>
        <v>607.37983999999994</v>
      </c>
      <c r="V21" s="3">
        <f>315+(299-38)+(-0.48195+(-0.45747--0.05814))+0-0-0</f>
        <v>575.11872000000005</v>
      </c>
      <c r="W21" s="3">
        <f>338+(244.5-36)+(-0.17238+(-0.124695--0.01836))+0-0-0</f>
        <v>546.22128499999997</v>
      </c>
      <c r="X21" s="3">
        <f>338+(221.8-43)+(-0.51714+(-0.339354--0.06579))+0-0-0</f>
        <v>516.00929599999995</v>
      </c>
      <c r="Y21" s="3">
        <f>338+(294.4-44)+(-0.17238+(-0.150144--0.02244))+0-0-0</f>
        <v>588.09991600000001</v>
      </c>
      <c r="Z21" s="3">
        <f>338+(326.1-45)+(-0.34476+(-0.332622--0.0459))+0-0-0</f>
        <v>618.46851800000002</v>
      </c>
      <c r="AA21" s="3">
        <f>338+(386.6-43)+(-0.17238+(-0.197166--0.02193))+0-0-0</f>
        <v>681.25238400000001</v>
      </c>
      <c r="AB21" s="3">
        <f>338+(396.1-45)+(-0.68952+(-0.808044--0.0918))+0-0-0</f>
        <v>687.69423600000005</v>
      </c>
      <c r="AC21" s="3">
        <f>337+(368.9-43)+(0.17187+(0.188139-0.02193))+0-0-0</f>
        <v>663.23807899999997</v>
      </c>
      <c r="AD21" s="2">
        <v>511.4545</v>
      </c>
      <c r="AE21" s="3">
        <f>338+(327.6-48)+(0+(0-0))+0-0-0</f>
        <v>617.6</v>
      </c>
    </row>
    <row r="22" spans="1:31" s="2" customFormat="1" x14ac:dyDescent="0.3">
      <c r="A22">
        <v>91</v>
      </c>
      <c r="B22">
        <v>1</v>
      </c>
      <c r="C22">
        <v>22</v>
      </c>
      <c r="D22">
        <v>4</v>
      </c>
      <c r="E22">
        <v>1</v>
      </c>
      <c r="F22" s="3">
        <f>318+(339.6-40)+(0.16218+(0.173196-0.0204))+0-0-0</f>
        <v>617.91497600000002</v>
      </c>
      <c r="G22" s="3">
        <f>298+(332.3-39)+(-0.15198+(-0.169473--0.01989))+0-0-0</f>
        <v>590.99843699999997</v>
      </c>
      <c r="H22" s="3">
        <f>293+(305-39)+(-0.14943+(-0.15555--0.01989))+0-0-0</f>
        <v>558.71491000000003</v>
      </c>
      <c r="I22" s="3">
        <f>289+(282-39)+(0+(0-0))+0-0-0</f>
        <v>532</v>
      </c>
      <c r="J22" s="3">
        <f>289+(261.7-39)+(0+(0-0))+0-0-0</f>
        <v>511.7</v>
      </c>
      <c r="K22" s="3">
        <f>289+(249.1-43)+(-0.44217+(-0.381123--0.06579))+0-0-0</f>
        <v>494.34249700000004</v>
      </c>
      <c r="L22" s="3">
        <f>290+(219.3-45)+(-0.2958+(-0.223686--0.0459))+0-0-0</f>
        <v>463.826414</v>
      </c>
      <c r="M22" s="3">
        <f>287+(217.3-43)+(0.29274+(0.221646-0.04386))+0-0-0</f>
        <v>461.77052600000002</v>
      </c>
      <c r="N22" s="3">
        <f>285+(232.8-44)+(0.5814+(0.474912-0.08976))+0-0-0</f>
        <v>474.76655199999999</v>
      </c>
      <c r="O22" s="3">
        <f>295+(234.9-36)+(-0.3009+(-0.239598--0.03672))+0-0-0</f>
        <v>493.39622199999997</v>
      </c>
      <c r="P22" s="3">
        <f>313+(244.7-38)+(-0.15963+(-0.124797--0.01938))+0-0-0</f>
        <v>519.43495300000006</v>
      </c>
      <c r="Q22" s="3">
        <f>313+(264.3-39)+(0.31926+(0.269586-0.03978))+0-0-0</f>
        <v>538.84906599999999</v>
      </c>
      <c r="R22" s="3">
        <f>308+(324.8-42)+(0+(0-0))+0-0-0</f>
        <v>590.79999999999995</v>
      </c>
      <c r="S22" s="3">
        <f>308+(366.1-42)+(-0.62832+(-0.746844--0.08568))+0-0-0</f>
        <v>630.81051600000001</v>
      </c>
      <c r="T22" s="3">
        <f>311+(370.9-42)+(0.31722+(0.378318-0.04284))+0-0-0</f>
        <v>640.55269799999996</v>
      </c>
      <c r="U22" s="3">
        <f>316+(350.3-42)+(0.32232+(0.357306-0.04284))+0-0-0</f>
        <v>624.93678599999998</v>
      </c>
      <c r="V22" s="3">
        <f>331+(308.5-40)+(-0.50643+(-0.472005--0.0612))+0-0-0</f>
        <v>598.58276499999999</v>
      </c>
      <c r="W22" s="3">
        <f>338+(266.9-39)+(-0.17238+(-0.136119--0.01989))+0-0-0</f>
        <v>565.61139100000003</v>
      </c>
      <c r="X22" s="3">
        <f>338+(233.8-46)+(-0.8619+(-0.59619--0.1173))+0-0-0</f>
        <v>524.45920999999998</v>
      </c>
      <c r="Y22" s="3">
        <f>338+(327.3-38)+(0.34476+(0.333846-0.03876))+0-0-0</f>
        <v>627.93984599999999</v>
      </c>
      <c r="Z22" s="3">
        <f>338+(376.4-45)+(-0.17238+(-0.191964--0.02295))+0-0-0</f>
        <v>669.05860599999994</v>
      </c>
      <c r="AA22" s="3">
        <f>338+(403.2-45)+(-0.68952+(-0.822528--0.0918))+0-0-0</f>
        <v>694.77975200000003</v>
      </c>
      <c r="AB22" s="3">
        <f>338+(410.7-43)+(-0.34476+(-0.418914--0.04386))+0-0-0</f>
        <v>704.980186</v>
      </c>
      <c r="AC22" s="3">
        <f>338+(384.5-41)+(-0.68952+(-0.78438--0.08364))+0-0-0</f>
        <v>680.10973999999999</v>
      </c>
      <c r="AD22" s="2">
        <v>521.20133999999996</v>
      </c>
      <c r="AE22" s="3">
        <f>338+(390.6-5)+(0+(0-0))+0-0-0</f>
        <v>723.6</v>
      </c>
    </row>
    <row r="23" spans="1:31" s="2" customFormat="1" x14ac:dyDescent="0.3">
      <c r="A23">
        <v>91</v>
      </c>
      <c r="B23">
        <v>1</v>
      </c>
      <c r="C23">
        <v>23</v>
      </c>
      <c r="D23">
        <v>5</v>
      </c>
      <c r="E23">
        <v>1</v>
      </c>
      <c r="F23" s="3">
        <f>325+(348.6-41)+(-0.16575+(-0.177786--0.02091))+0-0-0</f>
        <v>632.27737400000001</v>
      </c>
      <c r="G23" s="3">
        <f>325+(317.1-39)+(-0.49725+(-0.485163--0.05967))+0-0-0</f>
        <v>602.17725700000005</v>
      </c>
      <c r="H23" s="3">
        <f>325+(294.1-38)+(0+(0-0))+0-0-0</f>
        <v>581.1</v>
      </c>
      <c r="I23" s="3">
        <f>323+(270.4-38)+(-0.82365+(-0.68952--0.0969))+0-0-0</f>
        <v>553.98372999999992</v>
      </c>
      <c r="J23" s="3">
        <f>321+(250.1-41)+(0.32742+(0.255102-0.04182))+0-0-0</f>
        <v>530.64070200000003</v>
      </c>
      <c r="K23" s="3">
        <f>321+(232.2-45)+(-0.16371+(-0.118422--0.02295))+0-0-0</f>
        <v>507.94081799999998</v>
      </c>
      <c r="L23" s="3">
        <f>326+(194.6-45)+(-0.8313+(-0.49623--0.11475))+0-0-0</f>
        <v>474.38722000000001</v>
      </c>
      <c r="M23" s="3">
        <f>348+(159.3-44)+(-0.17748+(-0.081243--0.02244))+0-0-0</f>
        <v>463.063717</v>
      </c>
      <c r="N23" s="3">
        <f>351+(176.5-43)+(-0.17901+(-0.090015--0.02193))+0-0-0</f>
        <v>484.252905</v>
      </c>
      <c r="O23" s="3">
        <f>352+(197.6-41)+(0.17952+(0.100776-0.02091))+0-0-0</f>
        <v>508.85938600000003</v>
      </c>
      <c r="P23" s="3">
        <f>352+(218.9-40)+(0.35904+(0.223278-0.0408))+0-0-0</f>
        <v>531.44151799999997</v>
      </c>
      <c r="Q23" s="3">
        <f>349+(245.4-40)+(0+(0-0))+0-0-0</f>
        <v>554.4</v>
      </c>
      <c r="R23" s="3">
        <f>343+(314.4-43)+(-0.34986+(-0.320688--0.04386))+0-0-0</f>
        <v>613.77331200000003</v>
      </c>
      <c r="S23" s="3">
        <f>368+(323-43)+(-0.18768+(-0.16473--0.02193))+0-0-0</f>
        <v>647.66952000000003</v>
      </c>
      <c r="T23" s="3">
        <f>428+(267.8-43)+(-0.87312+(-0.546312--0.08772))+0-0-0</f>
        <v>651.46828799999992</v>
      </c>
      <c r="U23" s="3">
        <f>402+(262.5-42)+(0+(0-0))+0-0-0</f>
        <v>622.5</v>
      </c>
      <c r="V23" s="3">
        <f>426+(223.5-41)+(-0.65178+(-0.341955--0.06273))+0-0-0</f>
        <v>607.56899499999997</v>
      </c>
      <c r="W23" s="3">
        <f>432+(182.9-43.7)+(-0.22032+(-0.093279--0.022287))+0-0-0</f>
        <v>570.9086880000001</v>
      </c>
      <c r="X23" s="3">
        <f>433+(167.9-49.9)+(-0.88332+(-0.342516--0.101796))+0-0-0</f>
        <v>549.87595999999996</v>
      </c>
      <c r="Y23" s="3">
        <f>438+(235.8-42)+(0.22338+(0.120258-0.02142))+0-0-0</f>
        <v>632.12221799999998</v>
      </c>
      <c r="Z23" s="3">
        <f>439+(301.7-48)+(-0.22389+(-0.153867--0.02448))+0-0-0</f>
        <v>692.346723</v>
      </c>
      <c r="AA23" s="3">
        <f>439+(322.7-48)+(-0.44778+(-0.329154--0.04896))+0-0-0</f>
        <v>712.97202600000003</v>
      </c>
      <c r="AB23" s="3">
        <f>424+(335.9-46)+(0+(0-0))+0-0-0</f>
        <v>713.9</v>
      </c>
      <c r="AC23" s="3">
        <f>413+(326.8-43)+(-0.84252+(-0.666672--0.08772))+0-0-0</f>
        <v>695.37852799999996</v>
      </c>
      <c r="AD23" s="2">
        <v>521.20133999999996</v>
      </c>
      <c r="AE23" s="3">
        <f>438+(310.1-46)+(0+(0-0))+0-0-0</f>
        <v>702.1</v>
      </c>
    </row>
    <row r="24" spans="1:31" s="2" customFormat="1" x14ac:dyDescent="0.3">
      <c r="A24">
        <v>91</v>
      </c>
      <c r="B24">
        <v>1</v>
      </c>
      <c r="C24">
        <v>24</v>
      </c>
      <c r="D24">
        <v>6</v>
      </c>
      <c r="E24">
        <v>1</v>
      </c>
      <c r="F24" s="3">
        <f>362+(338.3-38)+(-0.36924+(-0.345066--0.03876))+0-0-0</f>
        <v>661.6244539999999</v>
      </c>
      <c r="G24" s="3">
        <f>359+(310.6-39)+(-0.36618+(-0.316812--0.03978))+0-0-0</f>
        <v>629.95678800000007</v>
      </c>
      <c r="H24" s="3">
        <f>360+(282.6-39)+(-0.918+(-0.72063--0.09945))+0-0-0</f>
        <v>602.06082000000004</v>
      </c>
      <c r="I24" s="3">
        <f>359+(260.6-38)+(-0.36618+(-0.265812--0.03876))+0-0-0</f>
        <v>581.00676800000008</v>
      </c>
      <c r="J24" s="3">
        <f>360+(240.1-40)+(0.1836+(0.122451-0.0204))+0-0-0</f>
        <v>560.38565100000005</v>
      </c>
      <c r="K24" s="3">
        <f>361+(215.7-41)+(0.18411+(0.110007-0.02091))+0-0-0</f>
        <v>535.973207</v>
      </c>
      <c r="L24" s="3">
        <f>338+(161.4-51.5)+(-0.34476+(-0.164628--0.05253))+44.9-0-0</f>
        <v>492.34314199999994</v>
      </c>
      <c r="M24" s="3">
        <f>337+(163.5-51.2)+(0.34374+(0.16677-0.052224))+55-0-0</f>
        <v>504.758286</v>
      </c>
      <c r="N24" s="3">
        <f>352+(206.2-42)+(0.71808+(0.420648-0.08568))+0-0-0</f>
        <v>517.25304800000004</v>
      </c>
      <c r="O24" s="3">
        <f>383+(200.7-41)+(0.19533+(0.102357-0.02091))+0-0-0</f>
        <v>542.97677700000008</v>
      </c>
      <c r="P24" s="3">
        <f>407+(199.5-38)+(0+(0-0))+0-0-0</f>
        <v>568.5</v>
      </c>
      <c r="Q24" s="3">
        <f>403+(220.7-35)+(-0.20553+(-0.112557--0.01785))+0-0-0</f>
        <v>588.39976300000001</v>
      </c>
      <c r="R24" s="3">
        <f>398+(273.6-35)+(-0.40596+(-0.279072--0.0357))+0-0-0</f>
        <v>635.95066800000006</v>
      </c>
      <c r="S24" s="3">
        <f>402+(285.9-36)+(-0.41004+(-0.291618--0.03672))+0-0-0</f>
        <v>651.23506199999997</v>
      </c>
      <c r="T24" s="3">
        <f>423+(281.2-43)+(-0.43146+(-0.286824--0.04386))+0-0-0</f>
        <v>660.525576</v>
      </c>
      <c r="U24" s="3">
        <f>429+(246.8-44)+(-0.21879+(-0.125868--0.02244))+0-0-0</f>
        <v>631.47778199999993</v>
      </c>
      <c r="V24" s="3">
        <f>430+(209-38)+(0+(0-0))+0-0-0</f>
        <v>601</v>
      </c>
      <c r="W24" s="3">
        <f>458+(166.4-43.4)+(-0.46716+(-0.169728--0.044268))+0-0-0</f>
        <v>580.40737999999999</v>
      </c>
      <c r="X24" s="3">
        <f>467+(132.4-59.2)+(0.47634+(0.135048-0.060384))+0-0-0</f>
        <v>540.75100400000008</v>
      </c>
      <c r="Y24" s="3">
        <f>467+(203.7-45)+(0+(0-0))+0-0-0</f>
        <v>625.70000000000005</v>
      </c>
      <c r="Z24" s="3">
        <f>468+(255.7-45)+(-0.95472+(-0.521628--0.0918))+0-0-0</f>
        <v>677.31545200000005</v>
      </c>
      <c r="AA24" s="3">
        <f>468+(280.2-43)+(-0.47736+(-0.285804--0.04386))+0-0-0</f>
        <v>704.48069600000008</v>
      </c>
      <c r="AB24" s="3">
        <f>464+(293.8-44)+(-0.94656+(-0.599352--0.08976))+0-0-0</f>
        <v>712.34384799999998</v>
      </c>
      <c r="AC24" s="3">
        <f>464+(268.3-43)+(-0.70992+(-0.410499--0.06579))+0-0-0</f>
        <v>688.24537099999998</v>
      </c>
      <c r="AD24" s="2">
        <v>543.88819999999998</v>
      </c>
      <c r="AE24" s="3">
        <f>468+(258-44)+(0+(0-0))+0-0-0</f>
        <v>682</v>
      </c>
    </row>
    <row r="25" spans="1:31" s="2" customFormat="1" x14ac:dyDescent="0.3">
      <c r="A25">
        <v>91</v>
      </c>
      <c r="B25">
        <v>1</v>
      </c>
      <c r="C25">
        <v>25</v>
      </c>
      <c r="D25">
        <v>7</v>
      </c>
      <c r="E25">
        <v>1</v>
      </c>
      <c r="F25" s="3">
        <f>441+(242.8-37)+(-0.44982+(-0.247656--0.03774))+0-0-0</f>
        <v>646.140264</v>
      </c>
      <c r="G25" s="3">
        <f>415+(266.1-37)+(-0.63495+(-0.407133--0.05661))+0-0-0</f>
        <v>643.11452700000007</v>
      </c>
      <c r="H25" s="3">
        <f>401+(237.4-36)+(-0.40902+(-0.242148--0.03672))+0-0-0</f>
        <v>601.78555199999994</v>
      </c>
      <c r="I25" s="3">
        <f>397+(216.4-35)+(-0.40494+(-0.220728--0.0357))+0-0-0</f>
        <v>577.81003199999998</v>
      </c>
      <c r="J25" s="3">
        <f>396+(200.1-36)+(0.40392+(0.204102-0.03672))+0-0-0</f>
        <v>560.67130199999997</v>
      </c>
      <c r="K25" s="3">
        <f>397+(179.4-42.5)+(-0.20247+(-0.091494--0.021675))+0-0-0</f>
        <v>533.62771099999998</v>
      </c>
      <c r="L25" s="3">
        <f>391+(148.9-53.6)+(-1.19646+(-0.455634--0.164016))+0-0-0</f>
        <v>484.81192200000004</v>
      </c>
      <c r="M25" s="3">
        <f>391+(141.3-60.4)+(-0.19941+(-0.072063--0.030804))+0-0-0</f>
        <v>471.65933099999995</v>
      </c>
      <c r="N25" s="3">
        <f>387+(147-57.3)+(0.19737+(0.07497-0.029223))+0-0-0</f>
        <v>476.94311699999997</v>
      </c>
      <c r="O25" s="3">
        <f>393+(178.4-40.2)+(-0.20043+(-0.090984--0.020502))+0-0-0</f>
        <v>530.92908800000009</v>
      </c>
      <c r="P25" s="3">
        <f>354+(200.6-23)+(0.18054+(0.102306-0.01173))+0-0-0</f>
        <v>531.87111600000003</v>
      </c>
      <c r="Q25" s="3">
        <f>353+(237.3-26)+(-0.36006+(-0.242046--0.02652))+0-0-0</f>
        <v>563.72441399999991</v>
      </c>
      <c r="R25" s="3">
        <f>347+(290.8-45)+(0.17697+(0.148308-0.02295))+0-0-0</f>
        <v>593.10232799999994</v>
      </c>
      <c r="S25" s="3">
        <f>347+(298.6-38)+(0.17697+(0.152286-0.01938))+0-0-0</f>
        <v>607.90987600000005</v>
      </c>
      <c r="T25" s="3">
        <f>349+(297.2-38)+(0.17799+(0.151572-0.01938))+0-0-0</f>
        <v>608.5101820000001</v>
      </c>
      <c r="U25" s="3">
        <f>352+(241.1-38)+(-0.35904+(-0.245922--0.03876))+11.6-0-0</f>
        <v>566.13379800000007</v>
      </c>
      <c r="V25" s="3">
        <f>355+(226.3-35)+(0.3621+(0.230826-0.0357))+0-0-0</f>
        <v>546.85722599999997</v>
      </c>
      <c r="W25" s="3">
        <f>372+(188.2-29.7)+(0.56916+(0.287946-0.045441))+0-0-0</f>
        <v>531.31166499999995</v>
      </c>
      <c r="X25" s="3">
        <f>373+(180.2-32.5)+(-0.57069+(-0.275706--0.049725))+0-0-0</f>
        <v>519.9033290000001</v>
      </c>
      <c r="Y25" s="3">
        <f>374+(268.5-45)+(0.19074+(0.136935-0.02295))+0-0-0</f>
        <v>597.80472499999996</v>
      </c>
      <c r="Z25" s="3">
        <f>375+(323-27)+(-0.57375+(-0.49419--0.04131))+0-0-0</f>
        <v>669.97337000000005</v>
      </c>
      <c r="AA25" s="3">
        <f>376+(348.3-38)+(-0.9588+(-0.888165--0.0969))+0-0-0</f>
        <v>684.549935</v>
      </c>
      <c r="AB25" s="3">
        <f>376+(347.8-37)+(-0.38352+(-0.354756--0.03774))+0-0-0</f>
        <v>686.0994639999999</v>
      </c>
      <c r="AC25" s="3">
        <f>373+(325-37)+(-0.19023+(-0.16575--0.01887))+0-0-0</f>
        <v>660.66288999999995</v>
      </c>
      <c r="AD25" s="2">
        <v>555.53277800000001</v>
      </c>
      <c r="AE25" s="3">
        <f>377+(345-34)+(0+(0-0))+0-0-0</f>
        <v>688</v>
      </c>
    </row>
    <row r="26" spans="1:31" s="2" customFormat="1" x14ac:dyDescent="0.3">
      <c r="A26">
        <v>91</v>
      </c>
      <c r="B26">
        <v>1</v>
      </c>
      <c r="C26">
        <v>26</v>
      </c>
      <c r="D26">
        <v>1</v>
      </c>
      <c r="E26">
        <v>1</v>
      </c>
      <c r="F26" s="3">
        <f>366+(290.3-37)+(-0.18666+(-0.148053--0.01887))+0-0-0</f>
        <v>618.98415699999998</v>
      </c>
      <c r="G26" s="3">
        <f>351+(268.3-36)+(0.17901+(0.136833-0.01836))+0-0-0</f>
        <v>583.59748300000001</v>
      </c>
      <c r="H26" s="3">
        <f>288+(314.6-35)+(-0.14688+(-0.160446--0.01785))+0-0-0</f>
        <v>567.31052399999999</v>
      </c>
      <c r="I26" s="3">
        <f>287+(286.7-35)+(-0.29274+(-0.292434--0.0357))+0-0-0</f>
        <v>538.15052600000001</v>
      </c>
      <c r="J26" s="3">
        <f>286+(266.4-37)+(0.58344+(0.543456-0.07548))+0-0-0</f>
        <v>516.45141599999999</v>
      </c>
      <c r="K26" s="3">
        <f>283+(258.4-37)+(-0.28866+(-0.263568--0.03774))+0-0-0</f>
        <v>503.88551199999995</v>
      </c>
      <c r="L26" s="3">
        <f>273+(230.2-28)+(0.41769+(0.352206-0.04284))+0-0-0</f>
        <v>475.92705599999999</v>
      </c>
      <c r="M26" s="3">
        <f>332+(164.1-28)+(-0.16932+(-0.083691--0.01428))+0-0-0</f>
        <v>467.86126900000005</v>
      </c>
      <c r="N26" s="3">
        <f>367+(148.3-28.4)+(-0.18717+(-0.075633--0.014484))+0-0-0</f>
        <v>486.651681</v>
      </c>
      <c r="O26" s="3">
        <f>358+(171.6-27.4)+(-0.36516+(-0.175032--0.027948))+0-0-0</f>
        <v>501.68775599999998</v>
      </c>
      <c r="P26" s="3">
        <f>352+(186.9-25.4)+(-0.53856+(-0.285957--0.038862))+0-0-0</f>
        <v>512.71434499999998</v>
      </c>
      <c r="Q26" s="3">
        <f>352+(206.1-26)+(-0.71808+(-0.420444--0.05304))+0-0-0</f>
        <v>531.01451600000007</v>
      </c>
      <c r="R26" s="3">
        <f>367+(247.4-42)+(-0.56151+(-0.378522--0.06426))+0-0-0</f>
        <v>571.52422799999999</v>
      </c>
      <c r="S26" s="3">
        <f>369+(285.9-38)+(-0.75276+(-0.583236--0.07752))+0-0-0</f>
        <v>615.641524</v>
      </c>
      <c r="T26" s="3">
        <f>370+(292.8-37)+(-0.5661+(-0.447984--0.05661))+0-0-0</f>
        <v>624.84252599999991</v>
      </c>
      <c r="U26" s="3">
        <f>374+(269.4-40)+(-1.14444+(-0.824364--0.1224))+0-0-0</f>
        <v>601.55359599999997</v>
      </c>
      <c r="V26" s="3">
        <f>390+(234.7-37)+(-0.1989+(-0.119697--0.01887))+0-0-0</f>
        <v>587.40027300000008</v>
      </c>
      <c r="W26" s="3">
        <f>385+(219.2-41)+(-0.98175+(-0.55896--0.10455))+0-0-0</f>
        <v>561.76384000000007</v>
      </c>
      <c r="X26" s="3">
        <f>388+(199.4-46)+(-0.19788+(-0.101694--0.02346))+0-0-0</f>
        <v>541.12388599999997</v>
      </c>
      <c r="Y26" s="3">
        <f>389+(281.9-46)+(0.19839+(0.143769-0.02346))+0-0-0</f>
        <v>625.21869900000002</v>
      </c>
      <c r="Z26" s="3">
        <f>387+(340.6-49)+(-0.98685+(-0.86853--0.12495))+0-0-0</f>
        <v>676.86957000000007</v>
      </c>
      <c r="AA26" s="3">
        <f>388+(362.5-49)+(-0.9894+(-0.924375--0.12495))+0-0-0</f>
        <v>699.71117500000003</v>
      </c>
      <c r="AB26" s="3">
        <f>389+(366.4-43)+(-0.19839+(-0.186864--0.02193))+0-0-0</f>
        <v>712.03667599999994</v>
      </c>
      <c r="AC26" s="3">
        <f>390+(340.8-43)+(-0.7956+(-0.695232--0.08772))+0-0-0</f>
        <v>686.39688799999999</v>
      </c>
      <c r="AD26" s="2">
        <v>567.64879500000006</v>
      </c>
      <c r="AE26" s="3">
        <f>388+(350.2-48)+(0+(0-0))+0-0-0</f>
        <v>690.2</v>
      </c>
    </row>
    <row r="27" spans="1:31" s="2" customFormat="1" x14ac:dyDescent="0.3">
      <c r="A27">
        <v>91</v>
      </c>
      <c r="B27">
        <v>1</v>
      </c>
      <c r="C27">
        <v>27</v>
      </c>
      <c r="D27">
        <v>2</v>
      </c>
      <c r="E27">
        <v>1</v>
      </c>
      <c r="F27" s="3">
        <f>341+(329.3-43)+(-0.69564+(-0.671772--0.08772))+0-0-0</f>
        <v>626.020308</v>
      </c>
      <c r="G27" s="3">
        <f>308+(330.9-41)+(-0.47124+(-0.506277--0.06273))+0-0-0</f>
        <v>596.98521299999993</v>
      </c>
      <c r="H27" s="3">
        <f>309+(298.8-39)+(0+(0-0))+0-0-0</f>
        <v>568.79999999999995</v>
      </c>
      <c r="I27" s="3">
        <f>308+(276.6-39)+(-0.31416+(-0.282132--0.03978))+0-0-0</f>
        <v>545.04348800000002</v>
      </c>
      <c r="J27" s="3">
        <f>309+(257.4-38)+(0+(0-0))+0-0-0</f>
        <v>528.4</v>
      </c>
      <c r="K27" s="3">
        <f>309+(244.2-40)+(0+(0-0))+0-0-0</f>
        <v>513.20000000000005</v>
      </c>
      <c r="L27" s="3">
        <f>307+(207.3-45)+(0.46971+(0.317169-0.06885))+0-0-0</f>
        <v>470.01802900000001</v>
      </c>
      <c r="M27" s="3">
        <f>307+(211.8-43)+(-0.31314+(-0.216036--0.04386))+0-0-0</f>
        <v>475.314684</v>
      </c>
      <c r="N27" s="3">
        <f>306+(226.5-43)+(-0.15606+(-0.115515--0.02193))+0-0-0</f>
        <v>489.25035500000001</v>
      </c>
      <c r="O27" s="3">
        <f>303+(250.6-39)+(0+(0-0))+0-0-0</f>
        <v>514.6</v>
      </c>
      <c r="P27" s="3">
        <f>300+(268.6-40)+(-0.306+(-0.273972--0.0408))+0-0-0</f>
        <v>528.06082800000001</v>
      </c>
      <c r="Q27" s="3">
        <f>301+(291.8-40)+(-0.46053+(-0.446454--0.0612))+0-0-0</f>
        <v>551.95421599999997</v>
      </c>
      <c r="R27" s="3">
        <f>302+(328.1-39)+(-0.30804+(-0.334662--0.03978))+0-0-0</f>
        <v>590.49707799999999</v>
      </c>
      <c r="S27" s="3">
        <f>302+(362.2-36)+(-0.61608+(-0.738888--0.07344))+0-0-0</f>
        <v>626.91847200000007</v>
      </c>
      <c r="T27" s="3">
        <f>303+(362.4-36)+(-0.15453+(-0.184824--0.01836))+0-0-0</f>
        <v>629.07900599999994</v>
      </c>
      <c r="U27" s="3">
        <f>301+(352.2-36)+(-0.76755+(-0.89811--0.0918))+0-0-0</f>
        <v>615.62614000000008</v>
      </c>
      <c r="V27" s="3">
        <f>313+(326.2-37)+(-0.95778+(-0.998172--0.11322))+0-0-0</f>
        <v>600.35726800000009</v>
      </c>
      <c r="W27" s="3">
        <f>315+(287-34)+(-0.48195+(-0.43911--0.05202))+0-0-0</f>
        <v>567.13095999999996</v>
      </c>
      <c r="X27" s="3">
        <f>320+(244.1-38)+(-0.3264+(-0.248982--0.03876))+0-0-0</f>
        <v>525.56337800000006</v>
      </c>
      <c r="Y27" s="3">
        <f>321+(330.6-44)+(0.16371+(0.168606-0.02244))+0-0-0</f>
        <v>607.90987600000005</v>
      </c>
      <c r="Z27" s="3">
        <f>321+(386.1-50)+(-0.49113+(-0.590733--0.0765))+0-0-0</f>
        <v>656.09463700000003</v>
      </c>
      <c r="AA27" s="3">
        <f>320+(397.8-48)+(-0.4896+(-0.608634--0.07344))+0-0-0</f>
        <v>668.77520599999991</v>
      </c>
      <c r="AB27" s="3">
        <f>312+(405.2-43)+(-0.31824+(-0.413304--0.04386))+0-0-0</f>
        <v>673.51231600000006</v>
      </c>
      <c r="AC27" s="3">
        <f>313+(381.3-43)+(0+(0-0))+0-0-0</f>
        <v>651.29999999999995</v>
      </c>
      <c r="AD27" s="2">
        <v>610.17698399999995</v>
      </c>
      <c r="AE27" s="3">
        <f>322+(395.1-48)+(0+(0-0))+0-0-0</f>
        <v>669.1</v>
      </c>
    </row>
    <row r="28" spans="1:31" s="2" customFormat="1" x14ac:dyDescent="0.3">
      <c r="A28">
        <v>91</v>
      </c>
      <c r="B28">
        <v>1</v>
      </c>
      <c r="C28">
        <v>28</v>
      </c>
      <c r="D28">
        <v>3</v>
      </c>
      <c r="E28">
        <v>1</v>
      </c>
      <c r="F28" s="3">
        <f>313+(345.9-41)+(-0.47889+(-0.529227--0.06273))+0-0-0</f>
        <v>616.95461299999999</v>
      </c>
      <c r="G28" s="3">
        <f>313+(313.7-38)+(-0.47889+(-0.479961--0.05814))+0-0-0</f>
        <v>587.79928900000004</v>
      </c>
      <c r="H28" s="3">
        <f>313+(286.2-37)+(-0.47889+(-0.437886--0.05661))+0-0-0</f>
        <v>561.339834</v>
      </c>
      <c r="I28" s="3">
        <f>314+(261.9-39)+(0+(0-0))+0-0-0</f>
        <v>536.9</v>
      </c>
      <c r="J28" s="3">
        <f>313+(244.1-40)+(0.31926+(0.248982-0.0408))+0-0-0</f>
        <v>517.62744199999997</v>
      </c>
      <c r="K28" s="3">
        <f>313+(227-41)+(0+(0-0))+0-0-0</f>
        <v>499</v>
      </c>
      <c r="L28" s="3">
        <f>311+(203.9-43)+(-0.47583+(-0.311967--0.06579))+0-0-0</f>
        <v>471.17799299999996</v>
      </c>
      <c r="M28" s="3">
        <f>311+(202.5-41)+(0+(0-0))+0-0-0</f>
        <v>472.5</v>
      </c>
      <c r="N28" s="3">
        <f>311+(215.3-40)+(-0.15861+(-0.109803--0.0204))+5.1-0-0</f>
        <v>491.15198700000002</v>
      </c>
      <c r="O28" s="3">
        <f>310+(231.4-38)+(-0.3162+(-0.236028--0.03876))+0-0-0</f>
        <v>502.88653199999999</v>
      </c>
      <c r="P28" s="3">
        <f>311+(242.9-31)+(0.15861+(0.123879-0.01581))+0-0-0</f>
        <v>523.16667899999993</v>
      </c>
      <c r="Q28" s="3">
        <f>311+(277.4-33)+(0.15861+(0.141474-0.01683))+0-0-0</f>
        <v>555.68325400000003</v>
      </c>
      <c r="R28" s="3">
        <f>312+(314.7-40)+(0.15912+(0.160497-0.0204))+0-0-0</f>
        <v>586.99921700000004</v>
      </c>
      <c r="S28" s="3">
        <f>314+(341.5-40)+(0.16014+(0.174165-0.0204))+0-0-0</f>
        <v>615.81390499999998</v>
      </c>
      <c r="T28" s="3">
        <f>316+(342.2-41)+(0.48348+(0.523566-0.06273))+0-0-0</f>
        <v>618.144316</v>
      </c>
      <c r="U28" s="3">
        <f>317+(331-42)+(-0.32334+(-0.33762--0.04284))+0-0-0</f>
        <v>605.38188000000002</v>
      </c>
      <c r="V28" s="3">
        <f>338+(293.1-38)+(-0.17238+(-0.149481--0.01938))+0-0-0</f>
        <v>592.79751900000008</v>
      </c>
      <c r="W28" s="3">
        <f>339+(246.3-37)+(-0.17289+(-0.125613--0.01887))+0-0-0</f>
        <v>548.02036699999996</v>
      </c>
      <c r="X28" s="3">
        <f>347+(238.9-42)+(-0.70788+(-0.487356--0.08568))+0-0-0</f>
        <v>542.79044399999998</v>
      </c>
      <c r="Y28" s="3">
        <f>374+(295.6-45)+(0.57222+(0.452268-0.06885))+0-0-0</f>
        <v>625.55563800000004</v>
      </c>
      <c r="Z28" s="3">
        <f>374+(348.7-46)+(-0.19074+(-0.177837--0.02346))+0-0-0</f>
        <v>676.35488300000009</v>
      </c>
      <c r="AA28" s="3">
        <f>373+(364.9-50)+(-0.57069+(-0.558297--0.0765))+0-0-0</f>
        <v>686.84751299999994</v>
      </c>
      <c r="AB28" s="3">
        <f>359+(365.2-43)+(-0.91545+(-0.93126--0.10965))+0-0-0</f>
        <v>679.46294</v>
      </c>
      <c r="AC28" s="3">
        <f>361+(335.1-43)+(0.18411+(0.170901-0.02193))+0-0-0</f>
        <v>653.43308100000002</v>
      </c>
      <c r="AD28" s="2">
        <v>590.39531099999999</v>
      </c>
      <c r="AE28" s="3">
        <f>374+(352.6-49)+(0+(0-0))+0-0-0</f>
        <v>677.6</v>
      </c>
    </row>
    <row r="29" spans="1:31" s="2" customFormat="1" x14ac:dyDescent="0.3">
      <c r="A29">
        <v>91</v>
      </c>
      <c r="B29">
        <v>1</v>
      </c>
      <c r="C29">
        <v>29</v>
      </c>
      <c r="D29">
        <v>4</v>
      </c>
      <c r="E29">
        <v>1</v>
      </c>
      <c r="F29" s="3">
        <f>336+(316.8-42)+(-0.34272+(-0.323136--0.04284))+0-0-0</f>
        <v>610.17698399999995</v>
      </c>
      <c r="G29" s="3">
        <f>309+(294.9-40)+(-0.63036+(-0.601596--0.0816))+0-0-0</f>
        <v>562.74964399999999</v>
      </c>
      <c r="H29" s="3">
        <f>288+(295.8-39)+(-0.14688+(-0.150858--0.01989))+0-0-0</f>
        <v>544.52215200000001</v>
      </c>
      <c r="I29" s="3">
        <f>286+(271.8-39)+(0.14586+(0.138618-0.01989))+0-0-0</f>
        <v>519.06458799999996</v>
      </c>
      <c r="J29" s="3">
        <f>284+(250.6-39)+(-0.14484+(-0.127806--0.01989))+0-0-0</f>
        <v>495.34724400000005</v>
      </c>
      <c r="K29" s="3">
        <f>248+(273.4-40)+(0.12648+(0.139434-0.0204))+0-0-0</f>
        <v>481.64551399999999</v>
      </c>
      <c r="L29" s="3">
        <f>292+(202-46)+(-0.29784+(-0.20604--0.04692))+0-0-0</f>
        <v>447.54304000000002</v>
      </c>
      <c r="M29" s="3">
        <f>292+(183.8-49)+(0.29784+(0.187476-0.04998))+0-0-0</f>
        <v>427.23533600000002</v>
      </c>
      <c r="N29" s="3">
        <f>306+(197.7-39)+(0.31212+(0.201654-0.03978))+0-0-0</f>
        <v>465.17399399999999</v>
      </c>
      <c r="O29" s="3">
        <f>320+(209.6-38)+(0.3264+(0.213792-0.03876))+0-0-0</f>
        <v>492.10143200000005</v>
      </c>
      <c r="P29" s="3">
        <f>320+(238.6-34)+(0.3264+(0.243372-0.03468))+0-0-0</f>
        <v>525.13509199999999</v>
      </c>
      <c r="Q29" s="3">
        <f>318+(253.5-35)+(-0.97308+(-0.77571--0.1071))+0-0-0</f>
        <v>534.85830999999996</v>
      </c>
      <c r="R29" s="3">
        <f>317+(302.5-35)+(0.32334+(0.30855-0.0357))+0-0-0</f>
        <v>585.09618999999998</v>
      </c>
      <c r="S29" s="3">
        <f>315+(329.7-38)+(-0.3213+(-0.336294--0.03876))+0-0-0</f>
        <v>606.08116600000005</v>
      </c>
      <c r="T29" s="3">
        <f>314+(327.2-34)+(-0.96084+(-1.001232--0.10404))+0-0-0</f>
        <v>605.34196800000007</v>
      </c>
      <c r="U29" s="3">
        <f>316+(310.1-37)+(-0.64464+(-0.632604--0.07548))+0-0-0</f>
        <v>587.898236</v>
      </c>
      <c r="V29" s="3">
        <f>319+(277.6-39)+(-0.16269+(-0.141576--0.01989))+0-0-0</f>
        <v>557.31562400000007</v>
      </c>
      <c r="W29" s="3">
        <f>332+(235.9-38)+(0.67728+(0.481236-0.07752))+0-0-0</f>
        <v>530.980996</v>
      </c>
      <c r="X29" s="3">
        <f>331+(221-39)+(-0.33762+(-0.22542--0.03978))+0-0-0</f>
        <v>512.47673999999995</v>
      </c>
      <c r="Y29" s="3">
        <f>347+(288.1-45)+(-0.35394+(-0.293862--0.0459))+0-0-0</f>
        <v>589.49809800000003</v>
      </c>
      <c r="Z29" s="3">
        <f>365+(317.9-48)+(-0.55845+(-0.486387--0.07344))+0-0-0</f>
        <v>633.92860299999995</v>
      </c>
      <c r="AA29" s="3">
        <f>366+(342.1-45)+(-0.37332+(-0.348942--0.0459))+0-0-0</f>
        <v>662.42363799999998</v>
      </c>
      <c r="AB29" s="3">
        <f>365+(352.2-46)+(-0.3723+(-0.359244--0.04692))+0-0-0</f>
        <v>670.51537600000006</v>
      </c>
      <c r="AC29" s="3">
        <f>366+(319.1-44)+(-0.37332+(-0.325482--0.04488))+0-0-0</f>
        <v>640.44607800000006</v>
      </c>
      <c r="AD29" s="2">
        <v>603.27557400000001</v>
      </c>
      <c r="AE29" s="3">
        <f>368+(322.7-47)+(0+(0-0))+0-0-0</f>
        <v>643.70000000000005</v>
      </c>
    </row>
    <row r="30" spans="1:31" s="2" customFormat="1" x14ac:dyDescent="0.3">
      <c r="A30">
        <v>91</v>
      </c>
      <c r="B30">
        <v>1</v>
      </c>
      <c r="C30">
        <v>30</v>
      </c>
      <c r="D30">
        <v>5</v>
      </c>
      <c r="E30">
        <v>1</v>
      </c>
      <c r="F30" s="3">
        <f>312+(321.9-36)+(-0.47736+(-0.492507--0.05508))+0-0-0</f>
        <v>596.98521299999993</v>
      </c>
      <c r="G30" s="3">
        <f>312+(285.5-36)+(-0.15912+(-0.145605--0.01836))+0-0-0</f>
        <v>561.21363499999995</v>
      </c>
      <c r="H30" s="3">
        <f>281+(296.2-34)+(0.42993+(0.453186-0.05202))+0-0-0</f>
        <v>544.03109600000005</v>
      </c>
      <c r="I30" s="3">
        <f>240+(308.4-33)+(-0.2448+(-0.314568--0.03366))+0-0-0</f>
        <v>514.87429199999997</v>
      </c>
      <c r="J30" s="3">
        <f>240+(289.8-33)+(-0.2448+(-0.295596--0.03366))+0-0-0</f>
        <v>496.29326400000002</v>
      </c>
      <c r="K30" s="3">
        <f>273+(238.3-34)+(-0.55692+(-0.486132--0.06936))+7-0-0</f>
        <v>483.32630799999998</v>
      </c>
      <c r="L30" s="3">
        <f>323+(140.9-40)+(-0.65892+(-0.287436--0.0816))+4.7-0-0</f>
        <v>427.73524399999997</v>
      </c>
      <c r="M30" s="3">
        <f>319+(149.9-36)+(0.16269+(0.076449-0.01836))+0-0-0</f>
        <v>433.12077899999997</v>
      </c>
      <c r="N30" s="3">
        <f>318+(168.4-33)+(0.16218+(0.085884-0.01683))+0-0-0</f>
        <v>453.63123399999995</v>
      </c>
      <c r="O30" s="3">
        <f>317+(189.4-31)+(0.16167+(0.096594-0.01581))+0-0-0</f>
        <v>475.64245399999999</v>
      </c>
      <c r="P30" s="3">
        <f>317+(209.9-29)+(0.16167+(0.107049-0.01479))+0-0-0</f>
        <v>498.15392900000001</v>
      </c>
      <c r="Q30" s="3">
        <f>318+(231.8-28)+(-0.16218+(-0.118218--0.01428))+0-0-0</f>
        <v>521.53388199999995</v>
      </c>
      <c r="R30" s="3">
        <f>316+(269.7-31)+(0.16116+(0.137547-0.01581))+0-0-0</f>
        <v>554.98289700000009</v>
      </c>
      <c r="S30" s="3">
        <f>315+(291.8-33)+(-0.80325+(-0.74409--0.08415))+0-0-0</f>
        <v>572.3368099999999</v>
      </c>
      <c r="T30" s="3">
        <f>314+(291.9-35)+(-0.16014+(-0.148869--0.01785))+0-0-0</f>
        <v>570.60884099999998</v>
      </c>
      <c r="U30" s="3">
        <f>318+(241.4-36)+(-0.64872+(-0.492456--0.07344))+0-0-0</f>
        <v>522.33226400000001</v>
      </c>
      <c r="V30" s="3">
        <f>327+(195.9-35)+(-0.16677+(-0.099909--0.01785))+0-0-0</f>
        <v>487.65117099999998</v>
      </c>
      <c r="W30" s="3">
        <f>328+(146.9-36.6)+(-0.66912+(-0.299676--0.074664))+0-0-0</f>
        <v>437.405868</v>
      </c>
      <c r="X30" s="3">
        <f>351+(128.4-47.2)+(-0.53703+(-0.196452--0.072216))+0-0-0</f>
        <v>431.53873399999998</v>
      </c>
      <c r="Y30" s="3">
        <f>362+(189.7-46.5)+(-0.9231+(-0.483735--0.118575))+0-0-0</f>
        <v>503.91174000000001</v>
      </c>
      <c r="Z30" s="3">
        <f>363+(219.2-48)+(-0.55539+(-0.335376--0.07344))+0-0-0</f>
        <v>533.38267400000007</v>
      </c>
      <c r="AA30" s="3">
        <f>363+(228.5-41)+(-0.92565+(-0.582675--0.10455))+0-0-0</f>
        <v>549.096225</v>
      </c>
      <c r="AB30" s="3">
        <f>364+(218.6-43)+(-0.55692+(-0.334458--0.06579))+0-0-0</f>
        <v>538.77441199999998</v>
      </c>
      <c r="AC30" s="3">
        <f>364+(205.2-41)+(-0.74256+(-0.418608--0.08364))+0-0-0</f>
        <v>527.12247200000002</v>
      </c>
      <c r="AD30" s="2">
        <v>602.67649200000005</v>
      </c>
      <c r="AE30" s="3">
        <f>363+(228.7-45)+(0+(0-0))+0-0-0</f>
        <v>546.70000000000005</v>
      </c>
    </row>
    <row r="31" spans="1:31" s="2" customFormat="1" x14ac:dyDescent="0.3">
      <c r="A31">
        <v>91</v>
      </c>
      <c r="B31">
        <v>1</v>
      </c>
      <c r="C31">
        <v>31</v>
      </c>
      <c r="D31">
        <v>6</v>
      </c>
      <c r="E31">
        <v>1</v>
      </c>
      <c r="F31" s="3">
        <f>348+(173.4-34)+(-0.70992+(-0.353736--0.06936))+0-0-0</f>
        <v>486.40570399999996</v>
      </c>
      <c r="G31" s="3">
        <f>325+(166.2-37)+(-0.49725+(-0.254286--0.05661))+8.3-0-0</f>
        <v>461.80507399999999</v>
      </c>
      <c r="H31" s="3">
        <f>324+(141.1-42.5)+(-0.8262+(-0.359805--0.108375))+11-0-0</f>
        <v>432.52237000000002</v>
      </c>
      <c r="I31" s="3">
        <f>269+(123.2-41.9)+(0+(0-0))+0.6-0-0</f>
        <v>350.90000000000003</v>
      </c>
      <c r="J31" s="3">
        <f>267+(108.6-45.1)+(-0.13617+(-0.055386--0.023001))+0-0-0</f>
        <v>330.33144499999997</v>
      </c>
      <c r="K31" s="3">
        <f>268+(111.8-43.4)+(0.13668+(0.057018-0.022134))+0-0-0</f>
        <v>336.57156399999997</v>
      </c>
      <c r="L31" s="3">
        <f>268+(119.2-51.1)+(-0.13668+(-0.060792--0.026061))+0-0-0</f>
        <v>335.92858900000004</v>
      </c>
      <c r="M31" s="3">
        <f>269+(132.5-36.2)+(0.13719+(0.067575-0.018462))+0.9-0-0</f>
        <v>366.386303</v>
      </c>
      <c r="N31" s="3">
        <f>269+(145.7-33)+(-0.13719+(-0.074307--0.01683))+1.5-0-0</f>
        <v>383.00533300000001</v>
      </c>
      <c r="O31" s="3">
        <f>267+(170.2-33)+(-0.27234+(-0.173604--0.03366))+0-0-0</f>
        <v>403.78771599999999</v>
      </c>
      <c r="P31" s="3">
        <f>267+(182.6-32)+(0.13617+(0.093126-0.01632))+2.7-0-0</f>
        <v>420.51297600000004</v>
      </c>
      <c r="Q31" s="3">
        <f>265+(198.7-35)+(-0.8109+(-0.608022--0.1071))+0-0-0</f>
        <v>427.38817799999998</v>
      </c>
      <c r="R31" s="3">
        <f>268+(214.8-28)+(-0.54672+(-0.438192--0.05712))+0-0-0</f>
        <v>453.872208</v>
      </c>
      <c r="S31" s="3">
        <f>268+(218-31)+(-0.6834+(-0.5559--0.07905))+0-0-0</f>
        <v>453.83974999999998</v>
      </c>
      <c r="T31" s="3">
        <f>270+(213-27)+(0+(0-0))+0-0-0</f>
        <v>456</v>
      </c>
      <c r="U31" s="3">
        <f>269+(184.8-25)+(-0.27438+(-0.188496--0.0255))+0-0-0</f>
        <v>428.36262400000004</v>
      </c>
      <c r="V31" s="3">
        <f>276+(171.5-25)+(-0.14076+(-0.087465--0.01275))+0-0-0</f>
        <v>422.28452499999997</v>
      </c>
      <c r="W31" s="3">
        <f>286+(154.3-25)+(-0.29172+(-0.157386--0.0255))+0-0-0</f>
        <v>414.876394</v>
      </c>
      <c r="X31" s="3">
        <f>289+(129.5-21)+(0.29478+(0.13209-0.02142))+0-0-0</f>
        <v>397.90544999999997</v>
      </c>
      <c r="Y31" s="3">
        <f>320+(157-39)+(0.1632+(0.08007-0.01989))+0-0-0</f>
        <v>438.22338000000002</v>
      </c>
      <c r="Z31" s="3">
        <f>350+(147.6-46.5)+(-0.5355+(-0.225828--0.071145))+0-0-0</f>
        <v>450.40981700000003</v>
      </c>
      <c r="AA31" s="3">
        <f>351+(139.6-45.4)+(-0.53703+(-0.213588--0.069462))+0-0-0</f>
        <v>444.518844</v>
      </c>
      <c r="AB31" s="3">
        <f>346+(138-40.5)+(-0.52938+(-0.21114--0.061965))+0-0-0</f>
        <v>442.82144499999998</v>
      </c>
      <c r="AC31" s="3">
        <f>342+(126.7-39.6)+(-0.34884+(-0.129234--0.040392))+0-0-0</f>
        <v>428.66231800000003</v>
      </c>
      <c r="AD31" s="2">
        <v>628.03763000000004</v>
      </c>
      <c r="AE31" s="3">
        <f>352+(147.5-46.2)+(0+(0-0))+0-0-0</f>
        <v>453.3</v>
      </c>
    </row>
    <row r="32" spans="1:31" s="2" customFormat="1" x14ac:dyDescent="0.3">
      <c r="A32">
        <v>91</v>
      </c>
      <c r="B32">
        <v>2</v>
      </c>
      <c r="C32">
        <v>1</v>
      </c>
      <c r="D32">
        <v>7</v>
      </c>
      <c r="E32">
        <v>1</v>
      </c>
      <c r="F32" s="3">
        <f>330+(110-43.3)+(-0.1683+(-0.0561--0.022083))+0-0-0</f>
        <v>396.49768299999999</v>
      </c>
      <c r="G32" s="3">
        <f>331+(102-49.9)+(-0.33762+(-0.10404--0.050898))+0-0-0</f>
        <v>382.70923800000003</v>
      </c>
      <c r="H32" s="3">
        <f>331+(84.5-52.1)+(-0.33762+(-0.08619--0.053142))+0-0-0</f>
        <v>363.02933199999995</v>
      </c>
      <c r="I32" s="3">
        <f>331+(74.9-52.6)+(0+(0-0))+0-0-0</f>
        <v>353.3</v>
      </c>
      <c r="J32" s="3">
        <f>330+(77.9-53.1)+(0+(0-0))+0-0-0</f>
        <v>354.8</v>
      </c>
      <c r="K32" s="3">
        <f>330+(88-52.1)+(-0.3366+(-0.08976--0.053142))+0-0-0</f>
        <v>365.52678199999997</v>
      </c>
      <c r="L32" s="3">
        <f>330+(86-58.5)+(0+(0-0))+0-0-0</f>
        <v>357.5</v>
      </c>
      <c r="M32" s="3">
        <f>327+(88.8-53.9)+(0+(0-0))+0-0-0</f>
        <v>361.9</v>
      </c>
      <c r="N32" s="3">
        <f>326+(109.3-47.3)+(0.33252+(0.111486-0.048246))+0-0-0</f>
        <v>388.39576</v>
      </c>
      <c r="O32" s="3">
        <f>325+(128.6-41.3)+(0.3315+(0.131172-0.042126))+0-0-0</f>
        <v>412.72054600000001</v>
      </c>
      <c r="P32" s="3">
        <f>323+(141.3-36.8)+(0+(0-0))+0-0-0</f>
        <v>427.5</v>
      </c>
      <c r="Q32" s="3">
        <f>322+(154-32.9)+(-0.49266+(-0.23562--0.050337))+0-0-0</f>
        <v>442.422057</v>
      </c>
      <c r="R32" s="3">
        <f>317+(172.6-36)+(0+(0-0))+0-0-0</f>
        <v>453.6</v>
      </c>
      <c r="S32" s="3">
        <f>317+(181.2-36)+(-0.64668+(-0.369648--0.07344))+0-0-0</f>
        <v>461.25711200000001</v>
      </c>
      <c r="T32" s="3">
        <f>317+(179.8-33)+(0+(0-0))+0-0-0</f>
        <v>463.8</v>
      </c>
      <c r="U32" s="3">
        <f>317+(170.3-33)+(-0.97002+(-0.521118--0.10098))+0-0-0</f>
        <v>452.90984200000003</v>
      </c>
      <c r="V32" s="3">
        <f>328+(158.7-33)+(0.16728+(0.080937-0.01683))+0-0-0</f>
        <v>453.93138699999997</v>
      </c>
      <c r="W32" s="3">
        <f>331+(149.9-33.9)+(-0.16881+(-0.076449--0.017289))+0-0-0</f>
        <v>446.77202999999997</v>
      </c>
      <c r="X32" s="3">
        <f>332+(131.6-38.9)+(0+(0-0))+0-0-0</f>
        <v>424.7</v>
      </c>
      <c r="Y32" s="3">
        <f>332+(192.4-37)+(0+(0-0))+0-0-0</f>
        <v>487.4</v>
      </c>
      <c r="Z32" s="3">
        <f>327+(227.1-41)+(-0.33354+(-0.231642--0.04182))+0-0-0</f>
        <v>512.576638</v>
      </c>
      <c r="AA32" s="3">
        <f>326+(227.3-41)+(-0.49878+(-0.347769--0.06273))+0-0-0</f>
        <v>511.51618099999996</v>
      </c>
      <c r="AB32" s="3">
        <f>321+(225.3-38)+(-0.65484+(-0.459612--0.07752))+0-0-0</f>
        <v>507.26306800000003</v>
      </c>
      <c r="AC32" s="3">
        <f>322+(197-38)+(-0.16422+(-0.10047--0.01938))+0-0-0</f>
        <v>480.75468999999998</v>
      </c>
      <c r="AD32" s="2">
        <v>623.78759200000002</v>
      </c>
      <c r="AE32" s="3">
        <f>325+(230.1-40)+(0+(0-0))+0-0-0</f>
        <v>515.1</v>
      </c>
    </row>
    <row r="33" spans="1:31" s="2" customFormat="1" x14ac:dyDescent="0.3">
      <c r="A33">
        <v>91</v>
      </c>
      <c r="B33">
        <v>2</v>
      </c>
      <c r="C33">
        <v>2</v>
      </c>
      <c r="D33">
        <v>1</v>
      </c>
      <c r="E33">
        <v>1</v>
      </c>
      <c r="F33" s="3">
        <f>301+(186.6-34)+(-0.30702+(-0.190332--0.03468))+0-0-0</f>
        <v>453.13732800000002</v>
      </c>
      <c r="G33" s="3">
        <f>242+(213.6-31)+(-0.24684+(-0.217872--0.03162))+0-0-0</f>
        <v>424.16690800000003</v>
      </c>
      <c r="H33" s="3">
        <f>242+(192.9-33)+(-0.6171+(-0.491895--0.08415))+0-0-0</f>
        <v>400.87515499999995</v>
      </c>
      <c r="I33" s="3">
        <f>242+(177.2-33)+(0.24684+(0.180744-0.03366))+0-0-0</f>
        <v>386.59392400000002</v>
      </c>
      <c r="J33" s="3">
        <f>242+(169.3-34)+(0.24684+(0.172686-0.03468))+0-0-0</f>
        <v>377.68484599999999</v>
      </c>
      <c r="K33" s="3">
        <f>242+(173.5-37)+(0.12342+(0.088485-0.01887))+0-0-0</f>
        <v>378.69303500000001</v>
      </c>
      <c r="L33" s="3">
        <f>240+(160.3-40)+(-0.1224+(-0.081753--0.0204))+0-0-0</f>
        <v>360.11624699999999</v>
      </c>
      <c r="M33" s="3">
        <f>238+(181.9-34)+(0.12138+(0.092769-0.01734))+0-0-0</f>
        <v>386.09680899999995</v>
      </c>
      <c r="N33" s="3">
        <f>240+(205.8-36)+(0+(0-0))+0-0-0</f>
        <v>409.8</v>
      </c>
      <c r="O33" s="3">
        <f>317+(152.4-39.8)+(0.16167+(0.077724-0.020298))+0-0-0</f>
        <v>429.819096</v>
      </c>
      <c r="P33" s="3">
        <f>316+(168.9-36)+(0.32232+(0.172278-0.03672))+0-0-0</f>
        <v>449.35787799999997</v>
      </c>
      <c r="Q33" s="3">
        <f>313+(188.7-34)+(-0.15963+(-0.096237--0.01734))+0-0-0</f>
        <v>467.46147300000001</v>
      </c>
      <c r="R33" s="3">
        <f>309+(210-35)+(-0.63036+(-0.4284--0.0714))+0-0-0</f>
        <v>483.01263999999998</v>
      </c>
      <c r="S33" s="3">
        <f>324+(212.3-31)+(-0.8262+(-0.541365--0.07905))+0-0-0</f>
        <v>504.01148499999999</v>
      </c>
      <c r="T33" s="3">
        <f>369+(170.2-37.7)+(-0.37638+(-0.173604--0.038454))+0-0-0</f>
        <v>500.98847000000001</v>
      </c>
      <c r="U33" s="3">
        <f>373+(159-46)+(0.38046+(0.16218-0.04692))+0-0-0</f>
        <v>486.49572000000001</v>
      </c>
      <c r="V33" s="3">
        <f>375+(152.3-49.1)+(-0.57375+(-0.233019--0.075123))+0-0-0</f>
        <v>477.46835400000003</v>
      </c>
      <c r="W33" s="3">
        <f>381+(130.9-45.6)+(-0.19431+(-0.066759--0.023256))+0-0-0</f>
        <v>466.06218699999999</v>
      </c>
      <c r="X33" s="3">
        <f>390+(103.1-44.5)+(-0.9945+(-0.262905--0.113475))+0-0-0</f>
        <v>447.45607000000001</v>
      </c>
      <c r="Y33" s="3">
        <f>394+(161.8-41)+(0.20094+(0.082518-0.02091))+0-0-0</f>
        <v>515.06254799999999</v>
      </c>
      <c r="Z33" s="3">
        <f>393+(193.6-44)+(-0.80172+(-0.394944--0.08976))+0-0-0</f>
        <v>541.49309600000004</v>
      </c>
      <c r="AA33" s="3">
        <f>393+(201.9-46)+(-1.00215+(-0.514845--0.1173))+0-0-0</f>
        <v>547.50030500000003</v>
      </c>
      <c r="AB33" s="3">
        <f>393+(198.3-43)+(-1.00215+(-0.505665--0.10965))+0-0-0</f>
        <v>546.90183500000001</v>
      </c>
      <c r="AC33" s="3">
        <f>388+(177.7-42)+(-0.59364+(-0.271881--0.06426))+0-0-0</f>
        <v>522.89873900000009</v>
      </c>
      <c r="AD33" s="2">
        <v>650.13790999999992</v>
      </c>
      <c r="AE33" s="3">
        <f>394+(205.6-46)+(0+(0-0))+0-0-0</f>
        <v>553.6</v>
      </c>
    </row>
    <row r="34" spans="1:31" s="2" customFormat="1" x14ac:dyDescent="0.3">
      <c r="A34">
        <v>91</v>
      </c>
      <c r="B34">
        <v>2</v>
      </c>
      <c r="C34">
        <v>3</v>
      </c>
      <c r="D34">
        <v>2</v>
      </c>
      <c r="E34">
        <v>1</v>
      </c>
      <c r="F34" s="3">
        <f>386+(152.8-40)+(-0.39372+(-0.155856--0.0408))+0-0-0</f>
        <v>498.291224</v>
      </c>
      <c r="G34" s="3">
        <f>327+(184.5-38)+(-0.33354+(-0.18819--0.03876))+0-0-0</f>
        <v>473.01702999999998</v>
      </c>
      <c r="H34" s="3">
        <f>321+(162.7-37)+(-0.32742+(-0.165954--0.03774))+0-0-0</f>
        <v>446.24436600000001</v>
      </c>
      <c r="I34" s="3">
        <f>320+(146.5-37)+(-0.1632+(-0.074715--0.01887))+0-0-0</f>
        <v>429.28095500000001</v>
      </c>
      <c r="J34" s="3">
        <f>320+(138-36)+(-0.6528+(-0.28152--0.07344))+0-0-0</f>
        <v>421.13911999999999</v>
      </c>
      <c r="K34" s="3">
        <f>321+(134.5-38)+(0.32742+(0.13719-0.03876))+0-0-0</f>
        <v>417.92585000000003</v>
      </c>
      <c r="L34" s="3">
        <f>320+(131.4-46)+(-0.1632+(-0.067014--0.02346))+0-0-0</f>
        <v>405.19324599999999</v>
      </c>
      <c r="M34" s="3">
        <f>321+(140.8-43.9)+(0.49113+(0.215424-0.067167))+0-0-0</f>
        <v>418.53938699999998</v>
      </c>
      <c r="N34" s="3">
        <f>314+(158.9-38)+(0.32028+(0.162078-0.03876))+0-0-0</f>
        <v>435.34359799999999</v>
      </c>
      <c r="O34" s="3">
        <f>303+(193.3-34)+(-0.15453+(-0.098583--0.01734))+0-0-0</f>
        <v>462.06422700000002</v>
      </c>
      <c r="P34" s="3">
        <f>327+(198.1-32)+(-0.16677+(-0.101031--0.01632))+0-0-0</f>
        <v>492.84851900000001</v>
      </c>
      <c r="Q34" s="3">
        <f>322+(211-33)+(-0.49266+(-0.32283--0.05049))+0-0-0</f>
        <v>499.23500000000001</v>
      </c>
      <c r="R34" s="3">
        <f>356+(202.5-38)+(0+(0-0))+0-0-0</f>
        <v>520.5</v>
      </c>
      <c r="S34" s="3">
        <f>377+(201-35)+(-0.96135+(-0.51255--0.08925))+0-0-0</f>
        <v>541.61535000000003</v>
      </c>
      <c r="T34" s="3">
        <f>392+(179.3-36)+(0.39984+(0.182886-0.03672))+0-0-0</f>
        <v>535.84600599999999</v>
      </c>
      <c r="U34" s="3">
        <f>368+(193.2-34)+(-0.56304+(-0.295596--0.05202))+0-0-0</f>
        <v>526.39338400000008</v>
      </c>
      <c r="V34" s="3">
        <f>369+(180.3-34)+(-0.18819+(-0.091953--0.01734))+0-0-0</f>
        <v>515.03719699999999</v>
      </c>
      <c r="W34" s="3">
        <f>385+(157.7-43.5)+(-0.58905+(-0.241281--0.066555))+0-0-0</f>
        <v>498.43622399999998</v>
      </c>
      <c r="X34" s="3">
        <f>391+(137.6-49.6)+(-0.19941+(-0.070176--0.025296))+0-0-0</f>
        <v>478.75571000000002</v>
      </c>
      <c r="Y34" s="3">
        <f>392+(162.2-37.7)+(0+(0-0))+0-0-0</f>
        <v>516.5</v>
      </c>
      <c r="Z34" s="3">
        <f>395+(199.7-46)+(0+(0-0))+0-0-0</f>
        <v>548.70000000000005</v>
      </c>
      <c r="AA34" s="3">
        <f>396+(228.7-46)+(-0.80784+(-0.466548--0.09384))+0-0-0</f>
        <v>577.519452</v>
      </c>
      <c r="AB34" s="3">
        <f>396+(229.1-44)+(-0.40392+(-0.233682--0.04488))+0-0-0</f>
        <v>580.50727800000004</v>
      </c>
      <c r="AC34" s="3">
        <f>396+(213.6-40)+(-0.20196+(-0.108936--0.0204))+0-0-0</f>
        <v>569.30950400000006</v>
      </c>
      <c r="AD34" s="2">
        <v>631.93166299999996</v>
      </c>
      <c r="AE34" s="3">
        <f>394+(213-47)+(0+(0-0))+0-0-0</f>
        <v>560</v>
      </c>
    </row>
    <row r="35" spans="1:31" s="2" customFormat="1" x14ac:dyDescent="0.3">
      <c r="A35">
        <v>91</v>
      </c>
      <c r="B35">
        <v>2</v>
      </c>
      <c r="C35">
        <v>4</v>
      </c>
      <c r="D35">
        <v>3</v>
      </c>
      <c r="E35">
        <v>1</v>
      </c>
      <c r="F35" s="3">
        <f>392+(175-39)+(-0.79968+(-0.357--0.07956))+0-0-0</f>
        <v>526.92287999999996</v>
      </c>
      <c r="G35" s="3">
        <f>321+(209.7-38)+(-0.16371+(-0.106947--0.01938))+0-0-0</f>
        <v>492.44872299999997</v>
      </c>
      <c r="H35" s="3">
        <f>263+(247.2-35)+(-0.13413+(-0.126072--0.01785))+0-0-0</f>
        <v>474.95764800000001</v>
      </c>
      <c r="I35" s="3">
        <f>263+(230.9-35)+(0.40239+(0.353277-0.05355))+0-0-0</f>
        <v>459.60211699999996</v>
      </c>
      <c r="J35" s="3">
        <f>262+(217.7-36)+(-0.40086+(-0.333081--0.05508))+0-0-0</f>
        <v>443.02113900000001</v>
      </c>
      <c r="K35" s="3">
        <f>262+(202-39)+(-0.13362+(-0.10302--0.01989))+0-0-0</f>
        <v>424.78325000000001</v>
      </c>
      <c r="L35" s="3">
        <f>259+(191-43)+(-0.52836+(-0.38964--0.08772))+0-0-0</f>
        <v>406.16971999999998</v>
      </c>
      <c r="M35" s="3">
        <f>259+(191.1-41)+(0.52836+(0.389844-0.08364))+1.5-0-0</f>
        <v>411.43456400000002</v>
      </c>
      <c r="N35" s="3">
        <f>250+(185.9-36)+(0.1275+(0.094809-0.01836))+6-0-0</f>
        <v>406.103949</v>
      </c>
      <c r="O35" s="3">
        <f>329+(153.6-33)+(0.16779+(0.078336-0.01683))+4.5-0-0</f>
        <v>454.329296</v>
      </c>
      <c r="P35" s="3">
        <f>330+(191.8-29)+(-0.1683+(-0.097818--0.01479))+0-0-0</f>
        <v>492.54867200000001</v>
      </c>
      <c r="Q35" s="3">
        <f>326+(211.7-34)+(0.33252+(0.215934-0.03468))+0-0-0</f>
        <v>504.213774</v>
      </c>
      <c r="R35" s="3">
        <f>322+(254.8-35)+(-0.32844+(-0.259896--0.0357))+0-0-0</f>
        <v>541.24736399999995</v>
      </c>
      <c r="S35" s="3">
        <f>322+(279.4-38)+(0.32844+(0.284988-0.03876))+0-0-0</f>
        <v>563.97466799999995</v>
      </c>
      <c r="T35" s="3">
        <f>322+(290-36)+(0.32844+(0.2958-0.03672))+0-0-0</f>
        <v>576.58752000000004</v>
      </c>
      <c r="U35" s="3">
        <f>322+(261.5-37)+(-0.16422+(-0.133365--0.01887))+0-0-0</f>
        <v>546.22128499999997</v>
      </c>
      <c r="V35" s="3">
        <f>336+(226.8-37)+(-0.68544+(-0.462672--0.07548))+0-0-0</f>
        <v>524.72736799999996</v>
      </c>
      <c r="W35" s="3">
        <f>340+(195.6-36)+(-0.867+(-0.49878--0.0918))+2.3-0-0</f>
        <v>500.62602000000004</v>
      </c>
      <c r="X35" s="3">
        <f>340+(161.8-41)+(-1.2138+(-0.577626--0.14637))+14-0-0</f>
        <v>473.154944</v>
      </c>
      <c r="Y35" s="3">
        <f>342+(239.2-45)+(0.17442+(0.121992-0.02295))+9.1-0-0</f>
        <v>545.57346200000006</v>
      </c>
      <c r="Z35" s="3">
        <f>341+(286.5-48)+(-0.17391+(-0.146115--0.02448))+0-0-0</f>
        <v>579.20445500000005</v>
      </c>
      <c r="AA35" s="3">
        <f>340+(305.7-48)+(-1.3872+(-1.247256--0.19584))+0-0-0</f>
        <v>595.26138400000002</v>
      </c>
      <c r="AB35" s="3">
        <f>334+(311.5-42)+(-0.8517+(-0.794325--0.1071))+0-0-0</f>
        <v>601.96107500000005</v>
      </c>
      <c r="AC35" s="3">
        <f>334+(284.3-39)+(-0.51102+(-0.434979--0.05967))+0-0-0</f>
        <v>578.41367099999991</v>
      </c>
      <c r="AD35" s="2">
        <v>643.71360900000002</v>
      </c>
      <c r="AE35" s="3">
        <f>340+(300-45)+(0+(0-0))+0-0-0</f>
        <v>595</v>
      </c>
    </row>
    <row r="36" spans="1:31" s="2" customFormat="1" x14ac:dyDescent="0.3">
      <c r="A36">
        <v>91</v>
      </c>
      <c r="B36">
        <v>2</v>
      </c>
      <c r="C36">
        <v>5</v>
      </c>
      <c r="D36">
        <v>4</v>
      </c>
      <c r="E36">
        <v>1</v>
      </c>
      <c r="F36" s="3">
        <f>333+(255.7-41)+(-0.67932+(-0.521628--0.08364))+0-0-0</f>
        <v>546.58269200000007</v>
      </c>
      <c r="G36" s="3">
        <f>333+(226.1-40)+(-0.67932+(-0.461244--0.0816))+0-0-0</f>
        <v>518.04103600000008</v>
      </c>
      <c r="H36" s="3">
        <f>333+(201.7-39)+(-0.84915+(-0.514335--0.09945))+0-0-0</f>
        <v>494.43596500000001</v>
      </c>
      <c r="I36" s="3">
        <f>333+(179.5-39)+(0.33966+(0.18309-0.03978))+0-0-0</f>
        <v>473.98297000000002</v>
      </c>
      <c r="J36" s="3">
        <f>331+(165-38)+(-0.16881+(-0.08415--0.01938))+0-0-0</f>
        <v>457.76641999999998</v>
      </c>
      <c r="K36" s="3">
        <f>331+(155.7-39)+(0+(0-0))+0-0-0</f>
        <v>447.7</v>
      </c>
      <c r="L36" s="3">
        <f>332+(137.6-43)+(-0.16932+(-0.070176--0.02193))+0-0-0</f>
        <v>426.38243400000005</v>
      </c>
      <c r="M36" s="3">
        <f>332+(145.1-41)+(0.33864+(0.148002-0.04182))+0-0-0</f>
        <v>436.54482200000001</v>
      </c>
      <c r="N36" s="3">
        <f>330+(170-39)+(0.1683+(0.0867-0.01989))+0-0-0</f>
        <v>461.23511000000002</v>
      </c>
      <c r="O36" s="3">
        <f>330+(177-31)+(0.1683+(0.09027-0.01581))+0-0-0</f>
        <v>476.24275999999998</v>
      </c>
      <c r="P36" s="3">
        <f>330+(196.6-20)+(-0.5049+(-0.300798--0.0306))+0-0-0</f>
        <v>505.82490200000001</v>
      </c>
      <c r="Q36" s="3">
        <f>327+(217.3-24)+(-0.16677+(-0.110823--0.01224))+0-0-0</f>
        <v>520.03464699999995</v>
      </c>
      <c r="R36" s="3">
        <f>325+(261.6-45)+(-0.663+(-0.533664--0.0918))+0-0-0</f>
        <v>540.495136</v>
      </c>
      <c r="S36" s="3">
        <f>331+(269.1-37)+(-0.33762+(-0.274482--0.03774))+0-0-0</f>
        <v>562.52563800000007</v>
      </c>
      <c r="T36" s="3">
        <f>335+(264.7-38)+(0.3417+(0.269994-0.03876))+0-0-0</f>
        <v>562.27293400000008</v>
      </c>
      <c r="U36" s="3">
        <f>347+(239.1-39)+(-0.53091+(-0.365823--0.05967))+0-0-0</f>
        <v>546.26293700000008</v>
      </c>
      <c r="V36" s="3">
        <f>366+(202.3-37)+(-0.55998+(-0.309519--0.05661))+0-0-0</f>
        <v>530.48711099999991</v>
      </c>
      <c r="W36" s="3">
        <f>323+(227.7-32)+(-0.98838+(-0.696762--0.09792))+0-0-0</f>
        <v>517.11277800000005</v>
      </c>
      <c r="X36" s="3">
        <f>298+(215.7-39)+(-0.60792+(-0.440028--0.07956))+0-0-0</f>
        <v>473.73161199999998</v>
      </c>
      <c r="Y36" s="3">
        <f>298+(285.8-42)+(0+(0-0))+0-0-0</f>
        <v>541.79999999999995</v>
      </c>
      <c r="Z36" s="3">
        <f>365+(277.5-48)+(-0.55845+(-0.424575--0.07344))+0-0-0</f>
        <v>593.59041500000001</v>
      </c>
      <c r="AA36" s="3">
        <f>399+(269.1-47)+(-0.81396+(-0.548964--0.09588))+0-0-0</f>
        <v>619.83295599999997</v>
      </c>
      <c r="AB36" s="3">
        <f>393+(272.6-48)+(0+(0-0))+0-0-0</f>
        <v>617.6</v>
      </c>
      <c r="AC36" s="3">
        <f>366+(281.5-41)+(-0.37332+(-0.28713--0.04182))+0-0-0</f>
        <v>605.88136999999995</v>
      </c>
      <c r="AD36" s="2">
        <v>610.455556</v>
      </c>
      <c r="AE36" s="3">
        <f>372+(260.9-0)+(0+(0-0))+0-0-0</f>
        <v>632.9</v>
      </c>
    </row>
    <row r="37" spans="1:31" s="2" customFormat="1" x14ac:dyDescent="0.3">
      <c r="A37">
        <v>91</v>
      </c>
      <c r="B37">
        <v>2</v>
      </c>
      <c r="C37">
        <v>6</v>
      </c>
      <c r="D37">
        <v>5</v>
      </c>
      <c r="E37">
        <v>5</v>
      </c>
      <c r="F37" s="3">
        <f>340+(270.4-40)+(-0.3468+(-0.275808--0.0408))+0-0-0</f>
        <v>569.81819199999995</v>
      </c>
      <c r="G37" s="3">
        <f>341+(246.6-40)+(-0.34782+(-0.251532--0.0408))+0-0-0</f>
        <v>547.04144800000006</v>
      </c>
      <c r="H37" s="3">
        <f>341+(217.5-39)+(-0.34782+(-0.22185--0.03978))+0-0-0</f>
        <v>518.97010999999998</v>
      </c>
      <c r="I37" s="3">
        <f>341+(186.7-39)+(0+(0-0))+0-0-0</f>
        <v>488.7</v>
      </c>
      <c r="J37" s="3">
        <f>340+(169.3-38)+(-0.3468+(-0.172686--0.03876))+0-0-0</f>
        <v>470.81927400000001</v>
      </c>
      <c r="K37" s="3">
        <f>339+(150.7-40)+(-0.51867+(-0.230571--0.0612))+0-0-0</f>
        <v>449.01195899999999</v>
      </c>
      <c r="L37" s="3">
        <f>335+(126.1-44)+(-0.85425+(-0.321555--0.1122))+0-0-0</f>
        <v>416.03639500000003</v>
      </c>
      <c r="M37" s="3">
        <f>337+(136.3-48)+(0+(0-0))+0-0-0</f>
        <v>425.3</v>
      </c>
      <c r="N37" s="3">
        <f>337+(155.6-45)+(0+(0-0))+0-0-0</f>
        <v>447.6</v>
      </c>
      <c r="O37" s="3">
        <f>337+(157.1-38)+(0+(0-0))+0-0-0</f>
        <v>456.1</v>
      </c>
      <c r="P37" s="3">
        <f>336+(170.8-39)+(-0.68544+(-0.348432--0.07956))+0-0-0</f>
        <v>466.845688</v>
      </c>
      <c r="Q37" s="3">
        <f>334+(203.8-36)+(0.17034+(0.103938-0.01836))+0-0-0</f>
        <v>502.05591800000002</v>
      </c>
      <c r="R37" s="3">
        <f>328+(251.4-39)+(-0.66912+(-0.512856--0.07956))+0-0-0</f>
        <v>539.29758400000003</v>
      </c>
      <c r="S37" s="3">
        <f>330+(282.8-42)+(0+(0-0))+0-0-0</f>
        <v>570.79999999999995</v>
      </c>
      <c r="T37" s="3">
        <f>329+(293.4-42)+(-0.16779+(-0.149634--0.02142))+0-0-0</f>
        <v>580.10399599999994</v>
      </c>
      <c r="U37" s="3">
        <f>329+(282.6-43)+(-0.67116+(-0.576504--0.08772))+0-0-0</f>
        <v>567.44005600000003</v>
      </c>
      <c r="V37" s="3">
        <f>325+(259.4-41)+(-0.16575+(-0.132294--0.02091))+0-0-0</f>
        <v>543.12286599999993</v>
      </c>
      <c r="W37" s="3">
        <f>342+(211.6-40)+(-0.69768+(-0.431664--0.0816))+0-0-0</f>
        <v>512.55225600000006</v>
      </c>
      <c r="X37" s="3">
        <f>343+(176.6-40)+(-0.69972+(-0.360264--0.0816))+0-0-0</f>
        <v>478.62161600000002</v>
      </c>
      <c r="Y37" s="3">
        <f>343+(248.2-45)+(-0.17493+(-0.126582--0.02295))+0-0-0</f>
        <v>545.92143800000008</v>
      </c>
      <c r="Z37" s="3">
        <f>343+(299.6-46)+(-0.52479+(-0.458388--0.07038))+0-0-0</f>
        <v>595.68720200000007</v>
      </c>
      <c r="AA37" s="3">
        <f>343+(319.7-48)+(-0.52479+(-0.489141--0.07344))+0-0-0</f>
        <v>613.75950900000009</v>
      </c>
      <c r="AB37" s="3">
        <f>344+(340.3-45)+(-0.17544+(-0.173553--0.02295))+0-0-0</f>
        <v>638.97395699999993</v>
      </c>
      <c r="AC37" s="3">
        <f>358+(296.7-44)+(-0.18258+(-0.151317--0.02244))+0-0-0</f>
        <v>610.38854300000003</v>
      </c>
      <c r="AD37" s="2">
        <v>587.00064800000007</v>
      </c>
      <c r="AE37" s="3">
        <f>344+(308.4-45)+(0+(0-0))+0-0-0</f>
        <v>607.4</v>
      </c>
    </row>
    <row r="38" spans="1:31" s="2" customFormat="1" x14ac:dyDescent="0.3">
      <c r="A38">
        <v>91</v>
      </c>
      <c r="B38">
        <v>2</v>
      </c>
      <c r="C38">
        <v>7</v>
      </c>
      <c r="D38">
        <v>6</v>
      </c>
      <c r="E38">
        <v>6</v>
      </c>
      <c r="F38" s="3">
        <f>364+(265-38)+(-0.18564+(-0.13515--0.01938))+0-0-0</f>
        <v>590.69858999999997</v>
      </c>
      <c r="G38" s="3">
        <f>363+(228.2-38)+(-0.74052+(-0.465528--0.07752))+0-0-0</f>
        <v>552.07147200000009</v>
      </c>
      <c r="H38" s="3">
        <f>364+(202.3-36)+(-0.18564+(-0.103173--0.01836))+0-0-0</f>
        <v>530.02954699999998</v>
      </c>
      <c r="I38" s="3">
        <f>363+(182.7-37)+(-0.18513+(-0.093177--0.01887))+0-0-0</f>
        <v>508.440563</v>
      </c>
      <c r="J38" s="3">
        <f>363+(164.8-37)+(-0.37026+(-0.168096--0.03774))+0-0-0</f>
        <v>490.29938400000003</v>
      </c>
      <c r="K38" s="3">
        <f>363+(134.8-39)+(-0.37026+(-0.137496--0.03978))+0-0-0</f>
        <v>458.33202399999999</v>
      </c>
      <c r="L38" s="3">
        <f>365+(113.3-47.5)+(-0.7446+(-0.231132--0.0969))+0-0-0</f>
        <v>429.92116800000002</v>
      </c>
      <c r="M38" s="3">
        <f>364+(123.8-42.3)+(0.18564+(0.063138-0.021573))+0-0-0</f>
        <v>445.72720500000003</v>
      </c>
      <c r="N38" s="3">
        <f>364+(140.4-40)+(0.18564+(0.071604-0.0204))+0-0-0</f>
        <v>464.636844</v>
      </c>
      <c r="O38" s="3">
        <f>364+(163.1-39)+(-0.18564+(-0.083181--0.01989))+0-0-0</f>
        <v>487.851069</v>
      </c>
      <c r="P38" s="3">
        <f>364+(169.8-35)+(0.37128+(0.173196-0.0357))+0-0-0</f>
        <v>499.30877600000002</v>
      </c>
      <c r="Q38" s="3">
        <f>364+(192.4-32)+(0+(0-0))+0-0-0</f>
        <v>524.4</v>
      </c>
      <c r="R38" s="3">
        <f>357+(229.5-37)+(-0.36414+(-0.23409--0.03774))+0-0-0</f>
        <v>548.93951000000004</v>
      </c>
      <c r="S38" s="3">
        <f>358+(262.1-45)+(-0.18258+(-0.133671--0.02295))+0-0-0</f>
        <v>574.80669899999998</v>
      </c>
      <c r="T38" s="3">
        <f>357+(275.1-41)+(-0.36414+(-0.280602--0.04182))+0-0-0</f>
        <v>590.49707799999999</v>
      </c>
      <c r="U38" s="3">
        <f>358+(257.8-44)+(-0.54774+(-0.394434--0.06732))+0-0-0</f>
        <v>570.92514599999993</v>
      </c>
      <c r="V38" s="3">
        <f>371+(220.5-44)+(0+(0-0))+0-0-0</f>
        <v>547.5</v>
      </c>
      <c r="W38" s="3">
        <f>374+(179.3-39)+(-0.19074+(-0.091443--0.01989))+0-0-0</f>
        <v>514.03770699999995</v>
      </c>
      <c r="X38" s="3">
        <f>375+(138.8-40)+(-0.57375+(-0.212364--0.0612))+0-0-0</f>
        <v>473.075086</v>
      </c>
      <c r="Y38" s="3">
        <f>378+(204.6-45)+(-0.19278+(-0.104346--0.02295))+0-0-0</f>
        <v>537.32582400000001</v>
      </c>
      <c r="Z38" s="3">
        <f>378+(261.2-49)+(-0.38556+(-0.266424--0.04998))+0-0-0</f>
        <v>589.59799600000008</v>
      </c>
      <c r="AA38" s="3">
        <f>378+(279.4-47)+(-0.57834+(-0.427482--0.07191))+0-0-0</f>
        <v>609.46608800000001</v>
      </c>
      <c r="AB38" s="3">
        <f>378+(285.5-47)+(-0.38556+(-0.29121--0.04794))+0-0-0</f>
        <v>615.87117000000001</v>
      </c>
      <c r="AC38" s="3">
        <f>379+(264.5-45)+(0.57987+(0.404685-0.06885))+0-0-0</f>
        <v>599.415705</v>
      </c>
      <c r="AD38" s="2">
        <v>608.778412</v>
      </c>
      <c r="AE38" s="3">
        <f>379+(266.5-49)+(0+(0-0))+0-0-0</f>
        <v>596.5</v>
      </c>
    </row>
    <row r="39" spans="1:31" s="2" customFormat="1" x14ac:dyDescent="0.3">
      <c r="A39">
        <v>91</v>
      </c>
      <c r="B39">
        <v>2</v>
      </c>
      <c r="C39">
        <v>8</v>
      </c>
      <c r="D39">
        <v>7</v>
      </c>
      <c r="E39">
        <v>1</v>
      </c>
      <c r="F39" s="3">
        <f>369+(229.4-43)+(0+(0-0))+0-0-0</f>
        <v>555.4</v>
      </c>
      <c r="G39" s="3">
        <f>369+(206.3-41)+(-0.18819+(-0.105213--0.02091))+0-0-0</f>
        <v>534.0275069999999</v>
      </c>
      <c r="H39" s="3">
        <f>369+(185.4-41)+(0.56457+(0.283662-0.06273))+0-0-0</f>
        <v>514.18550199999993</v>
      </c>
      <c r="I39" s="3">
        <f>369+(167.6-40)+(-0.75276+(-0.341904--0.0816))+0-0-0</f>
        <v>495.58693600000004</v>
      </c>
      <c r="J39" s="3">
        <f>358+(160.8-40)+(-0.54774+(-0.246024--0.0612))+0-0-0</f>
        <v>478.06743599999999</v>
      </c>
      <c r="K39" s="3">
        <f>290+(202.4-45)+(-0.2958+(-0.206448--0.0459))+0-0-0</f>
        <v>446.94365199999999</v>
      </c>
      <c r="L39" s="3">
        <f>277+(191.5-47)+(-0.98889+(-0.683655--0.16779))+0-0-0</f>
        <v>419.99524500000001</v>
      </c>
      <c r="M39" s="3">
        <f>277+(189.7-40)+(0.14127+(0.096747-0.0204))+0-0-0</f>
        <v>426.91761700000001</v>
      </c>
      <c r="N39" s="3">
        <f>331+(145.9-35)+(0.16881+(0.074409-0.01785))+0-0-0</f>
        <v>442.12536899999998</v>
      </c>
      <c r="O39" s="3">
        <f>363+(132.9-35.6)+(-0.37026+(-0.135558--0.036312))+0-0-0</f>
        <v>459.83049399999999</v>
      </c>
      <c r="P39" s="3">
        <f>363+(145.9-27)+(-0.55539+(-0.223227--0.04131))+0-0-0</f>
        <v>481.16269299999999</v>
      </c>
      <c r="Q39" s="3">
        <f>361+(178.5-30)+(-0.73644+(-0.36414--0.0612))+1-0-0</f>
        <v>509.46062000000001</v>
      </c>
      <c r="R39" s="3">
        <f>362+(202.4-35)+(0+(0-0))+10-0-0</f>
        <v>539.4</v>
      </c>
      <c r="S39" s="3">
        <f>364+(220.5-36)+(-0.55692+(-0.337365--0.05508))+10-0-0</f>
        <v>557.66079500000001</v>
      </c>
      <c r="T39" s="3">
        <f>374+(223.4-33)+(-0.19074+(-0.113934--0.01683))+10-0-0</f>
        <v>574.11215600000003</v>
      </c>
      <c r="U39" s="3">
        <f>382+(211.9-35)+(-0.38964+(-0.216138--0.0357))+3.7-0-0</f>
        <v>562.02992200000006</v>
      </c>
      <c r="V39" s="3">
        <f>403+(193.5-41)+(-0.41106+(-0.19737--0.04182))+0-0-0</f>
        <v>554.93339000000003</v>
      </c>
      <c r="W39" s="3">
        <f>422+(141.7-48.4)+(-0.64566+(-0.216801--0.074052))+0-0-0</f>
        <v>514.51159099999995</v>
      </c>
      <c r="X39" s="3">
        <f>408+(123.9-49.4)+(-0.62424+(-0.189567--0.075582))+0-0-0</f>
        <v>481.761775</v>
      </c>
      <c r="Y39" s="3">
        <f>367+(235.6-49)+(-0.37434+(-0.240312--0.04998))+0-0-0</f>
        <v>553.03532800000005</v>
      </c>
      <c r="Z39" s="3">
        <f>429+(243.5-49)+(-0.21879+(-0.124185--0.02499))+0-0-0</f>
        <v>623.18201499999998</v>
      </c>
      <c r="AA39" s="3">
        <f>430+(271.7-49)+(-0.4386+(-0.277134--0.04998))+0-0-0</f>
        <v>652.03424600000005</v>
      </c>
      <c r="AB39" s="3">
        <f>411+(292-46)+(0.20961+(0.14892-0.02346))+0-0-0</f>
        <v>657.33506999999997</v>
      </c>
      <c r="AC39" s="3">
        <f>406+(269.6-44)+(-0.62118+(-0.412488--0.06732))+0-0-0</f>
        <v>630.63365199999998</v>
      </c>
      <c r="AD39" s="2">
        <v>622.51732200000004</v>
      </c>
      <c r="AE39" s="3">
        <f>431+(268.2-49)+(0+(0-0))+0-0-0</f>
        <v>650.20000000000005</v>
      </c>
    </row>
    <row r="40" spans="1:31" s="2" customFormat="1" x14ac:dyDescent="0.3">
      <c r="A40">
        <v>91</v>
      </c>
      <c r="B40">
        <v>2</v>
      </c>
      <c r="C40">
        <v>9</v>
      </c>
      <c r="D40">
        <v>1</v>
      </c>
      <c r="E40">
        <v>1</v>
      </c>
      <c r="F40" s="3">
        <f>397+(225.1-41)+(-0.20247+(-0.114801--0.02091))+0-0-0</f>
        <v>580.80363899999998</v>
      </c>
      <c r="G40" s="3">
        <f>367+(232.4-39)+(-0.56151+(-0.355572--0.05967))+0-0-0</f>
        <v>559.54258800000002</v>
      </c>
      <c r="H40" s="3">
        <f>368+(203.3-39)+(0.37536+(0.207366-0.03978))+0-0-0</f>
        <v>532.84294599999998</v>
      </c>
      <c r="I40" s="3">
        <f>311+(241.9-39)+(0.15861+(0.123369-0.01989))+0-0-0</f>
        <v>514.16208899999992</v>
      </c>
      <c r="J40" s="3">
        <f>293+(242-39)+(0+(0-0))+0-0-0</f>
        <v>496</v>
      </c>
      <c r="K40" s="3">
        <f>290+(223.1-44)+(-0.4437+(-0.341343--0.06732))+0-0-0</f>
        <v>468.38227700000004</v>
      </c>
      <c r="L40" s="3">
        <f>295+(195.1-42)+(-0.15045+(-0.099501--0.02142))+0-0-0</f>
        <v>447.87146900000005</v>
      </c>
      <c r="M40" s="3">
        <f>301+(197.5-44)+(0.15351+(0.100725-0.02244))+0-0-0</f>
        <v>454.73179499999998</v>
      </c>
      <c r="N40" s="3">
        <f>369+(148-41)+(0.18819+(0.07548-0.02091))+0-0-0</f>
        <v>476.24275999999998</v>
      </c>
      <c r="O40" s="3">
        <f>366+(172-34)+(0+(0-0))+0-0-0</f>
        <v>504</v>
      </c>
      <c r="P40" s="3">
        <f>363+(209.2-45)+(0+(0-0))+0-0-0</f>
        <v>527.20000000000005</v>
      </c>
      <c r="Q40" s="3">
        <f>362+(240.8-38)+(-0.55386+(-0.368424--0.05814))+0-0-0</f>
        <v>563.93585599999994</v>
      </c>
      <c r="R40" s="3">
        <f>360+(288.5-42)+(-0.7344+(-0.58854--0.08568))+0-0-0</f>
        <v>605.26274000000001</v>
      </c>
      <c r="S40" s="3">
        <f>360+(313.1-43)+(-0.3672+(-0.319362--0.04386))+0-0-0</f>
        <v>629.45729800000004</v>
      </c>
      <c r="T40" s="3">
        <f>361+(327-43)+(0+(0-0))+0-0-0</f>
        <v>645</v>
      </c>
      <c r="U40" s="3">
        <f>362+(302-38)+(-0.36924+(-0.30804--0.03876))+0-0-0</f>
        <v>625.36148000000003</v>
      </c>
      <c r="V40" s="3">
        <f>371+(270.1-43)+(-0.37842+(-0.275502--0.04386))+0-0-0</f>
        <v>597.48993800000005</v>
      </c>
      <c r="W40" s="3">
        <f>371+(226.9-45)+(-0.37842+(-0.231438--0.0459))+0-0-0</f>
        <v>552.33604200000002</v>
      </c>
      <c r="X40" s="3">
        <f>371+(180.4-41)+(-0.56763+(-0.276012--0.06273))+0-0-0</f>
        <v>509.61908799999998</v>
      </c>
      <c r="Y40" s="3">
        <f>371+(256-45)+(-0.56763+(-0.39168--0.06885))+0-0-0</f>
        <v>581.10954000000004</v>
      </c>
      <c r="Z40" s="3">
        <f>371+(333.1-53)+(-0.75684+(-0.679524--0.10812))+0-0-0</f>
        <v>649.77175599999998</v>
      </c>
      <c r="AA40" s="3">
        <f>371+(364.2-47)+(-0.37842+(-0.371484--0.04794))+0-0-0</f>
        <v>687.49803600000007</v>
      </c>
      <c r="AB40" s="3">
        <f>364+(378-45)+(-0.55692+(-0.57834--0.06885))+0-0-0</f>
        <v>695.93358999999998</v>
      </c>
      <c r="AC40" s="3">
        <f>363+(351.9-44)+(-0.74052+(-0.717876--0.08976))+0-0-0</f>
        <v>669.53136399999994</v>
      </c>
      <c r="AD40" s="2">
        <v>634.30337600000007</v>
      </c>
      <c r="AE40" s="3">
        <f>374+(345.3-50)+(0+(0-0))+0-0-0</f>
        <v>669.3</v>
      </c>
    </row>
    <row r="41" spans="1:31" s="2" customFormat="1" x14ac:dyDescent="0.3">
      <c r="A41">
        <v>91</v>
      </c>
      <c r="B41">
        <v>2</v>
      </c>
      <c r="C41">
        <v>10</v>
      </c>
      <c r="D41">
        <v>2</v>
      </c>
      <c r="E41">
        <v>1</v>
      </c>
      <c r="F41" s="3">
        <f>362+(313-38)+(-0.55386+(-0.47889--0.05814))+0-0-0</f>
        <v>636.02539000000002</v>
      </c>
      <c r="G41" s="3">
        <f>361+(274.5-40)+(-0.55233+(-0.419985--0.0612))+0-0-0</f>
        <v>594.588885</v>
      </c>
      <c r="H41" s="3">
        <f>362+(243.6-40)+(0.18462+(0.124236-0.0204))+0-0-0</f>
        <v>565.88845600000002</v>
      </c>
      <c r="I41" s="3">
        <f>363+(215.2-39)+(0.37026+(0.219504-0.03978))+0-0-0</f>
        <v>539.74998400000004</v>
      </c>
      <c r="J41" s="3">
        <f>366+(190-41)+(-0.18666+(-0.0969--0.02091))+0-0-0</f>
        <v>514.73734999999999</v>
      </c>
      <c r="K41" s="3">
        <f>364+(163.9-43)+(-0.74256+(-0.334356--0.08772))+0-0-0</f>
        <v>483.91080399999998</v>
      </c>
      <c r="L41" s="3">
        <f>363+(132-46)+(-0.55539+(-0.20196--0.07038))+0-0-0</f>
        <v>448.31303000000003</v>
      </c>
      <c r="M41" s="3">
        <f>364+(145.7-47)+(0+(0-0))+0-0-0</f>
        <v>462.7</v>
      </c>
      <c r="N41" s="3">
        <f>366+(161.7-30)+(0.18666+(0.082467-0.0153))+0-0-0</f>
        <v>497.95382699999999</v>
      </c>
      <c r="O41" s="3">
        <f>362+(184.1-41)+(0.18462+(0.093891-0.02091))+0-0-0</f>
        <v>505.35760100000005</v>
      </c>
      <c r="P41" s="3">
        <f>356+(209.9-40)+(-0.18156+(-0.107049--0.0204))+0-0-0</f>
        <v>525.63179100000002</v>
      </c>
      <c r="Q41" s="3">
        <f>351+(243-38)+(-0.53703+(-0.37179--0.05814))+0-0-0</f>
        <v>555.14931999999999</v>
      </c>
      <c r="R41" s="3">
        <f>347+(315.3-40)+(-0.35394+(-0.321606--0.0408))+0-0-0</f>
        <v>621.665254</v>
      </c>
      <c r="S41" s="3">
        <f>347+(347.7-43)+(-0.70788+(-0.709308--0.08772))+0-0-0</f>
        <v>650.37053200000003</v>
      </c>
      <c r="T41" s="3">
        <f>353+(358.2-44)+(-0.18003+(-0.182682--0.02244))+0-0-0</f>
        <v>666.85972800000002</v>
      </c>
      <c r="U41" s="3">
        <f>386+(305.5-46)+(-0.78744+(-0.62322--0.09384))+0-0-0</f>
        <v>644.18317999999999</v>
      </c>
      <c r="V41" s="3">
        <f>430+(220.7-45)+(-0.4386+(-0.225114--0.0459))+0-0-0</f>
        <v>605.08218600000009</v>
      </c>
      <c r="W41" s="3">
        <f>487+(153.7-50.1)+(-1.24185+(-0.391935--0.127755))+0-0-0</f>
        <v>589.09397000000001</v>
      </c>
      <c r="X41" s="3">
        <f>489+(109.2-59.5)+(-2.24451+(-0.501228--0.273105))+0-0-0</f>
        <v>536.22736700000007</v>
      </c>
      <c r="Y41" s="3">
        <f>474+(175.2-48)+(0+(0-0))+0-0-0</f>
        <v>601.20000000000005</v>
      </c>
      <c r="Z41" s="3">
        <f>472+(259.6-52)+(-0.24072+(-0.132396--0.02652))+0-0-0</f>
        <v>679.25340400000005</v>
      </c>
      <c r="AA41" s="3">
        <f>471+(293.4-47)+(-1.44126+(-0.897804--0.14382))+0-0-0</f>
        <v>715.20475599999997</v>
      </c>
      <c r="AB41" s="3">
        <f>473+(302.1-41)+(0+(0-0))+0-0-0</f>
        <v>734.1</v>
      </c>
      <c r="AC41" s="3">
        <f>465+(285.4-40)+(0+(0-0))+0-0-0</f>
        <v>710.4</v>
      </c>
      <c r="AD41" s="2">
        <v>652.53373600000009</v>
      </c>
      <c r="AE41" s="3">
        <f>473+(279.7-48)+(0+(0-0))+0-0-0</f>
        <v>704.7</v>
      </c>
    </row>
    <row r="42" spans="1:31" s="2" customFormat="1" x14ac:dyDescent="0.3">
      <c r="A42">
        <v>91</v>
      </c>
      <c r="B42">
        <v>2</v>
      </c>
      <c r="C42">
        <v>11</v>
      </c>
      <c r="D42">
        <v>3</v>
      </c>
      <c r="E42">
        <v>1</v>
      </c>
      <c r="F42" s="3">
        <f>409+(259.8-40)+(-0.41718+(-0.264996--0.0408))+0-0-0</f>
        <v>628.15862399999992</v>
      </c>
      <c r="G42" s="3">
        <f>369+(285-41)+(-0.37638+(-0.2907--0.04182))+0-0-0</f>
        <v>612.37473999999997</v>
      </c>
      <c r="H42" s="3">
        <f>348+(282.2-39)+(0+(0-0))+0-0-0</f>
        <v>591.20000000000005</v>
      </c>
      <c r="I42" s="3">
        <f>288+(312.5-41)+(0.29376+(0.31875-0.04182))+0-0-0</f>
        <v>560.07069000000001</v>
      </c>
      <c r="J42" s="3">
        <f>276+(304-43)+(-0.28152+(-0.31008--0.04386))+0-0-0</f>
        <v>536.45226000000002</v>
      </c>
      <c r="K42" s="3">
        <f>276+(273.5-42)+(-0.14076+(-0.139485--0.02142))+0-0-0</f>
        <v>507.241175</v>
      </c>
      <c r="L42" s="3">
        <f>271+(228.5-48)+(-0.69105+(-0.582675--0.1224))+0-0-0</f>
        <v>450.34867500000001</v>
      </c>
      <c r="M42" s="3">
        <f>270+(237.1-48)+(0.4131+(0.362763-0.07344))+0-0-0</f>
        <v>459.80242300000003</v>
      </c>
      <c r="N42" s="3">
        <f>325+(202-39)+(0+(0-0))+0-0-0</f>
        <v>488</v>
      </c>
      <c r="O42" s="3">
        <f>329+(223.6-37)+(0.16779+(0.114036-0.01887))+0-0-0</f>
        <v>515.86295600000005</v>
      </c>
      <c r="P42" s="3">
        <f>316+(246.7-39)+(-0.16116+(-0.125817--0.01989))+0-0-0</f>
        <v>523.4329130000001</v>
      </c>
      <c r="Q42" s="3">
        <f>315+(283.1-34)+(-0.80325+(-0.721905--0.0867))+0-0-0</f>
        <v>562.66154500000005</v>
      </c>
      <c r="R42" s="3">
        <f>331+(323-48)+(-0.67524+(-0.65892--0.09792))+0-0-0</f>
        <v>604.76376000000005</v>
      </c>
      <c r="S42" s="3">
        <f>371+(326.7-37)+(-0.56763+(-0.499851--0.05661))+0-0-0</f>
        <v>659.68912900000009</v>
      </c>
      <c r="T42" s="3">
        <f>410+(291.1-41)+(0.6273+(0.445383-0.06273))+0-0-0</f>
        <v>661.10995300000002</v>
      </c>
      <c r="U42" s="3">
        <f>424+(256.6-46)+(-1.0812+(-0.65433--0.1173))+0-0-0</f>
        <v>632.98176999999998</v>
      </c>
      <c r="V42" s="3">
        <f>435+(221.7-41)+(-0.4437+(-0.226134--0.04182))+0-0-0</f>
        <v>615.07198600000004</v>
      </c>
      <c r="W42" s="3">
        <f>431+(188-38)+(-1.09905+(-0.4794--0.0969))+0-0-0</f>
        <v>579.51845000000003</v>
      </c>
      <c r="X42" s="3">
        <f>392+(191-44)+(-0.9996+(-0.48705--0.1122))+0-0-0</f>
        <v>537.62554999999998</v>
      </c>
      <c r="Y42" s="3">
        <f>403+(184.6-48)+(-1.02765+(-0.47073--0.1224))+0-0-0</f>
        <v>538.22402</v>
      </c>
      <c r="Z42" s="3">
        <f>402+(311.7-47)+(-0.61506+(-0.476901--0.07191))+0-0-0</f>
        <v>665.67994900000008</v>
      </c>
      <c r="AA42" s="3">
        <f>402+(346.5-52)+(-0.61506+(-0.530145--0.07956))+0-0-0</f>
        <v>695.43435499999998</v>
      </c>
      <c r="AB42" s="3">
        <f>407+(342.8-48)+(0.62271+(0.524484-0.07344))+0-0-0</f>
        <v>702.87375399999996</v>
      </c>
      <c r="AC42" s="3">
        <f>405+(332.2-38)+(-1.03275+(-0.84711--0.0969))+0-0-0</f>
        <v>697.41704000000004</v>
      </c>
      <c r="AD42" s="2">
        <v>669.78767500000004</v>
      </c>
      <c r="AE42" s="3">
        <f>403+(385.4-50)+(0+(0-0))+0-0-0</f>
        <v>738.4</v>
      </c>
    </row>
    <row r="43" spans="1:31" s="2" customFormat="1" x14ac:dyDescent="0.3">
      <c r="A43">
        <v>91</v>
      </c>
      <c r="B43">
        <v>2</v>
      </c>
      <c r="C43">
        <v>12</v>
      </c>
      <c r="D43">
        <v>4</v>
      </c>
      <c r="E43">
        <v>1</v>
      </c>
      <c r="F43" s="3">
        <f>394+(333.6-40)+(-0.60282+(-0.510408--0.0612))+0-0-0</f>
        <v>686.54797200000007</v>
      </c>
      <c r="G43" s="3">
        <f>371+(330.6-40)+(-0.75684+(-0.674424--0.0816))+0-0-0</f>
        <v>660.25033600000006</v>
      </c>
      <c r="H43" s="3">
        <f>361+(303.5-38)+(-0.55233+(-0.464355--0.05814))+0-0-0</f>
        <v>625.54145500000004</v>
      </c>
      <c r="I43" s="3">
        <f>361+(277-38)+(-0.92055+(-0.70635--0.0969))+0-0-0</f>
        <v>598.47</v>
      </c>
      <c r="J43" s="3">
        <f>362+(247.5-38)+(0.18462+(0.126225-0.01938))+0-0-0</f>
        <v>571.79146500000002</v>
      </c>
      <c r="K43" s="3">
        <f>361+(214.4-40)+(-0.73644+(-0.437376--0.0816))+0-0-0</f>
        <v>534.30778399999997</v>
      </c>
      <c r="L43" s="3">
        <f>358+(160.1-49.1)+(0.36516+(0.163302-0.050082))+0-0-0</f>
        <v>469.47838000000002</v>
      </c>
      <c r="M43" s="3">
        <f>358+(166.8-48)+(0+(0-0))+0-0-0</f>
        <v>476.8</v>
      </c>
      <c r="N43" s="3">
        <f>358+(194.6-48)+(0.36516+(0.198492-0.04896))+0-0-0</f>
        <v>505.11469200000005</v>
      </c>
      <c r="O43" s="3">
        <f>356+(212-48)+(0+(0-0))+0-0-0</f>
        <v>520</v>
      </c>
      <c r="P43" s="3">
        <f>353+(245.5-48)+(-0.18003+(-0.125205--0.02448))+0-0-0</f>
        <v>550.219245</v>
      </c>
      <c r="Q43" s="3">
        <f>353+(307.9-42)+(0.18003+(0.157029-0.02142))+0-0-0</f>
        <v>619.21563900000001</v>
      </c>
      <c r="R43" s="3">
        <f>367+(344.6-44)+(-0.74868+(-0.702984--0.08976))+0-0-0</f>
        <v>666.23809600000004</v>
      </c>
      <c r="S43" s="3">
        <f>400+(344.8-44)+(-0.408+(-0.351696--0.04488))+0-0-0</f>
        <v>700.08518399999991</v>
      </c>
      <c r="T43" s="3">
        <f>414+(327-46)+(-0.42228+(-0.33354--0.04692))+0-0-0</f>
        <v>694.29110000000003</v>
      </c>
      <c r="U43" s="3">
        <f>428+(315.1-44)+(-1.30968+(-0.964206--0.13464))+0-0-0</f>
        <v>696.96075400000007</v>
      </c>
      <c r="V43" s="3">
        <f>442+(268.2-42)+(-0.90168+(-0.547128--0.08568))+0-0-0</f>
        <v>666.83687200000008</v>
      </c>
      <c r="W43" s="3">
        <f>402+(276.9-40)+(-0.61506+(-0.423657--0.0612))+0-0-0</f>
        <v>637.92248299999994</v>
      </c>
      <c r="X43" s="3">
        <f>394+(232.3-43)+(-0.80376+(-0.473892--0.08772))+0-0-0</f>
        <v>582.11006799999996</v>
      </c>
      <c r="Y43" s="3">
        <f>395+(325-49)+(-0.20145+(-0.16575--0.02499))+0-0-0</f>
        <v>670.65778999999998</v>
      </c>
      <c r="Z43" s="3">
        <f>423+(392.2-50)+(-0.43146+(-0.400044--0.051))+0-0-0</f>
        <v>764.41949600000009</v>
      </c>
      <c r="AA43" s="3">
        <f>435+(419.3-47)+(-0.8874+(-0.855372--0.09588))+0-0-0</f>
        <v>805.65310799999997</v>
      </c>
      <c r="AB43" s="3">
        <f>430+(420.9-45)+(-0.6579+(-0.643977--0.06885))+0-0-0</f>
        <v>804.66697299999998</v>
      </c>
      <c r="AC43" s="3">
        <f>424+(391-44)+(-1.0812+(-0.99705--0.1122))+0-0-0</f>
        <v>769.03395</v>
      </c>
      <c r="AD43" s="2">
        <v>646.27889600000003</v>
      </c>
      <c r="AE43" s="3">
        <f>446+(419.4-50)+(0+(0-0))+0-0-0</f>
        <v>815.4</v>
      </c>
    </row>
    <row r="44" spans="1:31" s="2" customFormat="1" x14ac:dyDescent="0.3">
      <c r="A44">
        <v>91</v>
      </c>
      <c r="B44">
        <v>2</v>
      </c>
      <c r="C44">
        <v>13</v>
      </c>
      <c r="D44">
        <v>5</v>
      </c>
      <c r="E44">
        <v>1</v>
      </c>
      <c r="F44" s="3">
        <f>389+(394-43)+(-0.39678+(-0.40188--0.04386))+0-0-0</f>
        <v>739.24519999999995</v>
      </c>
      <c r="G44" s="3">
        <f>389+(351.9-42)+(0+(0-0))+0-0-0</f>
        <v>698.9</v>
      </c>
      <c r="H44" s="3">
        <f>379+(331.6-41)+(-0.96645+(-0.84558--0.10455))+0-0-0</f>
        <v>667.89251999999999</v>
      </c>
      <c r="I44" s="3">
        <f>380+(319.4-40)+(0+(0-0))+0-0-0</f>
        <v>659.4</v>
      </c>
      <c r="J44" s="3">
        <f>380+(267.3-41)+(-0.7752+(-0.545292--0.08364))+0-0-0</f>
        <v>605.06314799999996</v>
      </c>
      <c r="K44" s="3">
        <f>380+(222.2-42)+(-0.969+(-0.56661--0.1071))+0-0-0</f>
        <v>558.77149000000009</v>
      </c>
      <c r="L44" s="3">
        <f>383+(206.2-42)+(-0.97665+(-0.52581--0.1071))+0-0-0</f>
        <v>545.80464000000006</v>
      </c>
      <c r="M44" s="3">
        <f>382+(170.9-44.1)+(-1.36374+(-0.610113--0.157437))+0-0-0</f>
        <v>506.98358400000001</v>
      </c>
      <c r="N44" s="3">
        <f>377+(186.3-46.5)+(0.19227+(0.095013-0.023715))+0-0-0</f>
        <v>517.06356799999992</v>
      </c>
      <c r="O44" s="3">
        <f>374+(203.3-41)+(0.19074+(0.103683-0.02091))+0-0-0</f>
        <v>536.57351299999993</v>
      </c>
      <c r="P44" s="3">
        <f>371+(281.7-41)+(0+(0-0))+0-0-0</f>
        <v>611.70000000000005</v>
      </c>
      <c r="Q44" s="3">
        <f>369+(321.5-40)+(0.18819+(0.163965-0.0204))+0-0-0</f>
        <v>650.83175500000004</v>
      </c>
      <c r="R44" s="3">
        <f>393+(402.2-42)+(-0.60129+(-0.615366--0.06426))+0-0-0</f>
        <v>752.04760400000009</v>
      </c>
      <c r="S44" s="3">
        <f>412+(394-43)+(0+(0-0))+4.2-0-0</f>
        <v>767.2</v>
      </c>
      <c r="T44" s="3">
        <f>415+(395.8-43)+(-0.8466+(-0.807432--0.08772))+10-0-0</f>
        <v>776.23368799999992</v>
      </c>
      <c r="U44" s="3">
        <f>428+(355-40)+(-0.87312+(-0.7242--0.0816))+5.3-0-0</f>
        <v>746.78427999999997</v>
      </c>
      <c r="V44" s="3">
        <f>442+(319.7-37)+(-0.90168+(-0.652188--0.07548))+0-0-0</f>
        <v>723.22161200000005</v>
      </c>
      <c r="W44" s="3">
        <f>449+(248.6-40)+(-1.83192+(-1.014288--0.1632))+0-0-0</f>
        <v>654.91699200000005</v>
      </c>
      <c r="X44" s="3">
        <f>449+(180.7-45)+(-2.06091+(-0.829413--0.20655))+0-0-0</f>
        <v>582.01622700000007</v>
      </c>
      <c r="Y44" s="3">
        <f>451+(275.3-50)+(0+(0-0))+0-0-0</f>
        <v>676.3</v>
      </c>
      <c r="Z44" s="3">
        <f>472+(367.3-49)+(0.48144+(0.374646-0.04998))+0-0-0</f>
        <v>791.10610599999995</v>
      </c>
      <c r="AA44" s="3">
        <f>471+(399.5-50)+(-1.68147+(-1.426215--0.1785))+0-0-0</f>
        <v>817.57081500000004</v>
      </c>
      <c r="AB44" s="3">
        <f>462+(418.8-47)+(-0.47124+(-0.427176--0.04794))+0-0-0</f>
        <v>832.949524</v>
      </c>
      <c r="AC44" s="3">
        <f>442+(412.7-46)+(-0.90168+(-0.841908--0.09384))+0-0-0</f>
        <v>807.050252</v>
      </c>
      <c r="AD44" s="2">
        <v>637.47472199999993</v>
      </c>
      <c r="AE44" s="3">
        <f>466+(394.6-51)+(0+(0-0))+0-0-0</f>
        <v>809.6</v>
      </c>
    </row>
    <row r="45" spans="1:31" s="2" customFormat="1" x14ac:dyDescent="0.3">
      <c r="A45">
        <v>91</v>
      </c>
      <c r="B45">
        <v>2</v>
      </c>
      <c r="C45">
        <v>14</v>
      </c>
      <c r="D45">
        <v>6</v>
      </c>
      <c r="E45">
        <v>1</v>
      </c>
      <c r="F45" s="3">
        <f>417+(407.8-45)+(-0.21267+(-0.207978--0.02295))+0-0-0</f>
        <v>779.40230199999996</v>
      </c>
      <c r="G45" s="3">
        <f>413+(370.8-43)+(-0.42126+(-0.378216--0.04386))+0-0-0</f>
        <v>740.04438399999992</v>
      </c>
      <c r="H45" s="3">
        <f>413+(336.9-42)+(-1.05315+(-0.859095--0.1071))+0-0-0</f>
        <v>706.09485499999994</v>
      </c>
      <c r="I45" s="3">
        <f>410+(314.5-42)+(-0.2091+(-0.160395--0.02142))+0-0-0</f>
        <v>682.15192500000001</v>
      </c>
      <c r="J45" s="3">
        <f>403+(291.8-44)+(-0.41106+(-0.297636--0.04488))+0-0-0</f>
        <v>650.13618399999996</v>
      </c>
      <c r="K45" s="3">
        <f>407+(224.5-46)+(-0.83028+(-0.45798--0.09384))+0-0-0</f>
        <v>584.30557999999996</v>
      </c>
      <c r="L45" s="3">
        <f>404+(176-55.9)+(-0.41208+(-0.17952--0.057018))+0-0-0</f>
        <v>523.56541800000002</v>
      </c>
      <c r="M45" s="3">
        <f>401+(183.9-54.9)+(-0.20451+(-0.093789--0.027999))+0-0-0</f>
        <v>529.72969999999998</v>
      </c>
      <c r="N45" s="3">
        <f>390+(214.1-47.2)+(0+(0-0))+0-0-0</f>
        <v>556.9</v>
      </c>
      <c r="O45" s="3">
        <f>388+(250.3-42)+(0.19788+(0.127653-0.02142))+0-0-0</f>
        <v>596.60411299999998</v>
      </c>
      <c r="P45" s="3">
        <f>391+(285.9-38)+(0.59823+(0.437427-0.05814))+0-0-0</f>
        <v>639.87751700000001</v>
      </c>
      <c r="Q45" s="3">
        <f>394+(332-40)+(-0.20094+(-0.16932--0.0204))+0-0-0</f>
        <v>685.65013999999996</v>
      </c>
      <c r="R45" s="3">
        <f>392+(404.6-44)+(-0.39984+(-0.412692--0.04488))+0-0-0</f>
        <v>751.83234800000002</v>
      </c>
      <c r="S45" s="3">
        <f>394+(422.1-44)+(-0.60282+(-0.645813--0.06732))+0-0-0</f>
        <v>770.91868699999998</v>
      </c>
      <c r="T45" s="3">
        <f>394+(425.8-42)+(-0.60282+(-0.651474--0.06426))+0-0-0</f>
        <v>776.60996599999999</v>
      </c>
      <c r="U45" s="3">
        <f>387+(410.3-38)+(-0.39474+(-0.418506--0.03876))+0-0-0</f>
        <v>758.52551399999993</v>
      </c>
      <c r="V45" s="3">
        <f>389+(359.8-43)+(-1.19034+(-1.100988--0.13158))+0-0-0</f>
        <v>703.64025199999992</v>
      </c>
      <c r="W45" s="3">
        <f>421+(283.2-44)+(-0.64413+(-0.433296--0.06732))+0-0-0</f>
        <v>659.18989400000009</v>
      </c>
      <c r="X45" s="3">
        <f>417+(222-43)+(-0.21267+(-0.11322--0.02193))+0-0-0</f>
        <v>595.69604000000004</v>
      </c>
      <c r="Y45" s="3">
        <f>418+(309-46)+(0.21318+(0.15759-0.02346))+0-0-0</f>
        <v>681.34730999999999</v>
      </c>
      <c r="Z45" s="3">
        <f>420+(397-53)+(-0.4284+(-0.40494--0.05406))+0-0-0</f>
        <v>763.22072000000003</v>
      </c>
      <c r="AA45" s="3">
        <f>424+(451.6-50)+(-0.64872+(-0.690948--0.0765))+0-0-0</f>
        <v>824.33683200000007</v>
      </c>
      <c r="AB45" s="3">
        <f>424+(473.9-43)+(-1.29744+(-1.450134--0.13158))+0-0-0</f>
        <v>852.28400599999998</v>
      </c>
      <c r="AC45" s="3">
        <f>423+(440.9-43)+(-0.43146+(-0.449718--0.04386))+0-0-0</f>
        <v>820.062682</v>
      </c>
      <c r="AD45" s="2">
        <v>666.45993199999998</v>
      </c>
      <c r="AE45" s="3">
        <f>425+(452.9-48)+(0+(0-0))+0-0-0</f>
        <v>829.9</v>
      </c>
    </row>
    <row r="46" spans="1:31" s="2" customFormat="1" x14ac:dyDescent="0.3">
      <c r="A46">
        <v>91</v>
      </c>
      <c r="B46">
        <v>2</v>
      </c>
      <c r="C46">
        <v>15</v>
      </c>
      <c r="D46">
        <v>7</v>
      </c>
      <c r="E46">
        <v>1</v>
      </c>
      <c r="F46" s="3">
        <f>411+(419.8-43)+(-0.83844+(-0.856392--0.08772))+0-0-0</f>
        <v>786.19288799999993</v>
      </c>
      <c r="G46" s="3">
        <f>405+(382-43)+(-0.4131+(-0.38964--0.04386))+0-0-0</f>
        <v>743.24112000000002</v>
      </c>
      <c r="H46" s="3">
        <f>397+(360-42)+(-0.20247+(-0.1836--0.02142))+0-0-0</f>
        <v>714.63535000000002</v>
      </c>
      <c r="I46" s="3">
        <f>398+(325.3-40)+(0.81192+(0.663612-0.0816))+0-0-0</f>
        <v>684.6939319999999</v>
      </c>
      <c r="J46" s="3">
        <f>395+(294.1-39)+(0+(0-0))+0-0-0</f>
        <v>650.1</v>
      </c>
      <c r="K46" s="3">
        <f>395+(226.2-43)+(-0.60435+(-0.346086--0.06579))+0-0-0</f>
        <v>577.31535400000007</v>
      </c>
      <c r="L46" s="3">
        <f>343+(220.4-46)+(-0.34986+(-0.224808--0.04692))+0-0-0</f>
        <v>516.872252</v>
      </c>
      <c r="M46" s="3">
        <f>330+(230.5-42)+(-0.3366+(-0.23511--0.04284))+0-0-0</f>
        <v>517.97113000000002</v>
      </c>
      <c r="N46" s="3">
        <f>351+(233-40)+(-0.17901+(-0.11883--0.0204))+0-0-0</f>
        <v>543.72256000000004</v>
      </c>
      <c r="O46" s="3">
        <f>365+(245.7-37)+(0+(0-0))+0-0-0</f>
        <v>573.70000000000005</v>
      </c>
      <c r="P46" s="3">
        <f>363+(300-41)+(0+(0-0))+0-0-0</f>
        <v>622</v>
      </c>
      <c r="Q46" s="3">
        <f>361+(379.9-43)+(-0.55233+(-0.581247--0.06579))+0-0-0</f>
        <v>696.83221300000002</v>
      </c>
      <c r="R46" s="3">
        <f>358+(425.9-42)+(-0.18258+(-0.217209--0.02142))+0-0-0</f>
        <v>741.52163099999996</v>
      </c>
      <c r="S46" s="3">
        <f>359+(456.8-43)+(0+(0-0))+0-0-0</f>
        <v>772.8</v>
      </c>
      <c r="T46" s="3">
        <f>359+(468.6-42)+(-0.91545+(-1.19493--0.1071))+0-0-0</f>
        <v>783.59672</v>
      </c>
      <c r="U46" s="3">
        <f>381+(413.2-37)+(-0.58293+(-0.632196--0.05661))+0-0-0</f>
        <v>756.04148400000008</v>
      </c>
      <c r="V46" s="3">
        <f>442+(331.8-42)+(-1.1271+(-0.84609--0.1071))+0-0-0</f>
        <v>729.93390999999997</v>
      </c>
      <c r="W46" s="3">
        <f>451+(249-32)+(-0.46002+(-0.25398--0.03264))+0-0-0</f>
        <v>667.31863999999996</v>
      </c>
      <c r="X46" s="3">
        <f>409+(228-33)+(-0.62577+(-0.34884--0.05049))+0-0-0</f>
        <v>603.07587999999998</v>
      </c>
      <c r="Y46" s="3">
        <f>414+(319.9-38)+(-0.21114+(-0.163149--0.01938))+0-0-0</f>
        <v>695.54509099999996</v>
      </c>
      <c r="Z46" s="3">
        <f>456+(396.2-42)+(0+(0-0))+0-0-0</f>
        <v>810.2</v>
      </c>
      <c r="AA46" s="3">
        <f>463+(436.9-46)+(-0.94452+(-0.891276--0.09384))+0-0-0</f>
        <v>852.15804400000002</v>
      </c>
      <c r="AB46" s="3">
        <f>460+(456-41)+(-0.9384+(-0.93024--0.08364))+0-0-0</f>
        <v>873.21500000000003</v>
      </c>
      <c r="AC46" s="3">
        <f>461+(423.9-41)+(-0.70533+(-0.648567--0.06273))+0-0-0</f>
        <v>842.608833</v>
      </c>
      <c r="AD46" s="2">
        <v>652.20000000000005</v>
      </c>
      <c r="AE46" s="3">
        <f>466+(432.2-43)+(0+(0-0))+0-0-0</f>
        <v>855.2</v>
      </c>
    </row>
    <row r="47" spans="1:31" s="2" customFormat="1" x14ac:dyDescent="0.3">
      <c r="A47">
        <v>91</v>
      </c>
      <c r="B47">
        <v>2</v>
      </c>
      <c r="C47">
        <v>16</v>
      </c>
      <c r="D47">
        <v>1</v>
      </c>
      <c r="E47">
        <v>1</v>
      </c>
      <c r="F47" s="3">
        <f>432+(425-40)+(-0.22032+(-0.21675--0.0204))+0-0-0</f>
        <v>816.58333000000005</v>
      </c>
      <c r="G47" s="3">
        <f>408+(402.7-40)+(-0.62424+(-0.616131--0.0612))+0-0-0</f>
        <v>769.52082900000005</v>
      </c>
      <c r="H47" s="3">
        <f>408+(372.4-40)+(-0.41616+(-0.379848--0.0408))+0-0-0</f>
        <v>739.64479199999994</v>
      </c>
      <c r="I47" s="3">
        <f>408+(345.3-38)+(-1.0404+(-0.880515--0.0969))+0-0-0</f>
        <v>713.47598499999992</v>
      </c>
      <c r="J47" s="3">
        <f>397+(326.8-38)+(-1.01235+(-0.83334--0.0969))+0-0-0</f>
        <v>684.05120999999997</v>
      </c>
      <c r="K47" s="3">
        <f>400+(262-42)+(-0.612+(-0.40086--0.06426))+0-0-0</f>
        <v>619.05139999999994</v>
      </c>
      <c r="L47" s="3">
        <f>398+(198.7-46.9)+(-1.21788+(-0.608022--0.143514))+0-0-0</f>
        <v>548.11761200000001</v>
      </c>
      <c r="M47" s="3">
        <f>397+(214.1-44)+(-0.20247+(-0.109191--0.02244))+0-0-0</f>
        <v>566.81077900000003</v>
      </c>
      <c r="N47" s="3">
        <f>392+(239.4-39)+(0.9996+(0.61047-0.09945))+0-0-0</f>
        <v>593.91061999999999</v>
      </c>
      <c r="O47" s="3">
        <f>389+(282.7-37)+(-0.39678+(-0.288354--0.03774))+0-0-0</f>
        <v>634.05260600000008</v>
      </c>
      <c r="P47" s="3">
        <f>389+(333.9-37)+(-0.39678+(-0.340578--0.03774))+0-0-0</f>
        <v>685.20038199999999</v>
      </c>
      <c r="Q47" s="3">
        <f>404+(380.2-40)+(-0.82416+(-0.775608--0.0816))+0-0-0</f>
        <v>742.6818320000001</v>
      </c>
      <c r="R47" s="3">
        <f>393+(468-39)+(0.20043+(0.23868-0.01989))+0-0-0</f>
        <v>822.41922</v>
      </c>
      <c r="S47" s="3">
        <f>404+(487.1-36)+(-0.61812+(-0.745263--0.05508))+16.2-0-0</f>
        <v>869.99169700000004</v>
      </c>
      <c r="T47" s="3">
        <f>410+(480.9-37)+(0.2091+(0.245259-0.01887))+21-0-0</f>
        <v>875.33548899999994</v>
      </c>
      <c r="U47" s="3">
        <f>418+(445.2-38)+(0.21318+(0.227052-0.01938))+6.6-0-0</f>
        <v>832.22085200000004</v>
      </c>
      <c r="V47" s="3">
        <f>422+(404.9-40)+(-0.86088+(-0.825996--0.0816))+0-0-0</f>
        <v>785.29472399999997</v>
      </c>
      <c r="W47" s="3">
        <f>446+(328.4-40)+(-1.36476+(-1.004904--0.1224))+0-0-0</f>
        <v>732.152736</v>
      </c>
      <c r="X47" s="3">
        <f>446+(263.5-42)+(-1.59222+(-0.940695--0.14994))+0-0-0</f>
        <v>665.11702500000001</v>
      </c>
      <c r="Y47" s="3">
        <f>457+(340.3-50)+(-0.93228+(-0.694212--0.102))+0-0-0</f>
        <v>745.77550799999995</v>
      </c>
      <c r="Z47" s="3">
        <f>481+(433.2-50)+(-0.49062+(-0.441864--0.051))+0-0-0</f>
        <v>863.31851600000005</v>
      </c>
      <c r="AA47" s="3">
        <f>481+(473.8-50)+(-1.47186+(-1.449828--0.153))+0-0-0</f>
        <v>902.03131199999996</v>
      </c>
      <c r="AB47" s="3">
        <f>460+(484.1-48)+(-0.9384+(-0.987564--0.09792))+0-0-0</f>
        <v>894.27195600000005</v>
      </c>
      <c r="AC47" s="3">
        <f>457+(447.3-43)+(-0.46614+(-0.456246--0.04386))+0-0-0</f>
        <v>860.42147399999999</v>
      </c>
      <c r="AD47" s="2">
        <v>673.52320399999996</v>
      </c>
      <c r="AE47" s="3">
        <f>482+(472.3-51)+(0+(0-0))+0-0-0</f>
        <v>903.3</v>
      </c>
    </row>
    <row r="48" spans="1:31" s="2" customFormat="1" x14ac:dyDescent="0.3">
      <c r="A48">
        <v>91</v>
      </c>
      <c r="B48">
        <v>2</v>
      </c>
      <c r="C48">
        <v>17</v>
      </c>
      <c r="D48">
        <v>2</v>
      </c>
      <c r="E48">
        <v>1</v>
      </c>
      <c r="F48" s="3">
        <f>451+(375.5-43)+(-0.69003+(-0.574515--0.06579))+0-0-0</f>
        <v>782.30124499999999</v>
      </c>
      <c r="G48" s="3">
        <f>413+(371.5-43)+(-0.63189+(-0.568395--0.06579))+7.7-0-0</f>
        <v>748.06550500000003</v>
      </c>
      <c r="H48" s="3">
        <f>410+(337.8-42)+(0+(0-0))+0-0-0</f>
        <v>705.8</v>
      </c>
      <c r="I48" s="3">
        <f>411+(302-42)+(-0.41922+(-0.30804--0.04284))+0-0-0</f>
        <v>670.31557999999995</v>
      </c>
      <c r="J48" s="3">
        <f>406+(273.6-44)+(-0.62118+(-0.418608--0.06732))+0-0-0</f>
        <v>634.62753199999997</v>
      </c>
      <c r="K48" s="3">
        <f>395+(240.6-47)+(-1.00725+(-0.61353--0.11985))+0-0-0</f>
        <v>587.09906999999998</v>
      </c>
      <c r="L48" s="3">
        <f>331+(252.9-51)+(0+(0-0))+0-0-0</f>
        <v>532.9</v>
      </c>
      <c r="M48" s="3">
        <f>331+(262-46)+(-0.16881+(-0.13362--0.02346))+0-0-0</f>
        <v>546.72103000000004</v>
      </c>
      <c r="N48" s="3">
        <f>328+(274.7-45)+(0+(0-0))+0-0-0</f>
        <v>557.70000000000005</v>
      </c>
      <c r="O48" s="3">
        <f>355+(283.2-45)+(-0.18105+(-0.144432--0.02295))+0-0-0</f>
        <v>592.897468</v>
      </c>
      <c r="P48" s="3">
        <f>394+(286.3-45)+(-0.20094+(-0.146013--0.02295))+0-0-0</f>
        <v>634.97599700000001</v>
      </c>
      <c r="Q48" s="3">
        <f>384+(328.7-46)+(-0.19584+(-0.167637--0.02346))+0-0-0</f>
        <v>666.35998300000006</v>
      </c>
      <c r="R48" s="3">
        <f>392+(424.3-44)+(0+(0-0))+0-0-0</f>
        <v>772.3</v>
      </c>
      <c r="S48" s="3">
        <f>418+(431.3-43)+(-0.85272+(-0.879852--0.08772))+0-0-0</f>
        <v>804.65514799999994</v>
      </c>
      <c r="T48" s="3">
        <f>443+(420.4-43)+(-0.22593+(-0.214404--0.02193))+0-0-0</f>
        <v>819.98159599999997</v>
      </c>
      <c r="U48" s="3">
        <f>497+(343.7-42)+(-0.50694+(-0.350574--0.04284))+0-0-0</f>
        <v>797.88532600000008</v>
      </c>
      <c r="V48" s="3">
        <f>492+(308-42)+(-1.2546+(-0.7854--0.1071))+0-0-0</f>
        <v>756.06709999999998</v>
      </c>
      <c r="W48" s="3">
        <f>475+(255.9-51.1)+(-0.4845+(-0.261018--0.052122))+0-0-0</f>
        <v>679.10660399999995</v>
      </c>
      <c r="X48" s="3">
        <f>462+(223-45.3)+(-1.41372+(-0.68238--0.138618))+0-0-0</f>
        <v>637.74251800000002</v>
      </c>
      <c r="Y48" s="3">
        <f>436+(335.1-51)+(0+(0-0))+0-0-0</f>
        <v>720.1</v>
      </c>
      <c r="Z48" s="3">
        <f>469+(397.9-50)+(-0.47838+(-0.405858--0.051))+0-0-0</f>
        <v>816.06676199999993</v>
      </c>
      <c r="AA48" s="3">
        <f>473+(416.5-48)+(-1.20615+(-1.062075--0.1224))+0-0-0</f>
        <v>839.35417500000005</v>
      </c>
      <c r="AB48" s="3">
        <f>464+(419.3-46)+(-0.70992+(-0.641529--0.07038))+0-0-0</f>
        <v>836.01893099999995</v>
      </c>
      <c r="AC48" s="3">
        <f>473+(394.1-44)+(-0.96492+(-0.803964--0.08976))+0-0-0</f>
        <v>821.42087600000002</v>
      </c>
      <c r="AD48" s="2">
        <v>711</v>
      </c>
      <c r="AE48" s="3">
        <f>475+(476.1-50)+(0+(0-0))+0-0-0</f>
        <v>901.1</v>
      </c>
    </row>
    <row r="49" spans="1:31" s="2" customFormat="1" x14ac:dyDescent="0.3">
      <c r="A49">
        <v>91</v>
      </c>
      <c r="B49">
        <v>2</v>
      </c>
      <c r="C49">
        <v>18</v>
      </c>
      <c r="D49">
        <v>3</v>
      </c>
      <c r="E49">
        <v>1</v>
      </c>
      <c r="F49" s="3">
        <f>471+(358.8-44)+(-1.68147+(-1.280916--0.15708))+0-0-0</f>
        <v>782.99469399999998</v>
      </c>
      <c r="G49" s="3">
        <f>469+(305.3-42)+(-1.67433+(-1.089921--0.14994))+0-0-0</f>
        <v>729.68568899999991</v>
      </c>
      <c r="H49" s="3">
        <f>430+(314.4-42)+(-0.4386+(-0.320688--0.04284))+0-0-0</f>
        <v>701.68355199999996</v>
      </c>
      <c r="I49" s="3">
        <f>344+(387.5-44)+(-0.17544+(-0.197625--0.02244))+0-0-0</f>
        <v>687.14937499999996</v>
      </c>
      <c r="J49" s="3">
        <f>344+(364.6-44)+(-0.17544+(-0.185946--0.02244))+0-0-0</f>
        <v>664.26105400000006</v>
      </c>
      <c r="K49" s="3">
        <f>344+(301.9-45)+(-0.70176+(-0.615876--0.0918))+0-0-0</f>
        <v>599.67416400000002</v>
      </c>
      <c r="L49" s="3">
        <f>342+(246.6-50)+(-0.69768+(-0.503064--0.102))+0-0-0</f>
        <v>537.50125600000001</v>
      </c>
      <c r="M49" s="3">
        <f>341+(247.8-49)+(0.86955+(0.63189-0.12495))+0-0-0</f>
        <v>541.17648999999994</v>
      </c>
      <c r="N49" s="3">
        <f>364+(253.8-40)+(0.18564+(0.129438-0.0204))+0.4-0-0</f>
        <v>578.49467799999991</v>
      </c>
      <c r="O49" s="3">
        <f>393+(248.1-44)+(-0.20043+(-0.126531--0.02244))+4-0-0</f>
        <v>600.795479</v>
      </c>
      <c r="P49" s="3">
        <f>391+(294.2-45)+(-0.19941+(-0.150042--0.02295))+0-0-0</f>
        <v>639.87349800000004</v>
      </c>
      <c r="Q49" s="3">
        <f>420+(297.1-44)+(-0.2142+(-0.151521--0.02244))+0-0-0</f>
        <v>672.75671899999998</v>
      </c>
      <c r="R49" s="3">
        <f>435+(369-43)+(-1.3311+(-1.12914--0.13158))+0-0-0</f>
        <v>758.67133999999999</v>
      </c>
      <c r="S49" s="3">
        <f>450+(386.3-42)+(-0.6885+(-0.591039--0.06426))+0-0-0</f>
        <v>793.08472099999994</v>
      </c>
      <c r="T49" s="3">
        <f>451+(396.2-44)+(0.23001+(0.202062-0.02244))+0-0-0</f>
        <v>803.60963200000003</v>
      </c>
      <c r="U49" s="3">
        <f>453+(346.6-44)+(-1.15515+(-0.88383--0.1122))+0-0-0</f>
        <v>753.67322000000001</v>
      </c>
      <c r="V49" s="3">
        <f>455+(298.4-46)+(-1.16025+(-0.76092--0.1173))+0-0-0</f>
        <v>705.59613000000002</v>
      </c>
      <c r="W49" s="3">
        <f>482+(251.7-57.2)+(-1.2291+(-0.641835--0.14586))+0-0-0</f>
        <v>674.77492500000005</v>
      </c>
      <c r="X49" s="3">
        <f>483+(200.2-59.1)+(-0.49266+(-0.204204--0.060282))+0-0-0</f>
        <v>623.46341800000005</v>
      </c>
      <c r="Y49" s="3">
        <f>484+(274.7-49)+(-0.24684+(-0.140097--0.02499))+0-0-0</f>
        <v>709.33805300000006</v>
      </c>
      <c r="Z49" s="3">
        <f>484+(356.9-49)+(-0.74052+(-0.546057--0.07497))+0-0-0</f>
        <v>790.68839300000002</v>
      </c>
      <c r="AA49" s="3">
        <f>484+(402.3-53)+(-1.2342+(-1.025865--0.13515))+0-0-0</f>
        <v>831.17508499999997</v>
      </c>
      <c r="AB49" s="3">
        <f>484+(404.9-46)+(-0.74052+(-0.619497--0.07038))+0-0-0</f>
        <v>841.61036300000001</v>
      </c>
      <c r="AC49" s="3">
        <f>483+(377.9-42)+(-0.73899+(-0.578187--0.06426))+0-0-0</f>
        <v>817.64708299999995</v>
      </c>
      <c r="AD49" s="2">
        <v>718.29526999999996</v>
      </c>
      <c r="AE49" s="3">
        <f>481+(407.7-52)+(0+(0-0))+0-0-0</f>
        <v>836.7</v>
      </c>
    </row>
    <row r="50" spans="1:31" s="2" customFormat="1" x14ac:dyDescent="0.3">
      <c r="A50">
        <v>91</v>
      </c>
      <c r="B50">
        <v>2</v>
      </c>
      <c r="C50">
        <v>19</v>
      </c>
      <c r="D50">
        <v>4</v>
      </c>
      <c r="E50">
        <v>1</v>
      </c>
      <c r="F50" s="3">
        <f>451+(310.3-45)+(-1.15005+(-0.791265--0.11475))+25.1-0-0</f>
        <v>739.57343500000002</v>
      </c>
      <c r="G50" s="3">
        <f>423+(372.3-44)+(-0.64719+(-0.569619--0.06732))+0-0-0</f>
        <v>750.15051099999994</v>
      </c>
      <c r="H50" s="3">
        <f>404+(368.8-44)+(-1.0302+(-0.94044--0.1122))+0-0-0</f>
        <v>726.94155999999998</v>
      </c>
      <c r="I50" s="3">
        <f>404+(341.1-45)+(-0.82416+(-0.695844--0.0918))+0-0-0</f>
        <v>698.67179599999997</v>
      </c>
      <c r="J50" s="3">
        <f>404+(323-44)+(-0.61812+(-0.49419--0.06732))+0-0-0</f>
        <v>681.95501000000002</v>
      </c>
      <c r="K50" s="3">
        <f>404+(271-48)+(-0.41208+(-0.27642--0.04896))+0-0-0</f>
        <v>626.36045999999999</v>
      </c>
      <c r="L50" s="3">
        <f>397+(233.2-51)+(-0.80988+(-0.475728--0.10404))+0-0-0</f>
        <v>578.01843200000008</v>
      </c>
      <c r="M50" s="3">
        <f>406+(238.7-47)+(0.41412+(0.243474-0.04794))+0-0-0</f>
        <v>598.30965400000002</v>
      </c>
      <c r="N50" s="3">
        <f>374+(313.7-46)+(-0.38148+(-0.319974--0.04692))+0-0-0</f>
        <v>641.04546600000003</v>
      </c>
      <c r="O50" s="3">
        <f>415+(277.3-47)+(0+(0-0))+0-0-0</f>
        <v>645.29999999999995</v>
      </c>
      <c r="P50" s="3">
        <f>413+(333.4-44)+(0+(0-0))+0-0-0</f>
        <v>702.4</v>
      </c>
      <c r="Q50" s="3">
        <f>413+(376.9-45)+(0+(0-0))+0-0-0</f>
        <v>744.9</v>
      </c>
      <c r="R50" s="3">
        <f>419+(474-46)+(0+(0-0))+0-0-0</f>
        <v>847</v>
      </c>
      <c r="S50" s="3">
        <f>429+(497.3-45)+(-1.09395+(-1.268115--0.11475))+0-0-0</f>
        <v>879.052685</v>
      </c>
      <c r="T50" s="3">
        <f>452+(471-43)+(-1.1526+(-1.20105--0.10965))+0-0-0</f>
        <v>877.75599999999997</v>
      </c>
      <c r="U50" s="3">
        <f>461+(430.4-48)+(-0.70533+(-0.658512--0.07344))+0-0-0</f>
        <v>842.10959800000001</v>
      </c>
      <c r="V50" s="3">
        <f>487+(274.4-42.5)+(-0.99348+(-0.559776--0.0867))+0-0-0</f>
        <v>717.43344400000001</v>
      </c>
      <c r="W50" s="3">
        <f>502+(206.6-55.2)+(-1.2801+(-0.52683--0.14076))+0-0-0</f>
        <v>651.73383000000001</v>
      </c>
      <c r="X50" s="3">
        <f>515+(165.8-65.6)+(-1.31325+(-0.42279--0.16728))+5.1-0-0</f>
        <v>618.73124000000007</v>
      </c>
      <c r="Y50" s="3">
        <f>513+(225.8-54)+(-0.52326+(-0.230316--0.05508))+0-0-0</f>
        <v>684.10150399999998</v>
      </c>
      <c r="Z50" s="3">
        <f>514+(333.8-51)+(-0.78642+(-0.510714--0.07803))+0-0-0</f>
        <v>795.58089599999994</v>
      </c>
      <c r="AA50" s="3">
        <f>512+(372.8-54)+(-1.56672+(-1.140768--0.16524))+0-0-0</f>
        <v>828.25775199999998</v>
      </c>
      <c r="AB50" s="3">
        <f>514+(353.7-45)+(-0.26214+(-0.180387--0.02295))+0-0-0</f>
        <v>822.28042300000004</v>
      </c>
      <c r="AC50" s="3">
        <f>512+(349.9-44)+(-0.78336+(-0.535347--0.06732))+0-0-0</f>
        <v>816.64861299999995</v>
      </c>
      <c r="AD50" s="2">
        <v>777.85931200000005</v>
      </c>
      <c r="AE50" s="3">
        <f>514+(350.9-52)+(0+(0-0))+0-0-0</f>
        <v>812.9</v>
      </c>
    </row>
    <row r="51" spans="1:31" s="2" customFormat="1" x14ac:dyDescent="0.3">
      <c r="A51">
        <v>91</v>
      </c>
      <c r="B51">
        <v>2</v>
      </c>
      <c r="C51">
        <v>20</v>
      </c>
      <c r="D51">
        <v>5</v>
      </c>
      <c r="E51">
        <v>1</v>
      </c>
      <c r="F51" s="3">
        <f>488+(321.8-46)+(-1.2444+(-0.82059--0.1173))+0-0-0</f>
        <v>761.85230999999999</v>
      </c>
      <c r="G51" s="3">
        <f>447+(382.5-46)+(-1.13985+(-0.975375--0.1173))+0-0-0</f>
        <v>781.50207499999999</v>
      </c>
      <c r="H51" s="3">
        <f>425+(378.6-45)+(-0.867+(-0.772344--0.0918))+0-0-0</f>
        <v>757.05245600000001</v>
      </c>
      <c r="I51" s="3">
        <f>426+(326-44)+(-0.21726+(-0.16626--0.02244))+0-0-0</f>
        <v>707.63891999999998</v>
      </c>
      <c r="J51" s="3">
        <f>427+(307.2-43)+(0.65331+(0.470016-0.06579))+0-0-0</f>
        <v>692.25753600000007</v>
      </c>
      <c r="K51" s="3">
        <f>383+(305.8-48)+(-0.58599+(-0.467874--0.07344))+0-0-0</f>
        <v>639.81957599999998</v>
      </c>
      <c r="L51" s="3">
        <f>344+(302.4-51)+(-0.17544+(-0.154224--0.02601))+0-0-0</f>
        <v>595.09634599999993</v>
      </c>
      <c r="M51" s="3">
        <f>321+(325.2-49)+(-0.65484+(-0.663408--0.09996))+0-0-0</f>
        <v>595.98171200000002</v>
      </c>
      <c r="N51" s="3">
        <f>392+(271.9-47)+(-0.59976+(-0.416007--0.07191))+0-0-0</f>
        <v>615.956143</v>
      </c>
      <c r="O51" s="3">
        <f>435+(263.3-42)+(-0.4437+(-0.268566--0.04284))+0-0-0</f>
        <v>655.63057399999991</v>
      </c>
      <c r="P51" s="3">
        <f>480+(237.1-46.8)+(-0.4896+(-0.241842--0.047736))+0-0-0</f>
        <v>669.61629399999993</v>
      </c>
      <c r="Q51" s="3">
        <f>514+(261.1-43.7)+(-0.52428+(-0.266322--0.044574))+0-0-0</f>
        <v>730.65397200000007</v>
      </c>
      <c r="R51" s="3">
        <f>499+(410.4-44)+(-0.25449+(-0.209304--0.02244))+0-0-0</f>
        <v>864.95864599999993</v>
      </c>
      <c r="S51" s="3">
        <f>503+(369.6-45)+(-1.02612+(-0.753984--0.0918))+0-0-0</f>
        <v>825.91169600000001</v>
      </c>
      <c r="T51" s="3">
        <f>554+(360.6-48)+(-1.13016+(-0.735624--0.09792))+0-0-0</f>
        <v>864.83213599999999</v>
      </c>
      <c r="U51" s="3">
        <f>572+(306.6-45)+(0+(0-0))+0-0-0</f>
        <v>833.6</v>
      </c>
      <c r="V51" s="3">
        <f>582+(235.2-58.5)+(-1.18728+(-0.479808--0.11934))+0-0-0</f>
        <v>757.15225200000009</v>
      </c>
      <c r="W51" s="3">
        <f>596+(172.2-66.1)+(-1.82376+(-0.526932--0.202266))+0-0-0</f>
        <v>699.95157400000005</v>
      </c>
      <c r="X51" s="3">
        <f>582+(167.2-68.1)+(-1.78092+(-0.511632--0.208386))+0-0-0</f>
        <v>679.01583400000004</v>
      </c>
      <c r="Y51" s="3">
        <f>520+(146.2-36.6)+(-1.8564+(-0.521934--0.130662))+3.3-0-0</f>
        <v>630.65232800000001</v>
      </c>
      <c r="Z51" s="3">
        <f>515+(301.6-0)+(-0.26265+(-0.153816-0))+10-0-0</f>
        <v>826.18353400000001</v>
      </c>
      <c r="AA51" s="3">
        <f>555+(307.1-0)+(-1.6983+(-0.939726-0))+0-0-0</f>
        <v>859.46197400000005</v>
      </c>
      <c r="AB51" s="3">
        <f>545+(302.6-1)+(-0.83385+(-0.462978--0.00153))+0-0-0</f>
        <v>845.30470200000002</v>
      </c>
      <c r="AC51" s="3">
        <f>546+(285.4-3)+(-1.11384+(-0.582216--0.00612))+0-0-0</f>
        <v>826.71006399999999</v>
      </c>
      <c r="AD51" s="2">
        <v>648.66900999999996</v>
      </c>
      <c r="AE51" s="3">
        <f>558+(292-2)+(0+(0-0))+0-0-0</f>
        <v>848</v>
      </c>
    </row>
    <row r="52" spans="1:31" s="2" customFormat="1" x14ac:dyDescent="0.3">
      <c r="A52">
        <v>91</v>
      </c>
      <c r="B52">
        <v>2</v>
      </c>
      <c r="C52">
        <v>21</v>
      </c>
      <c r="D52">
        <v>6</v>
      </c>
      <c r="E52">
        <v>1</v>
      </c>
      <c r="F52" s="3">
        <f>531+(282.8-0)+(-1.35405+(-0.72114-0))+0-0-0</f>
        <v>811.72480999999993</v>
      </c>
      <c r="G52" s="3">
        <f>466+(298.4-0)+(-0.95064+(-0.608736-0))+0-0-0</f>
        <v>762.84062399999993</v>
      </c>
      <c r="H52" s="3">
        <f>464+(270.5-0)+(-0.70992+(-0.413865-0))+0-0-0</f>
        <v>733.376215</v>
      </c>
      <c r="I52" s="3">
        <f>467+(246.2-0)+(1.19085+(0.62781-0))+0-0-0</f>
        <v>715.01866000000007</v>
      </c>
      <c r="J52" s="3">
        <f>465+(224.6-0)+(-0.71145+(-0.343638-0))+0-0-0</f>
        <v>688.54491200000007</v>
      </c>
      <c r="K52" s="3">
        <f>465+(170.9-7.7)+(-0.23715+(-0.087159--0.003927))+0-0-0</f>
        <v>627.87961800000005</v>
      </c>
      <c r="L52" s="3">
        <f>432+(137.5-11.7)+(-0.44064+(-0.14025--0.011934))+0-0-0</f>
        <v>557.231044</v>
      </c>
      <c r="M52" s="3">
        <f>424+(155.5-8.2)+(0.21624+(0.079305-0.004182))+0-0-0</f>
        <v>571.591363</v>
      </c>
      <c r="N52" s="3">
        <f>434+(174.5-6)+(0+(0-0))+0-0-0</f>
        <v>602.5</v>
      </c>
      <c r="O52" s="3">
        <f>473+(170.3-17.3)+(-0.48246+(-0.173706--0.017646))+0-0-0</f>
        <v>625.36148000000003</v>
      </c>
      <c r="P52" s="3">
        <f>473+(202-8)+(0.24123+(0.10302-0.00408))+0-0-0</f>
        <v>667.34016999999994</v>
      </c>
      <c r="Q52" s="3">
        <f>481+(243-3)+(-0.24531+(-0.12393--0.00153))+0-0-0</f>
        <v>720.63229000000001</v>
      </c>
      <c r="R52" s="3">
        <f>489+(301-8)+(0.49878+(0.30702-0.00816))+0-0-0</f>
        <v>782.79764</v>
      </c>
      <c r="S52" s="3">
        <f>487+(355.6-7)+(-0.99348+(-0.725424--0.01428))+0-0-0</f>
        <v>833.89537600000006</v>
      </c>
      <c r="T52" s="3">
        <f>488+(355.6-6)+(0.24888+(0.181356-0.00306))+0-0-0</f>
        <v>838.02717600000005</v>
      </c>
      <c r="U52" s="3">
        <f>488+(312.2-20)+(-0.49776+(-0.318444--0.0204))+0-0-0</f>
        <v>779.40419600000007</v>
      </c>
      <c r="V52" s="3">
        <f>499+(244-46.8)+(-1.01796+(-0.49776--0.095472))+15.7-0-0</f>
        <v>710.47975200000008</v>
      </c>
      <c r="W52" s="3">
        <f>502+(182.4-61.4)+(0.25602+(0.093024-0.031314))+0.5-0-0</f>
        <v>623.81772999999998</v>
      </c>
      <c r="X52" s="3">
        <f>499+(156.8-67.4)+(-1.78143+(-0.559776--0.240618))+0-0-0</f>
        <v>586.29941199999996</v>
      </c>
      <c r="Y52" s="3">
        <f>516+(226.3-50.3)+(-0.78948+(-0.346239--0.076959))+0-0-0</f>
        <v>690.94123999999999</v>
      </c>
      <c r="Z52" s="3">
        <f>536+(312.2-38)+(-0.54672+(-0.318444--0.03876))+0-0-0</f>
        <v>809.37359600000002</v>
      </c>
      <c r="AA52" s="3">
        <f>549+(320.5-44)+(-1.67994+(-0.98073--0.13464))+0-0-0</f>
        <v>822.97397000000001</v>
      </c>
      <c r="AB52" s="3">
        <f>542+(334.2-37)+(0+(0-0))+0-0-0</f>
        <v>839.2</v>
      </c>
      <c r="AC52" s="3">
        <f>542+(315.5-36)+(-0.27642+(-0.160905--0.01836))+0-0-0</f>
        <v>821.08103500000004</v>
      </c>
      <c r="AD52" s="2">
        <v>684.2</v>
      </c>
      <c r="AE52" s="3">
        <f>533+(336.1-43)+(0+(0-0))+0-0-0</f>
        <v>826.1</v>
      </c>
    </row>
    <row r="53" spans="1:31" s="2" customFormat="1" x14ac:dyDescent="0.3">
      <c r="A53">
        <v>91</v>
      </c>
      <c r="B53">
        <v>2</v>
      </c>
      <c r="C53">
        <v>22</v>
      </c>
      <c r="D53">
        <v>7</v>
      </c>
      <c r="E53">
        <v>1</v>
      </c>
      <c r="F53" s="3">
        <f>534+(295.5-39)+(-1.3617+(-0.753525--0.09945))+0-0-0</f>
        <v>788.48422500000004</v>
      </c>
      <c r="G53" s="3">
        <f>495+(309.1-39)+(-0.25245+(-0.157641--0.01989))+0-0-0</f>
        <v>764.70979899999998</v>
      </c>
      <c r="H53" s="3">
        <f>474+(298.7-37)+(-0.72522+(-0.457011--0.05661))+0-0-0</f>
        <v>734.57437900000002</v>
      </c>
      <c r="I53" s="3">
        <f>473+(277.1-36)+(-0.96492+(-0.565284--0.07344))+0-0-0</f>
        <v>712.643236</v>
      </c>
      <c r="J53" s="3">
        <f>474+(245.8-40.5)+(0+(0-0))+0-0-0</f>
        <v>679.3</v>
      </c>
      <c r="K53" s="3">
        <f>432+(234-38.9)+(-0.88128+(-0.47736--0.079356))+0-0-0</f>
        <v>625.82071600000006</v>
      </c>
      <c r="L53" s="3">
        <f>422+(197.5-43.2)+(-0.86088+(-0.4029--0.088128))+0-0-0</f>
        <v>575.12434799999994</v>
      </c>
      <c r="M53" s="3">
        <f>351+(252.3-33)+(0+(0-0))+0-0-0</f>
        <v>570.29999999999995</v>
      </c>
      <c r="N53" s="3">
        <f>334+(282.3-33)+(-0.34068+(-0.287946--0.03366))+0-0-0</f>
        <v>582.70503399999996</v>
      </c>
      <c r="O53" s="3">
        <f>342+(295.2-33)+(0+(0-0))+0-0-0</f>
        <v>604.20000000000005</v>
      </c>
      <c r="P53" s="3">
        <f>404+(257.3-30)+(0+(0-0))+0-0-0</f>
        <v>631.29999999999995</v>
      </c>
      <c r="Q53" s="3">
        <f>404+(304.4-27)+(-0.20604+(-0.155244--0.01377))+0-0-0</f>
        <v>681.05248599999993</v>
      </c>
      <c r="R53" s="3">
        <f>399+(377.3-34)+(-0.20349+(-0.192423--0.01734))+0-0-0</f>
        <v>741.92142699999999</v>
      </c>
      <c r="S53" s="3">
        <f>452+(386.2-44)+(-0.46104+(-0.393924--0.04488))+0-0-0</f>
        <v>793.38991600000008</v>
      </c>
      <c r="T53" s="3">
        <f>459+(373.5-45)+(-0.70227+(-0.571455--0.06885))+0-0-0</f>
        <v>786.29512499999998</v>
      </c>
      <c r="U53" s="3">
        <f>460+(357.6-45)+(-0.4692+(-0.364752--0.0459))+0-0-0</f>
        <v>771.81194800000003</v>
      </c>
      <c r="V53" s="3">
        <f>462+(304-38)+(0.23562+(0.15504-0.01938))+0-0-0</f>
        <v>728.37127999999996</v>
      </c>
      <c r="W53" s="3">
        <f>473+(237.7-48.1)+(-0.24123+(-0.121227--0.024531))+0-0-0</f>
        <v>662.26207399999998</v>
      </c>
      <c r="X53" s="3">
        <f>471+(192.6-59)+(-1.20105+(-0.49113--0.15045))+0-0-0</f>
        <v>603.05826999999999</v>
      </c>
      <c r="Y53" s="3">
        <f>471+(261.3-46)+(-0.72063+(-0.399789--0.07038))+0-0-0</f>
        <v>685.24996099999998</v>
      </c>
      <c r="Z53" s="3">
        <f>471+(388.6-48)+(-0.72063+(-0.594558--0.07344))+0-0-0</f>
        <v>810.35825199999999</v>
      </c>
      <c r="AA53" s="3">
        <f>472+(428.5-50)+(-0.72216+(-0.655605--0.0765))+0-0-0</f>
        <v>849.19873500000006</v>
      </c>
      <c r="AB53" s="3">
        <f>473+(441.7-45)+(0.48246+(0.450534-0.0459))+0-0-0</f>
        <v>870.58709400000009</v>
      </c>
      <c r="AC53" s="3">
        <f>472+(407.2-42)+(-0.48144+(-0.415344--0.04284))+0-0-0</f>
        <v>836.34605600000009</v>
      </c>
      <c r="AD53" s="2">
        <v>655.53067600000008</v>
      </c>
      <c r="AE53" s="3">
        <f>473+(427.5-51)+(0+(0-0))+0-0-0</f>
        <v>849.5</v>
      </c>
    </row>
    <row r="54" spans="1:31" s="2" customFormat="1" x14ac:dyDescent="0.3">
      <c r="A54">
        <v>91</v>
      </c>
      <c r="B54">
        <v>2</v>
      </c>
      <c r="C54">
        <v>23</v>
      </c>
      <c r="D54">
        <v>1</v>
      </c>
      <c r="E54">
        <v>1</v>
      </c>
      <c r="F54" s="3">
        <f>461+(400.2-44)+(-0.23511+(-0.204102--0.02244))+0-0-0</f>
        <v>816.78322800000001</v>
      </c>
      <c r="G54" s="3">
        <f>459+(359.6-44)+(-1.17045+(-0.91698--0.1122))+0-0-0</f>
        <v>772.62477000000001</v>
      </c>
      <c r="H54" s="3">
        <f>463+(325.8-43)+(0+(0-0))+0-0-0</f>
        <v>745.8</v>
      </c>
      <c r="I54" s="3">
        <f>461+(306.3-43)+(-0.70533+(-0.468639--0.06579))+0-0-0</f>
        <v>723.191821</v>
      </c>
      <c r="J54" s="3">
        <f>462+(265.4-45)+(0.70686+(0.406062-0.06885))+0-0-0</f>
        <v>683.44407200000001</v>
      </c>
      <c r="K54" s="3">
        <f>461+(208.1-56.3)+(-0.47022+(-0.212262--0.057426))+0-0-0</f>
        <v>612.17494399999998</v>
      </c>
      <c r="L54" s="3">
        <f>351+(267.8-46)+(-0.53703+(-0.409734--0.07038))+0-0-0</f>
        <v>571.92361599999992</v>
      </c>
      <c r="M54" s="3">
        <f>331+(313.6-46)+(0.16881+(0.159936-0.02346))+0-0-0</f>
        <v>598.90528600000005</v>
      </c>
      <c r="N54" s="3">
        <f>334+(315.2-46)+(0.68136+(0.643008-0.09384))+0-0-0</f>
        <v>604.43052800000009</v>
      </c>
      <c r="O54" s="3">
        <f>369+(289.9-40)+(-0.18819+(-0.147849--0.0204))+0-0-0</f>
        <v>618.58436099999994</v>
      </c>
      <c r="P54" s="3">
        <f>480+(204-48.5)+(0+(0-0))+0-0-0</f>
        <v>635.5</v>
      </c>
      <c r="Q54" s="3">
        <f>480+(270-41)+(-0.4896+(-0.2754--0.04182))+0-0-0</f>
        <v>708.27682000000004</v>
      </c>
      <c r="R54" s="3">
        <f>484+(341-41)+(-0.24684+(-0.17391--0.02091))+0-0-0</f>
        <v>783.60015999999996</v>
      </c>
      <c r="S54" s="3">
        <f>489+(385.4-43)+(-0.49878+(-0.393108--0.04386))+0-0-0</f>
        <v>830.55197199999998</v>
      </c>
      <c r="T54" s="3">
        <f>491+(397.9-42)+(-0.25041+(-0.202929--0.02142))+0-0-0</f>
        <v>846.46808099999998</v>
      </c>
      <c r="U54" s="3">
        <f>495+(359.7-46)+(-0.75735+(-0.550341--0.07038))+0-0-0</f>
        <v>807.46268900000007</v>
      </c>
      <c r="V54" s="3">
        <f>523+(290.2-45)+(0+(0-0))+0-0-0</f>
        <v>768.2</v>
      </c>
      <c r="W54" s="3">
        <f>524+(218.1-45.6)+(-0.80172+(-0.333693--0.069768))+0-0-0</f>
        <v>695.43435499999998</v>
      </c>
      <c r="X54" s="3">
        <f>527+(162.6-65.9)+(-1.34385+(-0.41463--0.168045))+0-0-0</f>
        <v>622.10956500000009</v>
      </c>
      <c r="Y54" s="3">
        <f>537+(228.9-49.2)+(-0.82161+(-0.350217--0.075276))+0-0-0</f>
        <v>715.60344900000007</v>
      </c>
      <c r="Z54" s="3">
        <f>543+(327.8-52)+(-0.27693+(-0.167178--0.02652))+0-0-0</f>
        <v>818.38241199999993</v>
      </c>
      <c r="AA54" s="3">
        <f>540+(377.2-52)+(-1.1016+(-0.769488--0.10608))+0-0-0</f>
        <v>863.43499200000008</v>
      </c>
      <c r="AB54" s="3">
        <f>546+(381.7-46)+(-0.27846+(-0.194667--0.02346))+0-0-0</f>
        <v>881.25033300000007</v>
      </c>
      <c r="AC54" s="3">
        <f>547+(347.2-45)+(0.27897+(0.177072-0.02295))+0-0-0</f>
        <v>849.63309200000003</v>
      </c>
      <c r="AD54" s="2">
        <v>621.44772799999998</v>
      </c>
      <c r="AE54" s="3">
        <f>545+(384.4-49)+(0+(0-0))+0-0-0</f>
        <v>880.4</v>
      </c>
    </row>
    <row r="55" spans="1:31" s="2" customFormat="1" x14ac:dyDescent="0.3">
      <c r="A55">
        <v>91</v>
      </c>
      <c r="B55">
        <v>2</v>
      </c>
      <c r="C55">
        <v>24</v>
      </c>
      <c r="D55">
        <v>2</v>
      </c>
      <c r="E55">
        <v>1</v>
      </c>
      <c r="F55" s="3">
        <f>500+(362.6-49)+(-0.51+(-0.369852--0.04998))+0-0-0</f>
        <v>812.770128</v>
      </c>
      <c r="G55" s="3">
        <f>484+(338.8-43)+(-1.2342+(-0.86394--0.10965))+0-0-0</f>
        <v>777.81151</v>
      </c>
      <c r="H55" s="3">
        <f>486+(302.7-42)+(-0.74358+(-0.463131--0.06426))+0-0-0</f>
        <v>745.55754899999999</v>
      </c>
      <c r="I55" s="3">
        <f>487+(267.3-42)+(-0.49674+(-0.272646--0.04284))+0-0-0</f>
        <v>711.57345399999997</v>
      </c>
      <c r="J55" s="3">
        <f>485+(234.1-45)+(-0.4947+(-0.238782--0.0459))+0-0-0</f>
        <v>673.412418</v>
      </c>
      <c r="K55" s="3">
        <f>481+(181.3-59.2)+(-1.22655+(-0.462315--0.15096))+0-0-0</f>
        <v>601.562095</v>
      </c>
      <c r="L55" s="3">
        <f>487+(137.7-72.8)+(-0.99348+(-0.280908--0.148512))+0-0-0</f>
        <v>550.77412400000003</v>
      </c>
      <c r="M55" s="3">
        <f>489+(146.3-72)+(0.74817+(0.223839-0.11016))+0-0-0</f>
        <v>564.16184899999996</v>
      </c>
      <c r="N55" s="3">
        <f>486+(158.5-61.6)+(0.49572+(0.16167-0.062832))+0-0-0</f>
        <v>583.49455799999998</v>
      </c>
      <c r="O55" s="3">
        <f>484+(185.3-56.7)+(0+(0-0))+0-0-0</f>
        <v>612.6</v>
      </c>
      <c r="P55" s="3">
        <f>485+(226.4-47.1)+(0+(0-0))+0-0-0</f>
        <v>664.3</v>
      </c>
      <c r="Q55" s="3">
        <f>483+(275.5-33)+(0+(0-0))+0-0-0</f>
        <v>725.5</v>
      </c>
      <c r="R55" s="3">
        <f>467+(385.5-36)+(-0.23817+(-0.196605--0.01836))+0-0-0</f>
        <v>816.08358499999997</v>
      </c>
      <c r="S55" s="3">
        <f>466+(438.2-49)+(-0.47532+(-0.446964--0.04998))+0-0-0</f>
        <v>854.32769600000006</v>
      </c>
      <c r="T55" s="3">
        <f>469+(454.5-40)+(0+(0-0))+0-0-0</f>
        <v>883.5</v>
      </c>
      <c r="U55" s="3">
        <f>475+(408.6-51)+(-0.969+(-0.833544--0.10404))+0-0-0</f>
        <v>830.90149600000007</v>
      </c>
      <c r="V55" s="3">
        <f>479+(329.9-47)+(-1.22145+(-0.841245--0.11985))+0-0-0</f>
        <v>759.95715499999994</v>
      </c>
      <c r="W55" s="3">
        <f>506+(236.2-46.2)+(-1.80642+(-0.843234--0.164934))+0-0-0</f>
        <v>693.51527999999996</v>
      </c>
      <c r="X55" s="3">
        <f>506+(180.9-52.9)+(-1.80642+(-0.645813--0.188853))+0-0-0</f>
        <v>631.73662000000002</v>
      </c>
      <c r="Y55" s="3">
        <f>522+(258.5-47)+(-0.26622+(-0.131835--0.02397))+0-0-0</f>
        <v>733.12591499999996</v>
      </c>
      <c r="Z55" s="3">
        <f>533+(367.2-50)+(0.27183+(0.187272-0.0255))+0-0-0</f>
        <v>850.633602</v>
      </c>
      <c r="AA55" s="3">
        <f>532+(423.6-53)+(-1.62792+(-1.296216--0.16218))+0-0-0</f>
        <v>899.83804399999997</v>
      </c>
      <c r="AB55" s="3">
        <f>508+(436.5-50)+(-1.2954+(-1.113075--0.1275))+0-0-0</f>
        <v>892.21902499999999</v>
      </c>
      <c r="AC55" s="3">
        <f>508+(403.1-42)+(-1.2954+(-1.027905--0.1071))+0-0-0</f>
        <v>866.88379500000008</v>
      </c>
      <c r="AD55" s="2">
        <v>635.95066800000006</v>
      </c>
      <c r="AE55" s="3">
        <f>531+(425.5-52)+(0+(0-0))+0-0-0</f>
        <v>904.5</v>
      </c>
    </row>
    <row r="56" spans="1:31" s="2" customFormat="1" x14ac:dyDescent="0.3">
      <c r="A56">
        <v>91</v>
      </c>
      <c r="B56">
        <v>2</v>
      </c>
      <c r="C56">
        <v>25</v>
      </c>
      <c r="D56">
        <v>3</v>
      </c>
      <c r="E56">
        <v>1</v>
      </c>
      <c r="F56" s="3">
        <f>507+(377.1-44)+(-0.51714+(-0.384642--0.04488))+0-0-0</f>
        <v>839.24309800000003</v>
      </c>
      <c r="G56" s="3">
        <f>508+(327.5-43)+(-0.25908+(-0.167025--0.02193))+0-0-0</f>
        <v>792.09582499999999</v>
      </c>
      <c r="H56" s="3">
        <f>506+(293.4-43)+(-1.03224+(-0.598536--0.08772))+0-0-0</f>
        <v>754.856944</v>
      </c>
      <c r="I56" s="3">
        <f>506+(257.6-44)+(-0.77418+(-0.394128--0.06732))+0-0-0</f>
        <v>718.49901199999999</v>
      </c>
      <c r="J56" s="3">
        <f>507+(224.8-42)+(0+(0-0))+0-0-0</f>
        <v>689.8</v>
      </c>
      <c r="K56" s="3">
        <f>505+(164.4-60.7)+(-1.0302+(-0.335376--0.123828))+0-0-0</f>
        <v>607.45825200000002</v>
      </c>
      <c r="L56" s="3">
        <f>505+(123.4-68.1)+(-0.25755+(-0.062934--0.034731))+0-0-0</f>
        <v>560.01424699999995</v>
      </c>
      <c r="M56" s="3">
        <f>508+(136.6-67.1)+(-0.25908+(-0.069666--0.034221))+0-0-0</f>
        <v>577.20547499999998</v>
      </c>
      <c r="N56" s="3">
        <f>508+(148.7-63.2)+(0.25908+(0.075837-0.032232))+0-0-0</f>
        <v>593.802685</v>
      </c>
      <c r="O56" s="3">
        <f>508+(185.3-56.4)+(0.25908+(0.094503-0.028764))+0-0-0</f>
        <v>637.22481900000002</v>
      </c>
      <c r="P56" s="3">
        <f>507+(227.6-42)+(-0.51714+(-0.232152--0.04284))+0-0-0</f>
        <v>691.89354800000001</v>
      </c>
      <c r="Q56" s="3">
        <f>508+(285.9-40)+(0+(0-0))+0-0-0</f>
        <v>753.9</v>
      </c>
      <c r="R56" s="3">
        <f>504+(373.3-43)+(0+(0-0))+0-0-0</f>
        <v>834.3</v>
      </c>
      <c r="S56" s="3">
        <f>500+(459-44)+(-0.765+(-0.70227--0.06732))+0-0-0</f>
        <v>913.60005000000001</v>
      </c>
      <c r="T56" s="3">
        <f>521+(422.9-44)+(-1.32855+(-1.078395--0.1122))+0-0-0</f>
        <v>897.60525499999994</v>
      </c>
      <c r="U56" s="3">
        <f>533+(375.4-47)+(-1.35915+(-0.95727--0.11985))+0-0-0</f>
        <v>859.20343000000003</v>
      </c>
      <c r="V56" s="3">
        <f>546+(303.3-42)+(-1.11384+(-0.618732--0.08568))+0-0-0</f>
        <v>805.65310799999997</v>
      </c>
      <c r="W56" s="3">
        <f>552+(223.3-51.6)+(-0.56304+(-0.227766--0.052632))+0-0-0</f>
        <v>722.96182600000009</v>
      </c>
      <c r="X56" s="3">
        <f>547+(164.2-57.8)+(-1.39485+(-0.41871--0.14739))+0-0-0</f>
        <v>651.73383000000001</v>
      </c>
      <c r="Y56" s="3">
        <f>547+(240.5-51.9)+(0.27897+(0.122655-0.026469))+0-0-0</f>
        <v>735.97515599999997</v>
      </c>
      <c r="Z56" s="3">
        <f>556+(360.4-51)+(0+(0-0))+0-0-0</f>
        <v>865.4</v>
      </c>
      <c r="AA56" s="3">
        <f>552+(403-46)+(-1.68912+(-1.23318--0.14076))+0-0-0</f>
        <v>906.21846000000005</v>
      </c>
      <c r="AB56" s="3">
        <f>540+(411.2-48)+(-0.8262+(-0.629136--0.07344))+0-0-0</f>
        <v>901.81810400000006</v>
      </c>
      <c r="AC56" s="3">
        <f>542+(373.6-44)+(-0.82926+(-0.571608--0.06732))+0-0-0</f>
        <v>870.26645200000007</v>
      </c>
      <c r="AD56" s="2">
        <v>639.55092500000001</v>
      </c>
      <c r="AE56" s="3">
        <f>554+(401.9-51)+(0+(0-0))+0-0-0</f>
        <v>904.9</v>
      </c>
    </row>
    <row r="57" spans="1:31" s="2" customFormat="1" x14ac:dyDescent="0.3">
      <c r="A57">
        <v>91</v>
      </c>
      <c r="B57">
        <v>2</v>
      </c>
      <c r="C57">
        <v>26</v>
      </c>
      <c r="D57">
        <v>4</v>
      </c>
      <c r="E57">
        <v>1</v>
      </c>
      <c r="F57" s="3">
        <f>465+(400.7-44)+(-0.4743+(-0.408714--0.04488))+0-0-0</f>
        <v>820.86186600000008</v>
      </c>
      <c r="G57" s="3">
        <f>436+(380.5-43)+(-0.66708+(-0.582165--0.06579))+0-0-0</f>
        <v>772.31654500000002</v>
      </c>
      <c r="H57" s="3">
        <f>437+(337.4-43)+(-0.22287+(-0.172074--0.02193))+0-0-0</f>
        <v>731.02698599999997</v>
      </c>
      <c r="I57" s="3">
        <f>419+(328.3-44)+(0.21369+(0.167433-0.02244))+0-0-0</f>
        <v>703.658683</v>
      </c>
      <c r="J57" s="3">
        <f>397+(316.6-42)+(0+(0-0))+0-0-0</f>
        <v>671.6</v>
      </c>
      <c r="K57" s="3">
        <f>406+(221.6-50)+(-0.62118+(-0.339048--0.0765))+0-0-0</f>
        <v>576.716272</v>
      </c>
      <c r="L57" s="3">
        <f>434+(187.6-44.3)+(0+(0-0))+0-0-0</f>
        <v>577.29999999999995</v>
      </c>
      <c r="M57" s="3">
        <f>428+(209.4-48)+(0+(0-0))+0-0-0</f>
        <v>589.4</v>
      </c>
      <c r="N57" s="3">
        <f>426+(234-45)+(-0.43452+(-0.23868--0.0459))+0-0-0</f>
        <v>614.37270000000001</v>
      </c>
      <c r="O57" s="3">
        <f>427+(265.7-42)+(-0.21777+(-0.135507--0.02142))+0-0-0</f>
        <v>650.36814300000003</v>
      </c>
      <c r="P57" s="3">
        <f>427+(323.9-40)+(1.08885+(0.825945-0.102))+0-0-0</f>
        <v>712.71279500000003</v>
      </c>
      <c r="Q57" s="3">
        <f>433+(381.1-40)+(0.22083+(0.194361-0.0204))+0-0-0</f>
        <v>774.49479100000008</v>
      </c>
      <c r="R57" s="3">
        <f>451+(438.5-20)+(0.46002+(0.44727-0.0204))+0-0-0</f>
        <v>870.38688999999999</v>
      </c>
      <c r="S57" s="3">
        <f>468+(494.9-47)+(0+(0-0))+0-0-0</f>
        <v>915.9</v>
      </c>
      <c r="T57" s="3">
        <f>501+(441.2-44)+(0.51102+(0.450024-0.04488))+0-0-0</f>
        <v>899.11616400000003</v>
      </c>
      <c r="U57" s="3">
        <f>507+(392.6-50)+(0+(0-0))+0-0-0</f>
        <v>849.6</v>
      </c>
      <c r="V57" s="3">
        <f>506+(337-46)+(-1.2903+(-0.85935--0.1173))+0-0-0</f>
        <v>794.96765000000005</v>
      </c>
      <c r="W57" s="3">
        <f>546+(239.4-48)+(-0.83538+(-0.366282--0.07344))+0-0-0</f>
        <v>736.27177799999993</v>
      </c>
      <c r="X57" s="3">
        <f>545+(169.5-50.8)+(-1.94565+(-0.605115--0.181356))+0-0-0</f>
        <v>661.33059100000003</v>
      </c>
      <c r="Y57" s="3">
        <f>486+(325.6-45)+(-0.24786+(-0.166056--0.02295))+0-0-0</f>
        <v>766.20903399999997</v>
      </c>
      <c r="Z57" s="3">
        <f>530+(408.8-50)+(-0.5406+(-0.416976--0.051))+0-0-0</f>
        <v>887.89342399999998</v>
      </c>
      <c r="AA57" s="3">
        <f>546+(435.6-48)+(-1.11384+(-0.888624--0.09792))+0-0-0</f>
        <v>931.69545600000004</v>
      </c>
      <c r="AB57" s="3">
        <f>543+(455.2-47)+(-1.66158+(-1.392912--0.14382))+0-0-0</f>
        <v>948.28932800000007</v>
      </c>
      <c r="AC57" s="3">
        <f>541+(417.6-47)+(-1.10364+(-0.851904--0.09588))+0-0-0</f>
        <v>909.74033600000007</v>
      </c>
      <c r="AD57" s="2">
        <v>666.95967699999994</v>
      </c>
      <c r="AE57" s="3">
        <f>540+(438.8-44)+(0+(0-0))+0-0-0</f>
        <v>934.8</v>
      </c>
    </row>
    <row r="58" spans="1:31" s="2" customFormat="1" x14ac:dyDescent="0.3">
      <c r="A58">
        <v>91</v>
      </c>
      <c r="B58">
        <v>2</v>
      </c>
      <c r="C58">
        <v>27</v>
      </c>
      <c r="D58">
        <v>5</v>
      </c>
      <c r="E58">
        <v>1</v>
      </c>
      <c r="F58" s="3">
        <f>521+(345.1-40)+(-0.26571+(-0.176001--0.0204))+0-0-0</f>
        <v>825.67868900000008</v>
      </c>
      <c r="G58" s="3">
        <f>476+(340.3-41)+(-1.2138+(-0.867765--0.10455))+0-0-0</f>
        <v>773.3229849999999</v>
      </c>
      <c r="H58" s="3">
        <f>474+(316.7-42)+(-0.96696+(-0.646068--0.08568))+0-0-0</f>
        <v>747.17265200000008</v>
      </c>
      <c r="I58" s="3">
        <f>473+(297.3-42)+(-0.72369+(-0.454869--0.06426))+0-0-0</f>
        <v>727.18570099999999</v>
      </c>
      <c r="J58" s="3">
        <f>472+(272.3-42)+(-1.2036+(-0.694365--0.1071))+0-0-0</f>
        <v>700.5091349999999</v>
      </c>
      <c r="K58" s="3">
        <f>469+(201.6-46)+(-1.19595+(-0.51408--0.1173))+0-0-0</f>
        <v>623.00727000000006</v>
      </c>
      <c r="L58" s="3">
        <f>405+(198.9-44)+(0.20655+(0.101439-0.02244))+0-0-0</f>
        <v>560.18554899999992</v>
      </c>
      <c r="M58" s="3">
        <f>397+(225-41)+(0.60741+(0.34425-0.06273))+0-0-0</f>
        <v>581.88892999999996</v>
      </c>
      <c r="N58" s="3">
        <f>397+(256-43)+(0.40494+(0.26112-0.04386))+0-0-0</f>
        <v>610.62220000000002</v>
      </c>
      <c r="O58" s="3">
        <f>423+(258.4-46)+(-0.64719+(-0.395352--0.07038))+0-0-0</f>
        <v>634.42783799999995</v>
      </c>
      <c r="P58" s="3">
        <f>456+(262-36)+(-0.69768+(-0.40086--0.05508))+0-0-0</f>
        <v>680.95654000000002</v>
      </c>
      <c r="Q58" s="3">
        <f>462+(296.3-34)+(-0.70686+(-0.453339--0.05202))+0-0-0</f>
        <v>723.191821</v>
      </c>
      <c r="R58" s="3">
        <f>476+(372.3-40)+(0+(0-0))+0-0-0</f>
        <v>808.3</v>
      </c>
      <c r="S58" s="3">
        <f>498+(393.1-44)+(0.50796+(0.400962-0.04488))+0-0-0</f>
        <v>847.96404200000006</v>
      </c>
      <c r="T58" s="3">
        <f>519+(383.6-45)+(-0.79407+(-0.586908--0.06885))+0-0-0</f>
        <v>856.28787199999999</v>
      </c>
      <c r="U58" s="3">
        <f>522+(342.4-45)+(0.53244+(0.349248-0.0459))+0-0-0</f>
        <v>820.23578799999996</v>
      </c>
      <c r="V58" s="3">
        <f>556+(285.3-44)+(-0.28356+(-0.145503--0.02244))+0-0-0</f>
        <v>796.89337699999999</v>
      </c>
      <c r="W58" s="3">
        <f>559+(211-44)+(-1.42545+(-0.53805--0.1122))+0-0-0</f>
        <v>724.14869999999996</v>
      </c>
      <c r="X58" s="3">
        <f>553+(141.5-44.6)+(-1.41015+(-0.360825--0.11373))+0-0-0</f>
        <v>648.24275499999999</v>
      </c>
      <c r="Y58" s="3">
        <f>552+(214-46)+(-0.56304+(-0.21828--0.04692))+0-0-0</f>
        <v>719.26559999999995</v>
      </c>
      <c r="Z58" s="3">
        <f>562+(313.1-42)+(0+(0-0))+0-0-0</f>
        <v>833.1</v>
      </c>
      <c r="AA58" s="3">
        <f>562+(363.8-45)+(-1.4331+(-0.92769--0.11475))+0-0-0</f>
        <v>878.55395999999996</v>
      </c>
      <c r="AB58" s="3">
        <f>557+(380.5-48)+(-1.42035+(-0.970275--0.1224))+0-0-0</f>
        <v>887.23177499999997</v>
      </c>
      <c r="AC58" s="3">
        <f>545+(373.4-48)+(-0.27795+(-0.190434--0.02448))+0-0-0</f>
        <v>869.956096</v>
      </c>
      <c r="AD58" s="2">
        <v>677.05452600000001</v>
      </c>
      <c r="AE58" s="3">
        <f>567+(317.7-41)+(0+(0-0))+0-0-0</f>
        <v>843.7</v>
      </c>
    </row>
    <row r="59" spans="1:31" s="2" customFormat="1" x14ac:dyDescent="0.3">
      <c r="A59">
        <v>91</v>
      </c>
      <c r="B59">
        <v>2</v>
      </c>
      <c r="C59">
        <v>28</v>
      </c>
      <c r="D59">
        <v>6</v>
      </c>
      <c r="E59">
        <v>1</v>
      </c>
      <c r="F59" s="3">
        <f>514+(349.8-46)+(-1.83498+(-1.248786--0.16422))+0-0-0</f>
        <v>814.88045399999999</v>
      </c>
      <c r="G59" s="3">
        <f>478+(347.3-44)+(-0.24378+(-0.177123--0.02244))+0-0-0</f>
        <v>780.90153699999996</v>
      </c>
      <c r="H59" s="3">
        <f>454+(339.4-44)+(0+(0-0))+0-0-0</f>
        <v>749.4</v>
      </c>
      <c r="I59" s="3">
        <f>454+(306.6-44)+(-0.69462+(-0.469098--0.06732))+0-0-0</f>
        <v>715.503602</v>
      </c>
      <c r="J59" s="3">
        <f>452+(291.2-43)+(-1.1526+(-0.74256--0.10965))+0-0-0</f>
        <v>698.41449</v>
      </c>
      <c r="K59" s="3">
        <f>452+(209-44)+(-0.92208+(-0.42636--0.08976))+0-0-0</f>
        <v>615.74131999999997</v>
      </c>
      <c r="L59" s="3">
        <f>456+(143.6-48)+(-0.69768+(-0.219708--0.07344))+0-0-0</f>
        <v>550.75605200000007</v>
      </c>
      <c r="M59" s="3">
        <f>456+(147-0)+(0+(0-0))+0-0-0</f>
        <v>603</v>
      </c>
      <c r="N59" s="3">
        <f>451+(166.6-40)+(0.23001+(0.084966-0.0204))+0-0-0</f>
        <v>577.89457600000003</v>
      </c>
      <c r="O59" s="3">
        <f>451+(185-38)+(-0.23001+(-0.09435--0.01938))+0-0-0</f>
        <v>597.69502</v>
      </c>
      <c r="P59" s="3">
        <f>451+(263.9-38)+(0+(0-0))+0-0-0</f>
        <v>676.9</v>
      </c>
      <c r="Q59" s="3">
        <f>451+(303.4-40)+(-0.23001+(-0.154734--0.0204))+0-0-0</f>
        <v>714.03565600000002</v>
      </c>
      <c r="R59" s="3">
        <f>441+(389.9-0)+(0.44982+(0.397698-0))+0-0-0</f>
        <v>831.74751800000001</v>
      </c>
      <c r="S59" s="3">
        <f>450+(430.3-0)+(-0.6885+(-0.658359-0))+0-0-0</f>
        <v>878.95314099999996</v>
      </c>
      <c r="T59" s="3">
        <f>468+(414-0)+(0.23868+(0.21114-0))+0-0-0</f>
        <v>882.44982000000005</v>
      </c>
      <c r="U59" s="3">
        <f>472+(381.7-0)+(-1.44432+(-1.168002-0))+0-0-0</f>
        <v>851.0876780000001</v>
      </c>
      <c r="V59" s="3">
        <f>499+(335.3-0)+(-1.01796+(-0.684012-0))+0-0-0</f>
        <v>832.598028</v>
      </c>
      <c r="W59" s="3">
        <f>493+(263.4-0)+(-1.25715+(-0.67167-0))+0-0-0</f>
        <v>754.47118</v>
      </c>
      <c r="X59" s="3">
        <f>488+(182.4-40)+(-1.49328+(-0.558144--0.1224))+0-0-0</f>
        <v>628.47097599999995</v>
      </c>
      <c r="Y59" s="3">
        <f>488+(223.4-40)+(0.49776+(0.227868-0.0408))+16.2-0-0</f>
        <v>688.28482800000006</v>
      </c>
      <c r="Z59" s="3">
        <f>494+(358.1-43)+(-0.25194+(-0.182631--0.02193))+0-0-0</f>
        <v>808.68735900000001</v>
      </c>
      <c r="AA59" s="3">
        <f>508+(373.2-46)+(-1.2954+(-0.95166--0.1173))+0-0-0</f>
        <v>833.07024000000001</v>
      </c>
      <c r="AB59" s="3">
        <f>626+(273.1-41)+(-0.95778+(-0.417843--0.06273))+0-0-0</f>
        <v>856.78710699999999</v>
      </c>
      <c r="AC59" s="3">
        <f>640+(245.3-46.4)+(-0.6528+(-0.250206--0.047328))+0-0-0</f>
        <v>838.04432199999997</v>
      </c>
      <c r="AD59" s="2">
        <v>691.46725599999991</v>
      </c>
      <c r="AE59" s="3">
        <f>514+(449.3-44)+(0+(0-0))+0-0-0</f>
        <v>919.3</v>
      </c>
    </row>
    <row r="60" spans="1:31" s="2" customFormat="1" x14ac:dyDescent="0.3">
      <c r="A60">
        <v>91</v>
      </c>
      <c r="B60">
        <v>2</v>
      </c>
      <c r="C60">
        <v>29</v>
      </c>
      <c r="D60">
        <v>7</v>
      </c>
      <c r="E60">
        <v>1</v>
      </c>
      <c r="F60" s="3">
        <f>606+(249.7-47.7)+(-0.61812+(-0.254694--0.048654))+0-0-0</f>
        <v>807.17583999999999</v>
      </c>
      <c r="G60" s="3">
        <f>604+(219.9-49.2)+(0.61608+(0.224298-0.050184))+0-0-0</f>
        <v>775.49019400000009</v>
      </c>
      <c r="H60" s="3">
        <f>605+(202.6-54.1)+(-0.30855+(-0.103326--0.027591))+0-0-0</f>
        <v>753.11571500000002</v>
      </c>
      <c r="I60" s="3">
        <f>603+(173.4-60.1)+(0+(0-0))+0-0-0</f>
        <v>716.3</v>
      </c>
      <c r="J60" s="3">
        <f>602+(155.9-65.6)+(0+(0-0))+0-0-0</f>
        <v>692.3</v>
      </c>
      <c r="K60" s="3">
        <f>591+(113.9-85.5)+(-0.90423+(-0.174267--0.130815))+11.5-0-0</f>
        <v>629.95231799999999</v>
      </c>
      <c r="L60" s="3">
        <f>472+(121.9-27.1)+(-0.72216+(-0.186507--0.041463))+15-0-0</f>
        <v>580.93279599999994</v>
      </c>
      <c r="M60" s="3">
        <f>472+(108.3-20.6)+(-0.72216+(-0.165699--0.031518))+8.8-0-0</f>
        <v>567.64365899999996</v>
      </c>
      <c r="N60" s="3">
        <f>469+(124.8-13.3)+(0+(0-0))+0-0-0</f>
        <v>580.5</v>
      </c>
      <c r="O60" s="3">
        <f>469+(143.3-9.8)+(-0.23919+(-0.073083--0.004998))+0-0-0</f>
        <v>602.192725</v>
      </c>
      <c r="P60" s="3">
        <f>471+(176.4-3.5)+(0.48042+(0.179928-0.00357))+0-0-0</f>
        <v>644.55677800000001</v>
      </c>
      <c r="Q60" s="3">
        <f>492+(259.2-38)+(0.75276+(0.396576-0.05814))+0-0-0</f>
        <v>714.29119600000001</v>
      </c>
      <c r="R60" s="3">
        <f>477+(372.1-45)+(0+(0-0))+0-0-0</f>
        <v>804.1</v>
      </c>
      <c r="S60" s="3">
        <f>477+(443.3-46)+(-0.24327+(-0.226083--0.02346))+0-0-0</f>
        <v>873.854107</v>
      </c>
      <c r="T60" s="3">
        <f>478+(449.3-48)+(-0.48756+(-0.458286--0.04896))+0-0-0</f>
        <v>878.40311399999996</v>
      </c>
      <c r="U60" s="3">
        <f>486+(426.7-48)+(-0.49572+(-0.435234--0.04896))+0-0-0</f>
        <v>863.81800600000008</v>
      </c>
      <c r="V60" s="3">
        <f>495+(361.2-48)+(-1.0098+(-0.736848--0.09792))+0-0-0</f>
        <v>806.55127200000004</v>
      </c>
      <c r="W60" s="3">
        <f>504+(277.8-47)+(-1.02816+(-0.566712--0.09588))+0-0-0</f>
        <v>733.30100799999991</v>
      </c>
      <c r="X60" s="3">
        <f>476+(215.5-47)+(-0.72828+(-0.329715--0.07191))+0-0-0</f>
        <v>643.513915</v>
      </c>
      <c r="Y60" s="3">
        <f>520+(253.6-49)+(-0.2652+(-0.129336--0.02499))+0-0-0</f>
        <v>724.23045400000001</v>
      </c>
      <c r="Z60" s="3">
        <f>543+(391.7-52)+(0+(0-0))+0-0-0</f>
        <v>882.7</v>
      </c>
      <c r="AA60" s="3">
        <f>587+(355.5-50)+(-0.89811+(-0.543915--0.0765))+0-0-0</f>
        <v>891.13447499999995</v>
      </c>
      <c r="AB60" s="3">
        <f>564+(409.5-46)+(-1.15056+(-0.83538--0.09384))+0-0-0</f>
        <v>925.60789999999997</v>
      </c>
      <c r="AC60" s="3">
        <f>557+(375.6-48)+(-1.13628+(-0.766224--0.09792))+0-0-0</f>
        <v>882.79541600000005</v>
      </c>
      <c r="AD60" s="2">
        <v>701.44208199999991</v>
      </c>
      <c r="AE60" s="3">
        <f>588+(389-50)+(0+(0-0))+0-0-0</f>
        <v>927</v>
      </c>
    </row>
    <row r="61" spans="1:31" s="2" customFormat="1" x14ac:dyDescent="0.3">
      <c r="A61">
        <v>91</v>
      </c>
      <c r="B61">
        <v>2</v>
      </c>
      <c r="C61">
        <v>30</v>
      </c>
      <c r="D61">
        <v>1</v>
      </c>
      <c r="E61">
        <v>1</v>
      </c>
      <c r="F61" s="3">
        <f>550+(313.9-42)+(-0.2805+(-0.160089--0.02142))+0-0-0</f>
        <v>821.48083099999997</v>
      </c>
      <c r="G61" s="3">
        <f>552+(278.7-45)+(-1.4076+(-0.710685--0.11475))+0-0-0</f>
        <v>783.69646499999999</v>
      </c>
      <c r="H61" s="3">
        <f>569+(237.5-41)+(-1.16076+(-0.4845--0.08364))+0-0-0</f>
        <v>763.93838000000005</v>
      </c>
      <c r="I61" s="3">
        <f>572+(207.1-48.5)+(-1.16688+(-0.422484--0.09894))+0-0-0</f>
        <v>729.10957600000006</v>
      </c>
      <c r="J61" s="3">
        <f>519+(201.4-46)+(0.26469+(0.102714-0.02346))+0-0-0</f>
        <v>674.74394399999994</v>
      </c>
      <c r="K61" s="3">
        <f>436+(254.6-48)+(-0.88944+(-0.519384--0.09792))+0-0-0</f>
        <v>641.28909599999997</v>
      </c>
      <c r="L61" s="3">
        <f>439+(198.7-46)+(-0.22389+(-0.101337--0.02346))+0-0-0</f>
        <v>591.398233</v>
      </c>
      <c r="M61" s="3">
        <f>460+(176.8-46)+(0.4692+(0.180336-0.04692))+0-0-0</f>
        <v>591.40261599999997</v>
      </c>
      <c r="N61" s="3">
        <f>470+(191.5-45)+(0+(0-0))+0-0-0</f>
        <v>616.5</v>
      </c>
      <c r="O61" s="3">
        <f>482+(210.9-44)+(0.49164+(0.215118-0.04488))+0-0-0</f>
        <v>649.56187799999998</v>
      </c>
      <c r="P61" s="3">
        <f>488+(246.8-42)+(0+(0-0))+0-0-0</f>
        <v>692.8</v>
      </c>
      <c r="Q61" s="3">
        <f>498+(303.6-42)+(0+(0-0))+0-0-0</f>
        <v>759.6</v>
      </c>
      <c r="R61" s="3">
        <f>532+(354.8-48)+(-0.27132+(-0.180948--0.02448))+0-0-0</f>
        <v>838.37221199999999</v>
      </c>
      <c r="S61" s="3">
        <f>557+(357.5-46)+(-1.13628+(-0.7293--0.09384))+0-0-0</f>
        <v>866.72825999999998</v>
      </c>
      <c r="T61" s="3">
        <f>559+(348.8-43)+(0+(0-0))+0-0-0</f>
        <v>864.8</v>
      </c>
      <c r="U61" s="3">
        <f>555+(313.4-36)+(-1.1322+(-0.639336--0.07344))+0-0-0</f>
        <v>830.70190400000001</v>
      </c>
      <c r="V61" s="3">
        <f>540+(270.5-45.9)+(-1.377+(-0.689775--0.117045))+0-0-0</f>
        <v>762.65026999999998</v>
      </c>
      <c r="W61" s="3">
        <f>583+(209.6-54.6)+(-0.89199+(-0.320688--0.083538))+0-0-0</f>
        <v>736.87085999999999</v>
      </c>
      <c r="X61" s="3">
        <f>543+(164-48.8)+(-1.93851+(-0.58548--0.174216))+0-0-0</f>
        <v>655.85022600000002</v>
      </c>
      <c r="Y61" s="3">
        <f>470+(300.6-50)+(-1.1985+(-0.76653--0.1275))+0-0-0</f>
        <v>718.76247000000001</v>
      </c>
      <c r="Z61" s="3">
        <f>591+(315.6-48)+(-0.30141+(-0.160956--0.02448))+0-0-0</f>
        <v>858.16211399999997</v>
      </c>
      <c r="AA61" s="3">
        <f>608+(339.2-53)+(-1.5504+(-0.86496--0.13515))+0-0-0</f>
        <v>891.91979000000003</v>
      </c>
      <c r="AB61" s="3">
        <f>608+(343.2-45)+(-1.24032+(-0.700128--0.0918))+0-0-0</f>
        <v>904.35135200000002</v>
      </c>
      <c r="AC61" s="3">
        <f>601+(348.8-45)+(-1.22604+(-0.711552--0.0918))+0-0-0</f>
        <v>902.95420799999999</v>
      </c>
      <c r="AD61" s="2">
        <v>720.33244300000001</v>
      </c>
      <c r="AE61" s="3">
        <f>615+(364-52)+(0+(0-0))+0-0-0</f>
        <v>927</v>
      </c>
    </row>
    <row r="62" spans="1:31" s="2" customFormat="1" x14ac:dyDescent="0.3">
      <c r="A62">
        <v>91</v>
      </c>
      <c r="B62">
        <v>2</v>
      </c>
      <c r="C62">
        <v>31</v>
      </c>
      <c r="D62">
        <v>2</v>
      </c>
      <c r="E62">
        <v>1</v>
      </c>
      <c r="F62" s="3">
        <f>573+(369.1-46)+(-1.46115+(-0.941205--0.1173))+0-0-0</f>
        <v>893.81494500000008</v>
      </c>
      <c r="G62" s="3">
        <f>574+(319.2-48)+(-1.4637+(-0.81396--0.1224))+0-0-0</f>
        <v>843.04474000000005</v>
      </c>
      <c r="H62" s="3">
        <f>555+(287-48)+(-0.84915+(-0.43911--0.07344))+0-0-0</f>
        <v>792.78517999999997</v>
      </c>
      <c r="I62" s="3">
        <f>567+(249.8-49)+(-0.28917+(-0.127398--0.02499))+0-0-0</f>
        <v>767.40842199999997</v>
      </c>
      <c r="J62" s="3">
        <f>575+(217.5-53.9)+(-0.87975+(-0.332775--0.082467))+0-0-0</f>
        <v>737.46994200000006</v>
      </c>
      <c r="K62" s="3">
        <f>573+(151.7-65.6)+(-1.46115+(-0.386835--0.16728))+0-0-0</f>
        <v>657.41929500000003</v>
      </c>
      <c r="L62" s="3">
        <f>577+(94.1-81.1)+(-0.29427+(-0.047991--0.041361))+0-0-0</f>
        <v>589.69910000000004</v>
      </c>
      <c r="M62" s="3">
        <f>576+(104.6-85.1)+(-0.58752+(-0.106692--0.086802))+0-0-0</f>
        <v>594.89259000000004</v>
      </c>
      <c r="N62" s="3">
        <f>569+(126.7-72.1)+(0.29019+(0.064617-0.036771))+0-0-0</f>
        <v>623.91803600000003</v>
      </c>
      <c r="O62" s="3">
        <f>564+(157.7-66.7)+(-0.57528+(-0.160854--0.068034))+0-0-0</f>
        <v>654.33190000000002</v>
      </c>
      <c r="P62" s="3">
        <f>564+(190.8-58.8)+(0.86292+(0.291924-0.089964))+0-0-0</f>
        <v>697.06488000000002</v>
      </c>
      <c r="Q62" s="3">
        <f>567+(233.9-46.2)+(0.86751+(0.357867-0.070686))+0-0-0</f>
        <v>755.854691</v>
      </c>
      <c r="R62" s="3">
        <f>564+(346.4-47)+(0+(0-0))+0-0-0</f>
        <v>863.4</v>
      </c>
      <c r="S62" s="3">
        <f>564+(400.8-50)+(0+(0-0))+0-0-0</f>
        <v>914.8</v>
      </c>
      <c r="T62" s="3">
        <f>566+(407.6-42)+(-0.86598+(-0.623628--0.06426))+0-0-0</f>
        <v>930.17465200000004</v>
      </c>
      <c r="U62" s="3">
        <f>566+(396.8-44)+(-1.15464+(-0.809472--0.08976))+0-0-0</f>
        <v>916.92564799999991</v>
      </c>
      <c r="V62" s="3">
        <f>583+(309.3-47)+(-1.48665+(-0.788715--0.11985))+0-0-0</f>
        <v>843.14448499999992</v>
      </c>
      <c r="W62" s="3">
        <f>592+(208.7-52.6)+(-0.30192+(-0.106437--0.026826))+0-0-0</f>
        <v>747.71846900000003</v>
      </c>
      <c r="X62" s="3">
        <f>559+(149.4-52.4)+(-1.14036+(-0.304776--0.106896))+0-0-0</f>
        <v>654.66175999999996</v>
      </c>
      <c r="Y62" s="3">
        <f>513+(267.4-52)+(-0.26163+(-0.136374--0.02652))+0-0-0</f>
        <v>728.02851599999997</v>
      </c>
      <c r="Z62" s="3">
        <f>548+(374.3-54)+(0.27948+(0.190893-0.02754))+0-0-0</f>
        <v>868.74283299999991</v>
      </c>
      <c r="AA62" s="3">
        <f>589+(385.9-54)+(-1.20156+(-0.787236--0.11016))+0-0-0</f>
        <v>919.02136399999995</v>
      </c>
      <c r="AB62" s="3">
        <f>599+(377.6-50)+(-0.91647+(-0.577728--0.0765))+0-0-0</f>
        <v>925.18230200000005</v>
      </c>
      <c r="AC62" s="3">
        <f>598+(375.6-47)+(-1.21992+(-0.766224--0.09588))+0-0-0</f>
        <v>924.70973600000002</v>
      </c>
      <c r="AD62" s="2">
        <v>734.47453200000007</v>
      </c>
      <c r="AE62" s="3">
        <f>546+(409.4-54)+(0+(0-0))+0-0-0</f>
        <v>901.4</v>
      </c>
    </row>
    <row r="63" spans="1:31" s="2" customFormat="1" x14ac:dyDescent="0.3">
      <c r="A63">
        <v>91</v>
      </c>
      <c r="B63">
        <v>3</v>
      </c>
      <c r="C63">
        <v>1</v>
      </c>
      <c r="D63">
        <v>3</v>
      </c>
      <c r="E63">
        <v>1</v>
      </c>
      <c r="F63" s="3">
        <f>578+(305.3-48)+(-0.58956+(-0.311406--0.04896))+0-0-0</f>
        <v>834.44799399999999</v>
      </c>
      <c r="G63" s="3">
        <f>576+(278.4-47)+(-1.4688+(-0.70992--0.11985))+0-0-0</f>
        <v>805.34113000000002</v>
      </c>
      <c r="H63" s="3">
        <f>558+(268.4-46)+(-0.56916+(-0.273768--0.04692))+0-0-0</f>
        <v>779.60399199999995</v>
      </c>
      <c r="I63" s="3">
        <f>507+(294.2-47)+(-0.77571+(-0.450126--0.07191))+0-0-0</f>
        <v>753.04607400000009</v>
      </c>
      <c r="J63" s="3">
        <f>508+(265.9-49)+(0+(0-0))+0-0-0</f>
        <v>724.9</v>
      </c>
      <c r="K63" s="3">
        <f>507+(197.4-45)+(-0.77571+(-0.302022--0.06885))+0-0-0</f>
        <v>658.39111800000001</v>
      </c>
      <c r="L63" s="3">
        <f>504+(142.8-48.9)+(-0.51408+(-0.145656--0.049878))+0-0-0</f>
        <v>597.29014199999995</v>
      </c>
      <c r="M63" s="3">
        <f>505+(133.6-48.8)+(-0.77265+(-0.204408--0.074664))+0-0-0</f>
        <v>588.897606</v>
      </c>
      <c r="N63" s="3">
        <f>513+(145.6-41)+(-0.26163+(-0.074256--0.02091))+0-0-0</f>
        <v>617.28502400000002</v>
      </c>
      <c r="O63" s="3">
        <f>498+(188.8-46)+(0+(0-0))+0-0-0</f>
        <v>640.79999999999995</v>
      </c>
      <c r="P63" s="3">
        <f>518+(200.6-43)+(0+(0-0))+0-0-0</f>
        <v>675.6</v>
      </c>
      <c r="Q63" s="3">
        <f>550+(226.3-41)+(0.2805+(0.115413-0.02091))+0-0-0</f>
        <v>735.67500299999995</v>
      </c>
      <c r="R63" s="3">
        <f>553+(327.1-47)+(-0.28203+(-0.166821--0.02397))+0-0-0</f>
        <v>832.675119</v>
      </c>
      <c r="S63" s="3">
        <f>550+(380.9-48)+(-0.561+(-0.388518--0.04896))+0-0-0</f>
        <v>881.99944199999993</v>
      </c>
      <c r="T63" s="3">
        <f>555+(377.6-47)+(-0.28305+(-0.192576--0.02397))+0-0-0</f>
        <v>885.14834400000007</v>
      </c>
      <c r="U63" s="3">
        <f>558+(345.4-46)+(-0.56916+(-0.352308--0.04692))+0-0-0</f>
        <v>856.52545199999997</v>
      </c>
      <c r="V63" s="3">
        <f>561+(273.6-47)+(-1.71666+(-0.837216--0.14382))+0-0-0</f>
        <v>785.18994399999997</v>
      </c>
      <c r="W63" s="3">
        <f>569+(207.4-54.3)+(-0.87057+(-0.317322--0.083079))+0-0-0</f>
        <v>720.99518699999999</v>
      </c>
      <c r="X63" s="3">
        <f>568+(145.3-61)+(-2.02776+(-0.518721--0.21777))+0-0-0</f>
        <v>649.97128899999996</v>
      </c>
      <c r="Y63" s="3">
        <f>515+(250.1-46)+(-1.31325+(-0.637755--0.1173))+0-0-0</f>
        <v>717.26629500000001</v>
      </c>
      <c r="Z63" s="3">
        <f>544+(354.1-48)+(0.27744+(0.180591-0.02448))+0-0-0</f>
        <v>850.53355099999999</v>
      </c>
      <c r="AA63" s="3">
        <f>568+(357.7-46)+(-0.86904+(-0.547281--0.07038))+0-0-0</f>
        <v>878.35405900000001</v>
      </c>
      <c r="AB63" s="3">
        <f>565+(367.3-50)+(-1.1526+(-0.749292--0.102))+0-0-0</f>
        <v>880.50010799999995</v>
      </c>
      <c r="AC63" s="3">
        <f>565+(347-47)+(-0.5763+(-0.35394--0.04794))+0-0-0</f>
        <v>864.11770000000001</v>
      </c>
      <c r="AD63" s="2">
        <v>682.75161900000001</v>
      </c>
      <c r="AE63" s="3">
        <f>567+(419.5-48)+(0+(0-0))+0-0-0</f>
        <v>938.5</v>
      </c>
    </row>
    <row r="64" spans="1:31" s="2" customFormat="1" x14ac:dyDescent="0.3">
      <c r="A64">
        <v>91</v>
      </c>
      <c r="B64">
        <v>3</v>
      </c>
      <c r="C64">
        <v>2</v>
      </c>
      <c r="D64">
        <v>4</v>
      </c>
      <c r="E64">
        <v>1</v>
      </c>
      <c r="F64" s="3">
        <f>554+(355.7-46)+(-0.84762+(-0.544221--0.07038))+0-0-0</f>
        <v>862.37853900000005</v>
      </c>
      <c r="G64" s="3">
        <f>525+(348.4-46)+(-1.071+(-0.710736--0.09384))+0-0-0</f>
        <v>825.71210399999995</v>
      </c>
      <c r="H64" s="3">
        <f>519+(325.5-46)+(-1.32345+(-0.830025--0.1173))+0-0-0</f>
        <v>796.46382500000004</v>
      </c>
      <c r="I64" s="3">
        <f>520+(294.9-47)+(-0.7956+(-0.451197--0.07191))+0-0-0</f>
        <v>766.72511299999996</v>
      </c>
      <c r="J64" s="3">
        <f>517+(265.4-48)+(-0.79101+(-0.406062--0.07344))+0-0-0</f>
        <v>733.27636799999993</v>
      </c>
      <c r="K64" s="3">
        <f>515+(207.4-57.5)+(-1.5759+(-0.634644--0.17595))+0-0-0</f>
        <v>662.86540600000001</v>
      </c>
      <c r="L64" s="3">
        <f>392+(279.2-51)+(0.19992+(0.142392-0.02601))+0-0-0</f>
        <v>620.516302</v>
      </c>
      <c r="M64" s="3">
        <f>383+(298.4-47)+(-0.19533+(-0.152184--0.02397))+0-0-0</f>
        <v>634.07645600000001</v>
      </c>
      <c r="N64" s="3">
        <f>385+(315.8-42)+(0.19635+(0.161058-0.02142))+0-0-0</f>
        <v>659.135988</v>
      </c>
      <c r="O64" s="3">
        <f>432+(298.4-46)+(0+(0-0))+0-0-0</f>
        <v>684.4</v>
      </c>
      <c r="P64" s="3">
        <f>476+(300.8-41)+(0+(0-0))+0-0-0</f>
        <v>735.8</v>
      </c>
      <c r="Q64" s="3">
        <f>488+(363.2-44)+(0+(0-0))+0-0-0</f>
        <v>807.2</v>
      </c>
      <c r="R64" s="3">
        <f>548+(392.1-47)+(0+(0-0))+0-0-0</f>
        <v>893.1</v>
      </c>
      <c r="S64" s="3">
        <f>563+(415.9-48)+(-1.14852+(-0.848436--0.09792))+0-0-0</f>
        <v>929.00096399999995</v>
      </c>
      <c r="T64" s="3">
        <f>581+(392.9-49)+(-0.29631+(-0.200379--0.02499))+0-0-0</f>
        <v>924.42830100000003</v>
      </c>
      <c r="U64" s="3">
        <f>626+(300.7-46)+(-1.27704+(-0.613428--0.09384))+0-0-0</f>
        <v>878.90337199999999</v>
      </c>
      <c r="V64" s="3">
        <f>645+(225.4-58.1)+(-2.30265+(-0.804678--0.207417))+0-0-0</f>
        <v>809.40008899999998</v>
      </c>
      <c r="W64" s="3">
        <f>631+(166.1-64.6)+(-1.93086+(-0.508266--0.197676))+0-0-0</f>
        <v>730.25855000000001</v>
      </c>
      <c r="X64" s="3">
        <f>558+(164.3-62.9)+(-0.56916+(-0.167586--0.064158))+0-0-0</f>
        <v>658.72741199999996</v>
      </c>
      <c r="Y64" s="3">
        <f>549+(249.3-45)+(0+(0-0))+0-0-0</f>
        <v>753.3</v>
      </c>
      <c r="Z64" s="3">
        <f>540+(403.9-51)+(-0.5508+(-0.411978--0.05202))+0-0-0</f>
        <v>891.98924199999999</v>
      </c>
      <c r="AA64" s="3">
        <f>580+(428.9-50)+(-1.479+(-1.093695--0.1275))+0-0-0</f>
        <v>956.45480499999996</v>
      </c>
      <c r="AB64" s="3">
        <f>574+(414.8-49)+(-1.17096+(-0.846192--0.09996))+0-0-0</f>
        <v>937.88280799999995</v>
      </c>
      <c r="AC64" s="3">
        <f>575+(392-48)+(-2.05275+(-1.39944--0.17136))+0-0-0</f>
        <v>915.71916999999996</v>
      </c>
      <c r="AD64" s="2">
        <v>670.8</v>
      </c>
      <c r="AE64" s="3">
        <f>565+(442.8-52)+(0+(0-0))+0-0-0</f>
        <v>955.8</v>
      </c>
    </row>
    <row r="65" spans="1:31" s="2" customFormat="1" x14ac:dyDescent="0.3">
      <c r="A65">
        <v>91</v>
      </c>
      <c r="B65">
        <v>3</v>
      </c>
      <c r="C65">
        <v>3</v>
      </c>
      <c r="D65">
        <v>5</v>
      </c>
      <c r="E65">
        <v>1</v>
      </c>
      <c r="F65" s="3">
        <f>557+(376.4-44)+(-1.98849+(-1.343748--0.15708))+0-0-0</f>
        <v>886.22484199999997</v>
      </c>
      <c r="G65" s="3">
        <f>550+(346.7-45)+(-1.683+(-1.060902--0.1377))+0-0-0</f>
        <v>849.09379799999999</v>
      </c>
      <c r="H65" s="3">
        <f>549+(319.7-45)+(-1.11996+(-0.652188--0.0918))+0-0-0</f>
        <v>822.01965200000006</v>
      </c>
      <c r="I65" s="3">
        <f>550+(290.6-48)+(-1.122+(-0.592824--0.09792))+0-0-0</f>
        <v>790.98309600000005</v>
      </c>
      <c r="J65" s="3">
        <f>550+(263-53.4)+(-1.122+(-0.53652--0.108936))+0-0-0</f>
        <v>758.05041600000004</v>
      </c>
      <c r="K65" s="3">
        <f>526+(212.5-60.3)+(-0.80478+(-0.325125--0.092259))+0-0-0</f>
        <v>677.16235400000005</v>
      </c>
      <c r="L65" s="3">
        <f>386+(275.7-50)+(-0.78744+(-0.562428--0.102))+0-0-0</f>
        <v>610.45213200000001</v>
      </c>
      <c r="M65" s="3">
        <f>390+(287.9-47)+(0.1989+(0.146829-0.02397))+0-0-0</f>
        <v>631.22175900000002</v>
      </c>
      <c r="N65" s="3">
        <f>461+(236.9-49)+(-0.47022+(-0.241638--0.04998))+0-0-0</f>
        <v>648.23812199999998</v>
      </c>
      <c r="O65" s="3">
        <f>495+(236.6-46)+(-1.5147+(-0.723996--0.14076))+0-0-0</f>
        <v>683.50206400000002</v>
      </c>
      <c r="P65" s="3">
        <f>472+(303.8-48)+(0.24072+(0.154938-0.02448))+0-0-0</f>
        <v>728.17117799999994</v>
      </c>
      <c r="Q65" s="3">
        <f>472+(380.7-46)+(0+(0-0))+0-0-0</f>
        <v>806.7</v>
      </c>
      <c r="R65" s="3">
        <f>483+(472.4-42)+(0+(0-0))+0-0-0</f>
        <v>913.4</v>
      </c>
      <c r="S65" s="3">
        <f>519+(469.6-45)+(-1.32345+(-1.19748--0.11475))+0-0-0</f>
        <v>941.19382000000007</v>
      </c>
      <c r="T65" s="3">
        <f>531+(449.6-40)+(-0.27081+(-0.229296--0.0204))+0-0-0</f>
        <v>940.12029400000006</v>
      </c>
      <c r="U65" s="3">
        <f>532+(425.8-45)+(-1.08528+(-0.868632--0.0918))+0-0-0</f>
        <v>910.93788799999993</v>
      </c>
      <c r="V65" s="3">
        <f>532+(365.2-45)+(-0.54264+(-0.372504--0.0459))+0-0-0</f>
        <v>851.33075600000006</v>
      </c>
      <c r="W65" s="3">
        <f>532+(294.5-45)+(-0.54264+(-0.30039--0.0459))+0-0-0</f>
        <v>780.70286999999996</v>
      </c>
      <c r="X65" s="3">
        <f>473+(221.6-43)+(-0.24123+(-0.113016--0.02193))+0-0-0</f>
        <v>651.26768400000003</v>
      </c>
      <c r="Y65" s="3">
        <f>471+(343.4-53)+(-0.72063+(-0.525402--0.08109))+0-0-0</f>
        <v>760.23505799999998</v>
      </c>
      <c r="Z65" s="3">
        <f>510+(447.2-53)+(-0.5202+(-0.456144--0.05406))+0-0-0</f>
        <v>903.27771600000005</v>
      </c>
      <c r="AA65" s="3">
        <f>571+(426-55)+(-0.58242+(-0.43452--0.0561))+0-0-0</f>
        <v>941.03916000000004</v>
      </c>
      <c r="AB65" s="3">
        <f>571+(447.7-46)+(-1.45605+(-1.141635--0.1173))+0-0-0</f>
        <v>970.21961500000009</v>
      </c>
      <c r="AC65" s="3">
        <f>570+(429.1-46)+(0+(0-0))+0-0-0</f>
        <v>953.1</v>
      </c>
      <c r="AD65" s="2">
        <v>723.39151500000003</v>
      </c>
      <c r="AE65" s="3">
        <f>577+(426.1-54)+(0+(0-0))+0-0-0</f>
        <v>949.1</v>
      </c>
    </row>
    <row r="66" spans="1:31" s="2" customFormat="1" x14ac:dyDescent="0.3">
      <c r="A66">
        <v>91</v>
      </c>
      <c r="B66">
        <v>3</v>
      </c>
      <c r="C66">
        <v>4</v>
      </c>
      <c r="D66">
        <v>6</v>
      </c>
      <c r="E66">
        <v>1</v>
      </c>
      <c r="F66" s="3">
        <f>541+(412-46)+(-0.55182+(-0.42024--0.04692))+0-0-0</f>
        <v>906.07485999999994</v>
      </c>
      <c r="G66" s="3">
        <f>542+(358.5-46)+(-0.27642+(-0.182835--0.02346))+0-0-0</f>
        <v>854.06420500000002</v>
      </c>
      <c r="H66" s="3">
        <f>544+(327.3-46)+(0.83232+(0.500769-0.07038))+0-0-0</f>
        <v>826.56270899999993</v>
      </c>
      <c r="I66" s="3">
        <f>543+(292.8-48)+(0.27693+(0.149328-0.02448))+0-0-0</f>
        <v>788.20177799999999</v>
      </c>
      <c r="J66" s="3">
        <f>539+(274.1-48)+(-0.82467+(-0.419373--0.07344))+0-0-0</f>
        <v>763.92939699999999</v>
      </c>
      <c r="K66" s="3">
        <f>519+(230.3-54)+(-1.32345+(-0.587265--0.1377))+0-0-0</f>
        <v>693.52698499999997</v>
      </c>
      <c r="L66" s="3">
        <f>473+(250.3-50)+(-0.48246+(-0.255306--0.051))+0-0-0</f>
        <v>672.61323399999992</v>
      </c>
      <c r="M66" s="3">
        <f>472+(223.7-49)+(0.48144+(0.228174-0.04998))+0-0-0</f>
        <v>647.35963400000003</v>
      </c>
      <c r="N66" s="3">
        <f>472+(246.7-47)+(-0.48144+(-0.251634--0.04794))+0-0-0</f>
        <v>671.0148660000001</v>
      </c>
      <c r="O66" s="3">
        <f>472+(262-50)+(0.48144+(0.26724-0.051))+0-0-0</f>
        <v>684.69767999999999</v>
      </c>
      <c r="P66" s="3">
        <f>472+(297.7-47)+(0+(0-0))+0-0-0</f>
        <v>722.7</v>
      </c>
      <c r="Q66" s="3">
        <f>482+(347.3-44)+(0.24582+(0.177123-0.02244))+0-0-0</f>
        <v>785.70050299999991</v>
      </c>
      <c r="R66" s="3">
        <f>541+(358.2-45)+(-1.10364+(-0.730728--0.0918))+0-0-0</f>
        <v>852.45743200000004</v>
      </c>
      <c r="S66" s="3">
        <f>544+(385.4-42)+(-0.55488+(-0.393108--0.04284))+0-0-0</f>
        <v>886.49485199999992</v>
      </c>
      <c r="T66" s="3">
        <f>546+(427.7-42)+(-0.27846+(-0.218127--0.02142))+0-0-0</f>
        <v>931.22483299999999</v>
      </c>
      <c r="U66" s="3">
        <f>545+(376.3-43)+(-1.1118+(-0.767652--0.08772))+0-0-0</f>
        <v>876.50826799999993</v>
      </c>
      <c r="V66" s="3">
        <f>578+(298.1-43)+(-1.4739+(-0.760155--0.10965))+0-0-0</f>
        <v>830.975595</v>
      </c>
      <c r="W66" s="3">
        <f>580+(208.6-50.4)+(-1.1832+(-0.425544--0.102816))+0-0-0</f>
        <v>736.69407200000001</v>
      </c>
      <c r="X66" s="3">
        <f>550+(157.4-57.3)+(-1.4025+(-0.40137--0.146115))+0-0-0</f>
        <v>648.44224500000007</v>
      </c>
      <c r="Y66" s="3">
        <f>498+(281.6-49)+(-0.25398+(-0.143616--0.02499))+0-0-0</f>
        <v>730.227394</v>
      </c>
      <c r="Z66" s="3">
        <f>552+(354.9-53)+(-0.28152+(-0.180999--0.02703))+0-0-0</f>
        <v>853.46451100000002</v>
      </c>
      <c r="AA66" s="3">
        <f>567+(378.5-52)+(-1.44585+(-0.965175--0.1326))+0-0-0</f>
        <v>891.22157500000003</v>
      </c>
      <c r="AB66" s="3">
        <f>566+(410.1-51)+(-1.4433+(-1.045755--0.13005))+0-0-0</f>
        <v>922.740995</v>
      </c>
      <c r="AC66" s="3">
        <f>565+(379.7-49)+(-0.28815+(-0.193647--0.02499))+0-0-0</f>
        <v>895.24319300000002</v>
      </c>
      <c r="AD66" s="2">
        <v>732.10079200000007</v>
      </c>
      <c r="AE66" s="3">
        <f>570+(394.9-54)+(0+(0-0))+0-0-0</f>
        <v>910.9</v>
      </c>
    </row>
    <row r="67" spans="1:31" s="2" customFormat="1" x14ac:dyDescent="0.3">
      <c r="A67">
        <v>91</v>
      </c>
      <c r="B67">
        <v>3</v>
      </c>
      <c r="C67">
        <v>5</v>
      </c>
      <c r="D67">
        <v>7</v>
      </c>
      <c r="E67">
        <v>1</v>
      </c>
      <c r="F67" s="3">
        <f>537+(379.4-43)+(-0.27387+(-0.193494--0.02193))+0-0-0</f>
        <v>872.954566</v>
      </c>
      <c r="G67" s="3">
        <f>529+(349.7-44)+(-0.53958+(-0.356694--0.04488))+0-0-0</f>
        <v>833.84860600000002</v>
      </c>
      <c r="H67" s="3">
        <f>528+(312.5-45)+(-0.80784+(-0.478125--0.06885))+0-0-0</f>
        <v>794.28288499999996</v>
      </c>
      <c r="I67" s="3">
        <f>528+(277.5-44)+(-0.53856+(-0.28305--0.04488))+0-0-0</f>
        <v>760.72326999999996</v>
      </c>
      <c r="J67" s="3">
        <f>527+(244.5-47)+(0.80631+(0.374085-0.07191))+0-0-0</f>
        <v>725.60848499999997</v>
      </c>
      <c r="K67" s="3">
        <f>522+(184.8-56.2)+(-0.26622+(-0.094248--0.028662))+0-0-0</f>
        <v>650.26819399999999</v>
      </c>
      <c r="L67" s="3">
        <f>522+(138.7-74.9)+(0.26622+(0.070737-0.038199))+0-0-0</f>
        <v>586.09875799999998</v>
      </c>
      <c r="M67" s="3">
        <f>519+(132.6-72.9)+(-0.26469+(-0.067626--0.037179))+0-0-0</f>
        <v>578.40486300000009</v>
      </c>
      <c r="N67" s="3">
        <f>518+(154.8-69.6)+(-0.79254+(-0.236844--0.106488))+0-0-0</f>
        <v>602.27710400000001</v>
      </c>
      <c r="O67" s="3">
        <f>518+(174.8-72.2)+(-0.52836+(-0.178296--0.073644))+0-0-0</f>
        <v>619.96698800000001</v>
      </c>
      <c r="P67" s="3">
        <f>516+(203.7-58.8)+(-0.26316+(-0.103887--0.029988))+0-0-0</f>
        <v>660.56294100000002</v>
      </c>
      <c r="Q67" s="3">
        <f>506+(267.7-46)+(-0.51612+(-0.273054--0.04692))+0-0-0</f>
        <v>726.95774600000004</v>
      </c>
      <c r="R67" s="3">
        <f>508+(345.2-49)+(0.25908+(0.176052-0.02499))+0-0-0</f>
        <v>804.610142</v>
      </c>
      <c r="S67" s="3">
        <f>507+(410.2-47)+(-0.25857+(-0.209202--0.02397))+0-0-0</f>
        <v>869.75619800000004</v>
      </c>
      <c r="T67" s="3">
        <f>507+(410.3-46)+(-0.25857+(-0.209253--0.02346))+0-0-0</f>
        <v>870.855637</v>
      </c>
      <c r="U67" s="3">
        <f>509+(387.4-40)+(1.29795+(0.98787-0.102))+0-0-0</f>
        <v>858.58381999999995</v>
      </c>
      <c r="V67" s="3">
        <f>508+(325.3-42)+(-0.25908+(-0.165903--0.02142))+0-0-0</f>
        <v>790.89643699999999</v>
      </c>
      <c r="W67" s="3">
        <f>520+(252.7-52.2)+(-0.5304+(-0.257754--0.053244))+0-0-0</f>
        <v>719.76508999999999</v>
      </c>
      <c r="X67" s="3">
        <f>483+(192.8-49.1)+(-1.47798+(-0.589968--0.150246))+0-0-0</f>
        <v>624.78229800000008</v>
      </c>
      <c r="Y67" s="3">
        <f>462+(308.1-50)+(-0.70686+(-0.471393--0.0765))+0-0-0</f>
        <v>718.99824699999999</v>
      </c>
      <c r="Z67" s="3">
        <f>514+(387.6-54)+(-0.52428+(-0.395352--0.05508))+0-0-0</f>
        <v>846.73544800000002</v>
      </c>
      <c r="AA67" s="3">
        <f>536+(419.4-49)+(-0.82008+(-0.641682--0.07497))+0-0-0</f>
        <v>905.01320799999996</v>
      </c>
      <c r="AB67" s="3">
        <f>537+(440.8-52)+(-0.82161+(-0.674424--0.07956))+0-0-0</f>
        <v>924.38352599999996</v>
      </c>
      <c r="AC67" s="3">
        <f>536+(418.2-50)+(-0.27336+(-0.213282--0.0255))+0-0-0</f>
        <v>903.73885800000005</v>
      </c>
      <c r="AD67" s="2">
        <v>777.403322</v>
      </c>
      <c r="AE67" s="3">
        <f>541+(424.9-52)+(0+(0-0))+0-0-0</f>
        <v>913.9</v>
      </c>
    </row>
    <row r="68" spans="1:31" s="2" customFormat="1" x14ac:dyDescent="0.3">
      <c r="A68">
        <v>91</v>
      </c>
      <c r="B68">
        <v>3</v>
      </c>
      <c r="C68">
        <v>6</v>
      </c>
      <c r="D68">
        <v>1</v>
      </c>
      <c r="E68">
        <v>1</v>
      </c>
      <c r="F68" s="3">
        <f>522+(399.6-45)+(-1.06488+(-0.815184--0.0918))+0-0-0</f>
        <v>874.811736</v>
      </c>
      <c r="G68" s="3">
        <f>522+(359.3-45)+(-1.3311+(-0.916215--0.11475))+0-0-0</f>
        <v>834.16743499999995</v>
      </c>
      <c r="H68" s="3">
        <f>520+(329.2-43)+(-1.0608+(-0.671568--0.08772))+0-0-0</f>
        <v>804.55535200000008</v>
      </c>
      <c r="I68" s="3">
        <f>522+(300.5-46)+(-0.53244+(-0.30651--0.04692))+0-0-0</f>
        <v>775.70797000000005</v>
      </c>
      <c r="J68" s="3">
        <f>521+(262.7-46)+(-0.53142+(-0.267954--0.04692))+0-0-0</f>
        <v>736.9475460000001</v>
      </c>
      <c r="K68" s="3">
        <f>487+(236.1-44)+(-1.24185+(-0.602055--0.1122))+0-0-0</f>
        <v>677.36829499999999</v>
      </c>
      <c r="L68" s="3">
        <f>427+(251.8-49)+(-0.21777+(-0.128418--0.02499))+0-0-0</f>
        <v>629.47880199999997</v>
      </c>
      <c r="M68" s="3">
        <f>428+(235.7-46)+(0.43656+(0.240414-0.04692))+0-0-0</f>
        <v>618.33005400000002</v>
      </c>
      <c r="N68" s="3">
        <f>471+(232.2-46)+(0.24021+(0.118422-0.02346))+0-0-0</f>
        <v>657.5351720000001</v>
      </c>
      <c r="O68" s="3">
        <f>508+(219.8-54.5)+(0.25908+(0.112098-0.027795))+0-0-0</f>
        <v>673.64338299999997</v>
      </c>
      <c r="P68" s="3">
        <f>507+(268.7-43)+(-0.77571+(-0.411111--0.06579))+0-0-0</f>
        <v>731.57896900000003</v>
      </c>
      <c r="Q68" s="3">
        <f>537+(293.6-44)+(-0.27387+(-0.149736--0.02244))+0-0-0</f>
        <v>786.19883400000003</v>
      </c>
      <c r="R68" s="3">
        <f>571+(366.6-48)+(0.58242+(0.373932-0.04896))+0-0-0</f>
        <v>890.50739199999998</v>
      </c>
      <c r="S68" s="3">
        <f>573+(400.6-48)+(-0.58446+(-0.408612--0.04896))+0-0-0</f>
        <v>924.655888</v>
      </c>
      <c r="T68" s="3">
        <f>575+(391.6-44)+(-0.29325+(-0.199716--0.02244))+0-0-0</f>
        <v>922.12947400000007</v>
      </c>
      <c r="U68" s="3">
        <f>594+(376.2-49)+(-1.5147+(-0.95931--0.12495))+0-0-0</f>
        <v>918.85094000000004</v>
      </c>
      <c r="V68" s="3">
        <f>591+(313.5-52.1)+(-0.30141+(-0.159885--0.026571))+0-0-0</f>
        <v>851.96527600000002</v>
      </c>
      <c r="W68" s="3">
        <f>600+(227.4-62.7)+(-1.224+(-0.463896--0.127908))+0-0-0</f>
        <v>763.14001200000007</v>
      </c>
      <c r="X68" s="3">
        <f>568+(192.3-61.1)+(-1.4484+(-0.490365--0.155805))+0-0-0</f>
        <v>697.41704000000004</v>
      </c>
      <c r="Y68" s="3">
        <f>545+(265.7-52)+(0.27795+(0.135507-0.02652))+0-0-0</f>
        <v>759.08693700000003</v>
      </c>
      <c r="Z68" s="3">
        <f>596+(347.2-52)+(-0.30396+(-0.177072--0.02652))+0-0-0</f>
        <v>890.74548800000002</v>
      </c>
      <c r="AA68" s="3">
        <f>600+(396.5-52)+(-0.918+(-0.606645--0.07956))+0-0-0</f>
        <v>943.05491500000005</v>
      </c>
      <c r="AB68" s="3">
        <f>590+(412.2-53)+(-1.8054+(-1.261332--0.16218))+0-0-0</f>
        <v>946.29544800000008</v>
      </c>
      <c r="AC68" s="3">
        <f>598+(369-50)+(-1.5249+(-0.94095--0.1275))+0-0-0</f>
        <v>914.66165000000001</v>
      </c>
      <c r="AD68" s="2">
        <v>771.51225399999998</v>
      </c>
      <c r="AE68" s="3">
        <f>601+(404.6-49)+(0+(0-0))+0-0-0</f>
        <v>956.6</v>
      </c>
    </row>
    <row r="69" spans="1:31" s="2" customFormat="1" x14ac:dyDescent="0.3">
      <c r="A69">
        <v>91</v>
      </c>
      <c r="B69">
        <v>3</v>
      </c>
      <c r="C69">
        <v>7</v>
      </c>
      <c r="D69">
        <v>2</v>
      </c>
      <c r="E69">
        <v>1</v>
      </c>
      <c r="F69" s="3">
        <f>606+(326.2-47)+(0+(0-0))+0-0-0</f>
        <v>885.2</v>
      </c>
      <c r="G69" s="3">
        <f>533+(375.2-47)+(-0.81549+(-0.574056--0.07191))+0-0-0</f>
        <v>859.88236400000005</v>
      </c>
      <c r="H69" s="3">
        <f>524+(335.3-43)+(-1.06896+(-0.684012--0.08772))+0-0-0</f>
        <v>814.63474799999995</v>
      </c>
      <c r="I69" s="3">
        <f>521+(306.3-40)+(-1.06284+(-0.624852--0.0816))+0-0-0</f>
        <v>785.69390799999996</v>
      </c>
      <c r="J69" s="3">
        <f>523+(250.1-35)+(-0.26673+(-0.127551--0.01785))+0-0-0</f>
        <v>737.723569</v>
      </c>
      <c r="K69" s="3">
        <f>479+(241.9-38)+(-0.97716+(-0.493476--0.07752))+0-0-0</f>
        <v>681.50688400000001</v>
      </c>
      <c r="L69" s="3">
        <f>420+(255.1-36)+(-1.071+(-0.650505--0.0918))+0-0-0</f>
        <v>637.47029500000008</v>
      </c>
      <c r="M69" s="3">
        <f>448+(246.7-44)+(0.22848+(0.125817-0.02244))+0-0-0</f>
        <v>651.03185700000006</v>
      </c>
      <c r="N69" s="3">
        <f>467+(255.6-44)+(0+(0-0))+0-0-0</f>
        <v>678.6</v>
      </c>
      <c r="O69" s="3">
        <f>467+(287.4-46)+(-0.23817+(-0.146574--0.02346))+0-0-0</f>
        <v>708.03871600000002</v>
      </c>
      <c r="P69" s="3">
        <f>467+(324.2-45)+(0.23817+(0.165342-0.02295))+0-0-0</f>
        <v>746.5805620000001</v>
      </c>
      <c r="Q69" s="3">
        <f>514+(331.5-45)+(-0.52428+(-0.33813--0.0459))+0-0-0</f>
        <v>799.68349000000001</v>
      </c>
      <c r="R69" s="3">
        <f>537+(422.9-47)+(0.27387+(0.215679-0.02397))+0-0-0</f>
        <v>913.36557900000003</v>
      </c>
      <c r="S69" s="3">
        <f>532+(464.4-46)+(-0.27132+(-0.236844--0.02346))+0-0-0</f>
        <v>949.91529600000001</v>
      </c>
      <c r="T69" s="3">
        <f>532+(478.8-47)+(0+(0-0))+0-0-0</f>
        <v>963.8</v>
      </c>
      <c r="U69" s="3">
        <f>543+(419.9-48)+(-0.27693+(-0.214149--0.02448))+0-0-0</f>
        <v>914.433401</v>
      </c>
      <c r="V69" s="3">
        <f>552+(336.2-51)+(-1.12608+(-0.685848--0.10404))+0-0-0</f>
        <v>835.49211200000002</v>
      </c>
      <c r="W69" s="3">
        <f>571+(248.5-57)+(-1.74726+(-0.76041--0.17442))+0-0-0</f>
        <v>760.16674999999998</v>
      </c>
      <c r="X69" s="3">
        <f>572+(170.2-62)+(-1.16688+(-0.347208--0.12648))+0-0-0</f>
        <v>678.81239200000005</v>
      </c>
      <c r="Y69" s="3">
        <f>574+(249.4-54)+(0.87822+(0.381582-0.08262))+0-0-0</f>
        <v>770.57718199999999</v>
      </c>
      <c r="Z69" s="3">
        <f>574+(399.3-54)+(0+(0-0))+0-0-0</f>
        <v>919.3</v>
      </c>
      <c r="AA69" s="3">
        <f>572+(450.1-53)+(-1.16688+(-0.918204--0.10812))+0-0-0</f>
        <v>967.12303600000007</v>
      </c>
      <c r="AB69" s="3">
        <f>574+(444.7-51)+(-0.87822+(-0.680391--0.07803))+0-0-0</f>
        <v>966.21941900000002</v>
      </c>
      <c r="AC69" s="3">
        <f>567+(415.2-50)+(-0.28917+(-0.211752--0.0255))+0-0-0</f>
        <v>931.72457800000007</v>
      </c>
      <c r="AD69" s="2">
        <v>792.49083399999995</v>
      </c>
      <c r="AE69" s="3">
        <f>581+(461.1-56.4)+(0+(0-0))+0-0-0</f>
        <v>985.7</v>
      </c>
    </row>
    <row r="70" spans="1:31" s="2" customFormat="1" x14ac:dyDescent="0.3">
      <c r="A70">
        <v>91</v>
      </c>
      <c r="B70">
        <v>3</v>
      </c>
      <c r="C70">
        <v>8</v>
      </c>
      <c r="D70">
        <v>3</v>
      </c>
      <c r="E70">
        <v>1</v>
      </c>
      <c r="F70" s="3">
        <f>560+(401.8-47)+(-0.8568+(-0.614754--0.07191))+0-0-0</f>
        <v>913.40035599999999</v>
      </c>
      <c r="G70" s="3">
        <f>560+(338.9-46)+(0+(0-0))+0-0-0</f>
        <v>852.9</v>
      </c>
      <c r="H70" s="3">
        <f>560+(319.5-46)+(0+(0-0))+0-0-0</f>
        <v>833.5</v>
      </c>
      <c r="I70" s="3">
        <f>497+(357.8-45)+(0.50694+(0.364956-0.0459))+0-0-0</f>
        <v>810.62599599999999</v>
      </c>
      <c r="J70" s="3">
        <f>480+(355.6-47)+(-0.2448+(-0.181356--0.02397))+0-0-0</f>
        <v>788.19781399999999</v>
      </c>
      <c r="K70" s="3">
        <f>480+(265.4-47)+(-1.224+(-0.67677--0.11985))+0-0-0</f>
        <v>696.61907999999994</v>
      </c>
      <c r="L70" s="3">
        <f>462+(226.1-51)+(-0.47124+(-0.230622--0.05202))+0-0-0</f>
        <v>636.45015799999999</v>
      </c>
      <c r="M70" s="3">
        <f>454+(233-47)+(0.46308+(0.23766-0.04794))+0-0-0</f>
        <v>640.65279999999996</v>
      </c>
      <c r="N70" s="3">
        <f>450+(260.8-45)+(0.6885+(0.399024-0.06885))+0-0-0</f>
        <v>666.81867399999999</v>
      </c>
      <c r="O70" s="3">
        <f>468+(266-47)+(0.47736+(0.27132-0.04794))+0-0-0</f>
        <v>687.70074</v>
      </c>
      <c r="P70" s="3">
        <f>481+(308.2-42)+(0.73593+(0.471546-0.06426))+0-0-0</f>
        <v>748.3432160000001</v>
      </c>
      <c r="Q70" s="3">
        <f>489+(378-43)+(0+(0-0))+0-0-0</f>
        <v>824</v>
      </c>
      <c r="R70" s="3">
        <f>503+(472.8-47)+(-0.25653+(-0.241128--0.02397))+0-0-0</f>
        <v>928.32631199999992</v>
      </c>
      <c r="S70" s="3">
        <f>501+(505.4-47)+(-0.76653+(-0.773262--0.07191))+0-0-0</f>
        <v>957.93211799999995</v>
      </c>
      <c r="T70" s="3">
        <f>503+(495.5-46)+(0.76959+(0.758115-0.07038))+0-0-0</f>
        <v>953.95732499999997</v>
      </c>
      <c r="U70" s="3">
        <f>503+(458.2-43)+(-0.51306+(-0.467364--0.04386))+0-0-0</f>
        <v>917.26343600000007</v>
      </c>
      <c r="V70" s="3">
        <f>515+(398.2-39)+(-1.31325+(-1.01541--0.09945))+0-0-0</f>
        <v>871.97079000000008</v>
      </c>
      <c r="W70" s="3">
        <f>531+(298.2-37)+(-0.81243+(-0.456246--0.05661))+0-0-0</f>
        <v>790.987934</v>
      </c>
      <c r="X70" s="3">
        <f>529+(217.4-50.5)+(-1.34895+(-0.55437--0.128775))+0-0-0</f>
        <v>694.12545499999999</v>
      </c>
      <c r="Y70" s="3">
        <f>529+(282.2-46)+(-0.53958+(-0.287844--0.04692))+0-0-0</f>
        <v>764.41949600000009</v>
      </c>
      <c r="Z70" s="3">
        <f>538+(438-54)+(-0.54876+(-0.44676--0.05508))+0-0-0</f>
        <v>921.05956000000003</v>
      </c>
      <c r="AA70" s="3">
        <f>546+(466.5-51)+(-0.83538+(-0.713745--0.07803))+0-0-0</f>
        <v>960.02890500000001</v>
      </c>
      <c r="AB70" s="3">
        <f>544+(494.8-50)+(-1.3872+(-1.26174--0.1275))+0-0-0</f>
        <v>986.27855999999997</v>
      </c>
      <c r="AC70" s="3">
        <f>541+(452.1-48)+(-0.82773+(-0.691713--0.07344))+0-0-0</f>
        <v>943.653997</v>
      </c>
      <c r="AD70" s="2">
        <v>776.31042500000001</v>
      </c>
      <c r="AE70" s="3">
        <f>549+(479.3-54)+(0+(0-0))+0-0-0</f>
        <v>974.3</v>
      </c>
    </row>
    <row r="71" spans="1:31" s="2" customFormat="1" x14ac:dyDescent="0.3">
      <c r="A71">
        <v>91</v>
      </c>
      <c r="B71">
        <v>3</v>
      </c>
      <c r="C71">
        <v>9</v>
      </c>
      <c r="D71">
        <v>4</v>
      </c>
      <c r="E71">
        <v>1</v>
      </c>
      <c r="F71" s="3">
        <f>528+(432.8-47)+(-0.80784+(-0.662184--0.07191))+0-0-0</f>
        <v>912.40188599999999</v>
      </c>
      <c r="G71" s="3">
        <f>529+(393.4-46)+(-0.26979+(-0.200634--0.02346))+0-0-0</f>
        <v>875.953036</v>
      </c>
      <c r="H71" s="3">
        <f>527+(356.9-45)+(-0.53754+(-0.364038--0.0459))+0-0-0</f>
        <v>838.04432199999997</v>
      </c>
      <c r="I71" s="3">
        <f>529+(331.7-45)+(-0.80937+(-0.507501--0.06885))+0-0-0</f>
        <v>814.45197900000005</v>
      </c>
      <c r="J71" s="3">
        <f>527+(294.4-46)+(-1.07508+(-0.600576--0.09384))+0-0-0</f>
        <v>773.81818399999997</v>
      </c>
      <c r="K71" s="3">
        <f>488+(245.3-47)+(-0.74664+(-0.375309--0.07191))+0-0-0</f>
        <v>685.24996099999998</v>
      </c>
      <c r="L71" s="3">
        <f>407+(279.4-48)+(-0.83028+(-0.569976--0.09792))+0-0-0</f>
        <v>637.09766400000001</v>
      </c>
      <c r="M71" s="3">
        <f>440+(247.8-42)+(0+(0-0))+0-0-0</f>
        <v>645.79999999999995</v>
      </c>
      <c r="N71" s="3">
        <f>460+(241.9-41)+(0.4692+(0.246738-0.04182))+0-0-0</f>
        <v>661.574118</v>
      </c>
      <c r="O71" s="3">
        <f>469+(272.4-41)+(0.95676+(0.555696-0.08364))+0-0-0</f>
        <v>701.82881599999996</v>
      </c>
      <c r="P71" s="3">
        <f>522+(267-46)+(-0.53244+(-0.27234--0.04692))+0-0-0</f>
        <v>742.24213999999995</v>
      </c>
      <c r="Q71" s="3">
        <f>514+(361.5-48)+(0+(0-0))+0-0-0</f>
        <v>827.5</v>
      </c>
      <c r="R71" s="3">
        <f>502+(466.7-50)+(-0.76806+(-0.714051--0.0765))+0-0-0</f>
        <v>917.29438900000002</v>
      </c>
      <c r="S71" s="3">
        <f>524+(488.3-45)+(0.53448+(0.498066-0.0459))+0-0-0</f>
        <v>968.28664599999991</v>
      </c>
      <c r="T71" s="3">
        <f>584+(407.3-44)+(0.59568+(0.415446-0.04488))+0-0-0</f>
        <v>948.26624599999991</v>
      </c>
      <c r="U71" s="3">
        <f>609+(383.7-47)+(0+(0-0))+0-0-0</f>
        <v>945.7</v>
      </c>
      <c r="V71" s="3">
        <f>619+(307.6-39)+(-0.63138+(-0.313752--0.03978))+0-0-0</f>
        <v>886.69464800000003</v>
      </c>
      <c r="W71" s="3">
        <f>644+(222.9-61.4)+(-1.31376+(-0.454716--0.125256))+0-0-0</f>
        <v>803.85677999999996</v>
      </c>
      <c r="X71" s="3">
        <f>592+(186-66.3)+(-1.81152+(-0.56916--0.202878))+0-0-0</f>
        <v>709.522198</v>
      </c>
      <c r="Y71" s="3">
        <f>559+(270-51)+(0.57018+(0.2754-0.05202))+0-0-0</f>
        <v>778.79355999999996</v>
      </c>
      <c r="Z71" s="3">
        <f>563+(414.8-53)+(-0.28713+(-0.211548--0.02703))+0-0-0</f>
        <v>924.328352</v>
      </c>
      <c r="AA71" s="3">
        <f>569+(459.8-53)+(-0.58038+(-0.468996--0.05406))+0-0-0</f>
        <v>974.80468399999995</v>
      </c>
      <c r="AB71" s="3">
        <f>567+(478.4-48)+(-1.15668+(-0.975936--0.09792))+0-0-0</f>
        <v>995.36530399999992</v>
      </c>
      <c r="AC71" s="3">
        <f>567+(444.3-48)+(-0.86751+(-0.679779--0.07344))+0-0-0</f>
        <v>961.82615099999998</v>
      </c>
      <c r="AD71" s="2">
        <v>808.76070000000004</v>
      </c>
      <c r="AE71" s="3">
        <f>564+(468.6-51)+(0+(0-0))+0-0-0</f>
        <v>981.6</v>
      </c>
    </row>
    <row r="72" spans="1:31" s="2" customFormat="1" x14ac:dyDescent="0.3">
      <c r="A72">
        <v>91</v>
      </c>
      <c r="B72">
        <v>3</v>
      </c>
      <c r="C72">
        <v>10</v>
      </c>
      <c r="D72">
        <v>5</v>
      </c>
      <c r="E72">
        <v>1</v>
      </c>
      <c r="F72" s="3">
        <f>545+(432.6-47)+(-1.1118+(-0.882504--0.09588))+0-0-0</f>
        <v>928.70157600000005</v>
      </c>
      <c r="G72" s="3">
        <f>535+(392-47)+(-1.0914+(-0.79968--0.09588))+0-0-0</f>
        <v>878.20479999999998</v>
      </c>
      <c r="H72" s="3">
        <f>536+(362.7-45)+(-0.82008+(-0.554931--0.06885))+0-0-0</f>
        <v>852.39383900000007</v>
      </c>
      <c r="I72" s="3">
        <f>535+(336.1-43)+(-1.6371+(-1.028466--0.13158))+0-0-0</f>
        <v>825.566014</v>
      </c>
      <c r="J72" s="3">
        <f>535+(294.9-43)+(-1.0914+(-0.601596--0.08772))+0-0-0</f>
        <v>785.29472399999997</v>
      </c>
      <c r="K72" s="3">
        <f>535+(222.7-57.6)+(-1.36425+(-0.567885--0.14688))+0-0-0</f>
        <v>698.31474500000002</v>
      </c>
      <c r="L72" s="3">
        <f>451+(232.7-51)+(-0.92004+(-0.474708--0.10404))+0-0-0</f>
        <v>631.40929200000005</v>
      </c>
      <c r="M72" s="3">
        <f>448+(261.9-49)+(1.37088+(0.801414-0.14994))+0-0-0</f>
        <v>662.92235399999993</v>
      </c>
      <c r="N72" s="3">
        <f>434+(301.4-48)+(0+(0-0))+0-0-0</f>
        <v>687.4</v>
      </c>
      <c r="O72" s="3">
        <f>445+(324.9-50)+(0.4539+(0.331398-0.051))+0-0-0</f>
        <v>720.63429799999994</v>
      </c>
      <c r="P72" s="3">
        <f>522+(288.7-51)+(-0.53244+(-0.294474--0.05202))+0-0-0</f>
        <v>758.92510600000003</v>
      </c>
      <c r="Q72" s="3">
        <f>524+(356.8-45)+(0+(0-0))+0-0-0</f>
        <v>835.8</v>
      </c>
      <c r="R72" s="3">
        <f>520+(469.7-34)+(-0.2652+(-0.239547--0.01734))+0-0-0</f>
        <v>955.21259300000008</v>
      </c>
      <c r="S72" s="3">
        <f>514+(511.1-48)+(-0.52428+(-0.521322--0.04896))+0-0-0</f>
        <v>976.10335800000007</v>
      </c>
      <c r="T72" s="3">
        <f>567+(404.3-45)+(0+(0-0))+0-0-0</f>
        <v>926.3</v>
      </c>
      <c r="U72" s="3">
        <f>642+(346.3-46)+(-0.65484+(-0.353226--0.04692))+0-0-0</f>
        <v>941.33885399999997</v>
      </c>
      <c r="V72" s="3">
        <f>653+(287.4-58.6)+(-0.99909+(-0.439722--0.089658))+0-0-0</f>
        <v>880.45084599999996</v>
      </c>
      <c r="W72" s="3">
        <f>659+(223.9-68.9)+(-2.01654+(-0.685134--0.210834))+0-0-0</f>
        <v>811.50915999999995</v>
      </c>
      <c r="X72" s="3">
        <f>631+(179.2-78.5)+(-0.32181+(-0.091392--0.040035))+0-0-0</f>
        <v>731.32683300000008</v>
      </c>
      <c r="Y72" s="3">
        <f>633+(216.4-70.2)+(-0.64566+(-0.220728--0.071604))+0-0-0</f>
        <v>778.405216</v>
      </c>
      <c r="Z72" s="3">
        <f>635+(346.6-54)+(0.32385+(0.176766-0.02754))+0-0-0</f>
        <v>928.07307600000001</v>
      </c>
      <c r="AA72" s="3">
        <f>637+(384.8-51)+(-0.64974+(-0.392496--0.05202))+0-0-0</f>
        <v>969.80978399999992</v>
      </c>
      <c r="AB72" s="3">
        <f>627+(373.4-47)+(-0.63954+(-0.380868--0.04794))+0-0-0</f>
        <v>952.42753199999993</v>
      </c>
      <c r="AC72" s="3">
        <f>627+(354.7-45)+(0.31977+(0.180897-0.02295))+0-0-0</f>
        <v>937.17771700000003</v>
      </c>
      <c r="AD72" s="2">
        <v>805.952496</v>
      </c>
      <c r="AE72" s="3">
        <f>637+(399.2-53)+(0+(0-0))+0-0-0</f>
        <v>983.2</v>
      </c>
    </row>
    <row r="73" spans="1:31" s="2" customFormat="1" x14ac:dyDescent="0.3">
      <c r="A73">
        <v>91</v>
      </c>
      <c r="B73">
        <v>3</v>
      </c>
      <c r="C73">
        <v>11</v>
      </c>
      <c r="D73">
        <v>6</v>
      </c>
      <c r="E73">
        <v>1</v>
      </c>
      <c r="F73" s="3">
        <f>623+(338.1-47)+(-1.27092+(-0.689724--0.09588))+0-0-0</f>
        <v>912.23523599999999</v>
      </c>
      <c r="G73" s="3">
        <f>545+(376.6-46)+(0+(0-0))+0-0-0</f>
        <v>875.6</v>
      </c>
      <c r="H73" s="3">
        <f>533+(368.9-45)+(-0.27183+(-0.188139--0.02295))+0-0-0</f>
        <v>856.46298100000001</v>
      </c>
      <c r="I73" s="3">
        <f>535+(344.9-45)+(0.81855+(0.527697-0.06885))+0-0-0</f>
        <v>836.17739699999993</v>
      </c>
      <c r="J73" s="3">
        <f>536+(318.5-47)+(-0.82008+(-0.487305--0.07191))+0-0-0</f>
        <v>806.26452500000005</v>
      </c>
      <c r="K73" s="3">
        <f>536+(178.4-62.4)+(-1.3668+(-0.45492--0.15912))+0-0-0</f>
        <v>650.3374</v>
      </c>
      <c r="L73" s="3">
        <f>534+(185.4-76.5)+(-0.54468+(-0.189108--0.07803))+0-0-0</f>
        <v>642.24424199999999</v>
      </c>
      <c r="M73" s="3">
        <f>531+(191.8-76.8)+(-0.27081+(-0.097818--0.039168))+0-0-0</f>
        <v>645.67053999999996</v>
      </c>
      <c r="N73" s="3">
        <f>522+(221.2-60.1)+(1.3311+(0.56406-0.153255))+0-0-0</f>
        <v>684.841905</v>
      </c>
      <c r="O73" s="3">
        <f>513+(276.5-55.9)+(1.30815+(0.705075-0.142545))+0-0-0</f>
        <v>735.47068000000002</v>
      </c>
      <c r="P73" s="3">
        <f>507+(298.9-43)+(1.03428+(0.609756-0.08772))+0-0-0</f>
        <v>764.45631600000002</v>
      </c>
      <c r="Q73" s="3">
        <f>504+(362.3-40)+(0.51408+(0.369546-0.0408))+0-0-0</f>
        <v>827.1428259999999</v>
      </c>
      <c r="R73" s="3">
        <f>502+(455.2-47)+(0.25602+(0.232152-0.02397))+0-0-0</f>
        <v>910.66420200000005</v>
      </c>
      <c r="S73" s="3">
        <f>515+(468.4-45)+(-0.5253+(-0.477768--0.0459))+0-0-0</f>
        <v>937.44283199999995</v>
      </c>
      <c r="T73" s="3">
        <f>565+(439.9-52)+(-0.28815+(-0.224349--0.02652))+0-0-0</f>
        <v>952.41402099999993</v>
      </c>
      <c r="U73" s="3">
        <f>569+(404.3-45)+(-0.58038+(-0.412386--0.0459))+0-0-0</f>
        <v>927.35313399999995</v>
      </c>
      <c r="V73" s="3">
        <f>575+(344.4-43)+(0.29325+(0.175644-0.02193))+0-0-0</f>
        <v>876.84696399999996</v>
      </c>
      <c r="W73" s="3">
        <f>600+(262.5-55)+(-0.612+(-0.26775--0.0561))+0-0-0</f>
        <v>806.67634999999996</v>
      </c>
      <c r="X73" s="3">
        <f>603+(188-71.6)+(-0.61506+(-0.19176--0.073032))+0-0-0</f>
        <v>718.66621199999997</v>
      </c>
      <c r="Y73" s="3">
        <f>605+(214.8-58.5)+(-0.6171+(-0.219096--0.05967))+0-0-0</f>
        <v>760.52347399999996</v>
      </c>
      <c r="Z73" s="3">
        <f>607+(351.9-50)+(-0.92871+(-0.538407--0.0765))+0-0-0</f>
        <v>907.50938299999996</v>
      </c>
      <c r="AA73" s="3">
        <f>607+(369.4-50)+(-1.23828+(-0.753576--0.102))+0-0-0</f>
        <v>924.51014399999997</v>
      </c>
      <c r="AB73" s="3">
        <f>609+(406.3-51)+(-0.93177+(-0.621639--0.07803))+0-0-0</f>
        <v>962.82462099999998</v>
      </c>
      <c r="AC73" s="3">
        <f>604+(389.4-45)+(-1.23216+(-0.794376--0.0918))+0-0-0</f>
        <v>946.46526399999993</v>
      </c>
      <c r="AD73" s="2">
        <v>782.10125200000004</v>
      </c>
      <c r="AE73" s="3">
        <f>608+(387.4-50)+(0+(0-0))+0-0-0</f>
        <v>945.4</v>
      </c>
    </row>
    <row r="74" spans="1:31" s="2" customFormat="1" x14ac:dyDescent="0.3">
      <c r="A74">
        <v>91</v>
      </c>
      <c r="B74">
        <v>3</v>
      </c>
      <c r="C74">
        <v>12</v>
      </c>
      <c r="D74">
        <v>7</v>
      </c>
      <c r="E74">
        <v>1</v>
      </c>
      <c r="F74" s="3">
        <f>584+(389-47)+(-0.89352+(-0.59517--0.07191))+0-0-0</f>
        <v>924.58321999999998</v>
      </c>
      <c r="G74" s="3">
        <f>520+(429.9-47)+(-0.2652+(-0.219249--0.02397))+0-0-0</f>
        <v>902.43952100000001</v>
      </c>
      <c r="H74" s="3">
        <f>517+(403.4-46)+(-0.52734+(-0.411468--0.04692))+0-0-0</f>
        <v>873.50811199999998</v>
      </c>
      <c r="I74" s="3">
        <f>516+(374.9-46)+(-0.26316+(-0.191199--0.02346))+0-0-0</f>
        <v>844.46910100000002</v>
      </c>
      <c r="J74" s="3">
        <f>515+(345.1-50)+(-1.83855+(-1.232007--0.1785))+0-0-0</f>
        <v>807.207943</v>
      </c>
      <c r="K74" s="3">
        <f>501+(248.1-51.4)+(-2.5551+(-1.26531--0.26214))+7.4-0-0</f>
        <v>701.54173000000003</v>
      </c>
      <c r="L74" s="3">
        <f>501+(191.4-67.9)+(-0.51102+(-0.195228--0.069258))+10.2-0-0</f>
        <v>634.06301000000008</v>
      </c>
      <c r="M74" s="3">
        <f>499+(201.9-63.8)+(0.76347+(0.308907-0.097614))+0-0-0</f>
        <v>638.07476300000008</v>
      </c>
      <c r="N74" s="3">
        <f>495+(217.7-61.1)+(1.0098+(0.444108-0.124644))+0.7-0-0</f>
        <v>653.62926400000003</v>
      </c>
      <c r="O74" s="3">
        <f>489+(233.4-55.7)+(-0.24939+(-0.119034--0.028407))+14-0-0</f>
        <v>680.35998300000006</v>
      </c>
      <c r="P74" s="3">
        <f>486+(288.1-47)+(0+(0-0))+3.5-0-0</f>
        <v>730.6</v>
      </c>
      <c r="Q74" s="3">
        <f>482+(363.5-46)+(0+(0-0))+0-0-0</f>
        <v>799.5</v>
      </c>
      <c r="R74" s="3">
        <f>488+(434.2-48)+(0.74664+(0.664326-0.07344))+0-0-0</f>
        <v>875.53752600000007</v>
      </c>
      <c r="S74" s="3">
        <f>487+(481.2-39)+(-0.49674+(-0.490824--0.03978))+0-0-0</f>
        <v>928.25221600000009</v>
      </c>
      <c r="T74" s="3">
        <f>488+(478.1-47)+(-0.49776+(-0.487662--0.04794))+0-0-0</f>
        <v>918.16251799999998</v>
      </c>
      <c r="U74" s="3">
        <f>491+(462.2-44)+(0+(0-0))+0-0-0</f>
        <v>909.2</v>
      </c>
      <c r="V74" s="3">
        <f>501+(410.8-44)+(-0.25551+(-0.209508--0.02244))+0-0-0</f>
        <v>867.35742199999993</v>
      </c>
      <c r="W74" s="3">
        <f>516+(336.3-45)+(-0.52632+(-0.343026--0.0459))+0-0-0</f>
        <v>806.47655399999996</v>
      </c>
      <c r="X74" s="3">
        <f>514+(247-50.1)+(-1.3107+(-0.62985--0.127755))+0-0-0</f>
        <v>709.08720499999993</v>
      </c>
      <c r="Y74" s="3">
        <f>515+(304.5-47)+(-0.5253+(-0.31059--0.04794))+0-0-0</f>
        <v>771.71204999999998</v>
      </c>
      <c r="Z74" s="3">
        <f>516+(443.9-53)+(-0.26316+(-0.226389--0.02703))+0-0-0</f>
        <v>906.43748099999993</v>
      </c>
      <c r="AA74" s="3">
        <f>555+(442.7-49)+(-1.1322+(-0.903108--0.09996))+0-0-0</f>
        <v>946.76465200000007</v>
      </c>
      <c r="AB74" s="3">
        <f>568+(448.7-47)+(-0.28968+(-0.228837--0.02397))+0-0-0</f>
        <v>969.20545300000003</v>
      </c>
      <c r="AC74" s="3">
        <f>561+(433-48)+(-1.43055+(-1.10415--0.1224))+0-0-0</f>
        <v>943.58770000000004</v>
      </c>
      <c r="AD74" s="2">
        <v>776.78140800000006</v>
      </c>
      <c r="AE74" s="3">
        <f>568+(480.8-51)+(0+(0-0))+0-0-0</f>
        <v>997.8</v>
      </c>
    </row>
    <row r="75" spans="1:31" s="2" customFormat="1" x14ac:dyDescent="0.3">
      <c r="A75">
        <v>91</v>
      </c>
      <c r="B75">
        <v>3</v>
      </c>
      <c r="C75">
        <v>13</v>
      </c>
      <c r="D75">
        <v>1</v>
      </c>
      <c r="E75">
        <v>6</v>
      </c>
      <c r="F75" s="3">
        <f>535+(425.1-46)+(0.27285+(0.216801-0.02346))+0-0-0</f>
        <v>914.566191</v>
      </c>
      <c r="G75" s="3">
        <f>504+(403-46)+(0+(0-0))+0-0-0</f>
        <v>861</v>
      </c>
      <c r="H75" s="3">
        <f>504+(369.3-46)+(1.02816+(0.753372-0.09384))+0-0-0</f>
        <v>828.98769199999992</v>
      </c>
      <c r="I75" s="3">
        <f>501+(350.9-44)+(-1.53306+(-1.073754--0.13464))+0-0-0</f>
        <v>805.42782599999998</v>
      </c>
      <c r="J75" s="3">
        <f>503+(324.6-44)+(-0.25653+(-0.165546--0.02244))+0-0-0</f>
        <v>783.20036400000004</v>
      </c>
      <c r="K75" s="3">
        <f>501+(245.4-49)+(-1.53306+(-0.750924--0.14994))+0-0-0</f>
        <v>695.26595599999996</v>
      </c>
      <c r="L75" s="3">
        <f>500+(205.7-55.3)+(-1.275+(-0.524535--0.141015))+0-0-0</f>
        <v>648.74148000000002</v>
      </c>
      <c r="M75" s="3">
        <f>502+(213.8-50.6)+(0+(0-0))+0-0-0</f>
        <v>665.2</v>
      </c>
      <c r="N75" s="3">
        <f>501+(224.5-46.3)+(0+(0-0))+0-0-0</f>
        <v>679.2</v>
      </c>
      <c r="O75" s="3">
        <f>497+(269.7-44)+(0+(0-0))+0-0-0</f>
        <v>722.7</v>
      </c>
      <c r="P75" s="3">
        <f>512+(289.9-48)+(-0.26112+(-0.147849--0.02448))+0-0-0</f>
        <v>753.51551099999995</v>
      </c>
      <c r="Q75" s="3">
        <f>514+(372.9-45)+(-0.26214+(-0.190179--0.02295))+0-0-0</f>
        <v>841.47063100000003</v>
      </c>
      <c r="R75" s="3">
        <f>534+(460.6-40)+(-0.27234+(-0.234906--0.0204))+0-0-0</f>
        <v>954.11315400000001</v>
      </c>
      <c r="S75" s="3">
        <f>551+(463.9-41)+(-0.28101+(-0.236589--0.02091))+0-0-0</f>
        <v>973.40331100000003</v>
      </c>
      <c r="T75" s="3">
        <f>583+(438.7-44)+(-0.59466+(-0.447474--0.04488))+0-0-0</f>
        <v>976.70274600000005</v>
      </c>
      <c r="U75" s="3">
        <f>597+(420.3-47)+(-0.60894+(-0.428706--0.04794))+0-0-0</f>
        <v>969.310294</v>
      </c>
      <c r="V75" s="3">
        <f>610+(356.6-45)+(-0.9333+(-0.545598--0.06885))+0-0-0</f>
        <v>920.18995200000006</v>
      </c>
      <c r="W75" s="3">
        <f>628+(279.7-50.4)+(-0.96084+(-0.427941--0.077112))+0-0-0</f>
        <v>855.9883309999999</v>
      </c>
      <c r="X75" s="3">
        <f>628+(198.6-62.1)+(-1.6014+(-0.50643--0.158355))+0-0-0</f>
        <v>762.55052499999999</v>
      </c>
      <c r="Y75" s="3">
        <f>539+(335.5-44)+(-1.09956+(-0.68442--0.08976))+0-0-0</f>
        <v>828.80578000000003</v>
      </c>
      <c r="Z75" s="3">
        <f>602+(416.8-52)+(-0.61404+(-0.425136--0.05304))+0-0-0</f>
        <v>965.81386399999997</v>
      </c>
      <c r="AA75" s="3">
        <f>626+(431.4-53)+(-1.5963+(-1.10007--0.13515))+0-0-0</f>
        <v>1001.8387799999999</v>
      </c>
      <c r="AB75" s="3">
        <f>626+(421.2-51)+(-1.27704+(-0.859248--0.10404))+0-0-0</f>
        <v>994.16775200000006</v>
      </c>
      <c r="AC75" s="3">
        <f>626+(416.1-45)+(-0.31926+(-0.212211--0.02295))+0-0-0</f>
        <v>996.59147900000005</v>
      </c>
      <c r="AD75" s="2">
        <v>754.14439099999993</v>
      </c>
      <c r="AE75" s="3">
        <f>633+(425.2-52)+(0+(0-0))+0-0-0</f>
        <v>1006.2</v>
      </c>
    </row>
    <row r="76" spans="1:31" s="2" customFormat="1" x14ac:dyDescent="0.3">
      <c r="A76">
        <v>91</v>
      </c>
      <c r="B76">
        <v>3</v>
      </c>
      <c r="C76">
        <v>14</v>
      </c>
      <c r="D76">
        <v>2</v>
      </c>
      <c r="E76">
        <v>4</v>
      </c>
      <c r="F76" s="3">
        <f>596+(345.9-35)+(0+(0-0))+0-0-0</f>
        <v>906.9</v>
      </c>
      <c r="G76" s="3">
        <f>547+(372.1-34)+(-0.55794+(-0.379542--0.03468))+0-0-0</f>
        <v>884.19719800000007</v>
      </c>
      <c r="H76" s="3">
        <f>535+(350.2-34)+(0.27285+(0.178602-0.01734))+0-0-0</f>
        <v>851.63411200000007</v>
      </c>
      <c r="I76" s="3">
        <f>535+(321.9-33)+(0.5457+(0.328338-0.03366))+0-0-0</f>
        <v>824.74037799999996</v>
      </c>
      <c r="J76" s="3">
        <f>535+(305.2-36)+(-0.5457+(-0.311304--0.03672))+0-0-0</f>
        <v>803.37971600000003</v>
      </c>
      <c r="K76" s="3">
        <f>502+(188.6-67.1)+(-0.51204+(-0.192372--0.068442))+50.5-0-0</f>
        <v>673.36402999999996</v>
      </c>
      <c r="L76" s="3">
        <f>427+(185.5-52.6)+(-1.30662+(-0.56763--0.160956))+101-0-0</f>
        <v>659.18670599999996</v>
      </c>
      <c r="M76" s="3">
        <f>465+(208.5-44)+(0.9486+(0.42534-0.08976))+16.8-0-0</f>
        <v>647.58417999999995</v>
      </c>
      <c r="N76" s="3">
        <f>466+(245-42)+(0+(0-0))+0-0-0</f>
        <v>669</v>
      </c>
      <c r="O76" s="3">
        <f>504+(237.7-45)+(-0.25704+(-0.121227--0.02295))+0-0-0</f>
        <v>696.34468300000003</v>
      </c>
      <c r="P76" s="3">
        <f>521+(267.7-46)+(0+(0-0))+0-0-0</f>
        <v>742.7</v>
      </c>
      <c r="Q76" s="3">
        <f>521+(351.7-46)+(0+(0-0))+0-0-0</f>
        <v>826.7</v>
      </c>
      <c r="R76" s="3">
        <f>517+(425.4-45)+(0+(0-0))+0-0-0</f>
        <v>897.4</v>
      </c>
      <c r="S76" s="3">
        <f>517+(439.3-47)+(-1.05468+(-0.896172--0.09588))+0-0-0</f>
        <v>907.44502799999998</v>
      </c>
      <c r="T76" s="3">
        <f>530+(442.5-43)+(0.2703+(0.225675-0.02193))+0-0-0</f>
        <v>929.97404500000005</v>
      </c>
      <c r="U76" s="3">
        <f>549+(440.7-45)+(-0.27999+(-0.224757--0.02295))+0-0-0</f>
        <v>944.21820300000002</v>
      </c>
      <c r="V76" s="3">
        <f>554+(369.4-45)+(0.56508+(0.376788-0.0459))+0-0-0</f>
        <v>879.29596800000002</v>
      </c>
      <c r="W76" s="3">
        <f>565+(301.3-46)+(-0.86445+(-0.460989--0.07038))+0-0-0</f>
        <v>819.04494099999999</v>
      </c>
      <c r="X76" s="3">
        <f>564+(227.9-55.1)+(-0.57528+(-0.232458--0.056202))+0-0-0</f>
        <v>736.04846399999997</v>
      </c>
      <c r="Y76" s="3">
        <f>568+(268.9-49)+(-0.57936+(-0.274278--0.04998))+0-0-0</f>
        <v>787.09634199999994</v>
      </c>
      <c r="Z76" s="3">
        <f>585+(398.3-51)+(0+(0-0))+0-0-0</f>
        <v>932.3</v>
      </c>
      <c r="AA76" s="3">
        <f>599+(424.3-50)+(-0.91647+(-0.649179--0.0765))+0-0-0</f>
        <v>971.81085099999996</v>
      </c>
      <c r="AB76" s="3">
        <f>593+(417-49)+(-0.60486+(-0.42534--0.04998))+0-0-0</f>
        <v>960.01977999999997</v>
      </c>
      <c r="AC76" s="3">
        <f>591+(418.8-48)+(0.60282+(0.427176-0.04896))+0-0-0</f>
        <v>962.78103599999997</v>
      </c>
      <c r="AD76" s="2">
        <v>776.80966000000001</v>
      </c>
      <c r="AE76" s="3">
        <f>602+(402.2-51)+(0+(0-0))+0-0-0</f>
        <v>953.2</v>
      </c>
    </row>
    <row r="77" spans="1:31" s="2" customFormat="1" x14ac:dyDescent="0.3">
      <c r="A77">
        <v>91</v>
      </c>
      <c r="B77">
        <v>3</v>
      </c>
      <c r="C77">
        <v>15</v>
      </c>
      <c r="D77">
        <v>3</v>
      </c>
      <c r="E77">
        <v>3</v>
      </c>
      <c r="F77" s="3">
        <f>587+(396.9-48)+(-0.59874+(-0.404838--0.04896))+0-0-0</f>
        <v>934.945382</v>
      </c>
      <c r="G77" s="3">
        <f>555+(392.3-48)+(0.5661+(0.400146-0.04896))+0-0-0</f>
        <v>900.21728599999994</v>
      </c>
      <c r="H77" s="3">
        <f>548+(368.6-47)+(-0.27948+(-0.187986--0.02397))+0-0-0</f>
        <v>869.15650400000004</v>
      </c>
      <c r="I77" s="3">
        <f>548+(333.4-38)+(0+(0-0))+0-0-0</f>
        <v>843.4</v>
      </c>
      <c r="J77" s="3">
        <f>549+(302.6-40)+(-0.83997+(-0.462978--0.0612))+0-0-0</f>
        <v>810.35825199999999</v>
      </c>
      <c r="K77" s="3">
        <f>506+(271-39)+(-0.51612+(-0.27642--0.03978))+0-0-0</f>
        <v>737.24724000000003</v>
      </c>
      <c r="L77" s="3">
        <f>468+(261.1-43)+(-1.1934+(-0.665805--0.10965))+0.3-0-0</f>
        <v>684.65044499999999</v>
      </c>
      <c r="M77" s="3">
        <f>460+(246.8-50)+(0.7038+(0.377604-0.0765))+3.2-0-0</f>
        <v>661.00490400000001</v>
      </c>
      <c r="N77" s="3">
        <f>461+(248.4-46)+(0.23511+(0.126684-0.02346))+0-0-0</f>
        <v>663.73833400000001</v>
      </c>
      <c r="O77" s="3">
        <f>457+(272.7-50)+(0.46614+(0.278154-0.051))+0-0-0</f>
        <v>680.39329400000008</v>
      </c>
      <c r="P77" s="3">
        <f>521+(247-45)+(0+(0-0))+0-0-0</f>
        <v>723</v>
      </c>
      <c r="Q77" s="3">
        <f>521+(304.3-46)+(-0.79713+(-0.465579--0.07038))+0-0-0</f>
        <v>778.10767099999998</v>
      </c>
      <c r="R77" s="3">
        <f>503+(405.4-44)+(0.25653+(0.206754-0.02244))+0-0-0</f>
        <v>864.84084399999995</v>
      </c>
      <c r="S77" s="3">
        <f>517+(430.5-44)+(-1.31835+(-1.097775--0.1122))+0-0-0</f>
        <v>901.19607499999995</v>
      </c>
      <c r="T77" s="3">
        <f>521+(462.1-47)+(-1.32855+(-1.178355--0.11985))+0-0-0</f>
        <v>933.71294499999999</v>
      </c>
      <c r="U77" s="3">
        <f>532+(409.1-46)+(0+(0-0))+0-0-0</f>
        <v>895.1</v>
      </c>
      <c r="V77" s="3">
        <f>547+(350.4-46)+(-0.83691+(-0.536112--0.07038))+0-0-0</f>
        <v>850.09735799999999</v>
      </c>
      <c r="W77" s="3">
        <f>580+(273.4-48.8)+(-1.479+(-0.69717--0.12444))+0-0-0</f>
        <v>802.54826999999989</v>
      </c>
      <c r="X77" s="3">
        <f>580+(208.6-55.1)+(-1.479+(-0.53193--0.140505))+0-0-0</f>
        <v>731.62957500000005</v>
      </c>
      <c r="Y77" s="3">
        <f>542+(321.8-52)+(-0.82926+(-0.492354--0.07956))+0-0-0</f>
        <v>810.5579459999999</v>
      </c>
      <c r="Z77" s="3">
        <f>596+(391.4-55)+(0.60792+(0.399228-0.0561))+0-0-0</f>
        <v>933.35104799999999</v>
      </c>
      <c r="AA77" s="3">
        <f>612+(410.3-50)+(-0.31212+(-0.209253--0.0255))+0-0-0</f>
        <v>971.80412699999999</v>
      </c>
      <c r="AB77" s="3">
        <f>612+(407.7-46)+(-0.93636+(-0.623781--0.07038))+0-0-0</f>
        <v>972.210239</v>
      </c>
      <c r="AC77" s="3">
        <f>604+(392.1-47)+(-0.61608+(-0.399942--0.04794))+0-0-0</f>
        <v>948.13191800000004</v>
      </c>
      <c r="AD77" s="2">
        <v>804.08970499999998</v>
      </c>
      <c r="AE77" s="3">
        <f>603+(413.3-48)+(0+(0-0))+0-0-0</f>
        <v>968.3</v>
      </c>
    </row>
    <row r="78" spans="1:31" s="2" customFormat="1" x14ac:dyDescent="0.3">
      <c r="A78">
        <v>91</v>
      </c>
      <c r="B78">
        <v>3</v>
      </c>
      <c r="C78">
        <v>16</v>
      </c>
      <c r="D78">
        <v>4</v>
      </c>
      <c r="E78">
        <v>1</v>
      </c>
      <c r="F78" s="3">
        <f>572+(402.8-46)+(0+(0-0))+0-0-0</f>
        <v>928.8</v>
      </c>
      <c r="G78" s="3">
        <f>563+(362.1-46)+(-1.14852+(-0.738684--0.09384))+0-0-0</f>
        <v>877.30663600000003</v>
      </c>
      <c r="H78" s="3">
        <f>563+(346.1-45)+(-1.43565+(-0.882555--0.11475))+0-0-0</f>
        <v>861.89654500000006</v>
      </c>
      <c r="I78" s="3">
        <f>569+(326.3-45)+(-0.58038+(-0.332826--0.0459))+0-0-0</f>
        <v>849.43269399999997</v>
      </c>
      <c r="J78" s="3">
        <f>566+(300-47)+(-0.28866+(-0.153--0.02397))+0-0-0</f>
        <v>818.58231000000001</v>
      </c>
      <c r="K78" s="3">
        <f>537+(256-50)+(-0.27387+(-0.13056--0.0255))+0-0-0</f>
        <v>742.62107000000003</v>
      </c>
      <c r="L78" s="3">
        <f>495+(241-50)+(0+(0-0))+0-0-0</f>
        <v>686</v>
      </c>
      <c r="M78" s="3">
        <f>495+(240.9-49)+(0.75735+(0.368577-0.07497))+0-0-0</f>
        <v>687.95095700000002</v>
      </c>
      <c r="N78" s="3">
        <f>544+(190.3-56.3)+(-0.83232+(-0.291159--0.086139))+0-0-0</f>
        <v>676.96266000000003</v>
      </c>
      <c r="O78" s="3">
        <f>554+(202.9-48.8)+(0+(0-0))+0-0-0</f>
        <v>708.1</v>
      </c>
      <c r="P78" s="3">
        <f>554+(241.1-45)+(0+(0-0))+0-0-0</f>
        <v>750.1</v>
      </c>
      <c r="Q78" s="3">
        <f>554+(291.7-50)+(0+(0-0))+0-0-0</f>
        <v>795.7</v>
      </c>
      <c r="R78" s="3">
        <f>554+(354-30)+(0.56508+(0.36108-0.0306))+0-0-0</f>
        <v>878.89556000000005</v>
      </c>
      <c r="S78" s="3">
        <f>557+(400-40)+(-0.28407+(-0.204--0.0204))+0-0-0</f>
        <v>916.53233</v>
      </c>
      <c r="T78" s="3">
        <f>570+(409-44)+(-0.2907+(-0.20859--0.02244))+0-0-0</f>
        <v>934.52314999999999</v>
      </c>
      <c r="U78" s="3">
        <f>576+(379.2-45)+(0+(0-0))+0-0-0</f>
        <v>910.2</v>
      </c>
      <c r="V78" s="3">
        <f>582+(329.7-46)+(-1.18728+(-0.672588--0.09384))+0-0-0</f>
        <v>863.93397200000004</v>
      </c>
      <c r="W78" s="3">
        <f>592+(257.2-51.9)+(-1.81152+(-0.787032--0.158814))+0-0-0</f>
        <v>794.86026199999992</v>
      </c>
      <c r="X78" s="3">
        <f>594+(193.6-68.2)+(-2.72646+(-0.888624--0.313038))+0-0-0</f>
        <v>716.09795399999996</v>
      </c>
      <c r="Y78" s="3">
        <f>590+(237.7-51.6)+(-1.5045+(-0.606135--0.13158))+0-0-0</f>
        <v>774.12094500000001</v>
      </c>
      <c r="Z78" s="3">
        <f>583+(393.8-52)+(-0.89199+(-0.602514--0.07956))+0-0-0</f>
        <v>923.38505599999996</v>
      </c>
      <c r="AA78" s="3">
        <f>599+(424.4-53)+(-0.30549+(-0.216444--0.02703))+0-0-0</f>
        <v>969.90509599999996</v>
      </c>
      <c r="AB78" s="3">
        <f>599+(432.3-46)+(-1.52745+(-1.102365--0.1173))+0-0-0</f>
        <v>982.78748499999995</v>
      </c>
      <c r="AC78" s="3">
        <f>620+(383.9-44)+(-1.2648+(-0.783156--0.08976))+0-0-0</f>
        <v>957.94180399999993</v>
      </c>
      <c r="AD78" s="2">
        <v>804.54317000000003</v>
      </c>
      <c r="AE78" s="3">
        <f>601+(441.3-52)+(0+(0-0))+0-0-0</f>
        <v>990.3</v>
      </c>
    </row>
    <row r="79" spans="1:31" s="2" customFormat="1" x14ac:dyDescent="0.3">
      <c r="A79">
        <v>91</v>
      </c>
      <c r="B79">
        <v>3</v>
      </c>
      <c r="C79">
        <v>17</v>
      </c>
      <c r="D79">
        <v>5</v>
      </c>
      <c r="E79">
        <v>1</v>
      </c>
      <c r="F79" s="3">
        <f>622+(345-52)+(-0.31722+(-0.17595--0.02652))+0-0-0</f>
        <v>914.53335000000004</v>
      </c>
      <c r="G79" s="3">
        <f>615+(302.6-50)+(0+(0-0))+0-0-0</f>
        <v>867.6</v>
      </c>
      <c r="H79" s="3">
        <f>584+(304.1-49)+(-0.29784+(-0.155091--0.02499))+0-0-0</f>
        <v>838.67205899999999</v>
      </c>
      <c r="I79" s="3">
        <f>541+(326.8-43)+(-0.82773+(-0.500004--0.06579))+0-0-0</f>
        <v>823.53805599999998</v>
      </c>
      <c r="J79" s="3">
        <f>541+(288.9-43)+(-0.82773+(-0.442017--0.06579))+0-0-0</f>
        <v>785.69604300000003</v>
      </c>
      <c r="K79" s="3">
        <f>514+(229.7-45)+(-1.3107+(-0.585735--0.11475))+0-0-0</f>
        <v>696.91831500000001</v>
      </c>
      <c r="L79" s="3">
        <f>469+(230.6-50)+(-0.71757+(-0.352818--0.0765))+0-0-0</f>
        <v>648.60611200000005</v>
      </c>
      <c r="M79" s="3">
        <f>467+(240.4-44)+(0.71451+(0.367812-0.06732))+0-0-0</f>
        <v>664.41500199999996</v>
      </c>
      <c r="N79" s="3">
        <f>465+(258.3-42)+(1.18575+(0.658665-0.1071))+0-0-0</f>
        <v>683.03731499999992</v>
      </c>
      <c r="O79" s="3">
        <f>552+(195.4-45.6)+(0.56304+(0.199308-0.046512))+0-0-0</f>
        <v>702.51583599999992</v>
      </c>
      <c r="P79" s="3">
        <f>592+(200.7-54.9)+(-0.90576+(-0.307071--0.083997))+0-0-0</f>
        <v>736.67116599999997</v>
      </c>
      <c r="Q79" s="3">
        <f>594+(242.7-41.5)+(0.90882+(0.371331-0.063495))+0-0-0</f>
        <v>796.41665599999999</v>
      </c>
      <c r="R79" s="3">
        <f>588+(326.9-41)+(0+(0-0))+0-0-0</f>
        <v>873.9</v>
      </c>
      <c r="S79" s="3">
        <f>585+(376.8-48)+(-0.29835+(-0.192168--0.02448))+0-0-0</f>
        <v>913.33396199999993</v>
      </c>
      <c r="T79" s="3">
        <f>585+(384-44)+(-0.29835+(-0.19584--0.02244))+0-0-0</f>
        <v>924.52824999999996</v>
      </c>
      <c r="U79" s="3">
        <f>611+(337.5-41)+(0.31161+(0.172125-0.02091))+0-0-0</f>
        <v>907.96282499999995</v>
      </c>
      <c r="V79" s="3">
        <f>630+(270.5-47.3)+(-0.6426+(-0.27591--0.048246))+0-0-0</f>
        <v>852.32973600000003</v>
      </c>
      <c r="W79" s="3">
        <f>653+(201.7-68.5)+(-1.33212+(-0.411468--0.13974))+0-0-0</f>
        <v>784.59615200000007</v>
      </c>
      <c r="X79" s="3">
        <f>664+(141.4-97.4)+(-0.67728+(-0.144228--0.099348))+0-0-0</f>
        <v>707.27783999999997</v>
      </c>
      <c r="Y79" s="3">
        <f>616+(199.8-59.1)+(-1.25664+(-0.407592--0.120564))+0-0-0</f>
        <v>755.15633200000002</v>
      </c>
      <c r="Z79" s="3">
        <f>652+(304.5-54)+(-0.33252+(-0.155295--0.02754))+0-0-0</f>
        <v>902.03972499999998</v>
      </c>
      <c r="AA79" s="3">
        <f>670+(332.8-52)+(-1.0251+(-0.509184--0.07956))+0-0-0</f>
        <v>949.3452759999999</v>
      </c>
      <c r="AB79" s="3">
        <f>669+(340.5-48)+(0+(0-0))+0-0-0</f>
        <v>961.5</v>
      </c>
      <c r="AC79" s="3">
        <f>669+(321.9-48)+(-1.02357+(-0.492507--0.07344))+0-0-0</f>
        <v>941.45736299999999</v>
      </c>
      <c r="AD79" s="2">
        <v>796.19373400000006</v>
      </c>
      <c r="AE79" s="3">
        <f>667+(334.3-52)+(0+(0-0))+0-0-0</f>
        <v>949.3</v>
      </c>
    </row>
    <row r="80" spans="1:31" s="2" customFormat="1" x14ac:dyDescent="0.3">
      <c r="A80">
        <v>91</v>
      </c>
      <c r="B80">
        <v>3</v>
      </c>
      <c r="C80">
        <v>18</v>
      </c>
      <c r="D80">
        <v>6</v>
      </c>
      <c r="E80">
        <v>1</v>
      </c>
      <c r="F80" s="3">
        <f>619+(287.5-39)+(-0.63138+(-0.29325--0.03978))+0-0-0</f>
        <v>866.61514999999997</v>
      </c>
      <c r="G80" s="3">
        <f>606+(265.2-42)+(-0.61812+(-0.270504--0.04284))+0-0-0</f>
        <v>828.35421600000006</v>
      </c>
      <c r="H80" s="3">
        <f>605+(248.6-44.2)+(0+(0-0))+0-0-0</f>
        <v>809.4</v>
      </c>
      <c r="I80" s="3">
        <f>605+(227.5-55.1)+(-0.30855+(-0.116025--0.028101))+0-0-0</f>
        <v>777.00352599999997</v>
      </c>
      <c r="J80" s="3">
        <f>612+(193.4-48.7)+(-0.93636+(-0.295902--0.074511))+0-0-0</f>
        <v>755.54224900000008</v>
      </c>
      <c r="K80" s="3">
        <f>548+(164.5-47.5)+(-0.55896+(-0.16779--0.04845))+0-0-0</f>
        <v>664.32169999999996</v>
      </c>
      <c r="L80" s="3">
        <f>468+(197.7-40)+(-0.95472+(-0.403308--0.0816))+0-0-0</f>
        <v>624.42357200000004</v>
      </c>
      <c r="M80" s="3">
        <f>467+(203.1-36)+(0.71451+(0.310743-0.05508))+0-0-0</f>
        <v>635.07017300000007</v>
      </c>
      <c r="N80" s="3">
        <f>496+(182.6-44.1)+(0.75888+(0.279378-0.067473))+0-0-0</f>
        <v>635.47078499999998</v>
      </c>
      <c r="O80" s="3">
        <f>543+(177.2-56.8)+(0+(0-0))+0-0-0</f>
        <v>663.4</v>
      </c>
      <c r="P80" s="3">
        <f>581+(170.1-66.9)+(0.29631+(0.086751-0.034119))+0-0-0</f>
        <v>684.54894200000001</v>
      </c>
      <c r="Q80" s="3">
        <f>572+(221-47.7)+(0+(0-0))+0-0-0</f>
        <v>745.3</v>
      </c>
      <c r="R80" s="3">
        <f>564+(348.8-38)+(0+(0-0))+0-0-0</f>
        <v>874.8</v>
      </c>
      <c r="S80" s="3">
        <f>570+(378.5-44)+(-0.8721+(-0.579105--0.06732))+0-0-0</f>
        <v>903.11611500000004</v>
      </c>
      <c r="T80" s="3">
        <f>594+(377.2-46)+(-0.60588+(-0.384744--0.04692))+0-0-0</f>
        <v>924.25629600000002</v>
      </c>
      <c r="U80" s="3">
        <f>603+(365.4-48)+(-1.23012+(-0.745416--0.09792))+0-0-0</f>
        <v>918.52238399999999</v>
      </c>
      <c r="V80" s="3">
        <f>607+(314.6-55.9)+(0.30957+(0.160446-0.028509))+0-0-0</f>
        <v>866.14150700000005</v>
      </c>
      <c r="W80" s="3">
        <f>593+(261.7-57.7)+(0+(0-0))+0-0-0</f>
        <v>797</v>
      </c>
      <c r="X80" s="3">
        <f>579+(206.1-63.9)+(-0.59058+(-0.210222--0.065178))+0-0-0</f>
        <v>720.46437600000002</v>
      </c>
      <c r="Y80" s="3">
        <f>547+(274.4-51)+(-0.27897+(-0.139944--0.02601))+0-0-0</f>
        <v>770.00709599999993</v>
      </c>
      <c r="Z80" s="3">
        <f>589+(374.6-54)+(0.60078+(0.382092-0.05508))+0-0-0</f>
        <v>910.52779199999998</v>
      </c>
      <c r="AA80" s="3">
        <f>646+(361.7-53)+(-0.98838+(-0.553401--0.08109))+0-0-0</f>
        <v>953.23930900000005</v>
      </c>
      <c r="AB80" s="3">
        <f>636+(369.4-53)+(-0.64872+(-0.376788--0.05406))+0-0-0</f>
        <v>951.42855199999997</v>
      </c>
      <c r="AC80" s="3">
        <f>637+(356.1-51)+(0.32487+(0.181611-0.02601))+0-0-0</f>
        <v>942.58047099999999</v>
      </c>
      <c r="AD80" s="2">
        <v>766.9</v>
      </c>
      <c r="AE80" s="3">
        <f>634+(373.2-51)+(0+(0-0))+0-0-0</f>
        <v>956.2</v>
      </c>
    </row>
    <row r="81" spans="1:31" s="2" customFormat="1" x14ac:dyDescent="0.3">
      <c r="A81">
        <v>91</v>
      </c>
      <c r="B81">
        <v>3</v>
      </c>
      <c r="C81">
        <v>19</v>
      </c>
      <c r="D81">
        <v>7</v>
      </c>
      <c r="E81">
        <v>1</v>
      </c>
      <c r="F81" s="3">
        <f>640+(326.1-45)+(-0.3264+(-0.166311--0.02295))+0-0-0</f>
        <v>920.63023900000007</v>
      </c>
      <c r="G81" s="3">
        <f>639+(279.1-51.1)+(-0.32589+(-0.142341--0.026061))+0-0-0</f>
        <v>866.55782999999997</v>
      </c>
      <c r="H81" s="3">
        <f>640+(253.7-56.7)+(0+(0-0))+0-0-0</f>
        <v>837</v>
      </c>
      <c r="I81" s="3">
        <f>636+(231.6-60.2)+(0+(0-0))+0-0-0</f>
        <v>807.4</v>
      </c>
      <c r="J81" s="3">
        <f>584+(232.7-48)+(-1.19136+(-0.474708--0.09792))+0-0-0</f>
        <v>767.13185200000009</v>
      </c>
      <c r="K81" s="3">
        <f>566+(181.2-59.9)+(-1.4433+(-0.46206--0.152745))+0-0-0</f>
        <v>685.54738499999996</v>
      </c>
      <c r="L81" s="3">
        <f>608+(103.2-103.8)+(-1.5504+(-0.26316--0.26469))+0-0-0</f>
        <v>605.85113000000001</v>
      </c>
      <c r="M81" s="3">
        <f>613+(109-100.3)+(0.62526+(0.11118-0.102306))+0-0-0</f>
        <v>622.33413400000006</v>
      </c>
      <c r="N81" s="3">
        <f>595+(126.8-89.7)+(-0.30345+(-0.064668--0.045747))+0-0-0</f>
        <v>631.77762900000005</v>
      </c>
      <c r="O81" s="3">
        <f>594+(138.5-84.8)+(-0.60588+(-0.14127--0.086496))+0-0-0</f>
        <v>647.03934600000002</v>
      </c>
      <c r="P81" s="3">
        <f>601+(159.3-76.3)+(0+(0-0))+0-0-0</f>
        <v>684</v>
      </c>
      <c r="Q81" s="3">
        <f>599+(220.4-56.2)+(0.30549+(0.112404-0.028662))+0-0-0</f>
        <v>763.58923200000004</v>
      </c>
      <c r="R81" s="3">
        <f>594+(271.4-47)+(0.60588+(0.276828-0.04794))+0-0-0</f>
        <v>819.23476800000003</v>
      </c>
      <c r="S81" s="3">
        <f>594+(340.3-49)+(-0.30294+(-0.173553--0.02499))+0-0-0</f>
        <v>884.84849699999995</v>
      </c>
      <c r="T81" s="3">
        <f>594+(352.5-48)+(0+(0-0))+0-0-0</f>
        <v>898.5</v>
      </c>
      <c r="U81" s="3">
        <f>586+(361.6-49)+(-0.59772+(-0.368832--0.04998))+0-0-0</f>
        <v>897.68342800000005</v>
      </c>
      <c r="V81" s="3">
        <f>575+(320-47.1)+(0+(0-0))+0-0-0</f>
        <v>847.9</v>
      </c>
      <c r="W81" s="3">
        <f>620+(236.9-58.9)+(-0.6324+(-0.241638--0.060078))+0-0-0</f>
        <v>797.18604000000005</v>
      </c>
      <c r="X81" s="3">
        <f>613+(167.5-67.7)+(-0.62526+(-0.17085--0.069054))+0-0-0</f>
        <v>712.07294400000001</v>
      </c>
      <c r="Y81" s="3">
        <f>580+(220.6-48)+(-0.5916+(-0.225012--0.04896))+0-0-0</f>
        <v>751.83234800000002</v>
      </c>
      <c r="Z81" s="3">
        <f>645+(316.5-56)+(0.6579+(0.32283-0.05712))+0-0-0</f>
        <v>906.42361000000005</v>
      </c>
      <c r="AA81" s="3">
        <f>672+(344.8-54)+(-0.34272+(-0.175848--0.02754))+0-0-0</f>
        <v>962.30897199999993</v>
      </c>
      <c r="AB81" s="3">
        <f>672+(364.5-50)+(0.68544+(0.37179-0.051))+0-0-0</f>
        <v>987.50622999999996</v>
      </c>
      <c r="AC81" s="3">
        <f>663+(329-49)+(-0.67626+(-0.33558--0.04998))+0-0-0</f>
        <v>942.03814</v>
      </c>
      <c r="AD81" s="2">
        <v>737.6</v>
      </c>
      <c r="AE81" s="3">
        <f>672+(382.6-53)+(0+(0-0))+0-0-0</f>
        <v>1001.6</v>
      </c>
    </row>
    <row r="82" spans="1:31" s="2" customFormat="1" x14ac:dyDescent="0.3">
      <c r="A82">
        <v>91</v>
      </c>
      <c r="B82">
        <v>3</v>
      </c>
      <c r="C82">
        <v>20</v>
      </c>
      <c r="D82">
        <v>1</v>
      </c>
      <c r="E82">
        <v>1</v>
      </c>
      <c r="F82" s="3">
        <f>632+(333.1-50.1)+(-0.32232+(-0.169881--0.025551))+0-0-0</f>
        <v>914.53335000000004</v>
      </c>
      <c r="G82" s="3">
        <f>615+(306.9-53.6)+(-1.56825+(-0.782595--0.13668))+0-0-0</f>
        <v>866.08583499999997</v>
      </c>
      <c r="H82" s="3">
        <f>617+(274-59.4)+(-0.62934+(-0.27948--0.060588))+0-0-0</f>
        <v>830.75176799999997</v>
      </c>
      <c r="I82" s="3">
        <f>612+(248.6-61.3)+(-0.62424+(-0.253572--0.062526))+0-0-0</f>
        <v>798.48471399999994</v>
      </c>
      <c r="J82" s="3">
        <f>578+(255.3-53.9)+(-0.29478+(-0.130203--0.027489))+0-0-0</f>
        <v>779.00250599999993</v>
      </c>
      <c r="K82" s="3">
        <f>551+(213.3-61.3)+(-1.40505+(-0.543915--0.156315))+0-0-0</f>
        <v>701.20735000000002</v>
      </c>
      <c r="L82" s="3">
        <f>462+(248.5-48)+(-0.47124+(-0.25347--0.04896))+0-0-0</f>
        <v>661.82425000000001</v>
      </c>
      <c r="M82" s="3">
        <f>498+(204.1-47.2)+(-1.2699+(-0.520455--0.12036))+0-0-0</f>
        <v>653.23000500000001</v>
      </c>
      <c r="N82" s="3">
        <f>525+(205.1-54.8)+(-0.26775+(-0.104601--0.027948))+0-0-0</f>
        <v>674.9555969999999</v>
      </c>
      <c r="O82" s="3">
        <f>525+(232.4-44)+(-0.26775+(-0.118524--0.02244))+0-0-0</f>
        <v>713.03616599999998</v>
      </c>
      <c r="P82" s="3">
        <f>543+(246.9-46.1)+(-0.55386+(-0.251838--0.047022))+0-0-0</f>
        <v>743.04132399999992</v>
      </c>
      <c r="Q82" s="3">
        <f>547+(296-38)+(0+(0-0))+0-0-0</f>
        <v>805</v>
      </c>
      <c r="R82" s="3">
        <f>553+(386.5-40)+(-0.84609+(-0.591345--0.0612))+0-0-0</f>
        <v>898.12376500000005</v>
      </c>
      <c r="S82" s="3">
        <f>565+(421.5-42)+(-1.1526+(-0.85986--0.08568))+0-0-0</f>
        <v>942.57321999999999</v>
      </c>
      <c r="T82" s="3">
        <f>584+(392-43)+(0.59568+(0.39984-0.04386))+0-0-0</f>
        <v>933.95165999999995</v>
      </c>
      <c r="U82" s="3">
        <f>590+(372.1-43)+(-0.3009+(-0.189771--0.02193))+0-0-0</f>
        <v>918.631259</v>
      </c>
      <c r="V82" s="3">
        <f>607+(305.3-49.1)+(-0.92871+(-0.467109--0.075123))+0-0-0</f>
        <v>861.87930400000005</v>
      </c>
      <c r="W82" s="3">
        <f>624+(239.5-56.8)+(0+(0-0))+0-0-0</f>
        <v>806.7</v>
      </c>
      <c r="X82" s="3">
        <f>594+(188-55.5)+(-0.60588+(-0.19176--0.05661))+0-0-0</f>
        <v>725.75896999999998</v>
      </c>
      <c r="Y82" s="3">
        <f>586+(224.8-46.5)+(0+(0-0))+0-0-0</f>
        <v>764.3</v>
      </c>
      <c r="Z82" s="3">
        <f>603+(371.4-41)+(0.30753+(0.189414-0.02091))+0-0-0</f>
        <v>933.876034</v>
      </c>
      <c r="AA82" s="3">
        <f>646+(383-40)+(-1.31784+(-0.78132--0.0816))+0-0-0</f>
        <v>986.98244</v>
      </c>
      <c r="AB82" s="3">
        <f>645+(408.1-40)+(-1.64475+(-1.040655--0.102))+0-0-0</f>
        <v>1010.5165950000001</v>
      </c>
      <c r="AC82" s="3">
        <f>624+(378.4-38)+(-0.95472+(-0.578952--0.05814))+0-0-0</f>
        <v>962.92446799999993</v>
      </c>
      <c r="AD82" s="2">
        <v>609.96532300000001</v>
      </c>
      <c r="AE82" s="3">
        <f>647+(395.1-41)+(0+(0-0))+0-0-0</f>
        <v>1001.1</v>
      </c>
    </row>
    <row r="83" spans="1:31" s="2" customFormat="1" x14ac:dyDescent="0.3">
      <c r="A83">
        <v>91</v>
      </c>
      <c r="B83">
        <v>3</v>
      </c>
      <c r="C83">
        <v>21</v>
      </c>
      <c r="D83">
        <v>2</v>
      </c>
      <c r="E83">
        <v>1</v>
      </c>
      <c r="F83" s="3">
        <f>602+(380.3-41)+(-1.5351+(-0.969765--0.10455))+0-0-0</f>
        <v>938.89968499999998</v>
      </c>
      <c r="G83" s="3">
        <f>584+(350.9-39)+(-0.59568+(-0.357918--0.03978))+0-0-0</f>
        <v>894.98618199999999</v>
      </c>
      <c r="H83" s="3">
        <f>526+(386.7-38)+(0.26826+(0.197217-0.01938))+0-0-0</f>
        <v>875.14609700000005</v>
      </c>
      <c r="I83" s="3">
        <f>527+(352.2-38)+(1.07508+(0.718488-0.07752))+0-0-0</f>
        <v>842.91604800000005</v>
      </c>
      <c r="J83" s="3">
        <f>525+(328.2-44)+(-0.80325+(-0.502146--0.06732))+0-0-0</f>
        <v>807.96192400000007</v>
      </c>
      <c r="K83" s="3">
        <f>516+(263.2-45)+(-1.3158+(-0.67116--0.11475))+0-0-0</f>
        <v>732.32779000000005</v>
      </c>
      <c r="L83" s="3">
        <f>455+(282-43)+(-0.4641+(-0.28764--0.04386))+0-0-0</f>
        <v>693.29211999999995</v>
      </c>
      <c r="M83" s="3">
        <f>462+(274.5-42)+(0+(0-0))+0-0-0</f>
        <v>694.5</v>
      </c>
      <c r="N83" s="3">
        <f>458+(285.9-41)+(0.70074+(0.437427-0.06273))+0-0-0</f>
        <v>703.97543699999994</v>
      </c>
      <c r="O83" s="3">
        <f>516+(242.8-38)+(0+(0-0))+0-0-0</f>
        <v>720.8</v>
      </c>
      <c r="P83" s="3">
        <f>538+(261.1-37.8)+(0.27438+(0.133161-0.019278))+0-0-0</f>
        <v>761.68826300000001</v>
      </c>
      <c r="Q83" s="3">
        <f>545+(307.7-40)+(-0.5559+(-0.313854--0.0408))+0-0-0</f>
        <v>811.87104600000009</v>
      </c>
      <c r="R83" s="3">
        <f>596+(352.2-42)+(-0.30396+(-0.179622--0.02142))+0-0-0</f>
        <v>905.73783800000001</v>
      </c>
      <c r="S83" s="3">
        <f>596+(384.5-41)+(-0.91188+(-0.588285--0.06273))+0-0-0</f>
        <v>938.06256499999995</v>
      </c>
      <c r="T83" s="3">
        <f>596+(452.7-38)+(-0.91188+(-0.692631--0.05814))+0-0-0</f>
        <v>1009.153629</v>
      </c>
      <c r="U83" s="3">
        <f>601+(424.9-35)+(-1.53255+(-1.083495--0.08925))+0-0-0</f>
        <v>988.37320499999998</v>
      </c>
      <c r="V83" s="3">
        <f>609+(351.8-39)+(-0.31059+(-0.179418--0.01989))+0-0-0</f>
        <v>921.329882</v>
      </c>
      <c r="W83" s="3">
        <f>632+(276.9-52.1)+(-1.28928+(-0.564876--0.106284))+0-0-0</f>
        <v>855.05212799999993</v>
      </c>
      <c r="X83" s="3">
        <f>632+(181.2-63)+(-1.6116+(-0.46206--0.16065))+0-0-0</f>
        <v>748.28699000000006</v>
      </c>
      <c r="Y83" s="3">
        <f>587+(260.1-41.4)+(-0.89811+(-0.397953--0.063342))+0-0-0</f>
        <v>804.46727900000008</v>
      </c>
      <c r="Z83" s="3">
        <f>621+(416-42)+(0+(0-0))+0-0-0</f>
        <v>995</v>
      </c>
      <c r="AA83" s="3">
        <f>647+(444.6-49)+(-0.98991+(-0.680238--0.07497))+0-0-0</f>
        <v>1041.0048219999999</v>
      </c>
      <c r="AB83" s="3">
        <f>647+(459.9-39)+(-1.97982+(-1.407294--0.11934))+0-0-0</f>
        <v>1064.6322260000002</v>
      </c>
      <c r="AC83" s="3">
        <f>609+(463.1-39)+(0+(0-0))+0-0-0</f>
        <v>1033.0999999999999</v>
      </c>
      <c r="AD83" s="2">
        <v>570.04267500000003</v>
      </c>
      <c r="AE83" s="3">
        <f>654+(434.5-47)+(0+(0-0))+0-0-0</f>
        <v>1041.5</v>
      </c>
    </row>
    <row r="84" spans="1:31" s="2" customFormat="1" x14ac:dyDescent="0.3">
      <c r="A84">
        <v>91</v>
      </c>
      <c r="B84">
        <v>3</v>
      </c>
      <c r="C84">
        <v>22</v>
      </c>
      <c r="D84">
        <v>3</v>
      </c>
      <c r="E84">
        <v>1</v>
      </c>
      <c r="F84" s="3">
        <f>572+(414.1-43)+(-0.58344+(-0.422382--0.04386))+0-0-0</f>
        <v>942.13803800000005</v>
      </c>
      <c r="G84" s="3">
        <f>562+(376.4-42)+(0+(0-0))+0-0-0</f>
        <v>896.4</v>
      </c>
      <c r="H84" s="3">
        <f>562+(325.7-42)+(-0.28662+(-0.166107--0.02142))+0-0-0</f>
        <v>845.2686930000001</v>
      </c>
      <c r="I84" s="3">
        <f>559+(336.3-42)+(-0.85527+(-0.514539--0.06426))+0-0-0</f>
        <v>851.99445099999991</v>
      </c>
      <c r="J84" s="3">
        <f>551+(273.2-43)+(-1.40505+(-0.69666--0.10965))+0-0-0</f>
        <v>779.20794000000001</v>
      </c>
      <c r="K84" s="3">
        <f>528+(215.8-47.6)+(-1.3464+(-0.55029--0.12138))+0-0-0</f>
        <v>694.42469000000006</v>
      </c>
      <c r="L84" s="3">
        <f>430+(300.4-40)+(-0.4386+(-0.306408--0.0408))+0-0-0</f>
        <v>689.69579199999998</v>
      </c>
      <c r="M84" s="3">
        <f>416+(312.1-40)+(0.63648+(0.477513-0.0612))+0-0-0</f>
        <v>689.15279299999997</v>
      </c>
      <c r="N84" s="3">
        <f>415+(322.1-39)+(-0.21165+(-0.164271--0.01989))+0-0-0</f>
        <v>697.74396899999999</v>
      </c>
      <c r="O84" s="3">
        <f>418+(344.2-39)+(-0.42636+(-0.351084--0.03978))+0-0-0</f>
        <v>722.46233600000005</v>
      </c>
      <c r="P84" s="3">
        <f>468+(350.1-36)+(-0.47736+(-0.357102--0.03672))+0-0-0</f>
        <v>781.30225800000005</v>
      </c>
      <c r="Q84" s="3">
        <f>527+(357.3-38)+(0.53754+(0.364446-0.03876))+0-0-0</f>
        <v>847.16322600000001</v>
      </c>
      <c r="R84" s="3">
        <f>533+(450.4-37)+(0+(0-0))+0-0-0</f>
        <v>946.4</v>
      </c>
      <c r="S84" s="3">
        <f>568+(451.4-32)+(-0.28968+(-0.230214--0.01632))+0-0-0</f>
        <v>986.89642600000002</v>
      </c>
      <c r="T84" s="3">
        <f>569+(416.6-33)+(0.29019+(0.212466-0.01683))+0-0-0</f>
        <v>953.085826</v>
      </c>
      <c r="U84" s="3">
        <f>559+(368-35)+(0.57018+(0.37536-0.0357))+0-0-0</f>
        <v>892.90984000000003</v>
      </c>
      <c r="V84" s="3">
        <f>570+(313.5-34)+(-0.8721+(-0.479655--0.05202))+0-0-0</f>
        <v>848.20026499999994</v>
      </c>
      <c r="W84" s="3">
        <f>585+(288.9-34.6)+(-1.7901+(-0.884034--0.105876))+0-0-0</f>
        <v>836.73174199999994</v>
      </c>
      <c r="X84" s="3">
        <f>600+(182.2-45.8)+(-0.612+(-0.185844--0.046716))+0-0-0</f>
        <v>735.64887199999998</v>
      </c>
      <c r="Y84" s="3">
        <f>598+(216.6-43.5)+(-1.82988+(-0.662796--0.13311))+0-0-0</f>
        <v>768.74043400000005</v>
      </c>
      <c r="Z84" s="3">
        <f>613+(367.7-46)+(0.62526+(0.375054-0.04692))+0-0-0</f>
        <v>935.65339400000005</v>
      </c>
      <c r="AA84" s="3">
        <f>639+(395.9-50)+(-0.97767+(-0.605727--0.0765))+0-0-0</f>
        <v>983.393103</v>
      </c>
      <c r="AB84" s="3">
        <f>646+(397-46)+(-0.32946+(-0.20247--0.02346))+0-0-0</f>
        <v>996.49153000000001</v>
      </c>
      <c r="AC84" s="3">
        <f>638+(386.8-44)+(-0.97614+(-0.591804--0.06732))+0-0-0</f>
        <v>979.29937599999994</v>
      </c>
      <c r="AD84" s="2">
        <v>665.8</v>
      </c>
      <c r="AE84" s="3">
        <f>648+(421.5-47)+(0+(0-0))+0-0-0</f>
        <v>1022.5</v>
      </c>
    </row>
    <row r="85" spans="1:31" s="2" customFormat="1" x14ac:dyDescent="0.3">
      <c r="A85">
        <v>91</v>
      </c>
      <c r="B85">
        <v>3</v>
      </c>
      <c r="C85">
        <v>23</v>
      </c>
      <c r="D85">
        <v>4</v>
      </c>
      <c r="E85">
        <v>1</v>
      </c>
      <c r="F85" s="3">
        <f>630+(309.5-48)+(-1.2852+(-0.63138--0.09792))+0-0-0</f>
        <v>889.68133999999998</v>
      </c>
      <c r="G85" s="3">
        <f>605+(299.3-48)+(-0.6171+(-0.305286--0.04896))+0-0-0</f>
        <v>855.42657399999996</v>
      </c>
      <c r="H85" s="3">
        <f>600+(285.5-47)+(-0.306+(-0.145605--0.02397))+0-0-0</f>
        <v>838.07236499999999</v>
      </c>
      <c r="I85" s="3">
        <f>598+(266-47)+(-0.91494+(-0.40698--0.07191))+0-0-0</f>
        <v>815.74999000000003</v>
      </c>
      <c r="J85" s="3">
        <f>597+(235.4-48)+(-0.91341+(-0.360162--0.07344))+0-0-0</f>
        <v>783.19986799999992</v>
      </c>
      <c r="K85" s="3">
        <f>573+(203.1-56.3)+(-1.16892+(-0.414324--0.114852))+0-0-0</f>
        <v>718.33160799999996</v>
      </c>
      <c r="L85" s="3">
        <f>518+(248.1-50)+(0+(0-0))+0-0-0</f>
        <v>716.1</v>
      </c>
      <c r="M85" s="3">
        <f>514+(199.1-18.3)+(-0.78642+(-0.304623--0.027999))+0-0-0</f>
        <v>693.73695599999996</v>
      </c>
      <c r="N85" s="3">
        <f>501+(256.6-10)+(0+(0-0))+0-0-0</f>
        <v>747.6</v>
      </c>
      <c r="O85" s="3">
        <f>512+(229.5-5.6)+(0.52224+(0.23409-0.005712))+0-0-0</f>
        <v>736.65061800000001</v>
      </c>
      <c r="P85" s="3">
        <f>573+(216.1-18.3)+(0.87669+(0.330633-0.027999))+0-0-0</f>
        <v>771.97932399999991</v>
      </c>
      <c r="Q85" s="3">
        <f>573+(278.2-5.4)+(0.58446+(0.283764-0.005508))+0-0-0</f>
        <v>846.66271599999993</v>
      </c>
      <c r="R85" s="3">
        <f>574+(349.7-0)+(1.17096+(0.713388-0))+0-0-0</f>
        <v>925.58434800000009</v>
      </c>
      <c r="S85" s="3">
        <f>575+(414.4-34)+(0.29325+(0.211344-0.01734))+0-0-0</f>
        <v>955.88725399999998</v>
      </c>
      <c r="T85" s="3">
        <f>595+(398.9-47)+(-0.30345+(-0.203439--0.02397))+0-0-0</f>
        <v>946.41708099999994</v>
      </c>
      <c r="U85" s="3">
        <f>596+(355.9-47)+(0+(0-0))+0-0-0</f>
        <v>904.9</v>
      </c>
      <c r="V85" s="3">
        <f>603+(268.9-60.1)+(0+(0-0))+0-0-0</f>
        <v>811.8</v>
      </c>
      <c r="W85" s="3">
        <f>614+(231.4-64)+(-0.31314+(-0.118014--0.03264))+0-0-0</f>
        <v>781.001486</v>
      </c>
      <c r="X85" s="3">
        <f>613+(197.2-66.7)+(-0.31263+(-0.100572--0.034017))+0-0-0</f>
        <v>743.12081499999999</v>
      </c>
      <c r="Y85" s="3">
        <f>572+(279.5-48)+(-1.4586+(-0.712725--0.1224))+0-0-0</f>
        <v>801.45107499999995</v>
      </c>
      <c r="Z85" s="3">
        <f>595+(406.9-54)+(0.6069+(0.415038-0.05508))+0-0-0</f>
        <v>948.86685799999998</v>
      </c>
      <c r="AA85" s="3">
        <f>646+(386.8-50)+(-1.31784+(-0.789072--0.102))+0-0-0</f>
        <v>980.79508799999996</v>
      </c>
      <c r="AB85" s="3">
        <f>650+(400.8-50)+(-0.9945+(-0.613224--0.0765))+0-0-0</f>
        <v>999.268776</v>
      </c>
      <c r="AC85" s="3">
        <f>640+(372.5-49)+(-0.3264+(-0.189975--0.02499))+0-0-0</f>
        <v>963.00861499999996</v>
      </c>
      <c r="AD85" s="2">
        <v>702.72318599999994</v>
      </c>
      <c r="AE85" s="3">
        <f>650+(389.5-51)+(0+(0-0))+0-0-0</f>
        <v>988.5</v>
      </c>
    </row>
    <row r="86" spans="1:31" s="2" customFormat="1" x14ac:dyDescent="0.3">
      <c r="A86">
        <v>91</v>
      </c>
      <c r="B86">
        <v>3</v>
      </c>
      <c r="C86">
        <v>24</v>
      </c>
      <c r="D86">
        <v>5</v>
      </c>
      <c r="E86">
        <v>1</v>
      </c>
      <c r="F86" s="3">
        <f>623+(355.5-48)+(0+(0-0))+0-0-0</f>
        <v>930.5</v>
      </c>
      <c r="G86" s="3">
        <f>592+(361.7-48)+(-1.20768+(-0.737868--0.09792))+0-0-0</f>
        <v>903.85237200000006</v>
      </c>
      <c r="H86" s="3">
        <f>594+(322.4-47)+(-0.60588+(-0.328848--0.04794))+0-0-0</f>
        <v>868.51321199999995</v>
      </c>
      <c r="I86" s="3">
        <f>594+(295.3-49)+(0.90882+(0.451809-0.07497))+0-0-0</f>
        <v>841.58565899999996</v>
      </c>
      <c r="J86" s="3">
        <f>589+(273.8-50.1)+(-0.30039+(-0.139638--0.025551))+0-0-0</f>
        <v>812.28552300000001</v>
      </c>
      <c r="K86" s="3">
        <f>544+(233.2-51.1)+(-1.3872+(-0.59466--0.130305))+0-0-0</f>
        <v>724.24844500000006</v>
      </c>
      <c r="L86" s="3">
        <f>518+(228.3-50.1)+(-0.52836+(-0.232866--0.051102))+0-0-0</f>
        <v>695.48987600000009</v>
      </c>
      <c r="M86" s="3">
        <f>518+(222.2-58.2)+(0.79254+(0.339966-0.089046))+0-0-0</f>
        <v>683.04345999999998</v>
      </c>
      <c r="N86" s="3">
        <f>551+(231.3-68)+(-0.28101+(-0.117963--0.03468))+0-0-0</f>
        <v>713.93570699999998</v>
      </c>
      <c r="O86" s="3">
        <f>575+(232.6-65.8)+(0.87975+(0.355878-0.100674))+0-0-0</f>
        <v>742.93495399999995</v>
      </c>
      <c r="P86" s="3">
        <f>574+(280.4-55.7)+(0.29274+(0.143004-0.028407))+0-0-0</f>
        <v>799.10733700000003</v>
      </c>
      <c r="Q86" s="3">
        <f>580+(317.9-48)+(0+(0-0))+0-0-0</f>
        <v>849.9</v>
      </c>
      <c r="R86" s="3">
        <f>601+(373.5-46)+(0+(0-0))+0-0-0</f>
        <v>928.5</v>
      </c>
      <c r="S86" s="3">
        <f>600+(405.5-48)+(-0.612+(-0.41361--0.04896))+0-0-0</f>
        <v>956.52335000000005</v>
      </c>
      <c r="T86" s="3">
        <f>601+(428.7-47)+(-0.30651+(-0.218637--0.02397))+0-0-0</f>
        <v>982.19882300000006</v>
      </c>
      <c r="U86" s="3">
        <f>606+(380.9-50)+(-0.30906+(-0.194259--0.0255))+0-0-0</f>
        <v>936.42218100000002</v>
      </c>
      <c r="V86" s="3">
        <f>610+(320.4-66.1)+(-1.2444+(-0.653616--0.134844))+0-0-0</f>
        <v>862.5368279999999</v>
      </c>
      <c r="W86" s="3">
        <f>624+(263.1-72.3)+(-0.63648+(-0.268362--0.073746))+3.6-0-0</f>
        <v>817.56890399999997</v>
      </c>
      <c r="X86" s="3">
        <f>604+(226.9-65)+(-0.92412+(-0.347157--0.09945))+0-0-0</f>
        <v>764.72817299999997</v>
      </c>
      <c r="Y86" s="3">
        <f>538+(320.6-52)+(-0.54876+(-0.327012--0.05304))+0-0-0</f>
        <v>805.77726800000005</v>
      </c>
      <c r="Z86" s="3">
        <f>618+(390-54)+(0.31518+(0.1989-0.02754))+0-0-0</f>
        <v>954.48653999999999</v>
      </c>
      <c r="AA86" s="3">
        <f>628+(441.6-52)+(-1.28112+(-0.900864--0.10608))+0-0-0</f>
        <v>1015.524096</v>
      </c>
      <c r="AB86" s="3">
        <f>630+(431.9-53)+(0+(0-0))+0-0-0</f>
        <v>1008.9</v>
      </c>
      <c r="AC86" s="3">
        <f>621+(408-49)+(-0.31671+(-0.20808--0.02499))+0-0-0</f>
        <v>979.50019999999995</v>
      </c>
      <c r="AD86" s="2">
        <v>739.86626999999999</v>
      </c>
      <c r="AE86" s="3">
        <f>630+(464.6-53)+(0+(0-0))+0-0-0</f>
        <v>1041.5999999999999</v>
      </c>
    </row>
    <row r="87" spans="1:31" s="2" customFormat="1" x14ac:dyDescent="0.3">
      <c r="A87">
        <v>91</v>
      </c>
      <c r="B87">
        <v>3</v>
      </c>
      <c r="C87">
        <v>25</v>
      </c>
      <c r="D87">
        <v>6</v>
      </c>
      <c r="E87">
        <v>1</v>
      </c>
      <c r="F87" s="3">
        <f>591+(411.3-47)+(-1.20564+(-0.839052--0.09588))+0-0-0</f>
        <v>953.35118799999998</v>
      </c>
      <c r="G87" s="3">
        <f>577+(380.8-47)+(0+(0-0))+0-0-0</f>
        <v>910.8</v>
      </c>
      <c r="H87" s="3">
        <f>560+(369.2-47)+(0.5712+(0.376584-0.04794))+0-0-0</f>
        <v>883.09984400000008</v>
      </c>
      <c r="I87" s="3">
        <f>559+(351.3-48)+(0+(0-0))+0-0-0</f>
        <v>862.3</v>
      </c>
      <c r="J87" s="3">
        <f>559+(320.7-49)+(0.57018+(0.327114-0.04998))+0-0-0</f>
        <v>831.54731400000003</v>
      </c>
      <c r="K87" s="3">
        <f>522+(282.8-50)+(-1.3311+(-0.72114--0.1275))+0-0-0</f>
        <v>752.87525999999991</v>
      </c>
      <c r="L87" s="3">
        <f>499+(236.9-53)+(-0.76347+(-0.362457--0.08109))+0-0-0</f>
        <v>681.85516299999995</v>
      </c>
      <c r="M87" s="3">
        <f>499+(247.4-50)+(0.76347+(0.378522-0.0765))+0-0-0</f>
        <v>697.46549199999993</v>
      </c>
      <c r="N87" s="3">
        <f>533+(231.3-59.5)+(0.27183+(0.117963-0.030345))+0-0-0</f>
        <v>705.159448</v>
      </c>
      <c r="O87" s="3">
        <f>552+(243.5-58.5)+(0.56304+(0.24837-0.05967))+0-0-0</f>
        <v>737.75174000000004</v>
      </c>
      <c r="P87" s="3">
        <f>551+(279.5-44.5)+(0.56202+(0.28509-0.04539))+0-0-0</f>
        <v>786.80172000000005</v>
      </c>
      <c r="Q87" s="3">
        <f>551+(344.1-42)+(-0.84303+(-0.526473--0.06426))+0-0-0</f>
        <v>851.794757</v>
      </c>
      <c r="R87" s="3">
        <f>562+(421.2-48)+(0+(0-0))+0-0-0</f>
        <v>935.2</v>
      </c>
      <c r="S87" s="3">
        <f>572+(421.4-50)+(-1.75032+(-1.289484--0.153))+0-0-0</f>
        <v>940.51319599999999</v>
      </c>
      <c r="T87" s="3">
        <f>588+(423.8-49)+(-0.59976+(-0.432276--0.04998))+0-0-0</f>
        <v>961.81794400000001</v>
      </c>
      <c r="U87" s="3">
        <f>594+(375.8-50)+(-0.60588+(-0.383316--0.051))+0-0-0</f>
        <v>918.86180400000001</v>
      </c>
      <c r="V87" s="3">
        <f>603+(313.7-62)+(-0.92259+(-0.479961--0.09486))+0-0-0</f>
        <v>853.39230900000007</v>
      </c>
      <c r="W87" s="3">
        <f>628+(249.8-75)+(-0.32028+(-0.127398--0.03825))+0-0-0</f>
        <v>802.39057199999991</v>
      </c>
      <c r="X87" s="3">
        <f>563+(221.7-61.1)+(-1.14852+(-0.452268--0.124644))+0-0-0</f>
        <v>722.12385600000005</v>
      </c>
      <c r="Y87" s="3">
        <f>478+(338-48)+(0+(0-0))+0-0-0</f>
        <v>768</v>
      </c>
      <c r="Z87" s="3">
        <f>588+(365.8-54)+(0+(0-0))+0-0-0</f>
        <v>899.8</v>
      </c>
      <c r="AA87" s="3">
        <f>617+(392.4-53)+(-0.94401+(-0.600372--0.08109))+0-0-0</f>
        <v>954.93670799999995</v>
      </c>
      <c r="AB87" s="3">
        <f>623+(395.9-52)+(-1.27092+(-0.807636--0.10608))+0-0-0</f>
        <v>964.92752399999995</v>
      </c>
      <c r="AC87" s="3">
        <f>640+(371.7-50)+(-0.3264+(-0.189567--0.0255))+0-0-0</f>
        <v>961.20953300000008</v>
      </c>
      <c r="AD87" s="2">
        <v>749.83438799999999</v>
      </c>
      <c r="AE87" s="3">
        <f>635+(409.8-52)+(0+(0-0))+0-0-0</f>
        <v>992.8</v>
      </c>
    </row>
    <row r="88" spans="1:31" s="2" customFormat="1" x14ac:dyDescent="0.3">
      <c r="A88">
        <v>91</v>
      </c>
      <c r="B88">
        <v>3</v>
      </c>
      <c r="C88">
        <v>26</v>
      </c>
      <c r="D88">
        <v>7</v>
      </c>
      <c r="E88">
        <v>1</v>
      </c>
      <c r="F88" s="3">
        <f>646+(368.2-50)+(-0.65892+(-0.375564--0.051))+0-0-0</f>
        <v>963.21651600000007</v>
      </c>
      <c r="G88" s="3">
        <f>600+(359.8-49)+(-1.836+(-1.100988--0.14994))+0-0-0</f>
        <v>908.01295199999993</v>
      </c>
      <c r="H88" s="3">
        <f>599+(329.1-47)+(-1.22196+(-0.671364--0.09588))+0-0-0</f>
        <v>879.30255599999998</v>
      </c>
      <c r="I88" s="3">
        <f>600+(307.1-47)+(-1.53+(-0.783105--0.11985))+0-0-0</f>
        <v>857.906745</v>
      </c>
      <c r="J88" s="3">
        <f>578+(308-47)+(0+(0-0))+0-0-0</f>
        <v>839</v>
      </c>
      <c r="K88" s="3">
        <f>575+(240.9-56.8)+(-0.87975+(-0.368577--0.086904))+0-0-0</f>
        <v>757.93857700000001</v>
      </c>
      <c r="L88" s="3">
        <f>491+(236.2-51)+(0.25041+(0.120462-0.02601))+0-0-0</f>
        <v>676.54486200000008</v>
      </c>
      <c r="M88" s="3">
        <f>491+(276.5-72.9)+(0.25041+(0.141015-0.037179))+0-0-0</f>
        <v>694.95424600000001</v>
      </c>
      <c r="N88" s="3">
        <f>517+(216.3-57)+(0+(0-0))+0-0-0</f>
        <v>676.3</v>
      </c>
      <c r="O88" s="3">
        <f>556+(199.4-68.2)+(0.28356+(0.101694-0.034782))+0-0-0</f>
        <v>687.55047200000001</v>
      </c>
      <c r="P88" s="3">
        <f>555+(231.5-60.7)+(0.28305+(0.118065-0.030957))+0-0-0</f>
        <v>726.1701579999999</v>
      </c>
      <c r="Q88" s="3">
        <f>556+(281.4-47)+(0.85068+(0.430542-0.07191))+0-0-0</f>
        <v>791.60931199999993</v>
      </c>
      <c r="R88" s="3">
        <f>557+(356-46)+(1.70442+(1.08936-0.14076))+0-0-0</f>
        <v>869.65301999999997</v>
      </c>
      <c r="S88" s="3">
        <f>556+(407.6-47)+(0.56712+(0.415752-0.04794))+0-0-0</f>
        <v>917.53493200000003</v>
      </c>
      <c r="T88" s="3">
        <f>563+(423.3-47)+(0.86139+(0.647649-0.07191))+0-0-0</f>
        <v>940.73712899999998</v>
      </c>
      <c r="U88" s="3">
        <f>565+(410.7-44)+(0.28815+(0.209457-0.02244))+0-0-0</f>
        <v>932.1751670000001</v>
      </c>
      <c r="V88" s="3">
        <f>571+(335.1-44)+(0.29121+(0.170901-0.02244))+0-0-0</f>
        <v>862.539671</v>
      </c>
      <c r="W88" s="3">
        <f>588+(244.3-49.2)+(0+(0-0))+0-0-0</f>
        <v>783.1</v>
      </c>
      <c r="X88" s="3">
        <f>588+(186-53.8)+(-0.59976+(-0.18972--0.054876))+0-0-0</f>
        <v>719.46539600000006</v>
      </c>
      <c r="Y88" s="3">
        <f>543+(268.9-39)+(0+(0-0))+0-0-0</f>
        <v>772.9</v>
      </c>
      <c r="Z88" s="3">
        <f>578+(393.8-40)+(0.88434+(0.602514-0.0612))+0-0-0</f>
        <v>933.22565399999996</v>
      </c>
      <c r="AA88" s="3">
        <f>614+(412.9-47)+(1.25256+(0.842316-0.09588))+0-0-0</f>
        <v>981.89899600000001</v>
      </c>
      <c r="AB88" s="3">
        <f>602+(430.6-49)+(-0.30702+(-0.219606--0.02499))+0-0-0</f>
        <v>983.09836400000006</v>
      </c>
      <c r="AC88" s="3">
        <f>563+(455.5-46)+(0.28713+(0.232305-0.02346))+0-0-0</f>
        <v>972.99597500000004</v>
      </c>
      <c r="AD88" s="2">
        <v>760.3</v>
      </c>
      <c r="AE88" s="3">
        <f>615+(423.6-48)+(0+(0-0))+0-0-0</f>
        <v>990.6</v>
      </c>
    </row>
    <row r="89" spans="1:31" s="2" customFormat="1" x14ac:dyDescent="0.3">
      <c r="A89">
        <v>91</v>
      </c>
      <c r="B89">
        <v>3</v>
      </c>
      <c r="C89">
        <v>27</v>
      </c>
      <c r="D89">
        <v>1</v>
      </c>
      <c r="E89">
        <v>1</v>
      </c>
      <c r="F89" s="3">
        <f>539+(455.7-44)+(-0.54978+(-0.464814--0.04488))+0-0-0</f>
        <v>949.73028600000009</v>
      </c>
      <c r="G89" s="3">
        <f>537+(419.2-44)+(-1.64322+(-1.282752--0.13464))+0-0-0</f>
        <v>909.40866800000003</v>
      </c>
      <c r="H89" s="3">
        <f>539+(385.3-44)+(-0.54978+(-0.393006--0.04488))+0-0-0</f>
        <v>879.40209399999992</v>
      </c>
      <c r="I89" s="3">
        <f>540+(350.1-43)+(0.5508+(0.357102-0.04386))+0-0-0</f>
        <v>847.96404200000006</v>
      </c>
      <c r="J89" s="3">
        <f>491+(369.3-48)+(1.00164+(0.753372-0.09792))+0-0-0</f>
        <v>813.95709199999999</v>
      </c>
      <c r="K89" s="3">
        <f>460+(345.6-48)+(-0.4692+(-0.352512--0.04896))+0-0-0</f>
        <v>756.82724800000005</v>
      </c>
      <c r="L89" s="3">
        <f>391+(368.7-44)+(0.99705+(0.940185-0.1122))+0-0-0</f>
        <v>717.525035</v>
      </c>
      <c r="M89" s="3">
        <f>445+(306.8-47)+(0.68085+(0.469404-0.07191))+0-0-0</f>
        <v>705.87834399999997</v>
      </c>
      <c r="N89" s="3">
        <f>538+(237-59.5)+(1.3719+(0.60435-0.151725))+0-0-0</f>
        <v>717.32452499999999</v>
      </c>
      <c r="O89" s="3">
        <f>546+(248.1-50.9)+(1.3923+(0.632655-0.129795))+0-0-0</f>
        <v>745.09516000000008</v>
      </c>
      <c r="P89" s="3">
        <f>550+(274.3-42.2)+(0.561+(0.279786-0.043044))+0-0-0</f>
        <v>782.89774199999999</v>
      </c>
      <c r="Q89" s="3">
        <f>568+(327-43)+(1.4484+(0.83385-0.10965))+0-0-0</f>
        <v>854.17259999999999</v>
      </c>
      <c r="R89" s="3">
        <f>562+(415-40)+(0.57324+(0.4233-0.0408))+0-0-0</f>
        <v>937.95573999999999</v>
      </c>
      <c r="S89" s="3">
        <f>572+(419.6-38)+(-0.29172+(-0.213996--0.01938))+0-0-0</f>
        <v>953.11366399999997</v>
      </c>
      <c r="T89" s="3">
        <f>593+(424-36)+(0.30243+(0.21624-0.01836))+0-0-0</f>
        <v>981.50031000000001</v>
      </c>
      <c r="U89" s="3">
        <f>638+(329.9-42.5)+(0+(0-0))+0-0-0</f>
        <v>925.4</v>
      </c>
      <c r="V89" s="3">
        <f>657+(253.1-68.3)+(-0.33507+(-0.129081--0.034833))+0-0-0</f>
        <v>841.37068199999999</v>
      </c>
      <c r="W89" s="3">
        <f>690+(198-77.8)+(-2.1114+(-0.60588--0.238068))+0-0-0</f>
        <v>807.72078800000008</v>
      </c>
      <c r="X89" s="3">
        <f>666+(152.8-84)+(-1.35864+(-0.311712--0.17136))+0-0-0</f>
        <v>733.30100799999991</v>
      </c>
      <c r="Y89" s="3">
        <f>657+(187.7-66)+(-1.67535+(-0.478635--0.1683))+0-0-0</f>
        <v>776.71431500000006</v>
      </c>
      <c r="Z89" s="3">
        <f>664+(301.4-53)+(0+(0-0))+0-0-0</f>
        <v>912.4</v>
      </c>
      <c r="AA89" s="3">
        <f>700+(343.9-55)+(-1.071+(-0.526167--0.08415))+0-0-0</f>
        <v>987.38698299999999</v>
      </c>
      <c r="AB89" s="3">
        <f>710+(319.9-50)+(0+(0-0))+0-0-0</f>
        <v>979.9</v>
      </c>
      <c r="AC89" s="3">
        <f>700+(316.2-49)+(-1.428+(-0.645048--0.09996))+0-0-0</f>
        <v>965.22691200000008</v>
      </c>
      <c r="AD89" s="2">
        <v>767.91592600000001</v>
      </c>
      <c r="AE89" s="3">
        <f>701+(334.2-52)+(0+(0-0))+0-0-0</f>
        <v>983.2</v>
      </c>
    </row>
    <row r="90" spans="1:31" s="2" customFormat="1" x14ac:dyDescent="0.3">
      <c r="A90">
        <v>91</v>
      </c>
      <c r="B90">
        <v>3</v>
      </c>
      <c r="C90">
        <v>28</v>
      </c>
      <c r="D90">
        <v>2</v>
      </c>
      <c r="E90">
        <v>1</v>
      </c>
      <c r="F90" s="3">
        <f>672+(310.2-39)+(-1.37088+(-0.632808--0.07956))+0-0-0</f>
        <v>941.27587200000005</v>
      </c>
      <c r="G90" s="3">
        <f>607+(333.3-44)+(-0.30957+(-0.169983--0.02244))+0-0-0</f>
        <v>895.84288699999991</v>
      </c>
      <c r="H90" s="3">
        <f>605+(292.7-44)+(-0.92565+(-0.447831--0.06732))+0-0-0</f>
        <v>852.39383900000007</v>
      </c>
      <c r="I90" s="3">
        <f>603+(272.4-45)+(-1.53765+(-0.69462--0.11475))+0-0-0</f>
        <v>828.28247999999996</v>
      </c>
      <c r="J90" s="3">
        <f>603+(245.5-43)+(-0.30753+(-0.125205--0.02193))+0-0-0</f>
        <v>805.08919500000002</v>
      </c>
      <c r="K90" s="3">
        <f>510+(279.9-45)+(-1.3005+(-0.713745--0.11475))+0-0-0</f>
        <v>743.00050499999998</v>
      </c>
      <c r="L90" s="3">
        <f>470+(273.4-49)+(0.2397+(0.139434-0.02499))+0-0-0</f>
        <v>694.754144</v>
      </c>
      <c r="M90" s="3">
        <f>530+(212-57)+(0.8109+(0.32436-0.08721))+0-0-0</f>
        <v>686.04804999999999</v>
      </c>
      <c r="N90" s="3">
        <f>582+(179-59.8)+(0.89046+(0.27387-0.091494))+0-0-0</f>
        <v>702.2728360000001</v>
      </c>
      <c r="O90" s="3">
        <f>613+(194.8-62.3)+(-0.31263+(-0.099348--0.031773))+0-0-0</f>
        <v>745.11979499999995</v>
      </c>
      <c r="P90" s="3">
        <f>606+(219.2-44)+(0+(0-0))+0-0-0</f>
        <v>781.2</v>
      </c>
      <c r="Q90" s="3">
        <f>600+(263.6-47)+(0+(0-0))+0-0-0</f>
        <v>816.6</v>
      </c>
      <c r="R90" s="3">
        <f>627+(337.5-48)+(0.63954+(0.34425-0.04896))+0-0-0</f>
        <v>917.43483000000003</v>
      </c>
      <c r="S90" s="3">
        <f>671+(345.1-48)+(-1.02663+(-0.528003--0.07344))+0-0-0</f>
        <v>966.61880700000006</v>
      </c>
      <c r="T90" s="3">
        <f>678+(315.6-50)+(-1.03734+(-0.482868--0.0765))+0-0-0</f>
        <v>942.15629200000001</v>
      </c>
      <c r="U90" s="3">
        <f>682+(297.5-50)+(-0.69564+(-0.30345--0.051))+0-0-0</f>
        <v>928.55191000000002</v>
      </c>
      <c r="V90" s="3">
        <f>711+(235.9-57.2)+(0.36261+(0.120309-0.029172))+0-0-0</f>
        <v>890.15374700000007</v>
      </c>
      <c r="W90" s="3">
        <f>737+(168.7-81.9)+(-1.12761+(-0.258111--0.125307))+0-0-0</f>
        <v>822.53958599999999</v>
      </c>
      <c r="X90" s="3">
        <f>740+(116.3-112.4)+(-0.3774+(-0.059313--0.057324))+0-0-0</f>
        <v>743.52061100000003</v>
      </c>
      <c r="Y90" s="3">
        <f>721+(117.9-79.7)+(-0.36771+(-0.060129--0.040647))+0-0-0</f>
        <v>758.81280800000002</v>
      </c>
      <c r="Z90" s="3">
        <f>725+(248.1-55)+(-0.36975+(-0.126531--0.02805))+0-0-0</f>
        <v>917.63176900000008</v>
      </c>
      <c r="AA90" s="3">
        <f>739+(293.8-55)+(-2.63823+(-1.048866--0.19635))+0-0-0</f>
        <v>974.30925400000001</v>
      </c>
      <c r="AB90" s="3">
        <f>743+(304.5-55)+(-0.37893+(-0.155295--0.02805))+0-0-0</f>
        <v>991.99382500000002</v>
      </c>
      <c r="AC90" s="3">
        <f>737+(274.6-49)+(-0.37587+(-0.140046--0.02499))+0-0-0</f>
        <v>962.10907400000008</v>
      </c>
      <c r="AD90" s="2">
        <v>786.098885</v>
      </c>
      <c r="AE90" s="3">
        <f>730+(299.4-53)+(0+(0-0))+0-0-0</f>
        <v>976.4</v>
      </c>
    </row>
    <row r="91" spans="1:31" s="2" customFormat="1" x14ac:dyDescent="0.3">
      <c r="A91">
        <v>91</v>
      </c>
      <c r="B91">
        <v>3</v>
      </c>
      <c r="C91">
        <v>29</v>
      </c>
      <c r="D91">
        <v>3</v>
      </c>
      <c r="E91">
        <v>3</v>
      </c>
      <c r="F91" s="3">
        <f>670+(302.4-48)+(0+(0-0))+0-0-0</f>
        <v>924.4</v>
      </c>
      <c r="G91" s="3">
        <f>637+(302.1-47)+(-1.62435+(-0.770355--0.11985))+0-0-0</f>
        <v>889.82514500000002</v>
      </c>
      <c r="H91" s="3">
        <f>585+(325.8-48)+(-0.29835+(-0.166158--0.02448))+0-0-0</f>
        <v>862.35997199999997</v>
      </c>
      <c r="I91" s="3">
        <f>571+(307.4-48)+(0+(0-0))+0-0-0</f>
        <v>830.4</v>
      </c>
      <c r="J91" s="3">
        <f>567+(278-47)+(-0.57834+(-0.28356--0.04794))+0-0-0</f>
        <v>797.18604000000005</v>
      </c>
      <c r="K91" s="3">
        <f>566+(207.3-49)+(-1.4433+(-0.528615--0.12495))+0-0-0</f>
        <v>722.453035</v>
      </c>
      <c r="L91" s="3">
        <f>564+(153.5-60.3)+(-0.57528+(-0.15657--0.061506))+0-0-0</f>
        <v>656.52965600000005</v>
      </c>
      <c r="M91" s="3">
        <f>564+(143.7-63)+(0+(0-0))+0-0-0</f>
        <v>644.70000000000005</v>
      </c>
      <c r="N91" s="3">
        <f>563+(159.7-53)+(-0.57426+(-0.162894--0.05406))+0-0-0</f>
        <v>669.01690600000006</v>
      </c>
      <c r="O91" s="3">
        <f>561+(186.2-43)+(0.57222+(0.189924-0.04386))+0-0-0</f>
        <v>704.91828400000009</v>
      </c>
      <c r="P91" s="3">
        <f>601+(179-48)+(0.30651+(0.09129-0.02448))+0-0-0</f>
        <v>732.37332000000004</v>
      </c>
      <c r="Q91" s="3">
        <f>604+(255.1-44)+(0.61608+(0.260202-0.04488))+0-0-0</f>
        <v>815.93140200000005</v>
      </c>
      <c r="R91" s="3">
        <f>599+(347.2-45)+(0.30549+(0.177072-0.02295))+0-0-0</f>
        <v>901.65961200000004</v>
      </c>
      <c r="S91" s="3">
        <f>593+(325.3-48)+(-0.60486+(-0.331806--0.04896))+0-0-0</f>
        <v>869.41229399999997</v>
      </c>
      <c r="T91" s="3">
        <f>594+(400.7-51)+(-0.90882+(-0.613071--0.07803))+0-0-0</f>
        <v>942.25613900000008</v>
      </c>
      <c r="U91" s="3">
        <f>599+(386.2-52)+(-0.30549+(-0.196962--0.02652))+0-0-0</f>
        <v>932.7240680000001</v>
      </c>
      <c r="V91" s="3">
        <f>605+(323.7-48)+(0.6171+(0.330174-0.04896))+0-0-0</f>
        <v>881.59831400000007</v>
      </c>
      <c r="W91" s="3">
        <f>628+(235.8-45.2)+(-0.64056+(-0.240516--0.046104))+0-0-0</f>
        <v>817.76502800000003</v>
      </c>
      <c r="X91" s="3">
        <f>629+(159.9-57.9)+(-1.28316+(-0.326196--0.118116))+0-0-0</f>
        <v>729.50876000000005</v>
      </c>
      <c r="Y91" s="3">
        <f>629+(174.4-47.9)+(-0.64158+(-0.177888--0.048858))+0-0-0</f>
        <v>754.72938999999997</v>
      </c>
      <c r="Z91" s="3">
        <f>649+(327.5-53)+(0+(0-0))+0-0-0</f>
        <v>923.5</v>
      </c>
      <c r="AA91" s="3">
        <f>651+(391.6-55)+(-1.32804+(-0.798864--0.1122))+0-0-0</f>
        <v>985.58529599999997</v>
      </c>
      <c r="AB91" s="3">
        <f>643+(407.2-50)+(-1.31172+(-0.830688--0.102))+0-0-0</f>
        <v>998.15959200000009</v>
      </c>
      <c r="AC91" s="3">
        <f>645+(382.7-49)+(-0.32895+(-0.195177--0.02499))+0-0-0</f>
        <v>978.20086300000003</v>
      </c>
      <c r="AD91" s="2">
        <v>800.9821639999999</v>
      </c>
      <c r="AE91" s="3">
        <f>663+(427.3-52)+(0+(0-0))+0-0-0</f>
        <v>1038.3</v>
      </c>
    </row>
    <row r="92" spans="1:31" s="2" customFormat="1" x14ac:dyDescent="0.3">
      <c r="A92">
        <v>91</v>
      </c>
      <c r="B92">
        <v>3</v>
      </c>
      <c r="C92">
        <v>30</v>
      </c>
      <c r="D92">
        <v>4</v>
      </c>
      <c r="E92">
        <v>1</v>
      </c>
      <c r="F92" s="3">
        <f>636+(352.8-48)+(-0.64872+(-0.359856--0.04896))+0-0-0</f>
        <v>939.84038399999997</v>
      </c>
      <c r="G92" s="3">
        <f>630+(316.7-48)+(-1.2852+(-0.646068--0.09792))+0-0-0</f>
        <v>896.86665200000004</v>
      </c>
      <c r="H92" s="3">
        <f>621+(295.8-47)+(-0.95013+(-0.452574--0.07191))+0-0-0</f>
        <v>868.46920599999999</v>
      </c>
      <c r="I92" s="3">
        <f>621+(255-47)+(-1.26684+(-0.5202--0.09588))+0-0-0</f>
        <v>827.30884000000003</v>
      </c>
      <c r="J92" s="3">
        <f>622+(213.3-45)+(0.31722+(0.108783-0.02295))+0-0-0</f>
        <v>790.70305299999995</v>
      </c>
      <c r="K92" s="3">
        <f>620+(146.8-56.5)+(-1.2648+(-0.299472--0.11526))+0-0-0</f>
        <v>708.85098799999992</v>
      </c>
      <c r="L92" s="3">
        <f>615+(121.9-91.6)+(1.2546+(0.248676-0.186864))+0-0-0</f>
        <v>646.61641199999997</v>
      </c>
      <c r="M92" s="3">
        <f>615+(131.3-86.8)+(0+(0-0))+0-0-0</f>
        <v>659.5</v>
      </c>
      <c r="N92" s="3">
        <f>611+(151.9-85.8)+(0.62322+(0.154938-0.087516))+0-0-0</f>
        <v>677.79064200000005</v>
      </c>
      <c r="O92" s="3">
        <f>611+(182.6-74.1)+(0+(0-0))+0-0-0</f>
        <v>719.5</v>
      </c>
      <c r="P92" s="3">
        <f>609+(198-59)+(0.62118+(0.20196-0.06018))+0-0-0</f>
        <v>748.76296000000002</v>
      </c>
      <c r="Q92" s="3">
        <f>609+(257-47)+(0.31059+(0.13107-0.02397))+0-0-0</f>
        <v>819.41768999999999</v>
      </c>
      <c r="R92" s="3">
        <f>608+(403.8-50)+(0.31008+(0.205938-0.0255))+0-0-0</f>
        <v>962.29051799999991</v>
      </c>
      <c r="S92" s="3">
        <f>610+(445.3-50)+(-1.5555+(-1.135515--0.1275))+0-0-0</f>
        <v>1002.7364849999999</v>
      </c>
      <c r="T92" s="3">
        <f>625+(432.7-47)+(-0.6375+(-0.441354--0.04794))+0-0-0</f>
        <v>1009.669086</v>
      </c>
      <c r="U92" s="3">
        <f>632+(391.6-45)+(-1.6116+(-0.99858--0.11475))+0-0-0</f>
        <v>976.10456999999997</v>
      </c>
      <c r="V92" s="3">
        <f>638+(296.9-52)+(-0.65076+(-0.302838--0.05304))+0-0-0</f>
        <v>881.99944199999993</v>
      </c>
      <c r="W92" s="3">
        <f>653+(214.5-54.2)+(-1.66515+(-0.546975--0.13821))+0-0-0</f>
        <v>811.2260849999999</v>
      </c>
      <c r="X92" s="3">
        <f>654+(153.4-62.2)+(-1.6677+(-0.39117--0.15861))+0-0-0</f>
        <v>743.29974000000004</v>
      </c>
      <c r="Y92" s="3">
        <f>608+(238.1-48)+(-1.24032+(-0.485724--0.09792))+0-0-0</f>
        <v>796.47187600000007</v>
      </c>
      <c r="Z92" s="3">
        <f>608+(395.7-50)+(0+(0-0))+0-0-0</f>
        <v>953.7</v>
      </c>
      <c r="AA92" s="3">
        <f>659+(408.4-52)+(-2.01654+(-1.249704--0.15912))+0-0-0</f>
        <v>1012.292876</v>
      </c>
      <c r="AB92" s="3">
        <f>650+(402.1-53)+(-1.326+(-0.820284--0.10812))+0-0-0</f>
        <v>997.06183599999997</v>
      </c>
      <c r="AC92" s="3">
        <f>650+(386.6-53)+(-0.663+(-0.394332--0.05406))+0-0-0</f>
        <v>982.59672799999998</v>
      </c>
      <c r="AD92" s="2">
        <v>799.57477599999993</v>
      </c>
      <c r="AE92" s="3">
        <f>661+(399.1-56)+(0+(0-0))+0-0-0</f>
        <v>1004.1</v>
      </c>
    </row>
    <row r="93" spans="1:31" s="2" customFormat="1" x14ac:dyDescent="0.3">
      <c r="A93">
        <v>91</v>
      </c>
      <c r="B93">
        <v>3</v>
      </c>
      <c r="C93">
        <v>31</v>
      </c>
      <c r="D93">
        <v>5</v>
      </c>
      <c r="E93">
        <v>1</v>
      </c>
      <c r="F93" s="3">
        <f>641+(301.5-50)+(-0.98073+(-0.461295--0.0765))+0-0-0</f>
        <v>891.13447499999995</v>
      </c>
      <c r="G93" s="3">
        <f>640+(271.3-49)+(-1.3056+(-0.553452--0.09996))+0-0-0</f>
        <v>860.54090799999994</v>
      </c>
      <c r="H93" s="3">
        <f>629+(249.6-48)+(-0.96237+(-0.381888--0.07344))+0-0-0</f>
        <v>829.32918200000006</v>
      </c>
      <c r="I93" s="3">
        <f>635+(226.4-47)+(-0.32385+(-0.115464--0.02397))+0-0-0</f>
        <v>813.98465599999997</v>
      </c>
      <c r="J93" s="3">
        <f>643+(185-54.1)+(-0.65586+(-0.1887--0.055182))+0-0-0</f>
        <v>773.11062199999992</v>
      </c>
      <c r="K93" s="3">
        <f>638+(141.2-73.3)+(-0.65076+(-0.144024--0.074766))+0-0-0</f>
        <v>705.179982</v>
      </c>
      <c r="L93" s="3">
        <f>571+(141.5-61.8)+(0+(0-0))+0-0-0</f>
        <v>650.70000000000005</v>
      </c>
      <c r="M93" s="3">
        <f>573+(151.1-53.7)+(0.29223+(0.077061-0.027387))+0-0-0</f>
        <v>670.74190399999998</v>
      </c>
      <c r="N93" s="3">
        <f>571+(171.3-53.1)+(0.58242+(0.174726-0.054162))+0-0-0</f>
        <v>689.90298400000006</v>
      </c>
      <c r="O93" s="3">
        <f>571+(180.2-49)+(0.58242+(0.183804-0.04998))+0-0-0</f>
        <v>702.91624400000001</v>
      </c>
      <c r="P93" s="3">
        <f>596+(184-44.8)+(0+(0-0))+0-0-0</f>
        <v>735.2</v>
      </c>
      <c r="Q93" s="3">
        <f>627+(207.5-48)+(0+(0-0))+0-0-0</f>
        <v>786.5</v>
      </c>
      <c r="R93" s="3">
        <f>618+(310.5-46)+(-1.5759+(-0.791775--0.1173))+0-0-0</f>
        <v>880.24962500000004</v>
      </c>
      <c r="S93" s="3">
        <f>616+(352.5-45)+(-1.5708+(-0.898875--0.11475))+0-0-0</f>
        <v>921.14507500000002</v>
      </c>
      <c r="T93" s="3">
        <f>619+(370.7-51)+(-0.31569+(-0.189057--0.02601))+0-0-0</f>
        <v>938.22126300000002</v>
      </c>
      <c r="U93" s="3">
        <f>617+(351.5-45)+(-1.25868+(-0.71706--0.0918))+0-0-0</f>
        <v>921.61605999999995</v>
      </c>
      <c r="V93" s="3">
        <f>632+(297-49)+(-1.28928+(-0.60588--0.09996))+0-0-0</f>
        <v>878.20479999999998</v>
      </c>
      <c r="W93" s="3">
        <f>651+(209-56.8)+(-1.66005+(-0.53295--0.14484))+0-0-0</f>
        <v>801.15183999999999</v>
      </c>
      <c r="X93" s="3">
        <f>657+(149.4-63.4)+(-1.67535+(-0.38097--0.16167))+0-0-0</f>
        <v>741.10535000000004</v>
      </c>
      <c r="Y93" s="3">
        <f>665+(162-63.2)+(-0.33915+(-0.08262--0.032232))+0-0-0</f>
        <v>763.41046199999994</v>
      </c>
      <c r="Z93" s="3">
        <f>669+(290.9-52)+(0+(0-0))+0-0-0</f>
        <v>907.9</v>
      </c>
      <c r="AA93" s="3">
        <f>667+(344-53)+(-1.36068+(-0.70176--0.10812))+0-0-0</f>
        <v>956.04567999999995</v>
      </c>
      <c r="AB93" s="3">
        <f>661+(359.1-51)+(-1.01133+(-0.549423--0.07803))+0-0-0</f>
        <v>967.61727700000006</v>
      </c>
      <c r="AC93" s="3">
        <f>658+(342.7-48)+(-0.67116+(-0.349554--0.04896))+0-0-0</f>
        <v>951.72824600000001</v>
      </c>
      <c r="AD93" s="2">
        <v>786.19726000000003</v>
      </c>
      <c r="AE93" s="3">
        <f>667+(409.7-52)+(0+(0-0))+0-0-0</f>
        <v>1024.7</v>
      </c>
    </row>
    <row r="94" spans="1:31" s="2" customFormat="1" x14ac:dyDescent="0.3">
      <c r="A94">
        <v>91</v>
      </c>
      <c r="B94">
        <v>4</v>
      </c>
      <c r="C94">
        <v>1</v>
      </c>
      <c r="D94">
        <v>6</v>
      </c>
      <c r="E94">
        <v>1</v>
      </c>
      <c r="F94" s="3">
        <f>595+(400-50)+(-0.6069+(-0.408--0.051))+0-0-0</f>
        <v>944.03610000000003</v>
      </c>
      <c r="G94" s="3">
        <f>575+(386.2-48)+(-0.5865+(-0.393924--0.04896))+0-0-0</f>
        <v>912.26853600000004</v>
      </c>
      <c r="H94" s="3">
        <f>574+(351.1-47)+(0.58548+(0.358122-0.04794))+0-0-0</f>
        <v>878.99566200000004</v>
      </c>
      <c r="I94" s="3">
        <f>547+(362.3-47)+(-0.55794+(-0.369546--0.04794))+0-0-0</f>
        <v>861.42045399999995</v>
      </c>
      <c r="J94" s="3">
        <f>506+(381.8-48)+(0.77418+(0.584154-0.07344))+0-0-0</f>
        <v>841.08489399999996</v>
      </c>
      <c r="K94" s="3">
        <f>503+(306.6-51)+(-1.28265+(-0.78183--0.13005))+0-0-0</f>
        <v>756.66557</v>
      </c>
      <c r="L94" s="3">
        <f>438+(330.7-50)+(-0.22338+(-0.168657--0.0255))+0-0-0</f>
        <v>718.33346300000005</v>
      </c>
      <c r="M94" s="3">
        <f>438+(323-45)+(0.44676+(0.32946-0.0459))+0-0-0</f>
        <v>716.73032000000001</v>
      </c>
      <c r="N94" s="3">
        <f>500+(255.8-44)+(0.51+(0.260916-0.04488))+0-0-0</f>
        <v>712.52603599999998</v>
      </c>
      <c r="O94" s="3">
        <f>550+(222.4-46.2)+(0.2805+(0.113424-0.023562))+0-0-0</f>
        <v>726.57036200000005</v>
      </c>
      <c r="P94" s="3">
        <f>594+(221.6-53.8)+(0+(0-0))+0-0-0</f>
        <v>761.8</v>
      </c>
      <c r="Q94" s="3">
        <f>594+(278.6-45)+(0.90882+(0.426258-0.06885))+0-0-0</f>
        <v>828.86622799999998</v>
      </c>
      <c r="R94" s="3">
        <f>588+(372.5-45)+(0.59976+(0.37995-0.0459))+0-0-0</f>
        <v>916.43380999999999</v>
      </c>
      <c r="S94" s="3">
        <f>578+(416.9-46)+(-1.17912+(-0.850476--0.09384))+0-0-0</f>
        <v>946.96424400000001</v>
      </c>
      <c r="T94" s="3">
        <f>567+(443-47)+(-1.15668+(-0.90372--0.09588))+0-0-0</f>
        <v>961.03548000000001</v>
      </c>
      <c r="U94" s="3">
        <f>545+(448.3-49)+(-0.27795+(-0.228633--0.02499))+0-0-0</f>
        <v>943.81840699999998</v>
      </c>
      <c r="V94" s="3">
        <f>566+(381.6-49)+(-0.86598+(-0.583848--0.07497))+0-0-0</f>
        <v>897.22514200000001</v>
      </c>
      <c r="W94" s="3">
        <f>573+(281.6-51.5)+(-1.46115+(-0.71808--0.131325))+0-0-0</f>
        <v>801.05209500000001</v>
      </c>
      <c r="X94" s="3">
        <f>532+(244.4-45)+(-1.3566+(-0.62322--0.11475))+0-0-0</f>
        <v>729.53493000000003</v>
      </c>
      <c r="Y94" s="3">
        <f>482+(351.3-48)+(-0.24582+(-0.179163--0.02448))+0-0-0</f>
        <v>784.899497</v>
      </c>
      <c r="Z94" s="3">
        <f>556+(432.9-54)+(0.85068+(0.662337-0.08262))+0-0-0</f>
        <v>936.33039699999995</v>
      </c>
      <c r="AA94" s="3">
        <f>570+(465.7-53)+(-0.8721+(-0.712521--0.08109))+0-0-0</f>
        <v>981.19646900000009</v>
      </c>
      <c r="AB94" s="3">
        <f>570+(465.2-52)+(-1.4535+(-1.18626--0.1326))+0-0-0</f>
        <v>980.69284000000005</v>
      </c>
      <c r="AC94" s="3">
        <f>566+(460.7-51)+(-0.86598+(-0.704871--0.07803))+0-0-0</f>
        <v>974.207179</v>
      </c>
      <c r="AD94" s="2">
        <v>772.51123399999994</v>
      </c>
      <c r="AE94" s="3">
        <f>566+(504.5-54)+(0+(0-0))+0-0-0</f>
        <v>1016.5</v>
      </c>
    </row>
    <row r="95" spans="1:31" s="2" customFormat="1" x14ac:dyDescent="0.3">
      <c r="A95">
        <v>91</v>
      </c>
      <c r="B95">
        <v>4</v>
      </c>
      <c r="C95">
        <v>2</v>
      </c>
      <c r="D95">
        <v>7</v>
      </c>
      <c r="E95">
        <v>1</v>
      </c>
      <c r="F95" s="3">
        <f>563+(371.8-48)+(-0.57426+(-0.379236--0.04896))+0-0-0</f>
        <v>885.89546399999995</v>
      </c>
      <c r="G95" s="3">
        <f>562+(348.8-47)+(-1.14648+(-0.711552--0.09588))+0-0-0</f>
        <v>862.03784799999994</v>
      </c>
      <c r="H95" s="3">
        <f>521+(362-46)+(-0.53142+(-0.36924--0.04692))+0-0-0</f>
        <v>836.14625999999998</v>
      </c>
      <c r="I95" s="3">
        <f>521+(338.6-46)+(0+(0-0))+0-0-0</f>
        <v>813.6</v>
      </c>
      <c r="J95" s="3">
        <f>518+(317-47)+(-1.05672+(-0.64668--0.09588))+0-0-0</f>
        <v>786.39247999999998</v>
      </c>
      <c r="K95" s="3">
        <f>516+(256.3-48)+(-1.3158+(-0.653565--0.1224))+0-0-0</f>
        <v>722.453035</v>
      </c>
      <c r="L95" s="3">
        <f>467+(264.2-48)+(-1.19085+(-0.67371--0.1224))+0-0-0</f>
        <v>681.45784000000003</v>
      </c>
      <c r="M95" s="3">
        <f>438+(280.4-49)+(-0.67014+(-0.429012--0.07497))+0-0-0</f>
        <v>668.37581799999998</v>
      </c>
      <c r="N95" s="3">
        <f>404+(308.3-47)+(-0.20604+(-0.157233--0.02397))+0-0-0</f>
        <v>664.96069699999998</v>
      </c>
      <c r="O95" s="3">
        <f>409+(328.1-46)+(-0.41718+(-0.334662--0.04692))+0-0-0</f>
        <v>690.39507800000001</v>
      </c>
      <c r="P95" s="3">
        <f>451+(309.2-42)+(0.23001+(0.157692-0.02142))+0-0-0</f>
        <v>718.566282</v>
      </c>
      <c r="Q95" s="3">
        <f>522+(297.7-42)+(-0.26622+(-0.151827--0.02142))+0-0-0</f>
        <v>777.30337300000008</v>
      </c>
      <c r="R95" s="3">
        <f>537+(362.8-46)+(-0.82161+(-0.555084--0.07038))+0-0-0</f>
        <v>852.49368599999991</v>
      </c>
      <c r="S95" s="3">
        <f>537+(400.9-51)+(-0.82161+(-0.613377--0.07803))+0-0-0</f>
        <v>885.54304300000001</v>
      </c>
      <c r="T95" s="3">
        <f>541+(453-46)+(-0.27591+(-0.23103--0.02346))+0-0-0</f>
        <v>947.51652000000001</v>
      </c>
      <c r="U95" s="3">
        <f>545+(409-49)+(-0.5559+(-0.41718--0.04998))+0-0-0</f>
        <v>904.07690000000002</v>
      </c>
      <c r="V95" s="3">
        <f>552+(363.5-48)+(-0.84456+(-0.556155--0.07344))+0-0-0</f>
        <v>866.17272500000001</v>
      </c>
      <c r="W95" s="3">
        <f>566+(284.9-46)+(-1.15464+(-0.581196--0.09384))+0-0-0</f>
        <v>803.25800400000003</v>
      </c>
      <c r="X95" s="3">
        <f>568+(195.5-56.7)+(-0.86904+(-0.299115--0.086751))+0-0-0</f>
        <v>705.71859599999993</v>
      </c>
      <c r="Y95" s="3">
        <f>566+(240.2-46.5)+(-1.15464+(-0.490008--0.09486))+0-0-0</f>
        <v>758.15021200000001</v>
      </c>
      <c r="Z95" s="3">
        <f>568+(386-46)+(0+(0-0))+0-0-0</f>
        <v>908</v>
      </c>
      <c r="AA95" s="3">
        <f>572+(446.8-53)+(0.29172+(0.227868-0.02703))+0-0-0</f>
        <v>966.29255799999999</v>
      </c>
      <c r="AB95" s="3">
        <f>572+(453.3-49)+(-1.16688+(-0.924732--0.09996))+0-0-0</f>
        <v>974.30834799999991</v>
      </c>
      <c r="AC95" s="3">
        <f>586+(424.4-49)+(-0.89658+(-0.649332--0.07497))+0-0-0</f>
        <v>959.92905799999994</v>
      </c>
      <c r="AD95" s="2">
        <v>799.97416400000009</v>
      </c>
      <c r="AE95" s="3">
        <f>559+(457.6-52)+(0+(0-0))+0-0-0</f>
        <v>964.6</v>
      </c>
    </row>
    <row r="96" spans="1:31" s="2" customFormat="1" x14ac:dyDescent="0.3">
      <c r="A96">
        <v>91</v>
      </c>
      <c r="B96">
        <v>4</v>
      </c>
      <c r="C96">
        <v>3</v>
      </c>
      <c r="D96">
        <v>1</v>
      </c>
      <c r="E96">
        <v>1</v>
      </c>
      <c r="F96" s="3">
        <f>612+(380-46)+(-0.62424+(-0.3876--0.04692))+0-0-0</f>
        <v>945.03507999999999</v>
      </c>
      <c r="G96" s="3">
        <f>570+(378.1-48)+(-0.2907+(-0.192831--0.02448))+0-0-0</f>
        <v>899.64094899999998</v>
      </c>
      <c r="H96" s="3">
        <f>567+(352.9-47)+(-0.57834+(-0.359958--0.04794))+0-0-0</f>
        <v>872.00964199999999</v>
      </c>
      <c r="I96" s="3">
        <f>567+(330.4-47)+(-0.57834+(-0.337008--0.04794))+0-0-0</f>
        <v>849.53259200000002</v>
      </c>
      <c r="J96" s="3">
        <f>557+(294.1-45)+(-0.85221+(-0.449973--0.06885))+0-0-0</f>
        <v>804.86666700000001</v>
      </c>
      <c r="K96" s="3">
        <f>561+(229.9-49.1)+(-1.43055+(-0.586245--0.125205))+0-0-0</f>
        <v>739.90841</v>
      </c>
      <c r="L96" s="3">
        <f>495+(246.4-52)+(0.5049+(0.251328-0.05304))+0-0-0</f>
        <v>690.10318799999993</v>
      </c>
      <c r="M96" s="3">
        <f>534+(219-57.5)+(0+(0-0))+0-0-0</f>
        <v>695.5</v>
      </c>
      <c r="N96" s="3">
        <f>562+(208.8-63.3)+(0.57324+(0.212976-0.064566))+0-0-0</f>
        <v>708.22164999999995</v>
      </c>
      <c r="O96" s="3">
        <f>556+(234.5-53.5)+(0+(0-0))+0-0-0</f>
        <v>737</v>
      </c>
      <c r="P96" s="3">
        <f>553+(262.9-45)+(0.28203+(0.134079-0.02295))+0-0-0</f>
        <v>771.29315899999995</v>
      </c>
      <c r="Q96" s="3">
        <f>553+(338.1-43)+(0.56406+(0.344862-0.04386))+0-0-0</f>
        <v>848.96506199999999</v>
      </c>
      <c r="R96" s="3">
        <f>567+(422.5-47)+(0+(0-0))+0-0-0</f>
        <v>942.5</v>
      </c>
      <c r="S96" s="3">
        <f>592+(394.3-45)+(-0.30192+(-0.201093--0.02295))+0-0-0</f>
        <v>940.81993699999998</v>
      </c>
      <c r="T96" s="3">
        <f>609+(368.6-49)+(-0.62118+(-0.375972--0.04998))+0-0-0</f>
        <v>927.652828</v>
      </c>
      <c r="U96" s="3">
        <f>618+(366.1-50)+(0.63036+(0.373422-0.051))+0-0-0</f>
        <v>935.05278199999998</v>
      </c>
      <c r="V96" s="3">
        <f>620+(310.9-43)+(-0.9486+(-0.475677--0.06579))+0-0-0</f>
        <v>886.54151300000001</v>
      </c>
      <c r="W96" s="3">
        <f>632+(239.6-51.1)+(-1.6116+(-0.61098--0.130305))+0-0-0</f>
        <v>818.40772500000003</v>
      </c>
      <c r="X96" s="3">
        <f>632+(170.8-65.9)+(-1.28928+(-0.348432--0.134436))+0-0-0</f>
        <v>735.39672399999995</v>
      </c>
      <c r="Y96" s="3">
        <f>593+(226.3-53)+(-1.20972+(-0.461652--0.10812))+0-0-0</f>
        <v>764.73674799999992</v>
      </c>
      <c r="Z96" s="3">
        <f>597+(385.2-47)+(0.60894+(0.392904-0.04794))+0-0-0</f>
        <v>936.15390400000001</v>
      </c>
      <c r="AA96" s="3">
        <f>638+(395.9-52)+(-0.97614+(-0.605727--0.07956))+0-0-0</f>
        <v>980.397693</v>
      </c>
      <c r="AB96" s="3">
        <f>636+(400.4-50)+(0.32436+(0.204204-0.0255))+0-0-0</f>
        <v>986.90306399999997</v>
      </c>
      <c r="AC96" s="3">
        <f>634+(389-46)+(0.32334+(0.19839-0.02346))+0-0-0</f>
        <v>977.49827000000005</v>
      </c>
      <c r="AD96" s="2">
        <v>812.87002600000005</v>
      </c>
      <c r="AE96" s="3">
        <f>635+(410.9-53)+(0+(0-0))+0-0-0</f>
        <v>992.9</v>
      </c>
    </row>
    <row r="97" spans="1:31" s="2" customFormat="1" x14ac:dyDescent="0.3">
      <c r="A97">
        <v>91</v>
      </c>
      <c r="B97">
        <v>4</v>
      </c>
      <c r="C97">
        <v>4</v>
      </c>
      <c r="D97">
        <v>2</v>
      </c>
      <c r="E97">
        <v>1</v>
      </c>
      <c r="F97" s="3">
        <f>633+(339.3-46)+(-1.29132+(-0.692172--0.09384))+0-0-0</f>
        <v>924.410348</v>
      </c>
      <c r="G97" s="3">
        <f>580+(354.8-45)+(-0.8874+(-0.542844--0.06885))+0-0-0</f>
        <v>888.43860599999994</v>
      </c>
      <c r="H97" s="3">
        <f>574+(313.3-45)+(0.29274+(0.159783-0.02295))+0-0-0</f>
        <v>842.72957299999996</v>
      </c>
      <c r="I97" s="3">
        <f>572+(306.7-45)+(1.16688+(0.625668-0.0918))+0-0-0</f>
        <v>835.40074800000002</v>
      </c>
      <c r="J97" s="3">
        <f>568+(274.4-38)+(-1.4484+(-0.69972--0.0969))+0-0-0</f>
        <v>802.34878000000003</v>
      </c>
      <c r="K97" s="3">
        <f>568+(203.6-39)+(-1.4484+(-0.51918--0.09945))+0-0-0</f>
        <v>730.73187000000007</v>
      </c>
      <c r="L97" s="3">
        <f>521+(198.2-33.6)+(-0.79713+(-0.303246--0.051408))+5.7-0-0</f>
        <v>690.25103200000012</v>
      </c>
      <c r="M97" s="3">
        <f>494+(231.5-29.6)+(0.75582+(0.354195-0.045288))+4.1-0-0</f>
        <v>701.06472699999995</v>
      </c>
      <c r="N97" s="3">
        <f>490+(267.9-28)+(0.2499+(0.136629-0.01428))+0-0-0</f>
        <v>730.27224899999999</v>
      </c>
      <c r="O97" s="3">
        <f>475+(307-30)+(0.24225+(0.15657-0.0153))+0-0-0</f>
        <v>752.38351999999998</v>
      </c>
      <c r="P97" s="3">
        <f>484+(327-35)+(0.74052+(0.50031-0.05355))+0-0-0</f>
        <v>777.18727999999999</v>
      </c>
      <c r="Q97" s="3">
        <f>505+(387.9-38)+(0+(0-0))+0-0-0</f>
        <v>854.9</v>
      </c>
      <c r="R97" s="3">
        <f>504+(433.9-47)+(-1.02816+(-0.885156--0.09588))+10.5-0-0</f>
        <v>899.58256399999993</v>
      </c>
      <c r="S97" s="3">
        <f>537+(461.2-45)+(-1.09548+(-0.940848--0.0918))+1.5-0-0</f>
        <v>952.75547200000005</v>
      </c>
      <c r="T97" s="3">
        <f>590+(400.8-45)+(0+(0-0))+0-0-0</f>
        <v>945.8</v>
      </c>
      <c r="U97" s="3">
        <f>616+(345.6-43)+(-0.31416+(-0.176256--0.02193))+0-0-0</f>
        <v>918.13151400000004</v>
      </c>
      <c r="V97" s="3">
        <f>619+(291.6-44)+(-0.94707+(-0.446148--0.06732))+0-0-0</f>
        <v>865.27410199999997</v>
      </c>
      <c r="W97" s="3">
        <f>642+(229.2-53.5)+(-1.6371+(-0.58446--0.136425))+0-0-0</f>
        <v>815.61486500000001</v>
      </c>
      <c r="X97" s="3">
        <f>579+(202.4-44)+(-1.18116+(-0.412896--0.08976))+0-0-0</f>
        <v>735.89570400000002</v>
      </c>
      <c r="Y97" s="3">
        <f>581+(228.1-47)+(-1.18524+(-0.465324--0.09588))+0-0-0</f>
        <v>760.54531600000007</v>
      </c>
      <c r="Z97" s="3">
        <f>611+(358.1-55)+(0.31161+(0.182631-0.02805))+0-0-0</f>
        <v>914.566191</v>
      </c>
      <c r="AA97" s="3">
        <f>660+(334.3-48)+(-0.3366+(-0.170493--0.02448))+0-0-0</f>
        <v>945.81738699999994</v>
      </c>
      <c r="AB97" s="3">
        <f>652+(343.6-48)+(-1.6626+(-0.87618--0.1224))+0-0-0</f>
        <v>945.18362000000002</v>
      </c>
      <c r="AC97" s="3">
        <f>650+(340.3-49)+(-0.663+(-0.347106--0.04998))+0-0-0</f>
        <v>940.33987400000001</v>
      </c>
      <c r="AD97" s="2">
        <v>838.08680799999991</v>
      </c>
      <c r="AE97" s="3">
        <f>659+(307.2-49)+(0+(0-0))+0-0-0</f>
        <v>917.2</v>
      </c>
    </row>
    <row r="98" spans="1:31" s="2" customFormat="1" x14ac:dyDescent="0.3">
      <c r="A98">
        <v>91</v>
      </c>
      <c r="B98">
        <v>4</v>
      </c>
      <c r="C98">
        <v>5</v>
      </c>
      <c r="D98">
        <v>3</v>
      </c>
      <c r="E98">
        <v>1</v>
      </c>
      <c r="F98" s="3">
        <f>627+(334.3-45)+(-1.27908+(-0.681972--0.0918))+0-0-0</f>
        <v>914.43074799999999</v>
      </c>
      <c r="G98" s="3">
        <f>495+(462.1-39)+(-0.75735+(-0.707013--0.05967))+0-0-0</f>
        <v>916.69530700000007</v>
      </c>
      <c r="H98" s="3">
        <f>490+(418.6-37)+(-0.9996+(-0.853944--0.07548))+0-0-0</f>
        <v>869.82193600000005</v>
      </c>
      <c r="I98" s="3">
        <f>491+(395.2-36)+(-0.25041+(-0.201552--0.01836))+0-0-0</f>
        <v>849.76639800000009</v>
      </c>
      <c r="J98" s="3">
        <f>488+(377.8-35)+(-0.99552+(-0.770712--0.0714))+0-0-0</f>
        <v>829.10516799999994</v>
      </c>
      <c r="K98" s="3">
        <f>487+(305.5-40)+(-1.24185+(-0.779025--0.102))+0-0-0</f>
        <v>750.58112500000004</v>
      </c>
      <c r="L98" s="3">
        <f>418+(328.3-41)+(-0.63954+(-0.502299--0.06273))+0-0-0</f>
        <v>704.22089099999994</v>
      </c>
      <c r="M98" s="3">
        <f>416+(326-42)+(0.42432+(0.33252-0.04284))+0-0-0</f>
        <v>700.71400000000006</v>
      </c>
      <c r="N98" s="3">
        <f>415+(351.3-42)+(0.4233+(0.358326-0.04284))+0-0-0</f>
        <v>725.03878599999996</v>
      </c>
      <c r="O98" s="3">
        <f>414+(379.6-47)+(0+(0-0))+0-0-0</f>
        <v>746.6</v>
      </c>
      <c r="P98" s="3">
        <f>518+(334.3-47)+(0+(0-0))+0-0-0</f>
        <v>805.3</v>
      </c>
      <c r="Q98" s="3">
        <f>540+(376-47)+(0.5508+(0.38352-0.04794))+0-0-0</f>
        <v>869.88638000000003</v>
      </c>
      <c r="R98" s="3">
        <f>581+(398.1-45)+(0.88893+(0.609093-0.06885))+0-0-0</f>
        <v>935.52917300000001</v>
      </c>
      <c r="S98" s="3">
        <f>589+(412.2-49)+(-1.20156+(-0.840888--0.09996))+0-0-0</f>
        <v>950.25751200000002</v>
      </c>
      <c r="T98" s="3">
        <f>594+(417.5-47)+(0.30294+(0.212925-0.02397))+0-0-0</f>
        <v>964.991895</v>
      </c>
      <c r="U98" s="3">
        <f>593+(408.4-50)+(-1.51215+(-1.04142--0.1275))+0-0-0</f>
        <v>948.97393</v>
      </c>
      <c r="V98" s="3">
        <f>609+(351.5-46)+(-1.24236+(-0.71706--0.09384))+0-0-0</f>
        <v>912.63441999999998</v>
      </c>
      <c r="W98" s="3">
        <f>630+(272.1-50)+(-1.9278+(-0.832626--0.153))+0-0-0</f>
        <v>849.49257399999999</v>
      </c>
      <c r="X98" s="3">
        <f>633+(193.4-64)+(-1.93698+(-0.591804--0.19584))+0-0-0</f>
        <v>760.06705599999998</v>
      </c>
      <c r="Y98" s="3">
        <f>640+(202.6-53.6)+(-1.632+(-0.51663--0.13668))+0-0-0</f>
        <v>786.98805000000004</v>
      </c>
      <c r="Z98" s="3">
        <f>652+(360.5-51)+(-0.33252+(-0.183855--0.02601))+0-0-0</f>
        <v>961.009635</v>
      </c>
      <c r="AA98" s="3">
        <f>652+(406.3-51)+(-0.66504+(-0.414426--0.05202))+0-0-0</f>
        <v>1006.2725539999999</v>
      </c>
      <c r="AB98" s="3">
        <f>653+(409.4-49)+(-0.33303+(-0.208794--0.02499))+0-0-0</f>
        <v>1012.883166</v>
      </c>
      <c r="AC98" s="3">
        <f>648+(386.6-47)+(-0.66096+(-0.394332--0.04794))+0-0-0</f>
        <v>986.59264800000005</v>
      </c>
      <c r="AD98" s="2">
        <v>854.26410300000009</v>
      </c>
      <c r="AE98" s="3">
        <f>651+(424.4-50)+(0+(0-0))+0-0-0</f>
        <v>1025.4000000000001</v>
      </c>
    </row>
    <row r="99" spans="1:31" s="2" customFormat="1" x14ac:dyDescent="0.3">
      <c r="A99">
        <v>91</v>
      </c>
      <c r="B99">
        <v>4</v>
      </c>
      <c r="C99">
        <v>6</v>
      </c>
      <c r="D99">
        <v>4</v>
      </c>
      <c r="E99">
        <v>1</v>
      </c>
      <c r="F99" s="3">
        <f>633+(367.4-48)+(-1.29132+(-0.749496--0.09792))+0-0-0</f>
        <v>950.45710399999996</v>
      </c>
      <c r="G99" s="3">
        <f>620+(357.8-48)+(-0.6324+(-0.364956--0.04896))+0-0-0</f>
        <v>928.85160399999995</v>
      </c>
      <c r="H99" s="3">
        <f>565+(386.7-48)+(-1.1526+(-0.788868--0.09792))+0-0-0</f>
        <v>901.85645199999999</v>
      </c>
      <c r="I99" s="3">
        <f>553+(382.2-48)+(-1.41015+(-0.97461--0.1224))+0-0-0</f>
        <v>884.9376400000001</v>
      </c>
      <c r="J99" s="3">
        <f>552+(344.8-49)+(0.56304+(0.351696-0.04998))+0-0-0</f>
        <v>848.66475600000001</v>
      </c>
      <c r="K99" s="3">
        <f>548+(268.5-50)+(-1.3974+(-0.684675--0.1275))+0-0-0</f>
        <v>764.54542500000002</v>
      </c>
      <c r="L99" s="3">
        <f>549+(206.7-58.8)+(-1.39995+(-0.527085--0.14994))+0-0-0</f>
        <v>695.12290499999995</v>
      </c>
      <c r="M99" s="3">
        <f>551+(202.2-57.5)+(0.56202+(0.206244-0.05865))+0-0-0</f>
        <v>696.40961400000003</v>
      </c>
      <c r="N99" s="3">
        <f>559+(212.2-57.9)+(0.28509+(0.108222-0.029529))+0-0-0</f>
        <v>713.66378299999997</v>
      </c>
      <c r="O99" s="3">
        <f>567+(228.4-52.9)+(-0.28917+(-0.116484--0.026979))+0-0-0</f>
        <v>742.12132499999996</v>
      </c>
      <c r="P99" s="3">
        <f>566+(267.1-50.7)+(0.28866+(0.136221-0.025857))+0-0-0</f>
        <v>782.79902400000014</v>
      </c>
      <c r="Q99" s="3">
        <f>520+(378.9-47)+(-0.7956+(-0.579717--0.07191))+0-0-0</f>
        <v>850.59659299999998</v>
      </c>
      <c r="R99" s="3">
        <f>507+(480.9-47)+(-0.51714+(-0.490518--0.04794))+0-0-0</f>
        <v>939.94028200000002</v>
      </c>
      <c r="S99" s="3">
        <f>606+(413.1-47)+(-2.16342+(-1.474767--0.16779))+0-0-0</f>
        <v>968.62960299999997</v>
      </c>
      <c r="T99" s="3">
        <f>641+(350.1-48)+(-0.32691+(-0.178551--0.02448))+0-0-0</f>
        <v>942.61901899999998</v>
      </c>
      <c r="U99" s="3">
        <f>646+(327.4-48)+(0+(0-0))+0-0-0</f>
        <v>925.4</v>
      </c>
      <c r="V99" s="3">
        <f>645+(277.2-51)+(-0.98685+(-0.424116--0.07803))+0-0-0</f>
        <v>869.86706400000003</v>
      </c>
      <c r="W99" s="3">
        <f>618+(238.2-50.6)+(-1.26072+(-0.485928--0.103224))+0-0-0</f>
        <v>803.95657600000004</v>
      </c>
      <c r="X99" s="3">
        <f>618+(172.6-54.2)+(-0.94554+(-0.264078--0.082926))+0-0-0</f>
        <v>735.27330799999993</v>
      </c>
      <c r="Y99" s="3">
        <f>619+(199.5-51.1)+(-0.63138+(-0.20349--0.052122))+0-0-0</f>
        <v>766.61725200000001</v>
      </c>
      <c r="Z99" s="3">
        <f>621+(375-50)+(-0.31671+(-0.19125--0.0255))+0-0-0</f>
        <v>945.51754000000005</v>
      </c>
      <c r="AA99" s="3">
        <f>639+(386.3-54)+(-0.97767+(-0.591039--0.08262))+0-0-0</f>
        <v>969.81391099999996</v>
      </c>
      <c r="AB99" s="3">
        <f>637+(427.7-50)+(-1.29948+(-0.872508--0.102))+0-0-0</f>
        <v>1012.6300120000001</v>
      </c>
      <c r="AC99" s="3">
        <f>637+(361.9-49)+(-0.64974+(-0.369138--0.04998))+0-0-0</f>
        <v>948.93110200000001</v>
      </c>
      <c r="AD99" s="2">
        <v>854.51541500000008</v>
      </c>
      <c r="AE99" s="3">
        <f>637+(413-55)+(0+(0-0))+0-0-0</f>
        <v>995</v>
      </c>
    </row>
    <row r="100" spans="1:31" s="2" customFormat="1" x14ac:dyDescent="0.3">
      <c r="A100">
        <v>91</v>
      </c>
      <c r="B100">
        <v>4</v>
      </c>
      <c r="C100">
        <v>7</v>
      </c>
      <c r="D100">
        <v>5</v>
      </c>
      <c r="E100">
        <v>1</v>
      </c>
      <c r="F100" s="3">
        <f>625+(366.4-48)+(-0.31875+(-0.186864--0.02448))+0-0-0</f>
        <v>942.91886599999998</v>
      </c>
      <c r="G100" s="3">
        <f>604+(369.6-46)+(-0.92412+(-0.565488--0.07038))+0-0-0</f>
        <v>926.18077200000005</v>
      </c>
      <c r="H100" s="3">
        <f>512+(448.6-46)+(-0.78336+(-0.686358--0.07038))+0-0-0</f>
        <v>913.20066200000008</v>
      </c>
      <c r="I100" s="3">
        <f>507+(421.3-48)+(0+(0-0))+0-0-0</f>
        <v>880.3</v>
      </c>
      <c r="J100" s="3">
        <f>506+(420-48)+(-1.2903+(-1.071--0.1224))+0-0-0</f>
        <v>875.76110000000006</v>
      </c>
      <c r="K100" s="3">
        <f>506+(331.2-48)+(-1.03224+(-0.675648--0.09792))+0-0-0</f>
        <v>787.59003200000006</v>
      </c>
      <c r="L100" s="3">
        <f>500+(270.8-50)+(-0.765+(-0.414324--0.0765))+0-0-0</f>
        <v>719.6971759999999</v>
      </c>
      <c r="M100" s="3">
        <f>500+(274.7-50)+(0.51+(0.280194-0.051))+0-0-0</f>
        <v>725.43919400000004</v>
      </c>
      <c r="N100" s="3">
        <f>499+(282.9-47)+(0.50898+(0.288558-0.04794))+0-0-0</f>
        <v>735.64959799999997</v>
      </c>
      <c r="O100" s="3">
        <f>501+(301.3-47)+(-0.51102+(-0.307326--0.04794))+0-0-0</f>
        <v>754.52959399999997</v>
      </c>
      <c r="P100" s="3">
        <f>510+(354-45)+(0+(0-0))+0-0-0</f>
        <v>819</v>
      </c>
      <c r="Q100" s="3">
        <f>564+(341.7-43)+(0.86292+(0.522801-0.06579))+0-0-0</f>
        <v>864.01993100000004</v>
      </c>
      <c r="R100" s="3">
        <f>575+(417.2-43)+(-0.29325+(-0.212772--0.02193))+0-0-0</f>
        <v>948.71590800000001</v>
      </c>
      <c r="S100" s="3">
        <f>590+(455.6-47)+(-0.6018+(-0.464712--0.04794))+0-0-0</f>
        <v>997.58142800000007</v>
      </c>
      <c r="T100" s="3">
        <f>593+(430.5-48)+(-0.30243+(-0.219555--0.02448))+0-0-0</f>
        <v>975.00249499999995</v>
      </c>
      <c r="U100" s="3">
        <f>594+(429.6-48)+(0.90882+(0.657288-0.07344))+0-0-0</f>
        <v>977.092668</v>
      </c>
      <c r="V100" s="3">
        <f>602+(349.8-48)+(-0.61404+(-0.356796--0.04896))+0-0-0</f>
        <v>902.87812399999996</v>
      </c>
      <c r="W100" s="3">
        <f>620+(269.3-49)+(-0.9486+(-0.412029--0.07497))+0-0-0</f>
        <v>839.01434099999994</v>
      </c>
      <c r="X100" s="3">
        <f>621+(208.7-62.6)+(-1.90026+(-0.638622--0.191556))+0-0-0</f>
        <v>764.75267400000007</v>
      </c>
      <c r="Y100" s="3">
        <f>620+(229-54.3)+(-1.2648+(-0.46716--0.110772))+0-0-0</f>
        <v>793.07881200000008</v>
      </c>
      <c r="Z100" s="3">
        <f>622+(396.9-53)+(0.63444+(0.404838-0.05406))+0-0-0</f>
        <v>966.88521800000001</v>
      </c>
      <c r="AA100" s="3">
        <f>632+(458.1-53)+(-0.64464+(-0.467262--0.05406))+0-0-0</f>
        <v>1036.042158</v>
      </c>
      <c r="AB100" s="3">
        <f>627+(450.9-51)+(0.31977+(0.229959-0.02601))+0-0-0</f>
        <v>1027.4237190000001</v>
      </c>
      <c r="AC100" s="3">
        <f>632+(419.4-51)+(0+(0-0))+0-0-0</f>
        <v>1000.4</v>
      </c>
      <c r="AD100" s="2">
        <v>857.2</v>
      </c>
      <c r="AE100" s="3">
        <f>621+(454.1-49)+(0+(0-0))+0-0-0</f>
        <v>1026.0999999999999</v>
      </c>
    </row>
    <row r="101" spans="1:31" s="2" customFormat="1" x14ac:dyDescent="0.3">
      <c r="A101">
        <v>91</v>
      </c>
      <c r="B101">
        <v>4</v>
      </c>
      <c r="C101">
        <v>8</v>
      </c>
      <c r="D101">
        <v>6</v>
      </c>
      <c r="E101">
        <v>1</v>
      </c>
      <c r="F101" s="3">
        <f>640+(397.6-48)+(0.3264+(0.202776-0.02448))+0-0-0</f>
        <v>990.10469599999999</v>
      </c>
      <c r="G101" s="3">
        <f>641+(343.7-47)+(0.65382+(0.350574-0.04794))+0-0-0</f>
        <v>938.65645400000005</v>
      </c>
      <c r="H101" s="3">
        <f>643+(305.1-47)+(0+(0-0))+0-0-0</f>
        <v>901.1</v>
      </c>
      <c r="I101" s="3">
        <f>592+(318.8-47)+(0.30192+(0.162588-0.02397))+0-0-0</f>
        <v>864.2405379999999</v>
      </c>
      <c r="J101" s="3">
        <f>566+(317.8-48)+(0.28866+(0.162078-0.02448))+0-0-0</f>
        <v>836.22625799999992</v>
      </c>
      <c r="K101" s="3">
        <f>567+(258.3-50)+(-0.57834+(-0.263466--0.051))+0-0-0</f>
        <v>774.50919399999998</v>
      </c>
      <c r="L101" s="3">
        <f>568+(185.8-53)+(-0.57936+(-0.189516--0.05406))+0-0-0</f>
        <v>700.08518399999991</v>
      </c>
      <c r="M101" s="3">
        <f>566+(182.8-45.2)+(0.86598+(0.279684-0.069156))+0-0-0</f>
        <v>704.67650800000001</v>
      </c>
      <c r="N101" s="3">
        <f>566+(190.2-40)+(1.4433+(0.48501-0.102))+0-0-0</f>
        <v>718.02631000000008</v>
      </c>
      <c r="O101" s="3">
        <f>565+(214-39)+(1.1526+(0.43656-0.07956))+0-0-0</f>
        <v>741.50959999999998</v>
      </c>
      <c r="P101" s="3">
        <f>607+(190.1-43.2)+(1.23828+(0.387804-0.088128))+0-0-0</f>
        <v>755.43795599999999</v>
      </c>
      <c r="Q101" s="3">
        <f>622+(238.9-43)+(0.95166+(0.365517-0.06579))+0-0-0</f>
        <v>819.151387</v>
      </c>
      <c r="R101" s="3">
        <f>611+(337.8-50)+(1.24644+(0.689112-0.102))+0-0-0</f>
        <v>900.63355200000001</v>
      </c>
      <c r="S101" s="3">
        <f>609+(374.4-51)+(-1.55295+(-0.95472--0.13005))+4.5-0-0</f>
        <v>934.52238</v>
      </c>
      <c r="T101" s="3">
        <f>611+(390.1-49)+(0+(0-0))+4.7-0-0</f>
        <v>956.80000000000007</v>
      </c>
      <c r="U101" s="3">
        <f>613+(373.5-48)+(0+(0-0))+0-0-0</f>
        <v>938.5</v>
      </c>
      <c r="V101" s="3">
        <f>619+(318.8-50)+(0+(0-0))+0-0-0</f>
        <v>887.8</v>
      </c>
      <c r="W101" s="3">
        <f>628+(234-48.5)+(-1.28112+(-0.47736--0.09894))+0-0-0</f>
        <v>811.84046000000001</v>
      </c>
      <c r="X101" s="3">
        <f>634+(167.5-60)+(-1.94004+(-0.51255--0.1836))+0-0-0</f>
        <v>739.23100999999997</v>
      </c>
      <c r="Y101" s="3">
        <f>607+(214.3-54)+(-1.23828+(-0.437172--0.11016))+0-0-0</f>
        <v>765.73470799999996</v>
      </c>
      <c r="Z101" s="3">
        <f>600+(391.8-54)+(0.612+(0.399636-0.05508))+0-0-0</f>
        <v>938.75655599999993</v>
      </c>
      <c r="AA101" s="3">
        <f>633+(413.3-49)+(-2.25981+(-1.475481--0.17493))+0-0-0</f>
        <v>993.73963900000001</v>
      </c>
      <c r="AB101" s="3">
        <f>637+(420.8-52)+(-0.97461+(-0.643824--0.07956))+0-0-0</f>
        <v>1004.261126</v>
      </c>
      <c r="AC101" s="3">
        <f>634+(409.8-52)+(-1.29336+(-0.835992--0.10608))+0-0-0</f>
        <v>989.77672799999993</v>
      </c>
      <c r="AD101" s="2">
        <v>839.68354399999998</v>
      </c>
      <c r="AE101" s="3">
        <f>633+(423.6-55)+(0+(0-0))+0-0-0</f>
        <v>1001.6</v>
      </c>
    </row>
    <row r="102" spans="1:31" s="2" customFormat="1" x14ac:dyDescent="0.3">
      <c r="A102">
        <v>91</v>
      </c>
      <c r="B102">
        <v>4</v>
      </c>
      <c r="C102">
        <v>9</v>
      </c>
      <c r="D102">
        <v>7</v>
      </c>
      <c r="E102">
        <v>1</v>
      </c>
      <c r="F102" s="3">
        <f>621+(394.2-45)+(0.63342+(0.402084-0.0459))+0-0-0</f>
        <v>971.18960400000003</v>
      </c>
      <c r="G102" s="3">
        <f>619+(329.3-45)+(-1.26276+(-0.671772--0.0918))+0-0-0</f>
        <v>901.457268</v>
      </c>
      <c r="H102" s="3">
        <f>619+(287.6-45)+(-0.94707+(-0.440028--0.06885))+0-0-0</f>
        <v>860.28175199999998</v>
      </c>
      <c r="I102" s="3">
        <f>619+(253.8-40)+(-0.63138+(-0.258876--0.0408))+0-0-0</f>
        <v>831.95054399999992</v>
      </c>
      <c r="J102" s="3">
        <f>620+(230.2-36.6)+(-0.6324+(-0.234804--0.037332))+0-0-0</f>
        <v>812.770128</v>
      </c>
      <c r="K102" s="3">
        <f>572+(199.4-40)+(-0.87516+(-0.305082--0.0612))+0-0-0</f>
        <v>730.28095799999994</v>
      </c>
      <c r="L102" s="3">
        <f>485+(232.3-35)+(-1.23675+(-0.592365--0.08925))+0-0-0</f>
        <v>680.56013499999995</v>
      </c>
      <c r="M102" s="3">
        <f>485+(226.8-35)+(-0.24735+(-0.115668--0.01785))+0-0-0</f>
        <v>676.45483200000001</v>
      </c>
      <c r="N102" s="3">
        <f>485+(233.4-44)+(-0.4947+(-0.238068--0.04488))+0-0-0</f>
        <v>673.71211199999993</v>
      </c>
      <c r="O102" s="3">
        <f>484+(268.7-49)+(-0.74052+(-0.411111--0.07497))+0-0-0</f>
        <v>702.6233390000001</v>
      </c>
      <c r="P102" s="3">
        <f>483+(306.4-45)+(0+(0-0))+0-0-0</f>
        <v>744.4</v>
      </c>
      <c r="Q102" s="3">
        <f>494+(360.9-45)+(0.50388+(0.368118-0.0459))+0-0-0</f>
        <v>810.72609799999998</v>
      </c>
      <c r="R102" s="3">
        <f>569+(350.1-51)+(0.29019+(0.178551-0.02601))+0-0-0</f>
        <v>868.542731</v>
      </c>
      <c r="S102" s="3">
        <f>611+(347.1-51)+(0.31161+(0.177021-0.02601))+0-0-0</f>
        <v>907.56262100000004</v>
      </c>
      <c r="T102" s="3">
        <f>611+(368.5-50)+(-0.31161+(-0.187935--0.0255))+0-0-0</f>
        <v>929.02595499999995</v>
      </c>
      <c r="U102" s="3">
        <f>613+(365.8-49)+(-0.31263+(-0.186558--0.02499))+0-0-0</f>
        <v>929.32580199999995</v>
      </c>
      <c r="V102" s="3">
        <f>623+(307.8-48)+(0.31773+(0.156978-0.02448))+0-0-0</f>
        <v>883.25022799999999</v>
      </c>
      <c r="W102" s="3">
        <f>602+(257.1-49.7)+(-1.5351+(-0.655605--0.126735))+0-0-0</f>
        <v>807.33603000000005</v>
      </c>
      <c r="X102" s="3">
        <f>602+(187.4-61.8)+(-1.5351+(-0.47787--0.15759))+0-0-0</f>
        <v>725.74462000000005</v>
      </c>
      <c r="Y102" s="3">
        <f>534+(282-49)+(-0.27234+(-0.14382--0.02499))+0-0-0</f>
        <v>766.60883000000001</v>
      </c>
      <c r="Z102" s="3">
        <f>572+(429.9-57)+(-0.58344+(-0.438498--0.05814))+0-0-0</f>
        <v>943.93620199999998</v>
      </c>
      <c r="AA102" s="3">
        <f>645+(394.5-53)+(-1.64475+(-1.005975--0.13515))+0-0-0</f>
        <v>983.98442499999999</v>
      </c>
      <c r="AB102" s="3">
        <f>649+(405.8-53)+(-0.33099+(-0.206958--0.02703))+0-0-0</f>
        <v>1001.289082</v>
      </c>
      <c r="AC102" s="3">
        <f>644+(394.6-52)+(-0.98532+(-0.603738--0.07956))+0-0-0</f>
        <v>985.09050200000001</v>
      </c>
      <c r="AD102" s="2">
        <v>815.81585399999994</v>
      </c>
      <c r="AE102" s="3">
        <f>638+(411-53)+(0+(0-0))+0-0-0</f>
        <v>996</v>
      </c>
    </row>
    <row r="103" spans="1:31" s="2" customFormat="1" x14ac:dyDescent="0.3">
      <c r="A103">
        <v>91</v>
      </c>
      <c r="B103">
        <v>4</v>
      </c>
      <c r="C103">
        <v>10</v>
      </c>
      <c r="D103">
        <v>1</v>
      </c>
      <c r="E103">
        <v>1</v>
      </c>
      <c r="F103" s="3">
        <f>614+(393.4-48)+(0+(0-0))+0-0-0</f>
        <v>959.4</v>
      </c>
      <c r="G103" s="3">
        <f>571+(400.9-46)+(-0.29121+(-0.204459--0.02346))+0-0-0</f>
        <v>925.42779099999996</v>
      </c>
      <c r="H103" s="3">
        <f>533+(412.5-45)+(0.27183+(0.210375-0.02295))+0-0-0</f>
        <v>900.95925499999998</v>
      </c>
      <c r="I103" s="3">
        <f>510+(410.5-48)+(0+(0-0))+0-0-0</f>
        <v>872.5</v>
      </c>
      <c r="J103" s="3">
        <f>487+(403.7-48)+(-0.49674+(-0.411774--0.04896))+0-0-0</f>
        <v>841.84044600000004</v>
      </c>
      <c r="K103" s="3">
        <f>487+(326.1-46)+(-1.24185+(-0.831555--0.1173))+0-0-0</f>
        <v>765.14389500000004</v>
      </c>
      <c r="L103" s="3">
        <f>482+(258.9-55)+(0+(0-0))+0-0-0</f>
        <v>685.9</v>
      </c>
      <c r="M103" s="3">
        <f>481+(276.4-51)+(0.49062+(0.281928-0.05202))+0-0-0</f>
        <v>707.12052799999992</v>
      </c>
      <c r="N103" s="3">
        <f>478+(298.6-50)+(0.48756+(0.304572-0.051))+0-0-0</f>
        <v>727.34113200000002</v>
      </c>
      <c r="O103" s="3">
        <f>588+(204.5-56.4)+(0+(0-0))+0-0-0</f>
        <v>736.1</v>
      </c>
      <c r="P103" s="3">
        <f>613+(217.9-63.4)+(0.93789+(0.333387-0.097002))+0-0-0</f>
        <v>768.67427499999997</v>
      </c>
      <c r="Q103" s="3">
        <f>613+(275.2-48)+(0+(0-0))+0-0-0</f>
        <v>840.2</v>
      </c>
      <c r="R103" s="3">
        <f>606+(359.1-49)+(-0.30906+(-0.183141--0.02499))+0-0-0</f>
        <v>915.632789</v>
      </c>
      <c r="S103" s="3">
        <f>605+(418.5-49)+(0.30855+(0.213435-0.02499))+0-0-0</f>
        <v>974.99699499999997</v>
      </c>
      <c r="T103" s="3">
        <f>620+(430.1-48)+(-0.6324+(-0.438702--0.04896))+0-0-0</f>
        <v>1001.077858</v>
      </c>
      <c r="U103" s="3">
        <f>658+(351.4-48)+(-0.67116+(-0.358428--0.04896))+0-0-0</f>
        <v>960.41937199999995</v>
      </c>
      <c r="V103" s="3">
        <f>677+(280-55)+(-0.34527+(-0.1428--0.02805))+0-0-0</f>
        <v>901.53998000000001</v>
      </c>
      <c r="W103" s="3">
        <f>693+(214.4-69.5)+(-1.41372+(-0.437376--0.14178))+0-0-0</f>
        <v>836.19068400000003</v>
      </c>
      <c r="X103" s="3">
        <f>696+(145-88.1)+(-1.06488+(-0.22185--0.134793))+0-0-0</f>
        <v>751.748063</v>
      </c>
      <c r="Y103" s="3">
        <f>657+(187.7-58.4)+(-0.67014+(-0.191454--0.059568))+0-0-0</f>
        <v>785.497974</v>
      </c>
      <c r="Z103" s="3">
        <f>671+(330.2-54)+(0.68442+(0.336804-0.05508))+0-0-0</f>
        <v>948.16614400000003</v>
      </c>
      <c r="AA103" s="3">
        <f>694+(374.1-55)+(-1.41576+(-0.763164--0.1122))+0-0-0</f>
        <v>1011.033276</v>
      </c>
      <c r="AB103" s="3">
        <f>687+(372.3-53)+(-1.75185+(-0.949365--0.13515))+0-0-0</f>
        <v>1003.733935</v>
      </c>
      <c r="AC103" s="3">
        <f>687+(357.6-49)+(-1.40148+(-0.729504--0.09996))+0-0-0</f>
        <v>993.56897600000002</v>
      </c>
      <c r="AD103" s="2">
        <v>811.75611000000004</v>
      </c>
      <c r="AE103" s="3">
        <f>696+(314-55)+(0+(0-0))+0-0-0</f>
        <v>955</v>
      </c>
    </row>
    <row r="104" spans="1:31" s="2" customFormat="1" x14ac:dyDescent="0.3">
      <c r="A104">
        <v>91</v>
      </c>
      <c r="B104">
        <v>4</v>
      </c>
      <c r="C104">
        <v>11</v>
      </c>
      <c r="D104">
        <v>2</v>
      </c>
      <c r="E104">
        <v>1</v>
      </c>
      <c r="F104" s="3">
        <f>682+(273.8-50)+(0+(0-0))+0-0-0</f>
        <v>905.8</v>
      </c>
      <c r="G104" s="3">
        <f>616+(310.5-49)+(-1.88496+(-0.95013--0.14994))+0-0-0</f>
        <v>874.81484999999998</v>
      </c>
      <c r="H104" s="3">
        <f>524+(368.6-48)+(-1.06896+(-0.751944--0.09792))+0-0-0</f>
        <v>842.87701600000003</v>
      </c>
      <c r="I104" s="3">
        <f>519+(347.2-48)+(-1.32345+(-0.88536--0.1224))+0-0-0</f>
        <v>816.11359000000004</v>
      </c>
      <c r="J104" s="3">
        <f>519+(322.9-50)+(-1.58814+(-0.988074--0.153))+0-0-0</f>
        <v>789.47678599999995</v>
      </c>
      <c r="K104" s="3">
        <f>518+(254.1-50)+(-1.05672+(-0.518364--0.102))+0-0-0</f>
        <v>720.62691600000005</v>
      </c>
      <c r="L104" s="3">
        <f>515+(189-50)+(-1.31325+(-0.48195--0.1275))+0-0-0</f>
        <v>652.33230000000003</v>
      </c>
      <c r="M104" s="3">
        <f>516+(190.7-53)+(0.78948+(0.291771-0.08109))+0-0-0</f>
        <v>654.70016100000009</v>
      </c>
      <c r="N104" s="3">
        <f>515+(219.9-45)+(0.78795+(0.336447-0.06885))+0-0-0</f>
        <v>690.95554700000002</v>
      </c>
      <c r="O104" s="3">
        <f>515+(259.2-47)+(0.5253+(0.264384-0.04794))+0-0-0</f>
        <v>727.94174400000009</v>
      </c>
      <c r="P104" s="3">
        <f>546+(261.8-50)+(0+(0-0))+0-0-0</f>
        <v>757.8</v>
      </c>
      <c r="Q104" s="3">
        <f>590+(296.9-48)+(1.5045+(0.757095-0.1224))+0-0-0</f>
        <v>841.03919499999995</v>
      </c>
      <c r="R104" s="3">
        <f>602+(356.3-48)+(0.30702+(0.181713-0.02448))+0-0-0</f>
        <v>910.76425299999994</v>
      </c>
      <c r="S104" s="3">
        <f>607+(379.5-47)+(-0.61914+(-0.38709--0.04794))+0-0-0</f>
        <v>938.54170999999997</v>
      </c>
      <c r="T104" s="3">
        <f>623+(368.6-50)+(-0.63546+(-0.375972--0.051))+0-0-0</f>
        <v>940.63956800000005</v>
      </c>
      <c r="U104" s="3">
        <f>627+(354.7-46)+(-1.59885+(-0.904485--0.1173))+0-0-0</f>
        <v>933.31396500000005</v>
      </c>
      <c r="V104" s="3">
        <f>632+(295.5-45)+(-0.32232+(-0.150705--0.02295))+0-0-0</f>
        <v>882.04992500000003</v>
      </c>
      <c r="W104" s="3">
        <f>626+(246-46)+(-1.27704+(-0.50184--0.09384))+0-0-0</f>
        <v>824.31496000000004</v>
      </c>
      <c r="X104" s="3">
        <f>630+(181.1-54.6)+(-0.9639+(-0.277083--0.083538))+0-0-0</f>
        <v>755.34255499999995</v>
      </c>
      <c r="Y104" s="3">
        <f>581+(234-47)+(-1.48155+(-0.5967--0.11985))+0-0-0</f>
        <v>766.04160000000002</v>
      </c>
      <c r="Z104" s="3">
        <f>632+(330.2-48)+(0+(0-0))+0-0-0</f>
        <v>914.2</v>
      </c>
      <c r="AA104" s="3">
        <f>660+(351.1-52)+(-1.683+(-0.895305--0.1326))+0-0-0</f>
        <v>956.65429500000005</v>
      </c>
      <c r="AB104" s="3">
        <f>668+(335.3-46)+(-0.68136+(-0.342006--0.04692))+0-0-0</f>
        <v>956.32355399999994</v>
      </c>
      <c r="AC104" s="3">
        <f>642+(357.7-48)+(-0.65484+(-0.364854--0.04896))+0-0-0</f>
        <v>950.72926600000005</v>
      </c>
      <c r="AD104" s="2">
        <v>825.4</v>
      </c>
      <c r="AE104" s="3">
        <f>656+(350.1-48)+(0+(0-0))+0-0-0</f>
        <v>958.1</v>
      </c>
    </row>
    <row r="105" spans="1:31" s="2" customFormat="1" x14ac:dyDescent="0.3">
      <c r="A105">
        <v>91</v>
      </c>
      <c r="B105">
        <v>4</v>
      </c>
      <c r="C105">
        <v>12</v>
      </c>
      <c r="D105">
        <v>3</v>
      </c>
      <c r="E105">
        <v>1</v>
      </c>
      <c r="F105" s="3">
        <f>582+(381.8-33)+(-1.4841+(-0.97359--0.08415))+0-0-0</f>
        <v>928.42645999999991</v>
      </c>
      <c r="G105" s="3">
        <f>582+(356.6-31)+(-1.18728+(-0.727464--0.06324))+0-0-0</f>
        <v>905.74849600000005</v>
      </c>
      <c r="H105" s="3">
        <f>584+(321.4-30)+(-0.89352+(-0.491742--0.0459))+0-0-0</f>
        <v>874.06063799999993</v>
      </c>
      <c r="I105" s="3">
        <f>581+(295.4-34)+(-1.18524+(-0.602616--0.06936))+0-0-0</f>
        <v>840.68150400000002</v>
      </c>
      <c r="J105" s="3">
        <f>580+(268.6-36)+(-1.479+(-0.68493--0.0918))+0-0-0</f>
        <v>810.52787000000001</v>
      </c>
      <c r="K105" s="3">
        <f>514+(277.2-37)+(-1.3107+(-0.70686--0.09435))+0-0-0</f>
        <v>752.27679000000001</v>
      </c>
      <c r="L105" s="3">
        <f>444+(305.9-40)+(-0.22644+(-0.156009--0.0204))+0-0-0</f>
        <v>709.53795100000002</v>
      </c>
      <c r="M105" s="3">
        <f>444+(308.3-40)+(0.45288+(0.314466-0.0408))+0-0-0</f>
        <v>713.02654599999994</v>
      </c>
      <c r="N105" s="3">
        <f>444+(324.6-41)+(0+(0-0))+0-0-0</f>
        <v>727.6</v>
      </c>
      <c r="O105" s="3">
        <f>444+(355.6-48)+(-1.1322+(-0.90678--0.1224))+0-0-0</f>
        <v>749.68342000000007</v>
      </c>
      <c r="P105" s="3">
        <f>474+(360.9-46)+(0+(0-0))+0-0-0</f>
        <v>788.9</v>
      </c>
      <c r="Q105" s="3">
        <f>627+(265.4-39)+(-0.63954+(-0.270708--0.03978))+0-0-0</f>
        <v>852.52953200000002</v>
      </c>
      <c r="R105" s="3">
        <f>672+(309.4-49)+(0+(0-0))+0-0-0</f>
        <v>932.4</v>
      </c>
      <c r="S105" s="3">
        <f>684+(336.9-52)+(-0.69768+(-0.343638--0.05304))+0-0-0</f>
        <v>967.91172199999994</v>
      </c>
      <c r="T105" s="3">
        <f>697+(299.4-48)+(-1.06641+(-0.458082--0.07344))+0-0-0</f>
        <v>946.94894799999997</v>
      </c>
      <c r="U105" s="3">
        <f>703+(289.8-50.2)+(0.71706+(0.295596-0.051204))+0-0-0</f>
        <v>943.56145200000003</v>
      </c>
      <c r="V105" s="3">
        <f>706+(261.3-56.7)+(-0.36006+(-0.133263--0.028917))+0-0-0</f>
        <v>910.13559399999997</v>
      </c>
      <c r="W105" s="3">
        <f>714+(216.3-70)+(-2.54898+(-0.772191--0.2499))+0-0-0</f>
        <v>857.22872899999993</v>
      </c>
      <c r="X105" s="3">
        <f>720+(153.8-97.4)+(-2.5704+(-0.549066--0.347718))+0-0-0</f>
        <v>773.62825199999997</v>
      </c>
      <c r="Y105" s="3">
        <f>732+(142.9-78.6)+(-0.74664+(-0.145758--0.080172))+0-0-0</f>
        <v>795.48777399999994</v>
      </c>
      <c r="Z105" s="3">
        <f>742+(246.9-56)+(0+(0-0))+0-0-0</f>
        <v>932.9</v>
      </c>
      <c r="AA105" s="3">
        <f>744+(288.3-52)+(-0.75888+(-0.294066--0.05304))+0-0-0</f>
        <v>979.30009399999994</v>
      </c>
      <c r="AB105" s="3">
        <f>742+(300.3-52)+(-0.75684+(-0.306306--0.05304))+0-0-0</f>
        <v>989.289894</v>
      </c>
      <c r="AC105" s="3">
        <f>727+(310.5-50)+(0+(0-0))+0-0-0</f>
        <v>987.5</v>
      </c>
      <c r="AD105" s="2">
        <v>838.94340399999999</v>
      </c>
      <c r="AE105" s="3">
        <f>732+(294.7-55)+(0+(0-0))+0-0-0</f>
        <v>971.7</v>
      </c>
    </row>
    <row r="106" spans="1:31" s="2" customFormat="1" x14ac:dyDescent="0.3">
      <c r="A106">
        <v>91</v>
      </c>
      <c r="B106">
        <v>4</v>
      </c>
      <c r="C106">
        <v>13</v>
      </c>
      <c r="D106">
        <v>4</v>
      </c>
      <c r="E106">
        <v>1</v>
      </c>
      <c r="F106" s="3">
        <f>680+(309.7-49)+(0.3468+(0.157947-0.02499))+0-0-0</f>
        <v>941.179757</v>
      </c>
      <c r="G106" s="3">
        <f>617+(340.5-49)+(0+(0-0))+0-0-0</f>
        <v>908.5</v>
      </c>
      <c r="H106" s="3">
        <f>618+(314.4-47)+(0+(0-0))+0-0-0</f>
        <v>885.4</v>
      </c>
      <c r="I106" s="3">
        <f>620+(293.2-48)+(0+(0-0))+0-0-0</f>
        <v>865.2</v>
      </c>
      <c r="J106" s="3">
        <f>620+(277.6-49)+(-0.9486+(-0.424728--0.07497))+0-0-0</f>
        <v>847.30164200000002</v>
      </c>
      <c r="K106" s="3">
        <f>545+(283.4-50)+(-0.5559+(-0.289068--0.051))+0-0-0</f>
        <v>777.60603200000003</v>
      </c>
      <c r="L106" s="3">
        <f>539+(229.5-50)+(-1.09956+(-0.46818--0.102))+0-0-0</f>
        <v>717.03426000000002</v>
      </c>
      <c r="M106" s="3">
        <f>535+(226.9-51)+(0+(0-0))+0-0-0</f>
        <v>710.9</v>
      </c>
      <c r="N106" s="3">
        <f>535+(237.6-49)+(0.5457+(0.242352-0.04998))+0-0-0</f>
        <v>724.33807200000001</v>
      </c>
      <c r="O106" s="3">
        <f>588+(215.1-45)+(-1.19952+(-0.438804--0.0918))+0-0-0</f>
        <v>756.55347600000005</v>
      </c>
      <c r="P106" s="3">
        <f>598+(242.5-46)+(-0.30498+(-0.123675--0.02346))+0-0-0</f>
        <v>794.09480499999995</v>
      </c>
      <c r="Q106" s="3">
        <f>623+(292.1-48)+(-0.31773+(-0.148971--0.02448))+0-0-0</f>
        <v>866.657779</v>
      </c>
      <c r="R106" s="3">
        <f>671+(304.7-47)+(0+(0-0))+0-0-0</f>
        <v>928.7</v>
      </c>
      <c r="S106" s="3">
        <f>697+(287.5-46)+(-1.42188+(-0.5865--0.09384))+0-0-0</f>
        <v>936.58546000000001</v>
      </c>
      <c r="T106" s="3">
        <f>720+(259.8-46)+(-0.7344+(-0.264996--0.04692))+0-0-0</f>
        <v>932.84752399999991</v>
      </c>
      <c r="U106" s="3">
        <f>724+(256.1-49.5)+(-0.36924+(-0.130611--0.025245))+0-0-0</f>
        <v>930.12539400000003</v>
      </c>
      <c r="V106" s="3">
        <f>735+(231.5-60)+(-0.37485+(-0.118065--0.0306))+0-0-0</f>
        <v>906.03768500000001</v>
      </c>
      <c r="W106" s="3">
        <f>742+(187.8-69.3)+(1.13526+(0.287334-0.106029))+0-0-0</f>
        <v>861.81656499999997</v>
      </c>
      <c r="X106" s="3">
        <f>699+(168.6-78.4)+(-1.06947+(-0.257958--0.119952))+0-0-0</f>
        <v>787.992524</v>
      </c>
      <c r="Y106" s="3">
        <f>698+(180.8-62.4)+(0.71196+(0.184416-0.063648))+0-0-0</f>
        <v>817.23272799999995</v>
      </c>
      <c r="Z106" s="3">
        <f>704+(271-34)+(-0.35904+(-0.13821--0.01734))+0-0-0</f>
        <v>940.52008999999998</v>
      </c>
      <c r="AA106" s="3">
        <f>702+(317.7-49)+(-1.43208+(-0.648108--0.09996))+0-0-0</f>
        <v>968.71977200000003</v>
      </c>
      <c r="AB106" s="3">
        <f>704+(339-47)+(-0.35904+(-0.17289--0.02397))+0-0-0</f>
        <v>995.49203999999997</v>
      </c>
      <c r="AC106" s="3">
        <f>689+(338.9-50)+(-0.70278+(-0.345678--0.051))+0-0-0</f>
        <v>976.90254199999993</v>
      </c>
      <c r="AD106" s="2">
        <v>853.31847500000003</v>
      </c>
      <c r="AE106" s="3">
        <f>704+(337.9-52)+(0+(0-0))+0-0-0</f>
        <v>989.9</v>
      </c>
    </row>
    <row r="107" spans="1:31" s="2" customFormat="1" x14ac:dyDescent="0.3">
      <c r="A107">
        <v>91</v>
      </c>
      <c r="B107">
        <v>4</v>
      </c>
      <c r="C107">
        <v>14</v>
      </c>
      <c r="D107">
        <v>5</v>
      </c>
      <c r="E107">
        <v>1</v>
      </c>
      <c r="F107" s="3">
        <f>632+(358.8-50)+(-1.6116+(-0.91494--0.1275))+0-0-0</f>
        <v>938.40095999999994</v>
      </c>
      <c r="G107" s="3">
        <f>555+(414-49)+(0.5661+(0.42228-0.04998))+0-0-0</f>
        <v>920.9384</v>
      </c>
      <c r="H107" s="3">
        <f>546+(388.1-49)+(-0.55692+(-0.395862--0.04998))+0-0-0</f>
        <v>884.19719800000007</v>
      </c>
      <c r="I107" s="3">
        <f>546+(366.3-48)+(0.27846+(0.186813-0.02448))+0-0-0</f>
        <v>864.74079299999994</v>
      </c>
      <c r="J107" s="3">
        <f>544+(354.6-49)+(-0.83232+(-0.542538--0.07497))+0-0-0</f>
        <v>848.30011200000001</v>
      </c>
      <c r="K107" s="3">
        <f>544+(294.2-48)+(-0.83232+(-0.450126--0.07344))+0-0-0</f>
        <v>788.990994</v>
      </c>
      <c r="L107" s="3">
        <f>497+(286.1-50)+(-0.76041+(-0.437733--0.0765))+0-0-0</f>
        <v>731.97835700000007</v>
      </c>
      <c r="M107" s="3">
        <f>509+(265.5-51)+(0.51918+(0.27081-0.05202))+0-0-0</f>
        <v>724.23797000000002</v>
      </c>
      <c r="N107" s="3">
        <f>542+(242.2-50)+(0+(0-0))+0-0-0</f>
        <v>734.2</v>
      </c>
      <c r="O107" s="3">
        <f>540+(268.8-49)+(-0.8262+(-0.411264--0.07497))+0-0-0</f>
        <v>758.63750599999992</v>
      </c>
      <c r="P107" s="3">
        <f>552+(280.5-46)+(-0.84456+(-0.429165--0.07038))+0-0-0</f>
        <v>785.29665499999999</v>
      </c>
      <c r="Q107" s="3">
        <f>581+(305.2-45)+(0+(0-0))+0-0-0</f>
        <v>841.2</v>
      </c>
      <c r="R107" s="3">
        <f>617+(352.5-47)+(0.62934+(0.35955-0.04794))+0-0-0</f>
        <v>923.44095000000004</v>
      </c>
      <c r="S107" s="3">
        <f>683+(314.4-50)+(-2.08998+(-0.962064--0.153))+0-0-0</f>
        <v>944.50095599999997</v>
      </c>
      <c r="T107" s="3">
        <f>705+(305.5-50)+(-0.35955+(-0.155805--0.0255))+0-0-0</f>
        <v>960.01014499999997</v>
      </c>
      <c r="U107" s="3">
        <f>707+(282.5-49.9)+(-0.72114+(-0.28815--0.050898))+0-0-0</f>
        <v>938.64160800000002</v>
      </c>
      <c r="V107" s="3">
        <f>715+(241.2-62.2)+(-1.09395+(-0.369036--0.095166))+0-0-0</f>
        <v>892.63217999999995</v>
      </c>
      <c r="W107" s="3">
        <f>732+(200.8-80.3)+(-1.49328+(-0.409632--0.163812))+0-0-0</f>
        <v>850.76089999999999</v>
      </c>
      <c r="X107" s="3">
        <f>733+(151.1-104.1)+(-2.99064+(-0.616488--0.424728))+0-0-0</f>
        <v>776.81759999999997</v>
      </c>
      <c r="Y107" s="3">
        <f>727+(158.4-91.5)+(-1.11231+(-0.242352--0.139995))+0-0-0</f>
        <v>792.68533300000001</v>
      </c>
      <c r="Z107" s="3">
        <f>711+(259-52)+(-0.36261+(-0.13209--0.02652))+0-0-0</f>
        <v>917.53182000000004</v>
      </c>
      <c r="AA107" s="3">
        <f>706+(312.1-53)+(-2.16036+(-0.955026--0.16218))+0-0-0</f>
        <v>962.146794</v>
      </c>
      <c r="AB107" s="3">
        <f>704+(319.1-52)+(-1.43616+(-0.650964--0.10608))+0-0-0</f>
        <v>969.11895600000003</v>
      </c>
      <c r="AC107" s="3">
        <f>705+(308.2-50)+(-1.07865+(-0.471546--0.0765))+0-0-0</f>
        <v>961.72630400000003</v>
      </c>
      <c r="AD107" s="2">
        <v>852.98186399999997</v>
      </c>
      <c r="AE107" s="3">
        <f>710+(302.2-53)+(0+(0-0))+0-0-0</f>
        <v>959.2</v>
      </c>
    </row>
    <row r="108" spans="1:31" s="2" customFormat="1" x14ac:dyDescent="0.3">
      <c r="A108">
        <v>91</v>
      </c>
      <c r="B108">
        <v>4</v>
      </c>
      <c r="C108">
        <v>15</v>
      </c>
      <c r="D108">
        <v>6</v>
      </c>
      <c r="E108">
        <v>3</v>
      </c>
      <c r="F108" s="3">
        <f>626+(351.5-49)+(-0.31926+(-0.179265--0.02499))+0-0-0</f>
        <v>928.02646500000003</v>
      </c>
      <c r="G108" s="3">
        <f>572+(370-48)+(0.29172+(0.1887-0.02448))+0-0-0</f>
        <v>894.45594000000006</v>
      </c>
      <c r="H108" s="3">
        <f>567+(347.6-48)+(-0.86751+(-0.531828--0.07344))+0-0-0</f>
        <v>865.27410199999997</v>
      </c>
      <c r="I108" s="3">
        <f>567+(323.9-48)+(0+(0-0))+0-0-0</f>
        <v>842.9</v>
      </c>
      <c r="J108" s="3">
        <f>566+(305.2-48)+(0+(0-0))+0-0-0</f>
        <v>823.2</v>
      </c>
      <c r="K108" s="3">
        <f>564+(247.1-49)+(-1.4382+(-0.630105--0.12495))+0-0-0</f>
        <v>760.15664500000003</v>
      </c>
      <c r="L108" s="3">
        <f>541+(206.4-50)+(-1.93137+(-0.736848--0.1785))+0-0-0</f>
        <v>694.91028199999994</v>
      </c>
      <c r="M108" s="3">
        <f>497+(237.6-50)+(0+(0-0))+0-0-0</f>
        <v>684.6</v>
      </c>
      <c r="N108" s="3">
        <f>498+(245.2-50)+(0+(0-0))+0-0-0</f>
        <v>693.2</v>
      </c>
      <c r="O108" s="3">
        <f>498+(263-50)+(0.25398+(0.13413-0.0255))+0-0-0</f>
        <v>711.36261000000002</v>
      </c>
      <c r="P108" s="3">
        <f>511+(294.8-42)+(0+(0-0))+0-0-0</f>
        <v>763.8</v>
      </c>
      <c r="Q108" s="3">
        <f>568+(291.6-48)+(0.57936+(0.297432-0.04896))+0-0-0</f>
        <v>812.42783199999997</v>
      </c>
      <c r="R108" s="3">
        <f>564+(360.5-41)+(-0.28764+(-0.183855--0.02091))+0-0-0</f>
        <v>883.04941499999995</v>
      </c>
      <c r="S108" s="3">
        <f>582+(371.6-47)+(-0.29682+(-0.189516--0.02397))+0-0-0</f>
        <v>906.13763400000005</v>
      </c>
      <c r="T108" s="3">
        <f>607+(373.1-49)+(-0.61914+(-0.380562--0.04998))+0-0-0</f>
        <v>930.15027800000007</v>
      </c>
      <c r="U108" s="3">
        <f>614+(350.5-46)+(0+(0-0))+0-0-0</f>
        <v>918.5</v>
      </c>
      <c r="V108" s="3">
        <f>629+(290.6-47)+(0.32079+(0.148206-0.02397))+0-0-0</f>
        <v>873.04502600000001</v>
      </c>
      <c r="W108" s="3">
        <f>632+(236-51.4)+(-1.93392+(-0.72216--0.157284))+0-0-0</f>
        <v>814.10120400000005</v>
      </c>
      <c r="X108" s="3">
        <f>625+(186-60)+(-1.59375+(-0.4743--0.153))+0-0-0</f>
        <v>749.08495000000005</v>
      </c>
      <c r="Y108" s="3">
        <f>510+(329.7-50)+(-0.2601+(-0.168147--0.0255))+0-0-0</f>
        <v>789.29725300000007</v>
      </c>
      <c r="Z108" s="3">
        <f>580+(379-53)+(0.2958+(0.19329-0.02703))+0-0-0</f>
        <v>906.46205999999995</v>
      </c>
      <c r="AA108" s="3">
        <f>647+(359.5-53)+(-0.98991+(-0.550035--0.08109))+0-0-0</f>
        <v>952.04114500000003</v>
      </c>
      <c r="AB108" s="3">
        <f>641+(364.1-51)+(-0.32691+(-0.185691--0.02601))+0-0-0</f>
        <v>953.61340900000005</v>
      </c>
      <c r="AC108" s="3">
        <f>643+(354.1-51)+(0.32793+(0.180591-0.02601))+0-0-0</f>
        <v>946.58251100000007</v>
      </c>
      <c r="AD108" s="2">
        <v>841.9099040000001</v>
      </c>
      <c r="AE108" s="3">
        <f>649+(359.9-53)+(0+(0-0))+0-0-0</f>
        <v>955.9</v>
      </c>
    </row>
    <row r="109" spans="1:31" s="2" customFormat="1" x14ac:dyDescent="0.3">
      <c r="A109">
        <v>91</v>
      </c>
      <c r="B109">
        <v>4</v>
      </c>
      <c r="C109">
        <v>16</v>
      </c>
      <c r="D109">
        <v>7</v>
      </c>
      <c r="E109">
        <v>1</v>
      </c>
      <c r="F109" s="3">
        <f>634+(338-47)+(0.64668+(0.34476-0.04794))+0-0-0</f>
        <v>925.94349999999997</v>
      </c>
      <c r="G109" s="3">
        <f>609+(341.6-46)+(0.31059+(0.174216-0.02346))+0-0-0</f>
        <v>905.06134600000007</v>
      </c>
      <c r="H109" s="3">
        <f>609+(316.1-46)+(0.93177+(0.483633-0.07038))+0-0-0</f>
        <v>880.44502299999999</v>
      </c>
      <c r="I109" s="3">
        <f>551+(359.3-47)+(0+(0-0))+0-0-0</f>
        <v>863.3</v>
      </c>
      <c r="J109" s="3">
        <f>533+(351.7-48)+(-0.54366+(-0.358734--0.04896))+0-0-0</f>
        <v>835.84656600000005</v>
      </c>
      <c r="K109" s="3">
        <f>531+(294.9-48)+(-1.89567+(-1.052793--0.17136))+0-0-0</f>
        <v>775.12289699999997</v>
      </c>
      <c r="L109" s="3">
        <f>520+(257.2-49)+(-0.7956+(-0.393516--0.07497))+0-0-0</f>
        <v>727.08585400000004</v>
      </c>
      <c r="M109" s="3">
        <f>460+(300.6-49)+(0.2346+(0.153306-0.02499))+0-0-0</f>
        <v>711.96291600000006</v>
      </c>
      <c r="N109" s="3">
        <f>460+(283.9-48)+(-0.2346+(-0.144789--0.02448))+0-0-0</f>
        <v>695.54509099999996</v>
      </c>
      <c r="O109" s="3">
        <f>502+(263.7-48)+(0.76806+(0.403461-0.07344))+0-0-0</f>
        <v>718.79808100000002</v>
      </c>
      <c r="P109" s="3">
        <f>530+(253.9-44)+(0.2703+(0.129489-0.02244))+0-0-0</f>
        <v>740.27734899999996</v>
      </c>
      <c r="Q109" s="3">
        <f>579+(262.1-45)+(0.29529+(0.133671-0.02295))+0-0-0</f>
        <v>796.50601100000006</v>
      </c>
      <c r="R109" s="3">
        <f>593+(314.1-48)+(0.60486+(0.320382-0.04896))+0-0-0</f>
        <v>859.97628199999997</v>
      </c>
      <c r="S109" s="3">
        <f>595+(352.2-46)+(1.2138+(0.718488-0.09384))+0-0-0</f>
        <v>903.03844800000002</v>
      </c>
      <c r="T109" s="3">
        <f>598+(363.8-49)+(0.91494+(0.556614-0.07497))+0-0-0</f>
        <v>914.19658399999992</v>
      </c>
      <c r="U109" s="3">
        <f>599+(352.9-49)+(0.61098+(0.359958-0.04998))+0-0-0</f>
        <v>903.82095800000002</v>
      </c>
      <c r="V109" s="3">
        <f>603+(305.9-47)+(0.30753+(0.156009-0.02397))+0-0-0</f>
        <v>862.33956899999998</v>
      </c>
      <c r="W109" s="3">
        <f>609+(238.4-52.6)+(-0.31059+(-0.121584--0.026826))+0-0-0</f>
        <v>794.39465199999995</v>
      </c>
      <c r="X109" s="3">
        <f>615+(185.3-64.4)+(-1.2546+(-0.378012--0.131376))+0-0-0</f>
        <v>734.39876400000003</v>
      </c>
      <c r="Y109" s="3">
        <f>598+(214.5-53)+(0.30498+(0.109395-0.02703))+0-0-0</f>
        <v>759.88734499999998</v>
      </c>
      <c r="Z109" s="3">
        <f>630+(330.2-52)+(-0.3213+(-0.168402--0.02652))+0-0-0</f>
        <v>907.73681800000008</v>
      </c>
      <c r="AA109" s="3">
        <f>632+(383.1-52)+(-0.64464+(-0.390762--0.05304))+0-0-0</f>
        <v>962.11763800000006</v>
      </c>
      <c r="AB109" s="3">
        <f>618+(404.2-50)+(-0.63036+(-0.412284--0.051))+0-0-0</f>
        <v>971.20835600000009</v>
      </c>
      <c r="AC109" s="3">
        <f>618+(387.7-50)+(-0.31518+(-0.197727--0.0255))+0-0-0</f>
        <v>955.21259300000008</v>
      </c>
      <c r="AD109" s="2">
        <v>823.2</v>
      </c>
      <c r="AE109" s="3">
        <f>621+(405.4-53)+(0+(0-0))+0-0-0</f>
        <v>973.4</v>
      </c>
    </row>
    <row r="110" spans="1:31" s="2" customFormat="1" x14ac:dyDescent="0.3">
      <c r="A110">
        <v>91</v>
      </c>
      <c r="B110">
        <v>4</v>
      </c>
      <c r="C110">
        <v>17</v>
      </c>
      <c r="D110">
        <v>1</v>
      </c>
      <c r="E110">
        <v>1</v>
      </c>
      <c r="F110" s="3">
        <f>599+(373.7-46)+(-0.30549+(-0.190587--0.02346))+0-0-0</f>
        <v>926.22738300000003</v>
      </c>
      <c r="G110" s="3">
        <f>577+(373.8-46)+(0+(0-0))+0-0-0</f>
        <v>904.8</v>
      </c>
      <c r="H110" s="3">
        <f>577+(351.3-45)+(-0.29427+(-0.179163--0.02295))+0-0-0</f>
        <v>882.84951699999999</v>
      </c>
      <c r="I110" s="3">
        <f>577+(327.8-45)+(-0.29427+(-0.167178--0.02295))+0-0-0</f>
        <v>859.36150199999997</v>
      </c>
      <c r="J110" s="3">
        <f>560+(319.9-45)+(-0.5712+(-0.326298--0.0459))+0-0-0</f>
        <v>834.04840200000001</v>
      </c>
      <c r="K110" s="3">
        <f>506+(308.8-48)+(-1.2903+(-0.78744--0.1224))+0-0-0</f>
        <v>764.84465999999998</v>
      </c>
      <c r="L110" s="3">
        <f>505+(252.1-47)+(-0.5151+(-0.257142--0.04794))+0-0-0</f>
        <v>709.37569800000006</v>
      </c>
      <c r="M110" s="3">
        <f>506+(264.2-47)+(0.77418+(0.404226-0.07191))+0-0-0</f>
        <v>724.30649600000004</v>
      </c>
      <c r="N110" s="3">
        <f>573+(211.1-53.8)+(0+(0-0))+0-0-0</f>
        <v>730.3</v>
      </c>
      <c r="O110" s="3">
        <f>582+(227.8-51.9)+(0.59364+(0.232356-0.052938))+0-0-0</f>
        <v>758.67305799999997</v>
      </c>
      <c r="P110" s="3">
        <f>585+(238.8-46)+(0.89505+(0.365364-0.07038))+0-0-0</f>
        <v>778.99003399999992</v>
      </c>
      <c r="Q110" s="3">
        <f>634+(264-48)+(0.97002+(0.40392-0.07344))+0-0-0</f>
        <v>851.30050000000006</v>
      </c>
      <c r="R110" s="3">
        <f>658+(298.1-45)+(1.34232+(0.608124-0.0918))+0-0-0</f>
        <v>912.95864400000005</v>
      </c>
      <c r="S110" s="3">
        <f>665+(337-47)+(0.33915+(0.17187-0.02397))+0-0-0</f>
        <v>955.48704999999995</v>
      </c>
      <c r="T110" s="3">
        <f>664+(334.1-50)+(-0.33864+(-0.170391--0.0255))+0-0-0</f>
        <v>947.61646900000005</v>
      </c>
      <c r="U110" s="3">
        <f>666+(316.2-49)+(0+(0-0))+0-0-0</f>
        <v>933.2</v>
      </c>
      <c r="V110" s="3">
        <f>670+(267.9-48)+(-0.6834+(-0.273258--0.04896))+0-0-0</f>
        <v>888.992302</v>
      </c>
      <c r="W110" s="3">
        <f>627+(251.7-51.3)+(-0.95931+(-0.385101--0.078489))+0-0-0</f>
        <v>826.13407799999993</v>
      </c>
      <c r="X110" s="3">
        <f>626+(207.2-63.1)+(-1.5963+(-0.52836--0.160905))+0-0-0</f>
        <v>768.13624500000003</v>
      </c>
      <c r="Y110" s="3">
        <f>538+(313.2-48)+(-0.82314+(-0.479196--0.07344))+0-0-0</f>
        <v>801.97110400000008</v>
      </c>
      <c r="Z110" s="3">
        <f>629+(375.4-52)+(0.64158+(0.382908-0.05304))+0-0-0</f>
        <v>953.37144799999999</v>
      </c>
      <c r="AA110" s="3">
        <f>655+(394.5-53)+(-1.00215+(-0.603585--0.08109))+0-0-0</f>
        <v>994.97535500000004</v>
      </c>
      <c r="AB110" s="3">
        <f>656+(397.4-56)+(-1.00368+(-0.608022--0.08568))+0-0-0</f>
        <v>995.87397799999997</v>
      </c>
      <c r="AC110" s="3">
        <f>648+(364.9-53)+(-0.66096+(-0.372198--0.05406))+0-0-0</f>
        <v>958.92090199999996</v>
      </c>
      <c r="AD110" s="2">
        <v>822.33793000000003</v>
      </c>
      <c r="AE110" s="3">
        <f>655+(395.2-53)+(0+(0-0))+0-0-0</f>
        <v>997.2</v>
      </c>
    </row>
    <row r="111" spans="1:31" s="2" customFormat="1" x14ac:dyDescent="0.3">
      <c r="A111">
        <v>91</v>
      </c>
      <c r="B111">
        <v>4</v>
      </c>
      <c r="C111">
        <v>18</v>
      </c>
      <c r="D111">
        <v>2</v>
      </c>
      <c r="E111">
        <v>1</v>
      </c>
      <c r="F111" s="3">
        <f>638+(361.3-43)+(-0.65076+(-0.368526--0.04386))+0-0-0</f>
        <v>955.32457399999998</v>
      </c>
      <c r="G111" s="3">
        <f>636+(318.6-46)+(-0.64872+(-0.324972--0.04692))+0-0-0</f>
        <v>907.67322799999999</v>
      </c>
      <c r="H111" s="3">
        <f>638+(284.3-48)+(-0.97614+(-0.434979--0.07344))+0-0-0</f>
        <v>872.96232099999997</v>
      </c>
      <c r="I111" s="3">
        <f>633+(266.8-48)+(-1.93698+(-0.816408--0.14688))+0-0-0</f>
        <v>849.19349199999999</v>
      </c>
      <c r="J111" s="3">
        <f>633+(256.7-47)+(-1.61415+(-0.654585--0.11985))+0-0-0</f>
        <v>840.5511150000001</v>
      </c>
      <c r="K111" s="3">
        <f>516+(315.5-48)+(-2.36844+(-1.448145--0.22032))+0-0-0</f>
        <v>779.90373499999998</v>
      </c>
      <c r="L111" s="3">
        <f>505+(272.6-48)+(0+(0-0))+0-0-0</f>
        <v>729.6</v>
      </c>
      <c r="M111" s="3">
        <f>503+(275.7-48)+(0.25653+(0.140607-0.02448))+0-0-0</f>
        <v>731.07265700000005</v>
      </c>
      <c r="N111" s="3">
        <f>549+(243.5-48)+(0.55998+(0.24837-0.04896))+0-0-0</f>
        <v>745.25939000000005</v>
      </c>
      <c r="O111" s="3">
        <f>643+(193.6-73.6)+(0.32793+(0.098736-0.037536))+0-0-0</f>
        <v>763.38913000000002</v>
      </c>
      <c r="P111" s="3">
        <f>622+(220.7-61.3)+(0.31722+(0.112557-0.031263))+0-0-0</f>
        <v>781.79851399999995</v>
      </c>
      <c r="Q111" s="3">
        <f>633+(247.5-46.8)+(0.32283+(0.126225-0.023868))+0-0-0</f>
        <v>834.1251870000001</v>
      </c>
      <c r="R111" s="3">
        <f>648+(303-46)+(0+(0-0))+0-0-0</f>
        <v>905</v>
      </c>
      <c r="S111" s="3">
        <f>656+(347-48)+(-0.33456+(-0.17697--0.02448))+0-0-0</f>
        <v>954.51295000000005</v>
      </c>
      <c r="T111" s="3">
        <f>658+(358-49)+(0.67116+(0.36516-0.04998))+0-0-0</f>
        <v>967.98634000000004</v>
      </c>
      <c r="U111" s="3">
        <f>665+(330.8-48)+(0+(0-0))+0-0-0</f>
        <v>947.8</v>
      </c>
      <c r="V111" s="3">
        <f>668+(283.2-48)+(0+(0-0))+0-0-0</f>
        <v>903.2</v>
      </c>
      <c r="W111" s="3">
        <f>670+(232.9-56.3)+(-2.0502+(-0.712674--0.172278))+0-0-0</f>
        <v>844.00940400000002</v>
      </c>
      <c r="X111" s="3">
        <f>657+(183.4-66)+(-3.01563+(-0.841806--0.30294))+0-0-0</f>
        <v>770.84550400000001</v>
      </c>
      <c r="Y111" s="3">
        <f>658+(207.6-56.5)+(-0.67116+(-0.211752--0.05763))+0-0-0</f>
        <v>808.27471800000001</v>
      </c>
      <c r="Z111" s="3">
        <f>660+(341.3-56)+(0+(0-0))+0-0-0</f>
        <v>945.3</v>
      </c>
      <c r="AA111" s="3">
        <f>656+(385.3-52)+(-0.66912+(-0.393006--0.05304))+0-0-0</f>
        <v>988.29091399999993</v>
      </c>
      <c r="AB111" s="3">
        <f>653+(379.7-46)+(-1.33212+(-0.774588--0.09384))+0-0-0</f>
        <v>984.68713200000002</v>
      </c>
      <c r="AC111" s="3">
        <f>653+(363.5-47)+(-0.66606+(-0.37077--0.04794))+0-0-0</f>
        <v>968.51111000000003</v>
      </c>
      <c r="AD111" s="2">
        <v>828.75380800000005</v>
      </c>
      <c r="AE111" s="3">
        <f>657+(396-53)+(0+(0-0))+0-0-0</f>
        <v>1000</v>
      </c>
    </row>
    <row r="112" spans="1:31" s="2" customFormat="1" x14ac:dyDescent="0.3">
      <c r="A112">
        <v>91</v>
      </c>
      <c r="B112">
        <v>4</v>
      </c>
      <c r="C112">
        <v>19</v>
      </c>
      <c r="D112">
        <v>3</v>
      </c>
      <c r="E112">
        <v>1</v>
      </c>
      <c r="F112" s="3">
        <f>640+(357.6-49)+(-0.6528+(-0.364752--0.04998))+0-0-0</f>
        <v>947.632428</v>
      </c>
      <c r="G112" s="3">
        <f>609+(354.3-49)+(-0.93177+(-0.542079--0.07497))+0-0-0</f>
        <v>912.90112099999999</v>
      </c>
      <c r="H112" s="3">
        <f>588+(348.2-48)+(-1.4994+(-0.88791--0.1224))+0-0-0</f>
        <v>885.93509000000006</v>
      </c>
      <c r="I112" s="3">
        <f>587+(336.9-49)+(0.29937+(0.171819-0.02499))+0-0-0</f>
        <v>875.34619899999996</v>
      </c>
      <c r="J112" s="3">
        <f>587+(317.3-49)+(-0.29937+(-0.161823--0.02499))+0-0-0</f>
        <v>854.86379699999998</v>
      </c>
      <c r="K112" s="3">
        <f>575+(275.3-50)+(-0.87975+(-0.421209--0.0765))+0-0-0</f>
        <v>799.07554099999993</v>
      </c>
      <c r="L112" s="3">
        <f>514+(285.2-51)+(0+(0-0))+0-0-0</f>
        <v>748.2</v>
      </c>
      <c r="M112" s="3">
        <f>513+(284.4-48)+(-0.26163+(-0.145044--0.02448))+0-0-0</f>
        <v>749.01780599999995</v>
      </c>
      <c r="N112" s="3">
        <f>514+(286-46)+(1.04856+(0.58344-0.09384))+0-0-0</f>
        <v>755.53815999999995</v>
      </c>
      <c r="O112" s="3">
        <f>512+(305.2-46)+(-0.52224+(-0.311304--0.04692))+0-0-0</f>
        <v>770.41337600000008</v>
      </c>
      <c r="P112" s="3">
        <f>511+(343.4-47)+(-0.26061+(-0.175134--0.02397))+0-0-0</f>
        <v>806.98822599999994</v>
      </c>
      <c r="Q112" s="3">
        <f>568+(335.8-45)+(1.15872+(0.685032-0.0918))+0-0-0</f>
        <v>860.55195199999991</v>
      </c>
      <c r="R112" s="3">
        <f>598+(390.8-47)+(0.60996+(0.398616-0.04794))+0-0-0</f>
        <v>942.76063599999998</v>
      </c>
      <c r="S112" s="3">
        <f>622+(384.5-47)+(0.31722+(0.196095-0.02397))+0-0-0</f>
        <v>959.98934499999996</v>
      </c>
      <c r="T112" s="3">
        <f>626+(394.5-48)+(-0.31926+(-0.201195--0.02448))+0-0-0</f>
        <v>972.00402499999996</v>
      </c>
      <c r="U112" s="3">
        <f>629+(378.1-49)+(0+(0-0))+0-0-0</f>
        <v>958.1</v>
      </c>
      <c r="V112" s="3">
        <f>634+(298.5-45)+(0.32334+(0.152235-0.02295))+0-0-0</f>
        <v>887.95262500000001</v>
      </c>
      <c r="W112" s="3">
        <f>605+(267.6-46)+(0+(0-0))+0-0-0</f>
        <v>826.6</v>
      </c>
      <c r="X112" s="3">
        <f>598+(222-49.5)+(-0.60996+(-0.22644--0.05049))+0-0-0</f>
        <v>769.71409000000006</v>
      </c>
      <c r="Y112" s="3">
        <f>600+(252.5-51)+(1.224+(0.5151-0.10404))+0-0-0</f>
        <v>803.13505999999995</v>
      </c>
      <c r="Z112" s="3">
        <f>604+(384.9-51)+(0.92412+(0.588897-0.07803))+0-0-0</f>
        <v>939.33498699999996</v>
      </c>
      <c r="AA112" s="3">
        <f>606+(422.7-54)+(-1.23624+(-0.862308--0.11016))+0-0-0</f>
        <v>972.71161200000006</v>
      </c>
      <c r="AB112" s="3">
        <f>601+(419.1-50)+(-0.91953+(-0.641223--0.0765))+0-0-0</f>
        <v>968.61574700000006</v>
      </c>
      <c r="AC112" s="3">
        <f>607+(419-50)+(-0.30957+(-0.21369--0.0255))+0-0-0</f>
        <v>975.50224000000003</v>
      </c>
      <c r="AD112" s="2">
        <v>849.13283699999999</v>
      </c>
      <c r="AE112" s="3">
        <f>605+(428.2-54)+(0+(0-0))+0-0-0</f>
        <v>979.2</v>
      </c>
    </row>
    <row r="113" spans="1:31" s="2" customFormat="1" x14ac:dyDescent="0.3">
      <c r="A113">
        <v>91</v>
      </c>
      <c r="B113">
        <v>4</v>
      </c>
      <c r="C113">
        <v>20</v>
      </c>
      <c r="D113">
        <v>4</v>
      </c>
      <c r="E113">
        <v>1</v>
      </c>
      <c r="F113" s="3">
        <f>616+(379.2-47)+(-0.94248+(-0.580176--0.07191))+0-0-0</f>
        <v>946.74925400000006</v>
      </c>
      <c r="G113" s="3">
        <f>635+(338.4-48)+(-1.61925+(-0.86292--0.1224))+0-0-0</f>
        <v>923.04022999999995</v>
      </c>
      <c r="H113" s="3">
        <f>635+(317.6-47)+(-1.2954+(-0.647904--0.09588))+0-0-0</f>
        <v>903.75257599999998</v>
      </c>
      <c r="I113" s="3">
        <f>635+(295.3-48)+(-1.61925+(-0.753015--0.1224))+0-0-0</f>
        <v>880.05013499999995</v>
      </c>
      <c r="J113" s="3">
        <f>619+(288.5-49)+(-0.31569+(-0.147135--0.02499))+0-0-0</f>
        <v>858.06216500000005</v>
      </c>
      <c r="K113" s="3">
        <f>611+(244.8-50)+(0+(0-0))+0-0-0</f>
        <v>805.8</v>
      </c>
      <c r="L113" s="3">
        <f>564+(236.5-46)+(-0.86292+(-0.361845--0.07038))+0-0-0</f>
        <v>753.34561499999995</v>
      </c>
      <c r="M113" s="3">
        <f>539+(257.4-49)+(0.82467+(0.393822-0.07497))+0-0-0</f>
        <v>748.54352199999994</v>
      </c>
      <c r="N113" s="3">
        <f>587+(213.4-59.3)+(0+(0-0))+0-0-0</f>
        <v>741.1</v>
      </c>
      <c r="O113" s="3">
        <f>601+(222.1-62.3)+(0+(0-0))+0-0-0</f>
        <v>760.8</v>
      </c>
      <c r="P113" s="3">
        <f>578+(274.4-49)+(0+(0-0))+0-0-0</f>
        <v>803.4</v>
      </c>
      <c r="Q113" s="3">
        <f>602+(303.9-45)+(0.61404+(0.309978-0.0459))+0-0-0</f>
        <v>861.77811799999995</v>
      </c>
      <c r="R113" s="3">
        <f>626+(364.2-38)+(0.63852+(0.371484-0.03876))+0-0-0</f>
        <v>953.171244</v>
      </c>
      <c r="S113" s="3">
        <f>649+(365-47)+(-0.99297+(-0.55845--0.07191))+0-0-0</f>
        <v>965.52049</v>
      </c>
      <c r="T113" s="3">
        <f>677+(334.7-49)+(-0.69054+(-0.341394--0.04998))+0-0-0</f>
        <v>961.71804600000007</v>
      </c>
      <c r="U113" s="3">
        <f>684+(304.3-45)+(-1.39536+(-0.620772--0.0918))+0-0-0</f>
        <v>941.37566799999991</v>
      </c>
      <c r="V113" s="3">
        <f>674+(267.9-51.8)+(-0.34374+(-0.136629--0.026418))+0-0-0</f>
        <v>889.64604899999995</v>
      </c>
      <c r="W113" s="3">
        <f>685+(215.4-69.9)+(-1.04805+(-0.329562--0.106947))+0-0-0</f>
        <v>829.22933499999999</v>
      </c>
      <c r="X113" s="3">
        <f>682+(179.9-82.3)+(-1.7391+(-0.458745--0.209865))+0-0-0</f>
        <v>777.61202000000003</v>
      </c>
      <c r="Y113" s="3">
        <f>680+(194.3-68.7)+(0+(0-0))+0-0-0</f>
        <v>805.6</v>
      </c>
      <c r="Z113" s="3">
        <f>680+(316-55)+(0+(0-0))+0-0-0</f>
        <v>941</v>
      </c>
      <c r="AA113" s="3">
        <f>680+(364.9-50)+(-1.0404+(-0.558297--0.0765))+0-0-0</f>
        <v>993.37780299999997</v>
      </c>
      <c r="AB113" s="3">
        <f>678+(369.7-49)+(-1.03734+(-0.565641--0.07497))+0-0-0</f>
        <v>997.17198900000005</v>
      </c>
      <c r="AC113" s="3">
        <f>674+(355.1-47)+(-0.68748+(-0.362202--0.04794))+0-0-0</f>
        <v>981.09825799999999</v>
      </c>
      <c r="AD113" s="2">
        <v>874.811736</v>
      </c>
      <c r="AE113" s="3">
        <f>682+(371.1-55)+(0+(0-0))+0-0-0</f>
        <v>998.1</v>
      </c>
    </row>
    <row r="114" spans="1:31" s="2" customFormat="1" x14ac:dyDescent="0.3">
      <c r="A114">
        <v>91</v>
      </c>
      <c r="B114">
        <v>4</v>
      </c>
      <c r="C114">
        <v>21</v>
      </c>
      <c r="D114">
        <v>5</v>
      </c>
      <c r="E114">
        <v>1</v>
      </c>
      <c r="F114" s="3">
        <f>653+(334.5-48)+(-0.33303+(-0.170595--0.02448))+0-0-0</f>
        <v>939.02085499999998</v>
      </c>
      <c r="G114" s="3">
        <f>652+(305.6-50)+(-1.33008+(-0.623424--0.102))+0-0-0</f>
        <v>905.74849600000005</v>
      </c>
      <c r="H114" s="3">
        <f>621+(324.8-50)+(-0.31671+(-0.165648--0.0255))+0-0-0</f>
        <v>895.34314199999994</v>
      </c>
      <c r="I114" s="3">
        <f>613+(309.2-50)+(-0.93789+(-0.473076--0.0765))+0-0-0</f>
        <v>870.86553400000003</v>
      </c>
      <c r="J114" s="3">
        <f>621+(294.6-49)+(-0.63342+(-0.300492--0.04998))+0-0-0</f>
        <v>865.71606800000006</v>
      </c>
      <c r="K114" s="3">
        <f>616+(255.8-52.8)+(-1.88496+(-0.782748--0.161568))+0-0-0</f>
        <v>816.49386000000004</v>
      </c>
      <c r="L114" s="3">
        <f>609+(216.4-67.1)+(0+(0-0))+0-0-0</f>
        <v>758.3</v>
      </c>
      <c r="M114" s="3">
        <f>605+(219.5-69.6)+(0.30855+(0.111945-0.035496))+0-0-0</f>
        <v>755.28499899999997</v>
      </c>
      <c r="N114" s="3">
        <f>603+(225.1-69.3)+(0.61506+(0.229602-0.070686))+0-0-0</f>
        <v>759.5739759999999</v>
      </c>
      <c r="O114" s="3">
        <f>600+(231.5-65.7)+(0+(0-0))+0-0-0</f>
        <v>765.8</v>
      </c>
      <c r="P114" s="3">
        <f>601+(267-50.4)+(0.91953+(0.40851-0.077112))+0-0-0</f>
        <v>818.85092800000007</v>
      </c>
      <c r="Q114" s="3">
        <f>625+(289.8-47)+(-0.6375+(-0.295596--0.04794))+0-0-0</f>
        <v>866.9148439999999</v>
      </c>
      <c r="R114" s="3">
        <f>633+(356.8-47)+(0.32283+(0.181968-0.02397))+0-0-0</f>
        <v>943.28082799999993</v>
      </c>
      <c r="S114" s="3">
        <f>652+(369.6-49)+(-1.6626+(-0.94248--0.12495))+0-0-0</f>
        <v>970.11986999999999</v>
      </c>
      <c r="T114" s="3">
        <f>666+(344.6-48)+(-0.67932+(-0.351492--0.04896))+0-0-0</f>
        <v>961.61814800000002</v>
      </c>
      <c r="U114" s="3">
        <f>672+(328.1-49)+(-0.34272+(-0.167331--0.02499))+0-0-0</f>
        <v>950.61493900000005</v>
      </c>
      <c r="V114" s="3">
        <f>683+(274.9-47)+(0.34833+(0.140199-0.02397))+0-0-0</f>
        <v>911.36455899999999</v>
      </c>
      <c r="W114" s="3">
        <f>663+(238.5-58.6)+(-0.33813+(-0.121635--0.029886))+0-0-0</f>
        <v>842.47012099999995</v>
      </c>
      <c r="X114" s="3">
        <f>594+(232.7-44)+(-0.60588+(-0.237354--0.04488))+0-0-0</f>
        <v>781.90164600000003</v>
      </c>
      <c r="Y114" s="3">
        <f>593+(282.6-55)+(-1.20972+(-0.576504--0.1122))+0-0-0</f>
        <v>818.92597599999999</v>
      </c>
      <c r="Z114" s="3">
        <f>662+(358.2-50)+(1.35048+(0.730728-0.102))+0-0-0</f>
        <v>972.17920800000002</v>
      </c>
      <c r="AA114" s="3">
        <f>677+(393.7-53)+(-0.69054+(-0.401574--0.05406))+0-0-0</f>
        <v>1016.6619460000001</v>
      </c>
      <c r="AB114" s="3">
        <f>674+(386.8-50)+(-1.37496+(-0.789072--0.102))+0-0-0</f>
        <v>1008.7379679999999</v>
      </c>
      <c r="AC114" s="3">
        <f>670+(377.2-49)+(0.3417+(0.192372-0.02499))+0-0-0</f>
        <v>998.70908200000008</v>
      </c>
      <c r="AD114" s="2">
        <v>858.52341200000001</v>
      </c>
      <c r="AE114" s="3">
        <f>675+(394.7-54)+(0+(0-0))+0-0-0</f>
        <v>1015.7</v>
      </c>
    </row>
    <row r="115" spans="1:31" s="2" customFormat="1" x14ac:dyDescent="0.3">
      <c r="A115">
        <v>91</v>
      </c>
      <c r="B115">
        <v>4</v>
      </c>
      <c r="C115">
        <v>22</v>
      </c>
      <c r="D115">
        <v>6</v>
      </c>
      <c r="E115">
        <v>1</v>
      </c>
      <c r="F115" s="3">
        <f>655+(361.4-46)+(-0.33405+(-0.184314--0.02346))+0-0-0</f>
        <v>969.90509599999996</v>
      </c>
      <c r="G115" s="3">
        <f>637+(340.1-49)+(-0.32487+(-0.173451--0.02499))+0-0-0</f>
        <v>927.62666899999999</v>
      </c>
      <c r="H115" s="3">
        <f>574+(381.7-47)+(-0.58548+(-0.389334--0.04794))+0-0-0</f>
        <v>907.77312600000005</v>
      </c>
      <c r="I115" s="3">
        <f>567+(372.1-47)+(-0.86751+(-0.569313--0.07191))+0-0-0</f>
        <v>890.73508700000002</v>
      </c>
      <c r="J115" s="3">
        <f>567+(358-48)+(-0.57834+(-0.36516--0.04896))+0-0-0</f>
        <v>876.10545999999999</v>
      </c>
      <c r="K115" s="3">
        <f>567+(303.8-48)+(-0.57834+(-0.309876--0.04896))+0-0-0</f>
        <v>821.96074399999998</v>
      </c>
      <c r="L115" s="3">
        <f>566+(248.9-50.8)+(0.28866+(0.126939-0.025908))+0-0-0</f>
        <v>764.48969099999999</v>
      </c>
      <c r="M115" s="3">
        <f>567+(254.2-52.8)+(0.86751+(0.388926-0.080784))+0-0-0</f>
        <v>769.57565199999999</v>
      </c>
      <c r="N115" s="3">
        <f>566+(249-56.3)+(-0.28866+(-0.12699--0.028713))+0-0-0</f>
        <v>758.31306300000006</v>
      </c>
      <c r="O115" s="3">
        <f>566+(263.2-53.9)+(1.15464+(0.536928-0.109956))+0-0-0</f>
        <v>776.8816119999999</v>
      </c>
      <c r="P115" s="3">
        <f>578+(270.3-49.2)+(0+(0-0))+0-0-0</f>
        <v>799.1</v>
      </c>
      <c r="Q115" s="3">
        <f>589+(304.7-45)+(1.20156+(0.621588-0.0918))+0-0-0</f>
        <v>850.43134800000007</v>
      </c>
      <c r="R115" s="3">
        <f>597+(374.4-48)+(-0.30447+(-0.190944--0.02448))+0-0-0</f>
        <v>922.92906599999992</v>
      </c>
      <c r="S115" s="3">
        <f>655+(349.2-50)+(-0.6681+(-0.356184--0.051))+0-0-0</f>
        <v>953.22671600000001</v>
      </c>
      <c r="T115" s="3">
        <f>685+(328.7-47)+(0.6987+(0.335274-0.04794))+0-0-0</f>
        <v>967.68603400000006</v>
      </c>
      <c r="U115" s="3">
        <f>690+(313-50)+(-0.3519+(-0.15963--0.0255))+0-0-0</f>
        <v>952.51396999999997</v>
      </c>
      <c r="V115" s="3">
        <f>696+(266.4-60.1)+(-0.70992+(-0.271728--0.061302))+0-0-0</f>
        <v>901.37965399999996</v>
      </c>
      <c r="W115" s="3">
        <f>697+(226.9-71.3)+(0.35547+(0.115719-0.036363))+0-0-0</f>
        <v>853.03482600000007</v>
      </c>
      <c r="X115" s="3">
        <f>631+(217.3-64)+(-0.96543+(-0.332469--0.09792))+0-0-0</f>
        <v>783.10002099999997</v>
      </c>
      <c r="Y115" s="3">
        <f>620+(249.6-52)+(-1.2648+(-0.509184--0.10608))+0-0-0</f>
        <v>815.932096</v>
      </c>
      <c r="Z115" s="3">
        <f>582+(424.5-55)+(0.29682+(0.216495-0.02805))+0-0-0</f>
        <v>951.98526500000003</v>
      </c>
      <c r="AA115" s="3">
        <f>609+(442.2-49)+(-0.93177+(-0.676566--0.07497))+0-0-0</f>
        <v>1000.666634</v>
      </c>
      <c r="AB115" s="3">
        <f>617+(448.6-54)+(-0.62934+(-0.457572--0.05508))+0-0-0</f>
        <v>1010.568168</v>
      </c>
      <c r="AC115" s="3">
        <f>651+(381.6-50)+(-0.99603+(-0.583848--0.0765))+0-0-0</f>
        <v>981.09662200000002</v>
      </c>
      <c r="AD115" s="2">
        <v>861.53916100000004</v>
      </c>
      <c r="AE115" s="3">
        <f>618+(444.1-54)+(0+(0-0))+0-0-0</f>
        <v>1008.1</v>
      </c>
    </row>
    <row r="116" spans="1:31" s="2" customFormat="1" x14ac:dyDescent="0.3">
      <c r="A116">
        <v>91</v>
      </c>
      <c r="B116">
        <v>4</v>
      </c>
      <c r="C116">
        <v>23</v>
      </c>
      <c r="D116">
        <v>7</v>
      </c>
      <c r="E116">
        <v>1</v>
      </c>
      <c r="F116" s="3">
        <f>673+(337.7-52)+(1.02969+(0.516681-0.07956))+0-0-0</f>
        <v>960.16681100000005</v>
      </c>
      <c r="G116" s="3">
        <f>663+(316.4-48)+(0+(0-0))+0-0-0</f>
        <v>931.4</v>
      </c>
      <c r="H116" s="3">
        <f>653+(309.9-47)+(0.66606+(0.316098-0.04794))+0-0-0</f>
        <v>916.83421799999996</v>
      </c>
      <c r="I116" s="3">
        <f>574+(361.7-47)+(-0.58548+(-0.368934--0.04794))+0-0-0</f>
        <v>887.79352600000004</v>
      </c>
      <c r="J116" s="3">
        <f>558+(349.3-49)+(-0.28458+(-0.178143--0.02499))+0-0-0</f>
        <v>857.86226699999997</v>
      </c>
      <c r="K116" s="3">
        <f>522+(338.6-48)+(-1.3311+(-0.86343--0.1224))+0-0-0</f>
        <v>810.52787000000001</v>
      </c>
      <c r="L116" s="3">
        <f>475+(317.2-49)+(-0.969+(-0.647088--0.09996))+0-0-0</f>
        <v>741.68387200000006</v>
      </c>
      <c r="M116" s="3">
        <f>488+(274.7-49)+(-0.24888+(-0.140097--0.02499))+0-0-0</f>
        <v>713.33601300000009</v>
      </c>
      <c r="N116" s="3">
        <f>528+(220.9-50)+(-0.53856+(-0.225318--0.051))+0-0-0</f>
        <v>698.18712199999993</v>
      </c>
      <c r="O116" s="3">
        <f>587+(201.6-62.5)+(-0.59874+(-0.205632--0.06375))+0-0-0</f>
        <v>725.35937799999999</v>
      </c>
      <c r="P116" s="3">
        <f>582+(220.2-54.3)+(-0.29682+(-0.112302--0.027693))+0-0-0</f>
        <v>747.51857099999995</v>
      </c>
      <c r="Q116" s="3">
        <f>582+(259.7-38)+(-0.29682+(-0.132447--0.01938))+0-0-0</f>
        <v>803.29011300000002</v>
      </c>
      <c r="R116" s="3">
        <f>570+(296.9-0)+(0+(0-0))+0-0-0</f>
        <v>866.9</v>
      </c>
      <c r="S116" s="3">
        <f>593+(334.2-0)+(-0.60486+(-0.340884-0))+0-0-0</f>
        <v>926.25425600000005</v>
      </c>
      <c r="T116" s="3">
        <f>599+(332.4-0)+(0.61098+(0.339048-0))+0-0-0</f>
        <v>932.35002799999995</v>
      </c>
      <c r="U116" s="3">
        <f>602+(328-0)+(-0.61404+(-0.33456-0))+0-0-0</f>
        <v>929.05139999999994</v>
      </c>
      <c r="V116" s="3">
        <f>609+(293.6-0)+(-1.24236+(-0.598944-0))+0-0-0</f>
        <v>900.75869599999999</v>
      </c>
      <c r="W116" s="3">
        <f>617+(245.7-1.6)+(-0.62934+(-0.250614--0.001632))+0-0-0</f>
        <v>860.221678</v>
      </c>
      <c r="X116" s="3">
        <f>614+(193.6-10.6)+(-0.93942+(-0.296208--0.016218))+0-0-0</f>
        <v>795.78058999999996</v>
      </c>
      <c r="Y116" s="3">
        <f>534+(265.6-0)+(-0.27234+(-0.135456-0))+0-0-0</f>
        <v>799.19220400000006</v>
      </c>
      <c r="Z116" s="3">
        <f>577+(359.8-0)+(0+(0-0))+0-0-0</f>
        <v>936.8</v>
      </c>
      <c r="AA116" s="3">
        <f>614+(375.9-0)+(0.93942+(0.575127-0))+0-0-0</f>
        <v>991.41454699999997</v>
      </c>
      <c r="AB116" s="3">
        <f>604+(391.9-0)+(-0.92412+(-0.599607-0))+0-0-0</f>
        <v>994.37627299999997</v>
      </c>
      <c r="AC116" s="3">
        <f>599+(395.7-0)+(-0.91647+(-0.605421-0))+0-0-0</f>
        <v>993.17810900000006</v>
      </c>
      <c r="AD116" s="2">
        <v>813.9</v>
      </c>
      <c r="AE116" s="3">
        <f>610+(427.8-51)+(0+(0-0))+0-0-0</f>
        <v>986.8</v>
      </c>
    </row>
    <row r="117" spans="1:31" s="2" customFormat="1" x14ac:dyDescent="0.3">
      <c r="A117">
        <v>91</v>
      </c>
      <c r="B117">
        <v>4</v>
      </c>
      <c r="C117">
        <v>24</v>
      </c>
      <c r="D117">
        <v>1</v>
      </c>
      <c r="E117">
        <v>1</v>
      </c>
      <c r="F117" s="3">
        <f>610+(416.6-44)+(-0.3111+(-0.212466--0.02244))+0-0-0</f>
        <v>982.09887400000002</v>
      </c>
      <c r="G117" s="3">
        <f>607+(381.1-45)+(-0.92871+(-0.583083--0.06885))+0-0-0</f>
        <v>941.65705700000001</v>
      </c>
      <c r="H117" s="3">
        <f>600+(362.5-46)+(-0.612+(-0.36975--0.04692))+0-0-0</f>
        <v>915.56516999999997</v>
      </c>
      <c r="I117" s="3">
        <f>587+(355.7-46)+(-0.59874+(-0.362814--0.04692))+0-0-0</f>
        <v>895.78536600000007</v>
      </c>
      <c r="J117" s="3">
        <f>578+(337.2-46)+(-0.58956+(-0.343944--0.04692))+0-0-0</f>
        <v>868.31341600000007</v>
      </c>
      <c r="K117" s="3">
        <f>570+(287.9-47)+(-1.1628+(-0.587316--0.09588))+0-0-0</f>
        <v>809.24576400000001</v>
      </c>
      <c r="L117" s="3">
        <f>477+(336.5-51)+(0+(0-0))+0-0-0</f>
        <v>762.5</v>
      </c>
      <c r="M117" s="3">
        <f>527+(283.1-49)+(-0.26877+(-0.144381--0.02499))+0-0-0</f>
        <v>760.71183900000005</v>
      </c>
      <c r="N117" s="3">
        <f>547+(256.8-48)+(0.55794+(0.261936-0.04896))+0-0-0</f>
        <v>756.57091600000001</v>
      </c>
      <c r="O117" s="3">
        <f>588+(251.1-48.1)+(-0.29988+(-0.128061--0.024531))+0-0-0</f>
        <v>790.59658999999999</v>
      </c>
      <c r="P117" s="3">
        <f>596+(258.9-49.1)+(0.60792+(0.264078-0.050082))+0-0-0</f>
        <v>806.62191599999994</v>
      </c>
      <c r="Q117" s="3">
        <f>615+(296.5-47)+(0.31365+(0.151215-0.02397))+0-0-0</f>
        <v>864.94089499999995</v>
      </c>
      <c r="R117" s="3">
        <f>650+(336.3-49)+(0.3315+(0.171513-0.02499))+0-0-0</f>
        <v>937.77802299999996</v>
      </c>
      <c r="S117" s="3">
        <f>672+(349.6-47)+(-0.34272+(-0.178296--0.02397))+0-0-0</f>
        <v>974.10295400000007</v>
      </c>
      <c r="T117" s="3">
        <f>697+(334.3-50)+(-1.06641+(-0.511479--0.0765))+0-0-0</f>
        <v>979.79861099999994</v>
      </c>
      <c r="U117" s="3">
        <f>698+(319.9-47)+(-1.42392+(-0.652596--0.09588))+0-0-0</f>
        <v>968.91936399999997</v>
      </c>
      <c r="V117" s="3">
        <f>712+(273.7-57.4)+(-1.45248+(-0.558348--0.117096))+0-0-0</f>
        <v>926.40626799999995</v>
      </c>
      <c r="W117" s="3">
        <f>726+(224.6-69.4)+(-1.11078+(-0.343638--0.106182))+0-0-0</f>
        <v>879.851764</v>
      </c>
      <c r="X117" s="3">
        <f>663+(210.1-59.2)+(-2.36691+(-0.750057--0.211344))+0-0-0</f>
        <v>810.99437699999999</v>
      </c>
      <c r="Y117" s="3">
        <f>592+(293.1-50)+(-1.5096+(-0.747405--0.1275))+0-0-0</f>
        <v>832.97049500000003</v>
      </c>
      <c r="Z117" s="3">
        <f>605+(418.8-51)+(1.2342+(0.854352-0.10404))+0-0-0</f>
        <v>974.78451199999995</v>
      </c>
      <c r="AA117" s="3">
        <f>652+(407.9-53)+(-0.33252+(-0.208029--0.02703))+0-0-0</f>
        <v>1006.386481</v>
      </c>
      <c r="AB117" s="3">
        <f>649+(420.1-53)+(-1.98594+(-1.285506--0.16218))+0-0-0</f>
        <v>1012.990734</v>
      </c>
      <c r="AC117" s="3">
        <f>649+(399.6-50)+(0.33099+(0.203796-0.0255))+0-0-0</f>
        <v>999.109286</v>
      </c>
      <c r="AD117" s="2">
        <v>835.49211200000002</v>
      </c>
      <c r="AE117" s="3">
        <f>648+(423.7-51)+(0+(0-0))+0-0-0</f>
        <v>1020.7</v>
      </c>
    </row>
    <row r="118" spans="1:31" s="2" customFormat="1" x14ac:dyDescent="0.3">
      <c r="A118">
        <v>91</v>
      </c>
      <c r="B118">
        <v>4</v>
      </c>
      <c r="C118">
        <v>25</v>
      </c>
      <c r="D118">
        <v>2</v>
      </c>
      <c r="E118">
        <v>1</v>
      </c>
      <c r="F118" s="3">
        <f>646+(391.3-40)+(-0.98838+(-0.598689--0.0612))+0-0-0</f>
        <v>995.7741309999999</v>
      </c>
      <c r="G118" s="3">
        <f>622+(358-43)+(0.31722+(0.18258-0.02193))+0-0-0</f>
        <v>937.47787000000005</v>
      </c>
      <c r="H118" s="3">
        <f>595+(360.6-45)+(-0.30345+(-0.183906--0.02295))+0-0-0</f>
        <v>910.13559399999997</v>
      </c>
      <c r="I118" s="3">
        <f>592+(329.8-45)+(-0.60384+(-0.336396--0.0459))+0-0-0</f>
        <v>875.905664</v>
      </c>
      <c r="J118" s="3">
        <f>590+(341.3-45)+(-1.2036+(-0.696252--0.0918))+0-0-0</f>
        <v>884.49194799999998</v>
      </c>
      <c r="K118" s="3">
        <f>584+(274.5-46)+(-0.89352+(-0.419985--0.07038))+0-0-0</f>
        <v>811.25687500000004</v>
      </c>
      <c r="L118" s="3">
        <f>526+(283.4-43)+(-1.3413+(-0.72267--0.10965))+0-0-0</f>
        <v>764.44567999999992</v>
      </c>
      <c r="M118" s="3">
        <f>512+(286-42)+(1.04448+(0.58344-0.08568))+0-0-0</f>
        <v>757.54223999999999</v>
      </c>
      <c r="N118" s="3">
        <f>511+(291.5-38)+(0+(0-0))+0-0-0</f>
        <v>764.5</v>
      </c>
      <c r="O118" s="3">
        <f>545+(263.5-40)+(0.5559+(0.26877-0.0408))+0-0-0</f>
        <v>769.28386999999998</v>
      </c>
      <c r="P118" s="3">
        <f>574+(265.9-41)+(0.58548+(0.271218-0.04182))+0-0-0</f>
        <v>799.714878</v>
      </c>
      <c r="Q118" s="3">
        <f>586+(307.1-42)+(0+(0-0))+0-0-0</f>
        <v>851.1</v>
      </c>
      <c r="R118" s="3">
        <f>620+(328.1-45)+(0.3162+(0.167331-0.02295))+0-0-0</f>
        <v>903.56058100000007</v>
      </c>
      <c r="S118" s="3">
        <f>634+(372.4-47)+(-0.64668+(-0.379848--0.04794))+0-0-0</f>
        <v>958.42141200000003</v>
      </c>
      <c r="T118" s="3">
        <f>691+(334.4-51)+(-1.40964+(-0.682176--0.10404))+0-0-0</f>
        <v>972.41222399999992</v>
      </c>
      <c r="U118" s="3">
        <f>695+(301.3-44)+(0.35445+(0.153663-0.02244))+0-0-0</f>
        <v>952.78567299999997</v>
      </c>
      <c r="V118" s="3">
        <f>702+(266.4-49.4)+(-1.43208+(-0.543456--0.100776))+0-0-0</f>
        <v>917.12523999999996</v>
      </c>
      <c r="W118" s="3">
        <f>696+(232.1-62)+(-0.70992+(-0.236742--0.06324))+0-0-0</f>
        <v>865.21657800000003</v>
      </c>
      <c r="X118" s="3">
        <f>649+(206.7-61)+(-0.66198+(-0.210834--0.06222))+0-0-0</f>
        <v>793.88940600000001</v>
      </c>
      <c r="Y118" s="3">
        <f>614+(255.3-53)+(0+(0-0))+0-0-0</f>
        <v>816.3</v>
      </c>
      <c r="Z118" s="3">
        <f>670+(344.7-55)+(0+(0-0))+0-0-0</f>
        <v>959.7</v>
      </c>
      <c r="AA118" s="3">
        <f>677+(376.3-54)+(-1.38108+(-0.767652--0.11016))+0-0-0</f>
        <v>997.26142799999991</v>
      </c>
      <c r="AB118" s="3">
        <f>677+(388.7-52)+(-1.38108+(-0.792948--0.10608))+0-0-0</f>
        <v>1011.632052</v>
      </c>
      <c r="AC118" s="3">
        <f>673+(371.3-51)+(-1.71615+(-0.946815--0.13005))+0-0-0</f>
        <v>990.76708499999995</v>
      </c>
      <c r="AD118" s="2">
        <v>867.4</v>
      </c>
      <c r="AE118" s="3">
        <f>680+(385.1-54)+(0+(0-0))+0-0-0</f>
        <v>1011.1</v>
      </c>
    </row>
    <row r="119" spans="1:31" s="2" customFormat="1" x14ac:dyDescent="0.3">
      <c r="A119">
        <v>91</v>
      </c>
      <c r="B119">
        <v>4</v>
      </c>
      <c r="C119">
        <v>26</v>
      </c>
      <c r="D119">
        <v>3</v>
      </c>
      <c r="E119">
        <v>1</v>
      </c>
      <c r="F119" s="3">
        <f>658+(353-45)+(-1.6779+(-0.90015--0.11475))+0-0-0</f>
        <v>963.5367</v>
      </c>
      <c r="G119" s="3">
        <f>613+(365.4-43)+(-0.93789+(-0.559062--0.06579))+0-0-0</f>
        <v>933.96883800000001</v>
      </c>
      <c r="H119" s="3">
        <f>559+(395.9-42)+(-0.28509+(-0.201909--0.02142))+0-0-0</f>
        <v>912.43442099999993</v>
      </c>
      <c r="I119" s="3">
        <f>554+(374.2-42)+(-1.4127+(-0.95421--0.1071))+0-0-0</f>
        <v>883.94019000000003</v>
      </c>
      <c r="J119" s="3">
        <f>554+(351.3-43)+(-1.13016+(-0.716652--0.08772))+0-0-0</f>
        <v>860.54090799999994</v>
      </c>
      <c r="K119" s="3">
        <f>554+(292.3-43)+(-0.56508+(-0.298146--0.04386))+0-0-0</f>
        <v>802.48063400000001</v>
      </c>
      <c r="L119" s="3">
        <f>528+(269.5-42)+(-1.3464+(-0.687225--0.1071))+0-0-0</f>
        <v>753.57347500000003</v>
      </c>
      <c r="M119" s="3">
        <f>493+(294.5-43)+(1.00572+(0.60078-0.08772))+0-0-0</f>
        <v>746.01877999999999</v>
      </c>
      <c r="N119" s="3">
        <f>493+(303.3-42)+(1.25715+(0.773415-0.1071))+0-0-0</f>
        <v>756.22346499999992</v>
      </c>
      <c r="O119" s="3">
        <f>493+(316.6-41)+(0.50286+(0.322932-0.04182))+0-0-0</f>
        <v>769.38397199999997</v>
      </c>
      <c r="P119" s="3">
        <f>503+(328.5-44)+(0.76959+(0.502605-0.06732))+0-0-0</f>
        <v>788.70487500000002</v>
      </c>
      <c r="Q119" s="3">
        <f>570+(327.8-46)+(1.1628+(0.668712-0.09384))+0-0-0</f>
        <v>853.53767199999993</v>
      </c>
      <c r="R119" s="3">
        <f>619+(339-48)+(0.94707+(0.51867-0.07344))+0-0-0</f>
        <v>911.39229999999998</v>
      </c>
      <c r="S119" s="3">
        <f>617+(378.4-50)+(-0.31467+(-0.192984--0.0255))+0-0-0</f>
        <v>944.91784599999994</v>
      </c>
      <c r="T119" s="3">
        <f>622+(394.9-48)+(0+(0-0))+0-0-0</f>
        <v>968.9</v>
      </c>
      <c r="U119" s="3">
        <f>649+(349.4-48)+(-1.65495+(-0.89097--0.1224))+0-0-0</f>
        <v>947.97647999999992</v>
      </c>
      <c r="V119" s="3">
        <f>636+(301.6-45)+(0.32436+(0.153816-0.02295))+0-0-0</f>
        <v>893.05522600000006</v>
      </c>
      <c r="W119" s="3">
        <f>623+(257.5-48.1)+(-0.95319+(-0.393975--0.073593))+0-0-0</f>
        <v>831.12642800000003</v>
      </c>
      <c r="X119" s="3">
        <f>591+(214.6-49.2)+(-1.80846+(-0.656676--0.150552))+0-0-0</f>
        <v>754.08541600000001</v>
      </c>
      <c r="Y119" s="3">
        <f>561+(269.3-52)+(0+(0-0))+0-0-0</f>
        <v>778.3</v>
      </c>
      <c r="Z119" s="3">
        <f>614+(368.6-52)+(-0.93942+(-0.563958--0.07956))+0-0-0</f>
        <v>929.17618200000004</v>
      </c>
      <c r="AA119" s="3">
        <f>645+(383.4-52)+(-0.98685+(-0.586602--0.07956))+0-0-0</f>
        <v>974.90610800000002</v>
      </c>
      <c r="AB119" s="3">
        <f>640+(400.1-51)+(-1.9584+(-1.224306--0.15606))+0-0-0</f>
        <v>986.07335399999999</v>
      </c>
      <c r="AC119" s="3">
        <f>640+(377.8-49)+(-0.9792+(-0.578034--0.07497))+0-0-0</f>
        <v>967.31773599999997</v>
      </c>
      <c r="AD119" s="2">
        <v>854.8271860000001</v>
      </c>
      <c r="AE119" s="3">
        <f>643+(387.8-52)+(0+(0-0))+0-0-0</f>
        <v>978.8</v>
      </c>
    </row>
    <row r="120" spans="1:31" s="2" customFormat="1" x14ac:dyDescent="0.3">
      <c r="A120">
        <v>91</v>
      </c>
      <c r="B120">
        <v>4</v>
      </c>
      <c r="C120">
        <v>27</v>
      </c>
      <c r="D120">
        <v>4</v>
      </c>
      <c r="E120">
        <v>1</v>
      </c>
      <c r="F120" s="3">
        <f>638+(368.1-47)+(-2.27766+(-1.314117--0.16779))+0-0-0</f>
        <v>955.67601300000001</v>
      </c>
      <c r="G120" s="3">
        <f>636+(337.8-46)+(-1.6218+(-0.86139--0.1173))+0-0-0</f>
        <v>925.43410999999992</v>
      </c>
      <c r="H120" s="3">
        <f>635+(314.2-44)+(-1.2954+(-0.640968--0.08976))+0-0-0</f>
        <v>903.3533920000001</v>
      </c>
      <c r="I120" s="3">
        <f>632+(297.9-44)+(-1.28928+(-0.607716--0.08976))+0-0-0</f>
        <v>884.09276399999999</v>
      </c>
      <c r="J120" s="3">
        <f>632+(287-46)+(0+(0-0))+0-0-0</f>
        <v>873</v>
      </c>
      <c r="K120" s="3">
        <f>602+(269.6-48)+(-1.22808+(-0.549984--0.09792))+0-0-0</f>
        <v>821.91985599999998</v>
      </c>
      <c r="L120" s="3">
        <f>553+(263.1-49)+(0+(0-0))+0-0-0</f>
        <v>767.1</v>
      </c>
      <c r="M120" s="3">
        <f>551+(251.3-48)+(0.84303+(0.384489-0.07344))+0-0-0</f>
        <v>755.45407899999998</v>
      </c>
      <c r="N120" s="3">
        <f>549+(242.6-51)+(0.27999+(0.123726-0.02601))+0-0-0</f>
        <v>740.97770600000001</v>
      </c>
      <c r="O120" s="3">
        <f>600+(213.1-59.2)+(0.306+(0.108681-0.030192))+0-0-0</f>
        <v>754.28448900000001</v>
      </c>
      <c r="P120" s="3">
        <f>619+(221.7-54)+(1.26276+(0.452268-0.11016))+0-0-0</f>
        <v>788.30486800000006</v>
      </c>
      <c r="Q120" s="3">
        <f>611+(258.2-43.5)+(0.93483+(0.395046-0.066555))+0-0-0</f>
        <v>826.96332100000006</v>
      </c>
      <c r="R120" s="3">
        <f>666+(279.9-49)+(-0.33966+(-0.142749--0.02499))+0-0-0</f>
        <v>896.44258100000002</v>
      </c>
      <c r="S120" s="3">
        <f>688+(307.1-48)+(-1.05264+(-0.469863--0.07344))+0-0-0</f>
        <v>945.650937</v>
      </c>
      <c r="T120" s="3">
        <f>695+(275.5-47)+(-0.35445+(-0.140505--0.02397))+7.8-0-0</f>
        <v>930.82901499999991</v>
      </c>
      <c r="U120" s="3">
        <f>701+(246.3-55.5)+(1.43004+(0.502452-0.11322))+5.5-0-0</f>
        <v>899.11927199999991</v>
      </c>
      <c r="V120" s="3">
        <f>685+(236.3-61.5)+(0+(0-0))+0-0-0</f>
        <v>859.8</v>
      </c>
      <c r="W120" s="3">
        <f>632+(219.9-57.2)+(-1.6116+(-0.560745--0.14586))+0-0-0</f>
        <v>792.67351500000007</v>
      </c>
      <c r="X120" s="3">
        <f>608+(197.2-56.9)+(-0.93024+(-0.301716--0.087057))+0-0-0</f>
        <v>747.15510099999995</v>
      </c>
      <c r="Y120" s="3">
        <f>549+(279-48)+(-0.27999+(-0.14229--0.02448))+0-0-0</f>
        <v>779.60220000000004</v>
      </c>
      <c r="Z120" s="3">
        <f>604+(368-52)+(0.61608+(0.37536-0.05304))+0-0-0</f>
        <v>920.9384</v>
      </c>
      <c r="AA120" s="3">
        <f>642+(389.6-51)+(-0.65484+(-0.397392--0.05202))+0-0-0</f>
        <v>979.59978799999999</v>
      </c>
      <c r="AB120" s="3">
        <f>637+(385.1-48)+(-0.64974+(-0.392802--0.04896))+0-0-0</f>
        <v>973.10641800000008</v>
      </c>
      <c r="AC120" s="3">
        <f>637+(369.3-45)+(-0.64974+(-0.376686--0.0459))+0-0-0</f>
        <v>960.3194739999999</v>
      </c>
      <c r="AD120" s="2">
        <v>843.6</v>
      </c>
      <c r="AE120" s="3">
        <f>638+(389.7-52)+(0+(0-0))+0-0-0</f>
        <v>975.7</v>
      </c>
    </row>
    <row r="121" spans="1:31" s="2" customFormat="1" x14ac:dyDescent="0.3">
      <c r="A121">
        <v>91</v>
      </c>
      <c r="B121">
        <v>4</v>
      </c>
      <c r="C121">
        <v>28</v>
      </c>
      <c r="D121">
        <v>5</v>
      </c>
      <c r="E121">
        <v>1</v>
      </c>
      <c r="F121" s="3">
        <f>629+(354.7-45)+(-0.96237+(-0.542691--0.06885))+0-0-0</f>
        <v>937.26378900000009</v>
      </c>
      <c r="G121" s="3">
        <f>589+(360.7-39)+(-0.30039+(-0.183957--0.01989))+0-0-0</f>
        <v>910.23554300000001</v>
      </c>
      <c r="H121" s="3">
        <f>589+(327.8-37)+(-0.90117+(-0.501534--0.05661))+0-0-0</f>
        <v>878.45390599999996</v>
      </c>
      <c r="I121" s="3">
        <f>587+(306.2-36)+(-0.59874+(-0.312324--0.03672))+0-0-0</f>
        <v>856.32565600000009</v>
      </c>
      <c r="J121" s="3">
        <f>578+(300.7-37)+(-1.4739+(-0.766785--0.09435))+0-0-0</f>
        <v>839.55366500000002</v>
      </c>
      <c r="K121" s="3">
        <f>505+(314.2-36)+(-1.28775+(-0.80121--0.0918))+0-0-0</f>
        <v>781.20284000000004</v>
      </c>
      <c r="L121" s="3">
        <f>405+(329.9-42)+(0.4131+(0.336498-0.04284))+0-0-0</f>
        <v>693.60675800000001</v>
      </c>
      <c r="M121" s="3">
        <f>415+(341.3-39)+(-0.21165+(-0.174063--0.01989))+0-0-0</f>
        <v>716.93417699999998</v>
      </c>
      <c r="N121" s="3">
        <f>494+(261.7-40)+(0.75582+(0.400401-0.0612))+0-0-0</f>
        <v>716.79502100000002</v>
      </c>
      <c r="O121" s="3">
        <f>574+(218.6-49.2)+(0+(0-0))+0-0-0</f>
        <v>743.4</v>
      </c>
      <c r="P121" s="3">
        <f>579+(239.2-48.2)+(0.59058+(0.243984-0.049164))+0-0-0</f>
        <v>770.78539999999998</v>
      </c>
      <c r="Q121" s="3">
        <f>591+(265.7-40)+(0.90423+(0.406521-0.0612))+0-0-0</f>
        <v>817.94955100000004</v>
      </c>
      <c r="R121" s="3">
        <f>610+(336-50)+(0.9333+(0.51408-0.0765))+0-0-0</f>
        <v>897.37088000000006</v>
      </c>
      <c r="S121" s="3">
        <f>615+(393.2-43)+(-1.2546+(-0.802128--0.08772))+0-0-0</f>
        <v>963.23099200000001</v>
      </c>
      <c r="T121" s="3">
        <f>632+(391.1-53)+(0+(0-0))+0-0-0</f>
        <v>970.1</v>
      </c>
      <c r="U121" s="3">
        <f>634+(369.6-43)+(-0.97002+(-0.565488--0.06579))+0-0-0</f>
        <v>959.13028200000008</v>
      </c>
      <c r="V121" s="3">
        <f>638+(286.5-52)+(0.32538+(0.146115-0.02652))+0-0-0</f>
        <v>872.944975</v>
      </c>
      <c r="W121" s="3">
        <f>635+(247.4-55.8)+(-0.97155+(-0.378522--0.085374))+0-0-0</f>
        <v>825.33530200000007</v>
      </c>
      <c r="X121" s="3">
        <f>593+(225.4-54.8)+(-1.20972+(-0.459816--0.111792))+0-0-0</f>
        <v>762.04225600000007</v>
      </c>
      <c r="Y121" s="3">
        <f>580+(266.3-54)+(-0.2958+(-0.135813--0.02754))+0-0-0</f>
        <v>791.89592699999992</v>
      </c>
      <c r="Z121" s="3">
        <f>576+(422.1-49)+(1.4688+(1.076355-0.12495))+0-0-0</f>
        <v>951.52020500000003</v>
      </c>
      <c r="AA121" s="3">
        <f>585+(458.9-54)+(0.29835+(0.234039-0.02754))+0-0-0</f>
        <v>990.40484900000001</v>
      </c>
      <c r="AB121" s="3">
        <f>589+(461.9-52)+(0.60078+(0.471138-0.05304))+0-0-0</f>
        <v>999.91887799999995</v>
      </c>
      <c r="AC121" s="3">
        <f>590+(445.5-50)+(0.3009+(0.227205-0.0255))+0-0-0</f>
        <v>986.00260500000002</v>
      </c>
      <c r="AD121" s="2">
        <v>833.04942199999994</v>
      </c>
      <c r="AE121" s="3">
        <f>585+(462.6-58)+(0+(0-0))+0-0-0</f>
        <v>989.6</v>
      </c>
    </row>
    <row r="122" spans="1:31" s="2" customFormat="1" x14ac:dyDescent="0.3">
      <c r="A122">
        <v>91</v>
      </c>
      <c r="B122">
        <v>4</v>
      </c>
      <c r="C122">
        <v>29</v>
      </c>
      <c r="D122">
        <v>6</v>
      </c>
      <c r="E122">
        <v>1</v>
      </c>
      <c r="F122" s="3">
        <f>587+(409.2-48)+(-0.89811+(-0.626076--0.07344))+0-0-0</f>
        <v>946.74925400000006</v>
      </c>
      <c r="G122" s="3">
        <f>583+(389.4-48)+(-0.59466+(-0.397188--0.04896))+0-0-0</f>
        <v>923.45711199999994</v>
      </c>
      <c r="H122" s="3">
        <f>567+(386.5-45)+(-0.57834+(-0.39423--0.0459))+0-0-0</f>
        <v>907.57333000000006</v>
      </c>
      <c r="I122" s="3">
        <f>564+(362.6-45)+(0+(0-0))+0-0-0</f>
        <v>881.6</v>
      </c>
      <c r="J122" s="3">
        <f>562+(338.9-42)+(-0.28662+(-0.172839--0.02142))+0-0-0</f>
        <v>858.46196099999997</v>
      </c>
      <c r="K122" s="3">
        <f>561+(280-41)+(-0.57222+(-0.2856--0.04182))+0-0-0</f>
        <v>799.18399999999997</v>
      </c>
      <c r="L122" s="3">
        <f>516+(265.2-41)+(0+(0-0))+0-0-0</f>
        <v>740.2</v>
      </c>
      <c r="M122" s="3">
        <f>494+(272.8-41)+(0.50388+(0.278256-0.04182))+0-0-0</f>
        <v>726.54031599999996</v>
      </c>
      <c r="N122" s="3">
        <f>520+(251-42)+(1.326+(0.64005-0.1071))+0-0-0</f>
        <v>730.85895000000005</v>
      </c>
      <c r="O122" s="3">
        <f>561+(235.1-51.6)+(0.85833+(0.359703-0.078948))+0-0-0</f>
        <v>745.63908500000002</v>
      </c>
      <c r="P122" s="3">
        <f>558+(268.1-45)+(0.56916+(0.273462-0.0459))+0-0-0</f>
        <v>781.89672200000007</v>
      </c>
      <c r="Q122" s="3">
        <f>580+(317-47)+(0.8874+(0.48501-0.07191))+0-0-0</f>
        <v>851.30050000000006</v>
      </c>
      <c r="R122" s="3">
        <f>623+(337-47)+(-0.31773+(-0.17187--0.02397))+0-0-0</f>
        <v>912.53436999999997</v>
      </c>
      <c r="S122" s="3">
        <f>648+(324-48)+(-1.6524+(-0.8262--0.1224))+0-0-0</f>
        <v>921.64380000000006</v>
      </c>
      <c r="T122" s="3">
        <f>656+(346.7-49)+(0+(0-0))+0-0-0</f>
        <v>953.7</v>
      </c>
      <c r="U122" s="3">
        <f>675+(316.6-46)+(-1.03275+(-0.484398--0.07038))+0-0-0</f>
        <v>944.153232</v>
      </c>
      <c r="V122" s="3">
        <f>673+(291.3-53)+(-1.02969+(-0.445689--0.08109))+0-0-0</f>
        <v>909.905711</v>
      </c>
      <c r="W122" s="3">
        <f>657+(254.2-56.1)+(-0.67014+(-0.259284--0.057222))+0-0-0</f>
        <v>854.22779800000001</v>
      </c>
      <c r="X122" s="3">
        <f>601+(223-54.7)+(-0.61302+(-0.22746--0.055794))+0-0-0</f>
        <v>768.51531399999999</v>
      </c>
      <c r="Y122" s="3">
        <f>592+(270.5-51)+(0.90576+(0.413865-0.07803))+0-0-0</f>
        <v>812.74159499999996</v>
      </c>
      <c r="Z122" s="3">
        <f>630+(384.2-53)+(0.6426+(0.391884-0.05406))+0-0-0</f>
        <v>962.18042400000002</v>
      </c>
      <c r="AA122" s="3">
        <f>655+(391.9-54)+(-1.3362+(-0.799476--0.11016))+0-0-0</f>
        <v>990.87448399999994</v>
      </c>
      <c r="AB122" s="3">
        <f>657+(403.9-50)+(-0.67014+(-0.411978--0.051))+0-0-0</f>
        <v>1009.868882</v>
      </c>
      <c r="AC122" s="3">
        <f>646+(400.5-50)+(-0.32946+(-0.204255--0.0255))+0-0-0</f>
        <v>995.99178500000005</v>
      </c>
      <c r="AD122" s="2">
        <v>834.67409900000007</v>
      </c>
      <c r="AE122" s="3">
        <f>655+(393.8-54)+(0+(0-0))+0-0-0</f>
        <v>994.8</v>
      </c>
    </row>
    <row r="123" spans="1:31" s="2" customFormat="1" x14ac:dyDescent="0.3">
      <c r="A123">
        <v>91</v>
      </c>
      <c r="B123">
        <v>4</v>
      </c>
      <c r="C123">
        <v>30</v>
      </c>
      <c r="D123">
        <v>7</v>
      </c>
      <c r="E123">
        <v>1</v>
      </c>
      <c r="F123" s="3">
        <f>607+(420.7-48)+(0+(0-0))+0-0-0</f>
        <v>979.7</v>
      </c>
      <c r="G123" s="3">
        <f>562+(427.4-47)+(-0.57324+(-0.435948--0.04794))+0-0-0</f>
        <v>941.43875200000002</v>
      </c>
      <c r="H123" s="3">
        <f>563+(408.9-46)+(0+(0-0))+0-0-0</f>
        <v>925.9</v>
      </c>
      <c r="I123" s="3">
        <f>561+(387.4-45)+(-0.57222+(-0.395148--0.0459))+0-0-0</f>
        <v>902.47853199999997</v>
      </c>
      <c r="J123" s="3">
        <f>560+(368.6-45)+(-0.8568+(-0.563958--0.06885))+0-0-0</f>
        <v>882.24809200000004</v>
      </c>
      <c r="K123" s="3">
        <f>560+(316.2-46)+(-1.1424+(-0.645048--0.09384))+0-0-0</f>
        <v>828.50639200000001</v>
      </c>
      <c r="L123" s="3">
        <f>542+(251.5-50)+(-0.82926+(-0.384795--0.0765))+0-0-0</f>
        <v>742.36244499999998</v>
      </c>
      <c r="M123" s="3">
        <f>428+(348.7-50)+(0.65484+(0.533511-0.0765))+0.1-0-0</f>
        <v>727.91185100000007</v>
      </c>
      <c r="N123" s="3">
        <f>428+(338-43)+(0.43656+(0.34476-0.04386))+4.8-0-0</f>
        <v>728.53746000000001</v>
      </c>
      <c r="O123" s="3">
        <f>476+(302.4-50)+(0.24276+(0.154224-0.0255))+0-0-0</f>
        <v>728.77148399999999</v>
      </c>
      <c r="P123" s="3">
        <f>487+(312.3-40)+(0.74511+(0.477819-0.0612))+0-0-0</f>
        <v>760.46172899999999</v>
      </c>
      <c r="Q123" s="3">
        <f>508+(367.1-43)+(0.51816+(0.374442-0.04386))+0-0-0</f>
        <v>832.94874200000004</v>
      </c>
      <c r="R123" s="3">
        <f>528+(399-50)+(0.53856+(0.40698-0.051))+0-0-0</f>
        <v>877.89454000000001</v>
      </c>
      <c r="S123" s="3">
        <f>543+(395.8-49)+(0.55386+(0.403716-0.04998))+0-0-0</f>
        <v>890.70759599999997</v>
      </c>
      <c r="T123" s="3">
        <f>582+(377.5-53)+(0+(0-0))+0-0-0</f>
        <v>906.5</v>
      </c>
      <c r="U123" s="3">
        <f>596+(358-49)+(0+(0-0))+0-0-0</f>
        <v>905</v>
      </c>
      <c r="V123" s="3">
        <f>611+(313-48)+(0+(0-0))+0-0-0</f>
        <v>876</v>
      </c>
      <c r="W123" s="3">
        <f>617+(258-52.9)+(0+(0-0))+0-0-0</f>
        <v>822.1</v>
      </c>
      <c r="X123" s="3">
        <f>619+(195.2-62.9)+(-0.94707+(-0.298656--0.096237))+0-0-0</f>
        <v>750.15051099999994</v>
      </c>
      <c r="Y123" s="3">
        <f>622+(231.8-56)+(-1.26888+(-0.472872--0.11424))+0-0-0</f>
        <v>796.17248799999993</v>
      </c>
      <c r="Z123" s="3">
        <f>623+(378.9-56)+(0+(0-0))+0-0-0</f>
        <v>945.9</v>
      </c>
      <c r="AA123" s="3">
        <f>622+(426.5-49)+(-1.5861+(-1.087575--0.12495))+0-0-0</f>
        <v>996.95127500000001</v>
      </c>
      <c r="AB123" s="3">
        <f>623+(440.8-54)+(0.31773+(0.224808-0.02754))+0-0-0</f>
        <v>1010.3149979999999</v>
      </c>
      <c r="AC123" s="3">
        <f>624+(428.8-52)+(-0.31824+(-0.218688--0.02652))+0-0-0</f>
        <v>1000.289592</v>
      </c>
      <c r="AD123" s="2">
        <v>833.17280699999992</v>
      </c>
      <c r="AE123" s="3">
        <f>621+(410.6-53)+(0+(0-0))+0-0-0</f>
        <v>978.6</v>
      </c>
    </row>
    <row r="124" spans="1:31" s="2" customFormat="1" x14ac:dyDescent="0.3">
      <c r="A124">
        <v>91</v>
      </c>
      <c r="B124">
        <v>4</v>
      </c>
      <c r="C124">
        <v>31</v>
      </c>
      <c r="D124">
        <v>1</v>
      </c>
      <c r="E124">
        <v>8</v>
      </c>
      <c r="F124" s="3">
        <f>624+(395.5-38)+(-0.63648+(-0.40341--0.03876))+0-0-0</f>
        <v>980.49887000000001</v>
      </c>
      <c r="G124" s="3">
        <f>624+(357.2-36)+(-0.31824+(-0.182172--0.01836))+0-0-0</f>
        <v>944.71794800000009</v>
      </c>
      <c r="H124" s="3">
        <f>626+(331.3-38)+(0.31926+(0.168963-0.01938))+0-0-0</f>
        <v>919.76884299999995</v>
      </c>
      <c r="I124" s="3">
        <f>629+(334.2-43)+(0.32079+(0.170442-0.02193))+0-0-0</f>
        <v>920.66930200000002</v>
      </c>
      <c r="J124" s="3">
        <f>628+(311.6-40)+(-0.96084+(-0.476748--0.0612))+0-0-0</f>
        <v>898.223612</v>
      </c>
      <c r="K124" s="3">
        <f>629+(257.4-40)+(-0.64158+(-0.262548--0.0408))+0-0-0</f>
        <v>845.53667199999995</v>
      </c>
      <c r="L124" s="3">
        <f>621+(217-62.5)+(-0.63342+(-0.22134--0.06375))+0-0-0</f>
        <v>774.70898999999997</v>
      </c>
      <c r="M124" s="3">
        <f>618+(224.9-63.3)+(0.31518+(0.114699-0.032283))+0-0-0</f>
        <v>779.99759600000004</v>
      </c>
      <c r="N124" s="3">
        <f>615+(249.8-56.5)+(1.2546+(0.509592-0.11526))+0-0-0</f>
        <v>809.9489319999999</v>
      </c>
      <c r="O124" s="3">
        <f>613+(279.1-56)+(0.62526+(0.284682-0.05712))+0-0-0</f>
        <v>836.95282199999997</v>
      </c>
      <c r="P124" s="3">
        <f>625+(299.9-56)+(0.31875+(0.152949-0.02856))+0-0-0</f>
        <v>869.34313899999995</v>
      </c>
      <c r="Q124" s="3">
        <f>647+(329.6-56)+(0.32997+(0.168096-0.02856))+0-0-0</f>
        <v>921.06950600000005</v>
      </c>
      <c r="R124" s="3">
        <f>670+(349.1-55)+(0.6834+(0.356082-0.0561))+0-0-0</f>
        <v>965.08338200000003</v>
      </c>
      <c r="S124" s="3">
        <f>688+(349.7-55)+(-1.05264+(-0.535041--0.08415))+0-0-0</f>
        <v>981.19646900000009</v>
      </c>
      <c r="T124" s="3">
        <f>700+(344.8-50)+(-0.357+(-0.175848--0.0255))+0-0-0</f>
        <v>994.29265199999998</v>
      </c>
      <c r="U124" s="3">
        <f>705+(336.2-50)+(0.35955+(0.171462-0.0255))+0-0-0</f>
        <v>991.705512</v>
      </c>
      <c r="V124" s="3">
        <f>696+(325.3-54.3)+(1.06488+(0.497709-0.083079))+0-0-0</f>
        <v>968.47951</v>
      </c>
      <c r="W124" s="3">
        <f>682+(297-62.2)+(0.34782+(0.15147-0.031722))+0-0-0</f>
        <v>917.26756799999998</v>
      </c>
      <c r="X124" s="3">
        <f>669+(247.6-66.1)+(-1.02357+(-0.378828--0.101133))+0-0-0</f>
        <v>849.19873500000006</v>
      </c>
      <c r="Y124" s="3">
        <f>672+(303-55)+(0+(0-0))+0-0-0</f>
        <v>920</v>
      </c>
      <c r="Z124" s="3">
        <f>691+(385.5-54)+(0.70482+(0.39321-0.05508))+0-0-0</f>
        <v>1023.54295</v>
      </c>
      <c r="AA124" s="3">
        <f>696+(383.9-54)+(-1.7748+(-0.978945--0.1377))+0-0-0</f>
        <v>1023.2839550000001</v>
      </c>
      <c r="AB124" s="3">
        <f>691+(383.4-53)+(0.35241+(0.195534-0.02703))+0-0-0</f>
        <v>1021.9209139999999</v>
      </c>
      <c r="AC124" s="3">
        <f>680+(368.4-53)+(-0.6936+(-0.375768--0.05406))+0-0-0</f>
        <v>994.38469199999997</v>
      </c>
      <c r="AD124" s="2">
        <v>844.106538</v>
      </c>
      <c r="AE124" s="3">
        <f>697+(361.7-55)+(0+(0-0))+0-0-0</f>
        <v>1003.7</v>
      </c>
    </row>
    <row r="125" spans="1:31" s="2" customFormat="1" x14ac:dyDescent="0.3">
      <c r="A125">
        <v>91</v>
      </c>
      <c r="B125">
        <v>5</v>
      </c>
      <c r="C125">
        <v>1</v>
      </c>
      <c r="D125">
        <v>2</v>
      </c>
      <c r="E125">
        <v>1</v>
      </c>
      <c r="F125" s="3">
        <f>671+(359-48)+(-0.34221+(-0.18309--0.02448))+0-0-0</f>
        <v>981.49918000000002</v>
      </c>
      <c r="G125" s="3">
        <f>665+(341.3-45)+(0+(0-0))+0-0-0</f>
        <v>961.3</v>
      </c>
      <c r="H125" s="3">
        <f>673+(314.3-40)+(0.68646+(0.320586-0.0408))+0-0-0</f>
        <v>948.26624599999991</v>
      </c>
      <c r="I125" s="3">
        <f>680+(312.6-40)+(1.0404+(0.478278-0.0612))+0-0-0</f>
        <v>954.05747800000006</v>
      </c>
      <c r="J125" s="3">
        <f>675+(282.5-46)+(-0.6885+(-0.28815--0.04692))+0-0-0</f>
        <v>910.57027000000005</v>
      </c>
      <c r="K125" s="3">
        <f>665+(228.9-61.8)+(-1.3566+(-0.466956--0.126072))+0-0-0</f>
        <v>830.40251599999999</v>
      </c>
      <c r="L125" s="3">
        <f>665+(198.1-69)+(-1.69575+(-0.505155--0.17595))+0-0-0</f>
        <v>792.07504500000005</v>
      </c>
      <c r="M125" s="3">
        <f>652+(203.6-68.1)+(0.99756+(0.311508-0.104193))+0-0-0</f>
        <v>788.70487500000002</v>
      </c>
      <c r="N125" s="3">
        <f>647+(226.1-62.2)+(0.98991+(0.345933-0.095166))+0-0-0</f>
        <v>812.14067699999998</v>
      </c>
      <c r="O125" s="3">
        <f>642+(253.2-55.7)+(1.30968+(0.516528-0.113628))+0-0-0</f>
        <v>841.21258</v>
      </c>
      <c r="P125" s="3">
        <f>642+(274.1-48.2)+(0.32742+(0.139791-0.024582))+0-0-0</f>
        <v>868.3426290000001</v>
      </c>
      <c r="Q125" s="3">
        <f>666+(296.2-48)+(0.67932+(0.302124-0.04896))+0-0-0</f>
        <v>915.13248400000009</v>
      </c>
      <c r="R125" s="3">
        <f>685+(322.7-46)+(1.04805+(0.493731-0.07038))+0-0-0</f>
        <v>963.17140100000006</v>
      </c>
      <c r="S125" s="3">
        <f>679+(331.3-47)+(-0.34629+(-0.168963--0.02397))+0-0-0</f>
        <v>962.808717</v>
      </c>
      <c r="T125" s="3">
        <f>690+(346.6-47)+(0.7038+(0.353532-0.04794))+0-0-0</f>
        <v>990.60939200000007</v>
      </c>
      <c r="U125" s="3">
        <f>710+(322.7-45)+(-0.3621+(-0.164577--0.02295))+0-0-0</f>
        <v>987.19627300000002</v>
      </c>
      <c r="V125" s="3">
        <f>713+(293.9-54.7)+(0.72726+(0.299778-0.055794))+0-0-0</f>
        <v>953.171244</v>
      </c>
      <c r="W125" s="3">
        <f>697+(267.6-59.2)+(-1.42188+(-0.545904--0.120768))+0-0-0</f>
        <v>903.55298400000004</v>
      </c>
      <c r="X125" s="3">
        <f>688+(220.5-62.5)+(-1.05264+(-0.337365--0.095625))+0-0-0</f>
        <v>844.70561999999995</v>
      </c>
      <c r="Y125" s="3">
        <f>671+(286.2-47)+(0.68442+(0.291924-0.04794))+0-0-0</f>
        <v>911.12840400000005</v>
      </c>
      <c r="Z125" s="3">
        <f>686+(378.7-48)+(1.7493+(0.965685-0.1224))+0-0-0</f>
        <v>1019.292585</v>
      </c>
      <c r="AA125" s="3">
        <f>689+(387.7-48)+(-0.35139+(-0.197727--0.02448))+0-0-0</f>
        <v>1028.1753630000001</v>
      </c>
      <c r="AB125" s="3">
        <f>687+(388-50)+(-1.05111+(-0.59364--0.0765))+0-0-0</f>
        <v>1023.43175</v>
      </c>
      <c r="AC125" s="3">
        <f>681+(364.9-47)+(-1.04193+(-0.558297--0.07191))+0-0-0</f>
        <v>997.37168299999996</v>
      </c>
      <c r="AD125" s="2">
        <v>858.34539600000005</v>
      </c>
      <c r="AE125" s="3">
        <f>689+(387-50)+(0+(0-0))+0-0-0</f>
        <v>1026</v>
      </c>
    </row>
    <row r="126" spans="1:31" s="2" customFormat="1" x14ac:dyDescent="0.3">
      <c r="A126">
        <v>91</v>
      </c>
      <c r="B126">
        <v>5</v>
      </c>
      <c r="C126">
        <v>2</v>
      </c>
      <c r="D126">
        <v>3</v>
      </c>
      <c r="E126">
        <v>1</v>
      </c>
      <c r="F126" s="3">
        <f>670+(353-47)+(0.6834+(0.36006-0.04794))+0-0-0</f>
        <v>976.99552000000006</v>
      </c>
      <c r="G126" s="3">
        <f>648+(348.8-46)+(0+(0-0))+0-0-0</f>
        <v>950.8</v>
      </c>
      <c r="H126" s="3">
        <f>641+(336.5-46)+(0.65382+(0.34323-0.04692))+0-0-0</f>
        <v>932.45012999999994</v>
      </c>
      <c r="I126" s="3">
        <f>638+(348.5-47)+(0.32538+(0.177735-0.02397))+0-0-0</f>
        <v>939.97914500000002</v>
      </c>
      <c r="J126" s="3">
        <f>626+(315.5-49)+(-0.31926+(-0.160905--0.02499))+0-0-0</f>
        <v>892.04482499999995</v>
      </c>
      <c r="K126" s="3">
        <f>634+(257.9-50)+(-1.29336+(-0.526116--0.102))+0-0-0</f>
        <v>840.18252399999994</v>
      </c>
      <c r="L126" s="3">
        <f>625+(220.3-56.2)+(0+(0-0))+0-0-0</f>
        <v>789.1</v>
      </c>
      <c r="M126" s="3">
        <f>623+(218.8-59.6)+(0.31773+(0.111588-0.030396))+0-0-0</f>
        <v>782.59892200000002</v>
      </c>
      <c r="N126" s="3">
        <f>628+(223.5-59.9)+(0.32028+(0.113985-0.030549))+0-0-0</f>
        <v>792.00371600000005</v>
      </c>
      <c r="O126" s="3">
        <f>634+(239-58.1)+(0.32334+(0.12189-0.029631))+0-0-0</f>
        <v>815.31559900000002</v>
      </c>
      <c r="P126" s="3">
        <f>636+(237.7-57.2)+(-0.32436+(-0.121227--0.029172))+0-0-0</f>
        <v>816.08358499999997</v>
      </c>
      <c r="Q126" s="3">
        <f>642+(272.5-50)+(0.98226+(0.416925-0.0765))+0-0-0</f>
        <v>865.82268499999998</v>
      </c>
      <c r="R126" s="3">
        <f>656+(319.9-46)+(-1.00368+(-0.489447--0.07038))+0-0-0</f>
        <v>928.47725300000002</v>
      </c>
      <c r="S126" s="3">
        <f>681+(317.6-49)+(-0.34731+(-0.161976--0.02499))+0-0-0</f>
        <v>949.11570400000005</v>
      </c>
      <c r="T126" s="3">
        <f>708+(315.1-50)+(-1.08324+(-0.482103--0.0765))+0-0-0</f>
        <v>971.61115700000005</v>
      </c>
      <c r="U126" s="3">
        <f>672+(355.2-50)+(-0.68544+(-0.362304--0.051))+0-0-0</f>
        <v>976.20325600000001</v>
      </c>
      <c r="V126" s="3">
        <f>699+(301.7-51)+(0.35649+(0.153867-0.02601))+0-0-0</f>
        <v>950.184347</v>
      </c>
      <c r="W126" s="3">
        <f>703+(252.9-61.4)+(-0.35853+(-0.128979--0.031314))+0-0-0</f>
        <v>894.04380500000002</v>
      </c>
      <c r="X126" s="3">
        <f>686+(217.1-68.5)+(-1.04958+(-0.332163--0.104805))+0-0-0</f>
        <v>833.32306200000005</v>
      </c>
      <c r="Y126" s="3">
        <f>666+(286.2-54)+(-0.33966+(-0.145962--0.02754))+0-0-0</f>
        <v>897.74191800000006</v>
      </c>
      <c r="Z126" s="3">
        <f>666+(387.4-54)+(0.67932+(0.395148-0.05508))+0-0-0</f>
        <v>1000.419388</v>
      </c>
      <c r="AA126" s="3">
        <f>666+(408.2-49)+(0.33966+(0.208182-0.02499))+0-0-0</f>
        <v>1025.7228520000001</v>
      </c>
      <c r="AB126" s="3">
        <f>663+(398.4-53)+(-1.35252+(-0.812736--0.10812))+0-0-0</f>
        <v>1006.342864</v>
      </c>
      <c r="AC126" s="3">
        <f>659+(394.6-52)+(0.33609+(0.201246-0.02652))+0-0-0</f>
        <v>1002.110816</v>
      </c>
      <c r="AD126" s="2">
        <v>856.68726000000004</v>
      </c>
      <c r="AE126" s="3">
        <f>667+(411-53)+(0+(0-0))+0-0-0</f>
        <v>1025</v>
      </c>
    </row>
    <row r="127" spans="1:31" s="2" customFormat="1" x14ac:dyDescent="0.3">
      <c r="A127">
        <v>91</v>
      </c>
      <c r="B127">
        <v>5</v>
      </c>
      <c r="C127">
        <v>3</v>
      </c>
      <c r="D127">
        <v>4</v>
      </c>
      <c r="E127">
        <v>1</v>
      </c>
      <c r="F127" s="3">
        <f>655+(378.5-50)+(0.33405+(0.193035-0.0255))+0-0-0</f>
        <v>984.00158499999998</v>
      </c>
      <c r="G127" s="3">
        <f>643+(362.8-52)+(0.32793+(0.185028-0.02652))+0-0-0</f>
        <v>954.28643799999998</v>
      </c>
      <c r="H127" s="3">
        <f>630+(356.5-52)+(0.3213+(0.181815-0.02652))+0-0-0</f>
        <v>934.97659499999997</v>
      </c>
      <c r="I127" s="3">
        <f>630+(348-53)+(0.6426+(0.35496-0.05406))+0-0-0</f>
        <v>925.94349999999997</v>
      </c>
      <c r="J127" s="3">
        <f>620+(321.9-54)+(0.3162+(0.164169-0.02754))+0-0-0</f>
        <v>888.35282899999993</v>
      </c>
      <c r="K127" s="3">
        <f>618+(266.5-49)+(-1.26072+(-0.54366--0.09996))+0-0-0</f>
        <v>833.79557999999997</v>
      </c>
      <c r="L127" s="3">
        <f>618+(213.6-58)+(-0.31518+(-0.108936--0.02958))+0-0-0</f>
        <v>773.20546400000001</v>
      </c>
      <c r="M127" s="3">
        <f>614+(215.5-55.2)+(0.62628+(0.21981-0.056304))+0-0-0</f>
        <v>775.089786</v>
      </c>
      <c r="N127" s="3">
        <f>614+(234.5-53)+(0.31314+(0.119595-0.02703))+0-0-0</f>
        <v>795.90570500000001</v>
      </c>
      <c r="O127" s="3">
        <f>614+(253.8-50)+(-0.62628+(-0.258876--0.051))+0-0-0</f>
        <v>816.96584399999995</v>
      </c>
      <c r="P127" s="3">
        <f>632+(243.5-50)+(1.28928+(0.49674-0.102))+0-0-0</f>
        <v>827.18402000000003</v>
      </c>
      <c r="Q127" s="3">
        <f>670+(219.4-54.7)+(0.3417+(0.111894-0.027897))+0-0-0</f>
        <v>835.12569700000006</v>
      </c>
      <c r="R127" s="3">
        <f>689+(263.2-47)+(0.70278+(0.268464-0.04794))+0-0-0</f>
        <v>906.12330400000008</v>
      </c>
      <c r="S127" s="3">
        <f>710+(301.4-50)+(-1.0863+(-0.461142--0.0765))+0-0-0</f>
        <v>959.92905799999994</v>
      </c>
      <c r="T127" s="3">
        <f>727+(298.6-50)+(-1.48308+(-0.609144--0.102))+0-0-0</f>
        <v>973.60977600000001</v>
      </c>
      <c r="U127" s="3">
        <f>731+(297.6-50)+(-1.49124+(-0.607104--0.102))+0-0-0</f>
        <v>976.603656</v>
      </c>
      <c r="V127" s="3">
        <f>734+(269.7-56.1)+(-0.74868+(-0.275094--0.057222))+0-0-0</f>
        <v>946.63344800000004</v>
      </c>
      <c r="W127" s="3">
        <f>743+(215.4-70.6)+(-0.37893+(-0.109854--0.036006))+0-0-0</f>
        <v>887.34722199999999</v>
      </c>
      <c r="X127" s="3">
        <f>744+(172.2-88.2)+(-1.8972+(-0.43911--0.22491))+0-0-0</f>
        <v>825.8886</v>
      </c>
      <c r="Y127" s="3">
        <f>749+(210.6-67.9)+(-2.29194+(-0.644436--0.207774))+0-0-0</f>
        <v>888.97139800000002</v>
      </c>
      <c r="Z127" s="3">
        <f>753+(288.1-52)+(0.76806+(0.293862-0.05304))+0-0-0</f>
        <v>990.10888199999999</v>
      </c>
      <c r="AA127" s="3">
        <f>754+(312.1-51)+(-1.15362+(-0.477513--0.07803))+0-0-0</f>
        <v>1013.5468970000001</v>
      </c>
      <c r="AB127" s="3">
        <f>755+(316.6-49)+(-1.92525+(-0.80733--0.12495))+0-0-0</f>
        <v>1019.9923700000001</v>
      </c>
      <c r="AC127" s="3">
        <f>754+(297.7-46)+(-1.53816+(-0.607308--0.09384))+0-0-0</f>
        <v>1003.648372</v>
      </c>
      <c r="AD127" s="2">
        <v>859.14376400000003</v>
      </c>
      <c r="AE127" s="3">
        <f>760+(313.8-53)+(0+(0-0))+0-0-0</f>
        <v>1020.8</v>
      </c>
    </row>
    <row r="128" spans="1:31" s="2" customFormat="1" x14ac:dyDescent="0.3">
      <c r="A128">
        <v>91</v>
      </c>
      <c r="B128">
        <v>5</v>
      </c>
      <c r="C128">
        <v>4</v>
      </c>
      <c r="D128">
        <v>5</v>
      </c>
      <c r="E128">
        <v>1</v>
      </c>
      <c r="F128" s="3">
        <f>730+(285.5-42)+(-0.3723+(-0.145605--0.02142))+0-0-0</f>
        <v>973.00351499999999</v>
      </c>
      <c r="G128" s="3">
        <f>727+(274.8-48.9)+(-0.74154+(-0.280296--0.049878))+0-0-0</f>
        <v>951.928042</v>
      </c>
      <c r="H128" s="3">
        <f>698+(279.6-52)+(0.35598+(0.142596-0.02652))+0-0-0</f>
        <v>926.07205599999998</v>
      </c>
      <c r="I128" s="3">
        <f>667+(311.9-47)+(0+(0-0))+0-0-0</f>
        <v>931.9</v>
      </c>
      <c r="J128" s="3">
        <f>664+(273.9-49)+(-1.35456+(-0.558756--0.09996))+0-0-0</f>
        <v>887.08664399999998</v>
      </c>
      <c r="K128" s="3">
        <f>650+(236.1-52)+(-1.6575+(-0.602055--0.1326))+0-0-0</f>
        <v>831.97304500000007</v>
      </c>
      <c r="L128" s="3">
        <f>626+(214.3-50)+(-1.5963+(-0.546465--0.1275))+0-0-0</f>
        <v>788.28473499999996</v>
      </c>
      <c r="M128" s="3">
        <f>608+(223.4-48)+(0.31008+(0.113934-0.02448))+0-0-0</f>
        <v>783.79953399999999</v>
      </c>
      <c r="N128" s="3">
        <f>652+(215.3-56.3)+(0.66504+(0.219606-0.057426))+0-0-0</f>
        <v>811.82722000000001</v>
      </c>
      <c r="O128" s="3">
        <f>672+(217.2-63.1)+(1.02816+(0.332316-0.096543))+0-0-0</f>
        <v>827.36393299999997</v>
      </c>
      <c r="P128" s="3">
        <f>656+(244.3-49.6)+(0.66912+(0.249186-0.050592))+0-0-0</f>
        <v>851.56771400000002</v>
      </c>
      <c r="Q128" s="3">
        <f>656+(293.8-47)+(1.00368+(0.449514-0.07191))+0-0-0</f>
        <v>904.18128400000001</v>
      </c>
      <c r="R128" s="3">
        <f>674+(333-46)+(-1.03122+(-0.50949--0.07038))+0-0-0</f>
        <v>959.52967000000001</v>
      </c>
      <c r="S128" s="3">
        <f>706+(271.1-51)+(-0.72012+(-0.276522--0.05202))+28.3-0-0</f>
        <v>953.455378</v>
      </c>
      <c r="T128" s="3">
        <f>709+(321.5-50)+(-0.72318+(-0.32793--0.051))+0-0-0</f>
        <v>979.49989000000005</v>
      </c>
      <c r="U128" s="3">
        <f>717+(313-49)+(-1.09701+(-0.47889--0.07497))+0-0-0</f>
        <v>979.49906999999996</v>
      </c>
      <c r="V128" s="3">
        <f>714+(293.6-49)+(-1.09242+(-0.449208--0.07497))+0-0-0</f>
        <v>957.13334199999997</v>
      </c>
      <c r="W128" s="3">
        <f>688+(260.2-56.3)+(-1.7544+(-0.66351--0.143565))+0-0-0</f>
        <v>889.62565499999994</v>
      </c>
      <c r="X128" s="3">
        <f>624+(265.5-55)+(-0.63648+(-0.27081--0.0561))+0-0-0</f>
        <v>833.64881000000003</v>
      </c>
      <c r="Y128" s="3">
        <f>631+(328.7-55)+(-0.32181+(-0.167637--0.02805))+0-0-0</f>
        <v>904.23860300000001</v>
      </c>
      <c r="Z128" s="3">
        <f>719+(322.7-52)+(0.73338+(0.329154-0.05304))+0-0-0</f>
        <v>990.70949400000006</v>
      </c>
      <c r="AA128" s="3">
        <f>720+(360.8-55)+(-1.4688+(-0.736032--0.1122))+0-0-0</f>
        <v>1023.707368</v>
      </c>
      <c r="AB128" s="3">
        <f>714+(369.9-52)+(-0.36414+(-0.188649--0.02652))+0-0-0</f>
        <v>1031.3737310000001</v>
      </c>
      <c r="AC128" s="3">
        <f>711+(354.5-50)+(-1.08783+(-0.542385--0.0765))+0-0-0</f>
        <v>1013.946285</v>
      </c>
      <c r="AD128" s="2">
        <v>858.7</v>
      </c>
      <c r="AE128" s="3">
        <f>711+(357.9-55)+(0+(0-0))+0-0-0</f>
        <v>1013.9</v>
      </c>
    </row>
    <row r="129" spans="1:31" s="2" customFormat="1" x14ac:dyDescent="0.3">
      <c r="A129">
        <v>91</v>
      </c>
      <c r="B129">
        <v>5</v>
      </c>
      <c r="C129">
        <v>5</v>
      </c>
      <c r="D129">
        <v>6</v>
      </c>
      <c r="E129">
        <v>1</v>
      </c>
      <c r="F129" s="3">
        <f>673+(349.1-50)+(0+(0-0))+0-0-0</f>
        <v>972.1</v>
      </c>
      <c r="G129" s="3">
        <f>660+(333.5-52)+(0.3366+(0.170085-0.02652))+0-0-0</f>
        <v>941.98016500000006</v>
      </c>
      <c r="H129" s="3">
        <f>651+(319.4-52)+(-0.66402+(-0.325788--0.05304))+0-0-0</f>
        <v>917.46323199999995</v>
      </c>
      <c r="I129" s="3">
        <f>650+(317-54)+(-0.3315+(-0.16167--0.02754))+0-0-0</f>
        <v>912.53436999999997</v>
      </c>
      <c r="J129" s="3">
        <f>649+(283.4-54)+(-0.99297+(-0.433602--0.08262))+0-0-0</f>
        <v>877.05604800000003</v>
      </c>
      <c r="K129" s="3">
        <f>612+(264.8-55)+(-0.93636+(-0.405144--0.08415))+0-0-0</f>
        <v>820.54264599999999</v>
      </c>
      <c r="L129" s="3">
        <f>559+(266.7-54)+(0+(0-0))+0-0-0</f>
        <v>771.7</v>
      </c>
      <c r="M129" s="3">
        <f>586+(244.2-53)+(1.79316+(0.747252-0.16218))+0-0-0</f>
        <v>779.57823200000007</v>
      </c>
      <c r="N129" s="3">
        <f>590+(251.4-54)+(1.5045+(0.64107-0.1377))+0-0-0</f>
        <v>789.40787</v>
      </c>
      <c r="O129" s="3">
        <f>644+(224.6-63.7)+(1.97064+(0.687276-0.194922))+0-0-0</f>
        <v>807.36299399999996</v>
      </c>
      <c r="P129" s="3">
        <f>651+(242.8-59.6)+(0+(0-0))+0-0-0</f>
        <v>834.2</v>
      </c>
      <c r="Q129" s="3">
        <f>655+(277.7-50)+(1.00215+(0.424881-0.0765))+0-0-0</f>
        <v>884.05053100000009</v>
      </c>
      <c r="R129" s="3">
        <f>677+(301.5-53)+(0+(0-0))+0-0-0</f>
        <v>925.5</v>
      </c>
      <c r="S129" s="3">
        <f>719+(280.8-48)+(-2.20014+(-0.859248--0.14688))+0-0-0</f>
        <v>948.88749199999995</v>
      </c>
      <c r="T129" s="3">
        <f>726+(278.3-56.1)+(-0.37026+(-0.141933--0.028611))+0-0-0</f>
        <v>947.71641800000009</v>
      </c>
      <c r="U129" s="3">
        <f>726+(279.5-52.9)+(-0.37026+(-0.142545--0.026979))+0-0-0</f>
        <v>952.11417400000005</v>
      </c>
      <c r="V129" s="3">
        <f>725+(256.5-65.7)+(-0.36975+(-0.130815--0.033507))+0-0-0</f>
        <v>915.332942</v>
      </c>
      <c r="W129" s="3">
        <f>711+(211.7-78.1)+(0.72522+(0.215934-0.079662))+0-0-0</f>
        <v>845.46149200000002</v>
      </c>
      <c r="X129" s="3">
        <f>713+(162.2-91.9)+(0.36363+(0.082722-0.046869))+0-0-0</f>
        <v>783.69948299999999</v>
      </c>
      <c r="Y129" s="3">
        <f>702+(218.4-65.8)+(0+(0-0))+0-0-0</f>
        <v>854.6</v>
      </c>
      <c r="Z129" s="3">
        <f>693+(318.1-51)+(-1.06029+(-0.486693--0.07803))+0-0-0</f>
        <v>958.63104699999997</v>
      </c>
      <c r="AA129" s="3">
        <f>694+(353.1-55)+(-0.35394+(-0.180081--0.02805))+0-0-0</f>
        <v>991.59402899999998</v>
      </c>
      <c r="AB129" s="3">
        <f>687+(355.8-55)+(-0.70074+(-0.362916--0.0561))+0-0-0</f>
        <v>986.79244399999993</v>
      </c>
      <c r="AC129" s="3">
        <f>686+(350.4-54)+(-1.39944+(-0.714816--0.11016))+0-0-0</f>
        <v>980.39590399999997</v>
      </c>
      <c r="AD129" s="2">
        <v>845.87543199999993</v>
      </c>
      <c r="AE129" s="3">
        <f>691+(356.1-54)+(0+(0-0))+0-0-0</f>
        <v>993.1</v>
      </c>
    </row>
    <row r="130" spans="1:31" s="2" customFormat="1" x14ac:dyDescent="0.3">
      <c r="A130">
        <v>91</v>
      </c>
      <c r="B130">
        <v>5</v>
      </c>
      <c r="C130">
        <v>6</v>
      </c>
      <c r="D130">
        <v>7</v>
      </c>
      <c r="E130">
        <v>1</v>
      </c>
      <c r="F130" s="3">
        <f>687+(323.8-53)+(-0.35037+(-0.165138--0.02703))+0-0-0</f>
        <v>957.31152199999997</v>
      </c>
      <c r="G130" s="3">
        <f>649+(330.2-52)+(-0.33099+(-0.168402--0.02652))+0-0-0</f>
        <v>926.72712799999999</v>
      </c>
      <c r="H130" s="3">
        <f>638+(312-51)+(0+(0-0))+0-0-0</f>
        <v>899</v>
      </c>
      <c r="I130" s="3">
        <f>635+(312.2-52)+(-1.61925+(-0.79611--0.1326))+0-0-0</f>
        <v>892.91723999999999</v>
      </c>
      <c r="J130" s="3">
        <f>635+(272.4-52)+(-0.6477+(-0.277848--0.05304))+0-0-0</f>
        <v>854.52749199999994</v>
      </c>
      <c r="K130" s="3">
        <f>631+(220.8-57.9)+(-2.25267+(-0.788256--0.206703))+0-0-0</f>
        <v>791.06577700000003</v>
      </c>
      <c r="L130" s="3">
        <f>593+(217.1-50)+(-2.11701+(-0.775047--0.1785))+0-0-0</f>
        <v>757.38644299999999</v>
      </c>
      <c r="M130" s="3">
        <f>559+(234.4-51)+(0.28509+(0.119544-0.02601))+0-0-0</f>
        <v>742.77862399999992</v>
      </c>
      <c r="N130" s="3">
        <f>554+(232.1-51)+(-0.28254+(-0.118371--0.02601))+0-0-0</f>
        <v>734.725099</v>
      </c>
      <c r="O130" s="3">
        <f>555+(236.5-49)+(0.84915+(0.361845-0.07497))+0-0-0</f>
        <v>743.63602500000002</v>
      </c>
      <c r="P130" s="3">
        <f>555+(261.2-47)+(0+(0-0))+0-0-0</f>
        <v>769.2</v>
      </c>
      <c r="Q130" s="3">
        <f>597+(280-50)+(0.91341+(0.4284-0.0765))+0-0-0</f>
        <v>828.26531</v>
      </c>
      <c r="R130" s="3">
        <f>621+(309.4-53)+(0.63342+(0.315588-0.05406))+0-0-0</f>
        <v>878.29494799999998</v>
      </c>
      <c r="S130" s="3">
        <f>622+(331.8-51)+(1.26888+(0.676872-0.10404))+0-0-0</f>
        <v>904.64171199999998</v>
      </c>
      <c r="T130" s="3">
        <f>623+(334.9-50)+(1.27092+(0.683196-0.102))+0-0-0</f>
        <v>909.752116</v>
      </c>
      <c r="U130" s="3">
        <f>629+(338.1-52)+(0.64158+(0.344862-0.05304))+0-0-0</f>
        <v>916.03340200000002</v>
      </c>
      <c r="V130" s="3">
        <f>631+(320.1-51)+(-0.32181+(-0.163251--0.02601))+0-0-0</f>
        <v>899.64094899999998</v>
      </c>
      <c r="W130" s="3">
        <f>643+(256.4-62.3)+(0.65586+(0.261528-0.063546))+0-0-0</f>
        <v>837.9538419999999</v>
      </c>
      <c r="X130" s="3">
        <f>660+(188.4-76.4)+(-0.3366+(-0.096084--0.038964))+0-0-0</f>
        <v>771.60627999999997</v>
      </c>
      <c r="Y130" s="3">
        <f>672+(237.9-60.4)+(-1.37088+(-0.485316--0.123216))+0-0-0</f>
        <v>847.76702</v>
      </c>
      <c r="Z130" s="3">
        <f>687+(317-54)+(0+(0-0))+0-0-0</f>
        <v>950</v>
      </c>
      <c r="AA130" s="3">
        <f>704+(338.8-53)+(-1.7952+(-0.86394--0.13515))+0-0-0</f>
        <v>987.27600999999993</v>
      </c>
      <c r="AB130" s="3">
        <f>709+(340.3-51)+(0+(0-0))+0-0-0</f>
        <v>998.3</v>
      </c>
      <c r="AC130" s="3">
        <f>708+(319.8-50)+(1.08324+(0.489294-0.0765))+0-0-0</f>
        <v>979.29603399999996</v>
      </c>
      <c r="AD130" s="2">
        <v>822.88011699999993</v>
      </c>
      <c r="AE130" s="3">
        <f>703+(341.1-55)+(0+(0-0))+0-0-0</f>
        <v>989.1</v>
      </c>
    </row>
    <row r="131" spans="1:31" s="2" customFormat="1" x14ac:dyDescent="0.3">
      <c r="A131">
        <v>91</v>
      </c>
      <c r="B131">
        <v>5</v>
      </c>
      <c r="C131">
        <v>7</v>
      </c>
      <c r="D131">
        <v>1</v>
      </c>
      <c r="E131">
        <v>1</v>
      </c>
      <c r="F131" s="3">
        <f>701+(304.5-50)+(-1.43004+(-0.62118--0.102))+0-0-0</f>
        <v>953.55078000000003</v>
      </c>
      <c r="G131" s="3">
        <f>701+(263.2-58.7)+(-1.78755+(-0.67116--0.149685))+0-0-0</f>
        <v>903.19097499999998</v>
      </c>
      <c r="H131" s="3">
        <f>641+(296.4-51)+(-2.28837+(-1.058148--0.18207))+0-0-0</f>
        <v>883.23555199999998</v>
      </c>
      <c r="I131" s="3">
        <f>626+(303.6-52)+(0+(0-0))+0-0-0</f>
        <v>877.6</v>
      </c>
      <c r="J131" s="3">
        <f>622+(265-51)+(-1.5861+(-0.67575--0.13005))+0-0-0</f>
        <v>833.8682</v>
      </c>
      <c r="K131" s="3">
        <f>623+(214.2-50)+(-1.90638+(-0.655452--0.153))+0-0-0</f>
        <v>784.79116800000008</v>
      </c>
      <c r="L131" s="3">
        <f>622+(179.9-61.7)+(0+(0-0))+0-0-0</f>
        <v>740.2</v>
      </c>
      <c r="M131" s="3">
        <f>621+(183.2-63.1)+(0+(0-0))+0-0-0</f>
        <v>741.1</v>
      </c>
      <c r="N131" s="3">
        <f>613+(211.4-56.6)+(-0.31263+(-0.107814--0.028866))+0-0-0</f>
        <v>767.40842199999997</v>
      </c>
      <c r="O131" s="3">
        <f>614+(222.2-50.6)+(-0.93942+(-0.339966--0.077418))+0-0-0</f>
        <v>784.39803200000006</v>
      </c>
      <c r="P131" s="3">
        <f>616+(232.1-41.2)+(0+(0-0))+0-0-0</f>
        <v>806.9</v>
      </c>
      <c r="Q131" s="3">
        <f>616+(288.2-45)+(0.94248+(0.440946-0.06885))+0-0-0</f>
        <v>860.51457600000003</v>
      </c>
      <c r="R131" s="3">
        <f>626+(340.8-54)+(0.63852+(0.347616-0.05508))+0-0-0</f>
        <v>913.73105599999997</v>
      </c>
      <c r="S131" s="3">
        <f>668+(329.2-52)+(0+(0-0))+0-0-0</f>
        <v>945.2</v>
      </c>
      <c r="T131" s="3">
        <f>676+(336.1-51)+(0.34476+(0.171411-0.02601))+0-0-0</f>
        <v>961.59016099999997</v>
      </c>
      <c r="U131" s="3">
        <f>681+(325.2-51)+(0+(0-0))+0-0-0</f>
        <v>955.2</v>
      </c>
      <c r="V131" s="3">
        <f>686+(287.1-58.4)+(0.34986+(0.146421-0.029784))+0-0-0</f>
        <v>915.16649700000005</v>
      </c>
      <c r="W131" s="3">
        <f>684+(240-64.3)+(0.34884+(0.1224-0.032793))+0-0-0</f>
        <v>860.13844700000004</v>
      </c>
      <c r="X131" s="3">
        <f>681+(182.5-72.1)+(0.34731+(0.093075-0.036771))+0-0-0</f>
        <v>791.80361399999992</v>
      </c>
      <c r="Y131" s="3">
        <f>654+(250.8-51)+(0.66708+(0.255816-0.05202))+0-0-0</f>
        <v>854.67087599999991</v>
      </c>
      <c r="Z131" s="3">
        <f>674+(335.1-52)+(0+(0-0))+0-0-0</f>
        <v>957.1</v>
      </c>
      <c r="AA131" s="3">
        <f>710+(319.7-49)+(-1.4484+(-0.652188--0.09996))+0-0-0</f>
        <v>978.69937200000004</v>
      </c>
      <c r="AB131" s="3">
        <f>709+(329.6-46)+(0+(0-0))+0-0-0</f>
        <v>992.6</v>
      </c>
      <c r="AC131" s="3">
        <f>709+(321.4-46)+(0.36159+(0.163914-0.02346))+0-0-0</f>
        <v>984.90204399999993</v>
      </c>
      <c r="AD131" s="2">
        <v>802.49052099999994</v>
      </c>
      <c r="AE131" s="3">
        <f>711+(352.4-48)+(0+(0-0))+0-0-0</f>
        <v>1015.4</v>
      </c>
    </row>
    <row r="132" spans="1:31" s="2" customFormat="1" x14ac:dyDescent="0.3">
      <c r="A132">
        <v>91</v>
      </c>
      <c r="B132">
        <v>5</v>
      </c>
      <c r="C132">
        <v>8</v>
      </c>
      <c r="D132">
        <v>2</v>
      </c>
      <c r="E132">
        <v>1</v>
      </c>
      <c r="F132" s="3">
        <f>695+(286.3-47)+(0.7089+(0.292026-0.04794))+0-0-0</f>
        <v>935.25298599999996</v>
      </c>
      <c r="G132" s="3">
        <f>675+(275.6-48)+(-1.03275+(-0.421668--0.07344))+0-0-0</f>
        <v>901.219022</v>
      </c>
      <c r="H132" s="3">
        <f>673+(256.4-54.4)+(0+(0-0))+0-0-0</f>
        <v>875</v>
      </c>
      <c r="I132" s="3">
        <f>675+(249.2-57.9)+(-0.6885+(-0.254184--0.059058))+0-0-0</f>
        <v>865.41637399999991</v>
      </c>
      <c r="J132" s="3">
        <f>674+(220.8-64.4)+(-1.37496+(-0.450432--0.131376))+0-0-0</f>
        <v>828.70598399999994</v>
      </c>
      <c r="K132" s="3">
        <f>674+(176.4-74.4)+(-1.7187+(-0.44982--0.18972))+0-0-0</f>
        <v>774.02120000000002</v>
      </c>
      <c r="L132" s="3">
        <f>615+(179.5-66.7)+(-0.6273+(-0.18309--0.068034))+0-0-0</f>
        <v>727.05764399999998</v>
      </c>
      <c r="M132" s="3">
        <f>550+(218.3-53.1)+(0.2805+(0.111333-0.027081))+0-0-0</f>
        <v>715.564752</v>
      </c>
      <c r="N132" s="3">
        <f>531+(258.5-51)+(0.54162+(0.26367-0.05202))+0-0-0</f>
        <v>739.25327000000004</v>
      </c>
      <c r="O132" s="3">
        <f>531+(287.4-45)+(0.81243+(0.439722-0.06885))+0-0-0</f>
        <v>774.583302</v>
      </c>
      <c r="P132" s="3">
        <f>592+(262.1-47)+(0.60384+(0.267342-0.04794))+0-0-0</f>
        <v>807.92324200000007</v>
      </c>
      <c r="Q132" s="3">
        <f>596+(319.1-50)+(1.21584+(0.650964-0.102))+0-0-0</f>
        <v>866.86480400000005</v>
      </c>
      <c r="R132" s="3">
        <f>616+(364.6-52)+(0.94248+(0.557838-0.07956))+0-0-0</f>
        <v>930.020758</v>
      </c>
      <c r="S132" s="3">
        <f>650+(363.2-49)+(0.9945+(0.555696-0.07497))+0-0-0</f>
        <v>965.67522600000007</v>
      </c>
      <c r="T132" s="3">
        <f>694+(325.5-52)+(-0.70788+(-0.33201--0.05304))+0-0-0</f>
        <v>966.51315</v>
      </c>
      <c r="U132" s="3">
        <f>707+(301.7-51)+(0.72114+(0.307734-0.05202))+0-0-0</f>
        <v>958.67685400000005</v>
      </c>
      <c r="V132" s="3">
        <f>694+(273.3-55)+(0+(0-0))+0-0-0</f>
        <v>912.3</v>
      </c>
      <c r="W132" s="3">
        <f>693+(220.2-64.7)+(0+(0-0))+0-0-0</f>
        <v>848.5</v>
      </c>
      <c r="X132" s="3">
        <f>697+(174.9-71)+(0.35547+(0.089199-0.03621))+0-0-0</f>
        <v>801.30845899999997</v>
      </c>
      <c r="Y132" s="3">
        <f>701+(220.4-57.9)+(1.07253+(0.337212-0.088587))+0-0-0</f>
        <v>864.82115499999998</v>
      </c>
      <c r="Z132" s="3">
        <f>714+(293.3-57)+(0+(0-0))+0-0-0</f>
        <v>950.3</v>
      </c>
      <c r="AA132" s="3">
        <f>718+(321.2-55)+(-2.56326+(-1.146684--0.19635))+0-0-0</f>
        <v>980.68640600000003</v>
      </c>
      <c r="AB132" s="3">
        <f>739+(306-52)+(-1.13067+(-0.46818--0.07956))+0-0-0</f>
        <v>991.48071000000004</v>
      </c>
      <c r="AC132" s="3">
        <f>741+(292.9-52)+(0.37791+(0.149379-0.02652))+0-0-0</f>
        <v>982.40076899999997</v>
      </c>
      <c r="AD132" s="2">
        <v>813.85289699999998</v>
      </c>
      <c r="AE132" s="3">
        <f>714+(325.7-55)+(0+(0-0))+0-0-0</f>
        <v>984.7</v>
      </c>
    </row>
    <row r="133" spans="1:31" s="2" customFormat="1" x14ac:dyDescent="0.3">
      <c r="A133">
        <v>91</v>
      </c>
      <c r="B133">
        <v>5</v>
      </c>
      <c r="C133">
        <v>9</v>
      </c>
      <c r="D133">
        <v>3</v>
      </c>
      <c r="E133">
        <v>1</v>
      </c>
      <c r="F133" s="3">
        <f>738+(267-51)+(-0.75276+(-0.27234--0.05202))+0-0-0</f>
        <v>953.02692000000002</v>
      </c>
      <c r="G133" s="3">
        <f>715+(258-50)+(-1.4586+(-0.52632--0.102))+0-0-0</f>
        <v>921.11707999999999</v>
      </c>
      <c r="H133" s="3">
        <f>697+(237.5-51)+(-1.06641+(-0.363375--0.07803))+0-0-0</f>
        <v>882.14824499999997</v>
      </c>
      <c r="I133" s="3">
        <f>697+(224.8-53.4)+(-0.35547+(-0.114648--0.027234))+0-0-0</f>
        <v>867.95711599999993</v>
      </c>
      <c r="J133" s="3">
        <f>691+(199.3-59.2)+(-1.40964+(-0.406572--0.120768))+0-0-0</f>
        <v>829.40455600000007</v>
      </c>
      <c r="K133" s="3">
        <f>628+(203.2-52)+(-0.96084+(-0.310896--0.07956))+0-0-0</f>
        <v>778.00782400000003</v>
      </c>
      <c r="L133" s="3">
        <f>626+(150.9-57)+(0+(0-0))+0-0-0</f>
        <v>719.9</v>
      </c>
      <c r="M133" s="3">
        <f>624+(157.4-58.1)+(0.95472+(0.240822-0.088893))+0-0-0</f>
        <v>724.4066489999999</v>
      </c>
      <c r="N133" s="3">
        <f>622+(186.3-51.9)+(0.31722+(0.095013-0.026469))+0-0-0</f>
        <v>756.78576399999997</v>
      </c>
      <c r="O133" s="3">
        <f>622+(194.4-46)+(0.31722+(0.099144-0.02346))+0-0-0</f>
        <v>770.79290400000002</v>
      </c>
      <c r="P133" s="3">
        <f>632+(220.2-47)+(1.28928+(0.449208-0.09588))+0-0-0</f>
        <v>806.84260800000004</v>
      </c>
      <c r="Q133" s="3">
        <f>619+(303.1-52)+(0.94707+(0.463743-0.07956))+0-0-0</f>
        <v>871.43125299999997</v>
      </c>
      <c r="R133" s="3">
        <f>644+(353.4-52)+(-1.31376+(-0.720936--0.10608))+0-0-0</f>
        <v>943.47138399999994</v>
      </c>
      <c r="S133" s="3">
        <f>717+(296.2-51)+(-1.09701+(-0.453186--0.07803))+0-0-0</f>
        <v>960.72783400000003</v>
      </c>
      <c r="T133" s="3">
        <f>758+(263.5-51)+(1.15974+(0.403155-0.07803))+0-0-0</f>
        <v>971.98486500000001</v>
      </c>
      <c r="U133" s="3">
        <f>761+(255.4-55.4)+(0.77622+(0.260508-0.056508))+0-0-0</f>
        <v>961.98022000000003</v>
      </c>
      <c r="V133" s="3">
        <f>746+(229.2-59.3)+(0.38046+(0.116892-0.030243))+0-0-0</f>
        <v>916.36710900000003</v>
      </c>
      <c r="W133" s="3">
        <f>688+(222.4-54.2)+(-0.35088+(-0.113424--0.027642))+0-0-0</f>
        <v>855.76333800000009</v>
      </c>
      <c r="X133" s="3">
        <f>664+(199-56.4)+(0.67728+(0.20298-0.057528))+0-0-0</f>
        <v>807.422732</v>
      </c>
      <c r="Y133" s="3">
        <f>669+(236.7-53)+(1.36476+(0.482868-0.10812))+0-0-0</f>
        <v>854.43950800000005</v>
      </c>
      <c r="Z133" s="3">
        <f>714+(301-52)+(0.36414+(0.15351-0.02652))+0-0-0</f>
        <v>963.49113</v>
      </c>
      <c r="AA133" s="3">
        <f>722+(316.8-53)+(-1.47288+(-0.646272--0.10812))+0-0-0</f>
        <v>983.78896799999995</v>
      </c>
      <c r="AB133" s="3">
        <f>709+(333.8-52)+(0.72318+(0.340476-0.05304))+0-0-0</f>
        <v>991.81061599999998</v>
      </c>
      <c r="AC133" s="3">
        <f>688+(338.2-52)+(0+(0-0))+0-0-0</f>
        <v>974.2</v>
      </c>
      <c r="AD133" s="2">
        <v>821.71886299999994</v>
      </c>
      <c r="AE133" s="3">
        <f>710+(334.8-55)+(0+(0-0))+0-0-0</f>
        <v>989.8</v>
      </c>
    </row>
    <row r="134" spans="1:31" s="2" customFormat="1" x14ac:dyDescent="0.3">
      <c r="A134">
        <v>91</v>
      </c>
      <c r="B134">
        <v>5</v>
      </c>
      <c r="C134">
        <v>10</v>
      </c>
      <c r="D134">
        <v>4</v>
      </c>
      <c r="E134">
        <v>1</v>
      </c>
      <c r="F134" s="3">
        <f>639+(354.9-51)+(-0.97767+(-0.542997--0.07803))+0-0-0</f>
        <v>941.45736299999999</v>
      </c>
      <c r="G134" s="3">
        <f>599+(360.1-50)+(-0.61098+(-0.367302--0.051))+0-0-0</f>
        <v>908.17271800000003</v>
      </c>
      <c r="H134" s="3">
        <f>588+(348.4-50)+(-0.29988+(-0.177684--0.0255))+0-0-0</f>
        <v>885.94793600000003</v>
      </c>
      <c r="I134" s="3">
        <f>588+(338.6-50)+(-0.59976+(-0.345372--0.051))+0-0-0</f>
        <v>875.70586800000001</v>
      </c>
      <c r="J134" s="3">
        <f>588+(299.1-49)+(0.59976+(0.305082-0.04998))+0-0-0</f>
        <v>838.95486200000005</v>
      </c>
      <c r="K134" s="3">
        <f>581+(245.7-48)+(0.29631+(0.125307-0.02448))+0-0-0</f>
        <v>779.09713700000009</v>
      </c>
      <c r="L134" s="3">
        <f>543+(249.2-50)+(-0.83079+(-0.381276--0.0765))+0-0-0</f>
        <v>741.06443400000001</v>
      </c>
      <c r="M134" s="3">
        <f>542+(252.4-52)+(0.27642+(0.128724-0.02652))+0-0-0</f>
        <v>742.77862399999992</v>
      </c>
      <c r="N134" s="3">
        <f>542+(251.3-50)+(0.55284+(0.256326-0.051))+0-0-0</f>
        <v>744.05816599999991</v>
      </c>
      <c r="O134" s="3">
        <f>571+(256.4-48)+(0.58242+(0.261528-0.04896))+0-0-0</f>
        <v>780.19498799999997</v>
      </c>
      <c r="P134" s="3">
        <f>617+(249.7-44)+(0.31467+(0.127347-0.02244))+0-0-0</f>
        <v>823.11957700000005</v>
      </c>
      <c r="Q134" s="3">
        <f>650+(263.4-43)+(0.663+(0.268668-0.04386))+0-0-0</f>
        <v>871.28780799999993</v>
      </c>
      <c r="R134" s="3">
        <f>654+(331.6-47)+(0.33354+(0.169116-0.02397))+0-0-0</f>
        <v>939.07868600000006</v>
      </c>
      <c r="S134" s="3">
        <f>668+(323.1-51)+(0.34068+(0.164781-0.02601))+0-0-0</f>
        <v>940.57945100000006</v>
      </c>
      <c r="T134" s="3">
        <f>709+(293.2-50)+(0.36159+(0.149532-0.0255))+0-0-0</f>
        <v>952.68562200000008</v>
      </c>
      <c r="U134" s="3">
        <f>716+(284.8-50)+(-1.09548+(-0.435744--0.0765))+0-0-0</f>
        <v>949.3452759999999</v>
      </c>
      <c r="V134" s="3">
        <f>709+(270.3-57.5)+(0.36159+(0.137853-0.029325))+0-0-0</f>
        <v>922.27011799999991</v>
      </c>
      <c r="W134" s="3">
        <f>705+(231.2-56.2)+(-0.7191+(-0.235824--0.057324))+0-0-0</f>
        <v>879.10239999999999</v>
      </c>
      <c r="X134" s="3">
        <f>702+(182.3-68.8)+(-1.07406+(-0.278919--0.105264))+0-0-0</f>
        <v>814.25228500000003</v>
      </c>
      <c r="Y134" s="3">
        <f>705+(226.2-53.6)+(0.7191+(0.230724-0.054672))+0-0-0</f>
        <v>878.49515200000008</v>
      </c>
      <c r="Z134" s="3">
        <f>704+(326.1-53)+(0.71808+(0.332622-0.05406))+0-0-0</f>
        <v>978.09664199999997</v>
      </c>
      <c r="AA134" s="3">
        <f>718+(341.1-56)+(-0.73236+(-0.347922--0.05712))+0-0-0</f>
        <v>1002.0768380000001</v>
      </c>
      <c r="AB134" s="3">
        <f>725+(331.9-53)+(0.36975+(0.169269-0.02703))+0-0-0</f>
        <v>1004.4119889999999</v>
      </c>
      <c r="AC134" s="3">
        <f>710+(350.5-51)+(1.8105+(0.893775-0.13005))+0-0-0</f>
        <v>1012.074225</v>
      </c>
      <c r="AD134" s="2">
        <v>808.07492200000002</v>
      </c>
      <c r="AE134" s="3">
        <f>720+(361.7-56)+(0+(0-0))+0-0-0</f>
        <v>1025.7</v>
      </c>
    </row>
    <row r="135" spans="1:31" s="2" customFormat="1" x14ac:dyDescent="0.3">
      <c r="A135">
        <v>91</v>
      </c>
      <c r="B135">
        <v>5</v>
      </c>
      <c r="C135">
        <v>11</v>
      </c>
      <c r="D135">
        <v>5</v>
      </c>
      <c r="E135">
        <v>1</v>
      </c>
      <c r="F135" s="3">
        <f>697+(316.9-52)+(1.06641+(0.484857-0.07956))+0-0-0</f>
        <v>963.37170700000001</v>
      </c>
      <c r="G135" s="3">
        <f>628+(348.7-50)+(-0.32028+(-0.177837--0.0255))+0-0-0</f>
        <v>926.22738300000003</v>
      </c>
      <c r="H135" s="3">
        <f>595+(345.8-51)+(0.6069+(0.352716-0.05202))+0-0-0</f>
        <v>890.70759599999997</v>
      </c>
      <c r="I135" s="3">
        <f>595+(342.3-50)+(0.6069+(0.349146-0.051))+0-0-0</f>
        <v>888.20504599999992</v>
      </c>
      <c r="J135" s="3">
        <f>594+(304.3-50)+(1.21176+(0.620772-0.102))+0-0-0</f>
        <v>850.03053199999999</v>
      </c>
      <c r="K135" s="3">
        <f>539+(315.3-51)+(-1.64934+(-0.964818--0.15606))+0-0-0</f>
        <v>800.841902</v>
      </c>
      <c r="L135" s="3">
        <f>542+(270.7-51)+(-1.3821+(-0.690285--0.13005))+0-0-0</f>
        <v>759.75766500000009</v>
      </c>
      <c r="M135" s="3">
        <f>543+(271.3-51)+(0+(0-0))+0-0-0</f>
        <v>763.3</v>
      </c>
      <c r="N135" s="3">
        <f>575+(255.3-51)+(-0.29325+(-0.130203--0.02601))+0-0-0</f>
        <v>778.902557</v>
      </c>
      <c r="O135" s="3">
        <f>598+(249-44)+(0+(0-0))+0-0-0</f>
        <v>803</v>
      </c>
      <c r="P135" s="3">
        <f>601+(273.4-46)+(0.91953+(0.418302-0.07038))+0-0-0</f>
        <v>829.66745200000003</v>
      </c>
      <c r="Q135" s="3">
        <f>673+(266-47)+(1.02969+(0.40698-0.07191))+0-0-0</f>
        <v>893.36476000000005</v>
      </c>
      <c r="R135" s="3">
        <f>684+(305-50)+(-0.69768+(-0.3111--0.051))+0-0-0</f>
        <v>938.04222000000004</v>
      </c>
      <c r="S135" s="3">
        <f>683+(336.8-52)+(-0.34833+(-0.171768--0.02652))+0-0-0</f>
        <v>967.306422</v>
      </c>
      <c r="T135" s="3">
        <f>686+(338.9-51)+(-1.39944+(-0.691356--0.10404))+0-0-0</f>
        <v>971.91324399999996</v>
      </c>
      <c r="U135" s="3">
        <f>699+(320.2-49)+(-1.06947+(-0.489906--0.07497))+0-0-0</f>
        <v>968.71559400000001</v>
      </c>
      <c r="V135" s="3">
        <f>708+(279.5-56.9)+(0+(0-0))+0-0-0</f>
        <v>930.6</v>
      </c>
      <c r="W135" s="3">
        <f>715+(217.3-70.1)+(1.09395+(0.332469-0.107253))+0-0-0</f>
        <v>863.51916600000004</v>
      </c>
      <c r="X135" s="3">
        <f>699+(197.5-76.6)+(1.06947+(0.302175-0.117198))+0-0-0</f>
        <v>821.154447</v>
      </c>
      <c r="Y135" s="3">
        <f>701+(225.7-56.6)+(1.43004+(0.460428-0.115464))+0-0-0</f>
        <v>871.87500399999999</v>
      </c>
      <c r="Z135" s="3">
        <f>730+(298-55)+(0.7446+(0.30396-0.0561))+0-0-0</f>
        <v>973.99246000000005</v>
      </c>
      <c r="AA135" s="3">
        <f>732+(334.6-55)+(-1.49328+(-0.682584--0.1122))+0-0-0</f>
        <v>1009.536336</v>
      </c>
      <c r="AB135" s="3">
        <f>717+(345-52)+(-0.36567+(-0.17595--0.02652))+0-0-0</f>
        <v>1009.4849</v>
      </c>
      <c r="AC135" s="3">
        <f>717+(331-50)+(-0.36567+(-0.16881--0.0255))+0-0-0</f>
        <v>997.49102000000005</v>
      </c>
      <c r="AD135" s="2">
        <v>815.2</v>
      </c>
      <c r="AE135" s="3">
        <f>733+(321.1-55)+(0+(0-0))+0-0-0</f>
        <v>999.1</v>
      </c>
    </row>
    <row r="136" spans="1:31" s="2" customFormat="1" x14ac:dyDescent="0.3">
      <c r="A136">
        <v>91</v>
      </c>
      <c r="B136">
        <v>5</v>
      </c>
      <c r="C136">
        <v>12</v>
      </c>
      <c r="D136">
        <v>6</v>
      </c>
      <c r="E136">
        <v>1</v>
      </c>
      <c r="F136" s="3">
        <f>685+(341.5-53)+(0.34935+(0.174165-0.02703))+0-0-0</f>
        <v>973.99648500000001</v>
      </c>
      <c r="G136" s="3">
        <f>652+(331.2-53)+(0.99756+(0.506736-0.08109))+0-0-0</f>
        <v>931.6232060000001</v>
      </c>
      <c r="H136" s="3">
        <f>652+(301.2-52)+(0.33252+(0.153612-0.02652))+0-0-0</f>
        <v>901.65961200000004</v>
      </c>
      <c r="I136" s="3">
        <f>653+(287.3-50)+(0.66606+(0.293046-0.051))+0-0-0</f>
        <v>891.20810599999993</v>
      </c>
      <c r="J136" s="3">
        <f>655+(248.1-50)+(-0.6681+(-0.253062--0.051))+0-0-0</f>
        <v>852.22983799999997</v>
      </c>
      <c r="K136" s="3">
        <f>644+(207.5-53)+(-1.31376+(-0.4233--0.10812))+0-0-0</f>
        <v>796.87105999999994</v>
      </c>
      <c r="L136" s="3">
        <f>574+(205.5-56)+(-1.75644+(-0.62883--0.17136))+0-0-0</f>
        <v>721.28608999999994</v>
      </c>
      <c r="M136" s="3">
        <f>551+(237.2-55)+(1.12404+(0.483888-0.1122))+0-0-0</f>
        <v>734.69572800000003</v>
      </c>
      <c r="N136" s="3">
        <f>562+(246.5-53)+(1.71972+(0.75429-0.16218))+0-0-0</f>
        <v>757.81182999999999</v>
      </c>
      <c r="O136" s="3">
        <f>592+(225.7-54.5)+(0.90576+(0.345321-0.083385))+0-0-0</f>
        <v>764.36769600000002</v>
      </c>
      <c r="P136" s="3">
        <f>628+(230.7-55.4)+(0.64056+(0.235314-0.056508))+0-0-0</f>
        <v>804.1193659999999</v>
      </c>
      <c r="Q136" s="3">
        <f>629+(256.8-26.9)+(0.32079+(0.130968-0.013719))+0-0-0</f>
        <v>859.33803899999998</v>
      </c>
      <c r="R136" s="3">
        <f>644+(306.1-38)+(0.32844+(0.156111-0.01938))+0-0-0</f>
        <v>912.56517100000008</v>
      </c>
      <c r="S136" s="3">
        <f>669+(344.8-51)+(-2.04714+(-1.055088--0.15606))+0-0-0</f>
        <v>959.85383200000001</v>
      </c>
      <c r="T136" s="3">
        <f>674+(343.3-45)+(-1.7187+(-0.875415--0.11475))+0-0-0</f>
        <v>969.82063499999992</v>
      </c>
      <c r="U136" s="3">
        <f>689+(326.1-47)+(-0.35139+(-0.166311--0.02397))+0-0-0</f>
        <v>967.606269</v>
      </c>
      <c r="V136" s="3">
        <f>699+(281.4-55.6)+(-1.06947+(-0.430542--0.085068))+0-0-0</f>
        <v>923.38505599999996</v>
      </c>
      <c r="W136" s="3">
        <f>710+(223-71.5)+(-1.8105+(-0.56865--0.182325))+0-0-0</f>
        <v>859.30317500000001</v>
      </c>
      <c r="X136" s="3">
        <f>676+(188.7-69.8)+(-1.03428+(-0.288711--0.106794))+0-0-0</f>
        <v>793.68380300000001</v>
      </c>
      <c r="Y136" s="3">
        <f>647+(272.7-53)+(0+(0-0))+0-0-0</f>
        <v>866.7</v>
      </c>
      <c r="Z136" s="3">
        <f>705+(319.6-55)+(0.7191+(0.325992-0.0561))+0-0-0</f>
        <v>970.58899200000008</v>
      </c>
      <c r="AA136" s="3">
        <f>704+(346.2-55)+(-0.71808+(-0.353124--0.0561))+0-0-0</f>
        <v>994.18489600000009</v>
      </c>
      <c r="AB136" s="3">
        <f>699+(345.7-53)+(-1.06947+(-0.528921--0.08109))+0-0-0</f>
        <v>990.18269900000007</v>
      </c>
      <c r="AC136" s="3">
        <f>699+(342.7-51)+(-1.06947+(-0.524331--0.07803))+0-0-0</f>
        <v>989.18422900000007</v>
      </c>
      <c r="AD136" s="2">
        <v>819.58180000000004</v>
      </c>
      <c r="AE136" s="3">
        <f>705+(344.2-55)+(0+(0-0))+0-0-0</f>
        <v>994.2</v>
      </c>
    </row>
    <row r="137" spans="1:31" s="2" customFormat="1" x14ac:dyDescent="0.3">
      <c r="A137">
        <v>91</v>
      </c>
      <c r="B137">
        <v>5</v>
      </c>
      <c r="C137">
        <v>13</v>
      </c>
      <c r="D137">
        <v>7</v>
      </c>
      <c r="E137">
        <v>1</v>
      </c>
      <c r="F137" s="3">
        <f>688+(311.3-52)+(-1.05264+(-0.476289--0.07956))+0-0-0</f>
        <v>945.85063099999991</v>
      </c>
      <c r="G137" s="3">
        <f>634+(338.6-51)+(0.32334+(0.172686-0.02601))+0-0-0</f>
        <v>922.07001600000001</v>
      </c>
      <c r="H137" s="3">
        <f>613+(331.3-51)+(0+(0-0))+0-0-0</f>
        <v>893.3</v>
      </c>
      <c r="I137" s="3">
        <f>612+(323.4-52)+(-0.62424+(-0.329868--0.05304))+0-0-0</f>
        <v>882.49893199999997</v>
      </c>
      <c r="J137" s="3">
        <f>609+(285.1-53)+(-0.93177+(-0.436203--0.08109))+0-0-0</f>
        <v>839.81311700000003</v>
      </c>
      <c r="K137" s="3">
        <f>608+(234.3-53)+(-1.24032+(-0.477972--0.10812))+0-0-0</f>
        <v>787.68982799999992</v>
      </c>
      <c r="L137" s="3">
        <f>561+(235.7-53)+(-1.43055+(-0.601035--0.13515))+4.2-0-0</f>
        <v>746.00356500000009</v>
      </c>
      <c r="M137" s="3">
        <f>539+(230.7-53)+(-0.54978+(-0.235314--0.05406))+21-0-0</f>
        <v>736.96896600000002</v>
      </c>
      <c r="N137" s="3">
        <f>538+(225.8-52)+(-0.82314+(-0.345474--0.07956))+21-0-0</f>
        <v>731.71094599999992</v>
      </c>
      <c r="O137" s="3">
        <f>538+(248.9-51)+(0+(0-0))+3.5-0-0</f>
        <v>739.4</v>
      </c>
      <c r="P137" s="3">
        <f>603+(215.9-52)+(0.92259+(0.330327-0.07956))+0-0-0</f>
        <v>768.07335699999999</v>
      </c>
      <c r="Q137" s="3">
        <f>647+(226.5-52)+(-0.65994+(-0.23103--0.05304))+0-0-0</f>
        <v>820.66206999999997</v>
      </c>
      <c r="R137" s="3">
        <f>661+(271.5-51)+(0.33711+(0.138465-0.02601))+0-0-0</f>
        <v>881.94956500000001</v>
      </c>
      <c r="S137" s="3">
        <f>680+(284.8-50)+(-0.3468+(-0.145248--0.0255))+0-0-0</f>
        <v>914.33345199999997</v>
      </c>
      <c r="T137" s="3">
        <f>681+(281.9-52)+(0.34731+(0.143769-0.02652))+0-0-0</f>
        <v>911.36455899999999</v>
      </c>
      <c r="U137" s="3">
        <f>682+(282.4-52)+(0.34782+(0.144024-0.02652))+0-0-0</f>
        <v>912.86532399999999</v>
      </c>
      <c r="V137" s="3">
        <f>684+(255.5-56.6)+(0.34884+(0.130305-0.028866))+0-0-0</f>
        <v>883.350279</v>
      </c>
      <c r="W137" s="3">
        <f>702+(208.4-70.9)+(-0.35802+(-0.106284--0.036159))+0-0-0</f>
        <v>839.07185500000003</v>
      </c>
      <c r="X137" s="3">
        <f>703+(175.6-82.4)+(0+(0-0))+0-0-0</f>
        <v>796.2</v>
      </c>
      <c r="Y137" s="3">
        <f>704+(222.7-58.3)+(-0.35904+(-0.113577--0.029733))+0-0-0</f>
        <v>867.95711599999993</v>
      </c>
      <c r="Z137" s="3">
        <f>704+(312.8-55)+(0.35904+(0.159528-0.02805))+0-0-0</f>
        <v>962.29051799999991</v>
      </c>
      <c r="AA137" s="3">
        <f>705+(339.8-51)+(-0.7191+(-0.346596--0.05202))+0-0-0</f>
        <v>992.78632399999992</v>
      </c>
      <c r="AB137" s="3">
        <f>705+(347.4-52)+(0.35955+(0.177174-0.02652))+0-0-0</f>
        <v>1000.910204</v>
      </c>
      <c r="AC137" s="3">
        <f>703+(345.3-52)+(-0.35853+(-0.176103--0.02652))+0-0-0</f>
        <v>995.79188699999997</v>
      </c>
      <c r="AD137" s="2">
        <v>813.12124000000006</v>
      </c>
      <c r="AE137" s="3">
        <f>706+(340-55)+(0+(0-0))+0-0-0</f>
        <v>991</v>
      </c>
    </row>
    <row r="138" spans="1:31" s="2" customFormat="1" x14ac:dyDescent="0.3">
      <c r="A138">
        <v>91</v>
      </c>
      <c r="B138">
        <v>5</v>
      </c>
      <c r="C138">
        <v>14</v>
      </c>
      <c r="D138">
        <v>1</v>
      </c>
      <c r="E138">
        <v>1</v>
      </c>
      <c r="F138" s="3">
        <f>672+(347.3-50)+(-0.34272+(-0.177123--0.0255))+0-0-0</f>
        <v>968.805657</v>
      </c>
      <c r="G138" s="3">
        <f>620+(366.7-50)+(-0.9486+(-0.561051--0.0765))+0-0-0</f>
        <v>935.26684900000009</v>
      </c>
      <c r="H138" s="3">
        <f>613+(356.7-51)+(0+(0-0))+0-0-0</f>
        <v>918.7</v>
      </c>
      <c r="I138" s="3">
        <f>613+(346.6-52)+(0.31263+(0.176766-0.02652))+0-0-0</f>
        <v>908.06287600000007</v>
      </c>
      <c r="J138" s="3">
        <f>607+(314.9-52)+(-1.23828+(-0.642396--0.10608))+0-0-0</f>
        <v>868.125404</v>
      </c>
      <c r="K138" s="3">
        <f>540+(336.2-51)+(-1.377+(-0.85731--0.13005))+0-0-0</f>
        <v>823.09574000000009</v>
      </c>
      <c r="L138" s="3">
        <f>540+(280.4-50)+(-0.5508+(-0.286008--0.051))+0-0-0</f>
        <v>769.614192</v>
      </c>
      <c r="M138" s="3">
        <f>541+(273.7-49)+(0+(0-0))+0-0-0</f>
        <v>765.7</v>
      </c>
      <c r="N138" s="3">
        <f>579+(246.2-48)+(0.29529+(0.125562-0.02448))+0-0-0</f>
        <v>777.59637200000009</v>
      </c>
      <c r="O138" s="3">
        <f>604+(229.7-46)+(0+(0-0))+0-0-0</f>
        <v>787.7</v>
      </c>
      <c r="P138" s="3">
        <f>604+(250.1-45)+(0.92412+(0.382653-0.06885))+0-0-0</f>
        <v>810.33792300000005</v>
      </c>
      <c r="Q138" s="3">
        <f>625+(285.5-44)+(-0.31875+(-0.145605--0.02244))+0-0-0</f>
        <v>866.05808500000001</v>
      </c>
      <c r="R138" s="3">
        <f>653+(315.7-54)+(0+(0-0))+0-0-0</f>
        <v>914.7</v>
      </c>
      <c r="S138" s="3">
        <f>716+(285.1-47)+(-0.36516+(-0.145401--0.02397))+0-0-0</f>
        <v>953.61340900000005</v>
      </c>
      <c r="T138" s="3">
        <f>749+(268.3-48)+(0.38199+(0.136833-0.02448))+0-0-0</f>
        <v>969.79434299999991</v>
      </c>
      <c r="U138" s="3">
        <f>757+(261.8-53)+(0.38607+(0.133518-0.02703))+0-0-0</f>
        <v>966.29255799999999</v>
      </c>
      <c r="V138" s="3">
        <f>761+(241.3-63.2)+(-1.55244+(-0.492252--0.128928))+0-0-0</f>
        <v>937.18423600000006</v>
      </c>
      <c r="W138" s="3">
        <f>739+(207.2-74.6)+(-1.50756+(-0.422688--0.152184))+0-0-0</f>
        <v>869.82193600000005</v>
      </c>
      <c r="X138" s="3">
        <f>735+(160.5-89.8)+(-1.87425+(-0.409275--0.22899))+0-0-0</f>
        <v>803.64546500000006</v>
      </c>
      <c r="Y138" s="3">
        <f>736+(197.6-64.9)+(0+(0-0))+0-0-0</f>
        <v>868.7</v>
      </c>
      <c r="Z138" s="3">
        <f>737+(280.4-49)+(1.12761+(0.429012-0.07497))+0-0-0</f>
        <v>969.88165200000003</v>
      </c>
      <c r="AA138" s="3">
        <f>737+(310.8-56)+(-2.25522+(-0.951048--0.17136))+0-0-0</f>
        <v>988.76509199999998</v>
      </c>
      <c r="AB138" s="3">
        <f>740+(307.4-51)+(-0.7548+(-0.313548--0.05202))+0-0-0</f>
        <v>995.38367199999993</v>
      </c>
      <c r="AC138" s="3">
        <f>703+(328-49)+(0.35853+(0.16728-0.02499))+0-0-0</f>
        <v>982.50081999999998</v>
      </c>
      <c r="AD138" s="2">
        <v>791.98105599999997</v>
      </c>
      <c r="AE138" s="3">
        <f>737+(313.2-54)+(0+(0-0))+0-0-0</f>
        <v>996.2</v>
      </c>
    </row>
    <row r="139" spans="1:31" s="2" customFormat="1" x14ac:dyDescent="0.3">
      <c r="A139">
        <v>91</v>
      </c>
      <c r="B139">
        <v>5</v>
      </c>
      <c r="C139">
        <v>15</v>
      </c>
      <c r="D139">
        <v>2</v>
      </c>
      <c r="E139">
        <v>1</v>
      </c>
      <c r="F139" s="3">
        <f>661+(328.7-52)+(0+(0-0))+0-0-0</f>
        <v>937.7</v>
      </c>
      <c r="G139" s="3">
        <f>610+(348.1-51)+(-0.3111+(-0.177531--0.02601))+0-0-0</f>
        <v>906.63737900000001</v>
      </c>
      <c r="H139" s="3">
        <f>558+(318.6-44)+(-0.56916+(-0.324972--0.04488))+32.4-0-0</f>
        <v>864.15074800000002</v>
      </c>
      <c r="I139" s="3">
        <f>596+(256.2-38)+(-0.30396+(-0.130662--0.01938))+32-0-0</f>
        <v>845.78475800000001</v>
      </c>
      <c r="J139" s="3">
        <f>607+(244.2-37)+(-1.23828+(-0.498168--0.07548))+8.6-0-0</f>
        <v>821.13903200000004</v>
      </c>
      <c r="K139" s="3">
        <f>614+(218.5-40)+(-0.62628+(-0.22287--0.0408))+0-0-0</f>
        <v>791.69164999999998</v>
      </c>
      <c r="L139" s="3">
        <f>614+(177.6-40)+(-0.62628+(-0.181152--0.0408))+0-0-0</f>
        <v>750.83336800000006</v>
      </c>
      <c r="M139" s="3">
        <f>615+(169.8-40)+(0.31365+(0.086598-0.0204))+0-0-0</f>
        <v>745.17984799999999</v>
      </c>
      <c r="N139" s="3">
        <f>639+(168.9-47.1)+(0.32589+(0.086139-0.024021))+0-0-0</f>
        <v>761.18800799999997</v>
      </c>
      <c r="O139" s="3">
        <f>665+(178.3-56.8)+(-0.33915+(-0.090933--0.028968))+0-0-0</f>
        <v>786.098885</v>
      </c>
      <c r="P139" s="3">
        <f>661+(205-49.3)+(-0.67422+(-0.2091--0.050286))+0-0-0</f>
        <v>815.86696600000005</v>
      </c>
      <c r="Q139" s="3">
        <f>705+(212.1-44.3)+(1.07865+(0.324513-0.067779))+0-0-0</f>
        <v>874.13538399999993</v>
      </c>
      <c r="R139" s="3">
        <f>744+(241.1-56.1)+(-0.75888+(-0.245922--0.057222))+0-0-0</f>
        <v>928.05241999999998</v>
      </c>
      <c r="S139" s="3">
        <f>761+(240.5-56.6)+(-1.16433+(-0.367965--0.086598))+0-0-0</f>
        <v>943.45430299999998</v>
      </c>
      <c r="T139" s="3">
        <f>765+(246.7-59)+(-1.17045+(-0.377451--0.09027))+0-0-0</f>
        <v>951.24236900000005</v>
      </c>
      <c r="U139" s="3">
        <f>766+(237.6-63.7)+(-0.78132+(-0.242352--0.064974))+0-0-0</f>
        <v>938.94130199999995</v>
      </c>
      <c r="V139" s="3">
        <f>759+(220.3-70.9)+(-0.38709+(-0.112353--0.036159))+16.3-0-0</f>
        <v>924.23671599999989</v>
      </c>
      <c r="W139" s="3">
        <f>678+(174.8-93)+(-1.38312+(-0.356592--0.18972))+98-0-0</f>
        <v>856.25000799999998</v>
      </c>
      <c r="X139" s="3">
        <f>685+(132-103.7)+(-2.0961+(-0.40392--0.317322))+98-0-0</f>
        <v>809.117302</v>
      </c>
      <c r="Y139" s="3">
        <f>725+(178-63.3)+(1.479+(0.36312-0.129132))+3.3-0-0</f>
        <v>844.712988</v>
      </c>
      <c r="Z139" s="3">
        <f>802+(220.5-61.9)+(1.63608+(0.44982-0.126276))+0-0-0</f>
        <v>962.55962399999999</v>
      </c>
      <c r="AA139" s="3">
        <f>803+(240.1-55.1)+(-1.63812+(-0.489804--0.112404))+0-0-0</f>
        <v>985.98447999999996</v>
      </c>
      <c r="AB139" s="3">
        <f>802+(240.8-59)+(0+(0-0))+0-0-0</f>
        <v>983.8</v>
      </c>
      <c r="AC139" s="3">
        <f>770+(263-55)+(-0.7854+(-0.26826--0.0561))+0-0-0</f>
        <v>977.00243999999998</v>
      </c>
      <c r="AD139" s="2">
        <v>796.47187599999995</v>
      </c>
      <c r="AE139" s="3">
        <f>805+(235-57.8)+(0+(0-0))+0-0-0</f>
        <v>982.2</v>
      </c>
    </row>
    <row r="140" spans="1:31" s="2" customFormat="1" x14ac:dyDescent="0.3">
      <c r="A140">
        <v>91</v>
      </c>
      <c r="B140">
        <v>5</v>
      </c>
      <c r="C140">
        <v>16</v>
      </c>
      <c r="D140">
        <v>3</v>
      </c>
      <c r="E140">
        <v>1</v>
      </c>
      <c r="F140" s="3">
        <f>746+(249.7-58.4)+(0+(0-0))+0-0-0</f>
        <v>937.3</v>
      </c>
      <c r="G140" s="3">
        <f>739+(222.3-63)+(0+(0-0))+0-0-0</f>
        <v>898.3</v>
      </c>
      <c r="H140" s="3">
        <f>638+(281.1-51)+(0.65076+(0.286722-0.05202))+0-0-0</f>
        <v>868.98546199999998</v>
      </c>
      <c r="I140" s="3">
        <f>635+(275.2-51)+(-0.6477+(-0.280704--0.05202))+0-0-0</f>
        <v>858.32361600000002</v>
      </c>
      <c r="J140" s="3">
        <f>635+(235.6-51)+(-1.61925+(-0.60078--0.13005))+0-0-0</f>
        <v>817.51002000000005</v>
      </c>
      <c r="K140" s="3">
        <f>636+(180.2-50)+(-1.6218+(-0.45951--0.1275))+0-0-0</f>
        <v>764.24619000000007</v>
      </c>
      <c r="L140" s="3">
        <f>633+(150.9-59.9)+(-0.32283+(-0.076959--0.030549))+0-0-0</f>
        <v>723.63076000000001</v>
      </c>
      <c r="M140" s="3">
        <f>631+(152-61.8)+(0.96543+(0.23256-0.094554))+0-0-0</f>
        <v>722.30343600000003</v>
      </c>
      <c r="N140" s="3">
        <f>630+(175.4-59.1)+(1.2852+(0.357816-0.120564))+0-0-0</f>
        <v>747.822452</v>
      </c>
      <c r="O140" s="3">
        <f>628+(173.9-51.9)+(0+(0-0))+0-0-0</f>
        <v>750</v>
      </c>
      <c r="P140" s="3">
        <f>625+(213.2-48)+(0.95625+(0.326196-0.07344))+0-0-0</f>
        <v>791.40900600000009</v>
      </c>
      <c r="Q140" s="3">
        <f>629+(262.5-50)+(0+(0-0))+0-0-0</f>
        <v>841.5</v>
      </c>
      <c r="R140" s="3">
        <f>660+(290.4-49)+(-0.3366+(-0.148104--0.02499))+0-0-0</f>
        <v>900.94028600000001</v>
      </c>
      <c r="S140" s="3">
        <f>667+(323.4-48)+(-1.02051+(-0.494802--0.07344))+0-0-0</f>
        <v>940.95812799999999</v>
      </c>
      <c r="T140" s="3">
        <f>667+(331.2-50)+(0+(0-0))+0-0-0</f>
        <v>948.2</v>
      </c>
      <c r="U140" s="3">
        <f>671+(323.5-50)+(-0.68442+(-0.32997--0.051))+0-0-0</f>
        <v>943.53661</v>
      </c>
      <c r="V140" s="3">
        <f>677+(270.6-51)+(-1.72635+(-0.69003--0.13005))+0-0-0</f>
        <v>894.31367</v>
      </c>
      <c r="W140" s="3">
        <f>690+(209.4-65.6)+(0+(0-0))+0-0-0</f>
        <v>833.8</v>
      </c>
      <c r="X140" s="3">
        <f>689+(161.3-79.9)+(-1.40556+(-0.329052--0.162996))+0-0-0</f>
        <v>768.82838400000003</v>
      </c>
      <c r="Y140" s="3">
        <f>685+(220.9-52.8)+(0+(0-0))+0-0-0</f>
        <v>853.1</v>
      </c>
      <c r="Z140" s="3">
        <f>733+(271.1-54)+(-0.37383+(-0.138261--0.02754))+0-0-0</f>
        <v>949.61544900000001</v>
      </c>
      <c r="AA140" s="3">
        <f>739+(295.4-59)+(-2.26134+(-0.903924--0.18054))+0-0-0</f>
        <v>972.41527599999995</v>
      </c>
      <c r="AB140" s="3">
        <f>736+(298.8-56)+(0.75072+(0.304776-0.05712))+0-0-0</f>
        <v>979.79837599999996</v>
      </c>
      <c r="AC140" s="3">
        <f>735+(283.8-55)+(0+(0-0))+0-0-0</f>
        <v>963.8</v>
      </c>
      <c r="AD140" s="2">
        <v>788.78345999999999</v>
      </c>
      <c r="AE140" s="3">
        <f>749+(274.5-56)+(0+(0-0))+0-0-0</f>
        <v>967.5</v>
      </c>
    </row>
    <row r="141" spans="1:31" s="2" customFormat="1" x14ac:dyDescent="0.3">
      <c r="A141">
        <v>91</v>
      </c>
      <c r="B141">
        <v>5</v>
      </c>
      <c r="C141">
        <v>17</v>
      </c>
      <c r="D141">
        <v>4</v>
      </c>
      <c r="E141">
        <v>1</v>
      </c>
      <c r="F141" s="3">
        <f>680+(296.1-53)+(1.0404+(0.453033-0.08109))+0-0-0</f>
        <v>924.51234299999999</v>
      </c>
      <c r="G141" s="3">
        <f>615+(320.3-52)+(-0.94095+(-0.490059--0.07956))+0-0-0</f>
        <v>881.94855099999995</v>
      </c>
      <c r="H141" s="3">
        <f>615+(304.2-51)+(0+(0-0))+0-0-0</f>
        <v>868.2</v>
      </c>
      <c r="I141" s="3">
        <f>615+(291.5-52)+(-0.31365+(-0.148665--0.02652))+0-0-0</f>
        <v>854.06420500000002</v>
      </c>
      <c r="J141" s="3">
        <f>614+(249.7-49)+(0.93942+(0.382041-0.07497))+0-0-0</f>
        <v>815.94649100000004</v>
      </c>
      <c r="K141" s="3">
        <f>551+(263.5-53)+(-1.40505+(-0.671925--0.13515))+0-0-0</f>
        <v>759.55817500000001</v>
      </c>
      <c r="L141" s="3">
        <f>547+(223.4-52)+(-1.39485+(-0.56967--0.1326))+0-0-0</f>
        <v>716.56808000000001</v>
      </c>
      <c r="M141" s="3">
        <f>547+(226.4-49)+(0+(0-0))+0-0-0</f>
        <v>724.4</v>
      </c>
      <c r="N141" s="3">
        <f>580+(210.6-51)+(0.8874+(0.322218-0.07803))+0-0-0</f>
        <v>740.73158799999999</v>
      </c>
      <c r="O141" s="3">
        <f>621+(199.7-58.4)+(1.58355+(0.509235-0.14892))+0-0-0</f>
        <v>764.24386499999991</v>
      </c>
      <c r="P141" s="3">
        <f>615+(239.4-48)+(0.94095+(0.366282-0.07344))+0-0-0</f>
        <v>807.63379199999997</v>
      </c>
      <c r="Q141" s="3">
        <f>629+(263-45)+(0.32079+(0.13413-0.02295))+0-0-0</f>
        <v>847.43196999999998</v>
      </c>
      <c r="R141" s="3">
        <f>657+(298.3-46)+(-0.33507+(-0.152133--0.02346))+0-0-0</f>
        <v>908.83625699999993</v>
      </c>
      <c r="S141" s="3">
        <f>657+(329.7-52)+(0+(0-0))+0-0-0</f>
        <v>934.7</v>
      </c>
      <c r="T141" s="3">
        <f>657+(347.7-52)+(-1.00521+(-0.531981--0.07956))+0-0-0</f>
        <v>951.24236900000005</v>
      </c>
      <c r="U141" s="3">
        <f>657+(325.1-53)+(0.67014+(0.331602-0.05406))+0-0-0</f>
        <v>930.04768200000001</v>
      </c>
      <c r="V141" s="3">
        <f>663+(279-54)+(0.33813+(0.14229-0.02754))+0-0-0</f>
        <v>888.45288000000005</v>
      </c>
      <c r="W141" s="3">
        <f>673+(221-62.1)+(0.34323+(0.11271-0.031671))+0-0-0</f>
        <v>832.32426899999996</v>
      </c>
      <c r="X141" s="3">
        <f>675+(173.6-73)+(0.6885+(0.177072-0.07446))+0-0-0</f>
        <v>776.39111200000002</v>
      </c>
      <c r="Y141" s="3">
        <f>675+(220.7-53.4)+(1.03275+(0.337671-0.081702))+0-0-0</f>
        <v>843.58871899999997</v>
      </c>
      <c r="Z141" s="3">
        <f>675+(326.8-56)+(0+(0-0))+0-0-0</f>
        <v>945.8</v>
      </c>
      <c r="AA141" s="3">
        <f>675+(360.1-55)+(-0.6885+(-0.367302--0.0561))+0-0-0</f>
        <v>979.10029800000007</v>
      </c>
      <c r="AB141" s="3">
        <f>671+(356.6-55)+(0.34221+(0.181866-0.02805))+0-0-0</f>
        <v>973.09602600000005</v>
      </c>
      <c r="AC141" s="3">
        <f>670+(337.9-54)+(-0.3417+(-0.172329--0.02754))+0-0-0</f>
        <v>953.41351099999997</v>
      </c>
      <c r="AD141" s="2">
        <v>799.49205099999995</v>
      </c>
      <c r="AE141" s="3">
        <f>668+(363.1-56)+(0+(0-0))+0-0-0</f>
        <v>975.1</v>
      </c>
    </row>
    <row r="142" spans="1:31" s="2" customFormat="1" x14ac:dyDescent="0.3">
      <c r="A142">
        <v>91</v>
      </c>
      <c r="B142">
        <v>5</v>
      </c>
      <c r="C142">
        <v>18</v>
      </c>
      <c r="D142">
        <v>5</v>
      </c>
      <c r="E142">
        <v>1</v>
      </c>
      <c r="F142" s="3">
        <f>660+(319.8-52)+(0+(0-0))+0-0-0</f>
        <v>927.8</v>
      </c>
      <c r="G142" s="3">
        <f>599+(348.4-51)+(-0.91647+(-0.533052--0.07803))+0-0-0</f>
        <v>895.02850799999999</v>
      </c>
      <c r="H142" s="3">
        <f>550+(377.8-51)+(-0.561+(-0.385356--0.05202))+0-0-0</f>
        <v>875.905664</v>
      </c>
      <c r="I142" s="3">
        <f>550+(371.1-51)+(-0.8415+(-0.567783--0.07803))+0-0-0</f>
        <v>868.76874700000008</v>
      </c>
      <c r="J142" s="3">
        <f>549+(333.4-52)+(0.83997+(0.510102-0.07956))+0-0-0</f>
        <v>831.67051200000003</v>
      </c>
      <c r="K142" s="3">
        <f>549+(285.7-52)+(-0.55998+(-0.291414--0.05304))+0-0-0</f>
        <v>781.90164600000003</v>
      </c>
      <c r="L142" s="3">
        <f>549+(237.9-52)+(0+(0-0))+0-0-0</f>
        <v>734.9</v>
      </c>
      <c r="M142" s="3">
        <f>548+(213.3-52)+(0.55896+(0.217566-0.05304))+0-0-0</f>
        <v>710.02348599999993</v>
      </c>
      <c r="N142" s="3">
        <f>547+(236.1-52)+(0.55794+(0.240822-0.05304))+0-0-0</f>
        <v>731.84572200000002</v>
      </c>
      <c r="O142" s="3">
        <f>541+(272.5-50)+(0.55182+(0.27795-0.051))+0-0-0</f>
        <v>764.27877000000001</v>
      </c>
      <c r="P142" s="3">
        <f>565+(284.9-49)+(1.44075+(0.726495-0.12495))+0-0-0</f>
        <v>802.94229499999994</v>
      </c>
      <c r="Q142" s="3">
        <f>613+(283.3-45)+(0.93789+(0.433449-0.06885))+0-0-0</f>
        <v>852.60248899999999</v>
      </c>
      <c r="R142" s="3">
        <f>610+(346.5-50)+(0+(0-0))+0-0-0</f>
        <v>906.5</v>
      </c>
      <c r="S142" s="3">
        <f>616+(375-49)+(0.31416+(0.19125-0.02499))+0-0-0</f>
        <v>942.48041999999998</v>
      </c>
      <c r="T142" s="3">
        <f>629+(376.9-46)+(-1.28316+(-0.768876--0.09384))+0-0-0</f>
        <v>957.94180399999993</v>
      </c>
      <c r="U142" s="3">
        <f>679+(319.1-45)+(-1.03887+(-0.488223--0.06885))+0-0-0</f>
        <v>951.64175699999998</v>
      </c>
      <c r="V142" s="3">
        <f>693+(266-54.5)+(0+(0-0))+0-0-0</f>
        <v>904.5</v>
      </c>
      <c r="W142" s="3">
        <f>705+(212.8-71)+(0+(0-0))+0-0-0</f>
        <v>846.8</v>
      </c>
      <c r="X142" s="3">
        <f>680+(181.2-74.8)+(-0.6936+(-0.184824--0.076296))+0-0-0</f>
        <v>785.59787199999994</v>
      </c>
      <c r="Y142" s="3">
        <f>694+(220.6-59.7)+(1.06182+(0.337518-0.091341))+0-0-0</f>
        <v>856.20799699999998</v>
      </c>
      <c r="Z142" s="3">
        <f>715+(287.6-56)+(0+(0-0))+0-0-0</f>
        <v>946.6</v>
      </c>
      <c r="AA142" s="3">
        <f>714+(325.1-57)+(-1.09242+(-0.497403--0.08721))+0-0-0</f>
        <v>980.59738700000003</v>
      </c>
      <c r="AB142" s="3">
        <f>715+(337-56)+(-0.7293+(-0.34374--0.05712))+0-0-0</f>
        <v>994.98407999999995</v>
      </c>
      <c r="AC142" s="3">
        <f>661+(365.6-54)+(0.33711+(0.186456-0.02754))+0-0-0</f>
        <v>973.09602600000005</v>
      </c>
      <c r="AD142" s="2">
        <v>792.19114000000002</v>
      </c>
      <c r="AE142" s="3">
        <f>714+(327.8-57)+(0+(0-0))+0-0-0</f>
        <v>984.8</v>
      </c>
    </row>
    <row r="143" spans="1:31" s="2" customFormat="1" x14ac:dyDescent="0.3">
      <c r="A143">
        <v>91</v>
      </c>
      <c r="B143">
        <v>5</v>
      </c>
      <c r="C143">
        <v>19</v>
      </c>
      <c r="D143">
        <v>6</v>
      </c>
      <c r="E143">
        <v>1</v>
      </c>
      <c r="F143" s="3">
        <f>619+(372.6-49)+(0.31569+(0.190026-0.02499))+0-0-0</f>
        <v>943.08072600000003</v>
      </c>
      <c r="G143" s="3">
        <f>605+(359-49)+(-0.30855+(-0.18309--0.02499))+0-0-0</f>
        <v>914.53335000000004</v>
      </c>
      <c r="H143" s="3">
        <f>607+(336.5-51)+(1.23828+(0.68646-0.10404))+0-0-0</f>
        <v>894.32069999999999</v>
      </c>
      <c r="I143" s="3">
        <f>603+(328.8-52)+(-1.53765+(-0.83844--0.1326))+0-0-0</f>
        <v>877.55651</v>
      </c>
      <c r="J143" s="3">
        <f>605+(293.5-51)+(-0.92565+(-0.449055--0.07803))+0-0-0</f>
        <v>846.20332499999995</v>
      </c>
      <c r="K143" s="3">
        <f>565+(285.8-52)+(-0.86445+(-0.437274--0.07956))+0-0-0</f>
        <v>797.57783599999993</v>
      </c>
      <c r="L143" s="3">
        <f>556+(237.8-52)+(-1.13424+(-0.485112--0.10608))+0-0-0</f>
        <v>740.28672799999993</v>
      </c>
      <c r="M143" s="3">
        <f>557+(234.3-51)+(0+(0-0))+4.2-0-0</f>
        <v>744.5</v>
      </c>
      <c r="N143" s="3">
        <f>557+(252.1-50)+(0.56814+(0.257142-0.051))+2.2-0-0</f>
        <v>762.07428200000004</v>
      </c>
      <c r="O143" s="3">
        <f>557+(269.4-47)+(0.28407+(0.137394-0.02397))+0-0-0</f>
        <v>779.79749400000003</v>
      </c>
      <c r="P143" s="3">
        <f>622+(233-47)+(0.63444+(0.23766-0.04794))+0-0-0</f>
        <v>808.82416000000001</v>
      </c>
      <c r="Q143" s="3">
        <f>625+(278.1-50)+(0.6375+(0.283662-0.051))+0-0-0</f>
        <v>853.97016200000007</v>
      </c>
      <c r="R143" s="3">
        <f>617+(332.3-51)+(0.31467+(0.169473-0.02601))+0-0-0</f>
        <v>898.75813299999993</v>
      </c>
      <c r="S143" s="3">
        <f>612+(374.2-50)+(-0.31212+(-0.190842--0.0255))+0-0-0</f>
        <v>935.7225380000001</v>
      </c>
      <c r="T143" s="3">
        <f>611+(394.3-50)+(0.31161+(0.201093-0.0255))+0-0-0</f>
        <v>955.78720299999998</v>
      </c>
      <c r="U143" s="3">
        <f>612+(391.8-51)+(-0.31212+(-0.199818--0.02601))+0-0-0</f>
        <v>952.31407200000001</v>
      </c>
      <c r="V143" s="3">
        <f>619+(343.6-52)+(0.31569+(0.175236-0.02652))+0-0-0</f>
        <v>911.06440600000008</v>
      </c>
      <c r="W143" s="3">
        <f>631+(275.5-53)+(-0.32181+(-0.140505--0.02703))+0-0-0</f>
        <v>853.06471499999998</v>
      </c>
      <c r="X143" s="3">
        <f>633+(214.4-56.1)+(-0.96849+(-0.328032--0.085833))+0-0-0</f>
        <v>790.08931099999995</v>
      </c>
      <c r="Y143" s="3">
        <f>595+(327.8-54)+(-1.51725+(-0.83589--0.1377))+0-0-0</f>
        <v>866.58456000000001</v>
      </c>
      <c r="Z143" s="3">
        <f>653+(363.8-54)+(0+(0-0))+0-0-0</f>
        <v>962.8</v>
      </c>
      <c r="AA143" s="3">
        <f>654+(396.5-55)+(-2.33478+(-1.415505--0.19635))+0-0-0</f>
        <v>991.94606499999998</v>
      </c>
      <c r="AB143" s="3">
        <f>650+(400.7-55)+(0+(0-0))+0-0-0</f>
        <v>995.7</v>
      </c>
      <c r="AC143" s="3">
        <f>650+(383.3-53)+(0.3315+(0.195483-0.02703))+0-0-0</f>
        <v>980.79995299999996</v>
      </c>
      <c r="AD143" s="2">
        <v>798.19271400000002</v>
      </c>
      <c r="AE143" s="3">
        <f>655+(377.5-56)+(0+(0-0))+0-0-0</f>
        <v>976.5</v>
      </c>
    </row>
    <row r="144" spans="1:31" s="2" customFormat="1" x14ac:dyDescent="0.3">
      <c r="A144">
        <v>91</v>
      </c>
      <c r="B144">
        <v>5</v>
      </c>
      <c r="C144">
        <v>20</v>
      </c>
      <c r="D144">
        <v>7</v>
      </c>
      <c r="E144">
        <v>5</v>
      </c>
      <c r="F144" s="3">
        <f>642+(352.6-52)+(1.30968+(0.719304-0.10608))+0-0-0</f>
        <v>944.52290400000004</v>
      </c>
      <c r="G144" s="3">
        <f>632+(335.2-51)+(0.64464+(0.341904-0.05202))+0-0-0</f>
        <v>917.13452400000006</v>
      </c>
      <c r="H144" s="3">
        <f>630+(324.7-53)+(-0.6426+(-0.331194--0.05406))+0-0-0</f>
        <v>900.7802660000001</v>
      </c>
      <c r="I144" s="3">
        <f>630+(313-52)+(-0.3213+(-0.15963--0.02652))+0-0-0</f>
        <v>890.54558999999995</v>
      </c>
      <c r="J144" s="3">
        <f>631+(275.1-52)+(-1.28724+(-0.561204--0.10608))+0-0-0</f>
        <v>852.35763600000007</v>
      </c>
      <c r="K144" s="3">
        <f>549+(304.3-53)+(-0.55998+(-0.310386--0.05406))+0-0-0</f>
        <v>799.4836939999999</v>
      </c>
      <c r="L144" s="3">
        <f>536+(269.7-53)+(-0.54672+(-0.275094--0.05406))+0-0-0</f>
        <v>751.93224600000008</v>
      </c>
      <c r="M144" s="3">
        <f>537+(256.9-50)+(0+(0-0))+0-0-0</f>
        <v>743.9</v>
      </c>
      <c r="N144" s="3">
        <f>536+(253.5-47)+(0+(0-0))+0-0-0</f>
        <v>742.5</v>
      </c>
      <c r="O144" s="3">
        <f>538+(269.5-47)+(-0.27438+(-0.137445--0.02397))+0-0-0</f>
        <v>760.11214500000006</v>
      </c>
      <c r="P144" s="3">
        <f>540+(287.9-48)+(0.2754+(0.146829-0.02448))+0-0-0</f>
        <v>780.29774899999995</v>
      </c>
      <c r="Q144" s="3">
        <f>555+(326.3-51)+(0.5661+(0.332826-0.05202))+0-0-0</f>
        <v>831.14690599999994</v>
      </c>
      <c r="R144" s="3">
        <f>645+(304.6-51)+(0.32895+(0.155346-0.02601))+0-0-0</f>
        <v>899.05828600000007</v>
      </c>
      <c r="S144" s="3">
        <f>648+(333.7-53)+(0.99144+(0.510561-0.08109))+0-0-0</f>
        <v>930.12091100000009</v>
      </c>
      <c r="T144" s="3">
        <f>648+(338.9-52)+(-0.66096+(-0.345678--0.05304))+0-0-0</f>
        <v>933.94640199999992</v>
      </c>
      <c r="U144" s="3">
        <f>650+(335.4-50)+(0.663+(0.342108-0.051))+0-0-0</f>
        <v>936.354108</v>
      </c>
      <c r="V144" s="3">
        <f>655+(300.6-49)+(0.33405+(0.153306-0.02499))+0-0-0</f>
        <v>907.062366</v>
      </c>
      <c r="W144" s="3">
        <f>660+(233.7-53)+(-0.6732+(-0.238374--0.05406))+0-0-0</f>
        <v>839.84248600000001</v>
      </c>
      <c r="X144" s="3">
        <f>661+(185.8-59.9)+(-1.34844+(-0.379032--0.122196))+0-0-0</f>
        <v>785.29472399999997</v>
      </c>
      <c r="Y144" s="3">
        <f>662+(251.4-55)+(-0.33762+(-0.128214--0.02805))+0-0-0</f>
        <v>857.96221600000001</v>
      </c>
      <c r="Z144" s="3">
        <f>664+(348.8-55)+(0+(0-0))+0-0-0</f>
        <v>957.8</v>
      </c>
      <c r="AA144" s="3">
        <f>670+(375.3-55)+(-1.3668+(-0.765612--0.1122))+0-0-0</f>
        <v>988.27978799999994</v>
      </c>
      <c r="AB144" s="3">
        <f>667+(373-55)+(-0.34017+(-0.19023--0.02805))+0-0-0</f>
        <v>984.49765000000002</v>
      </c>
      <c r="AC144" s="3">
        <f>667+(362.3-54)+(-0.34017+(-0.184773--0.02754))+0-0-0</f>
        <v>974.80259699999999</v>
      </c>
      <c r="AD144" s="2">
        <v>782.50093900000002</v>
      </c>
      <c r="AE144" s="3">
        <f>665+(365.1-56)+(0+(0-0))+0-0-0</f>
        <v>974.1</v>
      </c>
    </row>
    <row r="145" spans="1:31" s="2" customFormat="1" x14ac:dyDescent="0.3">
      <c r="A145">
        <v>91</v>
      </c>
      <c r="B145">
        <v>5</v>
      </c>
      <c r="C145">
        <v>21</v>
      </c>
      <c r="D145">
        <v>1</v>
      </c>
      <c r="E145">
        <v>1</v>
      </c>
      <c r="F145" s="3">
        <f>662+(339.7-49)+(-1.01286+(-0.519741--0.07497))+0-0-0</f>
        <v>951.24236900000005</v>
      </c>
      <c r="G145" s="3">
        <f>636+(329.1-48)+(-1.29744+(-0.671364--0.09792))+0-0-0</f>
        <v>915.22911599999998</v>
      </c>
      <c r="H145" s="3">
        <f>612+(328.7-52)+(-1.5606+(-0.838185--0.1326))+0-0-0</f>
        <v>886.4338150000001</v>
      </c>
      <c r="I145" s="3">
        <f>616+(309.5-52)+(-0.94248+(-0.473535--0.07956))+0-0-0</f>
        <v>872.163545</v>
      </c>
      <c r="J145" s="3">
        <f>612+(263.8-48)+(-0.93636+(-0.403614--0.07344))+0-0-0</f>
        <v>826.53346599999998</v>
      </c>
      <c r="K145" s="3">
        <f>601+(232.3-47)+(-1.53255+(-0.592365--0.11985))+0-0-0</f>
        <v>784.29493500000001</v>
      </c>
      <c r="L145" s="3">
        <f>539+(250.2-51)+(-0.27489+(-0.127602--0.02601))+0-0-0</f>
        <v>737.82351800000004</v>
      </c>
      <c r="M145" s="3">
        <f>539+(239.8-50)+(0.27489+(0.122298-0.0255))+0-0-0</f>
        <v>729.1716879999999</v>
      </c>
      <c r="N145" s="3">
        <f>566+(235.9-47)+(0.57732+(0.240618-0.04794))+0-0-0</f>
        <v>755.66999799999996</v>
      </c>
      <c r="O145" s="3">
        <f>614+(225.1-54.5)+(0.62628+(0.229602-0.05559))+0-0-0</f>
        <v>785.40029200000004</v>
      </c>
      <c r="P145" s="3">
        <f>614+(244.5-54)+(0.31314+(0.124695-0.02754))+0-0-0</f>
        <v>804.91029500000002</v>
      </c>
      <c r="Q145" s="3">
        <f>677+(241.9-53)+(0+(0-0))+0-0-0</f>
        <v>865.9</v>
      </c>
      <c r="R145" s="3">
        <f>750+(237.8-63.7)+(0+(0-0))+0-0-0</f>
        <v>924.1</v>
      </c>
      <c r="S145" s="3">
        <f>730.7+(248.6-55)+(-1.117971+(-0.380358--0.08415))+0-0-0</f>
        <v>922.88582100000008</v>
      </c>
      <c r="T145" s="3">
        <f>730.1+(260.2-53)+(-1.489404+(-0.530808--0.10812))+0-0-0</f>
        <v>935.38790799999992</v>
      </c>
      <c r="U145" s="3">
        <f>721.2+(260-56.6)+(-0.367812+(-0.1326--0.028866))+0-0-0</f>
        <v>924.12845400000003</v>
      </c>
      <c r="V145" s="3">
        <f>703.6+(245.3-62.1)+(-1.076508+(-0.375309--0.095013))+0-0-0</f>
        <v>885.44319600000006</v>
      </c>
      <c r="W145" s="3">
        <f>692.3+(219.1-68.7)+(-0.353073+(-0.111741--0.035037))+0-0-0</f>
        <v>842.27022299999999</v>
      </c>
      <c r="X145" s="3">
        <f>639.9+(196-63.9)+(-0.326349+(-0.09996--0.032589))+0-0-0</f>
        <v>771.60627999999997</v>
      </c>
      <c r="Y145" s="3">
        <f>644+(253.3-55)+(0.32844+(0.129183-0.02805))+0-0-0</f>
        <v>842.72957299999996</v>
      </c>
      <c r="Z145" s="3">
        <f>697.1+(295-53)+(-0.711042+(-0.3009--0.05406))+0-0-0</f>
        <v>938.14211799999998</v>
      </c>
      <c r="AA145" s="3">
        <f>690.5+(337.9-54)+(-1.056465+(-0.516987--0.08262))+0-0-0</f>
        <v>972.90916800000002</v>
      </c>
      <c r="AB145" s="3">
        <f>689.5+(329.8-56)+(-0.351645+(-0.168198--0.02856))+0-0-0</f>
        <v>962.808717</v>
      </c>
      <c r="AC145" s="3">
        <f>684.8+(326.1-54)+(0+(0-0))+0-0-0</f>
        <v>956.9</v>
      </c>
      <c r="AD145" s="2">
        <v>798.89235699999995</v>
      </c>
      <c r="AE145" s="3">
        <f>689+(380.9-56)+(0+(0-0))+0-0-0</f>
        <v>1013.9</v>
      </c>
    </row>
    <row r="146" spans="1:31" s="2" customFormat="1" x14ac:dyDescent="0.3">
      <c r="A146">
        <v>91</v>
      </c>
      <c r="B146">
        <v>5</v>
      </c>
      <c r="C146">
        <v>22</v>
      </c>
      <c r="D146">
        <v>2</v>
      </c>
      <c r="E146">
        <v>1</v>
      </c>
      <c r="F146" s="3">
        <f>687.7+(309-52)+(-0.701454+(-0.31518--0.05304))+0-0-0</f>
        <v>943.7364060000001</v>
      </c>
      <c r="G146" s="3">
        <f>674.6+(285.1-52)+(-2.064276+(-0.872406--0.15912))+0-0-0</f>
        <v>904.92243800000006</v>
      </c>
      <c r="H146" s="3">
        <f>633.1+(307.4-53)+(-0.645762+(-0.313548--0.05406))+0-0-0</f>
        <v>886.59474999999998</v>
      </c>
      <c r="I146" s="3">
        <f>632.3+(293.8-52)+(0.644946+(0.299676-0.05304))+0-0-0</f>
        <v>874.99158199999988</v>
      </c>
      <c r="J146" s="3">
        <f>624+(260.6-50)+(-1.27296+(-0.531624--0.102))+0-0-0</f>
        <v>832.89741600000002</v>
      </c>
      <c r="K146" s="3">
        <f>624.4+(210.9-50)+(-0.318444+(-0.107559--0.0255))+0-0-0</f>
        <v>784.899497</v>
      </c>
      <c r="L146" s="3">
        <f>622.5+(175.2-70.6)+(0+(0-0))+0-0-0</f>
        <v>727.1</v>
      </c>
      <c r="M146" s="3">
        <f>618.9+(161.4-68.5)+(0.631278+(0.164628-0.06987))+0-0-0</f>
        <v>712.52603599999998</v>
      </c>
      <c r="N146" s="3">
        <f>618.7+(167.2-56.2)+(1.262148+(0.341088-0.114648))+0-0-0</f>
        <v>731.1885880000001</v>
      </c>
      <c r="O146" s="3">
        <f>643.4+(175.5-83.3)+(0.984402+(0.268515-0.127449))+0-0-0</f>
        <v>736.72546799999998</v>
      </c>
      <c r="P146" s="3">
        <f>637+(208.4-72.7)+(0.64974+(0.212568-0.074154))+0-0-0</f>
        <v>773.48815400000001</v>
      </c>
      <c r="Q146" s="3">
        <f>637.9+(240.8-51.4)+(0.325329+(0.122808-0.026214))+0-0-0</f>
        <v>827.72192299999995</v>
      </c>
      <c r="R146" s="3">
        <f>644.6+(275.4-53)+(-0.328746+(-0.140454--0.02703))+0-0-0</f>
        <v>866.55782999999997</v>
      </c>
      <c r="S146" s="3">
        <f>654.9+(314.6-54)+(0+(0-0))+0-0-0</f>
        <v>915.5</v>
      </c>
      <c r="T146" s="3">
        <f>665+(316.1-55)+(0+(0-0))+0-0-0</f>
        <v>926.1</v>
      </c>
      <c r="U146" s="3">
        <f>666.3+(286.7-55)+(-0.339813+(-0.146217--0.02805))+0-0-0</f>
        <v>897.54201999999998</v>
      </c>
      <c r="V146" s="3">
        <f>664.2+(269.7-60.2)+(0+(0-0))+0-0-0</f>
        <v>873.7</v>
      </c>
      <c r="W146" s="3">
        <f>657.2+(205.7-69.9)+(-0.670344+(-0.209814--0.071298))+0-0-0</f>
        <v>792.19114000000002</v>
      </c>
      <c r="X146" s="3">
        <f>632.4+(178.5-69.2)+(-0.967572+(-0.273105--0.105876))+0-0-0</f>
        <v>740.56519899999989</v>
      </c>
      <c r="Y146" s="3">
        <f>632.9+(235.4-54)+(-0.322779+(-0.120054--0.02754))+0-0-0</f>
        <v>813.88470699999993</v>
      </c>
      <c r="Z146" s="3">
        <f>669.4+(278.1-58)+(-0.341394+(-0.141831--0.02958))+0-0-0</f>
        <v>889.04635499999995</v>
      </c>
      <c r="AA146" s="3">
        <f>675.9+(308.9-51)+(-1.378836+(-0.630156--0.10404))+0-0-0</f>
        <v>931.89504799999997</v>
      </c>
      <c r="AB146" s="3">
        <f>686.5+(299.9-54)+(-0.70023+(-0.305898--0.05508))+0-0-0</f>
        <v>931.44895199999996</v>
      </c>
      <c r="AC146" s="3">
        <f>687.2+(288.5-51)+(0.700944+(0.29427-0.05202))+0-0-0</f>
        <v>925.64319399999999</v>
      </c>
      <c r="AD146" s="2">
        <v>826.21108400000003</v>
      </c>
      <c r="AE146" s="3">
        <f>662+(316-56)+(0+(0-0))+0-0-0</f>
        <v>922</v>
      </c>
    </row>
    <row r="147" spans="1:31" s="2" customFormat="1" x14ac:dyDescent="0.3">
      <c r="A147">
        <v>91</v>
      </c>
      <c r="B147">
        <v>5</v>
      </c>
      <c r="C147">
        <v>23</v>
      </c>
      <c r="D147">
        <v>3</v>
      </c>
      <c r="E147">
        <v>1</v>
      </c>
      <c r="F147" s="3">
        <f>681+(285.9-52)+(0.69462+(0.291618-0.05304))+0-0-0</f>
        <v>915.83319799999992</v>
      </c>
      <c r="G147" s="3">
        <f>599.4+(327.7-51)+(0.305694+(0.167127-0.02601))+0-0-0</f>
        <v>876.54681099999993</v>
      </c>
      <c r="H147" s="3">
        <f>566.9+(332.8-52)+(0+(0-0))+0-0-0</f>
        <v>847.7</v>
      </c>
      <c r="I147" s="3">
        <f>568.4+(320.2-53)+(1.159536+(0.653208-0.10812))+0-0-0</f>
        <v>837.30462399999988</v>
      </c>
      <c r="J147" s="3">
        <f>567.8+(293.7-52)+(-0.289578+(-0.149787--0.02652))+0-0-0</f>
        <v>809.08715500000005</v>
      </c>
      <c r="K147" s="3">
        <f>524.9+(284.7-51)+(-1.338495+(-0.725985--0.13005))+0-0-0</f>
        <v>756.66556999999989</v>
      </c>
      <c r="L147" s="3">
        <f>518.3+(236.6-53)+(-1.321665+(-0.60333--0.13515))+0-0-0</f>
        <v>700.11015499999996</v>
      </c>
      <c r="M147" s="3">
        <f>520.2+(215.6-52)+(0.795906+(0.329868-0.07956))+0-0-0</f>
        <v>684.84621400000003</v>
      </c>
      <c r="N147" s="3">
        <f>520.6+(245.8-48)+(0.265506+(0.125358-0.02448))+0-0-0</f>
        <v>718.76638400000013</v>
      </c>
      <c r="O147" s="3">
        <f>532+(246.6-49)+(0.27132+(0.125766-0.02499))+0-0-0</f>
        <v>729.97209600000008</v>
      </c>
      <c r="P147" s="3">
        <f>592.1+(218.1-48.5)+(0.905913+(0.333693-0.074205))+0-0-0</f>
        <v>762.86540100000002</v>
      </c>
      <c r="Q147" s="3">
        <f>609.9+(240.5-48)+(0.933147+(0.367965-0.07344))+0-0-0</f>
        <v>803.62767199999996</v>
      </c>
      <c r="R147" s="3">
        <f>707+(270.6-51)+(0+(0-0))+0-0-0</f>
        <v>926.6</v>
      </c>
      <c r="S147" s="3">
        <f>726.6+(255.9-54.8)+(-1.111698+(-0.391527--0.083844))+0-0-0</f>
        <v>926.280619</v>
      </c>
      <c r="T147" s="3">
        <f>736.2+(255.9-52.4)+(0.375462+(0.130509-0.026724))+0-0-0</f>
        <v>940.17924700000003</v>
      </c>
      <c r="U147" s="3">
        <f>734.8+(248.3-59.9)+(-0.374748+(-0.126633--0.030549))+0-0-0</f>
        <v>922.72916799999996</v>
      </c>
      <c r="V147" s="3">
        <f>702.1+(214.9-74)+(-1.432284+(-0.438396--0.15096))+0-0-0</f>
        <v>841.28027999999995</v>
      </c>
      <c r="W147" s="3">
        <f>653.4+(216.2-63.5)+(-2.332638+(-0.771834--0.226695))+0-0-0</f>
        <v>803.22222299999987</v>
      </c>
      <c r="X147" s="3">
        <f>636.5+(187.1-63.7)+(-0.64923+(-0.190842--0.064974))+0-0-0</f>
        <v>759.12490200000002</v>
      </c>
      <c r="Y147" s="3">
        <f>636.8+(259.1-54)+(0.324768+(0.132141-0.02754))+0-0-0</f>
        <v>842.32936899999993</v>
      </c>
      <c r="Z147" s="3">
        <f>637.7+(356.5-52)+(0.650454+(0.36363-0.05304))+0-0-0</f>
        <v>943.16104400000006</v>
      </c>
      <c r="AA147" s="3">
        <f>648.9+(370.8-54)+(-1.323756+(-0.756432--0.11016))+0-0-0</f>
        <v>963.72997200000009</v>
      </c>
      <c r="AB147" s="3">
        <f>709.1+(314.9-55)+(-1.446564+(-0.642396--0.1122))+0-0-0</f>
        <v>967.02323999999999</v>
      </c>
      <c r="AC147" s="3">
        <f>698.4+(308.8-52)+(0.356184+(0.157488-0.02652))+0-0-0</f>
        <v>955.68715200000008</v>
      </c>
      <c r="AD147" s="2">
        <v>827.38477499999999</v>
      </c>
      <c r="AE147" s="3">
        <f>635+(375.7-55)+(0+(0-0))+0-0-0</f>
        <v>955.7</v>
      </c>
    </row>
    <row r="148" spans="1:31" s="2" customFormat="1" x14ac:dyDescent="0.3">
      <c r="A148">
        <v>91</v>
      </c>
      <c r="B148">
        <v>5</v>
      </c>
      <c r="C148">
        <v>24</v>
      </c>
      <c r="D148">
        <v>4</v>
      </c>
      <c r="E148">
        <v>1</v>
      </c>
      <c r="F148" s="3">
        <f>627.8+(350-49)+(0.320178+(0.1785-0.02499))+0-0-0</f>
        <v>929.27368799999999</v>
      </c>
      <c r="G148" s="3">
        <f>602+(339.4-50)+(0+(0-0))+0-0-0</f>
        <v>891.4</v>
      </c>
      <c r="H148" s="3">
        <f>602+(319.2-52)+(-0.61404+(-0.325584--0.05304))+0-0-0</f>
        <v>868.31341600000007</v>
      </c>
      <c r="I148" s="3">
        <f>602.1+(297.5-49)+(0+(0-0))+0-0-0</f>
        <v>850.6</v>
      </c>
      <c r="J148" s="3">
        <f>600.9+(258.6-46)+(-0.919377+(-0.395658--0.07038))+0-0-0</f>
        <v>812.25534500000003</v>
      </c>
      <c r="K148" s="3">
        <f>599.2+(201.8-37)+(-1.833552+(-0.617508--0.11322))+0-0-0</f>
        <v>761.66215999999997</v>
      </c>
      <c r="L148" s="3">
        <f>597.5+(174.1-49)+(-0.60945+(-0.177582--0.04998))+0-0-0</f>
        <v>721.86294800000007</v>
      </c>
      <c r="M148" s="3">
        <f>597.2+(177.6-56.7)+(0+(0-0))+0-0-0</f>
        <v>718.1</v>
      </c>
      <c r="N148" s="3">
        <f>596.5+(197.1-45.9)+(0+(0-0))+0-0-0</f>
        <v>747.7</v>
      </c>
      <c r="O148" s="3">
        <f>593.5+(217.6-43)+(0.60537+(0.221952-0.04386))+0-0-0</f>
        <v>768.88346200000001</v>
      </c>
      <c r="P148" s="3">
        <f>592.3+(234.8-46)+(0.604146+(0.239496-0.04692))+0-0-0</f>
        <v>781.89672199999995</v>
      </c>
      <c r="Q148" s="3">
        <f>655.1+(222.8-56.4)+(0+(0-0))+0-0-0</f>
        <v>821.5</v>
      </c>
      <c r="R148" s="3">
        <f>698+(245.4-54.8)+(0.35598+(0.125154-0.027948))+0-0-0</f>
        <v>889.05318599999998</v>
      </c>
      <c r="S148" s="3">
        <f>715.3+(260.6-51)+(-1.094409+(-0.398718--0.07803))+0-0-0</f>
        <v>923.48490300000003</v>
      </c>
      <c r="T148" s="3">
        <f>759+(258.1-56.5)+(-0.38709+(-0.131631--0.028815))+0-0-0</f>
        <v>960.110094</v>
      </c>
      <c r="U148" s="3">
        <f>767+(241.2-61.2)+(-1.17351+(-0.369036--0.093636))+0-0-0</f>
        <v>945.55109000000004</v>
      </c>
      <c r="V148" s="3">
        <f>752+(214.6-70.1)+(-1.15056+(-0.328338--0.107253))+0-0-0</f>
        <v>895.12835500000006</v>
      </c>
      <c r="W148" s="3">
        <f>663+(229.5-55)+(-1.69065+(-0.585225--0.14025))+0-0-0</f>
        <v>835.364375</v>
      </c>
      <c r="X148" s="3">
        <f>666+(197.5-67.6)+(-2.37762+(-0.705075--0.241332))+0-0-0</f>
        <v>793.05863699999998</v>
      </c>
      <c r="Y148" s="3">
        <f>679+(251.2-53)+(0+(0-0))+0-0-0</f>
        <v>877.2</v>
      </c>
      <c r="Z148" s="3">
        <f>713+(312.5-52)+(0.36363+(0.159375-0.02652))+0-0-0</f>
        <v>973.99648500000001</v>
      </c>
      <c r="AA148" s="3">
        <f>715+(335.4-55)+(-2.1879+(-1.026324--0.1683))+0-0-0</f>
        <v>992.35407599999996</v>
      </c>
      <c r="AB148" s="3">
        <f>715+(336.3-54)+(-2.1879+(-1.029078--0.16524))+0-0-0</f>
        <v>994.24826199999995</v>
      </c>
      <c r="AC148" s="3">
        <f>693+(338.8-52)+(0.70686+(0.345576-0.05304))+0-0-0</f>
        <v>980.799396</v>
      </c>
      <c r="AD148" s="2">
        <v>838.84350600000005</v>
      </c>
      <c r="AE148" s="3">
        <f>711+(334.7-54)+(0+(0-0))+0-0-0</f>
        <v>991.7</v>
      </c>
    </row>
    <row r="149" spans="1:31" s="2" customFormat="1" x14ac:dyDescent="0.3">
      <c r="A149">
        <v>91</v>
      </c>
      <c r="B149">
        <v>5</v>
      </c>
      <c r="C149">
        <v>25</v>
      </c>
      <c r="D149">
        <v>5</v>
      </c>
      <c r="E149">
        <v>1</v>
      </c>
      <c r="F149" s="3">
        <f>652+(335-47)+(0+(0-0))+0-0-0</f>
        <v>940</v>
      </c>
      <c r="G149" s="3">
        <f>604+(338.8-49)+(0.30804+(0.172788-0.02499))+0-0-0</f>
        <v>894.25583799999993</v>
      </c>
      <c r="H149" s="3">
        <f>605+(313-51)+(0+(0-0))+0-0-0</f>
        <v>867</v>
      </c>
      <c r="I149" s="3">
        <f>575+(328.7-48)+(-0.5865+(-0.335274--0.04896))+0-0-0</f>
        <v>854.8271860000001</v>
      </c>
      <c r="J149" s="3">
        <f>550+(317-50)+(1.4025+(0.80835-0.1275))+0-0-0</f>
        <v>819.08335</v>
      </c>
      <c r="K149" s="3">
        <f>547+(271.7-51)+(-1.39485+(-0.692835--0.13005))+0-0-0</f>
        <v>765.74236500000006</v>
      </c>
      <c r="L149" s="3">
        <f>544+(232.2-51)+(-1.66464+(-0.710532--0.15606))+0-0-0</f>
        <v>722.98088800000005</v>
      </c>
      <c r="M149" s="3">
        <f>544+(231.1-50)+(0.83232+(0.353583-0.0765))+0-0-0</f>
        <v>726.20940300000007</v>
      </c>
      <c r="N149" s="3">
        <f>570+(214.8-50)+(0.2907+(0.109548-0.0255))+0-0-0</f>
        <v>735.17474799999991</v>
      </c>
      <c r="O149" s="3">
        <f>637+(192.2-66.2)+(0.32487+(0.098022-0.033762))+0-0-0</f>
        <v>763.38913000000002</v>
      </c>
      <c r="P149" s="3">
        <f>654+(195-73)+(1.00062+(0.29835-0.11169))+0-0-0</f>
        <v>777.18727999999999</v>
      </c>
      <c r="Q149" s="3">
        <f>711+(197.4-85.8)+(0+(0-0))+0-0-0</f>
        <v>822.6</v>
      </c>
      <c r="R149" s="3">
        <f>709.1+(218.4-71.8)+(-0.723282+(-0.222768--0.073236))+0-0-0</f>
        <v>854.8271860000001</v>
      </c>
      <c r="S149" s="3">
        <f>733.6+(236.6-68.1)+(0+(0-0))+0-0-0</f>
        <v>902.1</v>
      </c>
      <c r="T149" s="3">
        <f>745+(262.8-59.2)+(-0.37995+(-0.134028--0.030192))+0-0-0</f>
        <v>948.11621400000001</v>
      </c>
      <c r="U149" s="3">
        <f>726+(263-63)+(-0.74052+(-0.26826--0.06426))+0-0-0</f>
        <v>925.05547999999999</v>
      </c>
      <c r="V149" s="3">
        <f>723+(233.8-75.3)+(-0.73746+(-0.238476--0.076806))+0-0-0</f>
        <v>880.60086999999999</v>
      </c>
      <c r="W149" s="3">
        <f>639+(243.9-60.3)+(-0.32589+(-0.124389--0.030753))+0-0-0</f>
        <v>822.180474</v>
      </c>
      <c r="X149" s="3">
        <f>638+(206.3-62.3)+(-1.30152+(-0.420852--0.127092))+0-0-0</f>
        <v>780.40472</v>
      </c>
      <c r="Y149" s="3">
        <f>663+(246.3-51)+(-0.67626+(-0.251226--0.05202))+0-0-0</f>
        <v>857.42453399999999</v>
      </c>
      <c r="Z149" s="3">
        <f>711+(283.8-54)+(-0.36261+(-0.144738--0.02754))+0-0-0</f>
        <v>940.32019199999991</v>
      </c>
      <c r="AA149" s="3">
        <f>702+(327.2-55)+(-0.35802+(-0.166872--0.02805))+0-0-0</f>
        <v>973.70315800000003</v>
      </c>
      <c r="AB149" s="3">
        <f>662+(354.5-55)+(-1.6881+(-0.903975--0.14025))+0-0-0</f>
        <v>959.04817500000001</v>
      </c>
      <c r="AC149" s="3">
        <f>661+(336.7-55)+(-0.33711+(-0.171717--0.02805))+0-0-0</f>
        <v>942.21922300000006</v>
      </c>
      <c r="AD149" s="2">
        <v>846.07048799999995</v>
      </c>
      <c r="AE149" s="3">
        <f>695+(345.8-55)+(0+(0-0))+0-0-0</f>
        <v>985.8</v>
      </c>
    </row>
    <row r="150" spans="1:31" s="2" customFormat="1" x14ac:dyDescent="0.3">
      <c r="A150">
        <v>91</v>
      </c>
      <c r="B150">
        <v>5</v>
      </c>
      <c r="C150">
        <v>26</v>
      </c>
      <c r="D150">
        <v>6</v>
      </c>
      <c r="E150">
        <v>1</v>
      </c>
      <c r="F150" s="3">
        <f>645+(327.5-52)+(0+(0-0))+0-0-0</f>
        <v>920.5</v>
      </c>
      <c r="G150" s="3">
        <f>617+(318.8-48)+(-1.25868+(-0.650352--0.09792))+0-0-0</f>
        <v>885.98888799999997</v>
      </c>
      <c r="H150" s="3">
        <f>551+(358.5-50)+(-0.84303+(-0.548505--0.0765))+0-0-0</f>
        <v>858.18496500000003</v>
      </c>
      <c r="I150" s="3">
        <f>539+(360.6-51)+(-1.37445+(-0.91953--0.13005))+0-0-0</f>
        <v>846.43606999999997</v>
      </c>
      <c r="J150" s="3">
        <f>526+(333.7-50)+(0.53652+(0.340374-0.051))+0-0-0</f>
        <v>810.52589399999999</v>
      </c>
      <c r="K150" s="3">
        <f>525+(283.2-51)+(-1.33875+(-0.72216--0.13005))+0-0-0</f>
        <v>755.26913999999999</v>
      </c>
      <c r="L150" s="3">
        <f>519+(249.4-52)+(-1.32345+(-0.63597--0.1326))+0-0-0</f>
        <v>714.57317999999998</v>
      </c>
      <c r="M150" s="3">
        <f>521+(243.6-51)+(0.26571+(0.124236-0.02601))+0-0-0</f>
        <v>713.96393599999999</v>
      </c>
      <c r="N150" s="3">
        <f>520+(256.6-50)+(0.5304+(0.261732-0.051))+0-0-0</f>
        <v>727.34113200000002</v>
      </c>
      <c r="O150" s="3">
        <f>558+(239.2-49)+(0.85374+(0.365976-0.07497))+0-0-0</f>
        <v>749.3447460000001</v>
      </c>
      <c r="P150" s="3">
        <f>616+(217.5-55.3)+(-0.31416+(-0.110925--0.028203))+0-0-0</f>
        <v>777.80311800000004</v>
      </c>
      <c r="Q150" s="3">
        <f>648+(223.7-59.1)+(0.66096+(0.228174-0.060282))+0-0-0</f>
        <v>813.42885200000001</v>
      </c>
      <c r="R150" s="3">
        <f>653+(254.4-53.7)+(-0.66606+(-0.259488--0.054774))+0-0-0</f>
        <v>852.82922600000006</v>
      </c>
      <c r="S150" s="3">
        <f>667+(283.3-51)+(0.34017+(0.144483-0.02601))+0-0-0</f>
        <v>899.75864300000001</v>
      </c>
      <c r="T150" s="3">
        <f>680+(288.6-52)+(0+(0-0))+0-0-0</f>
        <v>916.6</v>
      </c>
      <c r="U150" s="3">
        <f>680+(275.9-47.8)+(-1.0404+(-0.422127--0.073134))+0-0-0</f>
        <v>906.71060699999987</v>
      </c>
      <c r="V150" s="3">
        <f>690+(246.4-63.2)+(-1.0557+(-0.376992--0.096696))+0-0-0</f>
        <v>871.86400400000002</v>
      </c>
      <c r="W150" s="3">
        <f>702+(201.3-83.1)+(-1.7901+(-0.513315--0.211905))+0-0-0</f>
        <v>818.10849000000007</v>
      </c>
      <c r="X150" s="3">
        <f>705+(163-98.5)+(-1.07865+(-0.24939--0.150705))+0-0-0</f>
        <v>768.32266500000003</v>
      </c>
      <c r="Y150" s="3">
        <f>706+(207.2-67.7)+(0.72012+(0.211344-0.069054))+0-0-0</f>
        <v>846.36240999999995</v>
      </c>
      <c r="Z150" s="3">
        <f>706+(283.5-53)+(0+(0-0))+0-0-0</f>
        <v>936.5</v>
      </c>
      <c r="AA150" s="3">
        <f>706+(308.8-55)+(-0.36006+(-0.157488--0.02805))+0-0-0</f>
        <v>959.31050199999993</v>
      </c>
      <c r="AB150" s="3">
        <f>707+(318.9-52)+(-0.72114+(-0.325278--0.05304))+0-0-0</f>
        <v>972.90662199999997</v>
      </c>
      <c r="AC150" s="3">
        <f>705+(305.3-52)+(-1.4382+(-0.622812--0.10608))+0-0-0</f>
        <v>956.34506799999997</v>
      </c>
      <c r="AD150" s="2">
        <v>836.29048</v>
      </c>
      <c r="AE150" s="3">
        <f>706+(306.8-53)+(0+(0-0))+0-0-0</f>
        <v>959.8</v>
      </c>
    </row>
    <row r="151" spans="1:31" s="2" customFormat="1" x14ac:dyDescent="0.3">
      <c r="A151">
        <v>91</v>
      </c>
      <c r="B151">
        <v>5</v>
      </c>
      <c r="C151">
        <v>27</v>
      </c>
      <c r="D151">
        <v>7</v>
      </c>
      <c r="E151">
        <v>1</v>
      </c>
      <c r="F151" s="3">
        <f>637+(322.6-48)+(-0.97461+(-0.493578--0.07344))+0-0-0</f>
        <v>910.20525199999997</v>
      </c>
      <c r="G151" s="3">
        <f>613+(318.1-50)+(0+(0-0))+0-0-0</f>
        <v>881.1</v>
      </c>
      <c r="H151" s="3">
        <f>610+(297.4-51)+(-1.5555+(-0.75837--0.13005))+0-0-0</f>
        <v>854.21618000000001</v>
      </c>
      <c r="I151" s="3">
        <f>611+(285.6-50)+(-1.24644+(-0.582624--0.102))+0-0-0</f>
        <v>844.87293599999998</v>
      </c>
      <c r="J151" s="3">
        <f>611+(247.5-49)+(-0.62322+(-0.25245--0.04998))+0-0-0</f>
        <v>808.67430999999999</v>
      </c>
      <c r="K151" s="3">
        <f>608+(209.4-51.9)+(-1.5504+(-0.53397--0.132345))+0-0-0</f>
        <v>763.54797499999995</v>
      </c>
      <c r="L151" s="3">
        <f>559+(220.9-51)+(-0.85527+(-0.337977--0.07803))+0-0-0</f>
        <v>727.78478299999995</v>
      </c>
      <c r="M151" s="3">
        <f>540+(213.2-52)+(-0.5508+(-0.217464--0.05304))+0-0-0</f>
        <v>700.48477600000001</v>
      </c>
      <c r="N151" s="3">
        <f>540+(229.8-50)+(0+(0-0))+0-0-0</f>
        <v>719.8</v>
      </c>
      <c r="O151" s="3">
        <f>537+(232.4-51)+(-0.54774+(-0.237048--0.05202))+0-0-0</f>
        <v>717.66723200000001</v>
      </c>
      <c r="P151" s="3">
        <f>559+(227.7-43)+(0.28509+(0.116127-0.02193))+0-0-0</f>
        <v>744.07928700000002</v>
      </c>
      <c r="Q151" s="3">
        <f>610+(220.8-48.6)+(0.3111+(0.112608-0.024786))+0-0-0</f>
        <v>782.59892200000002</v>
      </c>
      <c r="R151" s="3">
        <f>608+(275.6-52)+(-0.31008+(-0.140556--0.02652))+0-0-0</f>
        <v>831.175884</v>
      </c>
      <c r="S151" s="3">
        <f>608+(323.5-50)+(-0.62016+(-0.32997--0.051))+0-0-0</f>
        <v>880.60086999999999</v>
      </c>
      <c r="T151" s="3">
        <f>606+(330-54)+(-1.23624+(-0.6732--0.11016))+0-0-0</f>
        <v>880.20072000000005</v>
      </c>
      <c r="U151" s="3">
        <f>608+(320.3-52)+(-0.62016+(-0.326706--0.05304))+0-0-0</f>
        <v>875.40617399999996</v>
      </c>
      <c r="V151" s="3">
        <f>614+(297.3-53)+(-0.31314+(-0.151623--0.02703))+0-0-0</f>
        <v>857.86226699999997</v>
      </c>
      <c r="W151" s="3">
        <f>618+(231.4-57.7)+(-1.26072+(-0.472056--0.117708))+0-0-0</f>
        <v>790.08493200000009</v>
      </c>
      <c r="X151" s="3">
        <f>621+(191.3-67.5)+(-1.26684+(-0.390252--0.1377))+0-0-0</f>
        <v>743.28060799999992</v>
      </c>
      <c r="Y151" s="3">
        <f>622+(269-51)+(-0.63444+(-0.27438--0.05202))+0-0-0</f>
        <v>839.14319999999998</v>
      </c>
      <c r="Z151" s="3">
        <f>623+(355.7-53)+(0+(0-0))+0-0-0</f>
        <v>925.7</v>
      </c>
      <c r="AA151" s="3">
        <f>621+(384.5-54)+(-0.95013+(-0.588285--0.08262))+0-0-0</f>
        <v>950.04420500000003</v>
      </c>
      <c r="AB151" s="3">
        <f>621+(383.6-54)+(0+(0-0))+0-0-0</f>
        <v>950.6</v>
      </c>
      <c r="AC151" s="3">
        <f>620+(377.2-53)+(0.3162+(0.192372-0.02703))+0-0-0</f>
        <v>944.68154200000004</v>
      </c>
      <c r="AD151" s="2">
        <v>824.92049499999996</v>
      </c>
      <c r="AE151" s="3">
        <f>622+(371.3-50)+(0+(0-0))+0-0-0</f>
        <v>943.3</v>
      </c>
    </row>
    <row r="152" spans="1:31" s="2" customFormat="1" x14ac:dyDescent="0.3">
      <c r="A152">
        <v>91</v>
      </c>
      <c r="B152">
        <v>5</v>
      </c>
      <c r="C152">
        <v>28</v>
      </c>
      <c r="D152">
        <v>1</v>
      </c>
      <c r="E152">
        <v>6</v>
      </c>
      <c r="F152" s="3">
        <f>616+(349.5-47)+(-0.31416+(-0.178245--0.02397))+0-0-0</f>
        <v>918.031565</v>
      </c>
      <c r="G152" s="3">
        <f>616+(322.1-48)+(-0.94248+(-0.492813--0.07344))+0-0-0</f>
        <v>888.73814700000003</v>
      </c>
      <c r="H152" s="3">
        <f>618+(300-48)+(-0.31518+(-0.153--0.02448))+0-0-0</f>
        <v>869.55629999999996</v>
      </c>
      <c r="I152" s="3">
        <f>616+(289.7-49)+(-1.25664+(-0.590988--0.09996))+0-0-0</f>
        <v>854.95233200000007</v>
      </c>
      <c r="J152" s="3">
        <f>619+(252-49)+(0.31569+(0.12852-0.02499))+0-0-0</f>
        <v>822.41922</v>
      </c>
      <c r="K152" s="3">
        <f>603+(219.6-51)+(-0.30753+(-0.111996--0.02601))+0-0-0</f>
        <v>771.20648400000005</v>
      </c>
      <c r="L152" s="3">
        <f>546+(235.4-50)+(-0.27846+(-0.120054--0.0255))+0-0-0</f>
        <v>731.02698599999997</v>
      </c>
      <c r="M152" s="3">
        <f>546+(236.5-48)+(0+(0-0))+0-0-0</f>
        <v>734.5</v>
      </c>
      <c r="N152" s="3">
        <f>545+(251.8-42)+(0.27795+(0.128418-0.02142))+0-0-0</f>
        <v>755.18494799999996</v>
      </c>
      <c r="O152" s="3">
        <f>544+(267.9-43)+(0.27744+(0.136629-0.02193))+0-0-0</f>
        <v>769.29213900000002</v>
      </c>
      <c r="P152" s="3">
        <f>545+(299.8-46)+(0.27795+(0.152898-0.02346))+0-0-0</f>
        <v>799.20738799999992</v>
      </c>
      <c r="Q152" s="3">
        <f>566+(322.3-45)+(0.86598+(0.493119-0.06885))+0-0-0</f>
        <v>844.59024899999997</v>
      </c>
      <c r="R152" s="3">
        <f>616+(327.5-47)+(0.31416+(0.167025-0.02397))+0-0-0</f>
        <v>896.95721500000002</v>
      </c>
      <c r="S152" s="3">
        <f>631+(352.6-50)+(-0.64362+(-0.359652--0.051))+0-0-0</f>
        <v>932.64772800000003</v>
      </c>
      <c r="T152" s="3">
        <f>632+(363.7-50)+(-0.32232+(-0.185487--0.0255))+0-0-0</f>
        <v>945.21769300000005</v>
      </c>
      <c r="U152" s="3">
        <f>634+(344.9-52)+(0.32334+(0.175899-0.02652))+0-0-0</f>
        <v>927.37271899999996</v>
      </c>
      <c r="V152" s="3">
        <f>642+(297.8-52)+(-0.32742+(-0.151878--0.02652))+0-0-0</f>
        <v>887.34722199999999</v>
      </c>
      <c r="W152" s="3">
        <f>648+(235.9-57.6)+(-0.33048+(-0.120309--0.029376))+0-0-0</f>
        <v>825.87858699999992</v>
      </c>
      <c r="X152" s="3">
        <f>648+(193.9-62.1)+(-0.99144+(-0.296667--0.095013))+0-0-0</f>
        <v>778.60690599999998</v>
      </c>
      <c r="Y152" s="3">
        <f>651+(270.3-51)+(0.66402+(0.275706-0.05202))+0-0-0</f>
        <v>871.18770599999993</v>
      </c>
      <c r="Z152" s="3">
        <f>646+(360.2-52)+(0.32946+(0.183702-0.02652))+0-0-0</f>
        <v>954.68664200000001</v>
      </c>
      <c r="AA152" s="3">
        <f>650+(397.7-55)+(-1.326+(-0.811308--0.1122))+0-0-0</f>
        <v>990.674892</v>
      </c>
      <c r="AB152" s="3">
        <f>647+(393.1-55)+(-0.65994+(-0.400962--0.0561))+0-0-0</f>
        <v>984.09519799999998</v>
      </c>
      <c r="AC152" s="3">
        <f>647+(380.8-53)+(0+(0-0))+0-0-0</f>
        <v>974.8</v>
      </c>
      <c r="AD152" s="2">
        <v>794.475956</v>
      </c>
      <c r="AE152" s="3">
        <f>630+(397.6-55)+(0+(0-0))+0-0-0</f>
        <v>972.6</v>
      </c>
    </row>
    <row r="153" spans="1:31" s="2" customFormat="1" x14ac:dyDescent="0.3">
      <c r="A153">
        <v>91</v>
      </c>
      <c r="B153">
        <v>5</v>
      </c>
      <c r="C153">
        <v>29</v>
      </c>
      <c r="D153">
        <v>2</v>
      </c>
      <c r="E153">
        <v>3</v>
      </c>
      <c r="F153" s="3">
        <f>644+(358.9-47)+(-0.65688+(-0.366078--0.04794))+0-0-0</f>
        <v>954.924982</v>
      </c>
      <c r="G153" s="3">
        <f>643+(328-50)+(-1.31172+(-0.66912--0.102))+0-0-0</f>
        <v>919.12116000000003</v>
      </c>
      <c r="H153" s="3">
        <f>643+(293.9-50)+(-0.32793+(-0.149889--0.0255))+0-0-0</f>
        <v>886.44768099999999</v>
      </c>
      <c r="I153" s="3">
        <f>625+(278.5-50)+(0+(0-0))+0-0-0</f>
        <v>853.5</v>
      </c>
      <c r="J153" s="3">
        <f>564+(318.3-50)+(-0.86292+(-0.486999--0.0765))+0-0-0</f>
        <v>831.02658099999996</v>
      </c>
      <c r="K153" s="3">
        <f>557+(282.5-49)+(-1.13628+(-0.5763--0.09996))+0-0-0</f>
        <v>788.88738000000001</v>
      </c>
      <c r="L153" s="3">
        <f>544+(201-43)+(-2.21952+(-0.82008--0.17544))+0-0-0</f>
        <v>699.13584000000003</v>
      </c>
      <c r="M153" s="3">
        <f>544+(159.3-44.5)+(0+(0-0))+0-0-0</f>
        <v>658.8</v>
      </c>
      <c r="N153" s="3">
        <f>543+(138-55.5)+(0.55386+(0.14076-0.05661))+0-0-0</f>
        <v>626.13801000000001</v>
      </c>
      <c r="O153" s="3">
        <f>543+(157.3-51)+(-0.27693+(-0.080223--0.02601))+0-0-0</f>
        <v>648.96885699999996</v>
      </c>
      <c r="P153" s="3">
        <f>546+(215.4-46)+(-0.27846+(-0.109854--0.02346))+0-0-0</f>
        <v>715.03514599999994</v>
      </c>
      <c r="Q153" s="3">
        <f>565+(249.1-50)+(0+(0-0))+0-0-0</f>
        <v>764.1</v>
      </c>
      <c r="R153" s="3">
        <f>612+(265.4-55)+(-0.31212+(-0.135354--0.02805))+0-0-0</f>
        <v>821.98057599999993</v>
      </c>
      <c r="S153" s="3">
        <f>614+(299.6-52)+(-0.62628+(-0.305592--0.05304))+0-0-0</f>
        <v>860.72116800000003</v>
      </c>
      <c r="T153" s="3">
        <f>614+(312.8-52)+(-1.25256+(-0.638112--0.10608))+0-0-0</f>
        <v>873.01540799999998</v>
      </c>
      <c r="U153" s="3">
        <f>597+(306.8-52)+(0.60894+(0.312936-0.05304))+0-0-0</f>
        <v>852.66883599999994</v>
      </c>
      <c r="V153" s="3">
        <f>549+(316.7-52)+(0.83997+(0.484551-0.07956))+0-0-0</f>
        <v>814.94496100000003</v>
      </c>
      <c r="W153" s="3">
        <f>563+(251.7-51)+(-0.57426+(-0.256734--0.05202))+0-0-0</f>
        <v>762.9210260000001</v>
      </c>
      <c r="X153" s="3">
        <f>564+(193.2-52)+(-0.86292+(-0.295596--0.07956))+0-0-0</f>
        <v>704.1210440000001</v>
      </c>
      <c r="Y153" s="3">
        <f>565+(277.4-55)+(-0.28815+(-0.141474--0.02805))+0-0-0</f>
        <v>786.99842599999999</v>
      </c>
      <c r="Z153" s="3">
        <f>587+(350.3-54)+(-0.89811+(-0.535959--0.08262))+0-0-0</f>
        <v>881.94855099999995</v>
      </c>
      <c r="AA153" s="3">
        <f>609+(354.3-56)+(-0.93177+(-0.542079--0.08568))+0-0-0</f>
        <v>905.91183100000001</v>
      </c>
      <c r="AB153" s="3">
        <f>606+(369.8-54)+(-0.30906+(-0.188598--0.02754))+0-0-0</f>
        <v>921.329882</v>
      </c>
      <c r="AC153" s="3">
        <f>606+(358.8-44)+(-0.30906+(-0.182988--0.02244))+0-0-0</f>
        <v>920.33039199999996</v>
      </c>
      <c r="AD153" s="2">
        <v>820.24310500000001</v>
      </c>
      <c r="AE153" s="3">
        <f>609+(347.1-58)+(0+(0-0))+0-0-0</f>
        <v>898.1</v>
      </c>
    </row>
    <row r="154" spans="1:31" s="2" customFormat="1" x14ac:dyDescent="0.3">
      <c r="A154">
        <v>91</v>
      </c>
      <c r="B154">
        <v>5</v>
      </c>
      <c r="C154">
        <v>30</v>
      </c>
      <c r="D154">
        <v>3</v>
      </c>
      <c r="E154">
        <v>3</v>
      </c>
      <c r="F154" s="3">
        <f>596+(340.9-43)+(0.30396+(0.173859-0.02193))+0-0-0</f>
        <v>894.35588899999993</v>
      </c>
      <c r="G154" s="3">
        <f>574+(335.1-42)+(0.29274+(0.170901-0.02142))+0-0-0</f>
        <v>867.54222100000004</v>
      </c>
      <c r="H154" s="3">
        <f>568+(318.1-41)+(-0.28968+(-0.162231--0.02091))+0-0-0</f>
        <v>844.66899899999999</v>
      </c>
      <c r="I154" s="3">
        <f>568+(296.9-40)+(-0.28968+(-0.151419--0.0204))+0-0-0</f>
        <v>824.47930099999996</v>
      </c>
      <c r="J154" s="3">
        <f>561+(276-40)+(-0.85833+(-0.42228--0.0612))+0-0-0</f>
        <v>795.78058999999996</v>
      </c>
      <c r="K154" s="3">
        <f>563+(243.5-39)+(0+(0-0))+0-0-0</f>
        <v>767.5</v>
      </c>
      <c r="L154" s="3">
        <f>558+(180.4-47)+(-1.4229+(-0.46002--0.11985))+0-0-0</f>
        <v>689.63693000000001</v>
      </c>
      <c r="M154" s="3">
        <f>516+(199.4-44)+(-0.52632+(-0.203388--0.04488))+0-0-0</f>
        <v>670.71517199999994</v>
      </c>
      <c r="N154" s="3">
        <f>517+(191.9-44)+(0.52734+(0.195738-0.04488))+0-0-0</f>
        <v>665.57819799999993</v>
      </c>
      <c r="O154" s="3">
        <f>517+(205.2-45)+(-0.26367+(-0.104652--0.02295))+0-0-0</f>
        <v>676.85462800000005</v>
      </c>
      <c r="P154" s="3">
        <f>517+(236.7-45)+(0.52734+(0.241434-0.0459))+0-0-0</f>
        <v>709.42287400000009</v>
      </c>
      <c r="Q154" s="3">
        <f>588+(212.3-48.1)+(-0.59976+(-0.216546--0.049062))+0-0-0</f>
        <v>751.43275600000004</v>
      </c>
      <c r="R154" s="3">
        <f>593+(263.3-49)+(-0.30243+(-0.134283--0.02499))+0-0-0</f>
        <v>806.8882769999999</v>
      </c>
      <c r="S154" s="3">
        <f>593+(307.6-49)+(-0.30243+(-0.156876--0.02499))+0-0-0</f>
        <v>851.16568400000006</v>
      </c>
      <c r="T154" s="3">
        <f>595+(332.8-48)+(-1.2138+(-0.678912--0.09792))+0-0-0</f>
        <v>878.00520799999993</v>
      </c>
      <c r="U154" s="3">
        <f>597+(313.4-47)+(0+(0-0))+0-0-0</f>
        <v>863.4</v>
      </c>
      <c r="V154" s="3">
        <f>605+(271.8-45)+(-0.30855+(-0.138618--0.02295))+0-0-0</f>
        <v>831.37578199999996</v>
      </c>
      <c r="W154" s="3">
        <f>615+(206.5-55)+(-1.2546+(-0.42126--0.1122))+0-0-0</f>
        <v>764.93633999999997</v>
      </c>
      <c r="X154" s="3">
        <f>607+(163.7-60.6)+(-0.92871+(-0.250461--0.092718))+0-0-0</f>
        <v>709.01354700000002</v>
      </c>
      <c r="Y154" s="3">
        <f>541+(307.3-44)+(-0.82773+(-0.470169--0.06732))+0-0-0</f>
        <v>803.06942099999992</v>
      </c>
      <c r="Z154" s="3">
        <f>582+(375.5-52)+(-1.18728+(-0.76602--0.10608))+0-0-0</f>
        <v>903.65278000000001</v>
      </c>
      <c r="AA154" s="3">
        <f>617+(354.6-53)+(-0.62934+(-0.361692--0.05406))+0-0-0</f>
        <v>917.66302800000005</v>
      </c>
      <c r="AB154" s="3">
        <f>618+(366.9-51)+(-1.26072+(-0.748476--0.10404))+0-0-0</f>
        <v>931.99484399999994</v>
      </c>
      <c r="AC154" s="3">
        <f>617+(369.9-50)+(0+(0-0))+0-0-0</f>
        <v>936.9</v>
      </c>
      <c r="AD154" s="2">
        <v>817.86974400000008</v>
      </c>
      <c r="AE154" s="3">
        <f>618+(361.3-54)+(0+(0-0))+0-0-0</f>
        <v>925.3</v>
      </c>
    </row>
    <row r="155" spans="1:31" s="2" customFormat="1" x14ac:dyDescent="0.3">
      <c r="A155">
        <v>91</v>
      </c>
      <c r="B155">
        <v>5</v>
      </c>
      <c r="C155">
        <v>31</v>
      </c>
      <c r="D155">
        <v>4</v>
      </c>
      <c r="E155">
        <v>1</v>
      </c>
      <c r="F155" s="3">
        <f>612+(351.1-46)+(0.31212+(0.179061-0.02346))+0-0-0</f>
        <v>917.56772100000001</v>
      </c>
      <c r="G155" s="3">
        <f>612+(321-45)+(0.31212+(0.16371-0.02295))+0-0-0</f>
        <v>888.45288000000005</v>
      </c>
      <c r="H155" s="3">
        <f>612+(294.4-45)+(0+(0-0))+0-0-0</f>
        <v>861.4</v>
      </c>
      <c r="I155" s="3">
        <f>612+(268.8-44)+(0+(0-0))+0-0-0</f>
        <v>836.8</v>
      </c>
      <c r="J155" s="3">
        <f>608+(243.6-46)+(-1.24032+(-0.496944--0.09384))+0-0-0</f>
        <v>803.95657600000004</v>
      </c>
      <c r="K155" s="3">
        <f>556+(268.3-48)+(-1.13424+(-0.547332--0.09792))+0-0-0</f>
        <v>774.71634799999993</v>
      </c>
      <c r="L155" s="3">
        <f>533+(233-48)+(-2.17464+(-0.95064--0.19584))+0-0-0</f>
        <v>715.07056</v>
      </c>
      <c r="M155" s="3">
        <f>532+(223.9-46)+(0.54264+(0.228378-0.04692))+0-0-0</f>
        <v>710.624098</v>
      </c>
      <c r="N155" s="3">
        <f>524+(239.6-46)+(0.53448+(0.244392-0.04692))+0-0-0</f>
        <v>718.331952</v>
      </c>
      <c r="O155" s="3">
        <f>525+(254.3-47)+(0.26775+(0.129693-0.02397))+0-0-0</f>
        <v>732.67347299999994</v>
      </c>
      <c r="P155" s="3">
        <f>593+(214.2-50.6)+(0.30243+(0.109242-0.025806))+0-0-0</f>
        <v>756.98586599999999</v>
      </c>
      <c r="Q155" s="3">
        <f>597+(248.3-45)+(0.91341+(0.379899-0.06885))+0-0-0</f>
        <v>801.52445899999998</v>
      </c>
      <c r="R155" s="3">
        <f>590+(306-43)+(-0.3009+(-0.15606--0.02193))+0-0-0</f>
        <v>852.56497000000002</v>
      </c>
      <c r="S155" s="3">
        <f>589+(361.5-45)+(-0.60078+(-0.36873--0.0459))+0-0-0</f>
        <v>904.57638999999995</v>
      </c>
      <c r="T155" s="3">
        <f>587+(376.1-45)+(-0.89811+(-0.575433--0.06885))+0-0-0</f>
        <v>916.69530700000007</v>
      </c>
      <c r="U155" s="3">
        <f>589+(353.6-45)+(0.30039+(0.180336-0.02295))+0-0-0</f>
        <v>898.05777599999999</v>
      </c>
      <c r="V155" s="3">
        <f>595+(306.3-46)+(-0.30345+(-0.156213--0.02346))+0-0-0</f>
        <v>854.86379699999998</v>
      </c>
      <c r="W155" s="3">
        <f>603+(237.2-43.4)+(-0.30753+(-0.120972--0.022134))+0-0-0</f>
        <v>796.39363199999991</v>
      </c>
      <c r="X155" s="3">
        <f>605+(186-53.8)+(-0.92565+(-0.28458--0.082314))+0-0-0</f>
        <v>736.07208400000002</v>
      </c>
      <c r="Y155" s="3">
        <f>611+(261.8-52)+(-0.62322+(-0.267036--0.05304))+0-0-0</f>
        <v>819.96278399999994</v>
      </c>
      <c r="Z155" s="3">
        <f>613+(364-52)+(0.31263+(0.18564-0.02652))+0-0-0</f>
        <v>925.47175000000004</v>
      </c>
      <c r="AA155" s="3">
        <f>611+(395.6-52)+(-1.24644+(-0.807024--0.10608))+0-0-0</f>
        <v>952.65261599999997</v>
      </c>
      <c r="AB155" s="3">
        <f>610+(402.8-51)+(0.3111+(0.205428-0.02601))+0-0-0</f>
        <v>962.29051799999991</v>
      </c>
      <c r="AC155" s="3">
        <f>612+(389.1-51)+(0.62424+(0.396882-0.05202))+0-0-0</f>
        <v>951.06910200000004</v>
      </c>
      <c r="AD155" s="2">
        <v>940.5</v>
      </c>
      <c r="AE155" s="3">
        <v>6972.4</v>
      </c>
    </row>
    <row r="156" spans="1:31" s="2" customFormat="1" x14ac:dyDescent="0.3">
      <c r="A156">
        <v>91</v>
      </c>
      <c r="B156">
        <v>6</v>
      </c>
      <c r="C156">
        <v>1</v>
      </c>
      <c r="D156">
        <v>5</v>
      </c>
      <c r="E156">
        <v>1</v>
      </c>
      <c r="F156" s="3">
        <f>604+(363.4-48)+(-0.61608+(-0.370668--0.04896))+0-0-0</f>
        <v>918.46221200000002</v>
      </c>
      <c r="G156" s="3">
        <f>604+(325.7-47)+(-0.30804+(-0.166107--0.02397))+0-0-0</f>
        <v>882.24982299999999</v>
      </c>
      <c r="H156" s="3">
        <f>603+(297.5-47)+(-1.23012+(-0.6069--0.09588))+0-0-0</f>
        <v>851.75886000000003</v>
      </c>
      <c r="I156" s="3">
        <f>606+(267.4-47)+(0.30906+(0.136374-0.02397))+0-0-0</f>
        <v>826.82146399999999</v>
      </c>
      <c r="J156" s="3">
        <f>531+(321.6-47)+(1.62486+(0.984096-0.14382))+0-0-0</f>
        <v>808.06513600000005</v>
      </c>
      <c r="K156" s="3">
        <f>531+(295.6-48)+(0.27081+(0.150756-0.02448))+0-0-0</f>
        <v>778.99708599999997</v>
      </c>
      <c r="L156" s="3">
        <f>538+(223.7-48)+(-1.09752+(-0.456348--0.09792))+0-0-0</f>
        <v>712.24405200000001</v>
      </c>
      <c r="M156" s="3">
        <f>538+(218.6-48)+(-0.27438+(-0.111486--0.02448))+0-0-0</f>
        <v>708.23861399999998</v>
      </c>
      <c r="N156" s="3">
        <f>521+(237.2-45)+(0.53142+(0.241944-0.0459))+0-0-0</f>
        <v>713.9274640000001</v>
      </c>
      <c r="O156" s="3">
        <f>509+(260.1-48)+(0+(0-0))+0-0-0</f>
        <v>721.1</v>
      </c>
      <c r="P156" s="3">
        <f>550+(251.2-49)+(0+(0-0))+0-0-0</f>
        <v>752.2</v>
      </c>
      <c r="Q156" s="3">
        <f>580+(266.7-50.2)+(-0.5916+(-0.272034--0.051204))+0-0-0</f>
        <v>795.68757000000005</v>
      </c>
      <c r="R156" s="3">
        <f>588+(323.6-49)+(-0.59976+(-0.330072--0.04998))+0-0-0</f>
        <v>861.72014799999999</v>
      </c>
      <c r="S156" s="3">
        <f>597+(366.9-50)+(-0.60894+(-0.374238--0.051))+0-0-0</f>
        <v>912.96782199999996</v>
      </c>
      <c r="T156" s="3">
        <f>620+(361.1-49)+(0+(0-0))+0-0-0</f>
        <v>932.1</v>
      </c>
      <c r="U156" s="3">
        <f>631+(336.9-47)+(0.32181+(0.171819-0.02397))+0-0-0</f>
        <v>921.36965899999996</v>
      </c>
      <c r="V156" s="3">
        <f>645+(281.7-49)+(-1.64475+(-0.718335--0.12495))+0-0-0</f>
        <v>875.46186499999999</v>
      </c>
      <c r="W156" s="3">
        <f>643+(220.8-53.9)+(-1.31172+(-0.450432--0.109956))+0-0-0</f>
        <v>808.24780399999997</v>
      </c>
      <c r="X156" s="3">
        <f>643+(171.9-69)+(-1.31172+(-0.350676--0.14076))+0-0-0</f>
        <v>744.37836400000003</v>
      </c>
      <c r="Y156" s="3">
        <f>645+(246.3-51)+(-0.32895+(-0.125613--0.02601))+0-0-0</f>
        <v>839.87144699999999</v>
      </c>
      <c r="Z156" s="3">
        <f>647+(338.5-54)+(0+(0-0))+0-0-0</f>
        <v>931.5</v>
      </c>
      <c r="AA156" s="3">
        <f>645+(367-53)+(-1.64475+(-0.93585--0.13515))+0-0-0</f>
        <v>956.55454999999995</v>
      </c>
      <c r="AB156" s="3">
        <f>641+(380.3-52)+(-1.30764+(-0.775812--0.10608))+0-0-0</f>
        <v>967.32262800000001</v>
      </c>
      <c r="AC156" s="3">
        <f>643+(365.3-52)+(-0.65586+(-0.372606--0.05304))+0-0-0</f>
        <v>955.32457399999998</v>
      </c>
      <c r="AD156" s="2">
        <v>948.3</v>
      </c>
      <c r="AE156" s="3">
        <v>7068.2999999999993</v>
      </c>
    </row>
    <row r="157" spans="1:31" s="2" customFormat="1" x14ac:dyDescent="0.3">
      <c r="A157">
        <v>91</v>
      </c>
      <c r="B157">
        <v>6</v>
      </c>
      <c r="C157">
        <v>2</v>
      </c>
      <c r="D157">
        <v>6</v>
      </c>
      <c r="E157">
        <v>1</v>
      </c>
      <c r="F157" s="3">
        <f>638+(338.1-48)+(0+(0-0))+0-0-0</f>
        <v>928.1</v>
      </c>
      <c r="G157" s="3">
        <f>627+(310.8-47)+(0.31977+(0.158508-0.02397))+0-0-0</f>
        <v>891.25430799999992</v>
      </c>
      <c r="H157" s="3">
        <f>621+(297.7-44)+(1.26684+(0.607308-0.08976))+0-0-0</f>
        <v>876.48438800000008</v>
      </c>
      <c r="I157" s="3">
        <f>594+(277.5-43)+(-0.30294+(-0.141525--0.02193))+0-0-0</f>
        <v>828.07746499999996</v>
      </c>
      <c r="J157" s="3">
        <f>590+(255.1-43)+(-0.6018+(-0.260202--0.04386))+0-0-0</f>
        <v>801.28185800000006</v>
      </c>
      <c r="K157" s="3">
        <f>578+(231.3-46)+(-0.88434+(-0.353889--0.07038))+0-0-0</f>
        <v>762.13215099999991</v>
      </c>
      <c r="L157" s="3">
        <f>498+(258.2-48)+(-1.77786+(-0.921774--0.17136))+0-0-0</f>
        <v>705.67172600000004</v>
      </c>
      <c r="M157" s="3">
        <f>489+(258.3-47)+(-0.24939+(-0.131733--0.02397))+0-0-0</f>
        <v>699.94284699999992</v>
      </c>
      <c r="N157" s="3">
        <f>490+(253.5-43)+(0.7497+(0.387855-0.06579))+0-0-0</f>
        <v>701.57176500000003</v>
      </c>
      <c r="O157" s="3">
        <f>516+(247.8-41)+(-0.52632+(-0.252756--0.04182))+0-0-0</f>
        <v>722.06274399999995</v>
      </c>
      <c r="P157" s="3">
        <f>525+(257.1-45)+(-0.26775+(-0.131121--0.02295))+0-0-0</f>
        <v>736.72407900000007</v>
      </c>
      <c r="Q157" s="3">
        <f>524+(304.6-45)+(0.26724+(0.155346-0.02295))+0-0-0</f>
        <v>783.99963600000001</v>
      </c>
      <c r="R157" s="3">
        <f>517+(348.8-44)+(0.26367+(0.177888-0.02244))+0-0-0</f>
        <v>822.21911799999998</v>
      </c>
      <c r="S157" s="3">
        <f>523+(365.3-46)+(0.53346+(0.372606-0.04692))+0-0-0</f>
        <v>843.15914599999996</v>
      </c>
      <c r="T157" s="3">
        <f>599+(313.2-46)+(-1.22196+(-0.638928--0.09384))+0-0-0</f>
        <v>864.432952</v>
      </c>
      <c r="U157" s="3">
        <f>599+(309.5-48)+(-0.61098+(-0.31569--0.04896))+0-0-0</f>
        <v>859.62229000000002</v>
      </c>
      <c r="V157" s="3">
        <f>601+(269.8-48)+(-0.30651+(-0.137598--0.02448))+0-0-0</f>
        <v>822.38037199999997</v>
      </c>
      <c r="W157" s="3">
        <f>618+(222.1-58.6)+(-0.94554+(-0.339813--0.089658))+0-0-0</f>
        <v>780.304305</v>
      </c>
      <c r="X157" s="3">
        <f>624+(176.5-72.5)+(-1.90944+(-0.54009--0.22185))+0-0-0</f>
        <v>725.77232000000004</v>
      </c>
      <c r="Y157" s="3">
        <f>624+(240.6-53)+(0+(0-0))+0-0-0</f>
        <v>811.6</v>
      </c>
      <c r="Z157" s="3">
        <f>627+(332-53)+(0.31977+(0.16932-0.02703))+0-0-0</f>
        <v>906.46205999999995</v>
      </c>
      <c r="AA157" s="3">
        <f>644+(344.2-53)+(-0.98532+(-0.526626--0.08109))+0-0-0</f>
        <v>933.7691440000001</v>
      </c>
      <c r="AB157" s="3">
        <f>644+(348.7-53)+(-0.65688+(-0.355674--0.05406))+0-0-0</f>
        <v>938.74150600000007</v>
      </c>
      <c r="AC157" s="3">
        <f>644+(330.5-51)+(-0.65688+(-0.33711--0.05202))+0-0-0</f>
        <v>922.55803000000003</v>
      </c>
      <c r="AD157" s="2">
        <v>935.8</v>
      </c>
      <c r="AE157" s="3">
        <v>6623.6</v>
      </c>
    </row>
    <row r="158" spans="1:31" s="2" customFormat="1" x14ac:dyDescent="0.3">
      <c r="A158">
        <v>91</v>
      </c>
      <c r="B158">
        <v>6</v>
      </c>
      <c r="C158">
        <v>3</v>
      </c>
      <c r="D158">
        <v>7</v>
      </c>
      <c r="E158">
        <v>1</v>
      </c>
      <c r="F158" s="3">
        <f>638+(309.1-43)+(0+(0-0))+0-0-0</f>
        <v>904.1</v>
      </c>
      <c r="G158" s="3">
        <f>639+(284.2-43)+(-0.97767+(-0.434826--0.06579))+0-0-0</f>
        <v>878.85329400000001</v>
      </c>
      <c r="H158" s="3">
        <f>639+(257.6-42)+(-0.97767+(-0.394128--0.06426))+0-0-0</f>
        <v>853.292462</v>
      </c>
      <c r="I158" s="3">
        <f>625+(246.5-41)+(-1.275+(-0.50286--0.08364))+0-0-0</f>
        <v>828.80578000000003</v>
      </c>
      <c r="J158" s="3">
        <f>556+(292.9-41)+(-1.4178+(-0.746895--0.10455))+0-0-0</f>
        <v>805.83985499999994</v>
      </c>
      <c r="K158" s="3">
        <f>556+(258-46)+(-0.28356+(-0.13158--0.02346))+0-0-0</f>
        <v>767.60832000000005</v>
      </c>
      <c r="L158" s="3">
        <f>553+(176.5-48)+(0+(0-0))+0-0-0</f>
        <v>681.5</v>
      </c>
      <c r="M158" s="3">
        <f>524+(175.6-45)+(-0.80172+(-0.268668--0.06885))+0-0-0</f>
        <v>653.59846200000004</v>
      </c>
      <c r="N158" s="3">
        <f>515+(174.7-45)+(0+(0-0))+0-0-0</f>
        <v>644.70000000000005</v>
      </c>
      <c r="O158" s="3">
        <f>515+(191.5-45)+(0.26265+(0.097665-0.02295))+0-0-0</f>
        <v>661.83736499999998</v>
      </c>
      <c r="P158" s="3">
        <f>518+(225.9-47)+(-0.52836+(-0.230418--0.04794))+0-0-0</f>
        <v>696.18916200000001</v>
      </c>
      <c r="Q158" s="3">
        <f>545+(233.3-43)+(-0.27795+(-0.118983--0.02193))+0-0-0</f>
        <v>734.92499699999996</v>
      </c>
      <c r="R158" s="3">
        <f>544+(290.9-38)+(-0.27744+(-0.148359--0.01938))+0-0-0</f>
        <v>796.49358099999995</v>
      </c>
      <c r="S158" s="3">
        <f>577+(316.3-49)+(-0.58854+(-0.322626--0.04998))+0-0-0</f>
        <v>843.43881399999998</v>
      </c>
      <c r="T158" s="3">
        <f>589+(325.4-49)+(-0.60078+(-0.331908--0.04998))+0-0-0</f>
        <v>864.517292</v>
      </c>
      <c r="U158" s="3">
        <f>591+(317.6-53)+(1.50705+(0.80988-0.13515))+0-0-0</f>
        <v>857.78178000000003</v>
      </c>
      <c r="V158" s="3">
        <f>595+(274.6-47)+(0.30345+(0.140046-0.02397))+0-0-0</f>
        <v>823.01952600000004</v>
      </c>
      <c r="W158" s="3">
        <f>600+(218.9-52.4)+(-0.612+(-0.223278--0.053448))+0-0-0</f>
        <v>765.71816999999999</v>
      </c>
      <c r="X158" s="3">
        <f>605+(179.9-57.6)+(0.30855+(0.091749-0.029376))+0-0-0</f>
        <v>727.6709229999999</v>
      </c>
      <c r="Y158" s="3">
        <f>606+(274-53)+(0.30906+(0.13974-0.02703))+0-0-0</f>
        <v>827.42177000000004</v>
      </c>
      <c r="Z158" s="3">
        <f>645+(321.1-56)+(0+(0-0))+0-0-0</f>
        <v>910.1</v>
      </c>
      <c r="AA158" s="3">
        <f>645+(346-50)+(-1.9737+(-1.05876--0.153))+0-0-0</f>
        <v>938.12054000000001</v>
      </c>
      <c r="AB158" s="3">
        <f>647+(353.3-52)+(-1.31988+(-0.720732--0.10608))+0-0-0</f>
        <v>946.36546799999996</v>
      </c>
      <c r="AC158" s="3">
        <f>647+(337.2-50)+(-0.32997+(-0.171972--0.0255))+0-0-0</f>
        <v>933.72355800000003</v>
      </c>
      <c r="AD158" s="2">
        <v>930.7</v>
      </c>
      <c r="AE158" s="3">
        <v>5669.5</v>
      </c>
    </row>
    <row r="159" spans="1:31" s="2" customFormat="1" x14ac:dyDescent="0.3">
      <c r="A159">
        <v>91</v>
      </c>
      <c r="B159">
        <v>6</v>
      </c>
      <c r="C159">
        <v>4</v>
      </c>
      <c r="D159">
        <v>1</v>
      </c>
      <c r="E159">
        <v>1</v>
      </c>
      <c r="F159" s="3">
        <f>639+(310.2-48)+(0.65178+(0.316404-0.04896))+0-0-0</f>
        <v>902.11922400000003</v>
      </c>
      <c r="G159" s="3">
        <f>639+(279.7-47)+(-0.97767+(-0.427941--0.07191))+0-0-0</f>
        <v>870.36629900000003</v>
      </c>
      <c r="H159" s="3">
        <f>639+(243.8-46)+(0+(0-0))+0-0-0</f>
        <v>836.8</v>
      </c>
      <c r="I159" s="3">
        <f>621+(240.9-45)+(-1.26684+(-0.491436--0.0918))+0-0-0</f>
        <v>815.23352399999999</v>
      </c>
      <c r="J159" s="3">
        <f>560+(283.9-46)+(-1.1424+(-0.579156--0.09384))+0-0-0</f>
        <v>796.27228400000001</v>
      </c>
      <c r="K159" s="3">
        <f>559+(250.1-47)+(0.28509+(0.127551-0.02397))+0-0-0</f>
        <v>762.48867100000007</v>
      </c>
      <c r="L159" s="3">
        <f>553+(190.4-45)+(-0.56406+(-0.194208--0.0459))+0-0-0</f>
        <v>697.68763200000001</v>
      </c>
      <c r="M159" s="3">
        <f>553+(180.3-47)+(1.12812+(0.367812-0.09588))+0-0-0</f>
        <v>687.70005199999991</v>
      </c>
      <c r="N159" s="3">
        <f>553+(184.1-43)+(0.28203+(0.093891-0.02193))+0-0-0</f>
        <v>694.45399099999997</v>
      </c>
      <c r="O159" s="3">
        <f>552+(188.4-46)+(0.56304+(0.192168-0.04692))+0-0-0</f>
        <v>695.10828800000002</v>
      </c>
      <c r="P159" s="3">
        <f>625+(175.4-74.1)+(0.31875+(0.089454-0.037791))+0-0-0</f>
        <v>726.67041299999994</v>
      </c>
      <c r="Q159" s="3">
        <f>610+(202.7-59.6)+(0.9333+(0.310131-0.091188))+0-0-0</f>
        <v>754.25224300000002</v>
      </c>
      <c r="R159" s="3">
        <f>588+(275.7-46)+(-0.89964+(-0.421821--0.07038))+0-0-0</f>
        <v>816.44891900000005</v>
      </c>
      <c r="S159" s="3">
        <f>589+(332.9-50)+(-0.60078+(-0.339558--0.051))+0-0-0</f>
        <v>871.01066200000002</v>
      </c>
      <c r="T159" s="3">
        <f>586+(354.1-50)+(0.29886+(0.180591-0.0255))+0-0-0</f>
        <v>890.55395099999998</v>
      </c>
      <c r="U159" s="3">
        <f>587+(335.2-46)+(0.29937+(0.170952-0.02346))+0-0-0</f>
        <v>876.64686200000006</v>
      </c>
      <c r="V159" s="3">
        <f>588+(287.2-46)+(-1.19952+(-0.585888--0.09384))+0-0-0</f>
        <v>827.50843200000008</v>
      </c>
      <c r="W159" s="3">
        <f>594+(227.4-53.6)+(-0.90882+(-0.347922--0.082008))+0-0-0</f>
        <v>766.62526600000001</v>
      </c>
      <c r="X159" s="3">
        <f>596+(177.9-57)+(-0.91188+(-0.272187--0.08721))+0-0-0</f>
        <v>715.80314299999998</v>
      </c>
      <c r="Y159" s="3">
        <f>549+(319.3-53)+(-0.27999+(-0.162843--0.02703))+0-0-0</f>
        <v>814.88419699999997</v>
      </c>
      <c r="Z159" s="3">
        <f>602+(364-57)+(0+(0-0))+0-0-0</f>
        <v>909</v>
      </c>
      <c r="AA159" s="3">
        <f>606+(391.3-54)+(-1.5453+(-0.997815--0.1377))+0-0-0</f>
        <v>940.89458500000001</v>
      </c>
      <c r="AB159" s="3">
        <f>612+(386-52)+(-1.5606+(-0.9843--0.1326))+0-0-0</f>
        <v>943.58770000000004</v>
      </c>
      <c r="AC159" s="3">
        <f>612+(366.1-50)+(-1.5606+(-0.933555--0.1275))+0-0-0</f>
        <v>925.73334499999999</v>
      </c>
      <c r="AD159" s="2">
        <v>937</v>
      </c>
      <c r="AE159" s="3">
        <v>7130.1</v>
      </c>
    </row>
    <row r="160" spans="1:31" s="2" customFormat="1" x14ac:dyDescent="0.3">
      <c r="A160">
        <v>91</v>
      </c>
      <c r="B160">
        <v>6</v>
      </c>
      <c r="C160">
        <v>5</v>
      </c>
      <c r="D160">
        <v>2</v>
      </c>
      <c r="E160">
        <v>1</v>
      </c>
      <c r="F160" s="3">
        <f>607+(329-49)+(-0.30957+(-0.16779--0.02499))+0-0-0</f>
        <v>886.54763000000003</v>
      </c>
      <c r="G160" s="3">
        <f>607+(296.3-48)+(1.23828+(0.604452-0.09792))+0-0-0</f>
        <v>857.04481199999998</v>
      </c>
      <c r="H160" s="3">
        <f>610+(262.5-46)+(-0.9333+(-0.401625--0.07038))+0-0-0</f>
        <v>825.235455</v>
      </c>
      <c r="I160" s="3">
        <f>608+(241.4-45)+(0.62016+(0.246228-0.0459))+0-0-0</f>
        <v>805.22048799999993</v>
      </c>
      <c r="J160" s="3">
        <f>565+(266.4-45)+(-1.1526+(-0.543456--0.0918))+0-0-0</f>
        <v>784.79574400000001</v>
      </c>
      <c r="K160" s="3">
        <f>528+(272.6-46)+(-0.26928+(-0.139026--0.02346))+0-0-0</f>
        <v>754.21515399999998</v>
      </c>
      <c r="L160" s="3">
        <f>523+(213.2-49)+(-1.33365+(-0.54366--0.12495))+0-0-0</f>
        <v>685.44764000000009</v>
      </c>
      <c r="M160" s="3">
        <f>522+(204.5-48)+(0+(0-0))+0-0-0</f>
        <v>678.5</v>
      </c>
      <c r="N160" s="3">
        <f>521+(207.6-49)+(0.26571+(0.105876-0.02499))+0-0-0</f>
        <v>679.946596</v>
      </c>
      <c r="O160" s="3">
        <f>520+(203-49)+(0.2652+(0.10353-0.02499))+0-0-0</f>
        <v>674.34374000000003</v>
      </c>
      <c r="P160" s="3">
        <f>550+(214.3-47)+(-0.2805+(-0.109293--0.02397))+0-0-0</f>
        <v>716.93417699999998</v>
      </c>
      <c r="Q160" s="3">
        <f>564+(244.8-47)+(0.57528+(0.249696-0.04794))+0-0-0</f>
        <v>762.57703599999991</v>
      </c>
      <c r="R160" s="3">
        <f>589+(290.4-47)+(-0.30039+(-0.148104--0.02397))+0-0-0</f>
        <v>831.97547599999996</v>
      </c>
      <c r="S160" s="3">
        <f>600+(327.9-49)+(-0.612+(-0.334458--0.04998))+0-0-0</f>
        <v>878.00352199999998</v>
      </c>
      <c r="T160" s="3">
        <f>607+(338.4-49)+(0+(0-0))+0-0-0</f>
        <v>896.4</v>
      </c>
      <c r="U160" s="3">
        <f>590+(333.8-47)+(0.3009+(0.170238-0.02397))+0-0-0</f>
        <v>877.24716799999999</v>
      </c>
      <c r="V160" s="3">
        <f>606+(262-48)+(-0.30906+(-0.13362--0.02448))+0-0-0</f>
        <v>819.58180000000004</v>
      </c>
      <c r="W160" s="3">
        <f>620+(180.7-53.9)+(-0.6324+(-0.184314--0.054978))+0-0-0</f>
        <v>746.03826399999991</v>
      </c>
      <c r="X160" s="3">
        <f>559+(181.7-47)+(0.57018+(0.185334-0.04794))+0-0-0</f>
        <v>694.40757400000007</v>
      </c>
      <c r="Y160" s="3">
        <f>559+(296.2-50)+(0.28509+(0.151062-0.0255))+0-0-0</f>
        <v>805.61065200000007</v>
      </c>
      <c r="Z160" s="3">
        <f>636+(310.6-54)+(-0.64872+(-0.316812--0.05508))+0-0-0</f>
        <v>891.68954800000006</v>
      </c>
      <c r="AA160" s="3">
        <f>636+(335.4-54)+(-0.97308+(-0.513162--0.08262))+0-0-0</f>
        <v>915.99637799999994</v>
      </c>
      <c r="AB160" s="3">
        <f>634+(344.8-51)+(-0.97002+(-0.527544--0.07803))+0-0-0</f>
        <v>926.38046599999996</v>
      </c>
      <c r="AC160" s="3">
        <f>633+(312.8-50)+(-1.61415+(-0.79764--0.1275))+4-0-0</f>
        <v>897.5157099999999</v>
      </c>
      <c r="AD160" s="2">
        <v>908</v>
      </c>
      <c r="AE160" s="3">
        <v>7152.8</v>
      </c>
    </row>
    <row r="161" spans="1:31" s="2" customFormat="1" x14ac:dyDescent="0.3">
      <c r="A161">
        <v>91</v>
      </c>
      <c r="B161">
        <v>6</v>
      </c>
      <c r="C161">
        <v>6</v>
      </c>
      <c r="D161">
        <v>3</v>
      </c>
      <c r="E161">
        <v>1</v>
      </c>
      <c r="F161" s="3">
        <f>630+(293.5-48)+(0+(0-0))+0-0-0</f>
        <v>875.5</v>
      </c>
      <c r="G161" s="3">
        <f>620+(270.2-47)+(-0.3162+(-0.137802--0.02397))+0-0-0</f>
        <v>842.76996800000006</v>
      </c>
      <c r="H161" s="3">
        <f>596+(269.4-47)+(0+(0-0))+0-0-0</f>
        <v>818.4</v>
      </c>
      <c r="I161" s="3">
        <f>586+(248.7-46)+(-1.19544+(-0.507348--0.09384))+0-0-0</f>
        <v>787.09105199999999</v>
      </c>
      <c r="J161" s="3">
        <f>546+(246.8-46)+(0+(0-0))+0-0-0</f>
        <v>746.8</v>
      </c>
      <c r="K161" s="3">
        <f>545+(227.7-50)+(-1.38975+(-0.580635--0.1275))+0-0-0</f>
        <v>720.85711500000002</v>
      </c>
      <c r="L161" s="3">
        <f>545+(178.1-51)+(-1.38975+(-0.454155--0.13005))+0-0-0</f>
        <v>670.38614500000006</v>
      </c>
      <c r="M161" s="3">
        <f>545+(153.4-48)+(0.27795+(0.078234-0.02448))+0-0-0</f>
        <v>650.73170399999992</v>
      </c>
      <c r="N161" s="3">
        <f>545+(150.4-44)+(0+(0-0))+0-0-0</f>
        <v>651.4</v>
      </c>
      <c r="O161" s="3">
        <f>544+(153-46)+(0.55488+(0.15606-0.04692))+0-0-0</f>
        <v>651.66402000000005</v>
      </c>
      <c r="P161" s="3">
        <f>541+(191.5-36)+(0+(0-0))+0-0-0</f>
        <v>696.5</v>
      </c>
      <c r="Q161" s="3">
        <f>541+(234-41)+(0.27591+(0.11934-0.02091))+0-0-0</f>
        <v>734.37433999999996</v>
      </c>
      <c r="R161" s="3">
        <f>596+(247.6-47)+(-0.60792+(-0.252552--0.04794))+0-0-0</f>
        <v>795.78746799999999</v>
      </c>
      <c r="S161" s="3">
        <f>612+(289-48)+(-0.31212+(-0.14739--0.02448))+0-0-0</f>
        <v>852.56497000000002</v>
      </c>
      <c r="T161" s="3">
        <f>613+(302.6-48)+(-0.62526+(-0.308652--0.04896))+0-0-0</f>
        <v>866.71504800000002</v>
      </c>
      <c r="U161" s="3">
        <f>586+(305.3-49)+(0.89658+(0.467109-0.07497))+0-0-0</f>
        <v>843.58871899999997</v>
      </c>
      <c r="V161" s="3">
        <f>582+(262.7-49)+(0+(0-0))+0-0-0</f>
        <v>795.7</v>
      </c>
      <c r="W161" s="3">
        <f>604+(202.2-52.1)+(-0.92412+(-0.309366--0.079713))+0-0-0</f>
        <v>752.94622700000002</v>
      </c>
      <c r="X161" s="3">
        <f>574+(178.7-47)+(-2.04918+(-0.637959--0.16779))+0-0-0</f>
        <v>703.18065100000001</v>
      </c>
      <c r="Y161" s="3">
        <f>560+(298.4-55)+(0+(0-0))+0-0-0</f>
        <v>803.4</v>
      </c>
      <c r="Z161" s="3">
        <f>636+(312.1-55)+(0.32436+(0.159171-0.02805))+0-0-0</f>
        <v>893.55548099999999</v>
      </c>
      <c r="AA161" s="3">
        <f>634+(334.4-55)+(-1.29336+(-0.682176--0.1122))+0-0-0</f>
        <v>911.53666399999997</v>
      </c>
      <c r="AB161" s="3">
        <f>636+(331.1-52)+(0+(0-0))+0-0-0</f>
        <v>915.1</v>
      </c>
      <c r="AC161" s="3">
        <f>636+(317.1-51)+(-0.32436+(-0.161721--0.02601))+0-0-0</f>
        <v>901.63992900000005</v>
      </c>
      <c r="AD161" s="2">
        <v>908.8</v>
      </c>
      <c r="AE161" s="3">
        <v>6953.5999999999995</v>
      </c>
    </row>
    <row r="162" spans="1:31" s="2" customFormat="1" x14ac:dyDescent="0.3">
      <c r="A162">
        <v>91</v>
      </c>
      <c r="B162">
        <v>6</v>
      </c>
      <c r="C162">
        <v>7</v>
      </c>
      <c r="D162">
        <v>4</v>
      </c>
      <c r="E162">
        <v>1</v>
      </c>
      <c r="F162" s="3">
        <f>627+(296.8-49)+(-0.63954+(-0.302736--0.04998))+0-0-0</f>
        <v>873.90770399999997</v>
      </c>
      <c r="G162" s="3">
        <f>615+(274.8-46)+(-0.31365+(-0.140148--0.02346))+0-0-0</f>
        <v>843.36966199999995</v>
      </c>
      <c r="H162" s="3">
        <f>612+(243-47)+(-0.93636+(-0.37179--0.07191))+0-0-0</f>
        <v>806.76376000000005</v>
      </c>
      <c r="I162" s="3">
        <f>613+(211.6-45)+(-0.31263+(-0.107916--0.02295))+0-0-0</f>
        <v>779.202404</v>
      </c>
      <c r="J162" s="3">
        <f>555+(242.5-47)+(0.84915+(0.371025-0.07191))+0-0-0</f>
        <v>751.64826500000004</v>
      </c>
      <c r="K162" s="3">
        <f>534+(230.6-51)+(0.81702+(0.352818-0.07803))+0-0-0</f>
        <v>714.69180800000004</v>
      </c>
      <c r="L162" s="3">
        <f>532+(165-51)+(0.54264+(0.1683-0.05202))+0-0-0</f>
        <v>646.65891999999997</v>
      </c>
      <c r="M162" s="3">
        <f>532+(155.1-51)+(0+(0-0))+0-0-0</f>
        <v>636.1</v>
      </c>
      <c r="N162" s="3">
        <f>530+(169.4-49)+(-0.8109+(-0.259182--0.07497))+0-0-0</f>
        <v>649.40488800000003</v>
      </c>
      <c r="O162" s="3">
        <f>531+(188.8-48)+(0.27081+(0.096288-0.02448))+0-0-0</f>
        <v>672.14261799999997</v>
      </c>
      <c r="P162" s="3">
        <f>528+(213.8-50)+(1.3464+(0.54519-0.1275))+0-0-0</f>
        <v>693.56408999999996</v>
      </c>
      <c r="Q162" s="3">
        <f>554+(234.1-48)+(0.28254+(0.119391-0.02448))+0-0-0</f>
        <v>740.47745099999997</v>
      </c>
      <c r="R162" s="3">
        <f>597+(255.1-45)+(-0.30447+(-0.130101--0.02295))+0-0-0</f>
        <v>806.68837900000005</v>
      </c>
      <c r="S162" s="3">
        <f>600+(307-49)+(0+(0-0))+0-0-0</f>
        <v>858</v>
      </c>
      <c r="T162" s="3">
        <f>600+(321.7-50)+(-0.306+(-0.164067--0.0255))+0-0-0</f>
        <v>871.25543300000004</v>
      </c>
      <c r="U162" s="3">
        <f>600+(305.5-49)+(-0.306+(-0.155805--0.02499))+0-0-0</f>
        <v>856.06318499999998</v>
      </c>
      <c r="V162" s="3">
        <f>604+(255.9-48)+(-0.61608+(-0.261018--0.04896))+0-0-0</f>
        <v>811.07186200000001</v>
      </c>
      <c r="W162" s="3">
        <f>610+(196.3-58.1)+(-0.3111+(-0.100113--0.029631))+0-0-0</f>
        <v>747.81841800000007</v>
      </c>
      <c r="X162" s="3">
        <f>615+(155.1-68.4)+(-0.94095+(-0.237303--0.104652))+0-0-0</f>
        <v>700.62639899999999</v>
      </c>
      <c r="Y162" s="3">
        <f>632+(228.9-51)+(0+(0-0))+0-0-0</f>
        <v>809.9</v>
      </c>
      <c r="Z162" s="3">
        <f>633+(316.5-53)+(-0.64566+(-0.32283--0.05406))+0-0-0</f>
        <v>895.58556999999996</v>
      </c>
      <c r="AA162" s="3">
        <f>633+(344.7-53)+(-0.32283+(-0.175797--0.02703))+0-0-0</f>
        <v>924.22840300000007</v>
      </c>
      <c r="AB162" s="3">
        <f>634+(350.8-52)+(-0.32334+(-0.178908--0.02652))+0-0-0</f>
        <v>932.32427199999995</v>
      </c>
      <c r="AC162" s="3">
        <f>634+(336.2-51)+(-0.97002+(-0.514386--0.07803))+0-0-0</f>
        <v>917.79362400000002</v>
      </c>
      <c r="AD162" s="2">
        <v>920.6</v>
      </c>
      <c r="AE162" s="3">
        <v>6525.2999999999993</v>
      </c>
    </row>
    <row r="163" spans="1:31" s="2" customFormat="1" x14ac:dyDescent="0.3">
      <c r="A163">
        <v>91</v>
      </c>
      <c r="B163">
        <v>6</v>
      </c>
      <c r="C163">
        <v>8</v>
      </c>
      <c r="D163">
        <v>5</v>
      </c>
      <c r="E163">
        <v>1</v>
      </c>
      <c r="F163" s="3">
        <f>610+(312.6-48)+(-0.6222+(-0.318852--0.04896))+0-0-0</f>
        <v>873.70790799999997</v>
      </c>
      <c r="G163" s="3">
        <f>601+(285.4-46)+(-1.22604+(-0.582216--0.09384))+0-0-0</f>
        <v>838.68558399999995</v>
      </c>
      <c r="H163" s="3">
        <f>600+(247-46)+(-0.918+(-0.37791--0.07038))+0-0-0</f>
        <v>799.77446999999995</v>
      </c>
      <c r="I163" s="3">
        <f>560+(256.9-45)+(-1.428+(-0.655095--0.11475))+0-0-0</f>
        <v>769.93165499999998</v>
      </c>
      <c r="J163" s="3">
        <f>527+(264.9-45)+(1.07508+(0.540396-0.0918))+0-0-0</f>
        <v>748.423676</v>
      </c>
      <c r="K163" s="3">
        <f>527+(233.6-46)+(0.53754+(0.238272-0.04692))+0-0-0</f>
        <v>715.328892</v>
      </c>
      <c r="L163" s="3">
        <f>523+(163.2-47)+(-0.80019+(-0.249696--0.07191))+0-0-0</f>
        <v>638.22202400000003</v>
      </c>
      <c r="M163" s="3">
        <f>536+(145.9-50)+(0.27336+(0.074409-0.0255))+0-0-0</f>
        <v>632.22226899999998</v>
      </c>
      <c r="N163" s="3">
        <f>537+(160.2-48)+(0+(0-0))+0-0-0</f>
        <v>649.20000000000005</v>
      </c>
      <c r="O163" s="3">
        <f>516+(194-46)+(0.26316+(0.09894-0.02346))+0-0-0</f>
        <v>664.33864000000005</v>
      </c>
      <c r="P163" s="3">
        <f>548+(201.3-46.3)+(0.27948+(0.102663-0.023613))+0-0-0</f>
        <v>703.35852999999997</v>
      </c>
      <c r="Q163" s="3">
        <f>591+(211.3-53)+(0.90423+(0.323289-0.08109))+0-0-0</f>
        <v>750.44642899999997</v>
      </c>
      <c r="R163" s="3">
        <f>589+(267.6-48)+(0.60078+(0.272952-0.04896))+0-0-0</f>
        <v>809.42477200000008</v>
      </c>
      <c r="S163" s="3">
        <f>588+(322.4-51)+(0.29988+(0.164424-0.02601))+0-0-0</f>
        <v>859.83829400000002</v>
      </c>
      <c r="T163" s="3">
        <f>590+(334.6-50)+(0+(0-0))+0-0-0</f>
        <v>874.6</v>
      </c>
      <c r="U163" s="3">
        <f>591+(312-50)+(-0.30141+(-0.15912--0.0255))+0-0-0</f>
        <v>852.56497000000002</v>
      </c>
      <c r="V163" s="3">
        <f>598+(260.4-51.2)+(-1.5249+(-0.66402--0.13056))+0-0-0</f>
        <v>805.14164000000005</v>
      </c>
      <c r="W163" s="3">
        <f>605+(202.8-61.6)+(-1.8513+(-0.620568--0.188496))+0-0-0</f>
        <v>743.91662800000006</v>
      </c>
      <c r="X163" s="3">
        <f>582+(180.7-56.7)+(-0.89046+(-0.276471--0.086751))+0-0-0</f>
        <v>704.91981999999996</v>
      </c>
      <c r="Y163" s="3">
        <f>577+(291.2-54)+(0.29427+(0.148512-0.02754))+0-0-0</f>
        <v>814.61524200000008</v>
      </c>
      <c r="Z163" s="3">
        <f>626+(324.4-53)+(-0.63852+(-0.330888--0.05406))+0-0-0</f>
        <v>896.48465199999998</v>
      </c>
      <c r="AA163" s="3">
        <f>626+(354.5-53)+(-1.27704+(-0.72318--0.10812))+0-0-0</f>
        <v>925.60789999999997</v>
      </c>
      <c r="AB163" s="3">
        <f>623+(363.7-52)+(-0.95319+(-0.556461--0.07956))+0-0-0</f>
        <v>933.2699090000001</v>
      </c>
      <c r="AC163" s="3">
        <f>623+(348.6-52)+(0.95319+(0.533358-0.07956))+0-0-0</f>
        <v>921.00698799999998</v>
      </c>
      <c r="AD163" s="2">
        <v>911.2</v>
      </c>
      <c r="AE163" s="3">
        <v>6388.7</v>
      </c>
    </row>
    <row r="164" spans="1:31" s="2" customFormat="1" x14ac:dyDescent="0.3">
      <c r="A164">
        <v>91</v>
      </c>
      <c r="B164">
        <v>6</v>
      </c>
      <c r="C164">
        <v>9</v>
      </c>
      <c r="D164">
        <v>6</v>
      </c>
      <c r="E164">
        <v>1</v>
      </c>
      <c r="F164" s="3">
        <f>615+(316.2-50)+(-0.6273+(-0.322524--0.051))+0-0-0</f>
        <v>880.30117600000005</v>
      </c>
      <c r="G164" s="3">
        <f>615+(283.5-49)+(0.31365+(0.144585-0.02499))+0-0-0</f>
        <v>849.93324500000006</v>
      </c>
      <c r="H164" s="3">
        <f>616+(256.4-47)+(0.62832+(0.261528-0.04794))+0-0-0</f>
        <v>826.24190799999997</v>
      </c>
      <c r="I164" s="3">
        <f>595+(250.4-46)+(-0.6069+(-0.255408--0.04692))+0-0-0</f>
        <v>798.58461199999999</v>
      </c>
      <c r="J164" s="3">
        <f>536+(283.6-45)+(1.64016+(0.867816-0.1377))+0-0-0</f>
        <v>776.97027600000001</v>
      </c>
      <c r="K164" s="3">
        <f>529+(259.6-49)+(1.07916+(0.529584-0.09996))+0-0-0</f>
        <v>741.10878400000001</v>
      </c>
      <c r="L164" s="3">
        <f>531+(189.7-49)+(0.54162+(0.193494-0.04998))+0-0-0</f>
        <v>672.38513399999999</v>
      </c>
      <c r="M164" s="3">
        <f>530+(189.8-49)+(1.6218+(0.580788-0.14994))+0-0-0</f>
        <v>672.85264799999993</v>
      </c>
      <c r="N164" s="3">
        <f>528+(202-50)+(0.80784+(0.30906-0.0765))+0-0-0</f>
        <v>681.04039999999998</v>
      </c>
      <c r="O164" s="3">
        <f>526+(223.8-50)+(0+(0-0))+0-0-0</f>
        <v>699.8</v>
      </c>
      <c r="P164" s="3">
        <f>592+(192.6-57.8)+(0.30192+(0.098226-0.029478))+0-0-0</f>
        <v>727.17066799999998</v>
      </c>
      <c r="Q164" s="3">
        <f>614+(216-52.8)+(0.31314+(0.11016-0.026928))+0-0-0</f>
        <v>777.59637200000009</v>
      </c>
      <c r="R164" s="3">
        <f>609+(274.4-49)+(-0.93177+(-0.419832--0.07497))+0-0-0</f>
        <v>833.12336800000003</v>
      </c>
      <c r="S164" s="3">
        <f>608+(304.7-51)+(-0.93024+(-0.466191--0.07803))+0-0-0</f>
        <v>860.38159900000005</v>
      </c>
      <c r="T164" s="3">
        <f>609+(328.6-49)+(-0.31059+(-0.167586--0.02499))+0-0-0</f>
        <v>888.14681400000006</v>
      </c>
      <c r="U164" s="3">
        <f>612+(308.7-48)+(0+(0-0))+0-0-0</f>
        <v>872.7</v>
      </c>
      <c r="V164" s="3">
        <f>617+(262.2-52.4)+(-0.31467+(-0.133722--0.026724))+0-0-0</f>
        <v>826.378332</v>
      </c>
      <c r="W164" s="3">
        <f>624+(200.2-65.1)+(0+(0-0))+0-0-0</f>
        <v>759.1</v>
      </c>
      <c r="X164" s="3">
        <f>570+(194.1-51.9)+(-0.8721+(-0.296973--0.079407))+0-0-0</f>
        <v>711.11033400000008</v>
      </c>
      <c r="Y164" s="3">
        <f>580+(299.4-54)+(0+(0-0))+0-0-0</f>
        <v>825.4</v>
      </c>
      <c r="Z164" s="3">
        <f>639+(317.5-54)+(0+(0-0))+0-0-0</f>
        <v>902.5</v>
      </c>
      <c r="AA164" s="3">
        <f>639+(337.4-52)+(-0.97767+(-0.516222--0.07956))+0-0-0</f>
        <v>922.98566800000003</v>
      </c>
      <c r="AB164" s="3">
        <f>634+(345.4-52)+(-1.6167+(-0.88077--0.1326))+0-0-0</f>
        <v>925.03512999999998</v>
      </c>
      <c r="AC164" s="3">
        <f>635+(340.9-51)+(-0.6477+(-0.347718--0.05202))+0-0-0</f>
        <v>923.95660199999998</v>
      </c>
      <c r="AD164" s="2">
        <v>907.5</v>
      </c>
      <c r="AE164" s="3">
        <v>6111.3</v>
      </c>
    </row>
    <row r="165" spans="1:31" s="2" customFormat="1" x14ac:dyDescent="0.3">
      <c r="A165">
        <v>91</v>
      </c>
      <c r="B165">
        <v>6</v>
      </c>
      <c r="C165">
        <v>10</v>
      </c>
      <c r="D165">
        <v>7</v>
      </c>
      <c r="E165">
        <v>1</v>
      </c>
      <c r="F165" s="3">
        <f>603+(324.3-43)+(-0.92259+(-0.496179--0.06579))+0-0-0</f>
        <v>882.94702099999995</v>
      </c>
      <c r="G165" s="3">
        <f>597+(313.1-47)+(-0.91341+(-0.479043--0.07191))+0-0-0</f>
        <v>861.77945699999998</v>
      </c>
      <c r="H165" s="3">
        <f>598+(280.9-46)+(-0.60996+(-0.286518--0.04692))+0-0-0</f>
        <v>832.05044199999998</v>
      </c>
      <c r="I165" s="3">
        <f>597+(247.6-45)+(0.30447+(0.126276-0.02295))+0-0-0</f>
        <v>800.00779599999998</v>
      </c>
      <c r="J165" s="3">
        <f>589+(230.8-45)+(-1.20156+(-0.470832--0.0918))+0-0-0</f>
        <v>773.21940799999993</v>
      </c>
      <c r="K165" s="3">
        <f>515+(259.7-46)+(-0.78795+(-0.397341--0.07038))+0-0-0</f>
        <v>727.58508900000004</v>
      </c>
      <c r="L165" s="3">
        <f>512+(176.2-43)+(-1.3056+(-0.44931--0.10965))+0-0-0</f>
        <v>643.55474000000004</v>
      </c>
      <c r="M165" s="3">
        <f>500+(180.9-47)+(0.255+(0.092259-0.02397))+0-0-0</f>
        <v>634.22328900000002</v>
      </c>
      <c r="N165" s="3">
        <f>500+(187.8-49)+(0.255+(0.095778-0.02499))+0-0-0</f>
        <v>639.12578799999994</v>
      </c>
      <c r="O165" s="3">
        <f>499+(197-49)+(-0.50898+(-0.20094--0.04998))+0-0-0</f>
        <v>646.34005999999999</v>
      </c>
      <c r="P165" s="3">
        <f>498+(221.9-49)+(0+(0-0))+0-0-0</f>
        <v>670.9</v>
      </c>
      <c r="Q165" s="3">
        <f>516+(250.9-50)+(0+(0-0))+0-0-0</f>
        <v>716.9</v>
      </c>
      <c r="R165" s="3">
        <f>568+(256.3-45)+(-0.28968+(-0.130713--0.02295))+0-0-0</f>
        <v>778.902557</v>
      </c>
      <c r="S165" s="3">
        <f>571+(320.5-48)+(-0.87363+(-0.490365--0.07344))+0-0-0</f>
        <v>842.20944499999996</v>
      </c>
      <c r="T165" s="3">
        <f>580+(317-49)+(-1.1832+(-0.64668--0.09996))+0-0-0</f>
        <v>846.27008000000001</v>
      </c>
      <c r="U165" s="3">
        <f>580+(296.5-34)+(0.2958+(0.151215-0.01734))+0-0-0</f>
        <v>842.92967499999997</v>
      </c>
      <c r="V165" s="3">
        <f>593+(261.1-47)+(-1.51215+(-0.665805--0.11985))+0-0-0</f>
        <v>805.04189500000007</v>
      </c>
      <c r="W165" s="3">
        <f>597+(191.5-62.8)+(-1.52235+(-0.488325--0.16014))+0-0-0</f>
        <v>723.84946500000001</v>
      </c>
      <c r="X165" s="3">
        <f>606+(150.1-81)+(-0.61812+(-0.153102--0.08262))+0-0-0</f>
        <v>674.41139800000008</v>
      </c>
      <c r="Y165" s="3">
        <f>607+(240.4-53)+(0.30957+(0.122604-0.02703))+0-0-0</f>
        <v>794.80514399999993</v>
      </c>
      <c r="Z165" s="3">
        <f>625+(298-52)+(0+(0-0))+0-0-0</f>
        <v>871</v>
      </c>
      <c r="AA165" s="3">
        <f>625+(329.3-53)+(-1.275+(-0.671772--0.10812))+0-0-0</f>
        <v>899.46134799999993</v>
      </c>
      <c r="AB165" s="3">
        <f>622+(351.1-53)+(0+(0-0))+0-0-0</f>
        <v>920.1</v>
      </c>
      <c r="AC165" s="3">
        <f>623+(342.4-51)+(-0.31773+(-0.174624--0.02601))+0-0-0</f>
        <v>913.93365599999993</v>
      </c>
      <c r="AD165" s="2">
        <v>902.3</v>
      </c>
      <c r="AE165" s="3">
        <v>5406.2</v>
      </c>
    </row>
    <row r="166" spans="1:31" s="2" customFormat="1" x14ac:dyDescent="0.3">
      <c r="A166">
        <v>91</v>
      </c>
      <c r="B166">
        <v>6</v>
      </c>
      <c r="C166">
        <v>11</v>
      </c>
      <c r="D166">
        <v>1</v>
      </c>
      <c r="E166">
        <v>1</v>
      </c>
      <c r="F166" s="3">
        <f>612+(314-47)+(-0.62424+(-0.32028--0.04794))+0-0-0</f>
        <v>878.10342000000003</v>
      </c>
      <c r="G166" s="3">
        <f>612+(282.1-45)+(-0.31212+(-0.143871--0.02295))+0-0-0</f>
        <v>848.66695900000002</v>
      </c>
      <c r="H166" s="3">
        <f>612+(232.2-43)+(-0.62424+(-0.236844--0.04386))+0-0-0</f>
        <v>800.38277600000004</v>
      </c>
      <c r="I166" s="3">
        <f>540+(273.8-43)+(0.8262+(0.418914-0.06579))+0-0-0</f>
        <v>771.97932399999991</v>
      </c>
      <c r="J166" s="3">
        <f>531+(245.2-43)+(-0.27081+(-0.125052--0.02193))+0-0-0</f>
        <v>732.82606800000008</v>
      </c>
      <c r="K166" s="3">
        <f>532+(203.3-43)+(-1.3566+(-0.518415--0.10965))+0-0-0</f>
        <v>690.53463499999998</v>
      </c>
      <c r="L166" s="3">
        <f>529+(155.6-54.1)+(-1.07916+(-0.317424--0.110364))+0-0-0</f>
        <v>629.21378000000004</v>
      </c>
      <c r="M166" s="3">
        <f>528+(151.8-56.1)+(0.26928+(0.077418-0.028611))+0-0-0</f>
        <v>624.01808700000004</v>
      </c>
      <c r="N166" s="3">
        <f>527+(159.9-50.4)+(0+(0-0))+0-0-0</f>
        <v>636.5</v>
      </c>
      <c r="O166" s="3">
        <f>524+(189.2-48)+(0+(0-0))+0-0-0</f>
        <v>665.2</v>
      </c>
      <c r="P166" s="3">
        <f>563+(186.1-53.7)+(0.57426+(0.189822-0.054774))+0-0-0</f>
        <v>696.10930799999994</v>
      </c>
      <c r="Q166" s="3">
        <f>608+(194.4-56.7)+(0+(0-0))+0-0-0</f>
        <v>745.7</v>
      </c>
      <c r="R166" s="3">
        <f>621+(226.4-48)+(0+(0-0))+0-0-0</f>
        <v>799.4</v>
      </c>
      <c r="S166" s="3">
        <f>621+(289.3-48)+(-1.26684+(-0.590172--0.09792))+0-0-0</f>
        <v>860.54090799999994</v>
      </c>
      <c r="T166" s="3">
        <f>613+(319.6-47)+(-0.93789+(-0.488988--0.07191))+0-0-0</f>
        <v>884.24503200000004</v>
      </c>
      <c r="U166" s="3">
        <f>613+(292.9-48)+(0.31263+(0.149379-0.02448))+0-0-0</f>
        <v>858.33752900000002</v>
      </c>
      <c r="V166" s="3">
        <f>620+(235.7-46)+(0.3162+(0.120207-0.02346))+0-0-0</f>
        <v>810.11294700000008</v>
      </c>
      <c r="W166" s="3">
        <f>595+(197.4-50)+(0+(0-0))+0-0-0</f>
        <v>742.4</v>
      </c>
      <c r="X166" s="3">
        <f>563+(180.3-52)+(0.57426+(0.183906-0.05304))+0-0-0</f>
        <v>692.0051259999999</v>
      </c>
      <c r="Y166" s="3">
        <f>580+(280.9-54)+(0+(0-0))+0-0-0</f>
        <v>806.9</v>
      </c>
      <c r="Z166" s="3">
        <f>641+(313.5-55)+(-0.32691+(-0.159885--0.02805))+0-0-0</f>
        <v>899.04125499999998</v>
      </c>
      <c r="AA166" s="3">
        <f>641+(336.3-54)+(-0.32691+(-0.171513--0.02754))+0-0-0</f>
        <v>922.829117</v>
      </c>
      <c r="AB166" s="3">
        <f>643+(345.1-53)+(-0.65586+(-0.352002--0.05406))+0-0-0</f>
        <v>934.14619800000003</v>
      </c>
      <c r="AC166" s="3">
        <f>643+(327.4-51)+(-0.65586+(-0.333948--0.05202))+0-0-0</f>
        <v>918.46221200000002</v>
      </c>
      <c r="AD166" s="2">
        <v>908.7</v>
      </c>
      <c r="AE166" s="3">
        <v>6703.4</v>
      </c>
    </row>
    <row r="167" spans="1:31" s="2" customFormat="1" x14ac:dyDescent="0.3">
      <c r="A167">
        <v>91</v>
      </c>
      <c r="B167">
        <v>6</v>
      </c>
      <c r="C167">
        <v>12</v>
      </c>
      <c r="D167">
        <v>2</v>
      </c>
      <c r="E167">
        <v>1</v>
      </c>
      <c r="F167" s="3">
        <f>626+(279.4-34)+(-0.95778+(-0.427482--0.05202))+0-0-0</f>
        <v>870.06675799999994</v>
      </c>
      <c r="G167" s="3">
        <f>617+(258.7-33)+(-1.57335+(-0.659685--0.08415))+0-0-0</f>
        <v>840.5511150000001</v>
      </c>
      <c r="H167" s="3">
        <f>585+(257-34)+(-0.5967+(-0.26214--0.03468))+0-0-0</f>
        <v>807.17583999999999</v>
      </c>
      <c r="I167" s="3">
        <f>536+(272-34)+(-1.09344+(-0.55488--0.06936))+0-0-0</f>
        <v>772.42103999999995</v>
      </c>
      <c r="J167" s="3">
        <f>533+(244.2-36)+(-0.27183+(-0.124542--0.01836))+0-0-0</f>
        <v>740.82198800000003</v>
      </c>
      <c r="K167" s="3">
        <f>534+(204.7-40)+(-0.27234+(-0.104397--0.0204))+0-0-0</f>
        <v>698.34366299999999</v>
      </c>
      <c r="L167" s="3">
        <f>535+(120.4-42.4)+(-1.90995+(-0.429828--0.151368))+0-0-0</f>
        <v>610.81159000000002</v>
      </c>
      <c r="M167" s="3">
        <f>554+(92-59.3)+(0.28254+(0.04692-0.030243))+0-0-0</f>
        <v>586.99921700000004</v>
      </c>
      <c r="N167" s="3">
        <f>577+(85.3-63.5)+(-0.29427+(-0.043503--0.032385))+0-0-0</f>
        <v>598.49461199999996</v>
      </c>
      <c r="O167" s="3">
        <f>585+(92.6-65.5)+(0+(0-0))+0-0-0</f>
        <v>612.1</v>
      </c>
      <c r="P167" s="3">
        <f>598+(118.1-63.3)+(-0.30498+(-0.060231--0.032283))+0-0-0</f>
        <v>652.46707199999992</v>
      </c>
      <c r="Q167" s="3">
        <f>626+(136.1-60.4)+(-0.31926+(-0.069411--0.030804))+0-0-0</f>
        <v>701.34213299999999</v>
      </c>
      <c r="R167" s="3">
        <f>618+(229.9-46)+(-0.63036+(-0.234498--0.04692))+0-0-0</f>
        <v>801.08206199999995</v>
      </c>
      <c r="S167" s="3">
        <f>619+(290.7-47)+(-0.31569+(-0.148257--0.02397))+0-0-0</f>
        <v>862.26002300000005</v>
      </c>
      <c r="T167" s="3">
        <f>631+(290.5-49)+(-1.60905+(-0.740775--0.12495))+0-0-0</f>
        <v>870.275125</v>
      </c>
      <c r="U167" s="3">
        <f>647+(258.4-45)+(-0.65994+(-0.263568--0.0459))+0-0-0</f>
        <v>859.52239199999997</v>
      </c>
      <c r="V167" s="3">
        <f>654+(202.6-50.7)+(-0.33354+(-0.103326--0.025857))+0-0-0</f>
        <v>805.48899099999994</v>
      </c>
      <c r="W167" s="3">
        <f>668+(150.1-70.3)+(-1.7034+(-0.382755--0.179265))+0-0-0</f>
        <v>745.89310999999998</v>
      </c>
      <c r="X167" s="3">
        <f>636+(137.6-74.4)+(-1.29744+(-0.280704--0.151776))+0-0-0</f>
        <v>697.77363200000002</v>
      </c>
      <c r="Y167" s="3">
        <f>617+(256.7-56)+(0.31467+(0.130917-0.02856))+0-0-0</f>
        <v>818.11702700000001</v>
      </c>
      <c r="Z167" s="3">
        <f>619+(340-54)+(0+(0-0))+0-0-0</f>
        <v>905</v>
      </c>
      <c r="AA167" s="3">
        <f>636+(355.3-53)+(-2.27052+(-1.268421--0.18921))+0-0-0</f>
        <v>934.95026899999993</v>
      </c>
      <c r="AB167" s="3">
        <f>633+(359.3-52)+(-0.96849+(-0.549729--0.07956))+0-0-0</f>
        <v>938.86134099999992</v>
      </c>
      <c r="AC167" s="3">
        <f>634+(328.5-40)+(-0.97002+(-0.502605--0.0612))+0-0-0</f>
        <v>921.08857499999999</v>
      </c>
      <c r="AD167" s="2">
        <v>921.4</v>
      </c>
      <c r="AE167" s="3">
        <v>7144.9000000000005</v>
      </c>
    </row>
    <row r="168" spans="1:31" s="2" customFormat="1" x14ac:dyDescent="0.3">
      <c r="A168">
        <v>91</v>
      </c>
      <c r="B168">
        <v>6</v>
      </c>
      <c r="C168">
        <v>13</v>
      </c>
      <c r="D168">
        <v>3</v>
      </c>
      <c r="E168">
        <v>1</v>
      </c>
      <c r="F168" s="3">
        <f>603+(313.9-36)+(-1.53765+(-0.800445--0.0918))+0-0-0</f>
        <v>878.65370499999995</v>
      </c>
      <c r="G168" s="3">
        <f>593+(288.6-35)+(-1.81458+(-0.883116--0.1071))+0-0-0</f>
        <v>844.00940400000002</v>
      </c>
      <c r="H168" s="3">
        <f>595+(258.7-35)+(-0.91035+(-0.395811--0.05355))+0-0-0</f>
        <v>817.44738900000004</v>
      </c>
      <c r="I168" s="3">
        <f>592+(231.9-35)+(-0.60384+(-0.236538--0.0357))+0-0-0</f>
        <v>788.09532200000001</v>
      </c>
      <c r="J168" s="3">
        <f>595+(200.5-36)+(-0.30345+(-0.102255--0.01836))+0-0-0</f>
        <v>759.11265500000002</v>
      </c>
      <c r="K168" s="3">
        <f>593+(163.2-43.5)+(-0.90729+(-0.249696--0.066555))+0-0-0</f>
        <v>711.60956900000008</v>
      </c>
      <c r="L168" s="3">
        <f>589+(125.1-72.6)+(-0.30039+(-0.063801--0.037026))+0-0-0</f>
        <v>641.17283499999996</v>
      </c>
      <c r="M168" s="3">
        <f>589+(114.6-73.5)+(0.30039+(0.058446-0.037485))+0-0-0</f>
        <v>630.42135100000007</v>
      </c>
      <c r="N168" s="3">
        <f>589+(125.2-71.2)+(0.30039+(0.063852-0.036312))+0-0-0</f>
        <v>643.32793000000004</v>
      </c>
      <c r="O168" s="3">
        <f>589+(137.5-70.6)+(-0.30039+(-0.070125--0.036006))+0-0-0</f>
        <v>655.56549099999995</v>
      </c>
      <c r="P168" s="3">
        <f>626+(131.2-77.8)+(0.31926+(0.066912-0.039678))+0-0-0</f>
        <v>679.74649399999998</v>
      </c>
      <c r="Q168" s="3">
        <f>643+(149.5-61.3)+(0.32793+(0.076245-0.031263))+0-0-0</f>
        <v>731.57291200000009</v>
      </c>
      <c r="R168" s="3">
        <f>639+(194.5-50)+(0+(0-0))+0-0-0</f>
        <v>783.5</v>
      </c>
      <c r="S168" s="3">
        <f>639+(252.4-50)+(-0.32589+(-0.128724--0.0255))+0-0-0</f>
        <v>840.97088599999995</v>
      </c>
      <c r="T168" s="3">
        <f>639+(267-50)+(-0.32589+(-0.13617--0.0255))+0-0-0</f>
        <v>855.56344000000001</v>
      </c>
      <c r="U168" s="3">
        <f>639+(246.6-50)+(-1.62945+(-0.62883--0.1275))+0-0-0</f>
        <v>833.46922000000006</v>
      </c>
      <c r="V168" s="3">
        <f>619+(190.8-46.5)+(-0.94707+(-0.291924--0.071145))+0-0-0</f>
        <v>762.13215099999991</v>
      </c>
      <c r="W168" s="3">
        <f>627.6+(148.5-69.6)+(-1.920456+(-0.45441--0.212976))+0-0-0</f>
        <v>704.33811000000003</v>
      </c>
      <c r="X168" s="3">
        <f>628.2+(119.5-80.4)+(-2.242674+(-0.426615--0.287028))+0-0-0</f>
        <v>664.9177390000001</v>
      </c>
      <c r="Y168" s="3">
        <f>633.5+(209.5-55)+(0.323085+(0.106845-0.02805))+0-0-0</f>
        <v>788.40188000000001</v>
      </c>
      <c r="Z168" s="3">
        <f>635.6+(283.3-55)+(-0.324156+(-0.144483--0.02805))+0-0-0</f>
        <v>863.45941100000005</v>
      </c>
      <c r="AA168" s="3">
        <f>635.6+(309.7-54)+(-1.296624+(-0.631788--0.11016))+0-0-0</f>
        <v>889.48174799999993</v>
      </c>
      <c r="AB168" s="3">
        <f>625.5+(319.8-53)+(-0.957015+(-0.489294--0.08109))+0-0-0</f>
        <v>890.93478099999993</v>
      </c>
      <c r="AC168" s="3">
        <f>624.1+(303.2-50)+(-0.636582+(-0.309264--0.051))+0-0-0</f>
        <v>876.40515399999992</v>
      </c>
      <c r="AD168" s="2">
        <v>897.5</v>
      </c>
      <c r="AE168" s="3">
        <v>6954.9</v>
      </c>
    </row>
    <row r="169" spans="1:31" s="2" customFormat="1" x14ac:dyDescent="0.3">
      <c r="A169">
        <v>91</v>
      </c>
      <c r="B169">
        <v>6</v>
      </c>
      <c r="C169">
        <v>14</v>
      </c>
      <c r="D169">
        <v>4</v>
      </c>
      <c r="E169">
        <v>1</v>
      </c>
      <c r="F169" s="3">
        <f>584.3+(309.9-51)+(-0.893979+(-0.474147--0.07803))+0-0-0</f>
        <v>841.90990399999998</v>
      </c>
      <c r="G169" s="3">
        <f>569.8+(294.1-49)+(-0.290598+(-0.149991--0.02499))+0-0-0</f>
        <v>814.48440099999993</v>
      </c>
      <c r="H169" s="3">
        <f>508.5+(326.9-48)+(-0.51867+(-0.333438--0.04896))+0-0-0</f>
        <v>786.59685200000001</v>
      </c>
      <c r="I169" s="3">
        <f>504.2+(283.3-25)+(-0.771426+(-0.433449--0.03825))+0-0-0</f>
        <v>761.33337500000005</v>
      </c>
      <c r="J169" s="3">
        <f>501.7+(228-0)+(1.023468+(0.46512-0))+0-0-0</f>
        <v>731.1885880000001</v>
      </c>
      <c r="K169" s="3">
        <f>507.8+(184.4-0)+(-0.776934+(-0.282132-0))+0-0-0</f>
        <v>691.14093400000002</v>
      </c>
      <c r="L169" s="3">
        <f>508.1+(136.8-15.1)+(-1.295655+(-0.34884--0.038505))+0-0-0</f>
        <v>628.19401000000005</v>
      </c>
      <c r="M169" s="3">
        <f>509.2+(120.4-20.6)+(-0.259692+(-0.061404--0.010506))+0-0-0</f>
        <v>608.68940999999995</v>
      </c>
      <c r="N169" s="3">
        <f>503.9+(126.8-18.2)+(-0.256989+(-0.064668--0.009282))+0-0-0</f>
        <v>612.18762500000003</v>
      </c>
      <c r="O169" s="3">
        <f>567.5+(119-51.2)+(0+(0-0))+0-0-0</f>
        <v>635.29999999999995</v>
      </c>
      <c r="P169" s="3">
        <f>572.1+(137.9-48.5)+(0+(0-0))+0-0-0</f>
        <v>661.5</v>
      </c>
      <c r="Q169" s="3">
        <f>570.9+(169.2-34.6)+(0+(0-0))+0-0-0</f>
        <v>705.5</v>
      </c>
      <c r="R169" s="3">
        <f>559.8+(212.5-12)+(-0.856494+(-0.325125--0.01836))+0-0-0</f>
        <v>759.13674099999992</v>
      </c>
      <c r="S169" s="3">
        <f>557.4+(273.7-12)+(-0.568548+(-0.279174--0.01224))+0-0-0</f>
        <v>818.26451799999995</v>
      </c>
      <c r="T169" s="3">
        <f>558+(277.1-12)+(0+(0-0))+0-0-0</f>
        <v>823.1</v>
      </c>
      <c r="U169" s="3">
        <f>559.2+(257-13)+(0.855576+(0.39321-0.01989))+0-0-0</f>
        <v>804.42889600000001</v>
      </c>
      <c r="V169" s="3">
        <f>565.8+(203.1-19.8)+(-1.44279+(-0.517905--0.05049))+0-0-0</f>
        <v>747.18979499999989</v>
      </c>
      <c r="W169" s="3">
        <f>569.1+(173.9-56.7)+(-1.451205+(-0.443445--0.144585))+0-0-0</f>
        <v>684.54993500000012</v>
      </c>
      <c r="X169" s="3">
        <f>558.8+(155.6-65.5)+(-0.854964+(-0.238068--0.100215))+0-0-0</f>
        <v>647.90718300000003</v>
      </c>
      <c r="Y169" s="3">
        <f>526.7+(304.1-52)+(0.268617+(0.155091-0.02652))+0-0-0</f>
        <v>779.1971880000001</v>
      </c>
      <c r="Z169" s="3">
        <f>581.3+(319.6-50)+(-0.889389+(-0.488988--0.0765))+0-0-0</f>
        <v>849.59812299999999</v>
      </c>
      <c r="AA169" s="3">
        <f>580.6+(341.6-54)+(-1.776636+(-1.045296--0.16524))+0-0-0</f>
        <v>865.54330800000002</v>
      </c>
      <c r="AB169" s="3">
        <f>580.8+(342.7-53)+(-1.48104+(-0.873885--0.13515))+0-0-0</f>
        <v>868.28022499999997</v>
      </c>
      <c r="AC169" s="3">
        <f>577.5+(335-53)+(-1.76715+(-1.0251--0.16218))+0-0-0</f>
        <v>856.86992999999995</v>
      </c>
      <c r="AD169" s="2">
        <v>889.5</v>
      </c>
      <c r="AE169" s="3">
        <v>6819.4</v>
      </c>
    </row>
    <row r="170" spans="1:31" s="2" customFormat="1" x14ac:dyDescent="0.3">
      <c r="A170">
        <v>91</v>
      </c>
      <c r="B170">
        <v>6</v>
      </c>
      <c r="C170">
        <v>15</v>
      </c>
      <c r="D170">
        <v>5</v>
      </c>
      <c r="E170">
        <v>1</v>
      </c>
      <c r="F170" s="3">
        <f>550.4+(317.3-53)+(-1.122816+(-0.647292--0.10812))+0-0-0</f>
        <v>813.03801200000009</v>
      </c>
      <c r="G170" s="3">
        <f>533.2+(311.5-51)+(0.271932+(0.158865-0.02601))+0-0-0</f>
        <v>794.1047870000001</v>
      </c>
      <c r="H170" s="3">
        <f>501.3+(315.4-48)+(0.255663+(0.160854-0.02448))+0-0-0</f>
        <v>769.092037</v>
      </c>
      <c r="I170" s="3">
        <f>491.8+(302.2-48)+(-0.752454+(-0.462366--0.07344))+0-0-0</f>
        <v>744.85861999999997</v>
      </c>
      <c r="J170" s="3">
        <f>487.9+(275.7-49)+(-0.497658+(-0.281214--0.04998))+0-0-0</f>
        <v>713.87110799999994</v>
      </c>
      <c r="K170" s="3">
        <f>488.9+(241.9-51)+(-0.748017+(-0.370107--0.07803))+0-0-0</f>
        <v>678.759906</v>
      </c>
      <c r="L170" s="3">
        <f>487.2+(171.4-54)+(-1.490832+(-0.524484--0.16524))+0-0-0</f>
        <v>602.74992400000008</v>
      </c>
      <c r="M170" s="3">
        <f>488.5+(156.9-52)+(0.249135+(0.080019-0.02652))+0-0-0</f>
        <v>593.70263399999999</v>
      </c>
      <c r="N170" s="3">
        <f>488.4+(157.5-50)+(-0.249084+(-0.080325--0.0255))+6.8-0-0</f>
        <v>602.39609099999996</v>
      </c>
      <c r="O170" s="3">
        <f>500+(155.9-52.8)+(-0.255+(-0.079509--0.026928))+10-0-0</f>
        <v>612.792419</v>
      </c>
      <c r="P170" s="3">
        <f>522.6+(166.8-52.9)+(-0.799578+(-0.255204--0.080937))+6.2-0-0</f>
        <v>641.72615500000006</v>
      </c>
      <c r="Q170" s="3">
        <f>510.5+(226.9-48)+(-0.260355+(-0.115719--0.02448))+0-0-0</f>
        <v>689.048406</v>
      </c>
      <c r="R170" s="3">
        <f>506.6+(294.4-52)+(-0.775098+(-0.450432--0.07956))+0-0-0</f>
        <v>747.85402999999997</v>
      </c>
      <c r="S170" s="3">
        <f>504.4+(348.8-48)+(-0.771732+(-0.533664--0.07344))+0-0-0</f>
        <v>803.96804400000008</v>
      </c>
      <c r="T170" s="3">
        <f>507+(361.1-53)+(-0.25857+(-0.184161--0.02703))+0-0-0</f>
        <v>814.68429900000001</v>
      </c>
      <c r="U170" s="3">
        <f>506.4+(330.2-41)+(0.258264+(0.168402-0.02091))+0-0-0</f>
        <v>796.00575599999991</v>
      </c>
      <c r="V170" s="3">
        <f>509.3+(275.4-45)+(-0.519486+(-0.280908--0.0459))+0-0-0</f>
        <v>738.94550600000002</v>
      </c>
      <c r="W170" s="3">
        <f>509.3+(204.7-47)+(-1.038972+(-0.417588--0.09588))+0-0-0</f>
        <v>665.63932</v>
      </c>
      <c r="X170" s="3">
        <f>501.2+(178.1-54)+(-0.511224+(-0.181662--0.05508))+0-0-0</f>
        <v>624.662194</v>
      </c>
      <c r="Y170" s="3">
        <f>521.9+(294.9-55)+(-0.532338+(-0.300798--0.0561))+0-0-0</f>
        <v>761.022964</v>
      </c>
      <c r="Z170" s="3">
        <f>594.6+(295-53)+(-0.303246+(-0.15045--0.02703))+0-0-0</f>
        <v>836.17333400000007</v>
      </c>
      <c r="AA170" s="3">
        <f>596.2+(317.6-53)+(-2.128434+(-1.133832--0.18921))+0-0-0</f>
        <v>857.72694400000012</v>
      </c>
      <c r="AB170" s="3">
        <f>597.3+(311.8-54)+(-1.218492+(-0.636072--0.11016))+0-0-0</f>
        <v>853.35559599999988</v>
      </c>
      <c r="AC170" s="3">
        <f>600.1+(291.5-54)+(0+(0-0))+0-0-0</f>
        <v>837.6</v>
      </c>
      <c r="AD170" s="2">
        <v>882.2</v>
      </c>
      <c r="AE170" s="3">
        <v>6536.7999999999993</v>
      </c>
    </row>
    <row r="171" spans="1:31" s="2" customFormat="1" x14ac:dyDescent="0.3">
      <c r="A171">
        <v>91</v>
      </c>
      <c r="B171">
        <v>6</v>
      </c>
      <c r="C171">
        <v>16</v>
      </c>
      <c r="D171">
        <v>6</v>
      </c>
      <c r="E171">
        <v>1</v>
      </c>
      <c r="F171" s="3">
        <f>560.8+(295.4-50)+(-0.572016+(-0.301308--0.051))+0-0-0</f>
        <v>805.37767599999995</v>
      </c>
      <c r="G171" s="3">
        <f>553.9+(267.7-49)+(-0.847467+(-0.409581--0.07497))+0-0-0</f>
        <v>771.41792199999986</v>
      </c>
      <c r="H171" s="3">
        <f>552.1+(234.4-47)+(-1.126284+(-0.478176--0.09588))+0-0-0</f>
        <v>737.99141999999995</v>
      </c>
      <c r="I171" s="3">
        <f>513.5+(246-45)+(-0.52377+(-0.25092--0.0459))+0-0-0</f>
        <v>713.77121</v>
      </c>
      <c r="J171" s="3">
        <f>478.6+(260.6-44)+(0.732258+(0.398718-0.06732))+0-0-0</f>
        <v>696.26365600000008</v>
      </c>
      <c r="K171" s="3">
        <f>479.4+(222-43)+(0.977976+(0.45288-0.08772))+0-0-0</f>
        <v>659.74313599999994</v>
      </c>
      <c r="L171" s="3">
        <f>479.3+(162.4-45)+(-0.244443+(-0.082824--0.02295))+0-0-0</f>
        <v>596.39568300000008</v>
      </c>
      <c r="M171" s="3">
        <f>478.8+(146-48.2)+(0+(0-0))+0-0-0</f>
        <v>576.6</v>
      </c>
      <c r="N171" s="3">
        <f>478.6+(157.9-48)+(0.488172+(0.161058-0.04896))+0-0-0</f>
        <v>589.10027000000002</v>
      </c>
      <c r="O171" s="3">
        <f>482.3+(170.8-49)+(0.245973+(0.087108-0.02499))+0-0-0</f>
        <v>604.40809100000001</v>
      </c>
      <c r="P171" s="3">
        <f>549.7+(156.3-69)+(0.280347+(0.079713-0.03519))+0-0-0</f>
        <v>637.32487000000003</v>
      </c>
      <c r="Q171" s="3">
        <f>548.5+(186.4-56.9)+(0.279735+(0.095064-0.029019))+0-0-0</f>
        <v>678.34577999999999</v>
      </c>
      <c r="R171" s="3">
        <f>543.4+(239.8-50)+(-0.277134+(-0.122298--0.0255))+0-0-0</f>
        <v>732.82606800000008</v>
      </c>
      <c r="S171" s="3">
        <f>542.4+(289-51)+(-0.553248+(-0.29478--0.05202))+0-0-0</f>
        <v>779.60399199999995</v>
      </c>
      <c r="T171" s="3">
        <f>546.4+(306.7-48)+(-0.278664+(-0.156417--0.02448))+0-0-0</f>
        <v>804.68939899999987</v>
      </c>
      <c r="U171" s="3">
        <f>549.5+(285.2-49)+(0.56049+(0.290904-0.04998))+0-0-0</f>
        <v>786.50141400000007</v>
      </c>
      <c r="V171" s="3">
        <f>547.5+(228.4-52.7)+(-1.1169+(-0.465936--0.107508))+0-0-0</f>
        <v>721.72467200000006</v>
      </c>
      <c r="W171" s="3">
        <f>554.2+(171.2-64.4)+(-0.282642+(-0.087312--0.032844))+0-0-0</f>
        <v>660.66288999999995</v>
      </c>
      <c r="X171" s="3">
        <f>490.4+(174.1-49)+(-0.750312+(-0.266373--0.07497))+20-0-0</f>
        <v>634.55828499999996</v>
      </c>
      <c r="Y171" s="3">
        <f>531.3+(207.3-54)+(0.541926+(0.211446-0.05508))+49.3-0-0</f>
        <v>734.5982919999999</v>
      </c>
      <c r="Z171" s="3">
        <f>623.1+(255.6-56)+(-0.635562+(-0.260712--0.05712))+0-0-0</f>
        <v>821.86084600000004</v>
      </c>
      <c r="AA171" s="3">
        <f>698.7+(226-54)+(-0.356337+(-0.11526--0.02754))+0-0-0</f>
        <v>870.255943</v>
      </c>
      <c r="AB171" s="3">
        <f>704.7+(227-52)+(0+(0-0))+0-0-0</f>
        <v>879.7</v>
      </c>
      <c r="AC171" s="3">
        <f>701.7+(200.6-52)+(-1.073601+(-0.306918--0.07956))+0-0-0</f>
        <v>848.99904100000003</v>
      </c>
      <c r="AD171" s="2">
        <v>845.4</v>
      </c>
      <c r="AE171" s="3">
        <v>6165.5</v>
      </c>
    </row>
    <row r="172" spans="1:31" s="2" customFormat="1" x14ac:dyDescent="0.3">
      <c r="A172">
        <v>91</v>
      </c>
      <c r="B172">
        <v>6</v>
      </c>
      <c r="C172">
        <v>17</v>
      </c>
      <c r="D172">
        <v>7</v>
      </c>
      <c r="E172">
        <v>1</v>
      </c>
      <c r="F172" s="3">
        <f>656.7+(206.8-48)+(-0.669834+(-0.210936--0.04896))+0-0-0</f>
        <v>814.66818999999998</v>
      </c>
      <c r="G172" s="3">
        <f>631.6+(210.4-46)+(-0.322116+(-0.107304--0.02346))+0-0-0</f>
        <v>795.59403999999995</v>
      </c>
      <c r="H172" s="3">
        <f>590.4+(213.1-43)+(-0.903312+(-0.326043--0.06579))+0-0-0</f>
        <v>759.33643500000005</v>
      </c>
      <c r="I172" s="3">
        <f>589.7+(188.4-43)+(-0.300747+(-0.096084--0.02193))+0-0-0</f>
        <v>734.725099</v>
      </c>
      <c r="J172" s="3">
        <f>587.2+(167.1-43)+(-1.49736+(-0.426105--0.10965))+0-0-0</f>
        <v>709.48618500000009</v>
      </c>
      <c r="K172" s="3">
        <f>580.5+(142.1-52.8)+(0.888165+(0.217413-0.080784))+0-0-0</f>
        <v>670.824794</v>
      </c>
      <c r="L172" s="3">
        <f>571.8+(91.5-61.6)+(-1.749708+(-0.27999--0.188496))+0-0-0</f>
        <v>599.85879799999998</v>
      </c>
      <c r="M172" s="3">
        <f>529+(102.8-50.1)+(-0.80937+(-0.157284--0.076653))+0-0-0</f>
        <v>580.80999900000006</v>
      </c>
      <c r="N172" s="3">
        <f>528+(102.1-44)+(-0.53856+(-0.104142--0.04488))+0-0-0</f>
        <v>585.50217800000007</v>
      </c>
      <c r="O172" s="3">
        <f>525.7+(113.8-46)+(-1.072428+(-0.232152--0.09384))+0-0-0</f>
        <v>592.28926000000001</v>
      </c>
      <c r="P172" s="3">
        <f>525.1+(132.3-39.3)+(-0.535602+(-0.134946--0.040086))+0-0-0</f>
        <v>617.46953800000006</v>
      </c>
      <c r="Q172" s="3">
        <f>575.4+(135.3-49.1)+(-0.293454+(-0.069003--0.025041))+0-0-0</f>
        <v>661.26258400000006</v>
      </c>
      <c r="R172" s="3">
        <f>595.7+(167.8-51.3)+(0.303807+(0.085578-0.026163))+0-0-0</f>
        <v>712.563222</v>
      </c>
      <c r="S172" s="3">
        <f>595.5+(215.1-50)+(-0.60741+(-0.219402--0.051))+0-0-0</f>
        <v>759.82418800000005</v>
      </c>
      <c r="T172" s="3">
        <f>596.9+(222.5-47)+(-1.217676+(-0.4539--0.09588))+0-0-0</f>
        <v>770.82430399999998</v>
      </c>
      <c r="U172" s="3">
        <f>598.3+(210.5-46)+(0.610266+(0.21471-0.04692))+0-0-0</f>
        <v>763.57805599999995</v>
      </c>
      <c r="V172" s="3">
        <f>598.1+(150.3-57.2)+(0.305031+(0.076653-0.029172))+40.1-0-0</f>
        <v>731.65251200000012</v>
      </c>
      <c r="W172" s="3">
        <f>604.4+(130.7-80.9)+(-0.308244+(-0.066657--0.041259))+18.6-0-0</f>
        <v>672.4663579999999</v>
      </c>
      <c r="X172" s="3">
        <f>557.6+(140.2-67.5)+(0.853128+(0.214506-0.103275))+0-0-0</f>
        <v>631.2643589999999</v>
      </c>
      <c r="Y172" s="3">
        <f>574.3+(242.9-53)+(0.585786+(0.247758-0.05406))+0-0-0</f>
        <v>764.97948399999996</v>
      </c>
      <c r="Z172" s="3">
        <f>609.5+(282.8-53)+(-0.62169+(-0.288456--0.05406))+0-0-0</f>
        <v>838.44391399999995</v>
      </c>
      <c r="AA172" s="3">
        <f>622.6+(296.4-52)+(-0.317526+(-0.151164--0.02652))+0-0-0</f>
        <v>866.55782999999997</v>
      </c>
      <c r="AB172" s="3">
        <f>645.5+(274.8-52)+(0.329205+(0.140148-0.02652))+0-0-0</f>
        <v>868.74283299999991</v>
      </c>
      <c r="AC172" s="3">
        <f>666.1+(237.2-52)+(-1.019133+(-0.362916--0.07956))+0-0-0</f>
        <v>849.99751099999992</v>
      </c>
      <c r="AD172" s="2">
        <v>826.3</v>
      </c>
      <c r="AE172" s="3">
        <v>5141.7</v>
      </c>
    </row>
    <row r="173" spans="1:31" s="2" customFormat="1" x14ac:dyDescent="0.3">
      <c r="A173">
        <v>91</v>
      </c>
      <c r="B173">
        <v>6</v>
      </c>
      <c r="C173">
        <v>18</v>
      </c>
      <c r="D173">
        <v>1</v>
      </c>
      <c r="E173">
        <v>1</v>
      </c>
      <c r="F173" s="3">
        <f>622.8+(242.5-48)+(-0.635256+(-0.24735--0.04896))+0-0-0</f>
        <v>816.46635399999991</v>
      </c>
      <c r="G173" s="3">
        <f>603.5+(228.2-39)+(-0.923355+(-0.349146--0.05967))+0-0-0</f>
        <v>791.48716899999999</v>
      </c>
      <c r="H173" s="3">
        <f>589.6+(209.2-37)+(-0.902088+(-0.320076--0.05661))+0-0-0</f>
        <v>760.63444599999991</v>
      </c>
      <c r="I173" s="3">
        <f>558.5+(217.8-36)+(-0.854505+(-0.333234--0.05508))+0-0-0</f>
        <v>739.16734099999996</v>
      </c>
      <c r="J173" s="3">
        <f>511.2+(239.8-35)+(-1.042848+(-0.489192--0.0714))+0-0-0</f>
        <v>714.53935999999999</v>
      </c>
      <c r="K173" s="3">
        <f>511.3+(201.8-37)+(0.260763+(0.102918-0.01887))+0-0-0</f>
        <v>676.44481100000007</v>
      </c>
      <c r="L173" s="3">
        <f>509.3+(132.3-41)+(-0.779229+(-0.202419--0.06273))+0-0-0</f>
        <v>599.68108200000006</v>
      </c>
      <c r="M173" s="3">
        <f>507.7+(123.4-43)+(-0.258927+(-0.062934--0.02193))+0-0-0</f>
        <v>587.80006900000001</v>
      </c>
      <c r="N173" s="3">
        <f>507.2+(145.4-41)+(0.517344+(0.148308-0.04182))+0-0-0</f>
        <v>612.22383200000002</v>
      </c>
      <c r="O173" s="3">
        <f>505.4+(169.4-48)+(-0.257754+(-0.086394--0.02448))+0-0-0</f>
        <v>626.48033199999998</v>
      </c>
      <c r="P173" s="3">
        <f>522.7+(189.8-45)+(-0.266577+(-0.096798--0.02295))+0-0-0</f>
        <v>667.15957500000002</v>
      </c>
      <c r="Q173" s="3">
        <f>604.5+(163.3-58.8)+(0.924885+(0.249849-0.089964))+0-0-0</f>
        <v>710.08477000000005</v>
      </c>
      <c r="R173" s="3">
        <f>614.3+(194.3-47.7)+(0.939879+(0.297279-0.072981))+0-0-0</f>
        <v>762.06417699999997</v>
      </c>
      <c r="S173" s="3">
        <f>620.2+(240.2-51)+(-0.948906+(-0.367506--0.07803))+0-0-0</f>
        <v>808.16161800000009</v>
      </c>
      <c r="T173" s="3">
        <f>612.9+(254.5-50)+(0+(0-0))+0-0-0</f>
        <v>817.4</v>
      </c>
      <c r="U173" s="3">
        <f>610.6+(237.5-49)+(-1.55703+(-0.605625--0.12495))+0-0-0</f>
        <v>797.06229500000006</v>
      </c>
      <c r="V173" s="3">
        <f>600.6+(194-51)+(0.918918+(0.29682-0.07803))+0-0-0</f>
        <v>744.737708</v>
      </c>
      <c r="W173" s="3">
        <f>609.5+(155.9-73.6)+(-1.24338+(-0.318036--0.150144))+0-0-0</f>
        <v>690.3887279999999</v>
      </c>
      <c r="X173" s="3">
        <f>611.5+(133-77.9)+(-1.87119+(-0.40698--0.238374))+0-0-0</f>
        <v>664.560204</v>
      </c>
      <c r="Y173" s="3">
        <f>622.1+(220.1-53)+(0+(0-0))+0-0-0</f>
        <v>789.2</v>
      </c>
      <c r="Z173" s="3">
        <f>633+(284.8-56)+(0.32283+(0.145248-0.02856))+0-0-0</f>
        <v>862.23951799999998</v>
      </c>
      <c r="AA173" s="3">
        <f>639.6+(298.1-49)+(-0.652392+(-0.304062--0.04998))+0-0-0</f>
        <v>887.79352600000004</v>
      </c>
      <c r="AB173" s="3">
        <f>635.2+(274.2-35)+(0+(0-0))+0-0-0</f>
        <v>874.40000000000009</v>
      </c>
      <c r="AC173" s="3">
        <f>628.2+(270.5-36)+(-1.281528+(-0.55182--0.07344))+0-0-0</f>
        <v>860.94009200000005</v>
      </c>
      <c r="AD173" s="2">
        <v>907</v>
      </c>
      <c r="AE173" s="3">
        <v>6986.6999999999989</v>
      </c>
    </row>
    <row r="174" spans="1:31" s="2" customFormat="1" x14ac:dyDescent="0.3">
      <c r="A174">
        <v>91</v>
      </c>
      <c r="B174">
        <v>6</v>
      </c>
      <c r="C174">
        <v>19</v>
      </c>
      <c r="D174">
        <v>2</v>
      </c>
      <c r="E174">
        <v>1</v>
      </c>
      <c r="F174" s="3">
        <f>631.4+(240.4-38)+(0.644028+(0.245208-0.03876))+0-0-0</f>
        <v>834.65047599999991</v>
      </c>
      <c r="G174" s="3">
        <f>646.6+(192-37)+(0.659532+(0.19584-0.03774))+0-0-0</f>
        <v>802.41763200000003</v>
      </c>
      <c r="H174" s="3">
        <f>648.3+(167.9-38.6)+(0+(0-0))+0-0-0</f>
        <v>777.59999999999991</v>
      </c>
      <c r="I174" s="3">
        <f>649+(147-45.2)+(0.33099+(0.07497-0.023052))+0-0-0</f>
        <v>751.182908</v>
      </c>
      <c r="J174" s="3">
        <f>646.1+(121.5-50.1)+(-1.318044+(-0.24786--0.102204))+0-0-0</f>
        <v>716.03629999999998</v>
      </c>
      <c r="K174" s="3">
        <f>646.4+(102.3-65.5)+(-1.64832+(-0.260865--0.167025))+0-0-0</f>
        <v>681.45783999999992</v>
      </c>
      <c r="L174" s="3">
        <f>623.3+(68.6-81.9)+(-2.543064+(-0.279888--0.334152))+0-0-0</f>
        <v>607.51120000000003</v>
      </c>
      <c r="M174" s="3">
        <f>561+(84.2-59)+(0.57222+(0.085884-0.06018))+0-0-0</f>
        <v>586.79792400000008</v>
      </c>
      <c r="N174" s="3">
        <f>602+(87.8-75.3)+(0.61404+(0.089556-0.076806))+0-0-0</f>
        <v>615.12679000000003</v>
      </c>
      <c r="O174" s="3">
        <f>585.6+(115.8-75.4)+(-0.298656+(-0.059058--0.038454))+0-0-0</f>
        <v>625.68074000000001</v>
      </c>
      <c r="P174" s="3">
        <f>580.9+(139.6-65.8)+(0.888777+(0.213588-0.100674))+0-0-0</f>
        <v>655.70169099999998</v>
      </c>
      <c r="Q174" s="3">
        <f>578.1+(174.3-54.5)+(0.884493+(0.266679-0.083385))+0-0-0</f>
        <v>698.96778700000004</v>
      </c>
      <c r="R174" s="3">
        <f>573.1+(225.2-47)+(-0.292281+(-0.114852--0.02397))+0-0-0</f>
        <v>750.91683699999999</v>
      </c>
      <c r="S174" s="3">
        <f>572.9+(280-51)+(-1.168716+(-0.5712--0.10404))+0-0-0</f>
        <v>800.26412399999992</v>
      </c>
      <c r="T174" s="3">
        <f>588.8+(275.2-50)+(0.300288+(0.140352-0.0255))+0-0-0</f>
        <v>814.41513999999995</v>
      </c>
      <c r="U174" s="3">
        <f>593.4+(248.5-50)+(-0.302634+(-0.126735--0.0255))+0-0-0</f>
        <v>791.49613099999999</v>
      </c>
      <c r="V174" s="3">
        <f>608.5+(196.6-57.2)+(-0.62067+(-0.200532--0.058344))+0-0-0</f>
        <v>747.13714199999993</v>
      </c>
      <c r="W174" s="3">
        <f>624.6+(140.8-69.4)+(0.318546+(0.071808-0.035394))+0-0-0</f>
        <v>696.35496000000001</v>
      </c>
      <c r="X174" s="3">
        <f>566.8+(147.1-54.7)+(-2.023476+(-0.525147--0.195279))+0-0-0</f>
        <v>656.84665599999994</v>
      </c>
      <c r="Y174" s="3">
        <f>608+(246.7-47)+(0.62016+(0.251634-0.04794))+0-0-0</f>
        <v>808.52385400000003</v>
      </c>
      <c r="Z174" s="3">
        <f>649.8+(271.5-52)+(0+(0-0))+0-0-0</f>
        <v>869.3</v>
      </c>
      <c r="AA174" s="3">
        <f>638.1+(291.7-53)+(-0.976293+(-0.446301--0.08109))+0-0-0</f>
        <v>875.45849599999997</v>
      </c>
      <c r="AB174" s="3">
        <f>632.2+(301.1-49)+(-0.322422+(-0.153561--0.02499))+0-0-0</f>
        <v>883.84900700000003</v>
      </c>
      <c r="AC174" s="3">
        <f>633.6+(271.9-49)+(-0.969408+(-0.416007--0.07497))+0-0-0</f>
        <v>855.18955500000004</v>
      </c>
      <c r="AD174" s="2">
        <v>882.7</v>
      </c>
      <c r="AE174" s="3">
        <v>6962.9999999999991</v>
      </c>
    </row>
    <row r="175" spans="1:31" s="2" customFormat="1" x14ac:dyDescent="0.3">
      <c r="A175">
        <v>91</v>
      </c>
      <c r="B175">
        <v>6</v>
      </c>
      <c r="C175">
        <v>20</v>
      </c>
      <c r="D175">
        <v>3</v>
      </c>
      <c r="E175">
        <v>1</v>
      </c>
      <c r="F175" s="3">
        <f>666+(200.6-45)+(-0.33966+(-0.102306--0.02295))+0-0-0</f>
        <v>821.18098399999997</v>
      </c>
      <c r="G175" s="3">
        <f>692.1+(146.6-45.1)+(-1.058913+(-0.224298--0.069003))+0-0-0</f>
        <v>792.38579200000004</v>
      </c>
      <c r="H175" s="3">
        <f>697.4+(117.1-59)+(-1.422696+(-0.238884--0.12036))+0-0-0</f>
        <v>753.95878000000005</v>
      </c>
      <c r="I175" s="3">
        <f>650.4+(122.7-61.6)+(-0.995112+(-0.187731--0.094248))+0-0-0</f>
        <v>710.41140499999995</v>
      </c>
      <c r="J175" s="3">
        <f>629.1+(124.3-63.2)+(-0.962523+(-0.190179--0.096696))+2-0-0</f>
        <v>691.14399400000002</v>
      </c>
      <c r="K175" s="3">
        <f>598.4+(116.7-62.4)+(0.610368+(0.119034-0.063648))+11.2-0-0</f>
        <v>664.56575399999997</v>
      </c>
      <c r="L175" s="3">
        <f>596+(99.8-91)+(-1.82376+(-0.305388--0.27846))+2-0-0</f>
        <v>604.94931199999996</v>
      </c>
      <c r="M175" s="3">
        <f>592.9+(98.3-100.5)+(-0.302379+(-0.050133--0.051255))+3-0-0</f>
        <v>593.39874299999997</v>
      </c>
      <c r="N175" s="3">
        <f>575.2+(110.6-82.5)+(0+(0-0))+0-0-0</f>
        <v>603.30000000000007</v>
      </c>
      <c r="O175" s="3">
        <f>572.2+(126.6-63.5)+(0+(0-0))+0-0-0</f>
        <v>635.30000000000007</v>
      </c>
      <c r="P175" s="3">
        <f>610.2+(107.8-64.7)+(0+(0-0))+0-0-0</f>
        <v>653.30000000000007</v>
      </c>
      <c r="Q175" s="3">
        <f>624.3+(137.5-53.8)+(1.273572+(0.2805-0.109752))+0-0-0</f>
        <v>709.44431999999995</v>
      </c>
      <c r="R175" s="3">
        <f>619.7+(182.2-44)+(0.316047+(0.092922-0.02244))+0-0-0</f>
        <v>758.28652900000009</v>
      </c>
      <c r="S175" s="3">
        <f>617.8+(234-50)+(-0.630156+(-0.23868--0.051))+0-0-0</f>
        <v>800.9821639999999</v>
      </c>
      <c r="T175" s="3">
        <f>609+(205.4-51)+(-0.31059+(-0.104754--0.02601))+0-0-0</f>
        <v>763.01066600000001</v>
      </c>
      <c r="U175" s="3">
        <f>571.1+(186.8-50.2)+(-0.291261+(-0.095268--0.025602))+0-0-0</f>
        <v>707.3390730000001</v>
      </c>
      <c r="V175" s="3">
        <f>594.6+(178.9-50)+(-1.212984+(-0.364956--0.102))+0-0-0</f>
        <v>722.02405999999996</v>
      </c>
      <c r="W175" s="3">
        <f>606.1+(131.2-51.4)+(0.309111+(0.066912-0.026214))+0-0-0</f>
        <v>686.24980900000003</v>
      </c>
      <c r="X175" s="3">
        <f>588.8+(117-51)+(-0.600576+(-0.11934--0.05202))+0-0-0</f>
        <v>654.13210399999991</v>
      </c>
      <c r="Y175" s="3">
        <f>596.5+(242.2-54)+(0.912645+(0.370566-0.08262))+0-0-0</f>
        <v>785.90059100000008</v>
      </c>
      <c r="Z175" s="3">
        <f>636.9+(284.9-52)+(-1.299276+(-0.581196--0.10608))+0-0-0</f>
        <v>868.02560799999992</v>
      </c>
      <c r="AA175" s="3">
        <f>641.6+(297.9-51)+(-2.290512+(-1.063503--0.18207))+0-0-0</f>
        <v>885.32805499999995</v>
      </c>
      <c r="AB175" s="3">
        <f>641.1+(283.3-48)+(-0.980883+(-0.433449--0.07344))+0-0-0</f>
        <v>875.05910800000004</v>
      </c>
      <c r="AC175" s="3">
        <f>639.2+(263.7-48)+(-0.325992+(-0.134487--0.02448))+0-0-0</f>
        <v>854.46400100000005</v>
      </c>
      <c r="AD175" s="2">
        <v>904.1</v>
      </c>
      <c r="AE175" s="3">
        <v>6772.4</v>
      </c>
    </row>
    <row r="176" spans="1:31" s="2" customFormat="1" x14ac:dyDescent="0.3">
      <c r="A176">
        <v>91</v>
      </c>
      <c r="B176">
        <v>6</v>
      </c>
      <c r="C176">
        <v>21</v>
      </c>
      <c r="D176">
        <v>4</v>
      </c>
      <c r="E176">
        <v>1</v>
      </c>
      <c r="F176" s="3">
        <f>610.1+(257.6-48)+(0.622302+(0.262752-0.04896))+0-0-0</f>
        <v>820.53609400000005</v>
      </c>
      <c r="G176" s="3">
        <f>563.9+(269.9-46)+(0.575178+(0.275298-0.04692))+0-0-0</f>
        <v>788.60355599999991</v>
      </c>
      <c r="H176" s="3">
        <f>568.7+(241.3-45)+(-0.870111+(-0.369189--0.06885))+0-0-0</f>
        <v>763.82955000000004</v>
      </c>
      <c r="I176" s="3">
        <f>568.2+(216.2-44)+(-0.869346+(-0.330786--0.06732))+0-0-0</f>
        <v>739.26718800000015</v>
      </c>
      <c r="J176" s="3">
        <f>567.3+(193.7-42)+(-0.289323+(-0.098787--0.02142))+0-0-0</f>
        <v>718.63331000000005</v>
      </c>
      <c r="K176" s="3">
        <f>566.2+(163.7-42)+(-1.155048+(-0.333948--0.08568))+0-0-0</f>
        <v>686.49668400000007</v>
      </c>
      <c r="L176" s="3">
        <f>565.1+(110.9-67.8)+(-0.288201+(-0.056559--0.034578))+0-0-0</f>
        <v>607.88981799999999</v>
      </c>
      <c r="M176" s="3">
        <f>565.5+(102.8-72.8)+(0+(0-0))+0-0-0</f>
        <v>595.5</v>
      </c>
      <c r="N176" s="3">
        <f>567.9+(108.5-69.9)+(0.289629+(0.055335-0.035649))+0-0-0</f>
        <v>606.80931499999997</v>
      </c>
      <c r="O176" s="3">
        <f>581.5+(113.1-69.4)+(0.59313+(0.115362-0.070788))+0-0-0</f>
        <v>625.83770400000003</v>
      </c>
      <c r="P176" s="3">
        <f>582.7+(136.2-61)+(1.188708+(0.277848-0.12444))+0-0-0</f>
        <v>659.24211600000012</v>
      </c>
      <c r="Q176" s="3">
        <f>593.9+(162.1-55.4)+(-0.302889+(-0.082671--0.028254))+0-0-0</f>
        <v>700.24269399999991</v>
      </c>
      <c r="R176" s="3">
        <f>599.4+(206.2-46)+(0+(0-0))+0-0-0</f>
        <v>759.59999999999991</v>
      </c>
      <c r="S176" s="3">
        <f>597.9+(247.1-45)+(-0.609858+(-0.252042--0.0459))+0-0-0</f>
        <v>799.18399999999997</v>
      </c>
      <c r="T176" s="3">
        <f>594.1+(266.1-54)+(-0.908973+(-0.407133--0.08262))+0-0-0</f>
        <v>804.96651400000007</v>
      </c>
      <c r="U176" s="3">
        <f>595.7+(241.9-49)+(-0.303807+(-0.123369--0.02499))+0-0-0</f>
        <v>788.19781399999999</v>
      </c>
      <c r="V176" s="3">
        <f>600.9+(193.7-55.6)+(-1.225836+(-0.395148--0.113424))+0-0-0</f>
        <v>737.49243999999999</v>
      </c>
      <c r="W176" s="3">
        <f>619.1+(134.6-72.6)+(-1.894446+(-0.411876--0.222156))+0-0-0</f>
        <v>679.01583400000004</v>
      </c>
      <c r="X176" s="3">
        <f>613.7+(119.6-65.6)+(-1.877922+(-0.365976--0.200736))+0-0-0</f>
        <v>665.65683799999999</v>
      </c>
      <c r="Y176" s="3">
        <f>613.8+(235.7-56)+(-0.626076+(-0.240414--0.05712))+0-0-0</f>
        <v>792.69063000000006</v>
      </c>
      <c r="Z176" s="3">
        <f>636.2+(277-55)+(-0.973386+(-0.42381--0.08415))+0-0-0</f>
        <v>856.88695400000006</v>
      </c>
      <c r="AA176" s="3">
        <f>633.8+(289.4-54)+(-1.292952+(-0.590376--0.11016))+0-0-0</f>
        <v>867.42683199999988</v>
      </c>
      <c r="AB176" s="3">
        <f>625.9+(284.3-52)+(-1.276836+(-0.579972--0.10608))+0-0-0</f>
        <v>856.44927200000006</v>
      </c>
      <c r="AC176" s="3">
        <f>614.4+(278.6-52)+(1.253376+(0.568344-0.10608))+0-0-0</f>
        <v>842.71564000000001</v>
      </c>
      <c r="AD176" s="2">
        <v>888.5</v>
      </c>
      <c r="AE176" s="3">
        <v>6640.4000000000005</v>
      </c>
    </row>
    <row r="177" spans="1:31" s="2" customFormat="1" x14ac:dyDescent="0.3">
      <c r="A177">
        <v>91</v>
      </c>
      <c r="B177">
        <v>6</v>
      </c>
      <c r="C177">
        <v>22</v>
      </c>
      <c r="D177">
        <v>5</v>
      </c>
      <c r="E177">
        <v>5</v>
      </c>
      <c r="F177" s="3">
        <f>556.8+(312-49)+(-1.41984+(-0.7956--0.12495))+0-0-0</f>
        <v>817.70950999999991</v>
      </c>
      <c r="G177" s="3">
        <f>538.5+(313.3-47)+(0.274635+(0.159783-0.02397))+0-0-0</f>
        <v>805.21044799999993</v>
      </c>
      <c r="H177" s="3">
        <f>485.6+(323.1-47)+(-1.23828+(-0.823905--0.11985))+0-0-0</f>
        <v>759.75766500000009</v>
      </c>
      <c r="I177" s="3">
        <f>507+(281.4-46)+(0+(0-0))+0-0-0</f>
        <v>742.4</v>
      </c>
      <c r="J177" s="3">
        <f>511.2+(249.8-47)+(0.260712+(0.127398-0.02397))+0-0-0</f>
        <v>714.36414000000002</v>
      </c>
      <c r="K177" s="3">
        <f>527.9+(202.4-51)+(0.807687+(0.309672-0.07803))+0-0-0</f>
        <v>680.33932899999991</v>
      </c>
      <c r="L177" s="3">
        <f>524.6+(134.3-49)+(-0.535092+(-0.136986--0.04998))+0-0-0</f>
        <v>609.27790200000004</v>
      </c>
      <c r="M177" s="3">
        <f>524.2+(104.5-58.1)+(0.802026+(0.159885-0.088893))+0-0-0</f>
        <v>571.47301800000002</v>
      </c>
      <c r="N177" s="3">
        <f>523.6+(102.7-61.4)+(-0.267036+(-0.052377--0.031314))+0-0-0</f>
        <v>564.61190099999999</v>
      </c>
      <c r="O177" s="3">
        <f>518.2+(109.4-54.2)+(0.264282+(0.055794-0.027642))+0-0-0</f>
        <v>573.69243400000005</v>
      </c>
      <c r="P177" s="3">
        <f>516.5+(132-50)+(0.790245+(0.20196-0.0765))+0-0-0</f>
        <v>599.415705</v>
      </c>
      <c r="Q177" s="3">
        <f>519.4+(171.5-49)+(0+(0-0))+0-0-0</f>
        <v>641.9</v>
      </c>
      <c r="R177" s="3">
        <f>525.8+(228.9-45)+(-0.268158+(-0.116739--0.02295))+0-0-0</f>
        <v>709.33805299999995</v>
      </c>
      <c r="S177" s="3">
        <f>522.8+(279.5-48)+(-0.799884+(-0.427635--0.07344))+0-0-0</f>
        <v>753.14592099999993</v>
      </c>
      <c r="T177" s="3">
        <f>524.8+(306.7-47)+(0+(0-0))+0-0-0</f>
        <v>784.5</v>
      </c>
      <c r="U177" s="3">
        <f>525.2+(278.1-48)+(0+(0-0))+0-0-0</f>
        <v>755.30000000000007</v>
      </c>
      <c r="V177" s="3">
        <f>534.6+(216.2-44)+(-1.36323+(-0.55131--0.1122))+0-0-0</f>
        <v>704.99766</v>
      </c>
      <c r="W177" s="3">
        <f>543.8+(159-43)+(-1.38669+(-0.40545--0.10965))+0-0-0</f>
        <v>658.11750999999992</v>
      </c>
      <c r="X177" s="3">
        <f>546.9+(155.4-51)+(-1.673514+(-0.475524--0.15606))+0-0-0</f>
        <v>649.30702199999996</v>
      </c>
      <c r="Y177" s="3">
        <f>549.6+(288.4-58)+(0.840888+(0.441252-0.08874))+0-0-0</f>
        <v>781.1934</v>
      </c>
      <c r="Z177" s="3">
        <f>550.7+(345.8-55)+(-0.842571+(-0.529074--0.08415))+0-0-0</f>
        <v>840.21250499999996</v>
      </c>
      <c r="AA177" s="3">
        <f>551+(364.1-54)+(-0.84303+(-0.557073--0.08262))+0-0-0</f>
        <v>859.78251699999998</v>
      </c>
      <c r="AB177" s="3">
        <f>546.6+(368.2-51)+(-1.672596+(-1.126692--0.15606))+0-0-0</f>
        <v>861.15677199999993</v>
      </c>
      <c r="AC177" s="3">
        <f>547.3+(350.5-50)+(-1.116492+(-0.71502--0.102))+0-0-0</f>
        <v>846.07048799999995</v>
      </c>
      <c r="AD177" s="2">
        <v>894.5</v>
      </c>
      <c r="AE177" s="3">
        <v>5302.9000000000005</v>
      </c>
    </row>
    <row r="178" spans="1:31" s="2" customFormat="1" x14ac:dyDescent="0.3">
      <c r="A178">
        <v>91</v>
      </c>
      <c r="B178">
        <v>6</v>
      </c>
      <c r="C178">
        <v>23</v>
      </c>
      <c r="D178">
        <v>6</v>
      </c>
      <c r="E178">
        <v>6</v>
      </c>
      <c r="F178" s="3">
        <f>522.3+(348.1-49)+(-0.532746+(-0.355062--0.04998))+0-0-0</f>
        <v>820.56217200000003</v>
      </c>
      <c r="G178" s="3">
        <f>462.2+(373.3-47)+(-0.942888+(-0.761532--0.09588))+0-0-0</f>
        <v>786.89146000000005</v>
      </c>
      <c r="H178" s="3">
        <f>459.8+(346.7-47)+(-1.17249+(-0.884085--0.11985))+0-0-0</f>
        <v>757.56327499999998</v>
      </c>
      <c r="I178" s="3">
        <f>462.1+(319.2-48)+(-0.707013+(-0.488376--0.07344))+0-0-0</f>
        <v>732.17805099999998</v>
      </c>
      <c r="J178" s="3">
        <f>461.8+(293.5-46)+(0.471036+(0.29937-0.04692))+0-0-0</f>
        <v>710.02348599999993</v>
      </c>
      <c r="K178" s="3">
        <f>463.8+(263.1-54)+(-0.709614+(-0.402543--0.08262))+0-0-0</f>
        <v>671.87046300000009</v>
      </c>
      <c r="L178" s="3">
        <f>446.5+(212.8-50)+(-0.45543+(-0.217056--0.051))+0-0-0</f>
        <v>608.67851399999995</v>
      </c>
      <c r="M178" s="3">
        <f>391.4+(249.1-50)+(0+(0-0))+0-0-0</f>
        <v>590.5</v>
      </c>
      <c r="N178" s="3">
        <f>392.4+(252.2-50)+(-0.200124+(-0.128622--0.0255))+0-0-0</f>
        <v>594.29675399999996</v>
      </c>
      <c r="O178" s="3">
        <f>406.8+(247.7-49)+(0.207468+(0.126327-0.02499))+0-0-0</f>
        <v>605.80880500000001</v>
      </c>
      <c r="P178" s="3">
        <f>452.3+(222.4-45)+(-0.230673+(-0.113424--0.02295))+0-0-0</f>
        <v>629.37885300000005</v>
      </c>
      <c r="Q178" s="3">
        <f>451.3+(269.7-45)+(-0.230163+(-0.137547--0.02295))+0-0-0</f>
        <v>675.65524000000005</v>
      </c>
      <c r="R178" s="3">
        <f>448.1+(318.2-48)+(0.228531+(0.162282-0.02448))+0-0-0</f>
        <v>718.66633300000001</v>
      </c>
      <c r="S178" s="3">
        <f>447.2+(346.5-48)+(-0.684216+(-0.530145--0.07344))+0-0-0</f>
        <v>744.559079</v>
      </c>
      <c r="T178" s="3">
        <f>469.2+(357-48)+(-0.239292+(-0.18207--0.02448))+0-0-0</f>
        <v>777.80311800000004</v>
      </c>
      <c r="U178" s="3">
        <f>494.7+(310.6-47)+(-0.756891+(-0.475218--0.07191))+0-0-0</f>
        <v>757.13980099999992</v>
      </c>
      <c r="V178" s="3">
        <f>507.6+(245.5-49)+(-0.517752+(-0.25041--0.04998))+0-0-0</f>
        <v>703.38181800000007</v>
      </c>
      <c r="W178" s="3">
        <f>511.5+(179.7-43)+(-0.52173+(-0.183294--0.04386))+0-0-0</f>
        <v>647.53883600000006</v>
      </c>
      <c r="X178" s="3">
        <f>514.1+(182.1-52)+(-1.048764+(-0.371484--0.10608))+0-0-0</f>
        <v>642.88583200000005</v>
      </c>
      <c r="Y178" s="3">
        <f>519.1+(305.2-56)+(0+(0-0))+0-0-0</f>
        <v>768.3</v>
      </c>
      <c r="Z178" s="3">
        <f>520.5+(368.6-57)+(-0.796365+(-0.563958--0.08721))+0-0-0</f>
        <v>830.82688700000006</v>
      </c>
      <c r="AA178" s="3">
        <f>520.3+(384.5-55)+(-1.061412+(-0.78438--0.1122))+0-0-0</f>
        <v>848.06640799999991</v>
      </c>
      <c r="AB178" s="3">
        <f>518.8+(391.9-51)+(0+(0-0))+0-0-0</f>
        <v>859.69999999999993</v>
      </c>
      <c r="AC178" s="3">
        <f>517.1+(374.3-50)+(-1.054884+(-0.763572--0.102))+0-0-0</f>
        <v>839.6835440000001</v>
      </c>
      <c r="AD178" s="2">
        <v>866.7</v>
      </c>
      <c r="AE178" s="3">
        <v>5704.9</v>
      </c>
    </row>
    <row r="179" spans="1:31" s="2" customFormat="1" x14ac:dyDescent="0.3">
      <c r="A179">
        <v>91</v>
      </c>
      <c r="B179">
        <v>6</v>
      </c>
      <c r="C179">
        <v>24</v>
      </c>
      <c r="D179">
        <v>7</v>
      </c>
      <c r="E179">
        <v>1</v>
      </c>
      <c r="F179" s="3">
        <f>535+(342.7-48)+(-0.27285+(-0.174777--0.02448))+0-0-0</f>
        <v>829.27685300000007</v>
      </c>
      <c r="G179" s="3">
        <f>535+(313.3-46)+(0.5457+(0.319566-0.04692))+0-0-0</f>
        <v>803.11834599999997</v>
      </c>
      <c r="H179" s="3">
        <f>502+(316.6-45)+(-0.76806+(-0.484398--0.06885))+0-0-0</f>
        <v>772.41639199999997</v>
      </c>
      <c r="I179" s="3">
        <f>500+(289.3-45)+(-0.255+(-0.147543--0.02295))+0-0-0</f>
        <v>743.92040699999995</v>
      </c>
      <c r="J179" s="3">
        <f>499+(267.2-47)+(-0.25449+(-0.136272--0.02397))+0-0-0</f>
        <v>718.83320800000001</v>
      </c>
      <c r="K179" s="3">
        <f>498+(231.8-49)+(0.50796+(0.236436-0.04998))+0-0-0</f>
        <v>681.494416</v>
      </c>
      <c r="L179" s="3">
        <f>481+(163.3-48)+(0.49062+(0.166566-0.04896))+11-0-0</f>
        <v>607.9082259999999</v>
      </c>
      <c r="M179" s="3">
        <f>427+(169.8-47)+(0.43554+(0.173196-0.04794))+20-0-0</f>
        <v>570.36079599999994</v>
      </c>
      <c r="N179" s="3">
        <f>420+(185-46)+(0.4284+(0.1887-0.04692))+20-0-0</f>
        <v>579.57018000000005</v>
      </c>
      <c r="O179" s="3">
        <f>417+(213.3-45)+(0.21267+(0.108783-0.02295))+0-0-0</f>
        <v>585.59850299999994</v>
      </c>
      <c r="P179" s="3">
        <f>455+(205.9-42)+(0+(0-0))+0-0-0</f>
        <v>618.9</v>
      </c>
      <c r="Q179" s="3">
        <f>487+(213.4-44)+(0+(0-0))+0-0-0</f>
        <v>656.4</v>
      </c>
      <c r="R179" s="3">
        <f>460+(277.2-48)+(-0.2346+(-0.141372--0.02448))+0-0-0</f>
        <v>688.84850800000004</v>
      </c>
      <c r="S179" s="3">
        <f>460.4+(315.7-47)+(-0.704412+(-0.483021--0.07191))+0-0-0</f>
        <v>727.98447699999986</v>
      </c>
      <c r="T179" s="3">
        <f>464.1+(327.6-47)+(-0.473382+(-0.334152--0.04794))+0-0-0</f>
        <v>743.94040600000005</v>
      </c>
      <c r="U179" s="3">
        <f>467.5+(304.1-47)+(-0.47685+(-0.310182--0.04794))+4.8-0-0</f>
        <v>728.66090799999995</v>
      </c>
      <c r="V179" s="3">
        <f>471.6+(229.8-18)+(-0.481032+(-0.234396--0.01836))+22-0-0</f>
        <v>704.70293200000015</v>
      </c>
      <c r="W179" s="3">
        <f>476.5+(162.5-5)+(-0.48603+(-0.16575--0.0051))+22-0-0</f>
        <v>655.35332000000005</v>
      </c>
      <c r="X179" s="3">
        <f>490+(185.5-38)+(-0.2499+(-0.094605--0.01938))+22-0-0</f>
        <v>659.17487500000004</v>
      </c>
      <c r="Y179" s="3">
        <f>525.8+(281.8-56)+(-0.268158+(-0.143718--0.02856))+6.2-0-0</f>
        <v>757.41668399999992</v>
      </c>
      <c r="Z179" s="3">
        <f>532.5+(348.2-56)+(-0.54315+(-0.355164--0.05712))+0-0-0</f>
        <v>823.85880600000007</v>
      </c>
      <c r="AA179" s="3">
        <f>532.4+(361.6-50)+(-0.814572+(-0.553248--0.0765))+0-0-0</f>
        <v>842.70867999999996</v>
      </c>
      <c r="AB179" s="3">
        <f>529.3+(359.9-45)+(0.539886+(0.367098-0.0459))+0-0-0</f>
        <v>845.06108399999994</v>
      </c>
      <c r="AC179" s="3">
        <f>529.6+(342-48)+(-0.270096+(-0.17442--0.02448))+0-0-0</f>
        <v>823.17996400000004</v>
      </c>
      <c r="AD179" s="2">
        <v>863.4</v>
      </c>
      <c r="AE179" s="3">
        <v>4888.6000000000004</v>
      </c>
    </row>
    <row r="180" spans="1:31" s="2" customFormat="1" x14ac:dyDescent="0.3">
      <c r="A180">
        <v>91</v>
      </c>
      <c r="B180">
        <v>6</v>
      </c>
      <c r="C180">
        <v>25</v>
      </c>
      <c r="D180">
        <v>1</v>
      </c>
      <c r="E180">
        <v>1</v>
      </c>
      <c r="F180" s="3">
        <f>527.9+(292.2-48)+(0+(0-0))+0-0-0</f>
        <v>772.09999999999991</v>
      </c>
      <c r="G180" s="3">
        <f>484+(302.7-46)+(0+(0-0))+0-0-0</f>
        <v>740.7</v>
      </c>
      <c r="H180" s="3">
        <f>483.6+(276.3-45)+(0+(0-0))+0-0-0</f>
        <v>714.90000000000009</v>
      </c>
      <c r="I180" s="3">
        <f>486.3+(245-46)+(0+(0-0))+0-0-0</f>
        <v>685.3</v>
      </c>
      <c r="J180" s="3">
        <f>490.2+(212.4-47)+(1.25001+(0.54162-0.11985))+0-0-0</f>
        <v>657.27178000000004</v>
      </c>
      <c r="K180" s="3">
        <f>489.5+(176.2-22)+(0.49929+(0.179724-0.02244))+0-0-0</f>
        <v>644.35657400000002</v>
      </c>
      <c r="L180" s="3">
        <f>414.1+(183.9-37)+(0.211191+(0.093789-0.01887))+0-0-0</f>
        <v>561.28611000000001</v>
      </c>
      <c r="M180" s="3">
        <f>405.9+(190.5-43)+(-0.414018+(-0.19431--0.04386))+0-0-0</f>
        <v>552.83553199999994</v>
      </c>
      <c r="N180" s="3">
        <f>405+(213-48)+(1.03275+(0.54315-0.1224))+0-0-0</f>
        <v>571.45349999999996</v>
      </c>
      <c r="O180" s="3">
        <f>453.8+(175.3-46)+(0+(0-0))+0-0-0</f>
        <v>583.1</v>
      </c>
      <c r="P180" s="3">
        <f>468.4+(194.6-46)+(0.238884+(0.099246-0.02346))+0-0-0</f>
        <v>617.31466999999998</v>
      </c>
      <c r="Q180" s="3">
        <f>484+(216-46)+(0.24684+(0.11016-0.02346))+0-0-0</f>
        <v>654.33353999999997</v>
      </c>
      <c r="R180" s="3">
        <f>519+(271.7-45)+(-0.52938+(-0.277134--0.0459))+0-0-0</f>
        <v>744.93938600000001</v>
      </c>
      <c r="S180" s="3">
        <f>529+(307.3-49)+(0.26979+(0.156723-0.02499))+0-0-0</f>
        <v>787.70152299999995</v>
      </c>
      <c r="T180" s="3">
        <f>573+(275.2-47)+(0+(0-0))+0-0-0</f>
        <v>801.2</v>
      </c>
      <c r="U180" s="3">
        <f>594+(225.5-46)+(1.5147+(0.575025-0.1173))+0-0-0</f>
        <v>775.47242500000004</v>
      </c>
      <c r="V180" s="3">
        <f>609+(153.9-46)+(-1.24236+(-0.313956--0.09384))+0-0-0</f>
        <v>715.43752399999994</v>
      </c>
      <c r="W180" s="3">
        <f>617+(104.9-59.1)+(-2.51736+(-0.427992--0.241128))+0-0-0</f>
        <v>660.095776</v>
      </c>
      <c r="X180" s="3">
        <f>625+(102.1-49.9)+(-1.59375+(-0.260355--0.127245))+0-0-0</f>
        <v>675.47314000000006</v>
      </c>
      <c r="Y180" s="3">
        <f>630+(229.3-54)+(0.6426+(0.233886-0.05508))+0-0-0</f>
        <v>806.12140599999998</v>
      </c>
      <c r="Z180" s="3">
        <f>630+(284.5-55)+(-0.6426+(-0.29019--0.0561))+0-0-0</f>
        <v>858.62330999999995</v>
      </c>
      <c r="AA180" s="3">
        <f>630+(302-54)+(-0.6426+(-0.30804--0.05508))+0-0-0</f>
        <v>877.10443999999995</v>
      </c>
      <c r="AB180" s="3">
        <f>626+(295.9-52)+(-0.63852+(-0.301818--0.05304))+0-0-0</f>
        <v>869.01270199999999</v>
      </c>
      <c r="AC180" s="3">
        <f>626+(274.7-52)+(0.31926+(0.140097-0.02652))+0-0-0</f>
        <v>849.13283699999999</v>
      </c>
      <c r="AD180" s="2">
        <v>871.1</v>
      </c>
      <c r="AE180" s="3">
        <v>6581.9</v>
      </c>
    </row>
    <row r="181" spans="1:31" s="2" customFormat="1" x14ac:dyDescent="0.3">
      <c r="A181">
        <v>91</v>
      </c>
      <c r="B181">
        <v>6</v>
      </c>
      <c r="C181">
        <v>26</v>
      </c>
      <c r="D181">
        <v>2</v>
      </c>
      <c r="E181">
        <v>1</v>
      </c>
      <c r="F181" s="3">
        <f>533+(312.7-47)+(-0.81549+(-0.478431--0.07191))+0-0-0</f>
        <v>797.47798900000009</v>
      </c>
      <c r="G181" s="3">
        <f>487+(323.1-42)+(-0.99348+(-0.659124--0.08568))+0-0-0</f>
        <v>766.53307600000005</v>
      </c>
      <c r="H181" s="3">
        <f>487+(299.7-40)+(-0.74511+(-0.458541--0.0612))+0-0-0</f>
        <v>745.55754899999999</v>
      </c>
      <c r="I181" s="3">
        <f>488+(266.7-36)+(-0.24888+(-0.136017--0.01836))+0-0-0</f>
        <v>718.33346300000005</v>
      </c>
      <c r="J181" s="3">
        <f>488+(240-35)+(0.99552+(0.4896-0.0714))+0-0-0</f>
        <v>694.41372000000001</v>
      </c>
      <c r="K181" s="3">
        <f>487+(211.8-36)+(0.24837+(0.108018-0.01836))+0-0-0</f>
        <v>663.13802799999996</v>
      </c>
      <c r="L181" s="3">
        <f>469+(161.7-44)+(-0.95676+(-0.329868--0.08976))+0-0-0</f>
        <v>585.50313200000005</v>
      </c>
      <c r="M181" s="3">
        <f>420+(193.7-47)+(-0.2142+(-0.098787--0.02397))+0-0-0</f>
        <v>566.4109830000001</v>
      </c>
      <c r="N181" s="3">
        <f>482+(177.9-89.5)+(0+(0-0))+0-0-0</f>
        <v>570.4</v>
      </c>
      <c r="O181" s="3">
        <f>478+(207.4-88.1)+(-1.70646+(-0.740418--0.314517))+0-0-0</f>
        <v>595.16763900000001</v>
      </c>
      <c r="P181" s="3">
        <f>480+(239-88.9)+(0+(0-0))+0-0-0</f>
        <v>630.1</v>
      </c>
      <c r="Q181" s="3">
        <f>480+(287.2-95.8)+(0.4896+(0.292944-0.097716))+0-0-0</f>
        <v>672.08482800000002</v>
      </c>
      <c r="R181" s="3">
        <f>504+(314.8-101.3)+(0+(0-0))+0-0-0</f>
        <v>717.5</v>
      </c>
      <c r="S181" s="3">
        <f>525+(351.5-106.6)+(-0.26775+(-0.179265--0.054366))+0-0-0</f>
        <v>769.50735099999997</v>
      </c>
      <c r="T181" s="3">
        <f>539+(352.6-112.7)+(-0.27489+(-0.179826--0.057477))+0-0-0</f>
        <v>778.50276100000008</v>
      </c>
      <c r="U181" s="3">
        <f>553+(266.7-86.5)+(0+(0-0))+0-0-0</f>
        <v>733.2</v>
      </c>
      <c r="V181" s="3">
        <f>578+(169.2-49)+(-0.88434+(-0.258876--0.07497))+0-0-0</f>
        <v>697.131754</v>
      </c>
      <c r="W181" s="3">
        <f>580+(122.3-45)+(-0.2958+(-0.062373--0.02295))+0-0-0</f>
        <v>656.96477699999991</v>
      </c>
      <c r="X181" s="3">
        <f>594+(121.3-47)+(0.30294+(0.061863-0.02397))+0-0-0</f>
        <v>668.64083299999993</v>
      </c>
      <c r="Y181" s="3">
        <f>594+(249.3-57)+(-0.30294+(-0.127143--0.02907))+0-0-0</f>
        <v>785.89898699999992</v>
      </c>
      <c r="Z181" s="3">
        <f>594+(296.1-55)+(-0.60588+(-0.302022--0.0561))+0-0-0</f>
        <v>834.248198</v>
      </c>
      <c r="AA181" s="3">
        <f>594+(306.6-54)+(-0.60588+(-0.312732--0.05508))+0-0-0</f>
        <v>845.73646800000006</v>
      </c>
      <c r="AB181" s="3">
        <f>592+(297-54)+(0+(0-0))+0-0-0</f>
        <v>835</v>
      </c>
      <c r="AC181" s="3">
        <f>591+(280.3-52)+(-1.20564+(-0.571812--0.10608))+0-0-0</f>
        <v>817.62862799999994</v>
      </c>
      <c r="AD181" s="2">
        <v>834.1</v>
      </c>
      <c r="AE181" s="3">
        <v>6496.7999999999993</v>
      </c>
    </row>
    <row r="182" spans="1:31" s="2" customFormat="1" x14ac:dyDescent="0.3">
      <c r="A182">
        <v>91</v>
      </c>
      <c r="B182">
        <v>6</v>
      </c>
      <c r="C182">
        <v>27</v>
      </c>
      <c r="D182">
        <v>3</v>
      </c>
      <c r="E182">
        <v>1</v>
      </c>
      <c r="F182" s="3">
        <f>552+(274.2-44)+(-1.68912+(-0.839052--0.13464))+0-0-0</f>
        <v>779.806468</v>
      </c>
      <c r="G182" s="3">
        <f>481+(310.4-40)+(-1.22655+(-0.79152--0.102))+0-0-0</f>
        <v>749.48392999999999</v>
      </c>
      <c r="H182" s="3">
        <f>470+(288.2-38)+(-0.7191+(-0.440946--0.05814))+0-0-0</f>
        <v>719.09809400000006</v>
      </c>
      <c r="I182" s="3">
        <f>469+(267.3-35)+(-1.67433+(-0.954261--0.12495))+0-0-0</f>
        <v>698.79635899999994</v>
      </c>
      <c r="J182" s="3">
        <f>469+(245.9-33)+(0.47838+(0.250818-0.03366))+0-0-0</f>
        <v>682.59553800000003</v>
      </c>
      <c r="K182" s="3">
        <f>469+(218-35)+(-0.71757+(-0.33354--0.05355))+0-0-0</f>
        <v>651.00243999999998</v>
      </c>
      <c r="L182" s="3">
        <f>466+(156.3-35)+(-1.42596+(-0.478278--0.1071))+0-0-0</f>
        <v>585.50286199999994</v>
      </c>
      <c r="M182" s="3">
        <f>467+(138.6-38)+(0.47634+(0.141372-0.03876))+0-0-0</f>
        <v>568.17895199999998</v>
      </c>
      <c r="N182" s="3">
        <f>467+(149.8-41)+(0.47634+(0.152796-0.04182))+0-0-0</f>
        <v>576.38731599999994</v>
      </c>
      <c r="O182" s="3">
        <f>466+(169.8-44)+(0.23766+(0.086598-0.02244))+0-0-0</f>
        <v>592.10181799999998</v>
      </c>
      <c r="P182" s="3">
        <f>466+(175.9-21)+(0.71298+(0.269127-0.03213))+0-0-0</f>
        <v>621.84997699999997</v>
      </c>
      <c r="Q182" s="3">
        <f>466+(224.4-45)+(0.47532+(0.228888-0.0459))+0-0-0</f>
        <v>646.05830800000001</v>
      </c>
      <c r="R182" s="3">
        <f>464+(275.6-45)+(-0.23664+(-0.140556--0.02295))+0-0-0</f>
        <v>694.24575400000003</v>
      </c>
      <c r="S182" s="3">
        <f>464+(320.2-50)+(-0.70992+(-0.489906--0.0765))+0-0-0</f>
        <v>733.07667400000003</v>
      </c>
      <c r="T182" s="3">
        <f>469+(330.8-47)+(-0.23919+(-0.168708--0.02397))+0-0-0</f>
        <v>752.41607199999999</v>
      </c>
      <c r="U182" s="3">
        <f>481+(295-46)+(0.24531+(0.15045-0.02346))+0-0-0</f>
        <v>730.3723</v>
      </c>
      <c r="V182" s="3">
        <f>485+(241.4-48)+(-0.24735+(-0.123114--0.02448))+0-0-0</f>
        <v>678.05401599999993</v>
      </c>
      <c r="W182" s="3">
        <f>488+(181.5-41)+(-0.24888+(-0.092565--0.02091))+0-0-0</f>
        <v>628.17946500000005</v>
      </c>
      <c r="X182" s="3">
        <f>494+(190.8-52)+(-1.00776+(-0.389232--0.10608))+0-0-0</f>
        <v>631.50908799999991</v>
      </c>
      <c r="Y182" s="3">
        <f>495+(313.6-55)+(0.25245+(0.159936-0.02805))+0-0-0</f>
        <v>753.98433599999998</v>
      </c>
      <c r="Z182" s="3">
        <f>495+(362-52)+(-1.0098+(-0.73848--0.10608))+0-0-0</f>
        <v>803.3578</v>
      </c>
      <c r="AA182" s="3">
        <f>495+(372.1-55)+(-1.5147+(-1.138626--0.1683))+0-0-0</f>
        <v>809.61497400000007</v>
      </c>
      <c r="AB182" s="3">
        <f>498+(373.2-52)+(-0.76194+(-0.570996--0.07956))+0-0-0</f>
        <v>817.94662400000004</v>
      </c>
      <c r="AC182" s="3">
        <f>498+(349.7-51)+(-0.25398+(-0.178347--0.02601))+0-0-0</f>
        <v>796.2936830000001</v>
      </c>
      <c r="AD182" s="2">
        <v>806</v>
      </c>
      <c r="AE182" s="3">
        <v>6389.9</v>
      </c>
    </row>
    <row r="183" spans="1:31" s="2" customFormat="1" x14ac:dyDescent="0.3">
      <c r="A183">
        <v>91</v>
      </c>
      <c r="B183">
        <v>6</v>
      </c>
      <c r="C183">
        <v>28</v>
      </c>
      <c r="D183">
        <v>4</v>
      </c>
      <c r="E183">
        <v>1</v>
      </c>
      <c r="F183" s="3">
        <f>503+(298.4-49)+(-1.02612+(-0.608736--0.09996))+0-0-0</f>
        <v>750.86510399999997</v>
      </c>
      <c r="G183" s="3">
        <f>499+(270.7-47)+(-2.03592+(-1.104456--0.19176))+0-0-0</f>
        <v>719.75138400000003</v>
      </c>
      <c r="H183" s="3">
        <f>501+(239.2-45)+(-0.76653+(-0.365976--0.06885))+0-0-0</f>
        <v>694.13634400000001</v>
      </c>
      <c r="I183" s="3">
        <f>501+(211.8-45)+(-0.25551+(-0.108018--0.02295))+0-0-0</f>
        <v>667.4594219999999</v>
      </c>
      <c r="J183" s="3">
        <f>501+(186.7-47)+(-0.25551+(-0.095217--0.02397))+0-0-0</f>
        <v>640.373243</v>
      </c>
      <c r="K183" s="3">
        <f>498+(162.2-48)+(-0.25398+(-0.082722--0.02448))+0-0-0</f>
        <v>611.88777800000003</v>
      </c>
      <c r="L183" s="3">
        <f>424+(159.4-46)+(-0.21624+(-0.081294--0.02346))+0-0-0</f>
        <v>537.12592599999994</v>
      </c>
      <c r="M183" s="3">
        <f>424+(140.3-40)+(0.43248+(0.143106-0.0408))+0-0-0</f>
        <v>524.83478600000001</v>
      </c>
      <c r="N183" s="3">
        <f>427+(158.7-41)+(0.65331+(0.242811-0.06273))+0-0-0</f>
        <v>545.53339100000005</v>
      </c>
      <c r="O183" s="3">
        <f>491+(113.8-47.1)+(-0.50082+(-0.116076--0.048042))+0-0-0</f>
        <v>557.13114600000006</v>
      </c>
      <c r="P183" s="3">
        <f>489+(137.6-43)+(0+(0-0))+0-0-0</f>
        <v>583.6</v>
      </c>
      <c r="Q183" s="3">
        <f>488+(179.7-44)+(0.24888+(0.091647-0.02244))+0-0-0</f>
        <v>624.01808700000004</v>
      </c>
      <c r="R183" s="3">
        <f>485+(235.5-36)+(0.24735+(0.120105-0.01836))+0-0-0</f>
        <v>684.84909500000003</v>
      </c>
      <c r="S183" s="3">
        <f>482+(294.6-49)+(-0.24582+(-0.150246--0.02499))+0-0-0</f>
        <v>727.22892400000001</v>
      </c>
      <c r="T183" s="3">
        <f>483+(310.8-48)+(-0.24633+(-0.158508--0.02448))+0-0-0</f>
        <v>745.41964199999995</v>
      </c>
      <c r="U183" s="3">
        <f>486+(286.4-48)+(-0.24786+(-0.146064--0.02448))+0-0-0</f>
        <v>724.03055599999993</v>
      </c>
      <c r="V183" s="3">
        <f>553+(167.4-39.9)+(-1.41015+(-0.42687--0.101745))+0-0-0</f>
        <v>678.764725</v>
      </c>
      <c r="W183" s="3">
        <f>567+(103.6-45)+(-1.15668+(-0.211344--0.0918))+0-0-0</f>
        <v>624.32377600000007</v>
      </c>
      <c r="X183" s="3">
        <f>606+(89.7-52.8)+(-0.61812+(-0.091494--0.053856))+0-0-0</f>
        <v>642.24424199999999</v>
      </c>
      <c r="Y183" s="3">
        <f>653+(138-24.2)+(0.33303+(0.07038-0.012342))+0-0-0</f>
        <v>767.19106799999997</v>
      </c>
      <c r="Z183" s="3">
        <f>675+(184.8-54)+(-0.6885+(-0.188496--0.05508))+0-0-0</f>
        <v>804.97808399999997</v>
      </c>
      <c r="AA183" s="3">
        <f>675+(199.8-51)+(-1.72125+(-0.50949--0.13005))+0-0-0</f>
        <v>821.69930999999997</v>
      </c>
      <c r="AB183" s="3">
        <f>675+(187.6-54)+(-1.377+(-0.382704--0.11016))+0-0-0</f>
        <v>806.95045600000003</v>
      </c>
      <c r="AC183" s="3">
        <f>671+(168.7-52)+(-1.36884+(-0.344148--0.10608))+0-0-0</f>
        <v>786.09309200000007</v>
      </c>
      <c r="AD183" s="2">
        <v>814.9</v>
      </c>
      <c r="AE183" s="3">
        <v>6421.4</v>
      </c>
    </row>
    <row r="184" spans="1:31" s="2" customFormat="1" x14ac:dyDescent="0.3">
      <c r="A184">
        <v>91</v>
      </c>
      <c r="B184">
        <v>6</v>
      </c>
      <c r="C184">
        <v>29</v>
      </c>
      <c r="D184">
        <v>5</v>
      </c>
      <c r="E184">
        <v>1</v>
      </c>
      <c r="F184" s="3">
        <f>630+(170.8-48)+(-0.3213+(-0.087108--0.02448))+0-0-0</f>
        <v>752.41607199999999</v>
      </c>
      <c r="G184" s="3">
        <f>621+(142-48)+(-1.58355+(-0.3621--0.1224))+0-0-0</f>
        <v>713.17674999999997</v>
      </c>
      <c r="H184" s="3">
        <f>583+(146.5-46)+(-1.78398+(-0.44829--0.14076))+0-0-0</f>
        <v>681.40849000000003</v>
      </c>
      <c r="I184" s="3">
        <f>583+(121.9-47.2)+(-2.08131+(-0.435183--0.168504))+0-0-0</f>
        <v>655.35201100000006</v>
      </c>
      <c r="J184" s="3">
        <f>582+(104.1-46.9)+(-1.18728+(-0.212364--0.095676))+0-0-0</f>
        <v>637.89603199999999</v>
      </c>
      <c r="K184" s="3">
        <f>582+(86.3-63.7)+(0.89046+(0.132039-0.097461))+0-0-0</f>
        <v>605.525038</v>
      </c>
      <c r="L184" s="3">
        <f>576+(65.2-101.7)+(-1.17504+(-0.133008--0.207468))+0-0-0</f>
        <v>538.39941999999996</v>
      </c>
      <c r="M184" s="3">
        <f>576+(61-101.5)+(0+(0-0))+0-0-0</f>
        <v>535.5</v>
      </c>
      <c r="N184" s="3">
        <f>583+(65-104.3)+(0+(0-0))+0-0-0</f>
        <v>543.70000000000005</v>
      </c>
      <c r="O184" s="3">
        <f>630+(69-140.4)+(0.6426+(0.07038-0.143208))+0-0-0</f>
        <v>559.16977199999997</v>
      </c>
      <c r="P184" s="3">
        <f>690+(71-176.5)+(0.7038+(0.07242-0.18003))+0-0-0</f>
        <v>585.09618999999998</v>
      </c>
      <c r="Q184" s="3">
        <f>693+(73-145.6)+(1.06029+(0.11169-0.222768))+0-0-0</f>
        <v>621.34921199999997</v>
      </c>
      <c r="R184" s="3">
        <f>686+(86.8-98.2)+(1.04958+(0.132804-0.150246))+0-0-0</f>
        <v>675.63213800000005</v>
      </c>
      <c r="S184" s="3">
        <f>689+(108.4-81.8)+(-0.70278+(-0.110568--0.083436))+0-0-0</f>
        <v>714.87008800000001</v>
      </c>
      <c r="T184" s="3">
        <f>697+(108.6-84)+(0+(0-0))+0-0-0</f>
        <v>721.6</v>
      </c>
      <c r="U184" s="3">
        <f>700+(93.5-97.5)+(-0.714+(-0.09537--0.09945))+0-0-0</f>
        <v>695.29007999999999</v>
      </c>
      <c r="V184" s="3">
        <f>705+(74.8-120.8)+(-1.4382+(-0.152592--0.246432))+0-0-0</f>
        <v>657.65563999999995</v>
      </c>
      <c r="W184" s="3">
        <f>667+(73-122.1)+(-1.70085+(-0.18615--0.311355))+0-0-0</f>
        <v>616.32435499999997</v>
      </c>
      <c r="X184" s="3">
        <f>658+(79-89.8)+(-0.67116+(-0.08058--0.091596))+0-0-0</f>
        <v>646.5398560000001</v>
      </c>
      <c r="Y184" s="3">
        <f>711+(115.9-68.3)+(0.36261+(0.059109-0.034833))+0-0-0</f>
        <v>758.98688600000003</v>
      </c>
      <c r="Z184" s="3">
        <f>728+(142.1-58.3)+(-1.8564+(-0.362355--0.148665))+0-0-0</f>
        <v>809.7299099999999</v>
      </c>
      <c r="AA184" s="3">
        <f>710+(165.9-56)+(-0.7242+(-0.169218--0.05712))+0-0-0</f>
        <v>819.06370199999992</v>
      </c>
      <c r="AB184" s="3">
        <f>655+(205-51)+(-1.00215+(-0.31365--0.07803))+0-0-0</f>
        <v>807.76223000000005</v>
      </c>
      <c r="AC184" s="3">
        <f>651+(181.8-50)+(-0.33201+(-0.092718--0.0255))+0-0-0</f>
        <v>782.40077199999996</v>
      </c>
      <c r="AD184" s="2">
        <v>822.69999999999993</v>
      </c>
      <c r="AE184" s="3">
        <v>6471.4</v>
      </c>
    </row>
    <row r="185" spans="1:31" s="2" customFormat="1" x14ac:dyDescent="0.3">
      <c r="A185">
        <v>91</v>
      </c>
      <c r="B185">
        <v>6</v>
      </c>
      <c r="C185">
        <v>30</v>
      </c>
      <c r="D185">
        <v>6</v>
      </c>
      <c r="E185">
        <v>1</v>
      </c>
      <c r="F185" s="3">
        <f>503+(290.6-48)+(-0.25653+(-0.148206--0.02448))+0-0-0</f>
        <v>745.21974399999999</v>
      </c>
      <c r="G185" s="3">
        <f>453+(305.9-45)+(0+(0-0))+0-0-0</f>
        <v>713.9</v>
      </c>
      <c r="H185" s="3">
        <f>453+(271-38)+(-0.92412+(-0.55284--0.07752))+0-0-0</f>
        <v>684.60055999999997</v>
      </c>
      <c r="I185" s="3">
        <f>453+(230.4-35)+(-0.23103+(-0.117504--0.01785))+0-0-0</f>
        <v>648.06931599999996</v>
      </c>
      <c r="J185" s="3">
        <f>452+(208.6-35)+(0+(0-0))+0-0-0</f>
        <v>625.6</v>
      </c>
      <c r="K185" s="3">
        <f>452+(180.3-36)+(-0.92208+(-0.367812--0.07344))+0-0-0</f>
        <v>595.08354799999995</v>
      </c>
      <c r="L185" s="3">
        <f>463+(120.8-37)+(-1.18065+(-0.30804--0.09435))+0-0-0</f>
        <v>545.4056599999999</v>
      </c>
      <c r="M185" s="3">
        <f>482+(89.7-43.4)+(-0.24582+(-0.045747--0.022134))+0-0-0</f>
        <v>528.03056699999991</v>
      </c>
      <c r="N185" s="3">
        <f>472+(114.7-40)+(0.48144+(0.116994-0.0408))+0-0-0</f>
        <v>547.25763400000005</v>
      </c>
      <c r="O185" s="3">
        <f>461+(148.8-41)+(0+(0-0))+0-0-0</f>
        <v>568.79999999999995</v>
      </c>
      <c r="P185" s="3">
        <f>461+(173.8-40)+(0+(0-0))+0-0-0</f>
        <v>594.79999999999995</v>
      </c>
      <c r="Q185" s="3">
        <f>461+(195.1-41)+(-0.47022+(-0.199002--0.04182))+0-0-0</f>
        <v>614.47259800000006</v>
      </c>
      <c r="R185" s="3">
        <f>477+(228.5-46)+(0+(0-0))+0-0-0</f>
        <v>659.5</v>
      </c>
      <c r="S185" s="3">
        <f>476+(272-50)+(0+(0-0))+0-0-0</f>
        <v>698</v>
      </c>
      <c r="T185" s="3">
        <f>473+(291.6-46)+(0+(0-0))+0-0-0</f>
        <v>718.6</v>
      </c>
      <c r="U185" s="3">
        <f>474+(266.4-46)+(0+(0-0))+0-0-0</f>
        <v>694.4</v>
      </c>
      <c r="V185" s="3">
        <f>478+(216.5-46)+(0+(0-0))+0-0-0</f>
        <v>648.5</v>
      </c>
      <c r="W185" s="3">
        <f>488+(176.3-47)+(0+(0-0))+0-0-0</f>
        <v>617.29999999999995</v>
      </c>
      <c r="X185" s="3">
        <f>462+(216.7-52)+(0+(0-0))+0-0-0</f>
        <v>626.70000000000005</v>
      </c>
      <c r="Y185" s="3">
        <f>464+(331.1-52)+(0+(0-0))+0-0-0</f>
        <v>743.1</v>
      </c>
      <c r="Z185" s="3">
        <f>488+(351-55)+(0+(0-0))+0-0-0</f>
        <v>784</v>
      </c>
      <c r="AA185" s="3">
        <f>489+(357.6-54)+(0+(0-0))+0-0-0</f>
        <v>792.6</v>
      </c>
      <c r="AB185" s="3">
        <f>489+(356.1-54)+(0+(0-0))+0-0-0</f>
        <v>791.1</v>
      </c>
      <c r="AC185" s="3">
        <f>490+(327.5-50)+(0+(0-0))+0-0-0</f>
        <v>767.5</v>
      </c>
      <c r="AD185" s="2">
        <v>767.9</v>
      </c>
      <c r="AE185" s="3">
        <v>5852.2000000000007</v>
      </c>
    </row>
    <row r="186" spans="1:31" s="2" customFormat="1" x14ac:dyDescent="0.3">
      <c r="A186">
        <v>91</v>
      </c>
      <c r="B186">
        <v>6</v>
      </c>
      <c r="C186">
        <v>31</v>
      </c>
      <c r="D186">
        <v>7</v>
      </c>
      <c r="E186">
        <v>1</v>
      </c>
      <c r="F186" s="3">
        <f>445+(291.9-48)+(-0.4539+(-0.297738--0.04896))+0-0-0</f>
        <v>688.19732199999999</v>
      </c>
      <c r="G186" s="3">
        <f>452+(299-48)+(-1.1526+(-0.76245--0.1224))+0-0-0</f>
        <v>701.20735000000002</v>
      </c>
      <c r="H186" s="3">
        <f>444+(251.3-47)+(-0.22644+(-0.128163--0.02397))+0-0-0</f>
        <v>647.96936699999992</v>
      </c>
      <c r="I186" s="3">
        <f>444+(229.1-48)+(-0.45288+(-0.233682--0.04896))+0-0-0</f>
        <v>624.46239800000001</v>
      </c>
      <c r="J186" s="3">
        <f>445+(203.4-50)+(0.22695+(0.103734-0.0255))+0-0-0</f>
        <v>598.70518400000003</v>
      </c>
      <c r="K186" s="3">
        <f>443+(152.5-45)+(-1.35558+(-0.46665--0.1377))+0-0-0</f>
        <v>548.81547</v>
      </c>
      <c r="L186" s="3">
        <f>443+(127.9-51)+(-0.22593+(-0.065229--0.02601))+0-0-0</f>
        <v>519.63485100000003</v>
      </c>
      <c r="M186" s="3">
        <f>433+(139.5-50)+(0.22083+(0.071145-0.0255))+0-0-0</f>
        <v>522.76647500000001</v>
      </c>
      <c r="N186" s="3">
        <f>432+(153.7-46)+(-0.66096+(-0.235161--0.07038))+0-0-0</f>
        <v>538.87425900000005</v>
      </c>
      <c r="O186" s="3">
        <f>431+(178.2-44)+(-1.31886+(-0.545292--0.13464))+0-0-0</f>
        <v>563.47048800000005</v>
      </c>
      <c r="P186" s="3">
        <f>429+(216.2-44)+(-0.87516+(-0.441048--0.08976))+0-0-0</f>
        <v>599.97355200000004</v>
      </c>
      <c r="Q186" s="3">
        <f>429+(267.5-45)+(0.87516+(0.5457-0.0918))+0-0-0</f>
        <v>652.82906000000003</v>
      </c>
      <c r="R186" s="3">
        <f>431+(314.2-46)+(0.21981+(0.160242-0.02346))+0-0-0</f>
        <v>699.55659200000002</v>
      </c>
      <c r="S186" s="3">
        <f>431+(323.6-46)+(0.21981+(0.165036-0.02346))+0-0-0</f>
        <v>708.96138600000006</v>
      </c>
      <c r="T186" s="3">
        <f>432+(308.8-48)+(-0.88128+(-0.629952--0.09792))+0-0-0</f>
        <v>691.38668799999994</v>
      </c>
      <c r="U186" s="3">
        <f>434+(264.7-47)+(-0.88536+(-0.539988--0.09588))+0-0-0</f>
        <v>650.37053200000003</v>
      </c>
      <c r="V186" s="3">
        <f>440+(212.5-45)+(-1.5708+(-0.758625--0.16065))+0-0-0</f>
        <v>605.33122500000002</v>
      </c>
      <c r="W186" s="3">
        <f>440+(226.3-42)+(-0.2244+(-0.115413--0.02142))+0-0-0</f>
        <v>623.98160699999994</v>
      </c>
      <c r="X186" s="3">
        <f>452+(336-45)+(-0.46104+(-0.34272--0.0459))+0-0-0</f>
        <v>742.24213999999995</v>
      </c>
      <c r="Y186" s="3">
        <f>459+(384.7-49)+(-0.70227+(-0.588591--0.07497))+0-0-0</f>
        <v>793.48410899999999</v>
      </c>
      <c r="Z186" s="3">
        <f>459+(402.6-49)+(-0.93636+(-0.821304--0.09996))+0-0-0</f>
        <v>810.94229600000006</v>
      </c>
      <c r="AA186" s="3">
        <f>459+(386-50)+(-0.93636+(-0.78744--0.102))+0-0-0</f>
        <v>793.37819999999999</v>
      </c>
      <c r="AB186" s="3">
        <f>460+(361.6-48)+(-0.4692+(-0.368832--0.04896))+0-0-0</f>
        <v>772.81092799999999</v>
      </c>
      <c r="AC186" s="3">
        <f>466+(327.7-44)+(-1.42596+(-1.002762--0.13464))+0-0-0</f>
        <v>747.40591800000004</v>
      </c>
      <c r="AD186" s="2">
        <v>777.7</v>
      </c>
      <c r="AE186" s="3">
        <v>4918.8</v>
      </c>
    </row>
    <row r="187" spans="1:31" s="2" customFormat="1" x14ac:dyDescent="0.3">
      <c r="A187">
        <v>91</v>
      </c>
      <c r="B187">
        <v>7</v>
      </c>
      <c r="C187">
        <v>1</v>
      </c>
      <c r="D187">
        <v>1</v>
      </c>
      <c r="E187">
        <v>1</v>
      </c>
      <c r="F187" s="3">
        <f>483+(276.7-44)+(0+(0-0))+0-0-0</f>
        <v>715.7</v>
      </c>
      <c r="G187" s="3">
        <f>483+(239.3-42)+(-0.73899+(-0.366129--0.06426))+0-0-0</f>
        <v>679.259141</v>
      </c>
      <c r="H187" s="3">
        <f>484+(215.9-41)+(-0.49368+(-0.220218--0.04182))+0-0-0</f>
        <v>658.22792199999992</v>
      </c>
      <c r="I187" s="3">
        <f>483+(193.8-43)+(-0.73899+(-0.296514--0.06579))+0-0-0</f>
        <v>632.830286</v>
      </c>
      <c r="J187" s="3">
        <f>481+(170.6-47)+(0+(0-0))+0-0-0</f>
        <v>604.6</v>
      </c>
      <c r="K187" s="3">
        <f>481+(119.9-50.7)+(-0.49062+(-0.122298--0.051714))+0-0-0</f>
        <v>549.63879600000007</v>
      </c>
      <c r="L187" s="3">
        <f>474+(101.7-53.3)+(0+(0-0))+0-0-0</f>
        <v>522.4</v>
      </c>
      <c r="M187" s="3">
        <f>470+(124.6-51)+(-0.2397+(-0.063546--0.02601))+0-0-0</f>
        <v>543.32276400000001</v>
      </c>
      <c r="N187" s="3">
        <f>468+(150.7-46)+(-0.47736+(-0.153714--0.04692))+0-0-0</f>
        <v>572.11584600000003</v>
      </c>
      <c r="O187" s="3">
        <f>467+(172-43)+(0.47634+(0.17544-0.04386))+0-0-0</f>
        <v>596.60792000000004</v>
      </c>
      <c r="P187" s="3">
        <f>466+(196.1-43)+(-0.23766+(-0.100011--0.02193))+0-0-0</f>
        <v>618.78425900000002</v>
      </c>
      <c r="Q187" s="3">
        <f>466+(245.4-45)+(-0.23766+(-0.125154--0.02295))+0-0-0</f>
        <v>666.06013599999994</v>
      </c>
      <c r="R187" s="3">
        <f>465+(306.3-45)+(-0.4743+(-0.312426--0.0459))+0-0-0</f>
        <v>725.55917399999998</v>
      </c>
      <c r="S187" s="3">
        <f>465+(334.2-48)+(-0.71145+(-0.511326--0.07344))+0-0-0</f>
        <v>750.0506640000001</v>
      </c>
      <c r="T187" s="3">
        <f>466+(300.7-47)+(-0.71298+(-0.460071--0.07191))+0-0-0</f>
        <v>718.59885900000006</v>
      </c>
      <c r="U187" s="3">
        <f>468+(248.7-41)+(-0.71604+(-0.380511--0.06273))+0-0-0</f>
        <v>674.66617900000006</v>
      </c>
      <c r="V187" s="3">
        <f>472+(200.1-40)+(-1.2036+(-0.510255--0.102))+0-0-0</f>
        <v>630.48814500000003</v>
      </c>
      <c r="W187" s="3">
        <f>474+(209.1-50)+(-0.72522+(-0.319923--0.0765))+0-0-0</f>
        <v>632.13135699999998</v>
      </c>
      <c r="X187" s="3">
        <f>475+(334.7-47)+(0+(0-0))+0-0-0</f>
        <v>762.7</v>
      </c>
      <c r="Y187" s="3">
        <f>475+(374.3-53)+(-1.21125+(-0.954465--0.13515))+0-0-0</f>
        <v>794.26943499999993</v>
      </c>
      <c r="Z187" s="3">
        <f>475+(389.6-52)+(-0.969+(-0.794784--0.10608))+0-0-0</f>
        <v>810.94229600000006</v>
      </c>
      <c r="AA187" s="3">
        <f>476+(378.8-53)+(-0.97104+(-0.772752--0.10812))+0-0-0</f>
        <v>800.16432799999995</v>
      </c>
      <c r="AB187" s="3">
        <f>473+(358-49)+(-0.96492+(-0.73032--0.09996))+0-0-0</f>
        <v>780.40472</v>
      </c>
      <c r="AC187" s="3">
        <f>474+(323.4-46)+(-0.72522+(-0.494802--0.07038))+0-0-0</f>
        <v>750.25035800000001</v>
      </c>
      <c r="AD187" s="2">
        <v>790.8</v>
      </c>
      <c r="AE187" s="3">
        <v>6444.5999999999995</v>
      </c>
    </row>
    <row r="188" spans="1:31" s="2" customFormat="1" x14ac:dyDescent="0.3">
      <c r="A188">
        <v>91</v>
      </c>
      <c r="B188">
        <v>7</v>
      </c>
      <c r="C188">
        <v>2</v>
      </c>
      <c r="D188">
        <v>2</v>
      </c>
      <c r="E188">
        <v>1</v>
      </c>
      <c r="F188" s="3">
        <f>474+(281.7-46)+(-0.24174+(-0.143667--0.02346))+0-0-0</f>
        <v>709.33805300000006</v>
      </c>
      <c r="G188" s="3">
        <f>474+(253.4-47)+(-0.96696+(-0.516936--0.09588))+0-0-0</f>
        <v>679.01198399999998</v>
      </c>
      <c r="H188" s="3">
        <f>476+(226.5-47)+(-0.72828+(-0.346545--0.07191))+0-0-0</f>
        <v>654.49708499999997</v>
      </c>
      <c r="I188" s="3">
        <f>479+(203.4-47)+(-0.73287+(-0.311202--0.07191))+0-0-0</f>
        <v>634.42783799999995</v>
      </c>
      <c r="J188" s="3">
        <f>478+(175.9-46)+(0.48756+(0.179418-0.04692))+0-0-0</f>
        <v>608.52005799999995</v>
      </c>
      <c r="K188" s="3">
        <f>477+(118.4-43.1)+(-0.72981+(-0.181152--0.065943))+0-0-0</f>
        <v>551.45498099999998</v>
      </c>
      <c r="L188" s="3">
        <f>402+(177.6-43)+(0.41004+(0.181152-0.04386))+0-0-0</f>
        <v>537.14733200000001</v>
      </c>
      <c r="M188" s="3">
        <f>460+(126.9-42)+(0.4692+(0.129438-0.04284))+0-0-0</f>
        <v>545.45579799999996</v>
      </c>
      <c r="N188" s="3">
        <f>478+(136.9-43)+(0.24378+(0.069819-0.02193))+0-0-0</f>
        <v>572.19166899999993</v>
      </c>
      <c r="O188" s="3">
        <f>477+(170-44)+(-0.24327+(-0.0867--0.02244))+0-0-0</f>
        <v>602.69246999999996</v>
      </c>
      <c r="P188" s="3">
        <f>477+(212.2-44)+(-0.72981+(-0.324666--0.06732))+0-0-0</f>
        <v>644.21284400000002</v>
      </c>
      <c r="Q188" s="3">
        <f>476+(266.2-45)+(-0.24276+(-0.135762--0.02295))+0-0-0</f>
        <v>696.84442799999999</v>
      </c>
      <c r="R188" s="3">
        <f>470+(337.7-47)+(0.7191+(0.516681-0.07191))+0-0-0</f>
        <v>761.86387100000002</v>
      </c>
      <c r="S188" s="3">
        <f>492+(328.4-45)+(0.50184+(0.334968-0.0459))+0-0-0</f>
        <v>776.19090799999992</v>
      </c>
      <c r="T188" s="3">
        <f>498+(275.2-44)+(-0.50796+(-0.280704--0.04488))+0-0-0</f>
        <v>728.45621600000004</v>
      </c>
      <c r="U188" s="3">
        <f>502+(229.8-47)+(-1.2801+(-0.58599--0.11985))+0-0-0</f>
        <v>683.05376000000001</v>
      </c>
      <c r="V188" s="3">
        <f>480.3+(167-47)+(-1.224765+(-0.42585--0.11985))+0-0-0</f>
        <v>598.76923499999998</v>
      </c>
      <c r="W188" s="3">
        <f>485.1+(187.7-49)+(-0.494802+(-0.191454--0.04998))+0-0-0</f>
        <v>623.163724</v>
      </c>
      <c r="X188" s="3">
        <f>487.8+(304.7-55)+(-0.248778+(-0.155397--0.02805))+0-0-0</f>
        <v>737.123875</v>
      </c>
      <c r="Y188" s="3">
        <f>488.7+(361.7-54)+(-0.996948+(-0.737868--0.11016))+0-0-0</f>
        <v>794.77534400000002</v>
      </c>
      <c r="Z188" s="3">
        <f>490.5+(373.9-51)+(-0.750465+(-0.572067--0.07803))+0-0-0</f>
        <v>812.15549799999997</v>
      </c>
      <c r="AA188" s="3">
        <f>492.3+(364.3-51)+(-1.506438+(-1.114758--0.15606))+0-0-0</f>
        <v>803.13486399999999</v>
      </c>
      <c r="AB188" s="3">
        <f>489.8+(334.7-48)+(-0.749394+(-0.512091--0.07344))+0-0-0</f>
        <v>775.31195500000001</v>
      </c>
      <c r="AC188" s="3">
        <f>476.9+(328.3-45)+(0+(0-0))+0-0-0</f>
        <v>760.2</v>
      </c>
      <c r="AD188" s="2">
        <v>838.1</v>
      </c>
      <c r="AE188" s="3">
        <v>6433.0999999999995</v>
      </c>
    </row>
    <row r="189" spans="1:31" s="2" customFormat="1" x14ac:dyDescent="0.3">
      <c r="A189">
        <v>91</v>
      </c>
      <c r="B189">
        <v>7</v>
      </c>
      <c r="C189">
        <v>3</v>
      </c>
      <c r="D189">
        <v>3</v>
      </c>
      <c r="E189">
        <v>1</v>
      </c>
      <c r="F189" s="3">
        <f>459.1+(302.9-45)+(-0.234141+(-0.154479--0.02295))+0-0-0</f>
        <v>716.63432999999998</v>
      </c>
      <c r="G189" s="3">
        <f>458.5+(270.9-45)+(-0.93534+(-0.552636--0.0918))+0-0-0</f>
        <v>683.00382400000001</v>
      </c>
      <c r="H189" s="3">
        <f>460.3+(246.4-44)+(-0.234753+(-0.125664--0.02244))+0-0-0</f>
        <v>662.36202300000002</v>
      </c>
      <c r="I189" s="3">
        <f>461.6+(221.6-45)+(-0.470832+(-0.226032--0.0459))+0-0-0</f>
        <v>637.549036</v>
      </c>
      <c r="J189" s="3">
        <f>459.6+(196.7-49)+(0.703188+(0.300951-0.07497))+0-0-0</f>
        <v>608.22916899999996</v>
      </c>
      <c r="K189" s="3">
        <f>459.8+(138-51)+(-0.703494+(-0.21114--0.07803))+0-0-0</f>
        <v>545.96339599999999</v>
      </c>
      <c r="L189" s="3">
        <f>456.7+(114.1-53.1)+(-0.232917+(-0.058191--0.027081))+0-0-0</f>
        <v>517.43597299999988</v>
      </c>
      <c r="M189" s="3">
        <f>451.8+(146.7-47)+(0.921672+(0.299268-0.09588))+0-0-0</f>
        <v>552.62505999999996</v>
      </c>
      <c r="N189" s="3">
        <f>457.1+(157.3-44)+(-0.233121+(-0.080223--0.02244))+0-0-0</f>
        <v>570.10909600000014</v>
      </c>
      <c r="O189" s="3">
        <f>477.2+(161.8-43)+(0.243372+(0.082518-0.02193))+0-0-0</f>
        <v>596.30395999999996</v>
      </c>
      <c r="P189" s="3">
        <f>479.7+(189.8-42)+(0+(0-0))+0-0-0</f>
        <v>627.5</v>
      </c>
      <c r="Q189" s="3">
        <f>487.7+(219.3-43)+(0.497454+(0.223686-0.04386))+0-0-0</f>
        <v>664.67728</v>
      </c>
      <c r="R189" s="3">
        <f>486.4+(289.5-49)+(-0.744192+(-0.442935--0.07497))+0-0-0</f>
        <v>725.78784299999995</v>
      </c>
      <c r="S189" s="3">
        <f>486.3+(309.1-49)+(-0.744039+(-0.472923--0.07497))+0-0-0</f>
        <v>745.25800800000013</v>
      </c>
      <c r="T189" s="3">
        <f>484.3+(284.7-48)+(-1.234965+(-0.725985--0.1224))+0-0-0</f>
        <v>719.16144999999995</v>
      </c>
      <c r="U189" s="3">
        <f>488.7+(230.3-47)+(-1.495422+(-0.704718--0.14382))+0-0-0</f>
        <v>669.94367999999997</v>
      </c>
      <c r="V189" s="3">
        <f>500.6+(170.3-49)+(-1.787142+(-0.607971--0.17493))+0-0-0</f>
        <v>619.67981700000007</v>
      </c>
      <c r="W189" s="3">
        <f>502.5+(188.4-52)+(-0.51255+(-0.192168--0.05304))+0-0-0</f>
        <v>638.24832200000003</v>
      </c>
      <c r="X189" s="3">
        <f>506+(298-53)+(-0.77418+(-0.45594--0.08109))+0-0-0</f>
        <v>749.85096999999996</v>
      </c>
      <c r="Y189" s="3">
        <f>504+(354-51)+(-1.02816+(-0.72216--0.10404))+0-0-0</f>
        <v>805.35371999999995</v>
      </c>
      <c r="Z189" s="3">
        <f>504.3+(381.1-49)+(-1.285965+(-0.971805--0.12495))+0-0-0</f>
        <v>834.26718000000005</v>
      </c>
      <c r="AA189" s="3">
        <f>508.1+(379.4-52)+(-1.554786+(-1.160964--0.15912))+0-0-0</f>
        <v>832.94336999999996</v>
      </c>
      <c r="AB189" s="3">
        <f>508.4+(354.9-46)+(-1.037136+(-0.723996--0.09384))+0-0-0</f>
        <v>815.63270799999998</v>
      </c>
      <c r="AC189" s="3">
        <f>488.8+(330.3-47)+(-1.24644+(-0.842265--0.11985))+0-0-0</f>
        <v>770.13114500000006</v>
      </c>
      <c r="AD189" s="2">
        <v>855</v>
      </c>
      <c r="AE189" s="3">
        <v>6377.0999999999995</v>
      </c>
    </row>
    <row r="190" spans="1:31" s="2" customFormat="1" x14ac:dyDescent="0.3">
      <c r="A190">
        <v>91</v>
      </c>
      <c r="B190">
        <v>7</v>
      </c>
      <c r="C190">
        <v>4</v>
      </c>
      <c r="D190">
        <v>4</v>
      </c>
      <c r="E190">
        <v>1</v>
      </c>
      <c r="F190" s="3">
        <f>472.2+(307.5-46)+(-0.240822+(-0.156825--0.02346))+0-0-0</f>
        <v>733.32581300000004</v>
      </c>
      <c r="G190" s="3">
        <f>457.5+(284-45)+(-0.46665+(-0.28968--0.0459))+0-0-0</f>
        <v>695.78957000000003</v>
      </c>
      <c r="H190" s="3">
        <f>458.7+(254.4-45)+(-0.233937+(-0.129744--0.02295))+0-0-0</f>
        <v>667.75926900000002</v>
      </c>
      <c r="I190" s="3">
        <f>458.6+(233.1-46)+(-1.16943+(-0.594405--0.1173))+0-0-0</f>
        <v>644.05346500000007</v>
      </c>
      <c r="J190" s="3">
        <f>454+(210-48)+(0.23154+(0.1071-0.02448))+0-0-0</f>
        <v>616.31416000000002</v>
      </c>
      <c r="K190" s="3">
        <f>455.5+(151.5-50)+(-1.161525+(-0.386325--0.1275))+0-0-0</f>
        <v>555.57965000000002</v>
      </c>
      <c r="L190" s="3">
        <f>453.1+(120.4-50)+(-0.231081+(-0.061404--0.0255))+0-0-0</f>
        <v>523.23301500000002</v>
      </c>
      <c r="M190" s="3">
        <f>451+(142.4-41)+(-0.23001+(-0.072624--0.02091))+0-0-0</f>
        <v>552.11827599999992</v>
      </c>
      <c r="N190" s="3">
        <f>448.3+(165.9-45)+(0+(0-0))+0-0-0</f>
        <v>569.20000000000005</v>
      </c>
      <c r="O190" s="3">
        <f>445.8+(194.9-40)+(0+(0-0))+0-0-0</f>
        <v>600.70000000000005</v>
      </c>
      <c r="P190" s="3">
        <f>442.9+(221.9-43)+(-0.451758+(-0.226338--0.04386))+0-0-0</f>
        <v>621.16576399999997</v>
      </c>
      <c r="Q190" s="3">
        <f>374.7+(339.1-44)+(-0.191097+(-0.172941--0.02244))+0-0-0</f>
        <v>669.45840199999998</v>
      </c>
      <c r="R190" s="3">
        <f>362.3+(413.3-48)+(-0.369546+(-0.421566--0.04896))+0-0-0</f>
        <v>726.85784799999999</v>
      </c>
      <c r="S190" s="3">
        <f>496.7+(290.6-49)+(-0.759951+(-0.444618--0.07497))+0-0-0</f>
        <v>737.17040099999997</v>
      </c>
      <c r="T190" s="3">
        <f>533.3+(217.6-48)+(-0.271983+(-0.110976--0.02448))+0-0-0</f>
        <v>702.54152099999999</v>
      </c>
      <c r="U190" s="3">
        <f>539.6+(164.2-48)+(-1.37598+(-0.41871--0.1224))+0-0-0</f>
        <v>654.12770999999998</v>
      </c>
      <c r="V190" s="3">
        <f>546.8+(113.9-62.9)+(-0.557736+(-0.116178--0.064158))+0-0-0</f>
        <v>597.19024400000001</v>
      </c>
      <c r="W190" s="3">
        <f>540.5+(134.9-49)+(-0.826965+(-0.206397--0.07497))+0-0-0</f>
        <v>625.44160799999997</v>
      </c>
      <c r="X190" s="3">
        <f>526.1+(258.6-50)+(-0.268311+(-0.131886--0.0255))+0-0-0</f>
        <v>734.32530300000008</v>
      </c>
      <c r="Y190" s="3">
        <f>528.2+(308.2-54)+(-1.616292+(-0.943092--0.16524))+0-0-0</f>
        <v>780.00585600000011</v>
      </c>
      <c r="Z190" s="3">
        <f>529.8+(325.3-54)+(-0.270198+(-0.165903--0.02754))+0-0-0</f>
        <v>800.69143899999995</v>
      </c>
      <c r="AA190" s="3">
        <f>529.4+(329.1-52)+(-0.269994+(-0.167841--0.02652))+0-0-0</f>
        <v>806.08868500000005</v>
      </c>
      <c r="AB190" s="3">
        <f>530+(313.8-49)+(-1.3515+(-0.80019--0.12495))+0-0-0</f>
        <v>792.77325999999994</v>
      </c>
      <c r="AC190" s="3">
        <f>529.1+(269.8-48)+(-0.809523+(-0.412794--0.07344))+0-0-0</f>
        <v>749.75112300000012</v>
      </c>
      <c r="AD190" s="2">
        <v>789.3</v>
      </c>
      <c r="AE190" s="3">
        <v>6229.6</v>
      </c>
    </row>
    <row r="191" spans="1:31" s="2" customFormat="1" x14ac:dyDescent="0.3">
      <c r="A191">
        <v>91</v>
      </c>
      <c r="B191">
        <v>7</v>
      </c>
      <c r="C191">
        <v>5</v>
      </c>
      <c r="D191">
        <v>5</v>
      </c>
      <c r="E191">
        <v>1</v>
      </c>
      <c r="F191" s="3">
        <f>507.8+(252.7-45)+(-1.035912+(-0.515508--0.0918))+0-0-0</f>
        <v>714.04038000000003</v>
      </c>
      <c r="G191" s="3">
        <f>394.5+(339-43)+(-1.005975+(-0.86445--0.10965))+0-0-0</f>
        <v>688.73922500000003</v>
      </c>
      <c r="H191" s="3">
        <f>395.1+(319.9-41)+(-1.007505+(-0.815745--0.10455))+0-0-0</f>
        <v>672.28129999999999</v>
      </c>
      <c r="I191" s="3">
        <f>395.8+(295.5-45)+(-0.201858+(-0.150705--0.02295))+0-0-0</f>
        <v>645.97038699999996</v>
      </c>
      <c r="J191" s="3">
        <f>394.9+(270.2-45)+(-0.402798+(-0.275604--0.0459))+0-0-0</f>
        <v>619.46749799999986</v>
      </c>
      <c r="K191" s="3">
        <f>395.6+(215.1-47)+(-1.00878+(-0.548505--0.11985))+0-0-0</f>
        <v>562.262565</v>
      </c>
      <c r="L191" s="3">
        <f>392.8+(177-46)+(0+(0-0))+0-0-0</f>
        <v>523.79999999999995</v>
      </c>
      <c r="M191" s="3">
        <f>391.6+(191.6-45)+(-0.199716+(-0.097716--0.02295))+0-0-0</f>
        <v>537.92551800000001</v>
      </c>
      <c r="N191" s="3">
        <f>396.3+(206.7-45)+(-0.404226+(-0.210834--0.0459))+0-0-0</f>
        <v>557.43083999999999</v>
      </c>
      <c r="O191" s="3">
        <f>464.7+(162.1-45)+(-0.236997+(-0.082671--0.02295))+0-0-0</f>
        <v>581.5032819999999</v>
      </c>
      <c r="P191" s="3">
        <f>462.6+(192.2-43)+(0.471852+(0.196044-0.04386))+0-0-0</f>
        <v>612.424036</v>
      </c>
      <c r="Q191" s="3">
        <f>461.8+(241.1-48)+(0+(0-0))+0-0-0</f>
        <v>654.9</v>
      </c>
      <c r="R191" s="3">
        <f>487+(303.3-48)+(0.24837+(0.154683-0.02448))+0-0-0</f>
        <v>742.67857299999991</v>
      </c>
      <c r="S191" s="3">
        <f>487+(304.9-50)+(0.49674+(0.310998-0.051))+0-0-0</f>
        <v>742.65673800000002</v>
      </c>
      <c r="T191" s="3">
        <f>489+(263.4-49)+(-0.49878+(-0.268668--0.04998))+0-0-0</f>
        <v>702.68253199999992</v>
      </c>
      <c r="U191" s="3">
        <f>489+(208.7-47)+(-1.74573+(-0.745059--0.16779))+0-0-0</f>
        <v>648.37700100000006</v>
      </c>
      <c r="V191" s="3">
        <f>494+(156.9-43)+(-0.50388+(-0.160038--0.04386))+0-0-0</f>
        <v>607.27994200000001</v>
      </c>
      <c r="W191" s="3">
        <f>498+(202.3-43)+(0+(0-0))+2.5-0-0</f>
        <v>659.8</v>
      </c>
      <c r="X191" s="3">
        <f>498+(316-54)+(-0.25398+(-0.16116--0.02754))+0-0-0</f>
        <v>759.61239999999998</v>
      </c>
      <c r="Y191" s="3">
        <f>497+(367.7-54)+(-1.01388+(-0.750108--0.11016))+0-0-0</f>
        <v>809.04617200000007</v>
      </c>
      <c r="Z191" s="3">
        <f>497+(372.9-56)+(-0.50694+(-0.380358--0.05712))+0-0-0</f>
        <v>813.06982199999993</v>
      </c>
      <c r="AA191" s="3">
        <f>498+(359.4-54)+(-0.25398+(-0.183294--0.02754))+0-0-0</f>
        <v>802.99026600000002</v>
      </c>
      <c r="AB191" s="3">
        <f>494+(344.1-50)+(-1.76358+(-1.228437--0.1785))+0-0-0</f>
        <v>785.28648299999998</v>
      </c>
      <c r="AC191" s="3">
        <f>481+(323.6-48)+(0.24531+(0.165036-0.02448))+0-0-0</f>
        <v>756.98586599999999</v>
      </c>
      <c r="AD191" s="2">
        <v>771.8</v>
      </c>
      <c r="AE191" s="3">
        <v>6202.0999999999995</v>
      </c>
    </row>
    <row r="192" spans="1:31" s="2" customFormat="1" x14ac:dyDescent="0.3">
      <c r="A192">
        <v>91</v>
      </c>
      <c r="B192">
        <v>7</v>
      </c>
      <c r="C192">
        <v>6</v>
      </c>
      <c r="D192">
        <v>6</v>
      </c>
      <c r="E192">
        <v>1</v>
      </c>
      <c r="F192" s="3">
        <f>452.7+(289.6-47)+(-0.692631+(-0.443088--0.07191))+0-0-0</f>
        <v>694.23619099999996</v>
      </c>
      <c r="G192" s="3">
        <f>453.5+(257.9-46)+(-0.693855+(-0.394587--0.07038))+0-0-0</f>
        <v>664.38193799999999</v>
      </c>
      <c r="H192" s="3">
        <f>455.7+(234.7-45)+(-1.162035+(-0.598485--0.11475))+0-0-0</f>
        <v>643.75423000000001</v>
      </c>
      <c r="I192" s="3">
        <f>456.8+(215-47)+(-0.465936+(-0.2193--0.04794))+0-0-0</f>
        <v>624.16270399999996</v>
      </c>
      <c r="J192" s="3">
        <f>457.3+(191.5-49)+(0+(0-0))+0-0-0</f>
        <v>599.79999999999995</v>
      </c>
      <c r="K192" s="3">
        <f>414+(181-50)+(-0.63342+(-0.27693--0.0765))+0-0-0</f>
        <v>544.16615000000002</v>
      </c>
      <c r="L192" s="3">
        <f>377.4+(185.1-46)+(0.192474+(0.094401-0.02346))+0-0-0</f>
        <v>516.76341500000001</v>
      </c>
      <c r="M192" s="3">
        <f>377.3+(206.1-41)+(-0.192423+(-0.105111--0.02091))+0-0-0</f>
        <v>542.12337600000001</v>
      </c>
      <c r="N192" s="3">
        <f>377.6+(225.6-43)+(-0.385152+(-0.230112--0.04386))+0-0-0</f>
        <v>559.62859600000002</v>
      </c>
      <c r="O192" s="3">
        <f>450.5+(181.3-43)+(-0.229755+(-0.092463--0.02193))+0-0-0</f>
        <v>588.49971199999993</v>
      </c>
      <c r="P192" s="3">
        <f>452.1+(209.6-45)+(0.461142+(0.213792-0.0459))+0-0-0</f>
        <v>617.32903400000009</v>
      </c>
      <c r="Q192" s="3">
        <f>450.4+(259.2-46)+(0.689112+(0.396576-0.07038))+0-0-0</f>
        <v>664.61530799999991</v>
      </c>
      <c r="R192" s="3">
        <f>442.8+(318.1-50)+(-0.677484+(-0.486693--0.0765))+0-0-0</f>
        <v>709.81232300000011</v>
      </c>
      <c r="S192" s="3">
        <f>440.7+(315.6-54)+(0+(0-0))+0-0-0</f>
        <v>702.3</v>
      </c>
      <c r="T192" s="3">
        <f>440.6+(286.6-47)+(-0.674118+(-0.438498--0.07191))+0-0-0</f>
        <v>679.15929400000005</v>
      </c>
      <c r="U192" s="3">
        <f>440.4+(240.8-46)+(-1.347624+(-0.736848--0.14076))+0-0-0</f>
        <v>633.25628800000004</v>
      </c>
      <c r="V192" s="3">
        <f>436.8+(183.5-44)+(-1.336608+(-0.56151--0.13464))+0-0-0</f>
        <v>574.53652199999999</v>
      </c>
      <c r="W192" s="3">
        <f>431.8+(228.7-37)+(-0.880872+(-0.466548--0.07548))+0-0-0</f>
        <v>622.22806000000003</v>
      </c>
      <c r="X192" s="3">
        <f>539.3+(234.1-45)+(0+(0-0))+0-0-0</f>
        <v>728.4</v>
      </c>
      <c r="Y192" s="3">
        <f>553.4+(272.1-52)+(-2.540106+(-1.248939--0.23868))+0-0-0</f>
        <v>769.94963499999994</v>
      </c>
      <c r="Z192" s="3">
        <f>549.7+(284.4-53)+(-1.401735+(-0.72522--0.13515))+0-0-0</f>
        <v>779.10819500000002</v>
      </c>
      <c r="AA192" s="3">
        <f>561+(268.6-49)+(-0.85833+(-0.410958--0.07497))+0-0-0</f>
        <v>779.40568200000007</v>
      </c>
      <c r="AB192" s="3">
        <f>562.9+(247.3-51)+(-0.861237+(-0.378369--0.07803))+0-0-0</f>
        <v>758.03842400000008</v>
      </c>
      <c r="AC192" s="3">
        <f>524.1+(258.4-48)+(-0.801873+(-0.395352--0.07344))+0-0-0</f>
        <v>733.376215</v>
      </c>
      <c r="AD192" s="2">
        <v>773.5</v>
      </c>
      <c r="AE192" s="3">
        <v>5907.6</v>
      </c>
    </row>
    <row r="193" spans="1:31" s="2" customFormat="1" x14ac:dyDescent="0.3">
      <c r="A193">
        <v>91</v>
      </c>
      <c r="B193">
        <v>7</v>
      </c>
      <c r="C193">
        <v>7</v>
      </c>
      <c r="D193">
        <v>7</v>
      </c>
      <c r="E193">
        <v>1</v>
      </c>
      <c r="F193" s="3">
        <f>528.2+(228.8-45)+(-1.077528+(-0.466752--0.0918))+0-0-0</f>
        <v>710.54751999999996</v>
      </c>
      <c r="G193" s="3">
        <f>503.8+(218.3-45)+(0.256938+(0.111333-0.02295))+0-0-0</f>
        <v>677.44532100000004</v>
      </c>
      <c r="H193" s="3">
        <f>501.9+(199.2-43)+(-0.255969+(-0.101592--0.02193))+0-0-0</f>
        <v>657.76436899999987</v>
      </c>
      <c r="I193" s="3">
        <f>444.6+(239.8-43)+(-0.680238+(-0.366894--0.06579))+0-0-0</f>
        <v>640.41865800000005</v>
      </c>
      <c r="J193" s="3">
        <f>421.1+(233.7-47)+(-0.214761+(-0.119187--0.02397))+0-0-0</f>
        <v>607.49002199999995</v>
      </c>
      <c r="K193" s="3">
        <f>420.4+(182.3-48)+(-1.07202+(-0.464865--0.1224))+0-0-0</f>
        <v>553.28551500000003</v>
      </c>
      <c r="L193" s="3">
        <f>419.9+(152.5-49)+(0+(0-0))+0-0-0</f>
        <v>523.4</v>
      </c>
      <c r="M193" s="3">
        <f>417.8+(159.9-32)+(-1.278468+(-0.489294--0.09792))+0-0-0</f>
        <v>544.03015800000003</v>
      </c>
      <c r="N193" s="3">
        <f>417.5+(171.8-34)+(-0.212925+(-0.087618--0.01734))+0-0-0</f>
        <v>555.016797</v>
      </c>
      <c r="O193" s="3">
        <f>414.7+(198.6-36)+(-0.634491+(-0.303858--0.05508))+0-0-0</f>
        <v>576.41673099999991</v>
      </c>
      <c r="P193" s="3">
        <f>413.6+(231.7-38)+(-0.632808+(-0.354501--0.05814))+0-0-0</f>
        <v>606.37083099999995</v>
      </c>
      <c r="Q193" s="3">
        <f>436.8+(252.6-41)+(-0.445536+(-0.257652--0.04182))+0-0-0</f>
        <v>647.73863199999994</v>
      </c>
      <c r="R193" s="3">
        <f>471.8+(258.9-52)+(0.481236+(0.264078-0.05304))+0-0-0</f>
        <v>679.39227400000004</v>
      </c>
      <c r="S193" s="3">
        <f>469.6+(264.2-55)+(-0.718488+(-0.404226--0.08415))+0-0-0</f>
        <v>677.761436</v>
      </c>
      <c r="T193" s="3">
        <f>468+(200.3-53.4)+(-0.71604+(-0.306459--0.081702))+20.3-0-0</f>
        <v>634.25920299999996</v>
      </c>
      <c r="U193" s="3">
        <f>469.2+(155.4-62.9)+(-1.19646+(-0.39627--0.160395))+13.4-0-0</f>
        <v>573.66766500000006</v>
      </c>
      <c r="V193" s="3">
        <f>473.2+(119.8-60.7)+(-1.20666+(-0.30549--0.154785))+0.5-0-0</f>
        <v>531.442635</v>
      </c>
      <c r="W193" s="3">
        <f>476.4+(197-49)+(-0.485928+(-0.20094--0.04998))+0-0-0</f>
        <v>623.76311199999998</v>
      </c>
      <c r="X193" s="3">
        <f>484.1+(213.1-34)+(-0.246891+(-0.108681--0.01734))+0-0-0</f>
        <v>662.8617680000001</v>
      </c>
      <c r="Y193" s="3">
        <f>495+(242.4-42)+(-0.5049+(-0.247248--0.04284))+0-0-0</f>
        <v>694.69069200000001</v>
      </c>
      <c r="Z193" s="3">
        <f>493.9+(286.6-40)+(-1.259445+(-0.73083--0.102))+0-0-0</f>
        <v>738.61172499999998</v>
      </c>
      <c r="AA193" s="3">
        <f>494.6+(283.4-40)+(-0.252246+(-0.144534--0.0204))+0-0-0</f>
        <v>737.62361999999996</v>
      </c>
      <c r="AB193" s="3">
        <f>494.3+(262.1-39)+(-1.260465+(-0.668355--0.09945))+0-0-0</f>
        <v>715.57063000000005</v>
      </c>
      <c r="AC193" s="3">
        <f>496.2+(232.5-38)+(-0.506124+(-0.23715--0.03876))+0-0-0</f>
        <v>689.99548600000003</v>
      </c>
      <c r="AD193" s="2">
        <v>716.4</v>
      </c>
      <c r="AE193" s="3">
        <v>4807.1000000000004</v>
      </c>
    </row>
    <row r="194" spans="1:31" s="2" customFormat="1" x14ac:dyDescent="0.3">
      <c r="A194">
        <v>91</v>
      </c>
      <c r="B194">
        <v>7</v>
      </c>
      <c r="C194">
        <v>8</v>
      </c>
      <c r="D194">
        <v>1</v>
      </c>
      <c r="E194">
        <v>1</v>
      </c>
      <c r="F194" s="3">
        <f>499+(223.4-38)+(-1.27245+(-0.56967--0.0969))+0-0-0</f>
        <v>682.65477999999996</v>
      </c>
      <c r="G194" s="3">
        <f>482+(208.4-35)+(-0.73746+(-0.318852--0.05355))+0-0-0</f>
        <v>654.39723800000002</v>
      </c>
      <c r="H194" s="3">
        <f>482+(185.5-34)+(-1.2291+(-0.473025--0.0867))+0-0-0</f>
        <v>631.88457500000004</v>
      </c>
      <c r="I194" s="3">
        <f>440+(211.7-37)+(-0.8976+(-0.431868--0.07548))+0-0-0</f>
        <v>613.446012</v>
      </c>
      <c r="J194" s="3">
        <f>407+(218.4-39)+(-0.62271+(-0.334152--0.05967))+0-0-0</f>
        <v>585.50280799999996</v>
      </c>
      <c r="K194" s="3">
        <f>407+(168.7-40)+(-0.20757+(-0.086037--0.0204))+0-0-0</f>
        <v>535.42679300000009</v>
      </c>
      <c r="L194" s="3">
        <f>406+(137.7-34)+(0.62118+(0.210681-0.05202))+0-0-0</f>
        <v>510.47984099999996</v>
      </c>
      <c r="M194" s="3">
        <f>406+(165-31)+(0.62118+(0.25245-0.04743))+0-0-0</f>
        <v>540.82619999999997</v>
      </c>
      <c r="N194" s="3">
        <f>406+(179.2-29)+(0+(0-0))+1.3-0-0</f>
        <v>557.5</v>
      </c>
      <c r="O194" s="3">
        <f>405+(205-25)+(0+(0-0))+0-0-0</f>
        <v>585</v>
      </c>
      <c r="P194" s="3">
        <f>401+(238.4-30)+(0+(0-0))+0-0-0</f>
        <v>609.4</v>
      </c>
      <c r="Q194" s="3">
        <f>431+(253-35)+(-0.65943+(-0.38709--0.05355))+0-0-0</f>
        <v>648.00702999999999</v>
      </c>
      <c r="R194" s="3">
        <f>469+(255.1-36)+(-1.43514+(-0.780606--0.11016))+3.5-0-0</f>
        <v>689.49441400000001</v>
      </c>
      <c r="S194" s="3">
        <f>473+(271.3-33)+(-0.48246+(-0.276726--0.03366))+0-0-0</f>
        <v>710.57447400000001</v>
      </c>
      <c r="T194" s="3">
        <f>473+(255.3-30)+(-0.24123+(-0.130203--0.0153))+0-0-0</f>
        <v>697.94386699999995</v>
      </c>
      <c r="U194" s="3">
        <f>472+(208.6-27)+(-0.48144+(-0.212772--0.02754))+0-0-0</f>
        <v>652.93332800000007</v>
      </c>
      <c r="V194" s="3">
        <f>475+(165-42.8)+(-0.72675+(-0.25245--0.065484))+0-0-0</f>
        <v>596.28628400000002</v>
      </c>
      <c r="W194" s="3">
        <f>480+(204.6-41)+(0.9792+(0.417384-0.08364))+0-0-0</f>
        <v>644.91294400000004</v>
      </c>
      <c r="X194" s="3">
        <f>473+(315.4-49)+(0.48246+(0.321708-0.04998))+0-0-0</f>
        <v>740.15418799999998</v>
      </c>
      <c r="Y194" s="3">
        <f>473+(359-49)+(0.48246+(0.36618-0.04998))+0-0-0</f>
        <v>783.79866000000004</v>
      </c>
      <c r="Z194" s="3">
        <f>473+(366.4-43)+(0+(0-0))+0-0-0</f>
        <v>796.4</v>
      </c>
      <c r="AA194" s="3">
        <f>474+(360.3-47)+(0.24174+(0.183753-0.02397))+0-0-0</f>
        <v>787.70152299999995</v>
      </c>
      <c r="AB194" s="3">
        <f>473+(343.1-44)+(-1.20615+(-0.874905--0.1122))+0-0-0</f>
        <v>770.13114500000006</v>
      </c>
      <c r="AC194" s="3">
        <f>474+(302.6-42)+(-0.96696+(-0.617304--0.08568))+0-0-0</f>
        <v>733.10141599999997</v>
      </c>
      <c r="AD194" s="2">
        <v>795.3</v>
      </c>
      <c r="AE194" s="3">
        <v>6071.3</v>
      </c>
    </row>
    <row r="195" spans="1:31" s="2" customFormat="1" x14ac:dyDescent="0.3">
      <c r="A195">
        <v>91</v>
      </c>
      <c r="B195">
        <v>7</v>
      </c>
      <c r="C195">
        <v>9</v>
      </c>
      <c r="D195">
        <v>2</v>
      </c>
      <c r="E195">
        <v>1</v>
      </c>
      <c r="F195" s="3">
        <f>454.4+(262.9-32)+(-0.926976+(-0.536316--0.06528))+0-0-0</f>
        <v>683.90198799999996</v>
      </c>
      <c r="G195" s="3">
        <f>444.1+(243-32)+(-1.585437+(-0.86751--0.11424))+0-0-0</f>
        <v>652.76129300000002</v>
      </c>
      <c r="H195" s="3">
        <f>387.1+(275.7-30)+(0.394842+(0.281214-0.0306))+0-0-0</f>
        <v>633.44545599999992</v>
      </c>
      <c r="I195" s="3">
        <f>386.5+(254.3-30)+(-0.78846+(-0.518772--0.0612))+0-0-0</f>
        <v>609.55396799999994</v>
      </c>
      <c r="J195" s="3">
        <f>387.6+(232.6-30)+(0.395352+(0.237252-0.0306))+0-0-0</f>
        <v>590.80200400000001</v>
      </c>
      <c r="K195" s="3">
        <f>387.7+(184.2-30)+(-0.593181+(-0.281826--0.0459))+0-0-0</f>
        <v>541.07089299999996</v>
      </c>
      <c r="L195" s="3">
        <f>387.1+(159.4-31)+(0+(0-0))+0-0-0</f>
        <v>515.5</v>
      </c>
      <c r="M195" s="3">
        <f>386+(178.4-31)+(-0.59058+(-0.272952--0.04743))+0-0-0</f>
        <v>532.58389799999998</v>
      </c>
      <c r="N195" s="3">
        <f>386.5+(200.6-35)+(0.197115+(0.102306-0.01785))+0-0-0</f>
        <v>552.38157100000001</v>
      </c>
      <c r="O195" s="3">
        <f>384.2+(220.3-36)+(-0.391884+(-0.224706--0.03672))+0-0-0</f>
        <v>567.92012999999997</v>
      </c>
      <c r="P195" s="3">
        <f>416+(218.6-37)+(-0.21216+(-0.111486--0.01887))+0-0-0</f>
        <v>597.29522400000008</v>
      </c>
      <c r="Q195" s="3">
        <f>448.8+(222.2-35)+(0.686664+(0.339966-0.05355))+0-0-0</f>
        <v>636.97307999999998</v>
      </c>
      <c r="R195" s="3">
        <f>444.8+(271.3-41)+(-0.907392+(-0.553452--0.08364))+0-0-0</f>
        <v>673.72279600000002</v>
      </c>
      <c r="S195" s="3">
        <f>446+(281.9-39)+(0.90984+(0.575076-0.07956))+0-0-0</f>
        <v>690.30535599999996</v>
      </c>
      <c r="T195" s="3">
        <f>445.3+(257.1-39)+(-0.227103+(-0.131121--0.01989))+0-0-0</f>
        <v>663.06166600000006</v>
      </c>
      <c r="U195" s="3">
        <f>446+(216-39)+(-1.1373+(-0.5508--0.09945))+0-0-0</f>
        <v>621.41134999999997</v>
      </c>
      <c r="V195" s="3">
        <f>421.2+(196.4-38)+(-1.503684+(-0.701148--0.13566))+0-0-0</f>
        <v>577.53082800000004</v>
      </c>
      <c r="W195" s="3">
        <f>411.1+(246.9-38)+(-0.628983+(-0.377757--0.05814))+0-0-0</f>
        <v>619.05139999999994</v>
      </c>
      <c r="X195" s="3">
        <f>462.6+(301.4-41)+(-0.943704+(-0.614856--0.08364))+0-0-0</f>
        <v>721.52508</v>
      </c>
      <c r="Y195" s="3">
        <f>463.1+(346.4-48)+(-1.180905+(-0.88332--0.1224))+0-0-0</f>
        <v>759.55817500000001</v>
      </c>
      <c r="Z195" s="3">
        <f>462.9+(355.4-44)+(-0.944316+(-0.725016--0.08976))+0-0-0</f>
        <v>772.72042799999997</v>
      </c>
      <c r="AA195" s="3">
        <f>462.3+(351.1-41)+(-1.178865+(-0.895305--0.10455))+0-0-0</f>
        <v>770.43038000000013</v>
      </c>
      <c r="AB195" s="3">
        <f>464.9+(320.8-48)+(0.237099+(0.163608-0.02448))+0-0-0</f>
        <v>738.07622700000002</v>
      </c>
      <c r="AC195" s="3">
        <f>462.6+(281.9-45)+(-1.17963+(-0.718845--0.11475))+0-0-0</f>
        <v>697.716275</v>
      </c>
      <c r="AD195" s="2">
        <v>792.5</v>
      </c>
      <c r="AE195" s="3">
        <v>5898.8</v>
      </c>
    </row>
    <row r="196" spans="1:31" s="2" customFormat="1" x14ac:dyDescent="0.3">
      <c r="A196">
        <v>91</v>
      </c>
      <c r="B196">
        <v>7</v>
      </c>
      <c r="C196">
        <v>10</v>
      </c>
      <c r="D196">
        <v>3</v>
      </c>
      <c r="E196">
        <v>1</v>
      </c>
      <c r="F196" s="3">
        <f>468.3+(240.8-34)+(-0.238833+(-0.122808--0.01734))+0-0-0</f>
        <v>674.75569900000005</v>
      </c>
      <c r="G196" s="3">
        <f>468.6+(208.8-33)+(-0.238986+(-0.106488--0.01683))+0-0-0</f>
        <v>644.07135600000004</v>
      </c>
      <c r="H196" s="3">
        <f>467.5+(173.4-33)+(0.715275+(0.265302-0.05049))+0-0-0</f>
        <v>608.83008699999993</v>
      </c>
      <c r="I196" s="3">
        <f>403.6+(212-34)+(0.617508+(0.32436-0.05202))+0-0-0</f>
        <v>582.48984800000005</v>
      </c>
      <c r="J196" s="3">
        <f>393.3+(200.3-32)+(-0.802332+(-0.408612--0.06528))+0-0-0</f>
        <v>560.45433600000001</v>
      </c>
      <c r="K196" s="3">
        <f>393.1+(155.5-32)+(-0.601443+(-0.237915--0.04896))+0-0-0</f>
        <v>515.80960200000004</v>
      </c>
      <c r="L196" s="3">
        <f>388.7+(127.8-32)+(-0.594711+(-0.195534--0.04896))+0-0-0</f>
        <v>483.758715</v>
      </c>
      <c r="M196" s="3">
        <f>388.8+(148.8-32)+(0.99144+(0.37944-0.0816))+0-0-0</f>
        <v>506.88928000000004</v>
      </c>
      <c r="N196" s="3">
        <f>402+(185.8-31)+(0+(0-0))+0-0-0</f>
        <v>556.79999999999995</v>
      </c>
      <c r="O196" s="3">
        <f>402+(199.3-38)+(0.61506+(0.304929-0.05814))+0-0-0</f>
        <v>564.16184899999996</v>
      </c>
      <c r="P196" s="3">
        <f>445+(179.9-36)+(0+(0-0))+0-0-0</f>
        <v>588.9</v>
      </c>
      <c r="Q196" s="3">
        <f>474+(186-35)+(0.48348+(0.18972-0.0357))+0-0-0</f>
        <v>625.63750000000005</v>
      </c>
      <c r="R196" s="3">
        <f>469+(245.5-37)+(-0.23919+(-0.125205--0.01887))+0-0-0</f>
        <v>677.15447500000005</v>
      </c>
      <c r="S196" s="3">
        <f>469+(260.9-44)+(0.47838+(0.266118-0.04488))+0-0-0</f>
        <v>686.59961799999996</v>
      </c>
      <c r="T196" s="3">
        <f>470+(244.8-48)+(0.7191+(0.374544-0.07344))+0-0-0</f>
        <v>667.82020399999999</v>
      </c>
      <c r="U196" s="3">
        <f>450.8+(206.4-47)+(0+(0-0))+0-0-0</f>
        <v>610.20000000000005</v>
      </c>
      <c r="V196" s="3">
        <f>451.6+(155.9-48.2)+(-0.230316+(-0.079509--0.024582))+0-0-0</f>
        <v>559.01475700000003</v>
      </c>
      <c r="W196" s="3">
        <f>453.1+(206-49)+(0.693243+(0.31518-0.07497))+0-0-0</f>
        <v>611.03345300000001</v>
      </c>
      <c r="X196" s="3">
        <f>458.8+(311.5-52)+(-0.467976+(-0.31773--0.05304))+0-0-0</f>
        <v>717.56733399999996</v>
      </c>
      <c r="Y196" s="3">
        <f>461.3+(349.3-50)+(-1.176315+(-0.890715--0.1275))+0-0-0</f>
        <v>758.66047000000003</v>
      </c>
      <c r="Z196" s="3">
        <f>460.5+(346.5-48)+(-0.93942+(-0.70686--0.09792))+0-0-0</f>
        <v>757.45164</v>
      </c>
      <c r="AA196" s="3">
        <f>459.2+(336-48)+(-0.702576+(-0.51408--0.07344))+0-0-0</f>
        <v>746.05678399999999</v>
      </c>
      <c r="AB196" s="3">
        <f>458.2+(304.8-46)+(-1.16841+(-0.77724--0.1173))+0-0-0</f>
        <v>715.17165</v>
      </c>
      <c r="AC196" s="3">
        <f>459.2+(262.5-45)+(-1.17096+(-0.669375--0.11475))+0-0-0</f>
        <v>674.97441500000002</v>
      </c>
      <c r="AD196" s="2">
        <v>771.6</v>
      </c>
      <c r="AE196" s="3">
        <v>5826.2000000000007</v>
      </c>
    </row>
    <row r="197" spans="1:31" s="2" customFormat="1" x14ac:dyDescent="0.3">
      <c r="A197">
        <v>91</v>
      </c>
      <c r="B197">
        <v>7</v>
      </c>
      <c r="C197">
        <v>11</v>
      </c>
      <c r="D197">
        <v>4</v>
      </c>
      <c r="E197">
        <v>1</v>
      </c>
      <c r="F197" s="3">
        <f>465.2+(215.7-45)+(-0.237252+(-0.110007--0.02295))+0-0-0</f>
        <v>635.57569100000001</v>
      </c>
      <c r="G197" s="3">
        <f>466.3+(182.2-43)+(0.237813+(0.092922-0.02193))+0-0-0</f>
        <v>605.80880500000001</v>
      </c>
      <c r="H197" s="3">
        <f>406.4+(214.9-41)+(0.414528+(0.219198-0.04182))+0-0-0</f>
        <v>580.89190599999995</v>
      </c>
      <c r="I197" s="3">
        <f>390.9+(203.7-41)+(-0.199359+(-0.103887--0.02091))+0-0-0</f>
        <v>553.31766399999992</v>
      </c>
      <c r="J197" s="3">
        <f>390.7+(183-48)+(0.199257+(0.09333-0.02448))+0-0-0</f>
        <v>525.96810700000003</v>
      </c>
      <c r="K197" s="3">
        <f>389.3+(135.9-46)+(-0.595629+(-0.207927--0.07038))+0-0-0</f>
        <v>478.46682400000003</v>
      </c>
      <c r="L197" s="3">
        <f>389+(117.3-46)+(0.39678+(0.119646-0.04692))+0-0-0</f>
        <v>460.76950600000004</v>
      </c>
      <c r="M197" s="3">
        <f>388.2+(137.1-45)+(0.395964+(0.139842-0.0459))+0-0-0</f>
        <v>480.78990599999997</v>
      </c>
      <c r="N197" s="3">
        <f>381.7+(165.3-44)+(-0.194667+(-0.084303--0.02244))+0-0-0</f>
        <v>502.74347</v>
      </c>
      <c r="O197" s="3">
        <f>382.5+(179.2-31)+(-0.195075+(-0.091392--0.01581))+0-0-0</f>
        <v>530.42934300000002</v>
      </c>
      <c r="P197" s="3">
        <f>400+(198.8-37)+(0+(0-0))+0-0-0</f>
        <v>561.79999999999995</v>
      </c>
      <c r="Q197" s="3">
        <f>373.8+(244.1-43)+(-0.381276+(-0.248982--0.04386))+0-0-0</f>
        <v>574.31360199999995</v>
      </c>
      <c r="R197" s="3">
        <f>383.2+(278.7-46)+(0.195432+(0.142137-0.02346))+0-0-0</f>
        <v>616.21410900000001</v>
      </c>
      <c r="S197" s="3">
        <f>451.9+(223-47)+(0+(0-0))+0-0-0</f>
        <v>627.9</v>
      </c>
      <c r="T197" s="3">
        <f>451.9+(209-49)+(0.460938+(0.21318-0.04998))+0-0-0</f>
        <v>612.52413799999999</v>
      </c>
      <c r="U197" s="3">
        <f>448.5+(178.3-48)+(-1.143675+(-0.454665--0.1224))+0-0-0</f>
        <v>577.32405999999992</v>
      </c>
      <c r="V197" s="3">
        <f>449.4+(139.2-50.4)+(-0.687582+(-0.212976--0.077112))+0-0-0</f>
        <v>537.37655399999994</v>
      </c>
      <c r="W197" s="3">
        <f>454.3+(183.9-51)+(0.463386+(0.187578-0.05202))+0-0-0</f>
        <v>587.79894400000001</v>
      </c>
      <c r="X197" s="3">
        <f>457.5+(275.2-53)+(0+(0-0))+0-0-0</f>
        <v>679.7</v>
      </c>
      <c r="Y197" s="3">
        <f>458.5+(311.2-53)+(-0.93534+(-0.634848--0.10812))+0-0-0</f>
        <v>715.237932</v>
      </c>
      <c r="Z197" s="3">
        <f>458.7+(315.5-54)+(-0.467874+(-0.32181--0.05508))+0-0-0</f>
        <v>719.46539600000006</v>
      </c>
      <c r="AA197" s="3">
        <f>461.1+(295-50)+(-0.235161+(-0.15045--0.0255))+0-0-0</f>
        <v>705.73988900000006</v>
      </c>
      <c r="AB197" s="3">
        <f>460.2+(265.9-46)+(-1.17351+(-0.678045--0.1173))+0-0-0</f>
        <v>678.36574499999995</v>
      </c>
      <c r="AC197" s="3">
        <f>459.9+(226.9-46)+(-1.172745+(-0.578595--0.1173))+0-0-0</f>
        <v>639.16595999999993</v>
      </c>
      <c r="AD197" s="2">
        <v>717.6</v>
      </c>
      <c r="AE197" s="3">
        <v>5817.4</v>
      </c>
    </row>
    <row r="198" spans="1:31" s="2" customFormat="1" x14ac:dyDescent="0.3">
      <c r="A198">
        <v>91</v>
      </c>
      <c r="B198">
        <v>7</v>
      </c>
      <c r="C198">
        <v>12</v>
      </c>
      <c r="D198">
        <v>5</v>
      </c>
      <c r="E198">
        <v>1</v>
      </c>
      <c r="F198" s="3">
        <f>469+(168.6-43)+(-0.71757+(-0.257958--0.06579))+0-0-0</f>
        <v>593.69026200000008</v>
      </c>
      <c r="G198" s="3">
        <f>469.3+(132-43.9)+(-1.196715+(-0.3366--0.111945))+0-0-0</f>
        <v>555.97862999999995</v>
      </c>
      <c r="H198" s="3">
        <f>469.8+(110.6-48)+(-0.718794+(-0.169218--0.07344))+0-0-0</f>
        <v>531.58542799999998</v>
      </c>
      <c r="I198" s="3">
        <f>472.3+(95.5-61.3)+(0+(0-0))+0-0-0</f>
        <v>506.5</v>
      </c>
      <c r="J198" s="3">
        <f>414+(111.4-42)+(-0.21114+(-0.056814--0.02142))+0-0-0</f>
        <v>483.15346599999998</v>
      </c>
      <c r="K198" s="3">
        <f>392.8+(93.3-45.8)+(-0.600984+(-0.142749--0.070074))+0-0-0</f>
        <v>439.62634100000002</v>
      </c>
      <c r="L198" s="3">
        <f>394.6+(77.3-52.9)+(0.201246+(0.039423-0.026979))+0-0-0</f>
        <v>419.21368999999999</v>
      </c>
      <c r="M198" s="3">
        <f>392.3+(91.1-41)+(0.200073+(0.046461-0.02091))+0-0-0</f>
        <v>442.62562399999996</v>
      </c>
      <c r="N198" s="3">
        <f>387.3+(117.7-40)+(0.197523+(0.060027-0.0204))+0-0-0</f>
        <v>465.23714999999999</v>
      </c>
      <c r="O198" s="3">
        <f>385+(141.2-37)+(0.19635+(0.072012-0.01887))+0-0-0</f>
        <v>489.44949199999996</v>
      </c>
      <c r="P198" s="3">
        <f>384.3+(156.9-35)+(0+(0-0))+0-0-0</f>
        <v>506.20000000000005</v>
      </c>
      <c r="Q198" s="3">
        <f>383.3+(186.2-38)+(0+(0-0))+0-0-0</f>
        <v>531.5</v>
      </c>
      <c r="R198" s="3">
        <f>383.3+(227.6-40)+(0+(0-0))+0-0-0</f>
        <v>570.9</v>
      </c>
      <c r="S198" s="3">
        <f>438.9+(185.7-45)+(-0.447678+(-0.189414--0.0459))+0-0-0</f>
        <v>579.00880799999993</v>
      </c>
      <c r="T198" s="3">
        <f>457.8+(155.6-42)+(-0.233478+(-0.079356--0.02142))+0-0-0</f>
        <v>571.10858599999995</v>
      </c>
      <c r="U198" s="3">
        <f>457.5+(137.2-51.1)+(-1.633275+(-0.489804--0.182427))+0-0-0</f>
        <v>541.65934800000002</v>
      </c>
      <c r="V198" s="3">
        <f>459.6+(116.9-64.3)+(0.234396+(0.059619-0.032793))+0-0-0</f>
        <v>512.46122200000002</v>
      </c>
      <c r="W198" s="3">
        <f>464.1+(157.1-58.3)+(-0.473382+(-0.160242--0.059466))+0-0-0</f>
        <v>562.32584199999997</v>
      </c>
      <c r="X198" s="3">
        <f>467.9+(223.2-53)+(-0.954516+(-0.455328--0.10812))+0-0-0</f>
        <v>636.79827599999987</v>
      </c>
      <c r="Y198" s="3">
        <f>469.1+(253-54)+(-0.956964+(-0.51612--0.11016))+0-0-0</f>
        <v>666.737076</v>
      </c>
      <c r="Z198" s="3">
        <f>468.9+(244.2-54)+(-0.478278+(-0.249084--0.05508))+0-0-0</f>
        <v>658.42771799999991</v>
      </c>
      <c r="AA198" s="3">
        <f>471.5+(215.5-48)+(-1.202325+(-0.549525--0.1224))+0-0-0</f>
        <v>637.37054999999998</v>
      </c>
      <c r="AB198" s="3">
        <f>472.7+(195.2-46)+(-0.964308+(-0.398208--0.09384))+0-0-0</f>
        <v>620.63132399999995</v>
      </c>
      <c r="AC198" s="3">
        <f>474.5+(157-45)+(-0.241995+(-0.08007--0.02295))+0-0-0</f>
        <v>586.20088499999997</v>
      </c>
      <c r="AD198" s="2">
        <v>671.8</v>
      </c>
      <c r="AE198" s="3">
        <v>5515.8</v>
      </c>
    </row>
    <row r="199" spans="1:31" s="2" customFormat="1" x14ac:dyDescent="0.3">
      <c r="A199">
        <v>91</v>
      </c>
      <c r="B199">
        <v>7</v>
      </c>
      <c r="C199">
        <v>13</v>
      </c>
      <c r="D199">
        <v>6</v>
      </c>
      <c r="E199">
        <v>1</v>
      </c>
      <c r="F199" s="3">
        <f>480.9+(123.9-50.7)+(-0.245259+(-0.063189--0.025857))+0-0-0</f>
        <v>553.817409</v>
      </c>
      <c r="G199" s="3">
        <f>484.3+(101.9-60.4)+(-1.234965+(-0.259845--0.15402))+0-0-0</f>
        <v>524.4592100000001</v>
      </c>
      <c r="H199" s="3">
        <f>429.8+(105.6-42.3)+(0+(0-0))+0-0-0</f>
        <v>493.1</v>
      </c>
      <c r="I199" s="3">
        <f>399.6+(114.5-40)+(-0.203796+(-0.058395--0.0204))+0-0-0</f>
        <v>473.85820900000004</v>
      </c>
      <c r="J199" s="3">
        <f>398.4+(104.7-41)+(0.406368+(0.106794-0.04182))+0-0-0</f>
        <v>462.57134199999996</v>
      </c>
      <c r="K199" s="3">
        <f>400.2+(84-59.9)+(-0.408204+(-0.08568--0.061098))+0-0-0</f>
        <v>423.86721399999999</v>
      </c>
      <c r="L199" s="3">
        <f>396.1+(79.1-58.8)+(0.202011+(0.040341-0.029988))+0-0-0</f>
        <v>416.61236400000001</v>
      </c>
      <c r="M199" s="3">
        <f>391.7+(97.1-45.5)+(0+(0-0))+0-0-0</f>
        <v>443.29999999999995</v>
      </c>
      <c r="N199" s="3">
        <f>388+(120-43)+(0.19788+(0.0612-0.02193))+0-0-0</f>
        <v>465.23714999999999</v>
      </c>
      <c r="O199" s="3">
        <f>386.1+(132-40)+(0.196911+(0.06732-0.0204))+0-0-0</f>
        <v>478.34383100000002</v>
      </c>
      <c r="P199" s="3">
        <f>385+(154-41)+(-0.58905+(-0.23562--0.06273))+0-0-0</f>
        <v>497.23806000000002</v>
      </c>
      <c r="Q199" s="3">
        <f>400.4+(158.2-38)+(0+(0-0))+0-0-0</f>
        <v>520.59999999999991</v>
      </c>
      <c r="R199" s="3">
        <f>449.5+(142.4-49.6)+(-0.687735+(-0.217872--0.075888))+0-0-0</f>
        <v>541.470281</v>
      </c>
      <c r="S199" s="3">
        <f>449.8+(149.9-50.4)+(-0.458796+(-0.152898--0.051408))+0-0-0</f>
        <v>548.73971399999994</v>
      </c>
      <c r="T199" s="3">
        <f>451.4+(143.9-50)+(0+(0-0))+0-0-0</f>
        <v>545.29999999999995</v>
      </c>
      <c r="U199" s="3">
        <f>453+(128.3-55.8)+(-0.46206+(-0.130866--0.056916))+0-0-0</f>
        <v>524.96398999999997</v>
      </c>
      <c r="V199" s="3">
        <f>407+(129.7-40)+(-0.62271+(-0.198441--0.0612))+0-0-0</f>
        <v>495.94004899999999</v>
      </c>
      <c r="W199" s="3">
        <f>389+(203.9-51)+(0.39678+(0.207978-0.05202))+0-0-0</f>
        <v>542.45273799999995</v>
      </c>
      <c r="X199" s="3">
        <f>463.7+(206.7-54)+(-1.182435+(-0.527085--0.1377))+0-0-0</f>
        <v>614.82817999999997</v>
      </c>
      <c r="Y199" s="3">
        <f>442.3+(254.8-53)+(-0.676719+(-0.389844--0.08109))+0-0-0</f>
        <v>643.11452700000007</v>
      </c>
      <c r="Z199" s="3">
        <f>394.7+(308.6-48)+(-1.006485+(-0.78693--0.1224))+0-0-0</f>
        <v>653.62898499999994</v>
      </c>
      <c r="AA199" s="3">
        <f>395.2+(293.4-49)+(-0.604656+(-0.448902--0.07497))+0-0-0</f>
        <v>638.62141199999996</v>
      </c>
      <c r="AB199" s="3">
        <f>396+(263.6-44)+(-0.40392+(-0.268872--0.04488))+0-0-0</f>
        <v>614.97208799999999</v>
      </c>
      <c r="AC199" s="3">
        <f>362.1+(268.3-43)+(-0.184671+(-0.136833--0.02193))+0-0-0</f>
        <v>587.10042600000008</v>
      </c>
      <c r="AD199" s="2">
        <v>653.70000000000005</v>
      </c>
      <c r="AE199" s="3">
        <v>5252.3</v>
      </c>
    </row>
    <row r="200" spans="1:31" s="2" customFormat="1" x14ac:dyDescent="0.3">
      <c r="A200">
        <v>91</v>
      </c>
      <c r="B200">
        <v>7</v>
      </c>
      <c r="C200">
        <v>14</v>
      </c>
      <c r="D200">
        <v>7</v>
      </c>
      <c r="E200">
        <v>1</v>
      </c>
      <c r="F200" s="3">
        <f>336+(273.1-40)+(-0.51408+(-0.417843--0.0612))+0-0-0</f>
        <v>568.22927700000002</v>
      </c>
      <c r="G200" s="3">
        <f>282+(300.2-40)+(-0.43146+(-0.459306--0.0612))+0-0-0</f>
        <v>541.37043400000005</v>
      </c>
      <c r="H200" s="3">
        <f>282+(271.2-41)+(-0.28764+(-0.276624--0.04182))+0-0-0</f>
        <v>511.67755600000004</v>
      </c>
      <c r="I200" s="3">
        <f>282+(247.6-41)+(-0.43146+(-0.378828--0.06273))+0-0-0</f>
        <v>487.852442</v>
      </c>
      <c r="J200" s="3">
        <f>282+(230.5-41)+(0.43146+(0.352665-0.06273))+0-0-0</f>
        <v>472.22139499999997</v>
      </c>
      <c r="K200" s="3">
        <f>282+(199.3-43)+(-0.7191+(-0.508215--0.10965))+0-0-0</f>
        <v>437.18233500000002</v>
      </c>
      <c r="L200" s="3">
        <f>278.4+(172.3-45)+(0+(0-0))+0-0-0</f>
        <v>405.7</v>
      </c>
      <c r="M200" s="3">
        <f>281.2+(182.2-42)+(0+(0-0))+0-0-0</f>
        <v>421.4</v>
      </c>
      <c r="N200" s="3">
        <f>280.6+(204.4-40)+(-0.572424+(-0.416976--0.0816))+0-0-0</f>
        <v>444.09219999999999</v>
      </c>
      <c r="O200" s="3">
        <f>280.6+(230.3-42)+(-0.286212+(-0.234906--0.04284))+0-0-0</f>
        <v>468.42172200000005</v>
      </c>
      <c r="P200" s="3">
        <f>279.8+(255.5-42)+(-0.428094+(-0.390915--0.06426))+0-0-0</f>
        <v>492.54525100000001</v>
      </c>
      <c r="Q200" s="3">
        <f>279.1+(285.4-42)+(-0.569364+(-0.582216--0.08568))+0-0-0</f>
        <v>521.43409999999994</v>
      </c>
      <c r="R200" s="3">
        <f>326.9+(258.2-44)+(0+(0-0))+0-0-0</f>
        <v>541.09999999999991</v>
      </c>
      <c r="S200" s="3">
        <f>365.7+(221.1-44)+(-0.932535+(-0.563805--0.1122))+0-0-0</f>
        <v>541.41585999999995</v>
      </c>
      <c r="T200" s="3">
        <f>378.5+(203.1-39)+(-0.579105+(-0.310743--0.05967))+0-0-0</f>
        <v>541.76982199999998</v>
      </c>
      <c r="U200" s="3">
        <f>381.1+(172.2-45)+(-0.583083+(-0.263466--0.06885))+0-0-0</f>
        <v>507.52230100000003</v>
      </c>
      <c r="V200" s="3">
        <f>385.5+(149.1-40)+(-0.39321+(-0.152082--0.0408))+0-0-0</f>
        <v>494.095508</v>
      </c>
      <c r="W200" s="3">
        <f>342.1+(250.5-50)+(0.174471+(0.127755-0.0255))+0-0-0</f>
        <v>542.87672600000008</v>
      </c>
      <c r="X200" s="3">
        <f>338.4+(331.2-51)+(0+(0-0))+0-0-0</f>
        <v>618.59999999999991</v>
      </c>
      <c r="Y200" s="3">
        <f>343.1+(354.8-50)+(-0.524943+(-0.542844--0.0765))+0-0-0</f>
        <v>646.90871300000003</v>
      </c>
      <c r="Z200" s="3">
        <f>343.1+(363-48)+(-0.174981+(-0.18513--0.02448))+0-0-0</f>
        <v>657.76436899999999</v>
      </c>
      <c r="AA200" s="3">
        <f>340+(351.9-46)+(-0.5202+(-0.538407--0.07038))+0-0-0</f>
        <v>644.91177299999993</v>
      </c>
      <c r="AB200" s="3">
        <f>335.1+(326.7-44)+(-1.196307+(-1.166319--0.15708))+0-0-0</f>
        <v>615.59445399999993</v>
      </c>
      <c r="AC200" s="3">
        <f>337.1+(280.6-42)+(-0.171921+(-0.143106--0.02142))+0-0-0</f>
        <v>575.40639300000009</v>
      </c>
      <c r="AD200" s="2">
        <v>664</v>
      </c>
      <c r="AE200" s="3">
        <v>4132.3999999999996</v>
      </c>
    </row>
    <row r="201" spans="1:31" s="2" customFormat="1" x14ac:dyDescent="0.3">
      <c r="A201">
        <v>91</v>
      </c>
      <c r="B201">
        <v>7</v>
      </c>
      <c r="C201">
        <v>15</v>
      </c>
      <c r="D201">
        <v>1</v>
      </c>
      <c r="E201">
        <v>1</v>
      </c>
      <c r="F201" s="3">
        <f>360+(234.2-42)+(-0.7344+(-0.477768--0.08568))+0-0-0</f>
        <v>551.07351200000005</v>
      </c>
      <c r="G201" s="3">
        <f>363+(199.2-41)+(-0.18513+(-0.101592--0.02091))+0-0-0</f>
        <v>520.93418800000006</v>
      </c>
      <c r="H201" s="3">
        <f>362+(174.5-40)+(-0.9231+(-0.444975--0.102))+0-0-0</f>
        <v>495.233925</v>
      </c>
      <c r="I201" s="3">
        <f>363+(154.7-40)+(-0.92565+(-0.394485--0.102))+0-0-0</f>
        <v>476.48186499999997</v>
      </c>
      <c r="J201" s="3">
        <f>254+(159.5-42)+(0.25908+(0.16269-0.04284))+67.6-0-0</f>
        <v>439.47892999999999</v>
      </c>
      <c r="K201" s="3">
        <f>291+(147.9-42)+(0.14841+(0.075429-0.02142))+36-0-0</f>
        <v>433.102419</v>
      </c>
      <c r="L201" s="3">
        <f>279.5+(152-45)+(0.28509+(0.15504-0.0459))+15-0-0</f>
        <v>401.89422999999999</v>
      </c>
      <c r="M201" s="3">
        <f>288.4+(188.1-40)+(0.147084+(0.095931-0.0204))+0-0-0</f>
        <v>436.72261500000002</v>
      </c>
      <c r="N201" s="3">
        <f>287.9+(211.7-41)+(0+(0-0))+0-0-0</f>
        <v>458.59999999999997</v>
      </c>
      <c r="O201" s="3">
        <f>284.6+(226.9-35)+(0+(0-0))+0-0-0</f>
        <v>476.5</v>
      </c>
      <c r="P201" s="3">
        <f>412+(128.8-43.1)+(-0.21012+(-0.065688--0.021981))+0-0-0</f>
        <v>497.44617300000004</v>
      </c>
      <c r="Q201" s="3">
        <f>493.2+(114.1-85.2)+(0.754596+(0.174573-0.130356))+0-0-0</f>
        <v>522.89881300000002</v>
      </c>
      <c r="R201" s="3">
        <f>459+(150.2-52.4)+(0+(0-0))+0-0-0</f>
        <v>556.79999999999995</v>
      </c>
      <c r="S201" s="3">
        <f>445.1+(165.7-43)+(0.227001+(0.084507-0.02193))+0-0-0</f>
        <v>568.08957799999996</v>
      </c>
      <c r="T201" s="3">
        <f>435.3+(166.1-42)+(0+(0-0))+0-0-0</f>
        <v>559.4</v>
      </c>
      <c r="U201" s="3">
        <f>429.2+(142.6-45.3)+(-1.532244+(-0.509082--0.161721))+0-0-0</f>
        <v>524.62039500000003</v>
      </c>
      <c r="V201" s="3">
        <f>434.3+(125.6-63.5)+(-0.885972+(-0.256224--0.12954))+0-0-0</f>
        <v>495.38734399999998</v>
      </c>
      <c r="W201" s="3">
        <f>439.9+(170.3-47)+(0.224349+(0.086853-0.02397))+0-0-0</f>
        <v>563.48723200000006</v>
      </c>
      <c r="X201" s="3">
        <f>455.8+(243.7-54)+(0+(0-0))+0-0-0</f>
        <v>645.5</v>
      </c>
      <c r="Y201" s="3">
        <f>480+(248-52)+(0+(0-0))+0-0-0</f>
        <v>676</v>
      </c>
      <c r="Z201" s="3">
        <f>493.3+(235.9-51)+(-1.006332+(-0.481236--0.10404))+0-0-0</f>
        <v>676.81647200000009</v>
      </c>
      <c r="AA201" s="3">
        <f>493.6+(219.4-47)+(-0.503472+(-0.223788--0.04794))+0-0-0</f>
        <v>665.32068000000004</v>
      </c>
      <c r="AB201" s="3">
        <f>493.8+(186.2-49)+(-0.755514+(-0.284886--0.07497))+0-0-0</f>
        <v>630.03457000000003</v>
      </c>
      <c r="AC201" s="3">
        <f>444.5+(193.1-45)+(-0.90678+(-0.393924--0.0918))+0-0-0</f>
        <v>591.39109600000006</v>
      </c>
      <c r="AD201" s="2">
        <v>683.4</v>
      </c>
      <c r="AE201" s="3">
        <v>5568.7999999999993</v>
      </c>
    </row>
    <row r="202" spans="1:31" s="2" customFormat="1" x14ac:dyDescent="0.3">
      <c r="A202">
        <v>91</v>
      </c>
      <c r="B202">
        <v>7</v>
      </c>
      <c r="C202">
        <v>16</v>
      </c>
      <c r="D202">
        <v>2</v>
      </c>
      <c r="E202">
        <v>1</v>
      </c>
      <c r="F202" s="3">
        <f>444.5+(149.1-41)+(-0.90678+(-0.304164--0.08364))+0-0-0</f>
        <v>551.47269600000004</v>
      </c>
      <c r="G202" s="3">
        <f>443.4+(119.8-46.3)+(-1.13067+(-0.30549--0.118065))+0-0-0</f>
        <v>515.58190500000001</v>
      </c>
      <c r="H202" s="3">
        <f>258.5+(200.3-39)+(-0.395505+(-0.306459--0.05967))+83.2-0-0</f>
        <v>502.35770600000001</v>
      </c>
      <c r="I202" s="3">
        <f>268.9+(213.4-40)+(-0.137139+(-0.108834--0.0204))+17.3-0-0</f>
        <v>459.37442699999997</v>
      </c>
      <c r="J202" s="3">
        <f>312.7+(161-43)+(0.478431+(0.24633-0.06579))+0-0-0</f>
        <v>431.358971</v>
      </c>
      <c r="K202" s="3">
        <f>313+(148.5-42)+(-0.47889+(-0.227205--0.06426))+0-0-0</f>
        <v>418.85816499999999</v>
      </c>
      <c r="L202" s="3">
        <f>335.5+(124-45)+(0+(0-0))+0-0-0</f>
        <v>414.5</v>
      </c>
      <c r="M202" s="3">
        <f>365.9+(125.2-45)+(-0.373218+(-0.127704--0.0459))+0-0-0</f>
        <v>445.64497799999998</v>
      </c>
      <c r="N202" s="3">
        <f>364.3+(135.7-39)+(0.557379+(0.207621-0.05967))+0-0-0</f>
        <v>461.70533</v>
      </c>
      <c r="O202" s="3">
        <f>363+(160.6-40)+(0.18513+(0.081906-0.0204))+0-0-0</f>
        <v>483.84663600000005</v>
      </c>
      <c r="P202" s="3">
        <f>424.1+(126.2-44.4)+(0+(0-0))+0-0-0</f>
        <v>505.90000000000003</v>
      </c>
      <c r="Q202" s="3">
        <f>474.5+(131-79)+(-0.48399+(-0.13362--0.08058))+0-0-0</f>
        <v>525.96297000000004</v>
      </c>
      <c r="R202" s="3">
        <f>503.4+(119.5-74.8)+(0+(0-0))+0-0-0</f>
        <v>548.1</v>
      </c>
      <c r="S202" s="3">
        <f>502.6+(130.6-71.8)+(0.256326+(0.066606-0.036618))+0-0-0</f>
        <v>561.68631399999992</v>
      </c>
      <c r="T202" s="3">
        <f>502.7+(128.5-80.4)+(-0.512754+(-0.13107--0.082008))+0-0-0</f>
        <v>550.23818399999993</v>
      </c>
      <c r="U202" s="3">
        <f>498.8+(118.3-81)+(-1.27194+(-0.301665--0.20655))+0-0-0</f>
        <v>534.73294499999997</v>
      </c>
      <c r="V202" s="3">
        <f>502.2+(105.6-98.7)+(-0.512244+(-0.107712--0.100674))+0-0-0</f>
        <v>508.58071799999999</v>
      </c>
      <c r="W202" s="3">
        <f>451.9+(158-51)+(0.230469+(0.08058-0.02601))+3.7-0-0</f>
        <v>562.88503900000001</v>
      </c>
      <c r="X202" s="3">
        <f>505.5+(186.9-56)+(-0.51561+(-0.190638--0.05712))+0-0-0</f>
        <v>635.75087199999996</v>
      </c>
      <c r="Y202" s="3">
        <f>524.7+(199.9-53)+(0+(0-0))+0-0-0</f>
        <v>671.6</v>
      </c>
      <c r="Z202" s="3">
        <f>509.9+(208.1-54)+(-0.260049+(-0.106131--0.02754))+6.2-0-0</f>
        <v>669.86135999999999</v>
      </c>
      <c r="AA202" s="3">
        <f>444.8+(265.1-51)+(-0.226848+(-0.135201--0.02601))+0-0-0</f>
        <v>658.56396100000006</v>
      </c>
      <c r="AB202" s="3">
        <f>446.9+(226.9-45)+(-0.911676+(-0.462876--0.0918))+0-0-0</f>
        <v>627.517248</v>
      </c>
      <c r="AC202" s="3">
        <f>451.9+(186-43)+(0+(0-0))+0-0-0</f>
        <v>594.9</v>
      </c>
      <c r="AD202" s="2">
        <v>677.7</v>
      </c>
      <c r="AE202" s="3">
        <v>5814.5</v>
      </c>
    </row>
    <row r="203" spans="1:31" s="2" customFormat="1" x14ac:dyDescent="0.3">
      <c r="A203">
        <v>91</v>
      </c>
      <c r="B203">
        <v>7</v>
      </c>
      <c r="C203">
        <v>17</v>
      </c>
      <c r="D203">
        <v>3</v>
      </c>
      <c r="E203">
        <v>1</v>
      </c>
      <c r="F203" s="3">
        <f>449.4+(150.5-44.1)+(0+(0-0))+0-0-0</f>
        <v>555.79999999999995</v>
      </c>
      <c r="G203" s="3">
        <f>449.7+(124.3-47.9)+(0.229347+(0.063393-0.024429))+0-0-0</f>
        <v>526.36831100000006</v>
      </c>
      <c r="H203" s="3">
        <f>449.9+(110.7-54.7)+(0.229449+(0.056457-0.027897))+0-0-0</f>
        <v>506.15800899999999</v>
      </c>
      <c r="I203" s="3">
        <f>451.4+(99.7-65.6)+(0.460428+(0.101694-0.066912))+0-0-0</f>
        <v>485.99520999999999</v>
      </c>
      <c r="J203" s="3">
        <f>486.1+(84.8-102.9)+(-0.495822+(-0.086496--0.104958))+0-0-0</f>
        <v>467.52264000000002</v>
      </c>
      <c r="K203" s="3">
        <f>490.1+(68.4-142.9)+(-0.499902+(-0.069768--0.145758))+33.3-0-0</f>
        <v>448.47608800000006</v>
      </c>
      <c r="L203" s="3">
        <f>472.9+(58.9-144.6)+(1.205895+(0.150195-0.36873))+50-0-0</f>
        <v>438.18736000000001</v>
      </c>
      <c r="M203" s="3">
        <f>472+(71.5-122.9)+(0.24072+(0.036465-0.062679))+25-0-0</f>
        <v>445.81450599999999</v>
      </c>
      <c r="N203" s="3">
        <f>493+(81.7-108)+(0.50286+(0.083334-0.11016))+0-0-0</f>
        <v>467.17603400000002</v>
      </c>
      <c r="O203" s="3">
        <f>543.3+(75.7-138.5)+(0.831249+(0.115821-0.211905))+0-0-0</f>
        <v>481.23516499999994</v>
      </c>
      <c r="P203" s="3">
        <f>539.7+(89.2-119.3)+(0.275247+(0.045492-0.060843))+0-0-0</f>
        <v>509.85989600000005</v>
      </c>
      <c r="Q203" s="3">
        <f>535.9+(94.5-100.5)+(0+(0-0))+0-0-0</f>
        <v>529.9</v>
      </c>
      <c r="R203" s="3">
        <f>533.9+(114-81.9)+(-0.272289+(-0.05814--0.041769))+0-0-0</f>
        <v>565.71133999999995</v>
      </c>
      <c r="S203" s="3">
        <f>540.1+(115.2-80.3)+(0.826353+(0.176256-0.122859))+0-0-0</f>
        <v>575.87974999999994</v>
      </c>
      <c r="T203" s="3">
        <f>542.5+(108-87.6)+(0.276675+(0.05508-0.044676))+0-0-0</f>
        <v>563.18707899999993</v>
      </c>
      <c r="U203" s="3">
        <f>538.5+(98.2-100)+(-1.64781+(-0.300492--0.306))+0-0-0</f>
        <v>535.05769800000007</v>
      </c>
      <c r="V203" s="3">
        <f>547.9+(83.9-119.4)+(-1.117716+(-0.171156--0.243576))+0-0-0</f>
        <v>511.35470399999997</v>
      </c>
      <c r="W203" s="3">
        <f>552.7+(108.2-93.7)+(0+(0-0))+0-0-0</f>
        <v>567.20000000000005</v>
      </c>
      <c r="X203" s="3">
        <f>556.4+(147.7-63.4)+(-0.283764+(-0.075327--0.032334))+0-0-0</f>
        <v>640.37324299999989</v>
      </c>
      <c r="Y203" s="3">
        <f>558.6+(173.3-59)+(-0.284886+(-0.088383--0.03009))+0-0-0</f>
        <v>672.55682100000013</v>
      </c>
      <c r="Z203" s="3">
        <f>563.4+(169.7-57.4)+(-0.574668+(-0.173094--0.058548))+0-0-0</f>
        <v>675.01078599999994</v>
      </c>
      <c r="AA203" s="3">
        <f>563.6+(156.3-56.5)+(-1.149744+(-0.318852--0.11526))+0-0-0</f>
        <v>662.04666400000008</v>
      </c>
      <c r="AB203" s="3">
        <f>565.6+(129.1-61.6)+(0.576912+(0.131682-0.062832))+0-0-0</f>
        <v>633.74576200000001</v>
      </c>
      <c r="AC203" s="3">
        <f>534.5+(120.4-62.2)+(-0.272595+(-0.061404--0.031722))+0-0-0</f>
        <v>592.39772300000004</v>
      </c>
      <c r="AD203" s="2">
        <v>688.19999999999993</v>
      </c>
      <c r="AE203" s="3">
        <v>5733.4</v>
      </c>
    </row>
    <row r="204" spans="1:31" s="2" customFormat="1" x14ac:dyDescent="0.3">
      <c r="A204">
        <v>91</v>
      </c>
      <c r="B204">
        <v>7</v>
      </c>
      <c r="C204">
        <v>18</v>
      </c>
      <c r="D204">
        <v>4</v>
      </c>
      <c r="E204">
        <v>1</v>
      </c>
      <c r="F204" s="3">
        <f>536.2+(96.6-75)+(-0.820386+(-0.147798--0.11475))+0-0-0</f>
        <v>556.94656600000008</v>
      </c>
      <c r="G204" s="3">
        <f>538.1+(79.8-97.5)+(-1.372155+(-0.20349--0.248625))+0-0-0</f>
        <v>519.07298000000003</v>
      </c>
      <c r="H204" s="3">
        <f>538.3+(69.5-114.4)+(-1.372665+(-0.177225--0.29172))+0-0-0</f>
        <v>492.14182999999997</v>
      </c>
      <c r="I204" s="3">
        <f>489.5+(71.6-85.8)+(-0.748935+(-0.109548--0.131274))+0-0-0</f>
        <v>474.572791</v>
      </c>
      <c r="J204" s="3">
        <f>372+(132.7-40.9)+(-0.37944+(-0.135354--0.041718))+0-0-0</f>
        <v>463.32692399999996</v>
      </c>
      <c r="K204" s="3">
        <f>371.2+(115.4-47.7)+(-0.567936+(-0.176562--0.072981))+0-0-0</f>
        <v>438.22848299999998</v>
      </c>
      <c r="L204" s="3">
        <f>369.5+(113-48.9)+(-0.37689+(-0.11526--0.049878))+0.6-0-0</f>
        <v>433.75772800000004</v>
      </c>
      <c r="M204" s="3">
        <f>368.3+(130.8-23.7)+(-0.187833+(-0.066708--0.012087))+4.2-0-0</f>
        <v>479.35754600000001</v>
      </c>
      <c r="N204" s="3">
        <f>387.4+(134.1-41.1)+(-0.197574+(-0.068391--0.020961))+7.1-0-0</f>
        <v>487.25499600000001</v>
      </c>
      <c r="O204" s="3">
        <f>436.7+(119.4-57.9)+(0+(0-0))+0-0-0</f>
        <v>498.2</v>
      </c>
      <c r="P204" s="3">
        <f>439.9+(136.6-52.3)+(0.448698+(0.139332-0.053346))+0-0-0</f>
        <v>524.7346839999999</v>
      </c>
      <c r="Q204" s="3">
        <f>438.8+(151.6-48.6)+(-0.223788+(-0.077316--0.024786))+0-0-0</f>
        <v>541.52368200000001</v>
      </c>
      <c r="R204" s="3">
        <f>433.9+(180.6-47)+(0.221289+(0.092106-0.02397))+0-0-0</f>
        <v>567.78942500000005</v>
      </c>
      <c r="S204" s="3">
        <f>432.7+(192.5-47.1)+(-0.662031+(-0.294525--0.072063))+0-0-0</f>
        <v>577.215507</v>
      </c>
      <c r="T204" s="3">
        <f>432.1+(178.7-49.1)+(-0.220371+(-0.091137--0.025041))+0-0-0</f>
        <v>561.41353300000003</v>
      </c>
      <c r="U204" s="3">
        <f>431.9+(151.5-49)+(-1.101345+(-0.386325--0.12495))+0-0-0</f>
        <v>533.03728000000001</v>
      </c>
      <c r="V204" s="3">
        <f>437+(130.4-60.9)+(-0.66861+(-0.199512--0.093177))+0-0-0</f>
        <v>505.725055</v>
      </c>
      <c r="W204" s="3">
        <f>439.8+(185.5-54.4)+(-0.224298+(-0.094605--0.027744))+0-0-0</f>
        <v>570.60884099999998</v>
      </c>
      <c r="X204" s="3">
        <f>441.7+(257.8-53)+(-1.126335+(-0.65739--0.13515))+0-0-0</f>
        <v>644.85142499999995</v>
      </c>
      <c r="Y204" s="3">
        <f>444+(286-54)+(-0.90576+(-0.58344--0.11016))+0-0-0</f>
        <v>674.62095999999997</v>
      </c>
      <c r="Z204" s="3">
        <f>443.5+(291.8-53)+(-0.45237+(-0.297636--0.05406))+0-0-0</f>
        <v>681.60405399999991</v>
      </c>
      <c r="AA204" s="3">
        <f>444+(283.7-50)+(-0.67932+(-0.434061--0.0765))+0-0-0</f>
        <v>676.66311900000005</v>
      </c>
      <c r="AB204" s="3">
        <f>439.3+(249.5-48)+(-0.896172+(-0.50898--0.09792))+0-0-0</f>
        <v>639.49276799999996</v>
      </c>
      <c r="AC204" s="3">
        <f>439.3+(209.1-46)+(-1.120215+(-0.533205--0.1173))+0-0-0</f>
        <v>600.86387999999999</v>
      </c>
      <c r="AD204" s="2">
        <v>686.6</v>
      </c>
      <c r="AE204" s="3">
        <v>5627.2999999999993</v>
      </c>
    </row>
    <row r="205" spans="1:31" s="2" customFormat="1" x14ac:dyDescent="0.3">
      <c r="A205">
        <v>91</v>
      </c>
      <c r="B205">
        <v>7</v>
      </c>
      <c r="C205">
        <v>19</v>
      </c>
      <c r="D205">
        <v>5</v>
      </c>
      <c r="E205">
        <v>1</v>
      </c>
      <c r="F205" s="3">
        <f>448.1+(166.1-43)+(-0.914124+(-0.338844--0.08772))+0-0-0</f>
        <v>570.03475200000003</v>
      </c>
      <c r="G205" s="3">
        <f>448.7+(134.6-43.1)+(-0.686511+(-0.205938--0.065943))+0-0-0</f>
        <v>539.37349400000005</v>
      </c>
      <c r="H205" s="3">
        <f>402.5+(154.3-42)+(-0.41055+(-0.157386--0.04284))+0-0-0</f>
        <v>514.27490399999999</v>
      </c>
      <c r="I205" s="3">
        <f>370.4+(164.4-41)+(0.188904+(0.083844-0.02091))+0-0-0</f>
        <v>494.05183799999998</v>
      </c>
      <c r="J205" s="3">
        <f>370.3+(143.3-41)+(0+(0-0))+0-0-0</f>
        <v>472.6</v>
      </c>
      <c r="K205" s="3">
        <f>369+(119.6-42)+(-0.18819+(-0.060996--0.02142))+0-0-0</f>
        <v>446.37223400000005</v>
      </c>
      <c r="L205" s="3">
        <f>368.2+(103-45.4)+(-0.187782+(-0.05253--0.023154))+0-0-0</f>
        <v>425.58284200000003</v>
      </c>
      <c r="M205" s="3">
        <f>364.7+(129.4-42)+(0.185997+(0.065994-0.02142))+0-0-0</f>
        <v>452.33057100000002</v>
      </c>
      <c r="N205" s="3">
        <f>369.8+(147.2-43)+(-0.188598+(-0.075072--0.02193))+0-0-0</f>
        <v>473.75826000000001</v>
      </c>
      <c r="O205" s="3">
        <f>363.7+(183.2-39)+(0+(0-0))+0-0-0</f>
        <v>507.9</v>
      </c>
      <c r="P205" s="3">
        <f>397.2+(174.9-42)+(0.202572+(0.089199-0.02142))+0-0-0</f>
        <v>530.37035100000003</v>
      </c>
      <c r="Q205" s="3">
        <f>430.6+(176.5-44)+(0.439212+(0.18003-0.04488))+0-0-0</f>
        <v>563.67436199999997</v>
      </c>
      <c r="R205" s="3">
        <f>426.9+(218.1-45)+(-0.217719+(-0.111231--0.02295))+0-0-0</f>
        <v>599.69399999999996</v>
      </c>
      <c r="S205" s="3">
        <f>423.2+(220.4-41)+(-1.294992+(-0.674424--0.12546))+0-0-0</f>
        <v>600.75604399999997</v>
      </c>
      <c r="T205" s="3">
        <f>411.5+(217-45)+(-0.629595+(-0.33201--0.06885))+0-0-0</f>
        <v>582.60724500000003</v>
      </c>
      <c r="U205" s="3">
        <f>422.2+(178.6-49)+(-0.645966+(-0.273258--0.07497))+0-0-0</f>
        <v>550.95574599999998</v>
      </c>
      <c r="V205" s="3">
        <f>433.4+(145.8-44.4)+(-0.663102+(-0.223074--0.067932))+0-0-0</f>
        <v>533.9817559999999</v>
      </c>
      <c r="W205" s="3">
        <f>436.3+(205.6-50)+(0+(0-0))+0-0-0</f>
        <v>591.9</v>
      </c>
      <c r="X205" s="3">
        <f>437.4+(285.5-56)+(-0.892296+(-0.58242--0.11424))+0-0-0</f>
        <v>665.53952400000003</v>
      </c>
      <c r="Y205" s="3">
        <f>440.6+(311.7-56)+(-1.12353+(-0.794835--0.1428))+0-0-0</f>
        <v>694.52443499999993</v>
      </c>
      <c r="Z205" s="3">
        <f>439.3+(315.3-52)+(-1.120215+(-0.804015--0.1326))+0-0-0</f>
        <v>700.80836999999997</v>
      </c>
      <c r="AA205" s="3">
        <f>441.3+(302.9-52)+(-0.450126+(-0.308958--0.05304))+0-0-0</f>
        <v>691.49395600000003</v>
      </c>
      <c r="AB205" s="3">
        <f>438+(276-46)+(-0.44676+(-0.28152--0.04692))+0-0-0</f>
        <v>667.31863999999996</v>
      </c>
      <c r="AC205" s="3">
        <f>438.8+(237.4-46)+(-0.671364+(-0.363222--0.07038))+0-0-0</f>
        <v>629.23579400000006</v>
      </c>
      <c r="AD205" s="2">
        <v>707.5</v>
      </c>
      <c r="AE205" s="3">
        <v>5660.6</v>
      </c>
    </row>
    <row r="206" spans="1:31" s="2" customFormat="1" x14ac:dyDescent="0.3">
      <c r="A206">
        <v>91</v>
      </c>
      <c r="B206">
        <v>7</v>
      </c>
      <c r="C206">
        <v>20</v>
      </c>
      <c r="D206">
        <v>6</v>
      </c>
      <c r="E206">
        <v>1</v>
      </c>
      <c r="F206" s="3">
        <f>434.7+(194.9-45)+(0+(0-0))+0-0-0</f>
        <v>584.6</v>
      </c>
      <c r="G206" s="3">
        <f>435.4+(160-43)+(-0.666162+(-0.2448--0.06579))+0-0-0</f>
        <v>551.55482799999993</v>
      </c>
      <c r="H206" s="3">
        <f>437.1+(134.9-44.9)+(-0.668763+(-0.206397--0.068697))+0-0-0</f>
        <v>526.29353700000001</v>
      </c>
      <c r="I206" s="3">
        <f>436.9+(115-49.9)+(0+(0-0))+0-0-0</f>
        <v>502</v>
      </c>
      <c r="J206" s="3">
        <f>436.7+(100.4-54)+(0.445434+(0.102408-0.05508))+0-0-0</f>
        <v>483.59276200000005</v>
      </c>
      <c r="K206" s="3">
        <f>435.2+(86.5-71.3)+(0.443904+(0.08823-0.072726))+0-0-0</f>
        <v>450.85940799999997</v>
      </c>
      <c r="L206" s="3">
        <f>433.8+(76.7-84.8)+(0.442476+(0.078234-0.086496))+0-0-0</f>
        <v>426.13421400000004</v>
      </c>
      <c r="M206" s="3">
        <f>433.2+(86.8-70.2)+(0+(0-0))+0-0-0</f>
        <v>449.79999999999995</v>
      </c>
      <c r="N206" s="3">
        <f>435.1+(101.3-47.9)+(0+(0-0))+0-0-0</f>
        <v>488.5</v>
      </c>
      <c r="O206" s="3">
        <f>433.8+(128-42.9)+(0+(0-0))+0-0-0</f>
        <v>518.9</v>
      </c>
      <c r="P206" s="3">
        <f>411.7+(178.3-46)+(0+(0-0))+0-0-0</f>
        <v>544</v>
      </c>
      <c r="Q206" s="3">
        <f>416.1+(197.9-42)+(0+(0-0))+0-0-0</f>
        <v>572</v>
      </c>
      <c r="R206" s="3">
        <f>428.7+(217.3-45)+(0+(0-0))+0-0-0</f>
        <v>601</v>
      </c>
      <c r="S206" s="3">
        <f>428.5+(219.2-46)+(0+(0-0))+0-0-0</f>
        <v>601.70000000000005</v>
      </c>
      <c r="T206" s="3">
        <f>429+(200.4-46)+(0.43758+(0.204408-0.04692))+0-0-0</f>
        <v>583.99506799999995</v>
      </c>
      <c r="U206" s="3">
        <f>429.9+(172.4-46)+(-0.876996+(-0.351696--0.09384))+0-0-0</f>
        <v>555.16514799999993</v>
      </c>
      <c r="V206" s="3">
        <f>433.9+(141.8-44)+(0+(0-0))+0-0-0</f>
        <v>531.70000000000005</v>
      </c>
      <c r="W206" s="3">
        <f>435.2+(219.4-53)+(0.221952+(0.111894-0.02703))+0-0-0</f>
        <v>601.90681600000005</v>
      </c>
      <c r="X206" s="3">
        <f>436.1+(307.7-56)+(-1.112055+(-0.784635--0.1428))+0-0-0</f>
        <v>686.04611</v>
      </c>
      <c r="Y206" s="3">
        <f>440.8+(336.5-57)+(-1.12404+(-0.858075--0.14535))+0-0-0</f>
        <v>718.46323499999994</v>
      </c>
      <c r="Z206" s="3">
        <f>441.4+(335.1-53)+(-0.225114+(-0.170901--0.02703))+0-0-0</f>
        <v>723.13101500000005</v>
      </c>
      <c r="AA206" s="3">
        <f>443.6+(314-54)+(-0.226236+(-0.16014--0.02754))+0-0-0</f>
        <v>703.24116400000003</v>
      </c>
      <c r="AB206" s="3">
        <f>444+(295.6-48)+(0+(0-0))+0-0-0</f>
        <v>691.6</v>
      </c>
      <c r="AC206" s="3">
        <f>444.2+(258.2-45)+(-0.679626+(-0.395046--0.06885))+0-0-0</f>
        <v>656.39417800000001</v>
      </c>
      <c r="AD206" s="2">
        <v>732.3</v>
      </c>
      <c r="AE206" s="3">
        <v>5527.4000000000005</v>
      </c>
    </row>
    <row r="207" spans="1:31" s="2" customFormat="1" x14ac:dyDescent="0.3">
      <c r="A207">
        <v>91</v>
      </c>
      <c r="B207">
        <v>7</v>
      </c>
      <c r="C207">
        <v>21</v>
      </c>
      <c r="D207">
        <v>7</v>
      </c>
      <c r="E207">
        <v>1</v>
      </c>
      <c r="F207" s="3">
        <f>428+(257.3-42)+(-0.87312+(-0.524892--0.08568))+0-0-0</f>
        <v>641.98766799999999</v>
      </c>
      <c r="G207" s="3">
        <f>413+(236.5-40)+(-0.84252+(-0.48246--0.0816))+0-0-0</f>
        <v>608.25662</v>
      </c>
      <c r="H207" s="3">
        <f>414+(198.8-40)+(-0.63342+(-0.304164--0.0612))+0-0-0</f>
        <v>571.92361599999992</v>
      </c>
      <c r="I207" s="3">
        <f>415+(180.3-40)+(-0.21165+(-0.091953--0.0204))+0-0-0</f>
        <v>555.016797</v>
      </c>
      <c r="J207" s="3">
        <f>415+(157.6-39)+(0.4233+(0.160752-0.03978))+0-0-0</f>
        <v>534.144272</v>
      </c>
      <c r="K207" s="3">
        <f>383+(140-37)+(-0.78132+(-0.2856--0.07548))+0-0-0</f>
        <v>485.00855999999999</v>
      </c>
      <c r="L207" s="3">
        <f>314.8+(156.4-35)+(0.160548+(0.079764-0.01785))+0-0-0</f>
        <v>436.42246200000005</v>
      </c>
      <c r="M207" s="3">
        <f>311.8+(172.8-35)+(0+(0-0))+0-0-0</f>
        <v>449.6</v>
      </c>
      <c r="N207" s="3">
        <f>311.9+(198.9-36)+(-0.159069+(-0.101439--0.01836))+0-0-0</f>
        <v>474.55785199999997</v>
      </c>
      <c r="O207" s="3">
        <f>312.3+(223-44)+(0.159273+(0.11373-0.02244))+0-0-0</f>
        <v>491.55056300000001</v>
      </c>
      <c r="P207" s="3">
        <f>311.1+(257.1-47)+(0+(0-0))+0-0-0</f>
        <v>521.20000000000005</v>
      </c>
      <c r="Q207" s="3">
        <f>310+(295.8-48)+(0.1581+(0.150858-0.02448))+0-0-0</f>
        <v>558.08447799999999</v>
      </c>
      <c r="R207" s="3">
        <f>309.4+(331.3-47)+(0+(0-0))+0-0-0</f>
        <v>593.70000000000005</v>
      </c>
      <c r="S207" s="3">
        <f>377.3+(266.2-46)+(-0.769692+(-0.543048--0.09384))+0-0-0</f>
        <v>596.28110000000004</v>
      </c>
      <c r="T207" s="3">
        <f>377.8+(253.7-48)+(-0.770712+(-0.517548--0.09792))+0-0-0</f>
        <v>582.30966000000001</v>
      </c>
      <c r="U207" s="3">
        <f>377.1+(221.9-46)+(-0.769284+(-0.452676--0.09384))+0-0-0</f>
        <v>551.87188000000003</v>
      </c>
      <c r="V207" s="3">
        <f>378.9+(187.9-45)+(-0.579717+(-0.287487--0.06885))+0-0-0</f>
        <v>521.00164599999994</v>
      </c>
      <c r="W207" s="3">
        <f>381.9+(266.8-47)+(0.194769+(0.136068-0.02397))+0-0-0</f>
        <v>602.00686700000006</v>
      </c>
      <c r="X207" s="3">
        <f>384.5+(356.6-56)+(-0.588285+(-0.545598--0.08568))+0-0-0</f>
        <v>684.05179700000008</v>
      </c>
      <c r="Y207" s="3">
        <f>385.4+(393.4-53)+(-0.98277+(-1.00317--0.13515))+0-0-0</f>
        <v>723.94920999999999</v>
      </c>
      <c r="Z207" s="3">
        <f>386.1+(406.5-55)+(-0.590733+(-0.621945--0.08415))+0-0-0</f>
        <v>736.47147200000006</v>
      </c>
      <c r="AA207" s="3">
        <f>385.8+(388.5-52)+(-0.787032+(-0.79254--0.10608))+0-0-0</f>
        <v>720.82650799999999</v>
      </c>
      <c r="AB207" s="3">
        <f>386.8+(355.2-50)+(-0.789072+(-0.724608--0.102))+0-0-0</f>
        <v>690.58831999999995</v>
      </c>
      <c r="AC207" s="3">
        <f>391.2+(308.9-48)+(-0.99756+(-0.787695--0.1224))+0-0-0</f>
        <v>650.43714499999987</v>
      </c>
      <c r="AD207" s="2">
        <v>752.7</v>
      </c>
      <c r="AE207" s="3">
        <v>4327.3999999999996</v>
      </c>
    </row>
    <row r="208" spans="1:31" s="2" customFormat="1" x14ac:dyDescent="0.3">
      <c r="A208">
        <v>91</v>
      </c>
      <c r="B208">
        <v>7</v>
      </c>
      <c r="C208">
        <v>22</v>
      </c>
      <c r="D208">
        <v>1</v>
      </c>
      <c r="E208">
        <v>1</v>
      </c>
      <c r="F208" s="3">
        <f>388.1+(257.7-43)+(-0.593793+(-0.394281--0.06579))+0-0-0</f>
        <v>601.87771599999996</v>
      </c>
      <c r="G208" s="3">
        <f>386.2+(216.2-42)+(-0.590886+(-0.330786--0.06426))+0-0-0</f>
        <v>559.54258800000002</v>
      </c>
      <c r="H208" s="3">
        <f>387.1+(180.1-41)+(-0.987105+(-0.459255--0.10455))+0-0-0</f>
        <v>524.85819000000004</v>
      </c>
      <c r="I208" s="3">
        <f>390.2+(158.7-41)+(-0.199002+(-0.080937--0.02091))+0-0-0</f>
        <v>507.64097099999998</v>
      </c>
      <c r="J208" s="3">
        <f>390.3+(139.9-43.4)+(-0.199053+(-0.071349--0.022134))+0-0-0</f>
        <v>486.55173200000002</v>
      </c>
      <c r="K208" s="3">
        <f>389.4+(113.2-47.5)+(-0.397188+(-0.115464--0.04845))+0-0-0</f>
        <v>454.63579799999997</v>
      </c>
      <c r="L208" s="3">
        <f>390+(104.8-48.7)+(-0.1989+(-0.053448--0.024837))+0-0-0</f>
        <v>445.87248900000003</v>
      </c>
      <c r="M208" s="3">
        <f>386.3+(121.3-43.3)+(0.394026+(0.123726-0.044166))+0-0-0</f>
        <v>464.77358600000002</v>
      </c>
      <c r="N208" s="3">
        <f>384.3+(151.5-40)+(-0.587979+(-0.231795--0.0612))+0-0-0</f>
        <v>495.041426</v>
      </c>
      <c r="O208" s="3">
        <f>380.8+(187.2-40)+(0+(0-0))+0-0-0</f>
        <v>528</v>
      </c>
      <c r="P208" s="3">
        <f>374.1+(220.7-42)+(0+(0-0))+0-0-0</f>
        <v>552.79999999999995</v>
      </c>
      <c r="Q208" s="3">
        <f>371.3+(250.7-44)+(0+(0-0))+0-0-0</f>
        <v>578</v>
      </c>
      <c r="R208" s="3">
        <f>370.7+(281.8-42)+(0+(0-0))+0-0-0</f>
        <v>610.5</v>
      </c>
      <c r="S208" s="3">
        <f>369.8+(297.6-44)+(0+(0-0))+0-0-0</f>
        <v>623.40000000000009</v>
      </c>
      <c r="T208" s="3">
        <f>368+(292.8-45)+(0+(0-0))+0-0-0</f>
        <v>615.79999999999995</v>
      </c>
      <c r="U208" s="3">
        <f>368.7+(258.8-46)+(0+(0-0))+0-0-0</f>
        <v>581.5</v>
      </c>
      <c r="V208" s="3">
        <f>376.8+(217.9-46)+(0+(0-0))+0-0-0</f>
        <v>548.70000000000005</v>
      </c>
      <c r="W208" s="3">
        <f>382.7+(296.4-54)+(0+(0-0))+0-0-0</f>
        <v>625.09999999999991</v>
      </c>
      <c r="X208" s="3">
        <f>382.9+(386.3-54)+(0+(0-0))+0-0-0</f>
        <v>715.2</v>
      </c>
      <c r="Y208" s="3">
        <f>386.5+(416.9-52)+(0+(0-0))+0-0-0</f>
        <v>751.4</v>
      </c>
      <c r="Z208" s="3">
        <f>387.1+(412.1-50)+(0+(0-0))+0-0-0</f>
        <v>749.2</v>
      </c>
      <c r="AA208" s="3">
        <f>388.9+(403.6-48)+(0+(0-0))+0-0-0</f>
        <v>744.5</v>
      </c>
      <c r="AB208" s="3">
        <f>383+(367.9-48)+(0+(0-0))+0-0-0</f>
        <v>702.9</v>
      </c>
      <c r="AC208" s="3">
        <f>383.6+(326-46)+(0+(0-0))+0-0-0</f>
        <v>663.6</v>
      </c>
      <c r="AD208" s="2">
        <v>758.1</v>
      </c>
      <c r="AE208" s="3">
        <v>5447.2000000000007</v>
      </c>
    </row>
    <row r="209" spans="1:31" s="2" customFormat="1" x14ac:dyDescent="0.3">
      <c r="A209">
        <v>91</v>
      </c>
      <c r="B209">
        <v>7</v>
      </c>
      <c r="C209">
        <v>23</v>
      </c>
      <c r="D209">
        <v>2</v>
      </c>
      <c r="E209">
        <v>1</v>
      </c>
      <c r="F209" s="3">
        <f>414+(274-43)+(-0.63342+(-0.41922--0.06579))+0-0-0</f>
        <v>644.01315</v>
      </c>
      <c r="G209" s="3">
        <f>415+(247.9-42)+(0.21165+(0.126429-0.02142))+0-0-0</f>
        <v>621.21665899999994</v>
      </c>
      <c r="H209" s="3">
        <f>415+(228.4-42)+(-0.4233+(-0.232968--0.04284))+0-0-0</f>
        <v>600.78657199999998</v>
      </c>
      <c r="I209" s="3">
        <f>415+(204.5-41)+(-0.21165+(-0.104295--0.02091))+0-0-0</f>
        <v>578.20496500000002</v>
      </c>
      <c r="J209" s="3">
        <f>415+(186.6-43)+(-0.63495+(-0.285498--0.06579))+0-0-0</f>
        <v>557.74534200000005</v>
      </c>
      <c r="K209" s="3">
        <f>415+(150.7-47.4)+(-0.21165+(-0.076857--0.024174))+0-0-0</f>
        <v>518.03566699999999</v>
      </c>
      <c r="L209" s="3">
        <f>388.9+(132.1-49.8)+(0+(0-0))+0-0-0</f>
        <v>471.2</v>
      </c>
      <c r="M209" s="3">
        <f>387.6+(146.6-45)+(0.395352+(0.149532-0.0459))+0-0-0</f>
        <v>489.69898400000005</v>
      </c>
      <c r="N209" s="3">
        <f>385.7+(166.3-42)+(0.393414+(0.169626-0.04284))+0-0-0</f>
        <v>510.52019999999999</v>
      </c>
      <c r="O209" s="3">
        <f>380.6+(187.1-40)+(-0.194106+(-0.095421--0.0204))+0-0-0</f>
        <v>527.43087300000002</v>
      </c>
      <c r="P209" s="3">
        <f>380+(216.6-43)+(0+(0-0))+0-0-0</f>
        <v>553.6</v>
      </c>
      <c r="Q209" s="3">
        <f>379.3+(245.6-44)+(-0.580329+(-0.375768--0.06732))+0-0-0</f>
        <v>580.01122299999997</v>
      </c>
      <c r="R209" s="3">
        <f>375.9+(288.5-43)+(0+(0-0))+0-0-0</f>
        <v>621.4</v>
      </c>
      <c r="S209" s="3">
        <f>384.4+(283.6-45)+(0+(0-0))+0-0-0</f>
        <v>623</v>
      </c>
      <c r="T209" s="3">
        <f>390.6+(256.7-45)+(0+(0-0))+0-0-0</f>
        <v>602.29999999999995</v>
      </c>
      <c r="U209" s="3">
        <f>390.5+(220.1-44)+(0+(0-0))+0-0-0</f>
        <v>566.6</v>
      </c>
      <c r="V209" s="3">
        <f>394.2+(183.8-45)+(0+(0-0))+0-0-0</f>
        <v>533</v>
      </c>
      <c r="W209" s="3">
        <f>385.4+(283.6-54)+(0+(0-0))+0-0-0</f>
        <v>615</v>
      </c>
      <c r="X209" s="3">
        <f>382.6+(366.3-54)+(0+(0-0))+0-0-0</f>
        <v>694.90000000000009</v>
      </c>
      <c r="Y209" s="3">
        <f>381.3+(401.7-50)+(0+(0-0))+0-0-0</f>
        <v>733</v>
      </c>
      <c r="Z209" s="3">
        <f>379.8+(400.9-53)+(0+(0-0))+0-0-0</f>
        <v>727.7</v>
      </c>
      <c r="AA209" s="3">
        <f>380.7+(403.5-49)+(0+(0-0))+0-0-0</f>
        <v>735.2</v>
      </c>
      <c r="AB209" s="3">
        <f>386.8+(359.8-49)+(0+(0-0))+0-0-0</f>
        <v>697.6</v>
      </c>
      <c r="AC209" s="3">
        <f>393.3+(308-48)+(0+(0-0))+0-0-0</f>
        <v>653.29999999999995</v>
      </c>
      <c r="AD209" s="2">
        <v>732.2</v>
      </c>
      <c r="AE209" s="3">
        <v>5400.6</v>
      </c>
    </row>
    <row r="210" spans="1:31" s="2" customFormat="1" x14ac:dyDescent="0.3">
      <c r="A210">
        <v>91</v>
      </c>
      <c r="B210">
        <v>7</v>
      </c>
      <c r="C210">
        <v>24</v>
      </c>
      <c r="D210">
        <v>3</v>
      </c>
      <c r="E210">
        <v>1</v>
      </c>
      <c r="F210" s="3">
        <f>401.1+(259.8-49)+(-1.022805+(-0.66249--0.12495))+0-0-0</f>
        <v>610.33965500000011</v>
      </c>
      <c r="G210" s="3">
        <f>401.9+(227.3-48)+(-1.024845+(-0.579615--0.1224))+0-0-0</f>
        <v>579.71794</v>
      </c>
      <c r="H210" s="3">
        <f>404.2+(202.4-47)+(-0.206142+(-0.103224--0.02397))+0-0-0</f>
        <v>559.31460400000003</v>
      </c>
      <c r="I210" s="3">
        <f>396.5+(189.4-48)+(-0.606645+(-0.289782--0.07344))+0-0-0</f>
        <v>537.07701299999997</v>
      </c>
      <c r="J210" s="3">
        <f>386.8+(175.5-50)+(-0.591804+(-0.268515--0.0765))+0-0-0</f>
        <v>511.51618099999996</v>
      </c>
      <c r="K210" s="3">
        <f>385.5+(140.5-52)+(-0.39321+(-0.14331--0.05304))+0-0-0</f>
        <v>473.51652000000001</v>
      </c>
      <c r="L210" s="3">
        <f>313.9+(189.7-48)+(0+(0-0))+0-0-0</f>
        <v>455.59999999999997</v>
      </c>
      <c r="M210" s="3">
        <f>312.4+(205.8-46)+(0+(0-0))+0-0-0</f>
        <v>472.2</v>
      </c>
      <c r="N210" s="3">
        <f>311.2+(204.8-45)+(0+(0-0))+0-0-0</f>
        <v>471</v>
      </c>
      <c r="O210" s="3">
        <f>312.2+(200.3-44)+(0+(0-0))+0-0-0</f>
        <v>468.5</v>
      </c>
      <c r="P210" s="3">
        <f>333.2+(203.9-40)+(0+(0-0))+0-0-0</f>
        <v>497.1</v>
      </c>
      <c r="Q210" s="3">
        <f>383.2+(186.4-44)+(0+(0-0))+0-0-0</f>
        <v>525.6</v>
      </c>
      <c r="R210" s="3">
        <f>409.2+(232.1-45)+(0+(0-0))+0-0-0</f>
        <v>596.29999999999995</v>
      </c>
      <c r="S210" s="3">
        <f>409.1+(243.4-45)+(-0.417282+(-0.248268--0.0459))+0-0-0</f>
        <v>606.88035000000002</v>
      </c>
      <c r="T210" s="3">
        <f>409.8+(217.3-47)+(-0.208998+(-0.110823--0.02397))+0-0-0</f>
        <v>579.80414900000005</v>
      </c>
      <c r="U210" s="3">
        <f>409.7+(182.6-46)+(-0.835788+(-0.372504--0.09384))+0-0-0</f>
        <v>545.18554799999993</v>
      </c>
      <c r="V210" s="3">
        <f>412.9+(149.2-45.4)+(-0.421158+(-0.152184--0.046308))+0-0-0</f>
        <v>516.17296599999997</v>
      </c>
      <c r="W210" s="3">
        <f>454+(204.7-54)+(-0.46308+(-0.208794--0.05508))+0-0-0</f>
        <v>604.08320600000002</v>
      </c>
      <c r="X210" s="3">
        <f>550+(183.9-56)+(-0.8415+(-0.281367--0.08568))+0-0-0</f>
        <v>676.86281299999996</v>
      </c>
      <c r="Y210" s="3">
        <f>586.9+(180-56)+(-0.897957+(-0.2754--0.08568))+0-0-0</f>
        <v>709.81232299999999</v>
      </c>
      <c r="Z210" s="3">
        <f>588.7+(175.3-57)+(-0.900711+(-0.268209--0.08721))+0-0-0</f>
        <v>705.91828999999996</v>
      </c>
      <c r="AA210" s="3">
        <f>599.9+(158-55)+(-1.223796+(-0.32232--0.1122))+0-0-0</f>
        <v>701.46608400000002</v>
      </c>
      <c r="AB210" s="3">
        <f>568.3+(155.3-51)+(-0.289833+(-0.079203--0.02601))+0-0-0</f>
        <v>672.2569739999999</v>
      </c>
      <c r="AC210" s="3">
        <f>512.2+(174.3-49)+(-0.783666+(-0.266679--0.07497))+0-0-0</f>
        <v>636.52462500000001</v>
      </c>
      <c r="AD210" s="2">
        <v>722.3</v>
      </c>
      <c r="AE210" s="3">
        <v>5391.5</v>
      </c>
    </row>
    <row r="211" spans="1:31" s="2" customFormat="1" x14ac:dyDescent="0.3">
      <c r="A211">
        <v>91</v>
      </c>
      <c r="B211">
        <v>7</v>
      </c>
      <c r="C211">
        <v>25</v>
      </c>
      <c r="D211">
        <v>4</v>
      </c>
      <c r="E211">
        <v>1</v>
      </c>
      <c r="F211" s="3">
        <f>440.8+(208.8-48)+(-0.224808+(-0.106488--0.02448))+0-0-0</f>
        <v>601.293184</v>
      </c>
      <c r="G211" s="3">
        <f>393.5+(225.5-48)+(0+(0-0))+0-0-0</f>
        <v>571</v>
      </c>
      <c r="H211" s="3">
        <f>394.2+(196.6-48)+(0.201042+(0.100266-0.02448))+0-0-0</f>
        <v>543.07682799999998</v>
      </c>
      <c r="I211" s="3">
        <f>320.7+(251.5-49)+(0.327114+(0.25653-0.04998))+0-0-0</f>
        <v>523.73366400000009</v>
      </c>
      <c r="J211" s="3">
        <f>314+(238.1-51)+(0.32028+(0.242862-0.05202))+0-0-0</f>
        <v>501.61112200000002</v>
      </c>
      <c r="K211" s="3">
        <f>314.1+(201.4-50)+(0+(0-0))+0-0-0</f>
        <v>465.5</v>
      </c>
      <c r="L211" s="3">
        <f>313.6+(179.9-41)+(0.639744+(0.366996-0.08364))+0-0-0</f>
        <v>453.42309999999998</v>
      </c>
      <c r="M211" s="3">
        <f>311.8+(210.2-39)+(-0.318036+(-0.214404--0.03978))+0-0-0</f>
        <v>482.50734</v>
      </c>
      <c r="N211" s="3">
        <f>311.4+(222.3-39)+(-0.635256+(-0.453492--0.07956))+0-0-0</f>
        <v>493.69081199999999</v>
      </c>
      <c r="O211" s="3">
        <f>310.2+(238.8-39)+(-0.474606+(-0.365364--0.05967))+0-0-0</f>
        <v>509.21969999999999</v>
      </c>
      <c r="P211" s="3">
        <f>307.3+(267.1-38)+(-0.783615+(-0.681105--0.0969))+0-0-0</f>
        <v>535.03218000000004</v>
      </c>
      <c r="Q211" s="3">
        <f>343.2+(253.8-38)+(-0.525096+(-0.388314--0.05814))+0-0-0</f>
        <v>558.14472999999998</v>
      </c>
      <c r="R211" s="3">
        <f>334.6+(292.4-44)+(-0.682584+(-0.596496--0.08976))+0-0-0</f>
        <v>581.81068000000005</v>
      </c>
      <c r="S211" s="3">
        <f>375.5+(245.4-45)+(0.191505+(0.125154-0.02295))+0-0-0</f>
        <v>576.19370900000001</v>
      </c>
      <c r="T211" s="3">
        <f>382.4+(239.5-43)+(-0.390048+(-0.24429--0.04386))+0-0-0</f>
        <v>578.30952200000002</v>
      </c>
      <c r="U211" s="3">
        <f>387.8+(195.8-28)+(-0.98889+(-0.49929--0.0714))+0-0-0</f>
        <v>554.18322000000001</v>
      </c>
      <c r="V211" s="3">
        <f>353.3+(193.7-34)+(-0.540549+(-0.296361--0.05202))+0-0-0</f>
        <v>512.21510999999998</v>
      </c>
      <c r="W211" s="3">
        <f>333.8+(293.7-38)+(0.170238+(0.149787-0.01938))+0-0-0</f>
        <v>589.80064500000003</v>
      </c>
      <c r="X211" s="3">
        <f>380.8+(317.1-33)+(-0.582624+(-0.485163--0.05049))+0-0-0</f>
        <v>663.88270300000011</v>
      </c>
      <c r="Y211" s="3">
        <f>380.8+(352.3-44)+(-0.776832+(-0.718692--0.08976))+0-0-0</f>
        <v>687.69423600000005</v>
      </c>
      <c r="Z211" s="3">
        <f>384.3+(357.7-44)+(-0.783972+(-0.729708--0.08976))+0-0-0</f>
        <v>696.57608000000005</v>
      </c>
      <c r="AA211" s="3">
        <f>384.8+(344-41)+(-0.98124+(-0.8772--0.10455))+0-0-0</f>
        <v>686.04611</v>
      </c>
      <c r="AB211" s="3">
        <f>383.2+(309.3-41)+(-0.97716+(-0.788715--0.10455))+0-0-0</f>
        <v>649.83867499999997</v>
      </c>
      <c r="AC211" s="3">
        <f>381.6+(270.7-39)+(-0.583848+(-0.414171--0.05967))+0-0-0</f>
        <v>612.36165099999994</v>
      </c>
      <c r="AD211" s="2">
        <v>696.7</v>
      </c>
      <c r="AE211" s="3">
        <v>5251.7</v>
      </c>
    </row>
    <row r="212" spans="1:31" s="2" customFormat="1" x14ac:dyDescent="0.3">
      <c r="A212">
        <v>91</v>
      </c>
      <c r="B212">
        <v>7</v>
      </c>
      <c r="C212">
        <v>26</v>
      </c>
      <c r="D212">
        <v>5</v>
      </c>
      <c r="E212">
        <v>1</v>
      </c>
      <c r="F212" s="3">
        <f>385.1+(235.9-37)+(-0.589203+(-0.360927--0.05661))+0-0-0</f>
        <v>583.10648000000003</v>
      </c>
      <c r="G212" s="3">
        <f>384.7+(206.8-37)+(-0.588591+(-0.316404--0.05661))+0-0-0</f>
        <v>553.65161499999999</v>
      </c>
      <c r="H212" s="3">
        <f>321.2+(250-37)+(-0.327624+(-0.255--0.03774))+0-0-0</f>
        <v>533.65511600000002</v>
      </c>
      <c r="I212" s="3">
        <f>310.5+(241.5-37)+(-0.158355+(-0.123165--0.01887))+0-0-0</f>
        <v>514.73734999999999</v>
      </c>
      <c r="J212" s="3">
        <f>312.8+(223.2-42)+(0.159528+(0.113832-0.02142))+0-0-0</f>
        <v>494.25193999999999</v>
      </c>
      <c r="K212" s="3">
        <f>315.3+(189.8-42)+(0.160803+(0.096798-0.02142))+0-0-0</f>
        <v>463.33618100000001</v>
      </c>
      <c r="L212" s="3">
        <f>314.4+(167.7-37)+(-0.160344+(-0.085527--0.01887))+0-0-0</f>
        <v>444.87299899999999</v>
      </c>
      <c r="M212" s="3">
        <f>312.7+(183.9-37)+(0+(0-0))+0-0-0</f>
        <v>459.6</v>
      </c>
      <c r="N212" s="3">
        <f>312.2+(205-35)+(-0.477666+(-0.31365--0.05355))+0-0-0</f>
        <v>481.46223399999997</v>
      </c>
      <c r="O212" s="3">
        <f>311.5+(227.9-35)+(-0.158865+(-0.116229--0.01785))+0-0-0</f>
        <v>504.14275599999996</v>
      </c>
      <c r="P212" s="3">
        <f>309.9+(248-36)+(-0.316098+(-0.25296--0.03672))+0-0-0</f>
        <v>521.367662</v>
      </c>
      <c r="Q212" s="3">
        <f>310.6+(273.1-40)+(-0.316812+(-0.278562--0.0408))+0-0-0</f>
        <v>543.14542600000004</v>
      </c>
      <c r="R212" s="3">
        <f>304.8+(305.9-45)+(-0.155448+(-0.156009--0.02295))+0-0-0</f>
        <v>565.41149300000006</v>
      </c>
      <c r="S212" s="3">
        <f>304.5+(318.5-46)+(-0.465885+(-0.487305--0.07038))+0-0-0</f>
        <v>576.11719000000005</v>
      </c>
      <c r="T212" s="3">
        <f>304+(296.3-46)+(-0.46512+(-0.453339--0.07038))+0-0-0</f>
        <v>553.45192099999997</v>
      </c>
      <c r="U212" s="3">
        <f>301.8+(249.6-52)+(-0.461754+(-0.381888--0.07956))+2.4-0-0</f>
        <v>501.03591799999998</v>
      </c>
      <c r="V212" s="3">
        <f>304.8+(224.2-44)+(0.310896+(0.228684-0.04488))+1.5-0-0</f>
        <v>486.99470000000002</v>
      </c>
      <c r="W212" s="3">
        <f>318.8+(286.4-49)+(0.162588+(0.146064-0.02499))+0-0-0</f>
        <v>556.48366200000009</v>
      </c>
      <c r="X212" s="3">
        <f>385.4+(294.9-55)+(-0.589662+(-0.451197--0.08415))+0-0-0</f>
        <v>624.34329099999991</v>
      </c>
      <c r="Y212" s="3">
        <f>384.8+(310.6-45)+(-0.392496+(-0.316812--0.0459))+0-0-0</f>
        <v>649.73659200000009</v>
      </c>
      <c r="Z212" s="3">
        <f>386.7+(268.4-42)+(-0.394434+(-0.273768--0.04284))+0-0-0</f>
        <v>612.47463799999991</v>
      </c>
      <c r="AA212" s="3">
        <f>387.8+(240.2-44)+(-0.395556+(-0.245004--0.04488))+0-0-0</f>
        <v>583.40431999999998</v>
      </c>
      <c r="AB212" s="3">
        <f>387.4+(234-44)+(-0.98787+(-0.5967--0.1122))+0-0-0</f>
        <v>575.92763000000002</v>
      </c>
      <c r="AC212" s="3">
        <f>382.5+(204-44)+(-1.17045+(-0.62424--0.13464))+0-0-0</f>
        <v>540.83995000000004</v>
      </c>
      <c r="AD212" s="2">
        <v>656.6</v>
      </c>
      <c r="AE212" s="3">
        <v>5336.5999999999995</v>
      </c>
    </row>
    <row r="213" spans="1:31" s="2" customFormat="1" x14ac:dyDescent="0.3">
      <c r="A213">
        <v>91</v>
      </c>
      <c r="B213">
        <v>7</v>
      </c>
      <c r="C213">
        <v>27</v>
      </c>
      <c r="D213">
        <v>6</v>
      </c>
      <c r="E213">
        <v>1</v>
      </c>
      <c r="F213" s="3">
        <f>351.4+(208.4-45)+(0.358428+(0.212568-0.0459))+0-0-0</f>
        <v>515.32509599999992</v>
      </c>
      <c r="G213" s="3">
        <f>337.8+(195.5-44)+(0.172278+(0.099705-0.02244))+0-0-0</f>
        <v>489.54954300000003</v>
      </c>
      <c r="H213" s="3">
        <f>290.7+(224.4-43)+(0.296514+(0.228888-0.04386))+0-0-0</f>
        <v>472.58154200000001</v>
      </c>
      <c r="I213" s="3">
        <f>265.1+(236.2-44)+(-0.135201+(-0.120462--0.02244))+0-0-0</f>
        <v>457.066777</v>
      </c>
      <c r="J213" s="3">
        <f>264.7+(225.7-44)+(0+(0-0))+0-0-0</f>
        <v>446.4</v>
      </c>
      <c r="K213" s="3">
        <f>265+(204.9-44)+(-0.5406+(-0.417996--0.08976))+0-0-0</f>
        <v>425.03116399999999</v>
      </c>
      <c r="L213" s="3">
        <f>262.5+(195.9-45)+(0.26775+(0.199818-0.0459))+0-0-0</f>
        <v>413.82166799999999</v>
      </c>
      <c r="M213" s="3">
        <f>266+(208-43)+(0+(0-0))+0-0-0</f>
        <v>431</v>
      </c>
      <c r="N213" s="3">
        <f>335.9+(155.4-46)+(0+(0-0))+0-0-0</f>
        <v>445.29999999999995</v>
      </c>
      <c r="O213" s="3">
        <f>336.3+(171.2-38)+(0+(0-0))+0-0-0</f>
        <v>469.5</v>
      </c>
      <c r="P213" s="3">
        <f>334.2+(187.1-40)+(-0.511326+(-0.286263--0.0612))+0-0-0</f>
        <v>480.56361099999998</v>
      </c>
      <c r="Q213" s="3">
        <f>333.2+(218.4-43)+(0+(0-0))+0-0-0</f>
        <v>508.6</v>
      </c>
      <c r="R213" s="3">
        <f>330.8+(244.5-45)+(-0.506124+(-0.374085--0.06885))+0-0-0</f>
        <v>529.48864099999992</v>
      </c>
      <c r="S213" s="3">
        <f>330.7+(233.5-46)+(0+(0-0))+0-0-0</f>
        <v>518.20000000000005</v>
      </c>
      <c r="T213" s="3">
        <f>332.2+(205.5-42)+(0+(0-0))+0-0-0</f>
        <v>495.7</v>
      </c>
      <c r="U213" s="3">
        <f>329.7+(139.5-15)+(-0.672588+(-0.28458--0.0306))+0-0-0</f>
        <v>453.27343200000001</v>
      </c>
      <c r="V213" s="3">
        <f>330.9+(157.4-35)+(-0.506277+(-0.240822--0.05355))+0-0-0</f>
        <v>452.60645099999994</v>
      </c>
      <c r="W213" s="3">
        <f>333+(240.6-47)+(-0.16983+(-0.122706--0.02397))+0-0-0</f>
        <v>526.33143400000006</v>
      </c>
      <c r="X213" s="3">
        <f>337.3+(284.7-47)+(-0.516069+(-0.435591--0.07191))+0-0-0</f>
        <v>574.12025000000006</v>
      </c>
      <c r="Y213" s="3">
        <f>458.4+(189-52)+(-0.233784+(-0.09639--0.02652))+0-0-0</f>
        <v>595.09634599999993</v>
      </c>
      <c r="Z213" s="3">
        <f>365.1+(279.5-49)+(0.372402+(0.28509-0.04998))+0-0-0</f>
        <v>596.20751200000007</v>
      </c>
      <c r="AA213" s="3">
        <f>336.9+(303.5-49)+(0.171819+(0.154785-0.02499))+0-0-0</f>
        <v>591.70161399999995</v>
      </c>
      <c r="AB213" s="3">
        <f>336.2+(279.1-45)+(-0.342924+(-0.284682--0.0459))+0-0-0</f>
        <v>569.7182939999999</v>
      </c>
      <c r="AC213" s="3">
        <f>337+(241.6-45)+(-0.51561+(-0.369648--0.06885))+0-0-0</f>
        <v>532.783592</v>
      </c>
      <c r="AD213" s="2">
        <v>611.70000000000005</v>
      </c>
      <c r="AE213" s="3">
        <v>5085.1000000000004</v>
      </c>
    </row>
    <row r="214" spans="1:31" s="2" customFormat="1" x14ac:dyDescent="0.3">
      <c r="A214">
        <v>91</v>
      </c>
      <c r="B214">
        <v>7</v>
      </c>
      <c r="C214">
        <v>28</v>
      </c>
      <c r="D214">
        <v>7</v>
      </c>
      <c r="E214">
        <v>1</v>
      </c>
      <c r="F214" s="3">
        <f>359+(209.4-45)+(-0.18309+(-0.106794--0.02295))+0-0-0</f>
        <v>523.13306599999999</v>
      </c>
      <c r="G214" s="3">
        <f>359+(175.4-44)+(-0.36618+(-0.178908--0.04488))+0-0-0</f>
        <v>489.89979199999999</v>
      </c>
      <c r="H214" s="3">
        <f>358+(154.9-43)+(-0.54774+(-0.236997--0.06579))+0-0-0</f>
        <v>469.18105299999996</v>
      </c>
      <c r="I214" s="3">
        <f>356+(145.5-43)+(-0.72624+(-0.29682--0.08772))+0-0-0</f>
        <v>457.56466</v>
      </c>
      <c r="J214" s="3">
        <f>284+(208.5-44)+(0+(0-0))+0-0-0</f>
        <v>448.5</v>
      </c>
      <c r="K214" s="3">
        <f>284+(189.1-47)+(-0.43452+(-0.289323--0.07191))+0-0-0</f>
        <v>425.44806700000004</v>
      </c>
      <c r="L214" s="3">
        <f>265.6+(176.3-48)+(-0.406368+(-0.269739--0.07344))+0-0-0</f>
        <v>393.29733300000004</v>
      </c>
      <c r="M214" s="3">
        <f>265.2+(187.6-43)+(0.135252+(0.095676-0.02193))+0-0-0</f>
        <v>410.00899799999996</v>
      </c>
      <c r="N214" s="3">
        <f>266.3+(202.4-41)+(0.135813+(0.103224-0.02091))+0-0-0</f>
        <v>427.91812700000003</v>
      </c>
      <c r="O214" s="3">
        <f>265.7+(225.3-42)+(-0.542028+(-0.459612--0.08568))+0-0-0</f>
        <v>448.08404000000002</v>
      </c>
      <c r="P214" s="3">
        <f>264.4+(246.5-42)+(0.134844+(0.125715-0.02142))+0-0-0</f>
        <v>469.139139</v>
      </c>
      <c r="Q214" s="3">
        <f>263.5+(274-44)+(-0.403155+(-0.41922--0.06732))+0-0-0</f>
        <v>492.74494499999997</v>
      </c>
      <c r="R214" s="3">
        <f>260.7+(284.6-44)+(0.132957+(0.145146-0.02244))+0-0-0</f>
        <v>501.55566300000004</v>
      </c>
      <c r="S214" s="3">
        <f>260.4+(285.2-41)+(-0.265608+(-0.290904--0.04182))+0-0-0</f>
        <v>504.08530799999994</v>
      </c>
      <c r="T214" s="3">
        <f>258.6+(270.4-35)+(-0.527544+(-0.551616--0.0714))+0-0-0</f>
        <v>492.99223999999998</v>
      </c>
      <c r="U214" s="3">
        <f>258+(250.2-37)+(-0.52632+(-0.510408--0.07548))+2.7-0-0</f>
        <v>472.93875199999997</v>
      </c>
      <c r="V214" s="3">
        <f>257.5+(239.6-42)+(0.26265+(0.244392-0.04284))+2.3-0-0</f>
        <v>457.86420200000003</v>
      </c>
      <c r="W214" s="3">
        <f>258+(320.8-45)+(-0.13158+(-0.163608--0.02295))+0-0-0</f>
        <v>533.52776199999994</v>
      </c>
      <c r="X214" s="3">
        <f>318.3+(308.2-47)+(0.324666+(0.314364-0.04794))+0-0-0</f>
        <v>580.09109000000001</v>
      </c>
      <c r="Y214" s="3">
        <f>332.1+(311.2-48)+(-0.508113+(-0.476136--0.07344))+0-0-0</f>
        <v>594.38919099999998</v>
      </c>
      <c r="Z214" s="3">
        <f>333.8+(317.9-48)+(-0.680952+(-0.648516--0.09792))+0-0-0</f>
        <v>602.46845200000007</v>
      </c>
      <c r="AA214" s="3">
        <f>339.1+(296.2-47)+(-0.345882+(-0.302124--0.04794))+0-0-0</f>
        <v>587.69993399999998</v>
      </c>
      <c r="AB214" s="3">
        <f>375.6+(228.1-45)+(-0.383112+(-0.232662--0.0459))+0-0-0</f>
        <v>558.13012600000002</v>
      </c>
      <c r="AC214" s="3">
        <f>388+(179.6-44)+(-0.39576+(-0.183192--0.04488))+0-0-0</f>
        <v>523.06592799999999</v>
      </c>
      <c r="AD214" s="2">
        <v>605.4</v>
      </c>
      <c r="AE214" s="3">
        <v>3992.7999999999997</v>
      </c>
    </row>
    <row r="215" spans="1:31" s="2" customFormat="1" x14ac:dyDescent="0.3">
      <c r="A215">
        <v>91</v>
      </c>
      <c r="B215">
        <v>7</v>
      </c>
      <c r="C215">
        <v>29</v>
      </c>
      <c r="D215">
        <v>1</v>
      </c>
      <c r="E215">
        <v>1</v>
      </c>
      <c r="F215" s="3">
        <f>391.1+(151.3-43)+(-0.797844+(-0.308652--0.08772))+0-0-0</f>
        <v>498.38122400000003</v>
      </c>
      <c r="G215" s="3">
        <f>378.3+(141.3-41)+(-0.192933+(-0.072063--0.02091))+0-0-0</f>
        <v>478.35591400000004</v>
      </c>
      <c r="H215" s="3">
        <f>349.3+(152.1-41)+(-0.534429+(-0.232713--0.06273))+0-0-0</f>
        <v>459.69558799999999</v>
      </c>
      <c r="I215" s="3">
        <f>287.9+(196.1-38)+(-0.440487+(-0.300033--0.05814))+0-0-0</f>
        <v>445.31761999999998</v>
      </c>
      <c r="J215" s="3">
        <f>301.7+(177.1-42)+(-0.307734+(-0.180642--0.04284))+0-0-0</f>
        <v>436.35446399999995</v>
      </c>
      <c r="K215" s="3">
        <f>301.9+(162.7-45)+(0+(0-0))+0-0-0</f>
        <v>419.59999999999997</v>
      </c>
      <c r="L215" s="3">
        <f>301.6+(153.3-40)+(-0.153816+(-0.078183--0.0204))+0-0-0</f>
        <v>414.68840100000006</v>
      </c>
      <c r="M215" s="3">
        <f>299.3+(172.5-40)+(-0.152643+(-0.087975--0.0204))+0-0-0</f>
        <v>431.57978200000002</v>
      </c>
      <c r="N215" s="3">
        <f>302.9+(191-39)+(0+(0-0))+0-0-0</f>
        <v>454.9</v>
      </c>
      <c r="O215" s="3">
        <f>315.7+(189.1-38)+(-0.644028+(-0.385764--0.07752))+0-0-0</f>
        <v>465.84772799999996</v>
      </c>
      <c r="P215" s="3">
        <f>324.8+(181.7-39)+(-0.165648+(-0.092667--0.01989))+0-0-0</f>
        <v>467.26157499999999</v>
      </c>
      <c r="Q215" s="3">
        <f>383.5+(141.5-39)+(-0.39117+(-0.14433--0.03978))+0-0-0</f>
        <v>485.50427999999999</v>
      </c>
      <c r="R215" s="3">
        <f>384.9+(169.4-41)+(-0.588897+(-0.259182--0.06273))+0-0-0</f>
        <v>512.51465099999996</v>
      </c>
      <c r="S215" s="3">
        <f>384+(172.1-42)+(-0.58752+(-0.263313--0.06426))+0-0-0</f>
        <v>513.31342700000005</v>
      </c>
      <c r="T215" s="3">
        <f>355+(189.1-41)+(0.18105+(0.096441-0.02091))+0-0-0</f>
        <v>503.35658100000001</v>
      </c>
      <c r="U215" s="3">
        <f>314.2+(193.3-21)+(-0.961452+(-0.591498--0.06426))+0-0-0</f>
        <v>485.01130999999998</v>
      </c>
      <c r="V215" s="3">
        <f>315.9+(179.3-41)+(-0.322218+(-0.182886--0.04182))+0-0-0</f>
        <v>453.736716</v>
      </c>
      <c r="W215" s="3">
        <f>318.1+(274-48)+(0+(0-0))+0-0-0</f>
        <v>544.1</v>
      </c>
      <c r="X215" s="3">
        <f>319.5+(328.8-51)+(-0.65178+(-0.670752--0.10404))+0-0-0</f>
        <v>596.08150799999999</v>
      </c>
      <c r="Y215" s="3">
        <f>321.4+(346.7-50)+(-1.311312+(-1.414536--0.204))+0-0-0</f>
        <v>615.57815199999993</v>
      </c>
      <c r="Z215" s="3">
        <f>322.1+(334.5-48)+(-0.821355+(-0.852975--0.1224))+0-0-0</f>
        <v>607.04807000000005</v>
      </c>
      <c r="AA215" s="3">
        <f>319.1+(334.3-45)+(-0.813705+(-0.852465--0.11475))+0-0-0</f>
        <v>606.84858000000008</v>
      </c>
      <c r="AB215" s="3">
        <f>318.5+(305.6-43)+(-0.487305+(-0.467568--0.06579))+0-0-0</f>
        <v>580.21091699999999</v>
      </c>
      <c r="AC215" s="3">
        <f>323.5+(263.7-41)+(-0.164985+(-0.134487--0.02091))+0-0-0</f>
        <v>545.92143800000008</v>
      </c>
      <c r="AD215" s="2">
        <v>635.29999999999995</v>
      </c>
      <c r="AE215" s="3">
        <v>5292.3</v>
      </c>
    </row>
    <row r="216" spans="1:31" s="2" customFormat="1" x14ac:dyDescent="0.3">
      <c r="A216">
        <v>91</v>
      </c>
      <c r="B216">
        <v>7</v>
      </c>
      <c r="C216">
        <v>30</v>
      </c>
      <c r="D216">
        <v>2</v>
      </c>
      <c r="E216">
        <v>1</v>
      </c>
      <c r="F216" s="3">
        <f>327.4+(223.5-42)+(0.166974+(0.113985-0.02142))+0-0-0</f>
        <v>509.159539</v>
      </c>
      <c r="G216" s="3">
        <f>327.1+(195.7-43)+(-0.667284+(-0.399228--0.08772))+0-0-0</f>
        <v>478.82120800000001</v>
      </c>
      <c r="H216" s="3">
        <f>326.5+(174.4-42)+(-0.66606+(-0.355776--0.08568))+0-0-0</f>
        <v>457.96384399999999</v>
      </c>
      <c r="I216" s="3">
        <f>326.4+(156.6-41)+(0.665856+(0.319464-0.08364))+0-0-0</f>
        <v>442.90168</v>
      </c>
      <c r="J216" s="3">
        <f>326.1+(149.5-43)+(0.831555+(0.381225-0.10965))+0-0-0</f>
        <v>433.70313000000004</v>
      </c>
      <c r="K216" s="3">
        <f>326.8+(138.8-44)+(0.500004+(0.212364-0.06732))+0-0-0</f>
        <v>422.245048</v>
      </c>
      <c r="L216" s="3">
        <f>325.1+(136.1-45.1)+(0.663204+(0.277644-0.092004))+0-0-0</f>
        <v>416.94884400000001</v>
      </c>
      <c r="M216" s="3">
        <f>324.8+(152.8-43)+(0+(0-0))+0-0-0</f>
        <v>434.6</v>
      </c>
      <c r="N216" s="3">
        <f>323.3+(162.5-43)+(0.329766+(0.16575-0.04386))+0-0-0</f>
        <v>443.25165600000003</v>
      </c>
      <c r="O216" s="3">
        <f>323+(179.5-39)+(-0.49419+(-0.274635--0.05967))+0-0-0</f>
        <v>462.79084499999999</v>
      </c>
      <c r="P216" s="3">
        <f>323+(188.9-36)+(0+(0-0))+0-0-0</f>
        <v>475.9</v>
      </c>
      <c r="Q216" s="3">
        <f>321.9+(202.1-36)+(-0.328338+(-0.206142--0.03672))+0-0-0</f>
        <v>487.50223999999997</v>
      </c>
      <c r="R216" s="3">
        <f>318.7+(231.4-42)+(-0.650148+(-0.472056--0.08568))+0-0-0</f>
        <v>507.06347600000004</v>
      </c>
      <c r="S216" s="3">
        <f>316.9+(232.6-42)+(-0.323238+(-0.237252--0.04284))+0-0-0</f>
        <v>506.98235</v>
      </c>
      <c r="T216" s="3">
        <f>316.3+(180.4-43)+(-0.806565+(-0.46002--0.10965))+0-0-0</f>
        <v>452.54306500000007</v>
      </c>
      <c r="U216" s="3">
        <f>314.2+(152-41)+(-0.160242+(-0.07752--0.02091))+0-0-0</f>
        <v>424.98314799999997</v>
      </c>
      <c r="V216" s="3">
        <f>317.3+(190.9-38)+(0+(0-0))+0-0-0</f>
        <v>470.20000000000005</v>
      </c>
      <c r="W216" s="3">
        <f>346.2+(251.4-48)+(0+(0-0))+0-0-0</f>
        <v>549.6</v>
      </c>
      <c r="X216" s="3">
        <f>400.8+(254.4-50)+(-0.408816+(-0.259488--0.051))+0-0-0</f>
        <v>604.58269600000006</v>
      </c>
      <c r="Y216" s="3">
        <f>399.9+(270.9-50)+(-0.407898+(-0.276318--0.051))+0-0-0</f>
        <v>620.16678400000001</v>
      </c>
      <c r="Z216" s="3">
        <f>401.3+(267.7-51)+(0.409326+(0.273054-0.05202))+0-0-0</f>
        <v>618.63036</v>
      </c>
      <c r="AA216" s="3">
        <f>403+(251.3-45)+(0.41106+(0.256326-0.0459))+0-0-0</f>
        <v>609.92148599999996</v>
      </c>
      <c r="AB216" s="3">
        <f>403.4+(214.5-44)+(-0.617202+(-0.328185--0.06732))+0-0-0</f>
        <v>573.02193299999999</v>
      </c>
      <c r="AC216" s="3">
        <f>375.8+(208.8-42)+(-0.766632+(-0.425952--0.08568))+0-0-0</f>
        <v>541.49309600000004</v>
      </c>
      <c r="AD216" s="2">
        <v>648.20000000000005</v>
      </c>
      <c r="AE216" s="3">
        <v>5271.6</v>
      </c>
    </row>
    <row r="217" spans="1:31" s="2" customFormat="1" x14ac:dyDescent="0.3">
      <c r="A217">
        <v>91</v>
      </c>
      <c r="B217">
        <v>8</v>
      </c>
      <c r="C217">
        <v>1</v>
      </c>
      <c r="D217">
        <v>3</v>
      </c>
      <c r="E217">
        <v>1</v>
      </c>
      <c r="F217" s="3">
        <f>321.9+(227.4-42)+(-0.164169+(-0.115974--0.02142))+0-0-0</f>
        <v>507.04127699999998</v>
      </c>
      <c r="G217" s="3">
        <f>324.5+(193-42)+(-0.496485+(-0.29529--0.06426))+0-0-0</f>
        <v>474.77248500000002</v>
      </c>
      <c r="H217" s="3">
        <f>325.7+(167.6-42)+(-0.664428+(-0.341904--0.08568))+0-0-0</f>
        <v>450.37934799999994</v>
      </c>
      <c r="I217" s="3">
        <f>326.7+(145.2-44)+(-0.333234+(-0.148104--0.04488))+0-0-0</f>
        <v>427.46354199999996</v>
      </c>
      <c r="J217" s="3">
        <f>326.7+(143.9-45)+(0.499851+(0.220167-0.06885))+0-0-0</f>
        <v>426.25116800000001</v>
      </c>
      <c r="K217" s="3">
        <f>327.7+(132.6-47)+(-0.668508+(-0.270504--0.09588))+0-0-0</f>
        <v>412.45686799999993</v>
      </c>
      <c r="L217" s="3">
        <f>327.1+(134.6-40)+(0+(0-0))+0-0-0</f>
        <v>421.70000000000005</v>
      </c>
      <c r="M217" s="3">
        <f>327.4+(151.4-38)+(0+(0-0))+0-0-0</f>
        <v>440.79999999999995</v>
      </c>
      <c r="N217" s="3">
        <f>327.6+(169.1-41)+(0.334152+(0.172482-0.04182))+0-0-0</f>
        <v>456.16481400000004</v>
      </c>
      <c r="O217" s="3">
        <f>324.7+(179.6-40)+(0.165597+(0.091596-0.0204))+0-0-0</f>
        <v>464.53679299999993</v>
      </c>
      <c r="P217" s="3">
        <f>324.3+(192.4-37)+(-0.330786+(-0.196248--0.03774))+0-0-0</f>
        <v>479.21070600000007</v>
      </c>
      <c r="Q217" s="3">
        <f>322.2+(208.1-39)+(-0.492966+(-0.318393--0.05967))+0-0-0</f>
        <v>490.54831099999996</v>
      </c>
      <c r="R217" s="3">
        <f>320.8+(227.4-38)+(-0.981648+(-0.695844--0.11628))+0-0-0</f>
        <v>508.63878800000003</v>
      </c>
      <c r="S217" s="3">
        <f>331.1+(204-33)+(0+(0-0))+0-0-0</f>
        <v>502.1</v>
      </c>
      <c r="T217" s="3">
        <f>339+(191.3-42)+(-0.17289+(-0.097563--0.02142))+0-0-0</f>
        <v>488.05096700000001</v>
      </c>
      <c r="U217" s="3">
        <f>337.6+(176.3-39)+(0+(0-0))+0-0-0</f>
        <v>474.90000000000003</v>
      </c>
      <c r="V217" s="3">
        <f>331.1+(174.7-39)+(-0.675444+(-0.356388--0.07956))+0-0-0</f>
        <v>465.84772800000002</v>
      </c>
      <c r="W217" s="3">
        <f>319.2+(270.2-48)+(-0.325584+(-0.275604--0.04896))+0-0-0</f>
        <v>540.84777199999996</v>
      </c>
      <c r="X217" s="3">
        <f>387.6+(249.9-50)+(-0.197676+(-0.127449--0.0255))+0-0-0</f>
        <v>587.20037500000001</v>
      </c>
      <c r="Y217" s="3">
        <f>405+(249.7-47)+(-0.4131+(-0.254694--0.04794))+0-0-0</f>
        <v>607.08014600000001</v>
      </c>
      <c r="Z217" s="3">
        <f>338.3+(311.7-48)+(-0.862665+(-0.794835--0.1224))+0-0-0</f>
        <v>600.46489999999994</v>
      </c>
      <c r="AA217" s="3">
        <f>324.7+(310.2-45)+(-0.662388+(-0.632808--0.0918))+0-0-0</f>
        <v>588.69660399999998</v>
      </c>
      <c r="AB217" s="3">
        <f>325.6+(287.6-41)+(-0.498168+(-0.440028--0.06273))+0-0-0</f>
        <v>571.32453400000009</v>
      </c>
      <c r="AC217" s="3">
        <f>326.4+(249.5-40)+(-0.332928+(-0.25449--0.0408))+0-0-0</f>
        <v>535.35338200000001</v>
      </c>
      <c r="AD217" s="2">
        <v>620</v>
      </c>
      <c r="AE217" s="3">
        <v>5157.6000000000004</v>
      </c>
    </row>
    <row r="218" spans="1:31" s="2" customFormat="1" x14ac:dyDescent="0.3">
      <c r="A218">
        <v>91</v>
      </c>
      <c r="B218">
        <v>8</v>
      </c>
      <c r="C218">
        <v>2</v>
      </c>
      <c r="D218">
        <v>4</v>
      </c>
      <c r="E218">
        <v>1</v>
      </c>
      <c r="F218" s="3">
        <f>332.9+(207.4-40)+(-0.169779+(-0.105774--0.0204))+0-0-0</f>
        <v>500.04484699999995</v>
      </c>
      <c r="G218" s="3">
        <f>332.9+(176.3-38)+(0.169779+(0.089913-0.01938))+0-0-0</f>
        <v>471.44031200000001</v>
      </c>
      <c r="H218" s="3">
        <f>333.1+(154.8-37)+(0+(0-0))+0-0-0</f>
        <v>450.90000000000003</v>
      </c>
      <c r="I218" s="3">
        <f>333.5+(136.3-36)+(0.68034+(0.278052-0.07344))+0-0-0</f>
        <v>434.68495200000001</v>
      </c>
      <c r="J218" s="3">
        <f>334.1+(131.1-40)+(0.170391+(0.066861-0.0204))+0-0-0</f>
        <v>425.41685200000006</v>
      </c>
      <c r="K218" s="3">
        <f>332.9+(126.2-42)+(0.339558+(0.128724-0.04284))+0-0-0</f>
        <v>417.52544199999994</v>
      </c>
      <c r="L218" s="3">
        <f>330.7+(123.4-39)+(-0.337314+(-0.125868--0.03978))+0-0-0</f>
        <v>414.67659800000001</v>
      </c>
      <c r="M218" s="3">
        <f>333.9+(136-34)+(0.851445+(0.3468-0.0867))+0-0-0</f>
        <v>437.01154499999996</v>
      </c>
      <c r="N218" s="3">
        <f>331.2+(154.2-34)+(-0.337824+(-0.157284--0.03468))+0-0-0</f>
        <v>450.939572</v>
      </c>
      <c r="O218" s="3">
        <f>329.3+(163-34)+(-0.167943+(-0.08313--0.01734))+0-0-0</f>
        <v>458.06626700000004</v>
      </c>
      <c r="P218" s="3">
        <f>317.6+(192.2-35)+(0+(0-0))+0-0-0</f>
        <v>474.8</v>
      </c>
      <c r="Q218" s="3">
        <f>321.2+(202.1-34)+(0.163812+(0.103071-0.01734))+0-0-0</f>
        <v>489.54954299999997</v>
      </c>
      <c r="R218" s="3">
        <f>323.8+(220-39)+(-0.330276+(-0.2244--0.03978))+0-0-0</f>
        <v>504.28510399999999</v>
      </c>
      <c r="S218" s="3">
        <f>322.7+(211.4-38)+(-0.329154+(-0.215628--0.03876))+0-0-0</f>
        <v>495.59397800000005</v>
      </c>
      <c r="T218" s="3">
        <f>322.4+(198.8-38)+(0.328848+(0.202776-0.03876))+0-0-0</f>
        <v>483.69286399999999</v>
      </c>
      <c r="U218" s="3">
        <f>321.4+(179.2-38)+(-0.491742+(-0.274176--0.05814))+0-0-0</f>
        <v>461.89222199999995</v>
      </c>
      <c r="V218" s="3">
        <f>322+(177.6-43)+(-0.32844+(-0.181152--0.04386))+0-0-0</f>
        <v>456.13426800000002</v>
      </c>
      <c r="W218" s="3">
        <f>377.5+(209.5-53)+(0+(0-0))+0-0-0</f>
        <v>534</v>
      </c>
      <c r="X218" s="3">
        <f>393.5+(242.7-47)+(-0.80274+(-0.495108--0.09588))+0-0-0</f>
        <v>587.99803200000008</v>
      </c>
      <c r="Y218" s="3">
        <f>398.3+(256.5-51)+(-1.015665+(-0.654075--0.13005))+0-0-0</f>
        <v>602.26031</v>
      </c>
      <c r="Z218" s="3">
        <f>401.8+(245.5-48)+(-0.204918+(-0.125205--0.02448))+0-0-0</f>
        <v>598.99435699999992</v>
      </c>
      <c r="AA218" s="3">
        <f>401.8+(234-43)+(-0.819672+(-0.47736--0.08772))+0-0-0</f>
        <v>591.590688</v>
      </c>
      <c r="AB218" s="3">
        <f>402.8+(194.6-43)+(-0.205428+(-0.099246--0.02193))+0-0-0</f>
        <v>554.117256</v>
      </c>
      <c r="AC218" s="3">
        <f>402.4+(165.5-40)+(-1.231344+(-0.50643--0.1224))+0-0-0</f>
        <v>526.284626</v>
      </c>
      <c r="AD218" s="2">
        <v>619.9</v>
      </c>
      <c r="AE218" s="3">
        <v>5257.4</v>
      </c>
    </row>
    <row r="219" spans="1:31" s="2" customFormat="1" x14ac:dyDescent="0.3">
      <c r="A219">
        <v>91</v>
      </c>
      <c r="B219">
        <v>8</v>
      </c>
      <c r="C219">
        <v>3</v>
      </c>
      <c r="D219">
        <v>5</v>
      </c>
      <c r="E219">
        <v>1</v>
      </c>
      <c r="F219" s="3">
        <f>404.2+(125.5-41.4)+(-0.412284+(-0.12801--0.042228))+0-0-0</f>
        <v>487.80193399999996</v>
      </c>
      <c r="G219" s="3">
        <f>404.9+(103.4-46)+(-0.206499+(-0.052734--0.02346))+0-0-0</f>
        <v>462.06422699999996</v>
      </c>
      <c r="H219" s="3">
        <f>376.3+(105.1-43.8)+(0+(0-0))+0-0-0</f>
        <v>437.6</v>
      </c>
      <c r="I219" s="3">
        <f>329.8+(145.4-39)+(0.504594+(0.222462-0.05967))+0-0-0</f>
        <v>436.86738600000007</v>
      </c>
      <c r="J219" s="3">
        <f>330.9+(138.1-40)+(-0.337518+(-0.140862--0.0408))+0-0-0</f>
        <v>428.56241999999997</v>
      </c>
      <c r="K219" s="3">
        <f>330.4+(134.6-42)+(-0.168504+(-0.068646--0.02142))+0-0-0</f>
        <v>422.78426999999999</v>
      </c>
      <c r="L219" s="3">
        <f>328+(133.2-44.1)+(-0.50184+(-0.203796--0.067473))+0-0-0</f>
        <v>416.461837</v>
      </c>
      <c r="M219" s="3">
        <f>327+(140.3-40)+(0.33354+(0.143106-0.0408))+0-0-0</f>
        <v>427.73584600000004</v>
      </c>
      <c r="N219" s="3">
        <f>319.2+(174.5-36)+(0+(0-0))+0-0-0</f>
        <v>457.7</v>
      </c>
      <c r="O219" s="3">
        <f>317.8+(180.3-38)+(-0.324156+(-0.183906--0.03876))+0-0-0</f>
        <v>459.630698</v>
      </c>
      <c r="P219" s="3">
        <f>327.1+(177.8-40)+(0+(0-0))+0-0-0</f>
        <v>464.90000000000003</v>
      </c>
      <c r="Q219" s="3">
        <f>325.5+(190.2-40)+(-0.498015+(-0.291006--0.0612))+0-0-0</f>
        <v>474.97217899999998</v>
      </c>
      <c r="R219" s="3">
        <f>322.6+(212.3-41)+(-0.658104+(-0.433092--0.08364))+0-0-0</f>
        <v>492.89244400000001</v>
      </c>
      <c r="S219" s="3">
        <f>320.3+(205.4-38)+(0.326706+(0.209508-0.03876))+0-0-0</f>
        <v>488.19745400000005</v>
      </c>
      <c r="T219" s="3">
        <f>389+(129-43)+(-0.19839+(-0.06579--0.02193))+0-0-0</f>
        <v>474.75774999999999</v>
      </c>
      <c r="U219" s="3">
        <f>389.5+(119-41)+(-0.39729+(-0.12138--0.04182))+0-0-0</f>
        <v>467.02314999999999</v>
      </c>
      <c r="V219" s="3">
        <f>389.6+(118.3-40.7)+(0+(0-0))+0-0-0</f>
        <v>467.20000000000005</v>
      </c>
      <c r="W219" s="3">
        <f>391.1+(193.4-49)+(-0.398922+(-0.197268--0.04998))+0-0-0</f>
        <v>534.95379000000003</v>
      </c>
      <c r="X219" s="3">
        <f>392.3+(230.3-48)+(-0.800292+(-0.469812--0.09792))+0-0-0</f>
        <v>573.42781600000001</v>
      </c>
      <c r="Y219" s="3">
        <f>395.7+(241.6-48)+(0+(0-0))+0-0-0</f>
        <v>589.29999999999995</v>
      </c>
      <c r="Z219" s="3">
        <f>396.2+(237.1-46)+(-0.404124+(-0.241842--0.04692))+0-0-0</f>
        <v>586.70095399999991</v>
      </c>
      <c r="AA219" s="3">
        <f>400+(222.3-43)+(-0.612+(-0.340119--0.06579))+0-0-0</f>
        <v>578.41367099999991</v>
      </c>
      <c r="AB219" s="3">
        <f>398.7+(197.7-44)+(-1.016685+(-0.504135--0.1122))+0-0-0</f>
        <v>550.99137999999994</v>
      </c>
      <c r="AC219" s="3">
        <f>399.3+(164.3-42)+(-0.407286+(-0.167586--0.04284))+0-0-0</f>
        <v>521.06796800000006</v>
      </c>
      <c r="AD219" s="2">
        <v>601</v>
      </c>
      <c r="AE219" s="3">
        <v>5106.8999999999996</v>
      </c>
    </row>
    <row r="220" spans="1:31" s="2" customFormat="1" x14ac:dyDescent="0.3">
      <c r="A220">
        <v>91</v>
      </c>
      <c r="B220">
        <v>8</v>
      </c>
      <c r="C220">
        <v>4</v>
      </c>
      <c r="D220">
        <v>6</v>
      </c>
      <c r="E220">
        <v>1</v>
      </c>
      <c r="F220" s="3">
        <f>375.4+(154.4-39)+(-0.765816+(-0.314976--0.07956))+0-0-0</f>
        <v>489.79876799999994</v>
      </c>
      <c r="G220" s="3">
        <f>327.7+(178.3-37)+(-0.334254+(-0.181866--0.03774))+0-0-0</f>
        <v>468.52161999999998</v>
      </c>
      <c r="H220" s="3">
        <f>327.3+(158.4-37)+(0.333846+(0.161568-0.03774))+0-0-0</f>
        <v>449.15767400000004</v>
      </c>
      <c r="I220" s="3">
        <f>328.3+(144.1-37)+(-0.837165+(-0.367455--0.09435))+0-0-0</f>
        <v>434.28972999999996</v>
      </c>
      <c r="J220" s="3">
        <f>331.4+(139.5-40.4)+(-0.84507+(-0.355725--0.10302))+0-0-0</f>
        <v>429.40222499999999</v>
      </c>
      <c r="K220" s="3">
        <f>331.6+(133.6-46.5)+(-0.507348+(-0.204408--0.071145))+0-0-0</f>
        <v>418.05938900000007</v>
      </c>
      <c r="L220" s="3">
        <f>329.1+(130.2-51.8)+(-0.503523+(-0.199206--0.079254))+0-0-0</f>
        <v>406.87652500000002</v>
      </c>
      <c r="M220" s="3">
        <f>328.3+(149.1-44.9)+(0.502299+(0.228123-0.068697))+0-0-0</f>
        <v>433.16172499999999</v>
      </c>
      <c r="N220" s="3">
        <f>346.8+(155.7-42)+(-0.176868+(-0.079407--0.02142))+0-0-0</f>
        <v>460.26514500000002</v>
      </c>
      <c r="O220" s="3">
        <f>369.3+(149.3-41)+(-0.376686+(-0.152286--0.04182))+0-0-0</f>
        <v>477.11284800000004</v>
      </c>
      <c r="P220" s="3">
        <f>381.3+(148.8-39.2)+(-0.194463+(-0.075888--0.019992))+0-0-0</f>
        <v>490.64964100000003</v>
      </c>
      <c r="Q220" s="3">
        <f>433.8+(118.5-48.2)+(-0.663714+(-0.181305--0.073746))+0-0-0</f>
        <v>503.32872700000001</v>
      </c>
      <c r="R220" s="3">
        <f>429.4+(130.3-47.1)+(-0.875976+(-0.265812--0.096084))+0-0-0</f>
        <v>511.55429600000002</v>
      </c>
      <c r="S220" s="3">
        <f>428.9+(119.9-49.1)+(-0.218739+(-0.061149--0.025041))+0-0-0</f>
        <v>499.445153</v>
      </c>
      <c r="T220" s="3">
        <f>427.3+(108.1-51.1)+(-0.653769+(-0.165393--0.078183))+0-0-0</f>
        <v>483.55902100000003</v>
      </c>
      <c r="U220" s="3">
        <f>428.7+(89.5-53.5)+(-0.437274+(-0.09129--0.05457))+0-0-0</f>
        <v>464.22600599999998</v>
      </c>
      <c r="V220" s="3">
        <f>434.8+(87.2-60.2)+(0+(0-0))+0-0-0</f>
        <v>461.8</v>
      </c>
      <c r="W220" s="3">
        <f>436.9+(151.4-44)+(-0.445638+(-0.154428--0.04488))+0-0-0</f>
        <v>543.74481399999991</v>
      </c>
      <c r="X220" s="3">
        <f>439.7+(197.7-47)+(-0.224247+(-0.100827--0.02397))+0-0-0</f>
        <v>590.09889599999997</v>
      </c>
      <c r="Y220" s="3">
        <f>440+(212.8-48)+(-0.8976+(-0.434112--0.09792))+0-0-0</f>
        <v>603.56620799999996</v>
      </c>
      <c r="Z220" s="3">
        <f>441.5+(215.1-47)+(-0.45033+(-0.219402--0.04794))+0-0-0</f>
        <v>608.978208</v>
      </c>
      <c r="AA220" s="3">
        <f>442.4+(208.1-44)+(-0.676872+(-0.318393--0.06732))+0-0-0</f>
        <v>605.57205499999998</v>
      </c>
      <c r="AB220" s="3">
        <f>437.2+(190.3-45)+(-0.668916+(-0.291159--0.06885))+0-0-0</f>
        <v>581.60877500000004</v>
      </c>
      <c r="AC220" s="3">
        <f>436.3+(156.7-45)+(-0.890052+(-0.319668--0.0918))+0-0-0</f>
        <v>546.88207999999997</v>
      </c>
      <c r="AD220" s="2">
        <v>633.9</v>
      </c>
      <c r="AE220" s="3">
        <v>4961.2</v>
      </c>
    </row>
    <row r="221" spans="1:31" s="2" customFormat="1" x14ac:dyDescent="0.3">
      <c r="A221">
        <v>91</v>
      </c>
      <c r="B221">
        <v>8</v>
      </c>
      <c r="C221">
        <v>5</v>
      </c>
      <c r="D221">
        <v>7</v>
      </c>
      <c r="E221">
        <v>3</v>
      </c>
      <c r="F221" s="3">
        <f>405.4+(156.9-40)+(-0.620262+(-0.240057--0.0612))+0-0-0</f>
        <v>521.50088099999994</v>
      </c>
      <c r="G221" s="3">
        <f>392.4+(135.7-40)+(-1.00062+(-0.346035--0.102))+0-0-0</f>
        <v>486.85534499999994</v>
      </c>
      <c r="H221" s="3">
        <f>398.3+(118.6-44.9)+(0+(0-0))+0-0-0</f>
        <v>472</v>
      </c>
      <c r="I221" s="3">
        <f>398.7+(107.4-49.7)+(-1.016685+(-0.27387--0.126735))+0-0-0</f>
        <v>455.23617999999999</v>
      </c>
      <c r="J221" s="3">
        <f>398.6+(110.7-56.1)+(0.203286+(0.056457-0.028611))+0-0-0</f>
        <v>453.43113200000005</v>
      </c>
      <c r="K221" s="3">
        <f>398.2+(119.2-53.3)+(0+(0-0))+0-0-0</f>
        <v>464.1</v>
      </c>
      <c r="L221" s="3">
        <f>380.8+(140-46.2)+(-0.388416+(-0.1428--0.047124))+0-0-0</f>
        <v>474.11590800000005</v>
      </c>
      <c r="M221" s="3">
        <f>352.7+(171-45)+(-0.359754+(-0.17442--0.0459))+0-0-0</f>
        <v>478.211726</v>
      </c>
      <c r="N221" s="3">
        <f>351.5+(130.4-45.9)+(0.35853+(0.133008-0.046818))+0-0-0</f>
        <v>436.44472000000002</v>
      </c>
      <c r="O221" s="3">
        <f>350.9+(136.7-47.2)+(0.178959+(0.069717-0.024072))+0-0-0</f>
        <v>440.62460399999998</v>
      </c>
      <c r="P221" s="3">
        <f>349.2+(145.8-43.5)+(-0.712368+(-0.297432--0.08874))+0-0-0</f>
        <v>450.57893999999999</v>
      </c>
      <c r="Q221" s="3">
        <f>348.2+(159.8-43)+(-0.177582+(-0.081498--0.02193))+0-0-0</f>
        <v>464.76285000000001</v>
      </c>
      <c r="R221" s="3">
        <f>345.2+(183.9-41)+(-0.528156+(-0.281367--0.06273))+0-0-0</f>
        <v>487.353207</v>
      </c>
      <c r="S221" s="3">
        <f>327.4+(202.7-39)+(-0.667896+(-0.413508--0.07956))+0-0-0</f>
        <v>490.09815599999996</v>
      </c>
      <c r="T221" s="3">
        <f>314.6+(208.5-42)+(-0.641784+(-0.42534--0.08568))+0-0-0</f>
        <v>480.11855600000001</v>
      </c>
      <c r="U221" s="3">
        <f>313.6+(193.5-40)+(-0.319872+(-0.19737--0.0408))+0-0-0</f>
        <v>466.623558</v>
      </c>
      <c r="V221" s="3">
        <f>317.8+(174.4-41)+(-0.162078+(-0.088944--0.02091))+0-0-0</f>
        <v>450.96988800000003</v>
      </c>
      <c r="W221" s="3">
        <f>333.7+(239.2-48)+(-0.510561+(-0.365976--0.07344))+0-0-0</f>
        <v>524.096903</v>
      </c>
      <c r="X221" s="3">
        <f>385.7+(227-49)+(-0.196707+(-0.11577--0.02499))+0-0-0</f>
        <v>563.41251299999999</v>
      </c>
      <c r="Y221" s="3">
        <f>386.9+(242.1-51)+(-0.789276+(-0.493884--0.10404))+0-0-0</f>
        <v>576.82087999999999</v>
      </c>
      <c r="Z221" s="3">
        <f>351.3+(291.1-45)+(0+(0-0))+0-0-0</f>
        <v>597.40000000000009</v>
      </c>
      <c r="AA221" s="3">
        <f>390+(240.6-46)+(0+(0-0))+0-0-0</f>
        <v>584.6</v>
      </c>
      <c r="AB221" s="3">
        <f>401.8+(204.6-45)+(-0.204918+(-0.104346--0.02295))+0-0-0</f>
        <v>561.11368600000003</v>
      </c>
      <c r="AC221" s="3">
        <f>400.5+(162.9-43)+(-0.612765+(-0.249237--0.06579))+0-0-0</f>
        <v>519.60378800000001</v>
      </c>
      <c r="AD221" s="2">
        <v>601.79999999999995</v>
      </c>
      <c r="AE221" s="3">
        <v>4078.4999999999995</v>
      </c>
    </row>
    <row r="222" spans="1:31" s="2" customFormat="1" x14ac:dyDescent="0.3">
      <c r="A222">
        <v>91</v>
      </c>
      <c r="B222">
        <v>8</v>
      </c>
      <c r="C222">
        <v>6</v>
      </c>
      <c r="D222">
        <v>1</v>
      </c>
      <c r="E222">
        <v>1</v>
      </c>
      <c r="F222" s="3">
        <f>377.5+(153.6-35)+(-0.38505+(-0.156672--0.0357))+0-0-0</f>
        <v>495.59397800000005</v>
      </c>
      <c r="G222" s="3">
        <f>350.2+(151.7-34)+(-0.357204+(-0.154734--0.03468))+0-0-0</f>
        <v>467.42274199999997</v>
      </c>
      <c r="H222" s="3">
        <f>352.7+(127.3-33)+(0.179877+(0.064923-0.01683))+0-0-0</f>
        <v>447.22797000000003</v>
      </c>
      <c r="I222" s="3">
        <f>353.1+(114.2-35)+(-0.540243+(-0.174726--0.05355))+0-0-0</f>
        <v>431.63858099999999</v>
      </c>
      <c r="J222" s="3">
        <f>351.2+(106.4-39.1)+(-0.179112+(-0.054264--0.019941))+0-0-0</f>
        <v>418.286565</v>
      </c>
      <c r="K222" s="3">
        <f>350.4+(101.9-47.2)+(-0.714816+(-0.207876--0.096288))+0-0-0</f>
        <v>404.27359599999994</v>
      </c>
      <c r="L222" s="3">
        <f>349.7+(91.5-39.9)+(-0.178347+(-0.046665--0.020349))+0-0-0</f>
        <v>401.09533700000003</v>
      </c>
      <c r="M222" s="3">
        <f>348.4+(104.4-35.9)+(0+(0-0))+0-0-0</f>
        <v>416.9</v>
      </c>
      <c r="N222" s="3">
        <f>347.4+(121.8-32)+(0+(0-0))+0-0-0</f>
        <v>437.2</v>
      </c>
      <c r="O222" s="3">
        <f>346.6+(140.1-37)+(-0.707064+(-0.285804--0.07548))+0-0-0</f>
        <v>448.78261200000003</v>
      </c>
      <c r="P222" s="3">
        <f>342.3+(162.2-40)+(0.698292+(0.330888-0.0816))+0-0-0</f>
        <v>465.44758000000002</v>
      </c>
      <c r="Q222" s="3">
        <f>339.3+(182.4-43)+(0.173043+(0.093024-0.02193))+0-0-0</f>
        <v>478.94413700000007</v>
      </c>
      <c r="R222" s="3">
        <f>336.5+(208.8-39)+(-0.858075+(-0.53244--0.09945))+0-0-0</f>
        <v>505.00893500000001</v>
      </c>
      <c r="S222" s="3">
        <f>337.1+(208.6-42)+(0.343842+(0.212772-0.04284))+0-0-0</f>
        <v>504.21377400000006</v>
      </c>
      <c r="T222" s="3">
        <f>337.2+(191.4-37)+(0+(0-0))+0-0-0</f>
        <v>491.6</v>
      </c>
      <c r="U222" s="3">
        <f>338.3+(164.2-37)+(-0.345066+(-0.167484--0.03774))+0-0-0</f>
        <v>465.02519000000001</v>
      </c>
      <c r="V222" s="3">
        <f>342.9+(161.4-43)+(0.349758+(0.164628-0.04386))+0-0-0</f>
        <v>461.77052599999996</v>
      </c>
      <c r="W222" s="3">
        <f>344.9+(241.9-46)+(-0.527697+(-0.370107--0.07038))+0-0-0</f>
        <v>539.972576</v>
      </c>
      <c r="X222" s="3">
        <f>347.8+(284.6-46)+(-0.88689+(-0.72573--0.1173))+0-0-0</f>
        <v>584.9046800000001</v>
      </c>
      <c r="Y222" s="3">
        <f>347.5+(310.3-48)+(-0.886125+(-0.791265--0.1224))+0-0-0</f>
        <v>608.24500999999998</v>
      </c>
      <c r="Z222" s="3">
        <f>347+(308.7-48)+(-0.53091+(-0.472311--0.07344))+0-0-0</f>
        <v>606.770219</v>
      </c>
      <c r="AA222" s="3">
        <f>348+(300.6-46)+(-0.53244+(-0.459918--0.07038))+0-0-0</f>
        <v>601.67802200000006</v>
      </c>
      <c r="AB222" s="3">
        <f>349.2+(283.5-47)+(-0.356184+(-0.28917--0.04794))+0-0-0</f>
        <v>585.10258600000009</v>
      </c>
      <c r="AC222" s="3">
        <f>348+(247.9-44)+(-0.35496+(-0.252858--0.04488))+0-0-0</f>
        <v>551.33706199999995</v>
      </c>
      <c r="AD222" s="2">
        <v>609.9</v>
      </c>
      <c r="AE222" s="3">
        <v>5283.4</v>
      </c>
    </row>
    <row r="223" spans="1:31" s="2" customFormat="1" x14ac:dyDescent="0.3">
      <c r="A223">
        <v>91</v>
      </c>
      <c r="B223">
        <v>8</v>
      </c>
      <c r="C223">
        <v>7</v>
      </c>
      <c r="D223">
        <v>2</v>
      </c>
      <c r="E223">
        <v>1</v>
      </c>
      <c r="F223" s="3">
        <f>347.9+(209.5-42)+(0+(0-0))+0-0-0</f>
        <v>515.4</v>
      </c>
      <c r="G223" s="3">
        <f>347.8+(181.9-42)+(-0.532134+(-0.278307--0.06426))+0-0-0</f>
        <v>486.95381900000007</v>
      </c>
      <c r="H223" s="3">
        <f>348.5+(162-41)+(-0.888675+(-0.4131--0.10455))+0-0-0</f>
        <v>468.302775</v>
      </c>
      <c r="I223" s="3">
        <f>350.6+(148.1-40)+(0.178806+(0.075531-0.0204))+0-0-0</f>
        <v>458.93393700000007</v>
      </c>
      <c r="J223" s="3">
        <f>292.1+(189.3-40)+(0+(0-0))+0-0-0</f>
        <v>441.40000000000003</v>
      </c>
      <c r="K223" s="3">
        <f>272+(202.6-45)+(0+(0-0))+0-0-0</f>
        <v>429.6</v>
      </c>
      <c r="L223" s="3">
        <f>268.9+(189.7-45)+(0+(0-0))+0-0-0</f>
        <v>413.59999999999997</v>
      </c>
      <c r="M223" s="3">
        <f>272.3+(192.4-46)+(-0.277746+(-0.196248--0.04692))+0-0-0</f>
        <v>418.27292600000004</v>
      </c>
      <c r="N223" s="3">
        <f>273.8+(212.3-46)+(0.139638+(0.108273-0.02346))+0-0-0</f>
        <v>440.32445100000001</v>
      </c>
      <c r="O223" s="3">
        <f>306+(205.6-45)+(-0.62424+(-0.419424--0.0918))+0-0-0</f>
        <v>465.64813600000002</v>
      </c>
      <c r="P223" s="3">
        <f>344.9+(173.9-40)+(0+(0-0))+0-0-0</f>
        <v>478.79999999999995</v>
      </c>
      <c r="Q223" s="3">
        <f>341.4+(194.8-38)+(-0.87057+(-0.49674--0.0969))+0-0-0</f>
        <v>496.92958999999996</v>
      </c>
      <c r="R223" s="3">
        <f>337.3+(221.7-32)+(-0.516069+(-0.339201--0.04896))+0-0-0</f>
        <v>526.19368999999995</v>
      </c>
      <c r="S223" s="3">
        <f>336.6+(217.5-39)+(0.171666+(0.110925-0.01989))+0-0-0</f>
        <v>515.36270100000002</v>
      </c>
      <c r="T223" s="3">
        <f>335.2+(206.7-42)+(-0.341904+(-0.210834--0.04284))+0-0-0</f>
        <v>499.39010199999996</v>
      </c>
      <c r="U223" s="3">
        <f>341.2+(183.1-41)+(-0.174012+(-0.093381--0.02091))+0-0-0</f>
        <v>483.05351699999994</v>
      </c>
      <c r="V223" s="3">
        <f>347.3+(177.7-39)+(0.354246+(0.181254-0.03978))+0-0-0</f>
        <v>486.49572000000001</v>
      </c>
      <c r="W223" s="3">
        <f>349.9+(271.5-48)+(0+(0-0))+0-0-0</f>
        <v>573.4</v>
      </c>
      <c r="X223" s="3">
        <f>352.3+(293.4-47)+(-0.359346+(-0.299268--0.04794))+0-0-0</f>
        <v>598.08932600000003</v>
      </c>
      <c r="Y223" s="3">
        <f>353.4+(324-47)+(-0.540702+(-0.49572--0.07191))+0-0-0</f>
        <v>629.43548799999996</v>
      </c>
      <c r="Z223" s="3">
        <f>354.5+(320.2-46)+(-0.542385+(-0.489906--0.07038))+0-0-0</f>
        <v>627.73808900000006</v>
      </c>
      <c r="AA223" s="3">
        <f>354.1+(304.5-48)+(-0.361182+(-0.31059--0.04896))+0-0-0</f>
        <v>609.97718800000007</v>
      </c>
      <c r="AB223" s="3">
        <f>349.6+(275.1-43)+(-0.534888+(-0.420903--0.06579))+0-0-0</f>
        <v>580.80999900000006</v>
      </c>
      <c r="AC223" s="3">
        <f>349.5+(235.1-43)+(-0.891225+(-0.599505--0.10965))+0-0-0</f>
        <v>540.21892000000003</v>
      </c>
      <c r="AD223" s="2">
        <v>630.79999999999995</v>
      </c>
      <c r="AE223" s="3">
        <v>5167.5999999999995</v>
      </c>
    </row>
    <row r="224" spans="1:31" s="2" customFormat="1" x14ac:dyDescent="0.3">
      <c r="A224">
        <v>91</v>
      </c>
      <c r="B224">
        <v>8</v>
      </c>
      <c r="C224">
        <v>8</v>
      </c>
      <c r="D224">
        <v>3</v>
      </c>
      <c r="E224">
        <v>1</v>
      </c>
      <c r="F224" s="3">
        <f>319.5+(222.7-43)+(-0.162945+(-0.113577--0.02193))+0-0-0</f>
        <v>498.94540799999999</v>
      </c>
      <c r="G224" s="3">
        <f>283.9+(233.1-42)+(0+(0-0))+0-0-0</f>
        <v>475</v>
      </c>
      <c r="H224" s="3">
        <f>284.7+(212.9-42)+(0.435591+(0.325737-0.06426))+0-0-0</f>
        <v>456.29706800000002</v>
      </c>
      <c r="I224" s="3">
        <f>285.4+(197.3-41)+(0.291108+(0.201246-0.04182))+0-0-0</f>
        <v>442.15053399999999</v>
      </c>
      <c r="J224" s="3">
        <f>284.8+(189.4-40)+(0.290496+(0.193188-0.0408))+0-0-0</f>
        <v>434.64288400000004</v>
      </c>
      <c r="K224" s="3">
        <f>284.4+(175.5-41)+(-0.145044+(-0.089505--0.02091))+0-0-0</f>
        <v>418.68636099999998</v>
      </c>
      <c r="L224" s="3">
        <f>283+(167.6-39)+(-0.14433+(-0.085476--0.01989))+0-0-0</f>
        <v>411.390084</v>
      </c>
      <c r="M224" s="3">
        <f>283.6+(180.1-41)+(-0.578544+(-0.367404--0.08364))+0-0-0</f>
        <v>421.83769200000006</v>
      </c>
      <c r="N224" s="3">
        <f>281+(206.7-40)+(0.42993+(0.316251-0.0612))+0-0-0</f>
        <v>448.38498099999998</v>
      </c>
      <c r="O224" s="3">
        <f>281.7+(226.8-42)+(-0.574668+(-0.462672--0.08568))+0-0-0</f>
        <v>465.54834</v>
      </c>
      <c r="P224" s="3">
        <f>280.4+(242-41)+(0+(0-0))+0-0-0</f>
        <v>481.4</v>
      </c>
      <c r="Q224" s="3">
        <f>278.9+(261-40)+(-0.142239+(-0.13311--0.0204))+0-0-0</f>
        <v>499.64505099999997</v>
      </c>
      <c r="R224" s="3">
        <f>285.2+(276.7-43)+(-0.581808+(-0.564468--0.08772))+0-0-0</f>
        <v>517.84144400000002</v>
      </c>
      <c r="S224" s="3">
        <f>293+(266.5-41)+(-0.29886+(-0.27183--0.04182))+0-0-0</f>
        <v>517.97113000000002</v>
      </c>
      <c r="T224" s="3">
        <f>292.6+(248.3-38)+(-0.149226+(-0.126633--0.01938))+0-0-0</f>
        <v>502.64352100000002</v>
      </c>
      <c r="U224" s="3">
        <f>294.9+(226.2-39)+(-0.451197+(-0.346086--0.05967))+0-0-0</f>
        <v>481.36238699999996</v>
      </c>
      <c r="V224" s="3">
        <f>302.4+(216.7-44)+(-1.079568+(-0.773619--0.15708))+0-0-0</f>
        <v>473.40389299999998</v>
      </c>
      <c r="W224" s="3">
        <f>339.6+(253.5-49)+(-0.346392+(-0.25857--0.04998))+0-0-0</f>
        <v>543.54501800000003</v>
      </c>
      <c r="X224" s="3">
        <f>367.2+(275.5-49)+(-0.93636+(-0.702525--0.12495))+0-0-0</f>
        <v>592.1860650000001</v>
      </c>
      <c r="Y224" s="3">
        <f>368.4+(300.4-49)+(-0.187884+(-0.153204--0.02499))+0-0-0</f>
        <v>619.48390199999994</v>
      </c>
      <c r="Z224" s="3">
        <f>368.1+(277.8-48)+(-1.314117+(-0.991746--0.17136))+0-0-0</f>
        <v>595.7654970000001</v>
      </c>
      <c r="AA224" s="3">
        <f>368.4+(268-45)+(-0.751536+(-0.54672--0.0918))+0-0-0</f>
        <v>590.19354399999997</v>
      </c>
      <c r="AB224" s="3">
        <f>361.9+(228.6-39)+(-0.922845+(-0.58293--0.09945))+0-0-0</f>
        <v>550.09367499999996</v>
      </c>
      <c r="AC224" s="3">
        <f>364+(185.4-37)+(-0.9282+(-0.47277--0.09435))+0-0-0</f>
        <v>511.09337999999997</v>
      </c>
      <c r="AD224" s="2">
        <v>620.5</v>
      </c>
      <c r="AE224" s="3">
        <v>5264.5</v>
      </c>
    </row>
    <row r="225" spans="1:31" s="2" customFormat="1" x14ac:dyDescent="0.3">
      <c r="A225">
        <v>91</v>
      </c>
      <c r="B225">
        <v>8</v>
      </c>
      <c r="C225">
        <v>9</v>
      </c>
      <c r="D225">
        <v>4</v>
      </c>
      <c r="E225">
        <v>1</v>
      </c>
      <c r="F225" s="3">
        <f>354.9+(159.8-37)+(-0.723996+(-0.325992--0.07548))+0-0-0</f>
        <v>476.72549199999997</v>
      </c>
      <c r="G225" s="3">
        <f>350.5+(134.3-36)+(-0.71502+(-0.273972--0.07344))+0-0-0</f>
        <v>447.88444800000002</v>
      </c>
      <c r="H225" s="3">
        <f>350.6+(115.5-36)+(-0.357612+(-0.11781--0.03672))+0-0-0</f>
        <v>429.66129800000004</v>
      </c>
      <c r="I225" s="3">
        <f>289.1+(158.4-36)+(-0.294882+(-0.161568--0.03672))+0-0-0</f>
        <v>411.08026999999998</v>
      </c>
      <c r="J225" s="3">
        <f>289.1+(156.2-36)+(0.294882+(0.159324-0.03672))+0-0-0</f>
        <v>409.71748600000001</v>
      </c>
      <c r="K225" s="3">
        <f>288.3+(150.8-38)+(0.294066+(0.153816-0.03876))+0-0-0</f>
        <v>401.50912200000005</v>
      </c>
      <c r="L225" s="3">
        <f>286.2+(125.2-46)+(0+(0-0))+0-0-0</f>
        <v>365.4</v>
      </c>
      <c r="M225" s="3">
        <f>283.3+(167.3-44)+(0.288966+(0.170646-0.04488))+0-0-0</f>
        <v>407.01473200000004</v>
      </c>
      <c r="N225" s="3">
        <f>282.4+(188.1-42)+(-0.432072+(-0.287793--0.06426))+0-0-0</f>
        <v>427.84439500000002</v>
      </c>
      <c r="O225" s="3">
        <f>296.8+(191.9-42)+(0.454104+(0.293607-0.06426))+0-0-0</f>
        <v>447.38345100000004</v>
      </c>
      <c r="P225" s="3">
        <f>298+(207.2-48)+(-0.15198+(-0.105672--0.02448))+0-0-0</f>
        <v>456.96682799999996</v>
      </c>
      <c r="Q225" s="3">
        <f>295.8+(216.3-49)+(0+(0-0))+0-0-0</f>
        <v>463.1</v>
      </c>
      <c r="R225" s="3">
        <f>299.9+(233.4-50)+(-0.458847+(-0.357102--0.0765))+0-0-0</f>
        <v>482.56055099999998</v>
      </c>
      <c r="S225" s="3">
        <f>299.8+(229.1-40)+(0+(0-0))+0-0-0</f>
        <v>488.9</v>
      </c>
      <c r="T225" s="3">
        <f>299.8+(216.1-43)+(-0.305796+(-0.220422--0.04386))+0-0-0</f>
        <v>472.417642</v>
      </c>
      <c r="U225" s="3">
        <f>301.4+(194.3-42)+(-0.461142+(-0.297279--0.06426))+0-0-0</f>
        <v>453.00583899999998</v>
      </c>
      <c r="V225" s="3">
        <f>303.3+(206-40)+(-0.309366+(-0.21012--0.0408))+0-0-0</f>
        <v>468.82131400000003</v>
      </c>
      <c r="W225" s="3">
        <f>306.3+(267-47)+(0.312426+(0.27234-0.04794))+0-0-0</f>
        <v>526.83682599999997</v>
      </c>
      <c r="X225" s="3">
        <f>370+(238.4-45)+(-0.3774+(-0.243168--0.0459))+0-0-0</f>
        <v>562.825332</v>
      </c>
      <c r="Y225" s="3">
        <f>372.5+(240.1-45)+(-0.949875+(-0.612255--0.11475))+0-0-0</f>
        <v>566.15262000000007</v>
      </c>
      <c r="Z225" s="3">
        <f>373.8+(224.1-44)+(0.381276+(0.228582-0.04488))+0-0-0</f>
        <v>554.46497799999997</v>
      </c>
      <c r="AA225" s="3">
        <f>355.8+(228.9-41)+(-0.90729+(-0.583695--0.10455))+0-0-0</f>
        <v>542.31356500000004</v>
      </c>
      <c r="AB225" s="3">
        <f>353.5+(209.3-35)+(-0.180285+(-0.106743--0.01785))+0-0-0</f>
        <v>527.53082199999994</v>
      </c>
      <c r="AC225" s="3">
        <f>328.4+(186.8-34)+(-0.167484+(-0.095268--0.01734))+0-0-0</f>
        <v>480.954588</v>
      </c>
      <c r="AD225" s="2">
        <v>578.1</v>
      </c>
      <c r="AE225" s="3">
        <v>5266</v>
      </c>
    </row>
    <row r="226" spans="1:31" s="2" customFormat="1" x14ac:dyDescent="0.3">
      <c r="A226">
        <v>91</v>
      </c>
      <c r="B226">
        <v>8</v>
      </c>
      <c r="C226">
        <v>10</v>
      </c>
      <c r="D226">
        <v>5</v>
      </c>
      <c r="E226">
        <v>1</v>
      </c>
      <c r="F226" s="3">
        <f>299.3+(196.7-35)+(-0.763215+(-0.501585--0.08925))+0-0-0</f>
        <v>459.82445000000001</v>
      </c>
      <c r="G226" s="3">
        <f>299.3+(177.8-35)+(-0.152643+(-0.090678--0.01785))+0-0-0</f>
        <v>441.874529</v>
      </c>
      <c r="H226" s="3">
        <f>299.3+(159.3-35)+(-0.610572+(-0.324972--0.0714))+0-0-0</f>
        <v>422.73585600000001</v>
      </c>
      <c r="I226" s="3">
        <f>299.4+(142.8-35)+(-0.305388+(-0.145656--0.0357))+0-0-0</f>
        <v>406.78465599999998</v>
      </c>
      <c r="J226" s="3">
        <f>299.5+(135.5-36)+(0.763725+(0.345525-0.0918))+0-0-0</f>
        <v>400.01745</v>
      </c>
      <c r="K226" s="3">
        <f>299.5+(130-40)+(0.30549+(0.1326-0.0408))+0-0-0</f>
        <v>389.89729</v>
      </c>
      <c r="L226" s="3">
        <f>299+(119.4-39)+(-0.15249+(-0.060894--0.01989))+0-0-0</f>
        <v>379.20650599999999</v>
      </c>
      <c r="M226" s="3">
        <f>303.7+(132.8-38)+(-0.464661+(-0.203184--0.05814))+0-0-0</f>
        <v>397.89029499999998</v>
      </c>
      <c r="N226" s="3">
        <f>313.9+(149.7-37)+(-0.800445+(-0.381735--0.09435))+0-0-0</f>
        <v>425.51216999999997</v>
      </c>
      <c r="O226" s="3">
        <f>312.4+(174.2-34)+(0.477972+(0.266526-0.05202))+0-0-0</f>
        <v>453.29247799999996</v>
      </c>
      <c r="P226" s="3">
        <f>311.6+(188.9-34)+(0.317832+(0.192678-0.03468))+0-0-0</f>
        <v>466.97582999999997</v>
      </c>
      <c r="Q226" s="3">
        <f>310.4+(200.2-34)+(0+(0-0))+0-0-0</f>
        <v>476.59999999999997</v>
      </c>
      <c r="R226" s="3">
        <f>312.2+(216.6-35)+(-0.477666+(-0.331398--0.05355))+0-0-0</f>
        <v>493.04448599999995</v>
      </c>
      <c r="S226" s="3">
        <f>357.4+(166.3-39)+(-0.729096+(-0.339252--0.07956))+0-0-0</f>
        <v>483.71121199999999</v>
      </c>
      <c r="T226" s="3">
        <f>355.1+(152.1-39)+(-0.181101+(-0.077571--0.01989))+0-0-0</f>
        <v>467.96121800000003</v>
      </c>
      <c r="U226" s="3">
        <f>356.7+(133.8-40)+(-0.909585+(-0.34119--0.102))+0-0-0</f>
        <v>449.351225</v>
      </c>
      <c r="V226" s="3">
        <f>359.1+(143-43)+(-0.732564+(-0.29172--0.08772))+0-0-0</f>
        <v>458.16343600000005</v>
      </c>
      <c r="W226" s="3">
        <f>361.7+(206.9-45)+(-0.184467+(-0.105519--0.02295))+0-0-0</f>
        <v>523.33296400000006</v>
      </c>
      <c r="X226" s="3">
        <f>364.9+(236.1-47)+(-0.372198+(-0.240822--0.04794))+0-0-0</f>
        <v>553.43492000000003</v>
      </c>
      <c r="Y226" s="3">
        <f>364.3+(249.3-45)+(-1.114758+(-0.762858--0.1377))+0-0-0</f>
        <v>566.86008400000003</v>
      </c>
      <c r="Z226" s="3">
        <f>363.8+(244.8-43)+(-1.113228+(-0.749088--0.13158))+0-0-0</f>
        <v>563.86926400000004</v>
      </c>
      <c r="AA226" s="3">
        <f>357.6+(236.5-41)+(-0.182376+(-0.120615--0.02091))+0-0-0</f>
        <v>552.81791900000007</v>
      </c>
      <c r="AB226" s="3">
        <f>346.7+(220-41)+(-0.707268+(-0.4488--0.08364))+0-0-0</f>
        <v>524.6275720000001</v>
      </c>
      <c r="AC226" s="3">
        <f>345.4+(188.2-40)+(-0.704616+(-0.383928--0.0816))+0-0-0</f>
        <v>492.59305599999999</v>
      </c>
      <c r="AD226" s="2">
        <v>580.6</v>
      </c>
      <c r="AE226" s="3">
        <v>5356.1</v>
      </c>
    </row>
    <row r="227" spans="1:31" s="2" customFormat="1" x14ac:dyDescent="0.3">
      <c r="A227">
        <v>91</v>
      </c>
      <c r="B227">
        <v>8</v>
      </c>
      <c r="C227">
        <v>11</v>
      </c>
      <c r="D227">
        <v>6</v>
      </c>
      <c r="E227">
        <v>1</v>
      </c>
      <c r="F227" s="3">
        <f>348.5+(155-39)+(-0.177735+(-0.07905--0.01989))+0-0-0</f>
        <v>464.263105</v>
      </c>
      <c r="G227" s="3">
        <f>236.3+(243.5-38)+(0+(0-0))+0-0-0</f>
        <v>441.8</v>
      </c>
      <c r="H227" s="3">
        <f>219.7+(234.3-36)+(0.224094+(0.238986-0.03672))+0-0-0</f>
        <v>418.42635999999999</v>
      </c>
      <c r="I227" s="3">
        <f>227.1+(215.5-36)+(0.463284+(0.43962-0.07344))+0-0-0</f>
        <v>407.429464</v>
      </c>
      <c r="J227" s="3">
        <f>275.7+(163.3-38)+(0+(0-0))+0-0-0</f>
        <v>401</v>
      </c>
      <c r="K227" s="3">
        <f>277.1+(159-40)+(0.423963+(0.24327-0.0612))+0-0-0</f>
        <v>396.70603300000005</v>
      </c>
      <c r="L227" s="3">
        <f>292+(157.4-41)+(-0.7446+(-0.40137--0.10455))+0-0-0</f>
        <v>407.35857999999996</v>
      </c>
      <c r="M227" s="3">
        <f>277.6+(176.7-39)+(0.283152+(0.180234-0.03978))+0-0-0</f>
        <v>415.72360600000002</v>
      </c>
      <c r="N227" s="3">
        <f>327.4+(140.1-37)+(0+(0-0))+0-0-0</f>
        <v>430.5</v>
      </c>
      <c r="O227" s="3">
        <f>353.2+(135.4-35)+(0+(0-0))+0-0-0</f>
        <v>453.6</v>
      </c>
      <c r="P227" s="3">
        <f>351.1+(155-39)+(0.179061+(0.07905-0.01989))+0-0-0</f>
        <v>467.33822100000003</v>
      </c>
      <c r="Q227" s="3">
        <f>349.8+(167.8-40)+(-0.535194+(-0.256734--0.0612))+0-0-0</f>
        <v>476.86927200000002</v>
      </c>
      <c r="R227" s="3">
        <f>368+(184.5-42)+(-0.9384+(-0.470475--0.1071))+0-0-0</f>
        <v>509.19822499999998</v>
      </c>
      <c r="S227" s="3">
        <f>367+(172-42)+(-0.56151+(-0.26316--0.06426))+0-0-0</f>
        <v>496.23959000000002</v>
      </c>
      <c r="T227" s="3">
        <f>339+(181.2-42)+(0.69156+(0.369648-0.08568))+0-0-0</f>
        <v>479.17552799999999</v>
      </c>
      <c r="U227" s="3">
        <f>304+(211.5-42)+(-0.46512+(-0.323595--0.06426))+0-0-0</f>
        <v>472.77554500000002</v>
      </c>
      <c r="V227" s="3">
        <f>309+(211.7-46)+(0.47277+(0.323901-0.07038))+0-0-0</f>
        <v>475.42629099999999</v>
      </c>
      <c r="W227" s="3">
        <f>359+(237.9-48)+(-0.18309+(-0.121329--0.02448))+0-0-0</f>
        <v>548.62006099999996</v>
      </c>
      <c r="X227" s="3">
        <f>374+(253.8-51)+(-0.76296+(-0.517752--0.10404))+0-0-0</f>
        <v>575.6233279999999</v>
      </c>
      <c r="Y227" s="3">
        <f>374+(259.8-50)+(0.19074+(0.132498-0.0255))+0-0-0</f>
        <v>584.09773799999994</v>
      </c>
      <c r="Z227" s="3">
        <f>373+(255-47)+(-0.57069+(-0.39015--0.07191))+0-0-0</f>
        <v>580.11107000000004</v>
      </c>
      <c r="AA227" s="3">
        <f>373+(241.5-45)+(-0.76092+(-0.49266--0.0918))+0-0-0</f>
        <v>568.33821999999998</v>
      </c>
      <c r="AB227" s="3">
        <f>371+(217.7-43)+(-0.37842+(-0.222054--0.04386))+0-0-0</f>
        <v>545.14338600000008</v>
      </c>
      <c r="AC227" s="3">
        <f>371+(189.9-41)+(-0.56763+(-0.290547--0.06273))+0-0-0</f>
        <v>519.10455300000001</v>
      </c>
      <c r="AD227" s="2">
        <v>574.1</v>
      </c>
      <c r="AE227" s="3">
        <v>4925.6000000000004</v>
      </c>
    </row>
    <row r="228" spans="1:31" s="2" customFormat="1" x14ac:dyDescent="0.3">
      <c r="A228">
        <v>91</v>
      </c>
      <c r="B228">
        <v>8</v>
      </c>
      <c r="C228">
        <v>12</v>
      </c>
      <c r="D228">
        <v>7</v>
      </c>
      <c r="E228">
        <v>1</v>
      </c>
      <c r="F228" s="3">
        <f>353.3+(157.2-41)+(-0.900915+(-0.40086--0.10455))+0-0-0</f>
        <v>468.302775</v>
      </c>
      <c r="G228" s="3">
        <f>354.2+(129.5-40)+(0+(0-0))+0-0-0</f>
        <v>443.7</v>
      </c>
      <c r="H228" s="3">
        <f>354+(110.4-40)+(-0.9027+(-0.28152--0.102))+0-0-0</f>
        <v>423.31777999999997</v>
      </c>
      <c r="I228" s="3">
        <f>354.1+(95-39)+(-0.541773+(-0.14535--0.05967))+0-0-0</f>
        <v>409.47254700000002</v>
      </c>
      <c r="J228" s="3">
        <f>354.8+(87.1-43.6)+(0+(0-0))+0-0-0</f>
        <v>398.3</v>
      </c>
      <c r="K228" s="3">
        <f>354.7+(84.9-48.3)+(0.361794+(0.086598-0.049266))+0-0-0</f>
        <v>391.69912600000004</v>
      </c>
      <c r="L228" s="3">
        <f>313.4+(112.4-46)+(-1.118838+(-0.401268--0.16422))+0-0-0</f>
        <v>378.44411399999996</v>
      </c>
      <c r="M228" s="3">
        <f>288.7+(142.4-43)+(-0.441711+(-0.217872--0.06579))+0-0-0</f>
        <v>387.50620700000002</v>
      </c>
      <c r="N228" s="3">
        <f>287.5+(160.8-38)+(0+(0-0))+0-0-0</f>
        <v>410.3</v>
      </c>
      <c r="O228" s="3">
        <f>286.1+(181.3-38)+(0.291822+(0.184926-0.03876))+0-0-0</f>
        <v>429.83798800000005</v>
      </c>
      <c r="P228" s="3">
        <f>284.5+(202.8-40)+(-0.435285+(-0.310284--0.0612))+0-0-0</f>
        <v>446.61563100000001</v>
      </c>
      <c r="Q228" s="3">
        <f>281.6+(230-44)+(0.143616+(0.1173-0.02244))+0-0-0</f>
        <v>467.83847600000001</v>
      </c>
      <c r="R228" s="3">
        <f>279.3+(232.3-42)+(-0.427329+(-0.355419--0.06426))+0-0-0</f>
        <v>468.88151200000004</v>
      </c>
      <c r="S228" s="3">
        <f>279.3+(224.9-40)+(-0.142443+(-0.114699--0.0204))+0-0-0</f>
        <v>463.96325800000005</v>
      </c>
      <c r="T228" s="3">
        <f>277.1+(220.6-43)+(-0.565284+(-0.450024--0.08772))+0-0-0</f>
        <v>453.77241200000003</v>
      </c>
      <c r="U228" s="3">
        <f>277.3+(201.2-34)+(-0.282846+(-0.205224--0.03468))+0-0-0</f>
        <v>444.04660999999999</v>
      </c>
      <c r="V228" s="3">
        <f>281+(205.8-44)+(0+(0-0))+0-0-0</f>
        <v>442.8</v>
      </c>
      <c r="W228" s="3">
        <f>326.6+(232.6-52)+(-0.166566+(-0.118626--0.02652))+0-0-0</f>
        <v>506.94132800000006</v>
      </c>
      <c r="X228" s="3">
        <f>373.3+(218.3-50)+(-0.951915+(-0.556665--0.1275))+0-0-0</f>
        <v>540.21892000000003</v>
      </c>
      <c r="Y228" s="3">
        <f>384.9+(221.7-48)+(-0.785196+(-0.452268--0.09792))+0-0-0</f>
        <v>557.46045599999991</v>
      </c>
      <c r="Z228" s="3">
        <f>394+(206.7-45)+(-0.40188+(-0.210834--0.0459))+0-0-0</f>
        <v>555.13318600000002</v>
      </c>
      <c r="AA228" s="3">
        <f>408.9+(179.5-46)+(-0.417078+(-0.18309--0.04692))+0-0-0</f>
        <v>541.84675199999992</v>
      </c>
      <c r="AB228" s="3">
        <f>412.4+(142.7-45)+(-1.05162+(-0.363885--0.11475))+0-0-0</f>
        <v>508.79924499999998</v>
      </c>
      <c r="AC228" s="3">
        <f>413.7+(109.2-45.1)+(-1.265922+(-0.334152--0.138006))+0-0-0</f>
        <v>476.33793199999997</v>
      </c>
      <c r="AD228" s="2">
        <v>564.79999999999995</v>
      </c>
      <c r="AE228" s="3">
        <v>4006.2000000000003</v>
      </c>
    </row>
    <row r="229" spans="1:31" s="2" customFormat="1" x14ac:dyDescent="0.3">
      <c r="A229">
        <v>91</v>
      </c>
      <c r="B229">
        <v>8</v>
      </c>
      <c r="C229">
        <v>13</v>
      </c>
      <c r="D229">
        <v>1</v>
      </c>
      <c r="E229">
        <v>3</v>
      </c>
      <c r="F229" s="3">
        <f>416.2+(85.9-53.6)+(0.636786+(0.131427-0.082008))+0-0-0</f>
        <v>449.18620499999997</v>
      </c>
      <c r="G229" s="3">
        <f>405.8+(77.7-58.8)+(-0.827832+(-0.158508--0.119952))+0-0-0</f>
        <v>423.83361200000007</v>
      </c>
      <c r="H229" s="3">
        <f>365.4+(90.4-51.2)+(0.186354+(0.046104-0.026112))+0-0-0</f>
        <v>404.80634599999996</v>
      </c>
      <c r="I229" s="3">
        <f>365.9+(80.3-56.6)+(0.933045+(0.204765-0.14433))+0-0-0</f>
        <v>390.59347999999994</v>
      </c>
      <c r="J229" s="3">
        <f>344.4+(88.9-51.7)+(-0.175644+(-0.045339--0.026367))+0-0-0</f>
        <v>381.40538399999997</v>
      </c>
      <c r="K229" s="3">
        <f>341.9+(88.2-54.5)+(-0.174369+(-0.044982--0.027795))+0-0-0</f>
        <v>375.40844399999997</v>
      </c>
      <c r="L229" s="3">
        <f>338.5+(85-54)+(-0.69054+(-0.1734--0.11016))+0-0-0</f>
        <v>368.74621999999999</v>
      </c>
      <c r="M229" s="3">
        <f>336.8+(99.2-48.1)+(0.171768+(0.050592-0.024531))+0-0-0</f>
        <v>388.09782900000005</v>
      </c>
      <c r="N229" s="3">
        <f>337.2+(119.9-42.7)+(0+(0-0))+0-0-0</f>
        <v>414.4</v>
      </c>
      <c r="O229" s="3">
        <f>337.4+(131.8-38)+(-0.172074+(-0.067218--0.01938))+0-0-0</f>
        <v>430.98008799999997</v>
      </c>
      <c r="P229" s="3">
        <f>397.5+(94.5-49.8)+(-0.8109+(-0.19278--0.101592))+0-0-0</f>
        <v>441.297912</v>
      </c>
      <c r="Q229" s="3">
        <f>406.2+(98-50.7)+(0.414324+(0.09996-0.051714))+0-0-0</f>
        <v>453.96257000000003</v>
      </c>
      <c r="R229" s="3">
        <f>366.7+(133-45)+(-0.374034+(-0.13566--0.0459))+0-0-0</f>
        <v>454.23620599999998</v>
      </c>
      <c r="S229" s="3">
        <f>326.3+(165.5-40)+(-0.499239+(-0.253215--0.0612))+0-0-0</f>
        <v>451.108746</v>
      </c>
      <c r="T229" s="3">
        <f>324.6+(160-41)+(0.165546+(0.0816-0.02091))+0-0-0</f>
        <v>443.82623599999999</v>
      </c>
      <c r="U229" s="3">
        <f>325.2+(141.9-39)+(0.165852+(0.072369-0.01989))+0-0-0</f>
        <v>428.318331</v>
      </c>
      <c r="V229" s="3">
        <f>312.7+(162.7-38)+(-0.318954+(-0.165954--0.03876))+0-0-0</f>
        <v>436.95385199999998</v>
      </c>
      <c r="W229" s="3">
        <f>318.3+(244.8-46)+(-0.162333+(-0.124848--0.02346))+0-0-0</f>
        <v>516.83627899999999</v>
      </c>
      <c r="X229" s="3">
        <f>320.6+(281.8-50)+(-0.490518+(-0.431154--0.0765))+0-0-0</f>
        <v>551.55482800000004</v>
      </c>
      <c r="Y229" s="3">
        <f>322+(289-48)+(-0.32844+(-0.29478--0.04896))+0-0-0</f>
        <v>562.42574000000002</v>
      </c>
      <c r="Z229" s="3">
        <f>322.7+(291-47)+(-0.493731+(-0.44523--0.07191))+0-0-0</f>
        <v>565.8329490000001</v>
      </c>
      <c r="AA229" s="3">
        <f>322.3+(272.4-46)+(-0.164373+(-0.138924--0.02346))+0-0-0</f>
        <v>548.420163</v>
      </c>
      <c r="AB229" s="3">
        <f>318.7+(247-43)+(-0.487611+(-0.37791--0.06579))+0-0-0</f>
        <v>521.90026900000009</v>
      </c>
      <c r="AC229" s="3">
        <f>318+(211.1-42)+(-0.32436+(-0.215322--0.04284))+0-0-0</f>
        <v>486.60315800000001</v>
      </c>
      <c r="AD229" s="2">
        <v>573</v>
      </c>
      <c r="AE229" s="3">
        <v>4054.7</v>
      </c>
    </row>
    <row r="230" spans="1:31" s="2" customFormat="1" x14ac:dyDescent="0.3">
      <c r="A230">
        <v>91</v>
      </c>
      <c r="B230">
        <v>8</v>
      </c>
      <c r="C230">
        <v>14</v>
      </c>
      <c r="D230">
        <v>2</v>
      </c>
      <c r="E230">
        <v>1</v>
      </c>
      <c r="F230" s="3">
        <f>320.2+(167.8-42)+(0+(0-0))+0-0-0</f>
        <v>446</v>
      </c>
      <c r="G230" s="3">
        <f>321.4+(137.2-42)+(-0.327828+(-0.139944--0.04284))+0-0-0</f>
        <v>416.17506799999995</v>
      </c>
      <c r="H230" s="3">
        <f>321.7+(120.5-44.1)+(-0.328134+(-0.12291--0.044982))+0-0-0</f>
        <v>397.693938</v>
      </c>
      <c r="I230" s="3">
        <f>322.5+(111.9-49.1)+(-0.493425+(-0.171207--0.075123))+0-0-0</f>
        <v>384.71049099999999</v>
      </c>
      <c r="J230" s="3">
        <f>322.6+(111.7-50.6)+(0.329052+(0.113934-0.051612))+0-0-0</f>
        <v>384.09137400000003</v>
      </c>
      <c r="K230" s="3">
        <f>323.7+(116.2-50.4)+(0.165087+(0.059262-0.025704))+0-0-0</f>
        <v>389.698645</v>
      </c>
      <c r="L230" s="3">
        <f>323.9+(111-58.4)+(-0.495567+(-0.16983--0.089352))+0-0-0</f>
        <v>375.92395499999998</v>
      </c>
      <c r="M230" s="3">
        <f>321.4+(122.7-46.7)+(0.327828+(0.125154-0.047634))+0-0-0</f>
        <v>397.80534799999998</v>
      </c>
      <c r="N230" s="3">
        <f>354+(111.7-51.3)+(-0.18054+(-0.056967--0.026163))+0-0-0</f>
        <v>414.18865599999998</v>
      </c>
      <c r="O230" s="3">
        <f>393.7+(108.7-57.7)+(1.204722+(0.332622-0.176562))+0-0-0</f>
        <v>446.06078199999996</v>
      </c>
      <c r="P230" s="3">
        <f>386.3+(117.5-46.3)+(-0.197013+(-0.059925--0.023613))+0-0-0</f>
        <v>457.26667500000002</v>
      </c>
      <c r="Q230" s="3">
        <f>386.2+(124.5-46.2)+(0.393924+(0.12699-0.047124))+0-0-0</f>
        <v>464.97379000000001</v>
      </c>
      <c r="R230" s="3">
        <f>358.2+(166.1-42)+(-0.365364+(-0.169422--0.04284))+0-0-0</f>
        <v>481.80805399999997</v>
      </c>
      <c r="S230" s="3">
        <f>353.5+(161-40)+(-0.36057+(-0.16422--0.0408))+0-0-0</f>
        <v>474.01600999999999</v>
      </c>
      <c r="T230" s="3">
        <f>354.9+(144-40)+(0.180999+(0.07344-0.0204))+0-0-0</f>
        <v>459.13403899999997</v>
      </c>
      <c r="U230" s="3">
        <f>356.5+(132.3-40)+(-0.72726+(-0.269892--0.0816))+0-0-0</f>
        <v>447.88444800000002</v>
      </c>
      <c r="V230" s="3">
        <f>359.2+(134.7-41)+(0.183192+(0.068697-0.02091))+0-0-0</f>
        <v>453.13097899999997</v>
      </c>
      <c r="W230" s="3">
        <f>357.4+(229-42)+(0+(0-0))+0-0-0</f>
        <v>544.4</v>
      </c>
      <c r="X230" s="3">
        <f>358.3+(259.4-51)+(-0.913665+(-0.66147--0.13005))+0-0-0</f>
        <v>565.2549150000001</v>
      </c>
      <c r="Y230" s="3">
        <f>360.5+(268.8-51)+(-0.183855+(-0.137088--0.02601))+0-0-0</f>
        <v>578.00506699999994</v>
      </c>
      <c r="Z230" s="3">
        <f>361.7+(264.8-48)+(-0.737868+(-0.540192--0.09792))+0-0-0</f>
        <v>577.31985999999995</v>
      </c>
      <c r="AA230" s="3">
        <f>361.4+(235.1-45)+(-1.105884+(-0.719406--0.1377))+0-0-0</f>
        <v>549.81241</v>
      </c>
      <c r="AB230" s="3">
        <f>364.4+(204.8-42)+(-0.92922+(-0.52224--0.1071))+0-0-0</f>
        <v>525.85563999999999</v>
      </c>
      <c r="AC230" s="3">
        <f>368+(160.3-41)+(-0.75072+(-0.327012--0.08364))+0-0-0</f>
        <v>486.30590799999999</v>
      </c>
      <c r="AD230" s="2">
        <v>592.79999999999995</v>
      </c>
      <c r="AE230" s="3">
        <v>5275.8</v>
      </c>
    </row>
    <row r="231" spans="1:31" s="2" customFormat="1" x14ac:dyDescent="0.3">
      <c r="A231">
        <v>91</v>
      </c>
      <c r="B231">
        <v>8</v>
      </c>
      <c r="C231">
        <v>15</v>
      </c>
      <c r="D231">
        <v>3</v>
      </c>
      <c r="E231">
        <v>1</v>
      </c>
      <c r="F231" s="3">
        <f>367.1+(127-40)+(0+(0-0))+0-0-0</f>
        <v>454.1</v>
      </c>
      <c r="G231" s="3">
        <f>366.7+(101.6-43.9)+(-0.748068+(-0.207264--0.089556))+0-0-0</f>
        <v>423.53422399999999</v>
      </c>
      <c r="H231" s="3">
        <f>367.2+(91-49.3)+(-0.187272+(-0.04641--0.025143))+0-0-0</f>
        <v>408.691461</v>
      </c>
      <c r="I231" s="3">
        <f>368.2+(80.2-56)+(0+(0-0))+0-0-0</f>
        <v>392.4</v>
      </c>
      <c r="J231" s="3">
        <f>368.4+(80-62.2)+(0.187884+(0.0408-0.031722))+0-0-0</f>
        <v>386.39696199999997</v>
      </c>
      <c r="K231" s="3">
        <f>365.9+(86.9-65)+(-0.186609+(-0.044319--0.03315))+0-0-0</f>
        <v>387.60222199999993</v>
      </c>
      <c r="L231" s="3">
        <f>365.2+(86.5-72.9)+(-0.186252+(-0.044115--0.037179))+0-0-0</f>
        <v>378.60681199999993</v>
      </c>
      <c r="M231" s="3">
        <f>364.7+(87-58.8)+(0+(0-0))+0-0-0</f>
        <v>392.9</v>
      </c>
      <c r="N231" s="3">
        <f>362.1+(95.4-51.4)+(-0.184671+(-0.048654--0.026214))+0-0-0</f>
        <v>405.89288900000003</v>
      </c>
      <c r="O231" s="3">
        <f>381.7+(94.5-58.3)+(0.194667+(0.048195-0.029733))+0-0-0</f>
        <v>418.11312899999996</v>
      </c>
      <c r="P231" s="3">
        <f>388.3+(100.5-45.2)+(0+(0-0))+0-0-0</f>
        <v>443.6</v>
      </c>
      <c r="Q231" s="3">
        <f>387.8+(107.9-39.1)+(-0.197778+(-0.055029--0.019941))+0-0-0</f>
        <v>456.36713400000002</v>
      </c>
      <c r="R231" s="3">
        <f>384.7+(127.9-51.1)+(-0.784788+(-0.260916--0.104244))+0-0-0</f>
        <v>460.55853999999999</v>
      </c>
      <c r="S231" s="3">
        <f>382.7+(124.1-46.2)+(-0.585531+(-0.189873--0.070686))+0-0-0</f>
        <v>459.89528199999995</v>
      </c>
      <c r="T231" s="3">
        <f>383.1+(113.7-48.7)+(-0.390762+(-0.115974--0.049674))+0-0-0</f>
        <v>447.64293800000002</v>
      </c>
      <c r="U231" s="3">
        <f>382.5+(105.8-48.5)+(-0.585225+(-0.161874--0.074205))+0-0-0</f>
        <v>439.12710600000003</v>
      </c>
      <c r="V231" s="3">
        <f>319.5+(169.8-43)+(0.32589+(0.173196-0.04386))+0-0-0</f>
        <v>446.75522599999999</v>
      </c>
      <c r="W231" s="3">
        <f>359.5+(205.9-46)+(-0.36669+(-0.210018--0.04692))+0-0-0</f>
        <v>518.87021199999992</v>
      </c>
      <c r="X231" s="3">
        <f>424+(200.9-48)+(-1.0812+(-0.512295--0.1224))+0-0-0</f>
        <v>575.42890499999999</v>
      </c>
      <c r="Y231" s="3">
        <f>423+(221.6-47)+(-0.43146+(-0.226032--0.04794))+0-0-0</f>
        <v>596.99044800000001</v>
      </c>
      <c r="Z231" s="3">
        <f>371+(266.2-48)+(0.18921+(0.135762-0.02448))+0-0-0</f>
        <v>589.50049200000001</v>
      </c>
      <c r="AA231" s="3">
        <f>351+(263.5-40)+(-0.35802+(-0.26877--0.0408))+0-0-0</f>
        <v>573.91400999999996</v>
      </c>
      <c r="AB231" s="3">
        <f>349+(242.9-40)+(-0.17799+(-0.123879--0.0204))+0-0-0</f>
        <v>551.61853099999996</v>
      </c>
      <c r="AC231" s="3">
        <f>349+(207.4-40)+(-0.53397+(-0.317322--0.0612))+0-0-0</f>
        <v>515.60990800000002</v>
      </c>
      <c r="AD231" s="2">
        <v>572</v>
      </c>
      <c r="AE231" s="3">
        <v>5296</v>
      </c>
    </row>
    <row r="232" spans="1:31" s="2" customFormat="1" x14ac:dyDescent="0.3">
      <c r="A232">
        <v>91</v>
      </c>
      <c r="B232">
        <v>8</v>
      </c>
      <c r="C232">
        <v>16</v>
      </c>
      <c r="D232">
        <v>4</v>
      </c>
      <c r="E232">
        <v>1</v>
      </c>
      <c r="F232" s="3">
        <f>348+(168.4-40)+(-0.70992+(-0.343536--0.0816))+0-0-0</f>
        <v>475.42814399999997</v>
      </c>
      <c r="G232" s="3">
        <f>348+(140.3-39)+(-0.70992+(-0.286212--0.07956))+0-0-0</f>
        <v>448.38342800000004</v>
      </c>
      <c r="H232" s="3">
        <f>348+(122-40.1)+(0+(0-0))+0-0-0</f>
        <v>429.9</v>
      </c>
      <c r="I232" s="3">
        <f>349+(111.9-44)+(-0.17799+(-0.057069--0.02244))+0-0-0</f>
        <v>416.68738099999996</v>
      </c>
      <c r="J232" s="3">
        <f>350+(109.2-46.3)+(0+(0-0))+0-0-0</f>
        <v>412.9</v>
      </c>
      <c r="K232" s="3">
        <f>350+(115.8-45.1)+(0.1785+(0.059058-0.023001))+0-0-0</f>
        <v>420.914557</v>
      </c>
      <c r="L232" s="3">
        <f>350+(111.5-45.3)+(-0.714+(-0.22746--0.092412))+0-0-0</f>
        <v>415.35095200000001</v>
      </c>
      <c r="M232" s="3">
        <f>350+(107.4-42.2)+(-0.5355+(-0.164322--0.064566))+9.7-0-0</f>
        <v>424.26474399999995</v>
      </c>
      <c r="N232" s="3">
        <f>350+(140.1-40)+(-0.5355+(-0.214353--0.0612))+0-0-0</f>
        <v>449.41134700000003</v>
      </c>
      <c r="O232" s="3">
        <f>350+(163.2-39)+(-0.1785+(-0.083232--0.01989))+0-0-0</f>
        <v>473.95815799999997</v>
      </c>
      <c r="P232" s="3">
        <f>383+(136.6-38)+(0+(0-0))+0-0-0</f>
        <v>481.6</v>
      </c>
      <c r="Q232" s="3">
        <f>420+(103.6-41)+(-0.4284+(-0.105672--0.04182))+0-0-0</f>
        <v>482.10774800000002</v>
      </c>
      <c r="R232" s="3">
        <f>414+(110.9-41)+(-0.21114+(-0.056559--0.02091))+0-0-0</f>
        <v>483.653211</v>
      </c>
      <c r="S232" s="3">
        <f>347+(183.5-40)+(0.70788+(0.37434-0.0816))+0-0-0</f>
        <v>491.50062000000003</v>
      </c>
      <c r="T232" s="3">
        <f>345+(175.9-39)+(0.3519+(0.179418-0.03978))+0-0-0</f>
        <v>482.39153799999997</v>
      </c>
      <c r="U232" s="3">
        <f>345+(163.9-39)+(-0.87975+(-0.417945--0.09945))+0-0-0</f>
        <v>468.70175499999999</v>
      </c>
      <c r="V232" s="3">
        <f>350+(170.4-46)+(0.5355+(0.260712-0.07038))+0-0-0</f>
        <v>475.125832</v>
      </c>
      <c r="W232" s="3">
        <f>384+(222.2-48)+(-0.39168+(-0.226644--0.04896))+0-0-0</f>
        <v>557.6306360000001</v>
      </c>
      <c r="X232" s="3">
        <f>426+(211.4-50)+(-0.86904+(-0.431256--0.102))+0-0-0</f>
        <v>586.20170399999995</v>
      </c>
      <c r="Y232" s="3">
        <f>425+(217.1-47)+(-1.3005+(-0.664326--0.14382))+0-0-0</f>
        <v>593.27899400000001</v>
      </c>
      <c r="Z232" s="3">
        <f>425+(202.3-46)+(-1.3005+(-0.619038--0.14076))+0-0-0</f>
        <v>579.52122199999997</v>
      </c>
      <c r="AA232" s="3">
        <f>426+(174.8-43)+(-0.65178+(-0.267444--0.06579))+0-0-0</f>
        <v>556.94656599999996</v>
      </c>
      <c r="AB232" s="3">
        <f>422+(140.8-41)+(0+(0-0))+0-0-0</f>
        <v>521.79999999999995</v>
      </c>
      <c r="AC232" s="3">
        <f>384+(146-39)+(-0.78336+(-0.29784--0.07956))+0-0-0</f>
        <v>489.99835999999999</v>
      </c>
      <c r="AD232" s="2">
        <v>580.6</v>
      </c>
      <c r="AE232" s="3">
        <v>5304.3</v>
      </c>
    </row>
    <row r="233" spans="1:31" s="2" customFormat="1" x14ac:dyDescent="0.3">
      <c r="A233">
        <v>91</v>
      </c>
      <c r="B233">
        <v>8</v>
      </c>
      <c r="C233">
        <v>17</v>
      </c>
      <c r="D233">
        <v>5</v>
      </c>
      <c r="E233">
        <v>1</v>
      </c>
      <c r="F233" s="3">
        <f>344+(152.3-39)+(-1.22808+(-0.543711--0.13923))+0-0-0</f>
        <v>455.667439</v>
      </c>
      <c r="G233" s="3">
        <f>344+(128.7-38)+(-1.05264+(-0.393822--0.11628))+0-0-0</f>
        <v>433.36981800000001</v>
      </c>
      <c r="H233" s="3">
        <f>344+(105.8-38)+(-0.35088+(-0.107916--0.03876))+0-0-0</f>
        <v>411.37996400000003</v>
      </c>
      <c r="I233" s="3">
        <f>344+(95.3-38)+(0+(0-0))+0-0-0</f>
        <v>401.3</v>
      </c>
      <c r="J233" s="3">
        <f>344+(97.7-42)+(0.35088+(0.099654-0.04284))+0-0-0</f>
        <v>400.10769399999998</v>
      </c>
      <c r="K233" s="3">
        <f>344+(109.4-45)+(-0.17544+(-0.055794--0.02295))+0-0-0</f>
        <v>408.19171599999999</v>
      </c>
      <c r="L233" s="3">
        <f>345+(112.9-37)+(-0.3519+(-0.115158--0.03774))+0-0-0</f>
        <v>420.47068199999995</v>
      </c>
      <c r="M233" s="3">
        <f>345+(122.2-34)+(-0.3519+(-0.124644--0.03468))+0-0-0</f>
        <v>432.75813599999998</v>
      </c>
      <c r="N233" s="3">
        <f>345+(134.5-33)+(-0.3519+(-0.13719--0.03366))+0-0-0</f>
        <v>446.04457000000002</v>
      </c>
      <c r="O233" s="3">
        <f>357+(132.3-32)+(0.54621+(0.202419-0.04896))+0-0-0</f>
        <v>457.99966899999998</v>
      </c>
      <c r="P233" s="3">
        <f>414+(92.5-34)+(-0.84456+(-0.1887--0.06936))+0-0-0</f>
        <v>471.53609999999998</v>
      </c>
      <c r="Q233" s="3">
        <f>413+(116.7-39)+(-0.84252+(-0.238068--0.07956))+0-0-0</f>
        <v>489.69897199999997</v>
      </c>
      <c r="R233" s="3">
        <f>415+(134.1-40)+(-0.4233+(-0.136782--0.0408))+0-0-0</f>
        <v>508.58071800000005</v>
      </c>
      <c r="S233" s="3">
        <f>414+(127.5-39)+(-0.84456+(-0.2601--0.07956))+0-0-0</f>
        <v>501.47489999999999</v>
      </c>
      <c r="T233" s="3">
        <f>414+(110.2-40)+(-0.42228+(-0.112404--0.0408))+0-0-0</f>
        <v>483.70611600000001</v>
      </c>
      <c r="U233" s="3">
        <f>414+(97.7-41)+(-0.42228+(-0.099654--0.04182))+0-0-0</f>
        <v>470.21988599999997</v>
      </c>
      <c r="V233" s="3">
        <f>421+(105.9-45)+(0.21471+(0.054009-0.02295))+0-0-0</f>
        <v>482.14576899999997</v>
      </c>
      <c r="W233" s="3">
        <f>421+(181.4-47)+(0.42942+(0.185028-0.04794))+0-0-0</f>
        <v>555.96650799999998</v>
      </c>
      <c r="X233" s="3">
        <f>421+(208.7-50)+(-0.64413+(-0.319311--0.0765))+0-0-0</f>
        <v>578.81305900000007</v>
      </c>
      <c r="Y233" s="3">
        <f>422+(214.8-49)+(-1.0761+(-0.54774--0.12495))+0-0-0</f>
        <v>586.30110999999999</v>
      </c>
      <c r="Z233" s="3">
        <f>423+(207.9-49)+(0.21573+(0.106029-0.02499))+0-0-0</f>
        <v>582.19676900000002</v>
      </c>
      <c r="AA233" s="3">
        <f>423+(189.6-46)+(-0.21573+(-0.096696--0.02346))+0-0-0</f>
        <v>566.31103400000006</v>
      </c>
      <c r="AB233" s="3">
        <f>420+(160.3-44)+(-0.8568+(-0.327012--0.08976))+0-0-0</f>
        <v>535.20594799999992</v>
      </c>
      <c r="AC233" s="3">
        <f>420+(126.9-42)+(-0.6426+(-0.194157--0.06426))+0-0-0</f>
        <v>504.12750299999999</v>
      </c>
      <c r="AD233" s="2">
        <v>571</v>
      </c>
      <c r="AE233" s="3">
        <v>5309</v>
      </c>
    </row>
    <row r="234" spans="1:31" s="2" customFormat="1" x14ac:dyDescent="0.3">
      <c r="A234">
        <v>91</v>
      </c>
      <c r="B234">
        <v>8</v>
      </c>
      <c r="C234">
        <v>18</v>
      </c>
      <c r="D234">
        <v>6</v>
      </c>
      <c r="E234">
        <v>1</v>
      </c>
      <c r="F234" s="3">
        <f>419+(95.1-43.1)+(-0.21369+(-0.048501--0.021981))+0-0-0</f>
        <v>470.75979000000001</v>
      </c>
      <c r="G234" s="3">
        <f>418+(77.5-49)+(-0.21318+(-0.039525--0.02499))+0-0-0</f>
        <v>446.27228500000001</v>
      </c>
      <c r="H234" s="3">
        <f>393+(85.1-43.8)+(-0.40086+(-0.086802--0.044676))+0-0-0</f>
        <v>433.85701399999999</v>
      </c>
      <c r="I234" s="3">
        <f>347+(117.2-40)+(-0.17697+(-0.059772--0.0204))+0-0-0</f>
        <v>423.98365799999999</v>
      </c>
      <c r="J234" s="3">
        <f>347+(116.4-43)+(-0.88485+(-0.29682--0.10965))+0-0-0</f>
        <v>419.32797999999997</v>
      </c>
      <c r="K234" s="3">
        <f>347+(122.5-46)+(0.35394+(0.12495-0.04692))+0-0-0</f>
        <v>423.93196999999998</v>
      </c>
      <c r="L234" s="3">
        <f>347+(122.8-47)+(-1.06182+(-0.375768--0.14382))+0-0-0</f>
        <v>421.50623200000001</v>
      </c>
      <c r="M234" s="3">
        <f>347+(140.6-43)+(0+(0-0))+0-0-0</f>
        <v>444.6</v>
      </c>
      <c r="N234" s="3">
        <f>347+(161.7-42)+(-0.35394+(-0.164934--0.04284))+0-0-0</f>
        <v>466.22396599999996</v>
      </c>
      <c r="O234" s="3">
        <f>391+(131.2-41)+(0.19941+(0.066912-0.02091))+0-0-0</f>
        <v>481.44541199999998</v>
      </c>
      <c r="P234" s="3">
        <f>421+(111.5-42)+(-0.42942+(-0.11373--0.04284))+0-0-0</f>
        <v>489.99968999999999</v>
      </c>
      <c r="Q234" s="3">
        <f>420+(126-42)+(-0.4284+(-0.12852--0.04284))+0-0-0</f>
        <v>503.48592000000002</v>
      </c>
      <c r="R234" s="3">
        <f>417+(139.3-43)+(-1.06335+(-0.355215--0.10965))+0-0-0</f>
        <v>511.99108499999994</v>
      </c>
      <c r="S234" s="3">
        <f>417+(117.3-41)+(-0.42534+(-0.119646--0.04182))+0-0-0</f>
        <v>492.79683399999999</v>
      </c>
      <c r="T234" s="3">
        <f>392+(129.2-43)+(0+(0-0))+0-0-0</f>
        <v>478.2</v>
      </c>
      <c r="U234" s="3">
        <f>347+(166.1-43)+(-0.35394+(-0.169422--0.04386))+0-0-0</f>
        <v>469.620498</v>
      </c>
      <c r="V234" s="3">
        <f>351+(176-44)+(0+(0-0))+0-0-0</f>
        <v>483</v>
      </c>
      <c r="W234" s="3">
        <f>396+(210.9-48)+(0.20196+(0.107559-0.02448))+0-0-0</f>
        <v>559.18503899999996</v>
      </c>
      <c r="X234" s="3">
        <f>424+(204.7-47)+(-1.29744+(-0.626382--0.14382))+0-0-0</f>
        <v>579.91999800000008</v>
      </c>
      <c r="Y234" s="3">
        <f>424+(206.7-47)+(-1.29744+(-0.632502--0.14382))+0-0-0</f>
        <v>581.91387800000007</v>
      </c>
      <c r="Z234" s="3">
        <f>425+(196-45)+(-0.65025+(-0.29988--0.06885))+0-0-0</f>
        <v>575.11872000000005</v>
      </c>
      <c r="AA234" s="3">
        <f>425+(179.4-45)+(-0.65025+(-0.274482--0.06885))+0-0-0</f>
        <v>558.54411800000003</v>
      </c>
      <c r="AB234" s="3">
        <f>423+(156.6-44)+(-0.86292+(-0.319464--0.08976))+0-0-0</f>
        <v>534.50737600000002</v>
      </c>
      <c r="AC234" s="3">
        <f>424+(126.8-42)+(-0.21624+(-0.064668--0.02142))+0-0-0</f>
        <v>508.54051200000004</v>
      </c>
      <c r="AD234" s="2">
        <v>570</v>
      </c>
      <c r="AE234" s="3">
        <v>5071.7</v>
      </c>
    </row>
    <row r="235" spans="1:31" s="2" customFormat="1" x14ac:dyDescent="0.3">
      <c r="A235">
        <v>91</v>
      </c>
      <c r="B235">
        <v>8</v>
      </c>
      <c r="C235">
        <v>19</v>
      </c>
      <c r="D235">
        <v>7</v>
      </c>
      <c r="E235">
        <v>1</v>
      </c>
      <c r="F235" s="3">
        <f>422+(91.1-40)+(-1.0761+(-0.232305--0.102))+0-0-0</f>
        <v>471.893595</v>
      </c>
      <c r="G235" s="3">
        <f>422+(72.8-45.5)+(-0.43044+(-0.074256--0.04641))+0-0-0</f>
        <v>448.84171400000002</v>
      </c>
      <c r="H235" s="3">
        <f>355+(117.2-39)+(-0.54315+(-0.179316--0.05967))+0-0-0</f>
        <v>432.53720399999997</v>
      </c>
      <c r="I235" s="3">
        <f>347+(105.6-40)+(-0.17697+(-0.053856--0.0204))+0-0-0</f>
        <v>412.38957400000004</v>
      </c>
      <c r="J235" s="3">
        <f>347+(103.4-42)+(-0.17697+(-0.052734--0.02142))+0-0-0</f>
        <v>408.19171599999999</v>
      </c>
      <c r="K235" s="3">
        <f>347+(108.2-45)+(0.17697+(0.055182-0.02295))+0-0-0</f>
        <v>410.40920199999999</v>
      </c>
      <c r="L235" s="3">
        <f>345+(100-45)+(-0.3519+(-0.102--0.0459))+0-0-0</f>
        <v>399.59199999999998</v>
      </c>
      <c r="M235" s="3">
        <f>345+(120.1-44)+(0+(0-0))+0-0-0</f>
        <v>421.1</v>
      </c>
      <c r="N235" s="3">
        <f>345+(139.6-42)+(-0.17595+(-0.071196--0.02142))+0-0-0</f>
        <v>442.37427400000001</v>
      </c>
      <c r="O235" s="3">
        <f>345+(155.3-41)+(0.52785+(0.237609-0.06273))+0-0-0</f>
        <v>460.00272899999999</v>
      </c>
      <c r="P235" s="3">
        <f>345+(176.3-40)+(0.52785+(0.269739-0.0612))+0-0-0</f>
        <v>482.03638899999999</v>
      </c>
      <c r="Q235" s="3">
        <f>373+(164.3-43)+(-0.57069+(-0.251379--0.06579))+0-0-0</f>
        <v>493.54372100000001</v>
      </c>
      <c r="R235" s="3">
        <f>410+(129.6-42)+(-1.0455+(-0.33048--0.1071))+0-0-0</f>
        <v>496.33112</v>
      </c>
      <c r="S235" s="3">
        <f>408+(123.6-42)+(-1.0404+(-0.31518--0.1071))+0-0-0</f>
        <v>488.35152000000005</v>
      </c>
      <c r="T235" s="3">
        <f>350+(171.9-39)+(-0.8925+(-0.438345--0.09945))+0-0-0</f>
        <v>481.66860499999996</v>
      </c>
      <c r="U235" s="3">
        <f>343+(166.6-39)+(-0.69972+(-0.339864--0.07956))+0-0-0</f>
        <v>469.63997600000005</v>
      </c>
      <c r="V235" s="3">
        <f>351+(179.1-43)+(-0.53703+(-0.274023--0.06579))+0-0-0</f>
        <v>486.354737</v>
      </c>
      <c r="W235" s="3">
        <f>404+(194.8-47)+(-0.41208+(-0.198696--0.04794))+0-0-0</f>
        <v>551.23716400000001</v>
      </c>
      <c r="X235" s="3">
        <f>415+(204.5-50)+(-0.8466+(-0.41718--0.102))+0-0-0</f>
        <v>568.33821999999998</v>
      </c>
      <c r="Y235" s="3">
        <f>416+(211-49)+(0+(0-0))+0-0-0</f>
        <v>578</v>
      </c>
      <c r="Z235" s="3">
        <f>415+(207.7-48)+(-0.4233+(-0.211854--0.04896))+0-0-0</f>
        <v>574.11380600000007</v>
      </c>
      <c r="AA235" s="3">
        <f>387+(217.9-46)+(-0.39474+(-0.222258--0.04692))+0-0-0</f>
        <v>558.32992200000001</v>
      </c>
      <c r="AB235" s="3">
        <f>345+(208.5-42)+(-0.7038+(-0.42534--0.08568))+0-0-0</f>
        <v>510.45654000000002</v>
      </c>
      <c r="AC235" s="3">
        <f>344+(182.7-42)+(-0.8772+(-0.465885--0.1071))+0-0-0</f>
        <v>483.46401499999996</v>
      </c>
      <c r="AD235" s="2">
        <v>572.79999999999995</v>
      </c>
      <c r="AE235" s="3">
        <v>4178.6000000000004</v>
      </c>
    </row>
    <row r="236" spans="1:31" s="2" customFormat="1" x14ac:dyDescent="0.3">
      <c r="A236">
        <v>91</v>
      </c>
      <c r="B236">
        <v>8</v>
      </c>
      <c r="C236">
        <v>20</v>
      </c>
      <c r="D236">
        <v>1</v>
      </c>
      <c r="E236">
        <v>1</v>
      </c>
      <c r="F236" s="3">
        <f>347+(151.3-40)+(-0.35394+(-0.154326--0.0408))+0-0-0</f>
        <v>457.83253400000001</v>
      </c>
      <c r="G236" s="3">
        <f>347+(126.2-40)+(-0.70788+(-0.257448--0.0816))+0-0-0</f>
        <v>432.31627199999997</v>
      </c>
      <c r="H236" s="3">
        <f>347+(109.9-39)+(-0.17697+(-0.056049--0.01989))+0-0-0</f>
        <v>417.686871</v>
      </c>
      <c r="I236" s="3">
        <f>348+(99.7-39)+(-0.70992+(-0.203388--0.07956))+0-0-0</f>
        <v>407.86625199999997</v>
      </c>
      <c r="J236" s="3">
        <f>348+(96.9-40)+(-0.8874+(-0.247095--0.102))+0-0-0</f>
        <v>403.86750499999999</v>
      </c>
      <c r="K236" s="3">
        <f>348+(105.8-42)+(0.70992+(0.215832-0.08568))+0-0-0</f>
        <v>412.64007200000003</v>
      </c>
      <c r="L236" s="3">
        <f>348+(104.2-39)+(-0.53244+(-0.159426--0.05967))+0-0-0</f>
        <v>412.56780399999997</v>
      </c>
      <c r="M236" s="3">
        <f>348+(113.5-38)+(-0.35496+(-0.11577--0.03876))+0-0-0</f>
        <v>423.06803000000002</v>
      </c>
      <c r="N236" s="3">
        <f>364+(122.6-38)+(-0.55692+(-0.187578--0.05814))+0-0-0</f>
        <v>447.91364200000004</v>
      </c>
      <c r="O236" s="3">
        <f>420+(84.6-40.4)+(0+(0-0))+0-0-0</f>
        <v>464.2</v>
      </c>
      <c r="P236" s="3">
        <f>418+(96.7-37)+(0+(0-0))+0-0-0</f>
        <v>477.7</v>
      </c>
      <c r="Q236" s="3">
        <f>417+(111.2-35)+(-0.85068+(-0.226848--0.0714))+0-0-0</f>
        <v>492.193872</v>
      </c>
      <c r="R236" s="3">
        <f>413+(126.6-35)+(-1.26378+(-0.387396--0.1071))+0-0-0</f>
        <v>503.055924</v>
      </c>
      <c r="S236" s="3">
        <f>413+(117.1-37)+(-0.84252+(-0.238884--0.07548))+0-0-0</f>
        <v>492.09407600000003</v>
      </c>
      <c r="T236" s="3">
        <f>413+(107.5-37)+(-0.63189+(-0.164475--0.05661))+0-0-0</f>
        <v>482.760245</v>
      </c>
      <c r="U236" s="3">
        <f>413+(98.5-38)+(-0.84252+(-0.20094--0.07752))+0-0-0</f>
        <v>472.53406000000001</v>
      </c>
      <c r="V236" s="3">
        <f>419+(112.8-42)+(-0.42738+(-0.115056--0.04284))+0-0-0</f>
        <v>489.30040400000001</v>
      </c>
      <c r="W236" s="3">
        <f>420+(188.1-49)+(-0.6426+(-0.287793--0.07497))+0-0-0</f>
        <v>558.24457700000005</v>
      </c>
      <c r="X236" s="3">
        <f>419+(212.7-47)+(-1.06845+(-0.542385--0.11985))+0-0-0</f>
        <v>583.20901500000002</v>
      </c>
      <c r="Y236" s="3">
        <f>420+(215.4-45)+(-0.6426+(-0.329562--0.06885))+0-0-0</f>
        <v>589.49668799999995</v>
      </c>
      <c r="Z236" s="3">
        <f>420+(211.5-45)+(-0.4284+(-0.21573--0.0459))+0-0-0</f>
        <v>585.90177000000006</v>
      </c>
      <c r="AA236" s="3">
        <f>419+(192.6-45)+(-1.06845+(-0.49113--0.11475))+0-0-0</f>
        <v>565.15517</v>
      </c>
      <c r="AB236" s="3">
        <f>418+(160.6-40)+(0+(0-0))+0-0-0</f>
        <v>538.6</v>
      </c>
      <c r="AC236" s="3">
        <f>416+(127.3-40)+(-1.0608+(-0.324615--0.102))+0-0-0</f>
        <v>502.01658500000002</v>
      </c>
      <c r="AD236" s="2">
        <v>575.6</v>
      </c>
      <c r="AE236" s="3">
        <v>5363.8</v>
      </c>
    </row>
    <row r="237" spans="1:31" s="2" customFormat="1" x14ac:dyDescent="0.3">
      <c r="A237">
        <v>91</v>
      </c>
      <c r="B237">
        <v>8</v>
      </c>
      <c r="C237">
        <v>21</v>
      </c>
      <c r="D237">
        <v>2</v>
      </c>
      <c r="E237">
        <v>1</v>
      </c>
      <c r="F237" s="3">
        <f>417+(94-40)+(-0.63801+(-0.14382--0.0612))+0-0-0</f>
        <v>470.27936999999997</v>
      </c>
      <c r="G237" s="3">
        <f>416+(77.4-48.1)+(-0.42432+(-0.078948--0.049062))+0-0-0</f>
        <v>444.84579400000001</v>
      </c>
      <c r="H237" s="3">
        <f>349+(118.8-40)+(-0.17799+(-0.060588--0.0204))+0-0-0</f>
        <v>427.58182199999999</v>
      </c>
      <c r="I237" s="3">
        <f>348+(109.4-40)+(0.17748+(0.055794-0.0204))+0-0-0</f>
        <v>417.61287399999998</v>
      </c>
      <c r="J237" s="3">
        <f>348+(106.4-41)+(-0.17748+(-0.054264--0.02091))+0-0-0</f>
        <v>413.189166</v>
      </c>
      <c r="K237" s="3">
        <f>348+(119-42)+(0.53244+(0.18207-0.06426))+0-0-0</f>
        <v>425.65025000000003</v>
      </c>
      <c r="L237" s="3">
        <f>345+(120.3-42)+(-0.7038+(-0.245412--0.08568))+0-0-0</f>
        <v>422.43646799999999</v>
      </c>
      <c r="M237" s="3">
        <f>345+(131-44)+(0+(0-0))+0-0-0</f>
        <v>432</v>
      </c>
      <c r="N237" s="3">
        <f>321.9+(148.9-40)+(0.164169+(0.075939-0.0204))+0-0-0</f>
        <v>431.01970799999998</v>
      </c>
      <c r="O237" s="3">
        <f>322.4+(161.5-39)+(0.657696+(0.32946-0.07956))+0-0-0</f>
        <v>445.80759599999999</v>
      </c>
      <c r="P237" s="3">
        <f>389.5+(110.2-41)+(-0.198645+(-0.056202--0.02091))+0-0-0</f>
        <v>458.46606299999996</v>
      </c>
      <c r="Q237" s="3">
        <f>388.5+(121.6-41)+(-0.39627+(-0.124032--0.04182))+0-0-0</f>
        <v>468.62151800000004</v>
      </c>
      <c r="R237" s="3">
        <f>385.4+(133.6-43)+(-0.196554+(-0.068136--0.02193))+0-0-0</f>
        <v>475.75724000000002</v>
      </c>
      <c r="S237" s="3">
        <f>395.4+(106.9-41)+(-0.403308+(-0.109038--0.04182))+0-0-0</f>
        <v>460.82947399999995</v>
      </c>
      <c r="T237" s="3">
        <f>382.7+(110.9-39)+(0.390354+(0.113118-0.03978))+0-0-0</f>
        <v>455.063692</v>
      </c>
      <c r="U237" s="3">
        <f>380.2+(100.2-39)+(-0.581706+(-0.153306--0.05967))+0-0-0</f>
        <v>440.72465799999998</v>
      </c>
      <c r="V237" s="3">
        <f>387.8+(112.5-47)+(-0.197778+(-0.057375--0.02397))+0-0-0</f>
        <v>453.06881700000002</v>
      </c>
      <c r="W237" s="3">
        <f>390.4+(190.3-48)+(-0.199104+(-0.097053--0.02448))+0-0-0</f>
        <v>532.42832300000009</v>
      </c>
      <c r="X237" s="3">
        <f>393.5+(211.5-49)+(-0.602055+(-0.323595--0.07497))+0-0-0</f>
        <v>555.14931999999999</v>
      </c>
      <c r="Y237" s="3">
        <f>394.9+(218.1-50)+(-1.006995+(-0.556155--0.1275))+0-0-0</f>
        <v>561.56434999999999</v>
      </c>
      <c r="Z237" s="3">
        <f>396.1+(209.5-48)+(-0.808044+(-0.42738--0.09792))+0-0-0</f>
        <v>556.46249599999999</v>
      </c>
      <c r="AA237" s="3">
        <f>397.3+(190.4-43)+(-0.405246+(-0.194208--0.04386))+0-0-0</f>
        <v>544.144406</v>
      </c>
      <c r="AB237" s="3">
        <f>394.4+(161.5-44)+(-1.00572+(-0.411825--0.1122))+0-0-0</f>
        <v>510.59465499999999</v>
      </c>
      <c r="AC237" s="3">
        <f>393.9+(127.5-43)+(-1.004445+(-0.325125--0.10965))+0-0-0</f>
        <v>477.18007999999998</v>
      </c>
      <c r="AD237" s="2">
        <v>580.5</v>
      </c>
      <c r="AE237" s="3">
        <v>5270.3</v>
      </c>
    </row>
    <row r="238" spans="1:31" s="2" customFormat="1" x14ac:dyDescent="0.3">
      <c r="A238">
        <v>91</v>
      </c>
      <c r="B238">
        <v>8</v>
      </c>
      <c r="C238">
        <v>22</v>
      </c>
      <c r="D238">
        <v>3</v>
      </c>
      <c r="E238">
        <v>1</v>
      </c>
      <c r="F238" s="3">
        <f>413+(93.5-42)+(-0.84252+(-0.19074--0.08568))+0-0-0</f>
        <v>463.55241999999998</v>
      </c>
      <c r="G238" s="3">
        <f>343+(138.5-41)+(-0.17493+(-0.070635--0.02091))+0-0-0</f>
        <v>440.27534500000002</v>
      </c>
      <c r="H238" s="3">
        <f>328+(138-40)+(-0.33456+(-0.14076--0.0408))+0-0-0</f>
        <v>425.56547999999998</v>
      </c>
      <c r="I238" s="3">
        <f>328+(126.4-40)+(-0.33456+(-0.128928--0.0408))+0-0-0</f>
        <v>413.97731199999998</v>
      </c>
      <c r="J238" s="3">
        <f>327+(125.2-42)+(-0.50031+(-0.191556--0.06426))+0-0-0</f>
        <v>409.57239399999997</v>
      </c>
      <c r="K238" s="3">
        <f>327+(137.2-44)+(0+(0-0))+0-0-0</f>
        <v>420.2</v>
      </c>
      <c r="L238" s="3">
        <f>326+(138.8-44)+(-0.16626+(-0.070788--0.02244))+0-0-0</f>
        <v>420.58539200000001</v>
      </c>
      <c r="M238" s="3">
        <f>326+(150.7-41)+(-0.16626+(-0.076857--0.02091))+0-0-0</f>
        <v>435.47779299999996</v>
      </c>
      <c r="N238" s="3">
        <f>325+(164.5-39)+(-0.3315+(-0.16779--0.03978))+0-0-0</f>
        <v>450.04048999999998</v>
      </c>
      <c r="O238" s="3">
        <f>325+(172.3-40)+(-0.16575+(-0.087873--0.0204))+0-0-0</f>
        <v>457.066777</v>
      </c>
      <c r="P238" s="3">
        <f>325+(187.4-38)+(0.3315+(0.191148-0.03876))+0-0-0</f>
        <v>474.88388799999996</v>
      </c>
      <c r="Q238" s="3">
        <f>327+(203.1-39)+(-0.16677+(-0.103581--0.01989))+0-0-0</f>
        <v>490.84953900000005</v>
      </c>
      <c r="R238" s="3">
        <f>323+(218.8-38)+(-0.65892+(-0.446352--0.07752))+0-0-0</f>
        <v>502.77224799999999</v>
      </c>
      <c r="S238" s="3">
        <f>323+(209.5-42)+(-0.49419+(-0.320535--0.06426))+0-0-0</f>
        <v>489.74953499999998</v>
      </c>
      <c r="T238" s="3">
        <f>325+(195.6-42)+(0.16575+(0.099756-0.02142))+0-0-0</f>
        <v>478.844086</v>
      </c>
      <c r="U238" s="3">
        <f>327+(184.4-42)+(-0.16677+(-0.094044--0.02142))+0-0-0</f>
        <v>469.16060599999997</v>
      </c>
      <c r="V238" s="3">
        <f>356+(172-46)+(0.54468+(0.26316-0.07038))+0-0-0</f>
        <v>482.73746</v>
      </c>
      <c r="W238" s="3">
        <f>420+(179-50)+(-0.4284+(-0.18258--0.051))+0-0-0</f>
        <v>548.44002</v>
      </c>
      <c r="X238" s="3">
        <f>421+(193.7-49)+(-0.85884+(-0.395148--0.09996))+0-0-0</f>
        <v>564.54597200000001</v>
      </c>
      <c r="Y238" s="3">
        <f>421+(199.7-49)+(-1.07355+(-0.509235--0.12495))+0-0-0</f>
        <v>570.242165</v>
      </c>
      <c r="Z238" s="3">
        <f>421+(191.6-47)+(-0.64413+(-0.293148--0.07191))+0-0-0</f>
        <v>564.73463200000003</v>
      </c>
      <c r="AA238" s="3">
        <f>421+(172.1-46)+(-0.64413+(-0.263313--0.07038))+0-0-0</f>
        <v>546.26293700000008</v>
      </c>
      <c r="AB238" s="3">
        <f>421+(150.2-40)+(-0.21471+(-0.076602--0.0204))+0-0-0</f>
        <v>530.92908800000009</v>
      </c>
      <c r="AC238" s="3">
        <f>421+(116-38)+(-0.64413+(-0.17748--0.05814))+0-0-0</f>
        <v>498.23653000000002</v>
      </c>
      <c r="AD238" s="2">
        <v>562.5</v>
      </c>
      <c r="AE238" s="3">
        <v>5431</v>
      </c>
    </row>
    <row r="239" spans="1:31" s="2" customFormat="1" x14ac:dyDescent="0.3">
      <c r="A239">
        <v>91</v>
      </c>
      <c r="B239">
        <v>8</v>
      </c>
      <c r="C239">
        <v>23</v>
      </c>
      <c r="D239">
        <v>4</v>
      </c>
      <c r="E239">
        <v>1</v>
      </c>
      <c r="F239" s="3">
        <f>393.2+(89.1-39.7)+(-0.200532+(-0.045441--0.020247))+0-0-0</f>
        <v>442.37427399999996</v>
      </c>
      <c r="G239" s="3">
        <f>379.2+(80.4-38.7)+(-0.386784+(-0.082008--0.039474))+0-0-0</f>
        <v>420.47068199999995</v>
      </c>
      <c r="H239" s="3">
        <f>325.4+(105.2-35)+(0+(0-0))+0-0-0</f>
        <v>395.59999999999997</v>
      </c>
      <c r="I239" s="3">
        <f>305.2+(110.2-32)+(-0.311304+(-0.112404--0.03264))+0-0-0</f>
        <v>383.00893199999996</v>
      </c>
      <c r="J239" s="3">
        <f>305.6+(106.5-32)+(0+(0-0))+0-0-0</f>
        <v>380.1</v>
      </c>
      <c r="K239" s="3">
        <f>307.4+(124.4-36)+(-0.313548+(-0.126888--0.03672))+0-0-0</f>
        <v>395.39628399999998</v>
      </c>
      <c r="L239" s="3">
        <f>315.1+(121.7-35)+(-0.482103+(-0.186201--0.05355))+0-0-0</f>
        <v>401.18524600000001</v>
      </c>
      <c r="M239" s="3">
        <f>339.8+(102-35)+(-0.346596+(-0.10404--0.0357))+0-0-0</f>
        <v>406.385064</v>
      </c>
      <c r="N239" s="3">
        <f>338.3+(117.5-32)+(-0.690132+(-0.2397--0.06528))+0-0-0</f>
        <v>422.93544800000001</v>
      </c>
      <c r="O239" s="3">
        <f>384.3+(92.5-34)+(0+(0-0))+0-0-0</f>
        <v>442.8</v>
      </c>
      <c r="P239" s="3">
        <f>408.1+(84-45)+(-0.416262+(-0.08568--0.0459))+0-0-0</f>
        <v>446.643958</v>
      </c>
      <c r="Q239" s="3">
        <f>408.2+(95.8-40)+(-0.208182+(-0.048858--0.0204))+0-0-0</f>
        <v>463.76335999999998</v>
      </c>
      <c r="R239" s="3">
        <f>403.6+(115.5-40)+(-1.02918+(-0.294525--0.102))+0-0-0</f>
        <v>477.87829500000004</v>
      </c>
      <c r="S239" s="3">
        <f>404.4+(99-40)+(-0.206244+(-0.05049--0.0204))+0-0-0</f>
        <v>463.16366599999998</v>
      </c>
      <c r="T239" s="3">
        <f>403+(89.2-40)+(-0.41106+(-0.090984--0.0408))+0-0-0</f>
        <v>451.73875599999997</v>
      </c>
      <c r="U239" s="3">
        <f>407.1+(80.8-41.9)+(-0.415242+(-0.082416--0.042738))+0-0-0</f>
        <v>445.54507999999998</v>
      </c>
      <c r="V239" s="3">
        <f>409.5+(93.2-41)+(-0.626535+(-0.142596--0.06273))+0-0-0</f>
        <v>460.99359899999996</v>
      </c>
      <c r="W239" s="3">
        <f>412.3+(172-45)+(-0.420546+(-0.17544--0.0459))+0-0-0</f>
        <v>538.74991399999999</v>
      </c>
      <c r="X239" s="3">
        <f>412.6+(192.2-45)+(-0.841704+(-0.392088--0.0918))+0-0-0</f>
        <v>558.658008</v>
      </c>
      <c r="Y239" s="3">
        <f>413.4+(189.1-45)+(-0.843336+(-0.385764--0.0918))+0-0-0</f>
        <v>556.36270000000002</v>
      </c>
      <c r="Z239" s="3">
        <f>413.1+(181.2-43)+(-1.053405+(-0.46206--0.10965))+0-0-0</f>
        <v>549.89418499999999</v>
      </c>
      <c r="AA239" s="3">
        <f>414.8+(158.8-41)+(-0.634644+(-0.242964--0.06273))+0-0-0</f>
        <v>531.785122</v>
      </c>
      <c r="AB239" s="3">
        <f>413+(131.6-40)+(-1.05315+(-0.33558--0.102))+0-0-0</f>
        <v>503.31327000000005</v>
      </c>
      <c r="AC239" s="3">
        <f>413.6+(95-39)+(-0.843744+(-0.1938--0.07956))+0-0-0</f>
        <v>468.64201600000001</v>
      </c>
      <c r="AD239" s="2">
        <v>581.6</v>
      </c>
      <c r="AE239" s="3">
        <v>5650.4</v>
      </c>
    </row>
    <row r="240" spans="1:31" s="2" customFormat="1" x14ac:dyDescent="0.3">
      <c r="A240">
        <v>91</v>
      </c>
      <c r="B240">
        <v>8</v>
      </c>
      <c r="C240">
        <v>24</v>
      </c>
      <c r="D240">
        <v>5</v>
      </c>
      <c r="E240">
        <v>1</v>
      </c>
      <c r="F240" s="3">
        <f>433+(72.9-43.1)+(-0.66249+(-0.111537--0.065943))+0-0-0</f>
        <v>462.09191600000003</v>
      </c>
      <c r="G240" s="3">
        <f>388+(88.6-38)+(-0.59364+(-0.135558--0.05814))+0-0-0</f>
        <v>437.92894200000001</v>
      </c>
      <c r="H240" s="3">
        <f>353+(101.3-38)+(-0.18003+(-0.051663--0.01938))+0-0-0</f>
        <v>416.08768700000002</v>
      </c>
      <c r="I240" s="3">
        <f>353+(86.1-38)+(-0.18003+(-0.043911--0.01938))+0-0-0</f>
        <v>400.89543900000001</v>
      </c>
      <c r="J240" s="3">
        <f>353+(84.3-47)+(-0.36006+(-0.085986--0.04794))+0-0-0</f>
        <v>389.90189400000003</v>
      </c>
      <c r="K240" s="3">
        <f>353+(95.5-46)+(0.54009+(0.146115-0.07038))+0-0-0</f>
        <v>403.11582499999997</v>
      </c>
      <c r="L240" s="3">
        <f>363+(69.4-48.5)+(-0.18513+(-0.035394--0.024735))+0-0-0</f>
        <v>383.70421099999999</v>
      </c>
      <c r="M240" s="3">
        <f>394.4+(57.8-55.9)+(0.402288+(0.058956-0.057018))+0-0-0</f>
        <v>396.70422599999995</v>
      </c>
      <c r="N240" s="3">
        <f>392.8+(71-42)+(0.400656+(0.07242-0.04284))+0-0-0</f>
        <v>422.23023599999999</v>
      </c>
      <c r="O240" s="3">
        <f>389.9+(80.8-33.4)+(-0.397698+(-0.082416--0.034068))+0-0-0</f>
        <v>436.85395399999993</v>
      </c>
      <c r="P240" s="3">
        <f>390.1+(92.4-29.2)+(-0.397902+(-0.094248--0.029784))+0-0-0</f>
        <v>452.83763400000004</v>
      </c>
      <c r="Q240" s="3">
        <f>389.9+(96-39)+(0.397698+(0.09792-0.03978))+0-0-0</f>
        <v>447.35583799999995</v>
      </c>
      <c r="R240" s="3">
        <f>383.7+(125.7-36)+(-0.782748+(-0.256428--0.07344))+0-0-0</f>
        <v>472.43426399999998</v>
      </c>
      <c r="S240" s="3">
        <f>331.9+(164.2-39)+(0+(0-0))+0-0-0</f>
        <v>457.09999999999997</v>
      </c>
      <c r="T240" s="3">
        <f>318.8+(171.5-39)+(-0.162588+(-0.087465--0.01989))+0-0-0</f>
        <v>451.06983700000001</v>
      </c>
      <c r="U240" s="3">
        <f>319.2+(163.6-46)+(0+(0-0))+0-0-0</f>
        <v>436.79999999999995</v>
      </c>
      <c r="V240" s="3">
        <f>321.2+(180.1-44)+(0.163812+(0.091851-0.02244))+0-0-0</f>
        <v>457.53322299999996</v>
      </c>
      <c r="W240" s="3">
        <f>384.1+(188.4-53)+(0.195891+(0.096084-0.02703))+0-0-0</f>
        <v>519.76494500000001</v>
      </c>
      <c r="X240" s="3">
        <f>397+(196.3-47)+(-1.21482+(-0.600678--0.14382))+0-0-0</f>
        <v>544.62832199999991</v>
      </c>
      <c r="Y240" s="3">
        <f>398.1+(196.1-51)+(-0.203031+(-0.100011--0.02601))+0-0-0</f>
        <v>542.92296800000008</v>
      </c>
      <c r="Z240" s="3">
        <f>398.8+(182.8-46)+(-0.813552+(-0.372912--0.09384))+0-0-0</f>
        <v>534.50737600000002</v>
      </c>
      <c r="AA240" s="3">
        <f>399.3+(157.5-41)+(-0.610929+(-0.240975--0.06273))+0-0-0</f>
        <v>515.01082599999995</v>
      </c>
      <c r="AB240" s="3">
        <f>396.5+(130.7-41)+(-0.80886+(-0.266628--0.08364))+0-0-0</f>
        <v>485.20815199999998</v>
      </c>
      <c r="AC240" s="3">
        <f>396.5+(105-40)+(-0.606645+(-0.16065--0.0612))+0-0-0</f>
        <v>460.793905</v>
      </c>
      <c r="AD240" s="2">
        <v>564.70000000000005</v>
      </c>
      <c r="AE240" s="3">
        <v>5606.6</v>
      </c>
    </row>
    <row r="241" spans="1:31" s="2" customFormat="1" x14ac:dyDescent="0.3">
      <c r="A241">
        <v>91</v>
      </c>
      <c r="B241">
        <v>8</v>
      </c>
      <c r="C241">
        <v>25</v>
      </c>
      <c r="D241">
        <v>6</v>
      </c>
      <c r="E241">
        <v>1</v>
      </c>
      <c r="F241" s="3">
        <f>397.7+(80-41.3)+(-1.014135+(-0.204--0.105315))+0-0-0</f>
        <v>435.28717999999998</v>
      </c>
      <c r="G241" s="3">
        <f>397.5+(68.7-47.2)+(-1.013625+(-0.175185--0.12036))+0-0-0</f>
        <v>417.93155000000002</v>
      </c>
      <c r="H241" s="3">
        <f>364.4+(76-41.2)+(-0.557532+(-0.11628--0.063036))+0-0-0</f>
        <v>398.589224</v>
      </c>
      <c r="I241" s="3">
        <f>327.8+(91.6-32.5)+(0.167178+(0.046716-0.016575))+0-0-0</f>
        <v>387.09731899999997</v>
      </c>
      <c r="J241" s="3">
        <f>326.6+(86.7-33.2)+(0+(0-0))+0-0-0</f>
        <v>380.1</v>
      </c>
      <c r="K241" s="3">
        <f>325.3+(96.9-32)+(0+(0-0))+0-0-0</f>
        <v>390.20000000000005</v>
      </c>
      <c r="L241" s="3">
        <f>278.5+(150.7-35)+(-0.56814+(-0.307428--0.0714))+0-0-0</f>
        <v>393.39583199999998</v>
      </c>
      <c r="M241" s="3">
        <f>278.9+(161.5-29)+(-0.284478+(-0.16473--0.02958))+0-0-0</f>
        <v>410.98037199999999</v>
      </c>
      <c r="N241" s="3">
        <f>383.9+(81.4-33)+(0.391578+(0.083028-0.03366))+0-0-0</f>
        <v>432.74094599999995</v>
      </c>
      <c r="O241" s="3">
        <f>401.9+(79.8-33.8)+(0+(0-0))+0-0-0</f>
        <v>447.9</v>
      </c>
      <c r="P241" s="3">
        <f>398+(90-32.5)+(-0.60894+(-0.1377--0.049725))+0-0-0</f>
        <v>454.80308500000001</v>
      </c>
      <c r="Q241" s="3">
        <f>331.3+(160.7-26)+(-0.675852+(-0.327828--0.05304))+0-0-0</f>
        <v>465.04935999999998</v>
      </c>
      <c r="R241" s="3">
        <f>317.7+(185.2-32)+(-0.486081+(-0.283356--0.04896))+0-0-0</f>
        <v>470.17952299999996</v>
      </c>
      <c r="S241" s="3">
        <f>317.1+(175-33)+(-0.646884+(-0.357--0.06732))+0-0-0</f>
        <v>458.16343600000005</v>
      </c>
      <c r="T241" s="3">
        <f>316+(166.6-34)+(0.32232+(0.169932-0.03468))+0-0-0</f>
        <v>449.05757200000005</v>
      </c>
      <c r="U241" s="3">
        <f>319.1+(158-37)+(-0.488223+(-0.24174--0.05661))+0-0-0</f>
        <v>439.426647</v>
      </c>
      <c r="V241" s="3">
        <f>320.6+(168.5-39)+(0+(0-0))+0-0-0</f>
        <v>450.1</v>
      </c>
      <c r="W241" s="3">
        <f>368.5+(183.8-43)+(-0.563805+(-0.281214--0.06579))+0-0-0</f>
        <v>508.52077100000002</v>
      </c>
      <c r="X241" s="3">
        <f>401.3+(171.5-40)+(-0.409326+(-0.17493--0.0408))+0-0-0</f>
        <v>532.25654399999996</v>
      </c>
      <c r="Y241" s="3">
        <f>401.1+(173.2-41)+(0+(0-0))+0-0-0</f>
        <v>533.29999999999995</v>
      </c>
      <c r="Z241" s="3">
        <f>403+(166.6-39)+(0+(0-0))+0-0-0</f>
        <v>530.6</v>
      </c>
      <c r="AA241" s="3">
        <f>399.9+(149.3-37)+(-0.611847+(-0.228429--0.05661))+0-0-0</f>
        <v>511.41633400000006</v>
      </c>
      <c r="AB241" s="3">
        <f>398.9+(125.1-35)+(0+(0-0))+0-0-0</f>
        <v>489</v>
      </c>
      <c r="AC241" s="3">
        <f>390+(108.5-34)+(-0.7956+(-0.22134--0.06936))+0-0-0</f>
        <v>463.55241999999998</v>
      </c>
      <c r="AD241" s="2">
        <v>559.9</v>
      </c>
      <c r="AE241" s="3">
        <v>5035.8</v>
      </c>
    </row>
    <row r="242" spans="1:31" s="2" customFormat="1" x14ac:dyDescent="0.3">
      <c r="A242">
        <v>91</v>
      </c>
      <c r="B242">
        <v>8</v>
      </c>
      <c r="C242">
        <v>26</v>
      </c>
      <c r="D242">
        <v>7</v>
      </c>
      <c r="E242">
        <v>1</v>
      </c>
      <c r="F242" s="3">
        <f>381.8+(89.5-34.5)+(-0.194718+(-0.045645--0.017595))+0-0-0</f>
        <v>436.57723200000004</v>
      </c>
      <c r="G242" s="3">
        <f>382.4+(74.2-40.5)+(-0.390048+(-0.075684--0.04131))+0-0-0</f>
        <v>415.67557799999997</v>
      </c>
      <c r="H242" s="3">
        <f>381.3+(65.7-47.1)+(-0.972315+(-0.167535--0.120105))+0-0-0</f>
        <v>398.88025500000003</v>
      </c>
      <c r="I242" s="3">
        <f>368.8+(65.8-41.8)+(-0.376176+(-0.067116--0.042636))+0-0-0</f>
        <v>392.39934399999999</v>
      </c>
      <c r="J242" s="3">
        <f>307.1+(113.1-35)+(0+(0-0))+0-0-0</f>
        <v>385.20000000000005</v>
      </c>
      <c r="K242" s="3">
        <f>308+(115.5-39)+(0+(0-0))+0-0-0</f>
        <v>384.5</v>
      </c>
      <c r="L242" s="3">
        <f>309+(102.1-45)+(-0.78795+(-0.260355--0.11475))+0-0-0</f>
        <v>365.16644500000001</v>
      </c>
      <c r="M242" s="3">
        <f>308.8+(114.4-46)+(-0.314976+(-0.116688--0.04692))+0-0-0</f>
        <v>376.81525600000003</v>
      </c>
      <c r="N242" s="3">
        <f>309.4+(136.5-47)+(0.473382+(0.208845-0.07191))+0-0-0</f>
        <v>399.51031699999999</v>
      </c>
      <c r="O242" s="3">
        <f>309.2+(169.6-42)+(-0.315384+(-0.172992--0.04284))+0-0-0</f>
        <v>436.35446399999995</v>
      </c>
      <c r="P242" s="3">
        <f>282.2+(207.1-40)+(0.287844+(0.211242-0.0408))+0-0-0</f>
        <v>449.75828599999994</v>
      </c>
      <c r="Q242" s="3">
        <f>257.5+(248.3-41)+(-0.656625+(-0.633165--0.10455))+0-0-0</f>
        <v>463.61475999999999</v>
      </c>
      <c r="R242" s="3">
        <f>255+(254.6-40)+(-0.91035+(-0.908922--0.1428))+0-0-0</f>
        <v>467.92352800000003</v>
      </c>
      <c r="S242" s="3">
        <f>253.6+(252.4-40)+(-0.388008+(-0.386172--0.0612))+0-0-0</f>
        <v>465.28701999999998</v>
      </c>
      <c r="T242" s="3">
        <f>252.4+(243.4-40)+(-0.386172+(-0.372402--0.0612))+0-0-0</f>
        <v>455.10262599999999</v>
      </c>
      <c r="U242" s="3">
        <f>256.1+(226-41)+(0+(0-0))+0-0-0</f>
        <v>441.1</v>
      </c>
      <c r="V242" s="3">
        <f>269.1+(230.6-42)+(-0.274482+(-0.235212--0.04284))+0-0-0</f>
        <v>457.23314600000003</v>
      </c>
      <c r="W242" s="3">
        <f>334.9+(224.9-48)+(0+(0-0))+0-0-0</f>
        <v>511.79999999999995</v>
      </c>
      <c r="X242" s="3">
        <f>354.3+(227.4-47)+(-0.722772+(-0.463896--0.09588))+0-0-0</f>
        <v>533.60921200000007</v>
      </c>
      <c r="Y242" s="3">
        <f>356.5+(231.2-47)+(0+(0-0))+0-0-0</f>
        <v>540.70000000000005</v>
      </c>
      <c r="Z242" s="3">
        <f>355.7+(236.1-46)+(-0.544221+(-0.361233--0.07038))+0-0-0</f>
        <v>544.96492599999999</v>
      </c>
      <c r="AA242" s="3">
        <f>357.2+(217.4-45)+(0+(0-0))+0-0-0</f>
        <v>529.6</v>
      </c>
      <c r="AB242" s="3">
        <f>358.5+(192.3-42)+(-0.548505+(-0.294219--0.06426))+0-0-0</f>
        <v>508.02153600000003</v>
      </c>
      <c r="AC242" s="3">
        <f>357.3+(160.2-42)+(-0.728892+(-0.326808--0.08568))+0-0-0</f>
        <v>474.52998000000002</v>
      </c>
      <c r="AD242" s="2">
        <v>553.79999999999995</v>
      </c>
      <c r="AE242" s="3">
        <v>4230.6000000000004</v>
      </c>
    </row>
    <row r="243" spans="1:31" s="2" customFormat="1" x14ac:dyDescent="0.3">
      <c r="A243">
        <v>91</v>
      </c>
      <c r="B243">
        <v>8</v>
      </c>
      <c r="C243">
        <v>27</v>
      </c>
      <c r="D243">
        <v>1</v>
      </c>
      <c r="E243">
        <v>1</v>
      </c>
      <c r="F243" s="3">
        <f>358+(151.1-41)+(-0.18258+(-0.077061--0.02091))+0-0-0</f>
        <v>467.86126900000005</v>
      </c>
      <c r="G243" s="3">
        <f>304+(183.1-40)+(-0.31008+(-0.186762--0.0408))+0-0-0</f>
        <v>446.643958</v>
      </c>
      <c r="H243" s="3">
        <f>304+(168.7-40)+(-0.93024+(-0.516222--0.1224))+0-0-0</f>
        <v>431.37593799999996</v>
      </c>
      <c r="I243" s="3">
        <f>304+(153.5-41)+(0.31008+(0.15657-0.04182))+0-0-0</f>
        <v>416.92482999999999</v>
      </c>
      <c r="J243" s="3">
        <f>304+(151.1-43)+(-0.31008+(-0.154122--0.04386))+0-0-0</f>
        <v>411.67965800000002</v>
      </c>
      <c r="K243" s="3">
        <f>304+(161.4-45)+(-0.31008+(-0.164628--0.0459))+0-0-0</f>
        <v>419.97119199999997</v>
      </c>
      <c r="L243" s="3">
        <f>303+(168.5-46)+(-0.77265+(-0.429675--0.1173))+0-0-0</f>
        <v>424.41497500000003</v>
      </c>
      <c r="M243" s="3">
        <f>303+(172-36)+(-0.30906+(-0.17544--0.03672))+0-0-0</f>
        <v>438.55221999999998</v>
      </c>
      <c r="N243" s="3">
        <f>349+(139.2-32)+(-0.53397+(-0.212976--0.04896))+0-0-0</f>
        <v>455.50201399999997</v>
      </c>
      <c r="O243" s="3">
        <f>376+(129.4-39)+(-0.76704+(-0.263976--0.07956))+0-0-0</f>
        <v>465.44854399999997</v>
      </c>
      <c r="P243" s="3">
        <f>378+(135.9-35)+(-0.19278+(-0.069309--0.01785))+0-0-0</f>
        <v>478.65576099999998</v>
      </c>
      <c r="Q243" s="3">
        <f>378+(148.7-36)+(-0.19278+(-0.075837--0.01836))+0-0-0</f>
        <v>490.44974300000001</v>
      </c>
      <c r="R243" s="3">
        <f>324+(217.4-38)+(-0.8262+(-0.55437--0.0969))+0-0-0</f>
        <v>502.11633</v>
      </c>
      <c r="S243" s="3">
        <f>303+(229.7-40)+(0+(0-0))+0-0-0</f>
        <v>492.7</v>
      </c>
      <c r="T243" s="3">
        <f>304+(221.3-40)+(0+(0-0))+0-0-0</f>
        <v>485.3</v>
      </c>
      <c r="U243" s="3">
        <f>306+(211.5-39)+(-0.15606+(-0.107865--0.01989))+0-0-0</f>
        <v>478.255965</v>
      </c>
      <c r="V243" s="3">
        <f>356+(179.3-46)+(0+(0-0))+0-0-0</f>
        <v>489.3</v>
      </c>
      <c r="W243" s="3">
        <f>382+(228.8-47)+(0.38964+(0.233376-0.04794))+0-0-0</f>
        <v>564.37507599999992</v>
      </c>
      <c r="X243" s="3">
        <f>381+(247-49)+(-0.97155+(-0.62985--0.12495))+0-0-0</f>
        <v>577.52355</v>
      </c>
      <c r="Y243" s="3">
        <f>381+(247-50)+(-0.38862+(-0.25194--0.051))+0-0-0</f>
        <v>577.41043999999999</v>
      </c>
      <c r="Z243" s="3">
        <f>381+(235.1-46)+(-0.58293+(-0.359703--0.07038))+0-0-0</f>
        <v>569.22774700000002</v>
      </c>
      <c r="AA243" s="3">
        <f>380+(210.4-46)+(-0.969+(-0.53652--0.1173))+0-0-0</f>
        <v>543.01177999999993</v>
      </c>
      <c r="AB243" s="3">
        <f>382+(175.8-42)+(0.19482+(0.089658-0.02142))+0-0-0</f>
        <v>516.06305799999996</v>
      </c>
      <c r="AC243" s="3">
        <f>359+(165.5-41)+(-0.91545+(-0.422025--0.10455))+0-0-0</f>
        <v>482.26707499999998</v>
      </c>
      <c r="AD243" s="2">
        <v>569.6</v>
      </c>
      <c r="AE243" s="3">
        <v>5401.7000000000007</v>
      </c>
    </row>
    <row r="244" spans="1:31" s="2" customFormat="1" x14ac:dyDescent="0.3">
      <c r="A244">
        <v>91</v>
      </c>
      <c r="B244">
        <v>8</v>
      </c>
      <c r="C244">
        <v>28</v>
      </c>
      <c r="D244">
        <v>2</v>
      </c>
      <c r="E244">
        <v>1</v>
      </c>
      <c r="F244" s="3">
        <f>292.7+(179-40)+(-0.447831+(-0.27387--0.0612))+0-0-0</f>
        <v>431.03949899999998</v>
      </c>
      <c r="G244" s="3">
        <f>288.3+(159.9-40)+(-0.735165+(-0.407745--0.102))+0-0-0</f>
        <v>407.15909000000005</v>
      </c>
      <c r="H244" s="3">
        <f>289+(143.2-40)+(0.29478+(0.146064-0.0408))+0-0-0</f>
        <v>392.60004399999997</v>
      </c>
      <c r="I244" s="3">
        <f>288.8+(134.5-41)+(0+(0-0))+0-0-0</f>
        <v>382.3</v>
      </c>
      <c r="J244" s="3">
        <f>289.3+(137.7-41)+(0.147543+(0.070227-0.02091))+0-0-0</f>
        <v>386.19686000000002</v>
      </c>
      <c r="K244" s="3">
        <f>288.9+(158.8-45)+(-0.442017+(-0.242964--0.06885))+0-0-0</f>
        <v>402.08386899999999</v>
      </c>
      <c r="L244" s="3">
        <f>252.3+(196.1-46)+(-0.128673+(-0.100011--0.02346))+0-0-0</f>
        <v>402.19477599999999</v>
      </c>
      <c r="M244" s="3">
        <f>252.8+(209.5-40)+(-0.386784+(-0.320535--0.0612))+0-0-0</f>
        <v>421.65388100000001</v>
      </c>
      <c r="N244" s="3">
        <f>283.2+(190.3-38)+(-0.288864+(-0.194106--0.03876))+0-0-0</f>
        <v>435.05579</v>
      </c>
      <c r="O244" s="3">
        <f>282+(188.1-31)+(-0.28764+(-0.191862--0.03162))+0-0-0</f>
        <v>438.65211800000003</v>
      </c>
      <c r="P244" s="3">
        <f>283.2+(186.7-29)+(-0.72216+(-0.476085--0.07395))+0-0-0</f>
        <v>439.77570499999996</v>
      </c>
      <c r="Q244" s="3">
        <f>278.7+(200.8-29)+(-0.710685+(-0.51204--0.07395))+0-0-0</f>
        <v>449.351225</v>
      </c>
      <c r="R244" s="3">
        <f>279.3+(208.6-32)+(-0.427329+(-0.319158--0.04896))+0-0-0</f>
        <v>455.202473</v>
      </c>
      <c r="S244" s="3">
        <f>279.2+(195.6-32)+(-0.284784+(-0.199512--0.03264))+0-0-0</f>
        <v>442.34834399999994</v>
      </c>
      <c r="T244" s="3">
        <f>277.7+(200.4-31)+(0.141627+(0.102204-0.01581))+0-0-0</f>
        <v>447.32802100000004</v>
      </c>
      <c r="U244" s="3">
        <f>278.4+(182.8-31)+(0.283968+(0.186456-0.03162))+0-0-0</f>
        <v>430.63880399999999</v>
      </c>
      <c r="V244" s="3">
        <f>283.4+(203.2-34)+(0+(0-0))+0-0-0</f>
        <v>452.59999999999997</v>
      </c>
      <c r="W244" s="3">
        <f>356.3+(209.4-41)+(-0.181713+(-0.106794--0.02091))+0-0-0</f>
        <v>524.43240300000002</v>
      </c>
      <c r="X244" s="3">
        <f>355.6+(223.5-45)+(-0.181356+(-0.113985--0.02295))+0-0-0</f>
        <v>533.82760900000005</v>
      </c>
      <c r="Y244" s="3">
        <f>358.1+(216.5-44)+(-0.182631+(-0.110415--0.02244))+0-0-0</f>
        <v>530.32939399999998</v>
      </c>
      <c r="Z244" s="3">
        <f>357.6+(205.4-41)+(-0.364752+(-0.209508--0.04182))+0-0-0</f>
        <v>521.46756000000005</v>
      </c>
      <c r="AA244" s="3">
        <f>358.6+(181.1-41)+(-0.182886+(-0.092361--0.02091))+0-0-0</f>
        <v>498.44566300000002</v>
      </c>
      <c r="AB244" s="3">
        <f>356.2+(156.1-38)+(-0.90831+(-0.398055--0.0969))+0-0-0</f>
        <v>473.09053499999993</v>
      </c>
      <c r="AC244" s="3">
        <f>359+(126.1-36)+(-0.54927+(-0.192933--0.05508))+0-0-0</f>
        <v>448.41287700000004</v>
      </c>
      <c r="AD244" s="2">
        <v>564.1</v>
      </c>
      <c r="AE244" s="3">
        <v>5375.3</v>
      </c>
    </row>
    <row r="245" spans="1:31" s="2" customFormat="1" x14ac:dyDescent="0.3">
      <c r="A245">
        <v>91</v>
      </c>
      <c r="B245">
        <v>8</v>
      </c>
      <c r="C245">
        <v>29</v>
      </c>
      <c r="D245">
        <v>3</v>
      </c>
      <c r="E245">
        <v>1</v>
      </c>
      <c r="F245" s="3">
        <f>360+(95.3-36)+(-0.3672+(-0.097206--0.03672))+0-0-0</f>
        <v>418.87231400000002</v>
      </c>
      <c r="G245" s="3">
        <f>362+(71.3-36)+(-0.9231+(-0.181815--0.0918))+0-0-0</f>
        <v>396.28688499999998</v>
      </c>
      <c r="H245" s="3">
        <f>363.1+(57.9-35)+(0.185181+(0.029529-0.01785))+0-0-0</f>
        <v>386.19686000000002</v>
      </c>
      <c r="I245" s="3">
        <f>334.1+(80.7-36)+(-0.851955+(-0.205785--0.0918))+0-0-0</f>
        <v>377.83406000000002</v>
      </c>
      <c r="J245" s="3">
        <f>290.1+(131.1-38)+(-0.147951+(-0.066861--0.01938))+0-0-0</f>
        <v>383.00456800000006</v>
      </c>
      <c r="K245" s="3">
        <f>289.2+(156.8-41)+(-0.147492+(-0.079968--0.02091))+0-0-0</f>
        <v>404.79345000000001</v>
      </c>
      <c r="L245" s="3">
        <f>289+(160-36)+(0.29478+(0.1632-0.03672))+0-0-0</f>
        <v>413.42126000000002</v>
      </c>
      <c r="M245" s="3">
        <f>286.2+(181.3-37)+(0.145962+(0.092463-0.01887))+0-0-0</f>
        <v>430.71955500000001</v>
      </c>
      <c r="N245" s="3">
        <f>297.6+(182.4-38)+(0+(0-0))+0-0-0</f>
        <v>442</v>
      </c>
      <c r="O245" s="3">
        <f>347.3+(136.2-34)+(-0.708492+(-0.277848--0.06936))+0-0-0</f>
        <v>448.58301999999998</v>
      </c>
      <c r="P245" s="3">
        <f>343.8+(135.4-31)+(-0.701352+(-0.276216--0.06324))+0-0-0</f>
        <v>447.28567200000003</v>
      </c>
      <c r="Q245" s="3">
        <f>344.5+(141.1-29)+(-0.175695+(-0.071961--0.01479))+0-0-0</f>
        <v>456.36713400000002</v>
      </c>
      <c r="R245" s="3">
        <f>330.4+(171-30)+(-0.674016+(-0.34884--0.0612))+0-0-0</f>
        <v>470.43834399999997</v>
      </c>
      <c r="S245" s="3">
        <f>321.2+(149-29)+(-0.163812+(-0.07599--0.01479))+0-0-0</f>
        <v>440.974988</v>
      </c>
      <c r="T245" s="3">
        <f>320+(153-30)+(-0.4896+(-0.23409--0.0459))+0-0-0</f>
        <v>442.32220999999998</v>
      </c>
      <c r="U245" s="3">
        <f>320.4+(157.2-32)+(-0.163404+(-0.080172--0.01632))+0-0-0</f>
        <v>445.37274399999995</v>
      </c>
      <c r="V245" s="3">
        <f>324.8+(184.2-39)+(0.496944+(0.281826-0.05967))+0-0-0</f>
        <v>470.71910000000003</v>
      </c>
      <c r="W245" s="3">
        <f>339.9+(242-42)+(-0.866745+(-0.6171--0.1071))+0-0-0</f>
        <v>538.52325499999995</v>
      </c>
      <c r="X245" s="3">
        <f>358.2+(226.7-43)+(-0.730728+(-0.462468--0.08772))+0-0-0</f>
        <v>540.79452400000002</v>
      </c>
      <c r="Y245" s="3">
        <f>337.9+(236.7-41)+(-0.861645+(-0.603585--0.10455))+0-0-0</f>
        <v>532.23931999999991</v>
      </c>
      <c r="Z245" s="3">
        <f>287+(268.4-40)+(-0.58548+(-0.547536--0.0816))+0-0-0</f>
        <v>514.34858399999996</v>
      </c>
      <c r="AA245" s="3">
        <f>286.8+(243.9-34)+(-0.146268+(-0.124389--0.01734))+0-0-0</f>
        <v>496.44668300000006</v>
      </c>
      <c r="AB245" s="3">
        <f>285+(220.6-32)+(-0.43605+(-0.337518--0.04896))+0-0-0</f>
        <v>472.87539200000003</v>
      </c>
      <c r="AC245" s="3">
        <f>283.6+(193.6-32)+(-0.578544+(-0.394944--0.06528))+0-0-0</f>
        <v>444.29179200000004</v>
      </c>
      <c r="AD245" s="2">
        <v>564.9</v>
      </c>
      <c r="AE245" s="3">
        <v>5507.5999999999995</v>
      </c>
    </row>
    <row r="246" spans="1:31" s="2" customFormat="1" x14ac:dyDescent="0.3">
      <c r="A246">
        <v>91</v>
      </c>
      <c r="B246">
        <v>8</v>
      </c>
      <c r="C246">
        <v>30</v>
      </c>
      <c r="D246">
        <v>4</v>
      </c>
      <c r="E246">
        <v>1</v>
      </c>
      <c r="F246" s="3">
        <f>297+(158.5-31)+(0.30294+(0.16167-0.03162))+0-0-0</f>
        <v>424.93299000000002</v>
      </c>
      <c r="G246" s="3">
        <f>297+(142-32)+(-0.30294+(-0.14484--0.03264))+0-0-0</f>
        <v>406.58485999999999</v>
      </c>
      <c r="H246" s="3">
        <f>297+(131.2-31)+(-0.30294+(-0.133824--0.03162))+0-0-0</f>
        <v>396.79485599999998</v>
      </c>
      <c r="I246" s="3">
        <f>297+(120.7-32)+(0.30294+(0.123114-0.03264))+0-0-0</f>
        <v>386.093414</v>
      </c>
      <c r="J246" s="3">
        <f>297+(131.1-39)+(-0.15147+(-0.066861--0.01989))+0-0-0</f>
        <v>388.90155900000002</v>
      </c>
      <c r="K246" s="3">
        <f>297+(166.4-41)+(0.75735+(0.42432-0.10455))+0-0-0</f>
        <v>423.47711999999996</v>
      </c>
      <c r="L246" s="3">
        <f>275.2+(190-41)+(0+(0-0))+0-0-0</f>
        <v>424.2</v>
      </c>
      <c r="M246" s="3">
        <f>273.5+(194.1-39)+(0.27897+(0.197982-0.03978))+0-0-0</f>
        <v>429.037172</v>
      </c>
      <c r="N246" s="3">
        <f>276.2+(211.5-34)+(0.422586+(0.323595-0.05202))+0-0-0</f>
        <v>454.394161</v>
      </c>
      <c r="O246" s="3">
        <f>278.8+(214.6-34)+(-0.142188+(-0.109446--0.01734))+0-0-0</f>
        <v>459.165706</v>
      </c>
      <c r="P246" s="3">
        <f>276+(237.2-36)+(0+(0-0))+0-0-0</f>
        <v>477.2</v>
      </c>
      <c r="Q246" s="3">
        <f>336+(194.2-38)+(-0.17136+(-0.099042--0.01938))+0-0-0</f>
        <v>491.94897800000001</v>
      </c>
      <c r="R246" s="3">
        <f>344.6+(154.9-38)+(-1.230222+(-0.552993--0.13566))+0-0-0</f>
        <v>459.85244499999999</v>
      </c>
      <c r="S246" s="3">
        <f>344.8+(132.9-39)+(0.175848+(0.067779-0.01989))+0-0-0</f>
        <v>438.92373700000007</v>
      </c>
      <c r="T246" s="3">
        <f>344.3+(125.4-41)+(-0.526779+(-0.191862--0.06273))+0-0-0</f>
        <v>428.04408900000004</v>
      </c>
      <c r="U246" s="3">
        <f>344.1+(126.1-39)+(0.175491+(0.064311-0.01989))+0-0-0</f>
        <v>431.41991200000007</v>
      </c>
      <c r="V246" s="3">
        <f>343.4+(159.2-38)+(-0.525402+(-0.243576--0.05814))+0-0-0</f>
        <v>463.88916199999994</v>
      </c>
      <c r="W246" s="3">
        <f>343.1+(225-48)+(-0.699924+(-0.459--0.09792))+0-0-0</f>
        <v>519.038996</v>
      </c>
      <c r="X246" s="3">
        <f>345.8+(225.9-47)+(-0.705432+(-0.460836--0.09588))+0-0-0</f>
        <v>523.62961200000007</v>
      </c>
      <c r="Y246" s="3">
        <f>347.3+(211.2-46)+(-0.885615+(-0.53856--0.1173))+0-0-0</f>
        <v>511.19312500000001</v>
      </c>
      <c r="Z246" s="3">
        <f>347+(191.5-46)+(-0.53091+(-0.292995--0.07038))+0-0-0</f>
        <v>491.74647499999998</v>
      </c>
      <c r="AA246" s="3">
        <f>346.8+(168.2-40)+(-0.353736+(-0.171564--0.0408))+0-0-0</f>
        <v>474.51549999999997</v>
      </c>
      <c r="AB246" s="3">
        <f>346.4+(163.5-35)+(-0.529992+(-0.250155--0.05355))+0-0-0</f>
        <v>474.17340299999995</v>
      </c>
      <c r="AC246" s="3">
        <f>344+(140.2-35)+(0+(0-0))+0-0-0</f>
        <v>449.2</v>
      </c>
      <c r="AD246" s="2">
        <v>558.79999999999995</v>
      </c>
      <c r="AE246" s="3">
        <v>5574.1</v>
      </c>
    </row>
    <row r="247" spans="1:31" s="2" customFormat="1" x14ac:dyDescent="0.3">
      <c r="A247">
        <v>91</v>
      </c>
      <c r="B247">
        <v>9</v>
      </c>
      <c r="C247">
        <v>1</v>
      </c>
      <c r="D247">
        <v>5</v>
      </c>
      <c r="E247">
        <v>1</v>
      </c>
      <c r="F247" s="3">
        <f>339+(128.1-36)+(-0.86445+(-0.326655--0.0918))+0-0-0</f>
        <v>430.00069500000001</v>
      </c>
      <c r="G247" s="3">
        <f>285+(161.6-37)+(0.14535+(0.082416-0.01887))+0-0-0</f>
        <v>409.808896</v>
      </c>
      <c r="H247" s="3">
        <f>285+(150.6-37)+(-0.2907+(-0.153612--0.03774))+0-0-0</f>
        <v>398.19342800000004</v>
      </c>
      <c r="I247" s="3">
        <f>287+(144.9-38)+(0.14637+(0.073899-0.01938))+0-0-0</f>
        <v>394.100889</v>
      </c>
      <c r="J247" s="3">
        <f>330+(108.2-41)+(0.8415+(0.27591-0.10455))+0-0-0</f>
        <v>398.21285999999998</v>
      </c>
      <c r="K247" s="3">
        <f>330+(144.4-42)+(0.3366+(0.147288-0.04284))+0-0-0</f>
        <v>432.841048</v>
      </c>
      <c r="L247" s="3">
        <f>330+(165.2-40)+(0.5049+(0.252756-0.0612))+0-0-0</f>
        <v>455.896456</v>
      </c>
      <c r="M247" s="3">
        <f>334+(178.4-37)+(0.68136+(0.363936-0.07548))+0-0-0</f>
        <v>476.36981599999996</v>
      </c>
      <c r="N247" s="3">
        <f>364+(161.5-41)+(-0.18564+(-0.082365--0.02091))+0-0-0</f>
        <v>484.252905</v>
      </c>
      <c r="O247" s="3">
        <f>363+(163.2-38)+(-0.37026+(-0.166464--0.03876))+0-0-0</f>
        <v>487.70203599999996</v>
      </c>
      <c r="P247" s="3">
        <f>374+(154.6-36)+(-0.57222+(-0.236538--0.05508))+0-0-0</f>
        <v>491.84632200000004</v>
      </c>
      <c r="Q247" s="3">
        <f>373+(160.1-32)+(-0.95115+(-0.408255--0.0816))+0-0-0</f>
        <v>499.82219500000002</v>
      </c>
      <c r="R247" s="3">
        <f>374+(169.4-40)+(-0.19074+(-0.086394--0.0204))+0-0-0</f>
        <v>503.14326599999998</v>
      </c>
      <c r="S247" s="3">
        <f>373+(154.1-42)+(-0.95115+(-0.392955--0.1071))+0-0-0</f>
        <v>483.86299500000001</v>
      </c>
      <c r="T247" s="3">
        <f>373+(140.6-40)+(0+(0-0))+0-0-0</f>
        <v>473.6</v>
      </c>
      <c r="U247" s="3">
        <f>374+(139.3-39)+(-0.9537+(-0.355215--0.09945))+0-0-0</f>
        <v>473.09053499999999</v>
      </c>
      <c r="V247" s="3">
        <f>379+(166.6-39)+(-0.19329+(-0.084966--0.01989))+0-0-0</f>
        <v>506.341634</v>
      </c>
      <c r="W247" s="3">
        <f>382+(223-48)+(0.19482+(0.11373-0.02448))+0-0-0</f>
        <v>557.28407000000004</v>
      </c>
      <c r="X247" s="3">
        <f>383+(224-48)+(-0.19533+(-0.11424--0.02448))+0-0-0</f>
        <v>558.71491000000003</v>
      </c>
      <c r="Y247" s="3">
        <f>373+(227.5-44)+(-0.76092+(-0.4641--0.08976))+0-0-0</f>
        <v>555.36473999999998</v>
      </c>
      <c r="Z247" s="3">
        <f>364+(211.6-44)+(-0.37128+(-0.215832--0.04488))+0-0-0</f>
        <v>531.05776800000001</v>
      </c>
      <c r="AA247" s="3">
        <f>365+(195.8-39)+(-0.3723+(-0.199716--0.03978))+0-0-0</f>
        <v>521.26776399999994</v>
      </c>
      <c r="AB247" s="3">
        <f>364+(172.9-37)+(-0.18564+(-0.088179--0.01887))+0-0-0</f>
        <v>499.64505099999997</v>
      </c>
      <c r="AC247" s="3">
        <f>356+(149.9-37)+(-0.72624+(-0.305796--0.07548))+0-0-0</f>
        <v>467.943444</v>
      </c>
      <c r="AD247" s="2">
        <v>556.4</v>
      </c>
      <c r="AE247" s="3">
        <v>5585.0999999999995</v>
      </c>
    </row>
    <row r="248" spans="1:31" s="2" customFormat="1" x14ac:dyDescent="0.3">
      <c r="A248">
        <v>91</v>
      </c>
      <c r="B248">
        <v>9</v>
      </c>
      <c r="C248">
        <v>2</v>
      </c>
      <c r="D248">
        <v>6</v>
      </c>
      <c r="E248">
        <v>1</v>
      </c>
      <c r="F248" s="3">
        <f>290+(181.5-32)+(0+(0-0))+0-0-0</f>
        <v>439.5</v>
      </c>
      <c r="G248" s="3">
        <f>290+(160.8-31)+(-0.4437+(-0.246024--0.04743))+0-0-0</f>
        <v>419.15770600000002</v>
      </c>
      <c r="H248" s="3">
        <f>290+(148.7-31)+(0.1479+(0.075837-0.01581))+0-0-0</f>
        <v>407.90792699999997</v>
      </c>
      <c r="I248" s="3">
        <f>290+(143.7-31)+(-0.1479+(-0.073287--0.01581))+0-0-0</f>
        <v>402.49462299999999</v>
      </c>
      <c r="J248" s="3">
        <f>290+(152.5-31)+(0.5916+(0.3111-0.06324))+0-0-0</f>
        <v>412.33945999999997</v>
      </c>
      <c r="K248" s="3">
        <f>290+(184.4-37)+(0.1479+(0.094044-0.01887))+0-0-0</f>
        <v>437.62307399999997</v>
      </c>
      <c r="L248" s="3">
        <f>268.2+(199.5-40)+(-0.68391+(-0.508725--0.102))+0-0-0</f>
        <v>426.60936499999997</v>
      </c>
      <c r="M248" s="3">
        <f>272.1+(217.8-37)+(0.138771+(0.111078-0.01887))+0-0-0</f>
        <v>453.13097900000002</v>
      </c>
      <c r="N248" s="3">
        <f>348.6+(156.8-35)+(0.355572+(0.159936-0.0357))+0-0-0</f>
        <v>470.87980800000003</v>
      </c>
      <c r="O248" s="3">
        <f>374.1+(139.8-35)+(-0.381582+(-0.142596--0.0357))+0-0-0</f>
        <v>478.41152200000005</v>
      </c>
      <c r="P248" s="3">
        <f>384.3+(132.9-39)+(-0.391986+(-0.135558--0.03978))+0-0-0</f>
        <v>477.71223600000002</v>
      </c>
      <c r="Q248" s="3">
        <f>390.3+(128.1-40)+(-0.199053+(-0.065331--0.0204))+0-0-0</f>
        <v>478.15601599999997</v>
      </c>
      <c r="R248" s="3">
        <f>408+(134.7-41)+(-1.45656+(-0.480879--0.14637))+0-0-0</f>
        <v>499.908931</v>
      </c>
      <c r="S248" s="3">
        <f>337+(180.1-39)+(-0.51561+(-0.275553--0.05967))+0-0-0</f>
        <v>477.36850700000002</v>
      </c>
      <c r="T248" s="3">
        <f>337+(165.1-40)+(-0.68748+(-0.336804--0.0816))+0-0-0</f>
        <v>461.15731600000004</v>
      </c>
      <c r="U248" s="3">
        <f>337+(154.8-37)+(0+(0-0))+0-0-0</f>
        <v>454.8</v>
      </c>
      <c r="V248" s="3">
        <f>340+(176.4-37)+(0+(0-0))+0-0-0</f>
        <v>479.4</v>
      </c>
      <c r="W248" s="3">
        <f>416+(164.3-48)+(0.21216+(0.083793-0.02448))+0-0-0</f>
        <v>532.57147299999997</v>
      </c>
      <c r="X248" s="3">
        <f>416+(168.9-46)+(-0.63648+(-0.258417--0.07038))+0-0-0</f>
        <v>538.07548299999996</v>
      </c>
      <c r="Y248" s="3">
        <f>415+(164.3-44)+(-1.2699+(-0.502758--0.13464))+0-0-0</f>
        <v>533.66198199999997</v>
      </c>
      <c r="Z248" s="3">
        <f>416+(146-41)+(-0.63648+(-0.22338--0.06273))+0-0-0</f>
        <v>520.20286999999996</v>
      </c>
      <c r="AA248" s="3">
        <f>382+(159-42)+(-0.38964+(-0.16218--0.04284))+0-0-0</f>
        <v>498.49101999999999</v>
      </c>
      <c r="AB248" s="3">
        <f>382+(141.2-37)+(-0.19482+(-0.072012--0.01887))+0-0-0</f>
        <v>485.95203800000002</v>
      </c>
      <c r="AC248" s="3">
        <f>382+(119.3-36)+(-0.58446+(-0.182529--0.05508))+0-0-0</f>
        <v>464.58809100000002</v>
      </c>
      <c r="AD248" s="2">
        <v>537.5</v>
      </c>
      <c r="AE248" s="3">
        <v>5235.6000000000004</v>
      </c>
    </row>
    <row r="249" spans="1:31" s="2" customFormat="1" x14ac:dyDescent="0.3">
      <c r="A249">
        <v>91</v>
      </c>
      <c r="B249">
        <v>9</v>
      </c>
      <c r="C249">
        <v>3</v>
      </c>
      <c r="D249">
        <v>7</v>
      </c>
      <c r="E249">
        <v>1</v>
      </c>
      <c r="F249" s="3">
        <f>364.4+(95.7-36)+(-0.92922+(-0.244035--0.0918))+0-0-0</f>
        <v>423.01854499999996</v>
      </c>
      <c r="G249" s="3">
        <f>324.8+(115.4-35)+(-0.331296+(-0.117708--0.0357))+0-0-0</f>
        <v>404.78669600000006</v>
      </c>
      <c r="H249" s="3">
        <f>284.9+(138.6-35)+(0.145299+(0.070686-0.01785))+0-0-0</f>
        <v>388.69813499999998</v>
      </c>
      <c r="I249" s="3">
        <f>287.3+(131.4-35)+(-0.439569+(-0.201042--0.05355))+0-0-0</f>
        <v>383.11293900000004</v>
      </c>
      <c r="J249" s="3">
        <f>287.1+(135.9-40)+(-0.146421+(-0.069309--0.0204))+0-0-0</f>
        <v>382.80466999999999</v>
      </c>
      <c r="K249" s="3">
        <f>287.1+(156.5-40)+(-0.146421+(-0.079815--0.0204))+0-0-0</f>
        <v>403.39416400000005</v>
      </c>
      <c r="L249" s="3">
        <f>283.1+(161.9-41)+(-0.577524+(-0.330276--0.08364))+0-0-0</f>
        <v>403.17583999999999</v>
      </c>
      <c r="M249" s="3">
        <f>283.4+(179.2-41)+(-0.144534+(-0.091392--0.02091))+0-0-0</f>
        <v>421.38498399999997</v>
      </c>
      <c r="N249" s="3">
        <f>283.6+(193.8-39)+(0.433908+(0.296514-0.05967))+0-0-0</f>
        <v>439.07075200000003</v>
      </c>
      <c r="O249" s="3">
        <f>272.3+(202.8-35)+(-0.138873+(-0.103428--0.01785))+0-0-0</f>
        <v>439.87554900000003</v>
      </c>
      <c r="P249" s="3">
        <f>281+(193.9-34)+(0.14331+(0.098889-0.01734))+0-0-0</f>
        <v>441.12485899999996</v>
      </c>
      <c r="Q249" s="3">
        <f>281.1+(200.1-35)+(-0.860166+(-0.612306--0.1071))+0-0-0</f>
        <v>444.83462800000007</v>
      </c>
      <c r="R249" s="3">
        <f>280.1+(200.7-33)+(-0.142851+(-0.102357--0.01683))+0-0-0</f>
        <v>447.57162199999999</v>
      </c>
      <c r="S249" s="3">
        <f>279.9+(185.7-33)+(-0.713745+(-0.473535--0.08415))+0-0-0</f>
        <v>431.49686999999994</v>
      </c>
      <c r="T249" s="3">
        <f>278.9+(175.2-35)+(0.142239+(0.089352-0.01785))+0-0-0</f>
        <v>419.31374099999999</v>
      </c>
      <c r="U249" s="3">
        <f>280.1+(173.8-36)+(-0.285702+(-0.177276--0.03672))+0-0-0</f>
        <v>417.47374200000002</v>
      </c>
      <c r="V249" s="3">
        <f>289.3+(193.8-41)+(0.147543+(0.098838-0.02091))+0-0-0</f>
        <v>442.32547100000005</v>
      </c>
      <c r="W249" s="3">
        <f>358.7+(174.6-39)+(-0.365874+(-0.178092--0.03978))+0-0-0</f>
        <v>493.79581399999995</v>
      </c>
      <c r="X249" s="3">
        <f>359.2+(175.7-44)+(-0.366384+(-0.179214--0.04488))+0-0-0</f>
        <v>490.39928199999997</v>
      </c>
      <c r="Y249" s="3">
        <f>359.5+(163-44)+(-0.550035+(-0.24939--0.06732))+0-0-0</f>
        <v>477.76789500000001</v>
      </c>
      <c r="Z249" s="3">
        <f>360.4+(143-41)+(-0.183804+(-0.07293--0.02091))+0-0-0</f>
        <v>462.164176</v>
      </c>
      <c r="AA249" s="3">
        <f>361.2+(128.4-32)+(0+(0-0))+0-0-0</f>
        <v>457.6</v>
      </c>
      <c r="AB249" s="3">
        <f>362+(108.7-33)+(-0.36924+(-0.110874--0.03366))+0-0-0</f>
        <v>437.25354599999997</v>
      </c>
      <c r="AC249" s="3">
        <f>361.4+(93.7-32)+(-0.552942+(-0.143361--0.04896))+0-0-0</f>
        <v>422.45265699999999</v>
      </c>
      <c r="AD249" s="2">
        <v>510.5</v>
      </c>
      <c r="AE249" s="3">
        <v>4020.7999999999997</v>
      </c>
    </row>
    <row r="250" spans="1:31" s="2" customFormat="1" x14ac:dyDescent="0.3">
      <c r="A250">
        <v>91</v>
      </c>
      <c r="B250">
        <v>9</v>
      </c>
      <c r="C250">
        <v>4</v>
      </c>
      <c r="D250">
        <v>1</v>
      </c>
      <c r="E250">
        <v>5</v>
      </c>
      <c r="F250" s="3">
        <f>366+(80.9-30)+(-0.74664+(-0.165036--0.0612))+0-0-0</f>
        <v>416.04952399999996</v>
      </c>
      <c r="G250" s="3">
        <f>304+(121.2-30)+(-0.93024+(-0.370872--0.0918))+0-0-0</f>
        <v>393.99068799999998</v>
      </c>
      <c r="H250" s="3">
        <f>306+(108.7-31)+(-0.15606+(-0.055437--0.01581))+0-0-0</f>
        <v>383.50431299999997</v>
      </c>
      <c r="I250" s="3">
        <f>306+(103.4-31)+(-0.31212+(-0.105468--0.03162))+0-0-0</f>
        <v>378.01403199999999</v>
      </c>
      <c r="J250" s="3">
        <f>306+(109.1-33)+(-0.31212+(-0.111282--0.03366))+0-0-0</f>
        <v>381.71025800000001</v>
      </c>
      <c r="K250" s="3">
        <f>306+(131.3-33)+(0.15606+(0.066963-0.01683))+0-0-0</f>
        <v>404.506193</v>
      </c>
      <c r="L250" s="3">
        <f>304+(135.5-35)+(-0.46512+(-0.207315--0.05355))+0-0-0</f>
        <v>403.88111500000002</v>
      </c>
      <c r="M250" s="3">
        <f>304+(147.1-35)+(-0.15504+(-0.075021--0.01785))+0-0-0</f>
        <v>415.887789</v>
      </c>
      <c r="N250" s="3">
        <f>305+(155.3-38)+(-0.3111+(-0.158406--0.03876))+0-0-0</f>
        <v>421.86925400000001</v>
      </c>
      <c r="O250" s="3">
        <f>290+(153.7-37)+(-0.2958+(-0.156774--0.03774))+0-0-0</f>
        <v>406.285166</v>
      </c>
      <c r="P250" s="3">
        <f>305+(151-35)+(-0.46665+(-0.23103--0.05355))+0-0-0</f>
        <v>420.35586999999998</v>
      </c>
      <c r="Q250" s="3">
        <f>305+(153.2-35)+(-0.15555+(-0.078132--0.01785))+0-0-0</f>
        <v>422.98416800000001</v>
      </c>
      <c r="R250" s="3">
        <f>304+(158.3-36)+(0+(0-0))+0-0-0</f>
        <v>426.3</v>
      </c>
      <c r="S250" s="3">
        <f>304+(151-35)+(0.15504+(0.07701-0.01785))+0-0-0</f>
        <v>420.21420000000001</v>
      </c>
      <c r="T250" s="3">
        <f>304+(150.6-35)+(0.15504+(0.076806-0.01785))+0-0-0</f>
        <v>419.81399600000003</v>
      </c>
      <c r="U250" s="3">
        <f>304+(157.8-35)+(0.15504+(0.080478-0.01785))+0-0-0</f>
        <v>427.01766800000001</v>
      </c>
      <c r="V250" s="3">
        <f>304+(185.4-39)+(0.15504+(0.094554-0.01989))+0-0-0</f>
        <v>450.629704</v>
      </c>
      <c r="W250" s="3">
        <f>305+(223-38)+(0+(0-0))+0-0-0</f>
        <v>490</v>
      </c>
      <c r="X250" s="3">
        <f>305+(221.2-38)+(0+(0-0))+0-0-0</f>
        <v>488.2</v>
      </c>
      <c r="Y250" s="3">
        <f>305+(206.8-36)+(-0.6222+(-0.421872--0.07344))+0-0-0</f>
        <v>474.82936799999999</v>
      </c>
      <c r="Z250" s="3">
        <f>304+(188.3-31)+(-0.31008+(-0.192066--0.03162))+0-0-0</f>
        <v>460.829474</v>
      </c>
      <c r="AA250" s="3">
        <f>305+(167-28)+(-0.46665+(-0.25551--0.04284))+0-0-0</f>
        <v>443.32067999999998</v>
      </c>
      <c r="AB250" s="3">
        <f>309+(145.9-27)+(0.15759+(0.074409-0.01377))+0-0-0</f>
        <v>428.11822899999999</v>
      </c>
      <c r="AC250" s="3">
        <f>328+(110.7-26)+(0+(0-0))+0-0-0</f>
        <v>412.7</v>
      </c>
      <c r="AD250" s="2">
        <v>490.70000000000005</v>
      </c>
      <c r="AE250" s="3">
        <v>3535.4</v>
      </c>
    </row>
    <row r="251" spans="1:31" s="2" customFormat="1" x14ac:dyDescent="0.3">
      <c r="A251">
        <v>91</v>
      </c>
      <c r="B251">
        <v>9</v>
      </c>
      <c r="C251">
        <v>5</v>
      </c>
      <c r="D251">
        <v>2</v>
      </c>
      <c r="E251">
        <v>5</v>
      </c>
      <c r="F251" s="3">
        <f>327+(90.6-25)+(-1.16739+(-0.323442--0.08925))+0-0-0</f>
        <v>391.198418</v>
      </c>
      <c r="G251" s="3">
        <f>329+(73.5-25)+(-0.33558+(-0.07497--0.0255))+0-0-0</f>
        <v>377.11495000000002</v>
      </c>
      <c r="H251" s="3">
        <f>316+(71.9-25)+(-0.48348+(-0.110007--0.03825))+0-0-0</f>
        <v>362.344763</v>
      </c>
      <c r="I251" s="3">
        <f>316+(72.1-26)+(0.32232+(0.073542-0.02652))+0-0-0</f>
        <v>362.46934200000004</v>
      </c>
      <c r="J251" s="3">
        <f>316+(82.2-30)+(-0.16116+(-0.041922--0.0153))+0-0-0</f>
        <v>368.01221799999996</v>
      </c>
      <c r="K251" s="3">
        <f>316+(109.7-34)+(0.32232+(0.111894-0.03468))+0-0-0</f>
        <v>392.09953400000001</v>
      </c>
      <c r="L251" s="3">
        <f>314+(120.4-33)+(-1.12098+(-0.429828--0.11781))+0-0-0</f>
        <v>399.96700199999998</v>
      </c>
      <c r="M251" s="3">
        <f>297+(145.7-33)+(-0.15147+(-0.074307--0.01683))+0-0-0</f>
        <v>409.49105299999997</v>
      </c>
      <c r="N251" s="3">
        <f>293+(154.1-33)+(0.59772+(0.314364-0.06732))+0-0-0</f>
        <v>414.94476400000002</v>
      </c>
      <c r="O251" s="3">
        <f>293+(152.6-32)+(-0.29886+(-0.155652--0.03264))+0-0-0</f>
        <v>413.17812800000002</v>
      </c>
      <c r="P251" s="3">
        <f>292+(145.9-33)+(-1.04244+(-0.520863--0.11781))+0-0-0</f>
        <v>403.45450699999998</v>
      </c>
      <c r="Q251" s="3">
        <f>291+(148.4-33)+(0.44523+(0.227052-0.05049))+0-0-0</f>
        <v>407.021792</v>
      </c>
      <c r="R251" s="3">
        <f>288+(153.6-30)+(0.44064+(0.235008-0.0459))+0-0-0</f>
        <v>412.22974800000003</v>
      </c>
      <c r="S251" s="3">
        <f>288+(155.9-30)+(0.29376+(0.159018-0.0306))+0-0-0</f>
        <v>414.32217799999995</v>
      </c>
      <c r="T251" s="3">
        <f>288+(160.5-34)+(-0.58752+(-0.32742--0.06936))+0-0-0</f>
        <v>413.65442000000002</v>
      </c>
      <c r="U251" s="3">
        <f>288+(165.4-35)+(0.44064+(0.253062-0.05355))+0-0-0</f>
        <v>419.04015199999998</v>
      </c>
      <c r="V251" s="3">
        <f>309+(188.8-40)+(0+(0-0))+0-0-0</f>
        <v>457.8</v>
      </c>
      <c r="W251" s="3">
        <f>381+(167.3-42)+(0.19431+(0.085323-0.02142))+0-0-0</f>
        <v>506.55821300000002</v>
      </c>
      <c r="X251" s="3">
        <f>380+(168-41)+(-0.7752+(-0.34272--0.08364))+0-0-0</f>
        <v>505.96571999999998</v>
      </c>
      <c r="Y251" s="3">
        <f>380+(160.4-41)+(-0.7752+(-0.327216--0.08364))+0-0-0</f>
        <v>498.38122399999997</v>
      </c>
      <c r="Z251" s="3">
        <f>381+(143-35)+(0.38862+(0.14586-0.0357))+0-0-0</f>
        <v>489.49878000000001</v>
      </c>
      <c r="AA251" s="3">
        <f>381+(125-33)+(-0.19431+(-0.06375--0.01683))+0-0-0</f>
        <v>472.75877000000003</v>
      </c>
      <c r="AB251" s="3">
        <f>379+(104.8-32)+(-0.96645+(-0.26724--0.0816))+0-0-0</f>
        <v>450.64791000000002</v>
      </c>
      <c r="AC251" s="3">
        <f>350+(108.8-30)+(-0.714+(-0.221952--0.0612))+0-0-0</f>
        <v>427.92524800000001</v>
      </c>
      <c r="AD251" s="2">
        <v>502.20000000000005</v>
      </c>
      <c r="AE251" s="3">
        <v>2995.8</v>
      </c>
    </row>
    <row r="252" spans="1:31" s="2" customFormat="1" x14ac:dyDescent="0.3">
      <c r="A252">
        <v>91</v>
      </c>
      <c r="B252">
        <v>9</v>
      </c>
      <c r="C252">
        <v>6</v>
      </c>
      <c r="D252">
        <v>3</v>
      </c>
      <c r="E252">
        <v>1</v>
      </c>
      <c r="F252" s="3">
        <f>307+(124.4-30)+(-0.46971+(-0.190332--0.0459))+0-0-0</f>
        <v>400.78585799999996</v>
      </c>
      <c r="G252" s="3">
        <f>307+(107.4-29)+(-0.15657+(-0.054774--0.01479))+0-0-0</f>
        <v>385.20344599999999</v>
      </c>
      <c r="H252" s="3">
        <f>307+(98.7-29)+(-0.31314+(-0.100674--0.02958))+0-0-0</f>
        <v>376.315766</v>
      </c>
      <c r="I252" s="3">
        <f>307+(95.2-31)+(0.15657+(0.048552-0.01581))+0-0-0</f>
        <v>371.38931199999996</v>
      </c>
      <c r="J252" s="3">
        <f>307+(104-36)+(0.15657+(0.05304-0.01836))+0-0-0</f>
        <v>375.19125000000003</v>
      </c>
      <c r="K252" s="3">
        <f>307+(143.9-39)+(0.62628+(0.293556-0.07956))+0-0-0</f>
        <v>412.74027599999999</v>
      </c>
      <c r="L252" s="3">
        <f>284.9+(165.2-40)+(-0.581196+(-0.337008--0.0816))+0-0-0</f>
        <v>409.26339599999994</v>
      </c>
      <c r="M252" s="3">
        <f>286+(180.7-39)+(0.58344+(0.368628-0.07956))+0-0-0</f>
        <v>428.57250799999997</v>
      </c>
      <c r="N252" s="3">
        <f>289.4+(188.3-36)+(0.442782+(0.288099-0.05508))+0-0-0</f>
        <v>442.37580099999997</v>
      </c>
      <c r="O252" s="3">
        <f>357.2+(129.2-34)+(0.182172+(0.065892-0.01734))+0-0-0</f>
        <v>452.63072399999999</v>
      </c>
      <c r="P252" s="3">
        <f>356.7+(128.9-37)+(0+(0-0))+0-0-0</f>
        <v>448.6</v>
      </c>
      <c r="Q252" s="3">
        <f>371+(118.2-37)+(-0.18921+(-0.060282--0.01887))+0-0-0</f>
        <v>451.96937800000001</v>
      </c>
      <c r="R252" s="3">
        <f>400.3+(98.9-32)+(-1.429071+(-0.353073--0.11424))+0-0-0</f>
        <v>465.53209600000002</v>
      </c>
      <c r="S252" s="3">
        <f>336+(153.6-37)+(0+(0-0))+0-0-0</f>
        <v>452.6</v>
      </c>
      <c r="T252" s="3">
        <f>335.8+(141.7-36)+(0+(0-0))+0-0-0</f>
        <v>441.5</v>
      </c>
      <c r="U252" s="3">
        <f>334.2+(135.7-35)+(0.340884+(0.138414-0.0357))+0-0-0</f>
        <v>435.34359799999999</v>
      </c>
      <c r="V252" s="3">
        <f>361.2+(147.3-39)+(-0.552636+(-0.225369--0.05967))+0-0-0</f>
        <v>468.78166499999998</v>
      </c>
      <c r="W252" s="3">
        <f>455.6+(117.1-47.2)+(-0.697068+(-0.179163--0.072216))+0-0-0</f>
        <v>524.69598499999995</v>
      </c>
      <c r="X252" s="3">
        <f>422.8+(145.3-43)+(0+(0-0))+0-0-0</f>
        <v>525.1</v>
      </c>
      <c r="Y252" s="3">
        <f>414.5+(148.7-44)+(0.84558+(0.303348-0.08976))+0-0-0</f>
        <v>520.25916800000005</v>
      </c>
      <c r="Z252" s="3">
        <f>351.2+(194.2-43)+(0.537336+(0.297126-0.06579))+0-0-0</f>
        <v>503.16867199999996</v>
      </c>
      <c r="AA252" s="3">
        <f>341.3+(186.7-40)+(0.522189+(0.285651-0.0612))+0-0-0</f>
        <v>488.74664000000001</v>
      </c>
      <c r="AB252" s="3">
        <f>340.4+(162.9-38)+(-0.347208+(-0.166158--0.03876))+0-0-0</f>
        <v>464.82539399999996</v>
      </c>
      <c r="AC252" s="3">
        <f>300.9+(169.2-39)+(-0.460377+(-0.258876--0.05967))+0-0-0</f>
        <v>430.44041699999997</v>
      </c>
      <c r="AD252" s="2">
        <v>566.1</v>
      </c>
      <c r="AE252" s="3">
        <v>5512.7000000000007</v>
      </c>
    </row>
    <row r="253" spans="1:31" s="2" customFormat="1" x14ac:dyDescent="0.3">
      <c r="A253">
        <v>91</v>
      </c>
      <c r="B253">
        <v>9</v>
      </c>
      <c r="C253">
        <v>7</v>
      </c>
      <c r="D253">
        <v>4</v>
      </c>
      <c r="E253">
        <v>1</v>
      </c>
      <c r="F253" s="3">
        <f>229.4+(160-35)+(-0.233988+(-0.1632--0.0357))+0-0-0</f>
        <v>354.03851199999997</v>
      </c>
      <c r="G253" s="3">
        <f>229.4+(143.6-35)+(-0.818958+(-0.512652--0.12495))+0-0-0</f>
        <v>336.79334</v>
      </c>
      <c r="H253" s="3">
        <f>228.7+(133.8-34)+(0.116637+(0.068238-0.01734))+0-0-0</f>
        <v>328.66753499999999</v>
      </c>
      <c r="I253" s="3">
        <f>228.7+(129.3-36)+(0.233274+(0.131886-0.03672))+0-0-0</f>
        <v>322.32844</v>
      </c>
      <c r="J253" s="3">
        <f>229.2+(140.2-39)+(-0.116892+(-0.071502--0.01989))+0-0-0</f>
        <v>330.23149599999999</v>
      </c>
      <c r="K253" s="3">
        <f>229+(172.9-42)+(0+(0-0))+0-0-0</f>
        <v>359.9</v>
      </c>
      <c r="L253" s="3">
        <f>288.9+(186.6-35)+(-0.442017+(-0.285498--0.05355))+0-0-0</f>
        <v>439.82603499999999</v>
      </c>
      <c r="M253" s="3">
        <f>390.3+(107.4-35)+(-0.398106+(-0.109548--0.0357))+0-0-0</f>
        <v>462.22804600000006</v>
      </c>
      <c r="N253" s="3">
        <f>435+(99.5-36)+(0+(0-0))+0-0-0</f>
        <v>498.5</v>
      </c>
      <c r="O253" s="3">
        <f>430+(110.4-36)+(-0.2193+(-0.056304--0.01836))+0-0-0</f>
        <v>504.14275599999996</v>
      </c>
      <c r="P253" s="3">
        <f>428+(108.7-38)+(-0.43656+(-0.110874--0.03876))+0-0-0</f>
        <v>498.191326</v>
      </c>
      <c r="Q253" s="3">
        <f>428+(102.7-38)+(-0.65484+(-0.157131--0.05814))+0-0-0</f>
        <v>491.946169</v>
      </c>
      <c r="R253" s="3">
        <f>344+(167.1-32)+(-0.17544+(-0.085221--0.01632))+0-0-0</f>
        <v>478.855659</v>
      </c>
      <c r="S253" s="3">
        <f>299+(189.9-28)+(-0.30498+(-0.193698--0.02856))+0-0-0</f>
        <v>460.42988199999996</v>
      </c>
      <c r="T253" s="3">
        <f>299+(171-29)+(0.30498+(0.17442-0.02958))+0-0-0</f>
        <v>441.44981999999999</v>
      </c>
      <c r="U253" s="3">
        <f>299+(168.1-30)+(-0.45747+(-0.257193--0.0459))+0-0-0</f>
        <v>436.43123700000001</v>
      </c>
      <c r="V253" s="3">
        <f>346+(163.1-39)+(-0.35292+(-0.166362--0.03978))+0-0-0</f>
        <v>469.620498</v>
      </c>
      <c r="W253" s="3">
        <f>380+(189.6-45)+(-0.5814+(-0.290088--0.06885))+0-0-0</f>
        <v>523.79736200000002</v>
      </c>
      <c r="X253" s="3">
        <f>380+(199.3-46)+(-0.969+(-0.508215--0.1173))+0-0-0</f>
        <v>531.94008499999995</v>
      </c>
      <c r="Y253" s="3">
        <f>381+(193-44)+(0.19431+(0.09843-0.02244))+0-0-0</f>
        <v>530.27030000000002</v>
      </c>
      <c r="Z253" s="3">
        <f>380+(180.1-42)+(-0.5814+(-0.275553--0.06426))+0-0-0</f>
        <v>517.30730700000004</v>
      </c>
      <c r="AA253" s="3">
        <f>380+(155.3-37)+(-0.969+(-0.396015--0.09435))+0-0-0</f>
        <v>497.029335</v>
      </c>
      <c r="AB253" s="3">
        <f>379+(131.1-37)+(-0.19329+(-0.066861--0.01887))+0-0-0</f>
        <v>472.85871900000001</v>
      </c>
      <c r="AC253" s="3">
        <f>326+(148.8-35)+(-0.49878+(-0.227664--0.05355))+0-0-0</f>
        <v>439.12710600000003</v>
      </c>
      <c r="AD253" s="2">
        <v>537</v>
      </c>
      <c r="AE253" s="3">
        <v>5424.5999999999995</v>
      </c>
    </row>
    <row r="254" spans="1:31" s="2" customFormat="1" x14ac:dyDescent="0.3">
      <c r="A254">
        <v>91</v>
      </c>
      <c r="B254">
        <v>9</v>
      </c>
      <c r="C254">
        <v>8</v>
      </c>
      <c r="D254">
        <v>5</v>
      </c>
      <c r="E254">
        <v>1</v>
      </c>
      <c r="F254" s="3">
        <f>299+(151.6-33)+(-0.60996+(-0.309264--0.06732))+0-0-0</f>
        <v>416.74809600000003</v>
      </c>
      <c r="G254" s="3">
        <f>299+(130.3-33)+(0+(0-0))+0-0-0</f>
        <v>396.3</v>
      </c>
      <c r="H254" s="3">
        <f>297+(107-32)+(-0.60588+(-0.21828--0.06528))+0-0-0</f>
        <v>371.24112000000002</v>
      </c>
      <c r="I254" s="3">
        <f>297+(100.8-34)+(-0.15147+(-0.051408--0.01734))+0-0-0</f>
        <v>363.614462</v>
      </c>
      <c r="J254" s="3">
        <f>297+(112.7-36)+(0.45441+(0.172431-0.05508))+0-0-0</f>
        <v>374.27176099999997</v>
      </c>
      <c r="K254" s="3">
        <f>297+(143.6-38)+(0.60588+(0.292944-0.07752))+0-0-0</f>
        <v>403.42130400000002</v>
      </c>
      <c r="L254" s="3">
        <f>296+(160.5-37)+(0.15096+(0.081855-0.01887))+0-0-0</f>
        <v>419.71394500000002</v>
      </c>
      <c r="M254" s="3">
        <f>296+(154.7-37)+(-0.30192+(-0.157794--0.03774))+0-0-0</f>
        <v>413.27802600000001</v>
      </c>
      <c r="N254" s="3">
        <f>325+(133.7-33)+(0+(0-0))+0-0-0</f>
        <v>425.7</v>
      </c>
      <c r="O254" s="3">
        <f>423+(55.4-31)+(-1.07865+(-0.14127--0.07905))+0-0-0</f>
        <v>446.25912999999997</v>
      </c>
      <c r="P254" s="3">
        <f>460+(48.6-40)+(-1.173+(-0.12393--0.102))+0-0-0</f>
        <v>467.40507000000002</v>
      </c>
      <c r="Q254" s="3">
        <f>460+(55.6-38.4)+(-0.7038+(-0.085068--0.058752))+0-0-0</f>
        <v>476.46988399999998</v>
      </c>
      <c r="R254" s="3">
        <f>459+(59.4-45.2)+(-0.46818+(-0.060588--0.046104))+0-0-0</f>
        <v>472.71733599999999</v>
      </c>
      <c r="S254" s="3">
        <f>462+(48.6-44)+(-0.23562+(-0.024786--0.02244))+0-0-0</f>
        <v>466.36203400000005</v>
      </c>
      <c r="T254" s="3">
        <f>464+(73-49)+(-0.47328+(-0.07446--0.04998))+0-0-0</f>
        <v>487.50223999999997</v>
      </c>
      <c r="U254" s="3">
        <f>467+(76-41)+(-0.47634+(-0.07752--0.04182))+0-0-0</f>
        <v>501.48795999999999</v>
      </c>
      <c r="V254" s="3">
        <f>467+(112-46)+(0+(0-0))+0-0-0</f>
        <v>533</v>
      </c>
      <c r="W254" s="3">
        <f>534+(77.4-59.5)+(0.81702+(0.118422-0.091035))+0-0-0</f>
        <v>552.74440700000002</v>
      </c>
      <c r="X254" s="3">
        <f>551+(72.9-66.2)+(-0.28101+(-0.037179--0.033762))+0-0-0</f>
        <v>557.41557299999999</v>
      </c>
      <c r="Y254" s="3">
        <f>553+(61.7-66.6)+(0+(0-0))+0-0-0</f>
        <v>548.1</v>
      </c>
      <c r="Z254" s="3">
        <f>542+(51.6-62.6)+(-0.27642+(-0.026316--0.031926))+0-0-0</f>
        <v>530.72919000000002</v>
      </c>
      <c r="AA254" s="3">
        <f>532+(38.3-64.4)+(-0.54264+(-0.039066--0.065688))+0-0-0</f>
        <v>505.383982</v>
      </c>
      <c r="AB254" s="3">
        <f>493+(37.7-49.5)+(-0.75429+(-0.057681--0.075735))+0-0-0</f>
        <v>480.46376399999997</v>
      </c>
      <c r="AC254" s="3">
        <f>440+(43.3-35)+(-1.122+(-0.110415--0.08925))+0-0-0</f>
        <v>447.156835</v>
      </c>
      <c r="AD254" s="2">
        <v>569.9</v>
      </c>
      <c r="AE254" s="3">
        <v>5532.7999999999993</v>
      </c>
    </row>
    <row r="255" spans="1:31" s="2" customFormat="1" x14ac:dyDescent="0.3">
      <c r="A255">
        <v>91</v>
      </c>
      <c r="B255">
        <v>9</v>
      </c>
      <c r="C255">
        <v>9</v>
      </c>
      <c r="D255">
        <v>6</v>
      </c>
      <c r="E255">
        <v>1</v>
      </c>
      <c r="F255" s="3">
        <f>386+(73.5-34)+(-0.78744+(-0.14994--0.06936))+0-0-0</f>
        <v>424.63198</v>
      </c>
      <c r="G255" s="3">
        <f>321+(109.2-32)+(-0.16371+(-0.055692--0.01632))+0-0-0</f>
        <v>397.99691799999999</v>
      </c>
      <c r="H255" s="3">
        <f>306+(112-32)+(-0.62424+(-0.22848--0.06528))+0-0-0</f>
        <v>385.21256</v>
      </c>
      <c r="I255" s="3">
        <f>306+(107.5-33)+(0.15606+(0.054825-0.01683))+0-0-0</f>
        <v>380.69405499999999</v>
      </c>
      <c r="J255" s="3">
        <f>306+(113.7-36)+(-0.46818+(-0.173961--0.05508))+0-0-0</f>
        <v>383.11293899999998</v>
      </c>
      <c r="K255" s="3">
        <f>306+(143.3-39)+(0.46818+(0.219249-0.05967))+0-0-0</f>
        <v>410.92775900000004</v>
      </c>
      <c r="L255" s="3">
        <f>307+(156.1-43)+(-0.15657+(-0.079611--0.02193))+0-0-0</f>
        <v>419.88574900000003</v>
      </c>
      <c r="M255" s="3">
        <f>359+(126-37)+(0.91545+(0.3213-0.09435))+0-0-0</f>
        <v>449.14240000000001</v>
      </c>
      <c r="N255" s="3">
        <f>402+(92.7-36)+(1.0251+(0.236385-0.0918))+0-0-0</f>
        <v>459.869685</v>
      </c>
      <c r="O255" s="3">
        <f>401+(98.1-35)+(0.20451+(0.050031-0.01785))+0-0-0</f>
        <v>464.33669100000003</v>
      </c>
      <c r="P255" s="3">
        <f>400+(98.9-36)+(0.204+(0.050439-0.01836))+0-0-0</f>
        <v>463.136079</v>
      </c>
      <c r="Q255" s="3">
        <f>399+(100.8-36)+(-0.40698+(-0.102816--0.03672))+0-0-0</f>
        <v>463.32692400000002</v>
      </c>
      <c r="R255" s="3">
        <f>398+(99-36)+(-1.21788+(-0.30294--0.11016))+0-0-0</f>
        <v>459.58933999999999</v>
      </c>
      <c r="S255" s="3">
        <f>398+(83-37)+(-1.0149+(-0.21165--0.09435))+0-0-0</f>
        <v>442.86779999999999</v>
      </c>
      <c r="T255" s="3">
        <f>400+(79-36)+(0.204+(0.04029-0.01836))+0-0-0</f>
        <v>443.22593000000001</v>
      </c>
      <c r="U255" s="3">
        <f>400+(79-36)+(0.204+(0.04029-0.01836))+0-0-0</f>
        <v>443.22593000000001</v>
      </c>
      <c r="V255" s="3">
        <f>401+(110.2-36)+(-0.61353+(-0.168606--0.05508))+0-0-0</f>
        <v>474.47294399999998</v>
      </c>
      <c r="W255" s="3">
        <f>403+(167.5-42)+(0.20553+(0.085425-0.02142))+0-0-0</f>
        <v>528.76953500000002</v>
      </c>
      <c r="X255" s="3">
        <f>402+(168.7-42)+(-1.0251+(-0.430185--0.1071))+0-0-0</f>
        <v>527.3518150000001</v>
      </c>
      <c r="Y255" s="3">
        <f>402+(156.6-41)+(-0.20502+(-0.079866--0.02091))+0-0-0</f>
        <v>517.33602400000007</v>
      </c>
      <c r="Z255" s="3">
        <f>403+(132.6-36)+(0+(0-0))+0-0-0</f>
        <v>499.6</v>
      </c>
      <c r="AA255" s="3">
        <f>403+(107.5-31)+(-0.20553+(-0.054825--0.01581))+0-0-0</f>
        <v>479.25545499999998</v>
      </c>
      <c r="AB255" s="3">
        <f>402+(87.8-30)+(-1.0251+(-0.22389--0.0765))+0-0-0</f>
        <v>458.62751000000003</v>
      </c>
      <c r="AC255" s="3">
        <f>402+(61.1-30)+(-0.41004+(-0.062322--0.0306))+0-0-0</f>
        <v>432.65823800000004</v>
      </c>
      <c r="AD255" s="2">
        <v>529.1</v>
      </c>
      <c r="AE255" s="3">
        <v>5319.9000000000005</v>
      </c>
    </row>
    <row r="256" spans="1:31" s="2" customFormat="1" x14ac:dyDescent="0.3">
      <c r="A256">
        <v>91</v>
      </c>
      <c r="B256">
        <v>9</v>
      </c>
      <c r="C256">
        <v>10</v>
      </c>
      <c r="D256">
        <v>7</v>
      </c>
      <c r="E256">
        <v>1</v>
      </c>
      <c r="F256" s="3">
        <f>311+(131.4-28)+(0.47583+(0.201042-0.04284))+0-0-0</f>
        <v>415.03403199999997</v>
      </c>
      <c r="G256" s="3">
        <f>292+(130.9-28)+(0+(0-0))+0-0-0</f>
        <v>394.9</v>
      </c>
      <c r="H256" s="3">
        <f>292+(123.4-29)+(0.14892+(0.062934-0.01479))+0-0-0</f>
        <v>386.59706399999999</v>
      </c>
      <c r="I256" s="3">
        <f>292+(121.1-29)+(-0.14892+(-0.061761--0.01479))+0-0-0</f>
        <v>383.90410900000001</v>
      </c>
      <c r="J256" s="3">
        <f>292+(130.3-30)+(0+(0-0))+0-0-0</f>
        <v>392.3</v>
      </c>
      <c r="K256" s="3">
        <f>306+(145.4-37)+(0.31212+(0.148308-0.03774))+0-0-0</f>
        <v>414.82268799999997</v>
      </c>
      <c r="L256" s="3">
        <f>312+(148.3-45)+(-1.43208+(-0.680697--0.20655))+0-0-0</f>
        <v>413.39377300000001</v>
      </c>
      <c r="M256" s="3">
        <f>320+(172.4-41)+(0.3264+(0.175848-0.04182))+0-0-0</f>
        <v>451.86042799999996</v>
      </c>
      <c r="N256" s="3">
        <f>384+(115.2-35)+(-0.39168+(-0.117504--0.0357))+0-0-0</f>
        <v>463.726516</v>
      </c>
      <c r="O256" s="3">
        <f>399+(98.8-29)+(0.40698+(0.100776-0.02958))+0-0-0</f>
        <v>469.27817600000003</v>
      </c>
      <c r="P256" s="3">
        <f>400+(104.1-34)+(0.204+(0.053091-0.01734))+0-0-0</f>
        <v>470.33975100000004</v>
      </c>
      <c r="Q256" s="3">
        <f>398+(118.5-39)+(-0.40596+(-0.12087--0.03978))+0-0-0</f>
        <v>477.01294999999999</v>
      </c>
      <c r="R256" s="3">
        <f>400+(115.4-36)+(-0.816+(-0.235416--0.07344))+0-0-0</f>
        <v>478.42202399999996</v>
      </c>
      <c r="S256" s="3">
        <f>400+(95-34)+(-0.408+(-0.0969--0.03468))+0-0-0</f>
        <v>460.52978000000002</v>
      </c>
      <c r="T256" s="3">
        <f>399+(90.4-31)+(-0.81396+(-0.184416--0.06324))+0-0-0</f>
        <v>457.46486399999998</v>
      </c>
      <c r="U256" s="3">
        <f>351+(136.5-32)+(-0.35802+(-0.13923--0.03264))+0-0-0</f>
        <v>455.03539000000001</v>
      </c>
      <c r="V256" s="3">
        <f>351+(174-37)+(0+(0-0))+0-0-0</f>
        <v>488</v>
      </c>
      <c r="W256" s="3">
        <f>405+(168.4-38)+(0+(0-0))+0-0-0</f>
        <v>535.4</v>
      </c>
      <c r="X256" s="3">
        <f>404+(164.6-37)+(-0.82416+(-0.335784--0.07548))+0-0-0</f>
        <v>530.515536</v>
      </c>
      <c r="Y256" s="3">
        <f>405+(149.5-36)+(0.61965+(0.228735-0.05508))+0-0-0</f>
        <v>519.29330500000003</v>
      </c>
      <c r="Z256" s="3">
        <f>404+(130.2-33)+(-0.61812+(-0.199206--0.05049))+0-0-0</f>
        <v>500.43316399999998</v>
      </c>
      <c r="AA256" s="3">
        <f>405+(104.6-32)+(-0.4131+(-0.106692--0.03264))+0-0-0</f>
        <v>477.11284800000004</v>
      </c>
      <c r="AB256" s="3">
        <f>404+(80.1-30)+(-0.61812+(-0.122553--0.0459))+0-0-0</f>
        <v>453.40522700000002</v>
      </c>
      <c r="AC256" s="3">
        <f>404+(52.3-28)+(-0.82416+(-0.106692--0.05712))+0-0-0</f>
        <v>427.42626799999999</v>
      </c>
      <c r="AD256" s="2">
        <v>530.79999999999995</v>
      </c>
      <c r="AE256" s="3">
        <v>4297.2</v>
      </c>
    </row>
    <row r="257" spans="1:31" s="2" customFormat="1" x14ac:dyDescent="0.3">
      <c r="A257">
        <v>91</v>
      </c>
      <c r="B257">
        <v>9</v>
      </c>
      <c r="C257">
        <v>11</v>
      </c>
      <c r="D257">
        <v>1</v>
      </c>
      <c r="E257">
        <v>1</v>
      </c>
      <c r="F257" s="3">
        <f>380+(51.7-26)+(-0.969+(-0.131835--0.0663))+0-0-0</f>
        <v>404.66546499999998</v>
      </c>
      <c r="G257" s="3">
        <f>315+(96.9-26)+(-0.6426+(-0.197676--0.05304))+0-0-0</f>
        <v>385.11276399999997</v>
      </c>
      <c r="H257" s="3">
        <f>292+(106.3-26)+(-0.29784+(-0.108426--0.02652))+0-0-0</f>
        <v>371.920254</v>
      </c>
      <c r="I257" s="3">
        <f>292+(104.3-27)+(-0.44676+(-0.159579--0.04131))+0-0-0</f>
        <v>368.73497100000003</v>
      </c>
      <c r="J257" s="3">
        <f>292+(116.4-30)+(0+(0-0))+0-0-0</f>
        <v>378.4</v>
      </c>
      <c r="K257" s="3">
        <f>292+(162.2-39)+(0.44676+(0.248166-0.05967))+0-0-0</f>
        <v>415.83525600000002</v>
      </c>
      <c r="L257" s="3">
        <f>293+(196.3-40)+(-0.29886+(-0.200226--0.0408))+0-0-0</f>
        <v>448.84171400000002</v>
      </c>
      <c r="M257" s="3">
        <f>298+(203.3-37)+(0.7599+(0.518415-0.09435))+0-0-0</f>
        <v>465.48396500000001</v>
      </c>
      <c r="N257" s="3">
        <f>401+(111.4-35)+(0.40902+(0.113628-0.0357))+0-0-0</f>
        <v>477.88694799999996</v>
      </c>
      <c r="O257" s="3">
        <f>516+(45.1-72.2)+(0.52632+(0.046002-0.073644))+0-0-0</f>
        <v>489.39867799999996</v>
      </c>
      <c r="P257" s="3">
        <f>516+(43.2-74.7)+(-0.26316+(-0.022032--0.038097))+0-0-0</f>
        <v>484.252905</v>
      </c>
      <c r="Q257" s="3">
        <f>514+(42.2-74.1)+(-0.52428+(-0.043044--0.075582))+0-0-0</f>
        <v>481.60825800000003</v>
      </c>
      <c r="R257" s="3">
        <f>508+(49.1-65.5)+(-1.2954+(-0.125205--0.167025))+0-0-0</f>
        <v>490.34642000000002</v>
      </c>
      <c r="S257" s="3">
        <f>439+(67.2-40.5)+(0.22389+(0.034272-0.020655))+0-0-0</f>
        <v>465.93750699999998</v>
      </c>
      <c r="T257" s="3">
        <f>436+(62.7-41)+(0+(0-0))+0-0-0</f>
        <v>457.7</v>
      </c>
      <c r="U257" s="3">
        <f>435+(66-43)+(-0.66555+(-0.10098--0.06579))+0-0-0</f>
        <v>457.29926</v>
      </c>
      <c r="V257" s="3">
        <f>476+(71-48)+(0.24276+(0.03621-0.02448))+0-0-0</f>
        <v>499.25448999999998</v>
      </c>
      <c r="W257" s="3">
        <f>559+(68.9-62.4)+(-0.57018+(-0.070278--0.063648))+0-0-0</f>
        <v>564.92318999999998</v>
      </c>
      <c r="X257" s="3">
        <f>572+(59.5-61.4)+(0.29172+(0.030345-0.031314))+0-0-0</f>
        <v>570.39075100000002</v>
      </c>
      <c r="Y257" s="3">
        <f>577+(44.8-66.1)+(-0.88281+(-0.068544--0.101133))+0-0-0</f>
        <v>554.84977900000001</v>
      </c>
      <c r="Z257" s="3">
        <f>578+(32.2-71.9)+(-1.76868+(-0.098532--0.220014))+0-0-0</f>
        <v>536.65280199999995</v>
      </c>
      <c r="AA257" s="3">
        <f>576+(21.8-83)+(-2.05632+(-0.077826--0.29631))+0-0-0</f>
        <v>512.96216399999992</v>
      </c>
      <c r="AB257" s="3">
        <f>569+(14.7-95.1)+(-1.45095+(-0.037485--0.242505))+0-0-0</f>
        <v>487.35407000000004</v>
      </c>
      <c r="AC257" s="3">
        <f>562+(10.8-105.5)+(-1.4331+(-0.02754--0.269025))+0-0-0</f>
        <v>466.108385</v>
      </c>
      <c r="AD257" s="2">
        <v>581.6</v>
      </c>
      <c r="AE257" s="3">
        <v>5534.1</v>
      </c>
    </row>
    <row r="258" spans="1:31" s="2" customFormat="1" x14ac:dyDescent="0.3">
      <c r="A258">
        <v>91</v>
      </c>
      <c r="B258">
        <v>9</v>
      </c>
      <c r="C258">
        <v>12</v>
      </c>
      <c r="D258">
        <v>2</v>
      </c>
      <c r="E258">
        <v>1</v>
      </c>
      <c r="F258" s="3">
        <f>540+(7.5-112.3)+(-0.2754+(-0.003825--0.057273))+0-0-0</f>
        <v>434.978048</v>
      </c>
      <c r="G258" s="3">
        <f>539+(1.6-120)+(-1.09956+(-0.003264--0.2448))+0-0-0</f>
        <v>419.74197600000002</v>
      </c>
      <c r="H258" s="3">
        <f>538+(0-125.7)+(0+(0-0))+0-0-0</f>
        <v>412.3</v>
      </c>
      <c r="I258" s="3">
        <f>544+(0-128.7)+(0.83232+(0-0.196911))+0-0-0</f>
        <v>415.93540899999999</v>
      </c>
      <c r="J258" s="3">
        <f>542+(1.6-123.7)+(1.10568+(0.003264-0.252348))+0-0-0</f>
        <v>420.756596</v>
      </c>
      <c r="K258" s="3">
        <f>530+(21-95.5)+(-0.5406+(-0.02142--0.09741))+0-0-0</f>
        <v>455.03539000000001</v>
      </c>
      <c r="L258" s="3">
        <f>451+(68.3-49.6)+(0+(0-0))+0-0-0</f>
        <v>469.7</v>
      </c>
      <c r="M258" s="3">
        <f>450+(72.2-46.7)+(0.6885+(0.110466-0.071451))+0-0-0</f>
        <v>476.22751499999998</v>
      </c>
      <c r="N258" s="3">
        <f>446+(76.6-40.5)+(0+(0-0))+0-0-0</f>
        <v>482.1</v>
      </c>
      <c r="O258" s="3">
        <f>443+(79.7-34.4)+(0+(0-0))+0-0-0</f>
        <v>488.3</v>
      </c>
      <c r="P258" s="3">
        <f>442+(78.3-38.6)+(0+(0-0))+0-0-0</f>
        <v>481.7</v>
      </c>
      <c r="Q258" s="3">
        <f>420.1+(76.3-38.9)+(-0.642753+(-0.116739--0.059517))+0-0-0</f>
        <v>456.80002500000001</v>
      </c>
      <c r="R258" s="3">
        <f>417.7+(75.6-37)+(-1.065135+(-0.19278--0.09435))+0-0-0</f>
        <v>455.13643499999995</v>
      </c>
      <c r="S258" s="3">
        <f>417.2+(67.9-36.7)+(-0.425544+(-0.069258--0.037434))+0-0-0</f>
        <v>447.942632</v>
      </c>
      <c r="T258" s="3">
        <f>416.8+(60.5-36)+(-0.212568+(-0.030855--0.01836))+0-0-0</f>
        <v>441.07493700000003</v>
      </c>
      <c r="U258" s="3">
        <f>417.4+(63.9-33)+(0.638622+(0.097767-0.05049))+0-0-0</f>
        <v>448.98589899999996</v>
      </c>
      <c r="V258" s="3">
        <f>420.9+(98.7-37)+(0.214659+(0.050337-0.01887))+0-0-0</f>
        <v>482.84612599999997</v>
      </c>
      <c r="W258" s="3">
        <f>492.3+(102.4-47.5)+(0.502146+(0.104448-0.04845))+0-0-0</f>
        <v>547.75814400000002</v>
      </c>
      <c r="X258" s="3">
        <f>523.1+(83.1-58.8)+(0+(0-0))+0-0-0</f>
        <v>547.4</v>
      </c>
      <c r="Y258" s="3">
        <f>525.1+(70.8-59.1)+(0.535602+(0.072216-0.060282))+0-0-0</f>
        <v>537.3475360000001</v>
      </c>
      <c r="Z258" s="3">
        <f>524.7+(48-62.7)+(0+(0-0))+0-0-0</f>
        <v>510.00000000000006</v>
      </c>
      <c r="AA258" s="3">
        <f>496.8+(46.7-56.8)+(-0.506736+(-0.047634--0.057936))+0-0-0</f>
        <v>486.20356600000002</v>
      </c>
      <c r="AB258" s="3">
        <f>421.6+(71.5-36)+(-1.07508+(-0.182325--0.0918))+0-0-0</f>
        <v>455.93439499999999</v>
      </c>
      <c r="AC258" s="3">
        <f>376.3+(82.3-30)+(-0.959565+(-0.209865--0.0765))+0-0-0</f>
        <v>427.50707</v>
      </c>
      <c r="AD258" s="2">
        <v>571.20000000000005</v>
      </c>
      <c r="AE258" s="3">
        <v>5602</v>
      </c>
    </row>
    <row r="259" spans="1:31" s="2" customFormat="1" x14ac:dyDescent="0.3">
      <c r="A259">
        <v>91</v>
      </c>
      <c r="B259">
        <v>9</v>
      </c>
      <c r="C259">
        <v>13</v>
      </c>
      <c r="D259">
        <v>3</v>
      </c>
      <c r="E259">
        <v>1</v>
      </c>
      <c r="F259" s="3">
        <f>377.3+(58.8-28)+(-0.577269+(-0.089964--0.04284))+0-0-0</f>
        <v>407.47560700000002</v>
      </c>
      <c r="G259" s="3">
        <f>348.3+(72-28)+(-0.355266+(-0.07344--0.02856))+0-0-0</f>
        <v>391.899854</v>
      </c>
      <c r="H259" s="3">
        <f>288.8+(119.8-28)+(-0.294576+(-0.122196--0.02856))+0-0-0</f>
        <v>380.21178800000001</v>
      </c>
      <c r="I259" s="3">
        <f>290+(117.2-30)+(-0.4437+(-0.179316--0.0459))+0-0-0</f>
        <v>376.622884</v>
      </c>
      <c r="J259" s="3">
        <f>289.7+(131.5-32)+(0.147747+(0.067065-0.01632))+0-0-0</f>
        <v>389.39849199999998</v>
      </c>
      <c r="K259" s="3">
        <f>290.4+(178-35)+(0+(0-0))+0-0-0</f>
        <v>433.4</v>
      </c>
      <c r="L259" s="3">
        <f>289.3+(210.4-40)+(-0.737715+(-0.53652--0.102))+0-0-0</f>
        <v>458.52776500000004</v>
      </c>
      <c r="M259" s="3">
        <f>309.5+(195.1-34)+(0.789225+(0.497505-0.0867))+0-0-0</f>
        <v>471.80003000000005</v>
      </c>
      <c r="N259" s="3">
        <f>458+(72.1-45.8)+(0.46716+(0.073542-0.046716))+0-0-0</f>
        <v>484.79398600000002</v>
      </c>
      <c r="O259" s="3">
        <f>472.3+(62.2-49.9)+(0.722619+(0.095166-0.076347))+0-0-0</f>
        <v>485.34143800000004</v>
      </c>
      <c r="P259" s="3">
        <f>465.1+(59.2-44.5)+(-1.186005+(-0.15096--0.113475))+0-0-0</f>
        <v>478.57650999999998</v>
      </c>
      <c r="Q259" s="3">
        <f>468.2+(60.3-46.5)+(-0.955128+(-0.123012--0.09486))+0-0-0</f>
        <v>481.01672000000002</v>
      </c>
      <c r="R259" s="3">
        <f>466.6+(69-46.8)+(-1.903728+(-0.28152--0.190944))+0-0-0</f>
        <v>486.80569600000001</v>
      </c>
      <c r="S259" s="3">
        <f>468.1+(52.9-55.3)+(-0.716193+(-0.080937--0.084609))+0-0-0</f>
        <v>464.98747900000006</v>
      </c>
      <c r="T259" s="3">
        <f>469.1+(47.7-57.4)+(-0.239241+(-0.024327--0.029274))+0-0-0</f>
        <v>459.16570600000006</v>
      </c>
      <c r="U259" s="3">
        <f>469.4+(54.5-57.1)+(-0.239394+(-0.027795--0.029121))+0-0-0</f>
        <v>466.56193199999996</v>
      </c>
      <c r="V259" s="3">
        <f>413.1+(120.8-36)+(0.210681+(0.061608-0.01836))+0-0-0</f>
        <v>498.15392900000006</v>
      </c>
      <c r="W259" s="3">
        <f>470.7+(122.3-41.8)+(0+(0-0))+0-0-0</f>
        <v>551.20000000000005</v>
      </c>
      <c r="X259" s="3">
        <f>504.8+(103.1-53.5)+(-1.28724+(-0.262905--0.136425))+0-0-0</f>
        <v>552.98627999999997</v>
      </c>
      <c r="Y259" s="3">
        <f>506+(91.4-56.8)+(-1.03224+(-0.186456--0.115872))+0-0-0</f>
        <v>539.49717599999997</v>
      </c>
      <c r="Z259" s="3">
        <f>504.9+(73.9-55.4)+(-0.514998+(-0.075378--0.056508))+0-0-0</f>
        <v>522.86613199999999</v>
      </c>
      <c r="AA259" s="3">
        <f>469.9+(76.5-48.9)+(-1.437894+(-0.23409--0.149634))+0-0-0</f>
        <v>495.97764999999998</v>
      </c>
      <c r="AB259" s="3">
        <f>421.9+(79.2-34.2)+(-1.075845+(-0.20196--0.08721))+0-0-0</f>
        <v>465.709405</v>
      </c>
      <c r="AC259" s="3">
        <f>420.7+(60.1-38.4)+(-0.643671+(-0.091953--0.058752))+0-0-0</f>
        <v>441.72312799999997</v>
      </c>
      <c r="AD259" s="2">
        <v>576.6</v>
      </c>
      <c r="AE259" s="3">
        <v>5582.4</v>
      </c>
    </row>
    <row r="260" spans="1:31" s="2" customFormat="1" x14ac:dyDescent="0.3">
      <c r="A260">
        <v>91</v>
      </c>
      <c r="B260">
        <v>9</v>
      </c>
      <c r="C260">
        <v>14</v>
      </c>
      <c r="D260">
        <v>4</v>
      </c>
      <c r="E260">
        <v>1</v>
      </c>
      <c r="F260" s="3">
        <f>406.9+(45.9-37.8)+(0+(0-0))+0-0-0</f>
        <v>415</v>
      </c>
      <c r="G260" s="3">
        <f>303.6+(118.7-30)+(-0.309672+(-0.121074--0.0306))+0-0-0</f>
        <v>391.899854</v>
      </c>
      <c r="H260" s="3">
        <f>289.6+(124.9-28)+(0.147696+(0.063699-0.01428))+0-0-0</f>
        <v>386.697115</v>
      </c>
      <c r="I260" s="3">
        <f>289.3+(123.4-28)+(0.442629+(0.188802-0.04284))+0-0-0</f>
        <v>385.28859100000005</v>
      </c>
      <c r="J260" s="3">
        <f>290.6+(135.4-31)+(0+(0-0))+0-0-0</f>
        <v>395</v>
      </c>
      <c r="K260" s="3">
        <f>291.5+(186.5-34)+(0.29733+(0.19023-0.03468))+0-0-0</f>
        <v>444.45287999999999</v>
      </c>
      <c r="L260" s="3">
        <f>299.2+(204.4-32)+(-0.305184+(-0.208488--0.03264))+0-0-0</f>
        <v>471.118968</v>
      </c>
      <c r="M260" s="3">
        <f>371.3+(140.6-32)+(0.378726+(0.143412-0.03264))+0-0-0</f>
        <v>480.389498</v>
      </c>
      <c r="N260" s="3">
        <f>368.5+(149.4-33)+(0.37587+(0.152388-0.03366))+0-0-0</f>
        <v>485.39459799999997</v>
      </c>
      <c r="O260" s="3">
        <f>363.6+(153-37)+(-1.112616+(-0.46818--0.11322))+0-0-0</f>
        <v>478.13242400000001</v>
      </c>
      <c r="P260" s="3">
        <f>374.5+(139.5-36)+(0+(0-0))+0-0-0</f>
        <v>478</v>
      </c>
      <c r="Q260" s="3">
        <f>408.5+(101.9-32)+(0.208335+(0.051969-0.01632))+0-0-0</f>
        <v>478.64398399999999</v>
      </c>
      <c r="R260" s="3">
        <f>411.6+(91.1-32)+(-0.419832+(-0.092922--0.03264))+0-0-0</f>
        <v>470.21988600000003</v>
      </c>
      <c r="S260" s="3">
        <f>411.3+(71.6-32)+(-0.629289+(-0.109548--0.04896))+0-0-0</f>
        <v>450.21012299999995</v>
      </c>
      <c r="T260" s="3">
        <f>410.6+(61.7-33)+(0.418812+(0.062934-0.03366))+0-0-0</f>
        <v>439.748086</v>
      </c>
      <c r="U260" s="3">
        <f>410.6+(67.4-34)+(-0.418812+(-0.068748--0.03468))+0-0-0</f>
        <v>443.54712000000001</v>
      </c>
      <c r="V260" s="3">
        <f>445.1+(77.4-39)+(-0.227001+(-0.039474--0.01989))+0-0-0</f>
        <v>483.25341500000002</v>
      </c>
      <c r="W260" s="3">
        <f>524.9+(61.6-44)+(0.267699+(0.031416-0.02244))+0-0-0</f>
        <v>542.77667499999995</v>
      </c>
      <c r="X260" s="3">
        <f>527.6+(57.1-46.1)+(-1.34538+(-0.145605--0.117555))+0-0-0</f>
        <v>537.22657000000004</v>
      </c>
      <c r="Y260" s="3">
        <f>523.6+(47.6-47)+(-1.068144+(-0.097104--0.09588))+0-0-0</f>
        <v>523.13063199999999</v>
      </c>
      <c r="Z260" s="3">
        <f>495.7+(57.3-46.4)+(-1.011228+(-0.116892--0.094656))+0-0-0</f>
        <v>505.56653599999999</v>
      </c>
      <c r="AA260" s="3">
        <f>418.4+(96.8-34)+(-0.640152+(-0.148104--0.05202))+0-0-0</f>
        <v>480.46376399999997</v>
      </c>
      <c r="AB260" s="3">
        <f>403+(85.6-31.1)+(-1.02765+(-0.21828--0.079305))+0-0-0</f>
        <v>456.33337499999999</v>
      </c>
      <c r="AC260" s="3">
        <f>380.3+(79.7-27)+(-0.775812+(-0.162588--0.05508))+0-0-0</f>
        <v>432.11667999999997</v>
      </c>
      <c r="AD260" s="2">
        <v>563.80000000000007</v>
      </c>
      <c r="AE260" s="3">
        <v>5477.9</v>
      </c>
    </row>
    <row r="261" spans="1:31" s="2" customFormat="1" x14ac:dyDescent="0.3">
      <c r="A261">
        <v>91</v>
      </c>
      <c r="B261">
        <v>9</v>
      </c>
      <c r="C261">
        <v>15</v>
      </c>
      <c r="D261">
        <v>5</v>
      </c>
      <c r="E261">
        <v>1</v>
      </c>
      <c r="F261" s="3">
        <f>342.2+(89.6-27)+(-1.047132+(-0.274176--0.08262))+0-0-0</f>
        <v>403.56131199999993</v>
      </c>
      <c r="G261" s="3">
        <f>273.6+(137.5-27)+(0.139536+(0.070125-0.01377))+0-0-0</f>
        <v>384.29589100000004</v>
      </c>
      <c r="H261" s="3">
        <f>273+(130.3-28)+(0+(0-0))+0-0-0</f>
        <v>375.3</v>
      </c>
      <c r="I261" s="3">
        <f>272.7+(129.6-30)+(0+(0-0))+0-0-0</f>
        <v>372.29999999999995</v>
      </c>
      <c r="J261" s="3">
        <f>271+(139.6-30)+(0.55284+(0.284784-0.0612))+0-0-0</f>
        <v>381.37642400000004</v>
      </c>
      <c r="K261" s="3">
        <f>296.8+(174.2-33)+(0.605472+(0.355368-0.06732))+0-0-0</f>
        <v>438.89352000000002</v>
      </c>
      <c r="L261" s="3">
        <f>332.8+(168.1-42)+(0.339456+(0.171462-0.04284))+0-0-0</f>
        <v>459.36807799999997</v>
      </c>
      <c r="M261" s="3">
        <f>342.5+(164.6-35)+(-0.34935+(-0.167892--0.0357))+0-0-0</f>
        <v>471.61845800000003</v>
      </c>
      <c r="N261" s="3">
        <f>351.9+(160.8-35)+(0.538407+(0.246024-0.05355))+0-0-0</f>
        <v>478.430881</v>
      </c>
      <c r="O261" s="3">
        <f>367.5+(151-32)+(0.187425+(0.07701-0.01632))+1.9-0-0</f>
        <v>488.64811499999996</v>
      </c>
      <c r="P261" s="3">
        <f>364.7+(149-36)+(-0.185997+(-0.07599--0.01836))+0-0-0</f>
        <v>477.45637299999999</v>
      </c>
      <c r="Q261" s="3">
        <f>370.6+(151.4-36)+(-0.756024+(-0.308856--0.07344))+0-0-0</f>
        <v>485.00855999999999</v>
      </c>
      <c r="R261" s="3">
        <f>378.3+(148.1-36)+(-0.964665+(-0.377655--0.0918))+0-0-0</f>
        <v>489.14947999999998</v>
      </c>
      <c r="S261" s="3">
        <f>377.2+(120.3-38)+(-1.538976+(-0.490824--0.15504))+0-0-0</f>
        <v>457.62524000000002</v>
      </c>
      <c r="T261" s="3">
        <f>389.7+(101.3-32)+(0.198747+(0.051663-0.01632))+0-0-0</f>
        <v>459.23408999999998</v>
      </c>
      <c r="U261" s="3">
        <f>390.8+(96.5-32)+(-0.597924+(-0.147645--0.04896))+0-0-0</f>
        <v>454.60339099999999</v>
      </c>
      <c r="V261" s="3">
        <f>394+(123.7-36)+(-0.80376+(-0.252348--0.07344))+0-0-0</f>
        <v>480.717332</v>
      </c>
      <c r="W261" s="3">
        <f>396.3+(171.7-55.3)+(-0.404226+(-0.175134--0.056406))+0-0-0</f>
        <v>512.17704600000002</v>
      </c>
      <c r="X261" s="3">
        <f>397+(181.3-41)+(-1.21482+(-0.554778--0.12546))+0-0-0</f>
        <v>535.65586199999996</v>
      </c>
      <c r="Y261" s="3">
        <f>399.4+(163.7-37)+(-0.814776+(-0.333948--0.07548))+0-0-0</f>
        <v>525.02675599999986</v>
      </c>
      <c r="Z261" s="3">
        <f>400.3+(139.1-36)+(-1.020765+(-0.354705--0.0918))+0-0-0</f>
        <v>502.11633</v>
      </c>
      <c r="AA261" s="3">
        <f>394.3+(114.1-30)+(-0.603279+(-0.174573--0.0459))+0-0-0</f>
        <v>477.668048</v>
      </c>
      <c r="AB261" s="3">
        <f>391+(91-28)+(-0.79764+(-0.18564--0.05712))+0-0-0</f>
        <v>453.07384000000002</v>
      </c>
      <c r="AC261" s="3">
        <f>392.2+(66.8-27)+(-0.200022+(-0.034068--0.01377))+0-0-0</f>
        <v>431.77967999999998</v>
      </c>
      <c r="AD261" s="2">
        <v>566</v>
      </c>
      <c r="AE261" s="3">
        <v>5477.2</v>
      </c>
    </row>
    <row r="262" spans="1:31" s="2" customFormat="1" x14ac:dyDescent="0.3">
      <c r="A262">
        <v>91</v>
      </c>
      <c r="B262">
        <v>9</v>
      </c>
      <c r="C262">
        <v>16</v>
      </c>
      <c r="D262">
        <v>6</v>
      </c>
      <c r="E262">
        <v>1</v>
      </c>
      <c r="F262" s="3">
        <f>377+(53.6-27)+(-0.76908+(-0.109344--0.05508))+0-0-0</f>
        <v>402.776656</v>
      </c>
      <c r="G262" s="3">
        <f>360+(74.9-27)+(-0.3672+(-0.076398--0.02754))+0-0-0</f>
        <v>407.48394199999996</v>
      </c>
      <c r="H262" s="3">
        <f>348+(78.2-28)+(-0.17748+(-0.039882--0.01428))+0-0-0</f>
        <v>397.99691799999999</v>
      </c>
      <c r="I262" s="3">
        <f>286+(135.1-30)+(0.14586+(0.068901-0.0153))+0-0-0</f>
        <v>391.29946100000001</v>
      </c>
      <c r="J262" s="3">
        <f>288+(145.8-30)+(-0.58752+(-0.297432--0.0612))+0-0-0</f>
        <v>402.976248</v>
      </c>
      <c r="K262" s="3">
        <f>288+(188.6-35)+(0.29376+(0.192372-0.0357))+0-0-0</f>
        <v>442.050432</v>
      </c>
      <c r="L262" s="3">
        <f>288+(219.8-37)+(-0.14688+(-0.112098--0.01887))+0-0-0</f>
        <v>470.55989199999999</v>
      </c>
      <c r="M262" s="3">
        <f>299+(227.8-36)+(-0.15249+(-0.116178--0.01836))+0-0-0</f>
        <v>490.54969199999999</v>
      </c>
      <c r="N262" s="3">
        <f>390+(155.8-33)+(0.5967+(0.238374-0.05049))+0-0-0</f>
        <v>513.58458399999995</v>
      </c>
      <c r="O262" s="3">
        <f>398+(138.7-30)+(0.20298+(0.070737-0.0153))+0-0-0</f>
        <v>506.958417</v>
      </c>
      <c r="P262" s="3">
        <f>419+(122.5-32)+(0.85476+(0.2499-0.06528))+0-0-0</f>
        <v>510.53937999999999</v>
      </c>
      <c r="Q262" s="3">
        <f>430+(114.9-34)+(-0.6579+(-0.175797--0.05202))+0-0-0</f>
        <v>510.11832299999998</v>
      </c>
      <c r="R262" s="3">
        <f>431+(104.3-33)+(-1.31886+(-0.319158--0.10098))+0-0-0</f>
        <v>500.76296200000002</v>
      </c>
      <c r="S262" s="3">
        <f>358+(146.3-33)+(-0.36516+(-0.149226--0.03366))+0-0-0</f>
        <v>470.81927400000001</v>
      </c>
      <c r="T262" s="3">
        <f>358+(130.6-33)+(-0.18258+(-0.066606--0.01683))+0-0-0</f>
        <v>455.36764400000004</v>
      </c>
      <c r="U262" s="3">
        <f>366+(136.8-30)+(0.37332+(0.139536-0.0306))+0-0-0</f>
        <v>473.28225600000002</v>
      </c>
      <c r="V262" s="3">
        <f>376+(162.8-32)+(-0.76704+(-0.332112--0.06528))+0-0-0</f>
        <v>505.76612800000004</v>
      </c>
      <c r="W262" s="3">
        <f>457+(138.6-35)+(0.23307+(0.070686-0.01785))+0-0-0</f>
        <v>560.88590599999998</v>
      </c>
      <c r="X262" s="3">
        <f>470+(120.8-36)+(-1.4382+(-0.369648--0.11016))+0-0-0</f>
        <v>553.10231199999998</v>
      </c>
      <c r="Y262" s="3">
        <f>471+(106.4-40)+(-0.96084+(-0.217056--0.0816))+0-0-0</f>
        <v>536.30370399999993</v>
      </c>
      <c r="Z262" s="3">
        <f>471+(92.8-35)+(-0.96084+(-0.189312--0.0714))+0-0-0</f>
        <v>527.72124799999995</v>
      </c>
      <c r="AA262" s="3">
        <f>471+(65.1-34)+(-0.48042+(-0.066402--0.03468))+0-0-0</f>
        <v>501.58785800000004</v>
      </c>
      <c r="AB262" s="3">
        <f>470+(41.3-32)+(-0.2397+(-0.021063--0.01632))+0-0-0</f>
        <v>479.05555700000002</v>
      </c>
      <c r="AC262" s="3">
        <f>455+(30.6-30)+(-1.16025+(-0.07803--0.0765))+0-0-0</f>
        <v>454.43822</v>
      </c>
      <c r="AD262" s="2">
        <v>561.1</v>
      </c>
      <c r="AE262" s="3">
        <v>5500</v>
      </c>
    </row>
    <row r="263" spans="1:31" s="2" customFormat="1" x14ac:dyDescent="0.3">
      <c r="A263">
        <v>91</v>
      </c>
      <c r="B263">
        <v>9</v>
      </c>
      <c r="C263">
        <v>17</v>
      </c>
      <c r="D263">
        <v>7</v>
      </c>
      <c r="E263">
        <v>1</v>
      </c>
      <c r="F263" s="3">
        <f>413+(41.8-30)+(0+(0-0))+0-0-0</f>
        <v>424.8</v>
      </c>
      <c r="G263" s="3">
        <f>396+(46.1-29)+(-0.60588+(-0.070533--0.04437))+0-0-0</f>
        <v>412.46795700000001</v>
      </c>
      <c r="H263" s="3">
        <f>289+(135.6-29)+(0+(0-0))+0-0-0</f>
        <v>395.6</v>
      </c>
      <c r="I263" s="3">
        <f>287+(137.7-29)+(0.29274+(0.140454-0.02958))+0-0-0</f>
        <v>396.10361399999999</v>
      </c>
      <c r="J263" s="3">
        <f>287+(148.4-34)+(-0.43911+(-0.227052--0.05202))+0-0-0</f>
        <v>400.78585799999996</v>
      </c>
      <c r="K263" s="3">
        <f>309+(168.6-40)+(0.47277+(0.257958-0.0612))+0-0-0</f>
        <v>438.26952800000004</v>
      </c>
      <c r="L263" s="3">
        <f>310.7+(167.6-40)+(-0.316914+(-0.170952--0.0408))+0-0-0</f>
        <v>437.85293399999995</v>
      </c>
      <c r="M263" s="3">
        <f>318.1+(167.2-39)+(-0.973386+(-0.511632--0.11934))+0-0-0</f>
        <v>444.93432200000001</v>
      </c>
      <c r="N263" s="3">
        <f>345.4+(142.7-35)+(-0.528462+(-0.218331--0.05355))+0-0-0</f>
        <v>452.40675699999997</v>
      </c>
      <c r="O263" s="3">
        <f>343+(148.1-33)+(0+(0-0))+0-0-0</f>
        <v>458.1</v>
      </c>
      <c r="P263" s="3">
        <f>341.2+(155-33)+(0+(0-0))+0-0-0</f>
        <v>463.2</v>
      </c>
      <c r="Q263" s="3">
        <f>340.1+(160.3-34)+(-0.346902+(-0.163506--0.03468))+0-0-0</f>
        <v>465.92427200000003</v>
      </c>
      <c r="R263" s="3">
        <f>339.3+(165.3-35)+(-0.692172+(-0.337212--0.0714))+0-0-0</f>
        <v>468.64201600000001</v>
      </c>
      <c r="S263" s="3">
        <f>340.3+(149-35)+(-0.173553+(-0.07599--0.01785))+0-0-0</f>
        <v>454.068307</v>
      </c>
      <c r="T263" s="3">
        <f>335.4+(141.6-34)+(-1.197378+(-0.505512--0.12138))+0-0-0</f>
        <v>441.41849000000002</v>
      </c>
      <c r="U263" s="3">
        <f>310+(165.5-34)+(0.1581+(0.084405-0.01734))+0-0-0</f>
        <v>441.725165</v>
      </c>
      <c r="V263" s="3">
        <f>309.5+(204.7-40)+(-0.157845+(-0.104397--0.0204))+0-0-0</f>
        <v>473.95815799999997</v>
      </c>
      <c r="W263" s="3">
        <f>377.8+(190.8-42)+(0+(0-0))+0-0-0</f>
        <v>526.6</v>
      </c>
      <c r="X263" s="3">
        <f>396+(172.1-39)+(-0.60588+(-0.263313--0.05967))+0-0-0</f>
        <v>528.29047700000001</v>
      </c>
      <c r="Y263" s="3">
        <f>400.4+(154-38)+(-0.612612+(-0.23562--0.05814))+0-0-0</f>
        <v>515.60990800000002</v>
      </c>
      <c r="Z263" s="3">
        <f>402.6+(135.2-38)+(-1.02663+(-0.34476--0.0969))+0-0-0</f>
        <v>498.52551</v>
      </c>
      <c r="AA263" s="3">
        <f>401.4+(113.5-37)+(0+(0-0))+0-0-0</f>
        <v>477.9</v>
      </c>
      <c r="AB263" s="3">
        <f>348.1+(129-33)+(-0.710124+(-0.26316--0.06732))+0-0-0</f>
        <v>443.19403600000004</v>
      </c>
      <c r="AC263" s="3">
        <f>301.8+(143.7-32)+(-1.077426+(-0.513009--0.11424))+0-0-0</f>
        <v>412.02380499999998</v>
      </c>
      <c r="AD263" s="2">
        <v>547.1</v>
      </c>
      <c r="AE263" s="3">
        <v>4187.8999999999996</v>
      </c>
    </row>
    <row r="264" spans="1:31" s="2" customFormat="1" x14ac:dyDescent="0.3">
      <c r="A264">
        <v>91</v>
      </c>
      <c r="B264">
        <v>9</v>
      </c>
      <c r="C264">
        <v>18</v>
      </c>
      <c r="D264">
        <v>1</v>
      </c>
      <c r="E264">
        <v>1</v>
      </c>
      <c r="F264" s="3">
        <f>304.4+(119-32)+(0.77622+(0.30345-0.0816))+0-0-0</f>
        <v>392.39806999999996</v>
      </c>
      <c r="G264" s="3">
        <f>305.4+(99.8-32)+(0.311508+(0.101796-0.03264))+0-0-0</f>
        <v>373.58066400000001</v>
      </c>
      <c r="H264" s="3">
        <f>308.5+(89-31)+(-0.472005+(-0.13617--0.04743))+0-0-0</f>
        <v>365.939255</v>
      </c>
      <c r="I264" s="3">
        <f>308.1+(86.9-29)+(0+(0-0))+0-0-0</f>
        <v>366</v>
      </c>
      <c r="J264" s="3">
        <f>308.2+(99.5-32)+(0.157182+(0.050745-0.01632))+0-0-0</f>
        <v>375.89160699999996</v>
      </c>
      <c r="K264" s="3">
        <f>308.3+(149-40)+(0.628932+(0.30396-0.0816))+0-0-0</f>
        <v>418.15129200000001</v>
      </c>
      <c r="L264" s="3">
        <f>306.2+(178.3-42)+(0.468486+(0.272799-0.06426))+0-0-0</f>
        <v>443.17702500000001</v>
      </c>
      <c r="M264" s="3">
        <f>306.8+(182-37)+(-0.469404+(-0.27846--0.05661))+0-0-0</f>
        <v>451.108746</v>
      </c>
      <c r="N264" s="3">
        <f>366.8+(132.4-35)+(0.187068+(0.067524-0.01785))+0-0-0</f>
        <v>464.43674200000004</v>
      </c>
      <c r="O264" s="3">
        <f>378.4+(117.2-35)+(-0.771936+(-0.239088--0.0714))+0-0-0</f>
        <v>459.66037599999999</v>
      </c>
      <c r="P264" s="3">
        <f>380.8+(110-36)+(0.388416+(0.1122-0.03672))+0-0-0</f>
        <v>455.26389599999999</v>
      </c>
      <c r="Q264" s="3">
        <f>379.5+(107.6-38)+(-0.38709+(-0.109752--0.03876))+0-0-0</f>
        <v>448.64191800000003</v>
      </c>
      <c r="R264" s="3">
        <f>376.2+(119-34)+(-0.575586+(-0.18207--0.05202))+0-0-0</f>
        <v>460.49436399999996</v>
      </c>
      <c r="S264" s="3">
        <f>377.2+(93.4-32)+(-0.192372+(-0.047634--0.01632))+0-0-0</f>
        <v>438.37631400000004</v>
      </c>
      <c r="T264" s="3">
        <f>376.9+(85.5-34)+(0.192219+(0.043605-0.01734))+0-0-0</f>
        <v>428.61848399999997</v>
      </c>
      <c r="U264" s="3">
        <f>377+(91.1-35)+(-0.19227+(-0.046461--0.01785))+0-0-0</f>
        <v>432.879119</v>
      </c>
      <c r="V264" s="3">
        <f>379.3+(121.8-41)+(0.193443+(0.062118-0.02091))+0-0-0</f>
        <v>460.33465100000001</v>
      </c>
      <c r="W264" s="3">
        <f>388.6+(181.2-42)+(-0.396372+(-0.184824--0.04284))+0-0-0</f>
        <v>527.26164399999993</v>
      </c>
      <c r="X264" s="3">
        <f>389.6+(180.7-48)+(-0.397392+(-0.184314--0.04896))+0-0-0</f>
        <v>521.76725399999998</v>
      </c>
      <c r="Y264" s="3">
        <f>389.9+(164-40)+(-0.795396+(-0.33456--0.0816))+0-0-0</f>
        <v>512.85164399999996</v>
      </c>
      <c r="Z264" s="3">
        <f>390.3+(143.9-36)+(0+(0-0))+0-0-0</f>
        <v>498.20000000000005</v>
      </c>
      <c r="AA264" s="3">
        <f>380+(125.7-37)+(-1.3566+(-0.448749--0.13209))+0-0-0</f>
        <v>467.02674100000002</v>
      </c>
      <c r="AB264" s="3">
        <f>379.1+(99.9-33)+(-0.386682+(-0.101898--0.03366))+0-0-0</f>
        <v>445.54507999999998</v>
      </c>
      <c r="AC264" s="3">
        <f>378.6+(77.4-32)+(-0.772344+(-0.157896--0.06528))+0-0-0</f>
        <v>423.13504</v>
      </c>
      <c r="AD264" s="2">
        <v>549</v>
      </c>
      <c r="AE264" s="3">
        <v>5694.4</v>
      </c>
    </row>
    <row r="265" spans="1:31" s="2" customFormat="1" x14ac:dyDescent="0.3">
      <c r="A265">
        <v>91</v>
      </c>
      <c r="B265">
        <v>9</v>
      </c>
      <c r="C265">
        <v>19</v>
      </c>
      <c r="D265">
        <v>2</v>
      </c>
      <c r="E265">
        <v>1</v>
      </c>
      <c r="F265" s="3">
        <f>394+(53.7-31)+(-0.80376+(-0.109548--0.06324))+0-0-0</f>
        <v>415.84993199999997</v>
      </c>
      <c r="G265" s="3">
        <f>321+(103.9-31)+(0+(0-0))+0-0-0</f>
        <v>393.9</v>
      </c>
      <c r="H265" s="3">
        <f>307+(107.4-30)+(-0.62628+(-0.219096--0.0612))+0-0-0</f>
        <v>383.61582399999998</v>
      </c>
      <c r="I265" s="3">
        <f>307+(106.3-30)+(0.62628+(0.216852-0.0612))+0-0-0</f>
        <v>384.08193199999999</v>
      </c>
      <c r="J265" s="3">
        <f>307+(118.4-27)+(0.15657+(0.060384-0.01377))+0-0-0</f>
        <v>398.603184</v>
      </c>
      <c r="K265" s="3">
        <f>307+(167.3-27)+(0+(0-0))+0-0-0</f>
        <v>447.3</v>
      </c>
      <c r="L265" s="3">
        <f>291.6+(197.2-39)+(0+(0-0))+0-0-0</f>
        <v>449.8</v>
      </c>
      <c r="M265" s="3">
        <f>304.1+(191.4-39)+(0.310182+(0.195228-0.03978))+0-0-0</f>
        <v>456.96562999999998</v>
      </c>
      <c r="N265" s="3">
        <f>373.3+(126.3-40)+(-0.380766+(-0.128826--0.0408))+0-0-0</f>
        <v>459.13120800000002</v>
      </c>
      <c r="O265" s="3">
        <f>377.5+(112-41)+(0.577575+(0.17136-0.06273))+0-0-0</f>
        <v>449.18620499999997</v>
      </c>
      <c r="P265" s="3">
        <f>397+(114-41)+(-0.20247+(-0.05814--0.02091))+0-0-0</f>
        <v>469.76029999999997</v>
      </c>
      <c r="Q265" s="3">
        <f>395+(114.6-40)+(-1.2087+(-0.350676--0.1224))+0-0-0</f>
        <v>468.16302400000001</v>
      </c>
      <c r="R265" s="3">
        <f>360+(128.1-38)+(0.3672+(0.130662-0.03876))+0-0-0</f>
        <v>450.559102</v>
      </c>
      <c r="S265" s="3">
        <f>350+(120.3-32)+(0+(0-0))+0-0-0</f>
        <v>438.3</v>
      </c>
      <c r="T265" s="3">
        <f>350.4+(106.4-32)+(0+(0-0))+0-0-0</f>
        <v>424.79999999999995</v>
      </c>
      <c r="U265" s="3">
        <f>348.3+(116.9-35)+(-0.355266+(-0.119238--0.0357))+0-0-0</f>
        <v>429.76119600000004</v>
      </c>
      <c r="V265" s="3">
        <f>336.6+(166.7-37)+(0+(0-0))+0-0-0</f>
        <v>466.3</v>
      </c>
      <c r="W265" s="3">
        <f>351.6+(204.4-42)+(-0.179316+(-0.104244--0.02142))+0-0-0</f>
        <v>513.73785999999996</v>
      </c>
      <c r="X265" s="3">
        <f>358.6+(213.8-45)+(-0.91443+(-0.54519--0.11475))+0-0-0</f>
        <v>526.05513000000008</v>
      </c>
      <c r="Y265" s="3">
        <f>360.1+(193.7-40)+(-0.734604+(-0.395148--0.0816))+0-0-0</f>
        <v>512.751848</v>
      </c>
      <c r="Z265" s="3">
        <f>360.5+(166.5-38)+(-0.36771+(-0.16983--0.03876))+0-0-0</f>
        <v>488.50121999999999</v>
      </c>
      <c r="AA265" s="3">
        <f>362+(137-34)+(-0.36924+(-0.13974--0.03468))+0-0-0</f>
        <v>464.52569999999997</v>
      </c>
      <c r="AB265" s="3">
        <f>360.6+(115.5-32)+(-0.551718+(-0.176715--0.04896))+0-0-0</f>
        <v>443.42052700000005</v>
      </c>
      <c r="AC265" s="3">
        <f>357.8+(89.5-32)+(-0.91239+(-0.228225--0.0816))+0-0-0</f>
        <v>414.24098500000002</v>
      </c>
      <c r="AD265" s="2">
        <v>551.9</v>
      </c>
      <c r="AE265" s="3">
        <v>5567</v>
      </c>
    </row>
    <row r="266" spans="1:31" s="2" customFormat="1" x14ac:dyDescent="0.3">
      <c r="A266">
        <v>91</v>
      </c>
      <c r="B266">
        <v>9</v>
      </c>
      <c r="C266">
        <v>20</v>
      </c>
      <c r="D266">
        <v>3</v>
      </c>
      <c r="E266">
        <v>1</v>
      </c>
      <c r="F266" s="3">
        <f>295+(124.9-32)+(0.3009+(0.127398-0.03264))+0-0-0</f>
        <v>388.295658</v>
      </c>
      <c r="G266" s="3">
        <f>274.1+(129-32)+(-0.279582+(-0.13158--0.03264))+0-0-0</f>
        <v>370.72147800000005</v>
      </c>
      <c r="H266" s="3">
        <f>273.7+(122.1-31)+(-0.279174+(-0.124542--0.03162))+0-0-0</f>
        <v>364.42790399999996</v>
      </c>
      <c r="I266" s="3">
        <f>273.5+(120.4-31)+(0.418455+(0.184212-0.04743))+0-0-0</f>
        <v>363.45523699999995</v>
      </c>
      <c r="J266" s="3">
        <f>273+(134-31)+(0.13923+(0.06834-0.01581))+0-0-0</f>
        <v>376.19175999999999</v>
      </c>
      <c r="K266" s="3">
        <f>272.7+(185-35)+(-0.278154+(-0.1887--0.0357))+0-0-0</f>
        <v>422.268846</v>
      </c>
      <c r="L266" s="3">
        <f>272.3+(219.6-43)+(-0.138873+(-0.111996--0.02193))+0-0-0</f>
        <v>448.67106099999995</v>
      </c>
      <c r="M266" s="3">
        <f>272.1+(219.2-40)+(-0.138771+(-0.111792--0.0204))+0-0-0</f>
        <v>451.06983700000001</v>
      </c>
      <c r="N266" s="3">
        <f>302.5+(180.7-31)+(0.154275+(0.092157-0.01581))+0-0-0</f>
        <v>452.43062199999997</v>
      </c>
      <c r="O266" s="3">
        <f>338.7+(129.7-25)+(0.690948+(0.264588-0.051))+0-0-0</f>
        <v>444.30453599999998</v>
      </c>
      <c r="P266" s="3">
        <f>343.8+(130-28)+(-0.175338+(-0.0663--0.01428))+0-0-0</f>
        <v>445.57264200000003</v>
      </c>
      <c r="Q266" s="3">
        <f>344.2+(141.6-30)+(-0.351084+(-0.144432--0.0306))+0-0-0</f>
        <v>455.33508399999994</v>
      </c>
      <c r="R266" s="3">
        <f>355.5+(129.9-31)+(-0.36261+(-0.132498--0.03162))+0-0-0</f>
        <v>453.93651199999999</v>
      </c>
      <c r="S266" s="3">
        <f>360.9+(92.7-31)+(0.184059+(0.047277-0.01581))+0-0-0</f>
        <v>422.81552599999998</v>
      </c>
      <c r="T266" s="3">
        <f>360.7+(89.2-32)+(0.551871+(0.136476-0.04896))+0-0-0</f>
        <v>418.53938699999998</v>
      </c>
      <c r="U266" s="3">
        <f>360.5+(98.9-37)+(0.183855+(0.050439-0.01887))+0-0-0</f>
        <v>422.61542399999996</v>
      </c>
      <c r="V266" s="3">
        <f>362.4+(137.1-44)+(-0.184824+(-0.069921--0.02244))+0-0-0</f>
        <v>455.267695</v>
      </c>
      <c r="W266" s="3">
        <f>365.7+(198.2-43)+(-0.373014+(-0.202164--0.04386))+0-0-0</f>
        <v>520.36868199999992</v>
      </c>
      <c r="X266" s="3">
        <f>366.3+(203.4-43)+(0.186813+(0.103734-0.02193))+0-0-0</f>
        <v>526.96861699999999</v>
      </c>
      <c r="Y266" s="3">
        <f>369.4+(188.2-41)+(-0.188394+(-0.095982--0.02091))+0-0-0</f>
        <v>516.33653399999992</v>
      </c>
      <c r="Z266" s="3">
        <f>371.4+(166.8-38)+(-1.325898+(-0.595476--0.13566))+0-0-0</f>
        <v>498.414286</v>
      </c>
      <c r="AA266" s="3">
        <f>372.2+(139.6-37)+(-0.94911+(-0.35598--0.09435))+0-0-0</f>
        <v>473.58925999999997</v>
      </c>
      <c r="AB266" s="3">
        <f>372.7+(112.7-33)+(0+(0-0))+0-0-0</f>
        <v>452.4</v>
      </c>
      <c r="AC266" s="3">
        <f>299.9+(151.6-31)+(-0.458847+(-0.231948--0.04743))+0-0-0</f>
        <v>419.85663499999998</v>
      </c>
      <c r="AD266" s="2">
        <v>549.4</v>
      </c>
      <c r="AE266" s="3">
        <v>5583.8</v>
      </c>
    </row>
    <row r="267" spans="1:31" s="2" customFormat="1" x14ac:dyDescent="0.3">
      <c r="A267">
        <v>91</v>
      </c>
      <c r="B267">
        <v>9</v>
      </c>
      <c r="C267">
        <v>21</v>
      </c>
      <c r="D267">
        <v>4</v>
      </c>
      <c r="E267">
        <v>1</v>
      </c>
      <c r="F267" s="3">
        <f>282.4+(147.7-31)+(-0.576096+(-0.301308--0.06324))+0-0-0</f>
        <v>398.28583599999996</v>
      </c>
      <c r="G267" s="3">
        <f>271.4+(141.1-30)+(-0.276828+(-0.143922--0.0306))+0-0-0</f>
        <v>382.10984999999999</v>
      </c>
      <c r="H267" s="3">
        <f>271.6+(129-29)+(-0.554064+(-0.26316--0.05916))+0-0-0</f>
        <v>370.84193600000003</v>
      </c>
      <c r="I267" s="3">
        <f>271.6+(125.9-30)+(0.138516+(0.064209-0.0153))+0-0-0</f>
        <v>367.68742500000002</v>
      </c>
      <c r="J267" s="3">
        <f>271.9+(138.6-34)+(0+(0-0))+0-0-0</f>
        <v>376.5</v>
      </c>
      <c r="K267" s="3">
        <f>271.8+(190.4-38)+(0.415854+(0.291312-0.05814))+0-0-0</f>
        <v>424.84902600000004</v>
      </c>
      <c r="L267" s="3">
        <f>271.2+(227.6-40)+(0+(0-0))+0-0-0</f>
        <v>458.79999999999995</v>
      </c>
      <c r="M267" s="3">
        <f>270.7+(230.4-37)+(0.276114+(0.235008-0.03774))+0-0-0</f>
        <v>464.57338200000004</v>
      </c>
      <c r="N267" s="3">
        <f>299.9+(197.1-36)+(0.305898+(0.201042-0.03672))+0-0-0</f>
        <v>461.47021999999998</v>
      </c>
      <c r="O267" s="3">
        <f>347+(157.6-35)+(0+(0-0))+0-0-0</f>
        <v>469.6</v>
      </c>
      <c r="P267" s="3">
        <f>339.2+(156.8-36)+(0+(0-0))+0-0-0</f>
        <v>460</v>
      </c>
      <c r="Q267" s="3">
        <f>344.4+(152.9-37)+(-0.526932+(-0.233937--0.05661))+0-0-0</f>
        <v>459.59574099999998</v>
      </c>
      <c r="R267" s="3">
        <f>343.5+(155.2-37)+(-0.175185+(-0.079152--0.01887))+0-0-0</f>
        <v>461.46453299999996</v>
      </c>
      <c r="S267" s="3">
        <f>341.8+(138.6-35)+(-0.697272+(-0.282744--0.0714))+0-0-0</f>
        <v>444.49138399999998</v>
      </c>
      <c r="T267" s="3">
        <f>341.6+(133-30)+(-0.174216+(-0.06783--0.0153))+0-0-0</f>
        <v>444.37325400000003</v>
      </c>
      <c r="U267" s="3">
        <f>340.2+(142.8-30)+(0.347004+(0.145656-0.0306))+0-0-0</f>
        <v>453.46206000000001</v>
      </c>
      <c r="V267" s="3">
        <f>342+(179.7-37)+(-0.34884+(-0.183294--0.03774))+0-0-0</f>
        <v>484.20560599999999</v>
      </c>
      <c r="W267" s="3">
        <f>357.3+(219-40)+(0.546669+(0.33507-0.0612))+0-0-0</f>
        <v>537.12053900000001</v>
      </c>
      <c r="X267" s="3">
        <f>360.1+(218.2-39)+(-0.734604+(-0.445128--0.07956))+0-0-0</f>
        <v>538.19982799999991</v>
      </c>
      <c r="Y267" s="3">
        <f>361.7+(200.4-39)+(-0.553401+(-0.306612--0.05967))+0-0-0</f>
        <v>522.29965700000002</v>
      </c>
      <c r="Z267" s="3">
        <f>368.5+(172-40)+(0.37587+(0.17544-0.0408))+0-0-0</f>
        <v>501.01051000000001</v>
      </c>
      <c r="AA267" s="3">
        <f>372.6+(139.1-37)+(-0.95013+(-0.354705--0.09435))+0-0-0</f>
        <v>473.48951500000004</v>
      </c>
      <c r="AB267" s="3">
        <f>372.3+(109.3-32)+(-0.189873+(-0.055743--0.01632))+0-0-0</f>
        <v>449.37070400000005</v>
      </c>
      <c r="AC267" s="3">
        <f>347.3+(102.7-30)+(-0.885615+(-0.261885--0.0765))+0-0-0</f>
        <v>418.92899999999997</v>
      </c>
      <c r="AD267" s="2">
        <v>601.1</v>
      </c>
      <c r="AE267" s="3">
        <v>5917.4</v>
      </c>
    </row>
    <row r="268" spans="1:31" s="2" customFormat="1" x14ac:dyDescent="0.3">
      <c r="A268">
        <v>91</v>
      </c>
      <c r="B268">
        <v>9</v>
      </c>
      <c r="C268">
        <v>22</v>
      </c>
      <c r="D268">
        <v>5</v>
      </c>
      <c r="E268">
        <v>1</v>
      </c>
      <c r="F268" s="3">
        <f>339+(103.6-31)+(-0.51867+(-0.158508--0.04743))+0-0-0</f>
        <v>410.97025200000002</v>
      </c>
      <c r="G268" s="3">
        <f>302+(127.4-30)+(-0.46206+(-0.194922--0.0459))+0-0-0</f>
        <v>398.78891799999997</v>
      </c>
      <c r="H268" s="3">
        <f>302+(119.4-29)+(0.15402+(0.060894-0.01479))+0-0-0</f>
        <v>392.60012399999999</v>
      </c>
      <c r="I268" s="3">
        <f>302+(118.3-31)+(-0.7701+(-0.301665--0.07905))+0-0-0</f>
        <v>388.30728500000004</v>
      </c>
      <c r="J268" s="3">
        <f>302+(129.4-35)+(0.61608+(0.263976-0.0714))+0-0-0</f>
        <v>397.20865599999996</v>
      </c>
      <c r="K268" s="3">
        <f>302+(179.2-39)+(0.30804+(0.182784-0.03978))+0-0-0</f>
        <v>442.65104400000001</v>
      </c>
      <c r="L268" s="3">
        <f>331+(190.3-40)+(0.33762+(0.194106-0.0408))+0-0-0</f>
        <v>481.79092600000001</v>
      </c>
      <c r="M268" s="3">
        <f>348+(173.4-37)+(0.35496+(0.176868-0.03774))+0-0-0</f>
        <v>484.89408799999995</v>
      </c>
      <c r="N268" s="3">
        <f>384+(138.8-36)+(0.39168+(0.141576-0.03672))+0-0-0</f>
        <v>487.296536</v>
      </c>
      <c r="O268" s="3">
        <f>382+(126.8-35)+(0.19482+(0.064668-0.01785))+0-0-0</f>
        <v>474.04163800000003</v>
      </c>
      <c r="P268" s="3">
        <f>381+(129.5-34)+(-0.97155+(-0.330225--0.0867))+0-0-0</f>
        <v>475.28492499999999</v>
      </c>
      <c r="Q268" s="3">
        <f>382+(135.2-33)+(-0.58446+(-0.206856--0.05049))+0-0-0</f>
        <v>483.45917399999996</v>
      </c>
      <c r="R268" s="3">
        <f>377+(136.5-33)+(-0.96135+(-0.348075--0.08415))+0-0-0</f>
        <v>479.27472499999999</v>
      </c>
      <c r="S268" s="3">
        <f>376+(124.7-34)+(-0.38352+(-0.127194--0.03468))+0-0-0</f>
        <v>466.22396599999996</v>
      </c>
      <c r="T268" s="3">
        <f>377+(119-34)+(-0.19227+(-0.06069--0.01734))+0-0-0</f>
        <v>461.76438000000002</v>
      </c>
      <c r="U268" s="3">
        <f>377+(122.3-37)+(-0.38454+(-0.124746--0.03774))+0-0-0</f>
        <v>461.82845400000002</v>
      </c>
      <c r="V268" s="3">
        <f>383+(157.5-39)+(-0.58599+(-0.240975--0.05967))+0-0-0</f>
        <v>500.73270500000001</v>
      </c>
      <c r="W268" s="3">
        <f>385+(209.3-43)+(0.7854+(0.426972-0.08772))+0-0-0</f>
        <v>552.42465199999992</v>
      </c>
      <c r="X268" s="3">
        <f>383+(214.8-42)+(-0.97665+(-0.54774--0.1071))+0-0-0</f>
        <v>554.38270999999997</v>
      </c>
      <c r="Y268" s="3">
        <f>383+(199.5-42)+(-0.39066+(-0.20349--0.04284))+0-0-0</f>
        <v>539.94869000000006</v>
      </c>
      <c r="Z268" s="3">
        <f>383+(174.9-41)+(-0.39066+(-0.178398--0.04182))+0-0-0</f>
        <v>516.37276199999997</v>
      </c>
      <c r="AA268" s="3">
        <f>383+(148.6-39)+(-0.78132+(-0.303144--0.07956))+0-0-0</f>
        <v>491.59509600000001</v>
      </c>
      <c r="AB268" s="3">
        <f>379+(125.1-36)+(-0.77316+(-0.255204--0.07344))+0-0-0</f>
        <v>467.14507600000002</v>
      </c>
      <c r="AC268" s="3">
        <f>304+(166.1-35)+(-0.15504+(-0.084711--0.01785))+0-0-0</f>
        <v>434.87809900000002</v>
      </c>
      <c r="AD268" s="2">
        <v>555.29999999999995</v>
      </c>
      <c r="AE268" s="3">
        <v>5635.3</v>
      </c>
    </row>
    <row r="269" spans="1:31" s="2" customFormat="1" x14ac:dyDescent="0.3">
      <c r="A269">
        <v>91</v>
      </c>
      <c r="B269">
        <v>9</v>
      </c>
      <c r="C269">
        <v>23</v>
      </c>
      <c r="D269">
        <v>6</v>
      </c>
      <c r="E269">
        <v>1</v>
      </c>
      <c r="F269" s="3">
        <f>302+(148.5-30)+(-0.61608+(-0.30294--0.0612))+0-0-0</f>
        <v>419.64218</v>
      </c>
      <c r="G269" s="3">
        <f>269.3+(147.7-30)+(-0.274686+(-0.150654--0.0306))+0-0-0</f>
        <v>386.60525999999999</v>
      </c>
      <c r="H269" s="3">
        <f>272.4+(135.2-31)+(-0.277848+(-0.137904--0.03162))+0-0-0</f>
        <v>376.21586799999994</v>
      </c>
      <c r="I269" s="3">
        <f>265.9+(139.7-32)+(-0.406827+(-0.213741--0.04896))+0-0-0</f>
        <v>373.02839199999994</v>
      </c>
      <c r="J269" s="3">
        <f>266+(150.8-37)+(-0.13566+(-0.076908--0.01887))+0-0-0</f>
        <v>379.60630200000003</v>
      </c>
      <c r="K269" s="3">
        <f>267.9+(193.5-41)+(0.683145+(0.493425-0.10455))+0-0-0</f>
        <v>421.47201999999999</v>
      </c>
      <c r="L269" s="3">
        <f>265.5+(226.8-39)+(-1.08324+(-0.925344--0.15912))+0-0-0</f>
        <v>451.450536</v>
      </c>
      <c r="M269" s="3">
        <f>265.6+(239.4-35)+(0.135456+(0.122094-0.01785))+0-0-0</f>
        <v>470.23970000000003</v>
      </c>
      <c r="N269" s="3">
        <f>280.1+(226.3-31)+(0.428553+(0.346239-0.04743))+0-0-0</f>
        <v>476.12736200000006</v>
      </c>
      <c r="O269" s="3">
        <f>346.5+(168.7-30)+(0.530145+(0.258111-0.0459))+0-0-0</f>
        <v>485.94235599999996</v>
      </c>
      <c r="P269" s="3">
        <f>337.6+(176.5-29)+(0+(0-0))+0-0-0</f>
        <v>485.1</v>
      </c>
      <c r="Q269" s="3">
        <f>326.5+(182.1-26)+(0.166515+(0.092871-0.01326))+0-0-0</f>
        <v>482.84612600000003</v>
      </c>
      <c r="R269" s="3">
        <f>290.9+(224.7-29)+(-0.593436+(-0.458388--0.05916))+0-0-0</f>
        <v>485.60733599999998</v>
      </c>
      <c r="S269" s="3">
        <f>289.5+(203.3-31)+(0+(0-0))+0-0-0</f>
        <v>461.8</v>
      </c>
      <c r="T269" s="3">
        <f>287.1+(193.9-32)+(0.439263+(0.296667-0.04896))+0-0-0</f>
        <v>449.68696999999997</v>
      </c>
      <c r="U269" s="3">
        <f>338.2+(149.1-35)+(0.172482+(0.076041-0.01785))+0-0-0</f>
        <v>452.53067299999998</v>
      </c>
      <c r="V269" s="3">
        <f>347+(184.2-38)+(-0.17697+(-0.093942--0.01938))+0-0-0</f>
        <v>492.94846799999999</v>
      </c>
      <c r="W269" s="3">
        <f>350.3+(239-41)+(0.178653+(0.12189-0.02091))+0-0-0</f>
        <v>548.57963299999994</v>
      </c>
      <c r="X269" s="3">
        <f>352.8+(238.3-41)+(-0.359856+(-0.243066--0.04182))+0-0-0</f>
        <v>549.53889800000002</v>
      </c>
      <c r="Y269" s="3">
        <f>368.3+(203.9-40)+(-0.939165+(-0.519945--0.102))+0-0-0</f>
        <v>530.84289000000001</v>
      </c>
      <c r="Z269" s="3">
        <f>398.5+(150.3-39)+(-0.203235+(-0.076653--0.01989))+0-0-0</f>
        <v>509.54000200000002</v>
      </c>
      <c r="AA269" s="3">
        <f>404.5+(118.1-36)+(-0.618885+(-0.180693--0.05508))+0-0-0</f>
        <v>485.855502</v>
      </c>
      <c r="AB269" s="3">
        <f>403.8+(97.9-38.8)+(-0.411876+(-0.099858--0.039576))+0-0-0</f>
        <v>462.42784200000006</v>
      </c>
      <c r="AC269" s="3">
        <f>340.5+(126.8-31)+(-0.520965+(-0.194004--0.04743))+0-0-0</f>
        <v>435.63246100000003</v>
      </c>
      <c r="AD269" s="2">
        <v>568.79999999999995</v>
      </c>
      <c r="AE269" s="3">
        <v>5418.4</v>
      </c>
    </row>
    <row r="270" spans="1:31" s="2" customFormat="1" x14ac:dyDescent="0.3">
      <c r="A270">
        <v>91</v>
      </c>
      <c r="B270">
        <v>9</v>
      </c>
      <c r="C270">
        <v>24</v>
      </c>
      <c r="D270">
        <v>7</v>
      </c>
      <c r="E270">
        <v>1</v>
      </c>
      <c r="F270" s="3">
        <f>293.7+(152.8-30)+(-0.748935+(-0.38964--0.0765))+0-0-0</f>
        <v>415.43792500000001</v>
      </c>
      <c r="G270" s="3">
        <f>272.6+(156.5-29)+(-0.417078+(-0.239445--0.04437))+0-0-0</f>
        <v>399.48784700000004</v>
      </c>
      <c r="H270" s="3">
        <f>273.5+(147.6-29)+(-0.697425+(-0.37638--0.07395))+0-0-0</f>
        <v>391.100145</v>
      </c>
      <c r="I270" s="3">
        <f>273.7+(144.1-31)+(-0.279174+(-0.146982--0.03162))+0-0-0</f>
        <v>386.40546399999994</v>
      </c>
      <c r="J270" s="3">
        <f>273.8+(155.2-35)+(0+(0-0))+0-0-0</f>
        <v>394</v>
      </c>
      <c r="K270" s="3">
        <f>273.4+(200.4-41)+(-0.557736+(-0.408816--0.08364))+0-0-0</f>
        <v>431.91708799999998</v>
      </c>
      <c r="L270" s="3">
        <f>273.6+(215.4-42)+(-0.69768+(-0.54927--0.1071))+0-0-0</f>
        <v>445.86014999999998</v>
      </c>
      <c r="M270" s="3">
        <f>278.2+(218.6-40)+(-0.283764+(-0.222972--0.0408))+0-0-0</f>
        <v>456.33406399999996</v>
      </c>
      <c r="N270" s="3">
        <f>347.8+(163.8-35)+(0.532134+(0.250614-0.05355))+0-0-0</f>
        <v>477.32919800000002</v>
      </c>
      <c r="O270" s="3">
        <f>345.2+(173.5-35)+(-0.352104+(-0.17697--0.0357))+0-0-0</f>
        <v>483.20662599999997</v>
      </c>
      <c r="P270" s="3">
        <f>343.9+(172.6-35)+(-0.526167+(-0.264078--0.05355))+0-0-0</f>
        <v>480.763305</v>
      </c>
      <c r="Q270" s="3">
        <f>345.2+(180.1-35)+(-0.352104+(-0.183702--0.0357))+0-0-0</f>
        <v>489.79989399999994</v>
      </c>
      <c r="R270" s="3">
        <f>341+(181.5-35)+(-0.52173+(-0.277695--0.05355))+0-0-0</f>
        <v>486.75412499999999</v>
      </c>
      <c r="S270" s="3">
        <f>339.2+(165.1-33)+(-0.86496+(-0.421005--0.08415))+0-0-0</f>
        <v>470.09818499999994</v>
      </c>
      <c r="T270" s="3">
        <f>341.7+(152.8-35)+(0.174267+(0.077928-0.01785))+0-0-0</f>
        <v>459.73434500000002</v>
      </c>
      <c r="U270" s="3">
        <f>340.9+(156.7-36)+(0+(0-0))+0-0-0</f>
        <v>461.59999999999997</v>
      </c>
      <c r="V270" s="3">
        <f>349.9+(202.4-39)+(-0.178449+(-0.103224--0.01989))+0-0-0</f>
        <v>513.03821699999992</v>
      </c>
      <c r="W270" s="3">
        <f>365.7+(225.6-43)+(-0.186507+(-0.115056--0.02193))+0-0-0</f>
        <v>548.02036699999996</v>
      </c>
      <c r="X270" s="3">
        <f>366.2+(222.9-36)+(-0.560286+(-0.341037--0.05508))+0-0-0</f>
        <v>552.25375700000006</v>
      </c>
      <c r="Y270" s="3">
        <f>366.6+(207.1-36)+(-0.747864+(-0.422484--0.07344))+0-0-0</f>
        <v>536.60309200000006</v>
      </c>
      <c r="Z270" s="3">
        <f>366.8+(180.8-36)+(-0.187068+(-0.092208--0.01836))+0-0-0</f>
        <v>511.33908400000001</v>
      </c>
      <c r="AA270" s="3">
        <f>367.2+(154.1-35)+(-0.561816+(-0.235773--0.05355))+0-0-0</f>
        <v>485.55596099999997</v>
      </c>
      <c r="AB270" s="3">
        <f>367.5+(122.7-35)+(-0.937125+(-0.312885--0.08925))+0-0-0</f>
        <v>454.03924000000001</v>
      </c>
      <c r="AC270" s="3">
        <f>365.9+(89.5-32)+(-0.746436+(-0.18258--0.06528))+0-0-0</f>
        <v>422.53626399999996</v>
      </c>
      <c r="AD270" s="2">
        <v>565.9</v>
      </c>
      <c r="AE270" s="3">
        <v>4443.3</v>
      </c>
    </row>
    <row r="271" spans="1:31" s="2" customFormat="1" x14ac:dyDescent="0.3">
      <c r="A271">
        <v>91</v>
      </c>
      <c r="B271">
        <v>9</v>
      </c>
      <c r="C271">
        <v>25</v>
      </c>
      <c r="D271">
        <v>1</v>
      </c>
      <c r="E271">
        <v>1</v>
      </c>
      <c r="F271" s="3">
        <f>358.7+(79.4-28)+(-0.548811+(-0.121482--0.04284))+0-0-0</f>
        <v>409.47254700000002</v>
      </c>
      <c r="G271" s="3">
        <f>336.9+(80.1-28)+(-0.343638+(-0.081702--0.02856))+0-0-0</f>
        <v>388.60322000000002</v>
      </c>
      <c r="H271" s="3">
        <f>272+(132.8-27)+(0+(0-0))+0-0-0</f>
        <v>377.8</v>
      </c>
      <c r="I271" s="3">
        <f>271.7+(132.1-27)+(-0.138567+(-0.067371--0.01377))+0-0-0</f>
        <v>376.60783199999997</v>
      </c>
      <c r="J271" s="3">
        <f>271.9+(140.8-30)+(0.138669+(0.071808-0.0153))+0-0-0</f>
        <v>382.89517699999999</v>
      </c>
      <c r="K271" s="3">
        <f>271.7+(195.3-34)+(0+(0-0))+0-0-0</f>
        <v>433</v>
      </c>
      <c r="L271" s="3">
        <f>294.4+(218.2-36)+(0.150144+(0.111282-0.01836))+0-0-0</f>
        <v>476.84306599999996</v>
      </c>
      <c r="M271" s="3">
        <f>352.3+(173.8-30)+(0.179673+(0.088638-0.0153))+0-0-0</f>
        <v>496.35301100000004</v>
      </c>
      <c r="N271" s="3">
        <f>382.5+(142.2-32)+(0.585225+(0.217566-0.04896))+0-0-0</f>
        <v>493.45383099999998</v>
      </c>
      <c r="O271" s="3">
        <f>389.9+(130.8-31)+(0.198849+(0.066708-0.01581))+0-0-0</f>
        <v>489.949747</v>
      </c>
      <c r="P271" s="3">
        <f>389.1+(122-29)+(0.793764+(0.24888-0.05916))+0-0-0</f>
        <v>483.083484</v>
      </c>
      <c r="Q271" s="3">
        <f>386.8+(121.3-27)+(-0.591804+(-0.185589--0.04131))+0-0-0</f>
        <v>480.36391700000001</v>
      </c>
      <c r="R271" s="3">
        <f>386.5+(122.3-25)+(-0.78846+(-0.249492--0.051))+0-0-0</f>
        <v>482.81304800000004</v>
      </c>
      <c r="S271" s="3">
        <f>387.3+(90.7-25)+(0+(0-0))+0-0-0</f>
        <v>453</v>
      </c>
      <c r="T271" s="3">
        <f>387.7+(92-24)+(0+(0-0))+2-0-0</f>
        <v>457.7</v>
      </c>
      <c r="U271" s="3">
        <f>380.3+(114.2-32)+(-0.193953+(-0.058242--0.01632))+1.5-0-0</f>
        <v>463.76412499999998</v>
      </c>
      <c r="V271" s="3">
        <f>350.8+(187-33)+(-0.536724+(-0.28611--0.05049))+0-0-0</f>
        <v>504.02765600000004</v>
      </c>
      <c r="W271" s="3">
        <f>352.4+(231.8-43)+(-0.359448+(-0.236436--0.04386))+0-0-0</f>
        <v>540.64797600000009</v>
      </c>
      <c r="X271" s="3">
        <f>368.3+(200.3-39)+(-0.751332+(-0.408612--0.07956))+0-0-0</f>
        <v>528.51961600000004</v>
      </c>
      <c r="Y271" s="3">
        <f>369.2+(176.9-29)+(-0.753168+(-0.360876--0.05916))+0-0-0</f>
        <v>516.04511600000001</v>
      </c>
      <c r="Z271" s="3">
        <f>370.3+(151.9-24)+(0+(0-0))+0-0-0</f>
        <v>498.20000000000005</v>
      </c>
      <c r="AA271" s="3">
        <f>369.5+(118.7-11)+(-0.37689+(-0.121074--0.01122))+0-0-0</f>
        <v>476.713256</v>
      </c>
      <c r="AB271" s="3">
        <f>369.2+(97.8-15)+(-0.188292+(-0.049878--0.00765))+0-0-0</f>
        <v>451.76947999999999</v>
      </c>
      <c r="AC271" s="3">
        <f>368.8+(77.9-13)+(-0.564264+(-0.119187--0.01989))+0-0-0</f>
        <v>433.03643900000003</v>
      </c>
      <c r="AD271" s="2">
        <v>547.79999999999995</v>
      </c>
      <c r="AE271" s="3">
        <v>5985</v>
      </c>
    </row>
    <row r="272" spans="1:31" s="2" customFormat="1" x14ac:dyDescent="0.3">
      <c r="A272">
        <v>91</v>
      </c>
      <c r="B272">
        <v>9</v>
      </c>
      <c r="C272">
        <v>26</v>
      </c>
      <c r="D272">
        <v>2</v>
      </c>
      <c r="E272">
        <v>1</v>
      </c>
      <c r="F272" s="3">
        <f>361.4+(65.1-17.1)+(-0.368628+(-0.066402--0.017442))+0-0-0</f>
        <v>408.98241199999995</v>
      </c>
      <c r="G272" s="3">
        <f>286.7+(121-12)+(-0.731085+(-0.30855--0.0306))+0-0-0</f>
        <v>394.69096500000001</v>
      </c>
      <c r="H272" s="3">
        <f>272.9+(118.4-12)+(0.278358+(0.120768-0.01224))+0-0-0</f>
        <v>379.68688599999996</v>
      </c>
      <c r="I272" s="3">
        <f>273+(116.9-11)+(0+(0-0))+0-0-0</f>
        <v>378.9</v>
      </c>
      <c r="J272" s="3">
        <f>272.5+(127.9-12)+(0.27795+(0.130458-0.01224))+0-0-0</f>
        <v>388.79616799999997</v>
      </c>
      <c r="K272" s="3">
        <f>272.9+(173.1-14)+(-0.556716+(-0.353124--0.02856))+0-0-0</f>
        <v>431.11872</v>
      </c>
      <c r="L272" s="3">
        <f>314.8+(172.6-18)+(0+(0-0))+0-0-0</f>
        <v>469.4</v>
      </c>
      <c r="M272" s="3">
        <f>353+(148.1-19)+(-0.36006+(-0.151062--0.01938))+0-0-0</f>
        <v>481.60825800000003</v>
      </c>
      <c r="N272" s="3">
        <f>353.7+(154.6-16)+(0.360774+(0.157692-0.01632))+0-0-0</f>
        <v>492.80214599999994</v>
      </c>
      <c r="O272" s="3">
        <f>350.8+(160.8-15)+(0.178908+(0.082008-0.00765))+0-0-0</f>
        <v>496.85326600000002</v>
      </c>
      <c r="P272" s="3">
        <f>351.6+(150.8-18)+(0+(0-0))+0-0-0</f>
        <v>484.40000000000003</v>
      </c>
      <c r="Q272" s="3">
        <f>371+(145.6-18)+(-0.56763+(-0.222768--0.02754))+0-0-0</f>
        <v>497.83714200000003</v>
      </c>
      <c r="R272" s="3">
        <f>373+(156.5-19)+(-1.14138+(-0.47889--0.05814))+0-0-0</f>
        <v>508.93786999999998</v>
      </c>
      <c r="S272" s="3">
        <f>373+(141.1-19)+(-0.57069+(-0.215883--0.02907))+0-0-0</f>
        <v>494.34249700000004</v>
      </c>
      <c r="T272" s="3">
        <f>350.1+(130.3-19)+(0.714204+(0.265812-0.03876))+0-0-0</f>
        <v>462.34125600000004</v>
      </c>
      <c r="U272" s="3">
        <f>370+(140.1-19)+(-0.5661+(-0.214353--0.02907))+0-0-0</f>
        <v>490.34861700000005</v>
      </c>
      <c r="V272" s="3">
        <f>350.7+(173.1-23)+(0.178857+(0.088281-0.01173))+0-0-0</f>
        <v>501.05540799999994</v>
      </c>
      <c r="W272" s="3">
        <f>392+(210.8-28)+(-0.79968+(-0.430032--0.05712))+0-0-0</f>
        <v>573.62740799999995</v>
      </c>
      <c r="X272" s="3">
        <f>393+(196-26)+(-0.40086+(-0.19992--0.02652))+0-0-0</f>
        <v>562.42574000000002</v>
      </c>
      <c r="Y272" s="3">
        <f>393+(177.1-18)+(-0.80172+(-0.361284--0.03672))+0-0-0</f>
        <v>550.97371599999997</v>
      </c>
      <c r="Z272" s="3">
        <f>394+(152.2-16)+(0.20094+(0.077622-0.00816))+0-0-0</f>
        <v>530.47040200000004</v>
      </c>
      <c r="AA272" s="3">
        <f>393+(132.2-18)+(-0.80172+(-0.269688--0.03672))+0-0-0</f>
        <v>506.16531199999997</v>
      </c>
      <c r="AB272" s="3">
        <f>368.8+(115.6-19.8)+(-0.564264+(-0.176868--0.030294))+0-0-0</f>
        <v>463.889162</v>
      </c>
      <c r="AC272" s="3">
        <f>369.8+(99.1-24.2)+(0.188598+(0.050541-0.012342))+0-0-0</f>
        <v>444.92679699999997</v>
      </c>
      <c r="AD272" s="2">
        <v>574.4</v>
      </c>
      <c r="AE272" s="3">
        <v>6070.5999999999995</v>
      </c>
    </row>
    <row r="273" spans="1:31" s="2" customFormat="1" x14ac:dyDescent="0.3">
      <c r="A273">
        <v>91</v>
      </c>
      <c r="B273">
        <v>9</v>
      </c>
      <c r="C273">
        <v>27</v>
      </c>
      <c r="D273">
        <v>3</v>
      </c>
      <c r="E273">
        <v>1</v>
      </c>
      <c r="F273" s="3">
        <f>317.8+(105.6-17)+(-0.81039+(-0.26928--0.04335))+0-0-0</f>
        <v>405.36367999999999</v>
      </c>
      <c r="G273" s="3">
        <f>269.8+(128.9-17)+(0+(0-0))+0-0-0</f>
        <v>381.70000000000005</v>
      </c>
      <c r="H273" s="3">
        <f>269.8+(114.8-15)+(-0.137598+(-0.058548--0.00765))+0-0-0</f>
        <v>369.41150400000004</v>
      </c>
      <c r="I273" s="3">
        <f>269.8+(110.9-16)+(0.275196+(0.113118-0.01632))+0-0-0</f>
        <v>365.07199400000002</v>
      </c>
      <c r="J273" s="3">
        <f>269.8+(106.4-16)+(0.137598+(0.054264-0.00816))+0-0-0</f>
        <v>360.38370200000003</v>
      </c>
      <c r="K273" s="3">
        <f>269.8+(125.1-16)+(0.550392+(0.255204-0.03264))+0-0-0</f>
        <v>379.672956</v>
      </c>
      <c r="L273" s="3">
        <f>332.8+(89.9-18.9)+(-0.509184+(-0.137547--0.028917))+0-0-0</f>
        <v>403.182186</v>
      </c>
      <c r="M273" s="3">
        <f>347.8+(72.5-16.8)+(0+(0-0))+0-0-0</f>
        <v>403.5</v>
      </c>
      <c r="N273" s="3">
        <f>348.6+(78-15.1)+(0.533358+(0.11934-0.023103))+0-0-0</f>
        <v>412.12959499999999</v>
      </c>
      <c r="O273" s="3">
        <f>347.4+(80.5-13.7)+(0.531522+(0.123165-0.020961))+0-0-0</f>
        <v>414.83372600000001</v>
      </c>
      <c r="P273" s="3">
        <f>369+(94.3-13.7)+(0+(0-0))+0-0-0</f>
        <v>449.6</v>
      </c>
      <c r="Q273" s="3">
        <f>369+(97.8-12.1)+(0.18819+(0.049878-0.006171))+0-0-0</f>
        <v>454.93189699999999</v>
      </c>
      <c r="R273" s="3">
        <f>368+(98.5-12.6)+(-0.9384+(-0.251175--0.03213))+0-0-0</f>
        <v>452.74255499999998</v>
      </c>
      <c r="S273" s="3">
        <f>367+(90.9-12.7)+(-0.37434+(-0.092718--0.012954))+0-0-0</f>
        <v>444.74589600000002</v>
      </c>
      <c r="T273" s="3">
        <f>344.7+(83.3-14.7)+(0+(0-0))+0-0-0</f>
        <v>413.29999999999995</v>
      </c>
      <c r="U273" s="3">
        <f>367+(95.2-15)+(-0.74868+(-0.194208--0.0306))+0-0-0</f>
        <v>446.287712</v>
      </c>
      <c r="V273" s="3">
        <f>373+(130.3-13)+(0.38046+(0.132906-0.01326))+0-0-0</f>
        <v>490.80010600000003</v>
      </c>
      <c r="W273" s="3">
        <f>387+(181.5-19)+(0+(0-0))+0-0-0</f>
        <v>549.5</v>
      </c>
      <c r="X273" s="3">
        <f>360.4+(189.4-19)+(-1.102824+(-0.579564--0.05814))+0-0-0</f>
        <v>529.17575199999999</v>
      </c>
      <c r="Y273" s="3">
        <f>361.5+(174-22)+(-0.553095+(-0.26622--0.03366))+0-0-0</f>
        <v>512.71434499999998</v>
      </c>
      <c r="Z273" s="3">
        <f>361.4+(155.1-23)+(-0.368628+(-0.158202--0.02346))+0-0-0</f>
        <v>492.99662999999998</v>
      </c>
      <c r="AA273" s="3">
        <f>359.2+(133.9-22)+(-0.366384+(-0.136578--0.02244))+0-0-0</f>
        <v>470.61947800000002</v>
      </c>
      <c r="AB273" s="3">
        <f>344.9+(122.7-22)+(-0.703596+(-0.250308--0.04488))+0-0-0</f>
        <v>444.69097599999998</v>
      </c>
      <c r="AC273" s="3">
        <f>340.7+(102.8-20)+(-0.347514+(-0.104856--0.0204))+0-0-0</f>
        <v>423.06803000000002</v>
      </c>
      <c r="AD273" s="2">
        <v>556.1</v>
      </c>
      <c r="AE273" s="3">
        <v>5868.2</v>
      </c>
    </row>
    <row r="274" spans="1:31" s="2" customFormat="1" x14ac:dyDescent="0.3">
      <c r="A274">
        <v>91</v>
      </c>
      <c r="B274">
        <v>9</v>
      </c>
      <c r="C274">
        <v>28</v>
      </c>
      <c r="D274">
        <v>4</v>
      </c>
      <c r="E274">
        <v>1</v>
      </c>
      <c r="F274" s="3">
        <f>341.8+(75.4-26)+(-0.522954+(-0.115362--0.03978))+0-0-0</f>
        <v>390.60146400000002</v>
      </c>
      <c r="G274" s="3">
        <f>296.2+(99.7-20)+(-0.906372+(-0.305082--0.0612))+0-0-0</f>
        <v>374.74974599999996</v>
      </c>
      <c r="H274" s="3">
        <f>245.9+(139.4-20)+(-0.501636+(-0.284376--0.0408))+0-0-0</f>
        <v>364.55478800000003</v>
      </c>
      <c r="I274" s="3">
        <f>208.5+(171.6-23)+(0+(0-0))+0-0-0</f>
        <v>357.1</v>
      </c>
      <c r="J274" s="3">
        <f>207+(177.3-22)+(0.21114+(0.180846-0.02244))+0-0-0</f>
        <v>362.66954600000003</v>
      </c>
      <c r="K274" s="3">
        <f>242.2+(187.4-25)+(0+(0-0))+0-0-0</f>
        <v>404.6</v>
      </c>
      <c r="L274" s="3">
        <f>263.9+(200.2-31)+(-0.269178+(-0.204204--0.03162))+0-0-0</f>
        <v>432.65823799999998</v>
      </c>
      <c r="M274" s="3">
        <f>264.9+(196-29)+(0.270198+(0.19992-0.02958))+0-0-0</f>
        <v>432.34053799999998</v>
      </c>
      <c r="N274" s="3">
        <f>317.8+(160-26)+(0.324156+(0.1632-0.02652))+0-0-0</f>
        <v>452.26083599999998</v>
      </c>
      <c r="O274" s="3">
        <f>339+(141.3-24)+(0.51867+(0.216189-0.03672))+0-0-0</f>
        <v>456.99813900000004</v>
      </c>
      <c r="P274" s="3">
        <f>338.3+(135.9-30)+(0+(0-0))+0-0-0</f>
        <v>444.20000000000005</v>
      </c>
      <c r="Q274" s="3">
        <f>367+(136.2-26)+(0.18717+(0.069462-0.01326))+0-0-0</f>
        <v>477.44337200000001</v>
      </c>
      <c r="R274" s="3">
        <f>364+(136.8-26)+(-1.11384+(-0.418608--0.07956))+0-0-0</f>
        <v>473.34711200000004</v>
      </c>
      <c r="S274" s="3">
        <f>366+(114.3-25)+(0+(0-0))+0-0-0</f>
        <v>455.3</v>
      </c>
      <c r="T274" s="3">
        <f>362+(106.9-23)+(0+(0-0))+0-0-0</f>
        <v>445.9</v>
      </c>
      <c r="U274" s="3">
        <f>363+(110.4-21)+(0+(0-0))+0-0-0</f>
        <v>452.4</v>
      </c>
      <c r="V274" s="3">
        <f>367+(150.4-24)+(0+(0-0))+0-0-0</f>
        <v>493.4</v>
      </c>
      <c r="W274" s="3">
        <f>367+(216.4-29)+(-0.18717+(-0.110364--0.01479))+0-0-0</f>
        <v>554.117256</v>
      </c>
      <c r="X274" s="3">
        <f>367+(228.9-30)+(-0.37434+(-0.233478--0.0306))+0-0-0</f>
        <v>565.32278199999996</v>
      </c>
      <c r="Y274" s="3">
        <f>369+(212.4-30)+(0+(0-0))+0-0-0</f>
        <v>551.4</v>
      </c>
      <c r="Z274" s="3">
        <f>369+(187-30)+(-0.18819+(-0.09537--0.0153))+0-0-0</f>
        <v>525.73173999999995</v>
      </c>
      <c r="AA274" s="3">
        <f>368+(156.3-28)+(-0.37536+(-0.159426--0.02856))+0-0-0</f>
        <v>495.79377399999998</v>
      </c>
      <c r="AB274" s="3">
        <f>372+(133.2-25)+(0.18972+(0.067932-0.01275))+0-0-0</f>
        <v>480.44490200000001</v>
      </c>
      <c r="AC274" s="3">
        <f>370+(117.4-24)+(-1.3209+(-0.419118--0.08568))+0-0-0</f>
        <v>461.74566199999998</v>
      </c>
      <c r="AD274" s="2">
        <v>571.5</v>
      </c>
      <c r="AE274" s="3">
        <v>5712.4</v>
      </c>
    </row>
    <row r="275" spans="1:31" s="2" customFormat="1" x14ac:dyDescent="0.3">
      <c r="A275">
        <v>91</v>
      </c>
      <c r="B275">
        <v>9</v>
      </c>
      <c r="C275">
        <v>29</v>
      </c>
      <c r="D275">
        <v>5</v>
      </c>
      <c r="E275">
        <v>1</v>
      </c>
      <c r="F275" s="3">
        <f>351+(105.3-24)+(-0.89505+(-0.268515--0.0612))+0-0-0</f>
        <v>431.19763499999999</v>
      </c>
      <c r="G275" s="3">
        <f>289+(151.4-23)+(-0.73695+(-0.38607--0.05865))+0-0-0</f>
        <v>416.33562999999998</v>
      </c>
      <c r="H275" s="3">
        <f>289+(148.3-23)+(0.14739+(0.075633-0.01173))+0-0-0</f>
        <v>414.51129300000002</v>
      </c>
      <c r="I275" s="3">
        <f>257+(151-23)+(0.39321+(0.23103-0.03519))+0-0-0</f>
        <v>385.58904999999999</v>
      </c>
      <c r="J275" s="3">
        <f>267+(170.1-25)+(0+(0-0))+0-0-0</f>
        <v>412.1</v>
      </c>
      <c r="K275" s="3">
        <f>277+(208.4-32)+(0.70635+(0.53142-0.0816))+0-0-0</f>
        <v>454.55616999999995</v>
      </c>
      <c r="L275" s="3">
        <f>277+(243.5-33)+(0.28254+(0.24837-0.03366))+0-0-0</f>
        <v>487.99725000000001</v>
      </c>
      <c r="M275" s="3">
        <f>290+(234.3-32)+(0+(0-0))+0-0-0</f>
        <v>492.3</v>
      </c>
      <c r="N275" s="3">
        <f>367+(156.1-31)+(0.37434+(0.159222-0.03162))+0-0-0</f>
        <v>492.60194200000001</v>
      </c>
      <c r="O275" s="3">
        <f>382+(123.3-26)+(0.38964+(0.125766-0.02652))+0-0-0</f>
        <v>479.78888599999999</v>
      </c>
      <c r="P275" s="3">
        <f>380+(119.4-24)+(-0.969+(-0.30447--0.0612))+0-0-0</f>
        <v>474.18772999999999</v>
      </c>
      <c r="Q275" s="3">
        <f>383+(122.6-26)+(-0.19533+(-0.062526--0.01326))+0-0-0</f>
        <v>479.35540400000002</v>
      </c>
      <c r="R275" s="3">
        <f>376+(124.7-27)+(-0.9588+(-0.317985--0.06885))+0-0-0</f>
        <v>472.49206499999997</v>
      </c>
      <c r="S275" s="3">
        <f>376+(94.2-27)+(-0.38352+(-0.096084--0.02754))+0-0-0</f>
        <v>442.74793599999998</v>
      </c>
      <c r="T275" s="3">
        <f>342+(120.2-27)+(-0.69768+(-0.245208--0.05508))+0-0-0</f>
        <v>434.31219199999998</v>
      </c>
      <c r="U275" s="3">
        <f>323+(144.7-28)+(0.49419+(0.221391-0.04284))+0-0-0</f>
        <v>440.37274099999996</v>
      </c>
      <c r="V275" s="3">
        <f>327+(189.4-30)+(0+(0-0))+0-0-0</f>
        <v>486.4</v>
      </c>
      <c r="W275" s="3">
        <f>330+(247.2-36)+(-0.1683+(-0.126072--0.01836))+0-0-0</f>
        <v>540.92398800000001</v>
      </c>
      <c r="X275" s="3">
        <f>330+(254.5-36)+(-0.1683+(-0.129795--0.01836))+0-0-0</f>
        <v>548.22026500000004</v>
      </c>
      <c r="Y275" s="3">
        <f>330+(241.8-36)+(-1.0098+(-0.739908--0.11016))+0-0-0</f>
        <v>534.16045199999996</v>
      </c>
      <c r="Z275" s="3">
        <f>331+(216.8-34)+(-0.33762+(-0.221136--0.03468))+0-0-0</f>
        <v>513.27592399999992</v>
      </c>
      <c r="AA275" s="3">
        <f>330+(187.7-30)+(-0.8415+(-0.478635--0.0765))+0-0-0</f>
        <v>486.45636500000001</v>
      </c>
      <c r="AB275" s="3">
        <f>332+(161.5-28)+(0+(0-0))+0-0-0</f>
        <v>465.5</v>
      </c>
      <c r="AC275" s="3">
        <f>331+(131.1-27)+(-0.50643+(-0.200583--0.04131))+0-0-0</f>
        <v>434.43429700000002</v>
      </c>
      <c r="AD275" s="2">
        <v>541.20000000000005</v>
      </c>
      <c r="AE275" s="3">
        <v>5736.7</v>
      </c>
    </row>
    <row r="276" spans="1:31" s="2" customFormat="1" x14ac:dyDescent="0.3">
      <c r="A276">
        <v>91</v>
      </c>
      <c r="B276">
        <v>9</v>
      </c>
      <c r="C276">
        <v>30</v>
      </c>
      <c r="D276">
        <v>6</v>
      </c>
      <c r="E276">
        <v>1</v>
      </c>
      <c r="F276" s="3">
        <f>321+(102-26)+(-0.49113+(-0.15606--0.03978))+0-0-0</f>
        <v>396.39258999999998</v>
      </c>
      <c r="G276" s="3">
        <f>310+(99.3-27.1)+(0+(0-0))+0-0-0</f>
        <v>382.2</v>
      </c>
      <c r="H276" s="3">
        <f>233+(167.9-24)+(-0.11883+(-0.085629--0.01224))+0-0-0</f>
        <v>376.70778099999995</v>
      </c>
      <c r="I276" s="3">
        <f>232+(166.4-25)+(0.11832+(0.084864-0.01275))+0-0-0</f>
        <v>373.59043399999996</v>
      </c>
      <c r="J276" s="3">
        <f>232+(176.9-28)+(0.11832+(0.090219-0.01428))+0-0-0</f>
        <v>381.09425899999997</v>
      </c>
      <c r="K276" s="3">
        <f>232+(226-33)+(0.11832+(0.11526-0.01683))+0-0-0</f>
        <v>425.21674999999999</v>
      </c>
      <c r="L276" s="3">
        <f>232+(255.1-34)+(-0.47328+(-0.520404--0.06936))+0-0-0</f>
        <v>452.17567600000001</v>
      </c>
      <c r="M276" s="3">
        <f>266+(235.6-34)+(0.40698+(0.360468-0.05202))+0-0-0</f>
        <v>468.315428</v>
      </c>
      <c r="N276" s="3">
        <f>312+(195.6-32)+(0.47736+(0.299268-0.04896))+0-0-0</f>
        <v>476.32766800000002</v>
      </c>
      <c r="O276" s="3">
        <f>312+(197-30)+(0.31824+(0.20094-0.0306))+0-0-0</f>
        <v>479.48858000000001</v>
      </c>
      <c r="P276" s="3">
        <f>312+(188.1-27)+(0.15912+(0.095931-0.01377))+0-0-0</f>
        <v>473.34128100000004</v>
      </c>
      <c r="Q276" s="3">
        <f>312+(185.6-27)+(0.15912+(0.094656-0.01377))+0-0-0</f>
        <v>470.84000600000002</v>
      </c>
      <c r="R276" s="3">
        <f>309+(183.8-24)+(-0.31518+(-0.187476--0.02448))+0-0-0</f>
        <v>468.32182399999999</v>
      </c>
      <c r="S276" s="3">
        <f>306+(166.1-23)+(-0.7803+(-0.423555--0.05865))+0-0-0</f>
        <v>447.95479500000005</v>
      </c>
      <c r="T276" s="3">
        <f>308+(156.1-23)+(0.7854+(0.398055-0.05865))+0-0-0</f>
        <v>442.224805</v>
      </c>
      <c r="U276" s="3">
        <f>308+(162.8-25)+(0+(0-0))+0-0-0</f>
        <v>445.8</v>
      </c>
      <c r="V276" s="3">
        <f>313+(206.4-33)+(0.15963+(0.105264-0.01683))+0-0-0</f>
        <v>486.64806399999998</v>
      </c>
      <c r="W276" s="3">
        <f>313+(270.5-35)+(-0.15963+(-0.137955--0.01785))+0-0-0</f>
        <v>548.22026500000004</v>
      </c>
      <c r="X276" s="3">
        <f>312+(274-36)+(-0.47736+(-0.41922--0.05508))+0-0-0</f>
        <v>549.1585</v>
      </c>
      <c r="Y276" s="3">
        <f>311+(253.2-32)+(-0.95166+(-0.774792--0.09792))+0-0-0</f>
        <v>530.5714680000001</v>
      </c>
      <c r="Z276" s="3">
        <f>312+(228.8-34)+(-0.63648+(-0.466752--0.06936))+0-0-0</f>
        <v>505.76612800000004</v>
      </c>
      <c r="AA276" s="3">
        <f>313+(200.1-32)+(0.47889+(0.306153-0.04896))+0-0-0</f>
        <v>481.83608300000003</v>
      </c>
      <c r="AB276" s="3">
        <f>311+(174.9-28)+(-0.31722+(-0.178398--0.02856))+0-0-0</f>
        <v>457.43294199999997</v>
      </c>
      <c r="AC276" s="3">
        <f>310+(151.1-27)+(-0.4743+(-0.231183--0.04131))+0-0-0</f>
        <v>433.43582700000002</v>
      </c>
      <c r="AD276" s="2">
        <v>555.70000000000005</v>
      </c>
      <c r="AE276" s="3">
        <v>5550.6</v>
      </c>
    </row>
    <row r="277" spans="1:31" s="2" customFormat="1" x14ac:dyDescent="0.3">
      <c r="A277">
        <v>91</v>
      </c>
      <c r="B277">
        <v>10</v>
      </c>
      <c r="C277">
        <v>1</v>
      </c>
      <c r="D277">
        <v>7</v>
      </c>
      <c r="E277">
        <v>1</v>
      </c>
      <c r="F277" s="3">
        <f>305+(136.4-27)+(-0.6222+(-0.278256--0.05508))+0-0-0</f>
        <v>413.55462399999999</v>
      </c>
      <c r="G277" s="3">
        <f>266+(157.4-27)+(0.27132+(0.160548-0.02754))+0-0-0</f>
        <v>396.804328</v>
      </c>
      <c r="H277" s="3">
        <f>250+(163.3-27)+(-0.3825+(-0.249849--0.04131))+0-0-0</f>
        <v>385.70896099999999</v>
      </c>
      <c r="I277" s="3">
        <f>231+(177.3-28)+(-0.23562+(-0.180846--0.02856))+0-0-0</f>
        <v>379.91209400000002</v>
      </c>
      <c r="J277" s="3">
        <f>231+(186.8-30)+(-0.11781+(-0.095268--0.0153))+0-0-0</f>
        <v>387.60222199999998</v>
      </c>
      <c r="K277" s="3">
        <f>231+(231.1-35)+(-0.58905+(-0.589305--0.08925))+0-0-0</f>
        <v>426.010895</v>
      </c>
      <c r="L277" s="3">
        <f>232+(250.2-36)+(-0.47328+(-0.510408--0.07344))+0-0-0</f>
        <v>445.28975199999996</v>
      </c>
      <c r="M277" s="3">
        <f>232+(254.3-37)+(-0.23664+(-0.259386--0.03774))+0-0-0</f>
        <v>448.84171400000002</v>
      </c>
      <c r="N277" s="3">
        <f>232+(260.4-32)+(-0.11832+(-0.132804--0.01632))+0-0-0</f>
        <v>460.16519599999998</v>
      </c>
      <c r="O277" s="3">
        <f>296+(205.1-31)+(0.30192+(0.209202-0.03162))+0-0-0</f>
        <v>470.57950200000005</v>
      </c>
      <c r="P277" s="3">
        <f>311+(192.5-35)+(-0.15861+(-0.098175--0.01785))+0-0-0</f>
        <v>468.26106499999997</v>
      </c>
      <c r="Q277" s="3">
        <f>306+(201.4-33)+(-0.46818+(-0.308142--0.05049))+0-0-0</f>
        <v>473.67416799999995</v>
      </c>
      <c r="R277" s="3">
        <f>306+(198.9-31)+(-0.46818+(-0.304317--0.04743))+0-0-0</f>
        <v>473.17493299999995</v>
      </c>
      <c r="S277" s="3">
        <f>305+(186.7-30)+(-0.6222+(-0.380868--0.0612))+0-0-0</f>
        <v>460.75813199999999</v>
      </c>
      <c r="T277" s="3">
        <f>306+(177.9-28)+(-0.31212+(-0.181458--0.02856))+0-0-0</f>
        <v>455.43498199999999</v>
      </c>
      <c r="U277" s="3">
        <f>262+(219.2-30)+(-0.13362+(-0.111792--0.0153))+0-0-0</f>
        <v>450.96988799999997</v>
      </c>
      <c r="V277" s="3">
        <f>231+(277.2-33)+(-0.23562+(-0.282744--0.03366))+0-0-0</f>
        <v>474.71529599999997</v>
      </c>
      <c r="W277" s="3">
        <f>326+(267.4-35)+(0.33252+(0.272748-0.0357))+0-0-0</f>
        <v>558.96956799999998</v>
      </c>
      <c r="X277" s="3">
        <f>360+(245.3-36)+(0+(0-0))+0-0-0</f>
        <v>569.29999999999995</v>
      </c>
      <c r="Y277" s="3">
        <f>359+(211.9-36)+(-0.73236+(-0.432276--0.07344))+0-0-0</f>
        <v>533.80880400000001</v>
      </c>
      <c r="Z277" s="3">
        <f>361+(194.7-34)+(-0.36822+(-0.198594--0.03468))+0-0-0</f>
        <v>521.167866</v>
      </c>
      <c r="AA277" s="3">
        <f>361+(162.8-32)+(0+(0-0))+0-0-0</f>
        <v>491.8</v>
      </c>
      <c r="AB277" s="3">
        <f>360+(131.9-30)+(-0.7344+(-0.269076--0.0612))+0-0-0</f>
        <v>460.95772399999998</v>
      </c>
      <c r="AC277" s="3">
        <f>351+(110.1-28)+(-0.89505+(-0.280755--0.0714))+0-0-0</f>
        <v>431.99559500000004</v>
      </c>
      <c r="AD277" s="2">
        <v>550.6</v>
      </c>
      <c r="AE277" s="3">
        <v>4498.6000000000004</v>
      </c>
    </row>
    <row r="278" spans="1:31" s="2" customFormat="1" x14ac:dyDescent="0.3">
      <c r="A278">
        <v>91</v>
      </c>
      <c r="B278">
        <v>10</v>
      </c>
      <c r="C278">
        <v>2</v>
      </c>
      <c r="D278">
        <v>1</v>
      </c>
      <c r="E278">
        <v>1</v>
      </c>
      <c r="F278" s="3">
        <f>287+(153.5-28)+(0.29274+(0.15657-0.02856))+0-0-0</f>
        <v>412.92075</v>
      </c>
      <c r="G278" s="3">
        <f>287+(139.4-26)+(-0.73185+(-0.35547--0.0663))+0-0-0</f>
        <v>399.37897999999996</v>
      </c>
      <c r="H278" s="3">
        <f>287+(128.8-26)+(0.14637+(0.065688-0.01326))+0-0-0</f>
        <v>389.99879800000002</v>
      </c>
      <c r="I278" s="3">
        <f>287+(128.9-27)+(-0.14637+(-0.065739--0.01377))+0-0-0</f>
        <v>388.701661</v>
      </c>
      <c r="J278" s="3">
        <f>287+(142.3-27)+(-0.14637+(-0.072573--0.01377))+0-0-0</f>
        <v>402.09482700000001</v>
      </c>
      <c r="K278" s="3">
        <f>287+(194.5-33)+(0.58548+(0.39678-0.06732))+0-0-0</f>
        <v>449.41494</v>
      </c>
      <c r="L278" s="3">
        <f>278+(242.7-42)+(-0.28356+(-0.247554--0.04284))+0-0-0</f>
        <v>478.211726</v>
      </c>
      <c r="M278" s="3">
        <f>350+(180-40)+(0.1785+(0.0918-0.0204))+0-0-0</f>
        <v>490.24990000000003</v>
      </c>
      <c r="N278" s="3">
        <f>359+(170.4-42.6)+(0+(0-0))+0-0-0</f>
        <v>486.8</v>
      </c>
      <c r="O278" s="3">
        <f>358+(162.1-43.1)+(0+(0-0))+0-0-0</f>
        <v>477</v>
      </c>
      <c r="P278" s="3">
        <f>356+(158.4-44.1)+(-0.72624+(-0.323136--0.089964))+0-0-0</f>
        <v>469.34058800000003</v>
      </c>
      <c r="Q278" s="3">
        <f>365+(146.1-35)+(-0.7446+(-0.298044--0.0714))+0-0-0</f>
        <v>475.12875600000001</v>
      </c>
      <c r="R278" s="3">
        <f>364+(154.3-28)+(-0.55692+(-0.236079--0.04284))+0-0-0</f>
        <v>489.54984100000001</v>
      </c>
      <c r="S278" s="3">
        <f>362+(130.9-27)+(-0.36924+(-0.133518--0.02754))+0-0-0</f>
        <v>465.42478199999999</v>
      </c>
      <c r="T278" s="3">
        <f>362+(114.9-30)+(-0.36924+(-0.117198--0.0306))+0-0-0</f>
        <v>446.44416199999995</v>
      </c>
      <c r="U278" s="3">
        <f>364+(120.7-30)+(0+(0-0))+0-0-0</f>
        <v>454.7</v>
      </c>
      <c r="V278" s="3">
        <f>366+(160.6-35)+(-0.74664+(-0.327624--0.0714))+0-0-0</f>
        <v>490.59713600000003</v>
      </c>
      <c r="W278" s="3">
        <f>376+(223.8-39)+(0.38352+(0.228276-0.03978))+0-0-0</f>
        <v>561.37201599999992</v>
      </c>
      <c r="X278" s="3">
        <f>384+(221.5-39)+(-1.17504+(-0.67779--0.11934))+0-0-0</f>
        <v>564.76651000000004</v>
      </c>
      <c r="Y278" s="3">
        <f>385+(203-35)+(0.19635+(0.10353-0.01785))+0-0-0</f>
        <v>553.28202999999996</v>
      </c>
      <c r="Z278" s="3">
        <f>384+(178.5-35)+(-0.78336+(-0.36414--0.0714))+0-0-0</f>
        <v>526.4239</v>
      </c>
      <c r="AA278" s="3">
        <f>384+(148-30)+(-0.58752+(-0.22644--0.0459))+0-0-0</f>
        <v>501.23194000000001</v>
      </c>
      <c r="AB278" s="3">
        <f>384+(121-28)+(-0.19584+(-0.06171--0.01428))+0-0-0</f>
        <v>476.75673</v>
      </c>
      <c r="AC278" s="3">
        <f>349+(127.8-27)+(-1.06794+(-0.391068--0.08262))+0-0-0</f>
        <v>448.42361199999999</v>
      </c>
      <c r="AD278" s="2">
        <v>569.1</v>
      </c>
      <c r="AE278" s="3">
        <v>5732.7</v>
      </c>
    </row>
    <row r="279" spans="1:31" s="2" customFormat="1" x14ac:dyDescent="0.3">
      <c r="A279">
        <v>91</v>
      </c>
      <c r="B279">
        <v>10</v>
      </c>
      <c r="C279">
        <v>3</v>
      </c>
      <c r="D279">
        <v>2</v>
      </c>
      <c r="E279">
        <v>1</v>
      </c>
      <c r="F279" s="3">
        <f>293+(155.8-24)+(-0.29886+(-0.158916--0.02448))+0-0-0</f>
        <v>424.36670400000003</v>
      </c>
      <c r="G279" s="3">
        <f>287+(143-25)+(0.14637+(0.07293-0.01275))+0-0-0</f>
        <v>405.20654999999999</v>
      </c>
      <c r="H279" s="3">
        <f>287+(135-26)+(-0.14637+(-0.06885--0.01326))+0-0-0</f>
        <v>395.79804000000001</v>
      </c>
      <c r="I279" s="3">
        <f>287+(133.8-28)+(0.14637+(0.068238-0.01428))+0-0-0</f>
        <v>393.00032800000002</v>
      </c>
      <c r="J279" s="3">
        <f>287+(144.6-30)+(-0.14637+(-0.073746--0.0153))+0-0-0</f>
        <v>401.39518400000003</v>
      </c>
      <c r="K279" s="3">
        <f>287+(199.5-34)+(0+(0-0))+0-0-0</f>
        <v>452.5</v>
      </c>
      <c r="L279" s="3">
        <f>285+(242.8-39)+(-0.5814+(-0.495312--0.07956))+0-0-0</f>
        <v>487.80284799999998</v>
      </c>
      <c r="M279" s="3">
        <f>302+(233.3-40)+(-0.61608+(-0.475932--0.0816))+0-0-0</f>
        <v>494.28958800000004</v>
      </c>
      <c r="N279" s="3">
        <f>366+(160.9-36)+(0.55998+(0.246177-0.05508))+0-0-0</f>
        <v>491.65107699999999</v>
      </c>
      <c r="O279" s="3">
        <f>401+(115.2-34)+(-0.61353+(-0.176256--0.05202))+0-0-0</f>
        <v>481.46223399999997</v>
      </c>
      <c r="P279" s="3">
        <f>399+(109.5-33)+(0+(0-0))+0-0-0</f>
        <v>475.5</v>
      </c>
      <c r="Q279" s="3">
        <f>395+(109.9-35)+(-1.00725+(-0.280245--0.08925))+0-0-0</f>
        <v>468.70175499999999</v>
      </c>
      <c r="R279" s="3">
        <f>394+(109.2-25)+(-1.0047+(-0.27846--0.06375))+0-0-0</f>
        <v>476.98059000000001</v>
      </c>
      <c r="S279" s="3">
        <f>395+(96.8-30.9)+(-0.60435+(-0.148104--0.047277))+0-0-0</f>
        <v>460.19482299999999</v>
      </c>
      <c r="T279" s="3">
        <f>396+(92.1-34.9)+(-0.20196+(-0.046971--0.017799))+0-0-0</f>
        <v>452.96886799999999</v>
      </c>
      <c r="U279" s="3">
        <f>396+(93.7-33.4)+(-0.20196+(-0.047787--0.017034))+0-0-0</f>
        <v>456.06728700000002</v>
      </c>
      <c r="V279" s="3">
        <f>400+(126.2-36)+(-0.204+(-0.064362--0.01836))+0-0-0</f>
        <v>489.94999799999999</v>
      </c>
      <c r="W279" s="3">
        <f>401+(200.3-38)+(-0.40902+(-0.204306--0.03876))+0-0-0</f>
        <v>562.72543399999995</v>
      </c>
      <c r="X279" s="3">
        <f>390+(208.4-37)+(-0.7956+(-0.425136--0.07548))+0-0-0</f>
        <v>560.25474399999996</v>
      </c>
      <c r="Y279" s="3">
        <f>390+(191.7-36)+(-0.5967+(-0.293301--0.05508))+0-0-0</f>
        <v>544.86507900000004</v>
      </c>
      <c r="Z279" s="3">
        <f>390+(164.9-36)+(-0.5967+(-0.252297--0.05508))+0-0-0</f>
        <v>518.10608300000001</v>
      </c>
      <c r="AA279" s="3">
        <f>390+(137.6-36)+(-0.3978+(-0.140352--0.03672))+0-0-0</f>
        <v>491.098568</v>
      </c>
      <c r="AB279" s="3">
        <f>387+(114.7-31)+(-0.98685+(-0.292485--0.07905))+0-0-0</f>
        <v>469.49971499999998</v>
      </c>
      <c r="AC279" s="3">
        <f>361+(110.5-31)+(-1.10466+(-0.33813--0.09486))+0-0-0</f>
        <v>439.15206999999998</v>
      </c>
      <c r="AD279" s="2">
        <v>561.9</v>
      </c>
      <c r="AE279" s="3">
        <v>5713.1</v>
      </c>
    </row>
    <row r="280" spans="1:31" s="2" customFormat="1" x14ac:dyDescent="0.3">
      <c r="A280">
        <v>91</v>
      </c>
      <c r="B280">
        <v>10</v>
      </c>
      <c r="C280">
        <v>4</v>
      </c>
      <c r="D280">
        <v>3</v>
      </c>
      <c r="E280">
        <v>1</v>
      </c>
      <c r="F280" s="3">
        <f>352+(92.8-31)+(-0.71808+(-0.189312--0.06324))+0-0-0</f>
        <v>412.955848</v>
      </c>
      <c r="G280" s="3">
        <f>345+(82-32.2)+(-0.17595+(-0.04182--0.016422))+0-0-0</f>
        <v>394.59865200000002</v>
      </c>
      <c r="H280" s="3">
        <f>308+(103.5-28)+(-0.7854+(-0.263925--0.0714))+0-0-0</f>
        <v>382.52207499999997</v>
      </c>
      <c r="I280" s="3">
        <f>288+(121.1-29)+(0.14688+(0.061761-0.01479))+0-0-0</f>
        <v>380.29385100000002</v>
      </c>
      <c r="J280" s="3">
        <f>288+(135.3-30)+(-0.14688+(-0.069003--0.0153))+0-0-0</f>
        <v>393.09941700000002</v>
      </c>
      <c r="K280" s="3">
        <f>288+(186.7-33)+(0.14688+(0.095217-0.01683))+0-0-0</f>
        <v>441.92526699999996</v>
      </c>
      <c r="L280" s="3">
        <f>286+(225.5-37)+(-0.29172+(-0.23001--0.03774))+0-0-0</f>
        <v>474.01600999999999</v>
      </c>
      <c r="M280" s="3">
        <f>315+(198.3-36)+(0.3213+(0.202266-0.03672))+0-0-0</f>
        <v>477.78684600000003</v>
      </c>
      <c r="N280" s="3">
        <f>365+(149.2-34)+(-0.7446+(-0.304368--0.06936))+0-0-0</f>
        <v>479.220392</v>
      </c>
      <c r="O280" s="3">
        <f>366+(143.3-29)+(0.18666+(0.073083-0.01479))+0-0-0</f>
        <v>480.54495300000002</v>
      </c>
      <c r="P280" s="3">
        <f>364+(137.9-24)+(-0.74256+(-0.281316--0.04896))+0-0-0</f>
        <v>476.92508399999997</v>
      </c>
      <c r="Q280" s="3">
        <f>361+(136.7-26)+(-0.73644+(-0.278868--0.05304))+0-0-0</f>
        <v>470.73773199999999</v>
      </c>
      <c r="R280" s="3">
        <f>361+(144.4-29)+(-0.55233+(-0.220932--0.04437))+0-0-0</f>
        <v>475.671108</v>
      </c>
      <c r="S280" s="3">
        <f>362+(125.2-27)+(0.18462+(0.063852-0.01377))+0-0-0</f>
        <v>460.43470200000002</v>
      </c>
      <c r="T280" s="3">
        <f>362+(117.6-26)+(-0.18462+(-0.059976--0.01326))+0-0-0</f>
        <v>453.36866400000002</v>
      </c>
      <c r="U280" s="3">
        <f>362+(118.7-32)+(-0.18462+(-0.060537--0.01632))+0-0-0</f>
        <v>448.47116299999999</v>
      </c>
      <c r="V280" s="3">
        <f>365+(152-36)+(-0.55845+(-0.23256--0.05508))+0-0-0</f>
        <v>480.26407</v>
      </c>
      <c r="W280" s="3">
        <f>370+(222.1-41)+(-0.3774+(-0.226542--0.04182))+0-0-0</f>
        <v>550.53787799999998</v>
      </c>
      <c r="X280" s="3">
        <f>370+(219.5-39)+(-0.7548+(-0.44778--0.07956))+0-0-0</f>
        <v>549.37698</v>
      </c>
      <c r="Y280" s="3">
        <f>371+(202.7-37)+(0+(0-0))+0-0-0</f>
        <v>536.70000000000005</v>
      </c>
      <c r="Z280" s="3">
        <f>371+(179.5-35)+(0.37842+(0.18309-0.0357))+0-0-0</f>
        <v>516.02580999999998</v>
      </c>
      <c r="AA280" s="3">
        <f>370+(152.2-34)+(-0.5661+(-0.232866--0.05202))+0-0-0</f>
        <v>487.45305400000001</v>
      </c>
      <c r="AB280" s="3">
        <f>369+(127-32)+(-0.18819+(-0.06477--0.01632))+0-0-0</f>
        <v>463.76335999999998</v>
      </c>
      <c r="AC280" s="3">
        <f>351+(115.9-30)+(-0.89505+(-0.295545--0.0765))+0-0-0</f>
        <v>435.78590499999996</v>
      </c>
      <c r="AD280" s="2">
        <v>546.20000000000005</v>
      </c>
      <c r="AE280" s="3">
        <v>5662.0999999999995</v>
      </c>
    </row>
    <row r="281" spans="1:31" s="2" customFormat="1" x14ac:dyDescent="0.3">
      <c r="A281">
        <v>91</v>
      </c>
      <c r="B281">
        <v>10</v>
      </c>
      <c r="C281">
        <v>5</v>
      </c>
      <c r="D281">
        <v>4</v>
      </c>
      <c r="E281">
        <v>1</v>
      </c>
      <c r="F281" s="3">
        <f>286+(146.9-30)+(-0.58344+(-0.299676--0.0612))+0-0-0</f>
        <v>402.07808399999999</v>
      </c>
      <c r="G281" s="3">
        <f>286+(134.2-30)+(-0.43758+(-0.205326--0.0459))+0-0-0</f>
        <v>389.60299399999997</v>
      </c>
      <c r="H281" s="3">
        <f>286+(124.7-29)+(-0.29172+(-0.127194--0.02958))+0-0-0</f>
        <v>381.31066599999997</v>
      </c>
      <c r="I281" s="3">
        <f>286+(123.2-29)+(0+(0-0))+0-0-0</f>
        <v>380.2</v>
      </c>
      <c r="J281" s="3">
        <f>286+(135.1-34)+(0+(0-0))+0-0-0</f>
        <v>387.1</v>
      </c>
      <c r="K281" s="3">
        <f>286+(187.9-38)+(0+(0-0))+0-0-0</f>
        <v>435.9</v>
      </c>
      <c r="L281" s="3">
        <f>313+(207.3-39)+(-0.31926+(-0.211446--0.03978))+0-0-0</f>
        <v>480.80907400000001</v>
      </c>
      <c r="M281" s="3">
        <f>368+(157.8-38)+(-0.18768+(-0.080478--0.01938))+0-0-0</f>
        <v>487.551222</v>
      </c>
      <c r="N281" s="3">
        <f>368+(151.5-37)+(0.37536+(0.15453-0.03774))+0-0-0</f>
        <v>482.99214999999998</v>
      </c>
      <c r="O281" s="3">
        <f>368+(146.2-33)+(0.37536+(0.149124-0.03366))+0-0-0</f>
        <v>481.69082399999996</v>
      </c>
      <c r="P281" s="3">
        <f>367+(137.4-29)+(0.56151+(0.210222-0.04437))+0-0-0</f>
        <v>476.12736200000001</v>
      </c>
      <c r="Q281" s="3">
        <f>363+(136-30)+(0.18513+(0.06936-0.0153))+0-0-0</f>
        <v>469.23919000000001</v>
      </c>
      <c r="R281" s="3">
        <f>362+(143.8-31)+(-0.55386+(-0.220014--0.04743))+0-0-0</f>
        <v>474.073556</v>
      </c>
      <c r="S281" s="3">
        <f>362+(122.9-31)+(-0.36924+(-0.125358--0.03162))+0-0-0</f>
        <v>453.43702199999996</v>
      </c>
      <c r="T281" s="3">
        <f>362+(111.3-31)+(-0.9231+(-0.283815--0.07905))+0-0-0</f>
        <v>441.17213500000003</v>
      </c>
      <c r="U281" s="3">
        <f>364+(111.8-30)+(0.18564+(0.057018-0.0153))+0-0-0</f>
        <v>446.02735799999999</v>
      </c>
      <c r="V281" s="3">
        <f>367+(145.5-33)+(-0.56151+(-0.222615--0.05049))+0-0-0</f>
        <v>478.76636500000001</v>
      </c>
      <c r="W281" s="3">
        <f>368+(222.6-41)+(-0.18768+(-0.113526--0.02091))+0-0-0</f>
        <v>549.319704</v>
      </c>
      <c r="X281" s="3">
        <f>367+(227.9-41)+(-0.74868+(-0.464916--0.08364))+0-0-0</f>
        <v>552.77004399999998</v>
      </c>
      <c r="Y281" s="3">
        <f>367+(209.8-40)+(-0.37434+(-0.213996--0.0408))+0-0-0</f>
        <v>536.25246399999992</v>
      </c>
      <c r="Z281" s="3">
        <f>368+(182.5-38)+(0+(0-0))+0-0-0</f>
        <v>512.5</v>
      </c>
      <c r="AA281" s="3">
        <f>367+(144.9-36)+(-0.56151+(-0.221697--0.05508))+0-0-0</f>
        <v>475.17187300000001</v>
      </c>
      <c r="AB281" s="3">
        <f>367+(118.4-32)+(-0.74868+(-0.241536--0.06528))+0-0-0</f>
        <v>452.47506399999997</v>
      </c>
      <c r="AC281" s="3">
        <f>366+(92.7-31)+(-0.9333+(-0.236385--0.07905))+0-0-0</f>
        <v>426.60936499999997</v>
      </c>
      <c r="AD281" s="2">
        <v>553.6</v>
      </c>
      <c r="AE281" s="3">
        <v>5890.2000000000007</v>
      </c>
    </row>
    <row r="282" spans="1:31" s="2" customFormat="1" x14ac:dyDescent="0.3">
      <c r="A282">
        <v>91</v>
      </c>
      <c r="B282">
        <v>10</v>
      </c>
      <c r="C282">
        <v>6</v>
      </c>
      <c r="D282">
        <v>5</v>
      </c>
      <c r="E282">
        <v>1</v>
      </c>
      <c r="F282" s="3">
        <f>338+(89.4-30)+(-0.51714+(-0.136782--0.0459))+0-0-0</f>
        <v>396.79197799999997</v>
      </c>
      <c r="G282" s="3">
        <f>291+(117.1-29)+(-0.44523+(-0.179163--0.04437))+0-0-0</f>
        <v>378.51997700000004</v>
      </c>
      <c r="H282" s="3">
        <f>291+(109.6-29)+(-0.59364+(-0.223584--0.05916))+0-0-0</f>
        <v>370.84193600000003</v>
      </c>
      <c r="I282" s="3">
        <f>291+(112.5-29)+(0+(0-0))+0-0-0</f>
        <v>374.5</v>
      </c>
      <c r="J282" s="3">
        <f>291+(126.8-33)+(0.29682+(0.129336-0.03366))+0-0-0</f>
        <v>385.19249600000001</v>
      </c>
      <c r="K282" s="3">
        <f>291+(182.8-37)+(0+(0-0))+0-0-0</f>
        <v>436.8</v>
      </c>
      <c r="L282" s="3">
        <f>289+(227.1-39)+(0+(0-0))+0-0-0</f>
        <v>477.1</v>
      </c>
      <c r="M282" s="3">
        <f>321+(203.7-37)+(0+(0-0))+0-0-0</f>
        <v>487.7</v>
      </c>
      <c r="N282" s="3">
        <f>369+(159.1-36)+(-0.18819+(-0.081141--0.01836))+0-0-0</f>
        <v>491.84902900000003</v>
      </c>
      <c r="O282" s="3">
        <f>369+(154-36)+(0.37638+(0.15708-0.03672))+0-0-0</f>
        <v>487.49673999999999</v>
      </c>
      <c r="P282" s="3">
        <f>369+(158.9-34)+(0.18819+(0.081039-0.01734))+0-0-0</f>
        <v>494.15188899999998</v>
      </c>
      <c r="Q282" s="3">
        <f>364+(163.7-35)+(-0.74256+(-0.333948--0.0714))+0-0-0</f>
        <v>491.69489199999998</v>
      </c>
      <c r="R282" s="3">
        <f>364+(164.5-33)+(0.18564+(0.083895-0.01683))+0-0-0</f>
        <v>495.75270499999999</v>
      </c>
      <c r="S282" s="3">
        <f>363+(145.5-31)+(0.18513+(0.074205-0.01581))+0-0-0</f>
        <v>477.74352499999998</v>
      </c>
      <c r="T282" s="3">
        <f>364+(131.6-29)+(0.18564+(0.067116-0.01479))+0-0-0</f>
        <v>466.83796599999999</v>
      </c>
      <c r="U282" s="3">
        <f>363+(135.3-29)+(-0.74052+(-0.276012--0.05916))+0-0-0</f>
        <v>468.34262799999999</v>
      </c>
      <c r="V282" s="3">
        <f>366+(164.8-31)+(-0.74664+(-0.336192--0.06324))+0-0-0</f>
        <v>498.78040800000002</v>
      </c>
      <c r="W282" s="3">
        <f>366+(233.8-42)+(-0.55998+(-0.357714--0.06426))+0-0-0</f>
        <v>556.94656599999996</v>
      </c>
      <c r="X282" s="3">
        <f>372+(227.8-41)+(0+(0-0))+0-0-0</f>
        <v>558.79999999999995</v>
      </c>
      <c r="Y282" s="3">
        <f>371+(210.4-39)+(-0.18921+(-0.107304--0.01989))+0-0-0</f>
        <v>542.12337600000001</v>
      </c>
      <c r="Z282" s="3">
        <f>371+(187.5-38)+(-0.56763+(-0.286875--0.05814))+0-0-0</f>
        <v>519.70363499999996</v>
      </c>
      <c r="AA282" s="3">
        <f>370+(157.2-36)+(-1.1322+(-0.481032--0.11016))+0-0-0</f>
        <v>489.69692800000001</v>
      </c>
      <c r="AB282" s="3">
        <f>371+(131.2-33)+(-0.18921+(-0.066912--0.01683))+0-0-0</f>
        <v>468.96070800000001</v>
      </c>
      <c r="AC282" s="3">
        <f>371+(109-31)+(-0.75684+(-0.22236--0.06324))+0-0-0</f>
        <v>448.08404000000002</v>
      </c>
      <c r="AD282" s="2">
        <v>556</v>
      </c>
      <c r="AE282" s="3">
        <v>6012.7</v>
      </c>
    </row>
    <row r="283" spans="1:31" s="2" customFormat="1" x14ac:dyDescent="0.3">
      <c r="A283">
        <v>91</v>
      </c>
      <c r="B283">
        <v>10</v>
      </c>
      <c r="C283">
        <v>7</v>
      </c>
      <c r="D283">
        <v>6</v>
      </c>
      <c r="E283">
        <v>1</v>
      </c>
      <c r="F283" s="3">
        <f>336+(109.9-31)+(-0.51408+(-0.168147--0.04743))+0-0-0</f>
        <v>414.26520299999999</v>
      </c>
      <c r="G283" s="3">
        <f>307+(113.8-30)+(-0.46971+(-0.174114--0.0459))+0-0-0</f>
        <v>390.20207600000003</v>
      </c>
      <c r="H283" s="3">
        <f>278+(129.6-30)+(-0.56712+(-0.264384--0.0612))+0-0-0</f>
        <v>376.82969600000001</v>
      </c>
      <c r="I283" s="3">
        <f>229+(168.7-32)+(-0.11679+(-0.086037--0.01632))+0-0-0</f>
        <v>365.51349299999998</v>
      </c>
      <c r="J283" s="3">
        <f>229+(172-37)+(-0.23358+(-0.17544--0.03774))+0-0-0</f>
        <v>363.62871999999999</v>
      </c>
      <c r="K283" s="3">
        <f>229+(204.2-39)+(0.23358+(0.208284-0.03978))+0-0-0</f>
        <v>394.60208399999999</v>
      </c>
      <c r="L283" s="3">
        <f>229+(241.8-40)+(-0.35037+(-0.369954--0.0612))+0-0-0</f>
        <v>430.14087599999999</v>
      </c>
      <c r="M283" s="3">
        <f>229+(260.6-38)+(0+(0-0))+0-0-0</f>
        <v>451.6</v>
      </c>
      <c r="N283" s="3">
        <f>298+(214.8-36)+(0.30396+(0.219096-0.03672))+0-0-0</f>
        <v>477.28633600000001</v>
      </c>
      <c r="O283" s="3">
        <f>304+(221.7-35)+(-0.46512+(-0.339201--0.05355))+0-0-0</f>
        <v>489.949229</v>
      </c>
      <c r="P283" s="3">
        <f>304+(231.9-33)+(-0.31008+(-0.236538--0.03366))+0-0-0</f>
        <v>502.38704199999995</v>
      </c>
      <c r="Q283" s="3">
        <f>305+(226.5-32)+(0.3111+(0.23103-0.03264))+0-0-0</f>
        <v>500.00949000000003</v>
      </c>
      <c r="R283" s="3">
        <f>302+(233.4-29)+(-1.07814+(-0.833238--0.10353))+0-0-0</f>
        <v>504.592152</v>
      </c>
      <c r="S283" s="3">
        <f>304+(214.3-26)+(0+(0-0))+0-0-0</f>
        <v>492.3</v>
      </c>
      <c r="T283" s="3">
        <f>306+(203.5-23)+(-0.46818+(-0.311355--0.03519))+0-0-0</f>
        <v>485.75565499999999</v>
      </c>
      <c r="U283" s="3">
        <f>305+(205.7-23)+(-0.3111+(-0.209814--0.02346))+0-0-0</f>
        <v>487.20254599999998</v>
      </c>
      <c r="V283" s="3">
        <f>309+(229.6-27)+(-0.15759+(-0.117096--0.01377))+0-0-0</f>
        <v>511.33908400000001</v>
      </c>
      <c r="W283" s="3">
        <f>328+(256.8-35)+(0.50184+(0.392904-0.05355))+0-0-0</f>
        <v>550.64119399999993</v>
      </c>
      <c r="X283" s="3">
        <f>327+(255.5-32)+(-0.50031+(-0.390915--0.04896))+0-0-0</f>
        <v>549.657735</v>
      </c>
      <c r="Y283" s="3">
        <f>328+(225.8-31)+(0+(0-0))+0-0-0</f>
        <v>522.79999999999995</v>
      </c>
      <c r="Z283" s="3">
        <f>327+(206.8-27)+(-0.66708+(-0.421872--0.05508))+0-0-0</f>
        <v>505.76612800000004</v>
      </c>
      <c r="AA283" s="3">
        <f>327+(179.6-21)+(-0.33354+(-0.183192--0.02142))+0-0-0</f>
        <v>485.10468800000001</v>
      </c>
      <c r="AB283" s="3">
        <f>328+(150.1-17)+(-0.50184+(-0.229653--0.02601))+0-0-0</f>
        <v>460.39451700000001</v>
      </c>
      <c r="AC283" s="3">
        <f>331+(131.9-17)+(0.16881+(0.067269-0.00867))+0-0-0</f>
        <v>446.127409</v>
      </c>
      <c r="AD283" s="2">
        <v>546.79999999999995</v>
      </c>
      <c r="AE283" s="3">
        <v>5569.8</v>
      </c>
    </row>
    <row r="284" spans="1:31" s="2" customFormat="1" x14ac:dyDescent="0.3">
      <c r="A284">
        <v>91</v>
      </c>
      <c r="B284">
        <v>10</v>
      </c>
      <c r="C284">
        <v>8</v>
      </c>
      <c r="D284">
        <v>7</v>
      </c>
      <c r="E284">
        <v>1</v>
      </c>
      <c r="F284" s="3">
        <f>331+(106.8-15.7)+(-0.50643+(-0.163404--0.024021))+0-0-0</f>
        <v>421.45418700000005</v>
      </c>
      <c r="G284" s="3">
        <f>307+(110.8-13.7)+(-0.31314+(-0.113016--0.013974))+0-0-0</f>
        <v>403.68781800000005</v>
      </c>
      <c r="H284" s="3">
        <f>245+(160.8-12)+(-0.12495+(-0.082008--0.00612))+0-0-0</f>
        <v>393.59916200000004</v>
      </c>
      <c r="I284" s="3">
        <f>233+(167.1-12)+(-0.83181+(-0.596547--0.04284))+0-0-0</f>
        <v>386.71448300000003</v>
      </c>
      <c r="J284" s="3">
        <f>233+(172.6-12)+(0.11883+(0.088026-0.00612))+0-0-0</f>
        <v>393.80073600000003</v>
      </c>
      <c r="K284" s="3">
        <f>233+(210-13)+(-0.35649+(-0.3213--0.01989))+0-0-0</f>
        <v>429.34210000000002</v>
      </c>
      <c r="L284" s="3">
        <f>232+(243.8-12)+(-0.5916+(-0.62169--0.0306))+0-0-0</f>
        <v>462.61731000000003</v>
      </c>
      <c r="M284" s="3">
        <f>232+(242.9-13)+(0+(0-0))+0-0-0</f>
        <v>461.9</v>
      </c>
      <c r="N284" s="3">
        <f>231+(275.1-13)+(0.11781+(0.140301-0.00663))+0-0-0</f>
        <v>493.35148100000004</v>
      </c>
      <c r="O284" s="3">
        <f>302+(223.9-16)+(0.15402+(0.114189-0.00816))+0-0-0</f>
        <v>510.16004899999996</v>
      </c>
      <c r="P284" s="3">
        <f>315+(231-28)+(-0.3213+(-0.23562--0.02856))+0-0-0</f>
        <v>517.47163999999998</v>
      </c>
      <c r="Q284" s="3">
        <f>316+(241.7-28)+(0+(0-0))+0-0-0</f>
        <v>529.70000000000005</v>
      </c>
      <c r="R284" s="3">
        <f>316+(254.1-34)+(-0.64464+(-0.518364--0.06936))+0-0-0</f>
        <v>535.00635599999998</v>
      </c>
      <c r="S284" s="3">
        <f>316+(240.1-29)+(-0.32232+(-0.244902--0.02958))+0-0-0</f>
        <v>526.56235800000002</v>
      </c>
      <c r="T284" s="3">
        <f>313+(228.8-28)+(-0.63852+(-0.466752--0.05712))+0-0-0</f>
        <v>512.751848</v>
      </c>
      <c r="U284" s="3">
        <f>314+(226.8-26)+(0.16014+(0.115668-0.01326))+0-0-0</f>
        <v>515.06254799999999</v>
      </c>
      <c r="V284" s="3">
        <f>314+(258.1-27)+(-0.48042+(-0.394893--0.04131))+0-0-0</f>
        <v>544.26599699999997</v>
      </c>
      <c r="W284" s="3">
        <f>317+(294.4-34)+(0.32334+(0.300288-0.03468))+0-0-0</f>
        <v>577.98894799999994</v>
      </c>
      <c r="X284" s="3">
        <f>318+(309.8-35)+(-0.32436+(-0.315996--0.0357))+0-0-0</f>
        <v>592.19534399999998</v>
      </c>
      <c r="Y284" s="3">
        <f>319+(290.2-35)+(0.48807+(0.444006-0.05355))+0-0-0</f>
        <v>575.07852600000001</v>
      </c>
      <c r="Z284" s="3">
        <f>319+(267.5-33)+(0.48807+(0.409275-0.05049))+0-0-0</f>
        <v>554.34685500000001</v>
      </c>
      <c r="AA284" s="3">
        <f>319+(236.3-29)+(0.32538+(0.241026-0.02958))+0-0-0</f>
        <v>526.83682599999997</v>
      </c>
      <c r="AB284" s="3">
        <f>318+(207.3-26)+(-0.64872+(-0.422892--0.05304))+0-0-0</f>
        <v>498.28142800000001</v>
      </c>
      <c r="AC284" s="3">
        <f>317+(170.2-25)+(-0.97002+(-0.520812--0.0765))+0-0-0</f>
        <v>460.78566799999999</v>
      </c>
      <c r="AD284" s="2">
        <v>594.79999999999995</v>
      </c>
      <c r="AE284" s="3">
        <v>4380.8999999999996</v>
      </c>
    </row>
    <row r="285" spans="1:31" s="2" customFormat="1" x14ac:dyDescent="0.3">
      <c r="A285">
        <v>91</v>
      </c>
      <c r="B285">
        <v>10</v>
      </c>
      <c r="C285">
        <v>9</v>
      </c>
      <c r="D285">
        <v>1</v>
      </c>
      <c r="E285">
        <v>1</v>
      </c>
      <c r="F285" s="3">
        <f>317+(146.1-23)+(0+(0-0))+0-0-0</f>
        <v>440.1</v>
      </c>
      <c r="G285" s="3">
        <f>317+(132.6-23)+(0+(0-0))+0-0-0</f>
        <v>426.6</v>
      </c>
      <c r="H285" s="3">
        <f>317+(123.9-24)+(-0.16167+(-0.063189--0.01224))+0-0-0</f>
        <v>416.68738099999996</v>
      </c>
      <c r="I285" s="3">
        <f>319+(120.8-25)+(0.48807+(0.184824-0.03825))+0-0-0</f>
        <v>415.43464399999999</v>
      </c>
      <c r="J285" s="3">
        <f>319+(132.5-26)+(0.65076+(0.2703-0.05304))+0-0-0</f>
        <v>426.36802</v>
      </c>
      <c r="K285" s="3">
        <f>320+(184.3-32)+(0.816+(0.469965-0.0816))+0-0-0</f>
        <v>473.50436500000001</v>
      </c>
      <c r="L285" s="3">
        <f>317+(225.8-37)+(-0.16167+(-0.115158--0.01887))+0-0-0</f>
        <v>505.54204200000004</v>
      </c>
      <c r="M285" s="3">
        <f>317+(242.2-39)+(0.32334+(0.247044-0.03978))+0-0-0</f>
        <v>520.73060400000008</v>
      </c>
      <c r="N285" s="3">
        <f>318+(252.4-36)+(0.64872+(0.514896-0.07344))+0-0-0</f>
        <v>535.49017600000002</v>
      </c>
      <c r="O285" s="3">
        <f>326+(255-33)+(0.16626+(0.13005-0.01683))+0-0-0</f>
        <v>548.27948000000004</v>
      </c>
      <c r="P285" s="3">
        <f>334+(249.5-30)+(0.34068+(0.25449-0.0306))+0-0-0</f>
        <v>554.06457</v>
      </c>
      <c r="Q285" s="3">
        <f>332+(248.3-32)+(-0.67728+(-0.506532--0.06528))+0-0-0</f>
        <v>547.181468</v>
      </c>
      <c r="R285" s="3">
        <f>335+(248.4-32)+(-0.51255+(-0.380052--0.04896))+0-0-0</f>
        <v>550.55635799999993</v>
      </c>
      <c r="S285" s="3">
        <f>335+(238.8-31)+(0.3417+(0.243576-0.03162))+0-0-0</f>
        <v>543.353656</v>
      </c>
      <c r="T285" s="3">
        <f>323+(234.6-31)+(0+(0-0))+0-0-0</f>
        <v>526.6</v>
      </c>
      <c r="U285" s="3">
        <f>322+(238.1-32)+(0+(0-0))+0-0-0</f>
        <v>528.1</v>
      </c>
      <c r="V285" s="3">
        <f>323+(266-38)+(0.16473+(0.13566-0.01938))+0-0-0</f>
        <v>551.28101000000004</v>
      </c>
      <c r="W285" s="3">
        <f>323+(331-42)+(0.32946+(0.33762-0.04284))+0-0-0</f>
        <v>612.62423999999999</v>
      </c>
      <c r="X285" s="3">
        <f>322+(344.7-40)+(-0.16422+(-0.175797--0.0204))+0-0-0</f>
        <v>626.38038300000005</v>
      </c>
      <c r="Y285" s="3">
        <f>321+(320.9-36)+(-0.98226+(-0.981954--0.11016))+0-0-0</f>
        <v>604.04594599999996</v>
      </c>
      <c r="Z285" s="3">
        <f>323+(265.9-35)+(-0.32946+(-0.271218--0.0357))+0-0-0</f>
        <v>553.33502199999998</v>
      </c>
      <c r="AA285" s="3">
        <f>322+(223.6-27)+(-0.32844+(-0.228072--0.02754))+0-0-0</f>
        <v>518.07102800000007</v>
      </c>
      <c r="AB285" s="3">
        <f>322+(226.2-27)+(-0.32844+(-0.230724--0.02754))+0-0-0</f>
        <v>520.66837600000008</v>
      </c>
      <c r="AC285" s="3">
        <f>321+(197.4-26)+(-0.98226+(-0.604044--0.07956))+0-0-0</f>
        <v>490.89325599999995</v>
      </c>
      <c r="AD285" s="2">
        <v>622.5</v>
      </c>
      <c r="AE285" s="3">
        <v>5860.6</v>
      </c>
    </row>
    <row r="286" spans="1:31" s="2" customFormat="1" x14ac:dyDescent="0.3">
      <c r="A286">
        <v>91</v>
      </c>
      <c r="B286">
        <v>10</v>
      </c>
      <c r="C286">
        <v>10</v>
      </c>
      <c r="D286">
        <v>2</v>
      </c>
      <c r="E286">
        <v>1</v>
      </c>
      <c r="F286" s="3">
        <f>309+(182.1-28)+(0.47277+(0.278613-0.04284))+0-0-0</f>
        <v>463.80854300000004</v>
      </c>
      <c r="G286" s="3">
        <f>304+(168.4-28)+(0.7752+(0.42942-0.0714))+0-0-0</f>
        <v>445.53321999999997</v>
      </c>
      <c r="H286" s="3">
        <f>281+(189.4-29)+(0.57324+(0.386376-0.05916))+0-0-0</f>
        <v>442.300456</v>
      </c>
      <c r="I286" s="3">
        <f>268+(200.6-30)+(0.6834+(0.51153-0.0765))+0-0-0</f>
        <v>439.71843000000001</v>
      </c>
      <c r="J286" s="3">
        <f>289+(196.8-31)+(0+(0-0))+0-0-0</f>
        <v>454.8</v>
      </c>
      <c r="K286" s="3">
        <f>289+(245.9-30)+(0.29478+(0.250818-0.0306))+0-0-0</f>
        <v>505.41499799999997</v>
      </c>
      <c r="L286" s="3">
        <f>370+(223.4-37)+(-0.1887+(-0.113934--0.01887))+0-0-0</f>
        <v>556.11623599999996</v>
      </c>
      <c r="M286" s="3">
        <f>377+(222.9-38)+(0.19227+(0.113679-0.01938))+0-0-0</f>
        <v>562.18656899999996</v>
      </c>
      <c r="N286" s="3">
        <f>376+(220.2-37)+(-0.57528+(-0.336906--0.05661))+0-0-0</f>
        <v>558.344424</v>
      </c>
      <c r="O286" s="3">
        <f>368+(221.7-38)+(-0.9384+(-0.565335--0.0969))+0-0-0</f>
        <v>550.29316500000004</v>
      </c>
      <c r="P286" s="3">
        <f>364+(228.6-38)+(-0.74256+(-0.466344--0.07752))+0-0-0</f>
        <v>553.468616</v>
      </c>
      <c r="Q286" s="3">
        <f>377+(227-34)+(-0.96135+(-0.57885--0.0867))+0-0-0</f>
        <v>568.54650000000004</v>
      </c>
      <c r="R286" s="3">
        <f>384+(215.7-34)+(-0.58752+(-0.330021--0.05202))+0-0-0</f>
        <v>564.8344790000001</v>
      </c>
      <c r="S286" s="3">
        <f>383+(168.6-34)+(0+(0-0))+27.4-0-0</f>
        <v>545</v>
      </c>
      <c r="T286" s="3">
        <f>384+(172.4-33)+(0.19584+(0.087924-0.01683))+0-0-0</f>
        <v>523.66693399999997</v>
      </c>
      <c r="U286" s="3">
        <f>385+(184.4-31)+(0.3927+(0.188088-0.03162))+0-0-0</f>
        <v>538.94916799999999</v>
      </c>
      <c r="V286" s="3">
        <f>385+(219.8-35)+(0.3927+(0.224196-0.0357))+0-0-0</f>
        <v>570.38119599999993</v>
      </c>
      <c r="W286" s="3">
        <f>385+(291.8-41)+(0.3927+(0.297636-0.04182))+0-0-0</f>
        <v>636.44851599999993</v>
      </c>
      <c r="X286" s="3">
        <f>419+(261.7-41)+(-0.64107+(-0.400401--0.06273))+0-0-0</f>
        <v>638.72125900000003</v>
      </c>
      <c r="Y286" s="3">
        <f>420+(245.4-38)+(-0.2142+(-0.125154--0.01938))+0-0-0</f>
        <v>627.08002599999998</v>
      </c>
      <c r="Z286" s="3">
        <f>419+(215.7-35)+(-0.42738+(-0.220014--0.0357))+0-0-0</f>
        <v>599.0883060000001</v>
      </c>
      <c r="AA286" s="3">
        <f>420+(181-31)+(-0.2142+(-0.09231--0.01581))+0-0-0</f>
        <v>569.70929999999998</v>
      </c>
      <c r="AB286" s="3">
        <f>425+(149.2-29)+(-0.21675+(-0.076092--0.01479))+0-0-0</f>
        <v>544.92194800000004</v>
      </c>
      <c r="AC286" s="3">
        <f>384+(162.9-28)+(-0.39168+(-0.166158--0.02856))+0-0-0</f>
        <v>518.370722</v>
      </c>
      <c r="AD286" s="2">
        <v>638.9</v>
      </c>
      <c r="AE286" s="3">
        <v>6009.8</v>
      </c>
    </row>
    <row r="287" spans="1:31" s="2" customFormat="1" x14ac:dyDescent="0.3">
      <c r="A287">
        <v>91</v>
      </c>
      <c r="B287">
        <v>10</v>
      </c>
      <c r="C287">
        <v>11</v>
      </c>
      <c r="D287">
        <v>3</v>
      </c>
      <c r="E287">
        <v>1</v>
      </c>
      <c r="F287" s="3">
        <f>374+(154.5-29.9)+(0+(0-0))+0-0-0</f>
        <v>498.6</v>
      </c>
      <c r="G287" s="3">
        <f>371+(140.6-30.9)+(0.56763+(0.215118-0.047277))+0-0-0</f>
        <v>481.43547100000001</v>
      </c>
      <c r="H287" s="3">
        <f>290+(204.1-27)+(0.5916+(0.416364-0.05508))+0-0-0</f>
        <v>468.05288400000001</v>
      </c>
      <c r="I287" s="3">
        <f>290+(207.9-26)+(0+(0-0))+0-0-0</f>
        <v>471.9</v>
      </c>
      <c r="J287" s="3">
        <f>290+(216.2-24)+(-0.2958+(-0.220524--0.02448))+0-0-0</f>
        <v>481.70815599999997</v>
      </c>
      <c r="K287" s="3">
        <f>319+(241.7-38)+(0.32538+(0.246534-0.03876))+0-0-0</f>
        <v>523.23315400000001</v>
      </c>
      <c r="L287" s="3">
        <f>377+(238.1-43)+(-0.96135+(-0.607155--0.10965))+0-0-0</f>
        <v>570.64114500000005</v>
      </c>
      <c r="M287" s="3">
        <f>378+(239.2-43)+(-0.38556+(-0.243984--0.04386))+0-0-0</f>
        <v>573.61431600000003</v>
      </c>
      <c r="N287" s="3">
        <f>376+(230.5-41)+(-0.38352+(-0.23511--0.04182))+0-0-0</f>
        <v>564.92318999999998</v>
      </c>
      <c r="O287" s="3">
        <f>374+(215.3-37)+(0.76296+(0.439212-0.07548))+0-0-0</f>
        <v>553.426692</v>
      </c>
      <c r="P287" s="3">
        <f>371+(221.6-37)+(0.18921+(0.113016-0.01887))+0-0-0</f>
        <v>555.88335600000005</v>
      </c>
      <c r="Q287" s="3">
        <f>368+(232.3-38)+(-0.9384+(-0.592365--0.0969))+0-0-0</f>
        <v>560.86613499999999</v>
      </c>
      <c r="R287" s="3">
        <f>373+(234-36)+(-0.76092+(-0.47736--0.07344))+0-0-0</f>
        <v>569.83515999999997</v>
      </c>
      <c r="S287" s="3">
        <f>405+(188-33)+(0.20655+(0.09588-0.01683))+0-0-0</f>
        <v>560.28560000000004</v>
      </c>
      <c r="T287" s="3">
        <f>415+(160.8-32)+(0+(0-0))+0-0-0</f>
        <v>543.79999999999995</v>
      </c>
      <c r="U287" s="3">
        <f>420+(167.2-32)+(-0.8568+(-0.341088--0.06528))+0-0-0</f>
        <v>554.06739200000004</v>
      </c>
      <c r="V287" s="3">
        <f>426+(202.6-39)+(0.43452+(0.206652-0.03978))+0-0-0</f>
        <v>590.20139200000006</v>
      </c>
      <c r="W287" s="3">
        <f>426+(261.1-39)+(0.65178+(0.399483-0.05967))+0-0-0</f>
        <v>649.09159299999999</v>
      </c>
      <c r="X287" s="3">
        <f>426+(263.6-40)+(-0.86904+(-0.537744--0.0816))+0-0-0</f>
        <v>648.27481599999999</v>
      </c>
      <c r="Y287" s="3">
        <f>428+(239.8-38)+(0.43656+(0.244596-0.03876))+0-0-0</f>
        <v>630.44239599999992</v>
      </c>
      <c r="Z287" s="3">
        <f>427+(214.4-36)+(0+(0-0))+0-0-0</f>
        <v>605.4</v>
      </c>
      <c r="AA287" s="3">
        <f>427+(174.9-33)+(-0.43554+(-0.178398--0.03366))+0-0-0</f>
        <v>568.31972199999996</v>
      </c>
      <c r="AB287" s="3">
        <f>427+(143.2-31)+(-0.43554+(-0.146064--0.03162))+0-0-0</f>
        <v>538.65001600000005</v>
      </c>
      <c r="AC287" s="3">
        <f>427+(118-33.8)+(-0.65331+(-0.18054--0.051714))+0-0-0</f>
        <v>510.41786400000001</v>
      </c>
      <c r="AD287" s="2">
        <v>644.29999999999995</v>
      </c>
      <c r="AE287" s="3">
        <v>5937.7</v>
      </c>
    </row>
    <row r="288" spans="1:31" s="2" customFormat="1" x14ac:dyDescent="0.3">
      <c r="A288">
        <v>91</v>
      </c>
      <c r="B288">
        <v>10</v>
      </c>
      <c r="C288">
        <v>12</v>
      </c>
      <c r="D288">
        <v>4</v>
      </c>
      <c r="E288">
        <v>1</v>
      </c>
      <c r="F288" s="3">
        <f>369+(125.4-32.1)+(-0.18819+(-0.063954--0.016371))+0-0-0</f>
        <v>462.06422700000002</v>
      </c>
      <c r="G288" s="3">
        <f>314+(173.5-29)+(-0.64056+(-0.35394--0.05916))+0-0-0</f>
        <v>457.56466</v>
      </c>
      <c r="H288" s="3">
        <f>310+(167.1-28)+(0+(0-0))+0-0-0</f>
        <v>449.1</v>
      </c>
      <c r="I288" s="3">
        <f>309+(167.4-28)+(-0.15759+(-0.085374--0.01428))+0-0-0</f>
        <v>448.17131599999999</v>
      </c>
      <c r="J288" s="3">
        <f>310+(179.1-30)+(-0.1581+(-0.091341--0.0153))+0-0-0</f>
        <v>458.865859</v>
      </c>
      <c r="K288" s="3">
        <f>309+(234.2-39)+(-0.47277+(-0.358326--0.05967))+0-0-0</f>
        <v>503.42857399999997</v>
      </c>
      <c r="L288" s="3">
        <f>311+(234.2-43)+(-0.47583+(-0.358326--0.06579))+0-0-0</f>
        <v>501.43163399999997</v>
      </c>
      <c r="M288" s="3">
        <f>315+(270.9-38)+(-0.16065+(-0.138159--0.01938))+0-0-0</f>
        <v>547.62057099999993</v>
      </c>
      <c r="N288" s="3">
        <f>315+(270.7-36)+(0+(0-0))+0-0-0</f>
        <v>549.70000000000005</v>
      </c>
      <c r="O288" s="3">
        <f>312+(265.1-40)+(-0.31824+(-0.270402--0.0408))+0-0-0</f>
        <v>536.55215800000008</v>
      </c>
      <c r="P288" s="3">
        <f>311+(268.4-37)+(-0.31722+(-0.273768--0.03774))+0-0-0</f>
        <v>541.84675199999992</v>
      </c>
      <c r="Q288" s="3">
        <f>311+(262.8-33)+(0.79305+(0.67014-0.08415))+0-0-0</f>
        <v>542.17903999999999</v>
      </c>
      <c r="R288" s="3">
        <f>309+(272.7-24)+(-1.10313+(-0.973539--0.08568))+0-0-0</f>
        <v>555.70901100000003</v>
      </c>
      <c r="S288" s="3">
        <f>310+(261.6-26)+(-0.6324+(-0.533664--0.05304))+0-0-0</f>
        <v>544.48697600000003</v>
      </c>
      <c r="T288" s="3">
        <f>308+(246.9-29)+(0.15708+(0.125919-0.01479))+0-0-0</f>
        <v>526.16820899999993</v>
      </c>
      <c r="U288" s="3">
        <f>306+(257.7-33)+(-0.15606+(-0.131427--0.01683))+0-0-0</f>
        <v>530.42934300000002</v>
      </c>
      <c r="V288" s="3">
        <f>311+(278.5-29)+(0+(0-0))+0-0-0</f>
        <v>560.5</v>
      </c>
      <c r="W288" s="3">
        <f>332+(334.4-41)+(0.50796+(0.511632-0.06273))+0-0-0</f>
        <v>626.35686199999998</v>
      </c>
      <c r="X288" s="3">
        <f>334+(339.2-40)+(-0.68136+(-0.691968--0.0816))+0-0-0</f>
        <v>631.90827200000001</v>
      </c>
      <c r="Y288" s="3">
        <f>334+(320.6-40)+(-0.34068+(-0.327012--0.0408))+0-0-0</f>
        <v>613.97310800000002</v>
      </c>
      <c r="Z288" s="3">
        <f>333+(292.2-37)+(-0.33966+(-0.298044--0.03774))+0-0-0</f>
        <v>587.60003600000005</v>
      </c>
      <c r="AA288" s="3">
        <f>334+(252-30)+(0+(0-0))+0-0-0</f>
        <v>556</v>
      </c>
      <c r="AB288" s="3">
        <f>332+(217.1-28)+(-0.50796+(-0.332163--0.04284))+0-0-0</f>
        <v>520.30271700000003</v>
      </c>
      <c r="AC288" s="3">
        <f>333+(180.8-27)+(-0.16983+(-0.092208--0.01377))+0-0-0</f>
        <v>486.55173200000002</v>
      </c>
      <c r="AD288" s="2">
        <v>629.20000000000005</v>
      </c>
      <c r="AE288" s="3">
        <v>5982.0999999999995</v>
      </c>
    </row>
    <row r="289" spans="1:31" s="2" customFormat="1" x14ac:dyDescent="0.3">
      <c r="A289">
        <v>91</v>
      </c>
      <c r="B289">
        <v>10</v>
      </c>
      <c r="C289">
        <v>13</v>
      </c>
      <c r="D289">
        <v>5</v>
      </c>
      <c r="E289">
        <v>1</v>
      </c>
      <c r="F289" s="3">
        <f>331+(161.4-27)+(-0.50643+(-0.246942--0.04131))+0-0-0</f>
        <v>464.68793799999997</v>
      </c>
      <c r="G289" s="3">
        <f>331+(148.5-27)+(0+(0-0))+0-0-0</f>
        <v>452.5</v>
      </c>
      <c r="H289" s="3">
        <f>259+(210.4-27)+(0.13209+(0.107304-0.01377))+0-0-0</f>
        <v>442.62562399999996</v>
      </c>
      <c r="I289" s="3">
        <f>247+(221.2-27)+(0.25194+(0.225624-0.02754))+0-0-0</f>
        <v>441.65002399999997</v>
      </c>
      <c r="J289" s="3">
        <f>247+(230.8-29)+(0.50388+(0.470832-0.05916))+0-0-0</f>
        <v>449.715552</v>
      </c>
      <c r="K289" s="3">
        <f>259+(279.1-35)+(0.26418+(0.284682-0.0357))+0-0-0</f>
        <v>503.61316200000005</v>
      </c>
      <c r="L289" s="3">
        <f>330+(265.4-42)+(0+(0-0))+0-0-0</f>
        <v>553.4</v>
      </c>
      <c r="M289" s="3">
        <f>329+(264.8-37)+(-0.33558+(-0.270096--0.03774))+0-0-0</f>
        <v>556.23206399999992</v>
      </c>
      <c r="N289" s="3">
        <f>330+(259.5-37)+(0.3366+(0.26469-0.03774))+0-0-0</f>
        <v>553.06354999999996</v>
      </c>
      <c r="O289" s="3">
        <f>329+(260.5-41)+(-0.16779+(-0.132855--0.02091))+0-0-0</f>
        <v>548.22026500000004</v>
      </c>
      <c r="P289" s="3">
        <f>329+(249.6-35)+(-0.33558+(-0.254592--0.0357))+0-0-0</f>
        <v>543.04552799999999</v>
      </c>
      <c r="Q289" s="3">
        <f>325+(256.1-36)+(-0.16575+(-0.130611--0.01836))+0-0-0</f>
        <v>544.82199900000001</v>
      </c>
      <c r="R289" s="3">
        <f>325+(256.7-32)+(0+(0-0))+0-0-0</f>
        <v>549.70000000000005</v>
      </c>
      <c r="S289" s="3">
        <f>306+(251.8-30)+(-0.31212+(-0.256836--0.0306))+0-0-0</f>
        <v>527.26164399999993</v>
      </c>
      <c r="T289" s="3">
        <f>290+(249.6-29)+(-0.1479+(-0.127296--0.01479))+0-0-0</f>
        <v>510.33959400000003</v>
      </c>
      <c r="U289" s="3">
        <f>290+(255.5-33)+(0.1479+(0.130305-0.01683))+0-0-0</f>
        <v>512.76137500000004</v>
      </c>
      <c r="V289" s="3">
        <f>293+(292.9-37)+(-0.89658+(-0.896274--0.11322))+0-0-0</f>
        <v>547.22036600000001</v>
      </c>
      <c r="W289" s="3">
        <f>323+(312-42)+(0.32946+(0.31824-0.04284))+0-0-0</f>
        <v>593.60486000000003</v>
      </c>
      <c r="X289" s="3">
        <f>338+(312.8-41)+(-0.51714+(-0.478584--0.06273))+0-0-0</f>
        <v>608.86700599999995</v>
      </c>
      <c r="Y289" s="3">
        <f>338+(298.8-40)+(-0.68952+(-0.609552--0.0816))+0-0-0</f>
        <v>595.58252799999991</v>
      </c>
      <c r="Z289" s="3">
        <f>335+(279.6-37)+(-0.51255+(-0.427788--0.05661))+0-0-0</f>
        <v>576.716272</v>
      </c>
      <c r="AA289" s="3">
        <f>327+(253.8-31)+(-0.50031+(-0.388314--0.04743))+0-0-0</f>
        <v>548.95880599999998</v>
      </c>
      <c r="AB289" s="3">
        <f>328+(219-31)+(0+(0-0))+0-0-0</f>
        <v>516</v>
      </c>
      <c r="AC289" s="3">
        <f>327+(194.6-31)+(-0.66708+(-0.396984--0.06324))+0-0-0</f>
        <v>489.599176</v>
      </c>
      <c r="AD289" s="2">
        <v>607</v>
      </c>
      <c r="AE289" s="3">
        <v>5910.6</v>
      </c>
    </row>
    <row r="290" spans="1:31" s="2" customFormat="1" x14ac:dyDescent="0.3">
      <c r="A290">
        <v>91</v>
      </c>
      <c r="B290">
        <v>10</v>
      </c>
      <c r="C290">
        <v>14</v>
      </c>
      <c r="D290">
        <v>6</v>
      </c>
      <c r="E290">
        <v>5</v>
      </c>
      <c r="F290" s="3">
        <f>323+(170.5-31)+(0+(0-0))+0-0-0</f>
        <v>462.5</v>
      </c>
      <c r="G290" s="3">
        <f>296+(176.2-30)+(0.45288+(0.269586-0.0459))+0-0-0</f>
        <v>442.87656599999997</v>
      </c>
      <c r="H290" s="3">
        <f>227+(235.6-30)+(0.11577+(0.120156-0.0153))+0-0-0</f>
        <v>432.820626</v>
      </c>
      <c r="I290" s="3">
        <f>227+(237-31)+(0.34731+(0.36261-0.04743))+0-0-0</f>
        <v>433.66248999999999</v>
      </c>
      <c r="J290" s="3">
        <f>227+(250.3-33)+(0.23154+(0.255306-0.03366))+0-0-0</f>
        <v>444.75318600000003</v>
      </c>
      <c r="K290" s="3">
        <f>227+(301.9-35)+(0.23154+(0.307938-0.0357))+0-0-0</f>
        <v>494.40377799999999</v>
      </c>
      <c r="L290" s="3">
        <f>230+(338.2-43)+(-0.9384+(-1.379856--0.17544))+0-0-0</f>
        <v>523.05718400000001</v>
      </c>
      <c r="M290" s="3">
        <f>230+(327-42)+(0.7038+(1.00062-0.12852))+0-0-0</f>
        <v>516.57590000000005</v>
      </c>
      <c r="N290" s="3">
        <f>299+(257.2-36)+(0.60996+(0.524688-0.07344))+0-0-0</f>
        <v>521.26120800000001</v>
      </c>
      <c r="O290" s="3">
        <f>305+(251.3-36)+(0.46665+(0.384489-0.05508))+0-0-0</f>
        <v>521.09605899999997</v>
      </c>
      <c r="P290" s="3">
        <f>304+(249.5-37)+(-0.62016+(-0.50898--0.07548))+0-0-0</f>
        <v>515.44633999999996</v>
      </c>
      <c r="Q290" s="3">
        <f>304+(263.9-36)+(-0.46512+(-0.403767--0.05508))+0-0-0</f>
        <v>531.08619299999998</v>
      </c>
      <c r="R290" s="3">
        <f>307+(259.4-37)+(-0.31314+(-0.264588--0.03774))+0-0-0</f>
        <v>528.86001199999998</v>
      </c>
      <c r="S290" s="3">
        <f>312+(210.5-36)+(-0.15912+(-0.107355--0.01836))+0-0-0</f>
        <v>486.25188500000002</v>
      </c>
      <c r="T290" s="3">
        <f>321+(189.5-36)+(-0.16371+(-0.096645--0.01836))+0-0-0</f>
        <v>474.25800500000003</v>
      </c>
      <c r="U290" s="3">
        <f>331+(187.2-33)+(-0.67524+(-0.381888--0.06732))+0-0-0</f>
        <v>484.21019200000001</v>
      </c>
      <c r="V290" s="3">
        <f>345+(213.6-37)+(0.17595+(0.108936-0.01887))+0-0-0</f>
        <v>521.86601600000006</v>
      </c>
      <c r="W290" s="3">
        <f>370+(267-46)+(-0.1887+(-0.13617--0.02346))+0-0-0</f>
        <v>590.69858999999997</v>
      </c>
      <c r="X290" s="3">
        <f>371+(265.5-42)+(-0.18921+(-0.135405--0.02142))+0-0-0</f>
        <v>594.19680500000004</v>
      </c>
      <c r="Y290" s="3">
        <f>370+(254.1-39)+(-0.1887+(-0.129591--0.01989))+0-0-0</f>
        <v>584.80159900000001</v>
      </c>
      <c r="Z290" s="3">
        <f>365+(235.7-38)+(-0.18615+(-0.120207--0.01938))+0-0-0</f>
        <v>562.41302300000007</v>
      </c>
      <c r="AA290" s="3">
        <f>367+(207.4-32)+(0.56151+(0.317322-0.04896))+0-0-0</f>
        <v>543.229872</v>
      </c>
      <c r="AB290" s="3">
        <f>368+(183.2-30)+(0+(0-0))+0-0-0</f>
        <v>521.20000000000005</v>
      </c>
      <c r="AC290" s="3">
        <f>368+(165.8-30)+(-0.37536+(-0.169116--0.0306))+0-0-0</f>
        <v>503.28612400000003</v>
      </c>
      <c r="AD290" s="2">
        <v>589.5</v>
      </c>
      <c r="AE290" s="3">
        <v>4259.8</v>
      </c>
    </row>
    <row r="291" spans="1:31" s="2" customFormat="1" x14ac:dyDescent="0.3">
      <c r="A291">
        <v>91</v>
      </c>
      <c r="B291">
        <v>10</v>
      </c>
      <c r="C291">
        <v>15</v>
      </c>
      <c r="D291">
        <v>7</v>
      </c>
      <c r="E291">
        <v>1</v>
      </c>
      <c r="F291" s="3">
        <f>367+(143.9-29)+(-0.56151+(-0.220167--0.04437))+0-0-0</f>
        <v>481.16269299999999</v>
      </c>
      <c r="G291" s="3">
        <f>336+(156.1-28)+(0+(0-0))+0-0-0</f>
        <v>464.1</v>
      </c>
      <c r="H291" s="3">
        <f>315+(164.4-28)+(0.16065+(0.083844-0.01428))+0-0-0</f>
        <v>451.63021399999997</v>
      </c>
      <c r="I291" s="3">
        <f>297+(179.8-29)+(0.15147+(0.091698-0.01479))+0-0-0</f>
        <v>448.02837800000003</v>
      </c>
      <c r="J291" s="3">
        <f>290+(192.7-31)+(-0.1479+(-0.098277--0.01581))+0-0-0</f>
        <v>451.46963299999999</v>
      </c>
      <c r="K291" s="3">
        <f>290+(239.7-37)+(0.4437+(0.366741-0.05661))+0-0-0</f>
        <v>493.45383099999998</v>
      </c>
      <c r="L291" s="3">
        <f>289+(264.6-42)+(0.44217+(0.404838-0.06426))+0-0-0</f>
        <v>512.38274799999999</v>
      </c>
      <c r="M291" s="3">
        <f>288+(271.3-41)+(-0.14688+(-0.138363--0.02091))+0-0-0</f>
        <v>518.03566699999999</v>
      </c>
      <c r="N291" s="3">
        <f>352+(215.6-38)+(0.17952+(0.109956-0.01938))+0-0-0</f>
        <v>529.87009599999999</v>
      </c>
      <c r="O291" s="3">
        <f>369+(206.8-39)+(0.18819+(0.105468-0.01989))+0-0-0</f>
        <v>537.07376799999997</v>
      </c>
      <c r="P291" s="3">
        <f>378+(209.9-39)+(-0.19278+(-0.107049--0.01989))+0-0-0</f>
        <v>548.62006099999996</v>
      </c>
      <c r="Q291" s="3">
        <f>379+(213.9-38)+(-0.57987+(-0.327267--0.05814))+0-0-0</f>
        <v>554.05100299999992</v>
      </c>
      <c r="R291" s="3">
        <f>382+(213.5-41)+(-0.38964+(-0.21777--0.04182))+0-0-0</f>
        <v>553.93440999999996</v>
      </c>
      <c r="S291" s="3">
        <f>382+(195.4-33)+(-0.38964+(-0.199308--0.03366))+0-0-0</f>
        <v>543.84471199999996</v>
      </c>
      <c r="T291" s="3">
        <f>381+(175.2-30)+(-0.77724+(-0.357408--0.0612))+0-0-0</f>
        <v>525.12655200000006</v>
      </c>
      <c r="U291" s="3">
        <f>384+(160.7-31)+(0.9792+(0.409785-0.07905))+0-0-0</f>
        <v>515.00993500000004</v>
      </c>
      <c r="V291" s="3">
        <f>384+(194.5-35)+(0+(0-0))+0-0-0</f>
        <v>543.5</v>
      </c>
      <c r="W291" s="3">
        <f>384+(265.9-43)+(0.39168+(0.271218-0.04386))+0-0-0</f>
        <v>607.51903800000002</v>
      </c>
      <c r="X291" s="3">
        <f>383+(277.8-43)+(-0.58599+(-0.425034--0.06579))+0-0-0</f>
        <v>616.85476599999993</v>
      </c>
      <c r="Y291" s="3">
        <f>384+(260.5-40)+(0.19584+(0.132855-0.0204))+0-0-0</f>
        <v>604.80829500000004</v>
      </c>
      <c r="Z291" s="3">
        <f>384+(234.1-36)+(0.19584+(0.119391-0.01836))+0-0-0</f>
        <v>582.39687100000003</v>
      </c>
      <c r="AA291" s="3">
        <f>384+(204.7-32)+(0.39168+(0.208794-0.03264))+0-0-0</f>
        <v>557.26783399999999</v>
      </c>
      <c r="AB291" s="3">
        <f>382+(172.1-30)+(-0.38964+(-0.175542--0.0306))+0-0-0</f>
        <v>523.56541800000002</v>
      </c>
      <c r="AC291" s="3">
        <f>382+(143.1-30)+(-0.9741+(-0.364905--0.0765))+0-0-0</f>
        <v>493.83749500000005</v>
      </c>
      <c r="AD291" s="2">
        <v>618</v>
      </c>
      <c r="AE291" s="3">
        <v>4321.1000000000004</v>
      </c>
    </row>
    <row r="292" spans="1:31" s="2" customFormat="1" x14ac:dyDescent="0.3">
      <c r="A292">
        <v>91</v>
      </c>
      <c r="B292">
        <v>10</v>
      </c>
      <c r="C292">
        <v>16</v>
      </c>
      <c r="D292">
        <v>1</v>
      </c>
      <c r="E292">
        <v>1</v>
      </c>
      <c r="F292" s="3">
        <f>369+(135.9-29)+(-0.56457+(-0.207927--0.04437))+0-0-0</f>
        <v>475.17187300000001</v>
      </c>
      <c r="G292" s="3">
        <f>358+(132.3-28)+(0+(0-0))+0-0-0</f>
        <v>462.3</v>
      </c>
      <c r="H292" s="3">
        <f>336+(142.5-28)+(0.17136+(0.072675-0.01428))+0-0-0</f>
        <v>450.72975500000001</v>
      </c>
      <c r="I292" s="3">
        <f>299+(174.4-29)+(0.45747+(0.266832-0.04437))+0-0-0</f>
        <v>445.07993199999999</v>
      </c>
      <c r="J292" s="3">
        <f>291+(192.3-31)+(0.74205+(0.490365-0.07905))+0-0-0</f>
        <v>453.45336500000002</v>
      </c>
      <c r="K292" s="3">
        <f>307+(234.8-38)+(0.31314+(0.239496-0.03876))+0-0-0</f>
        <v>504.31387599999999</v>
      </c>
      <c r="L292" s="3">
        <f>331+(268.7-44)+(-1.01286+(-0.822222--0.13464))+0-0-0</f>
        <v>553.99955800000009</v>
      </c>
      <c r="M292" s="3">
        <f>335+(267.3-41)+(0.51255+(0.408969-0.06273))+0-0-0</f>
        <v>562.15878899999996</v>
      </c>
      <c r="N292" s="3">
        <f>370+(231.8-36)+(0+(0-0))+0-0-0</f>
        <v>565.79999999999995</v>
      </c>
      <c r="O292" s="3">
        <f>370+(227.4-37)+(-0.7548+(-0.463896--0.07548))+0-0-0</f>
        <v>559.25678399999993</v>
      </c>
      <c r="P292" s="3">
        <f>373+(220.1-36)+(0.38046+(0.224502-0.03672))+0-0-0</f>
        <v>557.66824200000008</v>
      </c>
      <c r="Q292" s="3">
        <f>374+(216.2-37)+(0+(0-0))+0-0-0</f>
        <v>553.20000000000005</v>
      </c>
      <c r="R292" s="3">
        <f>370+(215.1-35)+(-0.5661+(-0.329103--0.05355))+0-0-0</f>
        <v>549.25834700000007</v>
      </c>
      <c r="S292" s="3">
        <f>371+(201.5-32)+(-0.37842+(-0.20553--0.03264))+0-0-0</f>
        <v>539.94869000000006</v>
      </c>
      <c r="T292" s="3">
        <f>371+(182.1-30)+(0.18921+(0.092871-0.0153))+0-0-0</f>
        <v>523.36678100000006</v>
      </c>
      <c r="U292" s="3">
        <f>372+(177.5-31)+(0.56916+(0.271575-0.04743))+0-0-0</f>
        <v>519.29330500000003</v>
      </c>
      <c r="V292" s="3">
        <f>384+(199.6-33)+(0.19584+(0.101796-0.01683))+0-0-0</f>
        <v>550.88080600000001</v>
      </c>
      <c r="W292" s="3">
        <f>403+(284.8-40)+(0+(0-0))+0-0-0</f>
        <v>647.79999999999995</v>
      </c>
      <c r="X292" s="3">
        <f>421+(274.3-40)+(-0.21471+(-0.139893--0.0204))+0-0-0</f>
        <v>654.96579699999995</v>
      </c>
      <c r="Y292" s="3">
        <f>426+(246.7-40)+(-0.86904+(-0.503268--0.0816))+0-0-0</f>
        <v>631.40929200000005</v>
      </c>
      <c r="Z292" s="3">
        <f>426+(219-38)+(-0.21726+(-0.11169--0.01938))+0-0-0</f>
        <v>606.69042999999999</v>
      </c>
      <c r="AA292" s="3">
        <f>426+(186.3-33)+(0+(0-0))+0-0-0</f>
        <v>579.29999999999995</v>
      </c>
      <c r="AB292" s="3">
        <f>408+(162.2-32)+(-0.62424+(-0.248166--0.04896))+0-0-0</f>
        <v>537.37655400000006</v>
      </c>
      <c r="AC292" s="3">
        <f>408+(134.8-30)+(-0.20808+(-0.068748--0.0153))+0-0-0</f>
        <v>512.53847199999996</v>
      </c>
      <c r="AD292" s="2">
        <v>641.20000000000005</v>
      </c>
      <c r="AE292" s="3">
        <v>5585.4000000000005</v>
      </c>
    </row>
    <row r="293" spans="1:31" s="2" customFormat="1" x14ac:dyDescent="0.3">
      <c r="A293">
        <v>91</v>
      </c>
      <c r="B293">
        <v>10</v>
      </c>
      <c r="C293">
        <v>17</v>
      </c>
      <c r="D293">
        <v>2</v>
      </c>
      <c r="E293">
        <v>1</v>
      </c>
      <c r="F293" s="3">
        <f>344+(146.8-29)+(-0.35088+(-0.149736--0.02958))+0-0-0</f>
        <v>461.32896399999998</v>
      </c>
      <c r="G293" s="3">
        <f>330+(171.7-28)+(0.1683+(0.087567-0.01428))+0-0-0</f>
        <v>473.94158699999997</v>
      </c>
      <c r="H293" s="3">
        <f>331+(157.5-30)+(-0.33762+(-0.16065--0.0306))+0-0-0</f>
        <v>458.03233</v>
      </c>
      <c r="I293" s="3">
        <f>280+(204.6-30)+(0.1428+(0.104346-0.0153))+0-0-0</f>
        <v>454.83184600000004</v>
      </c>
      <c r="J293" s="3">
        <f>250+(244.3-34)+(0.51+(0.498372-0.06936))+0-0-0</f>
        <v>461.239012</v>
      </c>
      <c r="K293" s="3">
        <f>303+(246.3-37)+(0.30906+(0.251226-0.03774))+0-0-0</f>
        <v>512.82254599999999</v>
      </c>
      <c r="L293" s="3">
        <f>329+(260.4-42)+(0.33558+(0.265608-0.04284))+0-0-0</f>
        <v>547.958348</v>
      </c>
      <c r="M293" s="3">
        <f>330+(257.2-41)+(-0.3366+(-0.262344--0.04182))+0-0-0</f>
        <v>545.642876</v>
      </c>
      <c r="N293" s="3">
        <f>363+(225-39)+(0.37026+(0.2295-0.03978))+0-0-0</f>
        <v>549.55998</v>
      </c>
      <c r="O293" s="3">
        <f>400+(185.3-34)+(0.408+(0.189006-0.03468))+0-0-0</f>
        <v>551.86232599999994</v>
      </c>
      <c r="P293" s="3">
        <f>399+(174-34)+(0.20349+(0.08874-0.01734))+0-0-0</f>
        <v>539.27489000000003</v>
      </c>
      <c r="Q293" s="3">
        <f>395+(181.7-35)+(-0.20145+(-0.092667--0.01785))+0-0-0</f>
        <v>541.42373300000008</v>
      </c>
      <c r="R293" s="3">
        <f>394+(182.8-36)+(-0.80376+(-0.372912--0.07344))+0-0-0</f>
        <v>539.69676799999991</v>
      </c>
      <c r="S293" s="3">
        <f>394+(159.7-35)+(-0.60282+(-0.244341--0.05355))+0-0-0</f>
        <v>517.90638899999999</v>
      </c>
      <c r="T293" s="3">
        <f>393+(144.4-34)+(-1.20258+(-0.441864--0.10404))+0-0-0</f>
        <v>501.85959599999995</v>
      </c>
      <c r="U293" s="3">
        <f>395+(146.6-34)+(0.60435+(0.224298-0.05202))+0-0-0</f>
        <v>508.37662800000004</v>
      </c>
      <c r="V293" s="3">
        <f>396+(171.6-36)+(0+(0-0))+0-0-0</f>
        <v>531.6</v>
      </c>
      <c r="W293" s="3">
        <f>388+(239.9-42)+(0.19788+(0.122349-0.02142))+0-0-0</f>
        <v>586.19880899999998</v>
      </c>
      <c r="X293" s="3">
        <f>376+(264.1-42)+(-0.9588+(-0.673455--0.1071))+0-0-0</f>
        <v>596.57484499999998</v>
      </c>
      <c r="Y293" s="3">
        <f>377+(255.3-39)+(-0.38454+(-0.260406--0.03978))+0-0-0</f>
        <v>592.6948339999999</v>
      </c>
      <c r="Z293" s="3">
        <f>378+(229.1-34)+(-0.19278+(-0.116841--0.01734))+0-0-0</f>
        <v>572.80771900000002</v>
      </c>
      <c r="AA293" s="3">
        <f>377+(205.8-33)+(-0.76908+(-0.419832--0.06732))+0-0-0</f>
        <v>548.67840799999999</v>
      </c>
      <c r="AB293" s="3">
        <f>349+(202.4-33)+(-0.17799+(-0.103224--0.01683))+0-0-0</f>
        <v>518.13561600000003</v>
      </c>
      <c r="AC293" s="3">
        <f>320+(205-31)+(-0.816+(-0.52275--0.07905))+0-0-0</f>
        <v>492.74029999999999</v>
      </c>
      <c r="AD293" s="2">
        <v>599.4</v>
      </c>
      <c r="AE293" s="3">
        <v>5843</v>
      </c>
    </row>
    <row r="294" spans="1:31" s="2" customFormat="1" x14ac:dyDescent="0.3">
      <c r="A294">
        <v>91</v>
      </c>
      <c r="B294">
        <v>10</v>
      </c>
      <c r="C294">
        <v>18</v>
      </c>
      <c r="D294">
        <v>3</v>
      </c>
      <c r="E294">
        <v>1</v>
      </c>
      <c r="F294" s="3">
        <f>305+(188-31)+(-0.77775+(-0.4794--0.07905))+0-0-0</f>
        <v>460.82190000000003</v>
      </c>
      <c r="G294" s="3">
        <f>261+(217-30)+(-0.66555+(-0.55335--0.0765))+0-0-0</f>
        <v>446.85759999999999</v>
      </c>
      <c r="H294" s="3">
        <f>228+(242.6-30)+(0.23256+(0.247452-0.0306))+0-0-0</f>
        <v>441.04941200000002</v>
      </c>
      <c r="I294" s="3">
        <f>228+(243.5-31)+(0.11628+(0.124185-0.01581))+0-0-0</f>
        <v>440.72465499999998</v>
      </c>
      <c r="J294" s="3">
        <f>272+(214.3-33)+(-0.27744+(-0.218586--0.03366))+0-0-0</f>
        <v>452.83763400000004</v>
      </c>
      <c r="K294" s="3">
        <f>301+(239.6-38)+(0.30702+(0.244392-0.03876))+0-0-0</f>
        <v>503.11265200000003</v>
      </c>
      <c r="L294" s="3">
        <f>314+(279.6-42)+(0.64056+(0.570384-0.08568))+0-0-0</f>
        <v>552.72526400000004</v>
      </c>
      <c r="M294" s="3">
        <f>329+(261.1-41)+(-0.33558+(-0.266322--0.04182))+0-0-0</f>
        <v>548.53991800000006</v>
      </c>
      <c r="N294" s="3">
        <f>355+(234.7-39)+(-0.18105+(-0.119697--0.01989))+0-0-0</f>
        <v>550.41914300000008</v>
      </c>
      <c r="O294" s="3">
        <f>353+(214.7-32)+(-0.36006+(-0.218994--0.03264))+0-0-0</f>
        <v>535.15358600000002</v>
      </c>
      <c r="P294" s="3">
        <f>354+(213-32)+(-0.36108+(-0.21726--0.03264))+0-0-0</f>
        <v>534.45429999999999</v>
      </c>
      <c r="Q294" s="3">
        <f>354+(213.9-27)+(-0.36108+(-0.218178--0.02754))+0-0-0</f>
        <v>540.34828199999993</v>
      </c>
      <c r="R294" s="3">
        <f>353+(226.5-31)+(-0.72012+(-0.46206--0.06324))+0-0-0</f>
        <v>547.38106000000005</v>
      </c>
      <c r="S294" s="3">
        <f>352+(194.3-33)+(0.17952+(0.099093-0.01683))+0-0-0</f>
        <v>513.56178299999999</v>
      </c>
      <c r="T294" s="3">
        <f>353+(176-32)+(-0.18003+(-0.08976--0.01632))+0-0-0</f>
        <v>496.74653000000001</v>
      </c>
      <c r="U294" s="3">
        <f>352+(177.9-31)+(-0.35904+(-0.181458--0.03162))+0-0-0</f>
        <v>498.391122</v>
      </c>
      <c r="V294" s="3">
        <f>351+(216.5-39)+(-0.35802+(-0.22083--0.03978))+0-0-0</f>
        <v>527.96092999999996</v>
      </c>
      <c r="W294" s="3">
        <f>345+(287.1-42)+(0.17595+(0.146421-0.02142))+0-0-0</f>
        <v>590.40095100000008</v>
      </c>
      <c r="X294" s="3">
        <f>349+(286.9-41)+(-0.53397+(-0.438957--0.06273))+0-0-0</f>
        <v>593.98980299999994</v>
      </c>
      <c r="Y294" s="3">
        <f>346+(285.5-37)+(0.17646+(0.145605-0.01887))+0-0-0</f>
        <v>594.80319499999996</v>
      </c>
      <c r="Z294" s="3">
        <f>342+(264.3-34)+(-0.17442+(-0.134793--0.01734))+0-0-0</f>
        <v>572.00812699999994</v>
      </c>
      <c r="AA294" s="3">
        <f>357+(214.8-30)+(-0.36414+(-0.219096--0.0306))+0-0-0</f>
        <v>541.24736399999995</v>
      </c>
      <c r="AB294" s="3">
        <f>361+(170.5-29)+(-0.73644+(-0.34782--0.05916))+0-0-0</f>
        <v>501.47489999999999</v>
      </c>
      <c r="AC294" s="3">
        <f>371+(140.7-28)+(-0.94605+(-0.358785--0.0714))+0-0-0</f>
        <v>482.466565</v>
      </c>
      <c r="AD294" s="2">
        <v>594</v>
      </c>
      <c r="AE294" s="3">
        <v>5848.6</v>
      </c>
    </row>
    <row r="295" spans="1:31" s="2" customFormat="1" x14ac:dyDescent="0.3">
      <c r="A295">
        <v>91</v>
      </c>
      <c r="B295">
        <v>10</v>
      </c>
      <c r="C295">
        <v>19</v>
      </c>
      <c r="D295">
        <v>4</v>
      </c>
      <c r="E295">
        <v>1</v>
      </c>
      <c r="F295" s="3">
        <f>363+(121.9-26)+(-0.18513+(-0.062169--0.01326))+0-0-0</f>
        <v>458.66596099999998</v>
      </c>
      <c r="G295" s="3">
        <f>334+(140.6-25)+(-0.68136+(-0.286824--0.051))+0-0-0</f>
        <v>448.682816</v>
      </c>
      <c r="H295" s="3">
        <f>287+(165.4-24)+(0.14637+(0.084354-0.01224))+0-0-0</f>
        <v>428.61848399999997</v>
      </c>
      <c r="I295" s="3">
        <f>282+(171.5-24)+(-0.43146+(-0.262395--0.03672))+0-0-0</f>
        <v>428.84286500000002</v>
      </c>
      <c r="J295" s="3">
        <f>282+(189-25)+(0.14382+(0.09639-0.01275))+0-0-0</f>
        <v>446.22746000000001</v>
      </c>
      <c r="K295" s="3">
        <f>282+(234.4-32)+(0.14382+(0.119544-0.01632))+0-0-0</f>
        <v>484.64704399999999</v>
      </c>
      <c r="L295" s="3">
        <f>308+(265.8-41)+(-0.7854+(-0.67779--0.10455))+0-0-0</f>
        <v>531.44135999999992</v>
      </c>
      <c r="M295" s="3">
        <f>365+(222.2-42)+(-0.55845+(-0.339966--0.06426))+0-0-0</f>
        <v>544.36584400000004</v>
      </c>
      <c r="N295" s="3">
        <f>388+(192.4-36)+(0.39576+(0.196248-0.03672))+0-0-0</f>
        <v>544.955288</v>
      </c>
      <c r="O295" s="3">
        <f>393+(173.4-33)+(-0.20043+(-0.088434--0.01683))+0-0-0</f>
        <v>533.12796600000001</v>
      </c>
      <c r="P295" s="3">
        <f>389+(156.8-35)+(0.59517+(0.239904-0.05355))+0-0-0</f>
        <v>511.581524</v>
      </c>
      <c r="Q295" s="3">
        <f>388+(150.2-34)+(0+(0-0))+0-0-0</f>
        <v>504.2</v>
      </c>
      <c r="R295" s="3">
        <f>385+(163.3-32)+(-0.19635+(-0.083283--0.01632))+0-0-0</f>
        <v>516.03668699999992</v>
      </c>
      <c r="S295" s="3">
        <f>386+(144.5-32)+(-0.19686+(-0.073695--0.01632))+0-0-0</f>
        <v>498.24576500000001</v>
      </c>
      <c r="T295" s="3">
        <f>385+(128.2-32)+(-0.19635+(-0.065382--0.01632))+0-0-0</f>
        <v>480.954588</v>
      </c>
      <c r="U295" s="3">
        <f>388+(131.2-33)+(0+(0-0))+0-0-0</f>
        <v>486.2</v>
      </c>
      <c r="V295" s="3">
        <f>394+(155.9-35)+(-0.20094+(-0.079509--0.01785))+0-0-0</f>
        <v>514.63740099999995</v>
      </c>
      <c r="W295" s="3">
        <f>393+(225.8-44)+(0.20043+(0.115158-0.02244))+0-0-0</f>
        <v>575.09314799999993</v>
      </c>
      <c r="X295" s="3">
        <f>395+(248.4-36)+(-0.8058+(-0.506736--0.07344))+0-0-0</f>
        <v>606.16090399999996</v>
      </c>
      <c r="Y295" s="3">
        <f>396+(219.7-37)+(-0.20196+(-0.112047--0.01887))+0-0-0</f>
        <v>578.40486300000009</v>
      </c>
      <c r="Z295" s="3">
        <f>391+(200.4-38)+(-0.39882+(-0.204408--0.03876))+0-0-0</f>
        <v>552.83553199999994</v>
      </c>
      <c r="AA295" s="3">
        <f>382+(183.4-35)+(0+(0-0))+0-0-0</f>
        <v>530.4</v>
      </c>
      <c r="AB295" s="3">
        <f>378+(153-31)+(-0.57834+(-0.23409--0.04743))+0-0-0</f>
        <v>499.23500000000001</v>
      </c>
      <c r="AC295" s="3">
        <f>378+(129.8-31)+(-0.38556+(-0.132396--0.03162))+0-0-0</f>
        <v>476.31366400000002</v>
      </c>
      <c r="AD295" s="2">
        <v>596.59999999999991</v>
      </c>
      <c r="AE295" s="3">
        <v>5891.2000000000007</v>
      </c>
    </row>
    <row r="296" spans="1:31" s="2" customFormat="1" x14ac:dyDescent="0.3">
      <c r="A296">
        <v>91</v>
      </c>
      <c r="B296">
        <v>10</v>
      </c>
      <c r="C296">
        <v>20</v>
      </c>
      <c r="D296">
        <v>5</v>
      </c>
      <c r="E296">
        <v>1</v>
      </c>
      <c r="F296" s="3">
        <f>367+(119.3-30)+(-0.93585+(-0.304215--0.0765))+0-0-0</f>
        <v>455.13643500000001</v>
      </c>
      <c r="G296" s="3">
        <f>305+(151.4-29)+(0+(0-0))+0-0-0</f>
        <v>427.4</v>
      </c>
      <c r="H296" s="3">
        <f>284+(164.3-28)+(-0.28968+(-0.167586--0.02856))+0-0-0</f>
        <v>419.87129400000003</v>
      </c>
      <c r="I296" s="3">
        <f>284+(162.5-28)+(-0.28968+(-0.16575--0.02856))+0-0-0</f>
        <v>418.07312999999999</v>
      </c>
      <c r="J296" s="3">
        <f>284+(174.9-28)+(0+(0-0))+0-0-0</f>
        <v>430.9</v>
      </c>
      <c r="K296" s="3">
        <f>284+(228.4-37)+(-0.14484+(-0.116484--0.01887))+0-0-0</f>
        <v>475.15754599999997</v>
      </c>
      <c r="L296" s="3">
        <f>284+(282.2-41)+(0+(0-0))+0-0-0</f>
        <v>525.20000000000005</v>
      </c>
      <c r="M296" s="3">
        <f>284+(270.7-38)+(0.28968+(0.276114-0.03876))+0-0-0</f>
        <v>517.227034</v>
      </c>
      <c r="N296" s="3">
        <f>371+(193.5-36)+(0.37842+(0.19737-0.03672))+0-0-0</f>
        <v>529.03907000000004</v>
      </c>
      <c r="O296" s="3">
        <f>398+(166.3-33)+(0+(0-0))+0-0-0</f>
        <v>531.29999999999995</v>
      </c>
      <c r="P296" s="3">
        <f>400+(152.4-32)+(0.612+(0.233172-0.04896))+0-0-0</f>
        <v>521.19621199999995</v>
      </c>
      <c r="Q296" s="3">
        <f>400+(154.4-30)+(-0.408+(-0.157488--0.0306))+0-0-0</f>
        <v>523.86511199999995</v>
      </c>
      <c r="R296" s="3">
        <f>399+(151.9-32)+(-1.01745+(-0.387345--0.0816))+0-0-0</f>
        <v>517.57680499999992</v>
      </c>
      <c r="S296" s="3">
        <f>398+(126.8-31)+(-0.20298+(-0.064668--0.01581))+0-0-0</f>
        <v>493.54816199999999</v>
      </c>
      <c r="T296" s="3">
        <f>395+(116-31)+(-0.20145+(-0.05916--0.01581))+0-0-0</f>
        <v>479.7552</v>
      </c>
      <c r="U296" s="3">
        <f>395+(121.2-30)+(0.20145+(0.061812-0.0153))+0-0-0</f>
        <v>486.44796199999996</v>
      </c>
      <c r="V296" s="3">
        <f>399+(143-36)+(0+(0-0))+0-0-0</f>
        <v>506</v>
      </c>
      <c r="W296" s="3">
        <f>399+(212.6-42)+(0.20349+(0.108426-0.02142))+0-0-0</f>
        <v>569.89049599999998</v>
      </c>
      <c r="X296" s="3">
        <f>400+(231.1-44)+(-1.02+(-0.589305--0.1122))+0-0-0</f>
        <v>585.60289499999999</v>
      </c>
      <c r="Y296" s="3">
        <f>400+(206.8-40)+(-0.816+(-0.421872--0.0816))+0-0-0</f>
        <v>565.64372800000001</v>
      </c>
      <c r="Z296" s="3">
        <f>397+(192.8-39)+(-1.01235+(-0.49164--0.09945))+0-0-0</f>
        <v>549.39545999999996</v>
      </c>
      <c r="AA296" s="3">
        <f>387+(170.5-34)+(-0.39474+(-0.17391--0.03468))+0-0-0</f>
        <v>522.96603000000005</v>
      </c>
      <c r="AB296" s="3">
        <f>384+(146.9-32)+(-0.58752+(-0.224757--0.04896))+0-0-0</f>
        <v>498.136683</v>
      </c>
      <c r="AC296" s="3">
        <f>373+(127.8-31)+(-0.38046+(-0.130356--0.03162))+0-0-0</f>
        <v>469.32080400000001</v>
      </c>
      <c r="AD296" s="2">
        <v>576.79999999999995</v>
      </c>
      <c r="AE296" s="3">
        <v>5784.7999999999993</v>
      </c>
    </row>
    <row r="297" spans="1:31" s="2" customFormat="1" x14ac:dyDescent="0.3">
      <c r="A297">
        <v>91</v>
      </c>
      <c r="B297">
        <v>10</v>
      </c>
      <c r="C297">
        <v>21</v>
      </c>
      <c r="D297">
        <v>6</v>
      </c>
      <c r="E297">
        <v>1</v>
      </c>
      <c r="F297" s="3">
        <f>301+(175-30)+(-0.15351+(-0.08925--0.0153))+0-0-0</f>
        <v>445.77253999999999</v>
      </c>
      <c r="G297" s="3">
        <f>301+(153.6-30)+(0.46053+(0.235008-0.0459))+0-0-0</f>
        <v>425.249638</v>
      </c>
      <c r="H297" s="3">
        <f>301+(142.8-29)+(-0.15351+(-0.072828--0.01479))+0-0-0</f>
        <v>414.58845200000002</v>
      </c>
      <c r="I297" s="3">
        <f>301+(145.2-29)+(0.46053+(0.222156-0.04437))+0-0-0</f>
        <v>417.83831599999996</v>
      </c>
      <c r="J297" s="3">
        <f>301+(150-32)+(0+(0-0))+0-0-0</f>
        <v>419</v>
      </c>
      <c r="K297" s="3">
        <f>301+(195.8-37)+(0.61404+(0.399432-0.07548))+0-0-0</f>
        <v>460.73799200000002</v>
      </c>
      <c r="L297" s="3">
        <f>300+(230.8-40)+(-0.612+(-0.470832--0.0816))+0-0-0</f>
        <v>489.798768</v>
      </c>
      <c r="M297" s="3">
        <f>300+(241.7-39)+(-0.153+(-0.123267--0.01989))+0-0-0</f>
        <v>502.443623</v>
      </c>
      <c r="N297" s="3">
        <f>397+(156.3-37)+(-0.20247+(-0.079713--0.01887))+0-0-0</f>
        <v>516.03668699999992</v>
      </c>
      <c r="O297" s="3">
        <f>410+(137.2-33)+(0.4182+(0.139944-0.03366))+0-0-0</f>
        <v>514.72448400000007</v>
      </c>
      <c r="P297" s="3">
        <f>426+(114-31)+(-0.21726+(-0.05814--0.01581))+0-0-0</f>
        <v>508.74041</v>
      </c>
      <c r="Q297" s="3">
        <f>424+(111.5-33)+(0+(0-0))+0-0-0</f>
        <v>502.5</v>
      </c>
      <c r="R297" s="3">
        <f>427+(108.6-32)+(-0.65331+(-0.166158--0.04896))+0-0-0</f>
        <v>502.82949200000002</v>
      </c>
      <c r="S297" s="3">
        <f>403+(111.6-32)+(0+(0-0))+0-0-0</f>
        <v>482.6</v>
      </c>
      <c r="T297" s="3">
        <f>381+(122-32)+(-0.97155+(-0.3111--0.0816))+0-0-0</f>
        <v>469.79894999999999</v>
      </c>
      <c r="U297" s="3">
        <f>380+(128.4-33)+(-0.5814+(-0.196452--0.05049))+0-0-0</f>
        <v>474.67263799999995</v>
      </c>
      <c r="V297" s="3">
        <f>385+(147-34)+(-0.58905+(-0.22491--0.05202))+0-0-0</f>
        <v>497.23806000000002</v>
      </c>
      <c r="W297" s="3">
        <f>386+(211.7-41)+(0.19686+(0.107967-0.02091))+0-0-0</f>
        <v>556.98391700000002</v>
      </c>
      <c r="X297" s="3">
        <f>386+(216-39)+(-0.39372+(-0.22032--0.03978))+0-0-0</f>
        <v>562.42574000000002</v>
      </c>
      <c r="Y297" s="3">
        <f>386+(200.6-43)+(-0.39372+(-0.204612--0.04386))+0-0-0</f>
        <v>543.04552799999999</v>
      </c>
      <c r="Z297" s="3">
        <f>385+(183-37)+(-0.98175+(-0.46665--0.09435))+0-0-0</f>
        <v>529.64594999999997</v>
      </c>
      <c r="AA297" s="3">
        <f>386+(152.1-36)+(0+(0-0))+0-0-0</f>
        <v>502.1</v>
      </c>
      <c r="AB297" s="3">
        <f>384+(130.2-29)+(-0.9792+(-0.33201--0.07395))+0-0-0</f>
        <v>483.96274</v>
      </c>
      <c r="AC297" s="3">
        <f>385+(107.1-30)+(-0.3927+(-0.109242--0.0306))+0-0-0</f>
        <v>461.62865800000003</v>
      </c>
      <c r="AD297" s="2">
        <v>562.20000000000005</v>
      </c>
      <c r="AE297" s="3">
        <v>5660.2000000000007</v>
      </c>
    </row>
    <row r="298" spans="1:31" s="2" customFormat="1" x14ac:dyDescent="0.3">
      <c r="A298">
        <v>91</v>
      </c>
      <c r="B298">
        <v>10</v>
      </c>
      <c r="C298">
        <v>22</v>
      </c>
      <c r="D298">
        <v>7</v>
      </c>
      <c r="E298">
        <v>5</v>
      </c>
      <c r="F298" s="3">
        <f>380+(83.9-32.1)+(-0.3876+(-0.085578--0.032742))+0-0-0</f>
        <v>431.35956400000003</v>
      </c>
      <c r="G298" s="3">
        <f>335+(108.3-30)+(0+(0-0))+0-0-0</f>
        <v>413.3</v>
      </c>
      <c r="H298" s="3">
        <f>304+(129.6-32)+(-0.15504+(-0.066096--0.01632))+0-0-0</f>
        <v>401.39518400000003</v>
      </c>
      <c r="I298" s="3">
        <f>304+(122.6-32)+(0.46512+(0.187578-0.04896))+0-0-0</f>
        <v>395.20373800000004</v>
      </c>
      <c r="J298" s="3">
        <f>304+(127-33)+(-0.7752+(-0.32385--0.08415))+0-0-0</f>
        <v>396.98509999999999</v>
      </c>
      <c r="K298" s="3">
        <f>304+(167.7-38)+(0.15504+(0.085527-0.01938))+0-0-0</f>
        <v>433.92118699999997</v>
      </c>
      <c r="L298" s="3">
        <f>303+(195.5-41)+(-0.77265+(-0.498525--0.10455))+0-0-0</f>
        <v>456.33337499999999</v>
      </c>
      <c r="M298" s="3">
        <f>302+(211-38)+(-1.23216+(-0.86088--0.15504))+0-0-0</f>
        <v>473.06200000000001</v>
      </c>
      <c r="N298" s="3">
        <f>366+(157.5-37)+(-0.18666+(-0.080325--0.01887))+0-0-0</f>
        <v>486.25188500000002</v>
      </c>
      <c r="O298" s="3">
        <f>379+(151.7-37)+(-0.38658+(-0.154734--0.03774))+0-0-0</f>
        <v>493.19642599999997</v>
      </c>
      <c r="P298" s="3">
        <f>377+(157.3-36)+(0.57681+(0.240669-0.05508))+0-0-0</f>
        <v>499.06239900000003</v>
      </c>
      <c r="Q298" s="3">
        <f>381+(157.6-39)+(-0.97155+(-0.40188--0.09945))+0-0-0</f>
        <v>498.32602000000003</v>
      </c>
      <c r="R298" s="3">
        <f>372+(151.4-33)+(-0.9486+(-0.38607--0.08415))+0-0-0</f>
        <v>489.14947999999998</v>
      </c>
      <c r="S298" s="3">
        <f>369+(132.5-30)+(0+(0-0))+0-0-0</f>
        <v>471.5</v>
      </c>
      <c r="T298" s="3">
        <f>350+(138.5-30)+(-0.357+(-0.14127--0.0306))+0-0-0</f>
        <v>458.03233</v>
      </c>
      <c r="U298" s="3">
        <f>291+(184.5-31)+(0+(0-0))+0-0-0</f>
        <v>444.5</v>
      </c>
      <c r="V298" s="3">
        <f>292+(206.5-36)+(0.14892+(0.105315-0.01836))+0-0-0</f>
        <v>462.73587500000002</v>
      </c>
      <c r="W298" s="3">
        <f>338+(220.4-41)+(-0.17238+(-0.112404--0.02091))+0-0-0</f>
        <v>517.13612599999999</v>
      </c>
      <c r="X298" s="3">
        <f>374+(186.3-39)+(-0.19074+(-0.095013--0.01989))+0-0-0</f>
        <v>521.03413699999999</v>
      </c>
      <c r="Y298" s="3">
        <f>375+(175.6-40)+(0+(0-0))+0-0-0</f>
        <v>510.6</v>
      </c>
      <c r="Z298" s="3">
        <f>318+(209.6-39)+(0.16218+(0.106896-0.01989))+0-0-0</f>
        <v>488.84918600000003</v>
      </c>
      <c r="AA298" s="3">
        <f>292+(212.4-33)+(0.59568+(0.433296-0.06732))+0-0-0</f>
        <v>472.36165599999998</v>
      </c>
      <c r="AB298" s="3">
        <f>292+(187.4-33)+(0+(0-0))+0-0-0</f>
        <v>446.4</v>
      </c>
      <c r="AC298" s="3">
        <f>292+(165.7-32)+(-1.04244+(-0.591549--0.11424))+0-0-0</f>
        <v>424.180251</v>
      </c>
      <c r="AD298" s="2">
        <v>536</v>
      </c>
      <c r="AE298" s="3">
        <v>4123.7</v>
      </c>
    </row>
    <row r="299" spans="1:31" s="2" customFormat="1" x14ac:dyDescent="0.3">
      <c r="A299">
        <v>91</v>
      </c>
      <c r="B299">
        <v>10</v>
      </c>
      <c r="C299">
        <v>23</v>
      </c>
      <c r="D299">
        <v>1</v>
      </c>
      <c r="E299">
        <v>5</v>
      </c>
      <c r="F299" s="3">
        <f>292+(147.4-30)+(-0.59568+(-0.300696--0.0612))+0-0-0</f>
        <v>408.56482399999999</v>
      </c>
      <c r="G299" s="3">
        <f>292+(127-27)+(-0.59568+(-0.25908--0.05508))+0-0-0</f>
        <v>391.20031999999998</v>
      </c>
      <c r="H299" s="3">
        <f>292+(119-28)+(-0.44676+(-0.18207--0.04284))+0-0-0</f>
        <v>382.41401000000002</v>
      </c>
      <c r="I299" s="3">
        <f>292+(117.1-28)+(-0.44676+(-0.179163--0.04284))+0-0-0</f>
        <v>380.51691700000003</v>
      </c>
      <c r="J299" s="3">
        <f>292+(125.6-34)+(0.29784+(0.128112-0.03468))+0-0-0</f>
        <v>383.99127200000004</v>
      </c>
      <c r="K299" s="3">
        <f>292+(167.7-40)+(0.59568+(0.342108-0.0816))+0-0-0</f>
        <v>420.55618799999996</v>
      </c>
      <c r="L299" s="3">
        <f>282+(198.2-40)+(-0.57528+(-0.404328--0.0816))+0-0-0</f>
        <v>439.30199199999998</v>
      </c>
      <c r="M299" s="3">
        <f>277+(217.9-38)+(0.14127+(0.111129-0.01938))+0-0-0</f>
        <v>457.13301899999999</v>
      </c>
      <c r="N299" s="3">
        <f>280+(232.6-36)+(-0.4284+(-0.355878--0.05508))+0-0-0</f>
        <v>475.87080200000003</v>
      </c>
      <c r="O299" s="3">
        <f>280+(244.4-36)+(-0.1428+(-0.124644--0.01836))+0-0-0</f>
        <v>488.150916</v>
      </c>
      <c r="P299" s="3">
        <f>280+(240.2-34)+(-0.5712+(-0.490008--0.06936))+0-0-0</f>
        <v>485.20815199999998</v>
      </c>
      <c r="Q299" s="3">
        <f>280+(237.9-35)+(-0.1428+(-0.121329--0.01785))+0-0-0</f>
        <v>482.65372099999996</v>
      </c>
      <c r="R299" s="3">
        <f>290+(244.8-33)+(-1.0353+(-0.873936--0.11781))+0-0-0</f>
        <v>500.00857400000001</v>
      </c>
      <c r="S299" s="3">
        <f>290+(227.6-33)+(0+(0-0))+0-0-0</f>
        <v>484.6</v>
      </c>
      <c r="T299" s="3">
        <f>290+(217.1-25)+(-0.2958+(-0.221442--0.0255))+0-0-0</f>
        <v>481.60825800000003</v>
      </c>
      <c r="U299" s="3">
        <f>290+(229-33)+(0+(0-0))+0-0-0</f>
        <v>486</v>
      </c>
      <c r="V299" s="3">
        <f>292+(260.8-35)+(-0.14892+(-0.133008--0.01785))+0-0-0</f>
        <v>517.53592199999991</v>
      </c>
      <c r="W299" s="3">
        <f>329+(292.7-41)+(0.16779+(0.149277-0.02091))+0-0-0</f>
        <v>580.99615700000004</v>
      </c>
      <c r="X299" s="3">
        <f>374+(265.2-38)+(-0.57222+(-0.405756--0.05814))+0-0-0</f>
        <v>600.28016400000001</v>
      </c>
      <c r="Y299" s="3">
        <f>375+(241.8-37)+(-0.57375+(-0.369954--0.05661))+0-0-0</f>
        <v>578.91290599999991</v>
      </c>
      <c r="Z299" s="3">
        <f>376+(222-35)+(-0.19176+(-0.11322--0.01785))+0-0-0</f>
        <v>562.71286999999995</v>
      </c>
      <c r="AA299" s="3">
        <f>377+(191.1-36)+(-0.19227+(-0.097461--0.01836))+0-0-0</f>
        <v>531.82862899999998</v>
      </c>
      <c r="AB299" s="3">
        <f>377+(164.8-29)+(-0.76908+(-0.336192--0.05916))+0-0-0</f>
        <v>511.75388799999996</v>
      </c>
      <c r="AC299" s="3">
        <f>369+(145.3-29)+(-0.56457+(-0.222309--0.04437))+0-0-0</f>
        <v>484.55749100000003</v>
      </c>
      <c r="AD299" s="2">
        <v>598</v>
      </c>
      <c r="AE299" s="3">
        <v>4573.5999999999995</v>
      </c>
    </row>
    <row r="300" spans="1:31" s="2" customFormat="1" x14ac:dyDescent="0.3">
      <c r="A300">
        <v>91</v>
      </c>
      <c r="B300">
        <v>10</v>
      </c>
      <c r="C300">
        <v>24</v>
      </c>
      <c r="D300">
        <v>2</v>
      </c>
      <c r="E300">
        <v>1</v>
      </c>
      <c r="F300" s="3">
        <f>291+(190-28)+(0.14841+(0.0969-0.01428))+0-0-0</f>
        <v>453.23102999999998</v>
      </c>
      <c r="G300" s="3">
        <f>291+(172.3-28)+(0.29682+(0.175746-0.02856))+0-0-0</f>
        <v>435.74400600000001</v>
      </c>
      <c r="H300" s="3">
        <f>291+(165.3-27)+(0.14841+(0.084303-0.01377))+0-0-0</f>
        <v>429.51894300000004</v>
      </c>
      <c r="I300" s="3">
        <f>291+(158.6-27)+(0.44523+(0.242658-0.04131))+0-0-0</f>
        <v>423.246578</v>
      </c>
      <c r="J300" s="3">
        <f>291+(169.4-32)+(0.59364+(0.345576-0.06528))+0-0-0</f>
        <v>429.27393599999999</v>
      </c>
      <c r="K300" s="3">
        <f>291+(223.3-35)+(0+(0-0))+0-0-0</f>
        <v>479.3</v>
      </c>
      <c r="L300" s="3">
        <f>326+(246-39)+(0.33252+(0.25092-0.03978))+0-0-0</f>
        <v>533.54366000000005</v>
      </c>
      <c r="M300" s="3">
        <f>374+(212.8-39)+(0.57222+(0.325584-0.05967))+0-0-0</f>
        <v>548.63813399999992</v>
      </c>
      <c r="N300" s="3">
        <f>372+(213.3-39)+(0.56916+(0.326349-0.05967))+0-0-0</f>
        <v>547.13583899999992</v>
      </c>
      <c r="O300" s="3">
        <f>372+(207.9-39)+(0.9486+(0.530145-0.09945))+0-0-0</f>
        <v>542.27929499999993</v>
      </c>
      <c r="P300" s="3">
        <f>426+(164.5-47.4)+(0.43452+(0.16779-0.048348))+0-0-0</f>
        <v>543.65396199999998</v>
      </c>
      <c r="Q300" s="3">
        <f>509+(129.9-93.9)+(1.03836+(0.264996-0.191556))+0-0-0</f>
        <v>546.11180000000002</v>
      </c>
      <c r="R300" s="3">
        <f>509+(130.1-84.2)+(-0.51918+(-0.132702--0.085884))+0-0-0</f>
        <v>554.33400199999994</v>
      </c>
      <c r="S300" s="3">
        <f>509+(121.5-87.3)+(0.25959+(0.061965-0.044523))+0-0-0</f>
        <v>543.47703200000001</v>
      </c>
      <c r="T300" s="3">
        <f>509+(113.1-94.6)+(0+(0-0))+0-0-0</f>
        <v>527.5</v>
      </c>
      <c r="U300" s="3">
        <f>508+(114.3-94)+(-0.51816+(-0.116586--0.09588))+0-0-0</f>
        <v>527.76113399999997</v>
      </c>
      <c r="V300" s="3">
        <f>512+(104.8-68.7)+(0+(0-0))+0-0-0</f>
        <v>548.1</v>
      </c>
      <c r="W300" s="3">
        <f>505+(168.3-55.9)+(0+(0-0))+0-0-0</f>
        <v>617.4</v>
      </c>
      <c r="X300" s="3">
        <f>508+(176.6-50.5)+(-0.77724+(-0.270198--0.077265))+0-0-0</f>
        <v>633.12982699999998</v>
      </c>
      <c r="Y300" s="3">
        <f>508+(162.2-57.3)+(-0.51816+(-0.165444--0.058446))+0-0-0</f>
        <v>612.27484199999992</v>
      </c>
      <c r="Z300" s="3">
        <f>510+(140.4-54.9)+(-0.5202+(-0.143208--0.055998))+0-0-0</f>
        <v>594.89259000000004</v>
      </c>
      <c r="AA300" s="3">
        <f>504+(120.1-59)+(-0.25704+(-0.061251--0.03009))+0-0-0</f>
        <v>564.81179900000006</v>
      </c>
      <c r="AB300" s="3">
        <f>503+(95.6-64.7)+(-0.76959+(-0.146268--0.098991))+0-0-0</f>
        <v>533.08313299999998</v>
      </c>
      <c r="AC300" s="3">
        <f>463+(96.6-55.4)+(-0.94452+(-0.197064--0.113016))+0-0-0</f>
        <v>503.17143199999998</v>
      </c>
      <c r="AD300" s="2">
        <v>626.80000000000007</v>
      </c>
      <c r="AE300" s="3">
        <v>6012.1</v>
      </c>
    </row>
    <row r="301" spans="1:31" s="2" customFormat="1" x14ac:dyDescent="0.3">
      <c r="A301">
        <v>91</v>
      </c>
      <c r="B301">
        <v>10</v>
      </c>
      <c r="C301">
        <v>25</v>
      </c>
      <c r="D301">
        <v>3</v>
      </c>
      <c r="E301">
        <v>1</v>
      </c>
      <c r="F301" s="3">
        <f>432+(98.6-46.8)+(-1.1016+(-0.25143--0.11934))+0-0-0</f>
        <v>482.56630999999999</v>
      </c>
      <c r="G301" s="3">
        <f>383+(112.9-33.3)+(-0.97665+(-0.287895--0.084915))+0-0-0</f>
        <v>461.42037000000005</v>
      </c>
      <c r="H301" s="3">
        <f>350+(130.6-28)+(-0.714+(-0.266424--0.05712))+0-0-0</f>
        <v>451.67669600000005</v>
      </c>
      <c r="I301" s="3">
        <f>350+(126-30)+(-0.1785+(-0.06426--0.0153))+0-0-0</f>
        <v>445.77253999999999</v>
      </c>
      <c r="J301" s="3">
        <f>350+(139.3-35)+(-0.714+(-0.284172--0.0714))+0-0-0</f>
        <v>453.37322799999998</v>
      </c>
      <c r="K301" s="3">
        <f>350+(190.6-35)+(0.8925+(0.48603-0.08925))+0-0-0</f>
        <v>506.88928000000004</v>
      </c>
      <c r="L301" s="3">
        <f>347+(247.7-42)+(0+(0-0))+0-0-0</f>
        <v>552.70000000000005</v>
      </c>
      <c r="M301" s="3">
        <f>347+(244.7-44)+(-0.17697+(-0.124797--0.02244))+0-0-0</f>
        <v>547.42067300000008</v>
      </c>
      <c r="N301" s="3">
        <f>390+(204.1-42)+(-0.3978+(-0.208182--0.04284))+0-0-0</f>
        <v>551.53685800000005</v>
      </c>
      <c r="O301" s="3">
        <f>429+(174.4-46.4)+(0.21879+(0.088944-0.023664))+0-0-0</f>
        <v>557.28407000000004</v>
      </c>
      <c r="P301" s="3">
        <f>445+(161.9-43.9)+(-0.22695+(-0.082569--0.022389))+0-0-0</f>
        <v>562.71286999999995</v>
      </c>
      <c r="Q301" s="3">
        <f>454+(143.3-41)+(-0.69462+(-0.219249--0.06273))+0-0-0</f>
        <v>555.44886099999997</v>
      </c>
      <c r="R301" s="3">
        <f>452+(140.6-38.5)+(-1.1526+(-0.35853--0.098175))+0-0-0</f>
        <v>552.68704500000001</v>
      </c>
      <c r="S301" s="3">
        <f>450+(112.3-41.3)+(-0.2295+(-0.057273--0.021063))+0-0-0</f>
        <v>520.73428999999999</v>
      </c>
      <c r="T301" s="3">
        <f>440+(101.1-41.7)+(0.2244+(0.051561-0.021267))+0-0-0</f>
        <v>499.65469399999995</v>
      </c>
      <c r="U301" s="3">
        <f>441+(108.5-39.9)+(0.22491+(0.055335-0.020349))+0-0-0</f>
        <v>509.85989600000005</v>
      </c>
      <c r="V301" s="3">
        <f>447+(132.3-36.9)+(0.22797+(0.067473-0.018819))+0-0-0</f>
        <v>542.67662399999995</v>
      </c>
      <c r="W301" s="3">
        <f>526+(142.3-54.4)+(0.26826+(0.072573-0.027744))+0-0-0</f>
        <v>614.21308899999997</v>
      </c>
      <c r="X301" s="3">
        <f>526+(157.1-55.7)+(-0.53652+(-0.160242--0.056814))+0-0-0</f>
        <v>626.76005199999997</v>
      </c>
      <c r="Y301" s="3">
        <f>524+(145.4-57.8)+(-0.53448+(-0.148308--0.058956))+0-0-0</f>
        <v>610.97616800000003</v>
      </c>
      <c r="Z301" s="3">
        <f>526+(125.8-57.9)+(0.26826+(0.064158-0.029529))+0-0-0</f>
        <v>594.20288900000003</v>
      </c>
      <c r="AA301" s="3">
        <f>526+(104.2-59.9)+(0.26826+(0.053142-0.030549))+0-0-0</f>
        <v>570.59085299999992</v>
      </c>
      <c r="AB301" s="3">
        <f>496+(93.1-55)+(-0.25296+(-0.047481--0.02805))+0-0-0</f>
        <v>533.82760900000005</v>
      </c>
      <c r="AC301" s="3">
        <f>494+(74.3-59.7)+(-0.25194+(-0.037893--0.030447))+0-0-0</f>
        <v>508.34061400000002</v>
      </c>
      <c r="AD301" s="2">
        <v>628.1</v>
      </c>
      <c r="AE301" s="3">
        <v>6066.2</v>
      </c>
    </row>
    <row r="302" spans="1:31" s="2" customFormat="1" x14ac:dyDescent="0.3">
      <c r="A302">
        <v>91</v>
      </c>
      <c r="B302">
        <v>10</v>
      </c>
      <c r="C302">
        <v>26</v>
      </c>
      <c r="D302">
        <v>4</v>
      </c>
      <c r="E302">
        <v>1</v>
      </c>
      <c r="F302" s="3">
        <f>480+(62.1-67.3)+(-0.4896+(-0.063342--0.068646))+0-0-0</f>
        <v>474.31570400000004</v>
      </c>
      <c r="G302" s="3">
        <f>473+(60.2-69.3)+(-0.24123+(-0.030702--0.035343))+0-0-0</f>
        <v>463.663411</v>
      </c>
      <c r="H302" s="3">
        <f>415+(79-43.9)+(0.4233+(0.08058-0.044778))+0-0-0</f>
        <v>450.559102</v>
      </c>
      <c r="I302" s="3">
        <f>409+(81.3-43.9)+(-0.62577+(-0.124389--0.067167))+0-0-0</f>
        <v>445.71700799999996</v>
      </c>
      <c r="J302" s="3">
        <f>409+(89.8-43.5)+(0+(0-0))+0-0-0</f>
        <v>455.3</v>
      </c>
      <c r="K302" s="3">
        <f>409+(134.7-39)+(0.20859+(0.068697-0.01989))+0-0-0</f>
        <v>504.95739700000001</v>
      </c>
      <c r="L302" s="3">
        <f>411+(186.9-45)+(-0.20961+(-0.095319--0.02295))+0-0-0</f>
        <v>552.618021</v>
      </c>
      <c r="M302" s="3">
        <f>418+(181.5-38)+(0.21318+(0.092565-0.01938))+0-0-0</f>
        <v>561.78636500000005</v>
      </c>
      <c r="N302" s="3">
        <f>456+(150.7-44.9)+(0+(0-0))+0-0-0</f>
        <v>561.79999999999995</v>
      </c>
      <c r="O302" s="3">
        <f>473+(135.2-53.8)+(0.24123+(0.068952-0.027438))+0-0-0</f>
        <v>554.68274399999996</v>
      </c>
      <c r="P302" s="3">
        <f>476+(122.7-51)+(0+(0-0))+0-0-0</f>
        <v>547.70000000000005</v>
      </c>
      <c r="Q302" s="3">
        <f>475+(120.7-48.9)+(-0.72675+(-0.184671--0.074817))+0-0-0</f>
        <v>545.96339599999999</v>
      </c>
      <c r="R302" s="3">
        <f>473+(124.5-48.4)+(0.24123+(0.063495-0.024684))+0-0-0</f>
        <v>549.38004100000001</v>
      </c>
      <c r="S302" s="3">
        <f>473+(105.3-52.2)+(0.48246+(0.107406-0.053244))+0-0-0</f>
        <v>526.63662199999999</v>
      </c>
      <c r="T302" s="3">
        <f>474+(91.1-55.1)+(0+(0-0))+0-0-0</f>
        <v>510</v>
      </c>
      <c r="U302" s="3">
        <f>473+(97-54.9)+(-0.96492+(-0.19788--0.111996))+0-0-0</f>
        <v>514.04919600000005</v>
      </c>
      <c r="V302" s="3">
        <f>474+(129.3-56.4)+(-0.72522+(-0.197829--0.086292))+0-0-0</f>
        <v>546.06324299999994</v>
      </c>
      <c r="W302" s="3">
        <f>495+(176.1-45.2)+(1.26225+(0.449055-0.11526))+0-0-0</f>
        <v>627.49604499999998</v>
      </c>
      <c r="X302" s="3">
        <f>494+(177.1-47.8)+(-0.75582+(-0.270963--0.073134))+0-0-0</f>
        <v>622.34635099999991</v>
      </c>
      <c r="Y302" s="3">
        <f>492+(170.1-46.4)+(-0.75276+(-0.260253--0.070992))+0-0-0</f>
        <v>614.75797900000009</v>
      </c>
      <c r="Z302" s="3">
        <f>494+(148.9-50.2)+(-0.50388+(-0.151878--0.051204))+0-0-0</f>
        <v>592.09544600000004</v>
      </c>
      <c r="AA302" s="3">
        <f>494+(127.4-48.3)+(0.25194+(0.064974-0.024633))+0-0-0</f>
        <v>573.39228100000003</v>
      </c>
      <c r="AB302" s="3">
        <f>494+(104-50.9)+(0+(0-0))+0-0-0</f>
        <v>547.1</v>
      </c>
      <c r="AC302" s="3">
        <f>494+(82-54.5)+(0.25194+(0.04182-0.027795))+0-0-0</f>
        <v>521.76596500000005</v>
      </c>
      <c r="AD302" s="2">
        <v>635.70000000000005</v>
      </c>
      <c r="AE302" s="3">
        <v>6069.7</v>
      </c>
    </row>
    <row r="303" spans="1:31" s="2" customFormat="1" x14ac:dyDescent="0.3">
      <c r="A303">
        <v>91</v>
      </c>
      <c r="B303">
        <v>10</v>
      </c>
      <c r="C303">
        <v>27</v>
      </c>
      <c r="D303">
        <v>5</v>
      </c>
      <c r="E303">
        <v>1</v>
      </c>
      <c r="F303" s="3">
        <f>494+(67.2-60.2)+(-0.25194+(-0.034272--0.030702))+0-0-0</f>
        <v>500.74448999999998</v>
      </c>
      <c r="G303" s="3">
        <f>490+(59.2-67.7)+(-0.7497+(-0.090576--0.103581))+0-0-0</f>
        <v>480.763305</v>
      </c>
      <c r="H303" s="3">
        <f>472+(70.4-66.9)+(-0.72216+(-0.107712--0.102357))+0-0-0</f>
        <v>474.77248500000002</v>
      </c>
      <c r="I303" s="3">
        <f>458+(73.4-63.1)+(0.23358+(0.037434-0.032181))+0-0-0</f>
        <v>468.53883300000001</v>
      </c>
      <c r="J303" s="3">
        <f>458+(80.1-60.8)+(0+(0-0))+0-0-0</f>
        <v>477.3</v>
      </c>
      <c r="K303" s="3">
        <f>458+(121.2-51.2)+(0+(0-0))+0-0-0</f>
        <v>528</v>
      </c>
      <c r="L303" s="3">
        <f>457+(163.7-48.1)+(-0.46614+(-0.166974--0.049062))+0-0-0</f>
        <v>572.01594799999998</v>
      </c>
      <c r="M303" s="3">
        <f>461+(162.8-50.3)+(0.23511+(0.083028-0.025653))+0-0-0</f>
        <v>573.79248500000006</v>
      </c>
      <c r="N303" s="3">
        <f>517+(117.1-56.2)+(0.52734+(0.119442-0.057324))+0-0-0</f>
        <v>578.48945800000001</v>
      </c>
      <c r="O303" s="3">
        <f>531+(116.4-53.6)+(0.81243+(0.178092-0.082008))+0-0-0</f>
        <v>594.70851399999992</v>
      </c>
      <c r="P303" s="3">
        <f>558+(71.5-55.7)+(-0.56916+(-0.07293--0.056814))+0-0-0</f>
        <v>573.21472399999993</v>
      </c>
      <c r="Q303" s="3">
        <f>563+(75.8-58.7)+(0.57426+(0.077316-0.059874))+0-0-0</f>
        <v>580.69170200000008</v>
      </c>
      <c r="R303" s="3">
        <f>562+(86.9-55.8)+(-0.85986+(-0.132957--0.085374))+0-0-0</f>
        <v>592.19255700000008</v>
      </c>
      <c r="S303" s="3">
        <f>559+(66.5-60.7)+(0.28509+(0.033915-0.030957))+0-0-0</f>
        <v>565.08804799999996</v>
      </c>
      <c r="T303" s="3">
        <f>543+(63-61.6)+(-0.83079+(-0.09639--0.094248))+0-0-0</f>
        <v>543.56706799999995</v>
      </c>
      <c r="U303" s="3">
        <f>498+(104.2-46.4)+(-0.50796+(-0.106284--0.047328))+0-0-0</f>
        <v>555.23308399999996</v>
      </c>
      <c r="V303" s="3">
        <f>551+(86.8-63.7)+(-0.28101+(-0.044268--0.032487))+0-0-0</f>
        <v>573.80720900000006</v>
      </c>
      <c r="W303" s="3">
        <f>543+(152.3-50.3)+(0+(0-0))+0-0-0</f>
        <v>645</v>
      </c>
      <c r="X303" s="3">
        <f>542+(156.8-47.5)+(-0.82926+(-0.239904--0.072675))+0-0-0</f>
        <v>650.30351099999996</v>
      </c>
      <c r="Y303" s="3">
        <f>530+(157.3-43.7)+(-0.8109+(-0.240669--0.066861))+0-0-0</f>
        <v>642.61529200000007</v>
      </c>
      <c r="Z303" s="3">
        <f>520+(147-46.1)+(-0.5304+(-0.14994--0.047022))+0-0-0</f>
        <v>620.26668199999995</v>
      </c>
      <c r="AA303" s="3">
        <f>515+(124.9-51.8)+(-0.5253+(-0.127398--0.052836))+0-0-0</f>
        <v>587.50013799999999</v>
      </c>
      <c r="AB303" s="3">
        <f>512+(102.2-57.8)+(-0.78336+(-0.156366--0.088434))+0-0-0</f>
        <v>555.54870800000003</v>
      </c>
      <c r="AC303" s="3">
        <f>504+(92.3-63.8)+(-0.77112+(-0.141219--0.097614))+0-0-0</f>
        <v>531.68527500000005</v>
      </c>
      <c r="AD303" s="2">
        <v>640.70000000000005</v>
      </c>
      <c r="AE303" s="3">
        <v>5888.7000000000007</v>
      </c>
    </row>
    <row r="304" spans="1:31" s="2" customFormat="1" x14ac:dyDescent="0.3">
      <c r="A304">
        <v>91</v>
      </c>
      <c r="B304">
        <v>10</v>
      </c>
      <c r="C304">
        <v>28</v>
      </c>
      <c r="D304">
        <v>6</v>
      </c>
      <c r="E304">
        <v>1</v>
      </c>
      <c r="F304" s="3">
        <f>462+(102.3-55.6)+(-0.94248+(-0.208692--0.113424))+0-0-0</f>
        <v>507.66225199999997</v>
      </c>
      <c r="G304" s="3">
        <f>436+(107-49.6)+(0+(0-0))+0-0-0</f>
        <v>493.4</v>
      </c>
      <c r="H304" s="3">
        <f>431+(104.1-52.1)+(-1.09905+(-0.265455--0.132855))+0-0-0</f>
        <v>481.76835</v>
      </c>
      <c r="I304" s="3">
        <f>371+(139.6-33.5)+(-0.56763+(-0.213588--0.051255))+0-0-0</f>
        <v>476.37003700000002</v>
      </c>
      <c r="J304" s="3">
        <f>332+(169.4-25)+(0.16932+(0.086394-0.01275))+0-0-0</f>
        <v>476.64296399999995</v>
      </c>
      <c r="K304" s="3">
        <f>332+(243.2-27)+(0.67728+(0.496128-0.05508))+0-0-0</f>
        <v>549.31832800000007</v>
      </c>
      <c r="L304" s="3">
        <f>387+(196-33)+(-0.39474+(-0.19992--0.03366))+0-0-0</f>
        <v>549.43899999999996</v>
      </c>
      <c r="M304" s="3">
        <f>451+(163.9-41.8)+(-0.23001+(-0.083589--0.021318))+0-0-0</f>
        <v>572.80771900000002</v>
      </c>
      <c r="N304" s="3">
        <f>498+(133.6-40.6)+(0+(0-0))+0-0-0</f>
        <v>591</v>
      </c>
      <c r="O304" s="3">
        <f>503+(129.7-37.6)+(0.25653+(0.066147-0.019176))+0-0-0</f>
        <v>595.40350100000001</v>
      </c>
      <c r="P304" s="3">
        <f>509+(119.4-36.8)+(0.77877+(0.182682-0.056304))+0-0-0</f>
        <v>592.50514800000008</v>
      </c>
      <c r="Q304" s="3">
        <f>512+(113.1-38.6)+(-0.52224+(-0.115362--0.039372))+0-0-0</f>
        <v>585.90177000000006</v>
      </c>
      <c r="R304" s="3">
        <f>517+(115.4-38.1)+(-0.52734+(-0.117708--0.038862))+0-0-0</f>
        <v>593.69381399999997</v>
      </c>
      <c r="S304" s="3">
        <f>519+(99.9-44)+(-0.26469+(-0.050949--0.02244))+0-0-0</f>
        <v>574.60680100000002</v>
      </c>
      <c r="T304" s="3">
        <f>529+(82.8-50.3)+(0+(0-0))+0-0-0</f>
        <v>561.5</v>
      </c>
      <c r="U304" s="3">
        <f>542+(78.9-48.2)+(-0.55284+(-0.080478--0.049164))+0-0-0</f>
        <v>572.11584600000003</v>
      </c>
      <c r="V304" s="3">
        <f>546+(95.4-52.4)+(0+(0-0))+0-0-0</f>
        <v>589</v>
      </c>
      <c r="W304" s="3">
        <f>567+(137.5-57.8)+(-0.28917+(-0.070125--0.029478))+0-0-0</f>
        <v>646.370183</v>
      </c>
      <c r="X304" s="3">
        <f>567+(154.7-65.8)+(-0.86751+(-0.236691--0.100674))+0-0-0</f>
        <v>654.89647300000001</v>
      </c>
      <c r="Y304" s="3">
        <f>559+(136.5-69)+(-0.57018+(-0.13923--0.07038))+0-0-0</f>
        <v>625.86096999999995</v>
      </c>
      <c r="Z304" s="3">
        <f>554+(120.6-64.2)+(0.28254+(0.061506-0.032742))+0-0-0</f>
        <v>610.71130399999993</v>
      </c>
      <c r="AA304" s="3">
        <f>551+(102.4-70.9)+(-0.28101+(-0.052224--0.036159))+0-0-0</f>
        <v>582.20292500000005</v>
      </c>
      <c r="AB304" s="3">
        <f>549+(89.4-77.3)+(-1.39995+(-0.22797--0.197115))+0-0-0</f>
        <v>559.66919500000006</v>
      </c>
      <c r="AC304" s="3">
        <f>546+(88.1-84.6)+(-1.3923+(-0.224655--0.21573))+0-0-0</f>
        <v>548.09877500000005</v>
      </c>
      <c r="AD304" s="2">
        <v>665</v>
      </c>
      <c r="AE304" s="3">
        <v>5763.0999999999995</v>
      </c>
    </row>
    <row r="305" spans="1:31" s="2" customFormat="1" x14ac:dyDescent="0.3">
      <c r="A305">
        <v>91</v>
      </c>
      <c r="B305">
        <v>10</v>
      </c>
      <c r="C305">
        <v>29</v>
      </c>
      <c r="D305">
        <v>7</v>
      </c>
      <c r="E305">
        <v>1</v>
      </c>
      <c r="F305" s="3">
        <f>511+(91.8-81.9)+(-1.04244+(-0.187272--0.167076))+0-0-0</f>
        <v>519.83736399999998</v>
      </c>
      <c r="G305" s="3">
        <f>512+(78.7-86.9)+(-1.3056+(-0.200685--0.221595))+0-0-0</f>
        <v>502.51531</v>
      </c>
      <c r="H305" s="3">
        <f>474+(84.8-68)+(-0.96696+(-0.172992--0.13872))+0-0-0</f>
        <v>489.798768</v>
      </c>
      <c r="I305" s="3">
        <f>354+(151.7-28)+(0.18054+(0.077367-0.01428))+0-0-0</f>
        <v>477.94362699999999</v>
      </c>
      <c r="J305" s="3">
        <f>367+(150.7-28)+(-0.18717+(-0.076857--0.01428))+0-0-0</f>
        <v>489.45025299999998</v>
      </c>
      <c r="K305" s="3">
        <f>381+(182.6-38)+(0.38862+(0.186252-0.03876))+0-0-0</f>
        <v>526.13611200000003</v>
      </c>
      <c r="L305" s="3">
        <f>379+(211.4-44)+(-0.38658+(-0.215628--0.04488))+0-0-0</f>
        <v>545.84267199999999</v>
      </c>
      <c r="M305" s="3">
        <f>379+(219-43)+(-0.57987+(-0.33507--0.06579))+0-0-0</f>
        <v>554.15084999999999</v>
      </c>
      <c r="N305" s="3">
        <f>380+(235.2-40)+(-0.1938+(-0.119952--0.0204))+0-0-0</f>
        <v>574.90664800000002</v>
      </c>
      <c r="O305" s="3">
        <f>375+(242-37)+(0.3825+(0.24684-0.03774))+0-0-0</f>
        <v>580.59159999999997</v>
      </c>
      <c r="P305" s="3">
        <f>375+(242.1-37)+(0+(0-0))+0-0-0</f>
        <v>580.1</v>
      </c>
      <c r="Q305" s="3">
        <f>372+(248.5-37)+(-0.56916+(-0.380205--0.05661))+0-0-0</f>
        <v>582.60724500000003</v>
      </c>
      <c r="R305" s="3">
        <f>368+(247.2-37)+(0+(0-0))+0-0-0</f>
        <v>578.20000000000005</v>
      </c>
      <c r="S305" s="3">
        <f>368+(231.8-36)+(-0.18768+(-0.118218--0.01836))+0-0-0</f>
        <v>563.51246199999991</v>
      </c>
      <c r="T305" s="3">
        <f>368+(204.1-31)+(0.37536+(0.208182-0.03162))+0-0-0</f>
        <v>541.65192200000001</v>
      </c>
      <c r="U305" s="3">
        <f>369+(213.6-32)+(-0.37638+(-0.217872--0.03264))+0-0-0</f>
        <v>550.03838800000005</v>
      </c>
      <c r="V305" s="3">
        <f>374+(233.1-41)+(-0.19074+(-0.118881--0.02091))+0-0-0</f>
        <v>565.81128899999999</v>
      </c>
      <c r="W305" s="3">
        <f>398+(263.4-42)+(0.20298+(0.134334-0.02142))+0-0-0</f>
        <v>619.71589399999993</v>
      </c>
      <c r="X305" s="3">
        <f>427+(284.7-44)+(-0.43554+(-0.290394--0.04488))+0-0-0</f>
        <v>667.01894600000003</v>
      </c>
      <c r="Y305" s="3">
        <f>443+(245.2-44)+(0+(0-0))+0-0-0</f>
        <v>644.20000000000005</v>
      </c>
      <c r="Z305" s="3">
        <f>428+(216.5-43)+(-0.43656+(-0.22083--0.04386))+0-0-0</f>
        <v>600.88647000000003</v>
      </c>
      <c r="AA305" s="3">
        <f>426+(196.2-32)+(0.21726+(0.100062-0.01632))+0-0-0</f>
        <v>590.50100200000008</v>
      </c>
      <c r="AB305" s="3">
        <f>426+(176.1-30)+(0.43452+(0.179622-0.0306))+0-0-0</f>
        <v>572.68354199999999</v>
      </c>
      <c r="AC305" s="3">
        <f>397+(166.8-30)+(-0.40494+(-0.170136--0.0306))+0-0-0</f>
        <v>533.25552399999992</v>
      </c>
      <c r="AD305" s="2">
        <v>653</v>
      </c>
      <c r="AE305" s="3">
        <v>4713.1000000000004</v>
      </c>
    </row>
    <row r="306" spans="1:31" s="2" customFormat="1" x14ac:dyDescent="0.3">
      <c r="A306">
        <v>91</v>
      </c>
      <c r="B306">
        <v>10</v>
      </c>
      <c r="C306">
        <v>30</v>
      </c>
      <c r="D306">
        <v>1</v>
      </c>
      <c r="E306">
        <v>1</v>
      </c>
      <c r="F306" s="3">
        <f>389+(138-30)+(0+(0-0))+0-0-0</f>
        <v>497</v>
      </c>
      <c r="G306" s="3">
        <f>391+(127.8-31.1)+(0.19941+(0.065178-0.015861))+0-0-0</f>
        <v>487.94872699999996</v>
      </c>
      <c r="H306" s="3">
        <f>365+(137-29)+(-0.55845+(-0.20961--0.04437))+0-0-0</f>
        <v>472.27631000000002</v>
      </c>
      <c r="I306" s="3">
        <f>341+(158.6-29)+(0.34782+(0.161772-0.02958))+0-0-0</f>
        <v>471.08001200000001</v>
      </c>
      <c r="J306" s="3">
        <f>339+(167.7-30)+(0.34578+(0.171054-0.0306))+0-0-0</f>
        <v>477.18623400000001</v>
      </c>
      <c r="K306" s="3">
        <f>360+(193-32)+(0.3672+(0.19686-0.03264))+0-0-0</f>
        <v>521.53142000000003</v>
      </c>
      <c r="L306" s="3">
        <f>397+(224.5-43)+(0+(0-0))+0-0-0</f>
        <v>578.5</v>
      </c>
      <c r="M306" s="3">
        <f>398+(209.5-42)+(-0.20298+(-0.106845--0.02142))+0-0-0</f>
        <v>565.21159499999999</v>
      </c>
      <c r="N306" s="3">
        <f>424+(184.4-38)+(0.21624+(0.094044-0.01938))+0-0-0</f>
        <v>570.69090399999993</v>
      </c>
      <c r="O306" s="3">
        <f>540+(106.6-69.4)+(0+(0-0))+0-0-0</f>
        <v>577.20000000000005</v>
      </c>
      <c r="P306" s="3">
        <f>536+(105.2-66.2)+(0+(0-0))+0-0-0</f>
        <v>575</v>
      </c>
      <c r="Q306" s="3">
        <f>533+(102.9-65.9)+(-0.27183+(-0.052479--0.033609))+0-0-0</f>
        <v>569.70929999999998</v>
      </c>
      <c r="R306" s="3">
        <f>513+(87.9-76)+(-0.78489+(-0.134487--0.11628))+40.5-0-0</f>
        <v>564.596903</v>
      </c>
      <c r="S306" s="3">
        <f>495+(58.7-90.6)+(-0.25245+(-0.029937--0.046206))+86.4-0-0</f>
        <v>549.26381900000001</v>
      </c>
      <c r="T306" s="3">
        <f>517+(77.8-81.9)+(-0.52734+(-0.079356--0.083538))+0-0-0</f>
        <v>512.37684200000001</v>
      </c>
      <c r="U306" s="3">
        <f>520+(79.8-81.6)+(0.5304+(0.081396-0.083232))+0-0-0</f>
        <v>518.72856400000001</v>
      </c>
      <c r="V306" s="3">
        <f>521+(98.5-75.7)+(-0.26571+(-0.050235--0.038607))+0-0-0</f>
        <v>543.52266199999997</v>
      </c>
      <c r="W306" s="3">
        <f>522+(152.2-62.1)+(0+(0-0))+0-0-0</f>
        <v>612.1</v>
      </c>
      <c r="X306" s="3">
        <f>526+(168.2-58.4)+(-0.26826+(-0.085782--0.029784))+0-0-0</f>
        <v>635.47574199999997</v>
      </c>
      <c r="Y306" s="3">
        <f>525+(158.5-56.8)+(-0.80325+(-0.242505--0.086904))+0-0-0</f>
        <v>625.74114900000006</v>
      </c>
      <c r="Z306" s="3">
        <f>527+(141.7-63.2)+(0+(0-0))+0-0-0</f>
        <v>605.5</v>
      </c>
      <c r="AA306" s="3">
        <f>527+(115.5-65.5)+(0+(0-0))+0-0-0</f>
        <v>577</v>
      </c>
      <c r="AB306" s="3">
        <f>526+(94.9-70.2)+(-1.07304+(-0.193596--0.143208))+0-0-0</f>
        <v>549.57657200000006</v>
      </c>
      <c r="AC306" s="3">
        <f>526+(85.3-84.1)+(-1.3413+(-0.217515--0.214455))+0-0-0</f>
        <v>525.85563999999999</v>
      </c>
      <c r="AD306" s="2">
        <v>627.5</v>
      </c>
      <c r="AE306" s="3">
        <v>5847.8</v>
      </c>
    </row>
    <row r="307" spans="1:31" s="2" customFormat="1" x14ac:dyDescent="0.3">
      <c r="A307">
        <v>91</v>
      </c>
      <c r="B307">
        <v>11</v>
      </c>
      <c r="C307">
        <v>1</v>
      </c>
      <c r="D307">
        <v>2</v>
      </c>
      <c r="E307">
        <v>1</v>
      </c>
      <c r="F307" s="3">
        <f>468+(97.2-67.2)+(0+(0-0))+0-0-0</f>
        <v>498</v>
      </c>
      <c r="G307" s="3">
        <f>440+(112-69.2)+(0.2244+(0.05712-0.035292))+0-0-0</f>
        <v>483.04622799999999</v>
      </c>
      <c r="H307" s="3">
        <f>434+(111.2-68.3)+(0+(0-0))+0-0-0</f>
        <v>476.9</v>
      </c>
      <c r="I307" s="3">
        <f>433+(108.8-70.3)+(-0.66249+(-0.166464--0.107559))+0-0-0</f>
        <v>470.77860500000003</v>
      </c>
      <c r="J307" s="3">
        <f>432+(117.3-70)+(-0.88128+(-0.239292--0.1428))+0-0-0</f>
        <v>478.322228</v>
      </c>
      <c r="K307" s="3">
        <f>452+(145.7-63.5)+(0.92208+(0.297228-0.12954))+0-0-0</f>
        <v>535.28976800000009</v>
      </c>
      <c r="L307" s="3">
        <f>454+(178.8-48.4)+(-0.23154+(-0.091188--0.024684))+0-0-0</f>
        <v>584.10195599999997</v>
      </c>
      <c r="M307" s="3">
        <f>467+(174.3-51)+(-0.47634+(-0.177786--0.05202))+0-0-0</f>
        <v>589.69789399999991</v>
      </c>
      <c r="N307" s="3">
        <f>473+(169.4-52.4)+(-0.24123+(-0.086394--0.026724))+0-0-0</f>
        <v>589.69910000000004</v>
      </c>
      <c r="O307" s="3">
        <f>474+(153.3-52.8)+(0.72522+(0.234549-0.080784))+0-0-0</f>
        <v>575.37898499999994</v>
      </c>
      <c r="P307" s="3">
        <f>474+(148.3-56.8)+(0.48348+(0.151266-0.057936))+0-0-0</f>
        <v>566.07681000000002</v>
      </c>
      <c r="Q307" s="3">
        <f>474+(143.5-56)+(-0.48348+(-0.14637--0.05712))+0-0-0</f>
        <v>560.92727000000002</v>
      </c>
      <c r="R307" s="3">
        <f>471+(139.5-55.2)+(-0.96084+(-0.28458--0.112608))+0-0-0</f>
        <v>554.16718800000001</v>
      </c>
      <c r="S307" s="3">
        <f>473+(116-58.4)+(0.48246+(0.11832-0.059568))+0-0-0</f>
        <v>531.141212</v>
      </c>
      <c r="T307" s="3">
        <f>473+(103.8-59)+(0.24123+(0.052938-0.03009))+0-0-0</f>
        <v>518.06407799999999</v>
      </c>
      <c r="U307" s="3">
        <f>471+(124.3-76.4)+(-1.20105+(-0.316965--0.19482))+0-0-0</f>
        <v>517.57680499999992</v>
      </c>
      <c r="V307" s="3">
        <f>495+(119.1-65.9)+(0.25245+(0.060741-0.033609))+0-0-0</f>
        <v>548.47958200000005</v>
      </c>
      <c r="W307" s="3">
        <f>497+(179.5-46.4)+(0.76041+(0.274635-0.070992))+0-0-0</f>
        <v>631.06405300000006</v>
      </c>
      <c r="X307" s="3">
        <f>493+(187.2-44.6)+(-0.25143+(-0.095472--0.022746))+0-0-0</f>
        <v>635.27584400000001</v>
      </c>
      <c r="Y307" s="3">
        <f>494+(175.6-50.5)+(-0.75582+(-0.268668--0.077265))+0-0-0</f>
        <v>618.15277700000001</v>
      </c>
      <c r="Z307" s="3">
        <f>494+(154.7-48.5)+(-0.75582+(-0.236691--0.074205))+0-0-0</f>
        <v>599.28169400000002</v>
      </c>
      <c r="AA307" s="3">
        <f>493+(135.4-52.7)+(-1.00572+(-0.276216--0.107508))+0-0-0</f>
        <v>574.52557200000001</v>
      </c>
      <c r="AB307" s="3">
        <f>494+(113.9-58.8)+(-0.75582+(-0.174267--0.089964))+0-0-0</f>
        <v>548.25987700000007</v>
      </c>
      <c r="AC307" s="3">
        <f>494+(90.3-66.2)+(-0.25194+(-0.046053--0.033762))+0-0-0</f>
        <v>517.83576900000003</v>
      </c>
      <c r="AD307" s="2">
        <v>646.70000000000005</v>
      </c>
      <c r="AE307" s="3">
        <v>5844.9999999999991</v>
      </c>
    </row>
    <row r="308" spans="1:31" s="2" customFormat="1" x14ac:dyDescent="0.3">
      <c r="A308">
        <v>91</v>
      </c>
      <c r="B308">
        <v>11</v>
      </c>
      <c r="C308">
        <v>2</v>
      </c>
      <c r="D308">
        <v>3</v>
      </c>
      <c r="E308">
        <v>1</v>
      </c>
      <c r="F308" s="3">
        <f>459+(82.7-53.3)+(0+(0-0))+0-0-0</f>
        <v>488.4</v>
      </c>
      <c r="G308" s="3">
        <f>421+(87-41.4)+(-0.85884+(-0.17748--0.084456))+0-0-0</f>
        <v>465.64813600000002</v>
      </c>
      <c r="H308" s="3">
        <f>367+(109.3-29)+(0.37434+(0.111486-0.02958))+0-0-0</f>
        <v>447.75624600000003</v>
      </c>
      <c r="I308" s="3">
        <f>367+(108-30)+(0.18717+(0.05508-0.0153))+0-0-0</f>
        <v>445.22694999999999</v>
      </c>
      <c r="J308" s="3">
        <f>367+(120.2-31)+(-0.18717+(-0.061302--0.01581))+0-0-0</f>
        <v>455.96733799999998</v>
      </c>
      <c r="K308" s="3">
        <f>367+(178-37)+(0.18717+(0.09078-0.01887))+0-0-0</f>
        <v>508.25907999999998</v>
      </c>
      <c r="L308" s="3">
        <f>450+(189.7-46)+(0+(0-0))+0-0-0</f>
        <v>593.70000000000005</v>
      </c>
      <c r="M308" s="3">
        <f>489+(154.5-42.8)+(0.99756+(0.31518-0.087312))+0-0-0</f>
        <v>601.92542800000001</v>
      </c>
      <c r="N308" s="3">
        <f>461+(128.5-33)+(0.47022+(0.13107-0.03366))+0-0-0</f>
        <v>557.06763000000001</v>
      </c>
      <c r="O308" s="3">
        <f>461+(120.2-34.1)+(-0.47022+(-0.122604--0.034782))+0-0-0</f>
        <v>546.54195800000002</v>
      </c>
      <c r="P308" s="3">
        <f>462+(108.5-38.1)+(0.23562+(0.055335-0.019431))+0-0-0</f>
        <v>532.67152399999998</v>
      </c>
      <c r="Q308" s="3">
        <f>460+(104.8-35.6)+(-0.2346+(-0.053448--0.018156))+0-0-0</f>
        <v>528.93010800000002</v>
      </c>
      <c r="R308" s="3">
        <f>454+(109-33.3)+(-0.92616+(-0.22236--0.067932))+0-0-0</f>
        <v>528.61941200000001</v>
      </c>
      <c r="S308" s="3">
        <f>438+(112-35.9)+(-0.89352+(-0.22848--0.073236))+0-0-0</f>
        <v>513.05123600000002</v>
      </c>
      <c r="T308" s="3">
        <f>441+(113.4-42.2)+(-0.44982+(-0.115668--0.043044))+0-0-0</f>
        <v>511.67755600000004</v>
      </c>
      <c r="U308" s="3">
        <f>442+(113.3-44)+(-0.45084+(-0.115566--0.04488))+0-0-0</f>
        <v>510.77847400000002</v>
      </c>
      <c r="V308" s="3">
        <f>510+(95.5-65.1)+(0+(0-0))+0-0-0</f>
        <v>540.4</v>
      </c>
      <c r="W308" s="3">
        <f>510+(162.6-54.3)+(0.5202+(0.165852-0.055386))+0-0-0</f>
        <v>618.93066599999997</v>
      </c>
      <c r="X308" s="3">
        <f>521+(168.7-57.5)+(0+(0-0))+0-0-0</f>
        <v>632.20000000000005</v>
      </c>
      <c r="Y308" s="3">
        <f>526+(155.5-62.7)+(-0.53652+(-0.15861--0.063954))+0-0-0</f>
        <v>618.16882399999997</v>
      </c>
      <c r="Z308" s="3">
        <f>523+(134.8-58.8)+(-1.33365+(-0.34374--0.14994))+0-0-0</f>
        <v>597.47254999999996</v>
      </c>
      <c r="AA308" s="3">
        <f>524+(110.2-63)+(-0.26724+(-0.056202--0.03213))+0-0-0</f>
        <v>570.9086880000001</v>
      </c>
      <c r="AB308" s="3">
        <f>523+(91.4-70.3)+(-0.80019+(-0.139842--0.107559))+0-0-0</f>
        <v>543.26752699999997</v>
      </c>
      <c r="AC308" s="3">
        <f>523+(72.6-81.7)+(-0.53346+(-0.074052--0.083334))+0-0-0</f>
        <v>513.37582199999997</v>
      </c>
      <c r="AD308" s="2">
        <v>619.20000000000005</v>
      </c>
      <c r="AE308" s="3">
        <v>5768.7</v>
      </c>
    </row>
    <row r="309" spans="1:31" s="2" customFormat="1" x14ac:dyDescent="0.3">
      <c r="A309">
        <v>91</v>
      </c>
      <c r="B309">
        <v>11</v>
      </c>
      <c r="C309">
        <v>3</v>
      </c>
      <c r="D309">
        <v>4</v>
      </c>
      <c r="E309">
        <v>1</v>
      </c>
      <c r="F309" s="3">
        <f>451+(84-55)+(-0.92004+(-0.17136--0.1122))+0-0-0</f>
        <v>479.02080000000001</v>
      </c>
      <c r="G309" s="3">
        <f>349+(136-28)+(-0.53397+(-0.20808--0.04284))+0-0-0</f>
        <v>456.30079000000001</v>
      </c>
      <c r="H309" s="3">
        <f>347+(127.1-28)+(-0.17697+(-0.064821--0.01428))+0-0-0</f>
        <v>445.87248900000003</v>
      </c>
      <c r="I309" s="3">
        <f>347+(125-30)+(-0.17697+(-0.06375--0.0153))+0-0-0</f>
        <v>441.77458000000001</v>
      </c>
      <c r="J309" s="3">
        <f>348+(132.3-32)+(-0.35496+(-0.134946--0.03264))+0-0-0</f>
        <v>447.84273400000001</v>
      </c>
      <c r="K309" s="3">
        <f>349+(186.5-39)+(0.35598+(0.19023-0.03978))+0-0-0</f>
        <v>497.00643000000002</v>
      </c>
      <c r="L309" s="3">
        <f>347+(237.9-37)+(-0.35394+(-0.242658--0.03774))+0-0-0</f>
        <v>547.34114199999999</v>
      </c>
      <c r="M309" s="3">
        <f>345+(234.5-35)+(0.52785+(0.358785-0.05355))+0-0-0</f>
        <v>545.33308499999998</v>
      </c>
      <c r="N309" s="3">
        <f>398+(174.1-28)+(0.60894+(0.266373-0.04284))+0-0-0</f>
        <v>544.93247300000007</v>
      </c>
      <c r="O309" s="3">
        <f>462+(109.8-35.9)+(0.23562+(0.055998-0.018309))+0-0-0</f>
        <v>536.17330900000002</v>
      </c>
      <c r="P309" s="3">
        <f>460+(105.6-35.8)+(0.2346+(0.053856-0.018258))+0-0-0</f>
        <v>530.070198</v>
      </c>
      <c r="Q309" s="3">
        <f>535+(62.4-66.2)+(-1.90995+(-0.222768--0.236334))+0-0-0</f>
        <v>529.30361600000003</v>
      </c>
      <c r="R309" s="3">
        <f>535+(60.7-67)+(-0.81855+(-0.092871--0.10251))+0-0-0</f>
        <v>527.89108900000008</v>
      </c>
      <c r="S309" s="3">
        <f>532+(52.4-71.5)+(-1.62792+(-0.160344--0.21879))+0-0-0</f>
        <v>511.33052599999996</v>
      </c>
      <c r="T309" s="3">
        <f>520+(66-80.5)+(0+(0-0))+0-0-0</f>
        <v>505.5</v>
      </c>
      <c r="U309" s="3">
        <f>516+(71.1-79.4)+(-0.52632+(-0.072522--0.080988))+0-0-0</f>
        <v>507.18214599999999</v>
      </c>
      <c r="V309" s="3">
        <f>524+(85.2-67.6)+(0+(0-0))+0-0-0</f>
        <v>541.6</v>
      </c>
      <c r="W309" s="3">
        <f>524+(146.7-63.2)+(0.26724+(0.074817-0.032232))+0-0-0</f>
        <v>607.80982500000005</v>
      </c>
      <c r="X309" s="3">
        <f>524+(162-57.6)+(0+(0-0))+0-0-0</f>
        <v>628.4</v>
      </c>
      <c r="Y309" s="3">
        <f>479+(173.6-42.8)+(-0.97716+(-0.354144--0.087312))+0-0-0</f>
        <v>608.55600799999991</v>
      </c>
      <c r="Z309" s="3">
        <f>445+(181.8-36)+(-0.4539+(-0.185436--0.03672))+0-0-0</f>
        <v>590.19738399999994</v>
      </c>
      <c r="AA309" s="3">
        <f>417+(181.4-34)+(-1.27602+(-0.555084--0.10404))+0-0-0</f>
        <v>562.67293599999994</v>
      </c>
      <c r="AB309" s="3">
        <f>407+(162.7-31)+(-0.83028+(-0.331908--0.06324))+0-0-0</f>
        <v>537.6010520000001</v>
      </c>
      <c r="AC309" s="3">
        <f>407+(132.3-30)+(-1.03785+(-0.337365--0.0765))+0-0-0</f>
        <v>508.001285</v>
      </c>
      <c r="AD309" s="2">
        <v>630.90000000000009</v>
      </c>
      <c r="AE309" s="3">
        <v>5761.2</v>
      </c>
    </row>
    <row r="310" spans="1:31" s="2" customFormat="1" x14ac:dyDescent="0.3">
      <c r="A310">
        <v>91</v>
      </c>
      <c r="B310">
        <v>11</v>
      </c>
      <c r="C310">
        <v>4</v>
      </c>
      <c r="D310">
        <v>5</v>
      </c>
      <c r="E310">
        <v>1</v>
      </c>
      <c r="F310" s="3">
        <f>384+(126.1-32.6)+(-0.9792+(-0.321555--0.08313))+0-0-0</f>
        <v>476.282375</v>
      </c>
      <c r="G310" s="3">
        <f>342+(144.7-30)+(-0.34884+(-0.147594--0.0306))+0-0-0</f>
        <v>456.23416600000002</v>
      </c>
      <c r="H310" s="3">
        <f>341+(135.7-31)+(-0.86955+(-0.346035--0.07905))+0-0-0</f>
        <v>444.56346500000001</v>
      </c>
      <c r="I310" s="3">
        <f>341+(133-31)+(0.52173+(0.20349-0.04743))+0-0-0</f>
        <v>443.67779000000002</v>
      </c>
      <c r="J310" s="3">
        <f>341+(142.1-33)+(0.52173+(0.217413-0.05049))+0-0-0</f>
        <v>450.78865300000001</v>
      </c>
      <c r="K310" s="3">
        <f>341+(198.4-35)+(0+(0-0))+0-0-0</f>
        <v>504.4</v>
      </c>
      <c r="L310" s="3">
        <f>341+(248.6-41)+(0+(0-0))+0-0-0</f>
        <v>548.6</v>
      </c>
      <c r="M310" s="3">
        <f>356+(216.9-37)+(-0.18156+(-0.110619--0.01887))+14.7-0-0</f>
        <v>550.32669099999998</v>
      </c>
      <c r="N310" s="3">
        <f>423+(151-40.2)+(-0.21573+(-0.07701--0.020502))+16-0-0</f>
        <v>549.52776199999994</v>
      </c>
      <c r="O310" s="3">
        <f>423+(143.8-35)+(-0.21573+(-0.073338--0.01785))+12.8-0-0</f>
        <v>544.32878199999993</v>
      </c>
      <c r="P310" s="3">
        <f>442+(136.3-40.3)+(0.45084+(0.139026-0.041106))+0-0-0</f>
        <v>538.54876000000002</v>
      </c>
      <c r="Q310" s="3">
        <f>447+(126.9-44.1)+(-0.22797+(-0.064719--0.022491))+0-0-0</f>
        <v>529.5298019999999</v>
      </c>
      <c r="R310" s="3">
        <f>446+(127-44.8)+(-0.90984+(-0.25908--0.091392))+0-0-0</f>
        <v>527.12247200000002</v>
      </c>
      <c r="S310" s="3">
        <f>448+(104.7-50.1)+(0+(0-0))+0-0-0</f>
        <v>502.6</v>
      </c>
      <c r="T310" s="3">
        <f>458+(91.6-56.1)+(0.23358+(0.046716-0.028611))+0-0-0</f>
        <v>493.75168500000001</v>
      </c>
      <c r="U310" s="3">
        <f>462+(89.1-57.1)+(-1.1781+(-0.227205--0.145605))+0-0-0</f>
        <v>492.74029999999999</v>
      </c>
      <c r="V310" s="3">
        <f>471+(103-55.8)+(-0.48042+(-0.10506--0.056916))+0-0-0</f>
        <v>517.67143600000009</v>
      </c>
      <c r="W310" s="3">
        <f>474+(166.1-49.2)+(0.72522+(0.254133-0.075276))+0-0-0</f>
        <v>591.80407700000001</v>
      </c>
      <c r="X310" s="3">
        <f>510+(158.3-54.8)+(-0.2601+(-0.080733--0.027948))+0-0-0</f>
        <v>613.18711499999995</v>
      </c>
      <c r="Y310" s="3">
        <f>509+(143.9-54.4)+(-0.25959+(-0.073389--0.027744))+0-0-0</f>
        <v>598.19476499999996</v>
      </c>
      <c r="Z310" s="3">
        <f>484+(144.5-50.9)+(-0.24684+(-0.073695--0.025959))+0-0-0</f>
        <v>577.30542400000002</v>
      </c>
      <c r="AA310" s="3">
        <f>437+(151.5-40)+(-0.66861+(-0.231795--0.0612))+0-0-0</f>
        <v>547.66079500000001</v>
      </c>
      <c r="AB310" s="3">
        <f>436+(130.4-44.3)+(-1.1118+(-0.33252--0.112965))+0-0-0</f>
        <v>520.76864499999999</v>
      </c>
      <c r="AC310" s="3">
        <f>434+(108.2-49)+(-1.1067+(-0.27591--0.12495))+0-0-0</f>
        <v>491.94234</v>
      </c>
      <c r="AD310" s="2">
        <v>613.19999999999993</v>
      </c>
      <c r="AE310" s="3">
        <v>5751.1</v>
      </c>
    </row>
    <row r="311" spans="1:31" s="2" customFormat="1" x14ac:dyDescent="0.3">
      <c r="A311">
        <v>91</v>
      </c>
      <c r="B311">
        <v>11</v>
      </c>
      <c r="C311">
        <v>5</v>
      </c>
      <c r="D311">
        <v>6</v>
      </c>
      <c r="E311">
        <v>1</v>
      </c>
      <c r="F311" s="3">
        <f>388+(101.4-49.6)+(-0.19788+(-0.051714--0.025296))+0-0-0</f>
        <v>439.57570200000004</v>
      </c>
      <c r="G311" s="3">
        <f>370+(124.6-47)+(-0.7548+(-0.254184--0.09588))+0-0-0</f>
        <v>446.68689600000005</v>
      </c>
      <c r="H311" s="3">
        <f>373+(107.5-50.2)+(0+(0-0))+0-0-0</f>
        <v>430.3</v>
      </c>
      <c r="I311" s="3">
        <f>355+(117.3-45)+(-0.54315+(-0.179469--0.06885))+0-0-0</f>
        <v>426.646231</v>
      </c>
      <c r="J311" s="3">
        <f>284+(176.1-29)+(0.14484+(0.089811-0.01479))+0-0-0</f>
        <v>431.319861</v>
      </c>
      <c r="K311" s="3">
        <f>285+(223.6-36)+(0.2907+(0.228072-0.03672))+0-0-0</f>
        <v>473.08205200000003</v>
      </c>
      <c r="L311" s="3">
        <f>319+(227.5-41)+(0+(0-0))+0-0-0</f>
        <v>505.5</v>
      </c>
      <c r="M311" s="3">
        <f>413+(171.3-53.8)+(0.42126+(0.174726-0.054876))+0-0-0</f>
        <v>531.04111</v>
      </c>
      <c r="N311" s="3">
        <f>425+(159.3-51.6)+(0.21675+(0.081243-0.026316))+0-0-0</f>
        <v>532.971677</v>
      </c>
      <c r="O311" s="3">
        <f>463+(108.8-55.7)+(0+(0-0))+0-0-0</f>
        <v>516.1</v>
      </c>
      <c r="P311" s="3">
        <f>463+(106.1-54.4)+(0.23613+(0.054111-0.027744))+0-0-0</f>
        <v>514.9624970000001</v>
      </c>
      <c r="Q311" s="3">
        <f>463+(106.2-53.1)+(-0.70839+(-0.162486--0.081243))+0-0-0</f>
        <v>515.31036700000004</v>
      </c>
      <c r="R311" s="3">
        <f>458+(101.5-51.9)+(-0.93432+(-0.20706--0.105876))+0-0-0</f>
        <v>506.56449600000002</v>
      </c>
      <c r="S311" s="3">
        <f>440+(108.6-50.5)+(-0.2244+(-0.055386--0.025755))+0-0-0</f>
        <v>497.84596900000003</v>
      </c>
      <c r="T311" s="3">
        <f>410+(124.6-48)+(-0.8364+(-0.254184--0.09792))+0-0-0</f>
        <v>485.60733600000003</v>
      </c>
      <c r="U311" s="3">
        <f>409+(122.3-47.5)+(-1.25154+(-0.374238--0.14535))+0-0-0</f>
        <v>482.31957199999999</v>
      </c>
      <c r="V311" s="3">
        <f>416+(133.9-48.2)+(0.21216+(0.068289-0.024582))+0-0-0</f>
        <v>501.95586700000001</v>
      </c>
      <c r="W311" s="3">
        <f>423+(183.1-45.7)+(0.43146+(0.186762-0.046614))+0-0-0</f>
        <v>560.97160799999995</v>
      </c>
      <c r="X311" s="3">
        <f>467+(168.1-54.7)+(0.23817+(0.085731-0.027897))+0-0-0</f>
        <v>580.69600400000002</v>
      </c>
      <c r="Y311" s="3">
        <f>450+(169.3-51.9)+(-1.1475+(-0.431715--0.132345))+0-0-0</f>
        <v>565.95312999999999</v>
      </c>
      <c r="Z311" s="3">
        <f>415+(172.6-47)+(-0.8466+(-0.352104--0.09588))+0-0-0</f>
        <v>539.49717599999997</v>
      </c>
      <c r="AA311" s="3">
        <f>417+(148.7-50.2)+(0.42534+(0.151674-0.051204))+0-0-0</f>
        <v>516.02580999999998</v>
      </c>
      <c r="AB311" s="3">
        <f>414+(131.9-51.4)+(-0.63342+(-0.201807--0.078642))+0-0-0</f>
        <v>493.74341500000003</v>
      </c>
      <c r="AC311" s="3">
        <f>415+(112.3-53.8)+(0+(0-0))+0-0-0</f>
        <v>473.5</v>
      </c>
      <c r="AD311" s="2">
        <v>581</v>
      </c>
      <c r="AE311" s="3">
        <v>5581.5000000000009</v>
      </c>
    </row>
    <row r="312" spans="1:31" s="2" customFormat="1" x14ac:dyDescent="0.3">
      <c r="A312">
        <v>91</v>
      </c>
      <c r="B312">
        <v>11</v>
      </c>
      <c r="C312">
        <v>6</v>
      </c>
      <c r="D312">
        <v>7</v>
      </c>
      <c r="E312">
        <v>1</v>
      </c>
      <c r="F312" s="3">
        <f>367+(118.7-41.7)+(-0.37434+(-0.121074--0.042534))+0-0-0</f>
        <v>443.54712000000001</v>
      </c>
      <c r="G312" s="3">
        <f>333+(119.9-32.1)+(-0.67932+(-0.244596--0.065484))+0-0-0</f>
        <v>419.94156800000002</v>
      </c>
      <c r="H312" s="3">
        <f>284+(155.2-29)+(-0.57936+(-0.316608--0.05916))+0-0-0</f>
        <v>409.36319199999997</v>
      </c>
      <c r="I312" s="3">
        <f>284+(155.4-30)+(-0.14484+(-0.079254--0.0153))+0-0-0</f>
        <v>409.19120599999997</v>
      </c>
      <c r="J312" s="3">
        <f>284+(162.9-34)+(0+(0-0))+0-0-0</f>
        <v>412.9</v>
      </c>
      <c r="K312" s="3">
        <f>284+(205.7-40)+(0.43452+(0.314721-0.0612))+0-0-0</f>
        <v>450.38804099999999</v>
      </c>
      <c r="L312" s="3">
        <f>283+(245.4-42)+(-0.72165+(-0.62577--0.1071))+0-0-0</f>
        <v>485.15967999999998</v>
      </c>
      <c r="M312" s="3">
        <f>294+(239.1-42)+(-0.7497+(-0.609705--0.1071))+0-0-0</f>
        <v>489.84769500000004</v>
      </c>
      <c r="N312" s="3">
        <f>411+(170.3-65.8)+(0.20961+(0.086853-0.033558))+0-0-0</f>
        <v>515.76290500000005</v>
      </c>
      <c r="O312" s="3">
        <f>482+(118-82.4)+(-0.73746+(-0.18054--0.126072))+0-0-0</f>
        <v>516.80807200000004</v>
      </c>
      <c r="P312" s="3">
        <f>496+(103.3-81)+(0+(0-0))+0-0-0</f>
        <v>518.29999999999995</v>
      </c>
      <c r="Q312" s="3">
        <f>493+(95.5-77.9)+(-0.25143+(-0.048705--0.039729))+0-0-0</f>
        <v>510.33959400000003</v>
      </c>
      <c r="R312" s="3">
        <f>489+(82.6-70.9)+(-0.49878+(-0.084252--0.072318))+0-0-0</f>
        <v>500.18928599999998</v>
      </c>
      <c r="S312" s="3">
        <f>490+(63.3-61.5)+(-0.4998+(-0.064566--0.06273))+0-0-0</f>
        <v>491.29836399999999</v>
      </c>
      <c r="T312" s="3">
        <f>491+(55.9-69)+(-0.25041+(-0.028509--0.03519))+0-0-0</f>
        <v>477.656271</v>
      </c>
      <c r="U312" s="3">
        <f>489+(63.2-65.5)+(-0.74817+(-0.096696--0.100215))+0-0-0</f>
        <v>485.95534900000001</v>
      </c>
      <c r="V312" s="3">
        <f>498+(71.4-64.3)+(-0.25398+(-0.036414--0.032793))+0-0-0</f>
        <v>504.842399</v>
      </c>
      <c r="W312" s="3">
        <f>500+(130.5-55.8)+(0+(0-0))+0-0-0</f>
        <v>574.70000000000005</v>
      </c>
      <c r="X312" s="3">
        <f>500+(146-57.8)+(-0.51+(-0.14892--0.058956))+0-0-0</f>
        <v>587.60003600000005</v>
      </c>
      <c r="Y312" s="3">
        <f>493+(136.9-51.9)+(-1.50858+(-0.418914--0.158814))+0-0-0</f>
        <v>576.23131999999998</v>
      </c>
      <c r="Z312" s="3">
        <f>458+(152.5-50.1)+(-1.1679+(-0.388875--0.127755))+0-0-0</f>
        <v>558.97097999999994</v>
      </c>
      <c r="AA312" s="3">
        <f>446+(145.6-57.9)+(-0.90984+(-0.297024--0.118116))+0-0-0</f>
        <v>532.61125200000004</v>
      </c>
      <c r="AB312" s="3">
        <f>408+(138.3-47.6)+(-0.41616+(-0.141066--0.048552))+0-0-0</f>
        <v>498.19132600000006</v>
      </c>
      <c r="AC312" s="3">
        <f>376+(124.8-40.3)+(-0.76704+(-0.254592--0.082212))+0-0-0</f>
        <v>459.56058000000002</v>
      </c>
      <c r="AD312" s="2">
        <v>573.20000000000005</v>
      </c>
      <c r="AE312" s="3">
        <v>4452.9999999999991</v>
      </c>
    </row>
    <row r="313" spans="1:31" s="2" customFormat="1" x14ac:dyDescent="0.3">
      <c r="A313">
        <v>91</v>
      </c>
      <c r="B313">
        <v>11</v>
      </c>
      <c r="C313">
        <v>7</v>
      </c>
      <c r="D313">
        <v>1</v>
      </c>
      <c r="E313">
        <v>1</v>
      </c>
      <c r="F313" s="3">
        <f>375+(104.1-41)+(-0.19125+(-0.053091--0.02091))+0-0-0</f>
        <v>437.87656900000002</v>
      </c>
      <c r="G313" s="3">
        <f>343+(105-33.3)+(-0.52479+(-0.16065--0.050949))+0-0-0</f>
        <v>414.06550899999996</v>
      </c>
      <c r="H313" s="3">
        <f>329+(105.8-30.3)+(-0.33558+(-0.107916--0.030906))+0-0-0</f>
        <v>404.08740999999998</v>
      </c>
      <c r="I313" s="3">
        <f>329+(106-30.7)+(-0.67116+(-0.21624--0.062628))+0-0-0</f>
        <v>403.47522800000002</v>
      </c>
      <c r="J313" s="3">
        <f>318+(123.3-25)+(-0.16218+(-0.062883--0.01275))+0-0-0</f>
        <v>416.08768700000002</v>
      </c>
      <c r="K313" s="3">
        <f>287+(213.2-37)+(0.58548+(0.434928-0.07548))+0-0-0</f>
        <v>464.14492799999999</v>
      </c>
      <c r="L313" s="3">
        <f>311+(280.6-40)+(0+(0-0))+0-0-0</f>
        <v>551.6</v>
      </c>
      <c r="M313" s="3">
        <f>367+(214-35)+(-0.18717+(-0.10914--0.01785))+0-0-0</f>
        <v>545.72154</v>
      </c>
      <c r="N313" s="3">
        <f>367+(207.6-30)+(-0.18717+(-0.105876--0.0153))+0-0-0</f>
        <v>544.32225400000004</v>
      </c>
      <c r="O313" s="3">
        <f>367+(198.4-34.4)+(0+(0-0))+0-0-0</f>
        <v>531</v>
      </c>
      <c r="P313" s="3">
        <f>364+(191.9-36)+(0.18564+(0.097869-0.01836))+0-0-0</f>
        <v>520.16514899999993</v>
      </c>
      <c r="Q313" s="3">
        <f>362+(189.2-32)+(-0.36924+(-0.192984--0.03264))+0-0-0</f>
        <v>518.67041600000005</v>
      </c>
      <c r="R313" s="3">
        <f>358+(186.8-31)+(-1.09548+(-0.571608--0.09486))+0-0-0</f>
        <v>512.22777199999996</v>
      </c>
      <c r="S313" s="3">
        <f>358+(173.7-27)+(-0.9129+(-0.442935--0.06885))+0-0-0</f>
        <v>503.41301499999997</v>
      </c>
      <c r="T313" s="3">
        <f>373+(150.2-39.1)+(0+(0-0))+0-0-0</f>
        <v>484.1</v>
      </c>
      <c r="U313" s="3">
        <f>407+(126.5-52.3)+(-0.62271+(-0.193545--0.080019))+0-0-0</f>
        <v>480.46376399999997</v>
      </c>
      <c r="V313" s="3">
        <f>419+(146-57.3)+(0.64107+(0.22338-0.087669))+0-0-0</f>
        <v>508.47678100000002</v>
      </c>
      <c r="W313" s="3">
        <f>419+(222.3-44.2)+(0.85476+(0.453492-0.090168))+0-0-0</f>
        <v>598.318084</v>
      </c>
      <c r="X313" s="3">
        <f>415+(244.8-44)+(-0.63495+(-0.374544--0.06732))+0-0-0</f>
        <v>614.85782599999993</v>
      </c>
      <c r="Y313" s="3">
        <f>417+(228.6-46.4)+(0+(0-0))+0-0-0</f>
        <v>599.20000000000005</v>
      </c>
      <c r="Z313" s="3">
        <f>415+(204.3-46.4)+(-0.4233+(-0.208386--0.047328))+0-0-0</f>
        <v>572.31564200000003</v>
      </c>
      <c r="AA313" s="3">
        <f>416+(174.3-47.2)+(-0.63648+(-0.266679--0.072216))+0-0-0</f>
        <v>542.26905699999998</v>
      </c>
      <c r="AB313" s="3">
        <f>376+(177.6-38.7)+(-0.38352+(-0.181152--0.039474))+0-0-0</f>
        <v>514.37480199999993</v>
      </c>
      <c r="AC313" s="3">
        <f>323+(191.6-30)+(-0.65892+(-0.390864--0.0612))+0-0-0</f>
        <v>483.61141600000002</v>
      </c>
      <c r="AD313" s="2">
        <v>586.79999999999995</v>
      </c>
      <c r="AE313" s="3">
        <v>5842.4000000000005</v>
      </c>
    </row>
    <row r="314" spans="1:31" s="2" customFormat="1" x14ac:dyDescent="0.3">
      <c r="A314">
        <v>91</v>
      </c>
      <c r="B314">
        <v>11</v>
      </c>
      <c r="C314">
        <v>8</v>
      </c>
      <c r="D314">
        <v>2</v>
      </c>
      <c r="E314">
        <v>1</v>
      </c>
      <c r="F314" s="3">
        <f>282+(205.7-29)+(-0.57528+(-0.419628--0.05916))+0-0-0</f>
        <v>457.764252</v>
      </c>
      <c r="G314" s="3">
        <f>282+(179.4-29)+(-0.28764+(-0.182988--0.02958))+0-0-0</f>
        <v>431.95895199999995</v>
      </c>
      <c r="H314" s="3">
        <f>282+(170.2-29)+(-0.14382+(-0.086802--0.01479))+0-0-0</f>
        <v>422.98416800000001</v>
      </c>
      <c r="I314" s="3">
        <f>282+(169.2-30)+(0.28764+(0.172584-0.0306))+0-0-0</f>
        <v>421.62962399999998</v>
      </c>
      <c r="J314" s="3">
        <f>282+(183.4-30)+(-0.7191+(-0.46767--0.0765))+0-0-0</f>
        <v>434.28972999999996</v>
      </c>
      <c r="K314" s="3">
        <f>293+(235.1-34)+(0.74715+(0.599505-0.0867))+0-0-0</f>
        <v>495.35995500000001</v>
      </c>
      <c r="L314" s="3">
        <f>372+(191-43)+(0+(0-0))+0-0-0</f>
        <v>520</v>
      </c>
      <c r="M314" s="3">
        <f>367+(195.2-43)+(-0.56151+(-0.298656--0.06579))+0-0-0</f>
        <v>518.40562399999999</v>
      </c>
      <c r="N314" s="3">
        <f>368+(182.7-34)+(-0.37536+(-0.186354--0.03468))+0-0-0</f>
        <v>516.17296600000009</v>
      </c>
      <c r="O314" s="3">
        <f>366+(172.6-33)+(-0.55998+(-0.264078--0.05049))+0-0-0</f>
        <v>504.82643200000001</v>
      </c>
      <c r="P314" s="3">
        <f>362+(166.3-29)+(-0.36924+(-0.169626--0.02958))+0-0-0</f>
        <v>498.79071400000004</v>
      </c>
      <c r="Q314" s="3">
        <f>361+(158.7-26.1)+(-0.92055+(-0.404685--0.066555))+0-0-0</f>
        <v>492.34132</v>
      </c>
      <c r="R314" s="3">
        <f>293+(235.1-23)+(-0.59772+(-0.479604--0.04692))+0-0-0</f>
        <v>504.06959600000005</v>
      </c>
      <c r="S314" s="3">
        <f>282+(212.9-27)+(-0.57528+(-0.434316--0.05508))+0-0-0</f>
        <v>466.94548399999996</v>
      </c>
      <c r="T314" s="3">
        <f>283+(203.5-35)+(-0.28866+(-0.20757--0.0357))+0-0-0</f>
        <v>451.03946999999999</v>
      </c>
      <c r="U314" s="3">
        <f>283+(206.8-35)+(0.28866+(0.210936-0.0357))+0-0-0</f>
        <v>455.26389599999999</v>
      </c>
      <c r="V314" s="3">
        <f>291+(217.1-37)+(0.14841+(0.110721-0.01887))+0-0-0</f>
        <v>471.340261</v>
      </c>
      <c r="W314" s="3">
        <f>415+(182.1-46.7)+(0.4233+(0.185742-0.047634))+0-0-0</f>
        <v>550.96140800000001</v>
      </c>
      <c r="X314" s="3">
        <f>455+(171.5-56.9)+(-1.3923+(-0.52479--0.174114))+0-0-0</f>
        <v>567.85702400000002</v>
      </c>
      <c r="Y314" s="3">
        <f>458+(163-59)+(-1.1679+(-0.41565--0.15045))+0-0-0</f>
        <v>560.56690000000003</v>
      </c>
      <c r="Z314" s="3">
        <f>460+(147.3-57.8)+(-0.7038+(-0.225369--0.088434))+0-0-0</f>
        <v>548.659265</v>
      </c>
      <c r="AA314" s="3">
        <f>398+(160.7-39.7)+(-0.20298+(-0.081957--0.020247))+0-0-0</f>
        <v>518.73531000000003</v>
      </c>
      <c r="AB314" s="3">
        <f>395+(140.3-41.1)+(-0.4029+(-0.143106--0.041922))+0-0-0</f>
        <v>493.69591600000007</v>
      </c>
      <c r="AC314" s="3">
        <f>393+(117.2-44.7)+(-1.00215+(-0.29886--0.113985))+0-0-0</f>
        <v>464.31297499999999</v>
      </c>
      <c r="AD314" s="2">
        <v>572.70000000000005</v>
      </c>
      <c r="AE314" s="3">
        <v>5708.2999999999993</v>
      </c>
    </row>
    <row r="315" spans="1:31" s="2" customFormat="1" x14ac:dyDescent="0.3">
      <c r="A315">
        <v>91</v>
      </c>
      <c r="B315">
        <v>11</v>
      </c>
      <c r="C315">
        <v>9</v>
      </c>
      <c r="D315">
        <v>3</v>
      </c>
      <c r="E315">
        <v>1</v>
      </c>
      <c r="F315" s="3">
        <f>392+(91.8-50)+(-0.39984+(-0.093636--0.051))+0-0-0</f>
        <v>433.35752400000001</v>
      </c>
      <c r="G315" s="3">
        <f>370+(87.2-43.7)+(-0.5661+(-0.133416--0.066861))+0-0-0</f>
        <v>412.867345</v>
      </c>
      <c r="H315" s="3">
        <f>282+(144-28)+(0+(0-0))+0-0-0</f>
        <v>398</v>
      </c>
      <c r="I315" s="3">
        <f>282+(144.4-29)+(-0.28764+(-0.147288--0.02958))+0-0-0</f>
        <v>396.99465199999997</v>
      </c>
      <c r="J315" s="3">
        <f>282+(156.3-30)+(0.14382+(0.079713-0.0153))+0-0-0</f>
        <v>408.50823300000002</v>
      </c>
      <c r="K315" s="3">
        <f>282+(207.1-35)+(-0.14382+(-0.105621--0.01785))+0-0-0</f>
        <v>453.86840900000004</v>
      </c>
      <c r="L315" s="3">
        <f>282+(261-42)+(-0.14382+(-0.13311--0.02142))+0-0-0</f>
        <v>500.74448999999998</v>
      </c>
      <c r="M315" s="3">
        <f>333+(215.1-40)+(0+(0-0))+0-0-0</f>
        <v>508.1</v>
      </c>
      <c r="N315" s="3">
        <f>377+(173.6-37)+(0+(0-0))+0-0-0</f>
        <v>513.6</v>
      </c>
      <c r="O315" s="3">
        <f>410+(150.2-46.2)+(-0.4182+(-0.153204--0.047124))+0-0-0</f>
        <v>513.47572000000002</v>
      </c>
      <c r="P315" s="3">
        <f>408+(148.2-43.1)+(0+(0-0))+0-0-0</f>
        <v>513.1</v>
      </c>
      <c r="Q315" s="3">
        <f>406+(143.9-42.8)+(-0.20706+(-0.073389--0.021828))+0-0-0</f>
        <v>506.84137900000002</v>
      </c>
      <c r="R315" s="3">
        <f>405+(144.4-44.9)+(-1.03275+(-0.36822--0.114495))+0-0-0</f>
        <v>503.213525</v>
      </c>
      <c r="S315" s="3">
        <f>405+(125.4-45.1)+(0+(0-0))+0-0-0</f>
        <v>485.3</v>
      </c>
      <c r="T315" s="3">
        <f>403+(114.6-47.1)+(-0.20553+(-0.058446--0.024021))+0-0-0</f>
        <v>470.26004499999999</v>
      </c>
      <c r="U315" s="3">
        <f>402+(116.3-46.7)+(-0.41004+(-0.118626--0.047634))+0-0-0</f>
        <v>471.118968</v>
      </c>
      <c r="V315" s="3">
        <f>409+(126.3-54.5)+(0.20859+(0.064413-0.027795))+0-0-0</f>
        <v>481.045208</v>
      </c>
      <c r="W315" s="3">
        <f>411+(176.1-43.8)+(0.20961+(0.089811-0.022338))+0-0-0</f>
        <v>543.5770829999999</v>
      </c>
      <c r="X315" s="3">
        <f>411+(191.6-41)+(-0.83844+(-0.390864--0.08364))+0-0-0</f>
        <v>560.45433600000001</v>
      </c>
      <c r="Y315" s="3">
        <f>411+(179.1-44.2)+(-0.83844+(-0.365364--0.090168))+0-0-0</f>
        <v>544.78636399999994</v>
      </c>
      <c r="Z315" s="3">
        <f>412+(160.5-44.5)+(-0.42024+(-0.16371--0.04539))+0-0-0</f>
        <v>527.46144000000004</v>
      </c>
      <c r="AA315" s="3">
        <f>412+(138.5-48.4)+(-0.42024+(-0.14127--0.049368))+0-0-0</f>
        <v>501.58785800000004</v>
      </c>
      <c r="AB315" s="3">
        <f>376+(142.5-38.7)+(-0.57528+(-0.218025--0.059211))+0-0-0</f>
        <v>479.06590599999998</v>
      </c>
      <c r="AC315" s="3">
        <f>285+(195.3-31)+(-0.2907+(-0.199206--0.03162))+0-0-0</f>
        <v>448.84171400000002</v>
      </c>
      <c r="AD315" s="2">
        <v>563.70000000000005</v>
      </c>
      <c r="AE315" s="3">
        <v>5667.6999999999989</v>
      </c>
    </row>
    <row r="316" spans="1:31" s="2" customFormat="1" x14ac:dyDescent="0.3">
      <c r="A316">
        <v>91</v>
      </c>
      <c r="B316">
        <v>11</v>
      </c>
      <c r="C316">
        <v>10</v>
      </c>
      <c r="D316">
        <v>4</v>
      </c>
      <c r="E316">
        <v>3</v>
      </c>
      <c r="F316" s="3">
        <f>282+(171.2-28)+(-0.7191+(-0.43656--0.0714))+0-0-0</f>
        <v>424.11574000000002</v>
      </c>
      <c r="G316" s="3">
        <f>282+(154.1-28)+(0+(0-0))+0-0-0</f>
        <v>408.1</v>
      </c>
      <c r="H316" s="3">
        <f>282+(144.1-28)+(-0.7191+(-0.367455--0.0714))+0-0-0</f>
        <v>397.08484500000003</v>
      </c>
      <c r="I316" s="3">
        <f>282+(141.6-29)+(-0.14382+(-0.072216--0.01479))+0-0-0</f>
        <v>394.398754</v>
      </c>
      <c r="J316" s="3">
        <f>282+(150.3-31)+(0.28764+(0.153306-0.03162))+0-0-0</f>
        <v>401.70932600000003</v>
      </c>
      <c r="K316" s="3">
        <f>282+(193.5-37)+(0.28764+(0.19737-0.03774))+0-0-0</f>
        <v>438.94727</v>
      </c>
      <c r="L316" s="3">
        <f>281+(223.3-43)+(-0.42993+(-0.341649--0.06579))+0-0-0</f>
        <v>460.59421100000003</v>
      </c>
      <c r="M316" s="3">
        <f>281+(231.6-40)+(-0.28662+(-0.236232--0.0408))+0-0-0</f>
        <v>472.11794800000001</v>
      </c>
      <c r="N316" s="3">
        <f>281+(242.1-39)+(-0.14331+(-0.123471--0.01989))+0-0-0</f>
        <v>483.85310900000002</v>
      </c>
      <c r="O316" s="3">
        <f>318+(215.4-34)+(0.48654+(0.329562-0.05202))+0-0-0</f>
        <v>500.16408199999995</v>
      </c>
      <c r="P316" s="3">
        <f>393+(150.2-41)+(0.80172+(0.306408-0.08364))+0-0-0</f>
        <v>503.22448800000001</v>
      </c>
      <c r="Q316" s="3">
        <f>425+(131.7-44.3)+(-0.21675+(-0.067167--0.022593))+0-0-0</f>
        <v>512.13867600000003</v>
      </c>
      <c r="R316" s="3">
        <f>422+(131.4-53.3)+(-0.86088+(-0.268056--0.108732))+0-0-0</f>
        <v>499.07979600000004</v>
      </c>
      <c r="S316" s="3">
        <f>420+(118.7-54)+(-0.8568+(-0.242148--0.11016))+0-0-0</f>
        <v>483.71121199999999</v>
      </c>
      <c r="T316" s="3">
        <f>424+(110-57.7)+(0+(0-0))+0-0-0</f>
        <v>476.3</v>
      </c>
      <c r="U316" s="3">
        <f>420+(112.9-52.8)+(-1.2852+(-0.345474--0.161568))+0-0-0</f>
        <v>478.63089400000001</v>
      </c>
      <c r="V316" s="3">
        <f>430+(123.8-55)+(0+(0-0))+0-0-0</f>
        <v>498.8</v>
      </c>
      <c r="W316" s="3">
        <f>432+(168-48.3)+(0+(0-0))+0-0-0</f>
        <v>551.70000000000005</v>
      </c>
      <c r="X316" s="3">
        <f>431+(182.7-46.8)+(-1.09905+(-0.465885--0.11934))+0-0-0</f>
        <v>565.45440499999995</v>
      </c>
      <c r="Y316" s="3">
        <f>431+(171.1-47.5)+(-1.09905+(-0.436305--0.121125))+0-0-0</f>
        <v>553.18577000000005</v>
      </c>
      <c r="Z316" s="3">
        <f>432+(154.1-50.3)+(-0.44064+(-0.157182--0.051306))+0-0-0</f>
        <v>535.25348399999996</v>
      </c>
      <c r="AA316" s="3">
        <f>431+(136.5-52.2)+(-0.87924+(-0.27846--0.106488))+0-0-0</f>
        <v>514.24878799999999</v>
      </c>
      <c r="AB316" s="3">
        <f>431+(113.8-54.7)+(-0.21981+(-0.058038--0.027897))+0-0-0</f>
        <v>489.85004900000001</v>
      </c>
      <c r="AC316" s="3">
        <f>421+(95.1-53.7)+(-0.85884+(-0.194004--0.109548))+0-0-0</f>
        <v>461.456704</v>
      </c>
      <c r="AD316" s="2">
        <v>570.1</v>
      </c>
      <c r="AE316" s="3">
        <v>5129.5</v>
      </c>
    </row>
    <row r="317" spans="1:31" s="2" customFormat="1" x14ac:dyDescent="0.3">
      <c r="A317">
        <v>91</v>
      </c>
      <c r="B317">
        <v>11</v>
      </c>
      <c r="C317">
        <v>11</v>
      </c>
      <c r="D317">
        <v>5</v>
      </c>
      <c r="E317">
        <v>1</v>
      </c>
      <c r="F317" s="3">
        <f>284+(166.9-30)+(-0.14484+(-0.085119--0.0153))+0-0-0</f>
        <v>420.68534099999999</v>
      </c>
      <c r="G317" s="3">
        <f>284+(146.6-29)+(-0.14484+(-0.074766--0.01479))+0-0-0</f>
        <v>401.39518400000003</v>
      </c>
      <c r="H317" s="3">
        <f>284+(138.2-29)+(0+(0-0))+0-0-0</f>
        <v>393.2</v>
      </c>
      <c r="I317" s="3">
        <f>284+(136.3-30)+(-0.14484+(-0.069513--0.0153))+0-0-0</f>
        <v>390.10094700000002</v>
      </c>
      <c r="J317" s="3">
        <f>284+(145.9-34)+(-0.43452+(-0.223227--0.05202))+0-0-0</f>
        <v>395.29427299999998</v>
      </c>
      <c r="K317" s="3">
        <f>284+(193.2-36)+(0.14484+(0.098532-0.01836))+0-0-0</f>
        <v>441.42501199999998</v>
      </c>
      <c r="L317" s="3">
        <f>311+(213.9-43)+(-0.31722+(-0.218178--0.04386))+0-0-0</f>
        <v>481.40846199999999</v>
      </c>
      <c r="M317" s="3">
        <f>316+(212.1-40)+(-0.48348+(-0.324513--0.0612))+0-0-0</f>
        <v>487.353207</v>
      </c>
      <c r="N317" s="3">
        <f>330+(201.8-38)+(-0.3366+(-0.205836--0.03876))+0-0-0</f>
        <v>493.29632400000003</v>
      </c>
      <c r="O317" s="3">
        <f>366+(164.5-35)+(-0.18666+(-0.083895--0.01785))+0-0-0</f>
        <v>495.24729500000001</v>
      </c>
      <c r="P317" s="3">
        <f>485+(88-73.2)+(-0.74205+(-0.13464--0.111996))+0-0-0</f>
        <v>499.03530599999999</v>
      </c>
      <c r="Q317" s="3">
        <f>453+(106.8-62.4)+(0+(0-0))+0-0-0</f>
        <v>497.4</v>
      </c>
      <c r="R317" s="3">
        <f>445+(112.9-59.6)+(-0.9078+(-0.230316--0.121584))+0-0-0</f>
        <v>497.28346800000003</v>
      </c>
      <c r="S317" s="3">
        <f>420+(105.3-53.8)+(-0.8568+(-0.214812--0.109752))+0-0-0</f>
        <v>470.53814</v>
      </c>
      <c r="T317" s="3">
        <f>411+(100.3-52.2)+(0.20961+(0.051153-0.026622))+0-0-0</f>
        <v>459.33414100000005</v>
      </c>
      <c r="U317" s="3">
        <f>409+(101-50.3)+(-0.83436+(-0.20604--0.102612))+0-0-0</f>
        <v>458.76221199999998</v>
      </c>
      <c r="V317" s="3">
        <f>422+(108.5-50)+(-0.21522+(-0.055335--0.0255))+0-0-0</f>
        <v>480.25494500000002</v>
      </c>
      <c r="W317" s="3">
        <f>427+(160-45.9)+(0.43554+(0.1632-0.046818))+0-0-0</f>
        <v>541.65192200000001</v>
      </c>
      <c r="X317" s="3">
        <f>431+(170.6-44)+(-0.21981+(-0.087006--0.02244))+0-0-0</f>
        <v>557.31562400000007</v>
      </c>
      <c r="Y317" s="3">
        <f>429+(152.4-42.6)+(-0.65637+(-0.233172--0.065178))+0-0-0</f>
        <v>537.97563600000001</v>
      </c>
      <c r="Z317" s="3">
        <f>431+(130.4-45)+(0.21981+(0.066504-0.02295))+0-0-0</f>
        <v>516.663364</v>
      </c>
      <c r="AA317" s="3">
        <f>429+(113.1-48.2)+(-0.65637+(-0.173043--0.073746))+0-0-0</f>
        <v>493.14433299999996</v>
      </c>
      <c r="AB317" s="3">
        <f>413+(107.2-49.9)+(-1.05315+(-0.27336--0.127245))+0-0-0</f>
        <v>469.10073499999999</v>
      </c>
      <c r="AC317" s="3">
        <f>375+(109.4-39.2)+(-0.3825+(-0.111588--0.039984))+0-0-0</f>
        <v>444.74589600000002</v>
      </c>
      <c r="AD317" s="2">
        <v>558.6</v>
      </c>
      <c r="AE317" s="3">
        <v>5613.9</v>
      </c>
    </row>
    <row r="318" spans="1:31" s="2" customFormat="1" x14ac:dyDescent="0.3">
      <c r="A318">
        <v>91</v>
      </c>
      <c r="B318">
        <v>11</v>
      </c>
      <c r="C318">
        <v>12</v>
      </c>
      <c r="D318">
        <v>6</v>
      </c>
      <c r="E318">
        <v>1</v>
      </c>
      <c r="F318" s="3">
        <f>330+(112.4-31)+(-0.6732+(-0.229296--0.06324))+0-0-0</f>
        <v>410.560744</v>
      </c>
      <c r="G318" s="3">
        <f>332+(89-30)+(-0.33864+(-0.09078--0.0306))+0-0-0</f>
        <v>390.60118</v>
      </c>
      <c r="H318" s="3">
        <f>332+(80.6-33.1)+(0+(0-0))+0-0-0</f>
        <v>379.5</v>
      </c>
      <c r="I318" s="3">
        <f>332+(79.8-34.4)+(-0.16932+(-0.040698--0.017544))+0-0-0</f>
        <v>377.20752599999997</v>
      </c>
      <c r="J318" s="3">
        <f>332+(88.7-35.3)+(0+(0-0))+0-0-0</f>
        <v>385.4</v>
      </c>
      <c r="K318" s="3">
        <f>332+(129.4-39)+(0.16932+(0.065994-0.01989))+0-0-0</f>
        <v>422.61542399999996</v>
      </c>
      <c r="L318" s="3">
        <f>329+(164.1-43)+(-0.33558+(-0.167382--0.04386))+0-0-0</f>
        <v>449.64089800000005</v>
      </c>
      <c r="M318" s="3">
        <f>345+(163.7-41)+(0.52785+(0.250461-0.06273))+0-0-0</f>
        <v>468.41558099999997</v>
      </c>
      <c r="N318" s="3">
        <f>384+(141.6-40)+(0+(0-0))+0-0-0</f>
        <v>485.6</v>
      </c>
      <c r="O318" s="3">
        <f>385+(140.9-35.9)+(0.19635+(0.071859-0.018309))+0-0-0</f>
        <v>490.24990000000003</v>
      </c>
      <c r="P318" s="3">
        <f>391+(130.4-37)+(0+(0-0))+0-0-0</f>
        <v>484.4</v>
      </c>
      <c r="Q318" s="3">
        <f>403+(122.9-39.5)+(-0.41106+(-0.125358--0.04029))+0-0-0</f>
        <v>485.90387199999998</v>
      </c>
      <c r="R318" s="3">
        <f>395+(126.4-39.4)+(-0.8058+(-0.257856--0.080376))+0-0-0</f>
        <v>481.01672000000002</v>
      </c>
      <c r="S318" s="3">
        <f>397+(107-45.3)+(0.40494+(0.10914-0.046206))+0-0-0</f>
        <v>459.16787399999998</v>
      </c>
      <c r="T318" s="3">
        <f>389+(100-46.1)+(-0.39678+(-0.102--0.047022))+0-0-0</f>
        <v>442.44824199999999</v>
      </c>
      <c r="U318" s="3">
        <f>371+(115.4-38.2)+(0.75684+(0.235416-0.077928))+0-0-0</f>
        <v>449.114328</v>
      </c>
      <c r="V318" s="3">
        <f>377+(124.5-36)+(0+(0-0))+0-0-0</f>
        <v>465.5</v>
      </c>
      <c r="W318" s="3">
        <f>401+(167.7-44)+(-0.20451+(-0.085527--0.02244))+0-0-0</f>
        <v>524.43240300000002</v>
      </c>
      <c r="X318" s="3">
        <f>446+(142.2-55.9)+(-0.45492+(-0.145044--0.057018))+0-0-0</f>
        <v>531.75705399999993</v>
      </c>
      <c r="Y318" s="3">
        <f>435+(135.7-46.5)+(-1.3311+(-0.415242--0.14229))+0-0-0</f>
        <v>522.59594800000002</v>
      </c>
      <c r="Z318" s="3">
        <f>377+(159.5-36)+(0.38454+(0.16269-0.03672))+0-0-0</f>
        <v>501.01051000000001</v>
      </c>
      <c r="AA318" s="3">
        <f>375+(143.9-35)+(-0.95625+(-0.366945--0.08925))+0-0-0</f>
        <v>482.66605499999997</v>
      </c>
      <c r="AB318" s="3">
        <f>375+(118-37.5)+(-0.765+(-0.24072--0.0765))+0-0-0</f>
        <v>454.57078000000001</v>
      </c>
      <c r="AC318" s="3">
        <f>377+(99.8-38.6)+(-0.76908+(-0.203592--0.078744))+0-0-0</f>
        <v>437.30607199999997</v>
      </c>
      <c r="AD318" s="2">
        <v>528.9</v>
      </c>
      <c r="AE318" s="3">
        <v>5647.8</v>
      </c>
    </row>
    <row r="319" spans="1:31" s="2" customFormat="1" x14ac:dyDescent="0.3">
      <c r="A319">
        <v>91</v>
      </c>
      <c r="B319">
        <v>11</v>
      </c>
      <c r="C319">
        <v>13</v>
      </c>
      <c r="D319">
        <v>7</v>
      </c>
      <c r="E319">
        <v>1</v>
      </c>
      <c r="F319" s="3">
        <f>357+(105.5-37.5)+(-0.54621+(-0.161415--0.057375))+0-0-0</f>
        <v>424.34974999999997</v>
      </c>
      <c r="G319" s="3">
        <f>283+(160.3-30)+(-0.72165+(-0.408765--0.0765))+0-0-0</f>
        <v>412.24608499999999</v>
      </c>
      <c r="H319" s="3">
        <f>283+(147.7-32)+(0.28866+(0.150654-0.03264))+0-0-0</f>
        <v>399.106674</v>
      </c>
      <c r="I319" s="3">
        <f>283+(144.4-33)+(-0.14433+(-0.073644--0.01683))+0-0-0</f>
        <v>394.19885599999998</v>
      </c>
      <c r="J319" s="3">
        <f>283+(155.4-35)+(-0.14433+(-0.079254--0.01785))+0-0-0</f>
        <v>403.19426599999997</v>
      </c>
      <c r="K319" s="3">
        <f>283+(199.8-37)+(0.28866+(0.203796-0.03774))+0-0-0</f>
        <v>446.25471600000003</v>
      </c>
      <c r="L319" s="3">
        <f>281+(203.8-44)+(-0.28662+(-0.207876--0.04488))+0-0-0</f>
        <v>440.35038400000002</v>
      </c>
      <c r="M319" s="3">
        <f>281+(219.4-40)+(0+(0-0))+0-0-0</f>
        <v>460.4</v>
      </c>
      <c r="N319" s="3">
        <f>281+(204.6-38)+(0.14331+(0.104346-0.01938))+0-0-0</f>
        <v>447.82827600000002</v>
      </c>
      <c r="O319" s="3">
        <f>281+(224.6-38)+(0.14331+(0.114546-0.01938))+0-0-0</f>
        <v>467.83847600000001</v>
      </c>
      <c r="P319" s="3">
        <f>281+(233.9-39)+(-0.42993+(-0.357867--0.05967))+0-0-0</f>
        <v>475.17187300000001</v>
      </c>
      <c r="Q319" s="3">
        <f>281+(226.3-39)+(-0.57324+(-0.461652--0.07956))+0-0-0</f>
        <v>467.34466800000001</v>
      </c>
      <c r="R319" s="3">
        <f>280+(247.8-35)+(-0.1428+(-0.126378--0.01785))+0-0-0</f>
        <v>492.54867200000001</v>
      </c>
      <c r="S319" s="3">
        <f>280+(213.6-34)+(-0.5712+(-0.435744--0.06936))+0-0-0</f>
        <v>458.66241600000001</v>
      </c>
      <c r="T319" s="3">
        <f>280+(205.5-33)+(-0.4284+(-0.314415--0.05049))+0-0-0</f>
        <v>451.80767500000002</v>
      </c>
      <c r="U319" s="3">
        <f>281+(205-33)+(0.42993+(0.31365-0.05049))+0-0-0</f>
        <v>453.69308999999998</v>
      </c>
      <c r="V319" s="3">
        <f>287+(212.7-36)+(-0.29274+(-0.216954--0.03672))+0-0-0</f>
        <v>463.22702599999997</v>
      </c>
      <c r="W319" s="3">
        <f>366+(191.8-41)+(-0.9333+(-0.48909--0.10455))+0-0-0</f>
        <v>515.48215999999991</v>
      </c>
      <c r="X319" s="3">
        <f>411+(165.4-43.4)+(-0.62883+(-0.253062--0.066402))+0-0-0</f>
        <v>532.18451000000005</v>
      </c>
      <c r="Y319" s="3">
        <f>412+(153.3-41.6)+(-0.21012+(-0.078183--0.021216))+0-0-0</f>
        <v>523.4329130000001</v>
      </c>
      <c r="Z319" s="3">
        <f>412+(145.9-43)+(-0.21012+(-0.074409--0.02193))+0-0-0</f>
        <v>514.63740099999995</v>
      </c>
      <c r="AA319" s="3">
        <f>412+(124.6-46)+(0.21012+(0.063546-0.02346))+0-0-0</f>
        <v>490.85020600000001</v>
      </c>
      <c r="AB319" s="3">
        <f>393+(111.1-44.3)+(-0.60129+(-0.169983--0.067779))+0-0-0</f>
        <v>459.09650600000003</v>
      </c>
      <c r="AC319" s="3">
        <f>372+(99.8-40.2)+(-0.75888+(-0.203592--0.082008))+0-0-0</f>
        <v>430.71953600000001</v>
      </c>
      <c r="AD319" s="2">
        <v>522.70000000000005</v>
      </c>
      <c r="AE319" s="3">
        <v>4434.6000000000004</v>
      </c>
    </row>
    <row r="320" spans="1:31" s="2" customFormat="1" x14ac:dyDescent="0.3">
      <c r="A320">
        <v>91</v>
      </c>
      <c r="B320">
        <v>11</v>
      </c>
      <c r="C320">
        <v>14</v>
      </c>
      <c r="D320">
        <v>1</v>
      </c>
      <c r="E320">
        <v>1</v>
      </c>
      <c r="F320" s="3">
        <f>349+(92.5-35.9)+(-0.71196+(-0.1887--0.073236))+0-0-0</f>
        <v>404.77257600000002</v>
      </c>
      <c r="G320" s="3">
        <f>327+(93.9-33)+(-0.16677+(-0.047889--0.01683))+0-0-0</f>
        <v>387.70217099999996</v>
      </c>
      <c r="H320" s="3">
        <f>310+(99.7-28)+(-0.6324+(-0.203388--0.05712))+0-0-0</f>
        <v>380.92133200000001</v>
      </c>
      <c r="I320" s="3">
        <f>283+(123-28)+(-0.14433+(-0.06273--0.01428))+0-0-0</f>
        <v>377.80721999999997</v>
      </c>
      <c r="J320" s="3">
        <f>283+(131.8-33)+(0.72165+(0.33609-0.08415))+0-0-0</f>
        <v>382.77359000000001</v>
      </c>
      <c r="K320" s="3">
        <f>283+(176.2-35)+(0.43299+(0.269586-0.05355))+0-0-0</f>
        <v>424.84902599999998</v>
      </c>
      <c r="L320" s="3">
        <f>282+(215.7-40)+(0.43146+(0.330021-0.0612))+0-0-0</f>
        <v>458.40028100000001</v>
      </c>
      <c r="M320" s="3">
        <f>282+(213.9-37)+(-0.43146+(-0.327267--0.05661))+0-0-0</f>
        <v>458.19788299999999</v>
      </c>
      <c r="N320" s="3">
        <f>355+(141.7-36)+(0.3621+(0.144534-0.03672))+0-0-0</f>
        <v>461.16991400000001</v>
      </c>
      <c r="O320" s="3">
        <f>418+(106.9-53.6)+(0+(0-0))+0-0-0</f>
        <v>471.3</v>
      </c>
      <c r="P320" s="3">
        <f>439+(95.6-60.7)+(0.44778+(0.097512-0.061914))+0-0-0</f>
        <v>474.38337799999999</v>
      </c>
      <c r="Q320" s="3">
        <f>437+(96-60.6)+(-0.44574+(-0.09792--0.061812))+0-0-0</f>
        <v>471.91815199999996</v>
      </c>
      <c r="R320" s="3">
        <f>435+(102.1-55.2)+(-1.10925+(-0.260355--0.14076))+0-0-0</f>
        <v>480.671155</v>
      </c>
      <c r="S320" s="3">
        <f>434+(81.2-57.7)+(-0.22134+(-0.041412--0.029427))+0-0-0</f>
        <v>457.26667500000002</v>
      </c>
      <c r="T320" s="3">
        <f>431+(72.1-58.9)+(-1.09905+(-0.183855--0.150195))+0-0-0</f>
        <v>443.06729000000001</v>
      </c>
      <c r="U320" s="3">
        <f>433+(74.1-57.7)+(-0.44166+(-0.075582--0.058854))+0-0-0</f>
        <v>448.94161199999996</v>
      </c>
      <c r="V320" s="3">
        <f>441+(86.7-60.6)+(0.22491+(0.044217-0.030906))+0-0-0</f>
        <v>467.33822100000003</v>
      </c>
      <c r="W320" s="3">
        <f>441+(134.7-53.8)+(0+(0-0))+0-0-0</f>
        <v>521.9</v>
      </c>
      <c r="X320" s="3">
        <f>435+(146.7-49.7)+(-0.22185+(-0.074817--0.025347))+0-0-0</f>
        <v>531.72868000000005</v>
      </c>
      <c r="Y320" s="3">
        <f>416+(148.8-34.5)+(-1.27296+(-0.455328--0.10557))+0-0-0</f>
        <v>528.67728199999999</v>
      </c>
      <c r="Z320" s="3">
        <f>416+(126.8-41.9)+(-0.84864+(-0.258672--0.085476))+0-0-0</f>
        <v>499.87816399999997</v>
      </c>
      <c r="AA320" s="3">
        <f>418+(102.2-46.1)+(-0.21318+(-0.052122--0.023511))+0-0-0</f>
        <v>473.85820900000004</v>
      </c>
      <c r="AB320" s="3">
        <f>414+(81-50.5)+(-0.84456+(-0.16524--0.10302))+0-0-0</f>
        <v>443.59321999999997</v>
      </c>
      <c r="AC320" s="3">
        <f>388+(75.9-44.6)+(-0.59364+(-0.116127--0.068238))+0-0-0</f>
        <v>418.65847100000002</v>
      </c>
      <c r="AD320" s="2">
        <v>534.39999999999986</v>
      </c>
      <c r="AE320" s="3">
        <v>5900.2</v>
      </c>
    </row>
    <row r="321" spans="1:31" s="2" customFormat="1" x14ac:dyDescent="0.3">
      <c r="A321">
        <v>91</v>
      </c>
      <c r="B321">
        <v>11</v>
      </c>
      <c r="C321">
        <v>15</v>
      </c>
      <c r="D321">
        <v>2</v>
      </c>
      <c r="E321">
        <v>1</v>
      </c>
      <c r="F321" s="3">
        <f>332+(83.1-26.6)+(-0.67728+(-0.169524--0.054264))+0-0-0</f>
        <v>387.70746000000003</v>
      </c>
      <c r="G321" s="3">
        <f>282+(102.5-10)+(-0.43146+(-0.156825--0.0153))+0-0-0</f>
        <v>373.92701499999998</v>
      </c>
      <c r="H321" s="3">
        <f>282+(91-8)+(0+(0-0))+0-0-0</f>
        <v>365</v>
      </c>
      <c r="I321" s="3">
        <f>282+(86.8-6)+(-0.14382+(-0.044268--0.00306))+0-0-0</f>
        <v>362.61497200000002</v>
      </c>
      <c r="J321" s="3">
        <f>282+(92.8-5)+(0.14382+(0.047328-0.00255))+0-0-0</f>
        <v>369.98859800000002</v>
      </c>
      <c r="K321" s="3">
        <f>282+(125.1-6)+(0.28764+(0.127602-0.00612))+0-0-0</f>
        <v>401.50912200000005</v>
      </c>
      <c r="L321" s="3">
        <f>281+(165.3-7)+(0.28662+(0.168606-0.00714))+0-0-0</f>
        <v>439.748086</v>
      </c>
      <c r="M321" s="3">
        <f>277+(171.8-8)+(0.14127+(0.087618-0.00408))+0-0-0</f>
        <v>441.02480800000001</v>
      </c>
      <c r="N321" s="3">
        <f>350+(113-15.7)+(-0.714+(-0.23052--0.032028))+0-0-0</f>
        <v>446.38750800000003</v>
      </c>
      <c r="O321" s="3">
        <f>395+(90.9-31.1)+(0.60435+(0.139077-0.047583))+0-0-0</f>
        <v>455.49584400000003</v>
      </c>
      <c r="P321" s="3">
        <f>405+(85.2-34.3)+(-0.4131+(-0.086904--0.034986))+0-0-0</f>
        <v>455.43498199999999</v>
      </c>
      <c r="Q321" s="3">
        <f>405+(73.5-18.7)+(-0.8262+(-0.14994--0.038148))+0-0-0</f>
        <v>458.862008</v>
      </c>
      <c r="R321" s="3">
        <f>405+(87.4-17)+(-1.03275+(-0.22287--0.04335))+0-0-0</f>
        <v>474.18772999999999</v>
      </c>
      <c r="S321" s="3">
        <f>407+(79.6-22)+(0.20757+(0.040596-0.01122))+0-0-0</f>
        <v>464.83694600000001</v>
      </c>
      <c r="T321" s="3">
        <f>407+(79-31.4)+(-0.41514+(-0.08058--0.032028))+0-0-0</f>
        <v>454.13630800000004</v>
      </c>
      <c r="U321" s="3">
        <f>408+(83.4-42.6)+(-0.20808+(-0.042534--0.021726))+0-0-0</f>
        <v>448.57111200000003</v>
      </c>
      <c r="V321" s="3">
        <f>411+(95.5-40.4)+(0+(0-0))+0-0-0</f>
        <v>466.1</v>
      </c>
      <c r="W321" s="3">
        <f>437+(141.1-47.6)+(0+(0-0))+0-0-0</f>
        <v>530.5</v>
      </c>
      <c r="X321" s="3">
        <f>447+(162.7-47.8)+(0.22797+(0.082977-0.024378))+0-0-0</f>
        <v>562.18656899999996</v>
      </c>
      <c r="Y321" s="3">
        <f>445+(156.2-48.6)+(-0.68085+(-0.238986--0.074358))+0-0-0</f>
        <v>551.75452200000007</v>
      </c>
      <c r="Z321" s="3">
        <f>445+(137.3-49.6)+(-0.4539+(-0.140046--0.050592))+0-0-0</f>
        <v>532.15664600000002</v>
      </c>
      <c r="AA321" s="3">
        <f>445+(111.1-51.8)+(-0.68085+(-0.169983--0.079254))+0-0-0</f>
        <v>503.52842100000004</v>
      </c>
      <c r="AB321" s="3">
        <f>446+(87.5-57.5)+(-0.45492+(-0.08925--0.05865))+0-0-0</f>
        <v>475.51447999999999</v>
      </c>
      <c r="AC321" s="3">
        <f>396+(92.3-43.8)+(-1.0098+(-0.235365--0.11169))+0-0-0</f>
        <v>443.36652500000002</v>
      </c>
      <c r="AD321" s="2">
        <v>562.90000000000009</v>
      </c>
      <c r="AE321" s="3">
        <v>5853.2</v>
      </c>
    </row>
    <row r="322" spans="1:31" s="2" customFormat="1" x14ac:dyDescent="0.3">
      <c r="A322">
        <v>91</v>
      </c>
      <c r="B322">
        <v>11</v>
      </c>
      <c r="C322">
        <v>16</v>
      </c>
      <c r="D322">
        <v>3</v>
      </c>
      <c r="E322">
        <v>1</v>
      </c>
      <c r="F322" s="3">
        <f>365+(93.2-37.5)+(-0.18615+(-0.047532--0.019125))+0-0-0</f>
        <v>420.48544299999998</v>
      </c>
      <c r="G322" s="3">
        <f>326+(97.1-26.6)+(0+(0-0))+0-0-0</f>
        <v>396.5</v>
      </c>
      <c r="H322" s="3">
        <f>287+(126.9-24)+(0+(0-0))+0-0-0</f>
        <v>389.9</v>
      </c>
      <c r="I322" s="3">
        <f>287+(123.3-26)+(0+(0-0))+0-0-0</f>
        <v>384.3</v>
      </c>
      <c r="J322" s="3">
        <f>287+(130.4-28)+(0.58548+(0.266016-0.05712))+0-0-0</f>
        <v>390.19437599999998</v>
      </c>
      <c r="K322" s="3">
        <f>287+(175.2-30)+(0.43911+(0.268056-0.0459))+0-0-0</f>
        <v>432.861266</v>
      </c>
      <c r="L322" s="3">
        <f>303+(202.4-36)+(0.30906+(0.206448-0.03672))+0-0-0</f>
        <v>469.87878799999999</v>
      </c>
      <c r="M322" s="3">
        <f>373+(145.1-33)+(-0.38046+(-0.148002--0.03366))+0-0-0</f>
        <v>484.60519800000003</v>
      </c>
      <c r="N322" s="3">
        <f>376+(150-30)+(-0.57528+(-0.2295--0.0459))+0-0-0</f>
        <v>495.24112000000002</v>
      </c>
      <c r="O322" s="3">
        <f>417+(129.9-43.5)+(0.21267+(0.066249-0.022185))+0-0-0</f>
        <v>503.65673399999997</v>
      </c>
      <c r="P322" s="3">
        <f>417+(131.1-42.9)+(0+(0-0))+0-0-0</f>
        <v>505.2</v>
      </c>
      <c r="Q322" s="3">
        <f>417+(122.5-41.8)+(0.21267+(0.062475-0.021318))+0-0-0</f>
        <v>497.95382699999999</v>
      </c>
      <c r="R322" s="3">
        <f>411+(129.7-40.8)+(-1.04805+(-0.330735--0.10404))+0-0-0</f>
        <v>498.62525499999998</v>
      </c>
      <c r="S322" s="3">
        <f>412+(116-40.3)+(0+(0-0))+0-0-0</f>
        <v>487.7</v>
      </c>
      <c r="T322" s="3">
        <f>412+(104.9-44)+(-0.21012+(-0.053499--0.02244))+0-0-0</f>
        <v>472.65882099999999</v>
      </c>
      <c r="U322" s="3">
        <f>411+(114.5-42.3)+(-1.04805+(-0.291975--0.107865))+0-0-0</f>
        <v>481.96783999999997</v>
      </c>
      <c r="V322" s="3">
        <f>414+(124.2-41.6)+(-0.63342+(-0.190026--0.063648))+0-0-0</f>
        <v>495.84020200000003</v>
      </c>
      <c r="W322" s="3">
        <f>415+(177.8-30)+(-0.21165+(-0.090678--0.0153))+0-0-0</f>
        <v>562.51297199999999</v>
      </c>
      <c r="X322" s="3">
        <f>443+(187-35.2)+(-0.67779+(-0.28611--0.053856))+0-0-0</f>
        <v>593.88995599999998</v>
      </c>
      <c r="Y322" s="3">
        <f>441+(177.6-37.8)+(-1.34946+(-0.543456--0.115668))+0-0-0</f>
        <v>579.02275199999997</v>
      </c>
      <c r="Z322" s="3">
        <f>440+(159.5-38.7)+(-0.6732+(-0.244035--0.059211))+0-0-0</f>
        <v>559.94197599999995</v>
      </c>
      <c r="AA322" s="3">
        <f>434+(141.6-39.1)+(-0.88536+(-0.288864--0.079764))+0-0-0</f>
        <v>535.40553999999997</v>
      </c>
      <c r="AB322" s="3">
        <f>393+(145.3-30.7)+(-1.00215+(-0.370515--0.078285))+0-0-0</f>
        <v>506.30562000000003</v>
      </c>
      <c r="AC322" s="3">
        <f>379+(131.2-34.1)+(-0.38658+(-0.133824--0.034782))+0-0-0</f>
        <v>475.61437800000004</v>
      </c>
      <c r="AD322" s="2">
        <v>594.80000000000007</v>
      </c>
      <c r="AE322" s="3">
        <v>5823.1</v>
      </c>
    </row>
    <row r="323" spans="1:31" s="2" customFormat="1" x14ac:dyDescent="0.3">
      <c r="A323">
        <v>91</v>
      </c>
      <c r="B323">
        <v>11</v>
      </c>
      <c r="C323">
        <v>17</v>
      </c>
      <c r="D323">
        <v>4</v>
      </c>
      <c r="E323">
        <v>1</v>
      </c>
      <c r="F323" s="3">
        <f>361+(117-32.2)+(-0.73644+(-0.23868--0.065688))+0-0-0</f>
        <v>444.89056800000003</v>
      </c>
      <c r="G323" s="3">
        <f>337+(119.8-27.3)+(-0.17187+(-0.061098--0.013923))+0-0-0</f>
        <v>429.28095500000001</v>
      </c>
      <c r="H323" s="3">
        <f>337+(114.8-28.3)+(0+(0-0))+0-0-0</f>
        <v>423.5</v>
      </c>
      <c r="I323" s="3">
        <f>290+(148.8-24)+(0+(0-0))+0-0-0</f>
        <v>414.8</v>
      </c>
      <c r="J323" s="3">
        <f>290+(160.1-27)+(0.4437+(0.244953-0.04131))+0-0-0</f>
        <v>423.747343</v>
      </c>
      <c r="K323" s="3">
        <f>290+(210.3-30)+(-0.4437+(-0.321759--0.0459))+0-0-0</f>
        <v>469.58044100000001</v>
      </c>
      <c r="L323" s="3">
        <f>290+(262.6-39)+(0+(0-0))+0-0-0</f>
        <v>513.6</v>
      </c>
      <c r="M323" s="3">
        <f>345+(216.9-39)+(0+(0-0))+0-0-0</f>
        <v>522.9</v>
      </c>
      <c r="N323" s="3">
        <f>404+(170.3-39.5)+(0+(0-0))+0-0-0</f>
        <v>534.79999999999995</v>
      </c>
      <c r="O323" s="3">
        <f>422+(155.5-53.6)+(0+(0-0))+0-0-0</f>
        <v>523.9</v>
      </c>
      <c r="P323" s="3">
        <f>450+(142.7-56.2)+(-0.6885+(-0.218331--0.085986))+0-0-0</f>
        <v>535.67915500000004</v>
      </c>
      <c r="Q323" s="3">
        <f>446+(135-57)+(-0.45492+(-0.1377--0.05814))+0-0-0</f>
        <v>523.46551999999997</v>
      </c>
      <c r="R323" s="3">
        <f>450+(136.6-53.7)+(-0.6885+(-0.208998--0.082161))+0-0-0</f>
        <v>532.08466299999998</v>
      </c>
      <c r="S323" s="3">
        <f>438+(125.9-47.4)+(-0.67014+(-0.192627--0.072522))+0-0-0</f>
        <v>515.70975499999997</v>
      </c>
      <c r="T323" s="3">
        <f>438+(116.4-49.5)+(-0.22338+(-0.059364--0.025245))+0-0-0</f>
        <v>504.64250099999998</v>
      </c>
      <c r="U323" s="3">
        <f>382+(144.8-30.7)+(-0.38964+(-0.147696--0.031314))+0-0-0</f>
        <v>495.59397800000005</v>
      </c>
      <c r="V323" s="3">
        <f>377+(169-27)+(-0.57681+(-0.25857--0.04131))+0-0-0</f>
        <v>518.20592999999997</v>
      </c>
      <c r="W323" s="3">
        <f>386+(229.6-39)+(0+(0-0))+0-0-0</f>
        <v>576.6</v>
      </c>
      <c r="X323" s="3">
        <f>447+(202.5-39)+(0+(0-0))+0-0-0</f>
        <v>610.5</v>
      </c>
      <c r="Y323" s="3">
        <f>445+(192.5-40.2)+(-1.3617+(-0.58905--0.123012))+0-0-0</f>
        <v>595.472262</v>
      </c>
      <c r="Z323" s="3">
        <f>442+(182.8-44.9)+(0+(0-0))+0-0-0</f>
        <v>579.9</v>
      </c>
      <c r="AA323" s="3">
        <f>379+(203.8-35)+(-0.19329+(-0.103938--0.01785))+0-0-0</f>
        <v>547.520622</v>
      </c>
      <c r="AB323" s="3">
        <f>379+(169.8-29)+(-0.38658+(-0.173196--0.02958))+0-0-0</f>
        <v>519.26980399999991</v>
      </c>
      <c r="AC323" s="3">
        <f>379+(141.3-33.4)+(-0.57987+(-0.216189--0.051102))+0-0-0</f>
        <v>486.15504299999998</v>
      </c>
      <c r="AD323" s="2">
        <v>608.20000000000005</v>
      </c>
      <c r="AE323" s="3">
        <v>5780.6</v>
      </c>
    </row>
    <row r="324" spans="1:31" s="2" customFormat="1" x14ac:dyDescent="0.3">
      <c r="A324">
        <v>91</v>
      </c>
      <c r="B324">
        <v>11</v>
      </c>
      <c r="C324">
        <v>18</v>
      </c>
      <c r="D324">
        <v>5</v>
      </c>
      <c r="E324">
        <v>1</v>
      </c>
      <c r="F324" s="3">
        <f>372+(124.2-36.6)+(-0.9486+(-0.31671--0.09333))+0-0-0</f>
        <v>458.42802</v>
      </c>
      <c r="G324" s="3">
        <f>374+(109.4-40)+(-0.76296+(-0.223176--0.0816))+0-0-0</f>
        <v>442.49546399999997</v>
      </c>
      <c r="H324" s="3">
        <f>374+(99.3-41.8)+(-0.19074+(-0.050643--0.021318))+0-0-0</f>
        <v>431.27993500000002</v>
      </c>
      <c r="I324" s="3">
        <f>376+(92.4-43.1)+(0+(0-0))+0-0-0</f>
        <v>425.3</v>
      </c>
      <c r="J324" s="3">
        <f>346+(122.3-28.8)+(0+(0-0))+0-0-0</f>
        <v>439.5</v>
      </c>
      <c r="K324" s="3">
        <f>332+(183.5-32)+(0.50796+(0.280755-0.04896))+0-0-0</f>
        <v>484.239755</v>
      </c>
      <c r="L324" s="3">
        <f>331+(228.7-42)+(0+(0-0))+0-0-0</f>
        <v>517.70000000000005</v>
      </c>
      <c r="M324" s="3">
        <f>330+(222.6-40)+(0.6732+(0.454104-0.0816))+0-0-0</f>
        <v>513.64570400000002</v>
      </c>
      <c r="N324" s="3">
        <f>348+(208.3-38)+(0+(0-0))+0-0-0</f>
        <v>518.29999999999995</v>
      </c>
      <c r="O324" s="3">
        <f>383+(180.9-35.2)+(0+(0-0))+0-0-0</f>
        <v>528.70000000000005</v>
      </c>
      <c r="P324" s="3">
        <f>382+(185.9-32)+(-0.38964+(-0.189618--0.03264))+0-0-0</f>
        <v>535.35338200000001</v>
      </c>
      <c r="Q324" s="3">
        <f>391+(165.7-31.4)+(-0.39882+(-0.169014--0.032028))+0-0-0</f>
        <v>524.76419399999997</v>
      </c>
      <c r="R324" s="3">
        <f>389+(162.2-36.8)+(-1.19034+(-0.496332--0.112608))+0-0-0</f>
        <v>512.82593599999996</v>
      </c>
      <c r="S324" s="3">
        <f>391+(136.1-37.6)+(-0.59823+(-0.208233--0.057528))+0-0-0</f>
        <v>488.75106499999998</v>
      </c>
      <c r="T324" s="3">
        <f>387+(127.1-36.4)+(-0.98685+(-0.324105--0.09282))+0-0-0</f>
        <v>476.48186499999997</v>
      </c>
      <c r="U324" s="3">
        <f>333+(166.7-32)+(-0.16983+(-0.085017--0.01632))+0-0-0</f>
        <v>467.46147300000001</v>
      </c>
      <c r="V324" s="3">
        <f>340+(182.8-33)+(-0.1734+(-0.093228--0.01683))+0-0-0</f>
        <v>489.55020200000001</v>
      </c>
      <c r="W324" s="3">
        <f>359+(240.6-36)+(-0.54927+(-0.368118--0.05508))+0-0-0</f>
        <v>562.73769200000004</v>
      </c>
      <c r="X324" s="3">
        <f>437+(202.8-44)+(-0.89148+(-0.413712--0.08976))+0-0-0</f>
        <v>594.58456799999999</v>
      </c>
      <c r="Y324" s="3">
        <f>437+(190.8-41)+(-0.66861+(-0.291924--0.06273))+0-0-0</f>
        <v>585.902196</v>
      </c>
      <c r="Z324" s="3">
        <f>437+(176.9-40.4)+(-0.44574+(-0.180438--0.041208))+0-0-0</f>
        <v>572.91503</v>
      </c>
      <c r="AA324" s="3">
        <f>429+(155.6-43.8)+(-0.43758+(-0.158712--0.044676))+0-0-0</f>
        <v>540.24838399999999</v>
      </c>
      <c r="AB324" s="3">
        <f>426+(133.1-44.3)+(-0.65178+(-0.203643--0.067779))+0-0-0</f>
        <v>514.01235599999995</v>
      </c>
      <c r="AC324" s="3">
        <f>426+(110-49.5)+(-0.86904+(-0.2244--0.10098))+0-0-0</f>
        <v>485.50754000000001</v>
      </c>
      <c r="AD324" s="2">
        <v>596.20000000000005</v>
      </c>
      <c r="AE324" s="3">
        <v>5732.6</v>
      </c>
    </row>
    <row r="325" spans="1:31" s="2" customFormat="1" x14ac:dyDescent="0.3">
      <c r="A325">
        <v>91</v>
      </c>
      <c r="B325">
        <v>11</v>
      </c>
      <c r="C325">
        <v>19</v>
      </c>
      <c r="D325">
        <v>6</v>
      </c>
      <c r="E325">
        <v>1</v>
      </c>
      <c r="F325" s="3">
        <f>423+(87.1-55.8)+(-0.64719+(-0.133263--0.085374))+0-0-0</f>
        <v>453.60492099999999</v>
      </c>
      <c r="G325" s="3">
        <f>417+(75.7-57.9)+(-1.06335+(-0.193035--0.147645))+0-0-0</f>
        <v>433.69126</v>
      </c>
      <c r="H325" s="3">
        <f>288+(158.2-28)+(-0.44064+(-0.242046--0.04284))+0-0-0</f>
        <v>417.56015400000001</v>
      </c>
      <c r="I325" s="3">
        <f>287+(155.9-28)+(-0.43911+(-0.238527--0.04284))+0-0-0</f>
        <v>414.26520299999999</v>
      </c>
      <c r="J325" s="3">
        <f>287+(165.4-32)+(-0.14637+(-0.084354--0.01632))+0-0-0</f>
        <v>420.18559599999998</v>
      </c>
      <c r="K325" s="3">
        <f>287+(216.2-35)+(0.29274+(0.220524-0.0357))+0-0-0</f>
        <v>468.67756399999996</v>
      </c>
      <c r="L325" s="3">
        <f>297+(254.2-41)+(-0.45441+(-0.388926--0.06273))+0-0-0</f>
        <v>509.41939400000001</v>
      </c>
      <c r="M325" s="3">
        <f>310+(241.5-39)+(-0.1581+(-0.123165--0.01989))+0-0-0</f>
        <v>512.23862499999996</v>
      </c>
      <c r="N325" s="3">
        <f>376+(203.8-58.6)+(0+(0-0))+0-0-0</f>
        <v>521.20000000000005</v>
      </c>
      <c r="O325" s="3">
        <f>350+(211.6-36.8)+(0.357+(0.215832-0.037536))+0-0-0</f>
        <v>525.33529599999997</v>
      </c>
      <c r="P325" s="3">
        <f>349+(206.7-44.4)+(0.17799+(0.105417-0.022644))+0-0-0</f>
        <v>511.56076299999995</v>
      </c>
      <c r="Q325" s="3">
        <f>349+(204.7-44.6)+(-0.35598+(-0.208794--0.045492))+0-0-0</f>
        <v>508.58071800000005</v>
      </c>
      <c r="R325" s="3">
        <f>394+(157.3-37.2)+(-1.20564+(-0.481338--0.113832))+0-0-0</f>
        <v>512.52685400000007</v>
      </c>
      <c r="S325" s="3">
        <f>392+(129-40.4)+(-0.79968+(-0.26316--0.082416))+0-0-0</f>
        <v>479.619576</v>
      </c>
      <c r="T325" s="3">
        <f>393+(115.9-39.9)+(0+(0-0))+0-0-0</f>
        <v>469</v>
      </c>
      <c r="U325" s="3">
        <f>346+(149-30)+(-0.52938+(-0.22797--0.0459))+0-0-0</f>
        <v>464.28854999999999</v>
      </c>
      <c r="V325" s="3">
        <f>285+(226.8-33)+(-0.2907+(-0.231336--0.03366))+0-0-0</f>
        <v>478.31162399999999</v>
      </c>
      <c r="W325" s="3">
        <f>336+(242.3-37)+(0.51408+(0.370719-0.05661))+0-0-0</f>
        <v>542.12818899999991</v>
      </c>
      <c r="X325" s="3">
        <f>423+(191.7-42)+(-0.43146+(-0.195534--0.04284))+0-0-0</f>
        <v>572.11584600000003</v>
      </c>
      <c r="Y325" s="3">
        <f>421+(182.4-42)+(-0.42942+(-0.186048--0.04284))+0-0-0</f>
        <v>560.82737199999997</v>
      </c>
      <c r="Z325" s="3">
        <f>424+(166.4-45.5)+(-0.64872+(-0.254592--0.069615))+0-0-0</f>
        <v>544.06630299999995</v>
      </c>
      <c r="AA325" s="3">
        <f>416+(154.3-45.9)+(-0.63648+(-0.236079--0.070227))+0-0-0</f>
        <v>523.597668</v>
      </c>
      <c r="AB325" s="3">
        <f>404+(135.1-42.5)+(0.20604+(0.068901-0.021675))+0-0-0</f>
        <v>496.85326600000002</v>
      </c>
      <c r="AC325" s="3">
        <f>376+(131.3-35.3)+(-0.38352+(-0.133926--0.036006))+0-0-0</f>
        <v>471.51855999999998</v>
      </c>
      <c r="AD325" s="2">
        <v>576.19999999999993</v>
      </c>
      <c r="AE325" s="3">
        <v>5723.1</v>
      </c>
    </row>
    <row r="326" spans="1:31" s="2" customFormat="1" x14ac:dyDescent="0.3">
      <c r="A326">
        <v>91</v>
      </c>
      <c r="B326">
        <v>11</v>
      </c>
      <c r="C326">
        <v>20</v>
      </c>
      <c r="D326">
        <v>7</v>
      </c>
      <c r="E326">
        <v>1</v>
      </c>
      <c r="F326" s="3">
        <f>373+(110.8-37.7)+(-0.19023+(-0.056508--0.019227))+0-0-0</f>
        <v>445.87248900000003</v>
      </c>
      <c r="G326" s="3">
        <f>373+(97.5-40.9)+(-0.19023+(-0.049725--0.020859))+0-0-0</f>
        <v>429.38090400000004</v>
      </c>
      <c r="H326" s="3">
        <f>315+(128.3-28)+(-0.16065+(-0.065433--0.01428))+0-0-0</f>
        <v>415.08819700000004</v>
      </c>
      <c r="I326" s="3">
        <f>284+(150.7-28)+(0.14484+(0.076857-0.01428))+0-0-0</f>
        <v>406.90741700000001</v>
      </c>
      <c r="J326" s="3">
        <f>284+(161.1-33)+(-0.43452+(-0.246483--0.05049))+0-0-0</f>
        <v>411.46948700000002</v>
      </c>
      <c r="K326" s="3">
        <f>323+(171-35)+(0+(0-0))+0-0-0</f>
        <v>459</v>
      </c>
      <c r="L326" s="3">
        <f>331+(190.9-44)+(-1.01286+(-0.584154--0.13464))+0-0-0</f>
        <v>476.43762599999997</v>
      </c>
      <c r="M326" s="3">
        <f>332+(195.3-31)+(-0.33864+(-0.199206--0.03162))+0-0-0</f>
        <v>495.79377399999998</v>
      </c>
      <c r="N326" s="3">
        <f>304+(232.8-39)+(0.31008+(0.237456-0.03978))+0-0-0</f>
        <v>498.30775599999998</v>
      </c>
      <c r="O326" s="3">
        <f>327+(209.7-35)+(0.83385+(0.534735-0.08925))+0-0-0</f>
        <v>502.97933499999999</v>
      </c>
      <c r="P326" s="3">
        <f>332+(204.7-34)+(0.33864+(0.208794-0.03468))+0-0-0</f>
        <v>503.21275399999996</v>
      </c>
      <c r="Q326" s="3">
        <f>329+(209.8-33)+(-0.67116+(-0.427992--0.06732))+0-0-0</f>
        <v>504.768168</v>
      </c>
      <c r="R326" s="3">
        <f>326+(202.4-35)+(0+(0-0))+0-0-0</f>
        <v>493.4</v>
      </c>
      <c r="S326" s="3">
        <f>302+(197.9-29)+(-0.30804+(-0.201858--0.02958))+0-0-0</f>
        <v>470.41968199999997</v>
      </c>
      <c r="T326" s="3">
        <f>267+(203.3-30)+(0.40851+(0.311049-0.0459))+0-0-0</f>
        <v>440.973659</v>
      </c>
      <c r="U326" s="3">
        <f>261+(212.2-35)+(-0.26622+(-0.216444--0.0357))+0-0-0</f>
        <v>437.75303600000001</v>
      </c>
      <c r="V326" s="3">
        <f>298+(201.2-38)+(0.15198+(0.102612-0.01938))+0-0-0</f>
        <v>461.43521199999998</v>
      </c>
      <c r="W326" s="3">
        <f>345+(218.2-42)+(-0.3519+(-0.222564--0.04284))+0-0-0</f>
        <v>520.66837600000008</v>
      </c>
      <c r="X326" s="3">
        <f>452+(165.7-52.8)+(0.46104+(0.169014-0.053856))+0-0-0</f>
        <v>565.47619799999995</v>
      </c>
      <c r="Y326" s="3">
        <f>451+(158.3-51.5)+(-0.69003+(-0.242199--0.078795))+0-0-0</f>
        <v>556.94656599999996</v>
      </c>
      <c r="Z326" s="3">
        <f>422+(162.9-44.3)+(-0.64566+(-0.249237--0.067779))+0-0-0</f>
        <v>539.77288199999998</v>
      </c>
      <c r="AA326" s="3">
        <f>417+(142-45.9)+(-1.06335+(-0.3621--0.117045))+0-0-0</f>
        <v>511.79159500000003</v>
      </c>
      <c r="AB326" s="3">
        <f>380+(138.6-33.6)+(-0.1938+(-0.070686--0.017136))+0-0-0</f>
        <v>484.75265000000002</v>
      </c>
      <c r="AC326" s="3">
        <f>352+(128.3-27)+(-0.8976+(-0.327165--0.06885))+0-0-0</f>
        <v>452.14408500000002</v>
      </c>
      <c r="AD326" s="2">
        <v>563.19999999999993</v>
      </c>
      <c r="AE326" s="3">
        <v>4504.5</v>
      </c>
    </row>
    <row r="327" spans="1:31" s="2" customFormat="1" x14ac:dyDescent="0.3">
      <c r="A327">
        <v>91</v>
      </c>
      <c r="B327">
        <v>11</v>
      </c>
      <c r="C327">
        <v>21</v>
      </c>
      <c r="D327">
        <v>1</v>
      </c>
      <c r="E327">
        <v>6</v>
      </c>
      <c r="F327" s="3">
        <f>328+(125.4-29)+(-0.50184+(-0.191862--0.04437))+0-0-0</f>
        <v>423.75066799999996</v>
      </c>
      <c r="G327" s="3">
        <f>285+(148.4-28)+(-0.72675+(-0.37842--0.0714))+0-0-0</f>
        <v>404.36622999999997</v>
      </c>
      <c r="H327" s="3">
        <f>285+(139.6-29)+(-0.14535+(-0.071196--0.01479))+0-0-0</f>
        <v>395.39824400000003</v>
      </c>
      <c r="I327" s="3">
        <f>284+(137.8-31)+(-0.14484+(-0.070278--0.01581))+0-0-0</f>
        <v>390.60069200000004</v>
      </c>
      <c r="J327" s="3">
        <f>284+(146.3-33)+(-0.28968+(-0.149226--0.03366))+0-0-0</f>
        <v>396.89475400000003</v>
      </c>
      <c r="K327" s="3">
        <f>284+(199.1-34)+(0.57936+(0.406164-0.06936))+0-0-0</f>
        <v>450.016164</v>
      </c>
      <c r="L327" s="3">
        <f>283+(244.5-43)+(-0.14433+(-0.124695--0.02193))+0-0-0</f>
        <v>484.252905</v>
      </c>
      <c r="M327" s="3">
        <f>282+(250.5-43)+(0.14382+(0.127755-0.02193))+0-0-0</f>
        <v>489.74964499999999</v>
      </c>
      <c r="N327" s="3">
        <f>335+(204.6-36)+(-0.3417+(-0.208692--0.03672))+0-0-0</f>
        <v>503.08632800000004</v>
      </c>
      <c r="O327" s="3">
        <f>336+(197.7-36)+(0.34272+(0.201654-0.03672))+0-0-0</f>
        <v>498.20765399999999</v>
      </c>
      <c r="P327" s="3">
        <f>335+(192.3-36)+(-0.85425+(-0.490365--0.0918))+0-0-0</f>
        <v>490.04718500000001</v>
      </c>
      <c r="Q327" s="3">
        <f>332+(183-33)+(0.16932+(0.09333-0.01683))+0-0-0</f>
        <v>482.24581999999998</v>
      </c>
      <c r="R327" s="3">
        <f>324+(187.1-33)+(-0.16524+(-0.095421--0.01683))+0-0-0</f>
        <v>477.85616900000002</v>
      </c>
      <c r="S327" s="3">
        <f>296+(198-35)+(0.15096+(0.10098-0.01785))+0-0-0</f>
        <v>459.23408999999998</v>
      </c>
      <c r="T327" s="3">
        <f>279+(195.4-30)+(0+(0-0))+0-0-0</f>
        <v>444.4</v>
      </c>
      <c r="U327" s="3">
        <f>281+(195.1-30)+(0+(0-0))+0-0-0</f>
        <v>446.1</v>
      </c>
      <c r="V327" s="3">
        <f>288+(207.5-33)+(-0.14688+(-0.105825--0.01683))+0-0-0</f>
        <v>462.26412499999998</v>
      </c>
      <c r="W327" s="3">
        <f>353+(204.9-35)+(0.54009+(0.313497-0.05355))+0-0-0</f>
        <v>523.70003699999995</v>
      </c>
      <c r="X327" s="3">
        <f>450+(153.7-48.5)+(-0.6885+(-0.235161--0.074205))+0-0-0</f>
        <v>554.35054400000001</v>
      </c>
      <c r="Y327" s="3">
        <f>449+(146.3-50.8)+(-0.91596+(-0.298452--0.103632))+0-0-0</f>
        <v>543.38922000000002</v>
      </c>
      <c r="Z327" s="3">
        <f>450+(130.3-52.7)+(-0.459+(-0.132906--0.053754))+0-0-0</f>
        <v>527.06184800000005</v>
      </c>
      <c r="AA327" s="3">
        <f>445+(111.5-53.4)+(-0.4539+(-0.11373--0.054468))+0-0-0</f>
        <v>502.586838</v>
      </c>
      <c r="AB327" s="3">
        <f>442+(91.1-54.2)+(-0.22542+(-0.046461--0.027642))+0-0-0</f>
        <v>478.65576099999998</v>
      </c>
      <c r="AC327" s="3">
        <f>420+(83.2-50.5)+(-1.071+(-0.21216--0.128775))+0-0-0</f>
        <v>451.545615</v>
      </c>
      <c r="AD327" s="2">
        <v>564.5</v>
      </c>
      <c r="AE327" s="3">
        <v>5515.4000000000005</v>
      </c>
    </row>
    <row r="328" spans="1:31" s="2" customFormat="1" x14ac:dyDescent="0.3">
      <c r="A328">
        <v>91</v>
      </c>
      <c r="B328">
        <v>11</v>
      </c>
      <c r="C328">
        <v>22</v>
      </c>
      <c r="D328">
        <v>2</v>
      </c>
      <c r="E328">
        <v>2</v>
      </c>
      <c r="F328" s="3">
        <f>364+(94-34.6)+(-0.74256+(-0.19176--0.070584))+0-0-0</f>
        <v>422.53626399999996</v>
      </c>
      <c r="G328" s="3">
        <f>300+(131.9-29)+(0.306+(0.134538-0.02958))+0-0-0</f>
        <v>403.31095799999997</v>
      </c>
      <c r="H328" s="3">
        <f>285+(138.7-30)+(-0.14535+(-0.070737--0.0153))+0-0-0</f>
        <v>393.499213</v>
      </c>
      <c r="I328" s="3">
        <f>285+(132.7-30)+(0.14535+(0.067677-0.0153))+0-0-0</f>
        <v>387.89772699999997</v>
      </c>
      <c r="J328" s="3">
        <f>285+(139-32)+(-0.14535+(-0.07089--0.01632))+0-0-0</f>
        <v>391.80007999999998</v>
      </c>
      <c r="K328" s="3">
        <f>285+(186.4-33)+(0.43605+(0.285192-0.05049))+0-0-0</f>
        <v>439.07075199999997</v>
      </c>
      <c r="L328" s="3">
        <f>285+(215.2-45)+(0+(0-0))+0-0-0</f>
        <v>455.2</v>
      </c>
      <c r="M328" s="3">
        <f>285+(222.9-40)+(0.14535+(0.113679-0.0204))+0-0-0</f>
        <v>468.13862899999998</v>
      </c>
      <c r="N328" s="3">
        <f>309+(202.5-37)+(0.15759+(0.103275-0.01887))+0-0-0</f>
        <v>474.74199499999997</v>
      </c>
      <c r="O328" s="3">
        <f>363+(150.2-37)+(0+(0-0))+0-0-0</f>
        <v>476.2</v>
      </c>
      <c r="P328" s="3">
        <f>363+(149.2-27)+(-0.18513+(-0.076092--0.01377))+0-0-0</f>
        <v>484.95254799999998</v>
      </c>
      <c r="Q328" s="3">
        <f>363+(147.8-27)+(-0.18513+(-0.075378--0.01377))+0-0-0</f>
        <v>483.55326200000002</v>
      </c>
      <c r="R328" s="3">
        <f>307+(198.3-32)+(-0.15657+(-0.101133--0.01632))+0-0-0</f>
        <v>473.05861700000003</v>
      </c>
      <c r="S328" s="3">
        <f>283+(200.6-33)+(0.14433+(0.102306-0.01683))+0-0-0</f>
        <v>450.82980600000002</v>
      </c>
      <c r="T328" s="3">
        <f>283+(189.5-33)+(0.14433+(0.096645-0.01683))+0-0-0</f>
        <v>439.72414500000002</v>
      </c>
      <c r="U328" s="3">
        <f>283+(190.6-32)+(-0.57732+(-0.388824--0.06528))+0-0-0</f>
        <v>440.69913600000001</v>
      </c>
      <c r="V328" s="3">
        <f>288+(203.4-35)+(0.44064+(0.311202-0.05355))+0-0-0</f>
        <v>457.09829199999996</v>
      </c>
      <c r="W328" s="3">
        <f>412+(157.8-44.1)+(0.21012+(0.080478-0.022491))+0-0-0</f>
        <v>525.96810700000003</v>
      </c>
      <c r="X328" s="3">
        <f>442+(164.2-47.4)+(0+(0-0))+0-0-0</f>
        <v>558.79999999999995</v>
      </c>
      <c r="Y328" s="3">
        <f>440+(156.7-45.7)+(-0.6732+(-0.239751--0.069921))+0-0-0</f>
        <v>550.15697</v>
      </c>
      <c r="Z328" s="3">
        <f>435+(144.5-45.6)+(-0.8874+(-0.29478--0.093024))+0-0-0</f>
        <v>532.81084399999997</v>
      </c>
      <c r="AA328" s="3">
        <f>431+(128-46.7)+(-1.09905+(-0.3264--0.119085))+0-0-0</f>
        <v>510.99363499999993</v>
      </c>
      <c r="AB328" s="3">
        <f>431+(104.3-51.2)+(-0.21981+(-0.053193--0.026112))+0-0-0</f>
        <v>483.85310900000002</v>
      </c>
      <c r="AC328" s="3">
        <f>394+(99.2-41.6)+(-0.60282+(-0.151776--0.063648))+0-0-0</f>
        <v>450.90905200000003</v>
      </c>
      <c r="AD328" s="2">
        <v>555.4</v>
      </c>
      <c r="AE328" s="3">
        <v>4634.2</v>
      </c>
    </row>
    <row r="329" spans="1:31" s="2" customFormat="1" x14ac:dyDescent="0.3">
      <c r="A329">
        <v>91</v>
      </c>
      <c r="B329">
        <v>11</v>
      </c>
      <c r="C329">
        <v>23</v>
      </c>
      <c r="D329">
        <v>3</v>
      </c>
      <c r="E329">
        <v>1</v>
      </c>
      <c r="F329" s="3">
        <f>358+(96.2-35.3)+(0+(0-0))+0-0-0</f>
        <v>418.9</v>
      </c>
      <c r="G329" s="3">
        <f>344+(90.7-33.2)+(-0.17544+(-0.046257--0.016932))+0-0-0</f>
        <v>401.29523499999999</v>
      </c>
      <c r="H329" s="3">
        <f>285+(132-30)+(0+(0-0))+0-0-0</f>
        <v>387</v>
      </c>
      <c r="I329" s="3">
        <f>285+(129.5-32)+(-0.14535+(-0.066045--0.01632))+0-0-0</f>
        <v>382.30492500000003</v>
      </c>
      <c r="J329" s="3">
        <f>285+(139.2-34)+(0+(0-0))+0-0-0</f>
        <v>390.2</v>
      </c>
      <c r="K329" s="3">
        <f>285+(189.9-39)+(0.2907+(0.193698-0.03978))+0-0-0</f>
        <v>436.34461799999997</v>
      </c>
      <c r="L329" s="3">
        <f>285+(236.5-42)+(-0.2907+(-0.24123--0.04284))+0-0-0</f>
        <v>479.01091000000002</v>
      </c>
      <c r="M329" s="3">
        <f>288+(238.2-39)+(-0.14688+(-0.121482--0.01989))+0-0-0</f>
        <v>486.951528</v>
      </c>
      <c r="N329" s="3">
        <f>380+(151.9-37)+(-0.3876+(-0.154938--0.03774))+0-0-0</f>
        <v>494.39520199999998</v>
      </c>
      <c r="O329" s="3">
        <f>423+(126.7-50.7)+(-1.07865+(-0.323085--0.129285))+0-0-0</f>
        <v>497.72755000000001</v>
      </c>
      <c r="P329" s="3">
        <f>429+(117.6-49.1)+(-0.65637+(-0.179928--0.075123))+0-0-0</f>
        <v>496.73882500000002</v>
      </c>
      <c r="Q329" s="3">
        <f>434+(106.9-45.3)+(-1.1067+(-0.272595--0.115515))+0-0-0</f>
        <v>494.33622000000003</v>
      </c>
      <c r="R329" s="3">
        <f>423+(106.6-45.2)+(-0.43146+(-0.108732--0.046104))+0-0-0</f>
        <v>483.905912</v>
      </c>
      <c r="S329" s="3">
        <f>345+(132.3-31)+(-0.87975+(-0.337365--0.07905))+0-0-0</f>
        <v>445.16193500000003</v>
      </c>
      <c r="T329" s="3">
        <f>335+(143.9-31)+(-0.17085+(-0.073389--0.01581))+0-0-0</f>
        <v>447.67157099999997</v>
      </c>
      <c r="U329" s="3">
        <f>295+(177-31)+(0.15045+(0.09027-0.01581))+0-0-0</f>
        <v>441.22491000000002</v>
      </c>
      <c r="V329" s="3">
        <f>303+(183.4-32)+(-0.30906+(-0.187068--0.03264))+0-0-0</f>
        <v>453.93651199999999</v>
      </c>
      <c r="W329" s="3">
        <f>315+(242.4-39)+(-0.16065+(-0.123624--0.01989))+0-0-0</f>
        <v>518.13561600000003</v>
      </c>
      <c r="X329" s="3">
        <f>374+(225-41)+(0+(0-0))+0-0-0</f>
        <v>558</v>
      </c>
      <c r="Y329" s="3">
        <f>374+(218.4-39)+(-0.19074+(-0.111384--0.01989))+0-0-0</f>
        <v>553.11776599999996</v>
      </c>
      <c r="Z329" s="3">
        <f>373+(197.2-36)+(0+(0-0))+0-0-0</f>
        <v>534.20000000000005</v>
      </c>
      <c r="AA329" s="3">
        <f>354+(179.9-32)+(-0.54162+(-0.275247--0.04896))+0-0-0</f>
        <v>501.132093</v>
      </c>
      <c r="AB329" s="3">
        <f>302+(201.1-30)+(-0.61608+(-0.410244--0.0612))+0-0-0</f>
        <v>472.13487600000002</v>
      </c>
      <c r="AC329" s="3">
        <f>292+(183.6-29)+(-0.7446+(-0.46818--0.07395))+0-0-0</f>
        <v>445.46117000000004</v>
      </c>
      <c r="AD329" s="2">
        <v>559.1</v>
      </c>
      <c r="AE329" s="3">
        <v>5710.5</v>
      </c>
    </row>
    <row r="330" spans="1:31" s="2" customFormat="1" x14ac:dyDescent="0.3">
      <c r="A330">
        <v>91</v>
      </c>
      <c r="B330">
        <v>11</v>
      </c>
      <c r="C330">
        <v>24</v>
      </c>
      <c r="D330">
        <v>4</v>
      </c>
      <c r="E330">
        <v>1</v>
      </c>
      <c r="F330" s="3">
        <f>284+(165.2-29)+(-0.14484+(-0.084252--0.01479))+0-0-0</f>
        <v>419.98569800000001</v>
      </c>
      <c r="G330" s="3">
        <f>284+(148.8-29)+(-0.28968+(-0.151776--0.02958))+0-0-0</f>
        <v>403.388124</v>
      </c>
      <c r="H330" s="3">
        <f>284+(138.5-29)+(0.14484+(0.070635-0.01479))+0-0-0</f>
        <v>393.70068500000002</v>
      </c>
      <c r="I330" s="3">
        <f>284+(135.2-30)+(-0.28968+(-0.137904--0.0306))+0-0-0</f>
        <v>388.80301600000001</v>
      </c>
      <c r="J330" s="3">
        <f>284+(144.2-33)+(-0.28968+(-0.147084--0.03366))+0-0-0</f>
        <v>394.796896</v>
      </c>
      <c r="K330" s="3">
        <f>284+(183.6-35)+(-0.43452+(-0.280908--0.05355))+0-0-0</f>
        <v>431.93812200000002</v>
      </c>
      <c r="L330" s="3">
        <f>282+(225.8-42)+(-0.43146+(-0.345474--0.06426))+0-0-0</f>
        <v>465.08732600000002</v>
      </c>
      <c r="M330" s="3">
        <f>323+(202.8-38)+(-0.49419+(-0.310284--0.05814))+0-0-0</f>
        <v>487.05366600000002</v>
      </c>
      <c r="N330" s="3">
        <f>348+(174.7-36.4)+(0+(0-0))+0-0-0</f>
        <v>486.29999999999995</v>
      </c>
      <c r="O330" s="3">
        <f>350+(164.7-32.8)+(-0.357+(-0.167994--0.033456))+0-0-0</f>
        <v>481.40846199999999</v>
      </c>
      <c r="P330" s="3">
        <f>350+(165.1-29)+(-0.1785+(-0.084201--0.01479))+0-0-0</f>
        <v>485.85208900000003</v>
      </c>
      <c r="Q330" s="3">
        <f>348+(165.5-26)+(-0.35496+(-0.16881--0.02652))+0-0-0</f>
        <v>487.00274999999999</v>
      </c>
      <c r="R330" s="3">
        <f>344+(166.3-26)+(-0.70176+(-0.339252--0.05304))+0-0-0</f>
        <v>483.312028</v>
      </c>
      <c r="S330" s="3">
        <f>341+(158.6-29.1)+(0+(0-0))+0-0-0</f>
        <v>470.5</v>
      </c>
      <c r="T330" s="3">
        <f>372+(121.7-38.2)+(0.37944+(0.124134-0.038964))+0-0-0</f>
        <v>455.96460999999999</v>
      </c>
      <c r="U330" s="3">
        <f>400+(104.9-46.9)+(-0.204+(-0.053499--0.023919))+0-0-0</f>
        <v>457.76641999999998</v>
      </c>
      <c r="V330" s="3">
        <f>409+(114.5-48.6)+(-0.41718+(-0.11679--0.049572))+0-0-0</f>
        <v>474.41560199999998</v>
      </c>
      <c r="W330" s="3">
        <f>411+(160.8-39)+(0.62883+(0.246024-0.05967))+0-0-0</f>
        <v>533.615184</v>
      </c>
      <c r="X330" s="3">
        <f>433+(175.5-42)+(-0.44166+(-0.17901--0.04284))+0-0-0</f>
        <v>565.92217000000005</v>
      </c>
      <c r="Y330" s="3">
        <f>443+(153-42.4)+(-0.22593+(-0.07803--0.021624))+0-0-0</f>
        <v>553.31766400000004</v>
      </c>
      <c r="Z330" s="3">
        <f>390+(179.4-38)+(0+(0-0))+0-0-0</f>
        <v>531.4</v>
      </c>
      <c r="AA330" s="3">
        <f>350+(182.9-34)+(0+(0-0))+0-0-0</f>
        <v>498.9</v>
      </c>
      <c r="AB330" s="3">
        <f>349+(160.9-32)+(-1.24593+(-0.574413--0.11424))+0-0-0</f>
        <v>476.19389699999999</v>
      </c>
      <c r="AC330" s="3">
        <f>348+(129.5-30)+(-1.24236+(-0.462315--0.1071))+0-0-0</f>
        <v>445.90242499999999</v>
      </c>
      <c r="AD330" s="2">
        <v>573.29999999999995</v>
      </c>
      <c r="AE330" s="3">
        <v>5843.5</v>
      </c>
    </row>
    <row r="331" spans="1:31" s="2" customFormat="1" x14ac:dyDescent="0.3">
      <c r="A331">
        <v>91</v>
      </c>
      <c r="B331">
        <v>11</v>
      </c>
      <c r="C331">
        <v>25</v>
      </c>
      <c r="D331">
        <v>5</v>
      </c>
      <c r="E331">
        <v>1</v>
      </c>
      <c r="F331" s="3">
        <f>328+(111.1-30)+(0+(0-0))+0-0-0</f>
        <v>409.1</v>
      </c>
      <c r="G331" s="3">
        <f>285+(132.9-30)+(0+(0-0))+0-0-0</f>
        <v>387.9</v>
      </c>
      <c r="H331" s="3">
        <f>285+(120.6-31)+(0.14535+(0.061506-0.01581))+0-0-0</f>
        <v>374.79104599999999</v>
      </c>
      <c r="I331" s="3">
        <f>285+(118.8-31)+(0+(0-0))+0-0-0</f>
        <v>372.8</v>
      </c>
      <c r="J331" s="3">
        <f>285+(129-33)+(0+(0-0))+0-0-0</f>
        <v>381</v>
      </c>
      <c r="K331" s="3">
        <f>285+(179.4-35)+(0.2907+(0.182988-0.0357))+0-0-0</f>
        <v>429.837988</v>
      </c>
      <c r="L331" s="3">
        <f>327+(186.6-41)+(0+(0-0))+0-0-0</f>
        <v>472.6</v>
      </c>
      <c r="M331" s="3">
        <f>348+(171.5-41)+(-0.35496+(-0.17493--0.04182))+0-0-0</f>
        <v>478.01193000000001</v>
      </c>
      <c r="N331" s="3">
        <f>361+(169.2-53.6)+(0.36822+(0.172584-0.054672))+0-0-0</f>
        <v>477.08613200000002</v>
      </c>
      <c r="O331" s="3">
        <f>391+(151.9-63.1)+(-0.99705+(-0.387345--0.160905))+0-0-0</f>
        <v>478.57650999999998</v>
      </c>
      <c r="P331" s="3">
        <f>350+(171.5-43.9)+(-0.1785+(-0.087465--0.022389))+0-0-0</f>
        <v>477.356424</v>
      </c>
      <c r="Q331" s="3">
        <f>337+(168.2-36.3)+(-0.51561+(-0.257346--0.055539))+0-0-0</f>
        <v>468.18258299999997</v>
      </c>
      <c r="R331" s="3">
        <f>370+(157.4-43.8)+(-0.1887+(-0.080274--0.022338))+0-0-0</f>
        <v>483.353364</v>
      </c>
      <c r="S331" s="3">
        <f>369+(135.1-47.2)+(-0.37638+(-0.137802--0.048144))+0-0-0</f>
        <v>456.43396199999995</v>
      </c>
      <c r="T331" s="3">
        <f>370+(115.3-47.6)+(0.3774+(0.117606-0.048552))+0-0-0</f>
        <v>438.14645400000001</v>
      </c>
      <c r="U331" s="3">
        <f>372+(114.7-49.8)+(-0.18972+(-0.058497--0.025398))+0-0-0</f>
        <v>436.67718099999996</v>
      </c>
      <c r="V331" s="3">
        <f>330+(152-34)+(-0.8415+(-0.3876--0.0867))+0-0-0</f>
        <v>446.85759999999999</v>
      </c>
      <c r="W331" s="3">
        <f>334+(215.9-38)+(0.51102+(0.330327-0.05814))+0-0-0</f>
        <v>512.68320699999992</v>
      </c>
      <c r="X331" s="3">
        <f>463+(141.6-56.2)+(0+(0-0))+0-0-0</f>
        <v>548.4</v>
      </c>
      <c r="Y331" s="3">
        <f>461+(132.1-57.1)+(-0.94044+(-0.269484--0.116484))+0-0-0</f>
        <v>534.90656000000001</v>
      </c>
      <c r="Z331" s="3">
        <f>458+(114.5-60.7)+(-0.93432+(-0.23358--0.123828))+0-0-0</f>
        <v>510.75592799999998</v>
      </c>
      <c r="AA331" s="3">
        <f>383+(132.1-35)+(-0.19533+(-0.067371--0.01785))+0-0-0</f>
        <v>479.85514900000004</v>
      </c>
      <c r="AB331" s="3">
        <f>352+(130.9-33)+(-0.71808+(-0.267036--0.06732))+0-0-0</f>
        <v>448.98220399999997</v>
      </c>
      <c r="AC331" s="3">
        <f>293+(160.5-32)+(-0.59772+(-0.32742--0.06528))+0-0-0</f>
        <v>420.64013999999997</v>
      </c>
      <c r="AD331" s="2">
        <v>549.1</v>
      </c>
      <c r="AE331" s="3">
        <v>5722.6</v>
      </c>
    </row>
    <row r="332" spans="1:31" s="2" customFormat="1" x14ac:dyDescent="0.3">
      <c r="A332">
        <v>91</v>
      </c>
      <c r="B332">
        <v>11</v>
      </c>
      <c r="C332">
        <v>26</v>
      </c>
      <c r="D332">
        <v>6</v>
      </c>
      <c r="E332">
        <v>1</v>
      </c>
      <c r="F332" s="3">
        <f>284+(145.4-30)+(-0.57936+(-0.296616--0.0612))+0-0-0</f>
        <v>398.58522399999998</v>
      </c>
      <c r="G332" s="3">
        <f>284+(127.6-28)+(-0.14484+(-0.065076--0.01428))+0-0-0</f>
        <v>383.40436400000004</v>
      </c>
      <c r="H332" s="3">
        <f>284+(117.2-28)+(-0.28968+(-0.119544--0.02856))+0-0-0</f>
        <v>372.81933599999996</v>
      </c>
      <c r="I332" s="3">
        <f>284+(113.5-32)+(-0.28968+(-0.11577--0.03264))+0-0-0</f>
        <v>365.12718999999998</v>
      </c>
      <c r="J332" s="3">
        <f>284+(120.7-35)+(0.14484+(0.061557-0.01785))+0-0-0</f>
        <v>369.88854700000002</v>
      </c>
      <c r="K332" s="3">
        <f>284+(157.3-38)+(-0.14484+(-0.080223--0.01938))+0-0-0</f>
        <v>403.09431699999999</v>
      </c>
      <c r="L332" s="3">
        <f>283+(187.5-40)+(-0.57732+(-0.3825--0.0816))+0-0-0</f>
        <v>429.62178</v>
      </c>
      <c r="M332" s="3">
        <f>283+(201.5-40)+(0.28866+(0.20553-0.0408))+0-0-0</f>
        <v>444.95339000000001</v>
      </c>
      <c r="N332" s="3">
        <f>283+(217.8-36)+(-0.28866+(-0.222156--0.03672))+0-0-0</f>
        <v>464.32590400000004</v>
      </c>
      <c r="O332" s="3">
        <f>294+(210.1-32)+(0.7497+(0.535755-0.0816))+0-0-0</f>
        <v>473.303855</v>
      </c>
      <c r="P332" s="3">
        <f>377+(132.5-28)+(-0.57681+(-0.202725--0.04284))+0-0-0</f>
        <v>480.763305</v>
      </c>
      <c r="Q332" s="3">
        <f>409+(116.7-38.9)+(-0.41718+(-0.119034--0.039678))+0-0-0</f>
        <v>486.30346400000002</v>
      </c>
      <c r="R332" s="3">
        <f>400+(120.2-37.7)+(-1.428+(-0.429114--0.134589))+0-0-0</f>
        <v>480.77747499999998</v>
      </c>
      <c r="S332" s="3">
        <f>353+(140.2-32)+(-0.18003+(-0.071502--0.01632))+0-0-0</f>
        <v>460.964788</v>
      </c>
      <c r="T332" s="3">
        <f>283+(196.4-30)+(-0.14433+(-0.100164--0.0153))+0-0-0</f>
        <v>449.17080599999997</v>
      </c>
      <c r="U332" s="3">
        <f>283+(195.1-35)+(-0.28866+(-0.199002--0.0357))+0-0-0</f>
        <v>442.64803800000004</v>
      </c>
      <c r="V332" s="3">
        <f>288+(206.4-38)+(0.29376+(0.210528-0.03876))+0-0-0</f>
        <v>456.86552799999998</v>
      </c>
      <c r="W332" s="3">
        <f>321+(226.7-40)+(0.32742+(0.231234-0.0408))+0-0-0</f>
        <v>508.21785399999999</v>
      </c>
      <c r="X332" s="3">
        <f>397+(190.1-42)+(-0.60741+(-0.290853--0.06426))+0-0-0</f>
        <v>544.26599699999997</v>
      </c>
      <c r="Y332" s="3">
        <f>353+(219-42)+(0.18003+(0.11169-0.02142))+0-0-0</f>
        <v>530.27030000000002</v>
      </c>
      <c r="Z332" s="3">
        <f>344+(205.4-38)+(-0.35088+(-0.209508--0.03876))+0-0-0</f>
        <v>510.87837199999996</v>
      </c>
      <c r="AA332" s="3">
        <f>344+(179.2-34)+(0+(0-0))+0-0-0</f>
        <v>489.2</v>
      </c>
      <c r="AB332" s="3">
        <f>343+(163.4-33)+(-0.34986+(-0.166668--0.03366))+0-0-0</f>
        <v>472.91713199999998</v>
      </c>
      <c r="AC332" s="3">
        <f>327+(150.1-33)+(0.16677+(0.076551-0.01683))+0-0-0</f>
        <v>444.32649100000003</v>
      </c>
      <c r="AD332" s="2">
        <v>547.1</v>
      </c>
      <c r="AE332" s="3">
        <v>5595</v>
      </c>
    </row>
    <row r="333" spans="1:31" s="2" customFormat="1" x14ac:dyDescent="0.3">
      <c r="A333">
        <v>91</v>
      </c>
      <c r="B333">
        <v>11</v>
      </c>
      <c r="C333">
        <v>27</v>
      </c>
      <c r="D333">
        <v>7</v>
      </c>
      <c r="E333">
        <v>1</v>
      </c>
      <c r="F333" s="3">
        <f>286+(165-31)+(0.14586+(0.08415-0.01581))+0-0-0</f>
        <v>420.21420000000001</v>
      </c>
      <c r="G333" s="3">
        <f>286+(147.2-29)+(0.14586+(0.075072-0.01479))+0-0-0</f>
        <v>404.40614199999999</v>
      </c>
      <c r="H333" s="3">
        <f>286+(134.1-29)+(0+(0-0))+0-0-0</f>
        <v>391.1</v>
      </c>
      <c r="I333" s="3">
        <f>286+(129.8-29)+(-0.14586+(-0.066198--0.01479))+0-0-0</f>
        <v>386.602732</v>
      </c>
      <c r="J333" s="3">
        <f>286+(137.2-30)+(-0.29172+(-0.139944--0.0306))+0-0-0</f>
        <v>392.79893599999997</v>
      </c>
      <c r="K333" s="3">
        <f>286+(173.6-33)+(0.43758+(0.265608-0.05049))+0-0-0</f>
        <v>427.25269800000001</v>
      </c>
      <c r="L333" s="3">
        <f>307+(176.2-38)+(-0.15657+(-0.089862--0.01938))+0-0-0</f>
        <v>444.97294799999997</v>
      </c>
      <c r="M333" s="3">
        <f>325+(173.8-36)+(0.3315+(0.177276-0.03672))+0-0-0</f>
        <v>463.27205600000002</v>
      </c>
      <c r="N333" s="3">
        <f>318+(188.3-36)+(-0.16218+(-0.096033--0.01836))+0-0-0</f>
        <v>470.06014700000003</v>
      </c>
      <c r="O333" s="3">
        <f>321+(201-35)+(-0.16371+(-0.10251--0.01785))+0-0-0</f>
        <v>486.75162999999998</v>
      </c>
      <c r="P333" s="3">
        <f>321+(209.7-35)+(-0.65484+(-0.427788--0.0714))+0-0-0</f>
        <v>494.68877199999997</v>
      </c>
      <c r="Q333" s="3">
        <f>325+(214-37)+(-0.49725+(-0.32742--0.05661))+0-0-0</f>
        <v>501.23194000000001</v>
      </c>
      <c r="R333" s="3">
        <f>311+(229.3-39)+(-1.11027+(-0.818601--0.13923))+0-0-0</f>
        <v>499.51035899999999</v>
      </c>
      <c r="S333" s="3">
        <f>281+(239.6-33)+(-0.28662+(-0.244392--0.03366))+0-0-0</f>
        <v>487.10264800000004</v>
      </c>
      <c r="T333" s="3">
        <f>281+(224.4-33)+(-0.14331+(-0.114444--0.01683))+0-0-0</f>
        <v>472.15907599999997</v>
      </c>
      <c r="U333" s="3">
        <f>281+(230.3-36)+(0.14331+(0.117453-0.01836))+0-0-0</f>
        <v>475.54240300000004</v>
      </c>
      <c r="V333" s="3">
        <f>287+(243.3-36)+(0+(0-0))+0-0-0</f>
        <v>494.3</v>
      </c>
      <c r="W333" s="3">
        <f>344+(239.8-39)+(0+(0-0))+0-0-0</f>
        <v>544.79999999999995</v>
      </c>
      <c r="X333" s="3">
        <f>374+(244.2-43)+(-0.19074+(-0.124542--0.02193))+0-0-0</f>
        <v>574.90664800000002</v>
      </c>
      <c r="Y333" s="3">
        <f>374+(231.9-38)+(-0.76296+(-0.473076--0.07752))+0-0-0</f>
        <v>566.74148400000001</v>
      </c>
      <c r="Z333" s="3">
        <f>371+(210.3-34)+(-0.18921+(-0.107253--0.01734))+0-0-0</f>
        <v>547.02087699999993</v>
      </c>
      <c r="AA333" s="3">
        <f>367+(186.2-32)+(-0.74868+(-0.379848--0.06528))+0-0-0</f>
        <v>520.136752</v>
      </c>
      <c r="AB333" s="3">
        <f>367+(152.4-27)+(-0.93585+(-0.38862--0.06885))+0-0-0</f>
        <v>491.14437999999996</v>
      </c>
      <c r="AC333" s="3">
        <f>366+(120.7-27.1)+(-1.30662+(-0.430899--0.096747))+0-0-0</f>
        <v>457.959228</v>
      </c>
      <c r="AD333" s="2">
        <v>576.29999999999995</v>
      </c>
      <c r="AE333" s="3">
        <v>4540.3</v>
      </c>
    </row>
    <row r="334" spans="1:31" s="2" customFormat="1" x14ac:dyDescent="0.3">
      <c r="A334">
        <v>91</v>
      </c>
      <c r="B334">
        <v>11</v>
      </c>
      <c r="C334">
        <v>28</v>
      </c>
      <c r="D334">
        <v>1</v>
      </c>
      <c r="E334">
        <v>1</v>
      </c>
      <c r="F334" s="3">
        <f>363+(97.1-31.2)+(-0.92565+(-0.247605--0.07956))+0-0-0</f>
        <v>427.80630499999995</v>
      </c>
      <c r="G334" s="3">
        <f>299+(130.6-28)+(-0.76245+(-0.33303--0.0714))+0-0-0</f>
        <v>400.57592</v>
      </c>
      <c r="H334" s="3">
        <f>284+(131.4-30)+(-0.57936+(-0.268056--0.0612))+0-0-0</f>
        <v>384.61378399999995</v>
      </c>
      <c r="I334" s="3">
        <f>284+(129.5-30)+(0.14484+(0.066045-0.0153))+0-0-0</f>
        <v>383.69558499999999</v>
      </c>
      <c r="J334" s="3">
        <f>284+(139.3-33)+(-0.14484+(-0.071043--0.01683))+0-0-0</f>
        <v>390.10094700000002</v>
      </c>
      <c r="K334" s="3">
        <f>284+(194-34)+(-0.28968+(-0.19788--0.03468))+0-0-0</f>
        <v>443.54712000000001</v>
      </c>
      <c r="L334" s="3">
        <f>286+(236.8-43)+(-0.58344+(-0.483072--0.08772))+0-0-0</f>
        <v>478.82120800000001</v>
      </c>
      <c r="M334" s="3">
        <f>356+(178.7-38)+(-0.18156+(-0.091137--0.01938))+0-0-0</f>
        <v>496.44668300000001</v>
      </c>
      <c r="N334" s="3">
        <f>364+(176.5-38)+(0.18564+(0.090015-0.01938))+0-0-0</f>
        <v>502.75627500000002</v>
      </c>
      <c r="O334" s="3">
        <f>363+(174.9-34)+(0.74052+(0.356796-0.06936))+0-0-0</f>
        <v>504.92795599999999</v>
      </c>
      <c r="P334" s="3">
        <f>363+(169.1-33)+(-0.37026+(-0.172482--0.03366))+0-0-0</f>
        <v>498.59091800000004</v>
      </c>
      <c r="Q334" s="3">
        <f>363+(163.6-34)+(0+(0-0))+0-0-0</f>
        <v>492.6</v>
      </c>
      <c r="R334" s="3">
        <f>362+(159.6-39)+(-0.9231+(-0.40698--0.09945))+0-0-0</f>
        <v>481.36937</v>
      </c>
      <c r="S334" s="3">
        <f>363+(146.6-36)+(0.18513+(0.074766-0.01836))+0-0-0</f>
        <v>473.84153600000002</v>
      </c>
      <c r="T334" s="3">
        <f>363+(138.9-35)+(0+(0-0))+0-0-0</f>
        <v>466.9</v>
      </c>
      <c r="U334" s="3">
        <f>363+(135.5-33)+(0+(0-0))+0-0-0</f>
        <v>465.5</v>
      </c>
      <c r="V334" s="3">
        <f>367+(143.6-35)+(0.56151+(0.219708-0.05355))+0-0-0</f>
        <v>476.32766800000002</v>
      </c>
      <c r="W334" s="3">
        <f>387+(193.5-35)+(0.59211+(0.296055-0.05355))+0-0-0</f>
        <v>546.33461499999999</v>
      </c>
      <c r="X334" s="3">
        <f>424+(196.7-42)+(0.64872+(0.300951-0.06426))+0-0-0</f>
        <v>579.58541100000002</v>
      </c>
      <c r="Y334" s="3">
        <f>429+(184.8-39)+(-0.65637+(-0.282744--0.05967))+0-0-0</f>
        <v>573.92055599999992</v>
      </c>
      <c r="Z334" s="3">
        <f>423+(169.7-34)+(-0.43146+(-0.173094--0.03468))+0-0-0</f>
        <v>558.13012600000002</v>
      </c>
      <c r="AA334" s="3">
        <f>411+(149.9-35)+(-0.41922+(-0.152898--0.0357))+0-0-0</f>
        <v>525.36358199999995</v>
      </c>
      <c r="AB334" s="3">
        <f>410+(126.7-37.9)+(-1.4637+(-0.452319--0.135303))+0-0-0</f>
        <v>497.01928400000003</v>
      </c>
      <c r="AC334" s="3">
        <f>412+(100.2-44.4)+(-0.84048+(-0.204408--0.090576))+0-0-0</f>
        <v>466.845688</v>
      </c>
      <c r="AD334" s="2">
        <v>581.79999999999995</v>
      </c>
      <c r="AE334" s="3">
        <v>5765.4000000000005</v>
      </c>
    </row>
    <row r="335" spans="1:31" s="2" customFormat="1" x14ac:dyDescent="0.3">
      <c r="A335">
        <v>91</v>
      </c>
      <c r="B335">
        <v>11</v>
      </c>
      <c r="C335">
        <v>29</v>
      </c>
      <c r="D335">
        <v>2</v>
      </c>
      <c r="E335">
        <v>1</v>
      </c>
      <c r="F335" s="3">
        <f>409+(76.5-48.2)+(-0.41718+(-0.07803--0.049164))+0-0-0</f>
        <v>436.85395399999999</v>
      </c>
      <c r="G335" s="3">
        <f>372+(84.1-37.1)+(-0.75888+(-0.171564--0.075684))+0-0-0</f>
        <v>418.14524</v>
      </c>
      <c r="H335" s="3">
        <f>285+(150.8-28)+(0+(0-0))+0-0-0</f>
        <v>407.8</v>
      </c>
      <c r="I335" s="3">
        <f>285+(149.9-28)+(-0.43605+(-0.229347--0.04284))+0-0-0</f>
        <v>406.27744300000001</v>
      </c>
      <c r="J335" s="3">
        <f>335+(114.5-33)+(0.17085+(0.058395-0.01683))+0-0-0</f>
        <v>416.71241500000002</v>
      </c>
      <c r="K335" s="3">
        <f>335+(165.4-35)+(0+(0-0))+0-0-0</f>
        <v>465.4</v>
      </c>
      <c r="L335" s="3">
        <f>334+(201-42)+(-0.34068+(-0.20502--0.04284))+0-0-0</f>
        <v>492.49714</v>
      </c>
      <c r="M335" s="3">
        <f>372+(169.9-42)+(0+(0-0))+0-0-0</f>
        <v>499.9</v>
      </c>
      <c r="N335" s="3">
        <f>387+(147.8-34)+(-0.19737+(-0.075378--0.01734))+0-0-0</f>
        <v>500.54459200000002</v>
      </c>
      <c r="O335" s="3">
        <f>387+(138-34.1)+(0.59211+(0.21114-0.052173))+0-0-0</f>
        <v>491.65107699999999</v>
      </c>
      <c r="P335" s="3">
        <f>386+(137.9-33)+(0.39372+(0.140658-0.03366))+0-0-0</f>
        <v>491.40071799999998</v>
      </c>
      <c r="Q335" s="3">
        <f>386+(137.9-35)+(-0.19686+(-0.070329--0.01785))+0-0-0</f>
        <v>488.65066099999996</v>
      </c>
      <c r="R335" s="3">
        <f>386+(141.9-37)+(0+(0-0))+0-0-0</f>
        <v>490.9</v>
      </c>
      <c r="S335" s="3">
        <f>384+(129.3-36)+(-0.78336+(-0.263772--0.07344))+0-0-0</f>
        <v>476.32630799999998</v>
      </c>
      <c r="T335" s="3">
        <f>386+(114.1-36)+(-0.19686+(-0.058191--0.01836))+0-0-0</f>
        <v>463.86330900000002</v>
      </c>
      <c r="U335" s="3">
        <f>349+(137-34)+(-0.35598+(-0.13974--0.03468))+0-0-0</f>
        <v>451.53895999999997</v>
      </c>
      <c r="V335" s="3">
        <f>288+(210.6-35)+(-0.14688+(-0.107406--0.01785))+0-0-0</f>
        <v>463.363564</v>
      </c>
      <c r="W335" s="3">
        <f>354+(214-41)+(0.18054+(0.10914-0.02091))+0-0-0</f>
        <v>527.26877000000002</v>
      </c>
      <c r="X335" s="3">
        <f>441+(176.4-39)+(0.22491+(0.089964-0.01989))+0-0-0</f>
        <v>578.69498399999998</v>
      </c>
      <c r="Y335" s="3">
        <f>439+(168-40)+(-0.89556+(-0.34272--0.0816))+0-0-0</f>
        <v>565.84331999999995</v>
      </c>
      <c r="Z335" s="3">
        <f>441+(145.9-35)+(-0.44982+(-0.148818--0.0357))+0-0-0</f>
        <v>551.33706199999995</v>
      </c>
      <c r="AA335" s="3">
        <f>434+(124.6-38)+(0+(0-0))+0-0-0</f>
        <v>520.6</v>
      </c>
      <c r="AB335" s="3">
        <f>433+(101.3-40.3)+(0+(0-0))+0-0-0</f>
        <v>494</v>
      </c>
      <c r="AC335" s="3">
        <f>338+(152.1-30)+(-0.8619+(-0.387855--0.0765))+0-0-0</f>
        <v>458.92674500000004</v>
      </c>
      <c r="AD335" s="2">
        <v>574.70000000000005</v>
      </c>
      <c r="AE335" s="3">
        <v>5765.9000000000005</v>
      </c>
    </row>
    <row r="336" spans="1:31" s="2" customFormat="1" x14ac:dyDescent="0.3">
      <c r="A336">
        <v>91</v>
      </c>
      <c r="B336">
        <v>11</v>
      </c>
      <c r="C336">
        <v>30</v>
      </c>
      <c r="D336">
        <v>3</v>
      </c>
      <c r="E336">
        <v>1</v>
      </c>
      <c r="F336" s="3">
        <f>244+(205.2-30)+(-0.24888+(-0.209304--0.0306))+0-0-0</f>
        <v>418.77241599999996</v>
      </c>
      <c r="G336" s="3">
        <f>227+(202.8-30)+(0.34731+(0.310284-0.0459))+0-0-0</f>
        <v>400.41169400000001</v>
      </c>
      <c r="H336" s="3">
        <f>227+(194-30)+(0+(0-0))+0-0-0</f>
        <v>391</v>
      </c>
      <c r="I336" s="3">
        <f>227+(193-32)+(0+(0-0))+0-0-0</f>
        <v>388</v>
      </c>
      <c r="J336" s="3">
        <f>227+(201.4-35)+(0+(0-0))+0-0-0</f>
        <v>393.4</v>
      </c>
      <c r="K336" s="3">
        <f>237+(243.2-38)+(0.48348+(0.496128-0.07752))+0-0-0</f>
        <v>443.10208799999998</v>
      </c>
      <c r="L336" s="3">
        <f>316+(207.3-44)+(-0.8058+(-0.528615--0.1122))+0-0-0</f>
        <v>478.07778500000001</v>
      </c>
      <c r="M336" s="3">
        <f>315+(214.5-42)+(0.16065+(0.109395-0.02142))+0-0-0</f>
        <v>487.748625</v>
      </c>
      <c r="N336" s="3">
        <f>313+(222.9-33)+(-0.15963+(-0.113679--0.01683))+0-0-0</f>
        <v>502.64352099999996</v>
      </c>
      <c r="O336" s="3">
        <f>311+(203.4-33)+(0.47583+(0.311202-0.05049))+0-0-0</f>
        <v>482.13654199999996</v>
      </c>
      <c r="P336" s="3">
        <f>310+(196.2-32)+(-0.1581+(-0.100062--0.01632))+0-0-0</f>
        <v>473.95815799999997</v>
      </c>
      <c r="Q336" s="3">
        <f>308+(196.3-33)+(0.47124+(0.300339-0.05049))+0-0-0</f>
        <v>472.02108900000002</v>
      </c>
      <c r="R336" s="3">
        <f>307+(192.1-33)+(-0.93942+(-0.587826--0.10098))+0-0-0</f>
        <v>464.67373400000002</v>
      </c>
      <c r="S336" s="3">
        <f>306+(176.7-33)+(-0.46818+(-0.270351--0.05049))+0-0-0</f>
        <v>449.01195899999999</v>
      </c>
      <c r="T336" s="3">
        <f>306+(173.7-27)+(0.15606+(0.088587-0.01377))+0-0-0</f>
        <v>452.93087700000001</v>
      </c>
      <c r="U336" s="3">
        <f>307+(171.7-27)+(0+(0-0))+0-0-0</f>
        <v>451.7</v>
      </c>
      <c r="V336" s="3">
        <f>337+(153.3-24)+(-0.34374+(-0.156366--0.02448))+0-0-0</f>
        <v>465.82437400000003</v>
      </c>
      <c r="W336" s="3">
        <f>360+(200.1-44)+(-0.7344+(-0.408204--0.08976))+0-0-0</f>
        <v>515.04715599999997</v>
      </c>
      <c r="X336" s="3">
        <f>366+(222.6-41)+(-0.18666+(-0.113526--0.02091))+0-0-0</f>
        <v>547.32072400000004</v>
      </c>
      <c r="Y336" s="3">
        <f>366+(216.1-42)+(-0.55998+(-0.330633--0.06426))+0-0-0</f>
        <v>539.27364699999998</v>
      </c>
      <c r="Z336" s="3">
        <f>367+(195.7-35)+(-0.56151+(-0.299421--0.05355))+0-0-0</f>
        <v>526.89261900000008</v>
      </c>
      <c r="AA336" s="3">
        <f>367+(166.6-31)+(-0.93585+(-0.42483--0.07905))+0-0-0</f>
        <v>501.31837000000002</v>
      </c>
      <c r="AB336" s="3">
        <f>305+(197.7-35)+(-0.46665+(-0.302481--0.05355))+0-0-0</f>
        <v>466.984419</v>
      </c>
      <c r="AC336" s="3">
        <f>235+(229.2-33)+(-0.59925+(-0.58446--0.08415))+0-0-0</f>
        <v>430.10043999999999</v>
      </c>
      <c r="AD336" s="2">
        <v>555.5</v>
      </c>
      <c r="AE336" s="3">
        <v>5735.7999999999993</v>
      </c>
    </row>
    <row r="337" spans="1:31" s="2" customFormat="1" x14ac:dyDescent="0.3">
      <c r="A337">
        <v>91</v>
      </c>
      <c r="B337">
        <v>12</v>
      </c>
      <c r="C337">
        <v>1</v>
      </c>
      <c r="D337">
        <v>4</v>
      </c>
      <c r="E337">
        <v>1</v>
      </c>
      <c r="F337" s="3">
        <f>227+(209.3-33)+(-0.23154+(-0.213486--0.03366))+0-0-0</f>
        <v>402.88863400000002</v>
      </c>
      <c r="G337" s="3">
        <f>227+(188.2-31)+(0.11577+(0.095982-0.01581))+0-0-0</f>
        <v>384.39594199999999</v>
      </c>
      <c r="H337" s="3">
        <f>227+(173.8-32)+(0.46308+(0.354552-0.06528))+0-0-0</f>
        <v>369.55235199999998</v>
      </c>
      <c r="I337" s="3">
        <f>227+(173.5-33)+(0+(0-0))+0-0-0</f>
        <v>367.5</v>
      </c>
      <c r="J337" s="3">
        <f>227+(183.6-35)+(-0.11577+(-0.093636--0.01785))+0-0-0</f>
        <v>375.40844400000003</v>
      </c>
      <c r="K337" s="3">
        <f>227+(233.8-37)+(-0.57885+(-0.59619--0.09435))+0-0-0</f>
        <v>422.71931000000001</v>
      </c>
      <c r="L337" s="3">
        <f>282+(217.7-43)+(-0.28764+(-0.222054--0.04386))+0-0-0</f>
        <v>456.23416600000002</v>
      </c>
      <c r="M337" s="3">
        <f>308+(188.1-40)+(-0.15708+(-0.095931--0.0204))+0-0-0</f>
        <v>455.867389</v>
      </c>
      <c r="N337" s="3">
        <f>308+(190.8-30)+(0+(0-0))+0-0-0</f>
        <v>468.8</v>
      </c>
      <c r="O337" s="3">
        <f>307+(190.8-34)+(0+(0-0))+0-0-0</f>
        <v>463.8</v>
      </c>
      <c r="P337" s="3">
        <f>307+(195.9-32)+(0+(0-0))+0-0-0</f>
        <v>470.9</v>
      </c>
      <c r="Q337" s="3">
        <f>307+(196.6-34)+(-0.46971+(-0.300798--0.05202))+0-0-0</f>
        <v>468.88151200000004</v>
      </c>
      <c r="R337" s="3">
        <f>301+(203.5-31)+(-0.30702+(-0.20757--0.03162))+0-0-0</f>
        <v>473.01702999999998</v>
      </c>
      <c r="S337" s="3">
        <f>302+(188.6-30)+(0.30804+(0.192372-0.0306))+0-0-0</f>
        <v>461.06981200000001</v>
      </c>
      <c r="T337" s="3">
        <f>302+(177.3-32)+(0.15402+(0.090423-0.01632))+0-0-0</f>
        <v>447.52812299999999</v>
      </c>
      <c r="U337" s="3">
        <f>303+(171.1-32)+(-0.15453+(-0.087261--0.01632))+0-0-0</f>
        <v>441.874529</v>
      </c>
      <c r="V337" s="3">
        <f>310+(176-36)+(0+(0-0))+0-0-0</f>
        <v>450</v>
      </c>
      <c r="W337" s="3">
        <f>310+(232.6-39)+(0.4743+(0.355878-0.05967))+0-0-0</f>
        <v>504.37050800000003</v>
      </c>
      <c r="X337" s="3">
        <f>312+(270.8-43)+(-0.31824+(-0.276216--0.04386))+0-0-0</f>
        <v>539.24940399999991</v>
      </c>
      <c r="Y337" s="3">
        <f>313+(258.3-37)+(0.31926+(0.263466-0.03774))+0-0-0</f>
        <v>534.84498599999995</v>
      </c>
      <c r="Z337" s="3">
        <f>313+(236.1-39)+(0+(0-0))+0-0-0</f>
        <v>510.1</v>
      </c>
      <c r="AA337" s="3">
        <f>313+(208.6-39)+(-0.15963+(-0.106386--0.01989))+0-0-0</f>
        <v>482.35387400000002</v>
      </c>
      <c r="AB337" s="3">
        <f>310+(185.2-34)+(-0.7905+(-0.47226--0.0867))+0-0-0</f>
        <v>460.02393999999998</v>
      </c>
      <c r="AC337" s="3">
        <f>310+(153.3-33)+(-0.4743+(-0.234549--0.05049))+0-0-0</f>
        <v>429.64164099999999</v>
      </c>
      <c r="AD337" s="2">
        <v>543.1</v>
      </c>
      <c r="AE337" s="3">
        <v>5709.6999999999989</v>
      </c>
    </row>
    <row r="338" spans="1:31" s="2" customFormat="1" x14ac:dyDescent="0.3">
      <c r="A338">
        <v>91</v>
      </c>
      <c r="B338">
        <v>12</v>
      </c>
      <c r="C338">
        <v>2</v>
      </c>
      <c r="D338">
        <v>5</v>
      </c>
      <c r="E338">
        <v>1</v>
      </c>
      <c r="F338" s="3">
        <f>272+(155.1-33)+(-0.27744+(-0.158202--0.03366))+0-0-0</f>
        <v>393.69801800000005</v>
      </c>
      <c r="G338" s="3">
        <f>224+(181.9-33)+(-0.45696+(-0.371076--0.06732))+0-0-0</f>
        <v>372.13928399999998</v>
      </c>
      <c r="H338" s="3">
        <f>224+(171.4-33)+(0+(0-0))+0-0-0</f>
        <v>362.4</v>
      </c>
      <c r="I338" s="3">
        <f>224+(168.1-33)+(0+(0-0))+0-0-0</f>
        <v>359.1</v>
      </c>
      <c r="J338" s="3">
        <f>224+(177.6-34)+(0.11424+(0.090576-0.01734))+0-0-0</f>
        <v>367.78747600000003</v>
      </c>
      <c r="K338" s="3">
        <f>224+(228.3-36)+(0.22848+(0.232866-0.03672))+0-0-0</f>
        <v>416.724626</v>
      </c>
      <c r="L338" s="3">
        <f>224+(263-44)+(0.11424+(0.13413-0.02244))+0-0-0</f>
        <v>443.22593000000001</v>
      </c>
      <c r="M338" s="3">
        <f>282+(219.1-42)+(0+(0-0))+0-0-0</f>
        <v>459.1</v>
      </c>
      <c r="N338" s="3">
        <f>307+(201.6-34)+(-0.15657+(-0.102816--0.01734))+0-0-0</f>
        <v>474.35795400000001</v>
      </c>
      <c r="O338" s="3">
        <f>304+(199.2-32)+(0.31008+(0.203184-0.03264))+0-0-0</f>
        <v>471.68062399999997</v>
      </c>
      <c r="P338" s="3">
        <f>303+(197.8-33)+(0+(0-0))+0-0-0</f>
        <v>467.8</v>
      </c>
      <c r="Q338" s="3">
        <f>298+(211.7-34)+(-0.45594+(-0.323901--0.05202))+0-0-0</f>
        <v>474.97217899999998</v>
      </c>
      <c r="R338" s="3">
        <f>298+(215.6-35)+(-0.60792+(-0.439824--0.0714))+0-0-0</f>
        <v>477.62365600000004</v>
      </c>
      <c r="S338" s="3">
        <f>299+(196.5-34)+(0.30498+(0.20043-0.03468))+0-0-0</f>
        <v>461.97073</v>
      </c>
      <c r="T338" s="3">
        <f>300+(183.5-34)+(-0.153+(-0.093585--0.01734))+0-0-0</f>
        <v>449.27075500000001</v>
      </c>
      <c r="U338" s="3">
        <f>303+(185.6-33)+(0.30906+(0.189312-0.03366))+0-0-0</f>
        <v>456.06471200000004</v>
      </c>
      <c r="V338" s="3">
        <f>308+(208.7-36)+(-0.15708+(-0.106437--0.01836))+0-0-0</f>
        <v>480.45484299999998</v>
      </c>
      <c r="W338" s="3">
        <f>307+(241.1-35)+(-0.46971+(-0.368883--0.05355))+0-0-0</f>
        <v>512.31495700000005</v>
      </c>
      <c r="X338" s="3">
        <f>308+(264.2-32)+(0.15708+(0.134742-0.01632))+0-0-0</f>
        <v>540.47550200000001</v>
      </c>
      <c r="Y338" s="3">
        <f>307+(250.1-26)+(-0.78285+(-0.637755--0.0663))+0-0-0</f>
        <v>529.74569500000007</v>
      </c>
      <c r="Z338" s="3">
        <f>308+(228.3-27)+(-0.15708+(-0.116433--0.01377))+0-0-0</f>
        <v>509.040257</v>
      </c>
      <c r="AA338" s="3">
        <f>307+(201.1-27)+(-0.46971+(-0.307683--0.04131))+0-0-0</f>
        <v>480.36391700000001</v>
      </c>
      <c r="AB338" s="3">
        <f>309+(186.1-27)+(-0.47277+(-0.284733--0.04131))+0-0-0</f>
        <v>467.38380700000005</v>
      </c>
      <c r="AC338" s="3">
        <f>309+(164.5-25)+(-0.78795+(-0.419475--0.06375))+0-0-0</f>
        <v>447.35632500000003</v>
      </c>
      <c r="AD338" s="2">
        <v>540.6</v>
      </c>
      <c r="AE338" s="3">
        <v>5795</v>
      </c>
    </row>
    <row r="339" spans="1:31" s="2" customFormat="1" x14ac:dyDescent="0.3">
      <c r="A339">
        <v>91</v>
      </c>
      <c r="B339">
        <v>12</v>
      </c>
      <c r="C339">
        <v>3</v>
      </c>
      <c r="D339">
        <v>6</v>
      </c>
      <c r="E339">
        <v>1</v>
      </c>
      <c r="F339" s="3">
        <f>307+(137.5-24)+(-0.46971+(-0.210375--0.03672))+0-0-0</f>
        <v>419.85663499999998</v>
      </c>
      <c r="G339" s="3">
        <f>260+(164.3-24)+(0+(0-0))+0-0-0</f>
        <v>400.3</v>
      </c>
      <c r="H339" s="3">
        <f>233+(181.2-24)+(0.35649+(0.277236-0.03672))+0-0-0</f>
        <v>390.79700600000001</v>
      </c>
      <c r="I339" s="3">
        <f>233+(175.7-24)+(-0.23766+(-0.179214--0.02448))+0-0-0</f>
        <v>384.30760599999996</v>
      </c>
      <c r="J339" s="3">
        <f>233+(181.9-27)+(0.35649+(0.278307-0.04131))+0-0-0</f>
        <v>388.49348699999996</v>
      </c>
      <c r="K339" s="3">
        <f>233+(223.8-30)+(0+(0-0))+0-0-0</f>
        <v>426.8</v>
      </c>
      <c r="L339" s="3">
        <f>232+(233.4-31)+(-0.47328+(-0.476136--0.06324))+0-0-0</f>
        <v>433.513824</v>
      </c>
      <c r="M339" s="3">
        <f>286+(192.6-26)+(0.14586+(0.098226-0.01326))+0-0-0</f>
        <v>452.830826</v>
      </c>
      <c r="N339" s="3">
        <f>312+(177.5-23)+(0.31824+(0.18105-0.02346))+0-0-0</f>
        <v>466.97582999999997</v>
      </c>
      <c r="O339" s="3">
        <f>312+(187.4-24)+(0.47736+(0.286722-0.03672))+0-0-0</f>
        <v>476.12736200000001</v>
      </c>
      <c r="P339" s="3">
        <f>312+(187.8-21)+(0+(0-0))+0-0-0</f>
        <v>478.8</v>
      </c>
      <c r="Q339" s="3">
        <f>311+(197.7-23)+(0+(0-0))+0-0-0</f>
        <v>485.7</v>
      </c>
      <c r="R339" s="3">
        <f>305+(202.7-32)+(-0.3111+(-0.206754--0.03264))+0-0-0</f>
        <v>475.214786</v>
      </c>
      <c r="S339" s="3">
        <f>305+(184.3-26)+(0.15555+(0.093993-0.01326))+0-0-0</f>
        <v>463.53628300000003</v>
      </c>
      <c r="T339" s="3">
        <f>304+(172.9-27)+(-0.31008+(-0.176358--0.02754))+0-0-0</f>
        <v>449.441102</v>
      </c>
      <c r="U339" s="3">
        <f>305+(171.8-29)+(-0.3111+(-0.175236--0.02958))+0-0-0</f>
        <v>447.34324400000003</v>
      </c>
      <c r="V339" s="3">
        <f>308+(181.2-32)+(0.47124+(0.277236-0.04896))+0-0-0</f>
        <v>457.89951600000001</v>
      </c>
      <c r="W339" s="3">
        <f>307+(239.2-41)+(-0.46971+(-0.365976--0.06273))+0-0-0</f>
        <v>504.42704399999997</v>
      </c>
      <c r="X339" s="3">
        <f>310+(274.6-40)+(0+(0-0))+0-0-0</f>
        <v>544.6</v>
      </c>
      <c r="Y339" s="3">
        <f>310+(267.2-41)+(-0.9486+(-0.817632--0.12546))+0-0-0</f>
        <v>534.55922800000008</v>
      </c>
      <c r="Z339" s="3">
        <f>311+(247.1-38)+(0.31722+(0.252042-0.03876))+0-0-0</f>
        <v>520.63050199999998</v>
      </c>
      <c r="AA339" s="3">
        <f>311+(222.2-40)+(-0.15861+(-0.113322--0.0204))+0-0-0</f>
        <v>492.94846799999999</v>
      </c>
      <c r="AB339" s="3">
        <f>310+(198-38)+(0+(0-0))+0-0-0</f>
        <v>470</v>
      </c>
      <c r="AC339" s="3">
        <f>309+(172.4-34)+(-0.47277+(-0.263772--0.05202))+0-0-0</f>
        <v>446.71547799999996</v>
      </c>
      <c r="AD339" s="2">
        <v>583</v>
      </c>
      <c r="AE339" s="3">
        <v>5639.0999999999995</v>
      </c>
    </row>
    <row r="340" spans="1:31" s="2" customFormat="1" x14ac:dyDescent="0.3">
      <c r="A340">
        <v>91</v>
      </c>
      <c r="B340">
        <v>12</v>
      </c>
      <c r="C340">
        <v>4</v>
      </c>
      <c r="D340">
        <v>7</v>
      </c>
      <c r="E340">
        <v>1</v>
      </c>
      <c r="F340" s="3">
        <f>255+(199-29)+(-0.39015+(-0.30447--0.04437))+0-0-0</f>
        <v>424.34974999999997</v>
      </c>
      <c r="G340" s="3">
        <f>231+(203-31)+(-0.58905+(-0.51765--0.07905))+0-0-0</f>
        <v>401.97235000000001</v>
      </c>
      <c r="H340" s="3">
        <f>231+(186.5-30)+(-0.11781+(-0.095115--0.0153))+0-0-0</f>
        <v>387.30237499999998</v>
      </c>
      <c r="I340" s="3">
        <f>231+(179.8-30)+(0.11781+(0.091698-0.0153))+0-0-0</f>
        <v>380.99420800000001</v>
      </c>
      <c r="J340" s="3">
        <f>231+(186-33)+(0.11781+(0.09486-0.01683))+0-0-0</f>
        <v>384.19583999999998</v>
      </c>
      <c r="K340" s="3">
        <f>231+(227.2-36)+(0.47124+(0.463488-0.07344))+0-0-0</f>
        <v>423.06128799999999</v>
      </c>
      <c r="L340" s="3">
        <f>229+(238.7-43)+(-0.23358+(-0.243474--0.04386))+0-0-0</f>
        <v>424.26680599999997</v>
      </c>
      <c r="M340" s="3">
        <f>229+(251.5-40)+(-0.11679+(-0.128265--0.0204))+0-0-0</f>
        <v>440.27534500000002</v>
      </c>
      <c r="N340" s="3">
        <f>296+(203.9-35)+(-0.30192+(-0.207978--0.0357))+0-0-0</f>
        <v>464.42580199999998</v>
      </c>
      <c r="O340" s="3">
        <f>274+(229.5-31)+(0.27948+(0.23409-0.03162))+0-0-0</f>
        <v>472.98194999999998</v>
      </c>
      <c r="P340" s="3">
        <f>296+(198.8-27)+(0+(0-0))+0-0-0</f>
        <v>467.8</v>
      </c>
      <c r="Q340" s="3">
        <f>306+(191.5-30)+(0+(0-0))+0-0-0</f>
        <v>467.5</v>
      </c>
      <c r="R340" s="3">
        <f>317+(195.6-31)+(-0.48501+(-0.299268--0.04743))+0-0-0</f>
        <v>480.86315200000001</v>
      </c>
      <c r="S340" s="3">
        <f>315+(177.7-32)+(-0.16065+(-0.090627--0.01632))+0-0-0</f>
        <v>460.46504299999998</v>
      </c>
      <c r="T340" s="3">
        <f>313+(167.3-31)+(-0.31926+(-0.170646--0.03162))+0-0-0</f>
        <v>448.84171400000002</v>
      </c>
      <c r="U340" s="3">
        <f>313+(165.8-31)+(-0.31926+(-0.169116--0.03162))+0-0-0</f>
        <v>447.34324400000003</v>
      </c>
      <c r="V340" s="3">
        <f>312+(176.4-33)+(0+(0-0))+0-0-0</f>
        <v>455.4</v>
      </c>
      <c r="W340" s="3">
        <f>313+(225.9-43)+(-0.15963+(-0.115209--0.02193))+0-0-0</f>
        <v>495.64709099999999</v>
      </c>
      <c r="X340" s="3">
        <f>313+(263.4-43)+(-0.15963+(-0.134334--0.02193))+0-0-0</f>
        <v>533.12796600000001</v>
      </c>
      <c r="Y340" s="3">
        <f>314+(255.3-43)+(0+(0-0))+0-0-0</f>
        <v>526.29999999999995</v>
      </c>
      <c r="Z340" s="3">
        <f>313+(241.6-40)+(-0.31926+(-0.246432--0.0408))+0-0-0</f>
        <v>514.075108</v>
      </c>
      <c r="AA340" s="3">
        <f>314+(220.9-37)+(-0.16014+(-0.112659--0.01887))+0-0-0</f>
        <v>497.64607099999995</v>
      </c>
      <c r="AB340" s="3">
        <f>312+(196.3-33)+(-0.7956+(-0.500565--0.08415))+0-0-0</f>
        <v>474.087985</v>
      </c>
      <c r="AC340" s="3">
        <f>312+(164.2-31)+(-0.7956+(-0.41871--0.07905))+0-0-0</f>
        <v>444.06473999999997</v>
      </c>
      <c r="AD340" s="2">
        <v>613.5</v>
      </c>
      <c r="AE340" s="3">
        <v>4618</v>
      </c>
    </row>
    <row r="341" spans="1:31" s="2" customFormat="1" x14ac:dyDescent="0.3">
      <c r="A341">
        <v>91</v>
      </c>
      <c r="B341">
        <v>12</v>
      </c>
      <c r="C341">
        <v>5</v>
      </c>
      <c r="D341">
        <v>1</v>
      </c>
      <c r="E341">
        <v>1</v>
      </c>
      <c r="F341" s="3">
        <f>311+(136.5-32)+(-0.31722+(-0.13923--0.03264))+0-0-0</f>
        <v>415.07619</v>
      </c>
      <c r="G341" s="3">
        <f>312+(117.8-32)+(0.31824+(0.120156-0.03264))+0-0-0</f>
        <v>398.20575600000001</v>
      </c>
      <c r="H341" s="3">
        <f>261+(156-32)+(0.26622+(0.15912-0.03264))+0-0-0</f>
        <v>385.39269999999999</v>
      </c>
      <c r="I341" s="3">
        <f>257+(157.3-34)+(0.13107+(0.080223-0.01734))+0-0-0</f>
        <v>380.49395300000003</v>
      </c>
      <c r="J341" s="3">
        <f>257+(167-35)+(-0.13107+(-0.08517--0.01785))+0-0-0</f>
        <v>388.80160999999998</v>
      </c>
      <c r="K341" s="3">
        <f>265+(208.5-37)+(0.2703+(0.21267-0.03774))+0-0-0</f>
        <v>436.94522999999998</v>
      </c>
      <c r="L341" s="3">
        <f>276+(227.4-44)+(0.14076+(0.115974-0.02244))+0-0-0</f>
        <v>459.63429399999995</v>
      </c>
      <c r="M341" s="3">
        <f>304+(206.4-41)+(0.15504+(0.105264-0.02091))+0-0-0</f>
        <v>469.63939399999998</v>
      </c>
      <c r="N341" s="3">
        <f>311+(202.7-30)+(0.31722+(0.206754-0.0306))+0-0-0</f>
        <v>484.19337400000001</v>
      </c>
      <c r="O341" s="3">
        <f>307+(201.7-33)+(0.62628+(0.411468-0.06732))+0-0-0</f>
        <v>476.67042800000002</v>
      </c>
      <c r="P341" s="3">
        <f>307+(203-29)+(0+(0-0))+0-0-0</f>
        <v>481</v>
      </c>
      <c r="Q341" s="3">
        <f>307+(200.9-30)+(0+(0-0))+0-0-0</f>
        <v>477.9</v>
      </c>
      <c r="R341" s="3">
        <f>306+(193.9-27)+(-0.31212+(-0.197778--0.02754))+0-0-0</f>
        <v>472.417642</v>
      </c>
      <c r="S341" s="3">
        <f>306+(177.5-26)+(-0.62424+(-0.3621--0.05304))+0-0-0</f>
        <v>456.56670000000003</v>
      </c>
      <c r="T341" s="3">
        <f>307+(169.6-28)+(0+(0-0))+0-0-0</f>
        <v>448.6</v>
      </c>
      <c r="U341" s="3">
        <f>307+(173.4-35)+(0.15657+(0.088434-0.01785))+0-0-0</f>
        <v>445.62715399999996</v>
      </c>
      <c r="V341" s="3">
        <f>310+(178.9-38)+(0+(0-0))+0-0-0</f>
        <v>450.9</v>
      </c>
      <c r="W341" s="3">
        <f>314+(222.2-39)+(-0.32028+(-0.226644--0.03978))+0-0-0</f>
        <v>496.69285600000001</v>
      </c>
      <c r="X341" s="3">
        <f>321+(252.8-42)+(-0.49113+(-0.386784--0.06426))+0-0-0</f>
        <v>530.98634599999991</v>
      </c>
      <c r="Y341" s="3">
        <f>321+(240.7-42)+(-0.32742+(-0.245514--0.04284))+0-0-0</f>
        <v>519.16990600000008</v>
      </c>
      <c r="Z341" s="3">
        <f>320+(238.8-39)+(0.1632+(0.121788-0.01989))+0-0-0</f>
        <v>520.06509799999992</v>
      </c>
      <c r="AA341" s="3">
        <f>318+(215.8-35)+(-0.32436+(-0.220116--0.0357))+0-0-0</f>
        <v>498.291224</v>
      </c>
      <c r="AB341" s="3">
        <f>319+(189.3-35)+(-0.32538+(-0.193086--0.0357))+0-0-0</f>
        <v>472.81723399999998</v>
      </c>
      <c r="AC341" s="3">
        <f>319+(159.6-34)+(-0.16269+(-0.081396--0.01734))+0-0-0</f>
        <v>444.37325400000003</v>
      </c>
      <c r="AD341" s="2">
        <v>538.5</v>
      </c>
      <c r="AE341" s="3">
        <v>5905.5999999999995</v>
      </c>
    </row>
    <row r="342" spans="1:31" s="2" customFormat="1" x14ac:dyDescent="0.3">
      <c r="A342">
        <v>91</v>
      </c>
      <c r="B342">
        <v>12</v>
      </c>
      <c r="C342">
        <v>6</v>
      </c>
      <c r="D342">
        <v>2</v>
      </c>
      <c r="E342">
        <v>1</v>
      </c>
      <c r="F342" s="3">
        <f>319+(134.3-35)+(-0.81345+(-0.342465--0.08925))+0-0-0</f>
        <v>417.23333500000001</v>
      </c>
      <c r="G342" s="3">
        <f>319+(116.5-32)+(-0.16269+(-0.059415--0.01632))+0-0-0</f>
        <v>403.29421500000001</v>
      </c>
      <c r="H342" s="3">
        <f>279+(140-33)+(-0.28458+(-0.1428--0.03366))+0-0-0</f>
        <v>385.60628000000003</v>
      </c>
      <c r="I342" s="3">
        <f>231+(183.5-33)+(-0.35343+(-0.280755--0.05049))+0-0-0</f>
        <v>380.91630500000002</v>
      </c>
      <c r="J342" s="3">
        <f>231+(191.6-35)+(0.11781+(0.097716-0.01785))+0-0-0</f>
        <v>387.79767600000002</v>
      </c>
      <c r="K342" s="3">
        <f>231+(240.8-37)+(-0.11781+(-0.122808--0.01887))+0-0-0</f>
        <v>434.57825200000002</v>
      </c>
      <c r="L342" s="3">
        <f>235+(262.4-39)+(-0.11985+(-0.133824--0.01989))+0-0-0</f>
        <v>458.16621599999996</v>
      </c>
      <c r="M342" s="3">
        <f>283+(219.3-40)+(0.14433+(0.111843-0.0204))+0-0-0</f>
        <v>462.53577300000001</v>
      </c>
      <c r="N342" s="3">
        <f>283+(233.9-36)+(0.14433+(0.119289-0.01836))+0-0-0</f>
        <v>481.14525899999995</v>
      </c>
      <c r="O342" s="3">
        <f>283+(230-33)+(0+(0-0))+0-0-0</f>
        <v>480</v>
      </c>
      <c r="P342" s="3">
        <f>283+(227.4-35)+(0+(0-0))+0-0-0</f>
        <v>475.4</v>
      </c>
      <c r="Q342" s="3">
        <f>283+(229.1-33)+(-0.14433+(-0.116841--0.01683))+0-0-0</f>
        <v>478.855659</v>
      </c>
      <c r="R342" s="3">
        <f>281+(229.3-33)+(-0.57324+(-0.467772--0.06732))+0-0-0</f>
        <v>476.32630799999998</v>
      </c>
      <c r="S342" s="3">
        <f>282+(205.9-33)+(0.28764+(0.210018-0.03366))+0-0-0</f>
        <v>455.36399799999998</v>
      </c>
      <c r="T342" s="3">
        <f>282+(192.5-29)+(0.14382+(0.098175-0.01479))+0-0-0</f>
        <v>445.72720500000003</v>
      </c>
      <c r="U342" s="3">
        <f>283+(181.1-29)+(0.28866+(0.184722-0.02958))+0-0-0</f>
        <v>435.54380200000003</v>
      </c>
      <c r="V342" s="3">
        <f>288+(198.1-29)+(0.29376+(0.202062-0.02958))+0-0-0</f>
        <v>457.56624200000005</v>
      </c>
      <c r="W342" s="3">
        <f>307+(237-39)+(-0.62628+(-0.48348--0.07956))+0-0-0</f>
        <v>503.96980000000002</v>
      </c>
      <c r="X342" s="3">
        <f>313+(267.8-43)+(-0.15963+(-0.136578--0.02193))+0-0-0</f>
        <v>537.52572199999997</v>
      </c>
      <c r="Y342" s="3">
        <f>312+(259.3-41)+(-0.63648+(-0.528972--0.08364))+0-0-0</f>
        <v>529.21818799999994</v>
      </c>
      <c r="Z342" s="3">
        <f>312+(242.6-39)+(-0.7956+(-0.61863--0.09945))+0-0-0</f>
        <v>514.28521999999998</v>
      </c>
      <c r="AA342" s="3">
        <f>313+(217.6-39)+(0+(0-0))+0-0-0</f>
        <v>491.6</v>
      </c>
      <c r="AB342" s="3">
        <f>314+(193.8-35)+(-0.16014+(-0.098838--0.01785))+0-0-0</f>
        <v>472.55887200000001</v>
      </c>
      <c r="AC342" s="3">
        <f>313+(168.8-33)+(-0.47889+(-0.258264--0.05049))+0-0-0</f>
        <v>448.113336</v>
      </c>
      <c r="AD342" s="2">
        <v>536.70000000000005</v>
      </c>
      <c r="AE342" s="3">
        <v>6027.5</v>
      </c>
    </row>
    <row r="343" spans="1:31" s="2" customFormat="1" x14ac:dyDescent="0.3">
      <c r="A343">
        <v>91</v>
      </c>
      <c r="B343">
        <v>12</v>
      </c>
      <c r="C343">
        <v>7</v>
      </c>
      <c r="D343">
        <v>3</v>
      </c>
      <c r="E343">
        <v>1</v>
      </c>
      <c r="F343" s="3">
        <f>250+(200.1-33)+(-0.255+(-0.204102--0.03366))+0-0-0</f>
        <v>416.67455800000005</v>
      </c>
      <c r="G343" s="3">
        <f>233+(195.8-33)+(0.11883+(0.099858-0.01683))+0-0-0</f>
        <v>396.00185800000003</v>
      </c>
      <c r="H343" s="3">
        <f>233+(184.3-33)+(-0.23766+(-0.187986--0.03366))+0-0-0</f>
        <v>383.90801400000004</v>
      </c>
      <c r="I343" s="3">
        <f>233+(182.3-34)+(0.11883+(0.092973-0.01734))+0-0-0</f>
        <v>381.494463</v>
      </c>
      <c r="J343" s="3">
        <f>233+(191.4-35)+(0+(0-0))+0-0-0</f>
        <v>389.4</v>
      </c>
      <c r="K343" s="3">
        <f>233+(236.4-38)+(-0.35649+(-0.361692--0.05814))+0-0-0</f>
        <v>430.739958</v>
      </c>
      <c r="L343" s="3">
        <f>269+(230.9-40)+(0+(0-0))+0-0-0</f>
        <v>459.9</v>
      </c>
      <c r="M343" s="3">
        <f>286+(208.2-42)+(0.14586+(0.106182-0.02142))+0-0-0</f>
        <v>452.43062199999997</v>
      </c>
      <c r="N343" s="3">
        <f>302+(188.2-41)+(-0.15402+(-0.095982--0.02091))+0-0-0</f>
        <v>448.97090800000001</v>
      </c>
      <c r="O343" s="3">
        <f>358+(118.3-37)+(-0.54774+(-0.180999--0.05661))+0-0-0</f>
        <v>438.62787100000003</v>
      </c>
      <c r="P343" s="3">
        <f>370+(109.2-34)+(-0.5661+(-0.167076--0.05202))+0-0-0</f>
        <v>444.518844</v>
      </c>
      <c r="Q343" s="3">
        <f>364+(127.1-34)+(-0.74256+(-0.259284--0.06936))+0-0-0</f>
        <v>456.16751600000003</v>
      </c>
      <c r="R343" s="3">
        <f>347+(141.9-35)+(0+(0-0))+0-0-0</f>
        <v>453.9</v>
      </c>
      <c r="S343" s="3">
        <f>343+(129.1-37)+(-0.52479+(-0.197523--0.05661))+0-0-0</f>
        <v>434.43429700000002</v>
      </c>
      <c r="T343" s="3">
        <f>345+(117.6-36)+(0.3519+(0.119952-0.03672))+0-0-0</f>
        <v>427.03513200000003</v>
      </c>
      <c r="U343" s="3">
        <f>348+(119.8-33)+(-0.17748+(-0.061098--0.01683))+0-0-0</f>
        <v>434.57825200000002</v>
      </c>
      <c r="V343" s="3">
        <f>355+(134.5-32)+(0+(0-0))+0-0-0</f>
        <v>457.5</v>
      </c>
      <c r="W343" s="3">
        <f>355+(183.3-26)+(-0.3621+(-0.186966--0.02652))+0-0-0</f>
        <v>511.77745399999998</v>
      </c>
      <c r="X343" s="3">
        <f>405+(160.5-35)+(-0.20655+(-0.081855--0.01785))+0-0-0</f>
        <v>530.22944500000006</v>
      </c>
      <c r="Y343" s="3">
        <f>405+(151.8-32)+(-1.03275+(-0.38709--0.0816))+0-0-0</f>
        <v>523.46175999999991</v>
      </c>
      <c r="Z343" s="3">
        <f>376+(152.7-25)+(0+(0-0))+0-0-0</f>
        <v>503.7</v>
      </c>
      <c r="AA343" s="3">
        <f>305+(185.8-17)+(-0.3111+(-0.189516--0.01734))+0-0-0</f>
        <v>473.31672400000002</v>
      </c>
      <c r="AB343" s="3">
        <f>303+(161.1-14)+(-0.30906+(-0.164322--0.01428))+0-0-0</f>
        <v>449.64089800000005</v>
      </c>
      <c r="AC343" s="3">
        <f>303+(135.6-12)+(-0.77265+(-0.34578--0.0306))+0-0-0</f>
        <v>425.51217000000003</v>
      </c>
      <c r="AD343" s="2">
        <v>531.29999999999995</v>
      </c>
      <c r="AE343" s="3">
        <v>6029.2</v>
      </c>
    </row>
    <row r="344" spans="1:31" s="2" customFormat="1" x14ac:dyDescent="0.3">
      <c r="A344">
        <v>91</v>
      </c>
      <c r="B344">
        <v>12</v>
      </c>
      <c r="C344">
        <v>8</v>
      </c>
      <c r="D344">
        <v>4</v>
      </c>
      <c r="E344">
        <v>1</v>
      </c>
      <c r="F344" s="3">
        <f>304+(111.8-11)+(-0.46512+(-0.171054--0.01683))+0-0-0</f>
        <v>404.180656</v>
      </c>
      <c r="G344" s="3">
        <f>304+(96.9-11)+(-0.46512+(-0.148257--0.01683))+0-0-0</f>
        <v>389.30345299999999</v>
      </c>
      <c r="H344" s="3">
        <f>304+(86.9-13)+(-0.15504+(-0.044319--0.00663))+0-0-0</f>
        <v>377.70727099999999</v>
      </c>
      <c r="I344" s="3">
        <f>304+(83.7-16)+(-0.31008+(-0.085374--0.01632))+0-0-0</f>
        <v>371.32086599999997</v>
      </c>
      <c r="J344" s="3">
        <f>304+(94.2-17)+(0.15504+(0.048042-0.00867))+0-0-0</f>
        <v>381.39441199999999</v>
      </c>
      <c r="K344" s="3">
        <f>304+(145.6-20)+(0.62016+(0.297024-0.0408))+0-0-0</f>
        <v>430.476384</v>
      </c>
      <c r="L344" s="3">
        <f>303+(178.7-21)+(-0.15453+(-0.091137--0.01071))+0-0-0</f>
        <v>460.46504299999998</v>
      </c>
      <c r="M344" s="3">
        <f>303+(186.5-18)+(-0.15453+(-0.095115--0.00918))+0-0-0</f>
        <v>471.25953500000003</v>
      </c>
      <c r="N344" s="3">
        <f>378+(113-18)+(-0.19278+(-0.05763--0.00918))+0-0-0</f>
        <v>472.75877000000003</v>
      </c>
      <c r="O344" s="3">
        <f>414+(83.1-25.6)+(-0.84456+(-0.169524--0.052224))+0-0-0</f>
        <v>470.53814</v>
      </c>
      <c r="P344" s="3">
        <f>255+(235.9-19)+(-0.13005+(-0.120309--0.00969))+0-0-0</f>
        <v>471.65933099999995</v>
      </c>
      <c r="Q344" s="3">
        <f>253+(250.2-21)+(-0.25806+(-0.255204--0.02142))+0-0-0</f>
        <v>481.70815599999997</v>
      </c>
      <c r="R344" s="3">
        <f>304+(212.2-25)+(-0.62016+(-0.432888--0.051))+0-0-0</f>
        <v>490.19795199999999</v>
      </c>
      <c r="S344" s="3">
        <f>300+(206.3-27)+(-0.459+(-0.315639--0.04131))+0-0-0</f>
        <v>478.56667099999999</v>
      </c>
      <c r="T344" s="3">
        <f>292+(200.4-26)+(0.14892+(0.102204-0.01326))+0-0-0</f>
        <v>466.63786399999998</v>
      </c>
      <c r="U344" s="3">
        <f>318+(172.4-26)+(0.32436+(0.175848-0.02652))+0-0-0</f>
        <v>464.87368799999996</v>
      </c>
      <c r="V344" s="3">
        <f>352+(160-35)+(0.17952+(0.0816-0.01785))+0-0-0</f>
        <v>477.24327</v>
      </c>
      <c r="W344" s="3">
        <f>363+(203.2-37)+(0.18513+(0.103632-0.01887))+0-0-0</f>
        <v>529.46989200000007</v>
      </c>
      <c r="X344" s="3">
        <f>431+(182.4-40)+(0+(0-0))+0-0-0</f>
        <v>573.4</v>
      </c>
      <c r="Y344" s="3">
        <f>435+(166-41)+(0+(0-0))+0-0-0</f>
        <v>560</v>
      </c>
      <c r="Z344" s="3">
        <f>432+(146.7-35)+(-0.22032+(-0.074817--0.01785))+0-0-0</f>
        <v>543.42271300000004</v>
      </c>
      <c r="AA344" s="3">
        <f>432+(125.8-37.7)+(0+(0-0))+0-0-0</f>
        <v>520.1</v>
      </c>
      <c r="AB344" s="3">
        <f>422+(109.2-36.8)+(-0.86088+(-0.222768--0.075072))+0-0-0</f>
        <v>493.39142399999997</v>
      </c>
      <c r="AC344" s="3">
        <f>397+(98.4-32.1)+(-0.20247+(-0.050184--0.016371))+0-0-0</f>
        <v>463.063717</v>
      </c>
      <c r="AD344" s="2">
        <v>567.70000000000005</v>
      </c>
      <c r="AE344" s="3">
        <v>5900.9000000000005</v>
      </c>
    </row>
    <row r="345" spans="1:31" s="2" customFormat="1" x14ac:dyDescent="0.3">
      <c r="A345">
        <v>91</v>
      </c>
      <c r="B345">
        <v>12</v>
      </c>
      <c r="C345">
        <v>9</v>
      </c>
      <c r="D345">
        <v>5</v>
      </c>
      <c r="E345">
        <v>1</v>
      </c>
      <c r="F345" s="3">
        <f>384+(86-34)+(-0.9792+(-0.2193--0.0867))+0-0-0</f>
        <v>434.88819999999998</v>
      </c>
      <c r="G345" s="3">
        <f>374+(81-37.3)+(-0.57222+(-0.12393--0.057069))+0-0-0</f>
        <v>417.06091900000001</v>
      </c>
      <c r="H345" s="3">
        <f>376+(71.6-40.3)+(0+(0-0))+0-0-0</f>
        <v>407.3</v>
      </c>
      <c r="I345" s="3">
        <f>376+(69.8-43.3)+(0.19176+(0.035598-0.022083))+0-0-0</f>
        <v>402.70527499999997</v>
      </c>
      <c r="J345" s="3">
        <f>322+(119.3-34)+(-0.65688+(-0.243372--0.06936))+0-0-0</f>
        <v>406.46910800000001</v>
      </c>
      <c r="K345" s="3">
        <f>288+(202-40)+(0.14688+(0.10302-0.0204))+0-0-0</f>
        <v>450.22949999999997</v>
      </c>
      <c r="L345" s="3">
        <f>286+(237.4-41)+(0.14586+(0.121074-0.02091))+0-0-0</f>
        <v>482.64602399999995</v>
      </c>
      <c r="M345" s="3">
        <f>286+(227.4-40)+(-0.14586+(-0.115974--0.0204))+0-0-0</f>
        <v>473.15856599999995</v>
      </c>
      <c r="N345" s="3">
        <f>320+(192.6-31)+(0+(0-0))+0-0-0</f>
        <v>481.6</v>
      </c>
      <c r="O345" s="3">
        <f>392+(120.1-30)+(-0.19992+(-0.061251--0.0153))+0-0-0</f>
        <v>481.854129</v>
      </c>
      <c r="P345" s="3">
        <f>404+(117.6-29)+(-0.61812+(-0.179928--0.04437))+0-0-0</f>
        <v>491.84632200000004</v>
      </c>
      <c r="Q345" s="3">
        <f>406+(115.9-32)+(-0.20706+(-0.059109--0.01632))+0-0-0</f>
        <v>489.65015099999999</v>
      </c>
      <c r="R345" s="3">
        <f>406+(116.4-42)+(-0.20706+(-0.059364--0.02142))+0-0-0</f>
        <v>480.15499599999998</v>
      </c>
      <c r="S345" s="3">
        <f>406+(105-36)+(0.62118+(0.16065-0.05508))+0-0-0</f>
        <v>475.72674999999998</v>
      </c>
      <c r="T345" s="3">
        <f>406+(93.2-39)+(0.41412+(0.095064-0.03978))+0-0-0</f>
        <v>460.66940399999999</v>
      </c>
      <c r="U345" s="3">
        <f>393+(90.1-37)+(-0.40086+(-0.091902--0.03774))+0-0-0</f>
        <v>445.64497800000004</v>
      </c>
      <c r="V345" s="3">
        <f>393+(112.3-46)+(0.20043+(0.057273-0.02346))+0-0-0</f>
        <v>459.534243</v>
      </c>
      <c r="W345" s="3">
        <f>398+(155.4-36)+(0.20298+(0.079254-0.01836))+0-0-0</f>
        <v>517.66387399999996</v>
      </c>
      <c r="X345" s="3">
        <f>424+(175.9-41)+(-0.21624+(-0.089709--0.02091))+0-0-0</f>
        <v>558.61496099999999</v>
      </c>
      <c r="Y345" s="3">
        <f>424+(174.3-33)+(-1.0812+(-0.444465--0.08415))+0-0-0</f>
        <v>563.85848499999997</v>
      </c>
      <c r="Z345" s="3">
        <f>418+(156.3-37)+(-0.85272+(-0.318852--0.07548))+0-0-0</f>
        <v>536.20390799999996</v>
      </c>
      <c r="AA345" s="3">
        <f>378+(153-44)+(-0.9639+(-0.39015--0.1122))+0-0-0</f>
        <v>485.75815</v>
      </c>
      <c r="AB345" s="3">
        <f>364+(149.5-31)+(-0.18564+(-0.076245--0.01581))+0-0-0</f>
        <v>482.25392499999998</v>
      </c>
      <c r="AC345" s="3">
        <f>333+(156.9-31)+(-0.50949+(-0.240057--0.04743))+0-0-0</f>
        <v>458.19788299999999</v>
      </c>
      <c r="AD345" s="2">
        <v>568.4</v>
      </c>
      <c r="AE345" s="3">
        <v>5797.4</v>
      </c>
    </row>
    <row r="346" spans="1:31" s="2" customFormat="1" x14ac:dyDescent="0.3">
      <c r="A346">
        <v>91</v>
      </c>
      <c r="B346">
        <v>12</v>
      </c>
      <c r="C346">
        <v>10</v>
      </c>
      <c r="D346">
        <v>6</v>
      </c>
      <c r="E346">
        <v>1</v>
      </c>
      <c r="F346" s="3">
        <f>285+(174.8-27)+(-0.14535+(-0.089148--0.01377))+0-0-0</f>
        <v>432.579272</v>
      </c>
      <c r="G346" s="3">
        <f>285+(154.7-29)+(-0.14535+(-0.078897--0.01479))+0-0-0</f>
        <v>410.490543</v>
      </c>
      <c r="H346" s="3">
        <f>285+(141.3-31)+(0.14535+(0.072063-0.01581))+0-0-0</f>
        <v>395.50160299999999</v>
      </c>
      <c r="I346" s="3">
        <f>285+(147.7-31)+(-0.2907+(-0.150654--0.03162))+0-0-0</f>
        <v>401.29026599999997</v>
      </c>
      <c r="J346" s="3">
        <f>285+(151.6-33)+(0.2907+(0.154632-0.03366))+0-0-0</f>
        <v>404.01167200000003</v>
      </c>
      <c r="K346" s="3">
        <f>285+(191.3-39)+(0.14535+(0.097563-0.01989))+0-0-0</f>
        <v>437.52302300000002</v>
      </c>
      <c r="L346" s="3">
        <f>283+(222-42)+(-0.86598+(-0.67932--0.12852))+0-0-0</f>
        <v>461.58321999999998</v>
      </c>
      <c r="M346" s="3">
        <f>282+(233.9-38)+(0.14382+(0.119289-0.01938))+0-0-0</f>
        <v>478.14372899999995</v>
      </c>
      <c r="N346" s="3">
        <f>282+(236.9-32)+(0+(0-0))+0-0-0</f>
        <v>486.9</v>
      </c>
      <c r="O346" s="3">
        <f>316+(208.9-28)+(-0.32232+(-0.213078--0.02856))+0-0-0</f>
        <v>496.39316199999996</v>
      </c>
      <c r="P346" s="3">
        <f>357+(168.9-28)+(0.18207+(0.086139-0.01428))+0-0-0</f>
        <v>498.15392900000001</v>
      </c>
      <c r="Q346" s="3">
        <f>356+(172.3-29)+(-0.72624+(-0.351492--0.05916))+0-0-0</f>
        <v>498.28142800000001</v>
      </c>
      <c r="R346" s="3">
        <f>286+(227.1-31)+(-0.29172+(-0.231642--0.03162))+0-0-0</f>
        <v>481.60825800000003</v>
      </c>
      <c r="S346" s="3">
        <f>280+(221-33)+(-0.714+(-0.56355--0.08415))+0-0-0</f>
        <v>466.8066</v>
      </c>
      <c r="T346" s="3">
        <f>280+(205.6-33)+(-0.2856+(-0.209712--0.03366))+0-0-0</f>
        <v>452.13834800000001</v>
      </c>
      <c r="U346" s="3">
        <f>283+(198.8-32)+(-0.86598+(-0.608328--0.09792))+0-0-0</f>
        <v>448.42361199999999</v>
      </c>
      <c r="V346" s="3">
        <f>283+(205.9-34)+(0+(0-0))+0-0-0</f>
        <v>454.9</v>
      </c>
      <c r="W346" s="3">
        <f>283+(252.4-42)+(-0.28866+(-0.257448--0.04284))+0-0-0</f>
        <v>492.89673199999999</v>
      </c>
      <c r="X346" s="3">
        <f>393+(190.8-43)+(0.40086+(0.194616-0.04386))+0-0-0</f>
        <v>541.35161599999992</v>
      </c>
      <c r="Y346" s="3">
        <f>417+(164.2-45)+(-0.63801+(-0.251226--0.06885))+0-0-0</f>
        <v>535.37961400000006</v>
      </c>
      <c r="Z346" s="3">
        <f>412+(154.4-44.4)+(-0.84048+(-0.314976--0.090576))+0-0-0</f>
        <v>520.93511999999998</v>
      </c>
      <c r="AA346" s="3">
        <f>413+(133.4-47.5)+(-0.21063+(-0.068034--0.024225))+0-0-0</f>
        <v>498.64556099999999</v>
      </c>
      <c r="AB346" s="3">
        <f>414+(112.8-48.7)+(-0.42228+(-0.115056--0.049674))+0-0-0</f>
        <v>477.61233800000002</v>
      </c>
      <c r="AC346" s="3">
        <f>414+(95.6-50.6)+(-0.21114+(-0.048756--0.025806))+0-0-0</f>
        <v>458.76591000000002</v>
      </c>
      <c r="AD346" s="2">
        <v>545.79999999999995</v>
      </c>
      <c r="AE346" s="3">
        <v>5691.2000000000007</v>
      </c>
    </row>
    <row r="347" spans="1:31" s="2" customFormat="1" x14ac:dyDescent="0.3">
      <c r="A347">
        <v>91</v>
      </c>
      <c r="B347">
        <v>12</v>
      </c>
      <c r="C347">
        <v>11</v>
      </c>
      <c r="D347">
        <v>7</v>
      </c>
      <c r="E347">
        <v>1</v>
      </c>
      <c r="F347" s="3">
        <f>416+(72.4-52)+(-0.42432+(-0.073848--0.05304))+0-0-0</f>
        <v>435.95487199999997</v>
      </c>
      <c r="G347" s="3">
        <f>416+(57.9-54.6)+(-0.21216+(-0.029529--0.027846))+0-0-0</f>
        <v>419.08615700000001</v>
      </c>
      <c r="H347" s="3">
        <f>416+(50.6-57.3)+(-0.42432+(-0.051612--0.058446))+0-0-0</f>
        <v>408.88251400000001</v>
      </c>
      <c r="I347" s="3">
        <f>416+(45.6-58.6)+(0.21216+(0.023256-0.029886))+0-0-0</f>
        <v>403.20553000000001</v>
      </c>
      <c r="J347" s="3">
        <f>414+(57-62.2)+(-0.84456+(-0.11628--0.126888))+0-0-0</f>
        <v>407.966048</v>
      </c>
      <c r="K347" s="3">
        <f>416+(85.5-52.6)+(0.21216+(0.043605-0.026826))+0-0-0</f>
        <v>449.128939</v>
      </c>
      <c r="L347" s="3">
        <f>363+(128.3-36)+(-1.11078+(-0.392598--0.11016))+0-0-0</f>
        <v>453.90678200000002</v>
      </c>
      <c r="M347" s="3">
        <f>295+(205.2-36)+(-0.45135+(-0.313956--0.05508))+0-0-0</f>
        <v>463.48977400000001</v>
      </c>
      <c r="N347" s="3">
        <f>365+(152.2-36)+(-0.18615+(-0.077622--0.01836))+0-0-0</f>
        <v>480.954588</v>
      </c>
      <c r="O347" s="3">
        <f>392+(134.1-37)+(-0.19992+(-0.068391--0.01887))+0-0-0</f>
        <v>488.85055900000003</v>
      </c>
      <c r="P347" s="3">
        <f>400+(129.7-36)+(-0.204+(-0.066147--0.01836))+0-0-0</f>
        <v>493.44821300000001</v>
      </c>
      <c r="Q347" s="3">
        <f>400+(119.6-27)+(0+(0-0))+0-0-0</f>
        <v>492.6</v>
      </c>
      <c r="R347" s="3">
        <f>393+(119.9-33)+(-0.60129+(-0.183447--0.05049))+0-0-0</f>
        <v>479.165753</v>
      </c>
      <c r="S347" s="3">
        <f>393+(105.1-41.2)+(0.40086+(0.107202-0.042024))+0-0-0</f>
        <v>457.366038</v>
      </c>
      <c r="T347" s="3">
        <f>393+(100.8-40.1)+(0+(0-0))+0-0-0</f>
        <v>453.7</v>
      </c>
      <c r="U347" s="3">
        <f>394+(95.8-41)+(-0.60282+(-0.146574--0.06273))+0-0-0</f>
        <v>448.113336</v>
      </c>
      <c r="V347" s="3">
        <f>402+(100-45.9)+(0.41004+(0.102-0.046818))+0-0-0</f>
        <v>456.56522200000001</v>
      </c>
      <c r="W347" s="3">
        <f>402+(133.1-46.3)+(0.20502+(0.067881-0.023613))+0-0-0</f>
        <v>489.04928799999999</v>
      </c>
      <c r="X347" s="3">
        <f>432+(157.4-47.3)+(0+(0-0))+0-0-0</f>
        <v>542.1</v>
      </c>
      <c r="Y347" s="3">
        <f>439+(157.2-49.9)+(-0.22389+(-0.080172--0.025449))+0-0-0</f>
        <v>546.021387</v>
      </c>
      <c r="Z347" s="3">
        <f>438+(149-49.7)+(-0.22338+(-0.07599--0.025347))+0-0-0</f>
        <v>537.0259769999999</v>
      </c>
      <c r="AA347" s="3">
        <f>437+(128.4-52.2)+(-0.22287+(-0.065484--0.026622))+0-0-0</f>
        <v>512.93826799999999</v>
      </c>
      <c r="AB347" s="3">
        <f>418+(112.7-49.5)+(-0.42636+(-0.114954--0.05049))+0-0-0</f>
        <v>480.70917600000001</v>
      </c>
      <c r="AC347" s="3">
        <f>407+(92.4-48.9)+(0.20757+(0.047124-0.024939))+0-0-0</f>
        <v>450.72975500000001</v>
      </c>
      <c r="AD347" s="2">
        <v>546.5</v>
      </c>
      <c r="AE347" s="3">
        <v>4629.4000000000005</v>
      </c>
    </row>
    <row r="348" spans="1:31" s="2" customFormat="1" x14ac:dyDescent="0.3">
      <c r="A348">
        <v>91</v>
      </c>
      <c r="B348">
        <v>12</v>
      </c>
      <c r="C348">
        <v>12</v>
      </c>
      <c r="D348">
        <v>1</v>
      </c>
      <c r="E348">
        <v>1</v>
      </c>
      <c r="F348" s="3">
        <f>316+(127.2-31)+(-0.8058+(-0.32436--0.07905))+0-0-0</f>
        <v>411.14888999999999</v>
      </c>
      <c r="G348" s="3">
        <f>301+(122-30)+(0.30702+(0.12444-0.0306))+0-0-0</f>
        <v>393.40086000000002</v>
      </c>
      <c r="H348" s="3">
        <f>297+(117.7-31)+(-0.60588+(-0.240108--0.06324))+0-0-0</f>
        <v>382.91725199999996</v>
      </c>
      <c r="I348" s="3">
        <f>226+(180.3-32)+(-0.23052+(-0.183906--0.03264))+0-0-0</f>
        <v>373.91821400000003</v>
      </c>
      <c r="J348" s="3">
        <f>226+(188.3-36)+(0.11526+(0.096033-0.01836))+0-0-0</f>
        <v>378.49293299999999</v>
      </c>
      <c r="K348" s="3">
        <f>226+(240.8-41)+(0+(0-0))+0-0-0</f>
        <v>425.8</v>
      </c>
      <c r="L348" s="3">
        <f>281+(216.1-40)+(-0.14331+(-0.110211--0.0204))+0-0-0</f>
        <v>456.86687900000004</v>
      </c>
      <c r="M348" s="3">
        <f>309+(197.6-36)+(0.31518+(0.201552-0.03672))+0-0-0</f>
        <v>471.08001200000001</v>
      </c>
      <c r="N348" s="3">
        <f>307+(201.5-36)+(0+(0-0))+1-0-0</f>
        <v>473.5</v>
      </c>
      <c r="O348" s="3">
        <f>305+(196.6-38)+(0.46665+(0.300798-0.05814))+1-0-0</f>
        <v>465.30930800000004</v>
      </c>
      <c r="P348" s="3">
        <f>304+(193.7-36)+(0.15504+(0.098787-0.01836))+0-0-0</f>
        <v>461.93546700000002</v>
      </c>
      <c r="Q348" s="3">
        <f>302+(194-37)+(0+(0-0))+0-0-0</f>
        <v>459</v>
      </c>
      <c r="R348" s="3">
        <f>301+(200.1-32)+(-0.15351+(-0.102051--0.01632))+0-0-0</f>
        <v>468.86075900000003</v>
      </c>
      <c r="S348" s="3">
        <f>301+(179.8-34)+(-0.30702+(-0.183396--0.03468))+0-0-0</f>
        <v>446.34426400000001</v>
      </c>
      <c r="T348" s="3">
        <f>301+(163.9-30)+(-0.30702+(-0.167178--0.0306))+1.9-0-0</f>
        <v>436.35640199999995</v>
      </c>
      <c r="U348" s="3">
        <f>304+(163.4-34)+(-0.15504+(-0.083334--0.01734))+0.8-0-0</f>
        <v>433.97896600000001</v>
      </c>
      <c r="V348" s="3">
        <f>300+(177.5-34)+(-0.153+(-0.090525--0.01734))+0-0-0</f>
        <v>443.27381500000001</v>
      </c>
      <c r="W348" s="3">
        <f>313+(208.4-43)+(-0.15963+(-0.106284--0.02193))+0-0-0</f>
        <v>478.15601599999997</v>
      </c>
      <c r="X348" s="3">
        <f>320+(255.3-45)+(0.3264+(0.260406-0.0459))+0-0-0</f>
        <v>530.8409059999999</v>
      </c>
      <c r="Y348" s="3">
        <f>320+(247.8-43)+(-0.816+(-0.63189--0.10965))+0-0-0</f>
        <v>523.46175999999991</v>
      </c>
      <c r="Z348" s="3">
        <f>315+(238.3-40)+(-0.3213+(-0.243066--0.0408))+0-0-0</f>
        <v>512.77643399999999</v>
      </c>
      <c r="AA348" s="3">
        <f>313+(216-36)+(-0.79815+(-0.5508--0.0918))+0-0-0</f>
        <v>491.74284999999998</v>
      </c>
      <c r="AB348" s="3">
        <f>311+(192.3-34)+(-0.79305+(-0.490365--0.0867))+0-0-0</f>
        <v>468.10328500000003</v>
      </c>
      <c r="AC348" s="3">
        <f>253+(213.3-32)+(-0.12903+(-0.108783--0.01632))+0-0-0</f>
        <v>434.078507</v>
      </c>
      <c r="AD348" s="2">
        <v>521.5</v>
      </c>
      <c r="AE348" s="3">
        <v>5917.8</v>
      </c>
    </row>
    <row r="349" spans="1:31" s="2" customFormat="1" x14ac:dyDescent="0.3">
      <c r="A349">
        <v>91</v>
      </c>
      <c r="B349">
        <v>12</v>
      </c>
      <c r="C349">
        <v>13</v>
      </c>
      <c r="D349">
        <v>2</v>
      </c>
      <c r="E349">
        <v>1</v>
      </c>
      <c r="F349" s="3">
        <f>226+(205.8-32)+(-0.46104+(-0.419832--0.06528))+0-0-0</f>
        <v>398.98440800000003</v>
      </c>
      <c r="G349" s="3">
        <f>226+(185.9-32)+(-0.23052+(-0.189618--0.03264))+0-0-0</f>
        <v>379.51250199999998</v>
      </c>
      <c r="H349" s="3">
        <f>226+(176.9-33)+(-0.34578+(-0.270657--0.05049))+0-0-0</f>
        <v>369.33405299999998</v>
      </c>
      <c r="I349" s="3">
        <f>226+(173.6-35)+(-0.46104+(-0.354144--0.0714))+0-0-0</f>
        <v>363.85621600000002</v>
      </c>
      <c r="J349" s="3">
        <f>226+(184.8-37)+(0.11526+(0.094248-0.01887))+0-0-0</f>
        <v>373.99063799999999</v>
      </c>
      <c r="K349" s="3">
        <f>226+(232.8-41)+(0.34578+(0.356184-0.06273))+0-0-0</f>
        <v>418.439234</v>
      </c>
      <c r="L349" s="3">
        <f>224+(259.2-42)+(0.34272+(0.396576-0.06426))+0-0-0</f>
        <v>441.87503599999997</v>
      </c>
      <c r="M349" s="3">
        <f>231+(259.4-41)+(0.23562+(0.264588-0.04182))+0-0-0</f>
        <v>449.85838799999999</v>
      </c>
      <c r="N349" s="3">
        <f>288+(220-36)+(0+(0-0))+0-0-0</f>
        <v>472</v>
      </c>
      <c r="O349" s="3">
        <f>301+(173.1-42)+(-0.46053+(-0.264843--0.06426))+0-0-0</f>
        <v>431.43888700000002</v>
      </c>
      <c r="P349" s="3">
        <f>300+(185-38)+(0+(0-0))+0-0-0</f>
        <v>447</v>
      </c>
      <c r="Q349" s="3">
        <f>298+(183.1-37)+(-0.7599+(-0.466905--0.09435))+0-0-0</f>
        <v>442.96754500000003</v>
      </c>
      <c r="R349" s="3">
        <f>298+(184.5-38)+(-0.30396+(-0.18819--0.03876))+0-0-0</f>
        <v>444.04660999999999</v>
      </c>
      <c r="S349" s="3">
        <f>298+(182.9-34)+(0.30396+(0.186558-0.03468))+0-0-0</f>
        <v>447.35583800000001</v>
      </c>
      <c r="T349" s="3">
        <f>298+(195.5-34)+(-0.60792+(-0.39882--0.06936))+0-0-0</f>
        <v>458.56261999999998</v>
      </c>
      <c r="U349" s="3">
        <f>298+(196.8-33)+(0+(0-0))+0-0-0</f>
        <v>461.8</v>
      </c>
      <c r="V349" s="3">
        <f>298+(195.3-28)+(-0.15198+(-0.099603--0.01428))+0-0-0</f>
        <v>465.06269700000001</v>
      </c>
      <c r="W349" s="3">
        <f>343+(195.4-40)+(0+(0-0))+0-0-0</f>
        <v>498.4</v>
      </c>
      <c r="X349" s="3">
        <f>360+(203.6-43)+(0+(0-0))+0-0-0</f>
        <v>520.6</v>
      </c>
      <c r="Y349" s="3">
        <f>359+(196-42)+(-0.18309+(-0.09996--0.02142))+0-0-0</f>
        <v>512.73837000000003</v>
      </c>
      <c r="Z349" s="3">
        <f>345+(201.4-42)+(-0.87975+(-0.51357--0.1071))+0-0-0</f>
        <v>503.11377999999996</v>
      </c>
      <c r="AA349" s="3">
        <f>298+(243.3-41)+(0+(0-0))+0-0-0</f>
        <v>500.3</v>
      </c>
      <c r="AB349" s="3">
        <f>298+(217.5-34)+(-0.7599+(-0.554625--0.0867))+0-0-0</f>
        <v>480.272175</v>
      </c>
      <c r="AC349" s="3">
        <f>298+(184.3-32)+(-0.7599+(-0.469965--0.0816))+0-0-0</f>
        <v>449.15173500000003</v>
      </c>
      <c r="AD349" s="2">
        <v>527</v>
      </c>
      <c r="AE349" s="3">
        <v>5736.8</v>
      </c>
    </row>
    <row r="350" spans="1:31" s="2" customFormat="1" x14ac:dyDescent="0.3">
      <c r="A350">
        <v>91</v>
      </c>
      <c r="B350">
        <v>12</v>
      </c>
      <c r="C350">
        <v>14</v>
      </c>
      <c r="D350">
        <v>3</v>
      </c>
      <c r="E350">
        <v>1</v>
      </c>
      <c r="F350" s="3">
        <f>226+(187.4-32)+(-0.23052+(-0.191148--0.03264))+0-0-0</f>
        <v>381.01097199999998</v>
      </c>
      <c r="G350" s="3">
        <f>226+(176.2-31)+(0.11526+(0.089862-0.01581))+0-0-0</f>
        <v>371.38931199999996</v>
      </c>
      <c r="H350" s="3">
        <f>226+(169.4-33)+(0+(0-0))+0-0-0</f>
        <v>362.4</v>
      </c>
      <c r="I350" s="3">
        <f>226+(166.6-35)+(-0.34578+(-0.254898--0.05355))+0-0-0</f>
        <v>357.05287200000004</v>
      </c>
      <c r="J350" s="3">
        <f>226+(175.7-37)+(0.23052+(0.179214-0.03774))+0-0-0</f>
        <v>365.07199399999996</v>
      </c>
      <c r="K350" s="3">
        <f>226+(223.1-41)+(-0.23052+(-0.227562--0.04182))+0-0-0</f>
        <v>407.68373800000001</v>
      </c>
      <c r="L350" s="3">
        <f>256+(222.7-42)+(-0.26112+(-0.227154--0.04284))+0-0-0</f>
        <v>436.25456600000001</v>
      </c>
      <c r="M350" s="3">
        <f>291+(198-38)+(0.29682+(0.20196-0.03876))+0-0-0</f>
        <v>451.46001999999999</v>
      </c>
      <c r="N350" s="3">
        <f>289+(178-13)+(0+(0-0))+0-0-0</f>
        <v>454</v>
      </c>
      <c r="O350" s="3">
        <f>303+(194.1-32)+(0+(0-0))+0-0-0</f>
        <v>465.1</v>
      </c>
      <c r="P350" s="3">
        <f>307+(195.7-36)+(0.15657+(0.099807-0.01836))+0-0-0</f>
        <v>466.938017</v>
      </c>
      <c r="Q350" s="3">
        <f>300+(196.8-36)+(0.459+(0.301104-0.05508))+0-0-0</f>
        <v>461.50502399999999</v>
      </c>
      <c r="R350" s="3">
        <f>293+(221.1-37)+(-0.59772+(-0.451044--0.07548))+0-0-0</f>
        <v>476.12671600000004</v>
      </c>
      <c r="S350" s="3">
        <f>293+(192.7-36)+(-0.29886+(-0.196554--0.03672))+0-0-0</f>
        <v>449.24130600000001</v>
      </c>
      <c r="T350" s="3">
        <f>295+(187.4-35)+(0+(0-0))+0-0-0</f>
        <v>447.4</v>
      </c>
      <c r="U350" s="3">
        <f>299+(179.2-35)+(0.15249+(0.091392-0.01785))+0-0-0</f>
        <v>443.42603199999996</v>
      </c>
      <c r="V350" s="3">
        <f>277+(212.5-37)+(-0.14127+(-0.108375--0.01887))+0-0-0</f>
        <v>452.26922500000001</v>
      </c>
      <c r="W350" s="3">
        <f>312+(213.6-46)+(-0.15912+(-0.108936--0.02346))+0-0-0</f>
        <v>479.35540400000002</v>
      </c>
      <c r="X350" s="3">
        <f>318+(259.8-46)+(-0.32436+(-0.264996--0.04692))+0-0-0</f>
        <v>531.257564</v>
      </c>
      <c r="Y350" s="3">
        <f>319+(255.2-46)+(-0.48807+(-0.390456--0.07038))+0-0-0</f>
        <v>527.39185400000008</v>
      </c>
      <c r="Z350" s="3">
        <f>316+(243.2-44)+(0+(0-0))+0-0-0</f>
        <v>515.20000000000005</v>
      </c>
      <c r="AA350" s="3">
        <f>312+(218.8-40)+(0+(0-0))+0-0-0</f>
        <v>490.8</v>
      </c>
      <c r="AB350" s="3">
        <f>311+(192-36)+(-0.79305+(-0.4896--0.0918))+0-0-0</f>
        <v>465.80914999999999</v>
      </c>
      <c r="AC350" s="3">
        <f>310+(160.7-34)+(-1.2648+(-0.655656--0.13872))+0-0-0</f>
        <v>434.91826399999997</v>
      </c>
      <c r="AD350" s="2">
        <v>534.6</v>
      </c>
      <c r="AE350" s="3">
        <v>5747.9</v>
      </c>
    </row>
    <row r="351" spans="1:31" s="2" customFormat="1" x14ac:dyDescent="0.3">
      <c r="A351">
        <v>91</v>
      </c>
      <c r="B351">
        <v>12</v>
      </c>
      <c r="C351">
        <v>15</v>
      </c>
      <c r="D351">
        <v>4</v>
      </c>
      <c r="E351">
        <v>1</v>
      </c>
      <c r="F351" s="3">
        <f>303+(133.6-32)+(-0.61812+(-0.272544--0.06528))+0-0-0</f>
        <v>403.77461600000004</v>
      </c>
      <c r="G351" s="3">
        <f>303+(112.5-31)+(-0.46359+(-0.172125--0.04743))+0-0-0</f>
        <v>383.91171500000002</v>
      </c>
      <c r="H351" s="3">
        <f>303+(100.3-31)+(-0.61812+(-0.204612--0.06324))+0-0-0</f>
        <v>371.54050799999999</v>
      </c>
      <c r="I351" s="3">
        <f>302+(94.8-31)+(-0.30804+(-0.096696--0.03162))+0-0-0</f>
        <v>365.42688400000003</v>
      </c>
      <c r="J351" s="3">
        <f>304+(102-35)+(0.62016+(0.20808-0.0714))+0-0-0</f>
        <v>371.75684000000001</v>
      </c>
      <c r="K351" s="3">
        <f>303+(145.9-40)+(0+(0-0))+0-0-0</f>
        <v>408.9</v>
      </c>
      <c r="L351" s="3">
        <f>306+(163.4-42)+(0.46818+(0.250002-0.06426))+0-0-0</f>
        <v>428.053922</v>
      </c>
      <c r="M351" s="3">
        <f>305+(174.1-37)+(0.15555+(0.088791-0.01887))+0-0-0</f>
        <v>442.32547100000005</v>
      </c>
      <c r="N351" s="3">
        <f>305+(196.6-35)+(0.15555+(0.100266-0.01785))+0-0-0</f>
        <v>466.83796599999999</v>
      </c>
      <c r="O351" s="3">
        <f>304+(193.7-33)+(0.31008+(0.197574-0.03366))+0-0-0</f>
        <v>465.17399399999999</v>
      </c>
      <c r="P351" s="3">
        <f>300+(203.8-31)+(0+(0-0))+0-0-0</f>
        <v>472.8</v>
      </c>
      <c r="Q351" s="3">
        <f>299+(209.8-30)+(-0.45747+(-0.320994--0.0459))+0-0-0</f>
        <v>478.06743599999999</v>
      </c>
      <c r="R351" s="3">
        <f>293+(223.2-32)+(-0.89658+(-0.682992--0.09792))+0-0-0</f>
        <v>482.71834799999999</v>
      </c>
      <c r="S351" s="3">
        <f>295+(205.4-35)+(0.3009+(0.209508-0.0357))+0-0-0</f>
        <v>465.874708</v>
      </c>
      <c r="T351" s="3">
        <f>294+(200.6-38)+(0+(0-0))+0-0-0</f>
        <v>456.6</v>
      </c>
      <c r="U351" s="3">
        <f>295+(187.8-38)+(-0.15045+(-0.095778--0.01938))+0-0-0</f>
        <v>444.57315199999999</v>
      </c>
      <c r="V351" s="3">
        <f>303+(181.4-35)+(-0.15453+(-0.092514--0.01785))+0-0-0</f>
        <v>449.17080599999997</v>
      </c>
      <c r="W351" s="3">
        <f>307+(216.5-38)+(-0.15657+(-0.110415--0.01938))+0-0-0</f>
        <v>485.25239499999998</v>
      </c>
      <c r="X351" s="3">
        <f>320+(259.1-47)+(-0.1632+(-0.132141--0.02397))+0-0-0</f>
        <v>531.82862899999998</v>
      </c>
      <c r="Y351" s="3">
        <f>321+(256.4-43)+(-0.16371+(-0.130764--0.02193))+0-0-0</f>
        <v>534.12745599999994</v>
      </c>
      <c r="Z351" s="3">
        <f>319+(244.7-40)+(-0.48807+(-0.374391--0.0612))+0-0-0</f>
        <v>522.89873900000009</v>
      </c>
      <c r="AA351" s="3">
        <f>311+(223.7-38)+(-0.63444+(-0.456348--0.07752))+0-0-0</f>
        <v>495.68673200000001</v>
      </c>
      <c r="AB351" s="3">
        <f>303+(197.2-36)+(-0.77265+(-0.50286--0.0918))+0-0-0</f>
        <v>463.01628999999997</v>
      </c>
      <c r="AC351" s="3">
        <f>256+(211.4-33)+(-0.39168+(-0.323442--0.05049))+0-0-0</f>
        <v>433.73536799999999</v>
      </c>
      <c r="AD351" s="2">
        <v>535.9</v>
      </c>
      <c r="AE351" s="3">
        <v>5931.1</v>
      </c>
    </row>
    <row r="352" spans="1:31" s="2" customFormat="1" x14ac:dyDescent="0.3">
      <c r="A352">
        <v>91</v>
      </c>
      <c r="B352">
        <v>12</v>
      </c>
      <c r="C352">
        <v>16</v>
      </c>
      <c r="D352">
        <v>5</v>
      </c>
      <c r="E352">
        <v>1</v>
      </c>
      <c r="F352" s="3">
        <f>223+(209-32)+(-0.22746+(-0.21318--0.03264))+0-0-0</f>
        <v>399.59199999999998</v>
      </c>
      <c r="G352" s="3">
        <f>223+(186.5-32)+(-0.45492+(-0.38046--0.06528))+0-0-0</f>
        <v>376.72989999999999</v>
      </c>
      <c r="H352" s="3">
        <f>223+(173.4-31)+(0.34119+(0.265302-0.04743))+0-0-0</f>
        <v>365.95906199999996</v>
      </c>
      <c r="I352" s="3">
        <f>223+(167.8-32)+(0.11373+(0.085578-0.01632))+0-0-0</f>
        <v>358.98298800000003</v>
      </c>
      <c r="J352" s="3">
        <f>223+(174.9-34)+(0.45492+(0.356796-0.06936))+0-0-0</f>
        <v>364.64235599999995</v>
      </c>
      <c r="K352" s="3">
        <f>223+(213.4-38)+(-0.56865+(-0.54417--0.0969))+0-0-0</f>
        <v>397.38407999999998</v>
      </c>
      <c r="L352" s="3">
        <f>223+(236.4-43)+(0+(0-0))+0-0-0</f>
        <v>416.4</v>
      </c>
      <c r="M352" s="3">
        <f>232+(239.7-43)+(0+(0-0))+0-0-0</f>
        <v>428.7</v>
      </c>
      <c r="N352" s="3">
        <f>303+(183-39)+(0.46359+(0.27999-0.05967))+0-0-0</f>
        <v>447.68391000000003</v>
      </c>
      <c r="O352" s="3">
        <f>302+(188.6-32)+(0.46206+(0.288558-0.04896))+0-0-0</f>
        <v>459.30165800000003</v>
      </c>
      <c r="P352" s="3">
        <f>299+(195.5-32)+(0.15249+(0.099705-0.01632))+0-0-0</f>
        <v>462.73587500000002</v>
      </c>
      <c r="Q352" s="3">
        <f>297+(208.9-34)+(-0.45441+(-0.319617--0.05202))+0-0-0</f>
        <v>471.17799299999996</v>
      </c>
      <c r="R352" s="3">
        <f>296+(215-35)+(-0.45288+(-0.32895--0.05355))+0-0-0</f>
        <v>475.27172000000002</v>
      </c>
      <c r="S352" s="3">
        <f>294+(198.1-35)+(-0.44982+(-0.303093--0.05355))+0-0-0</f>
        <v>456.40063700000002</v>
      </c>
      <c r="T352" s="3">
        <f>295+(192.2-34)+(-0.15045+(-0.098022--0.01734))+0-0-0</f>
        <v>452.96886799999999</v>
      </c>
      <c r="U352" s="3">
        <f>298+(187.9-33)+(-0.30396+(-0.191658--0.03366))+0-0-0</f>
        <v>452.438042</v>
      </c>
      <c r="V352" s="3">
        <f>303+(178.7-33)+(0+(0-0))+0-0-0</f>
        <v>448.7</v>
      </c>
      <c r="W352" s="3">
        <f>307+(218.8-41)+(0+(0-0))+0-0-0</f>
        <v>484.8</v>
      </c>
      <c r="X352" s="3">
        <f>334+(247.8-44)+(-0.34068+(-0.252756--0.04488))+0-0-0</f>
        <v>537.25144399999999</v>
      </c>
      <c r="Y352" s="3">
        <f>345+(237.7-45)+(-1.23165+(-0.848589--0.16065))+0-0-0</f>
        <v>535.78041100000007</v>
      </c>
      <c r="Z352" s="3">
        <f>315+(249.2-44)+(0+(0-0))+0-0-0</f>
        <v>520.20000000000005</v>
      </c>
      <c r="AA352" s="3">
        <f>292+(247.1-41)+(-0.89352+(-0.756126--0.12546))+0-0-0</f>
        <v>496.57581400000004</v>
      </c>
      <c r="AB352" s="3">
        <f>289+(217.7-38)+(-1.17912+(-0.888216--0.15504))+0-0-0</f>
        <v>466.78770399999996</v>
      </c>
      <c r="AC352" s="3">
        <f>291+(184.5-34)+(-0.59364+(-0.37638--0.06936))+0-0-0</f>
        <v>440.59933999999998</v>
      </c>
      <c r="AD352" s="2">
        <v>541</v>
      </c>
      <c r="AE352" s="3">
        <v>5891.8</v>
      </c>
    </row>
    <row r="353" spans="1:31" s="2" customFormat="1" x14ac:dyDescent="0.3">
      <c r="A353">
        <v>91</v>
      </c>
      <c r="B353">
        <v>12</v>
      </c>
      <c r="C353">
        <v>17</v>
      </c>
      <c r="D353">
        <v>6</v>
      </c>
      <c r="E353">
        <v>1</v>
      </c>
      <c r="F353" s="3">
        <f>282+(157.5-34)+(-0.14382+(-0.080325--0.01734))+0-0-0</f>
        <v>405.29319500000003</v>
      </c>
      <c r="G353" s="3">
        <f>266+(150.5-33)+(-0.27132+(-0.15351--0.03366))+0-0-0</f>
        <v>383.10883000000001</v>
      </c>
      <c r="H353" s="3">
        <f>223+(181.6-33)+(0.11373+(0.092616-0.01683))+0-0-0</f>
        <v>371.78951600000005</v>
      </c>
      <c r="I353" s="3">
        <f>223+(174.3-35)+(0.11373+(0.088893-0.01785))+0-0-0</f>
        <v>362.48477300000002</v>
      </c>
      <c r="J353" s="3">
        <f>223+(180.6-37)+(0.34119+(0.276318-0.05661))+0-0-0</f>
        <v>367.16089800000003</v>
      </c>
      <c r="K353" s="3">
        <f>223+(213.4-40)+(-0.34119+(-0.326502--0.0612))+0-0-0</f>
        <v>395.79350799999997</v>
      </c>
      <c r="L353" s="3">
        <f>223+(225.4-41)+(-0.11373+(-0.114954--0.02091))+0-0-0</f>
        <v>407.19222600000001</v>
      </c>
      <c r="M353" s="3">
        <f>223+(237.2-40)+(0.22746+(0.241944-0.0408))+0-0-0</f>
        <v>420.628604</v>
      </c>
      <c r="N353" s="3">
        <f>275+(224.6-40)+(0.14025+(0.114546-0.0204))+0-0-0</f>
        <v>459.83439600000003</v>
      </c>
      <c r="O353" s="3">
        <f>300+(203.7-39)+(0+(0-0))+0-0-0</f>
        <v>464.7</v>
      </c>
      <c r="P353" s="3">
        <f>297+(223.1-37)+(0+(0-0))+0-0-0</f>
        <v>483.1</v>
      </c>
      <c r="Q353" s="3">
        <f>304+(204.2-40)+(-0.15504+(-0.104142--0.0204))+0-0-0</f>
        <v>467.96121799999997</v>
      </c>
      <c r="R353" s="3">
        <f>314+(156.3-46)+(-0.64056+(-0.318852--0.09384))+0-0-0</f>
        <v>423.43442800000003</v>
      </c>
      <c r="S353" s="3">
        <f>316+(195.5-54)+(-0.16116+(-0.099705--0.02754))+0-0-0</f>
        <v>457.26667500000002</v>
      </c>
      <c r="T353" s="3">
        <f>311+(188.2-52)+(0.15861+(0.095982-0.02652))+0-0-0</f>
        <v>447.42807199999999</v>
      </c>
      <c r="U353" s="3">
        <f>313+(180.7-52)+(0.31926+(0.184314-0.05304))+0-0-0</f>
        <v>442.15053399999999</v>
      </c>
      <c r="V353" s="3">
        <f>388+(125.1-48)+(-0.59364+(-0.191403--0.07344))+0-0-0</f>
        <v>464.388397</v>
      </c>
      <c r="W353" s="3">
        <f>481+(74.9-59)+(0.98124+(0.152796-0.12036))+0-0-0</f>
        <v>497.91367599999995</v>
      </c>
      <c r="X353" s="3">
        <f>520+(81.5-62)+(-0.5304+(-0.08313--0.06324))+0-0-0</f>
        <v>538.94970999999998</v>
      </c>
      <c r="Y353" s="3">
        <f>542+(69.5-63)+(-1.10568+(-0.14178--0.12852))+0-0-0</f>
        <v>547.38106000000005</v>
      </c>
      <c r="Z353" s="3">
        <f>543+(55-63)+(-1.10772+(-0.1122--0.12852))+0-0-0</f>
        <v>533.90859999999998</v>
      </c>
      <c r="AA353" s="3">
        <f>480+(94-58)+(0.7344+(0.14382-0.08874))+0-0-0</f>
        <v>516.78948000000003</v>
      </c>
      <c r="AB353" s="3">
        <f>460+(83.5-52)+(-1.173+(-0.212925--0.1326))+0-0-0</f>
        <v>490.24667499999998</v>
      </c>
      <c r="AC353" s="3">
        <f>450+(68.3-45)+(0+(0-0))+0-0-0</f>
        <v>473.3</v>
      </c>
      <c r="AD353" s="2">
        <v>559.5</v>
      </c>
      <c r="AE353" s="3">
        <v>5660.7000000000007</v>
      </c>
    </row>
    <row r="354" spans="1:31" s="2" customFormat="1" x14ac:dyDescent="0.3">
      <c r="A354">
        <v>91</v>
      </c>
      <c r="B354">
        <v>12</v>
      </c>
      <c r="C354">
        <v>18</v>
      </c>
      <c r="D354">
        <v>7</v>
      </c>
      <c r="E354">
        <v>1</v>
      </c>
      <c r="F354" s="3">
        <f>408+(68.7-52)+(-0.41616+(-0.070074--0.05304))+0-0-0</f>
        <v>424.26680599999997</v>
      </c>
      <c r="G354" s="3">
        <f>410+(45.3-51)+(0+(0-0))+0-0-0</f>
        <v>404.3</v>
      </c>
      <c r="H354" s="3">
        <f>378+(56.7-46)+(0+(0-0))+0-0-0</f>
        <v>388.7</v>
      </c>
      <c r="I354" s="3">
        <f>344+(78.2-51)+(-0.8772+(-0.19941--0.13005))+0-0-0</f>
        <v>370.25344000000001</v>
      </c>
      <c r="J354" s="3">
        <f>346+(80.5-46)+(-0.17646+(-0.041055--0.02346))+0-0-0</f>
        <v>380.30594500000001</v>
      </c>
      <c r="K354" s="3">
        <f>346+(108.2-53)+(0+(0-0))+0-0-0</f>
        <v>401.2</v>
      </c>
      <c r="L354" s="3">
        <f>342+(115.2-54)+(-0.34884+(-0.117504--0.05508))+0-0-0</f>
        <v>402.78873599999997</v>
      </c>
      <c r="M354" s="3">
        <f>344+(136.8-54)+(0.17544+(0.069768-0.02754))+0-0-0</f>
        <v>427.01766800000001</v>
      </c>
      <c r="N354" s="3">
        <f>416+(97.4-54)+(-0.63648+(-0.149022--0.08262))+0-0-0</f>
        <v>458.69711799999999</v>
      </c>
      <c r="O354" s="3">
        <f>420+(107.2-52)+(0.6426+(0.164016-0.07956))+0-0-0</f>
        <v>475.92705599999999</v>
      </c>
      <c r="P354" s="3">
        <f>420+(119.1-45)+(0+(0-0))+0-0-0</f>
        <v>494.1</v>
      </c>
      <c r="Q354" s="3">
        <f>420+(133.2-52)+(0.4284+(0.135864-0.05304))+0-0-0</f>
        <v>501.71122400000002</v>
      </c>
      <c r="R354" s="3">
        <f>428+(127.7-53)+(-0.21828+(-0.065127--0.02703))+0-0-0</f>
        <v>502.443623</v>
      </c>
      <c r="S354" s="3">
        <f>428+(112.7-49)+(-0.87312+(-0.229908--0.09996))+0-0-0</f>
        <v>490.696932</v>
      </c>
      <c r="T354" s="3">
        <f>400+(130.9-49)+(-0.408+(-0.133518--0.04998))+0-0-0</f>
        <v>481.40846199999999</v>
      </c>
      <c r="U354" s="3">
        <f>390+(132.5-48)+(-0.1989+(-0.067575--0.02448))+0-0-0</f>
        <v>474.25800500000003</v>
      </c>
      <c r="V354" s="3">
        <f>400+(130.7-47)+(-0.408+(-0.133314--0.04794))+0-0-0</f>
        <v>483.20662599999997</v>
      </c>
      <c r="W354" s="3">
        <f>400+(161.7-52)+(-0.612+(-0.247401--0.07956))+0-0-0</f>
        <v>508.92015900000001</v>
      </c>
      <c r="X354" s="3">
        <f>452+(165.2-57)+(0.69156+(0.252756-0.08721))+0-0-0</f>
        <v>561.05710600000009</v>
      </c>
      <c r="Y354" s="3">
        <f>470+(150.9-57)+(-0.4794+(-0.153918--0.05814))+0-0-0</f>
        <v>563.32482199999993</v>
      </c>
      <c r="Z354" s="3">
        <f>446+(163.7-58)+(-0.90984+(-0.333948--0.11832))+0-0-0</f>
        <v>550.57453200000009</v>
      </c>
      <c r="AA354" s="3">
        <f>384+(190.9-50)+(-0.78336+(-0.389436--0.102))+0-0-0</f>
        <v>523.829204</v>
      </c>
      <c r="AB354" s="3">
        <f>377+(167.9-47)+(-1.15362+(-0.513774--0.14382))+0-0-0</f>
        <v>496.37642599999998</v>
      </c>
      <c r="AC354" s="3">
        <f>327+(188.1-44)+(-0.66708+(-0.383724--0.08976))+0-0-0</f>
        <v>470.13895600000001</v>
      </c>
      <c r="AD354" s="2">
        <v>566.20000000000005</v>
      </c>
      <c r="AE354" s="3">
        <v>4799.2000000000007</v>
      </c>
    </row>
    <row r="355" spans="1:31" s="2" customFormat="1" x14ac:dyDescent="0.3">
      <c r="A355">
        <v>91</v>
      </c>
      <c r="B355">
        <v>12</v>
      </c>
      <c r="C355">
        <v>19</v>
      </c>
      <c r="D355">
        <v>1</v>
      </c>
      <c r="E355">
        <v>1</v>
      </c>
      <c r="F355" s="3">
        <f>304+(173.2-44)+(-0.46512+(-0.264996--0.06732))+0-0-0</f>
        <v>432.53720399999997</v>
      </c>
      <c r="G355" s="3">
        <f>270+(185-45)+(0+(0-0))+0-0-0</f>
        <v>410</v>
      </c>
      <c r="H355" s="3">
        <f>227+(209.9-46)+(-0.34731+(-0.321147--0.07038))+0-0-0</f>
        <v>390.30192299999999</v>
      </c>
      <c r="I355" s="3">
        <f>227+(200.3-47)+(0.11577+(0.102153-0.02397))+0-0-0</f>
        <v>380.49395300000003</v>
      </c>
      <c r="J355" s="3">
        <f>265+(170.4-49)+(0.67575+(0.43452-0.12495))+0-0-0</f>
        <v>387.38531999999998</v>
      </c>
      <c r="K355" s="3">
        <f>273+(205.1-52)+(0.41769+(0.313803-0.07956))+0-0-0</f>
        <v>426.75193300000001</v>
      </c>
      <c r="L355" s="3">
        <f>272+(224.7-55)+(-0.13872+(-0.114597--0.02805))+0-0-0</f>
        <v>441.47473300000001</v>
      </c>
      <c r="M355" s="3">
        <f>272+(241.2-50)+(0.27744+(0.246024-0.051))+0-0-0</f>
        <v>463.67246399999999</v>
      </c>
      <c r="N355" s="3">
        <f>298+(230.8-54)+(0.15198+(0.117708-0.02754))+0-0-0</f>
        <v>475.042148</v>
      </c>
      <c r="O355" s="3">
        <f>302+(235.9-44)+(0.46206+(0.360927-0.06732))+0-0-0</f>
        <v>494.65566699999999</v>
      </c>
      <c r="P355" s="3">
        <f>301+(230.9-39)+(0.46053+(0.353277-0.05967))+0-0-0</f>
        <v>493.65413699999999</v>
      </c>
      <c r="Q355" s="3">
        <f>298+(241.4-42)+(-0.7599+(-0.61557--0.1071))+0-0-0</f>
        <v>496.13162999999997</v>
      </c>
      <c r="R355" s="3">
        <f>298+(259.6-50)+(0+(0-0))+0-0-0</f>
        <v>507.6</v>
      </c>
      <c r="S355" s="3">
        <f>295+(250.2-50)+(0+(0-0))+0-0-0</f>
        <v>495.2</v>
      </c>
      <c r="T355" s="3">
        <f>296+(229.8-46)+(0+(0-0))+0-0-0</f>
        <v>479.8</v>
      </c>
      <c r="U355" s="3">
        <f>298+(214.2-47)+(0.30396+(0.218484-0.04794))+0-0-0</f>
        <v>465.67450400000001</v>
      </c>
      <c r="V355" s="3">
        <f>307+(211.5-50)+(0.46971+(0.323595-0.0765))+0-0-0</f>
        <v>469.21680500000002</v>
      </c>
      <c r="W355" s="3">
        <f>308+(256.2-53)+(0.31416+(0.261324-0.05406))+0-0-0</f>
        <v>511.72142400000001</v>
      </c>
      <c r="X355" s="3">
        <f>325+(306.2-61)+(0.3315+(0.312324-0.06222))+0-0-0</f>
        <v>570.78160400000002</v>
      </c>
      <c r="Y355" s="3">
        <f>333+(299.7-54)+(0+(0-0))+0-0-0</f>
        <v>578.70000000000005</v>
      </c>
      <c r="Z355" s="3">
        <f>332+(290.8-55)+(0+(0-0))+0-0-0</f>
        <v>567.79999999999995</v>
      </c>
      <c r="AA355" s="3">
        <f>324+(276.7-54)+(0.16524+(0.141117-0.02754))+0-0-0</f>
        <v>546.97881700000005</v>
      </c>
      <c r="AB355" s="3">
        <f>314+(249.3-51)+(-0.48042+(-0.381429--0.07803))+0-0-0</f>
        <v>511.51618099999996</v>
      </c>
      <c r="AC355" s="3">
        <f>312+(214.8-48)+(0.47736+(0.328644-0.07344))+0-0-0</f>
        <v>479.53256400000004</v>
      </c>
      <c r="AD355" s="2">
        <v>577.1</v>
      </c>
      <c r="AE355" s="3">
        <v>6061.7</v>
      </c>
    </row>
    <row r="356" spans="1:31" s="2" customFormat="1" x14ac:dyDescent="0.3">
      <c r="A356">
        <v>91</v>
      </c>
      <c r="B356">
        <v>12</v>
      </c>
      <c r="C356">
        <v>20</v>
      </c>
      <c r="D356">
        <v>2</v>
      </c>
      <c r="E356">
        <v>1</v>
      </c>
      <c r="F356" s="3">
        <f>310+(175.6-45.2)+(-0.6324+(-0.358224--0.092208))+0-0-0</f>
        <v>439.50158399999998</v>
      </c>
      <c r="G356" s="3">
        <f>310+(153.2-45.9)+(-0.6324+(-0.312528--0.093636))+0-0-0</f>
        <v>416.44870799999995</v>
      </c>
      <c r="H356" s="3">
        <f>310+(138.7-44.6)+(-0.4743+(-0.212211--0.068238))+0-0-0</f>
        <v>403.48172700000003</v>
      </c>
      <c r="I356" s="3">
        <f>309+(136.2-46.4)+(-0.31518+(-0.138924--0.047328))+0-0-0</f>
        <v>398.39322399999998</v>
      </c>
      <c r="J356" s="3">
        <f>300+(153.2-50)+(-0.153+(-0.078132--0.0255))+0-0-0</f>
        <v>402.99436800000001</v>
      </c>
      <c r="K356" s="3">
        <f>300+(197.7-54.4)+(-0.306+(-0.201654--0.055488))+0-0-0</f>
        <v>442.84783399999998</v>
      </c>
      <c r="L356" s="3">
        <f>300+(218.8-54.9)+(-0.306+(-0.223176--0.055998))+0-0-0</f>
        <v>463.42682199999996</v>
      </c>
      <c r="M356" s="3">
        <f>300+(231.6-44.2)+(0+(0-0))+0-0-0</f>
        <v>487.4</v>
      </c>
      <c r="N356" s="3">
        <f>382+(164.3-45.1)+(0.9741+(0.418965-0.115005))+0-0-0</f>
        <v>502.47806000000003</v>
      </c>
      <c r="O356" s="3">
        <f>418+(132.4-48.5)+(0+(0-0))+0-0-0</f>
        <v>501.9</v>
      </c>
      <c r="P356" s="3">
        <f>417+(136.4-50.8)+(0+(0-0))+0-0-0</f>
        <v>502.6</v>
      </c>
      <c r="Q356" s="3">
        <f>417+(141.7-50.6)+(-0.21267+(-0.072267--0.025806))+0-0-0</f>
        <v>507.840869</v>
      </c>
      <c r="R356" s="3">
        <f>419+(139.8-51.4)+(-1.28214+(-0.427788--0.157284))+0-0-0</f>
        <v>505.84735599999999</v>
      </c>
      <c r="S356" s="3">
        <f>422+(116.8-46.2)+(-0.21522+(-0.059568--0.023562))+0-0-0</f>
        <v>492.34877400000005</v>
      </c>
      <c r="T356" s="3">
        <f>422+(108.5-47.2)+(-1.29132+(-0.33201--0.144432))+0-0-0</f>
        <v>481.821102</v>
      </c>
      <c r="U356" s="3">
        <f>425+(102.5-48.7)+(0.21675+(0.052275-0.024837))+0-0-0</f>
        <v>479.04418800000002</v>
      </c>
      <c r="V356" s="3">
        <f>430+(102.6-51.3)+(0.4386+(0.104652-0.052326))+0-0-0</f>
        <v>481.79092600000001</v>
      </c>
      <c r="W356" s="3">
        <f>432+(144.4-53.5)+(0.44064+(0.147288-0.05457))+0-0-0</f>
        <v>523.433358</v>
      </c>
      <c r="X356" s="3">
        <f>440+(190.6-60.1)+(0+(0-0))+0-0-0</f>
        <v>570.5</v>
      </c>
      <c r="Y356" s="3">
        <f>458+(171.5-59)+(0+(0-0))+0-0-0</f>
        <v>570.5</v>
      </c>
      <c r="Z356" s="3">
        <f>449+(172.2-52.1)+(-0.91596+(-0.351288--0.106284))+0-0-0</f>
        <v>567.93903599999999</v>
      </c>
      <c r="AA356" s="3">
        <f>445+(148.5-51.1)+(-0.68085+(-0.227205--0.078183))+0-0-0</f>
        <v>541.57012799999995</v>
      </c>
      <c r="AB356" s="3">
        <f>444+(121-51.1)+(-0.45288+(-0.12342--0.052122))+0-0-0</f>
        <v>513.37582199999997</v>
      </c>
      <c r="AC356" s="3">
        <f>417+(117.5-50)+(-1.06335+(-0.299625--0.1275))+0-0-0</f>
        <v>483.26452499999999</v>
      </c>
      <c r="AD356" s="2">
        <v>573.1</v>
      </c>
      <c r="AE356" s="3">
        <v>5952</v>
      </c>
    </row>
    <row r="357" spans="1:31" s="2" customFormat="1" x14ac:dyDescent="0.3">
      <c r="A357">
        <v>91</v>
      </c>
      <c r="B357">
        <v>12</v>
      </c>
      <c r="C357">
        <v>21</v>
      </c>
      <c r="D357">
        <v>3</v>
      </c>
      <c r="E357">
        <v>1</v>
      </c>
      <c r="F357" s="3">
        <f>361+(129.2-47.5)+(-0.36822+(-0.131784--0.04845))+0-0-0</f>
        <v>442.248446</v>
      </c>
      <c r="G357" s="3">
        <f>362+(98.8-47.1)+(-0.36924+(-0.100776--0.048042))+0-0-0</f>
        <v>413.27802600000001</v>
      </c>
      <c r="H357" s="3">
        <f>327+(124.6-47.6)+(0+(0-0))+0-0-0</f>
        <v>404</v>
      </c>
      <c r="I357" s="3">
        <f>285+(161.7-47.2)+(0.43605+(0.247401-0.072216))+0-0-0</f>
        <v>400.11123500000002</v>
      </c>
      <c r="J357" s="3">
        <f>285+(168.7-48.9)+(-0.14535+(-0.086037--0.024939))+0-0-0</f>
        <v>404.59355199999993</v>
      </c>
      <c r="K357" s="3">
        <f>285+(201.2-50.9)+(0.14535+(0.102612-0.025959))+0-0-0</f>
        <v>435.52200299999993</v>
      </c>
      <c r="L357" s="3">
        <f>282+(217.5-54.2)+(0+(0-0))+0-0-0</f>
        <v>445.3</v>
      </c>
      <c r="M357" s="3">
        <f>326+(187.9-50)+(0.33252+(0.191658-0.051))+0-0-0</f>
        <v>464.373178</v>
      </c>
      <c r="N357" s="3">
        <f>358+(167.8-48.3)+(0.18258+(0.085578-0.024633))+0-0-0</f>
        <v>477.74352499999998</v>
      </c>
      <c r="O357" s="3">
        <f>358+(193.1-47.6)+(0.36516+(0.196962-0.048552))+0-0-0</f>
        <v>504.01357000000002</v>
      </c>
      <c r="P357" s="3">
        <f>371+(189.8-49)+(-0.18921+(-0.096798--0.02499))+0-0-0</f>
        <v>511.53898200000003</v>
      </c>
      <c r="Q357" s="3">
        <f>436+(131-50.7)+(-1.1118+(-0.33405--0.129285))+0-0-0</f>
        <v>514.98343499999999</v>
      </c>
      <c r="R357" s="3">
        <f>434+(128.8-51.3)+(-0.88536+(-0.262752--0.104652))+0-0-0</f>
        <v>510.45654000000002</v>
      </c>
      <c r="S357" s="3">
        <f>430+(108.3-51.2)+(0+(0-0))+0-0-0</f>
        <v>487.1</v>
      </c>
      <c r="T357" s="3">
        <f>429+(98.8-53.3)+(-0.21879+(-0.050388--0.027183))+0-0-0</f>
        <v>474.25800500000003</v>
      </c>
      <c r="U357" s="3">
        <f>431+(88.9-43.8)+(0+(0-0))+0-0-0</f>
        <v>476.1</v>
      </c>
      <c r="V357" s="3">
        <f>434+(89.1-44.3)+(-0.88536+(-0.181764--0.090372))+0-0-0</f>
        <v>477.82324800000004</v>
      </c>
      <c r="W357" s="3">
        <f>439+(121.6-51.2)+(0+(0-0))+0-0-0</f>
        <v>509.4</v>
      </c>
      <c r="X357" s="3">
        <f>445+(161.2-58.7)+(-0.22695+(-0.082212--0.029937))+0-0-0</f>
        <v>547.220775</v>
      </c>
      <c r="Y357" s="3">
        <f>453+(156.6-57.9)+(-0.46206+(-0.159732--0.059058))+0-0-0</f>
        <v>551.13726600000007</v>
      </c>
      <c r="Z357" s="3">
        <f>450+(152.3-56.2)+(-0.459+(-0.155346--0.057324))+0-0-0</f>
        <v>545.54297800000006</v>
      </c>
      <c r="AA357" s="3">
        <f>442+(144.9-56.2)+(-1.1271+(-0.369495--0.14331))+0-0-0</f>
        <v>529.34671500000002</v>
      </c>
      <c r="AB357" s="3">
        <f>440+(122.2-53.7)+(-0.6732+(-0.186966--0.082161))+0-0-0</f>
        <v>507.72199499999999</v>
      </c>
      <c r="AC357" s="3">
        <f>401+(121.1-48.8)+(-0.61353+(-0.185283--0.074664))+0-0-0</f>
        <v>472.575851</v>
      </c>
      <c r="AD357" s="2">
        <v>550.30000000000007</v>
      </c>
      <c r="AE357" s="3">
        <v>5881.1</v>
      </c>
    </row>
    <row r="358" spans="1:31" s="2" customFormat="1" x14ac:dyDescent="0.3">
      <c r="A358">
        <v>91</v>
      </c>
      <c r="B358">
        <v>12</v>
      </c>
      <c r="C358">
        <v>22</v>
      </c>
      <c r="D358">
        <v>4</v>
      </c>
      <c r="E358">
        <v>1</v>
      </c>
      <c r="F358" s="3">
        <f>356+(117.6-29.8)+(0.18156+(0.059976-0.015198))+0-0-0</f>
        <v>444.02633800000001</v>
      </c>
      <c r="G358" s="3">
        <f>305+(132.2-29.5)+(-0.46665+(-0.202266--0.045135))+0-0-0</f>
        <v>407.07621899999998</v>
      </c>
      <c r="H358" s="3">
        <f>280+(141.9-28.2)+(0+(0-0))+0-0-0</f>
        <v>393.7</v>
      </c>
      <c r="I358" s="3">
        <f>280+(137.2-28.9)+(-0.714+(-0.34986--0.073695))+0-0-0</f>
        <v>387.30983499999996</v>
      </c>
      <c r="J358" s="3">
        <f>280+(142.2-29.2)+(0+(0-0))+0-0-0</f>
        <v>393</v>
      </c>
      <c r="K358" s="3">
        <f>280+(175.3-27.2)+(0.2856+(0.178806-0.027744))+0-0-0</f>
        <v>428.53666200000004</v>
      </c>
      <c r="L358" s="3">
        <f>278+(192.4-54.7)+(-0.28356+(-0.196248--0.055794))+0-0-0</f>
        <v>415.27598599999999</v>
      </c>
      <c r="M358" s="3">
        <f>300+(184.6-49.3)+(0.306+(0.188292-0.050286))+0-0-0</f>
        <v>435.74400600000001</v>
      </c>
      <c r="N358" s="3">
        <f>355+(146.5-47.9)+(-0.18105+(-0.074715--0.024429))+0-0-0</f>
        <v>453.36866400000002</v>
      </c>
      <c r="O358" s="3">
        <f>354+(156-46.3)+(0.18054+(0.07956-0.023613))+0-0-0</f>
        <v>463.936487</v>
      </c>
      <c r="P358" s="3">
        <f>381+(134-46.8)+(-0.58293+(-0.20502--0.071604))+0-0-0</f>
        <v>467.483654</v>
      </c>
      <c r="Q358" s="3">
        <f>386+(126.5-46.5)+(0+(0-0))+0-0-0</f>
        <v>466</v>
      </c>
      <c r="R358" s="3">
        <f>385+(128.7-46.3)+(-0.3927+(-0.131274--0.047226))+0-0-0</f>
        <v>466.92325199999999</v>
      </c>
      <c r="S358" s="3">
        <f>385+(111.2-43.2)+(-0.3927+(-0.113424--0.044064))+0-0-0</f>
        <v>452.53793999999999</v>
      </c>
      <c r="T358" s="3">
        <f>387+(98.6-36.5)+(0.39474+(0.100572-0.03723))+0-0-0</f>
        <v>449.55808200000001</v>
      </c>
      <c r="U358" s="3">
        <f>391+(102.7-37.9)+(0.19941+(0.052377-0.019329))+0-0-0</f>
        <v>456.03245800000002</v>
      </c>
      <c r="V358" s="3">
        <f>399+(105.9-42)+(0+(0-0))+0-0-0</f>
        <v>462.9</v>
      </c>
      <c r="W358" s="3">
        <f>399+(142-49.5)+(0.20349+(0.07242-0.025245))+0-0-0</f>
        <v>491.75066500000003</v>
      </c>
      <c r="X358" s="3">
        <f>418+(181.8-54)+(0+(0-0))+0-0-0</f>
        <v>545.79999999999995</v>
      </c>
      <c r="Y358" s="3">
        <f>439+(162.4-50.7)+(-1.34334+(-0.496944--0.155142))+0-0-0</f>
        <v>549.014858</v>
      </c>
      <c r="Z358" s="3">
        <f>441+(150.4-43.7)+(-0.44982+(-0.153408--0.044574))+0-0-0</f>
        <v>547.141346</v>
      </c>
      <c r="AA358" s="3">
        <f>439+(133-40.9)+(-0.89556+(-0.27132--0.083436))+0-0-0</f>
        <v>530.01655600000004</v>
      </c>
      <c r="AB358" s="3">
        <f>440+(110.5-41.7)+(-0.8976+(-0.22542--0.085068))+0-0-0</f>
        <v>507.76204799999999</v>
      </c>
      <c r="AC358" s="3">
        <f>440+(81.8-41.4)+(-1.122+(-0.20859--0.10557))+0-0-0</f>
        <v>479.17498000000001</v>
      </c>
      <c r="AD358" s="2">
        <v>554.09999999999991</v>
      </c>
      <c r="AE358" s="3">
        <v>5762.9000000000005</v>
      </c>
    </row>
    <row r="359" spans="1:31" s="2" customFormat="1" x14ac:dyDescent="0.3">
      <c r="A359">
        <v>91</v>
      </c>
      <c r="B359">
        <v>12</v>
      </c>
      <c r="C359">
        <v>23</v>
      </c>
      <c r="D359">
        <v>5</v>
      </c>
      <c r="E359">
        <v>1</v>
      </c>
      <c r="F359" s="3">
        <f>433+(56.2-41.9)+(-1.10415+(-0.14331--0.106845))+0-0-0</f>
        <v>446.15938499999999</v>
      </c>
      <c r="G359" s="3">
        <f>431+(41-44.7)+(-1.09905+(-0.10455--0.113985))+0-0-0</f>
        <v>426.21038500000003</v>
      </c>
      <c r="H359" s="3">
        <f>320+(122.3-37.6)+(-0.1632+(-0.062373--0.019176))+0-0-0</f>
        <v>404.49360300000001</v>
      </c>
      <c r="I359" s="3">
        <f>283+(145.2-38.1)+(-0.14433+(-0.074052--0.019431))+0-0-0</f>
        <v>389.901049</v>
      </c>
      <c r="J359" s="3">
        <f>283+(154.6-42.6)+(-0.72165+(-0.39423--0.10863))+0-0-0</f>
        <v>393.99275</v>
      </c>
      <c r="K359" s="3">
        <f>283+(185-46.6)+(-0.14433+(-0.09435--0.023766))+0-0-0</f>
        <v>421.18508599999996</v>
      </c>
      <c r="L359" s="3">
        <f>277+(200-43.1)+(-0.42381+(-0.306--0.065943))+0-0-0</f>
        <v>433.236133</v>
      </c>
      <c r="M359" s="3">
        <f>283+(201.9-39.7)+(0+(0-0))+0-0-0</f>
        <v>445.2</v>
      </c>
      <c r="N359" s="3">
        <f>376+(132.2-39)+(0.19176+(0.067422-0.01989))+0-0-0</f>
        <v>469.43929199999997</v>
      </c>
      <c r="O359" s="3">
        <f>399+(124-26)+(-0.81396+(-0.25296--0.05304))+0-0-0</f>
        <v>495.98612000000003</v>
      </c>
      <c r="P359" s="3">
        <f>401+(131-36.3)+(-0.40902+(-0.13362--0.037026))+0-0-0</f>
        <v>495.19438600000001</v>
      </c>
      <c r="Q359" s="3">
        <f>411+(126.8-38.1)+(0+(0-0))+0-0-0</f>
        <v>499.7</v>
      </c>
      <c r="R359" s="3">
        <f>407+(136.3-42.3)+(-0.83028+(-0.278052--0.086292))+0-0-0</f>
        <v>499.97796</v>
      </c>
      <c r="S359" s="3">
        <f>395+(143.8-48.5)+(-0.20145+(-0.073338--0.024735))+0-0-0</f>
        <v>490.04994700000003</v>
      </c>
      <c r="T359" s="3">
        <f>359+(162.6-49.6)+(0+(0-0))+0-0-0</f>
        <v>472</v>
      </c>
      <c r="U359" s="3">
        <f>359+(143.7-47)+(0.36618+(0.146574-0.04794))+0-0-0</f>
        <v>456.16481399999998</v>
      </c>
      <c r="V359" s="3">
        <f>368+(137-37)+(-0.9384+(-0.34935--0.09435))+0-0-0</f>
        <v>466.8066</v>
      </c>
      <c r="W359" s="3">
        <f>351+(181.4-41)+(0+(0-0))+0-0-0</f>
        <v>491.4</v>
      </c>
      <c r="X359" s="3">
        <f>448+(155.4-47.9)+(-0.45696+(-0.158508--0.048858))+0-0-0</f>
        <v>554.93339000000003</v>
      </c>
      <c r="Y359" s="3">
        <f>467+(151.9-51.3)+(-1.19085+(-0.387345--0.130815))+0-0-0</f>
        <v>566.15262000000007</v>
      </c>
      <c r="Z359" s="3">
        <f>458+(149.4-48)+(-0.93432+(-0.304776--0.09792))+0-0-0</f>
        <v>558.258824</v>
      </c>
      <c r="AA359" s="3">
        <f>456+(135.3-49.3)+(-1.62792+(-0.483021--0.176001))+0-0-0</f>
        <v>540.06506000000002</v>
      </c>
      <c r="AB359" s="3">
        <f>361+(187.5-38)+(-0.73644+(-0.3825--0.07752))+0-0-0</f>
        <v>509.45857999999998</v>
      </c>
      <c r="AC359" s="3">
        <f>310+(207.2-37)+(-0.3162+(-0.211344--0.03774))+0-0-0</f>
        <v>479.710196</v>
      </c>
      <c r="AD359" s="2">
        <v>566.69999999999993</v>
      </c>
      <c r="AE359" s="3">
        <v>5725.0999999999995</v>
      </c>
    </row>
    <row r="360" spans="1:31" s="2" customFormat="1" x14ac:dyDescent="0.3">
      <c r="A360">
        <v>91</v>
      </c>
      <c r="B360">
        <v>12</v>
      </c>
      <c r="C360">
        <v>24</v>
      </c>
      <c r="D360">
        <v>6</v>
      </c>
      <c r="E360">
        <v>1</v>
      </c>
      <c r="F360" s="3">
        <f>283+(200.8-37)+(-0.86598+(-0.614448--0.11322))+0-0-0</f>
        <v>445.43279200000001</v>
      </c>
      <c r="G360" s="3">
        <f>283+(172.4-37)+(-0.43299+(-0.263772--0.05661))+0-0-0</f>
        <v>417.75984799999998</v>
      </c>
      <c r="H360" s="3">
        <f>283+(158.1-37)+(-0.43299+(-0.241893--0.05661))+0-0-0</f>
        <v>403.48172700000003</v>
      </c>
      <c r="I360" s="3">
        <f>283+(148.9-37)+(-0.14433+(-0.075939--0.01887))+0-0-0</f>
        <v>394.698601</v>
      </c>
      <c r="J360" s="3">
        <f>281+(154.1-39)+(-0.28662+(-0.157182--0.03978))+0-0-0</f>
        <v>395.69597800000003</v>
      </c>
      <c r="K360" s="3">
        <f>281+(182.1-42)+(0.28662+(0.185742-0.04284))+0-0-0</f>
        <v>421.52952200000004</v>
      </c>
      <c r="L360" s="3">
        <f>280+(193.7-42)+(-0.5712+(-0.395148--0.08568))+0-0-0</f>
        <v>430.81933199999997</v>
      </c>
      <c r="M360" s="3">
        <f>280+(214.6-40)+(0.1428+(0.109446-0.0204))+0-0-0</f>
        <v>454.83184600000004</v>
      </c>
      <c r="N360" s="3">
        <f>280+(230.7-35)+(0.1428+(0.117657-0.01785))+0-0-0</f>
        <v>475.94260700000001</v>
      </c>
      <c r="O360" s="3">
        <f>325+(195.5-32)+(0.663+(0.39882-0.06528))+0-0-0</f>
        <v>489.49653999999998</v>
      </c>
      <c r="P360" s="3">
        <f>398+(133.3-37)+(-0.40596+(-0.135966--0.03774))+0-0-0</f>
        <v>493.79581400000001</v>
      </c>
      <c r="Q360" s="3">
        <f>400+(134.8-37)+(-1.02+(-0.34374--0.09435))+0-0-0</f>
        <v>496.53061000000002</v>
      </c>
      <c r="R360" s="3">
        <f>362+(172.7-37)+(-0.9231+(-0.440385--0.09435))+0-0-0</f>
        <v>496.43086499999998</v>
      </c>
      <c r="S360" s="3">
        <f>312+(205.6-39)+(-0.63648+(-0.419424--0.07956))+0-0-0</f>
        <v>477.62365600000004</v>
      </c>
      <c r="T360" s="3">
        <f>281+(226-41)+(0.28662+(0.23052-0.04182))+0-0-0</f>
        <v>466.47532000000001</v>
      </c>
      <c r="U360" s="3">
        <f>279+(221-42)+(0+(0-0))+0-0-0</f>
        <v>458</v>
      </c>
      <c r="V360" s="3">
        <f>286+(215.4-42)+(-0.43758+(-0.329562--0.06426))+0-0-0</f>
        <v>458.69711799999999</v>
      </c>
      <c r="W360" s="3">
        <f>289+(241.1-45)+(0.29478+(0.245922-0.0459))+0-0-0</f>
        <v>485.59480200000002</v>
      </c>
      <c r="X360" s="3">
        <f>388+(207.4-46)+(0.39576+(0.211548-0.04692))+0-0-0</f>
        <v>549.96038799999997</v>
      </c>
      <c r="Y360" s="3">
        <f>446+(158.1-51.5)+(-0.68238+(-0.241893--0.078795))+0-0-0</f>
        <v>551.75452200000007</v>
      </c>
      <c r="Z360" s="3">
        <f>438+(154.9-43)+(-0.67014+(-0.236997--0.06579))+0-0-0</f>
        <v>549.05865299999994</v>
      </c>
      <c r="AA360" s="3">
        <f>430+(145-46)+(-0.2193+(-0.07395--0.02346))+0-0-0</f>
        <v>528.73021000000006</v>
      </c>
      <c r="AB360" s="3">
        <f>363+(187.2-40)+(-0.92565+(-0.47736--0.102))+0-0-0</f>
        <v>508.89898999999997</v>
      </c>
      <c r="AC360" s="3">
        <f>363+(157-40)+(-0.55539+(-0.24021--0.0612))+0-0-0</f>
        <v>479.26560000000001</v>
      </c>
      <c r="AD360" s="2">
        <v>560.19999999999993</v>
      </c>
      <c r="AE360" s="3">
        <v>5407.2999999999993</v>
      </c>
    </row>
    <row r="361" spans="1:31" s="2" customFormat="1" x14ac:dyDescent="0.3">
      <c r="A361">
        <v>91</v>
      </c>
      <c r="B361">
        <v>12</v>
      </c>
      <c r="C361">
        <v>25</v>
      </c>
      <c r="D361">
        <v>7</v>
      </c>
      <c r="E361">
        <v>1</v>
      </c>
      <c r="F361" s="3">
        <f>357+(129.3-38)+(-0.72828+(-0.263772--0.07752))+0-0-0</f>
        <v>447.385468</v>
      </c>
      <c r="G361" s="3">
        <f>345+(115.5-38)+(-0.7038+(-0.23562--0.07752))+0-0-0</f>
        <v>421.63810000000001</v>
      </c>
      <c r="H361" s="3">
        <f>316+(123.2-39)+(-0.32232+(-0.125664--0.03978))+0-0-0</f>
        <v>399.79179599999998</v>
      </c>
      <c r="I361" s="3">
        <f>317+(112.5-39)+(0.48501+(0.172125-0.05967))+0-0-0</f>
        <v>391.097465</v>
      </c>
      <c r="J361" s="3">
        <f>315+(119.1-40)+(-0.6426+(-0.242964--0.0816))+0-0-0</f>
        <v>393.29603600000002</v>
      </c>
      <c r="K361" s="3">
        <f>316+(136.6-42)+(-0.32232+(-0.139332--0.04284))+0-0-0</f>
        <v>410.18118800000002</v>
      </c>
      <c r="L361" s="3">
        <f>320+(132.5-44)+(-0.1632+(-0.067575--0.02244))+0-0-0</f>
        <v>408.29166500000002</v>
      </c>
      <c r="M361" s="3">
        <f>431+(57.2-54.3)+(0.21981+(0.029172-0.027693))+0-0-0</f>
        <v>434.12128899999999</v>
      </c>
      <c r="N361" s="3">
        <f>462+(46.4-58.2)+(-0.23562+(-0.023664--0.029682))+0-0-0</f>
        <v>449.97039799999999</v>
      </c>
      <c r="O361" s="3">
        <f>459+(43.7-48)+(-0.23409+(-0.022287--0.02448))+0-0-0</f>
        <v>454.46810299999999</v>
      </c>
      <c r="P361" s="3">
        <f>452+(68.4-41)+(0.69156+(0.104652-0.06273))+0-0-0</f>
        <v>480.13348199999996</v>
      </c>
      <c r="Q361" s="3">
        <f>450+(84.5-43)+(-0.918+(-0.17238--0.08772))+0-0-0</f>
        <v>490.49734000000001</v>
      </c>
      <c r="R361" s="3">
        <f>446+(88.6-43)+(-0.45492+(-0.090372--0.04386))+0-0-0</f>
        <v>491.098568</v>
      </c>
      <c r="S361" s="3">
        <f>445+(80.6-41)+(-0.9078+(-0.164424--0.08364))+0-0-0</f>
        <v>483.61141600000002</v>
      </c>
      <c r="T361" s="3">
        <f>439+(73.5-43.2)+(0.44778+(0.07497-0.044064))+0-0-0</f>
        <v>469.77868599999999</v>
      </c>
      <c r="U361" s="3">
        <f>431+(72.6-44.7)+(0.21981+(0.037026-0.022797))+0-0-0</f>
        <v>459.13403899999997</v>
      </c>
      <c r="V361" s="3">
        <f>451+(65.1-47.7)+(0.46002+(0.066402-0.048654))+0-0-0</f>
        <v>468.877768</v>
      </c>
      <c r="W361" s="3">
        <f>455+(80.8-42.7)+(0+(0-0))+0-0-0</f>
        <v>493.1</v>
      </c>
      <c r="X361" s="3">
        <f>472+(115.4-46)+(0.48144+(0.117708-0.04692))+0-0-0</f>
        <v>541.95222799999999</v>
      </c>
      <c r="Y361" s="3">
        <f>494+(100.8-46)+(-0.25194+(-0.051408--0.02346))+0-0-0</f>
        <v>548.52011199999993</v>
      </c>
      <c r="Z361" s="3">
        <f>480+(113.4-44)+(-0.4896+(-0.115668--0.04488))+0-0-0</f>
        <v>548.83961199999999</v>
      </c>
      <c r="AA361" s="3">
        <f>408+(157.5-42)+(-0.41616+(-0.16065--0.04284))+0-0-0</f>
        <v>522.96603000000005</v>
      </c>
      <c r="AB361" s="3">
        <f>390+(145.8-40)+(-0.9945+(-0.37179--0.102))+0-0-0</f>
        <v>494.53570999999999</v>
      </c>
      <c r="AC361" s="3">
        <f>378+(126.8-38)+(-0.57834+(-0.194004--0.05814))+0-0-0</f>
        <v>466.08579600000002</v>
      </c>
      <c r="AD361" s="2">
        <v>545.69999999999993</v>
      </c>
      <c r="AE361" s="3">
        <v>4605.5</v>
      </c>
    </row>
    <row r="362" spans="1:31" s="2" customFormat="1" x14ac:dyDescent="0.3">
      <c r="A362">
        <v>91</v>
      </c>
      <c r="B362">
        <v>12</v>
      </c>
      <c r="C362">
        <v>26</v>
      </c>
      <c r="D362">
        <v>1</v>
      </c>
      <c r="E362">
        <v>1</v>
      </c>
      <c r="F362" s="3">
        <f>369+(100-36)+(-1.12914+(-0.306--0.11016))+0-0-0</f>
        <v>431.67502000000002</v>
      </c>
      <c r="G362" s="3">
        <f>323+(118.7-36)+(-0.82365+(-0.302685--0.0918))+0-0-0</f>
        <v>404.66546499999998</v>
      </c>
      <c r="H362" s="3">
        <f>296+(130.2-37)+(-0.60384+(-0.265608--0.07548))+0-0-0</f>
        <v>388.40603199999998</v>
      </c>
      <c r="I362" s="3">
        <f>295+(121.9-40)+(0+(0-0))+0-0-0</f>
        <v>376.9</v>
      </c>
      <c r="J362" s="3">
        <f>295+(126.7-42)+(0.45135+(0.193851-0.06426))+0-0-0</f>
        <v>380.28094099999998</v>
      </c>
      <c r="K362" s="3">
        <f>295+(151.1-45)+(0+(0-0))+0-0-0</f>
        <v>401.1</v>
      </c>
      <c r="L362" s="3">
        <f>294+(160.4-38)+(-0.14994+(-0.081804--0.01938))+0-0-0</f>
        <v>416.187636</v>
      </c>
      <c r="M362" s="3">
        <f>326+(146-37)+(0+(0-0))+0-0-0</f>
        <v>435</v>
      </c>
      <c r="N362" s="3">
        <f>373+(121.4-31)+(-0.19023+(-0.061914--0.01581))+0-0-0</f>
        <v>463.16366599999998</v>
      </c>
      <c r="O362" s="3">
        <f>395+(115.3-32)+(-0.20145+(-0.058803--0.01632))+0-0-0</f>
        <v>478.05606699999998</v>
      </c>
      <c r="P362" s="3">
        <f>417+(106.4-33.6)+(0.21267+(0.054264-0.017136))+0-0-0</f>
        <v>490.04979800000001</v>
      </c>
      <c r="Q362" s="3">
        <f>426+(100.7-33)+(0+(0-0))+0-0-0</f>
        <v>493.7</v>
      </c>
      <c r="R362" s="3">
        <f>423+(98.4-43)+(-0.64719+(-0.150552--0.06579))+0-0-0</f>
        <v>477.668048</v>
      </c>
      <c r="S362" s="3">
        <f>422+(96.7-41)+(0.21522+(0.049317-0.02091))+0-0-0</f>
        <v>477.94362699999999</v>
      </c>
      <c r="T362" s="3">
        <f>425+(88.2-43)+(-0.4335+(-0.089964--0.04386))+0-0-0</f>
        <v>469.72039599999999</v>
      </c>
      <c r="U362" s="3">
        <f>431+(83-45)+(-0.87924+(-0.16932--0.0918))+0-0-0</f>
        <v>468.04324000000003</v>
      </c>
      <c r="V362" s="3">
        <f>443+(80.1-48)+(-1.35558+(-0.245106--0.14688))+0-0-0</f>
        <v>473.64619400000004</v>
      </c>
      <c r="W362" s="3">
        <f>444+(94.9-37)+(-1.81152+(-0.387192--0.15096))+0-0-0</f>
        <v>499.85224799999997</v>
      </c>
      <c r="X362" s="3">
        <f>464+(133.2-46)+(0+(0-0))+0-0-0</f>
        <v>551.20000000000005</v>
      </c>
      <c r="Y362" s="3">
        <f>468+(142.2-46)+(-1.1934+(-0.36261--0.1173))+0-0-0</f>
        <v>562.76129000000003</v>
      </c>
      <c r="Z362" s="3">
        <f>468+(139.4-44)+(-1.1934+(-0.35547--0.1122))+0-0-0</f>
        <v>561.96332999999993</v>
      </c>
      <c r="AA362" s="3">
        <f>469+(121.4-42)+(-0.95676+(-0.247656--0.08568))+0-0-0</f>
        <v>547.28126399999996</v>
      </c>
      <c r="AB362" s="3">
        <f>468+(97-40)+(-0.23868+(-0.04947--0.0204))+0-0-0</f>
        <v>524.73225000000002</v>
      </c>
      <c r="AC362" s="3">
        <f>432+(104.9-38)+(-1.1016+(-0.267495--0.0969))+0-0-0</f>
        <v>497.62780499999997</v>
      </c>
      <c r="AD362" s="2">
        <v>554.9</v>
      </c>
      <c r="AE362" s="3">
        <v>5386.2999999999993</v>
      </c>
    </row>
    <row r="363" spans="1:31" s="2" customFormat="1" x14ac:dyDescent="0.3">
      <c r="A363">
        <v>91</v>
      </c>
      <c r="B363">
        <v>12</v>
      </c>
      <c r="C363">
        <v>27</v>
      </c>
      <c r="D363">
        <v>2</v>
      </c>
      <c r="E363">
        <v>1</v>
      </c>
      <c r="F363" s="3">
        <f>366+(109.7-37)+(-1.11996+(-0.335682--0.11322))+0-0-0</f>
        <v>437.35757799999999</v>
      </c>
      <c r="G363" s="3">
        <f>352+(109.5-37)+(-0.8976+(-0.279225--0.09435))+0-0-0</f>
        <v>423.41752500000001</v>
      </c>
      <c r="H363" s="3">
        <f>341+(102.4-36)+(-0.69564+(-0.208896--0.07344))+0-0-0</f>
        <v>406.56890399999997</v>
      </c>
      <c r="I363" s="3">
        <f>341+(94.2-36)+(-1.04346+(-0.288252--0.11016))+0-0-0</f>
        <v>397.97844800000001</v>
      </c>
      <c r="J363" s="3">
        <f>341+(96.7-39)+(-0.52173+(-0.147951--0.05967))+0-0-0</f>
        <v>398.089989</v>
      </c>
      <c r="K363" s="3">
        <f>341+(116.3-41)+(-0.17391+(-0.059313--0.02091))+0-0-0</f>
        <v>416.08768700000002</v>
      </c>
      <c r="L363" s="3">
        <f>340+(128-46)+(0+(0-0))+0-0-0</f>
        <v>422</v>
      </c>
      <c r="M363" s="3">
        <f>340+(138.2-40)+(0.3468+(0.140964-0.0408))+0-0-0</f>
        <v>438.64696399999997</v>
      </c>
      <c r="N363" s="3">
        <f>350+(143.2-38)+(-0.1785+(-0.073032--0.01938))+0-0-0</f>
        <v>454.967848</v>
      </c>
      <c r="O363" s="3">
        <f>384+(125.1-38)+(0+(0-0))+0-0-0</f>
        <v>471.1</v>
      </c>
      <c r="P363" s="3">
        <f>388+(129.6-37)+(-0.9894+(-0.33048--0.09435))+0-0-0</f>
        <v>479.37447000000003</v>
      </c>
      <c r="Q363" s="3">
        <f>396+(131.4-37)+(-0.20196+(-0.067014--0.01887))+0-0-0</f>
        <v>490.14989599999996</v>
      </c>
      <c r="R363" s="3">
        <f>379+(162-32)+(-1.15974+(-0.49572--0.09792))+0-0-0</f>
        <v>507.44245999999998</v>
      </c>
      <c r="S363" s="3">
        <f>377+(151.4-33)+(0.19227+(0.077214-0.01683))+0-0-0</f>
        <v>495.65265399999998</v>
      </c>
      <c r="T363" s="3">
        <f>377+(147.8-39)+(-0.76908+(-0.301512--0.07956))+0-0-0</f>
        <v>484.80896799999999</v>
      </c>
      <c r="U363" s="3">
        <f>385+(135.1-41)+(-0.58905+(-0.206703--0.06273))+0-0-0</f>
        <v>478.36697700000002</v>
      </c>
      <c r="V363" s="3">
        <f>398+(120.2-40)+(0+(0-0))+0-0-0</f>
        <v>478.2</v>
      </c>
      <c r="W363" s="3">
        <f>405+(139-45)+(0+(0-0))+0-0-0</f>
        <v>499</v>
      </c>
      <c r="X363" s="3">
        <f>425+(170-50)+(0.21675+(0.0867-0.0255))+0-0-0</f>
        <v>545.27795000000003</v>
      </c>
      <c r="Y363" s="3">
        <f>434+(173-50)+(-0.22134+(-0.08823--0.0255))+0-0-0</f>
        <v>556.71592999999996</v>
      </c>
      <c r="Z363" s="3">
        <f>461+(151.7-47)+(-0.23511+(-0.077367--0.02397))+0-0-0</f>
        <v>565.41149300000006</v>
      </c>
      <c r="AA363" s="3">
        <f>448+(148.5-48)+(-0.22848+(-0.075735--0.02448))+0-0-0</f>
        <v>548.22026500000004</v>
      </c>
      <c r="AB363" s="3">
        <f>425+(143.5-40)+(-1.08375+(-0.365925--0.102))+0-0-0</f>
        <v>527.15232500000002</v>
      </c>
      <c r="AC363" s="3">
        <f>421+(111.8-40)+(-0.85884+(-0.228072--0.0816))+0-0-0</f>
        <v>491.79468800000001</v>
      </c>
      <c r="AD363" s="2">
        <v>603</v>
      </c>
      <c r="AE363" s="3">
        <v>5085.8</v>
      </c>
    </row>
    <row r="364" spans="1:31" s="2" customFormat="1" x14ac:dyDescent="0.3">
      <c r="A364">
        <v>91</v>
      </c>
      <c r="B364">
        <v>12</v>
      </c>
      <c r="C364">
        <v>28</v>
      </c>
      <c r="D364">
        <v>3</v>
      </c>
      <c r="E364">
        <v>1</v>
      </c>
      <c r="F364" s="3">
        <f>417+(82.7-44.1)+(-0.85068+(-0.168708--0.089964))+0-0-0</f>
        <v>454.67057600000004</v>
      </c>
      <c r="G364" s="3">
        <f>376+(91.1-39)+(-0.57528+(-0.139383--0.05967))+0-0-0</f>
        <v>427.44500700000003</v>
      </c>
      <c r="H364" s="3">
        <f>342+(103.1-39)+(-0.8721+(-0.262905--0.09945))+0-0-0</f>
        <v>405.06444500000003</v>
      </c>
      <c r="I364" s="3">
        <f>344+(85.4-40)+(0.17544+(0.043554-0.0204))+0-0-0</f>
        <v>389.59859399999999</v>
      </c>
      <c r="J364" s="3">
        <f>344+(88-45)+(-0.70176+(-0.17952--0.0918))+0-0-0</f>
        <v>386.21051999999997</v>
      </c>
      <c r="K364" s="3">
        <f>344+(104.9-47)+(-0.35088+(-0.106998--0.04794))+0-0-0</f>
        <v>401.49006199999997</v>
      </c>
      <c r="L364" s="3">
        <f>344+(112.3-42)+(0+(0-0))+0-0-0</f>
        <v>414.3</v>
      </c>
      <c r="M364" s="3">
        <f>397+(91-44.7)+(-0.60741+(-0.13923--0.068391))+0-0-0</f>
        <v>442.62175100000002</v>
      </c>
      <c r="N364" s="3">
        <f>400+(104.4-40.6)+(-0.204+(-0.053244--0.020706))+0-0-0</f>
        <v>463.56346200000002</v>
      </c>
      <c r="O364" s="3">
        <f>417+(103-44.5)+(-1.06335+(-0.26265--0.113475))+0-0-0</f>
        <v>474.28747499999997</v>
      </c>
      <c r="P364" s="3">
        <f>415+(108.1-42)+(0.21165+(0.055131-0.02142))+0-0-0</f>
        <v>481.34536100000003</v>
      </c>
      <c r="Q364" s="3">
        <f>414+(111-39.7)+(0.21114+(0.05661-0.020247))+0-0-0</f>
        <v>485.54750300000001</v>
      </c>
      <c r="R364" s="3">
        <f>417+(116.2-31)+(-1.27602+(-0.355572--0.09486))+0-0-0</f>
        <v>500.66326800000002</v>
      </c>
      <c r="S364" s="3">
        <f>426+(111-42.2)+(-0.86904+(-0.22644--0.086088))+0-0-0</f>
        <v>493.79060800000002</v>
      </c>
      <c r="T364" s="3">
        <f>427+(105.9-43.3)+(-0.43554+(-0.108018--0.044166))+0-0-0</f>
        <v>489.10060800000002</v>
      </c>
      <c r="U364" s="3">
        <f>435+(96.4-50.5)+(-0.22185+(-0.049164--0.025755))+0-0-0</f>
        <v>480.654741</v>
      </c>
      <c r="V364" s="3">
        <f>444+(94.7-51.5)+(-0.67932+(-0.144891--0.078795))+0-0-0</f>
        <v>486.45458400000001</v>
      </c>
      <c r="W364" s="3">
        <f>439+(115.6-49.7)+(0.44778+(0.117912-0.050694))+0-0-0</f>
        <v>505.41499799999997</v>
      </c>
      <c r="X364" s="3">
        <f>447+(157.8-51)+(0.45594+(0.160956-0.05202))+0-0-0</f>
        <v>554.36487599999998</v>
      </c>
      <c r="Y364" s="3">
        <f>473+(139.6-45)+(-0.24123+(-0.071196--0.02295))+0-0-0</f>
        <v>567.31052399999999</v>
      </c>
      <c r="Z364" s="3">
        <f>464+(144.6-48)+(-1.1832+(-0.36873--0.1224))+0-0-0</f>
        <v>559.17047000000002</v>
      </c>
      <c r="AA364" s="3">
        <f>418+(175-48)+(0+(0-0))+0-0-0</f>
        <v>545</v>
      </c>
      <c r="AB364" s="3">
        <f>414+(153.2-43)+(-0.84456+(-0.312528--0.08772))+0-0-0</f>
        <v>523.13063199999999</v>
      </c>
      <c r="AC364" s="3">
        <f>414+(124.2-42)+(-1.0557+(-0.31671--0.1071))+0-0-0</f>
        <v>494.93468999999999</v>
      </c>
      <c r="AD364" s="2">
        <v>564.1</v>
      </c>
      <c r="AE364" s="3">
        <v>4873.2</v>
      </c>
    </row>
    <row r="365" spans="1:31" s="2" customFormat="1" x14ac:dyDescent="0.3">
      <c r="A365">
        <v>91</v>
      </c>
      <c r="B365">
        <v>12</v>
      </c>
      <c r="C365">
        <v>29</v>
      </c>
      <c r="D365">
        <v>4</v>
      </c>
      <c r="E365">
        <v>2</v>
      </c>
      <c r="F365" s="3">
        <f>404+(90-40)+(0+(0-0))+0-0-0</f>
        <v>454</v>
      </c>
      <c r="G365" s="3">
        <f>386+(83.7-39)+(-0.78744+(-0.170748--0.07956))+0-0-0</f>
        <v>429.821372</v>
      </c>
      <c r="H365" s="3">
        <f>342+(110-38)+(-1.04652+(-0.3366--0.11628))+0-0-0</f>
        <v>412.73316</v>
      </c>
      <c r="I365" s="3">
        <f>294+(142.8-38)+(-0.29988+(-0.145656--0.03876))+0-0-0</f>
        <v>398.39322400000003</v>
      </c>
      <c r="J365" s="3">
        <f>294+(141.9-40)+(-0.29988+(-0.144738--0.0408))+0-0-0</f>
        <v>395.49618199999998</v>
      </c>
      <c r="K365" s="3">
        <f>294+(159.2-45)+(0.29988+(0.162384-0.0459))+0-0-0</f>
        <v>408.61636399999998</v>
      </c>
      <c r="L365" s="3">
        <f>293+(161.3-40)+(-0.29886+(-0.164526--0.0408))+0-0-0</f>
        <v>413.87741399999999</v>
      </c>
      <c r="M365" s="3">
        <f>309+(167-36)+(0.31518+(0.17034-0.03672))+0-0-0</f>
        <v>440.44880000000001</v>
      </c>
      <c r="N365" s="3">
        <f>373+(126.4-39)+(-0.19023+(-0.064464--0.01989))+0-0-0</f>
        <v>460.16519599999998</v>
      </c>
      <c r="O365" s="3">
        <f>372+(142.8-39)+(0+(0-0))+0-0-0</f>
        <v>475.8</v>
      </c>
      <c r="P365" s="3">
        <f>369+(153-40)+(-0.18819+(-0.07803--0.0204))+0-0-0</f>
        <v>481.75418000000002</v>
      </c>
      <c r="Q365" s="3">
        <f>369+(169.9-40)+(0.75276+(0.346596-0.0816))+0-0-0</f>
        <v>499.917756</v>
      </c>
      <c r="R365" s="3">
        <f>369+(180.4-39)+(-0.75276+(-0.368016--0.07956))+0-0-0</f>
        <v>509.35878399999996</v>
      </c>
      <c r="S365" s="3">
        <f>370+(164.9-39)+(-0.3774+(-0.168198--0.03978))+0-0-0</f>
        <v>495.394182</v>
      </c>
      <c r="T365" s="3">
        <f>369+(159-39)+(-0.75276+(-0.32436--0.07956))+0-0-0</f>
        <v>488.00243999999998</v>
      </c>
      <c r="U365" s="3">
        <f>373+(146.4-40)+(-0.57069+(-0.223992--0.0612))+0-0-0</f>
        <v>478.666518</v>
      </c>
      <c r="V365" s="3">
        <f>370+(145.3-40)+(0.7548+(0.296412-0.0816))+0-0-0</f>
        <v>476.269612</v>
      </c>
      <c r="W365" s="3">
        <f>375+(161.3-43)+(-0.765+(-0.329052--0.08772))+0-0-0</f>
        <v>492.29366800000003</v>
      </c>
      <c r="X365" s="3">
        <f>406+(194.4-49)+(0.41412+(0.198288-0.04998))+0-0-0</f>
        <v>551.96242799999993</v>
      </c>
      <c r="Y365" s="3">
        <f>420+(200.4-51)+(-0.6426+(-0.306612--0.07803))+0-0-0</f>
        <v>568.528818</v>
      </c>
      <c r="Z365" s="3">
        <f>424+(194.2-48)+(0.43248+(0.198084-0.04896))+0-0-0</f>
        <v>570.78160400000002</v>
      </c>
      <c r="AA365" s="3">
        <f>435+(159.1-44)+(0.4437+(0.162282-0.04488))+0-0-0</f>
        <v>550.66110200000003</v>
      </c>
      <c r="AB365" s="3">
        <f>413+(148.9-42)+(-0.63189+(-0.227817--0.06426))+0-0-0</f>
        <v>519.10455300000001</v>
      </c>
      <c r="AC365" s="3">
        <f>430+(117.8-42)+(-0.4386+(-0.120156--0.04284))+0-0-0</f>
        <v>505.28408400000001</v>
      </c>
      <c r="AD365" s="2">
        <v>566</v>
      </c>
      <c r="AE365" s="3">
        <v>4024.9</v>
      </c>
    </row>
    <row r="366" spans="1:31" x14ac:dyDescent="0.3">
      <c r="A366">
        <v>91</v>
      </c>
      <c r="B366">
        <v>12</v>
      </c>
      <c r="C366">
        <v>30</v>
      </c>
      <c r="D366">
        <v>5</v>
      </c>
      <c r="E366">
        <v>6</v>
      </c>
      <c r="F366" s="1">
        <v>469.82029400000005</v>
      </c>
      <c r="G366" s="1">
        <v>444.39158800000001</v>
      </c>
      <c r="H366" s="1">
        <v>424.88319899999999</v>
      </c>
      <c r="I366" s="1">
        <v>406.46910800000001</v>
      </c>
      <c r="J366" s="1">
        <v>403.805836</v>
      </c>
      <c r="K366" s="1">
        <v>409.79090000000002</v>
      </c>
      <c r="L366" s="1">
        <v>400.690878</v>
      </c>
      <c r="M366" s="1">
        <v>422.3</v>
      </c>
      <c r="N366" s="1">
        <v>451.4</v>
      </c>
      <c r="O366" s="1">
        <v>466.7</v>
      </c>
      <c r="P366" s="1">
        <v>488.70000000000005</v>
      </c>
      <c r="Q366" s="1">
        <v>502.85632600000002</v>
      </c>
      <c r="R366" s="1">
        <v>503.82796200000001</v>
      </c>
      <c r="S366" s="1">
        <v>497.58285600000005</v>
      </c>
      <c r="T366" s="1">
        <v>487.35407000000004</v>
      </c>
      <c r="U366" s="1">
        <v>475.18518</v>
      </c>
      <c r="V366" s="1">
        <v>471.97676900000005</v>
      </c>
      <c r="W366" s="1">
        <v>488.05213599999996</v>
      </c>
      <c r="X366" s="1">
        <v>548.62006099999996</v>
      </c>
      <c r="Y366" s="1">
        <v>558.41506300000003</v>
      </c>
      <c r="Z366" s="1">
        <v>562.46205499999996</v>
      </c>
      <c r="AA366" s="1">
        <v>549.19596999999999</v>
      </c>
      <c r="AB366" s="1">
        <v>537.52580499999999</v>
      </c>
      <c r="AC366" s="1">
        <v>507.322607</v>
      </c>
      <c r="AD366" s="1">
        <v>555.6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2017-01-16T12:01:53Z</dcterms:modified>
</cp:coreProperties>
</file>